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4880" windowHeight="8055" activeTab="1"/>
  </bookViews>
  <sheets>
    <sheet name="complete_IPDdata57_SSS" sheetId="7" r:id="rId1"/>
    <sheet name="ตัวคูณโรงพยาบาล" sheetId="2" r:id="rId2"/>
    <sheet name="data_redis_illX" sheetId="5" r:id="rId3"/>
    <sheet name="data_origin" sheetId="3" r:id="rId4"/>
    <sheet name="ICD_code_inj_nature" sheetId="8" r:id="rId5"/>
    <sheet name="ICD_code_inj_gr" sheetId="9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</externalReferences>
  <definedNames>
    <definedName name="_xlnm._FilterDatabase" localSheetId="0" hidden="1">complete_IPDdata57_SSS!$A$1:$A$1996</definedName>
    <definedName name="_xlnm._FilterDatabase" localSheetId="3" hidden="1">data_origin!$S$1:$S$3887</definedName>
    <definedName name="_xlnm._FilterDatabase" localSheetId="2" hidden="1">data_redis_illX!$A$1:$A$1985</definedName>
    <definedName name="_xlnm._FilterDatabase" localSheetId="1" hidden="1">ตัวคูณโรงพยาบาล!$N$1:$N$2181</definedName>
  </definedNames>
  <calcPr calcId="145621"/>
</workbook>
</file>

<file path=xl/calcChain.xml><?xml version="1.0" encoding="utf-8"?>
<calcChain xmlns="http://schemas.openxmlformats.org/spreadsheetml/2006/main">
  <c r="AG13" i="2" l="1"/>
  <c r="AG14" i="2"/>
  <c r="AG15" i="2"/>
  <c r="AG16" i="2"/>
  <c r="AG17" i="2"/>
  <c r="AG18" i="2"/>
  <c r="AG19" i="2"/>
  <c r="AG20" i="2"/>
  <c r="AG4" i="2"/>
  <c r="AG5" i="2"/>
  <c r="AG6" i="2"/>
  <c r="AG7" i="2"/>
  <c r="AG8" i="2"/>
  <c r="AG9" i="2"/>
  <c r="AG10" i="2"/>
  <c r="AG11" i="2"/>
  <c r="AA1982" i="5" l="1"/>
  <c r="Z1982" i="5"/>
  <c r="Y1982" i="5"/>
  <c r="X1982" i="5"/>
  <c r="W1982" i="5"/>
  <c r="V1982" i="5"/>
  <c r="U1982" i="5"/>
  <c r="T1982" i="5"/>
  <c r="AA1981" i="5"/>
  <c r="Z1981" i="5"/>
  <c r="Y1981" i="5"/>
  <c r="X1981" i="5"/>
  <c r="W1981" i="5"/>
  <c r="V1981" i="5"/>
  <c r="U1981" i="5"/>
  <c r="T1981" i="5"/>
  <c r="AA1980" i="5"/>
  <c r="Z1980" i="5"/>
  <c r="Y1980" i="5"/>
  <c r="X1980" i="5"/>
  <c r="W1980" i="5"/>
  <c r="V1980" i="5"/>
  <c r="U1980" i="5"/>
  <c r="T1980" i="5"/>
  <c r="AA1979" i="5"/>
  <c r="Z1979" i="5"/>
  <c r="Y1979" i="5"/>
  <c r="X1979" i="5"/>
  <c r="W1979" i="5"/>
  <c r="V1979" i="5"/>
  <c r="U1979" i="5"/>
  <c r="T1979" i="5"/>
  <c r="AA1978" i="5"/>
  <c r="Z1978" i="5"/>
  <c r="Y1978" i="5"/>
  <c r="X1978" i="5"/>
  <c r="W1978" i="5"/>
  <c r="V1978" i="5"/>
  <c r="U1978" i="5"/>
  <c r="T1978" i="5"/>
  <c r="AA1977" i="5"/>
  <c r="Z1977" i="5"/>
  <c r="Y1977" i="5"/>
  <c r="X1977" i="5"/>
  <c r="W1977" i="5"/>
  <c r="V1977" i="5"/>
  <c r="U1977" i="5"/>
  <c r="T1977" i="5"/>
  <c r="AA1976" i="5"/>
  <c r="Z1976" i="5"/>
  <c r="Y1976" i="5"/>
  <c r="X1976" i="5"/>
  <c r="W1976" i="5"/>
  <c r="V1976" i="5"/>
  <c r="U1976" i="5"/>
  <c r="T1976" i="5"/>
  <c r="AA1975" i="5"/>
  <c r="Z1975" i="5"/>
  <c r="Y1975" i="5"/>
  <c r="X1975" i="5"/>
  <c r="W1975" i="5"/>
  <c r="V1975" i="5"/>
  <c r="U1975" i="5"/>
  <c r="T1975" i="5"/>
  <c r="AA1974" i="5"/>
  <c r="Z1974" i="5"/>
  <c r="Y1974" i="5"/>
  <c r="X1974" i="5"/>
  <c r="W1974" i="5"/>
  <c r="V1974" i="5"/>
  <c r="U1974" i="5"/>
  <c r="T1974" i="5"/>
  <c r="AA1973" i="5"/>
  <c r="Z1973" i="5"/>
  <c r="Y1973" i="5"/>
  <c r="X1973" i="5"/>
  <c r="W1973" i="5"/>
  <c r="V1973" i="5"/>
  <c r="U1973" i="5"/>
  <c r="T1973" i="5"/>
  <c r="AA1972" i="5"/>
  <c r="Z1972" i="5"/>
  <c r="Y1972" i="5"/>
  <c r="X1972" i="5"/>
  <c r="W1972" i="5"/>
  <c r="V1972" i="5"/>
  <c r="U1972" i="5"/>
  <c r="T1972" i="5"/>
  <c r="AA1971" i="5"/>
  <c r="Z1971" i="5"/>
  <c r="Y1971" i="5"/>
  <c r="X1971" i="5"/>
  <c r="W1971" i="5"/>
  <c r="V1971" i="5"/>
  <c r="U1971" i="5"/>
  <c r="T1971" i="5"/>
  <c r="AA1970" i="5"/>
  <c r="Z1970" i="5"/>
  <c r="Y1970" i="5"/>
  <c r="X1970" i="5"/>
  <c r="W1970" i="5"/>
  <c r="V1970" i="5"/>
  <c r="U1970" i="5"/>
  <c r="T1970" i="5"/>
  <c r="AA1969" i="5"/>
  <c r="Z1969" i="5"/>
  <c r="Y1969" i="5"/>
  <c r="X1969" i="5"/>
  <c r="W1969" i="5"/>
  <c r="V1969" i="5"/>
  <c r="U1969" i="5"/>
  <c r="T1969" i="5"/>
  <c r="AA1968" i="5"/>
  <c r="Z1968" i="5"/>
  <c r="Y1968" i="5"/>
  <c r="X1968" i="5"/>
  <c r="W1968" i="5"/>
  <c r="V1968" i="5"/>
  <c r="U1968" i="5"/>
  <c r="T1968" i="5"/>
  <c r="AA1967" i="5"/>
  <c r="Z1967" i="5"/>
  <c r="Y1967" i="5"/>
  <c r="X1967" i="5"/>
  <c r="W1967" i="5"/>
  <c r="V1967" i="5"/>
  <c r="U1967" i="5"/>
  <c r="T1967" i="5"/>
  <c r="AA1966" i="5"/>
  <c r="Z1966" i="5"/>
  <c r="Y1966" i="5"/>
  <c r="X1966" i="5"/>
  <c r="W1966" i="5"/>
  <c r="V1966" i="5"/>
  <c r="U1966" i="5"/>
  <c r="T1966" i="5"/>
  <c r="AA1965" i="5"/>
  <c r="Z1965" i="5"/>
  <c r="Y1965" i="5"/>
  <c r="X1965" i="5"/>
  <c r="W1965" i="5"/>
  <c r="V1965" i="5"/>
  <c r="U1965" i="5"/>
  <c r="T1965" i="5"/>
  <c r="AA1964" i="5"/>
  <c r="Z1964" i="5"/>
  <c r="Y1964" i="5"/>
  <c r="X1964" i="5"/>
  <c r="W1964" i="5"/>
  <c r="V1964" i="5"/>
  <c r="U1964" i="5"/>
  <c r="T1964" i="5"/>
  <c r="AA1963" i="5"/>
  <c r="Z1963" i="5"/>
  <c r="Y1963" i="5"/>
  <c r="X1963" i="5"/>
  <c r="W1963" i="5"/>
  <c r="V1963" i="5"/>
  <c r="U1963" i="5"/>
  <c r="T1963" i="5"/>
  <c r="AA1962" i="5"/>
  <c r="Z1962" i="5"/>
  <c r="Y1962" i="5"/>
  <c r="X1962" i="5"/>
  <c r="W1962" i="5"/>
  <c r="V1962" i="5"/>
  <c r="U1962" i="5"/>
  <c r="T1962" i="5"/>
  <c r="AA1961" i="5"/>
  <c r="Z1961" i="5"/>
  <c r="Y1961" i="5"/>
  <c r="X1961" i="5"/>
  <c r="W1961" i="5"/>
  <c r="V1961" i="5"/>
  <c r="U1961" i="5"/>
  <c r="T1961" i="5"/>
  <c r="AA1960" i="5"/>
  <c r="Z1960" i="5"/>
  <c r="Y1960" i="5"/>
  <c r="X1960" i="5"/>
  <c r="W1960" i="5"/>
  <c r="V1960" i="5"/>
  <c r="U1960" i="5"/>
  <c r="T1960" i="5"/>
  <c r="AA1959" i="5"/>
  <c r="Z1959" i="5"/>
  <c r="Y1959" i="5"/>
  <c r="X1959" i="5"/>
  <c r="W1959" i="5"/>
  <c r="V1959" i="5"/>
  <c r="U1959" i="5"/>
  <c r="T1959" i="5"/>
  <c r="AA1958" i="5"/>
  <c r="Z1958" i="5"/>
  <c r="Y1958" i="5"/>
  <c r="X1958" i="5"/>
  <c r="W1958" i="5"/>
  <c r="V1958" i="5"/>
  <c r="U1958" i="5"/>
  <c r="T1958" i="5"/>
  <c r="AA1957" i="5"/>
  <c r="Z1957" i="5"/>
  <c r="Y1957" i="5"/>
  <c r="X1957" i="5"/>
  <c r="W1957" i="5"/>
  <c r="V1957" i="5"/>
  <c r="U1957" i="5"/>
  <c r="T1957" i="5"/>
  <c r="AA1956" i="5"/>
  <c r="Z1956" i="5"/>
  <c r="Y1956" i="5"/>
  <c r="X1956" i="5"/>
  <c r="W1956" i="5"/>
  <c r="V1956" i="5"/>
  <c r="U1956" i="5"/>
  <c r="T1956" i="5"/>
  <c r="AA1955" i="5"/>
  <c r="Z1955" i="5"/>
  <c r="Y1955" i="5"/>
  <c r="X1955" i="5"/>
  <c r="W1955" i="5"/>
  <c r="V1955" i="5"/>
  <c r="U1955" i="5"/>
  <c r="T1955" i="5"/>
  <c r="AA1954" i="5"/>
  <c r="Z1954" i="5"/>
  <c r="Y1954" i="5"/>
  <c r="X1954" i="5"/>
  <c r="W1954" i="5"/>
  <c r="V1954" i="5"/>
  <c r="U1954" i="5"/>
  <c r="T1954" i="5"/>
  <c r="AA1953" i="5"/>
  <c r="Z1953" i="5"/>
  <c r="Y1953" i="5"/>
  <c r="X1953" i="5"/>
  <c r="W1953" i="5"/>
  <c r="V1953" i="5"/>
  <c r="U1953" i="5"/>
  <c r="T1953" i="5"/>
  <c r="AA1952" i="5"/>
  <c r="Z1952" i="5"/>
  <c r="Y1952" i="5"/>
  <c r="X1952" i="5"/>
  <c r="W1952" i="5"/>
  <c r="V1952" i="5"/>
  <c r="U1952" i="5"/>
  <c r="T1952" i="5"/>
  <c r="AA1951" i="5"/>
  <c r="Z1951" i="5"/>
  <c r="Y1951" i="5"/>
  <c r="X1951" i="5"/>
  <c r="W1951" i="5"/>
  <c r="V1951" i="5"/>
  <c r="U1951" i="5"/>
  <c r="T1951" i="5"/>
  <c r="AA1950" i="5"/>
  <c r="Z1950" i="5"/>
  <c r="Y1950" i="5"/>
  <c r="X1950" i="5"/>
  <c r="W1950" i="5"/>
  <c r="V1950" i="5"/>
  <c r="U1950" i="5"/>
  <c r="T1950" i="5"/>
  <c r="AA1949" i="5"/>
  <c r="Z1949" i="5"/>
  <c r="Y1949" i="5"/>
  <c r="X1949" i="5"/>
  <c r="W1949" i="5"/>
  <c r="V1949" i="5"/>
  <c r="U1949" i="5"/>
  <c r="T1949" i="5"/>
  <c r="AA1948" i="5"/>
  <c r="Z1948" i="5"/>
  <c r="Y1948" i="5"/>
  <c r="X1948" i="5"/>
  <c r="W1948" i="5"/>
  <c r="V1948" i="5"/>
  <c r="U1948" i="5"/>
  <c r="T1948" i="5"/>
  <c r="AA1947" i="5"/>
  <c r="Z1947" i="5"/>
  <c r="Y1947" i="5"/>
  <c r="X1947" i="5"/>
  <c r="W1947" i="5"/>
  <c r="V1947" i="5"/>
  <c r="U1947" i="5"/>
  <c r="T1947" i="5"/>
  <c r="AA1946" i="5"/>
  <c r="Z1946" i="5"/>
  <c r="Y1946" i="5"/>
  <c r="X1946" i="5"/>
  <c r="W1946" i="5"/>
  <c r="V1946" i="5"/>
  <c r="U1946" i="5"/>
  <c r="T1946" i="5"/>
  <c r="AA1945" i="5"/>
  <c r="Z1945" i="5"/>
  <c r="Y1945" i="5"/>
  <c r="X1945" i="5"/>
  <c r="W1945" i="5"/>
  <c r="V1945" i="5"/>
  <c r="U1945" i="5"/>
  <c r="T1945" i="5"/>
  <c r="AA1944" i="5"/>
  <c r="Z1944" i="5"/>
  <c r="Y1944" i="5"/>
  <c r="X1944" i="5"/>
  <c r="W1944" i="5"/>
  <c r="V1944" i="5"/>
  <c r="U1944" i="5"/>
  <c r="T1944" i="5"/>
  <c r="AA1943" i="5"/>
  <c r="Z1943" i="5"/>
  <c r="Y1943" i="5"/>
  <c r="X1943" i="5"/>
  <c r="W1943" i="5"/>
  <c r="V1943" i="5"/>
  <c r="U1943" i="5"/>
  <c r="T1943" i="5"/>
  <c r="AA1942" i="5"/>
  <c r="Z1942" i="5"/>
  <c r="Y1942" i="5"/>
  <c r="X1942" i="5"/>
  <c r="W1942" i="5"/>
  <c r="V1942" i="5"/>
  <c r="U1942" i="5"/>
  <c r="T1942" i="5"/>
  <c r="AA1941" i="5"/>
  <c r="Z1941" i="5"/>
  <c r="Y1941" i="5"/>
  <c r="X1941" i="5"/>
  <c r="W1941" i="5"/>
  <c r="V1941" i="5"/>
  <c r="U1941" i="5"/>
  <c r="T1941" i="5"/>
  <c r="AA1940" i="5"/>
  <c r="Z1940" i="5"/>
  <c r="Y1940" i="5"/>
  <c r="X1940" i="5"/>
  <c r="W1940" i="5"/>
  <c r="V1940" i="5"/>
  <c r="U1940" i="5"/>
  <c r="T1940" i="5"/>
  <c r="AA1939" i="5"/>
  <c r="Z1939" i="5"/>
  <c r="Y1939" i="5"/>
  <c r="X1939" i="5"/>
  <c r="W1939" i="5"/>
  <c r="V1939" i="5"/>
  <c r="U1939" i="5"/>
  <c r="T1939" i="5"/>
  <c r="AA1938" i="5"/>
  <c r="Z1938" i="5"/>
  <c r="Y1938" i="5"/>
  <c r="X1938" i="5"/>
  <c r="W1938" i="5"/>
  <c r="V1938" i="5"/>
  <c r="U1938" i="5"/>
  <c r="T1938" i="5"/>
  <c r="AA1937" i="5"/>
  <c r="Z1937" i="5"/>
  <c r="Y1937" i="5"/>
  <c r="X1937" i="5"/>
  <c r="W1937" i="5"/>
  <c r="V1937" i="5"/>
  <c r="U1937" i="5"/>
  <c r="T1937" i="5"/>
  <c r="AA1936" i="5"/>
  <c r="Z1936" i="5"/>
  <c r="Y1936" i="5"/>
  <c r="X1936" i="5"/>
  <c r="W1936" i="5"/>
  <c r="V1936" i="5"/>
  <c r="U1936" i="5"/>
  <c r="T1936" i="5"/>
  <c r="AA1935" i="5"/>
  <c r="Z1935" i="5"/>
  <c r="Y1935" i="5"/>
  <c r="X1935" i="5"/>
  <c r="W1935" i="5"/>
  <c r="V1935" i="5"/>
  <c r="U1935" i="5"/>
  <c r="T1935" i="5"/>
  <c r="AA1934" i="5"/>
  <c r="Z1934" i="5"/>
  <c r="Y1934" i="5"/>
  <c r="X1934" i="5"/>
  <c r="W1934" i="5"/>
  <c r="V1934" i="5"/>
  <c r="U1934" i="5"/>
  <c r="T1934" i="5"/>
  <c r="AA1933" i="5"/>
  <c r="Z1933" i="5"/>
  <c r="Y1933" i="5"/>
  <c r="X1933" i="5"/>
  <c r="W1933" i="5"/>
  <c r="V1933" i="5"/>
  <c r="U1933" i="5"/>
  <c r="T1933" i="5"/>
  <c r="AA1932" i="5"/>
  <c r="Z1932" i="5"/>
  <c r="Y1932" i="5"/>
  <c r="X1932" i="5"/>
  <c r="W1932" i="5"/>
  <c r="V1932" i="5"/>
  <c r="U1932" i="5"/>
  <c r="T1932" i="5"/>
  <c r="AA1931" i="5"/>
  <c r="Z1931" i="5"/>
  <c r="Y1931" i="5"/>
  <c r="X1931" i="5"/>
  <c r="W1931" i="5"/>
  <c r="V1931" i="5"/>
  <c r="U1931" i="5"/>
  <c r="T1931" i="5"/>
  <c r="AA1930" i="5"/>
  <c r="Z1930" i="5"/>
  <c r="Y1930" i="5"/>
  <c r="X1930" i="5"/>
  <c r="W1930" i="5"/>
  <c r="V1930" i="5"/>
  <c r="U1930" i="5"/>
  <c r="T1930" i="5"/>
  <c r="AA1929" i="5"/>
  <c r="Z1929" i="5"/>
  <c r="Y1929" i="5"/>
  <c r="X1929" i="5"/>
  <c r="W1929" i="5"/>
  <c r="V1929" i="5"/>
  <c r="U1929" i="5"/>
  <c r="T1929" i="5"/>
  <c r="AA1928" i="5"/>
  <c r="Z1928" i="5"/>
  <c r="Y1928" i="5"/>
  <c r="X1928" i="5"/>
  <c r="W1928" i="5"/>
  <c r="V1928" i="5"/>
  <c r="U1928" i="5"/>
  <c r="T1928" i="5"/>
  <c r="AA1927" i="5"/>
  <c r="Z1927" i="5"/>
  <c r="Y1927" i="5"/>
  <c r="X1927" i="5"/>
  <c r="W1927" i="5"/>
  <c r="V1927" i="5"/>
  <c r="U1927" i="5"/>
  <c r="T1927" i="5"/>
  <c r="AA1926" i="5"/>
  <c r="Z1926" i="5"/>
  <c r="Y1926" i="5"/>
  <c r="X1926" i="5"/>
  <c r="W1926" i="5"/>
  <c r="V1926" i="5"/>
  <c r="U1926" i="5"/>
  <c r="T1926" i="5"/>
  <c r="AA1925" i="5"/>
  <c r="Z1925" i="5"/>
  <c r="Y1925" i="5"/>
  <c r="X1925" i="5"/>
  <c r="W1925" i="5"/>
  <c r="V1925" i="5"/>
  <c r="U1925" i="5"/>
  <c r="T1925" i="5"/>
  <c r="AA1924" i="5"/>
  <c r="Z1924" i="5"/>
  <c r="Y1924" i="5"/>
  <c r="X1924" i="5"/>
  <c r="W1924" i="5"/>
  <c r="V1924" i="5"/>
  <c r="U1924" i="5"/>
  <c r="T1924" i="5"/>
  <c r="AA1923" i="5"/>
  <c r="Z1923" i="5"/>
  <c r="Y1923" i="5"/>
  <c r="X1923" i="5"/>
  <c r="W1923" i="5"/>
  <c r="V1923" i="5"/>
  <c r="U1923" i="5"/>
  <c r="T1923" i="5"/>
  <c r="AA1922" i="5"/>
  <c r="Z1922" i="5"/>
  <c r="Y1922" i="5"/>
  <c r="X1922" i="5"/>
  <c r="W1922" i="5"/>
  <c r="V1922" i="5"/>
  <c r="U1922" i="5"/>
  <c r="T1922" i="5"/>
  <c r="AA1921" i="5"/>
  <c r="Z1921" i="5"/>
  <c r="Y1921" i="5"/>
  <c r="X1921" i="5"/>
  <c r="W1921" i="5"/>
  <c r="V1921" i="5"/>
  <c r="U1921" i="5"/>
  <c r="T1921" i="5"/>
  <c r="AA1920" i="5"/>
  <c r="Z1920" i="5"/>
  <c r="Y1920" i="5"/>
  <c r="X1920" i="5"/>
  <c r="W1920" i="5"/>
  <c r="V1920" i="5"/>
  <c r="U1920" i="5"/>
  <c r="T1920" i="5"/>
  <c r="AA1919" i="5"/>
  <c r="Z1919" i="5"/>
  <c r="Y1919" i="5"/>
  <c r="X1919" i="5"/>
  <c r="W1919" i="5"/>
  <c r="V1919" i="5"/>
  <c r="U1919" i="5"/>
  <c r="T1919" i="5"/>
  <c r="AA1918" i="5"/>
  <c r="Z1918" i="5"/>
  <c r="Y1918" i="5"/>
  <c r="X1918" i="5"/>
  <c r="W1918" i="5"/>
  <c r="V1918" i="5"/>
  <c r="U1918" i="5"/>
  <c r="T1918" i="5"/>
  <c r="AA1917" i="5"/>
  <c r="Z1917" i="5"/>
  <c r="Y1917" i="5"/>
  <c r="X1917" i="5"/>
  <c r="W1917" i="5"/>
  <c r="V1917" i="5"/>
  <c r="U1917" i="5"/>
  <c r="T1917" i="5"/>
  <c r="AA1916" i="5"/>
  <c r="Z1916" i="5"/>
  <c r="Y1916" i="5"/>
  <c r="X1916" i="5"/>
  <c r="W1916" i="5"/>
  <c r="V1916" i="5"/>
  <c r="U1916" i="5"/>
  <c r="T1916" i="5"/>
  <c r="AA1915" i="5"/>
  <c r="Z1915" i="5"/>
  <c r="Y1915" i="5"/>
  <c r="X1915" i="5"/>
  <c r="W1915" i="5"/>
  <c r="V1915" i="5"/>
  <c r="U1915" i="5"/>
  <c r="T1915" i="5"/>
  <c r="AA1914" i="5"/>
  <c r="Z1914" i="5"/>
  <c r="Y1914" i="5"/>
  <c r="X1914" i="5"/>
  <c r="W1914" i="5"/>
  <c r="V1914" i="5"/>
  <c r="U1914" i="5"/>
  <c r="T1914" i="5"/>
  <c r="AA1913" i="5"/>
  <c r="Z1913" i="5"/>
  <c r="Y1913" i="5"/>
  <c r="X1913" i="5"/>
  <c r="W1913" i="5"/>
  <c r="V1913" i="5"/>
  <c r="U1913" i="5"/>
  <c r="T1913" i="5"/>
  <c r="AA1912" i="5"/>
  <c r="Z1912" i="5"/>
  <c r="Y1912" i="5"/>
  <c r="X1912" i="5"/>
  <c r="W1912" i="5"/>
  <c r="V1912" i="5"/>
  <c r="U1912" i="5"/>
  <c r="T1912" i="5"/>
  <c r="AA1911" i="5"/>
  <c r="Z1911" i="5"/>
  <c r="Y1911" i="5"/>
  <c r="X1911" i="5"/>
  <c r="W1911" i="5"/>
  <c r="V1911" i="5"/>
  <c r="U1911" i="5"/>
  <c r="T1911" i="5"/>
  <c r="AA1910" i="5"/>
  <c r="Z1910" i="5"/>
  <c r="Y1910" i="5"/>
  <c r="X1910" i="5"/>
  <c r="W1910" i="5"/>
  <c r="V1910" i="5"/>
  <c r="U1910" i="5"/>
  <c r="T1910" i="5"/>
  <c r="AA1909" i="5"/>
  <c r="Z1909" i="5"/>
  <c r="Y1909" i="5"/>
  <c r="X1909" i="5"/>
  <c r="W1909" i="5"/>
  <c r="V1909" i="5"/>
  <c r="U1909" i="5"/>
  <c r="T1909" i="5"/>
  <c r="AA1908" i="5"/>
  <c r="Z1908" i="5"/>
  <c r="Y1908" i="5"/>
  <c r="X1908" i="5"/>
  <c r="W1908" i="5"/>
  <c r="V1908" i="5"/>
  <c r="U1908" i="5"/>
  <c r="T1908" i="5"/>
  <c r="AA1907" i="5"/>
  <c r="Z1907" i="5"/>
  <c r="Y1907" i="5"/>
  <c r="X1907" i="5"/>
  <c r="W1907" i="5"/>
  <c r="V1907" i="5"/>
  <c r="U1907" i="5"/>
  <c r="T1907" i="5"/>
  <c r="AA1906" i="5"/>
  <c r="Z1906" i="5"/>
  <c r="Y1906" i="5"/>
  <c r="X1906" i="5"/>
  <c r="W1906" i="5"/>
  <c r="V1906" i="5"/>
  <c r="U1906" i="5"/>
  <c r="T1906" i="5"/>
  <c r="AA1905" i="5"/>
  <c r="Z1905" i="5"/>
  <c r="Y1905" i="5"/>
  <c r="X1905" i="5"/>
  <c r="W1905" i="5"/>
  <c r="V1905" i="5"/>
  <c r="U1905" i="5"/>
  <c r="T1905" i="5"/>
  <c r="AA1904" i="5"/>
  <c r="Z1904" i="5"/>
  <c r="Y1904" i="5"/>
  <c r="X1904" i="5"/>
  <c r="W1904" i="5"/>
  <c r="V1904" i="5"/>
  <c r="U1904" i="5"/>
  <c r="T1904" i="5"/>
  <c r="AA1903" i="5"/>
  <c r="Z1903" i="5"/>
  <c r="Y1903" i="5"/>
  <c r="X1903" i="5"/>
  <c r="W1903" i="5"/>
  <c r="V1903" i="5"/>
  <c r="U1903" i="5"/>
  <c r="T1903" i="5"/>
  <c r="AA1902" i="5"/>
  <c r="Z1902" i="5"/>
  <c r="Y1902" i="5"/>
  <c r="X1902" i="5"/>
  <c r="W1902" i="5"/>
  <c r="V1902" i="5"/>
  <c r="U1902" i="5"/>
  <c r="T1902" i="5"/>
  <c r="AA1901" i="5"/>
  <c r="Z1901" i="5"/>
  <c r="Y1901" i="5"/>
  <c r="X1901" i="5"/>
  <c r="W1901" i="5"/>
  <c r="V1901" i="5"/>
  <c r="U1901" i="5"/>
  <c r="T1901" i="5"/>
  <c r="AA1900" i="5"/>
  <c r="Z1900" i="5"/>
  <c r="Y1900" i="5"/>
  <c r="X1900" i="5"/>
  <c r="W1900" i="5"/>
  <c r="V1900" i="5"/>
  <c r="U1900" i="5"/>
  <c r="T1900" i="5"/>
  <c r="AA1899" i="5"/>
  <c r="Z1899" i="5"/>
  <c r="Y1899" i="5"/>
  <c r="X1899" i="5"/>
  <c r="W1899" i="5"/>
  <c r="V1899" i="5"/>
  <c r="U1899" i="5"/>
  <c r="T1899" i="5"/>
  <c r="AA1898" i="5"/>
  <c r="Z1898" i="5"/>
  <c r="Y1898" i="5"/>
  <c r="X1898" i="5"/>
  <c r="W1898" i="5"/>
  <c r="V1898" i="5"/>
  <c r="U1898" i="5"/>
  <c r="T1898" i="5"/>
  <c r="AA1897" i="5"/>
  <c r="Z1897" i="5"/>
  <c r="Y1897" i="5"/>
  <c r="X1897" i="5"/>
  <c r="W1897" i="5"/>
  <c r="V1897" i="5"/>
  <c r="U1897" i="5"/>
  <c r="T1897" i="5"/>
  <c r="AA1896" i="5"/>
  <c r="Z1896" i="5"/>
  <c r="Y1896" i="5"/>
  <c r="X1896" i="5"/>
  <c r="W1896" i="5"/>
  <c r="V1896" i="5"/>
  <c r="U1896" i="5"/>
  <c r="T1896" i="5"/>
  <c r="AA1895" i="5"/>
  <c r="Z1895" i="5"/>
  <c r="Y1895" i="5"/>
  <c r="X1895" i="5"/>
  <c r="W1895" i="5"/>
  <c r="V1895" i="5"/>
  <c r="U1895" i="5"/>
  <c r="T1895" i="5"/>
  <c r="AA1894" i="5"/>
  <c r="Z1894" i="5"/>
  <c r="Y1894" i="5"/>
  <c r="X1894" i="5"/>
  <c r="W1894" i="5"/>
  <c r="V1894" i="5"/>
  <c r="U1894" i="5"/>
  <c r="T1894" i="5"/>
  <c r="AA1893" i="5"/>
  <c r="Z1893" i="5"/>
  <c r="Y1893" i="5"/>
  <c r="X1893" i="5"/>
  <c r="W1893" i="5"/>
  <c r="V1893" i="5"/>
  <c r="U1893" i="5"/>
  <c r="T1893" i="5"/>
  <c r="AA1892" i="5"/>
  <c r="Z1892" i="5"/>
  <c r="Y1892" i="5"/>
  <c r="X1892" i="5"/>
  <c r="W1892" i="5"/>
  <c r="V1892" i="5"/>
  <c r="U1892" i="5"/>
  <c r="T1892" i="5"/>
  <c r="AA1891" i="5"/>
  <c r="Z1891" i="5"/>
  <c r="Y1891" i="5"/>
  <c r="X1891" i="5"/>
  <c r="W1891" i="5"/>
  <c r="V1891" i="5"/>
  <c r="U1891" i="5"/>
  <c r="T1891" i="5"/>
  <c r="AA1890" i="5"/>
  <c r="Z1890" i="5"/>
  <c r="Y1890" i="5"/>
  <c r="X1890" i="5"/>
  <c r="W1890" i="5"/>
  <c r="V1890" i="5"/>
  <c r="U1890" i="5"/>
  <c r="T1890" i="5"/>
  <c r="AA1889" i="5"/>
  <c r="Z1889" i="5"/>
  <c r="Y1889" i="5"/>
  <c r="X1889" i="5"/>
  <c r="W1889" i="5"/>
  <c r="V1889" i="5"/>
  <c r="U1889" i="5"/>
  <c r="T1889" i="5"/>
  <c r="AA1888" i="5"/>
  <c r="Z1888" i="5"/>
  <c r="Y1888" i="5"/>
  <c r="X1888" i="5"/>
  <c r="W1888" i="5"/>
  <c r="V1888" i="5"/>
  <c r="U1888" i="5"/>
  <c r="T1888" i="5"/>
  <c r="AA1887" i="5"/>
  <c r="Z1887" i="5"/>
  <c r="Y1887" i="5"/>
  <c r="X1887" i="5"/>
  <c r="W1887" i="5"/>
  <c r="V1887" i="5"/>
  <c r="U1887" i="5"/>
  <c r="T1887" i="5"/>
  <c r="AA1886" i="5"/>
  <c r="Z1886" i="5"/>
  <c r="Y1886" i="5"/>
  <c r="X1886" i="5"/>
  <c r="W1886" i="5"/>
  <c r="V1886" i="5"/>
  <c r="U1886" i="5"/>
  <c r="T1886" i="5"/>
  <c r="AA1885" i="5"/>
  <c r="Z1885" i="5"/>
  <c r="Y1885" i="5"/>
  <c r="X1885" i="5"/>
  <c r="W1885" i="5"/>
  <c r="V1885" i="5"/>
  <c r="U1885" i="5"/>
  <c r="T1885" i="5"/>
  <c r="AA1884" i="5"/>
  <c r="Z1884" i="5"/>
  <c r="Y1884" i="5"/>
  <c r="X1884" i="5"/>
  <c r="W1884" i="5"/>
  <c r="V1884" i="5"/>
  <c r="U1884" i="5"/>
  <c r="T1884" i="5"/>
  <c r="AA1883" i="5"/>
  <c r="Z1883" i="5"/>
  <c r="Y1883" i="5"/>
  <c r="X1883" i="5"/>
  <c r="W1883" i="5"/>
  <c r="V1883" i="5"/>
  <c r="U1883" i="5"/>
  <c r="T1883" i="5"/>
  <c r="AA1882" i="5"/>
  <c r="Z1882" i="5"/>
  <c r="Y1882" i="5"/>
  <c r="X1882" i="5"/>
  <c r="W1882" i="5"/>
  <c r="V1882" i="5"/>
  <c r="U1882" i="5"/>
  <c r="T1882" i="5"/>
  <c r="AA1881" i="5"/>
  <c r="Z1881" i="5"/>
  <c r="Y1881" i="5"/>
  <c r="X1881" i="5"/>
  <c r="W1881" i="5"/>
  <c r="V1881" i="5"/>
  <c r="U1881" i="5"/>
  <c r="T1881" i="5"/>
  <c r="AA1880" i="5"/>
  <c r="Z1880" i="5"/>
  <c r="Y1880" i="5"/>
  <c r="X1880" i="5"/>
  <c r="W1880" i="5"/>
  <c r="V1880" i="5"/>
  <c r="U1880" i="5"/>
  <c r="T1880" i="5"/>
  <c r="AA1879" i="5"/>
  <c r="Z1879" i="5"/>
  <c r="Y1879" i="5"/>
  <c r="X1879" i="5"/>
  <c r="W1879" i="5"/>
  <c r="V1879" i="5"/>
  <c r="U1879" i="5"/>
  <c r="T1879" i="5"/>
  <c r="AA1878" i="5"/>
  <c r="Z1878" i="5"/>
  <c r="Y1878" i="5"/>
  <c r="X1878" i="5"/>
  <c r="W1878" i="5"/>
  <c r="V1878" i="5"/>
  <c r="U1878" i="5"/>
  <c r="T1878" i="5"/>
  <c r="AA1877" i="5"/>
  <c r="Z1877" i="5"/>
  <c r="Y1877" i="5"/>
  <c r="X1877" i="5"/>
  <c r="W1877" i="5"/>
  <c r="V1877" i="5"/>
  <c r="U1877" i="5"/>
  <c r="T1877" i="5"/>
  <c r="AA1876" i="5"/>
  <c r="Z1876" i="5"/>
  <c r="Y1876" i="5"/>
  <c r="X1876" i="5"/>
  <c r="W1876" i="5"/>
  <c r="V1876" i="5"/>
  <c r="U1876" i="5"/>
  <c r="T1876" i="5"/>
  <c r="AA1875" i="5"/>
  <c r="Z1875" i="5"/>
  <c r="Y1875" i="5"/>
  <c r="X1875" i="5"/>
  <c r="W1875" i="5"/>
  <c r="V1875" i="5"/>
  <c r="U1875" i="5"/>
  <c r="T1875" i="5"/>
  <c r="AA1874" i="5"/>
  <c r="Z1874" i="5"/>
  <c r="Y1874" i="5"/>
  <c r="X1874" i="5"/>
  <c r="W1874" i="5"/>
  <c r="V1874" i="5"/>
  <c r="U1874" i="5"/>
  <c r="T1874" i="5"/>
  <c r="AA1873" i="5"/>
  <c r="Z1873" i="5"/>
  <c r="Y1873" i="5"/>
  <c r="X1873" i="5"/>
  <c r="W1873" i="5"/>
  <c r="V1873" i="5"/>
  <c r="U1873" i="5"/>
  <c r="T1873" i="5"/>
  <c r="AA1872" i="5"/>
  <c r="Z1872" i="5"/>
  <c r="Y1872" i="5"/>
  <c r="X1872" i="5"/>
  <c r="W1872" i="5"/>
  <c r="V1872" i="5"/>
  <c r="U1872" i="5"/>
  <c r="T1872" i="5"/>
  <c r="AA1871" i="5"/>
  <c r="Z1871" i="5"/>
  <c r="Y1871" i="5"/>
  <c r="X1871" i="5"/>
  <c r="W1871" i="5"/>
  <c r="V1871" i="5"/>
  <c r="U1871" i="5"/>
  <c r="T1871" i="5"/>
  <c r="AA1870" i="5"/>
  <c r="Z1870" i="5"/>
  <c r="Y1870" i="5"/>
  <c r="X1870" i="5"/>
  <c r="W1870" i="5"/>
  <c r="V1870" i="5"/>
  <c r="U1870" i="5"/>
  <c r="T1870" i="5"/>
  <c r="AA1869" i="5"/>
  <c r="Z1869" i="5"/>
  <c r="Y1869" i="5"/>
  <c r="X1869" i="5"/>
  <c r="W1869" i="5"/>
  <c r="V1869" i="5"/>
  <c r="U1869" i="5"/>
  <c r="T1869" i="5"/>
  <c r="AA1868" i="5"/>
  <c r="Z1868" i="5"/>
  <c r="Y1868" i="5"/>
  <c r="X1868" i="5"/>
  <c r="W1868" i="5"/>
  <c r="V1868" i="5"/>
  <c r="U1868" i="5"/>
  <c r="T1868" i="5"/>
  <c r="AA1867" i="5"/>
  <c r="Z1867" i="5"/>
  <c r="Y1867" i="5"/>
  <c r="X1867" i="5"/>
  <c r="W1867" i="5"/>
  <c r="V1867" i="5"/>
  <c r="U1867" i="5"/>
  <c r="T1867" i="5"/>
  <c r="AA1866" i="5"/>
  <c r="Z1866" i="5"/>
  <c r="Y1866" i="5"/>
  <c r="X1866" i="5"/>
  <c r="W1866" i="5"/>
  <c r="V1866" i="5"/>
  <c r="U1866" i="5"/>
  <c r="T1866" i="5"/>
  <c r="AA1865" i="5"/>
  <c r="Z1865" i="5"/>
  <c r="Y1865" i="5"/>
  <c r="X1865" i="5"/>
  <c r="W1865" i="5"/>
  <c r="V1865" i="5"/>
  <c r="U1865" i="5"/>
  <c r="T1865" i="5"/>
  <c r="AA1864" i="5"/>
  <c r="Z1864" i="5"/>
  <c r="Y1864" i="5"/>
  <c r="X1864" i="5"/>
  <c r="W1864" i="5"/>
  <c r="V1864" i="5"/>
  <c r="U1864" i="5"/>
  <c r="T1864" i="5"/>
  <c r="AA1863" i="5"/>
  <c r="Z1863" i="5"/>
  <c r="Y1863" i="5"/>
  <c r="X1863" i="5"/>
  <c r="W1863" i="5"/>
  <c r="V1863" i="5"/>
  <c r="U1863" i="5"/>
  <c r="T1863" i="5"/>
  <c r="AA1862" i="5"/>
  <c r="Z1862" i="5"/>
  <c r="Y1862" i="5"/>
  <c r="X1862" i="5"/>
  <c r="W1862" i="5"/>
  <c r="V1862" i="5"/>
  <c r="U1862" i="5"/>
  <c r="T1862" i="5"/>
  <c r="AA1861" i="5"/>
  <c r="Z1861" i="5"/>
  <c r="Y1861" i="5"/>
  <c r="X1861" i="5"/>
  <c r="W1861" i="5"/>
  <c r="V1861" i="5"/>
  <c r="U1861" i="5"/>
  <c r="T1861" i="5"/>
  <c r="AA1860" i="5"/>
  <c r="Z1860" i="5"/>
  <c r="Y1860" i="5"/>
  <c r="X1860" i="5"/>
  <c r="W1860" i="5"/>
  <c r="V1860" i="5"/>
  <c r="U1860" i="5"/>
  <c r="T1860" i="5"/>
  <c r="AA1859" i="5"/>
  <c r="Z1859" i="5"/>
  <c r="Y1859" i="5"/>
  <c r="X1859" i="5"/>
  <c r="W1859" i="5"/>
  <c r="V1859" i="5"/>
  <c r="U1859" i="5"/>
  <c r="T1859" i="5"/>
  <c r="AA1858" i="5"/>
  <c r="Z1858" i="5"/>
  <c r="Y1858" i="5"/>
  <c r="X1858" i="5"/>
  <c r="W1858" i="5"/>
  <c r="V1858" i="5"/>
  <c r="U1858" i="5"/>
  <c r="T1858" i="5"/>
  <c r="AA1857" i="5"/>
  <c r="Z1857" i="5"/>
  <c r="Y1857" i="5"/>
  <c r="X1857" i="5"/>
  <c r="W1857" i="5"/>
  <c r="V1857" i="5"/>
  <c r="U1857" i="5"/>
  <c r="T1857" i="5"/>
  <c r="AA1856" i="5"/>
  <c r="Z1856" i="5"/>
  <c r="Y1856" i="5"/>
  <c r="X1856" i="5"/>
  <c r="W1856" i="5"/>
  <c r="V1856" i="5"/>
  <c r="U1856" i="5"/>
  <c r="T1856" i="5"/>
  <c r="AA1855" i="5"/>
  <c r="Z1855" i="5"/>
  <c r="Y1855" i="5"/>
  <c r="X1855" i="5"/>
  <c r="W1855" i="5"/>
  <c r="V1855" i="5"/>
  <c r="U1855" i="5"/>
  <c r="T1855" i="5"/>
  <c r="AA1854" i="5"/>
  <c r="Z1854" i="5"/>
  <c r="Y1854" i="5"/>
  <c r="X1854" i="5"/>
  <c r="W1854" i="5"/>
  <c r="V1854" i="5"/>
  <c r="U1854" i="5"/>
  <c r="T1854" i="5"/>
  <c r="AA1853" i="5"/>
  <c r="Z1853" i="5"/>
  <c r="Y1853" i="5"/>
  <c r="X1853" i="5"/>
  <c r="W1853" i="5"/>
  <c r="V1853" i="5"/>
  <c r="U1853" i="5"/>
  <c r="T1853" i="5"/>
  <c r="AA1852" i="5"/>
  <c r="Z1852" i="5"/>
  <c r="Y1852" i="5"/>
  <c r="X1852" i="5"/>
  <c r="W1852" i="5"/>
  <c r="V1852" i="5"/>
  <c r="U1852" i="5"/>
  <c r="T1852" i="5"/>
  <c r="AA1851" i="5"/>
  <c r="Z1851" i="5"/>
  <c r="Y1851" i="5"/>
  <c r="X1851" i="5"/>
  <c r="W1851" i="5"/>
  <c r="V1851" i="5"/>
  <c r="U1851" i="5"/>
  <c r="T1851" i="5"/>
  <c r="AA1850" i="5"/>
  <c r="Z1850" i="5"/>
  <c r="Y1850" i="5"/>
  <c r="X1850" i="5"/>
  <c r="W1850" i="5"/>
  <c r="V1850" i="5"/>
  <c r="U1850" i="5"/>
  <c r="T1850" i="5"/>
  <c r="AA1849" i="5"/>
  <c r="Z1849" i="5"/>
  <c r="Y1849" i="5"/>
  <c r="X1849" i="5"/>
  <c r="W1849" i="5"/>
  <c r="V1849" i="5"/>
  <c r="U1849" i="5"/>
  <c r="T1849" i="5"/>
  <c r="AA1848" i="5"/>
  <c r="Z1848" i="5"/>
  <c r="Y1848" i="5"/>
  <c r="X1848" i="5"/>
  <c r="W1848" i="5"/>
  <c r="V1848" i="5"/>
  <c r="U1848" i="5"/>
  <c r="T1848" i="5"/>
  <c r="AA1847" i="5"/>
  <c r="Z1847" i="5"/>
  <c r="Y1847" i="5"/>
  <c r="X1847" i="5"/>
  <c r="W1847" i="5"/>
  <c r="V1847" i="5"/>
  <c r="U1847" i="5"/>
  <c r="T1847" i="5"/>
  <c r="AA1846" i="5"/>
  <c r="Z1846" i="5"/>
  <c r="Y1846" i="5"/>
  <c r="X1846" i="5"/>
  <c r="W1846" i="5"/>
  <c r="V1846" i="5"/>
  <c r="U1846" i="5"/>
  <c r="T1846" i="5"/>
  <c r="AA1845" i="5"/>
  <c r="Z1845" i="5"/>
  <c r="Y1845" i="5"/>
  <c r="X1845" i="5"/>
  <c r="W1845" i="5"/>
  <c r="V1845" i="5"/>
  <c r="U1845" i="5"/>
  <c r="T1845" i="5"/>
  <c r="AA1844" i="5"/>
  <c r="Z1844" i="5"/>
  <c r="Y1844" i="5"/>
  <c r="X1844" i="5"/>
  <c r="W1844" i="5"/>
  <c r="V1844" i="5"/>
  <c r="U1844" i="5"/>
  <c r="T1844" i="5"/>
  <c r="AA1843" i="5"/>
  <c r="Z1843" i="5"/>
  <c r="Y1843" i="5"/>
  <c r="X1843" i="5"/>
  <c r="W1843" i="5"/>
  <c r="V1843" i="5"/>
  <c r="U1843" i="5"/>
  <c r="T1843" i="5"/>
  <c r="AA1842" i="5"/>
  <c r="Z1842" i="5"/>
  <c r="Y1842" i="5"/>
  <c r="X1842" i="5"/>
  <c r="W1842" i="5"/>
  <c r="V1842" i="5"/>
  <c r="U1842" i="5"/>
  <c r="T1842" i="5"/>
  <c r="AA1841" i="5"/>
  <c r="Z1841" i="5"/>
  <c r="Y1841" i="5"/>
  <c r="X1841" i="5"/>
  <c r="W1841" i="5"/>
  <c r="V1841" i="5"/>
  <c r="U1841" i="5"/>
  <c r="T1841" i="5"/>
  <c r="AA1840" i="5"/>
  <c r="Z1840" i="5"/>
  <c r="Y1840" i="5"/>
  <c r="X1840" i="5"/>
  <c r="W1840" i="5"/>
  <c r="V1840" i="5"/>
  <c r="U1840" i="5"/>
  <c r="T1840" i="5"/>
  <c r="AA1839" i="5"/>
  <c r="Z1839" i="5"/>
  <c r="Y1839" i="5"/>
  <c r="X1839" i="5"/>
  <c r="W1839" i="5"/>
  <c r="V1839" i="5"/>
  <c r="U1839" i="5"/>
  <c r="T1839" i="5"/>
  <c r="AA1838" i="5"/>
  <c r="Z1838" i="5"/>
  <c r="Y1838" i="5"/>
  <c r="X1838" i="5"/>
  <c r="W1838" i="5"/>
  <c r="V1838" i="5"/>
  <c r="U1838" i="5"/>
  <c r="T1838" i="5"/>
  <c r="AA1837" i="5"/>
  <c r="Z1837" i="5"/>
  <c r="Y1837" i="5"/>
  <c r="X1837" i="5"/>
  <c r="W1837" i="5"/>
  <c r="V1837" i="5"/>
  <c r="U1837" i="5"/>
  <c r="T1837" i="5"/>
  <c r="AA1836" i="5"/>
  <c r="Z1836" i="5"/>
  <c r="Y1836" i="5"/>
  <c r="X1836" i="5"/>
  <c r="W1836" i="5"/>
  <c r="V1836" i="5"/>
  <c r="U1836" i="5"/>
  <c r="T1836" i="5"/>
  <c r="AA1835" i="5"/>
  <c r="Z1835" i="5"/>
  <c r="Y1835" i="5"/>
  <c r="X1835" i="5"/>
  <c r="W1835" i="5"/>
  <c r="V1835" i="5"/>
  <c r="U1835" i="5"/>
  <c r="T1835" i="5"/>
  <c r="AA1834" i="5"/>
  <c r="Z1834" i="5"/>
  <c r="Y1834" i="5"/>
  <c r="X1834" i="5"/>
  <c r="W1834" i="5"/>
  <c r="V1834" i="5"/>
  <c r="U1834" i="5"/>
  <c r="T1834" i="5"/>
  <c r="AA1833" i="5"/>
  <c r="Z1833" i="5"/>
  <c r="Y1833" i="5"/>
  <c r="X1833" i="5"/>
  <c r="W1833" i="5"/>
  <c r="V1833" i="5"/>
  <c r="U1833" i="5"/>
  <c r="T1833" i="5"/>
  <c r="AA1832" i="5"/>
  <c r="Z1832" i="5"/>
  <c r="Y1832" i="5"/>
  <c r="X1832" i="5"/>
  <c r="W1832" i="5"/>
  <c r="V1832" i="5"/>
  <c r="U1832" i="5"/>
  <c r="T1832" i="5"/>
  <c r="AA1831" i="5"/>
  <c r="Z1831" i="5"/>
  <c r="Y1831" i="5"/>
  <c r="X1831" i="5"/>
  <c r="W1831" i="5"/>
  <c r="V1831" i="5"/>
  <c r="U1831" i="5"/>
  <c r="T1831" i="5"/>
  <c r="AA1830" i="5"/>
  <c r="Z1830" i="5"/>
  <c r="Y1830" i="5"/>
  <c r="X1830" i="5"/>
  <c r="W1830" i="5"/>
  <c r="V1830" i="5"/>
  <c r="U1830" i="5"/>
  <c r="T1830" i="5"/>
  <c r="AA1829" i="5"/>
  <c r="Z1829" i="5"/>
  <c r="Y1829" i="5"/>
  <c r="X1829" i="5"/>
  <c r="W1829" i="5"/>
  <c r="V1829" i="5"/>
  <c r="U1829" i="5"/>
  <c r="T1829" i="5"/>
  <c r="AA1828" i="5"/>
  <c r="Z1828" i="5"/>
  <c r="Y1828" i="5"/>
  <c r="X1828" i="5"/>
  <c r="W1828" i="5"/>
  <c r="V1828" i="5"/>
  <c r="U1828" i="5"/>
  <c r="T1828" i="5"/>
  <c r="AA1827" i="5"/>
  <c r="Z1827" i="5"/>
  <c r="Y1827" i="5"/>
  <c r="X1827" i="5"/>
  <c r="W1827" i="5"/>
  <c r="V1827" i="5"/>
  <c r="U1827" i="5"/>
  <c r="T1827" i="5"/>
  <c r="AA1826" i="5"/>
  <c r="Z1826" i="5"/>
  <c r="Y1826" i="5"/>
  <c r="X1826" i="5"/>
  <c r="W1826" i="5"/>
  <c r="V1826" i="5"/>
  <c r="U1826" i="5"/>
  <c r="T1826" i="5"/>
  <c r="AA1825" i="5"/>
  <c r="Z1825" i="5"/>
  <c r="Y1825" i="5"/>
  <c r="X1825" i="5"/>
  <c r="W1825" i="5"/>
  <c r="V1825" i="5"/>
  <c r="U1825" i="5"/>
  <c r="T1825" i="5"/>
  <c r="AA1824" i="5"/>
  <c r="Z1824" i="5"/>
  <c r="Y1824" i="5"/>
  <c r="X1824" i="5"/>
  <c r="W1824" i="5"/>
  <c r="V1824" i="5"/>
  <c r="U1824" i="5"/>
  <c r="T1824" i="5"/>
  <c r="AA1823" i="5"/>
  <c r="Z1823" i="5"/>
  <c r="Y1823" i="5"/>
  <c r="X1823" i="5"/>
  <c r="W1823" i="5"/>
  <c r="V1823" i="5"/>
  <c r="U1823" i="5"/>
  <c r="T1823" i="5"/>
  <c r="AA1822" i="5"/>
  <c r="Z1822" i="5"/>
  <c r="Y1822" i="5"/>
  <c r="X1822" i="5"/>
  <c r="W1822" i="5"/>
  <c r="V1822" i="5"/>
  <c r="U1822" i="5"/>
  <c r="T1822" i="5"/>
  <c r="AA1821" i="5"/>
  <c r="Z1821" i="5"/>
  <c r="Y1821" i="5"/>
  <c r="X1821" i="5"/>
  <c r="W1821" i="5"/>
  <c r="V1821" i="5"/>
  <c r="U1821" i="5"/>
  <c r="T1821" i="5"/>
  <c r="AA1820" i="5"/>
  <c r="Z1820" i="5"/>
  <c r="Y1820" i="5"/>
  <c r="X1820" i="5"/>
  <c r="W1820" i="5"/>
  <c r="V1820" i="5"/>
  <c r="U1820" i="5"/>
  <c r="T1820" i="5"/>
  <c r="AA1819" i="5"/>
  <c r="Z1819" i="5"/>
  <c r="Y1819" i="5"/>
  <c r="X1819" i="5"/>
  <c r="W1819" i="5"/>
  <c r="V1819" i="5"/>
  <c r="U1819" i="5"/>
  <c r="T1819" i="5"/>
  <c r="AA1818" i="5"/>
  <c r="Z1818" i="5"/>
  <c r="Y1818" i="5"/>
  <c r="X1818" i="5"/>
  <c r="W1818" i="5"/>
  <c r="V1818" i="5"/>
  <c r="U1818" i="5"/>
  <c r="T1818" i="5"/>
  <c r="AA1817" i="5"/>
  <c r="Z1817" i="5"/>
  <c r="Y1817" i="5"/>
  <c r="X1817" i="5"/>
  <c r="W1817" i="5"/>
  <c r="V1817" i="5"/>
  <c r="U1817" i="5"/>
  <c r="T1817" i="5"/>
  <c r="AA1816" i="5"/>
  <c r="Z1816" i="5"/>
  <c r="Y1816" i="5"/>
  <c r="X1816" i="5"/>
  <c r="W1816" i="5"/>
  <c r="V1816" i="5"/>
  <c r="U1816" i="5"/>
  <c r="T1816" i="5"/>
  <c r="AA1815" i="5"/>
  <c r="Z1815" i="5"/>
  <c r="Y1815" i="5"/>
  <c r="X1815" i="5"/>
  <c r="W1815" i="5"/>
  <c r="V1815" i="5"/>
  <c r="U1815" i="5"/>
  <c r="T1815" i="5"/>
  <c r="AA1814" i="5"/>
  <c r="Z1814" i="5"/>
  <c r="Y1814" i="5"/>
  <c r="X1814" i="5"/>
  <c r="W1814" i="5"/>
  <c r="V1814" i="5"/>
  <c r="U1814" i="5"/>
  <c r="T1814" i="5"/>
  <c r="AA1813" i="5"/>
  <c r="Z1813" i="5"/>
  <c r="Y1813" i="5"/>
  <c r="X1813" i="5"/>
  <c r="W1813" i="5"/>
  <c r="V1813" i="5"/>
  <c r="U1813" i="5"/>
  <c r="T1813" i="5"/>
  <c r="AA1812" i="5"/>
  <c r="Z1812" i="5"/>
  <c r="Y1812" i="5"/>
  <c r="X1812" i="5"/>
  <c r="W1812" i="5"/>
  <c r="V1812" i="5"/>
  <c r="U1812" i="5"/>
  <c r="T1812" i="5"/>
  <c r="AA1811" i="5"/>
  <c r="Z1811" i="5"/>
  <c r="Y1811" i="5"/>
  <c r="X1811" i="5"/>
  <c r="W1811" i="5"/>
  <c r="V1811" i="5"/>
  <c r="U1811" i="5"/>
  <c r="T1811" i="5"/>
  <c r="AA1810" i="5"/>
  <c r="Z1810" i="5"/>
  <c r="Y1810" i="5"/>
  <c r="X1810" i="5"/>
  <c r="W1810" i="5"/>
  <c r="V1810" i="5"/>
  <c r="U1810" i="5"/>
  <c r="T1810" i="5"/>
  <c r="AA1809" i="5"/>
  <c r="Z1809" i="5"/>
  <c r="Y1809" i="5"/>
  <c r="X1809" i="5"/>
  <c r="W1809" i="5"/>
  <c r="V1809" i="5"/>
  <c r="U1809" i="5"/>
  <c r="T1809" i="5"/>
  <c r="AA1808" i="5"/>
  <c r="Z1808" i="5"/>
  <c r="Y1808" i="5"/>
  <c r="X1808" i="5"/>
  <c r="W1808" i="5"/>
  <c r="V1808" i="5"/>
  <c r="U1808" i="5"/>
  <c r="T1808" i="5"/>
  <c r="AA1807" i="5"/>
  <c r="Z1807" i="5"/>
  <c r="Y1807" i="5"/>
  <c r="X1807" i="5"/>
  <c r="W1807" i="5"/>
  <c r="V1807" i="5"/>
  <c r="U1807" i="5"/>
  <c r="T1807" i="5"/>
  <c r="AA1806" i="5"/>
  <c r="Z1806" i="5"/>
  <c r="Y1806" i="5"/>
  <c r="X1806" i="5"/>
  <c r="W1806" i="5"/>
  <c r="V1806" i="5"/>
  <c r="U1806" i="5"/>
  <c r="T1806" i="5"/>
  <c r="AA1805" i="5"/>
  <c r="Z1805" i="5"/>
  <c r="Y1805" i="5"/>
  <c r="X1805" i="5"/>
  <c r="W1805" i="5"/>
  <c r="V1805" i="5"/>
  <c r="U1805" i="5"/>
  <c r="T1805" i="5"/>
  <c r="AA1804" i="5"/>
  <c r="Z1804" i="5"/>
  <c r="Y1804" i="5"/>
  <c r="X1804" i="5"/>
  <c r="W1804" i="5"/>
  <c r="V1804" i="5"/>
  <c r="U1804" i="5"/>
  <c r="T1804" i="5"/>
  <c r="AA1803" i="5"/>
  <c r="Z1803" i="5"/>
  <c r="Y1803" i="5"/>
  <c r="X1803" i="5"/>
  <c r="W1803" i="5"/>
  <c r="V1803" i="5"/>
  <c r="U1803" i="5"/>
  <c r="T1803" i="5"/>
  <c r="AA1802" i="5"/>
  <c r="Z1802" i="5"/>
  <c r="Y1802" i="5"/>
  <c r="X1802" i="5"/>
  <c r="W1802" i="5"/>
  <c r="V1802" i="5"/>
  <c r="U1802" i="5"/>
  <c r="T1802" i="5"/>
  <c r="AA1801" i="5"/>
  <c r="Z1801" i="5"/>
  <c r="Y1801" i="5"/>
  <c r="X1801" i="5"/>
  <c r="W1801" i="5"/>
  <c r="V1801" i="5"/>
  <c r="U1801" i="5"/>
  <c r="T1801" i="5"/>
  <c r="AA1800" i="5"/>
  <c r="Z1800" i="5"/>
  <c r="Y1800" i="5"/>
  <c r="X1800" i="5"/>
  <c r="W1800" i="5"/>
  <c r="V1800" i="5"/>
  <c r="U1800" i="5"/>
  <c r="T1800" i="5"/>
  <c r="AA1799" i="5"/>
  <c r="Z1799" i="5"/>
  <c r="Y1799" i="5"/>
  <c r="X1799" i="5"/>
  <c r="W1799" i="5"/>
  <c r="V1799" i="5"/>
  <c r="U1799" i="5"/>
  <c r="T1799" i="5"/>
  <c r="AA1798" i="5"/>
  <c r="Z1798" i="5"/>
  <c r="Y1798" i="5"/>
  <c r="X1798" i="5"/>
  <c r="W1798" i="5"/>
  <c r="V1798" i="5"/>
  <c r="U1798" i="5"/>
  <c r="T1798" i="5"/>
  <c r="AA1797" i="5"/>
  <c r="Z1797" i="5"/>
  <c r="Y1797" i="5"/>
  <c r="X1797" i="5"/>
  <c r="W1797" i="5"/>
  <c r="V1797" i="5"/>
  <c r="U1797" i="5"/>
  <c r="T1797" i="5"/>
  <c r="AA1796" i="5"/>
  <c r="Z1796" i="5"/>
  <c r="Y1796" i="5"/>
  <c r="X1796" i="5"/>
  <c r="W1796" i="5"/>
  <c r="V1796" i="5"/>
  <c r="U1796" i="5"/>
  <c r="T1796" i="5"/>
  <c r="AA1795" i="5"/>
  <c r="Z1795" i="5"/>
  <c r="Y1795" i="5"/>
  <c r="X1795" i="5"/>
  <c r="W1795" i="5"/>
  <c r="V1795" i="5"/>
  <c r="U1795" i="5"/>
  <c r="T1795" i="5"/>
  <c r="AA1794" i="5"/>
  <c r="Z1794" i="5"/>
  <c r="Y1794" i="5"/>
  <c r="X1794" i="5"/>
  <c r="W1794" i="5"/>
  <c r="V1794" i="5"/>
  <c r="U1794" i="5"/>
  <c r="T1794" i="5"/>
  <c r="AA1793" i="5"/>
  <c r="Z1793" i="5"/>
  <c r="Y1793" i="5"/>
  <c r="X1793" i="5"/>
  <c r="W1793" i="5"/>
  <c r="V1793" i="5"/>
  <c r="U1793" i="5"/>
  <c r="T1793" i="5"/>
  <c r="AA1792" i="5"/>
  <c r="Z1792" i="5"/>
  <c r="Y1792" i="5"/>
  <c r="X1792" i="5"/>
  <c r="W1792" i="5"/>
  <c r="V1792" i="5"/>
  <c r="U1792" i="5"/>
  <c r="T1792" i="5"/>
  <c r="AA1791" i="5"/>
  <c r="Z1791" i="5"/>
  <c r="Y1791" i="5"/>
  <c r="X1791" i="5"/>
  <c r="W1791" i="5"/>
  <c r="V1791" i="5"/>
  <c r="U1791" i="5"/>
  <c r="T1791" i="5"/>
  <c r="AA1790" i="5"/>
  <c r="Z1790" i="5"/>
  <c r="Y1790" i="5"/>
  <c r="X1790" i="5"/>
  <c r="W1790" i="5"/>
  <c r="V1790" i="5"/>
  <c r="U1790" i="5"/>
  <c r="T1790" i="5"/>
  <c r="AA1789" i="5"/>
  <c r="Z1789" i="5"/>
  <c r="Y1789" i="5"/>
  <c r="X1789" i="5"/>
  <c r="W1789" i="5"/>
  <c r="V1789" i="5"/>
  <c r="U1789" i="5"/>
  <c r="T1789" i="5"/>
  <c r="AA1788" i="5"/>
  <c r="Z1788" i="5"/>
  <c r="Y1788" i="5"/>
  <c r="X1788" i="5"/>
  <c r="W1788" i="5"/>
  <c r="V1788" i="5"/>
  <c r="U1788" i="5"/>
  <c r="T1788" i="5"/>
  <c r="AA1787" i="5"/>
  <c r="Z1787" i="5"/>
  <c r="Y1787" i="5"/>
  <c r="X1787" i="5"/>
  <c r="W1787" i="5"/>
  <c r="V1787" i="5"/>
  <c r="U1787" i="5"/>
  <c r="T1787" i="5"/>
  <c r="AA1786" i="5"/>
  <c r="Z1786" i="5"/>
  <c r="Y1786" i="5"/>
  <c r="X1786" i="5"/>
  <c r="W1786" i="5"/>
  <c r="V1786" i="5"/>
  <c r="U1786" i="5"/>
  <c r="T1786" i="5"/>
  <c r="AA1785" i="5"/>
  <c r="Z1785" i="5"/>
  <c r="Y1785" i="5"/>
  <c r="X1785" i="5"/>
  <c r="W1785" i="5"/>
  <c r="V1785" i="5"/>
  <c r="U1785" i="5"/>
  <c r="T1785" i="5"/>
  <c r="AA1784" i="5"/>
  <c r="Z1784" i="5"/>
  <c r="Y1784" i="5"/>
  <c r="X1784" i="5"/>
  <c r="W1784" i="5"/>
  <c r="V1784" i="5"/>
  <c r="U1784" i="5"/>
  <c r="T1784" i="5"/>
  <c r="AA1783" i="5"/>
  <c r="Z1783" i="5"/>
  <c r="Y1783" i="5"/>
  <c r="X1783" i="5"/>
  <c r="W1783" i="5"/>
  <c r="V1783" i="5"/>
  <c r="U1783" i="5"/>
  <c r="T1783" i="5"/>
  <c r="AA1782" i="5"/>
  <c r="Z1782" i="5"/>
  <c r="Y1782" i="5"/>
  <c r="X1782" i="5"/>
  <c r="W1782" i="5"/>
  <c r="V1782" i="5"/>
  <c r="U1782" i="5"/>
  <c r="T1782" i="5"/>
  <c r="AA1781" i="5"/>
  <c r="Z1781" i="5"/>
  <c r="Y1781" i="5"/>
  <c r="X1781" i="5"/>
  <c r="W1781" i="5"/>
  <c r="V1781" i="5"/>
  <c r="U1781" i="5"/>
  <c r="T1781" i="5"/>
  <c r="AA1780" i="5"/>
  <c r="Z1780" i="5"/>
  <c r="Y1780" i="5"/>
  <c r="X1780" i="5"/>
  <c r="W1780" i="5"/>
  <c r="V1780" i="5"/>
  <c r="U1780" i="5"/>
  <c r="T1780" i="5"/>
  <c r="AA1779" i="5"/>
  <c r="Z1779" i="5"/>
  <c r="Y1779" i="5"/>
  <c r="X1779" i="5"/>
  <c r="W1779" i="5"/>
  <c r="V1779" i="5"/>
  <c r="U1779" i="5"/>
  <c r="T1779" i="5"/>
  <c r="AA1778" i="5"/>
  <c r="Z1778" i="5"/>
  <c r="Y1778" i="5"/>
  <c r="X1778" i="5"/>
  <c r="W1778" i="5"/>
  <c r="V1778" i="5"/>
  <c r="U1778" i="5"/>
  <c r="T1778" i="5"/>
  <c r="AA1777" i="5"/>
  <c r="Z1777" i="5"/>
  <c r="Y1777" i="5"/>
  <c r="X1777" i="5"/>
  <c r="W1777" i="5"/>
  <c r="V1777" i="5"/>
  <c r="U1777" i="5"/>
  <c r="T1777" i="5"/>
  <c r="AA1776" i="5"/>
  <c r="Z1776" i="5"/>
  <c r="Y1776" i="5"/>
  <c r="X1776" i="5"/>
  <c r="W1776" i="5"/>
  <c r="V1776" i="5"/>
  <c r="U1776" i="5"/>
  <c r="T1776" i="5"/>
  <c r="AA1775" i="5"/>
  <c r="Z1775" i="5"/>
  <c r="Y1775" i="5"/>
  <c r="X1775" i="5"/>
  <c r="W1775" i="5"/>
  <c r="V1775" i="5"/>
  <c r="U1775" i="5"/>
  <c r="T1775" i="5"/>
  <c r="AA1774" i="5"/>
  <c r="Z1774" i="5"/>
  <c r="Y1774" i="5"/>
  <c r="X1774" i="5"/>
  <c r="W1774" i="5"/>
  <c r="V1774" i="5"/>
  <c r="U1774" i="5"/>
  <c r="T1774" i="5"/>
  <c r="AA1773" i="5"/>
  <c r="Z1773" i="5"/>
  <c r="Y1773" i="5"/>
  <c r="X1773" i="5"/>
  <c r="W1773" i="5"/>
  <c r="V1773" i="5"/>
  <c r="U1773" i="5"/>
  <c r="T1773" i="5"/>
  <c r="AA1772" i="5"/>
  <c r="Z1772" i="5"/>
  <c r="Y1772" i="5"/>
  <c r="X1772" i="5"/>
  <c r="W1772" i="5"/>
  <c r="V1772" i="5"/>
  <c r="U1772" i="5"/>
  <c r="T1772" i="5"/>
  <c r="AA1771" i="5"/>
  <c r="Z1771" i="5"/>
  <c r="Y1771" i="5"/>
  <c r="X1771" i="5"/>
  <c r="W1771" i="5"/>
  <c r="V1771" i="5"/>
  <c r="U1771" i="5"/>
  <c r="T1771" i="5"/>
  <c r="AA1770" i="5"/>
  <c r="Z1770" i="5"/>
  <c r="Y1770" i="5"/>
  <c r="X1770" i="5"/>
  <c r="W1770" i="5"/>
  <c r="V1770" i="5"/>
  <c r="U1770" i="5"/>
  <c r="T1770" i="5"/>
  <c r="AA1769" i="5"/>
  <c r="Z1769" i="5"/>
  <c r="Y1769" i="5"/>
  <c r="X1769" i="5"/>
  <c r="W1769" i="5"/>
  <c r="V1769" i="5"/>
  <c r="U1769" i="5"/>
  <c r="T1769" i="5"/>
  <c r="AA1768" i="5"/>
  <c r="Z1768" i="5"/>
  <c r="Y1768" i="5"/>
  <c r="X1768" i="5"/>
  <c r="W1768" i="5"/>
  <c r="V1768" i="5"/>
  <c r="U1768" i="5"/>
  <c r="T1768" i="5"/>
  <c r="AA1767" i="5"/>
  <c r="Z1767" i="5"/>
  <c r="Y1767" i="5"/>
  <c r="X1767" i="5"/>
  <c r="W1767" i="5"/>
  <c r="V1767" i="5"/>
  <c r="U1767" i="5"/>
  <c r="T1767" i="5"/>
  <c r="AA1766" i="5"/>
  <c r="Z1766" i="5"/>
  <c r="Y1766" i="5"/>
  <c r="X1766" i="5"/>
  <c r="W1766" i="5"/>
  <c r="V1766" i="5"/>
  <c r="U1766" i="5"/>
  <c r="T1766" i="5"/>
  <c r="AA1765" i="5"/>
  <c r="Z1765" i="5"/>
  <c r="Y1765" i="5"/>
  <c r="X1765" i="5"/>
  <c r="W1765" i="5"/>
  <c r="V1765" i="5"/>
  <c r="U1765" i="5"/>
  <c r="T1765" i="5"/>
  <c r="AA1764" i="5"/>
  <c r="Z1764" i="5"/>
  <c r="Y1764" i="5"/>
  <c r="X1764" i="5"/>
  <c r="W1764" i="5"/>
  <c r="V1764" i="5"/>
  <c r="U1764" i="5"/>
  <c r="T1764" i="5"/>
  <c r="AA1763" i="5"/>
  <c r="Z1763" i="5"/>
  <c r="Y1763" i="5"/>
  <c r="X1763" i="5"/>
  <c r="W1763" i="5"/>
  <c r="V1763" i="5"/>
  <c r="U1763" i="5"/>
  <c r="T1763" i="5"/>
  <c r="AA1762" i="5"/>
  <c r="Z1762" i="5"/>
  <c r="Y1762" i="5"/>
  <c r="X1762" i="5"/>
  <c r="W1762" i="5"/>
  <c r="V1762" i="5"/>
  <c r="U1762" i="5"/>
  <c r="T1762" i="5"/>
  <c r="AA1761" i="5"/>
  <c r="Z1761" i="5"/>
  <c r="Y1761" i="5"/>
  <c r="X1761" i="5"/>
  <c r="W1761" i="5"/>
  <c r="V1761" i="5"/>
  <c r="U1761" i="5"/>
  <c r="T1761" i="5"/>
  <c r="AA1760" i="5"/>
  <c r="Z1760" i="5"/>
  <c r="Y1760" i="5"/>
  <c r="X1760" i="5"/>
  <c r="W1760" i="5"/>
  <c r="V1760" i="5"/>
  <c r="U1760" i="5"/>
  <c r="T1760" i="5"/>
  <c r="AA1759" i="5"/>
  <c r="Z1759" i="5"/>
  <c r="Y1759" i="5"/>
  <c r="X1759" i="5"/>
  <c r="W1759" i="5"/>
  <c r="V1759" i="5"/>
  <c r="U1759" i="5"/>
  <c r="T1759" i="5"/>
  <c r="AA1758" i="5"/>
  <c r="Z1758" i="5"/>
  <c r="Y1758" i="5"/>
  <c r="X1758" i="5"/>
  <c r="W1758" i="5"/>
  <c r="V1758" i="5"/>
  <c r="U1758" i="5"/>
  <c r="T1758" i="5"/>
  <c r="AA1757" i="5"/>
  <c r="Z1757" i="5"/>
  <c r="Y1757" i="5"/>
  <c r="X1757" i="5"/>
  <c r="W1757" i="5"/>
  <c r="V1757" i="5"/>
  <c r="U1757" i="5"/>
  <c r="T1757" i="5"/>
  <c r="AA1756" i="5"/>
  <c r="Z1756" i="5"/>
  <c r="Y1756" i="5"/>
  <c r="X1756" i="5"/>
  <c r="W1756" i="5"/>
  <c r="V1756" i="5"/>
  <c r="U1756" i="5"/>
  <c r="T1756" i="5"/>
  <c r="AA1755" i="5"/>
  <c r="Z1755" i="5"/>
  <c r="Y1755" i="5"/>
  <c r="X1755" i="5"/>
  <c r="W1755" i="5"/>
  <c r="V1755" i="5"/>
  <c r="U1755" i="5"/>
  <c r="T1755" i="5"/>
  <c r="AA1754" i="5"/>
  <c r="Z1754" i="5"/>
  <c r="Y1754" i="5"/>
  <c r="X1754" i="5"/>
  <c r="W1754" i="5"/>
  <c r="V1754" i="5"/>
  <c r="U1754" i="5"/>
  <c r="T1754" i="5"/>
  <c r="AA1753" i="5"/>
  <c r="Z1753" i="5"/>
  <c r="Y1753" i="5"/>
  <c r="X1753" i="5"/>
  <c r="W1753" i="5"/>
  <c r="V1753" i="5"/>
  <c r="U1753" i="5"/>
  <c r="T1753" i="5"/>
  <c r="AA1752" i="5"/>
  <c r="Z1752" i="5"/>
  <c r="Y1752" i="5"/>
  <c r="X1752" i="5"/>
  <c r="W1752" i="5"/>
  <c r="V1752" i="5"/>
  <c r="U1752" i="5"/>
  <c r="T1752" i="5"/>
  <c r="AA1751" i="5"/>
  <c r="Z1751" i="5"/>
  <c r="Y1751" i="5"/>
  <c r="X1751" i="5"/>
  <c r="W1751" i="5"/>
  <c r="V1751" i="5"/>
  <c r="U1751" i="5"/>
  <c r="T1751" i="5"/>
  <c r="AA1750" i="5"/>
  <c r="Z1750" i="5"/>
  <c r="Y1750" i="5"/>
  <c r="X1750" i="5"/>
  <c r="W1750" i="5"/>
  <c r="V1750" i="5"/>
  <c r="U1750" i="5"/>
  <c r="T1750" i="5"/>
  <c r="AA1749" i="5"/>
  <c r="Z1749" i="5"/>
  <c r="Y1749" i="5"/>
  <c r="X1749" i="5"/>
  <c r="W1749" i="5"/>
  <c r="V1749" i="5"/>
  <c r="U1749" i="5"/>
  <c r="T1749" i="5"/>
  <c r="AA1748" i="5"/>
  <c r="Z1748" i="5"/>
  <c r="Y1748" i="5"/>
  <c r="X1748" i="5"/>
  <c r="W1748" i="5"/>
  <c r="V1748" i="5"/>
  <c r="U1748" i="5"/>
  <c r="T1748" i="5"/>
  <c r="AA1747" i="5"/>
  <c r="Z1747" i="5"/>
  <c r="Y1747" i="5"/>
  <c r="X1747" i="5"/>
  <c r="W1747" i="5"/>
  <c r="V1747" i="5"/>
  <c r="U1747" i="5"/>
  <c r="T1747" i="5"/>
  <c r="AA1746" i="5"/>
  <c r="Z1746" i="5"/>
  <c r="Y1746" i="5"/>
  <c r="X1746" i="5"/>
  <c r="W1746" i="5"/>
  <c r="V1746" i="5"/>
  <c r="U1746" i="5"/>
  <c r="T1746" i="5"/>
  <c r="AA1745" i="5"/>
  <c r="Z1745" i="5"/>
  <c r="Y1745" i="5"/>
  <c r="X1745" i="5"/>
  <c r="W1745" i="5"/>
  <c r="V1745" i="5"/>
  <c r="U1745" i="5"/>
  <c r="T1745" i="5"/>
  <c r="AA1744" i="5"/>
  <c r="Z1744" i="5"/>
  <c r="Y1744" i="5"/>
  <c r="X1744" i="5"/>
  <c r="W1744" i="5"/>
  <c r="V1744" i="5"/>
  <c r="U1744" i="5"/>
  <c r="T1744" i="5"/>
  <c r="AA1743" i="5"/>
  <c r="Z1743" i="5"/>
  <c r="Y1743" i="5"/>
  <c r="X1743" i="5"/>
  <c r="W1743" i="5"/>
  <c r="V1743" i="5"/>
  <c r="U1743" i="5"/>
  <c r="T1743" i="5"/>
  <c r="AA1742" i="5"/>
  <c r="Z1742" i="5"/>
  <c r="Y1742" i="5"/>
  <c r="X1742" i="5"/>
  <c r="W1742" i="5"/>
  <c r="V1742" i="5"/>
  <c r="U1742" i="5"/>
  <c r="T1742" i="5"/>
  <c r="AA1741" i="5"/>
  <c r="Z1741" i="5"/>
  <c r="Y1741" i="5"/>
  <c r="X1741" i="5"/>
  <c r="W1741" i="5"/>
  <c r="V1741" i="5"/>
  <c r="U1741" i="5"/>
  <c r="T1741" i="5"/>
  <c r="AA1740" i="5"/>
  <c r="Z1740" i="5"/>
  <c r="Y1740" i="5"/>
  <c r="X1740" i="5"/>
  <c r="W1740" i="5"/>
  <c r="V1740" i="5"/>
  <c r="U1740" i="5"/>
  <c r="T1740" i="5"/>
  <c r="AA1739" i="5"/>
  <c r="Z1739" i="5"/>
  <c r="Y1739" i="5"/>
  <c r="X1739" i="5"/>
  <c r="W1739" i="5"/>
  <c r="V1739" i="5"/>
  <c r="U1739" i="5"/>
  <c r="T1739" i="5"/>
  <c r="AA1738" i="5"/>
  <c r="Z1738" i="5"/>
  <c r="Y1738" i="5"/>
  <c r="X1738" i="5"/>
  <c r="W1738" i="5"/>
  <c r="V1738" i="5"/>
  <c r="U1738" i="5"/>
  <c r="T1738" i="5"/>
  <c r="AA1737" i="5"/>
  <c r="Z1737" i="5"/>
  <c r="Y1737" i="5"/>
  <c r="X1737" i="5"/>
  <c r="W1737" i="5"/>
  <c r="V1737" i="5"/>
  <c r="U1737" i="5"/>
  <c r="T1737" i="5"/>
  <c r="AA1736" i="5"/>
  <c r="Z1736" i="5"/>
  <c r="Y1736" i="5"/>
  <c r="X1736" i="5"/>
  <c r="W1736" i="5"/>
  <c r="V1736" i="5"/>
  <c r="U1736" i="5"/>
  <c r="T1736" i="5"/>
  <c r="AA1735" i="5"/>
  <c r="Z1735" i="5"/>
  <c r="Y1735" i="5"/>
  <c r="X1735" i="5"/>
  <c r="W1735" i="5"/>
  <c r="V1735" i="5"/>
  <c r="U1735" i="5"/>
  <c r="T1735" i="5"/>
  <c r="AA1734" i="5"/>
  <c r="Z1734" i="5"/>
  <c r="Y1734" i="5"/>
  <c r="X1734" i="5"/>
  <c r="W1734" i="5"/>
  <c r="V1734" i="5"/>
  <c r="U1734" i="5"/>
  <c r="T1734" i="5"/>
  <c r="AA1733" i="5"/>
  <c r="Z1733" i="5"/>
  <c r="Y1733" i="5"/>
  <c r="X1733" i="5"/>
  <c r="W1733" i="5"/>
  <c r="V1733" i="5"/>
  <c r="U1733" i="5"/>
  <c r="T1733" i="5"/>
  <c r="AA1732" i="5"/>
  <c r="Z1732" i="5"/>
  <c r="Y1732" i="5"/>
  <c r="X1732" i="5"/>
  <c r="W1732" i="5"/>
  <c r="V1732" i="5"/>
  <c r="U1732" i="5"/>
  <c r="T1732" i="5"/>
  <c r="AA1731" i="5"/>
  <c r="Z1731" i="5"/>
  <c r="Y1731" i="5"/>
  <c r="X1731" i="5"/>
  <c r="W1731" i="5"/>
  <c r="V1731" i="5"/>
  <c r="U1731" i="5"/>
  <c r="T1731" i="5"/>
  <c r="AA1730" i="5"/>
  <c r="Z1730" i="5"/>
  <c r="Y1730" i="5"/>
  <c r="X1730" i="5"/>
  <c r="W1730" i="5"/>
  <c r="V1730" i="5"/>
  <c r="U1730" i="5"/>
  <c r="T1730" i="5"/>
  <c r="AA1729" i="5"/>
  <c r="Z1729" i="5"/>
  <c r="Y1729" i="5"/>
  <c r="X1729" i="5"/>
  <c r="W1729" i="5"/>
  <c r="V1729" i="5"/>
  <c r="U1729" i="5"/>
  <c r="T1729" i="5"/>
  <c r="AA1728" i="5"/>
  <c r="Z1728" i="5"/>
  <c r="Y1728" i="5"/>
  <c r="X1728" i="5"/>
  <c r="W1728" i="5"/>
  <c r="V1728" i="5"/>
  <c r="U1728" i="5"/>
  <c r="T1728" i="5"/>
  <c r="AA1727" i="5"/>
  <c r="Z1727" i="5"/>
  <c r="Y1727" i="5"/>
  <c r="X1727" i="5"/>
  <c r="W1727" i="5"/>
  <c r="V1727" i="5"/>
  <c r="U1727" i="5"/>
  <c r="T1727" i="5"/>
  <c r="AA1726" i="5"/>
  <c r="Z1726" i="5"/>
  <c r="Y1726" i="5"/>
  <c r="X1726" i="5"/>
  <c r="W1726" i="5"/>
  <c r="V1726" i="5"/>
  <c r="U1726" i="5"/>
  <c r="T1726" i="5"/>
  <c r="AA1725" i="5"/>
  <c r="Z1725" i="5"/>
  <c r="Y1725" i="5"/>
  <c r="X1725" i="5"/>
  <c r="W1725" i="5"/>
  <c r="V1725" i="5"/>
  <c r="U1725" i="5"/>
  <c r="T1725" i="5"/>
  <c r="AA1724" i="5"/>
  <c r="Z1724" i="5"/>
  <c r="Y1724" i="5"/>
  <c r="X1724" i="5"/>
  <c r="W1724" i="5"/>
  <c r="V1724" i="5"/>
  <c r="U1724" i="5"/>
  <c r="T1724" i="5"/>
  <c r="AA1723" i="5"/>
  <c r="Z1723" i="5"/>
  <c r="Y1723" i="5"/>
  <c r="X1723" i="5"/>
  <c r="W1723" i="5"/>
  <c r="V1723" i="5"/>
  <c r="U1723" i="5"/>
  <c r="T1723" i="5"/>
  <c r="AA1722" i="5"/>
  <c r="Z1722" i="5"/>
  <c r="Y1722" i="5"/>
  <c r="X1722" i="5"/>
  <c r="W1722" i="5"/>
  <c r="V1722" i="5"/>
  <c r="U1722" i="5"/>
  <c r="T1722" i="5"/>
  <c r="AA1721" i="5"/>
  <c r="Z1721" i="5"/>
  <c r="Y1721" i="5"/>
  <c r="X1721" i="5"/>
  <c r="W1721" i="5"/>
  <c r="V1721" i="5"/>
  <c r="U1721" i="5"/>
  <c r="T1721" i="5"/>
  <c r="AA1720" i="5"/>
  <c r="Z1720" i="5"/>
  <c r="Y1720" i="5"/>
  <c r="X1720" i="5"/>
  <c r="W1720" i="5"/>
  <c r="V1720" i="5"/>
  <c r="U1720" i="5"/>
  <c r="T1720" i="5"/>
  <c r="AA1719" i="5"/>
  <c r="Z1719" i="5"/>
  <c r="Y1719" i="5"/>
  <c r="X1719" i="5"/>
  <c r="W1719" i="5"/>
  <c r="V1719" i="5"/>
  <c r="U1719" i="5"/>
  <c r="T1719" i="5"/>
  <c r="AA1718" i="5"/>
  <c r="Z1718" i="5"/>
  <c r="Y1718" i="5"/>
  <c r="X1718" i="5"/>
  <c r="W1718" i="5"/>
  <c r="V1718" i="5"/>
  <c r="U1718" i="5"/>
  <c r="T1718" i="5"/>
  <c r="AA1717" i="5"/>
  <c r="Z1717" i="5"/>
  <c r="Y1717" i="5"/>
  <c r="X1717" i="5"/>
  <c r="W1717" i="5"/>
  <c r="V1717" i="5"/>
  <c r="U1717" i="5"/>
  <c r="T1717" i="5"/>
  <c r="AA1716" i="5"/>
  <c r="Z1716" i="5"/>
  <c r="Y1716" i="5"/>
  <c r="X1716" i="5"/>
  <c r="W1716" i="5"/>
  <c r="V1716" i="5"/>
  <c r="U1716" i="5"/>
  <c r="T1716" i="5"/>
  <c r="AA1715" i="5"/>
  <c r="Z1715" i="5"/>
  <c r="Y1715" i="5"/>
  <c r="X1715" i="5"/>
  <c r="W1715" i="5"/>
  <c r="V1715" i="5"/>
  <c r="U1715" i="5"/>
  <c r="T1715" i="5"/>
  <c r="AA1714" i="5"/>
  <c r="Z1714" i="5"/>
  <c r="Y1714" i="5"/>
  <c r="X1714" i="5"/>
  <c r="W1714" i="5"/>
  <c r="V1714" i="5"/>
  <c r="U1714" i="5"/>
  <c r="T1714" i="5"/>
  <c r="AA1713" i="5"/>
  <c r="Z1713" i="5"/>
  <c r="Y1713" i="5"/>
  <c r="X1713" i="5"/>
  <c r="W1713" i="5"/>
  <c r="V1713" i="5"/>
  <c r="U1713" i="5"/>
  <c r="T1713" i="5"/>
  <c r="AA1712" i="5"/>
  <c r="Z1712" i="5"/>
  <c r="Y1712" i="5"/>
  <c r="X1712" i="5"/>
  <c r="W1712" i="5"/>
  <c r="V1712" i="5"/>
  <c r="U1712" i="5"/>
  <c r="T1712" i="5"/>
  <c r="AA1711" i="5"/>
  <c r="Z1711" i="5"/>
  <c r="Y1711" i="5"/>
  <c r="X1711" i="5"/>
  <c r="W1711" i="5"/>
  <c r="V1711" i="5"/>
  <c r="U1711" i="5"/>
  <c r="T1711" i="5"/>
  <c r="AA1710" i="5"/>
  <c r="Z1710" i="5"/>
  <c r="Y1710" i="5"/>
  <c r="X1710" i="5"/>
  <c r="W1710" i="5"/>
  <c r="V1710" i="5"/>
  <c r="U1710" i="5"/>
  <c r="T1710" i="5"/>
  <c r="AA1709" i="5"/>
  <c r="Z1709" i="5"/>
  <c r="Y1709" i="5"/>
  <c r="X1709" i="5"/>
  <c r="W1709" i="5"/>
  <c r="V1709" i="5"/>
  <c r="U1709" i="5"/>
  <c r="T1709" i="5"/>
  <c r="AA1708" i="5"/>
  <c r="Z1708" i="5"/>
  <c r="Y1708" i="5"/>
  <c r="X1708" i="5"/>
  <c r="W1708" i="5"/>
  <c r="V1708" i="5"/>
  <c r="U1708" i="5"/>
  <c r="T1708" i="5"/>
  <c r="AA1707" i="5"/>
  <c r="Z1707" i="5"/>
  <c r="Y1707" i="5"/>
  <c r="X1707" i="5"/>
  <c r="W1707" i="5"/>
  <c r="V1707" i="5"/>
  <c r="U1707" i="5"/>
  <c r="T1707" i="5"/>
  <c r="AA1706" i="5"/>
  <c r="Z1706" i="5"/>
  <c r="Y1706" i="5"/>
  <c r="X1706" i="5"/>
  <c r="W1706" i="5"/>
  <c r="V1706" i="5"/>
  <c r="U1706" i="5"/>
  <c r="T1706" i="5"/>
  <c r="AA1705" i="5"/>
  <c r="Z1705" i="5"/>
  <c r="Y1705" i="5"/>
  <c r="X1705" i="5"/>
  <c r="W1705" i="5"/>
  <c r="V1705" i="5"/>
  <c r="U1705" i="5"/>
  <c r="T1705" i="5"/>
  <c r="AA1704" i="5"/>
  <c r="Z1704" i="5"/>
  <c r="Y1704" i="5"/>
  <c r="X1704" i="5"/>
  <c r="W1704" i="5"/>
  <c r="V1704" i="5"/>
  <c r="U1704" i="5"/>
  <c r="T1704" i="5"/>
  <c r="AA1703" i="5"/>
  <c r="Z1703" i="5"/>
  <c r="Y1703" i="5"/>
  <c r="X1703" i="5"/>
  <c r="W1703" i="5"/>
  <c r="V1703" i="5"/>
  <c r="U1703" i="5"/>
  <c r="T1703" i="5"/>
  <c r="AA1702" i="5"/>
  <c r="Z1702" i="5"/>
  <c r="Y1702" i="5"/>
  <c r="X1702" i="5"/>
  <c r="W1702" i="5"/>
  <c r="V1702" i="5"/>
  <c r="U1702" i="5"/>
  <c r="T1702" i="5"/>
  <c r="AA1701" i="5"/>
  <c r="Z1701" i="5"/>
  <c r="Y1701" i="5"/>
  <c r="X1701" i="5"/>
  <c r="W1701" i="5"/>
  <c r="V1701" i="5"/>
  <c r="U1701" i="5"/>
  <c r="T1701" i="5"/>
  <c r="AA1700" i="5"/>
  <c r="Z1700" i="5"/>
  <c r="Y1700" i="5"/>
  <c r="X1700" i="5"/>
  <c r="W1700" i="5"/>
  <c r="V1700" i="5"/>
  <c r="U1700" i="5"/>
  <c r="T1700" i="5"/>
  <c r="AA1699" i="5"/>
  <c r="Z1699" i="5"/>
  <c r="Y1699" i="5"/>
  <c r="X1699" i="5"/>
  <c r="W1699" i="5"/>
  <c r="V1699" i="5"/>
  <c r="U1699" i="5"/>
  <c r="T1699" i="5"/>
  <c r="AA1698" i="5"/>
  <c r="Z1698" i="5"/>
  <c r="Y1698" i="5"/>
  <c r="X1698" i="5"/>
  <c r="W1698" i="5"/>
  <c r="V1698" i="5"/>
  <c r="U1698" i="5"/>
  <c r="T1698" i="5"/>
  <c r="AA1697" i="5"/>
  <c r="Z1697" i="5"/>
  <c r="Y1697" i="5"/>
  <c r="X1697" i="5"/>
  <c r="W1697" i="5"/>
  <c r="V1697" i="5"/>
  <c r="U1697" i="5"/>
  <c r="T1697" i="5"/>
  <c r="AA1696" i="5"/>
  <c r="Z1696" i="5"/>
  <c r="Y1696" i="5"/>
  <c r="X1696" i="5"/>
  <c r="W1696" i="5"/>
  <c r="V1696" i="5"/>
  <c r="U1696" i="5"/>
  <c r="T1696" i="5"/>
  <c r="AA1695" i="5"/>
  <c r="Z1695" i="5"/>
  <c r="Y1695" i="5"/>
  <c r="X1695" i="5"/>
  <c r="W1695" i="5"/>
  <c r="V1695" i="5"/>
  <c r="U1695" i="5"/>
  <c r="T1695" i="5"/>
  <c r="AA1694" i="5"/>
  <c r="Z1694" i="5"/>
  <c r="Y1694" i="5"/>
  <c r="X1694" i="5"/>
  <c r="W1694" i="5"/>
  <c r="V1694" i="5"/>
  <c r="U1694" i="5"/>
  <c r="T1694" i="5"/>
  <c r="AA1693" i="5"/>
  <c r="Z1693" i="5"/>
  <c r="Y1693" i="5"/>
  <c r="X1693" i="5"/>
  <c r="W1693" i="5"/>
  <c r="V1693" i="5"/>
  <c r="U1693" i="5"/>
  <c r="T1693" i="5"/>
  <c r="AA1692" i="5"/>
  <c r="Z1692" i="5"/>
  <c r="Y1692" i="5"/>
  <c r="X1692" i="5"/>
  <c r="W1692" i="5"/>
  <c r="V1692" i="5"/>
  <c r="U1692" i="5"/>
  <c r="T1692" i="5"/>
  <c r="AA1691" i="5"/>
  <c r="Z1691" i="5"/>
  <c r="Y1691" i="5"/>
  <c r="X1691" i="5"/>
  <c r="W1691" i="5"/>
  <c r="V1691" i="5"/>
  <c r="U1691" i="5"/>
  <c r="T1691" i="5"/>
  <c r="AA1690" i="5"/>
  <c r="Z1690" i="5"/>
  <c r="Y1690" i="5"/>
  <c r="X1690" i="5"/>
  <c r="W1690" i="5"/>
  <c r="V1690" i="5"/>
  <c r="U1690" i="5"/>
  <c r="T1690" i="5"/>
  <c r="AA1689" i="5"/>
  <c r="Z1689" i="5"/>
  <c r="Y1689" i="5"/>
  <c r="X1689" i="5"/>
  <c r="W1689" i="5"/>
  <c r="V1689" i="5"/>
  <c r="U1689" i="5"/>
  <c r="T1689" i="5"/>
  <c r="AA1688" i="5"/>
  <c r="Z1688" i="5"/>
  <c r="Y1688" i="5"/>
  <c r="X1688" i="5"/>
  <c r="W1688" i="5"/>
  <c r="V1688" i="5"/>
  <c r="U1688" i="5"/>
  <c r="T1688" i="5"/>
  <c r="AA1687" i="5"/>
  <c r="Z1687" i="5"/>
  <c r="Y1687" i="5"/>
  <c r="X1687" i="5"/>
  <c r="W1687" i="5"/>
  <c r="V1687" i="5"/>
  <c r="U1687" i="5"/>
  <c r="T1687" i="5"/>
  <c r="AA1686" i="5"/>
  <c r="Z1686" i="5"/>
  <c r="Y1686" i="5"/>
  <c r="X1686" i="5"/>
  <c r="W1686" i="5"/>
  <c r="V1686" i="5"/>
  <c r="U1686" i="5"/>
  <c r="T1686" i="5"/>
  <c r="AA1685" i="5"/>
  <c r="Z1685" i="5"/>
  <c r="Y1685" i="5"/>
  <c r="X1685" i="5"/>
  <c r="W1685" i="5"/>
  <c r="V1685" i="5"/>
  <c r="U1685" i="5"/>
  <c r="T1685" i="5"/>
  <c r="AA1684" i="5"/>
  <c r="Z1684" i="5"/>
  <c r="Y1684" i="5"/>
  <c r="X1684" i="5"/>
  <c r="W1684" i="5"/>
  <c r="V1684" i="5"/>
  <c r="U1684" i="5"/>
  <c r="T1684" i="5"/>
  <c r="AA1683" i="5"/>
  <c r="Z1683" i="5"/>
  <c r="Y1683" i="5"/>
  <c r="X1683" i="5"/>
  <c r="W1683" i="5"/>
  <c r="V1683" i="5"/>
  <c r="U1683" i="5"/>
  <c r="T1683" i="5"/>
  <c r="AA1682" i="5"/>
  <c r="Z1682" i="5"/>
  <c r="Y1682" i="5"/>
  <c r="X1682" i="5"/>
  <c r="W1682" i="5"/>
  <c r="V1682" i="5"/>
  <c r="U1682" i="5"/>
  <c r="T1682" i="5"/>
  <c r="AA1681" i="5"/>
  <c r="Z1681" i="5"/>
  <c r="Y1681" i="5"/>
  <c r="X1681" i="5"/>
  <c r="W1681" i="5"/>
  <c r="V1681" i="5"/>
  <c r="U1681" i="5"/>
  <c r="T1681" i="5"/>
  <c r="AA1680" i="5"/>
  <c r="Z1680" i="5"/>
  <c r="Y1680" i="5"/>
  <c r="X1680" i="5"/>
  <c r="W1680" i="5"/>
  <c r="V1680" i="5"/>
  <c r="U1680" i="5"/>
  <c r="T1680" i="5"/>
  <c r="AA1679" i="5"/>
  <c r="Z1679" i="5"/>
  <c r="Y1679" i="5"/>
  <c r="X1679" i="5"/>
  <c r="W1679" i="5"/>
  <c r="V1679" i="5"/>
  <c r="U1679" i="5"/>
  <c r="T1679" i="5"/>
  <c r="AA1678" i="5"/>
  <c r="Z1678" i="5"/>
  <c r="Y1678" i="5"/>
  <c r="X1678" i="5"/>
  <c r="W1678" i="5"/>
  <c r="V1678" i="5"/>
  <c r="U1678" i="5"/>
  <c r="T1678" i="5"/>
  <c r="AA1677" i="5"/>
  <c r="Z1677" i="5"/>
  <c r="Y1677" i="5"/>
  <c r="X1677" i="5"/>
  <c r="W1677" i="5"/>
  <c r="V1677" i="5"/>
  <c r="U1677" i="5"/>
  <c r="T1677" i="5"/>
  <c r="AA1676" i="5"/>
  <c r="Z1676" i="5"/>
  <c r="Y1676" i="5"/>
  <c r="X1676" i="5"/>
  <c r="W1676" i="5"/>
  <c r="V1676" i="5"/>
  <c r="U1676" i="5"/>
  <c r="T1676" i="5"/>
  <c r="AA1675" i="5"/>
  <c r="Z1675" i="5"/>
  <c r="Y1675" i="5"/>
  <c r="X1675" i="5"/>
  <c r="W1675" i="5"/>
  <c r="V1675" i="5"/>
  <c r="U1675" i="5"/>
  <c r="T1675" i="5"/>
  <c r="AA1674" i="5"/>
  <c r="Z1674" i="5"/>
  <c r="Y1674" i="5"/>
  <c r="X1674" i="5"/>
  <c r="W1674" i="5"/>
  <c r="V1674" i="5"/>
  <c r="U1674" i="5"/>
  <c r="T1674" i="5"/>
  <c r="AA1673" i="5"/>
  <c r="Z1673" i="5"/>
  <c r="Y1673" i="5"/>
  <c r="X1673" i="5"/>
  <c r="W1673" i="5"/>
  <c r="V1673" i="5"/>
  <c r="U1673" i="5"/>
  <c r="T1673" i="5"/>
  <c r="AA1672" i="5"/>
  <c r="Z1672" i="5"/>
  <c r="Y1672" i="5"/>
  <c r="X1672" i="5"/>
  <c r="W1672" i="5"/>
  <c r="V1672" i="5"/>
  <c r="U1672" i="5"/>
  <c r="T1672" i="5"/>
  <c r="AA1671" i="5"/>
  <c r="Z1671" i="5"/>
  <c r="Y1671" i="5"/>
  <c r="X1671" i="5"/>
  <c r="W1671" i="5"/>
  <c r="V1671" i="5"/>
  <c r="U1671" i="5"/>
  <c r="T1671" i="5"/>
  <c r="AA1670" i="5"/>
  <c r="Z1670" i="5"/>
  <c r="Y1670" i="5"/>
  <c r="X1670" i="5"/>
  <c r="W1670" i="5"/>
  <c r="V1670" i="5"/>
  <c r="U1670" i="5"/>
  <c r="T1670" i="5"/>
  <c r="AA1669" i="5"/>
  <c r="Z1669" i="5"/>
  <c r="Y1669" i="5"/>
  <c r="X1669" i="5"/>
  <c r="W1669" i="5"/>
  <c r="V1669" i="5"/>
  <c r="U1669" i="5"/>
  <c r="T1669" i="5"/>
  <c r="AA1668" i="5"/>
  <c r="Z1668" i="5"/>
  <c r="Y1668" i="5"/>
  <c r="X1668" i="5"/>
  <c r="W1668" i="5"/>
  <c r="V1668" i="5"/>
  <c r="U1668" i="5"/>
  <c r="T1668" i="5"/>
  <c r="AA1667" i="5"/>
  <c r="Z1667" i="5"/>
  <c r="Y1667" i="5"/>
  <c r="X1667" i="5"/>
  <c r="W1667" i="5"/>
  <c r="V1667" i="5"/>
  <c r="U1667" i="5"/>
  <c r="T1667" i="5"/>
  <c r="AA1666" i="5"/>
  <c r="Z1666" i="5"/>
  <c r="Y1666" i="5"/>
  <c r="X1666" i="5"/>
  <c r="W1666" i="5"/>
  <c r="V1666" i="5"/>
  <c r="U1666" i="5"/>
  <c r="T1666" i="5"/>
  <c r="AA1665" i="5"/>
  <c r="Z1665" i="5"/>
  <c r="Y1665" i="5"/>
  <c r="X1665" i="5"/>
  <c r="W1665" i="5"/>
  <c r="V1665" i="5"/>
  <c r="U1665" i="5"/>
  <c r="T1665" i="5"/>
  <c r="AA1664" i="5"/>
  <c r="Z1664" i="5"/>
  <c r="Y1664" i="5"/>
  <c r="X1664" i="5"/>
  <c r="W1664" i="5"/>
  <c r="V1664" i="5"/>
  <c r="U1664" i="5"/>
  <c r="T1664" i="5"/>
  <c r="AA1663" i="5"/>
  <c r="Z1663" i="5"/>
  <c r="Y1663" i="5"/>
  <c r="X1663" i="5"/>
  <c r="W1663" i="5"/>
  <c r="V1663" i="5"/>
  <c r="U1663" i="5"/>
  <c r="T1663" i="5"/>
  <c r="AA1662" i="5"/>
  <c r="Z1662" i="5"/>
  <c r="Y1662" i="5"/>
  <c r="X1662" i="5"/>
  <c r="W1662" i="5"/>
  <c r="V1662" i="5"/>
  <c r="U1662" i="5"/>
  <c r="T1662" i="5"/>
  <c r="AA1661" i="5"/>
  <c r="Z1661" i="5"/>
  <c r="Y1661" i="5"/>
  <c r="X1661" i="5"/>
  <c r="W1661" i="5"/>
  <c r="V1661" i="5"/>
  <c r="U1661" i="5"/>
  <c r="T1661" i="5"/>
  <c r="AA1660" i="5"/>
  <c r="Z1660" i="5"/>
  <c r="Y1660" i="5"/>
  <c r="X1660" i="5"/>
  <c r="W1660" i="5"/>
  <c r="V1660" i="5"/>
  <c r="U1660" i="5"/>
  <c r="T1660" i="5"/>
  <c r="AA1659" i="5"/>
  <c r="Z1659" i="5"/>
  <c r="Y1659" i="5"/>
  <c r="X1659" i="5"/>
  <c r="W1659" i="5"/>
  <c r="V1659" i="5"/>
  <c r="U1659" i="5"/>
  <c r="T1659" i="5"/>
  <c r="AA1658" i="5"/>
  <c r="Z1658" i="5"/>
  <c r="Y1658" i="5"/>
  <c r="X1658" i="5"/>
  <c r="W1658" i="5"/>
  <c r="V1658" i="5"/>
  <c r="U1658" i="5"/>
  <c r="T1658" i="5"/>
  <c r="AA1657" i="5"/>
  <c r="Z1657" i="5"/>
  <c r="Y1657" i="5"/>
  <c r="X1657" i="5"/>
  <c r="W1657" i="5"/>
  <c r="V1657" i="5"/>
  <c r="U1657" i="5"/>
  <c r="T1657" i="5"/>
  <c r="AA1656" i="5"/>
  <c r="Z1656" i="5"/>
  <c r="Y1656" i="5"/>
  <c r="X1656" i="5"/>
  <c r="W1656" i="5"/>
  <c r="V1656" i="5"/>
  <c r="U1656" i="5"/>
  <c r="T1656" i="5"/>
  <c r="AA1655" i="5"/>
  <c r="Z1655" i="5"/>
  <c r="Y1655" i="5"/>
  <c r="X1655" i="5"/>
  <c r="W1655" i="5"/>
  <c r="V1655" i="5"/>
  <c r="U1655" i="5"/>
  <c r="T1655" i="5"/>
  <c r="AA1654" i="5"/>
  <c r="Z1654" i="5"/>
  <c r="Y1654" i="5"/>
  <c r="X1654" i="5"/>
  <c r="W1654" i="5"/>
  <c r="V1654" i="5"/>
  <c r="U1654" i="5"/>
  <c r="T1654" i="5"/>
  <c r="AA1653" i="5"/>
  <c r="Z1653" i="5"/>
  <c r="Y1653" i="5"/>
  <c r="X1653" i="5"/>
  <c r="W1653" i="5"/>
  <c r="V1653" i="5"/>
  <c r="U1653" i="5"/>
  <c r="T1653" i="5"/>
  <c r="AA1652" i="5"/>
  <c r="Z1652" i="5"/>
  <c r="Y1652" i="5"/>
  <c r="X1652" i="5"/>
  <c r="W1652" i="5"/>
  <c r="V1652" i="5"/>
  <c r="U1652" i="5"/>
  <c r="T1652" i="5"/>
  <c r="AA1651" i="5"/>
  <c r="Z1651" i="5"/>
  <c r="Y1651" i="5"/>
  <c r="X1651" i="5"/>
  <c r="W1651" i="5"/>
  <c r="V1651" i="5"/>
  <c r="U1651" i="5"/>
  <c r="T1651" i="5"/>
  <c r="AA1650" i="5"/>
  <c r="Z1650" i="5"/>
  <c r="Y1650" i="5"/>
  <c r="X1650" i="5"/>
  <c r="W1650" i="5"/>
  <c r="V1650" i="5"/>
  <c r="U1650" i="5"/>
  <c r="T1650" i="5"/>
  <c r="AA1649" i="5"/>
  <c r="Z1649" i="5"/>
  <c r="Y1649" i="5"/>
  <c r="X1649" i="5"/>
  <c r="W1649" i="5"/>
  <c r="V1649" i="5"/>
  <c r="U1649" i="5"/>
  <c r="T1649" i="5"/>
  <c r="AA1648" i="5"/>
  <c r="Z1648" i="5"/>
  <c r="Y1648" i="5"/>
  <c r="X1648" i="5"/>
  <c r="W1648" i="5"/>
  <c r="V1648" i="5"/>
  <c r="U1648" i="5"/>
  <c r="T1648" i="5"/>
  <c r="AA1647" i="5"/>
  <c r="Z1647" i="5"/>
  <c r="Y1647" i="5"/>
  <c r="X1647" i="5"/>
  <c r="W1647" i="5"/>
  <c r="V1647" i="5"/>
  <c r="U1647" i="5"/>
  <c r="T1647" i="5"/>
  <c r="AA1646" i="5"/>
  <c r="Z1646" i="5"/>
  <c r="Y1646" i="5"/>
  <c r="X1646" i="5"/>
  <c r="W1646" i="5"/>
  <c r="V1646" i="5"/>
  <c r="U1646" i="5"/>
  <c r="T1646" i="5"/>
  <c r="AA1645" i="5"/>
  <c r="Z1645" i="5"/>
  <c r="Y1645" i="5"/>
  <c r="X1645" i="5"/>
  <c r="W1645" i="5"/>
  <c r="V1645" i="5"/>
  <c r="U1645" i="5"/>
  <c r="T1645" i="5"/>
  <c r="AA1644" i="5"/>
  <c r="Z1644" i="5"/>
  <c r="Y1644" i="5"/>
  <c r="X1644" i="5"/>
  <c r="W1644" i="5"/>
  <c r="V1644" i="5"/>
  <c r="U1644" i="5"/>
  <c r="T1644" i="5"/>
  <c r="AA1643" i="5"/>
  <c r="Z1643" i="5"/>
  <c r="Y1643" i="5"/>
  <c r="X1643" i="5"/>
  <c r="W1643" i="5"/>
  <c r="V1643" i="5"/>
  <c r="U1643" i="5"/>
  <c r="T1643" i="5"/>
  <c r="AA1642" i="5"/>
  <c r="Z1642" i="5"/>
  <c r="Y1642" i="5"/>
  <c r="X1642" i="5"/>
  <c r="W1642" i="5"/>
  <c r="V1642" i="5"/>
  <c r="U1642" i="5"/>
  <c r="T1642" i="5"/>
  <c r="AA1641" i="5"/>
  <c r="Z1641" i="5"/>
  <c r="Y1641" i="5"/>
  <c r="X1641" i="5"/>
  <c r="W1641" i="5"/>
  <c r="V1641" i="5"/>
  <c r="U1641" i="5"/>
  <c r="T1641" i="5"/>
  <c r="AA1640" i="5"/>
  <c r="Z1640" i="5"/>
  <c r="Y1640" i="5"/>
  <c r="X1640" i="5"/>
  <c r="W1640" i="5"/>
  <c r="V1640" i="5"/>
  <c r="U1640" i="5"/>
  <c r="T1640" i="5"/>
  <c r="AA1639" i="5"/>
  <c r="Z1639" i="5"/>
  <c r="Y1639" i="5"/>
  <c r="X1639" i="5"/>
  <c r="W1639" i="5"/>
  <c r="V1639" i="5"/>
  <c r="U1639" i="5"/>
  <c r="T1639" i="5"/>
  <c r="AA1638" i="5"/>
  <c r="Z1638" i="5"/>
  <c r="Y1638" i="5"/>
  <c r="X1638" i="5"/>
  <c r="W1638" i="5"/>
  <c r="V1638" i="5"/>
  <c r="U1638" i="5"/>
  <c r="T1638" i="5"/>
  <c r="AA1637" i="5"/>
  <c r="Z1637" i="5"/>
  <c r="Y1637" i="5"/>
  <c r="X1637" i="5"/>
  <c r="W1637" i="5"/>
  <c r="V1637" i="5"/>
  <c r="U1637" i="5"/>
  <c r="T1637" i="5"/>
  <c r="AA1636" i="5"/>
  <c r="Z1636" i="5"/>
  <c r="Y1636" i="5"/>
  <c r="X1636" i="5"/>
  <c r="W1636" i="5"/>
  <c r="V1636" i="5"/>
  <c r="U1636" i="5"/>
  <c r="T1636" i="5"/>
  <c r="AA1635" i="5"/>
  <c r="Z1635" i="5"/>
  <c r="Y1635" i="5"/>
  <c r="X1635" i="5"/>
  <c r="W1635" i="5"/>
  <c r="V1635" i="5"/>
  <c r="U1635" i="5"/>
  <c r="T1635" i="5"/>
  <c r="AA1634" i="5"/>
  <c r="Z1634" i="5"/>
  <c r="Y1634" i="5"/>
  <c r="X1634" i="5"/>
  <c r="W1634" i="5"/>
  <c r="V1634" i="5"/>
  <c r="U1634" i="5"/>
  <c r="T1634" i="5"/>
  <c r="AA1633" i="5"/>
  <c r="Z1633" i="5"/>
  <c r="Y1633" i="5"/>
  <c r="X1633" i="5"/>
  <c r="W1633" i="5"/>
  <c r="V1633" i="5"/>
  <c r="U1633" i="5"/>
  <c r="T1633" i="5"/>
  <c r="AA1632" i="5"/>
  <c r="Z1632" i="5"/>
  <c r="Y1632" i="5"/>
  <c r="X1632" i="5"/>
  <c r="W1632" i="5"/>
  <c r="V1632" i="5"/>
  <c r="U1632" i="5"/>
  <c r="T1632" i="5"/>
  <c r="AA1631" i="5"/>
  <c r="Z1631" i="5"/>
  <c r="Y1631" i="5"/>
  <c r="X1631" i="5"/>
  <c r="W1631" i="5"/>
  <c r="V1631" i="5"/>
  <c r="U1631" i="5"/>
  <c r="T1631" i="5"/>
  <c r="AA1630" i="5"/>
  <c r="Z1630" i="5"/>
  <c r="Y1630" i="5"/>
  <c r="X1630" i="5"/>
  <c r="W1630" i="5"/>
  <c r="V1630" i="5"/>
  <c r="U1630" i="5"/>
  <c r="T1630" i="5"/>
  <c r="AA1629" i="5"/>
  <c r="Z1629" i="5"/>
  <c r="Y1629" i="5"/>
  <c r="X1629" i="5"/>
  <c r="W1629" i="5"/>
  <c r="V1629" i="5"/>
  <c r="U1629" i="5"/>
  <c r="T1629" i="5"/>
  <c r="AA1628" i="5"/>
  <c r="Z1628" i="5"/>
  <c r="Y1628" i="5"/>
  <c r="X1628" i="5"/>
  <c r="W1628" i="5"/>
  <c r="V1628" i="5"/>
  <c r="U1628" i="5"/>
  <c r="T1628" i="5"/>
  <c r="AA1627" i="5"/>
  <c r="Z1627" i="5"/>
  <c r="Y1627" i="5"/>
  <c r="X1627" i="5"/>
  <c r="W1627" i="5"/>
  <c r="V1627" i="5"/>
  <c r="U1627" i="5"/>
  <c r="T1627" i="5"/>
  <c r="AA1626" i="5"/>
  <c r="Z1626" i="5"/>
  <c r="Y1626" i="5"/>
  <c r="X1626" i="5"/>
  <c r="W1626" i="5"/>
  <c r="V1626" i="5"/>
  <c r="U1626" i="5"/>
  <c r="T1626" i="5"/>
  <c r="AA1625" i="5"/>
  <c r="Z1625" i="5"/>
  <c r="Y1625" i="5"/>
  <c r="X1625" i="5"/>
  <c r="W1625" i="5"/>
  <c r="V1625" i="5"/>
  <c r="U1625" i="5"/>
  <c r="T1625" i="5"/>
  <c r="AA1624" i="5"/>
  <c r="Z1624" i="5"/>
  <c r="Y1624" i="5"/>
  <c r="X1624" i="5"/>
  <c r="W1624" i="5"/>
  <c r="V1624" i="5"/>
  <c r="U1624" i="5"/>
  <c r="T1624" i="5"/>
  <c r="AA1623" i="5"/>
  <c r="Z1623" i="5"/>
  <c r="Y1623" i="5"/>
  <c r="X1623" i="5"/>
  <c r="W1623" i="5"/>
  <c r="V1623" i="5"/>
  <c r="U1623" i="5"/>
  <c r="T1623" i="5"/>
  <c r="AA1622" i="5"/>
  <c r="Z1622" i="5"/>
  <c r="Y1622" i="5"/>
  <c r="X1622" i="5"/>
  <c r="W1622" i="5"/>
  <c r="V1622" i="5"/>
  <c r="U1622" i="5"/>
  <c r="T1622" i="5"/>
  <c r="AA1621" i="5"/>
  <c r="Z1621" i="5"/>
  <c r="Y1621" i="5"/>
  <c r="X1621" i="5"/>
  <c r="W1621" i="5"/>
  <c r="V1621" i="5"/>
  <c r="U1621" i="5"/>
  <c r="T1621" i="5"/>
  <c r="AA1620" i="5"/>
  <c r="Z1620" i="5"/>
  <c r="Y1620" i="5"/>
  <c r="X1620" i="5"/>
  <c r="W1620" i="5"/>
  <c r="V1620" i="5"/>
  <c r="U1620" i="5"/>
  <c r="T1620" i="5"/>
  <c r="AA1619" i="5"/>
  <c r="Z1619" i="5"/>
  <c r="Y1619" i="5"/>
  <c r="X1619" i="5"/>
  <c r="W1619" i="5"/>
  <c r="V1619" i="5"/>
  <c r="U1619" i="5"/>
  <c r="T1619" i="5"/>
  <c r="AA1618" i="5"/>
  <c r="Z1618" i="5"/>
  <c r="Y1618" i="5"/>
  <c r="X1618" i="5"/>
  <c r="W1618" i="5"/>
  <c r="V1618" i="5"/>
  <c r="U1618" i="5"/>
  <c r="T1618" i="5"/>
  <c r="AA1617" i="5"/>
  <c r="Z1617" i="5"/>
  <c r="Y1617" i="5"/>
  <c r="X1617" i="5"/>
  <c r="W1617" i="5"/>
  <c r="V1617" i="5"/>
  <c r="U1617" i="5"/>
  <c r="T1617" i="5"/>
  <c r="AA1616" i="5"/>
  <c r="Z1616" i="5"/>
  <c r="Y1616" i="5"/>
  <c r="X1616" i="5"/>
  <c r="W1616" i="5"/>
  <c r="V1616" i="5"/>
  <c r="U1616" i="5"/>
  <c r="T1616" i="5"/>
  <c r="AA1615" i="5"/>
  <c r="Z1615" i="5"/>
  <c r="Y1615" i="5"/>
  <c r="X1615" i="5"/>
  <c r="W1615" i="5"/>
  <c r="V1615" i="5"/>
  <c r="U1615" i="5"/>
  <c r="T1615" i="5"/>
  <c r="AA1614" i="5"/>
  <c r="Z1614" i="5"/>
  <c r="Y1614" i="5"/>
  <c r="X1614" i="5"/>
  <c r="W1614" i="5"/>
  <c r="V1614" i="5"/>
  <c r="U1614" i="5"/>
  <c r="T1614" i="5"/>
  <c r="AA1613" i="5"/>
  <c r="Z1613" i="5"/>
  <c r="Y1613" i="5"/>
  <c r="X1613" i="5"/>
  <c r="W1613" i="5"/>
  <c r="V1613" i="5"/>
  <c r="U1613" i="5"/>
  <c r="T1613" i="5"/>
  <c r="AA1612" i="5"/>
  <c r="Z1612" i="5"/>
  <c r="Y1612" i="5"/>
  <c r="X1612" i="5"/>
  <c r="W1612" i="5"/>
  <c r="V1612" i="5"/>
  <c r="U1612" i="5"/>
  <c r="T1612" i="5"/>
  <c r="AA1611" i="5"/>
  <c r="Z1611" i="5"/>
  <c r="Y1611" i="5"/>
  <c r="X1611" i="5"/>
  <c r="W1611" i="5"/>
  <c r="V1611" i="5"/>
  <c r="U1611" i="5"/>
  <c r="T1611" i="5"/>
  <c r="AA1610" i="5"/>
  <c r="Z1610" i="5"/>
  <c r="Y1610" i="5"/>
  <c r="X1610" i="5"/>
  <c r="W1610" i="5"/>
  <c r="V1610" i="5"/>
  <c r="U1610" i="5"/>
  <c r="T1610" i="5"/>
  <c r="AA1609" i="5"/>
  <c r="Z1609" i="5"/>
  <c r="Y1609" i="5"/>
  <c r="X1609" i="5"/>
  <c r="W1609" i="5"/>
  <c r="V1609" i="5"/>
  <c r="U1609" i="5"/>
  <c r="T1609" i="5"/>
  <c r="AA1608" i="5"/>
  <c r="Z1608" i="5"/>
  <c r="Y1608" i="5"/>
  <c r="X1608" i="5"/>
  <c r="W1608" i="5"/>
  <c r="V1608" i="5"/>
  <c r="U1608" i="5"/>
  <c r="T1608" i="5"/>
  <c r="AA1607" i="5"/>
  <c r="Z1607" i="5"/>
  <c r="Y1607" i="5"/>
  <c r="X1607" i="5"/>
  <c r="W1607" i="5"/>
  <c r="V1607" i="5"/>
  <c r="U1607" i="5"/>
  <c r="T1607" i="5"/>
  <c r="AA1606" i="5"/>
  <c r="Z1606" i="5"/>
  <c r="Y1606" i="5"/>
  <c r="X1606" i="5"/>
  <c r="W1606" i="5"/>
  <c r="V1606" i="5"/>
  <c r="U1606" i="5"/>
  <c r="T1606" i="5"/>
  <c r="AA1605" i="5"/>
  <c r="Z1605" i="5"/>
  <c r="Y1605" i="5"/>
  <c r="X1605" i="5"/>
  <c r="W1605" i="5"/>
  <c r="V1605" i="5"/>
  <c r="U1605" i="5"/>
  <c r="T1605" i="5"/>
  <c r="AA1604" i="5"/>
  <c r="Z1604" i="5"/>
  <c r="Y1604" i="5"/>
  <c r="X1604" i="5"/>
  <c r="W1604" i="5"/>
  <c r="V1604" i="5"/>
  <c r="U1604" i="5"/>
  <c r="T1604" i="5"/>
  <c r="AA1603" i="5"/>
  <c r="Z1603" i="5"/>
  <c r="Y1603" i="5"/>
  <c r="X1603" i="5"/>
  <c r="W1603" i="5"/>
  <c r="V1603" i="5"/>
  <c r="U1603" i="5"/>
  <c r="T1603" i="5"/>
  <c r="AA1602" i="5"/>
  <c r="Z1602" i="5"/>
  <c r="Y1602" i="5"/>
  <c r="X1602" i="5"/>
  <c r="W1602" i="5"/>
  <c r="V1602" i="5"/>
  <c r="U1602" i="5"/>
  <c r="T1602" i="5"/>
  <c r="AA1601" i="5"/>
  <c r="Z1601" i="5"/>
  <c r="Y1601" i="5"/>
  <c r="X1601" i="5"/>
  <c r="W1601" i="5"/>
  <c r="V1601" i="5"/>
  <c r="U1601" i="5"/>
  <c r="T1601" i="5"/>
  <c r="AA1600" i="5"/>
  <c r="Z1600" i="5"/>
  <c r="Y1600" i="5"/>
  <c r="X1600" i="5"/>
  <c r="W1600" i="5"/>
  <c r="V1600" i="5"/>
  <c r="U1600" i="5"/>
  <c r="T1600" i="5"/>
  <c r="AA1599" i="5"/>
  <c r="Z1599" i="5"/>
  <c r="Y1599" i="5"/>
  <c r="X1599" i="5"/>
  <c r="W1599" i="5"/>
  <c r="V1599" i="5"/>
  <c r="U1599" i="5"/>
  <c r="T1599" i="5"/>
  <c r="AA1598" i="5"/>
  <c r="Z1598" i="5"/>
  <c r="Y1598" i="5"/>
  <c r="X1598" i="5"/>
  <c r="W1598" i="5"/>
  <c r="V1598" i="5"/>
  <c r="U1598" i="5"/>
  <c r="T1598" i="5"/>
  <c r="AA1597" i="5"/>
  <c r="Z1597" i="5"/>
  <c r="Y1597" i="5"/>
  <c r="X1597" i="5"/>
  <c r="W1597" i="5"/>
  <c r="V1597" i="5"/>
  <c r="U1597" i="5"/>
  <c r="T1597" i="5"/>
  <c r="AA1596" i="5"/>
  <c r="Z1596" i="5"/>
  <c r="Y1596" i="5"/>
  <c r="X1596" i="5"/>
  <c r="W1596" i="5"/>
  <c r="V1596" i="5"/>
  <c r="U1596" i="5"/>
  <c r="T1596" i="5"/>
  <c r="AA1595" i="5"/>
  <c r="Z1595" i="5"/>
  <c r="Y1595" i="5"/>
  <c r="X1595" i="5"/>
  <c r="W1595" i="5"/>
  <c r="V1595" i="5"/>
  <c r="U1595" i="5"/>
  <c r="T1595" i="5"/>
  <c r="AA1594" i="5"/>
  <c r="Z1594" i="5"/>
  <c r="Y1594" i="5"/>
  <c r="X1594" i="5"/>
  <c r="W1594" i="5"/>
  <c r="V1594" i="5"/>
  <c r="U1594" i="5"/>
  <c r="T1594" i="5"/>
  <c r="AA1593" i="5"/>
  <c r="Z1593" i="5"/>
  <c r="Y1593" i="5"/>
  <c r="X1593" i="5"/>
  <c r="W1593" i="5"/>
  <c r="V1593" i="5"/>
  <c r="U1593" i="5"/>
  <c r="T1593" i="5"/>
  <c r="AA1592" i="5"/>
  <c r="Z1592" i="5"/>
  <c r="Y1592" i="5"/>
  <c r="X1592" i="5"/>
  <c r="W1592" i="5"/>
  <c r="V1592" i="5"/>
  <c r="U1592" i="5"/>
  <c r="T1592" i="5"/>
  <c r="AA1591" i="5"/>
  <c r="Z1591" i="5"/>
  <c r="Y1591" i="5"/>
  <c r="X1591" i="5"/>
  <c r="W1591" i="5"/>
  <c r="V1591" i="5"/>
  <c r="U1591" i="5"/>
  <c r="T1591" i="5"/>
  <c r="AA1590" i="5"/>
  <c r="Z1590" i="5"/>
  <c r="Y1590" i="5"/>
  <c r="X1590" i="5"/>
  <c r="W1590" i="5"/>
  <c r="V1590" i="5"/>
  <c r="U1590" i="5"/>
  <c r="T1590" i="5"/>
  <c r="AA1589" i="5"/>
  <c r="Z1589" i="5"/>
  <c r="Y1589" i="5"/>
  <c r="X1589" i="5"/>
  <c r="W1589" i="5"/>
  <c r="V1589" i="5"/>
  <c r="U1589" i="5"/>
  <c r="T1589" i="5"/>
  <c r="AA1588" i="5"/>
  <c r="Z1588" i="5"/>
  <c r="Y1588" i="5"/>
  <c r="X1588" i="5"/>
  <c r="W1588" i="5"/>
  <c r="V1588" i="5"/>
  <c r="U1588" i="5"/>
  <c r="T1588" i="5"/>
  <c r="AA1587" i="5"/>
  <c r="Z1587" i="5"/>
  <c r="Y1587" i="5"/>
  <c r="X1587" i="5"/>
  <c r="W1587" i="5"/>
  <c r="V1587" i="5"/>
  <c r="U1587" i="5"/>
  <c r="T1587" i="5"/>
  <c r="AA1586" i="5"/>
  <c r="Z1586" i="5"/>
  <c r="Y1586" i="5"/>
  <c r="X1586" i="5"/>
  <c r="W1586" i="5"/>
  <c r="V1586" i="5"/>
  <c r="U1586" i="5"/>
  <c r="T1586" i="5"/>
  <c r="AA1585" i="5"/>
  <c r="Z1585" i="5"/>
  <c r="Y1585" i="5"/>
  <c r="X1585" i="5"/>
  <c r="W1585" i="5"/>
  <c r="V1585" i="5"/>
  <c r="U1585" i="5"/>
  <c r="T1585" i="5"/>
  <c r="AA1584" i="5"/>
  <c r="Z1584" i="5"/>
  <c r="Y1584" i="5"/>
  <c r="X1584" i="5"/>
  <c r="W1584" i="5"/>
  <c r="V1584" i="5"/>
  <c r="U1584" i="5"/>
  <c r="T1584" i="5"/>
  <c r="AA1583" i="5"/>
  <c r="Z1583" i="5"/>
  <c r="Y1583" i="5"/>
  <c r="X1583" i="5"/>
  <c r="W1583" i="5"/>
  <c r="V1583" i="5"/>
  <c r="U1583" i="5"/>
  <c r="T1583" i="5"/>
  <c r="AA1582" i="5"/>
  <c r="Z1582" i="5"/>
  <c r="Y1582" i="5"/>
  <c r="X1582" i="5"/>
  <c r="W1582" i="5"/>
  <c r="V1582" i="5"/>
  <c r="U1582" i="5"/>
  <c r="T1582" i="5"/>
  <c r="AA1581" i="5"/>
  <c r="Z1581" i="5"/>
  <c r="Y1581" i="5"/>
  <c r="X1581" i="5"/>
  <c r="W1581" i="5"/>
  <c r="V1581" i="5"/>
  <c r="U1581" i="5"/>
  <c r="T1581" i="5"/>
  <c r="AA1580" i="5"/>
  <c r="Z1580" i="5"/>
  <c r="Y1580" i="5"/>
  <c r="X1580" i="5"/>
  <c r="W1580" i="5"/>
  <c r="V1580" i="5"/>
  <c r="U1580" i="5"/>
  <c r="T1580" i="5"/>
  <c r="AA1579" i="5"/>
  <c r="Z1579" i="5"/>
  <c r="Y1579" i="5"/>
  <c r="X1579" i="5"/>
  <c r="W1579" i="5"/>
  <c r="V1579" i="5"/>
  <c r="U1579" i="5"/>
  <c r="T1579" i="5"/>
  <c r="AA1578" i="5"/>
  <c r="Z1578" i="5"/>
  <c r="Y1578" i="5"/>
  <c r="X1578" i="5"/>
  <c r="W1578" i="5"/>
  <c r="V1578" i="5"/>
  <c r="U1578" i="5"/>
  <c r="T1578" i="5"/>
  <c r="AA1577" i="5"/>
  <c r="Z1577" i="5"/>
  <c r="Y1577" i="5"/>
  <c r="X1577" i="5"/>
  <c r="W1577" i="5"/>
  <c r="V1577" i="5"/>
  <c r="U1577" i="5"/>
  <c r="T1577" i="5"/>
  <c r="AA1576" i="5"/>
  <c r="Z1576" i="5"/>
  <c r="Y1576" i="5"/>
  <c r="X1576" i="5"/>
  <c r="W1576" i="5"/>
  <c r="V1576" i="5"/>
  <c r="U1576" i="5"/>
  <c r="T1576" i="5"/>
  <c r="AA1575" i="5"/>
  <c r="Z1575" i="5"/>
  <c r="Y1575" i="5"/>
  <c r="X1575" i="5"/>
  <c r="W1575" i="5"/>
  <c r="V1575" i="5"/>
  <c r="U1575" i="5"/>
  <c r="T1575" i="5"/>
  <c r="AA1574" i="5"/>
  <c r="Z1574" i="5"/>
  <c r="Y1574" i="5"/>
  <c r="X1574" i="5"/>
  <c r="W1574" i="5"/>
  <c r="V1574" i="5"/>
  <c r="U1574" i="5"/>
  <c r="T1574" i="5"/>
  <c r="AA1573" i="5"/>
  <c r="Z1573" i="5"/>
  <c r="Y1573" i="5"/>
  <c r="X1573" i="5"/>
  <c r="W1573" i="5"/>
  <c r="V1573" i="5"/>
  <c r="U1573" i="5"/>
  <c r="T1573" i="5"/>
  <c r="AA1572" i="5"/>
  <c r="Z1572" i="5"/>
  <c r="Y1572" i="5"/>
  <c r="X1572" i="5"/>
  <c r="W1572" i="5"/>
  <c r="V1572" i="5"/>
  <c r="U1572" i="5"/>
  <c r="T1572" i="5"/>
  <c r="AA1571" i="5"/>
  <c r="Z1571" i="5"/>
  <c r="Y1571" i="5"/>
  <c r="X1571" i="5"/>
  <c r="W1571" i="5"/>
  <c r="V1571" i="5"/>
  <c r="U1571" i="5"/>
  <c r="T1571" i="5"/>
  <c r="AA1570" i="5"/>
  <c r="Z1570" i="5"/>
  <c r="Y1570" i="5"/>
  <c r="X1570" i="5"/>
  <c r="W1570" i="5"/>
  <c r="V1570" i="5"/>
  <c r="U1570" i="5"/>
  <c r="T1570" i="5"/>
  <c r="AA1569" i="5"/>
  <c r="Z1569" i="5"/>
  <c r="Y1569" i="5"/>
  <c r="X1569" i="5"/>
  <c r="W1569" i="5"/>
  <c r="V1569" i="5"/>
  <c r="U1569" i="5"/>
  <c r="T1569" i="5"/>
  <c r="AA1568" i="5"/>
  <c r="Z1568" i="5"/>
  <c r="Y1568" i="5"/>
  <c r="X1568" i="5"/>
  <c r="W1568" i="5"/>
  <c r="V1568" i="5"/>
  <c r="U1568" i="5"/>
  <c r="T1568" i="5"/>
  <c r="AA1567" i="5"/>
  <c r="Z1567" i="5"/>
  <c r="Y1567" i="5"/>
  <c r="X1567" i="5"/>
  <c r="W1567" i="5"/>
  <c r="V1567" i="5"/>
  <c r="U1567" i="5"/>
  <c r="T1567" i="5"/>
  <c r="AA1566" i="5"/>
  <c r="Z1566" i="5"/>
  <c r="Y1566" i="5"/>
  <c r="X1566" i="5"/>
  <c r="W1566" i="5"/>
  <c r="V1566" i="5"/>
  <c r="U1566" i="5"/>
  <c r="T1566" i="5"/>
  <c r="AA1565" i="5"/>
  <c r="Z1565" i="5"/>
  <c r="Y1565" i="5"/>
  <c r="X1565" i="5"/>
  <c r="W1565" i="5"/>
  <c r="V1565" i="5"/>
  <c r="U1565" i="5"/>
  <c r="T1565" i="5"/>
  <c r="AA1564" i="5"/>
  <c r="Z1564" i="5"/>
  <c r="Y1564" i="5"/>
  <c r="X1564" i="5"/>
  <c r="W1564" i="5"/>
  <c r="V1564" i="5"/>
  <c r="U1564" i="5"/>
  <c r="T1564" i="5"/>
  <c r="AA1563" i="5"/>
  <c r="Z1563" i="5"/>
  <c r="Y1563" i="5"/>
  <c r="X1563" i="5"/>
  <c r="W1563" i="5"/>
  <c r="V1563" i="5"/>
  <c r="U1563" i="5"/>
  <c r="T1563" i="5"/>
  <c r="AA1562" i="5"/>
  <c r="Z1562" i="5"/>
  <c r="Y1562" i="5"/>
  <c r="X1562" i="5"/>
  <c r="W1562" i="5"/>
  <c r="V1562" i="5"/>
  <c r="U1562" i="5"/>
  <c r="T1562" i="5"/>
  <c r="AA1561" i="5"/>
  <c r="Z1561" i="5"/>
  <c r="Y1561" i="5"/>
  <c r="X1561" i="5"/>
  <c r="W1561" i="5"/>
  <c r="V1561" i="5"/>
  <c r="U1561" i="5"/>
  <c r="T1561" i="5"/>
  <c r="AA1560" i="5"/>
  <c r="Z1560" i="5"/>
  <c r="Y1560" i="5"/>
  <c r="X1560" i="5"/>
  <c r="W1560" i="5"/>
  <c r="V1560" i="5"/>
  <c r="U1560" i="5"/>
  <c r="T1560" i="5"/>
  <c r="AA1559" i="5"/>
  <c r="Z1559" i="5"/>
  <c r="Y1559" i="5"/>
  <c r="X1559" i="5"/>
  <c r="W1559" i="5"/>
  <c r="V1559" i="5"/>
  <c r="U1559" i="5"/>
  <c r="T1559" i="5"/>
  <c r="AA1558" i="5"/>
  <c r="Z1558" i="5"/>
  <c r="Y1558" i="5"/>
  <c r="X1558" i="5"/>
  <c r="W1558" i="5"/>
  <c r="V1558" i="5"/>
  <c r="U1558" i="5"/>
  <c r="T1558" i="5"/>
  <c r="AA1557" i="5"/>
  <c r="Z1557" i="5"/>
  <c r="Y1557" i="5"/>
  <c r="X1557" i="5"/>
  <c r="W1557" i="5"/>
  <c r="V1557" i="5"/>
  <c r="U1557" i="5"/>
  <c r="T1557" i="5"/>
  <c r="AA1556" i="5"/>
  <c r="Z1556" i="5"/>
  <c r="Y1556" i="5"/>
  <c r="X1556" i="5"/>
  <c r="W1556" i="5"/>
  <c r="V1556" i="5"/>
  <c r="U1556" i="5"/>
  <c r="T1556" i="5"/>
  <c r="AA1555" i="5"/>
  <c r="Z1555" i="5"/>
  <c r="Y1555" i="5"/>
  <c r="X1555" i="5"/>
  <c r="W1555" i="5"/>
  <c r="V1555" i="5"/>
  <c r="U1555" i="5"/>
  <c r="T1555" i="5"/>
  <c r="AA1554" i="5"/>
  <c r="Z1554" i="5"/>
  <c r="Y1554" i="5"/>
  <c r="X1554" i="5"/>
  <c r="W1554" i="5"/>
  <c r="V1554" i="5"/>
  <c r="U1554" i="5"/>
  <c r="T1554" i="5"/>
  <c r="AA1553" i="5"/>
  <c r="Z1553" i="5"/>
  <c r="Y1553" i="5"/>
  <c r="X1553" i="5"/>
  <c r="W1553" i="5"/>
  <c r="V1553" i="5"/>
  <c r="U1553" i="5"/>
  <c r="T1553" i="5"/>
  <c r="AA1552" i="5"/>
  <c r="Z1552" i="5"/>
  <c r="Y1552" i="5"/>
  <c r="X1552" i="5"/>
  <c r="W1552" i="5"/>
  <c r="V1552" i="5"/>
  <c r="U1552" i="5"/>
  <c r="T1552" i="5"/>
  <c r="AA1551" i="5"/>
  <c r="Z1551" i="5"/>
  <c r="Y1551" i="5"/>
  <c r="X1551" i="5"/>
  <c r="W1551" i="5"/>
  <c r="V1551" i="5"/>
  <c r="U1551" i="5"/>
  <c r="T1551" i="5"/>
  <c r="AA1550" i="5"/>
  <c r="Z1550" i="5"/>
  <c r="Y1550" i="5"/>
  <c r="X1550" i="5"/>
  <c r="W1550" i="5"/>
  <c r="V1550" i="5"/>
  <c r="U1550" i="5"/>
  <c r="T1550" i="5"/>
  <c r="AA1549" i="5"/>
  <c r="Z1549" i="5"/>
  <c r="Y1549" i="5"/>
  <c r="X1549" i="5"/>
  <c r="W1549" i="5"/>
  <c r="V1549" i="5"/>
  <c r="U1549" i="5"/>
  <c r="T1549" i="5"/>
  <c r="AA1548" i="5"/>
  <c r="Z1548" i="5"/>
  <c r="Y1548" i="5"/>
  <c r="X1548" i="5"/>
  <c r="W1548" i="5"/>
  <c r="V1548" i="5"/>
  <c r="U1548" i="5"/>
  <c r="T1548" i="5"/>
  <c r="AA1547" i="5"/>
  <c r="Z1547" i="5"/>
  <c r="Y1547" i="5"/>
  <c r="X1547" i="5"/>
  <c r="W1547" i="5"/>
  <c r="V1547" i="5"/>
  <c r="U1547" i="5"/>
  <c r="T1547" i="5"/>
  <c r="AA1546" i="5"/>
  <c r="Z1546" i="5"/>
  <c r="Y1546" i="5"/>
  <c r="X1546" i="5"/>
  <c r="W1546" i="5"/>
  <c r="V1546" i="5"/>
  <c r="U1546" i="5"/>
  <c r="T1546" i="5"/>
  <c r="AA1545" i="5"/>
  <c r="Z1545" i="5"/>
  <c r="Y1545" i="5"/>
  <c r="X1545" i="5"/>
  <c r="W1545" i="5"/>
  <c r="V1545" i="5"/>
  <c r="U1545" i="5"/>
  <c r="T1545" i="5"/>
  <c r="AA1544" i="5"/>
  <c r="Z1544" i="5"/>
  <c r="Y1544" i="5"/>
  <c r="X1544" i="5"/>
  <c r="W1544" i="5"/>
  <c r="V1544" i="5"/>
  <c r="U1544" i="5"/>
  <c r="T1544" i="5"/>
  <c r="AA1543" i="5"/>
  <c r="Z1543" i="5"/>
  <c r="Y1543" i="5"/>
  <c r="X1543" i="5"/>
  <c r="W1543" i="5"/>
  <c r="V1543" i="5"/>
  <c r="U1543" i="5"/>
  <c r="T1543" i="5"/>
  <c r="AA1542" i="5"/>
  <c r="Z1542" i="5"/>
  <c r="Y1542" i="5"/>
  <c r="X1542" i="5"/>
  <c r="W1542" i="5"/>
  <c r="V1542" i="5"/>
  <c r="U1542" i="5"/>
  <c r="T1542" i="5"/>
  <c r="AA1541" i="5"/>
  <c r="Z1541" i="5"/>
  <c r="Y1541" i="5"/>
  <c r="X1541" i="5"/>
  <c r="W1541" i="5"/>
  <c r="V1541" i="5"/>
  <c r="U1541" i="5"/>
  <c r="T1541" i="5"/>
  <c r="AA1540" i="5"/>
  <c r="Z1540" i="5"/>
  <c r="Y1540" i="5"/>
  <c r="X1540" i="5"/>
  <c r="W1540" i="5"/>
  <c r="V1540" i="5"/>
  <c r="U1540" i="5"/>
  <c r="T1540" i="5"/>
  <c r="AA1539" i="5"/>
  <c r="Z1539" i="5"/>
  <c r="Y1539" i="5"/>
  <c r="X1539" i="5"/>
  <c r="W1539" i="5"/>
  <c r="V1539" i="5"/>
  <c r="U1539" i="5"/>
  <c r="T1539" i="5"/>
  <c r="AA1538" i="5"/>
  <c r="Z1538" i="5"/>
  <c r="Y1538" i="5"/>
  <c r="X1538" i="5"/>
  <c r="W1538" i="5"/>
  <c r="V1538" i="5"/>
  <c r="U1538" i="5"/>
  <c r="T1538" i="5"/>
  <c r="AA1537" i="5"/>
  <c r="Z1537" i="5"/>
  <c r="Y1537" i="5"/>
  <c r="X1537" i="5"/>
  <c r="W1537" i="5"/>
  <c r="V1537" i="5"/>
  <c r="U1537" i="5"/>
  <c r="T1537" i="5"/>
  <c r="AA1536" i="5"/>
  <c r="Z1536" i="5"/>
  <c r="Y1536" i="5"/>
  <c r="X1536" i="5"/>
  <c r="W1536" i="5"/>
  <c r="V1536" i="5"/>
  <c r="U1536" i="5"/>
  <c r="T1536" i="5"/>
  <c r="AA1535" i="5"/>
  <c r="Z1535" i="5"/>
  <c r="Y1535" i="5"/>
  <c r="X1535" i="5"/>
  <c r="W1535" i="5"/>
  <c r="V1535" i="5"/>
  <c r="U1535" i="5"/>
  <c r="T1535" i="5"/>
  <c r="AA1534" i="5"/>
  <c r="Z1534" i="5"/>
  <c r="Y1534" i="5"/>
  <c r="X1534" i="5"/>
  <c r="W1534" i="5"/>
  <c r="V1534" i="5"/>
  <c r="U1534" i="5"/>
  <c r="T1534" i="5"/>
  <c r="AA1533" i="5"/>
  <c r="Z1533" i="5"/>
  <c r="Y1533" i="5"/>
  <c r="X1533" i="5"/>
  <c r="W1533" i="5"/>
  <c r="V1533" i="5"/>
  <c r="U1533" i="5"/>
  <c r="T1533" i="5"/>
  <c r="AA1532" i="5"/>
  <c r="Z1532" i="5"/>
  <c r="Y1532" i="5"/>
  <c r="X1532" i="5"/>
  <c r="W1532" i="5"/>
  <c r="V1532" i="5"/>
  <c r="U1532" i="5"/>
  <c r="T1532" i="5"/>
  <c r="AA1531" i="5"/>
  <c r="Z1531" i="5"/>
  <c r="Y1531" i="5"/>
  <c r="X1531" i="5"/>
  <c r="W1531" i="5"/>
  <c r="V1531" i="5"/>
  <c r="U1531" i="5"/>
  <c r="T1531" i="5"/>
  <c r="AA1530" i="5"/>
  <c r="Z1530" i="5"/>
  <c r="Y1530" i="5"/>
  <c r="X1530" i="5"/>
  <c r="W1530" i="5"/>
  <c r="V1530" i="5"/>
  <c r="U1530" i="5"/>
  <c r="T1530" i="5"/>
  <c r="AA1529" i="5"/>
  <c r="Z1529" i="5"/>
  <c r="Y1529" i="5"/>
  <c r="X1529" i="5"/>
  <c r="W1529" i="5"/>
  <c r="V1529" i="5"/>
  <c r="U1529" i="5"/>
  <c r="T1529" i="5"/>
  <c r="AA1528" i="5"/>
  <c r="Z1528" i="5"/>
  <c r="Y1528" i="5"/>
  <c r="X1528" i="5"/>
  <c r="W1528" i="5"/>
  <c r="V1528" i="5"/>
  <c r="U1528" i="5"/>
  <c r="T1528" i="5"/>
  <c r="AA1527" i="5"/>
  <c r="Z1527" i="5"/>
  <c r="Y1527" i="5"/>
  <c r="X1527" i="5"/>
  <c r="W1527" i="5"/>
  <c r="V1527" i="5"/>
  <c r="U1527" i="5"/>
  <c r="T1527" i="5"/>
  <c r="AA1526" i="5"/>
  <c r="Z1526" i="5"/>
  <c r="Y1526" i="5"/>
  <c r="X1526" i="5"/>
  <c r="W1526" i="5"/>
  <c r="V1526" i="5"/>
  <c r="U1526" i="5"/>
  <c r="T1526" i="5"/>
  <c r="AA1525" i="5"/>
  <c r="Z1525" i="5"/>
  <c r="Y1525" i="5"/>
  <c r="X1525" i="5"/>
  <c r="W1525" i="5"/>
  <c r="V1525" i="5"/>
  <c r="U1525" i="5"/>
  <c r="T1525" i="5"/>
  <c r="AA1524" i="5"/>
  <c r="Z1524" i="5"/>
  <c r="Y1524" i="5"/>
  <c r="X1524" i="5"/>
  <c r="W1524" i="5"/>
  <c r="V1524" i="5"/>
  <c r="U1524" i="5"/>
  <c r="T1524" i="5"/>
  <c r="AA1523" i="5"/>
  <c r="Z1523" i="5"/>
  <c r="Y1523" i="5"/>
  <c r="X1523" i="5"/>
  <c r="W1523" i="5"/>
  <c r="V1523" i="5"/>
  <c r="U1523" i="5"/>
  <c r="T1523" i="5"/>
  <c r="AA1522" i="5"/>
  <c r="Z1522" i="5"/>
  <c r="Y1522" i="5"/>
  <c r="X1522" i="5"/>
  <c r="W1522" i="5"/>
  <c r="V1522" i="5"/>
  <c r="U1522" i="5"/>
  <c r="T1522" i="5"/>
  <c r="AA1521" i="5"/>
  <c r="Z1521" i="5"/>
  <c r="Y1521" i="5"/>
  <c r="X1521" i="5"/>
  <c r="W1521" i="5"/>
  <c r="V1521" i="5"/>
  <c r="U1521" i="5"/>
  <c r="T1521" i="5"/>
  <c r="AA1520" i="5"/>
  <c r="Z1520" i="5"/>
  <c r="Y1520" i="5"/>
  <c r="X1520" i="5"/>
  <c r="W1520" i="5"/>
  <c r="V1520" i="5"/>
  <c r="U1520" i="5"/>
  <c r="T1520" i="5"/>
  <c r="AA1519" i="5"/>
  <c r="Z1519" i="5"/>
  <c r="Y1519" i="5"/>
  <c r="X1519" i="5"/>
  <c r="W1519" i="5"/>
  <c r="V1519" i="5"/>
  <c r="U1519" i="5"/>
  <c r="T1519" i="5"/>
  <c r="AA1518" i="5"/>
  <c r="Z1518" i="5"/>
  <c r="Y1518" i="5"/>
  <c r="X1518" i="5"/>
  <c r="W1518" i="5"/>
  <c r="V1518" i="5"/>
  <c r="U1518" i="5"/>
  <c r="T1518" i="5"/>
  <c r="AA1517" i="5"/>
  <c r="Z1517" i="5"/>
  <c r="Y1517" i="5"/>
  <c r="X1517" i="5"/>
  <c r="W1517" i="5"/>
  <c r="V1517" i="5"/>
  <c r="U1517" i="5"/>
  <c r="T1517" i="5"/>
  <c r="AA1516" i="5"/>
  <c r="Z1516" i="5"/>
  <c r="Y1516" i="5"/>
  <c r="X1516" i="5"/>
  <c r="W1516" i="5"/>
  <c r="V1516" i="5"/>
  <c r="U1516" i="5"/>
  <c r="T1516" i="5"/>
  <c r="AA1515" i="5"/>
  <c r="Z1515" i="5"/>
  <c r="Y1515" i="5"/>
  <c r="X1515" i="5"/>
  <c r="W1515" i="5"/>
  <c r="V1515" i="5"/>
  <c r="U1515" i="5"/>
  <c r="T1515" i="5"/>
  <c r="AA1514" i="5"/>
  <c r="Z1514" i="5"/>
  <c r="Y1514" i="5"/>
  <c r="X1514" i="5"/>
  <c r="W1514" i="5"/>
  <c r="V1514" i="5"/>
  <c r="U1514" i="5"/>
  <c r="T1514" i="5"/>
  <c r="AA1513" i="5"/>
  <c r="Z1513" i="5"/>
  <c r="Y1513" i="5"/>
  <c r="X1513" i="5"/>
  <c r="W1513" i="5"/>
  <c r="V1513" i="5"/>
  <c r="U1513" i="5"/>
  <c r="T1513" i="5"/>
  <c r="AA1512" i="5"/>
  <c r="Z1512" i="5"/>
  <c r="Y1512" i="5"/>
  <c r="X1512" i="5"/>
  <c r="W1512" i="5"/>
  <c r="V1512" i="5"/>
  <c r="U1512" i="5"/>
  <c r="T1512" i="5"/>
  <c r="AA1511" i="5"/>
  <c r="Z1511" i="5"/>
  <c r="Y1511" i="5"/>
  <c r="X1511" i="5"/>
  <c r="W1511" i="5"/>
  <c r="V1511" i="5"/>
  <c r="U1511" i="5"/>
  <c r="T1511" i="5"/>
  <c r="AA1510" i="5"/>
  <c r="Z1510" i="5"/>
  <c r="Y1510" i="5"/>
  <c r="X1510" i="5"/>
  <c r="W1510" i="5"/>
  <c r="V1510" i="5"/>
  <c r="U1510" i="5"/>
  <c r="T1510" i="5"/>
  <c r="AA1509" i="5"/>
  <c r="Z1509" i="5"/>
  <c r="Y1509" i="5"/>
  <c r="X1509" i="5"/>
  <c r="W1509" i="5"/>
  <c r="V1509" i="5"/>
  <c r="U1509" i="5"/>
  <c r="T1509" i="5"/>
  <c r="AA1508" i="5"/>
  <c r="Z1508" i="5"/>
  <c r="Y1508" i="5"/>
  <c r="X1508" i="5"/>
  <c r="W1508" i="5"/>
  <c r="V1508" i="5"/>
  <c r="U1508" i="5"/>
  <c r="T1508" i="5"/>
  <c r="AA1507" i="5"/>
  <c r="Z1507" i="5"/>
  <c r="Y1507" i="5"/>
  <c r="X1507" i="5"/>
  <c r="W1507" i="5"/>
  <c r="V1507" i="5"/>
  <c r="U1507" i="5"/>
  <c r="T1507" i="5"/>
  <c r="AA1506" i="5"/>
  <c r="Z1506" i="5"/>
  <c r="Y1506" i="5"/>
  <c r="X1506" i="5"/>
  <c r="W1506" i="5"/>
  <c r="V1506" i="5"/>
  <c r="U1506" i="5"/>
  <c r="T1506" i="5"/>
  <c r="AA1505" i="5"/>
  <c r="Z1505" i="5"/>
  <c r="Y1505" i="5"/>
  <c r="X1505" i="5"/>
  <c r="W1505" i="5"/>
  <c r="V1505" i="5"/>
  <c r="U1505" i="5"/>
  <c r="T1505" i="5"/>
  <c r="AA1504" i="5"/>
  <c r="Z1504" i="5"/>
  <c r="Y1504" i="5"/>
  <c r="X1504" i="5"/>
  <c r="W1504" i="5"/>
  <c r="V1504" i="5"/>
  <c r="U1504" i="5"/>
  <c r="T1504" i="5"/>
  <c r="AA1503" i="5"/>
  <c r="Z1503" i="5"/>
  <c r="Y1503" i="5"/>
  <c r="X1503" i="5"/>
  <c r="W1503" i="5"/>
  <c r="V1503" i="5"/>
  <c r="U1503" i="5"/>
  <c r="T1503" i="5"/>
  <c r="AA1502" i="5"/>
  <c r="Z1502" i="5"/>
  <c r="Y1502" i="5"/>
  <c r="X1502" i="5"/>
  <c r="W1502" i="5"/>
  <c r="V1502" i="5"/>
  <c r="U1502" i="5"/>
  <c r="T1502" i="5"/>
  <c r="AA1501" i="5"/>
  <c r="Z1501" i="5"/>
  <c r="Y1501" i="5"/>
  <c r="X1501" i="5"/>
  <c r="W1501" i="5"/>
  <c r="V1501" i="5"/>
  <c r="U1501" i="5"/>
  <c r="T1501" i="5"/>
  <c r="AA1500" i="5"/>
  <c r="Z1500" i="5"/>
  <c r="Y1500" i="5"/>
  <c r="X1500" i="5"/>
  <c r="W1500" i="5"/>
  <c r="V1500" i="5"/>
  <c r="U1500" i="5"/>
  <c r="T1500" i="5"/>
  <c r="AA1499" i="5"/>
  <c r="Z1499" i="5"/>
  <c r="Y1499" i="5"/>
  <c r="X1499" i="5"/>
  <c r="W1499" i="5"/>
  <c r="V1499" i="5"/>
  <c r="U1499" i="5"/>
  <c r="T1499" i="5"/>
  <c r="AA1498" i="5"/>
  <c r="Z1498" i="5"/>
  <c r="Y1498" i="5"/>
  <c r="X1498" i="5"/>
  <c r="W1498" i="5"/>
  <c r="V1498" i="5"/>
  <c r="U1498" i="5"/>
  <c r="T1498" i="5"/>
  <c r="AA1497" i="5"/>
  <c r="Z1497" i="5"/>
  <c r="Y1497" i="5"/>
  <c r="X1497" i="5"/>
  <c r="W1497" i="5"/>
  <c r="V1497" i="5"/>
  <c r="U1497" i="5"/>
  <c r="T1497" i="5"/>
  <c r="AA1496" i="5"/>
  <c r="Z1496" i="5"/>
  <c r="Y1496" i="5"/>
  <c r="X1496" i="5"/>
  <c r="W1496" i="5"/>
  <c r="V1496" i="5"/>
  <c r="U1496" i="5"/>
  <c r="T1496" i="5"/>
  <c r="AA1495" i="5"/>
  <c r="Z1495" i="5"/>
  <c r="Y1495" i="5"/>
  <c r="X1495" i="5"/>
  <c r="W1495" i="5"/>
  <c r="V1495" i="5"/>
  <c r="U1495" i="5"/>
  <c r="T1495" i="5"/>
  <c r="AA1494" i="5"/>
  <c r="Z1494" i="5"/>
  <c r="Y1494" i="5"/>
  <c r="X1494" i="5"/>
  <c r="W1494" i="5"/>
  <c r="V1494" i="5"/>
  <c r="U1494" i="5"/>
  <c r="T1494" i="5"/>
  <c r="AA1493" i="5"/>
  <c r="Z1493" i="5"/>
  <c r="Y1493" i="5"/>
  <c r="X1493" i="5"/>
  <c r="W1493" i="5"/>
  <c r="V1493" i="5"/>
  <c r="U1493" i="5"/>
  <c r="T1493" i="5"/>
  <c r="AA1492" i="5"/>
  <c r="Z1492" i="5"/>
  <c r="Y1492" i="5"/>
  <c r="X1492" i="5"/>
  <c r="W1492" i="5"/>
  <c r="V1492" i="5"/>
  <c r="U1492" i="5"/>
  <c r="T1492" i="5"/>
  <c r="AA1491" i="5"/>
  <c r="Z1491" i="5"/>
  <c r="Y1491" i="5"/>
  <c r="X1491" i="5"/>
  <c r="W1491" i="5"/>
  <c r="V1491" i="5"/>
  <c r="U1491" i="5"/>
  <c r="T1491" i="5"/>
  <c r="AA1490" i="5"/>
  <c r="Z1490" i="5"/>
  <c r="Y1490" i="5"/>
  <c r="X1490" i="5"/>
  <c r="W1490" i="5"/>
  <c r="V1490" i="5"/>
  <c r="U1490" i="5"/>
  <c r="T1490" i="5"/>
  <c r="AA1489" i="5"/>
  <c r="Z1489" i="5"/>
  <c r="Y1489" i="5"/>
  <c r="X1489" i="5"/>
  <c r="W1489" i="5"/>
  <c r="V1489" i="5"/>
  <c r="U1489" i="5"/>
  <c r="T1489" i="5"/>
  <c r="AA1488" i="5"/>
  <c r="Z1488" i="5"/>
  <c r="Y1488" i="5"/>
  <c r="X1488" i="5"/>
  <c r="W1488" i="5"/>
  <c r="V1488" i="5"/>
  <c r="U1488" i="5"/>
  <c r="T1488" i="5"/>
  <c r="AA1487" i="5"/>
  <c r="Z1487" i="5"/>
  <c r="Y1487" i="5"/>
  <c r="X1487" i="5"/>
  <c r="W1487" i="5"/>
  <c r="V1487" i="5"/>
  <c r="U1487" i="5"/>
  <c r="T1487" i="5"/>
  <c r="AA1486" i="5"/>
  <c r="Z1486" i="5"/>
  <c r="Y1486" i="5"/>
  <c r="X1486" i="5"/>
  <c r="W1486" i="5"/>
  <c r="V1486" i="5"/>
  <c r="U1486" i="5"/>
  <c r="T1486" i="5"/>
  <c r="AA1485" i="5"/>
  <c r="Z1485" i="5"/>
  <c r="Y1485" i="5"/>
  <c r="X1485" i="5"/>
  <c r="W1485" i="5"/>
  <c r="V1485" i="5"/>
  <c r="U1485" i="5"/>
  <c r="T1485" i="5"/>
  <c r="AA1484" i="5"/>
  <c r="Z1484" i="5"/>
  <c r="Y1484" i="5"/>
  <c r="X1484" i="5"/>
  <c r="W1484" i="5"/>
  <c r="V1484" i="5"/>
  <c r="U1484" i="5"/>
  <c r="T1484" i="5"/>
  <c r="AA1483" i="5"/>
  <c r="Z1483" i="5"/>
  <c r="Y1483" i="5"/>
  <c r="X1483" i="5"/>
  <c r="W1483" i="5"/>
  <c r="V1483" i="5"/>
  <c r="U1483" i="5"/>
  <c r="T1483" i="5"/>
  <c r="AA1482" i="5"/>
  <c r="Z1482" i="5"/>
  <c r="Y1482" i="5"/>
  <c r="X1482" i="5"/>
  <c r="W1482" i="5"/>
  <c r="V1482" i="5"/>
  <c r="U1482" i="5"/>
  <c r="T1482" i="5"/>
  <c r="AA1481" i="5"/>
  <c r="Z1481" i="5"/>
  <c r="Y1481" i="5"/>
  <c r="X1481" i="5"/>
  <c r="W1481" i="5"/>
  <c r="V1481" i="5"/>
  <c r="U1481" i="5"/>
  <c r="T1481" i="5"/>
  <c r="AA1480" i="5"/>
  <c r="Z1480" i="5"/>
  <c r="Y1480" i="5"/>
  <c r="X1480" i="5"/>
  <c r="W1480" i="5"/>
  <c r="V1480" i="5"/>
  <c r="U1480" i="5"/>
  <c r="T1480" i="5"/>
  <c r="AA1479" i="5"/>
  <c r="Z1479" i="5"/>
  <c r="Y1479" i="5"/>
  <c r="X1479" i="5"/>
  <c r="W1479" i="5"/>
  <c r="V1479" i="5"/>
  <c r="U1479" i="5"/>
  <c r="T1479" i="5"/>
  <c r="AA1478" i="5"/>
  <c r="Z1478" i="5"/>
  <c r="Y1478" i="5"/>
  <c r="X1478" i="5"/>
  <c r="W1478" i="5"/>
  <c r="V1478" i="5"/>
  <c r="U1478" i="5"/>
  <c r="T1478" i="5"/>
  <c r="AA1477" i="5"/>
  <c r="Z1477" i="5"/>
  <c r="Y1477" i="5"/>
  <c r="X1477" i="5"/>
  <c r="W1477" i="5"/>
  <c r="V1477" i="5"/>
  <c r="U1477" i="5"/>
  <c r="T1477" i="5"/>
  <c r="AA1476" i="5"/>
  <c r="Z1476" i="5"/>
  <c r="Y1476" i="5"/>
  <c r="X1476" i="5"/>
  <c r="W1476" i="5"/>
  <c r="V1476" i="5"/>
  <c r="U1476" i="5"/>
  <c r="T1476" i="5"/>
  <c r="AA1475" i="5"/>
  <c r="Z1475" i="5"/>
  <c r="Y1475" i="5"/>
  <c r="X1475" i="5"/>
  <c r="W1475" i="5"/>
  <c r="V1475" i="5"/>
  <c r="U1475" i="5"/>
  <c r="T1475" i="5"/>
  <c r="AA1474" i="5"/>
  <c r="Z1474" i="5"/>
  <c r="Y1474" i="5"/>
  <c r="X1474" i="5"/>
  <c r="W1474" i="5"/>
  <c r="V1474" i="5"/>
  <c r="U1474" i="5"/>
  <c r="T1474" i="5"/>
  <c r="AA1473" i="5"/>
  <c r="Z1473" i="5"/>
  <c r="Y1473" i="5"/>
  <c r="X1473" i="5"/>
  <c r="W1473" i="5"/>
  <c r="V1473" i="5"/>
  <c r="U1473" i="5"/>
  <c r="T1473" i="5"/>
  <c r="AA1472" i="5"/>
  <c r="Z1472" i="5"/>
  <c r="Y1472" i="5"/>
  <c r="X1472" i="5"/>
  <c r="W1472" i="5"/>
  <c r="V1472" i="5"/>
  <c r="U1472" i="5"/>
  <c r="T1472" i="5"/>
  <c r="AA1471" i="5"/>
  <c r="Z1471" i="5"/>
  <c r="Y1471" i="5"/>
  <c r="X1471" i="5"/>
  <c r="W1471" i="5"/>
  <c r="V1471" i="5"/>
  <c r="U1471" i="5"/>
  <c r="T1471" i="5"/>
  <c r="AA1470" i="5"/>
  <c r="Z1470" i="5"/>
  <c r="Y1470" i="5"/>
  <c r="X1470" i="5"/>
  <c r="W1470" i="5"/>
  <c r="V1470" i="5"/>
  <c r="U1470" i="5"/>
  <c r="T1470" i="5"/>
  <c r="AA1469" i="5"/>
  <c r="Z1469" i="5"/>
  <c r="Y1469" i="5"/>
  <c r="X1469" i="5"/>
  <c r="W1469" i="5"/>
  <c r="V1469" i="5"/>
  <c r="U1469" i="5"/>
  <c r="T1469" i="5"/>
  <c r="AA1468" i="5"/>
  <c r="Z1468" i="5"/>
  <c r="Y1468" i="5"/>
  <c r="X1468" i="5"/>
  <c r="W1468" i="5"/>
  <c r="V1468" i="5"/>
  <c r="U1468" i="5"/>
  <c r="T1468" i="5"/>
  <c r="AA1467" i="5"/>
  <c r="Z1467" i="5"/>
  <c r="Y1467" i="5"/>
  <c r="X1467" i="5"/>
  <c r="W1467" i="5"/>
  <c r="V1467" i="5"/>
  <c r="U1467" i="5"/>
  <c r="T1467" i="5"/>
  <c r="AA1466" i="5"/>
  <c r="Z1466" i="5"/>
  <c r="Y1466" i="5"/>
  <c r="X1466" i="5"/>
  <c r="W1466" i="5"/>
  <c r="V1466" i="5"/>
  <c r="U1466" i="5"/>
  <c r="T1466" i="5"/>
  <c r="AA1465" i="5"/>
  <c r="Z1465" i="5"/>
  <c r="Y1465" i="5"/>
  <c r="X1465" i="5"/>
  <c r="W1465" i="5"/>
  <c r="V1465" i="5"/>
  <c r="U1465" i="5"/>
  <c r="T1465" i="5"/>
  <c r="AA1464" i="5"/>
  <c r="Z1464" i="5"/>
  <c r="Y1464" i="5"/>
  <c r="X1464" i="5"/>
  <c r="W1464" i="5"/>
  <c r="V1464" i="5"/>
  <c r="U1464" i="5"/>
  <c r="T1464" i="5"/>
  <c r="AA1463" i="5"/>
  <c r="Z1463" i="5"/>
  <c r="Y1463" i="5"/>
  <c r="X1463" i="5"/>
  <c r="W1463" i="5"/>
  <c r="V1463" i="5"/>
  <c r="U1463" i="5"/>
  <c r="T1463" i="5"/>
  <c r="AA1462" i="5"/>
  <c r="Z1462" i="5"/>
  <c r="Y1462" i="5"/>
  <c r="X1462" i="5"/>
  <c r="W1462" i="5"/>
  <c r="V1462" i="5"/>
  <c r="U1462" i="5"/>
  <c r="T1462" i="5"/>
  <c r="AA1461" i="5"/>
  <c r="Z1461" i="5"/>
  <c r="Y1461" i="5"/>
  <c r="X1461" i="5"/>
  <c r="W1461" i="5"/>
  <c r="V1461" i="5"/>
  <c r="U1461" i="5"/>
  <c r="T1461" i="5"/>
  <c r="AA1460" i="5"/>
  <c r="Z1460" i="5"/>
  <c r="Y1460" i="5"/>
  <c r="X1460" i="5"/>
  <c r="W1460" i="5"/>
  <c r="V1460" i="5"/>
  <c r="U1460" i="5"/>
  <c r="T1460" i="5"/>
  <c r="AA1459" i="5"/>
  <c r="Z1459" i="5"/>
  <c r="Y1459" i="5"/>
  <c r="X1459" i="5"/>
  <c r="W1459" i="5"/>
  <c r="V1459" i="5"/>
  <c r="U1459" i="5"/>
  <c r="T1459" i="5"/>
  <c r="AA1458" i="5"/>
  <c r="Z1458" i="5"/>
  <c r="Y1458" i="5"/>
  <c r="X1458" i="5"/>
  <c r="W1458" i="5"/>
  <c r="V1458" i="5"/>
  <c r="U1458" i="5"/>
  <c r="T1458" i="5"/>
  <c r="AA1457" i="5"/>
  <c r="Z1457" i="5"/>
  <c r="Y1457" i="5"/>
  <c r="X1457" i="5"/>
  <c r="W1457" i="5"/>
  <c r="V1457" i="5"/>
  <c r="U1457" i="5"/>
  <c r="T1457" i="5"/>
  <c r="AA1456" i="5"/>
  <c r="Z1456" i="5"/>
  <c r="Y1456" i="5"/>
  <c r="X1456" i="5"/>
  <c r="W1456" i="5"/>
  <c r="V1456" i="5"/>
  <c r="U1456" i="5"/>
  <c r="T1456" i="5"/>
  <c r="AA1455" i="5"/>
  <c r="Z1455" i="5"/>
  <c r="Y1455" i="5"/>
  <c r="X1455" i="5"/>
  <c r="W1455" i="5"/>
  <c r="V1455" i="5"/>
  <c r="U1455" i="5"/>
  <c r="T1455" i="5"/>
  <c r="AA1454" i="5"/>
  <c r="Z1454" i="5"/>
  <c r="Y1454" i="5"/>
  <c r="X1454" i="5"/>
  <c r="W1454" i="5"/>
  <c r="V1454" i="5"/>
  <c r="U1454" i="5"/>
  <c r="T1454" i="5"/>
  <c r="AA1453" i="5"/>
  <c r="Z1453" i="5"/>
  <c r="Y1453" i="5"/>
  <c r="X1453" i="5"/>
  <c r="W1453" i="5"/>
  <c r="V1453" i="5"/>
  <c r="U1453" i="5"/>
  <c r="T1453" i="5"/>
  <c r="AA1452" i="5"/>
  <c r="Z1452" i="5"/>
  <c r="Y1452" i="5"/>
  <c r="X1452" i="5"/>
  <c r="W1452" i="5"/>
  <c r="V1452" i="5"/>
  <c r="U1452" i="5"/>
  <c r="T1452" i="5"/>
  <c r="AA1451" i="5"/>
  <c r="Z1451" i="5"/>
  <c r="Y1451" i="5"/>
  <c r="X1451" i="5"/>
  <c r="W1451" i="5"/>
  <c r="V1451" i="5"/>
  <c r="U1451" i="5"/>
  <c r="T1451" i="5"/>
  <c r="AA1450" i="5"/>
  <c r="Z1450" i="5"/>
  <c r="Y1450" i="5"/>
  <c r="X1450" i="5"/>
  <c r="W1450" i="5"/>
  <c r="V1450" i="5"/>
  <c r="U1450" i="5"/>
  <c r="T1450" i="5"/>
  <c r="AA1449" i="5"/>
  <c r="Z1449" i="5"/>
  <c r="Y1449" i="5"/>
  <c r="X1449" i="5"/>
  <c r="W1449" i="5"/>
  <c r="V1449" i="5"/>
  <c r="U1449" i="5"/>
  <c r="T1449" i="5"/>
  <c r="AA1448" i="5"/>
  <c r="Z1448" i="5"/>
  <c r="Y1448" i="5"/>
  <c r="X1448" i="5"/>
  <c r="W1448" i="5"/>
  <c r="V1448" i="5"/>
  <c r="U1448" i="5"/>
  <c r="T1448" i="5"/>
  <c r="AA1447" i="5"/>
  <c r="Z1447" i="5"/>
  <c r="Y1447" i="5"/>
  <c r="X1447" i="5"/>
  <c r="W1447" i="5"/>
  <c r="V1447" i="5"/>
  <c r="U1447" i="5"/>
  <c r="T1447" i="5"/>
  <c r="AA1446" i="5"/>
  <c r="Z1446" i="5"/>
  <c r="Y1446" i="5"/>
  <c r="X1446" i="5"/>
  <c r="W1446" i="5"/>
  <c r="V1446" i="5"/>
  <c r="U1446" i="5"/>
  <c r="T1446" i="5"/>
  <c r="AA1445" i="5"/>
  <c r="Z1445" i="5"/>
  <c r="Y1445" i="5"/>
  <c r="X1445" i="5"/>
  <c r="W1445" i="5"/>
  <c r="V1445" i="5"/>
  <c r="U1445" i="5"/>
  <c r="T1445" i="5"/>
  <c r="AA1444" i="5"/>
  <c r="Z1444" i="5"/>
  <c r="Y1444" i="5"/>
  <c r="X1444" i="5"/>
  <c r="W1444" i="5"/>
  <c r="V1444" i="5"/>
  <c r="U1444" i="5"/>
  <c r="T1444" i="5"/>
  <c r="AA1443" i="5"/>
  <c r="Z1443" i="5"/>
  <c r="Y1443" i="5"/>
  <c r="X1443" i="5"/>
  <c r="W1443" i="5"/>
  <c r="V1443" i="5"/>
  <c r="U1443" i="5"/>
  <c r="T1443" i="5"/>
  <c r="AA1442" i="5"/>
  <c r="Z1442" i="5"/>
  <c r="Y1442" i="5"/>
  <c r="X1442" i="5"/>
  <c r="W1442" i="5"/>
  <c r="V1442" i="5"/>
  <c r="U1442" i="5"/>
  <c r="T1442" i="5"/>
  <c r="AA1441" i="5"/>
  <c r="Z1441" i="5"/>
  <c r="Y1441" i="5"/>
  <c r="X1441" i="5"/>
  <c r="W1441" i="5"/>
  <c r="V1441" i="5"/>
  <c r="U1441" i="5"/>
  <c r="T1441" i="5"/>
  <c r="AA1440" i="5"/>
  <c r="Z1440" i="5"/>
  <c r="Y1440" i="5"/>
  <c r="X1440" i="5"/>
  <c r="W1440" i="5"/>
  <c r="V1440" i="5"/>
  <c r="U1440" i="5"/>
  <c r="T1440" i="5"/>
  <c r="AA1439" i="5"/>
  <c r="Z1439" i="5"/>
  <c r="Y1439" i="5"/>
  <c r="X1439" i="5"/>
  <c r="W1439" i="5"/>
  <c r="V1439" i="5"/>
  <c r="U1439" i="5"/>
  <c r="T1439" i="5"/>
  <c r="AA1438" i="5"/>
  <c r="Z1438" i="5"/>
  <c r="Y1438" i="5"/>
  <c r="X1438" i="5"/>
  <c r="W1438" i="5"/>
  <c r="V1438" i="5"/>
  <c r="U1438" i="5"/>
  <c r="T1438" i="5"/>
  <c r="AA1437" i="5"/>
  <c r="Z1437" i="5"/>
  <c r="Y1437" i="5"/>
  <c r="X1437" i="5"/>
  <c r="W1437" i="5"/>
  <c r="V1437" i="5"/>
  <c r="U1437" i="5"/>
  <c r="T1437" i="5"/>
  <c r="AA1436" i="5"/>
  <c r="Z1436" i="5"/>
  <c r="Y1436" i="5"/>
  <c r="X1436" i="5"/>
  <c r="W1436" i="5"/>
  <c r="V1436" i="5"/>
  <c r="U1436" i="5"/>
  <c r="T1436" i="5"/>
  <c r="AA1435" i="5"/>
  <c r="Z1435" i="5"/>
  <c r="Y1435" i="5"/>
  <c r="X1435" i="5"/>
  <c r="W1435" i="5"/>
  <c r="V1435" i="5"/>
  <c r="U1435" i="5"/>
  <c r="T1435" i="5"/>
  <c r="AA1434" i="5"/>
  <c r="Z1434" i="5"/>
  <c r="Y1434" i="5"/>
  <c r="X1434" i="5"/>
  <c r="W1434" i="5"/>
  <c r="V1434" i="5"/>
  <c r="U1434" i="5"/>
  <c r="T1434" i="5"/>
  <c r="AA1433" i="5"/>
  <c r="Z1433" i="5"/>
  <c r="Y1433" i="5"/>
  <c r="X1433" i="5"/>
  <c r="W1433" i="5"/>
  <c r="V1433" i="5"/>
  <c r="U1433" i="5"/>
  <c r="T1433" i="5"/>
  <c r="AA1432" i="5"/>
  <c r="Z1432" i="5"/>
  <c r="Y1432" i="5"/>
  <c r="X1432" i="5"/>
  <c r="W1432" i="5"/>
  <c r="V1432" i="5"/>
  <c r="U1432" i="5"/>
  <c r="T1432" i="5"/>
  <c r="AA1431" i="5"/>
  <c r="Z1431" i="5"/>
  <c r="Y1431" i="5"/>
  <c r="X1431" i="5"/>
  <c r="W1431" i="5"/>
  <c r="V1431" i="5"/>
  <c r="U1431" i="5"/>
  <c r="T1431" i="5"/>
  <c r="AA1430" i="5"/>
  <c r="Z1430" i="5"/>
  <c r="Y1430" i="5"/>
  <c r="X1430" i="5"/>
  <c r="W1430" i="5"/>
  <c r="V1430" i="5"/>
  <c r="U1430" i="5"/>
  <c r="T1430" i="5"/>
  <c r="AA1429" i="5"/>
  <c r="Z1429" i="5"/>
  <c r="Y1429" i="5"/>
  <c r="X1429" i="5"/>
  <c r="W1429" i="5"/>
  <c r="V1429" i="5"/>
  <c r="U1429" i="5"/>
  <c r="T1429" i="5"/>
  <c r="AA1428" i="5"/>
  <c r="Z1428" i="5"/>
  <c r="Y1428" i="5"/>
  <c r="X1428" i="5"/>
  <c r="W1428" i="5"/>
  <c r="V1428" i="5"/>
  <c r="U1428" i="5"/>
  <c r="T1428" i="5"/>
  <c r="AA1427" i="5"/>
  <c r="Z1427" i="5"/>
  <c r="Y1427" i="5"/>
  <c r="X1427" i="5"/>
  <c r="W1427" i="5"/>
  <c r="V1427" i="5"/>
  <c r="U1427" i="5"/>
  <c r="T1427" i="5"/>
  <c r="AA1426" i="5"/>
  <c r="Z1426" i="5"/>
  <c r="Y1426" i="5"/>
  <c r="X1426" i="5"/>
  <c r="W1426" i="5"/>
  <c r="V1426" i="5"/>
  <c r="U1426" i="5"/>
  <c r="T1426" i="5"/>
  <c r="AA1425" i="5"/>
  <c r="Z1425" i="5"/>
  <c r="Y1425" i="5"/>
  <c r="X1425" i="5"/>
  <c r="W1425" i="5"/>
  <c r="V1425" i="5"/>
  <c r="U1425" i="5"/>
  <c r="T1425" i="5"/>
  <c r="AA1424" i="5"/>
  <c r="Z1424" i="5"/>
  <c r="Y1424" i="5"/>
  <c r="X1424" i="5"/>
  <c r="W1424" i="5"/>
  <c r="V1424" i="5"/>
  <c r="U1424" i="5"/>
  <c r="T1424" i="5"/>
  <c r="AA1423" i="5"/>
  <c r="Z1423" i="5"/>
  <c r="Y1423" i="5"/>
  <c r="X1423" i="5"/>
  <c r="W1423" i="5"/>
  <c r="V1423" i="5"/>
  <c r="U1423" i="5"/>
  <c r="T1423" i="5"/>
  <c r="AA1422" i="5"/>
  <c r="Z1422" i="5"/>
  <c r="Y1422" i="5"/>
  <c r="X1422" i="5"/>
  <c r="W1422" i="5"/>
  <c r="V1422" i="5"/>
  <c r="U1422" i="5"/>
  <c r="T1422" i="5"/>
  <c r="AA1421" i="5"/>
  <c r="Z1421" i="5"/>
  <c r="Y1421" i="5"/>
  <c r="X1421" i="5"/>
  <c r="W1421" i="5"/>
  <c r="V1421" i="5"/>
  <c r="U1421" i="5"/>
  <c r="T1421" i="5"/>
  <c r="AA1420" i="5"/>
  <c r="Z1420" i="5"/>
  <c r="Y1420" i="5"/>
  <c r="X1420" i="5"/>
  <c r="W1420" i="5"/>
  <c r="V1420" i="5"/>
  <c r="U1420" i="5"/>
  <c r="T1420" i="5"/>
  <c r="AA1419" i="5"/>
  <c r="Z1419" i="5"/>
  <c r="Y1419" i="5"/>
  <c r="X1419" i="5"/>
  <c r="W1419" i="5"/>
  <c r="V1419" i="5"/>
  <c r="U1419" i="5"/>
  <c r="T1419" i="5"/>
  <c r="AA1418" i="5"/>
  <c r="Z1418" i="5"/>
  <c r="Y1418" i="5"/>
  <c r="X1418" i="5"/>
  <c r="W1418" i="5"/>
  <c r="V1418" i="5"/>
  <c r="U1418" i="5"/>
  <c r="T1418" i="5"/>
  <c r="AA1417" i="5"/>
  <c r="Z1417" i="5"/>
  <c r="Y1417" i="5"/>
  <c r="X1417" i="5"/>
  <c r="W1417" i="5"/>
  <c r="V1417" i="5"/>
  <c r="U1417" i="5"/>
  <c r="T1417" i="5"/>
  <c r="AA1416" i="5"/>
  <c r="Z1416" i="5"/>
  <c r="Y1416" i="5"/>
  <c r="X1416" i="5"/>
  <c r="W1416" i="5"/>
  <c r="V1416" i="5"/>
  <c r="U1416" i="5"/>
  <c r="T1416" i="5"/>
  <c r="AA1415" i="5"/>
  <c r="Z1415" i="5"/>
  <c r="Y1415" i="5"/>
  <c r="X1415" i="5"/>
  <c r="W1415" i="5"/>
  <c r="V1415" i="5"/>
  <c r="U1415" i="5"/>
  <c r="T1415" i="5"/>
  <c r="AA1414" i="5"/>
  <c r="Z1414" i="5"/>
  <c r="Y1414" i="5"/>
  <c r="X1414" i="5"/>
  <c r="W1414" i="5"/>
  <c r="V1414" i="5"/>
  <c r="U1414" i="5"/>
  <c r="T1414" i="5"/>
  <c r="AA1413" i="5"/>
  <c r="Z1413" i="5"/>
  <c r="Y1413" i="5"/>
  <c r="X1413" i="5"/>
  <c r="W1413" i="5"/>
  <c r="V1413" i="5"/>
  <c r="U1413" i="5"/>
  <c r="T1413" i="5"/>
  <c r="AA1412" i="5"/>
  <c r="Z1412" i="5"/>
  <c r="Y1412" i="5"/>
  <c r="X1412" i="5"/>
  <c r="W1412" i="5"/>
  <c r="V1412" i="5"/>
  <c r="U1412" i="5"/>
  <c r="T1412" i="5"/>
  <c r="AA1411" i="5"/>
  <c r="Z1411" i="5"/>
  <c r="Y1411" i="5"/>
  <c r="X1411" i="5"/>
  <c r="W1411" i="5"/>
  <c r="V1411" i="5"/>
  <c r="U1411" i="5"/>
  <c r="T1411" i="5"/>
  <c r="AA1410" i="5"/>
  <c r="Z1410" i="5"/>
  <c r="Y1410" i="5"/>
  <c r="X1410" i="5"/>
  <c r="W1410" i="5"/>
  <c r="V1410" i="5"/>
  <c r="U1410" i="5"/>
  <c r="T1410" i="5"/>
  <c r="AA1409" i="5"/>
  <c r="Z1409" i="5"/>
  <c r="Y1409" i="5"/>
  <c r="X1409" i="5"/>
  <c r="W1409" i="5"/>
  <c r="V1409" i="5"/>
  <c r="U1409" i="5"/>
  <c r="T1409" i="5"/>
  <c r="AA1408" i="5"/>
  <c r="Z1408" i="5"/>
  <c r="Y1408" i="5"/>
  <c r="X1408" i="5"/>
  <c r="W1408" i="5"/>
  <c r="V1408" i="5"/>
  <c r="U1408" i="5"/>
  <c r="T1408" i="5"/>
  <c r="AA1407" i="5"/>
  <c r="Z1407" i="5"/>
  <c r="Y1407" i="5"/>
  <c r="X1407" i="5"/>
  <c r="W1407" i="5"/>
  <c r="V1407" i="5"/>
  <c r="U1407" i="5"/>
  <c r="T1407" i="5"/>
  <c r="AA1406" i="5"/>
  <c r="Z1406" i="5"/>
  <c r="Y1406" i="5"/>
  <c r="X1406" i="5"/>
  <c r="W1406" i="5"/>
  <c r="V1406" i="5"/>
  <c r="U1406" i="5"/>
  <c r="T1406" i="5"/>
  <c r="AA1405" i="5"/>
  <c r="Z1405" i="5"/>
  <c r="Y1405" i="5"/>
  <c r="X1405" i="5"/>
  <c r="W1405" i="5"/>
  <c r="V1405" i="5"/>
  <c r="U1405" i="5"/>
  <c r="T1405" i="5"/>
  <c r="AA1404" i="5"/>
  <c r="Z1404" i="5"/>
  <c r="Y1404" i="5"/>
  <c r="X1404" i="5"/>
  <c r="W1404" i="5"/>
  <c r="V1404" i="5"/>
  <c r="U1404" i="5"/>
  <c r="T1404" i="5"/>
  <c r="AA1403" i="5"/>
  <c r="Z1403" i="5"/>
  <c r="Y1403" i="5"/>
  <c r="X1403" i="5"/>
  <c r="W1403" i="5"/>
  <c r="V1403" i="5"/>
  <c r="U1403" i="5"/>
  <c r="T1403" i="5"/>
  <c r="AA1402" i="5"/>
  <c r="Z1402" i="5"/>
  <c r="Y1402" i="5"/>
  <c r="X1402" i="5"/>
  <c r="W1402" i="5"/>
  <c r="V1402" i="5"/>
  <c r="U1402" i="5"/>
  <c r="T1402" i="5"/>
  <c r="AA1401" i="5"/>
  <c r="Z1401" i="5"/>
  <c r="Y1401" i="5"/>
  <c r="X1401" i="5"/>
  <c r="W1401" i="5"/>
  <c r="V1401" i="5"/>
  <c r="U1401" i="5"/>
  <c r="T1401" i="5"/>
  <c r="AA1400" i="5"/>
  <c r="Z1400" i="5"/>
  <c r="Y1400" i="5"/>
  <c r="X1400" i="5"/>
  <c r="W1400" i="5"/>
  <c r="V1400" i="5"/>
  <c r="U1400" i="5"/>
  <c r="T1400" i="5"/>
  <c r="AA1399" i="5"/>
  <c r="Z1399" i="5"/>
  <c r="Y1399" i="5"/>
  <c r="X1399" i="5"/>
  <c r="W1399" i="5"/>
  <c r="V1399" i="5"/>
  <c r="U1399" i="5"/>
  <c r="T1399" i="5"/>
  <c r="AA1398" i="5"/>
  <c r="Z1398" i="5"/>
  <c r="Y1398" i="5"/>
  <c r="X1398" i="5"/>
  <c r="W1398" i="5"/>
  <c r="V1398" i="5"/>
  <c r="U1398" i="5"/>
  <c r="T1398" i="5"/>
  <c r="AA1397" i="5"/>
  <c r="Z1397" i="5"/>
  <c r="Y1397" i="5"/>
  <c r="X1397" i="5"/>
  <c r="W1397" i="5"/>
  <c r="V1397" i="5"/>
  <c r="U1397" i="5"/>
  <c r="T1397" i="5"/>
  <c r="AA1396" i="5"/>
  <c r="Z1396" i="5"/>
  <c r="Y1396" i="5"/>
  <c r="X1396" i="5"/>
  <c r="W1396" i="5"/>
  <c r="V1396" i="5"/>
  <c r="U1396" i="5"/>
  <c r="T1396" i="5"/>
  <c r="AA1395" i="5"/>
  <c r="Z1395" i="5"/>
  <c r="Y1395" i="5"/>
  <c r="X1395" i="5"/>
  <c r="W1395" i="5"/>
  <c r="V1395" i="5"/>
  <c r="U1395" i="5"/>
  <c r="T1395" i="5"/>
  <c r="AA1394" i="5"/>
  <c r="Z1394" i="5"/>
  <c r="Y1394" i="5"/>
  <c r="X1394" i="5"/>
  <c r="W1394" i="5"/>
  <c r="V1394" i="5"/>
  <c r="U1394" i="5"/>
  <c r="T1394" i="5"/>
  <c r="AA1393" i="5"/>
  <c r="Z1393" i="5"/>
  <c r="Y1393" i="5"/>
  <c r="X1393" i="5"/>
  <c r="W1393" i="5"/>
  <c r="V1393" i="5"/>
  <c r="U1393" i="5"/>
  <c r="T1393" i="5"/>
  <c r="AA1392" i="5"/>
  <c r="Z1392" i="5"/>
  <c r="Y1392" i="5"/>
  <c r="X1392" i="5"/>
  <c r="W1392" i="5"/>
  <c r="V1392" i="5"/>
  <c r="U1392" i="5"/>
  <c r="T1392" i="5"/>
  <c r="AA1391" i="5"/>
  <c r="Z1391" i="5"/>
  <c r="Y1391" i="5"/>
  <c r="X1391" i="5"/>
  <c r="W1391" i="5"/>
  <c r="V1391" i="5"/>
  <c r="U1391" i="5"/>
  <c r="T1391" i="5"/>
  <c r="AA1390" i="5"/>
  <c r="Z1390" i="5"/>
  <c r="Y1390" i="5"/>
  <c r="X1390" i="5"/>
  <c r="W1390" i="5"/>
  <c r="V1390" i="5"/>
  <c r="U1390" i="5"/>
  <c r="T1390" i="5"/>
  <c r="AA1389" i="5"/>
  <c r="Z1389" i="5"/>
  <c r="Y1389" i="5"/>
  <c r="X1389" i="5"/>
  <c r="W1389" i="5"/>
  <c r="V1389" i="5"/>
  <c r="U1389" i="5"/>
  <c r="T1389" i="5"/>
  <c r="AA1388" i="5"/>
  <c r="Z1388" i="5"/>
  <c r="Y1388" i="5"/>
  <c r="X1388" i="5"/>
  <c r="W1388" i="5"/>
  <c r="V1388" i="5"/>
  <c r="U1388" i="5"/>
  <c r="T1388" i="5"/>
  <c r="AA1387" i="5"/>
  <c r="Z1387" i="5"/>
  <c r="Y1387" i="5"/>
  <c r="X1387" i="5"/>
  <c r="W1387" i="5"/>
  <c r="V1387" i="5"/>
  <c r="U1387" i="5"/>
  <c r="T1387" i="5"/>
  <c r="AA1386" i="5"/>
  <c r="Z1386" i="5"/>
  <c r="Y1386" i="5"/>
  <c r="X1386" i="5"/>
  <c r="W1386" i="5"/>
  <c r="V1386" i="5"/>
  <c r="U1386" i="5"/>
  <c r="T1386" i="5"/>
  <c r="AA1385" i="5"/>
  <c r="Z1385" i="5"/>
  <c r="Y1385" i="5"/>
  <c r="X1385" i="5"/>
  <c r="W1385" i="5"/>
  <c r="V1385" i="5"/>
  <c r="U1385" i="5"/>
  <c r="T1385" i="5"/>
  <c r="AA1384" i="5"/>
  <c r="Z1384" i="5"/>
  <c r="Y1384" i="5"/>
  <c r="X1384" i="5"/>
  <c r="W1384" i="5"/>
  <c r="V1384" i="5"/>
  <c r="U1384" i="5"/>
  <c r="T1384" i="5"/>
  <c r="AA1383" i="5"/>
  <c r="Z1383" i="5"/>
  <c r="Y1383" i="5"/>
  <c r="X1383" i="5"/>
  <c r="W1383" i="5"/>
  <c r="V1383" i="5"/>
  <c r="U1383" i="5"/>
  <c r="T1383" i="5"/>
  <c r="AA1382" i="5"/>
  <c r="Z1382" i="5"/>
  <c r="Y1382" i="5"/>
  <c r="X1382" i="5"/>
  <c r="W1382" i="5"/>
  <c r="V1382" i="5"/>
  <c r="U1382" i="5"/>
  <c r="T1382" i="5"/>
  <c r="AA1381" i="5"/>
  <c r="Z1381" i="5"/>
  <c r="Y1381" i="5"/>
  <c r="X1381" i="5"/>
  <c r="W1381" i="5"/>
  <c r="V1381" i="5"/>
  <c r="U1381" i="5"/>
  <c r="T1381" i="5"/>
  <c r="AA1380" i="5"/>
  <c r="Z1380" i="5"/>
  <c r="Y1380" i="5"/>
  <c r="X1380" i="5"/>
  <c r="W1380" i="5"/>
  <c r="V1380" i="5"/>
  <c r="U1380" i="5"/>
  <c r="T1380" i="5"/>
  <c r="AA1379" i="5"/>
  <c r="Z1379" i="5"/>
  <c r="Y1379" i="5"/>
  <c r="X1379" i="5"/>
  <c r="W1379" i="5"/>
  <c r="V1379" i="5"/>
  <c r="U1379" i="5"/>
  <c r="T1379" i="5"/>
  <c r="AA1378" i="5"/>
  <c r="Z1378" i="5"/>
  <c r="Y1378" i="5"/>
  <c r="X1378" i="5"/>
  <c r="W1378" i="5"/>
  <c r="V1378" i="5"/>
  <c r="U1378" i="5"/>
  <c r="T1378" i="5"/>
  <c r="AA1377" i="5"/>
  <c r="Z1377" i="5"/>
  <c r="Y1377" i="5"/>
  <c r="X1377" i="5"/>
  <c r="W1377" i="5"/>
  <c r="V1377" i="5"/>
  <c r="U1377" i="5"/>
  <c r="T1377" i="5"/>
  <c r="AA1376" i="5"/>
  <c r="Z1376" i="5"/>
  <c r="Y1376" i="5"/>
  <c r="X1376" i="5"/>
  <c r="W1376" i="5"/>
  <c r="V1376" i="5"/>
  <c r="U1376" i="5"/>
  <c r="T1376" i="5"/>
  <c r="AA1375" i="5"/>
  <c r="Z1375" i="5"/>
  <c r="Y1375" i="5"/>
  <c r="X1375" i="5"/>
  <c r="W1375" i="5"/>
  <c r="V1375" i="5"/>
  <c r="U1375" i="5"/>
  <c r="T1375" i="5"/>
  <c r="AA1374" i="5"/>
  <c r="Z1374" i="5"/>
  <c r="Y1374" i="5"/>
  <c r="X1374" i="5"/>
  <c r="W1374" i="5"/>
  <c r="V1374" i="5"/>
  <c r="U1374" i="5"/>
  <c r="T1374" i="5"/>
  <c r="AA1373" i="5"/>
  <c r="Z1373" i="5"/>
  <c r="Y1373" i="5"/>
  <c r="X1373" i="5"/>
  <c r="W1373" i="5"/>
  <c r="V1373" i="5"/>
  <c r="U1373" i="5"/>
  <c r="T1373" i="5"/>
  <c r="AA1372" i="5"/>
  <c r="Z1372" i="5"/>
  <c r="Y1372" i="5"/>
  <c r="X1372" i="5"/>
  <c r="W1372" i="5"/>
  <c r="V1372" i="5"/>
  <c r="U1372" i="5"/>
  <c r="T1372" i="5"/>
  <c r="AA1371" i="5"/>
  <c r="Z1371" i="5"/>
  <c r="Y1371" i="5"/>
  <c r="X1371" i="5"/>
  <c r="W1371" i="5"/>
  <c r="V1371" i="5"/>
  <c r="U1371" i="5"/>
  <c r="T1371" i="5"/>
  <c r="AA1370" i="5"/>
  <c r="Z1370" i="5"/>
  <c r="Y1370" i="5"/>
  <c r="X1370" i="5"/>
  <c r="W1370" i="5"/>
  <c r="V1370" i="5"/>
  <c r="U1370" i="5"/>
  <c r="T1370" i="5"/>
  <c r="AA1369" i="5"/>
  <c r="Z1369" i="5"/>
  <c r="Y1369" i="5"/>
  <c r="X1369" i="5"/>
  <c r="W1369" i="5"/>
  <c r="V1369" i="5"/>
  <c r="U1369" i="5"/>
  <c r="T1369" i="5"/>
  <c r="AA1368" i="5"/>
  <c r="Z1368" i="5"/>
  <c r="Y1368" i="5"/>
  <c r="X1368" i="5"/>
  <c r="W1368" i="5"/>
  <c r="V1368" i="5"/>
  <c r="U1368" i="5"/>
  <c r="T1368" i="5"/>
  <c r="AA1367" i="5"/>
  <c r="Z1367" i="5"/>
  <c r="Y1367" i="5"/>
  <c r="X1367" i="5"/>
  <c r="W1367" i="5"/>
  <c r="V1367" i="5"/>
  <c r="U1367" i="5"/>
  <c r="T1367" i="5"/>
  <c r="AA1366" i="5"/>
  <c r="Z1366" i="5"/>
  <c r="Y1366" i="5"/>
  <c r="X1366" i="5"/>
  <c r="W1366" i="5"/>
  <c r="V1366" i="5"/>
  <c r="U1366" i="5"/>
  <c r="T1366" i="5"/>
  <c r="AA1365" i="5"/>
  <c r="Z1365" i="5"/>
  <c r="Y1365" i="5"/>
  <c r="X1365" i="5"/>
  <c r="W1365" i="5"/>
  <c r="V1365" i="5"/>
  <c r="U1365" i="5"/>
  <c r="T1365" i="5"/>
  <c r="AA1364" i="5"/>
  <c r="Z1364" i="5"/>
  <c r="Y1364" i="5"/>
  <c r="X1364" i="5"/>
  <c r="W1364" i="5"/>
  <c r="V1364" i="5"/>
  <c r="U1364" i="5"/>
  <c r="T1364" i="5"/>
  <c r="AA1363" i="5"/>
  <c r="Z1363" i="5"/>
  <c r="Y1363" i="5"/>
  <c r="X1363" i="5"/>
  <c r="W1363" i="5"/>
  <c r="V1363" i="5"/>
  <c r="U1363" i="5"/>
  <c r="T1363" i="5"/>
  <c r="AA1362" i="5"/>
  <c r="Z1362" i="5"/>
  <c r="Y1362" i="5"/>
  <c r="X1362" i="5"/>
  <c r="W1362" i="5"/>
  <c r="V1362" i="5"/>
  <c r="U1362" i="5"/>
  <c r="T1362" i="5"/>
  <c r="AA1361" i="5"/>
  <c r="Z1361" i="5"/>
  <c r="Y1361" i="5"/>
  <c r="X1361" i="5"/>
  <c r="W1361" i="5"/>
  <c r="V1361" i="5"/>
  <c r="U1361" i="5"/>
  <c r="T1361" i="5"/>
  <c r="AA1360" i="5"/>
  <c r="Z1360" i="5"/>
  <c r="Y1360" i="5"/>
  <c r="X1360" i="5"/>
  <c r="W1360" i="5"/>
  <c r="V1360" i="5"/>
  <c r="U1360" i="5"/>
  <c r="T1360" i="5"/>
  <c r="AA1359" i="5"/>
  <c r="Z1359" i="5"/>
  <c r="Y1359" i="5"/>
  <c r="X1359" i="5"/>
  <c r="W1359" i="5"/>
  <c r="V1359" i="5"/>
  <c r="U1359" i="5"/>
  <c r="T1359" i="5"/>
  <c r="AA1358" i="5"/>
  <c r="Z1358" i="5"/>
  <c r="Y1358" i="5"/>
  <c r="X1358" i="5"/>
  <c r="W1358" i="5"/>
  <c r="V1358" i="5"/>
  <c r="U1358" i="5"/>
  <c r="T1358" i="5"/>
  <c r="AA1357" i="5"/>
  <c r="Z1357" i="5"/>
  <c r="Y1357" i="5"/>
  <c r="X1357" i="5"/>
  <c r="W1357" i="5"/>
  <c r="V1357" i="5"/>
  <c r="U1357" i="5"/>
  <c r="T1357" i="5"/>
  <c r="AA1356" i="5"/>
  <c r="Z1356" i="5"/>
  <c r="Y1356" i="5"/>
  <c r="X1356" i="5"/>
  <c r="W1356" i="5"/>
  <c r="V1356" i="5"/>
  <c r="U1356" i="5"/>
  <c r="T1356" i="5"/>
  <c r="AA1355" i="5"/>
  <c r="Z1355" i="5"/>
  <c r="Y1355" i="5"/>
  <c r="X1355" i="5"/>
  <c r="W1355" i="5"/>
  <c r="V1355" i="5"/>
  <c r="U1355" i="5"/>
  <c r="T1355" i="5"/>
  <c r="AA1354" i="5"/>
  <c r="Z1354" i="5"/>
  <c r="Y1354" i="5"/>
  <c r="X1354" i="5"/>
  <c r="W1354" i="5"/>
  <c r="V1354" i="5"/>
  <c r="U1354" i="5"/>
  <c r="T1354" i="5"/>
  <c r="AA1353" i="5"/>
  <c r="Z1353" i="5"/>
  <c r="Y1353" i="5"/>
  <c r="X1353" i="5"/>
  <c r="W1353" i="5"/>
  <c r="V1353" i="5"/>
  <c r="U1353" i="5"/>
  <c r="T1353" i="5"/>
  <c r="AA1352" i="5"/>
  <c r="Z1352" i="5"/>
  <c r="Y1352" i="5"/>
  <c r="X1352" i="5"/>
  <c r="W1352" i="5"/>
  <c r="V1352" i="5"/>
  <c r="U1352" i="5"/>
  <c r="T1352" i="5"/>
  <c r="AA1351" i="5"/>
  <c r="Z1351" i="5"/>
  <c r="Y1351" i="5"/>
  <c r="X1351" i="5"/>
  <c r="W1351" i="5"/>
  <c r="V1351" i="5"/>
  <c r="U1351" i="5"/>
  <c r="T1351" i="5"/>
  <c r="AA1350" i="5"/>
  <c r="Z1350" i="5"/>
  <c r="Y1350" i="5"/>
  <c r="X1350" i="5"/>
  <c r="W1350" i="5"/>
  <c r="V1350" i="5"/>
  <c r="U1350" i="5"/>
  <c r="T1350" i="5"/>
  <c r="AA1349" i="5"/>
  <c r="Z1349" i="5"/>
  <c r="Y1349" i="5"/>
  <c r="X1349" i="5"/>
  <c r="W1349" i="5"/>
  <c r="V1349" i="5"/>
  <c r="U1349" i="5"/>
  <c r="T1349" i="5"/>
  <c r="AA1348" i="5"/>
  <c r="Z1348" i="5"/>
  <c r="Y1348" i="5"/>
  <c r="X1348" i="5"/>
  <c r="W1348" i="5"/>
  <c r="V1348" i="5"/>
  <c r="U1348" i="5"/>
  <c r="T1348" i="5"/>
  <c r="AA1347" i="5"/>
  <c r="Z1347" i="5"/>
  <c r="Y1347" i="5"/>
  <c r="X1347" i="5"/>
  <c r="W1347" i="5"/>
  <c r="V1347" i="5"/>
  <c r="U1347" i="5"/>
  <c r="T1347" i="5"/>
  <c r="AA1346" i="5"/>
  <c r="Z1346" i="5"/>
  <c r="Y1346" i="5"/>
  <c r="X1346" i="5"/>
  <c r="W1346" i="5"/>
  <c r="V1346" i="5"/>
  <c r="U1346" i="5"/>
  <c r="T1346" i="5"/>
  <c r="AA1345" i="5"/>
  <c r="Z1345" i="5"/>
  <c r="Y1345" i="5"/>
  <c r="X1345" i="5"/>
  <c r="W1345" i="5"/>
  <c r="V1345" i="5"/>
  <c r="U1345" i="5"/>
  <c r="T1345" i="5"/>
  <c r="AA1344" i="5"/>
  <c r="Z1344" i="5"/>
  <c r="Y1344" i="5"/>
  <c r="X1344" i="5"/>
  <c r="W1344" i="5"/>
  <c r="V1344" i="5"/>
  <c r="U1344" i="5"/>
  <c r="T1344" i="5"/>
  <c r="AA1343" i="5"/>
  <c r="Z1343" i="5"/>
  <c r="Y1343" i="5"/>
  <c r="X1343" i="5"/>
  <c r="W1343" i="5"/>
  <c r="V1343" i="5"/>
  <c r="U1343" i="5"/>
  <c r="T1343" i="5"/>
  <c r="AA1342" i="5"/>
  <c r="Z1342" i="5"/>
  <c r="Y1342" i="5"/>
  <c r="X1342" i="5"/>
  <c r="W1342" i="5"/>
  <c r="V1342" i="5"/>
  <c r="U1342" i="5"/>
  <c r="T1342" i="5"/>
  <c r="AA1341" i="5"/>
  <c r="Z1341" i="5"/>
  <c r="Y1341" i="5"/>
  <c r="X1341" i="5"/>
  <c r="W1341" i="5"/>
  <c r="V1341" i="5"/>
  <c r="U1341" i="5"/>
  <c r="T1341" i="5"/>
  <c r="AA1340" i="5"/>
  <c r="Z1340" i="5"/>
  <c r="Y1340" i="5"/>
  <c r="X1340" i="5"/>
  <c r="W1340" i="5"/>
  <c r="V1340" i="5"/>
  <c r="U1340" i="5"/>
  <c r="T1340" i="5"/>
  <c r="AA1339" i="5"/>
  <c r="Z1339" i="5"/>
  <c r="Y1339" i="5"/>
  <c r="X1339" i="5"/>
  <c r="W1339" i="5"/>
  <c r="V1339" i="5"/>
  <c r="U1339" i="5"/>
  <c r="T1339" i="5"/>
  <c r="AA1338" i="5"/>
  <c r="Z1338" i="5"/>
  <c r="Y1338" i="5"/>
  <c r="X1338" i="5"/>
  <c r="W1338" i="5"/>
  <c r="V1338" i="5"/>
  <c r="U1338" i="5"/>
  <c r="T1338" i="5"/>
  <c r="AA1337" i="5"/>
  <c r="Z1337" i="5"/>
  <c r="Y1337" i="5"/>
  <c r="X1337" i="5"/>
  <c r="W1337" i="5"/>
  <c r="V1337" i="5"/>
  <c r="U1337" i="5"/>
  <c r="T1337" i="5"/>
  <c r="AA1336" i="5"/>
  <c r="Z1336" i="5"/>
  <c r="Y1336" i="5"/>
  <c r="X1336" i="5"/>
  <c r="W1336" i="5"/>
  <c r="V1336" i="5"/>
  <c r="U1336" i="5"/>
  <c r="T1336" i="5"/>
  <c r="AA1335" i="5"/>
  <c r="Z1335" i="5"/>
  <c r="Y1335" i="5"/>
  <c r="X1335" i="5"/>
  <c r="W1335" i="5"/>
  <c r="V1335" i="5"/>
  <c r="U1335" i="5"/>
  <c r="T1335" i="5"/>
  <c r="AA1334" i="5"/>
  <c r="Z1334" i="5"/>
  <c r="Y1334" i="5"/>
  <c r="X1334" i="5"/>
  <c r="W1334" i="5"/>
  <c r="V1334" i="5"/>
  <c r="U1334" i="5"/>
  <c r="T1334" i="5"/>
  <c r="AA1333" i="5"/>
  <c r="Z1333" i="5"/>
  <c r="Y1333" i="5"/>
  <c r="X1333" i="5"/>
  <c r="W1333" i="5"/>
  <c r="V1333" i="5"/>
  <c r="U1333" i="5"/>
  <c r="T1333" i="5"/>
  <c r="AA1332" i="5"/>
  <c r="Z1332" i="5"/>
  <c r="Y1332" i="5"/>
  <c r="X1332" i="5"/>
  <c r="W1332" i="5"/>
  <c r="V1332" i="5"/>
  <c r="U1332" i="5"/>
  <c r="T1332" i="5"/>
  <c r="AA1331" i="5"/>
  <c r="Z1331" i="5"/>
  <c r="Y1331" i="5"/>
  <c r="X1331" i="5"/>
  <c r="W1331" i="5"/>
  <c r="V1331" i="5"/>
  <c r="U1331" i="5"/>
  <c r="T1331" i="5"/>
  <c r="AA1330" i="5"/>
  <c r="Z1330" i="5"/>
  <c r="Y1330" i="5"/>
  <c r="X1330" i="5"/>
  <c r="W1330" i="5"/>
  <c r="V1330" i="5"/>
  <c r="U1330" i="5"/>
  <c r="T1330" i="5"/>
  <c r="AA1329" i="5"/>
  <c r="Z1329" i="5"/>
  <c r="Y1329" i="5"/>
  <c r="X1329" i="5"/>
  <c r="W1329" i="5"/>
  <c r="V1329" i="5"/>
  <c r="U1329" i="5"/>
  <c r="T1329" i="5"/>
  <c r="AA1328" i="5"/>
  <c r="Z1328" i="5"/>
  <c r="Y1328" i="5"/>
  <c r="X1328" i="5"/>
  <c r="W1328" i="5"/>
  <c r="V1328" i="5"/>
  <c r="U1328" i="5"/>
  <c r="T1328" i="5"/>
  <c r="AA1327" i="5"/>
  <c r="Z1327" i="5"/>
  <c r="Y1327" i="5"/>
  <c r="X1327" i="5"/>
  <c r="W1327" i="5"/>
  <c r="V1327" i="5"/>
  <c r="U1327" i="5"/>
  <c r="T1327" i="5"/>
  <c r="AA1326" i="5"/>
  <c r="Z1326" i="5"/>
  <c r="Y1326" i="5"/>
  <c r="X1326" i="5"/>
  <c r="W1326" i="5"/>
  <c r="V1326" i="5"/>
  <c r="U1326" i="5"/>
  <c r="T1326" i="5"/>
  <c r="AA1325" i="5"/>
  <c r="Z1325" i="5"/>
  <c r="Y1325" i="5"/>
  <c r="X1325" i="5"/>
  <c r="W1325" i="5"/>
  <c r="V1325" i="5"/>
  <c r="U1325" i="5"/>
  <c r="T1325" i="5"/>
  <c r="AA1324" i="5"/>
  <c r="Z1324" i="5"/>
  <c r="Y1324" i="5"/>
  <c r="X1324" i="5"/>
  <c r="W1324" i="5"/>
  <c r="V1324" i="5"/>
  <c r="U1324" i="5"/>
  <c r="T1324" i="5"/>
  <c r="AA1323" i="5"/>
  <c r="Z1323" i="5"/>
  <c r="Y1323" i="5"/>
  <c r="X1323" i="5"/>
  <c r="W1323" i="5"/>
  <c r="V1323" i="5"/>
  <c r="U1323" i="5"/>
  <c r="T1323" i="5"/>
  <c r="AA1322" i="5"/>
  <c r="Z1322" i="5"/>
  <c r="Y1322" i="5"/>
  <c r="X1322" i="5"/>
  <c r="W1322" i="5"/>
  <c r="V1322" i="5"/>
  <c r="U1322" i="5"/>
  <c r="T1322" i="5"/>
  <c r="AA1321" i="5"/>
  <c r="Z1321" i="5"/>
  <c r="Y1321" i="5"/>
  <c r="X1321" i="5"/>
  <c r="W1321" i="5"/>
  <c r="V1321" i="5"/>
  <c r="U1321" i="5"/>
  <c r="T1321" i="5"/>
  <c r="AA1320" i="5"/>
  <c r="Z1320" i="5"/>
  <c r="Y1320" i="5"/>
  <c r="X1320" i="5"/>
  <c r="W1320" i="5"/>
  <c r="V1320" i="5"/>
  <c r="U1320" i="5"/>
  <c r="T1320" i="5"/>
  <c r="AA1319" i="5"/>
  <c r="Z1319" i="5"/>
  <c r="Y1319" i="5"/>
  <c r="X1319" i="5"/>
  <c r="W1319" i="5"/>
  <c r="V1319" i="5"/>
  <c r="U1319" i="5"/>
  <c r="T1319" i="5"/>
  <c r="AA1318" i="5"/>
  <c r="Z1318" i="5"/>
  <c r="Y1318" i="5"/>
  <c r="X1318" i="5"/>
  <c r="W1318" i="5"/>
  <c r="V1318" i="5"/>
  <c r="U1318" i="5"/>
  <c r="T1318" i="5"/>
  <c r="AA1317" i="5"/>
  <c r="Z1317" i="5"/>
  <c r="Y1317" i="5"/>
  <c r="X1317" i="5"/>
  <c r="W1317" i="5"/>
  <c r="V1317" i="5"/>
  <c r="U1317" i="5"/>
  <c r="T1317" i="5"/>
  <c r="AA1316" i="5"/>
  <c r="Z1316" i="5"/>
  <c r="Y1316" i="5"/>
  <c r="X1316" i="5"/>
  <c r="W1316" i="5"/>
  <c r="V1316" i="5"/>
  <c r="U1316" i="5"/>
  <c r="T1316" i="5"/>
  <c r="AA1315" i="5"/>
  <c r="Z1315" i="5"/>
  <c r="Y1315" i="5"/>
  <c r="X1315" i="5"/>
  <c r="W1315" i="5"/>
  <c r="V1315" i="5"/>
  <c r="U1315" i="5"/>
  <c r="T1315" i="5"/>
  <c r="AA1314" i="5"/>
  <c r="Z1314" i="5"/>
  <c r="Y1314" i="5"/>
  <c r="X1314" i="5"/>
  <c r="W1314" i="5"/>
  <c r="V1314" i="5"/>
  <c r="U1314" i="5"/>
  <c r="T1314" i="5"/>
  <c r="AA1313" i="5"/>
  <c r="Z1313" i="5"/>
  <c r="Y1313" i="5"/>
  <c r="X1313" i="5"/>
  <c r="W1313" i="5"/>
  <c r="V1313" i="5"/>
  <c r="U1313" i="5"/>
  <c r="T1313" i="5"/>
  <c r="AA1312" i="5"/>
  <c r="Z1312" i="5"/>
  <c r="Y1312" i="5"/>
  <c r="X1312" i="5"/>
  <c r="W1312" i="5"/>
  <c r="V1312" i="5"/>
  <c r="U1312" i="5"/>
  <c r="T1312" i="5"/>
  <c r="AA1311" i="5"/>
  <c r="Z1311" i="5"/>
  <c r="Y1311" i="5"/>
  <c r="X1311" i="5"/>
  <c r="W1311" i="5"/>
  <c r="V1311" i="5"/>
  <c r="U1311" i="5"/>
  <c r="T1311" i="5"/>
  <c r="AA1310" i="5"/>
  <c r="Z1310" i="5"/>
  <c r="Y1310" i="5"/>
  <c r="X1310" i="5"/>
  <c r="W1310" i="5"/>
  <c r="V1310" i="5"/>
  <c r="U1310" i="5"/>
  <c r="T1310" i="5"/>
  <c r="AA1309" i="5"/>
  <c r="Z1309" i="5"/>
  <c r="Y1309" i="5"/>
  <c r="X1309" i="5"/>
  <c r="W1309" i="5"/>
  <c r="V1309" i="5"/>
  <c r="U1309" i="5"/>
  <c r="T1309" i="5"/>
  <c r="AA1308" i="5"/>
  <c r="Z1308" i="5"/>
  <c r="Y1308" i="5"/>
  <c r="X1308" i="5"/>
  <c r="W1308" i="5"/>
  <c r="V1308" i="5"/>
  <c r="U1308" i="5"/>
  <c r="T1308" i="5"/>
  <c r="AA1307" i="5"/>
  <c r="Z1307" i="5"/>
  <c r="Y1307" i="5"/>
  <c r="X1307" i="5"/>
  <c r="W1307" i="5"/>
  <c r="V1307" i="5"/>
  <c r="U1307" i="5"/>
  <c r="T1307" i="5"/>
  <c r="AA1306" i="5"/>
  <c r="Z1306" i="5"/>
  <c r="Y1306" i="5"/>
  <c r="X1306" i="5"/>
  <c r="W1306" i="5"/>
  <c r="V1306" i="5"/>
  <c r="U1306" i="5"/>
  <c r="T1306" i="5"/>
  <c r="AA1305" i="5"/>
  <c r="Z1305" i="5"/>
  <c r="Y1305" i="5"/>
  <c r="X1305" i="5"/>
  <c r="W1305" i="5"/>
  <c r="V1305" i="5"/>
  <c r="U1305" i="5"/>
  <c r="T1305" i="5"/>
  <c r="AA1304" i="5"/>
  <c r="Z1304" i="5"/>
  <c r="Y1304" i="5"/>
  <c r="X1304" i="5"/>
  <c r="W1304" i="5"/>
  <c r="V1304" i="5"/>
  <c r="U1304" i="5"/>
  <c r="T1304" i="5"/>
  <c r="AA1303" i="5"/>
  <c r="Z1303" i="5"/>
  <c r="Y1303" i="5"/>
  <c r="X1303" i="5"/>
  <c r="W1303" i="5"/>
  <c r="V1303" i="5"/>
  <c r="U1303" i="5"/>
  <c r="T1303" i="5"/>
  <c r="AA1302" i="5"/>
  <c r="Z1302" i="5"/>
  <c r="Y1302" i="5"/>
  <c r="X1302" i="5"/>
  <c r="W1302" i="5"/>
  <c r="V1302" i="5"/>
  <c r="U1302" i="5"/>
  <c r="T1302" i="5"/>
  <c r="AA1301" i="5"/>
  <c r="Z1301" i="5"/>
  <c r="Y1301" i="5"/>
  <c r="X1301" i="5"/>
  <c r="W1301" i="5"/>
  <c r="V1301" i="5"/>
  <c r="U1301" i="5"/>
  <c r="T1301" i="5"/>
  <c r="AA1300" i="5"/>
  <c r="Z1300" i="5"/>
  <c r="Y1300" i="5"/>
  <c r="X1300" i="5"/>
  <c r="W1300" i="5"/>
  <c r="V1300" i="5"/>
  <c r="U1300" i="5"/>
  <c r="T1300" i="5"/>
  <c r="AA1299" i="5"/>
  <c r="Z1299" i="5"/>
  <c r="Y1299" i="5"/>
  <c r="X1299" i="5"/>
  <c r="W1299" i="5"/>
  <c r="V1299" i="5"/>
  <c r="U1299" i="5"/>
  <c r="T1299" i="5"/>
  <c r="AA1298" i="5"/>
  <c r="Z1298" i="5"/>
  <c r="Y1298" i="5"/>
  <c r="X1298" i="5"/>
  <c r="W1298" i="5"/>
  <c r="V1298" i="5"/>
  <c r="U1298" i="5"/>
  <c r="T1298" i="5"/>
  <c r="AA1297" i="5"/>
  <c r="Z1297" i="5"/>
  <c r="Y1297" i="5"/>
  <c r="X1297" i="5"/>
  <c r="W1297" i="5"/>
  <c r="V1297" i="5"/>
  <c r="U1297" i="5"/>
  <c r="T1297" i="5"/>
  <c r="AA1296" i="5"/>
  <c r="Z1296" i="5"/>
  <c r="Y1296" i="5"/>
  <c r="X1296" i="5"/>
  <c r="W1296" i="5"/>
  <c r="V1296" i="5"/>
  <c r="U1296" i="5"/>
  <c r="T1296" i="5"/>
  <c r="AA1295" i="5"/>
  <c r="Z1295" i="5"/>
  <c r="Y1295" i="5"/>
  <c r="X1295" i="5"/>
  <c r="W1295" i="5"/>
  <c r="V1295" i="5"/>
  <c r="U1295" i="5"/>
  <c r="T1295" i="5"/>
  <c r="AA1294" i="5"/>
  <c r="Z1294" i="5"/>
  <c r="Y1294" i="5"/>
  <c r="X1294" i="5"/>
  <c r="W1294" i="5"/>
  <c r="V1294" i="5"/>
  <c r="U1294" i="5"/>
  <c r="T1294" i="5"/>
  <c r="AA1293" i="5"/>
  <c r="Z1293" i="5"/>
  <c r="Y1293" i="5"/>
  <c r="X1293" i="5"/>
  <c r="W1293" i="5"/>
  <c r="V1293" i="5"/>
  <c r="U1293" i="5"/>
  <c r="T1293" i="5"/>
  <c r="AA1292" i="5"/>
  <c r="Z1292" i="5"/>
  <c r="Y1292" i="5"/>
  <c r="X1292" i="5"/>
  <c r="W1292" i="5"/>
  <c r="V1292" i="5"/>
  <c r="U1292" i="5"/>
  <c r="T1292" i="5"/>
  <c r="AA1291" i="5"/>
  <c r="Z1291" i="5"/>
  <c r="Y1291" i="5"/>
  <c r="X1291" i="5"/>
  <c r="W1291" i="5"/>
  <c r="V1291" i="5"/>
  <c r="U1291" i="5"/>
  <c r="T1291" i="5"/>
  <c r="AA1290" i="5"/>
  <c r="Z1290" i="5"/>
  <c r="Y1290" i="5"/>
  <c r="X1290" i="5"/>
  <c r="W1290" i="5"/>
  <c r="V1290" i="5"/>
  <c r="U1290" i="5"/>
  <c r="T1290" i="5"/>
  <c r="AA1289" i="5"/>
  <c r="Z1289" i="5"/>
  <c r="Y1289" i="5"/>
  <c r="X1289" i="5"/>
  <c r="W1289" i="5"/>
  <c r="V1289" i="5"/>
  <c r="U1289" i="5"/>
  <c r="T1289" i="5"/>
  <c r="AA1288" i="5"/>
  <c r="Z1288" i="5"/>
  <c r="Y1288" i="5"/>
  <c r="X1288" i="5"/>
  <c r="W1288" i="5"/>
  <c r="V1288" i="5"/>
  <c r="U1288" i="5"/>
  <c r="T1288" i="5"/>
  <c r="AA1287" i="5"/>
  <c r="Z1287" i="5"/>
  <c r="Y1287" i="5"/>
  <c r="X1287" i="5"/>
  <c r="W1287" i="5"/>
  <c r="V1287" i="5"/>
  <c r="U1287" i="5"/>
  <c r="T1287" i="5"/>
  <c r="AA1286" i="5"/>
  <c r="Z1286" i="5"/>
  <c r="Y1286" i="5"/>
  <c r="X1286" i="5"/>
  <c r="W1286" i="5"/>
  <c r="V1286" i="5"/>
  <c r="U1286" i="5"/>
  <c r="T1286" i="5"/>
  <c r="AA1285" i="5"/>
  <c r="Z1285" i="5"/>
  <c r="Y1285" i="5"/>
  <c r="X1285" i="5"/>
  <c r="W1285" i="5"/>
  <c r="V1285" i="5"/>
  <c r="U1285" i="5"/>
  <c r="T1285" i="5"/>
  <c r="AA1284" i="5"/>
  <c r="Z1284" i="5"/>
  <c r="Y1284" i="5"/>
  <c r="X1284" i="5"/>
  <c r="W1284" i="5"/>
  <c r="V1284" i="5"/>
  <c r="U1284" i="5"/>
  <c r="T1284" i="5"/>
  <c r="AA1283" i="5"/>
  <c r="Z1283" i="5"/>
  <c r="Y1283" i="5"/>
  <c r="X1283" i="5"/>
  <c r="W1283" i="5"/>
  <c r="V1283" i="5"/>
  <c r="U1283" i="5"/>
  <c r="T1283" i="5"/>
  <c r="AA1282" i="5"/>
  <c r="Z1282" i="5"/>
  <c r="Y1282" i="5"/>
  <c r="X1282" i="5"/>
  <c r="W1282" i="5"/>
  <c r="V1282" i="5"/>
  <c r="U1282" i="5"/>
  <c r="T1282" i="5"/>
  <c r="AA1281" i="5"/>
  <c r="Z1281" i="5"/>
  <c r="Y1281" i="5"/>
  <c r="X1281" i="5"/>
  <c r="W1281" i="5"/>
  <c r="V1281" i="5"/>
  <c r="U1281" i="5"/>
  <c r="T1281" i="5"/>
  <c r="AA1280" i="5"/>
  <c r="Z1280" i="5"/>
  <c r="Y1280" i="5"/>
  <c r="X1280" i="5"/>
  <c r="W1280" i="5"/>
  <c r="V1280" i="5"/>
  <c r="U1280" i="5"/>
  <c r="T1280" i="5"/>
  <c r="AA1279" i="5"/>
  <c r="Z1279" i="5"/>
  <c r="Y1279" i="5"/>
  <c r="X1279" i="5"/>
  <c r="W1279" i="5"/>
  <c r="V1279" i="5"/>
  <c r="U1279" i="5"/>
  <c r="T1279" i="5"/>
  <c r="AA1278" i="5"/>
  <c r="Z1278" i="5"/>
  <c r="Y1278" i="5"/>
  <c r="X1278" i="5"/>
  <c r="W1278" i="5"/>
  <c r="V1278" i="5"/>
  <c r="U1278" i="5"/>
  <c r="T1278" i="5"/>
  <c r="AA1277" i="5"/>
  <c r="Z1277" i="5"/>
  <c r="Y1277" i="5"/>
  <c r="X1277" i="5"/>
  <c r="W1277" i="5"/>
  <c r="V1277" i="5"/>
  <c r="U1277" i="5"/>
  <c r="T1277" i="5"/>
  <c r="AA1276" i="5"/>
  <c r="Z1276" i="5"/>
  <c r="Y1276" i="5"/>
  <c r="X1276" i="5"/>
  <c r="W1276" i="5"/>
  <c r="V1276" i="5"/>
  <c r="U1276" i="5"/>
  <c r="T1276" i="5"/>
  <c r="AA1275" i="5"/>
  <c r="Z1275" i="5"/>
  <c r="Y1275" i="5"/>
  <c r="X1275" i="5"/>
  <c r="W1275" i="5"/>
  <c r="V1275" i="5"/>
  <c r="U1275" i="5"/>
  <c r="T1275" i="5"/>
  <c r="AA1274" i="5"/>
  <c r="Z1274" i="5"/>
  <c r="Y1274" i="5"/>
  <c r="X1274" i="5"/>
  <c r="W1274" i="5"/>
  <c r="V1274" i="5"/>
  <c r="U1274" i="5"/>
  <c r="T1274" i="5"/>
  <c r="AA1273" i="5"/>
  <c r="Z1273" i="5"/>
  <c r="Y1273" i="5"/>
  <c r="X1273" i="5"/>
  <c r="W1273" i="5"/>
  <c r="V1273" i="5"/>
  <c r="U1273" i="5"/>
  <c r="T1273" i="5"/>
  <c r="AA1272" i="5"/>
  <c r="Z1272" i="5"/>
  <c r="Y1272" i="5"/>
  <c r="X1272" i="5"/>
  <c r="W1272" i="5"/>
  <c r="V1272" i="5"/>
  <c r="U1272" i="5"/>
  <c r="T1272" i="5"/>
  <c r="AA1271" i="5"/>
  <c r="Z1271" i="5"/>
  <c r="Y1271" i="5"/>
  <c r="X1271" i="5"/>
  <c r="W1271" i="5"/>
  <c r="V1271" i="5"/>
  <c r="U1271" i="5"/>
  <c r="T1271" i="5"/>
  <c r="AA1270" i="5"/>
  <c r="Z1270" i="5"/>
  <c r="Y1270" i="5"/>
  <c r="X1270" i="5"/>
  <c r="W1270" i="5"/>
  <c r="V1270" i="5"/>
  <c r="U1270" i="5"/>
  <c r="T1270" i="5"/>
  <c r="AA1269" i="5"/>
  <c r="Z1269" i="5"/>
  <c r="Y1269" i="5"/>
  <c r="X1269" i="5"/>
  <c r="W1269" i="5"/>
  <c r="V1269" i="5"/>
  <c r="U1269" i="5"/>
  <c r="T1269" i="5"/>
  <c r="AA1268" i="5"/>
  <c r="Z1268" i="5"/>
  <c r="Y1268" i="5"/>
  <c r="X1268" i="5"/>
  <c r="W1268" i="5"/>
  <c r="V1268" i="5"/>
  <c r="U1268" i="5"/>
  <c r="T1268" i="5"/>
  <c r="AA1267" i="5"/>
  <c r="Z1267" i="5"/>
  <c r="Y1267" i="5"/>
  <c r="X1267" i="5"/>
  <c r="W1267" i="5"/>
  <c r="V1267" i="5"/>
  <c r="U1267" i="5"/>
  <c r="T1267" i="5"/>
  <c r="AA1266" i="5"/>
  <c r="Z1266" i="5"/>
  <c r="Y1266" i="5"/>
  <c r="X1266" i="5"/>
  <c r="W1266" i="5"/>
  <c r="V1266" i="5"/>
  <c r="U1266" i="5"/>
  <c r="T1266" i="5"/>
  <c r="AA1265" i="5"/>
  <c r="Z1265" i="5"/>
  <c r="Y1265" i="5"/>
  <c r="X1265" i="5"/>
  <c r="W1265" i="5"/>
  <c r="V1265" i="5"/>
  <c r="U1265" i="5"/>
  <c r="T1265" i="5"/>
  <c r="AA1264" i="5"/>
  <c r="Z1264" i="5"/>
  <c r="Y1264" i="5"/>
  <c r="X1264" i="5"/>
  <c r="W1264" i="5"/>
  <c r="V1264" i="5"/>
  <c r="U1264" i="5"/>
  <c r="T1264" i="5"/>
  <c r="AA1263" i="5"/>
  <c r="Z1263" i="5"/>
  <c r="Y1263" i="5"/>
  <c r="X1263" i="5"/>
  <c r="W1263" i="5"/>
  <c r="V1263" i="5"/>
  <c r="U1263" i="5"/>
  <c r="T1263" i="5"/>
  <c r="AA1262" i="5"/>
  <c r="Z1262" i="5"/>
  <c r="Y1262" i="5"/>
  <c r="X1262" i="5"/>
  <c r="W1262" i="5"/>
  <c r="V1262" i="5"/>
  <c r="U1262" i="5"/>
  <c r="T1262" i="5"/>
  <c r="AA1261" i="5"/>
  <c r="Z1261" i="5"/>
  <c r="Y1261" i="5"/>
  <c r="X1261" i="5"/>
  <c r="W1261" i="5"/>
  <c r="V1261" i="5"/>
  <c r="U1261" i="5"/>
  <c r="T1261" i="5"/>
  <c r="AA1260" i="5"/>
  <c r="Z1260" i="5"/>
  <c r="Y1260" i="5"/>
  <c r="X1260" i="5"/>
  <c r="W1260" i="5"/>
  <c r="V1260" i="5"/>
  <c r="U1260" i="5"/>
  <c r="T1260" i="5"/>
  <c r="AA1259" i="5"/>
  <c r="Z1259" i="5"/>
  <c r="Y1259" i="5"/>
  <c r="X1259" i="5"/>
  <c r="W1259" i="5"/>
  <c r="V1259" i="5"/>
  <c r="U1259" i="5"/>
  <c r="T1259" i="5"/>
  <c r="AA1258" i="5"/>
  <c r="Z1258" i="5"/>
  <c r="Y1258" i="5"/>
  <c r="X1258" i="5"/>
  <c r="W1258" i="5"/>
  <c r="V1258" i="5"/>
  <c r="U1258" i="5"/>
  <c r="T1258" i="5"/>
  <c r="AA1257" i="5"/>
  <c r="Z1257" i="5"/>
  <c r="Y1257" i="5"/>
  <c r="X1257" i="5"/>
  <c r="W1257" i="5"/>
  <c r="V1257" i="5"/>
  <c r="U1257" i="5"/>
  <c r="T1257" i="5"/>
  <c r="AA1256" i="5"/>
  <c r="Z1256" i="5"/>
  <c r="Y1256" i="5"/>
  <c r="X1256" i="5"/>
  <c r="W1256" i="5"/>
  <c r="V1256" i="5"/>
  <c r="U1256" i="5"/>
  <c r="T1256" i="5"/>
  <c r="AA1255" i="5"/>
  <c r="Z1255" i="5"/>
  <c r="Y1255" i="5"/>
  <c r="X1255" i="5"/>
  <c r="W1255" i="5"/>
  <c r="V1255" i="5"/>
  <c r="U1255" i="5"/>
  <c r="T1255" i="5"/>
  <c r="AA1254" i="5"/>
  <c r="Z1254" i="5"/>
  <c r="Y1254" i="5"/>
  <c r="X1254" i="5"/>
  <c r="W1254" i="5"/>
  <c r="V1254" i="5"/>
  <c r="U1254" i="5"/>
  <c r="T1254" i="5"/>
  <c r="AA1253" i="5"/>
  <c r="Z1253" i="5"/>
  <c r="Y1253" i="5"/>
  <c r="X1253" i="5"/>
  <c r="W1253" i="5"/>
  <c r="V1253" i="5"/>
  <c r="U1253" i="5"/>
  <c r="T1253" i="5"/>
  <c r="AA1252" i="5"/>
  <c r="Z1252" i="5"/>
  <c r="Y1252" i="5"/>
  <c r="X1252" i="5"/>
  <c r="W1252" i="5"/>
  <c r="V1252" i="5"/>
  <c r="U1252" i="5"/>
  <c r="T1252" i="5"/>
  <c r="AA1251" i="5"/>
  <c r="Z1251" i="5"/>
  <c r="Y1251" i="5"/>
  <c r="X1251" i="5"/>
  <c r="W1251" i="5"/>
  <c r="V1251" i="5"/>
  <c r="U1251" i="5"/>
  <c r="T1251" i="5"/>
  <c r="AA1250" i="5"/>
  <c r="Z1250" i="5"/>
  <c r="Y1250" i="5"/>
  <c r="X1250" i="5"/>
  <c r="W1250" i="5"/>
  <c r="V1250" i="5"/>
  <c r="U1250" i="5"/>
  <c r="T1250" i="5"/>
  <c r="AA1249" i="5"/>
  <c r="Z1249" i="5"/>
  <c r="Y1249" i="5"/>
  <c r="X1249" i="5"/>
  <c r="W1249" i="5"/>
  <c r="V1249" i="5"/>
  <c r="U1249" i="5"/>
  <c r="T1249" i="5"/>
  <c r="AA1248" i="5"/>
  <c r="Z1248" i="5"/>
  <c r="Y1248" i="5"/>
  <c r="X1248" i="5"/>
  <c r="W1248" i="5"/>
  <c r="V1248" i="5"/>
  <c r="U1248" i="5"/>
  <c r="T1248" i="5"/>
  <c r="AA1247" i="5"/>
  <c r="Z1247" i="5"/>
  <c r="Y1247" i="5"/>
  <c r="X1247" i="5"/>
  <c r="W1247" i="5"/>
  <c r="V1247" i="5"/>
  <c r="U1247" i="5"/>
  <c r="T1247" i="5"/>
  <c r="AA1246" i="5"/>
  <c r="Z1246" i="5"/>
  <c r="Y1246" i="5"/>
  <c r="X1246" i="5"/>
  <c r="W1246" i="5"/>
  <c r="V1246" i="5"/>
  <c r="U1246" i="5"/>
  <c r="T1246" i="5"/>
  <c r="AA1245" i="5"/>
  <c r="Z1245" i="5"/>
  <c r="Y1245" i="5"/>
  <c r="X1245" i="5"/>
  <c r="W1245" i="5"/>
  <c r="V1245" i="5"/>
  <c r="U1245" i="5"/>
  <c r="T1245" i="5"/>
  <c r="AA1244" i="5"/>
  <c r="Z1244" i="5"/>
  <c r="Y1244" i="5"/>
  <c r="X1244" i="5"/>
  <c r="W1244" i="5"/>
  <c r="V1244" i="5"/>
  <c r="U1244" i="5"/>
  <c r="T1244" i="5"/>
  <c r="AA1243" i="5"/>
  <c r="Z1243" i="5"/>
  <c r="Y1243" i="5"/>
  <c r="X1243" i="5"/>
  <c r="W1243" i="5"/>
  <c r="V1243" i="5"/>
  <c r="U1243" i="5"/>
  <c r="T1243" i="5"/>
  <c r="AA1242" i="5"/>
  <c r="Z1242" i="5"/>
  <c r="Y1242" i="5"/>
  <c r="X1242" i="5"/>
  <c r="W1242" i="5"/>
  <c r="V1242" i="5"/>
  <c r="U1242" i="5"/>
  <c r="T1242" i="5"/>
  <c r="AA1241" i="5"/>
  <c r="Z1241" i="5"/>
  <c r="Y1241" i="5"/>
  <c r="X1241" i="5"/>
  <c r="W1241" i="5"/>
  <c r="V1241" i="5"/>
  <c r="U1241" i="5"/>
  <c r="T1241" i="5"/>
  <c r="AA1240" i="5"/>
  <c r="Z1240" i="5"/>
  <c r="Y1240" i="5"/>
  <c r="X1240" i="5"/>
  <c r="W1240" i="5"/>
  <c r="V1240" i="5"/>
  <c r="U1240" i="5"/>
  <c r="T1240" i="5"/>
  <c r="AA1239" i="5"/>
  <c r="Z1239" i="5"/>
  <c r="Y1239" i="5"/>
  <c r="X1239" i="5"/>
  <c r="W1239" i="5"/>
  <c r="V1239" i="5"/>
  <c r="U1239" i="5"/>
  <c r="T1239" i="5"/>
  <c r="AA1238" i="5"/>
  <c r="Z1238" i="5"/>
  <c r="Y1238" i="5"/>
  <c r="X1238" i="5"/>
  <c r="W1238" i="5"/>
  <c r="V1238" i="5"/>
  <c r="U1238" i="5"/>
  <c r="T1238" i="5"/>
  <c r="AA1237" i="5"/>
  <c r="Z1237" i="5"/>
  <c r="Y1237" i="5"/>
  <c r="X1237" i="5"/>
  <c r="W1237" i="5"/>
  <c r="V1237" i="5"/>
  <c r="U1237" i="5"/>
  <c r="T1237" i="5"/>
  <c r="AA1236" i="5"/>
  <c r="Z1236" i="5"/>
  <c r="Y1236" i="5"/>
  <c r="X1236" i="5"/>
  <c r="W1236" i="5"/>
  <c r="V1236" i="5"/>
  <c r="U1236" i="5"/>
  <c r="T1236" i="5"/>
  <c r="AA1235" i="5"/>
  <c r="Z1235" i="5"/>
  <c r="Y1235" i="5"/>
  <c r="X1235" i="5"/>
  <c r="W1235" i="5"/>
  <c r="V1235" i="5"/>
  <c r="U1235" i="5"/>
  <c r="T1235" i="5"/>
  <c r="AA1234" i="5"/>
  <c r="Z1234" i="5"/>
  <c r="Y1234" i="5"/>
  <c r="X1234" i="5"/>
  <c r="W1234" i="5"/>
  <c r="V1234" i="5"/>
  <c r="U1234" i="5"/>
  <c r="T1234" i="5"/>
  <c r="AA1233" i="5"/>
  <c r="Z1233" i="5"/>
  <c r="Y1233" i="5"/>
  <c r="X1233" i="5"/>
  <c r="W1233" i="5"/>
  <c r="V1233" i="5"/>
  <c r="U1233" i="5"/>
  <c r="T1233" i="5"/>
  <c r="AA1232" i="5"/>
  <c r="Z1232" i="5"/>
  <c r="Y1232" i="5"/>
  <c r="X1232" i="5"/>
  <c r="W1232" i="5"/>
  <c r="V1232" i="5"/>
  <c r="U1232" i="5"/>
  <c r="T1232" i="5"/>
  <c r="AA1231" i="5"/>
  <c r="Z1231" i="5"/>
  <c r="Y1231" i="5"/>
  <c r="X1231" i="5"/>
  <c r="W1231" i="5"/>
  <c r="V1231" i="5"/>
  <c r="U1231" i="5"/>
  <c r="T1231" i="5"/>
  <c r="AA1230" i="5"/>
  <c r="Z1230" i="5"/>
  <c r="Y1230" i="5"/>
  <c r="X1230" i="5"/>
  <c r="W1230" i="5"/>
  <c r="V1230" i="5"/>
  <c r="U1230" i="5"/>
  <c r="T1230" i="5"/>
  <c r="AA1229" i="5"/>
  <c r="Z1229" i="5"/>
  <c r="Y1229" i="5"/>
  <c r="X1229" i="5"/>
  <c r="W1229" i="5"/>
  <c r="V1229" i="5"/>
  <c r="U1229" i="5"/>
  <c r="T1229" i="5"/>
  <c r="AA1228" i="5"/>
  <c r="Z1228" i="5"/>
  <c r="Y1228" i="5"/>
  <c r="X1228" i="5"/>
  <c r="W1228" i="5"/>
  <c r="V1228" i="5"/>
  <c r="U1228" i="5"/>
  <c r="T1228" i="5"/>
  <c r="AA1227" i="5"/>
  <c r="Z1227" i="5"/>
  <c r="Y1227" i="5"/>
  <c r="X1227" i="5"/>
  <c r="W1227" i="5"/>
  <c r="V1227" i="5"/>
  <c r="U1227" i="5"/>
  <c r="T1227" i="5"/>
  <c r="AA1226" i="5"/>
  <c r="Z1226" i="5"/>
  <c r="Y1226" i="5"/>
  <c r="X1226" i="5"/>
  <c r="W1226" i="5"/>
  <c r="V1226" i="5"/>
  <c r="U1226" i="5"/>
  <c r="T1226" i="5"/>
  <c r="AA1225" i="5"/>
  <c r="Z1225" i="5"/>
  <c r="Y1225" i="5"/>
  <c r="X1225" i="5"/>
  <c r="W1225" i="5"/>
  <c r="V1225" i="5"/>
  <c r="U1225" i="5"/>
  <c r="T1225" i="5"/>
  <c r="AA1224" i="5"/>
  <c r="Z1224" i="5"/>
  <c r="Y1224" i="5"/>
  <c r="X1224" i="5"/>
  <c r="W1224" i="5"/>
  <c r="V1224" i="5"/>
  <c r="U1224" i="5"/>
  <c r="T1224" i="5"/>
  <c r="AA1223" i="5"/>
  <c r="Z1223" i="5"/>
  <c r="Y1223" i="5"/>
  <c r="X1223" i="5"/>
  <c r="W1223" i="5"/>
  <c r="V1223" i="5"/>
  <c r="U1223" i="5"/>
  <c r="T1223" i="5"/>
  <c r="AA1222" i="5"/>
  <c r="Z1222" i="5"/>
  <c r="Y1222" i="5"/>
  <c r="X1222" i="5"/>
  <c r="W1222" i="5"/>
  <c r="V1222" i="5"/>
  <c r="U1222" i="5"/>
  <c r="T1222" i="5"/>
  <c r="AA1221" i="5"/>
  <c r="Z1221" i="5"/>
  <c r="Y1221" i="5"/>
  <c r="X1221" i="5"/>
  <c r="W1221" i="5"/>
  <c r="V1221" i="5"/>
  <c r="U1221" i="5"/>
  <c r="T1221" i="5"/>
  <c r="AA1220" i="5"/>
  <c r="Z1220" i="5"/>
  <c r="Y1220" i="5"/>
  <c r="X1220" i="5"/>
  <c r="W1220" i="5"/>
  <c r="V1220" i="5"/>
  <c r="U1220" i="5"/>
  <c r="T1220" i="5"/>
  <c r="AA1219" i="5"/>
  <c r="Z1219" i="5"/>
  <c r="Y1219" i="5"/>
  <c r="X1219" i="5"/>
  <c r="W1219" i="5"/>
  <c r="V1219" i="5"/>
  <c r="U1219" i="5"/>
  <c r="T1219" i="5"/>
  <c r="AA1218" i="5"/>
  <c r="Z1218" i="5"/>
  <c r="Y1218" i="5"/>
  <c r="X1218" i="5"/>
  <c r="W1218" i="5"/>
  <c r="V1218" i="5"/>
  <c r="U1218" i="5"/>
  <c r="T1218" i="5"/>
  <c r="AA1217" i="5"/>
  <c r="Z1217" i="5"/>
  <c r="Y1217" i="5"/>
  <c r="X1217" i="5"/>
  <c r="W1217" i="5"/>
  <c r="V1217" i="5"/>
  <c r="U1217" i="5"/>
  <c r="T1217" i="5"/>
  <c r="AA1216" i="5"/>
  <c r="Z1216" i="5"/>
  <c r="Y1216" i="5"/>
  <c r="X1216" i="5"/>
  <c r="W1216" i="5"/>
  <c r="V1216" i="5"/>
  <c r="U1216" i="5"/>
  <c r="T1216" i="5"/>
  <c r="AA1215" i="5"/>
  <c r="Z1215" i="5"/>
  <c r="Y1215" i="5"/>
  <c r="X1215" i="5"/>
  <c r="W1215" i="5"/>
  <c r="V1215" i="5"/>
  <c r="U1215" i="5"/>
  <c r="T1215" i="5"/>
  <c r="AA1214" i="5"/>
  <c r="Z1214" i="5"/>
  <c r="Y1214" i="5"/>
  <c r="X1214" i="5"/>
  <c r="W1214" i="5"/>
  <c r="V1214" i="5"/>
  <c r="U1214" i="5"/>
  <c r="T1214" i="5"/>
  <c r="AA1213" i="5"/>
  <c r="Z1213" i="5"/>
  <c r="Y1213" i="5"/>
  <c r="X1213" i="5"/>
  <c r="W1213" i="5"/>
  <c r="V1213" i="5"/>
  <c r="U1213" i="5"/>
  <c r="T1213" i="5"/>
  <c r="AA1212" i="5"/>
  <c r="Z1212" i="5"/>
  <c r="Y1212" i="5"/>
  <c r="X1212" i="5"/>
  <c r="W1212" i="5"/>
  <c r="V1212" i="5"/>
  <c r="U1212" i="5"/>
  <c r="T1212" i="5"/>
  <c r="AA1211" i="5"/>
  <c r="Z1211" i="5"/>
  <c r="Y1211" i="5"/>
  <c r="X1211" i="5"/>
  <c r="W1211" i="5"/>
  <c r="V1211" i="5"/>
  <c r="U1211" i="5"/>
  <c r="T1211" i="5"/>
  <c r="AA1210" i="5"/>
  <c r="Z1210" i="5"/>
  <c r="Y1210" i="5"/>
  <c r="X1210" i="5"/>
  <c r="W1210" i="5"/>
  <c r="V1210" i="5"/>
  <c r="U1210" i="5"/>
  <c r="T1210" i="5"/>
  <c r="AA1209" i="5"/>
  <c r="Z1209" i="5"/>
  <c r="Y1209" i="5"/>
  <c r="X1209" i="5"/>
  <c r="W1209" i="5"/>
  <c r="V1209" i="5"/>
  <c r="U1209" i="5"/>
  <c r="T1209" i="5"/>
  <c r="AA1208" i="5"/>
  <c r="Z1208" i="5"/>
  <c r="Y1208" i="5"/>
  <c r="X1208" i="5"/>
  <c r="W1208" i="5"/>
  <c r="V1208" i="5"/>
  <c r="U1208" i="5"/>
  <c r="T1208" i="5"/>
  <c r="AA1207" i="5"/>
  <c r="Z1207" i="5"/>
  <c r="Y1207" i="5"/>
  <c r="X1207" i="5"/>
  <c r="W1207" i="5"/>
  <c r="V1207" i="5"/>
  <c r="U1207" i="5"/>
  <c r="T1207" i="5"/>
  <c r="AA1206" i="5"/>
  <c r="Z1206" i="5"/>
  <c r="Y1206" i="5"/>
  <c r="X1206" i="5"/>
  <c r="W1206" i="5"/>
  <c r="V1206" i="5"/>
  <c r="U1206" i="5"/>
  <c r="T1206" i="5"/>
  <c r="AA1205" i="5"/>
  <c r="Z1205" i="5"/>
  <c r="Y1205" i="5"/>
  <c r="X1205" i="5"/>
  <c r="W1205" i="5"/>
  <c r="V1205" i="5"/>
  <c r="U1205" i="5"/>
  <c r="T1205" i="5"/>
  <c r="AA1204" i="5"/>
  <c r="Z1204" i="5"/>
  <c r="Y1204" i="5"/>
  <c r="X1204" i="5"/>
  <c r="W1204" i="5"/>
  <c r="V1204" i="5"/>
  <c r="U1204" i="5"/>
  <c r="T1204" i="5"/>
  <c r="AA1203" i="5"/>
  <c r="Z1203" i="5"/>
  <c r="Y1203" i="5"/>
  <c r="X1203" i="5"/>
  <c r="W1203" i="5"/>
  <c r="V1203" i="5"/>
  <c r="U1203" i="5"/>
  <c r="T1203" i="5"/>
  <c r="AA1202" i="5"/>
  <c r="Z1202" i="5"/>
  <c r="Y1202" i="5"/>
  <c r="X1202" i="5"/>
  <c r="W1202" i="5"/>
  <c r="V1202" i="5"/>
  <c r="U1202" i="5"/>
  <c r="T1202" i="5"/>
  <c r="AA1201" i="5"/>
  <c r="Z1201" i="5"/>
  <c r="Y1201" i="5"/>
  <c r="X1201" i="5"/>
  <c r="W1201" i="5"/>
  <c r="V1201" i="5"/>
  <c r="U1201" i="5"/>
  <c r="T1201" i="5"/>
  <c r="AA1200" i="5"/>
  <c r="Z1200" i="5"/>
  <c r="Y1200" i="5"/>
  <c r="X1200" i="5"/>
  <c r="W1200" i="5"/>
  <c r="V1200" i="5"/>
  <c r="U1200" i="5"/>
  <c r="T1200" i="5"/>
  <c r="AA1199" i="5"/>
  <c r="Z1199" i="5"/>
  <c r="Y1199" i="5"/>
  <c r="X1199" i="5"/>
  <c r="W1199" i="5"/>
  <c r="V1199" i="5"/>
  <c r="U1199" i="5"/>
  <c r="T1199" i="5"/>
  <c r="AA1198" i="5"/>
  <c r="Z1198" i="5"/>
  <c r="Y1198" i="5"/>
  <c r="X1198" i="5"/>
  <c r="W1198" i="5"/>
  <c r="V1198" i="5"/>
  <c r="U1198" i="5"/>
  <c r="T1198" i="5"/>
  <c r="AA1197" i="5"/>
  <c r="Z1197" i="5"/>
  <c r="Y1197" i="5"/>
  <c r="X1197" i="5"/>
  <c r="W1197" i="5"/>
  <c r="V1197" i="5"/>
  <c r="U1197" i="5"/>
  <c r="T1197" i="5"/>
  <c r="AA1196" i="5"/>
  <c r="Z1196" i="5"/>
  <c r="Y1196" i="5"/>
  <c r="X1196" i="5"/>
  <c r="W1196" i="5"/>
  <c r="V1196" i="5"/>
  <c r="U1196" i="5"/>
  <c r="T1196" i="5"/>
  <c r="AA1195" i="5"/>
  <c r="Z1195" i="5"/>
  <c r="Y1195" i="5"/>
  <c r="X1195" i="5"/>
  <c r="W1195" i="5"/>
  <c r="V1195" i="5"/>
  <c r="U1195" i="5"/>
  <c r="T1195" i="5"/>
  <c r="AA1194" i="5"/>
  <c r="Z1194" i="5"/>
  <c r="Y1194" i="5"/>
  <c r="X1194" i="5"/>
  <c r="W1194" i="5"/>
  <c r="V1194" i="5"/>
  <c r="U1194" i="5"/>
  <c r="T1194" i="5"/>
  <c r="AA1193" i="5"/>
  <c r="Z1193" i="5"/>
  <c r="Y1193" i="5"/>
  <c r="X1193" i="5"/>
  <c r="W1193" i="5"/>
  <c r="V1193" i="5"/>
  <c r="U1193" i="5"/>
  <c r="T1193" i="5"/>
  <c r="AA1192" i="5"/>
  <c r="Z1192" i="5"/>
  <c r="Y1192" i="5"/>
  <c r="X1192" i="5"/>
  <c r="W1192" i="5"/>
  <c r="V1192" i="5"/>
  <c r="U1192" i="5"/>
  <c r="T1192" i="5"/>
  <c r="AA1191" i="5"/>
  <c r="Z1191" i="5"/>
  <c r="Y1191" i="5"/>
  <c r="X1191" i="5"/>
  <c r="W1191" i="5"/>
  <c r="V1191" i="5"/>
  <c r="U1191" i="5"/>
  <c r="T1191" i="5"/>
  <c r="AA1190" i="5"/>
  <c r="Z1190" i="5"/>
  <c r="Y1190" i="5"/>
  <c r="X1190" i="5"/>
  <c r="W1190" i="5"/>
  <c r="V1190" i="5"/>
  <c r="U1190" i="5"/>
  <c r="T1190" i="5"/>
  <c r="AA1189" i="5"/>
  <c r="Z1189" i="5"/>
  <c r="Y1189" i="5"/>
  <c r="X1189" i="5"/>
  <c r="W1189" i="5"/>
  <c r="V1189" i="5"/>
  <c r="U1189" i="5"/>
  <c r="T1189" i="5"/>
  <c r="AA1188" i="5"/>
  <c r="Z1188" i="5"/>
  <c r="Y1188" i="5"/>
  <c r="X1188" i="5"/>
  <c r="W1188" i="5"/>
  <c r="V1188" i="5"/>
  <c r="U1188" i="5"/>
  <c r="T1188" i="5"/>
  <c r="AA1187" i="5"/>
  <c r="Z1187" i="5"/>
  <c r="Y1187" i="5"/>
  <c r="X1187" i="5"/>
  <c r="W1187" i="5"/>
  <c r="V1187" i="5"/>
  <c r="U1187" i="5"/>
  <c r="T1187" i="5"/>
  <c r="AA1186" i="5"/>
  <c r="Z1186" i="5"/>
  <c r="Y1186" i="5"/>
  <c r="X1186" i="5"/>
  <c r="W1186" i="5"/>
  <c r="V1186" i="5"/>
  <c r="U1186" i="5"/>
  <c r="T1186" i="5"/>
  <c r="AA1185" i="5"/>
  <c r="Z1185" i="5"/>
  <c r="Y1185" i="5"/>
  <c r="X1185" i="5"/>
  <c r="W1185" i="5"/>
  <c r="V1185" i="5"/>
  <c r="U1185" i="5"/>
  <c r="T1185" i="5"/>
  <c r="AA1184" i="5"/>
  <c r="Z1184" i="5"/>
  <c r="Y1184" i="5"/>
  <c r="X1184" i="5"/>
  <c r="W1184" i="5"/>
  <c r="V1184" i="5"/>
  <c r="U1184" i="5"/>
  <c r="T1184" i="5"/>
  <c r="AA1183" i="5"/>
  <c r="Z1183" i="5"/>
  <c r="Y1183" i="5"/>
  <c r="X1183" i="5"/>
  <c r="W1183" i="5"/>
  <c r="V1183" i="5"/>
  <c r="U1183" i="5"/>
  <c r="T1183" i="5"/>
  <c r="AA1182" i="5"/>
  <c r="Z1182" i="5"/>
  <c r="Y1182" i="5"/>
  <c r="X1182" i="5"/>
  <c r="W1182" i="5"/>
  <c r="V1182" i="5"/>
  <c r="U1182" i="5"/>
  <c r="T1182" i="5"/>
  <c r="AA1181" i="5"/>
  <c r="Z1181" i="5"/>
  <c r="Y1181" i="5"/>
  <c r="X1181" i="5"/>
  <c r="W1181" i="5"/>
  <c r="V1181" i="5"/>
  <c r="U1181" i="5"/>
  <c r="T1181" i="5"/>
  <c r="AA1180" i="5"/>
  <c r="Z1180" i="5"/>
  <c r="Y1180" i="5"/>
  <c r="X1180" i="5"/>
  <c r="W1180" i="5"/>
  <c r="V1180" i="5"/>
  <c r="U1180" i="5"/>
  <c r="T1180" i="5"/>
  <c r="AA1179" i="5"/>
  <c r="Z1179" i="5"/>
  <c r="Y1179" i="5"/>
  <c r="X1179" i="5"/>
  <c r="W1179" i="5"/>
  <c r="V1179" i="5"/>
  <c r="U1179" i="5"/>
  <c r="T1179" i="5"/>
  <c r="AA1178" i="5"/>
  <c r="Z1178" i="5"/>
  <c r="Y1178" i="5"/>
  <c r="X1178" i="5"/>
  <c r="W1178" i="5"/>
  <c r="V1178" i="5"/>
  <c r="U1178" i="5"/>
  <c r="T1178" i="5"/>
  <c r="AA1177" i="5"/>
  <c r="Z1177" i="5"/>
  <c r="Y1177" i="5"/>
  <c r="X1177" i="5"/>
  <c r="W1177" i="5"/>
  <c r="V1177" i="5"/>
  <c r="U1177" i="5"/>
  <c r="T1177" i="5"/>
  <c r="AA1176" i="5"/>
  <c r="Z1176" i="5"/>
  <c r="Y1176" i="5"/>
  <c r="X1176" i="5"/>
  <c r="W1176" i="5"/>
  <c r="V1176" i="5"/>
  <c r="U1176" i="5"/>
  <c r="T1176" i="5"/>
  <c r="AA1175" i="5"/>
  <c r="Z1175" i="5"/>
  <c r="Y1175" i="5"/>
  <c r="X1175" i="5"/>
  <c r="W1175" i="5"/>
  <c r="V1175" i="5"/>
  <c r="U1175" i="5"/>
  <c r="T1175" i="5"/>
  <c r="AA1174" i="5"/>
  <c r="Z1174" i="5"/>
  <c r="Y1174" i="5"/>
  <c r="X1174" i="5"/>
  <c r="W1174" i="5"/>
  <c r="V1174" i="5"/>
  <c r="U1174" i="5"/>
  <c r="T1174" i="5"/>
  <c r="AA1173" i="5"/>
  <c r="Z1173" i="5"/>
  <c r="Y1173" i="5"/>
  <c r="X1173" i="5"/>
  <c r="W1173" i="5"/>
  <c r="V1173" i="5"/>
  <c r="U1173" i="5"/>
  <c r="T1173" i="5"/>
  <c r="AA1172" i="5"/>
  <c r="Z1172" i="5"/>
  <c r="Y1172" i="5"/>
  <c r="X1172" i="5"/>
  <c r="W1172" i="5"/>
  <c r="V1172" i="5"/>
  <c r="U1172" i="5"/>
  <c r="T1172" i="5"/>
  <c r="AA1171" i="5"/>
  <c r="Z1171" i="5"/>
  <c r="Y1171" i="5"/>
  <c r="X1171" i="5"/>
  <c r="W1171" i="5"/>
  <c r="V1171" i="5"/>
  <c r="U1171" i="5"/>
  <c r="T1171" i="5"/>
  <c r="AA1170" i="5"/>
  <c r="Z1170" i="5"/>
  <c r="Y1170" i="5"/>
  <c r="X1170" i="5"/>
  <c r="W1170" i="5"/>
  <c r="V1170" i="5"/>
  <c r="U1170" i="5"/>
  <c r="T1170" i="5"/>
  <c r="AA1169" i="5"/>
  <c r="Z1169" i="5"/>
  <c r="Y1169" i="5"/>
  <c r="X1169" i="5"/>
  <c r="W1169" i="5"/>
  <c r="V1169" i="5"/>
  <c r="U1169" i="5"/>
  <c r="T1169" i="5"/>
  <c r="AA1168" i="5"/>
  <c r="Z1168" i="5"/>
  <c r="Y1168" i="5"/>
  <c r="X1168" i="5"/>
  <c r="W1168" i="5"/>
  <c r="V1168" i="5"/>
  <c r="U1168" i="5"/>
  <c r="T1168" i="5"/>
  <c r="AA1167" i="5"/>
  <c r="Z1167" i="5"/>
  <c r="Y1167" i="5"/>
  <c r="X1167" i="5"/>
  <c r="W1167" i="5"/>
  <c r="V1167" i="5"/>
  <c r="U1167" i="5"/>
  <c r="T1167" i="5"/>
  <c r="AA1166" i="5"/>
  <c r="Z1166" i="5"/>
  <c r="Y1166" i="5"/>
  <c r="X1166" i="5"/>
  <c r="W1166" i="5"/>
  <c r="V1166" i="5"/>
  <c r="U1166" i="5"/>
  <c r="T1166" i="5"/>
  <c r="AA1165" i="5"/>
  <c r="Z1165" i="5"/>
  <c r="Y1165" i="5"/>
  <c r="X1165" i="5"/>
  <c r="W1165" i="5"/>
  <c r="V1165" i="5"/>
  <c r="U1165" i="5"/>
  <c r="T1165" i="5"/>
  <c r="AA1164" i="5"/>
  <c r="Z1164" i="5"/>
  <c r="Y1164" i="5"/>
  <c r="X1164" i="5"/>
  <c r="W1164" i="5"/>
  <c r="V1164" i="5"/>
  <c r="U1164" i="5"/>
  <c r="T1164" i="5"/>
  <c r="AA1163" i="5"/>
  <c r="Z1163" i="5"/>
  <c r="Y1163" i="5"/>
  <c r="X1163" i="5"/>
  <c r="W1163" i="5"/>
  <c r="V1163" i="5"/>
  <c r="U1163" i="5"/>
  <c r="T1163" i="5"/>
  <c r="AA1162" i="5"/>
  <c r="Z1162" i="5"/>
  <c r="Y1162" i="5"/>
  <c r="X1162" i="5"/>
  <c r="W1162" i="5"/>
  <c r="V1162" i="5"/>
  <c r="U1162" i="5"/>
  <c r="T1162" i="5"/>
  <c r="AA1161" i="5"/>
  <c r="Z1161" i="5"/>
  <c r="Y1161" i="5"/>
  <c r="X1161" i="5"/>
  <c r="W1161" i="5"/>
  <c r="V1161" i="5"/>
  <c r="U1161" i="5"/>
  <c r="T1161" i="5"/>
  <c r="AA1160" i="5"/>
  <c r="Z1160" i="5"/>
  <c r="Y1160" i="5"/>
  <c r="X1160" i="5"/>
  <c r="W1160" i="5"/>
  <c r="V1160" i="5"/>
  <c r="U1160" i="5"/>
  <c r="T1160" i="5"/>
  <c r="AA1159" i="5"/>
  <c r="Z1159" i="5"/>
  <c r="Y1159" i="5"/>
  <c r="X1159" i="5"/>
  <c r="W1159" i="5"/>
  <c r="V1159" i="5"/>
  <c r="U1159" i="5"/>
  <c r="T1159" i="5"/>
  <c r="AA1158" i="5"/>
  <c r="Z1158" i="5"/>
  <c r="Y1158" i="5"/>
  <c r="X1158" i="5"/>
  <c r="W1158" i="5"/>
  <c r="V1158" i="5"/>
  <c r="U1158" i="5"/>
  <c r="T1158" i="5"/>
  <c r="AA1157" i="5"/>
  <c r="Z1157" i="5"/>
  <c r="Y1157" i="5"/>
  <c r="X1157" i="5"/>
  <c r="W1157" i="5"/>
  <c r="V1157" i="5"/>
  <c r="U1157" i="5"/>
  <c r="T1157" i="5"/>
  <c r="AA1156" i="5"/>
  <c r="Z1156" i="5"/>
  <c r="Y1156" i="5"/>
  <c r="X1156" i="5"/>
  <c r="W1156" i="5"/>
  <c r="V1156" i="5"/>
  <c r="U1156" i="5"/>
  <c r="T1156" i="5"/>
  <c r="AA1155" i="5"/>
  <c r="Z1155" i="5"/>
  <c r="Y1155" i="5"/>
  <c r="X1155" i="5"/>
  <c r="W1155" i="5"/>
  <c r="V1155" i="5"/>
  <c r="U1155" i="5"/>
  <c r="T1155" i="5"/>
  <c r="AA1154" i="5"/>
  <c r="Z1154" i="5"/>
  <c r="Y1154" i="5"/>
  <c r="X1154" i="5"/>
  <c r="W1154" i="5"/>
  <c r="V1154" i="5"/>
  <c r="U1154" i="5"/>
  <c r="T1154" i="5"/>
  <c r="AA1153" i="5"/>
  <c r="Z1153" i="5"/>
  <c r="Y1153" i="5"/>
  <c r="X1153" i="5"/>
  <c r="W1153" i="5"/>
  <c r="V1153" i="5"/>
  <c r="U1153" i="5"/>
  <c r="T1153" i="5"/>
  <c r="AA1152" i="5"/>
  <c r="Z1152" i="5"/>
  <c r="Y1152" i="5"/>
  <c r="X1152" i="5"/>
  <c r="W1152" i="5"/>
  <c r="V1152" i="5"/>
  <c r="U1152" i="5"/>
  <c r="T1152" i="5"/>
  <c r="AA1151" i="5"/>
  <c r="Z1151" i="5"/>
  <c r="Y1151" i="5"/>
  <c r="X1151" i="5"/>
  <c r="W1151" i="5"/>
  <c r="V1151" i="5"/>
  <c r="U1151" i="5"/>
  <c r="T1151" i="5"/>
  <c r="AA1150" i="5"/>
  <c r="Z1150" i="5"/>
  <c r="Y1150" i="5"/>
  <c r="X1150" i="5"/>
  <c r="W1150" i="5"/>
  <c r="V1150" i="5"/>
  <c r="U1150" i="5"/>
  <c r="T1150" i="5"/>
  <c r="AA1149" i="5"/>
  <c r="Z1149" i="5"/>
  <c r="Y1149" i="5"/>
  <c r="X1149" i="5"/>
  <c r="W1149" i="5"/>
  <c r="V1149" i="5"/>
  <c r="U1149" i="5"/>
  <c r="T1149" i="5"/>
  <c r="AA1148" i="5"/>
  <c r="Z1148" i="5"/>
  <c r="Y1148" i="5"/>
  <c r="X1148" i="5"/>
  <c r="W1148" i="5"/>
  <c r="V1148" i="5"/>
  <c r="U1148" i="5"/>
  <c r="T1148" i="5"/>
  <c r="AA1147" i="5"/>
  <c r="Z1147" i="5"/>
  <c r="Y1147" i="5"/>
  <c r="X1147" i="5"/>
  <c r="W1147" i="5"/>
  <c r="V1147" i="5"/>
  <c r="U1147" i="5"/>
  <c r="T1147" i="5"/>
  <c r="AA1146" i="5"/>
  <c r="Z1146" i="5"/>
  <c r="Y1146" i="5"/>
  <c r="X1146" i="5"/>
  <c r="W1146" i="5"/>
  <c r="V1146" i="5"/>
  <c r="U1146" i="5"/>
  <c r="T1146" i="5"/>
  <c r="AA1145" i="5"/>
  <c r="Z1145" i="5"/>
  <c r="Y1145" i="5"/>
  <c r="X1145" i="5"/>
  <c r="W1145" i="5"/>
  <c r="V1145" i="5"/>
  <c r="U1145" i="5"/>
  <c r="T1145" i="5"/>
  <c r="AA1144" i="5"/>
  <c r="Z1144" i="5"/>
  <c r="Y1144" i="5"/>
  <c r="X1144" i="5"/>
  <c r="W1144" i="5"/>
  <c r="V1144" i="5"/>
  <c r="U1144" i="5"/>
  <c r="T1144" i="5"/>
  <c r="AA1143" i="5"/>
  <c r="Z1143" i="5"/>
  <c r="Y1143" i="5"/>
  <c r="X1143" i="5"/>
  <c r="W1143" i="5"/>
  <c r="V1143" i="5"/>
  <c r="U1143" i="5"/>
  <c r="T1143" i="5"/>
  <c r="AA1142" i="5"/>
  <c r="Z1142" i="5"/>
  <c r="Y1142" i="5"/>
  <c r="X1142" i="5"/>
  <c r="W1142" i="5"/>
  <c r="V1142" i="5"/>
  <c r="U1142" i="5"/>
  <c r="T1142" i="5"/>
  <c r="AA1141" i="5"/>
  <c r="Z1141" i="5"/>
  <c r="Y1141" i="5"/>
  <c r="X1141" i="5"/>
  <c r="W1141" i="5"/>
  <c r="V1141" i="5"/>
  <c r="U1141" i="5"/>
  <c r="T1141" i="5"/>
  <c r="AA1140" i="5"/>
  <c r="Z1140" i="5"/>
  <c r="Y1140" i="5"/>
  <c r="X1140" i="5"/>
  <c r="W1140" i="5"/>
  <c r="V1140" i="5"/>
  <c r="U1140" i="5"/>
  <c r="T1140" i="5"/>
  <c r="AA1139" i="5"/>
  <c r="Z1139" i="5"/>
  <c r="Y1139" i="5"/>
  <c r="X1139" i="5"/>
  <c r="W1139" i="5"/>
  <c r="V1139" i="5"/>
  <c r="U1139" i="5"/>
  <c r="T1139" i="5"/>
  <c r="AA1138" i="5"/>
  <c r="Z1138" i="5"/>
  <c r="Y1138" i="5"/>
  <c r="X1138" i="5"/>
  <c r="W1138" i="5"/>
  <c r="V1138" i="5"/>
  <c r="U1138" i="5"/>
  <c r="T1138" i="5"/>
  <c r="AA1137" i="5"/>
  <c r="Z1137" i="5"/>
  <c r="Y1137" i="5"/>
  <c r="X1137" i="5"/>
  <c r="W1137" i="5"/>
  <c r="V1137" i="5"/>
  <c r="U1137" i="5"/>
  <c r="T1137" i="5"/>
  <c r="AA1136" i="5"/>
  <c r="Z1136" i="5"/>
  <c r="Y1136" i="5"/>
  <c r="X1136" i="5"/>
  <c r="W1136" i="5"/>
  <c r="V1136" i="5"/>
  <c r="U1136" i="5"/>
  <c r="T1136" i="5"/>
  <c r="AA1135" i="5"/>
  <c r="Z1135" i="5"/>
  <c r="Y1135" i="5"/>
  <c r="X1135" i="5"/>
  <c r="W1135" i="5"/>
  <c r="V1135" i="5"/>
  <c r="U1135" i="5"/>
  <c r="T1135" i="5"/>
  <c r="AA1134" i="5"/>
  <c r="Z1134" i="5"/>
  <c r="Y1134" i="5"/>
  <c r="X1134" i="5"/>
  <c r="W1134" i="5"/>
  <c r="V1134" i="5"/>
  <c r="U1134" i="5"/>
  <c r="T1134" i="5"/>
  <c r="AA1133" i="5"/>
  <c r="Z1133" i="5"/>
  <c r="Y1133" i="5"/>
  <c r="X1133" i="5"/>
  <c r="W1133" i="5"/>
  <c r="V1133" i="5"/>
  <c r="U1133" i="5"/>
  <c r="T1133" i="5"/>
  <c r="AA1132" i="5"/>
  <c r="Z1132" i="5"/>
  <c r="Y1132" i="5"/>
  <c r="X1132" i="5"/>
  <c r="W1132" i="5"/>
  <c r="V1132" i="5"/>
  <c r="U1132" i="5"/>
  <c r="T1132" i="5"/>
  <c r="AA1131" i="5"/>
  <c r="Z1131" i="5"/>
  <c r="Y1131" i="5"/>
  <c r="X1131" i="5"/>
  <c r="W1131" i="5"/>
  <c r="V1131" i="5"/>
  <c r="U1131" i="5"/>
  <c r="T1131" i="5"/>
  <c r="AA1130" i="5"/>
  <c r="Z1130" i="5"/>
  <c r="Y1130" i="5"/>
  <c r="X1130" i="5"/>
  <c r="W1130" i="5"/>
  <c r="V1130" i="5"/>
  <c r="U1130" i="5"/>
  <c r="T1130" i="5"/>
  <c r="AA1129" i="5"/>
  <c r="Z1129" i="5"/>
  <c r="Y1129" i="5"/>
  <c r="X1129" i="5"/>
  <c r="W1129" i="5"/>
  <c r="V1129" i="5"/>
  <c r="U1129" i="5"/>
  <c r="T1129" i="5"/>
  <c r="AA1128" i="5"/>
  <c r="Z1128" i="5"/>
  <c r="Y1128" i="5"/>
  <c r="X1128" i="5"/>
  <c r="W1128" i="5"/>
  <c r="V1128" i="5"/>
  <c r="U1128" i="5"/>
  <c r="T1128" i="5"/>
  <c r="AA1127" i="5"/>
  <c r="Z1127" i="5"/>
  <c r="Y1127" i="5"/>
  <c r="X1127" i="5"/>
  <c r="W1127" i="5"/>
  <c r="V1127" i="5"/>
  <c r="U1127" i="5"/>
  <c r="T1127" i="5"/>
  <c r="AA1126" i="5"/>
  <c r="Z1126" i="5"/>
  <c r="Y1126" i="5"/>
  <c r="X1126" i="5"/>
  <c r="W1126" i="5"/>
  <c r="V1126" i="5"/>
  <c r="U1126" i="5"/>
  <c r="T1126" i="5"/>
  <c r="AA1125" i="5"/>
  <c r="Z1125" i="5"/>
  <c r="Y1125" i="5"/>
  <c r="X1125" i="5"/>
  <c r="W1125" i="5"/>
  <c r="V1125" i="5"/>
  <c r="U1125" i="5"/>
  <c r="T1125" i="5"/>
  <c r="AA1124" i="5"/>
  <c r="Z1124" i="5"/>
  <c r="Y1124" i="5"/>
  <c r="X1124" i="5"/>
  <c r="W1124" i="5"/>
  <c r="V1124" i="5"/>
  <c r="U1124" i="5"/>
  <c r="T1124" i="5"/>
  <c r="AA1123" i="5"/>
  <c r="Z1123" i="5"/>
  <c r="Y1123" i="5"/>
  <c r="X1123" i="5"/>
  <c r="W1123" i="5"/>
  <c r="V1123" i="5"/>
  <c r="U1123" i="5"/>
  <c r="T1123" i="5"/>
  <c r="AA1122" i="5"/>
  <c r="Z1122" i="5"/>
  <c r="Y1122" i="5"/>
  <c r="X1122" i="5"/>
  <c r="W1122" i="5"/>
  <c r="V1122" i="5"/>
  <c r="U1122" i="5"/>
  <c r="T1122" i="5"/>
  <c r="AA1121" i="5"/>
  <c r="Z1121" i="5"/>
  <c r="Y1121" i="5"/>
  <c r="X1121" i="5"/>
  <c r="W1121" i="5"/>
  <c r="V1121" i="5"/>
  <c r="U1121" i="5"/>
  <c r="T1121" i="5"/>
  <c r="AA1120" i="5"/>
  <c r="Z1120" i="5"/>
  <c r="Y1120" i="5"/>
  <c r="X1120" i="5"/>
  <c r="W1120" i="5"/>
  <c r="V1120" i="5"/>
  <c r="U1120" i="5"/>
  <c r="T1120" i="5"/>
  <c r="AA1119" i="5"/>
  <c r="Z1119" i="5"/>
  <c r="Y1119" i="5"/>
  <c r="X1119" i="5"/>
  <c r="W1119" i="5"/>
  <c r="V1119" i="5"/>
  <c r="U1119" i="5"/>
  <c r="T1119" i="5"/>
  <c r="AA1118" i="5"/>
  <c r="Z1118" i="5"/>
  <c r="Y1118" i="5"/>
  <c r="X1118" i="5"/>
  <c r="W1118" i="5"/>
  <c r="V1118" i="5"/>
  <c r="U1118" i="5"/>
  <c r="T1118" i="5"/>
  <c r="AA1117" i="5"/>
  <c r="Z1117" i="5"/>
  <c r="Y1117" i="5"/>
  <c r="X1117" i="5"/>
  <c r="W1117" i="5"/>
  <c r="V1117" i="5"/>
  <c r="U1117" i="5"/>
  <c r="T1117" i="5"/>
  <c r="AA1116" i="5"/>
  <c r="Z1116" i="5"/>
  <c r="Y1116" i="5"/>
  <c r="X1116" i="5"/>
  <c r="W1116" i="5"/>
  <c r="V1116" i="5"/>
  <c r="U1116" i="5"/>
  <c r="T1116" i="5"/>
  <c r="AA1115" i="5"/>
  <c r="Z1115" i="5"/>
  <c r="Y1115" i="5"/>
  <c r="X1115" i="5"/>
  <c r="W1115" i="5"/>
  <c r="V1115" i="5"/>
  <c r="U1115" i="5"/>
  <c r="T1115" i="5"/>
  <c r="AA1114" i="5"/>
  <c r="Z1114" i="5"/>
  <c r="Y1114" i="5"/>
  <c r="X1114" i="5"/>
  <c r="W1114" i="5"/>
  <c r="V1114" i="5"/>
  <c r="U1114" i="5"/>
  <c r="T1114" i="5"/>
  <c r="AA1113" i="5"/>
  <c r="Z1113" i="5"/>
  <c r="Y1113" i="5"/>
  <c r="X1113" i="5"/>
  <c r="W1113" i="5"/>
  <c r="V1113" i="5"/>
  <c r="U1113" i="5"/>
  <c r="T1113" i="5"/>
  <c r="AA1112" i="5"/>
  <c r="Z1112" i="5"/>
  <c r="Y1112" i="5"/>
  <c r="X1112" i="5"/>
  <c r="W1112" i="5"/>
  <c r="V1112" i="5"/>
  <c r="U1112" i="5"/>
  <c r="T1112" i="5"/>
  <c r="AA1111" i="5"/>
  <c r="Z1111" i="5"/>
  <c r="Y1111" i="5"/>
  <c r="X1111" i="5"/>
  <c r="W1111" i="5"/>
  <c r="V1111" i="5"/>
  <c r="U1111" i="5"/>
  <c r="T1111" i="5"/>
  <c r="AA1110" i="5"/>
  <c r="Z1110" i="5"/>
  <c r="Y1110" i="5"/>
  <c r="X1110" i="5"/>
  <c r="W1110" i="5"/>
  <c r="V1110" i="5"/>
  <c r="U1110" i="5"/>
  <c r="T1110" i="5"/>
  <c r="AA1109" i="5"/>
  <c r="Z1109" i="5"/>
  <c r="Y1109" i="5"/>
  <c r="X1109" i="5"/>
  <c r="W1109" i="5"/>
  <c r="V1109" i="5"/>
  <c r="U1109" i="5"/>
  <c r="T1109" i="5"/>
  <c r="AA1108" i="5"/>
  <c r="Z1108" i="5"/>
  <c r="Y1108" i="5"/>
  <c r="X1108" i="5"/>
  <c r="W1108" i="5"/>
  <c r="V1108" i="5"/>
  <c r="U1108" i="5"/>
  <c r="T1108" i="5"/>
  <c r="AA1107" i="5"/>
  <c r="Z1107" i="5"/>
  <c r="Y1107" i="5"/>
  <c r="X1107" i="5"/>
  <c r="W1107" i="5"/>
  <c r="V1107" i="5"/>
  <c r="U1107" i="5"/>
  <c r="T1107" i="5"/>
  <c r="AA1106" i="5"/>
  <c r="Z1106" i="5"/>
  <c r="Y1106" i="5"/>
  <c r="X1106" i="5"/>
  <c r="W1106" i="5"/>
  <c r="V1106" i="5"/>
  <c r="U1106" i="5"/>
  <c r="T1106" i="5"/>
  <c r="AA1105" i="5"/>
  <c r="Z1105" i="5"/>
  <c r="Y1105" i="5"/>
  <c r="X1105" i="5"/>
  <c r="W1105" i="5"/>
  <c r="V1105" i="5"/>
  <c r="U1105" i="5"/>
  <c r="T1105" i="5"/>
  <c r="AA1104" i="5"/>
  <c r="Z1104" i="5"/>
  <c r="Y1104" i="5"/>
  <c r="X1104" i="5"/>
  <c r="W1104" i="5"/>
  <c r="V1104" i="5"/>
  <c r="U1104" i="5"/>
  <c r="T1104" i="5"/>
  <c r="AA1103" i="5"/>
  <c r="Z1103" i="5"/>
  <c r="Y1103" i="5"/>
  <c r="X1103" i="5"/>
  <c r="W1103" i="5"/>
  <c r="V1103" i="5"/>
  <c r="U1103" i="5"/>
  <c r="T1103" i="5"/>
  <c r="AA1102" i="5"/>
  <c r="Z1102" i="5"/>
  <c r="Y1102" i="5"/>
  <c r="X1102" i="5"/>
  <c r="W1102" i="5"/>
  <c r="V1102" i="5"/>
  <c r="U1102" i="5"/>
  <c r="T1102" i="5"/>
  <c r="AA1101" i="5"/>
  <c r="Z1101" i="5"/>
  <c r="Y1101" i="5"/>
  <c r="X1101" i="5"/>
  <c r="W1101" i="5"/>
  <c r="V1101" i="5"/>
  <c r="U1101" i="5"/>
  <c r="T1101" i="5"/>
  <c r="AA1100" i="5"/>
  <c r="Z1100" i="5"/>
  <c r="Y1100" i="5"/>
  <c r="X1100" i="5"/>
  <c r="W1100" i="5"/>
  <c r="V1100" i="5"/>
  <c r="U1100" i="5"/>
  <c r="T1100" i="5"/>
  <c r="AA1099" i="5"/>
  <c r="Z1099" i="5"/>
  <c r="Y1099" i="5"/>
  <c r="X1099" i="5"/>
  <c r="W1099" i="5"/>
  <c r="V1099" i="5"/>
  <c r="U1099" i="5"/>
  <c r="T1099" i="5"/>
  <c r="AA1098" i="5"/>
  <c r="Z1098" i="5"/>
  <c r="Y1098" i="5"/>
  <c r="X1098" i="5"/>
  <c r="W1098" i="5"/>
  <c r="V1098" i="5"/>
  <c r="U1098" i="5"/>
  <c r="T1098" i="5"/>
  <c r="AA1097" i="5"/>
  <c r="Z1097" i="5"/>
  <c r="Y1097" i="5"/>
  <c r="X1097" i="5"/>
  <c r="W1097" i="5"/>
  <c r="V1097" i="5"/>
  <c r="U1097" i="5"/>
  <c r="T1097" i="5"/>
  <c r="AA1096" i="5"/>
  <c r="Z1096" i="5"/>
  <c r="Y1096" i="5"/>
  <c r="X1096" i="5"/>
  <c r="W1096" i="5"/>
  <c r="V1096" i="5"/>
  <c r="U1096" i="5"/>
  <c r="T1096" i="5"/>
  <c r="AA1095" i="5"/>
  <c r="Z1095" i="5"/>
  <c r="Y1095" i="5"/>
  <c r="X1095" i="5"/>
  <c r="W1095" i="5"/>
  <c r="V1095" i="5"/>
  <c r="U1095" i="5"/>
  <c r="T1095" i="5"/>
  <c r="AA1094" i="5"/>
  <c r="Z1094" i="5"/>
  <c r="Y1094" i="5"/>
  <c r="X1094" i="5"/>
  <c r="W1094" i="5"/>
  <c r="V1094" i="5"/>
  <c r="U1094" i="5"/>
  <c r="T1094" i="5"/>
  <c r="AA1093" i="5"/>
  <c r="Z1093" i="5"/>
  <c r="Y1093" i="5"/>
  <c r="X1093" i="5"/>
  <c r="W1093" i="5"/>
  <c r="V1093" i="5"/>
  <c r="U1093" i="5"/>
  <c r="T1093" i="5"/>
  <c r="AA1092" i="5"/>
  <c r="Z1092" i="5"/>
  <c r="Y1092" i="5"/>
  <c r="X1092" i="5"/>
  <c r="W1092" i="5"/>
  <c r="V1092" i="5"/>
  <c r="U1092" i="5"/>
  <c r="T1092" i="5"/>
  <c r="AA1091" i="5"/>
  <c r="Z1091" i="5"/>
  <c r="Y1091" i="5"/>
  <c r="X1091" i="5"/>
  <c r="W1091" i="5"/>
  <c r="V1091" i="5"/>
  <c r="U1091" i="5"/>
  <c r="T1091" i="5"/>
  <c r="AA1090" i="5"/>
  <c r="Z1090" i="5"/>
  <c r="Y1090" i="5"/>
  <c r="X1090" i="5"/>
  <c r="W1090" i="5"/>
  <c r="V1090" i="5"/>
  <c r="U1090" i="5"/>
  <c r="T1090" i="5"/>
  <c r="AA1089" i="5"/>
  <c r="Z1089" i="5"/>
  <c r="Y1089" i="5"/>
  <c r="X1089" i="5"/>
  <c r="W1089" i="5"/>
  <c r="V1089" i="5"/>
  <c r="U1089" i="5"/>
  <c r="T1089" i="5"/>
  <c r="AA1088" i="5"/>
  <c r="Z1088" i="5"/>
  <c r="Y1088" i="5"/>
  <c r="X1088" i="5"/>
  <c r="W1088" i="5"/>
  <c r="V1088" i="5"/>
  <c r="U1088" i="5"/>
  <c r="T1088" i="5"/>
  <c r="AA1087" i="5"/>
  <c r="Z1087" i="5"/>
  <c r="Y1087" i="5"/>
  <c r="X1087" i="5"/>
  <c r="W1087" i="5"/>
  <c r="V1087" i="5"/>
  <c r="U1087" i="5"/>
  <c r="T1087" i="5"/>
  <c r="AA1086" i="5"/>
  <c r="Z1086" i="5"/>
  <c r="Y1086" i="5"/>
  <c r="X1086" i="5"/>
  <c r="W1086" i="5"/>
  <c r="V1086" i="5"/>
  <c r="U1086" i="5"/>
  <c r="T1086" i="5"/>
  <c r="AA1085" i="5"/>
  <c r="Z1085" i="5"/>
  <c r="Y1085" i="5"/>
  <c r="X1085" i="5"/>
  <c r="W1085" i="5"/>
  <c r="V1085" i="5"/>
  <c r="U1085" i="5"/>
  <c r="T1085" i="5"/>
  <c r="AA1084" i="5"/>
  <c r="Z1084" i="5"/>
  <c r="Y1084" i="5"/>
  <c r="X1084" i="5"/>
  <c r="W1084" i="5"/>
  <c r="V1084" i="5"/>
  <c r="U1084" i="5"/>
  <c r="T1084" i="5"/>
  <c r="AA1083" i="5"/>
  <c r="Z1083" i="5"/>
  <c r="Y1083" i="5"/>
  <c r="X1083" i="5"/>
  <c r="W1083" i="5"/>
  <c r="V1083" i="5"/>
  <c r="U1083" i="5"/>
  <c r="T1083" i="5"/>
  <c r="AA1082" i="5"/>
  <c r="Z1082" i="5"/>
  <c r="Y1082" i="5"/>
  <c r="X1082" i="5"/>
  <c r="W1082" i="5"/>
  <c r="V1082" i="5"/>
  <c r="U1082" i="5"/>
  <c r="T1082" i="5"/>
  <c r="AA1081" i="5"/>
  <c r="Z1081" i="5"/>
  <c r="Y1081" i="5"/>
  <c r="X1081" i="5"/>
  <c r="W1081" i="5"/>
  <c r="V1081" i="5"/>
  <c r="U1081" i="5"/>
  <c r="T1081" i="5"/>
  <c r="AA1080" i="5"/>
  <c r="Z1080" i="5"/>
  <c r="Y1080" i="5"/>
  <c r="X1080" i="5"/>
  <c r="W1080" i="5"/>
  <c r="V1080" i="5"/>
  <c r="U1080" i="5"/>
  <c r="T1080" i="5"/>
  <c r="AA1079" i="5"/>
  <c r="Z1079" i="5"/>
  <c r="Y1079" i="5"/>
  <c r="X1079" i="5"/>
  <c r="W1079" i="5"/>
  <c r="V1079" i="5"/>
  <c r="U1079" i="5"/>
  <c r="T1079" i="5"/>
  <c r="AA1078" i="5"/>
  <c r="Z1078" i="5"/>
  <c r="Y1078" i="5"/>
  <c r="X1078" i="5"/>
  <c r="W1078" i="5"/>
  <c r="V1078" i="5"/>
  <c r="U1078" i="5"/>
  <c r="T1078" i="5"/>
  <c r="AA1077" i="5"/>
  <c r="Z1077" i="5"/>
  <c r="Y1077" i="5"/>
  <c r="X1077" i="5"/>
  <c r="W1077" i="5"/>
  <c r="V1077" i="5"/>
  <c r="U1077" i="5"/>
  <c r="T1077" i="5"/>
  <c r="AA1076" i="5"/>
  <c r="Z1076" i="5"/>
  <c r="Y1076" i="5"/>
  <c r="X1076" i="5"/>
  <c r="W1076" i="5"/>
  <c r="V1076" i="5"/>
  <c r="U1076" i="5"/>
  <c r="T1076" i="5"/>
  <c r="AA1075" i="5"/>
  <c r="Z1075" i="5"/>
  <c r="Y1075" i="5"/>
  <c r="X1075" i="5"/>
  <c r="W1075" i="5"/>
  <c r="V1075" i="5"/>
  <c r="U1075" i="5"/>
  <c r="T1075" i="5"/>
  <c r="AA1074" i="5"/>
  <c r="Z1074" i="5"/>
  <c r="Y1074" i="5"/>
  <c r="X1074" i="5"/>
  <c r="W1074" i="5"/>
  <c r="V1074" i="5"/>
  <c r="U1074" i="5"/>
  <c r="T1074" i="5"/>
  <c r="AA1073" i="5"/>
  <c r="Z1073" i="5"/>
  <c r="Y1073" i="5"/>
  <c r="X1073" i="5"/>
  <c r="W1073" i="5"/>
  <c r="V1073" i="5"/>
  <c r="U1073" i="5"/>
  <c r="T1073" i="5"/>
  <c r="AA1072" i="5"/>
  <c r="Z1072" i="5"/>
  <c r="Y1072" i="5"/>
  <c r="X1072" i="5"/>
  <c r="W1072" i="5"/>
  <c r="V1072" i="5"/>
  <c r="U1072" i="5"/>
  <c r="T1072" i="5"/>
  <c r="AA1071" i="5"/>
  <c r="Z1071" i="5"/>
  <c r="Y1071" i="5"/>
  <c r="X1071" i="5"/>
  <c r="W1071" i="5"/>
  <c r="V1071" i="5"/>
  <c r="U1071" i="5"/>
  <c r="T1071" i="5"/>
  <c r="AA1070" i="5"/>
  <c r="Z1070" i="5"/>
  <c r="Y1070" i="5"/>
  <c r="X1070" i="5"/>
  <c r="W1070" i="5"/>
  <c r="V1070" i="5"/>
  <c r="U1070" i="5"/>
  <c r="T1070" i="5"/>
  <c r="AA1069" i="5"/>
  <c r="Z1069" i="5"/>
  <c r="Y1069" i="5"/>
  <c r="X1069" i="5"/>
  <c r="W1069" i="5"/>
  <c r="V1069" i="5"/>
  <c r="U1069" i="5"/>
  <c r="T1069" i="5"/>
  <c r="AA1068" i="5"/>
  <c r="Z1068" i="5"/>
  <c r="Y1068" i="5"/>
  <c r="X1068" i="5"/>
  <c r="W1068" i="5"/>
  <c r="V1068" i="5"/>
  <c r="U1068" i="5"/>
  <c r="T1068" i="5"/>
  <c r="AA1067" i="5"/>
  <c r="Z1067" i="5"/>
  <c r="Y1067" i="5"/>
  <c r="X1067" i="5"/>
  <c r="W1067" i="5"/>
  <c r="V1067" i="5"/>
  <c r="U1067" i="5"/>
  <c r="T1067" i="5"/>
  <c r="AA1066" i="5"/>
  <c r="Z1066" i="5"/>
  <c r="Y1066" i="5"/>
  <c r="X1066" i="5"/>
  <c r="W1066" i="5"/>
  <c r="V1066" i="5"/>
  <c r="U1066" i="5"/>
  <c r="T1066" i="5"/>
  <c r="AA1065" i="5"/>
  <c r="Z1065" i="5"/>
  <c r="Y1065" i="5"/>
  <c r="X1065" i="5"/>
  <c r="W1065" i="5"/>
  <c r="V1065" i="5"/>
  <c r="U1065" i="5"/>
  <c r="T1065" i="5"/>
  <c r="AA1064" i="5"/>
  <c r="Z1064" i="5"/>
  <c r="Y1064" i="5"/>
  <c r="X1064" i="5"/>
  <c r="W1064" i="5"/>
  <c r="V1064" i="5"/>
  <c r="U1064" i="5"/>
  <c r="T1064" i="5"/>
  <c r="AA1063" i="5"/>
  <c r="Z1063" i="5"/>
  <c r="Y1063" i="5"/>
  <c r="X1063" i="5"/>
  <c r="W1063" i="5"/>
  <c r="V1063" i="5"/>
  <c r="U1063" i="5"/>
  <c r="T1063" i="5"/>
  <c r="AA1062" i="5"/>
  <c r="Z1062" i="5"/>
  <c r="Y1062" i="5"/>
  <c r="X1062" i="5"/>
  <c r="W1062" i="5"/>
  <c r="V1062" i="5"/>
  <c r="U1062" i="5"/>
  <c r="T1062" i="5"/>
  <c r="AA1061" i="5"/>
  <c r="Z1061" i="5"/>
  <c r="Y1061" i="5"/>
  <c r="X1061" i="5"/>
  <c r="W1061" i="5"/>
  <c r="V1061" i="5"/>
  <c r="U1061" i="5"/>
  <c r="T1061" i="5"/>
  <c r="AA1060" i="5"/>
  <c r="Z1060" i="5"/>
  <c r="Y1060" i="5"/>
  <c r="X1060" i="5"/>
  <c r="W1060" i="5"/>
  <c r="V1060" i="5"/>
  <c r="U1060" i="5"/>
  <c r="T1060" i="5"/>
  <c r="AA1059" i="5"/>
  <c r="Z1059" i="5"/>
  <c r="Y1059" i="5"/>
  <c r="X1059" i="5"/>
  <c r="W1059" i="5"/>
  <c r="V1059" i="5"/>
  <c r="U1059" i="5"/>
  <c r="T1059" i="5"/>
  <c r="AA1058" i="5"/>
  <c r="Z1058" i="5"/>
  <c r="Y1058" i="5"/>
  <c r="X1058" i="5"/>
  <c r="W1058" i="5"/>
  <c r="V1058" i="5"/>
  <c r="U1058" i="5"/>
  <c r="T1058" i="5"/>
  <c r="AA1057" i="5"/>
  <c r="Z1057" i="5"/>
  <c r="Y1057" i="5"/>
  <c r="X1057" i="5"/>
  <c r="W1057" i="5"/>
  <c r="V1057" i="5"/>
  <c r="U1057" i="5"/>
  <c r="T1057" i="5"/>
  <c r="AA1056" i="5"/>
  <c r="Z1056" i="5"/>
  <c r="Y1056" i="5"/>
  <c r="X1056" i="5"/>
  <c r="W1056" i="5"/>
  <c r="V1056" i="5"/>
  <c r="U1056" i="5"/>
  <c r="T1056" i="5"/>
  <c r="AA1055" i="5"/>
  <c r="Z1055" i="5"/>
  <c r="Y1055" i="5"/>
  <c r="X1055" i="5"/>
  <c r="W1055" i="5"/>
  <c r="V1055" i="5"/>
  <c r="U1055" i="5"/>
  <c r="T1055" i="5"/>
  <c r="AA1054" i="5"/>
  <c r="Z1054" i="5"/>
  <c r="Y1054" i="5"/>
  <c r="X1054" i="5"/>
  <c r="W1054" i="5"/>
  <c r="V1054" i="5"/>
  <c r="U1054" i="5"/>
  <c r="T1054" i="5"/>
  <c r="AA1053" i="5"/>
  <c r="Z1053" i="5"/>
  <c r="Y1053" i="5"/>
  <c r="X1053" i="5"/>
  <c r="W1053" i="5"/>
  <c r="V1053" i="5"/>
  <c r="U1053" i="5"/>
  <c r="T1053" i="5"/>
  <c r="AA1052" i="5"/>
  <c r="Z1052" i="5"/>
  <c r="Y1052" i="5"/>
  <c r="X1052" i="5"/>
  <c r="W1052" i="5"/>
  <c r="V1052" i="5"/>
  <c r="U1052" i="5"/>
  <c r="T1052" i="5"/>
  <c r="AA1051" i="5"/>
  <c r="Z1051" i="5"/>
  <c r="Y1051" i="5"/>
  <c r="X1051" i="5"/>
  <c r="W1051" i="5"/>
  <c r="V1051" i="5"/>
  <c r="U1051" i="5"/>
  <c r="T1051" i="5"/>
  <c r="AA1050" i="5"/>
  <c r="Z1050" i="5"/>
  <c r="Y1050" i="5"/>
  <c r="X1050" i="5"/>
  <c r="W1050" i="5"/>
  <c r="V1050" i="5"/>
  <c r="U1050" i="5"/>
  <c r="T1050" i="5"/>
  <c r="AA1049" i="5"/>
  <c r="Z1049" i="5"/>
  <c r="Y1049" i="5"/>
  <c r="X1049" i="5"/>
  <c r="W1049" i="5"/>
  <c r="V1049" i="5"/>
  <c r="U1049" i="5"/>
  <c r="T1049" i="5"/>
  <c r="AA1048" i="5"/>
  <c r="Z1048" i="5"/>
  <c r="Y1048" i="5"/>
  <c r="X1048" i="5"/>
  <c r="W1048" i="5"/>
  <c r="V1048" i="5"/>
  <c r="U1048" i="5"/>
  <c r="T1048" i="5"/>
  <c r="AA1047" i="5"/>
  <c r="Z1047" i="5"/>
  <c r="Y1047" i="5"/>
  <c r="X1047" i="5"/>
  <c r="W1047" i="5"/>
  <c r="V1047" i="5"/>
  <c r="U1047" i="5"/>
  <c r="T1047" i="5"/>
  <c r="AA1046" i="5"/>
  <c r="Z1046" i="5"/>
  <c r="Y1046" i="5"/>
  <c r="X1046" i="5"/>
  <c r="W1046" i="5"/>
  <c r="V1046" i="5"/>
  <c r="U1046" i="5"/>
  <c r="T1046" i="5"/>
  <c r="AA1045" i="5"/>
  <c r="Z1045" i="5"/>
  <c r="Y1045" i="5"/>
  <c r="X1045" i="5"/>
  <c r="W1045" i="5"/>
  <c r="V1045" i="5"/>
  <c r="U1045" i="5"/>
  <c r="T1045" i="5"/>
  <c r="AA1044" i="5"/>
  <c r="Z1044" i="5"/>
  <c r="Y1044" i="5"/>
  <c r="X1044" i="5"/>
  <c r="W1044" i="5"/>
  <c r="V1044" i="5"/>
  <c r="U1044" i="5"/>
  <c r="T1044" i="5"/>
  <c r="AA1043" i="5"/>
  <c r="Z1043" i="5"/>
  <c r="Y1043" i="5"/>
  <c r="X1043" i="5"/>
  <c r="W1043" i="5"/>
  <c r="V1043" i="5"/>
  <c r="U1043" i="5"/>
  <c r="T1043" i="5"/>
  <c r="AA1042" i="5"/>
  <c r="Z1042" i="5"/>
  <c r="Y1042" i="5"/>
  <c r="X1042" i="5"/>
  <c r="W1042" i="5"/>
  <c r="V1042" i="5"/>
  <c r="U1042" i="5"/>
  <c r="T1042" i="5"/>
  <c r="AA1041" i="5"/>
  <c r="Z1041" i="5"/>
  <c r="Y1041" i="5"/>
  <c r="X1041" i="5"/>
  <c r="W1041" i="5"/>
  <c r="V1041" i="5"/>
  <c r="U1041" i="5"/>
  <c r="T1041" i="5"/>
  <c r="AA1040" i="5"/>
  <c r="Z1040" i="5"/>
  <c r="Y1040" i="5"/>
  <c r="X1040" i="5"/>
  <c r="W1040" i="5"/>
  <c r="V1040" i="5"/>
  <c r="U1040" i="5"/>
  <c r="T1040" i="5"/>
  <c r="AA1039" i="5"/>
  <c r="Z1039" i="5"/>
  <c r="Y1039" i="5"/>
  <c r="X1039" i="5"/>
  <c r="W1039" i="5"/>
  <c r="V1039" i="5"/>
  <c r="U1039" i="5"/>
  <c r="T1039" i="5"/>
  <c r="AA1038" i="5"/>
  <c r="Z1038" i="5"/>
  <c r="Y1038" i="5"/>
  <c r="X1038" i="5"/>
  <c r="W1038" i="5"/>
  <c r="V1038" i="5"/>
  <c r="U1038" i="5"/>
  <c r="T1038" i="5"/>
  <c r="AA1037" i="5"/>
  <c r="Z1037" i="5"/>
  <c r="Y1037" i="5"/>
  <c r="X1037" i="5"/>
  <c r="W1037" i="5"/>
  <c r="V1037" i="5"/>
  <c r="U1037" i="5"/>
  <c r="T1037" i="5"/>
  <c r="AA1036" i="5"/>
  <c r="Z1036" i="5"/>
  <c r="Y1036" i="5"/>
  <c r="X1036" i="5"/>
  <c r="W1036" i="5"/>
  <c r="V1036" i="5"/>
  <c r="U1036" i="5"/>
  <c r="T1036" i="5"/>
  <c r="AA1035" i="5"/>
  <c r="Z1035" i="5"/>
  <c r="Y1035" i="5"/>
  <c r="X1035" i="5"/>
  <c r="W1035" i="5"/>
  <c r="V1035" i="5"/>
  <c r="U1035" i="5"/>
  <c r="T1035" i="5"/>
  <c r="AA1034" i="5"/>
  <c r="Z1034" i="5"/>
  <c r="Y1034" i="5"/>
  <c r="X1034" i="5"/>
  <c r="W1034" i="5"/>
  <c r="V1034" i="5"/>
  <c r="U1034" i="5"/>
  <c r="T1034" i="5"/>
  <c r="AA1033" i="5"/>
  <c r="Z1033" i="5"/>
  <c r="Y1033" i="5"/>
  <c r="X1033" i="5"/>
  <c r="W1033" i="5"/>
  <c r="V1033" i="5"/>
  <c r="U1033" i="5"/>
  <c r="T1033" i="5"/>
  <c r="AA1032" i="5"/>
  <c r="Z1032" i="5"/>
  <c r="Y1032" i="5"/>
  <c r="X1032" i="5"/>
  <c r="W1032" i="5"/>
  <c r="V1032" i="5"/>
  <c r="U1032" i="5"/>
  <c r="T1032" i="5"/>
  <c r="AA1031" i="5"/>
  <c r="Z1031" i="5"/>
  <c r="Y1031" i="5"/>
  <c r="X1031" i="5"/>
  <c r="W1031" i="5"/>
  <c r="V1031" i="5"/>
  <c r="U1031" i="5"/>
  <c r="T1031" i="5"/>
  <c r="AA1030" i="5"/>
  <c r="Z1030" i="5"/>
  <c r="Y1030" i="5"/>
  <c r="X1030" i="5"/>
  <c r="W1030" i="5"/>
  <c r="V1030" i="5"/>
  <c r="U1030" i="5"/>
  <c r="T1030" i="5"/>
  <c r="AA1029" i="5"/>
  <c r="Z1029" i="5"/>
  <c r="Y1029" i="5"/>
  <c r="X1029" i="5"/>
  <c r="W1029" i="5"/>
  <c r="V1029" i="5"/>
  <c r="U1029" i="5"/>
  <c r="T1029" i="5"/>
  <c r="AA1028" i="5"/>
  <c r="Z1028" i="5"/>
  <c r="Y1028" i="5"/>
  <c r="X1028" i="5"/>
  <c r="W1028" i="5"/>
  <c r="V1028" i="5"/>
  <c r="U1028" i="5"/>
  <c r="T1028" i="5"/>
  <c r="AA1027" i="5"/>
  <c r="Z1027" i="5"/>
  <c r="Y1027" i="5"/>
  <c r="X1027" i="5"/>
  <c r="W1027" i="5"/>
  <c r="V1027" i="5"/>
  <c r="U1027" i="5"/>
  <c r="T1027" i="5"/>
  <c r="AA1026" i="5"/>
  <c r="Z1026" i="5"/>
  <c r="Y1026" i="5"/>
  <c r="X1026" i="5"/>
  <c r="W1026" i="5"/>
  <c r="V1026" i="5"/>
  <c r="U1026" i="5"/>
  <c r="T1026" i="5"/>
  <c r="AA1025" i="5"/>
  <c r="Z1025" i="5"/>
  <c r="Y1025" i="5"/>
  <c r="X1025" i="5"/>
  <c r="W1025" i="5"/>
  <c r="V1025" i="5"/>
  <c r="U1025" i="5"/>
  <c r="T1025" i="5"/>
  <c r="AA1024" i="5"/>
  <c r="Z1024" i="5"/>
  <c r="Y1024" i="5"/>
  <c r="X1024" i="5"/>
  <c r="W1024" i="5"/>
  <c r="V1024" i="5"/>
  <c r="U1024" i="5"/>
  <c r="T1024" i="5"/>
  <c r="AA1023" i="5"/>
  <c r="Z1023" i="5"/>
  <c r="Y1023" i="5"/>
  <c r="X1023" i="5"/>
  <c r="W1023" i="5"/>
  <c r="V1023" i="5"/>
  <c r="U1023" i="5"/>
  <c r="T1023" i="5"/>
  <c r="AA1022" i="5"/>
  <c r="Z1022" i="5"/>
  <c r="Y1022" i="5"/>
  <c r="X1022" i="5"/>
  <c r="W1022" i="5"/>
  <c r="V1022" i="5"/>
  <c r="U1022" i="5"/>
  <c r="T1022" i="5"/>
  <c r="AA1021" i="5"/>
  <c r="Z1021" i="5"/>
  <c r="Y1021" i="5"/>
  <c r="X1021" i="5"/>
  <c r="W1021" i="5"/>
  <c r="V1021" i="5"/>
  <c r="U1021" i="5"/>
  <c r="T1021" i="5"/>
  <c r="AA1020" i="5"/>
  <c r="Z1020" i="5"/>
  <c r="Y1020" i="5"/>
  <c r="X1020" i="5"/>
  <c r="W1020" i="5"/>
  <c r="V1020" i="5"/>
  <c r="U1020" i="5"/>
  <c r="T1020" i="5"/>
  <c r="AA1019" i="5"/>
  <c r="Z1019" i="5"/>
  <c r="Y1019" i="5"/>
  <c r="X1019" i="5"/>
  <c r="W1019" i="5"/>
  <c r="V1019" i="5"/>
  <c r="U1019" i="5"/>
  <c r="T1019" i="5"/>
  <c r="AA1018" i="5"/>
  <c r="Z1018" i="5"/>
  <c r="Y1018" i="5"/>
  <c r="X1018" i="5"/>
  <c r="W1018" i="5"/>
  <c r="V1018" i="5"/>
  <c r="U1018" i="5"/>
  <c r="T1018" i="5"/>
  <c r="AA1017" i="5"/>
  <c r="Z1017" i="5"/>
  <c r="Y1017" i="5"/>
  <c r="X1017" i="5"/>
  <c r="W1017" i="5"/>
  <c r="V1017" i="5"/>
  <c r="U1017" i="5"/>
  <c r="T1017" i="5"/>
  <c r="AA1016" i="5"/>
  <c r="Z1016" i="5"/>
  <c r="Y1016" i="5"/>
  <c r="X1016" i="5"/>
  <c r="W1016" i="5"/>
  <c r="V1016" i="5"/>
  <c r="U1016" i="5"/>
  <c r="T1016" i="5"/>
  <c r="AA1015" i="5"/>
  <c r="Z1015" i="5"/>
  <c r="Y1015" i="5"/>
  <c r="X1015" i="5"/>
  <c r="W1015" i="5"/>
  <c r="V1015" i="5"/>
  <c r="U1015" i="5"/>
  <c r="T1015" i="5"/>
  <c r="AA1014" i="5"/>
  <c r="Z1014" i="5"/>
  <c r="Y1014" i="5"/>
  <c r="X1014" i="5"/>
  <c r="W1014" i="5"/>
  <c r="V1014" i="5"/>
  <c r="U1014" i="5"/>
  <c r="T1014" i="5"/>
  <c r="AA1013" i="5"/>
  <c r="Z1013" i="5"/>
  <c r="Y1013" i="5"/>
  <c r="X1013" i="5"/>
  <c r="W1013" i="5"/>
  <c r="V1013" i="5"/>
  <c r="U1013" i="5"/>
  <c r="T1013" i="5"/>
  <c r="AA1012" i="5"/>
  <c r="Z1012" i="5"/>
  <c r="Y1012" i="5"/>
  <c r="X1012" i="5"/>
  <c r="W1012" i="5"/>
  <c r="V1012" i="5"/>
  <c r="U1012" i="5"/>
  <c r="T1012" i="5"/>
  <c r="AA1011" i="5"/>
  <c r="Z1011" i="5"/>
  <c r="Y1011" i="5"/>
  <c r="X1011" i="5"/>
  <c r="W1011" i="5"/>
  <c r="V1011" i="5"/>
  <c r="U1011" i="5"/>
  <c r="T1011" i="5"/>
  <c r="AA1010" i="5"/>
  <c r="Z1010" i="5"/>
  <c r="Y1010" i="5"/>
  <c r="X1010" i="5"/>
  <c r="W1010" i="5"/>
  <c r="V1010" i="5"/>
  <c r="U1010" i="5"/>
  <c r="T1010" i="5"/>
  <c r="AA1009" i="5"/>
  <c r="Z1009" i="5"/>
  <c r="Y1009" i="5"/>
  <c r="X1009" i="5"/>
  <c r="W1009" i="5"/>
  <c r="V1009" i="5"/>
  <c r="U1009" i="5"/>
  <c r="T1009" i="5"/>
  <c r="AA1008" i="5"/>
  <c r="Z1008" i="5"/>
  <c r="Y1008" i="5"/>
  <c r="X1008" i="5"/>
  <c r="W1008" i="5"/>
  <c r="V1008" i="5"/>
  <c r="U1008" i="5"/>
  <c r="T1008" i="5"/>
  <c r="AA1007" i="5"/>
  <c r="Z1007" i="5"/>
  <c r="Y1007" i="5"/>
  <c r="X1007" i="5"/>
  <c r="W1007" i="5"/>
  <c r="V1007" i="5"/>
  <c r="U1007" i="5"/>
  <c r="T1007" i="5"/>
  <c r="AA1006" i="5"/>
  <c r="Z1006" i="5"/>
  <c r="Y1006" i="5"/>
  <c r="X1006" i="5"/>
  <c r="W1006" i="5"/>
  <c r="V1006" i="5"/>
  <c r="U1006" i="5"/>
  <c r="T1006" i="5"/>
  <c r="AA1005" i="5"/>
  <c r="Z1005" i="5"/>
  <c r="Y1005" i="5"/>
  <c r="X1005" i="5"/>
  <c r="W1005" i="5"/>
  <c r="V1005" i="5"/>
  <c r="U1005" i="5"/>
  <c r="T1005" i="5"/>
  <c r="AA1004" i="5"/>
  <c r="Z1004" i="5"/>
  <c r="Y1004" i="5"/>
  <c r="X1004" i="5"/>
  <c r="W1004" i="5"/>
  <c r="V1004" i="5"/>
  <c r="U1004" i="5"/>
  <c r="T1004" i="5"/>
  <c r="AA1003" i="5"/>
  <c r="Z1003" i="5"/>
  <c r="Y1003" i="5"/>
  <c r="X1003" i="5"/>
  <c r="W1003" i="5"/>
  <c r="V1003" i="5"/>
  <c r="U1003" i="5"/>
  <c r="T1003" i="5"/>
  <c r="AA1002" i="5"/>
  <c r="Z1002" i="5"/>
  <c r="Y1002" i="5"/>
  <c r="X1002" i="5"/>
  <c r="W1002" i="5"/>
  <c r="V1002" i="5"/>
  <c r="U1002" i="5"/>
  <c r="T1002" i="5"/>
  <c r="AA1001" i="5"/>
  <c r="Z1001" i="5"/>
  <c r="Y1001" i="5"/>
  <c r="X1001" i="5"/>
  <c r="W1001" i="5"/>
  <c r="V1001" i="5"/>
  <c r="U1001" i="5"/>
  <c r="T1001" i="5"/>
  <c r="AA1000" i="5"/>
  <c r="Z1000" i="5"/>
  <c r="Y1000" i="5"/>
  <c r="X1000" i="5"/>
  <c r="W1000" i="5"/>
  <c r="V1000" i="5"/>
  <c r="U1000" i="5"/>
  <c r="T1000" i="5"/>
  <c r="AA999" i="5"/>
  <c r="Z999" i="5"/>
  <c r="Y999" i="5"/>
  <c r="X999" i="5"/>
  <c r="W999" i="5"/>
  <c r="V999" i="5"/>
  <c r="U999" i="5"/>
  <c r="T999" i="5"/>
  <c r="AA998" i="5"/>
  <c r="Z998" i="5"/>
  <c r="Y998" i="5"/>
  <c r="X998" i="5"/>
  <c r="W998" i="5"/>
  <c r="V998" i="5"/>
  <c r="U998" i="5"/>
  <c r="T998" i="5"/>
  <c r="AA997" i="5"/>
  <c r="Z997" i="5"/>
  <c r="Y997" i="5"/>
  <c r="X997" i="5"/>
  <c r="W997" i="5"/>
  <c r="V997" i="5"/>
  <c r="U997" i="5"/>
  <c r="T997" i="5"/>
  <c r="AA996" i="5"/>
  <c r="Z996" i="5"/>
  <c r="Y996" i="5"/>
  <c r="X996" i="5"/>
  <c r="W996" i="5"/>
  <c r="V996" i="5"/>
  <c r="U996" i="5"/>
  <c r="T996" i="5"/>
  <c r="AA995" i="5"/>
  <c r="Z995" i="5"/>
  <c r="Y995" i="5"/>
  <c r="X995" i="5"/>
  <c r="W995" i="5"/>
  <c r="V995" i="5"/>
  <c r="U995" i="5"/>
  <c r="T995" i="5"/>
  <c r="AA994" i="5"/>
  <c r="Z994" i="5"/>
  <c r="Y994" i="5"/>
  <c r="X994" i="5"/>
  <c r="W994" i="5"/>
  <c r="V994" i="5"/>
  <c r="U994" i="5"/>
  <c r="T994" i="5"/>
  <c r="AA993" i="5"/>
  <c r="Z993" i="5"/>
  <c r="Y993" i="5"/>
  <c r="X993" i="5"/>
  <c r="W993" i="5"/>
  <c r="V993" i="5"/>
  <c r="U993" i="5"/>
  <c r="T993" i="5"/>
  <c r="AA992" i="5"/>
  <c r="Z992" i="5"/>
  <c r="Y992" i="5"/>
  <c r="X992" i="5"/>
  <c r="W992" i="5"/>
  <c r="V992" i="5"/>
  <c r="U992" i="5"/>
  <c r="T992" i="5"/>
  <c r="AA991" i="5"/>
  <c r="Z991" i="5"/>
  <c r="Y991" i="5"/>
  <c r="X991" i="5"/>
  <c r="W991" i="5"/>
  <c r="V991" i="5"/>
  <c r="U991" i="5"/>
  <c r="T991" i="5"/>
  <c r="AA990" i="5"/>
  <c r="Z990" i="5"/>
  <c r="Y990" i="5"/>
  <c r="X990" i="5"/>
  <c r="W990" i="5"/>
  <c r="V990" i="5"/>
  <c r="U990" i="5"/>
  <c r="T990" i="5"/>
  <c r="AA989" i="5"/>
  <c r="Z989" i="5"/>
  <c r="Y989" i="5"/>
  <c r="X989" i="5"/>
  <c r="W989" i="5"/>
  <c r="V989" i="5"/>
  <c r="U989" i="5"/>
  <c r="T989" i="5"/>
  <c r="AA988" i="5"/>
  <c r="Z988" i="5"/>
  <c r="Y988" i="5"/>
  <c r="X988" i="5"/>
  <c r="W988" i="5"/>
  <c r="V988" i="5"/>
  <c r="U988" i="5"/>
  <c r="T988" i="5"/>
  <c r="AA987" i="5"/>
  <c r="Z987" i="5"/>
  <c r="Y987" i="5"/>
  <c r="X987" i="5"/>
  <c r="W987" i="5"/>
  <c r="V987" i="5"/>
  <c r="U987" i="5"/>
  <c r="T987" i="5"/>
  <c r="AA986" i="5"/>
  <c r="Z986" i="5"/>
  <c r="Y986" i="5"/>
  <c r="X986" i="5"/>
  <c r="W986" i="5"/>
  <c r="V986" i="5"/>
  <c r="U986" i="5"/>
  <c r="T986" i="5"/>
  <c r="AA985" i="5"/>
  <c r="Z985" i="5"/>
  <c r="Y985" i="5"/>
  <c r="X985" i="5"/>
  <c r="W985" i="5"/>
  <c r="V985" i="5"/>
  <c r="U985" i="5"/>
  <c r="T985" i="5"/>
  <c r="AA984" i="5"/>
  <c r="Z984" i="5"/>
  <c r="Y984" i="5"/>
  <c r="X984" i="5"/>
  <c r="W984" i="5"/>
  <c r="V984" i="5"/>
  <c r="U984" i="5"/>
  <c r="T984" i="5"/>
  <c r="AA983" i="5"/>
  <c r="Z983" i="5"/>
  <c r="Y983" i="5"/>
  <c r="X983" i="5"/>
  <c r="W983" i="5"/>
  <c r="V983" i="5"/>
  <c r="U983" i="5"/>
  <c r="T983" i="5"/>
  <c r="AA982" i="5"/>
  <c r="Z982" i="5"/>
  <c r="Y982" i="5"/>
  <c r="X982" i="5"/>
  <c r="W982" i="5"/>
  <c r="V982" i="5"/>
  <c r="U982" i="5"/>
  <c r="T982" i="5"/>
  <c r="AA981" i="5"/>
  <c r="Z981" i="5"/>
  <c r="Y981" i="5"/>
  <c r="X981" i="5"/>
  <c r="W981" i="5"/>
  <c r="V981" i="5"/>
  <c r="U981" i="5"/>
  <c r="T981" i="5"/>
  <c r="AA980" i="5"/>
  <c r="Z980" i="5"/>
  <c r="Y980" i="5"/>
  <c r="X980" i="5"/>
  <c r="W980" i="5"/>
  <c r="V980" i="5"/>
  <c r="U980" i="5"/>
  <c r="T980" i="5"/>
  <c r="AA979" i="5"/>
  <c r="Z979" i="5"/>
  <c r="Y979" i="5"/>
  <c r="X979" i="5"/>
  <c r="W979" i="5"/>
  <c r="V979" i="5"/>
  <c r="U979" i="5"/>
  <c r="T979" i="5"/>
  <c r="AA978" i="5"/>
  <c r="Z978" i="5"/>
  <c r="Y978" i="5"/>
  <c r="X978" i="5"/>
  <c r="W978" i="5"/>
  <c r="V978" i="5"/>
  <c r="U978" i="5"/>
  <c r="T978" i="5"/>
  <c r="AA977" i="5"/>
  <c r="Z977" i="5"/>
  <c r="Y977" i="5"/>
  <c r="X977" i="5"/>
  <c r="W977" i="5"/>
  <c r="V977" i="5"/>
  <c r="U977" i="5"/>
  <c r="T977" i="5"/>
  <c r="AA976" i="5"/>
  <c r="Z976" i="5"/>
  <c r="Y976" i="5"/>
  <c r="X976" i="5"/>
  <c r="W976" i="5"/>
  <c r="V976" i="5"/>
  <c r="U976" i="5"/>
  <c r="T976" i="5"/>
  <c r="AA975" i="5"/>
  <c r="Z975" i="5"/>
  <c r="Y975" i="5"/>
  <c r="X975" i="5"/>
  <c r="W975" i="5"/>
  <c r="V975" i="5"/>
  <c r="U975" i="5"/>
  <c r="T975" i="5"/>
  <c r="AA974" i="5"/>
  <c r="Z974" i="5"/>
  <c r="Y974" i="5"/>
  <c r="X974" i="5"/>
  <c r="W974" i="5"/>
  <c r="V974" i="5"/>
  <c r="U974" i="5"/>
  <c r="T974" i="5"/>
  <c r="AA973" i="5"/>
  <c r="Z973" i="5"/>
  <c r="Y973" i="5"/>
  <c r="X973" i="5"/>
  <c r="W973" i="5"/>
  <c r="V973" i="5"/>
  <c r="U973" i="5"/>
  <c r="T973" i="5"/>
  <c r="AA972" i="5"/>
  <c r="Z972" i="5"/>
  <c r="Y972" i="5"/>
  <c r="X972" i="5"/>
  <c r="W972" i="5"/>
  <c r="V972" i="5"/>
  <c r="U972" i="5"/>
  <c r="T972" i="5"/>
  <c r="AA971" i="5"/>
  <c r="Z971" i="5"/>
  <c r="Y971" i="5"/>
  <c r="X971" i="5"/>
  <c r="W971" i="5"/>
  <c r="V971" i="5"/>
  <c r="U971" i="5"/>
  <c r="T971" i="5"/>
  <c r="AA970" i="5"/>
  <c r="Z970" i="5"/>
  <c r="Y970" i="5"/>
  <c r="X970" i="5"/>
  <c r="W970" i="5"/>
  <c r="V970" i="5"/>
  <c r="U970" i="5"/>
  <c r="T970" i="5"/>
  <c r="AA969" i="5"/>
  <c r="Z969" i="5"/>
  <c r="Y969" i="5"/>
  <c r="X969" i="5"/>
  <c r="W969" i="5"/>
  <c r="V969" i="5"/>
  <c r="U969" i="5"/>
  <c r="T969" i="5"/>
  <c r="AA968" i="5"/>
  <c r="Z968" i="5"/>
  <c r="Y968" i="5"/>
  <c r="X968" i="5"/>
  <c r="W968" i="5"/>
  <c r="V968" i="5"/>
  <c r="U968" i="5"/>
  <c r="T968" i="5"/>
  <c r="AA967" i="5"/>
  <c r="Z967" i="5"/>
  <c r="Y967" i="5"/>
  <c r="X967" i="5"/>
  <c r="W967" i="5"/>
  <c r="V967" i="5"/>
  <c r="U967" i="5"/>
  <c r="T967" i="5"/>
  <c r="AA966" i="5"/>
  <c r="Z966" i="5"/>
  <c r="Y966" i="5"/>
  <c r="X966" i="5"/>
  <c r="W966" i="5"/>
  <c r="V966" i="5"/>
  <c r="U966" i="5"/>
  <c r="T966" i="5"/>
  <c r="AA965" i="5"/>
  <c r="Z965" i="5"/>
  <c r="Y965" i="5"/>
  <c r="X965" i="5"/>
  <c r="W965" i="5"/>
  <c r="V965" i="5"/>
  <c r="U965" i="5"/>
  <c r="T965" i="5"/>
  <c r="AA964" i="5"/>
  <c r="Z964" i="5"/>
  <c r="Y964" i="5"/>
  <c r="X964" i="5"/>
  <c r="W964" i="5"/>
  <c r="V964" i="5"/>
  <c r="U964" i="5"/>
  <c r="T964" i="5"/>
  <c r="AA963" i="5"/>
  <c r="Z963" i="5"/>
  <c r="Y963" i="5"/>
  <c r="X963" i="5"/>
  <c r="W963" i="5"/>
  <c r="V963" i="5"/>
  <c r="U963" i="5"/>
  <c r="T963" i="5"/>
  <c r="AA962" i="5"/>
  <c r="Z962" i="5"/>
  <c r="Y962" i="5"/>
  <c r="X962" i="5"/>
  <c r="W962" i="5"/>
  <c r="V962" i="5"/>
  <c r="U962" i="5"/>
  <c r="T962" i="5"/>
  <c r="AA961" i="5"/>
  <c r="Z961" i="5"/>
  <c r="Y961" i="5"/>
  <c r="X961" i="5"/>
  <c r="W961" i="5"/>
  <c r="V961" i="5"/>
  <c r="U961" i="5"/>
  <c r="T961" i="5"/>
  <c r="AA960" i="5"/>
  <c r="Z960" i="5"/>
  <c r="Y960" i="5"/>
  <c r="X960" i="5"/>
  <c r="W960" i="5"/>
  <c r="V960" i="5"/>
  <c r="U960" i="5"/>
  <c r="T960" i="5"/>
  <c r="AA959" i="5"/>
  <c r="Z959" i="5"/>
  <c r="Y959" i="5"/>
  <c r="X959" i="5"/>
  <c r="W959" i="5"/>
  <c r="V959" i="5"/>
  <c r="U959" i="5"/>
  <c r="T959" i="5"/>
  <c r="AA958" i="5"/>
  <c r="Z958" i="5"/>
  <c r="Y958" i="5"/>
  <c r="X958" i="5"/>
  <c r="W958" i="5"/>
  <c r="V958" i="5"/>
  <c r="U958" i="5"/>
  <c r="T958" i="5"/>
  <c r="AA957" i="5"/>
  <c r="Z957" i="5"/>
  <c r="Y957" i="5"/>
  <c r="X957" i="5"/>
  <c r="W957" i="5"/>
  <c r="V957" i="5"/>
  <c r="U957" i="5"/>
  <c r="T957" i="5"/>
  <c r="AA956" i="5"/>
  <c r="Z956" i="5"/>
  <c r="Y956" i="5"/>
  <c r="X956" i="5"/>
  <c r="W956" i="5"/>
  <c r="V956" i="5"/>
  <c r="U956" i="5"/>
  <c r="T956" i="5"/>
  <c r="AA955" i="5"/>
  <c r="Z955" i="5"/>
  <c r="Y955" i="5"/>
  <c r="X955" i="5"/>
  <c r="W955" i="5"/>
  <c r="V955" i="5"/>
  <c r="U955" i="5"/>
  <c r="T955" i="5"/>
  <c r="AA954" i="5"/>
  <c r="Z954" i="5"/>
  <c r="Y954" i="5"/>
  <c r="X954" i="5"/>
  <c r="W954" i="5"/>
  <c r="V954" i="5"/>
  <c r="U954" i="5"/>
  <c r="T954" i="5"/>
  <c r="AA953" i="5"/>
  <c r="Z953" i="5"/>
  <c r="Y953" i="5"/>
  <c r="X953" i="5"/>
  <c r="W953" i="5"/>
  <c r="V953" i="5"/>
  <c r="U953" i="5"/>
  <c r="T953" i="5"/>
  <c r="AA952" i="5"/>
  <c r="Z952" i="5"/>
  <c r="Y952" i="5"/>
  <c r="X952" i="5"/>
  <c r="W952" i="5"/>
  <c r="V952" i="5"/>
  <c r="U952" i="5"/>
  <c r="T952" i="5"/>
  <c r="AA951" i="5"/>
  <c r="Z951" i="5"/>
  <c r="Y951" i="5"/>
  <c r="X951" i="5"/>
  <c r="W951" i="5"/>
  <c r="V951" i="5"/>
  <c r="U951" i="5"/>
  <c r="T951" i="5"/>
  <c r="AA950" i="5"/>
  <c r="Z950" i="5"/>
  <c r="Y950" i="5"/>
  <c r="X950" i="5"/>
  <c r="W950" i="5"/>
  <c r="V950" i="5"/>
  <c r="U950" i="5"/>
  <c r="T950" i="5"/>
  <c r="AA949" i="5"/>
  <c r="Z949" i="5"/>
  <c r="Y949" i="5"/>
  <c r="X949" i="5"/>
  <c r="W949" i="5"/>
  <c r="V949" i="5"/>
  <c r="U949" i="5"/>
  <c r="T949" i="5"/>
  <c r="AA948" i="5"/>
  <c r="Z948" i="5"/>
  <c r="Y948" i="5"/>
  <c r="X948" i="5"/>
  <c r="W948" i="5"/>
  <c r="V948" i="5"/>
  <c r="U948" i="5"/>
  <c r="T948" i="5"/>
  <c r="AA947" i="5"/>
  <c r="Z947" i="5"/>
  <c r="Y947" i="5"/>
  <c r="X947" i="5"/>
  <c r="W947" i="5"/>
  <c r="V947" i="5"/>
  <c r="U947" i="5"/>
  <c r="T947" i="5"/>
  <c r="AA946" i="5"/>
  <c r="Z946" i="5"/>
  <c r="Y946" i="5"/>
  <c r="X946" i="5"/>
  <c r="W946" i="5"/>
  <c r="V946" i="5"/>
  <c r="U946" i="5"/>
  <c r="T946" i="5"/>
  <c r="AA945" i="5"/>
  <c r="Z945" i="5"/>
  <c r="Y945" i="5"/>
  <c r="X945" i="5"/>
  <c r="W945" i="5"/>
  <c r="V945" i="5"/>
  <c r="U945" i="5"/>
  <c r="T945" i="5"/>
  <c r="AA944" i="5"/>
  <c r="Z944" i="5"/>
  <c r="Y944" i="5"/>
  <c r="X944" i="5"/>
  <c r="W944" i="5"/>
  <c r="V944" i="5"/>
  <c r="U944" i="5"/>
  <c r="T944" i="5"/>
  <c r="AA943" i="5"/>
  <c r="Z943" i="5"/>
  <c r="Y943" i="5"/>
  <c r="X943" i="5"/>
  <c r="W943" i="5"/>
  <c r="V943" i="5"/>
  <c r="U943" i="5"/>
  <c r="T943" i="5"/>
  <c r="AA942" i="5"/>
  <c r="Z942" i="5"/>
  <c r="Y942" i="5"/>
  <c r="X942" i="5"/>
  <c r="W942" i="5"/>
  <c r="V942" i="5"/>
  <c r="U942" i="5"/>
  <c r="T942" i="5"/>
  <c r="AA941" i="5"/>
  <c r="Z941" i="5"/>
  <c r="Y941" i="5"/>
  <c r="X941" i="5"/>
  <c r="W941" i="5"/>
  <c r="V941" i="5"/>
  <c r="U941" i="5"/>
  <c r="T941" i="5"/>
  <c r="AA940" i="5"/>
  <c r="Z940" i="5"/>
  <c r="Y940" i="5"/>
  <c r="X940" i="5"/>
  <c r="W940" i="5"/>
  <c r="V940" i="5"/>
  <c r="U940" i="5"/>
  <c r="T940" i="5"/>
  <c r="AA939" i="5"/>
  <c r="Z939" i="5"/>
  <c r="Y939" i="5"/>
  <c r="X939" i="5"/>
  <c r="W939" i="5"/>
  <c r="V939" i="5"/>
  <c r="U939" i="5"/>
  <c r="T939" i="5"/>
  <c r="AA938" i="5"/>
  <c r="Z938" i="5"/>
  <c r="Y938" i="5"/>
  <c r="X938" i="5"/>
  <c r="W938" i="5"/>
  <c r="V938" i="5"/>
  <c r="U938" i="5"/>
  <c r="T938" i="5"/>
  <c r="AA937" i="5"/>
  <c r="Z937" i="5"/>
  <c r="Y937" i="5"/>
  <c r="X937" i="5"/>
  <c r="W937" i="5"/>
  <c r="V937" i="5"/>
  <c r="U937" i="5"/>
  <c r="T937" i="5"/>
  <c r="AA936" i="5"/>
  <c r="Z936" i="5"/>
  <c r="Y936" i="5"/>
  <c r="X936" i="5"/>
  <c r="W936" i="5"/>
  <c r="V936" i="5"/>
  <c r="U936" i="5"/>
  <c r="T936" i="5"/>
  <c r="AA935" i="5"/>
  <c r="Z935" i="5"/>
  <c r="Y935" i="5"/>
  <c r="X935" i="5"/>
  <c r="W935" i="5"/>
  <c r="V935" i="5"/>
  <c r="U935" i="5"/>
  <c r="T935" i="5"/>
  <c r="AA934" i="5"/>
  <c r="Z934" i="5"/>
  <c r="Y934" i="5"/>
  <c r="X934" i="5"/>
  <c r="W934" i="5"/>
  <c r="V934" i="5"/>
  <c r="U934" i="5"/>
  <c r="T934" i="5"/>
  <c r="AA933" i="5"/>
  <c r="Z933" i="5"/>
  <c r="Y933" i="5"/>
  <c r="X933" i="5"/>
  <c r="W933" i="5"/>
  <c r="V933" i="5"/>
  <c r="U933" i="5"/>
  <c r="T933" i="5"/>
  <c r="AA932" i="5"/>
  <c r="Z932" i="5"/>
  <c r="Y932" i="5"/>
  <c r="X932" i="5"/>
  <c r="W932" i="5"/>
  <c r="V932" i="5"/>
  <c r="U932" i="5"/>
  <c r="T932" i="5"/>
  <c r="AA931" i="5"/>
  <c r="Z931" i="5"/>
  <c r="Y931" i="5"/>
  <c r="X931" i="5"/>
  <c r="W931" i="5"/>
  <c r="V931" i="5"/>
  <c r="U931" i="5"/>
  <c r="T931" i="5"/>
  <c r="AA930" i="5"/>
  <c r="Z930" i="5"/>
  <c r="Y930" i="5"/>
  <c r="X930" i="5"/>
  <c r="W930" i="5"/>
  <c r="V930" i="5"/>
  <c r="U930" i="5"/>
  <c r="T930" i="5"/>
  <c r="AA929" i="5"/>
  <c r="Z929" i="5"/>
  <c r="Y929" i="5"/>
  <c r="X929" i="5"/>
  <c r="W929" i="5"/>
  <c r="V929" i="5"/>
  <c r="U929" i="5"/>
  <c r="T929" i="5"/>
  <c r="AA928" i="5"/>
  <c r="Z928" i="5"/>
  <c r="Y928" i="5"/>
  <c r="X928" i="5"/>
  <c r="W928" i="5"/>
  <c r="V928" i="5"/>
  <c r="U928" i="5"/>
  <c r="T928" i="5"/>
  <c r="AA927" i="5"/>
  <c r="Z927" i="5"/>
  <c r="Y927" i="5"/>
  <c r="X927" i="5"/>
  <c r="W927" i="5"/>
  <c r="V927" i="5"/>
  <c r="U927" i="5"/>
  <c r="T927" i="5"/>
  <c r="AA926" i="5"/>
  <c r="Z926" i="5"/>
  <c r="Y926" i="5"/>
  <c r="X926" i="5"/>
  <c r="W926" i="5"/>
  <c r="V926" i="5"/>
  <c r="U926" i="5"/>
  <c r="T926" i="5"/>
  <c r="AA925" i="5"/>
  <c r="Z925" i="5"/>
  <c r="Y925" i="5"/>
  <c r="X925" i="5"/>
  <c r="W925" i="5"/>
  <c r="V925" i="5"/>
  <c r="U925" i="5"/>
  <c r="T925" i="5"/>
  <c r="AA924" i="5"/>
  <c r="Z924" i="5"/>
  <c r="Y924" i="5"/>
  <c r="X924" i="5"/>
  <c r="W924" i="5"/>
  <c r="V924" i="5"/>
  <c r="U924" i="5"/>
  <c r="T924" i="5"/>
  <c r="AA923" i="5"/>
  <c r="Z923" i="5"/>
  <c r="Y923" i="5"/>
  <c r="X923" i="5"/>
  <c r="W923" i="5"/>
  <c r="V923" i="5"/>
  <c r="U923" i="5"/>
  <c r="T923" i="5"/>
  <c r="AA922" i="5"/>
  <c r="Z922" i="5"/>
  <c r="Y922" i="5"/>
  <c r="X922" i="5"/>
  <c r="W922" i="5"/>
  <c r="V922" i="5"/>
  <c r="U922" i="5"/>
  <c r="T922" i="5"/>
  <c r="AA921" i="5"/>
  <c r="Z921" i="5"/>
  <c r="Y921" i="5"/>
  <c r="X921" i="5"/>
  <c r="W921" i="5"/>
  <c r="V921" i="5"/>
  <c r="U921" i="5"/>
  <c r="T921" i="5"/>
  <c r="AA920" i="5"/>
  <c r="Z920" i="5"/>
  <c r="Y920" i="5"/>
  <c r="X920" i="5"/>
  <c r="W920" i="5"/>
  <c r="V920" i="5"/>
  <c r="U920" i="5"/>
  <c r="T920" i="5"/>
  <c r="AA919" i="5"/>
  <c r="Z919" i="5"/>
  <c r="Y919" i="5"/>
  <c r="X919" i="5"/>
  <c r="W919" i="5"/>
  <c r="V919" i="5"/>
  <c r="U919" i="5"/>
  <c r="T919" i="5"/>
  <c r="AA918" i="5"/>
  <c r="Z918" i="5"/>
  <c r="Y918" i="5"/>
  <c r="X918" i="5"/>
  <c r="W918" i="5"/>
  <c r="V918" i="5"/>
  <c r="U918" i="5"/>
  <c r="T918" i="5"/>
  <c r="AA917" i="5"/>
  <c r="Z917" i="5"/>
  <c r="Y917" i="5"/>
  <c r="X917" i="5"/>
  <c r="W917" i="5"/>
  <c r="V917" i="5"/>
  <c r="U917" i="5"/>
  <c r="T917" i="5"/>
  <c r="AA916" i="5"/>
  <c r="Z916" i="5"/>
  <c r="Y916" i="5"/>
  <c r="X916" i="5"/>
  <c r="W916" i="5"/>
  <c r="V916" i="5"/>
  <c r="U916" i="5"/>
  <c r="T916" i="5"/>
  <c r="AA915" i="5"/>
  <c r="Z915" i="5"/>
  <c r="Y915" i="5"/>
  <c r="X915" i="5"/>
  <c r="W915" i="5"/>
  <c r="V915" i="5"/>
  <c r="U915" i="5"/>
  <c r="T915" i="5"/>
  <c r="AA914" i="5"/>
  <c r="Z914" i="5"/>
  <c r="Y914" i="5"/>
  <c r="X914" i="5"/>
  <c r="W914" i="5"/>
  <c r="V914" i="5"/>
  <c r="U914" i="5"/>
  <c r="T914" i="5"/>
  <c r="AA913" i="5"/>
  <c r="Z913" i="5"/>
  <c r="Y913" i="5"/>
  <c r="X913" i="5"/>
  <c r="W913" i="5"/>
  <c r="V913" i="5"/>
  <c r="U913" i="5"/>
  <c r="T913" i="5"/>
  <c r="AA912" i="5"/>
  <c r="Z912" i="5"/>
  <c r="Y912" i="5"/>
  <c r="X912" i="5"/>
  <c r="W912" i="5"/>
  <c r="V912" i="5"/>
  <c r="U912" i="5"/>
  <c r="T912" i="5"/>
  <c r="AA911" i="5"/>
  <c r="Z911" i="5"/>
  <c r="Y911" i="5"/>
  <c r="X911" i="5"/>
  <c r="W911" i="5"/>
  <c r="V911" i="5"/>
  <c r="U911" i="5"/>
  <c r="T911" i="5"/>
  <c r="AA910" i="5"/>
  <c r="Z910" i="5"/>
  <c r="Y910" i="5"/>
  <c r="X910" i="5"/>
  <c r="W910" i="5"/>
  <c r="V910" i="5"/>
  <c r="U910" i="5"/>
  <c r="T910" i="5"/>
  <c r="AA909" i="5"/>
  <c r="Z909" i="5"/>
  <c r="Y909" i="5"/>
  <c r="X909" i="5"/>
  <c r="W909" i="5"/>
  <c r="V909" i="5"/>
  <c r="U909" i="5"/>
  <c r="T909" i="5"/>
  <c r="AA908" i="5"/>
  <c r="Z908" i="5"/>
  <c r="Y908" i="5"/>
  <c r="X908" i="5"/>
  <c r="W908" i="5"/>
  <c r="V908" i="5"/>
  <c r="U908" i="5"/>
  <c r="T908" i="5"/>
  <c r="AA907" i="5"/>
  <c r="Z907" i="5"/>
  <c r="Y907" i="5"/>
  <c r="X907" i="5"/>
  <c r="W907" i="5"/>
  <c r="V907" i="5"/>
  <c r="U907" i="5"/>
  <c r="T907" i="5"/>
  <c r="AA906" i="5"/>
  <c r="Z906" i="5"/>
  <c r="Y906" i="5"/>
  <c r="X906" i="5"/>
  <c r="W906" i="5"/>
  <c r="V906" i="5"/>
  <c r="U906" i="5"/>
  <c r="T906" i="5"/>
  <c r="AA905" i="5"/>
  <c r="Z905" i="5"/>
  <c r="Y905" i="5"/>
  <c r="X905" i="5"/>
  <c r="W905" i="5"/>
  <c r="V905" i="5"/>
  <c r="U905" i="5"/>
  <c r="T905" i="5"/>
  <c r="AA904" i="5"/>
  <c r="Z904" i="5"/>
  <c r="Y904" i="5"/>
  <c r="X904" i="5"/>
  <c r="W904" i="5"/>
  <c r="V904" i="5"/>
  <c r="U904" i="5"/>
  <c r="T904" i="5"/>
  <c r="AA903" i="5"/>
  <c r="Z903" i="5"/>
  <c r="Y903" i="5"/>
  <c r="X903" i="5"/>
  <c r="W903" i="5"/>
  <c r="V903" i="5"/>
  <c r="U903" i="5"/>
  <c r="T903" i="5"/>
  <c r="AA902" i="5"/>
  <c r="Z902" i="5"/>
  <c r="Y902" i="5"/>
  <c r="X902" i="5"/>
  <c r="W902" i="5"/>
  <c r="V902" i="5"/>
  <c r="U902" i="5"/>
  <c r="T902" i="5"/>
  <c r="AA901" i="5"/>
  <c r="Z901" i="5"/>
  <c r="Y901" i="5"/>
  <c r="X901" i="5"/>
  <c r="W901" i="5"/>
  <c r="V901" i="5"/>
  <c r="U901" i="5"/>
  <c r="T901" i="5"/>
  <c r="AA900" i="5"/>
  <c r="Z900" i="5"/>
  <c r="Y900" i="5"/>
  <c r="X900" i="5"/>
  <c r="W900" i="5"/>
  <c r="V900" i="5"/>
  <c r="U900" i="5"/>
  <c r="T900" i="5"/>
  <c r="AA899" i="5"/>
  <c r="Z899" i="5"/>
  <c r="Y899" i="5"/>
  <c r="X899" i="5"/>
  <c r="W899" i="5"/>
  <c r="V899" i="5"/>
  <c r="U899" i="5"/>
  <c r="T899" i="5"/>
  <c r="AA898" i="5"/>
  <c r="Z898" i="5"/>
  <c r="Y898" i="5"/>
  <c r="X898" i="5"/>
  <c r="W898" i="5"/>
  <c r="V898" i="5"/>
  <c r="U898" i="5"/>
  <c r="T898" i="5"/>
  <c r="AA897" i="5"/>
  <c r="Z897" i="5"/>
  <c r="Y897" i="5"/>
  <c r="X897" i="5"/>
  <c r="W897" i="5"/>
  <c r="V897" i="5"/>
  <c r="U897" i="5"/>
  <c r="T897" i="5"/>
  <c r="AA896" i="5"/>
  <c r="Z896" i="5"/>
  <c r="Y896" i="5"/>
  <c r="X896" i="5"/>
  <c r="W896" i="5"/>
  <c r="V896" i="5"/>
  <c r="U896" i="5"/>
  <c r="T896" i="5"/>
  <c r="AA895" i="5"/>
  <c r="Z895" i="5"/>
  <c r="Y895" i="5"/>
  <c r="X895" i="5"/>
  <c r="W895" i="5"/>
  <c r="V895" i="5"/>
  <c r="U895" i="5"/>
  <c r="T895" i="5"/>
  <c r="AA894" i="5"/>
  <c r="Z894" i="5"/>
  <c r="Y894" i="5"/>
  <c r="X894" i="5"/>
  <c r="W894" i="5"/>
  <c r="V894" i="5"/>
  <c r="U894" i="5"/>
  <c r="T894" i="5"/>
  <c r="AA893" i="5"/>
  <c r="Z893" i="5"/>
  <c r="Y893" i="5"/>
  <c r="X893" i="5"/>
  <c r="W893" i="5"/>
  <c r="V893" i="5"/>
  <c r="U893" i="5"/>
  <c r="T893" i="5"/>
  <c r="AA892" i="5"/>
  <c r="Z892" i="5"/>
  <c r="Y892" i="5"/>
  <c r="X892" i="5"/>
  <c r="W892" i="5"/>
  <c r="V892" i="5"/>
  <c r="U892" i="5"/>
  <c r="T892" i="5"/>
  <c r="AA891" i="5"/>
  <c r="Z891" i="5"/>
  <c r="Y891" i="5"/>
  <c r="X891" i="5"/>
  <c r="W891" i="5"/>
  <c r="V891" i="5"/>
  <c r="U891" i="5"/>
  <c r="T891" i="5"/>
  <c r="AA890" i="5"/>
  <c r="Z890" i="5"/>
  <c r="Y890" i="5"/>
  <c r="X890" i="5"/>
  <c r="W890" i="5"/>
  <c r="V890" i="5"/>
  <c r="U890" i="5"/>
  <c r="T890" i="5"/>
  <c r="AA889" i="5"/>
  <c r="Z889" i="5"/>
  <c r="Y889" i="5"/>
  <c r="X889" i="5"/>
  <c r="W889" i="5"/>
  <c r="V889" i="5"/>
  <c r="U889" i="5"/>
  <c r="T889" i="5"/>
  <c r="AA888" i="5"/>
  <c r="Z888" i="5"/>
  <c r="Y888" i="5"/>
  <c r="X888" i="5"/>
  <c r="W888" i="5"/>
  <c r="V888" i="5"/>
  <c r="U888" i="5"/>
  <c r="T888" i="5"/>
  <c r="AA887" i="5"/>
  <c r="Z887" i="5"/>
  <c r="Y887" i="5"/>
  <c r="X887" i="5"/>
  <c r="W887" i="5"/>
  <c r="V887" i="5"/>
  <c r="U887" i="5"/>
  <c r="T887" i="5"/>
  <c r="AA886" i="5"/>
  <c r="Z886" i="5"/>
  <c r="Y886" i="5"/>
  <c r="X886" i="5"/>
  <c r="W886" i="5"/>
  <c r="V886" i="5"/>
  <c r="U886" i="5"/>
  <c r="T886" i="5"/>
  <c r="AA885" i="5"/>
  <c r="Z885" i="5"/>
  <c r="Y885" i="5"/>
  <c r="X885" i="5"/>
  <c r="W885" i="5"/>
  <c r="V885" i="5"/>
  <c r="U885" i="5"/>
  <c r="T885" i="5"/>
  <c r="AA884" i="5"/>
  <c r="Z884" i="5"/>
  <c r="Y884" i="5"/>
  <c r="X884" i="5"/>
  <c r="W884" i="5"/>
  <c r="V884" i="5"/>
  <c r="U884" i="5"/>
  <c r="T884" i="5"/>
  <c r="AA883" i="5"/>
  <c r="Z883" i="5"/>
  <c r="Y883" i="5"/>
  <c r="X883" i="5"/>
  <c r="W883" i="5"/>
  <c r="V883" i="5"/>
  <c r="U883" i="5"/>
  <c r="T883" i="5"/>
  <c r="AA882" i="5"/>
  <c r="Z882" i="5"/>
  <c r="Y882" i="5"/>
  <c r="X882" i="5"/>
  <c r="W882" i="5"/>
  <c r="V882" i="5"/>
  <c r="U882" i="5"/>
  <c r="T882" i="5"/>
  <c r="AA881" i="5"/>
  <c r="Z881" i="5"/>
  <c r="Y881" i="5"/>
  <c r="X881" i="5"/>
  <c r="W881" i="5"/>
  <c r="V881" i="5"/>
  <c r="U881" i="5"/>
  <c r="T881" i="5"/>
  <c r="AA880" i="5"/>
  <c r="Z880" i="5"/>
  <c r="Y880" i="5"/>
  <c r="X880" i="5"/>
  <c r="W880" i="5"/>
  <c r="V880" i="5"/>
  <c r="U880" i="5"/>
  <c r="T880" i="5"/>
  <c r="AA879" i="5"/>
  <c r="Z879" i="5"/>
  <c r="Y879" i="5"/>
  <c r="X879" i="5"/>
  <c r="W879" i="5"/>
  <c r="V879" i="5"/>
  <c r="U879" i="5"/>
  <c r="T879" i="5"/>
  <c r="AA878" i="5"/>
  <c r="Z878" i="5"/>
  <c r="Y878" i="5"/>
  <c r="X878" i="5"/>
  <c r="W878" i="5"/>
  <c r="V878" i="5"/>
  <c r="U878" i="5"/>
  <c r="T878" i="5"/>
  <c r="AA877" i="5"/>
  <c r="Z877" i="5"/>
  <c r="Y877" i="5"/>
  <c r="X877" i="5"/>
  <c r="W877" i="5"/>
  <c r="V877" i="5"/>
  <c r="U877" i="5"/>
  <c r="T877" i="5"/>
  <c r="AA876" i="5"/>
  <c r="Z876" i="5"/>
  <c r="Y876" i="5"/>
  <c r="X876" i="5"/>
  <c r="W876" i="5"/>
  <c r="V876" i="5"/>
  <c r="U876" i="5"/>
  <c r="T876" i="5"/>
  <c r="AA875" i="5"/>
  <c r="Z875" i="5"/>
  <c r="Y875" i="5"/>
  <c r="X875" i="5"/>
  <c r="W875" i="5"/>
  <c r="V875" i="5"/>
  <c r="U875" i="5"/>
  <c r="T875" i="5"/>
  <c r="AA874" i="5"/>
  <c r="Z874" i="5"/>
  <c r="Y874" i="5"/>
  <c r="X874" i="5"/>
  <c r="W874" i="5"/>
  <c r="V874" i="5"/>
  <c r="U874" i="5"/>
  <c r="T874" i="5"/>
  <c r="AA873" i="5"/>
  <c r="Z873" i="5"/>
  <c r="Y873" i="5"/>
  <c r="X873" i="5"/>
  <c r="W873" i="5"/>
  <c r="V873" i="5"/>
  <c r="U873" i="5"/>
  <c r="T873" i="5"/>
  <c r="AA872" i="5"/>
  <c r="Z872" i="5"/>
  <c r="Y872" i="5"/>
  <c r="X872" i="5"/>
  <c r="W872" i="5"/>
  <c r="V872" i="5"/>
  <c r="U872" i="5"/>
  <c r="T872" i="5"/>
  <c r="AA871" i="5"/>
  <c r="Z871" i="5"/>
  <c r="Y871" i="5"/>
  <c r="X871" i="5"/>
  <c r="W871" i="5"/>
  <c r="V871" i="5"/>
  <c r="U871" i="5"/>
  <c r="T871" i="5"/>
  <c r="AA870" i="5"/>
  <c r="Z870" i="5"/>
  <c r="Y870" i="5"/>
  <c r="X870" i="5"/>
  <c r="W870" i="5"/>
  <c r="V870" i="5"/>
  <c r="U870" i="5"/>
  <c r="T870" i="5"/>
  <c r="AA869" i="5"/>
  <c r="Z869" i="5"/>
  <c r="Y869" i="5"/>
  <c r="X869" i="5"/>
  <c r="W869" i="5"/>
  <c r="V869" i="5"/>
  <c r="U869" i="5"/>
  <c r="T869" i="5"/>
  <c r="AA868" i="5"/>
  <c r="Z868" i="5"/>
  <c r="Y868" i="5"/>
  <c r="X868" i="5"/>
  <c r="W868" i="5"/>
  <c r="V868" i="5"/>
  <c r="U868" i="5"/>
  <c r="T868" i="5"/>
  <c r="AA867" i="5"/>
  <c r="Z867" i="5"/>
  <c r="Y867" i="5"/>
  <c r="X867" i="5"/>
  <c r="W867" i="5"/>
  <c r="V867" i="5"/>
  <c r="U867" i="5"/>
  <c r="T867" i="5"/>
  <c r="AA866" i="5"/>
  <c r="Z866" i="5"/>
  <c r="Y866" i="5"/>
  <c r="X866" i="5"/>
  <c r="W866" i="5"/>
  <c r="V866" i="5"/>
  <c r="U866" i="5"/>
  <c r="T866" i="5"/>
  <c r="AA865" i="5"/>
  <c r="Z865" i="5"/>
  <c r="Y865" i="5"/>
  <c r="X865" i="5"/>
  <c r="W865" i="5"/>
  <c r="V865" i="5"/>
  <c r="U865" i="5"/>
  <c r="T865" i="5"/>
  <c r="AA864" i="5"/>
  <c r="Z864" i="5"/>
  <c r="Y864" i="5"/>
  <c r="X864" i="5"/>
  <c r="W864" i="5"/>
  <c r="V864" i="5"/>
  <c r="U864" i="5"/>
  <c r="T864" i="5"/>
  <c r="AA863" i="5"/>
  <c r="Z863" i="5"/>
  <c r="Y863" i="5"/>
  <c r="X863" i="5"/>
  <c r="W863" i="5"/>
  <c r="V863" i="5"/>
  <c r="U863" i="5"/>
  <c r="T863" i="5"/>
  <c r="AA862" i="5"/>
  <c r="Z862" i="5"/>
  <c r="Y862" i="5"/>
  <c r="X862" i="5"/>
  <c r="W862" i="5"/>
  <c r="V862" i="5"/>
  <c r="U862" i="5"/>
  <c r="T862" i="5"/>
  <c r="AA861" i="5"/>
  <c r="Z861" i="5"/>
  <c r="Y861" i="5"/>
  <c r="X861" i="5"/>
  <c r="W861" i="5"/>
  <c r="V861" i="5"/>
  <c r="U861" i="5"/>
  <c r="T861" i="5"/>
  <c r="AA860" i="5"/>
  <c r="Z860" i="5"/>
  <c r="Y860" i="5"/>
  <c r="X860" i="5"/>
  <c r="W860" i="5"/>
  <c r="V860" i="5"/>
  <c r="U860" i="5"/>
  <c r="T860" i="5"/>
  <c r="AA859" i="5"/>
  <c r="Z859" i="5"/>
  <c r="Y859" i="5"/>
  <c r="X859" i="5"/>
  <c r="W859" i="5"/>
  <c r="V859" i="5"/>
  <c r="U859" i="5"/>
  <c r="T859" i="5"/>
  <c r="AA858" i="5"/>
  <c r="Z858" i="5"/>
  <c r="Y858" i="5"/>
  <c r="X858" i="5"/>
  <c r="W858" i="5"/>
  <c r="V858" i="5"/>
  <c r="U858" i="5"/>
  <c r="T858" i="5"/>
  <c r="AA857" i="5"/>
  <c r="Z857" i="5"/>
  <c r="Y857" i="5"/>
  <c r="X857" i="5"/>
  <c r="W857" i="5"/>
  <c r="V857" i="5"/>
  <c r="U857" i="5"/>
  <c r="T857" i="5"/>
  <c r="AA856" i="5"/>
  <c r="Z856" i="5"/>
  <c r="Y856" i="5"/>
  <c r="X856" i="5"/>
  <c r="W856" i="5"/>
  <c r="V856" i="5"/>
  <c r="U856" i="5"/>
  <c r="T856" i="5"/>
  <c r="AA855" i="5"/>
  <c r="Z855" i="5"/>
  <c r="Y855" i="5"/>
  <c r="X855" i="5"/>
  <c r="W855" i="5"/>
  <c r="V855" i="5"/>
  <c r="U855" i="5"/>
  <c r="T855" i="5"/>
  <c r="AA854" i="5"/>
  <c r="Z854" i="5"/>
  <c r="Y854" i="5"/>
  <c r="X854" i="5"/>
  <c r="W854" i="5"/>
  <c r="V854" i="5"/>
  <c r="U854" i="5"/>
  <c r="T854" i="5"/>
  <c r="AA853" i="5"/>
  <c r="Z853" i="5"/>
  <c r="Y853" i="5"/>
  <c r="X853" i="5"/>
  <c r="W853" i="5"/>
  <c r="V853" i="5"/>
  <c r="U853" i="5"/>
  <c r="T853" i="5"/>
  <c r="AA852" i="5"/>
  <c r="Z852" i="5"/>
  <c r="Y852" i="5"/>
  <c r="X852" i="5"/>
  <c r="W852" i="5"/>
  <c r="V852" i="5"/>
  <c r="U852" i="5"/>
  <c r="T852" i="5"/>
  <c r="AA851" i="5"/>
  <c r="Z851" i="5"/>
  <c r="Y851" i="5"/>
  <c r="X851" i="5"/>
  <c r="W851" i="5"/>
  <c r="V851" i="5"/>
  <c r="U851" i="5"/>
  <c r="T851" i="5"/>
  <c r="AA850" i="5"/>
  <c r="Z850" i="5"/>
  <c r="Y850" i="5"/>
  <c r="X850" i="5"/>
  <c r="W850" i="5"/>
  <c r="V850" i="5"/>
  <c r="U850" i="5"/>
  <c r="T850" i="5"/>
  <c r="AA849" i="5"/>
  <c r="Z849" i="5"/>
  <c r="Y849" i="5"/>
  <c r="X849" i="5"/>
  <c r="W849" i="5"/>
  <c r="V849" i="5"/>
  <c r="U849" i="5"/>
  <c r="T849" i="5"/>
  <c r="AA848" i="5"/>
  <c r="Z848" i="5"/>
  <c r="Y848" i="5"/>
  <c r="X848" i="5"/>
  <c r="W848" i="5"/>
  <c r="V848" i="5"/>
  <c r="U848" i="5"/>
  <c r="T848" i="5"/>
  <c r="AA847" i="5"/>
  <c r="Z847" i="5"/>
  <c r="Y847" i="5"/>
  <c r="X847" i="5"/>
  <c r="W847" i="5"/>
  <c r="V847" i="5"/>
  <c r="U847" i="5"/>
  <c r="T847" i="5"/>
  <c r="AA846" i="5"/>
  <c r="Z846" i="5"/>
  <c r="Y846" i="5"/>
  <c r="X846" i="5"/>
  <c r="W846" i="5"/>
  <c r="V846" i="5"/>
  <c r="U846" i="5"/>
  <c r="T846" i="5"/>
  <c r="AA845" i="5"/>
  <c r="Z845" i="5"/>
  <c r="Y845" i="5"/>
  <c r="X845" i="5"/>
  <c r="W845" i="5"/>
  <c r="V845" i="5"/>
  <c r="U845" i="5"/>
  <c r="T845" i="5"/>
  <c r="AA844" i="5"/>
  <c r="Z844" i="5"/>
  <c r="Y844" i="5"/>
  <c r="X844" i="5"/>
  <c r="W844" i="5"/>
  <c r="V844" i="5"/>
  <c r="U844" i="5"/>
  <c r="T844" i="5"/>
  <c r="AA843" i="5"/>
  <c r="Z843" i="5"/>
  <c r="Y843" i="5"/>
  <c r="X843" i="5"/>
  <c r="W843" i="5"/>
  <c r="V843" i="5"/>
  <c r="U843" i="5"/>
  <c r="T843" i="5"/>
  <c r="AA842" i="5"/>
  <c r="Z842" i="5"/>
  <c r="Y842" i="5"/>
  <c r="X842" i="5"/>
  <c r="W842" i="5"/>
  <c r="V842" i="5"/>
  <c r="U842" i="5"/>
  <c r="T842" i="5"/>
  <c r="AA841" i="5"/>
  <c r="Z841" i="5"/>
  <c r="Y841" i="5"/>
  <c r="X841" i="5"/>
  <c r="W841" i="5"/>
  <c r="V841" i="5"/>
  <c r="U841" i="5"/>
  <c r="T841" i="5"/>
  <c r="AA840" i="5"/>
  <c r="Z840" i="5"/>
  <c r="Y840" i="5"/>
  <c r="X840" i="5"/>
  <c r="W840" i="5"/>
  <c r="V840" i="5"/>
  <c r="U840" i="5"/>
  <c r="T840" i="5"/>
  <c r="AA839" i="5"/>
  <c r="Z839" i="5"/>
  <c r="Y839" i="5"/>
  <c r="X839" i="5"/>
  <c r="W839" i="5"/>
  <c r="V839" i="5"/>
  <c r="U839" i="5"/>
  <c r="T839" i="5"/>
  <c r="AA838" i="5"/>
  <c r="Z838" i="5"/>
  <c r="Y838" i="5"/>
  <c r="X838" i="5"/>
  <c r="W838" i="5"/>
  <c r="V838" i="5"/>
  <c r="U838" i="5"/>
  <c r="T838" i="5"/>
  <c r="AA837" i="5"/>
  <c r="Z837" i="5"/>
  <c r="Y837" i="5"/>
  <c r="X837" i="5"/>
  <c r="W837" i="5"/>
  <c r="V837" i="5"/>
  <c r="U837" i="5"/>
  <c r="T837" i="5"/>
  <c r="AA836" i="5"/>
  <c r="Z836" i="5"/>
  <c r="Y836" i="5"/>
  <c r="X836" i="5"/>
  <c r="W836" i="5"/>
  <c r="V836" i="5"/>
  <c r="U836" i="5"/>
  <c r="T836" i="5"/>
  <c r="AA835" i="5"/>
  <c r="Z835" i="5"/>
  <c r="Y835" i="5"/>
  <c r="X835" i="5"/>
  <c r="W835" i="5"/>
  <c r="V835" i="5"/>
  <c r="U835" i="5"/>
  <c r="T835" i="5"/>
  <c r="AA834" i="5"/>
  <c r="Z834" i="5"/>
  <c r="Y834" i="5"/>
  <c r="X834" i="5"/>
  <c r="W834" i="5"/>
  <c r="V834" i="5"/>
  <c r="U834" i="5"/>
  <c r="T834" i="5"/>
  <c r="AA833" i="5"/>
  <c r="Z833" i="5"/>
  <c r="Y833" i="5"/>
  <c r="X833" i="5"/>
  <c r="W833" i="5"/>
  <c r="V833" i="5"/>
  <c r="U833" i="5"/>
  <c r="T833" i="5"/>
  <c r="AA832" i="5"/>
  <c r="Z832" i="5"/>
  <c r="Y832" i="5"/>
  <c r="X832" i="5"/>
  <c r="W832" i="5"/>
  <c r="V832" i="5"/>
  <c r="U832" i="5"/>
  <c r="T832" i="5"/>
  <c r="AA831" i="5"/>
  <c r="Z831" i="5"/>
  <c r="Y831" i="5"/>
  <c r="X831" i="5"/>
  <c r="W831" i="5"/>
  <c r="V831" i="5"/>
  <c r="U831" i="5"/>
  <c r="T831" i="5"/>
  <c r="AA830" i="5"/>
  <c r="Z830" i="5"/>
  <c r="Y830" i="5"/>
  <c r="X830" i="5"/>
  <c r="W830" i="5"/>
  <c r="V830" i="5"/>
  <c r="U830" i="5"/>
  <c r="T830" i="5"/>
  <c r="AA829" i="5"/>
  <c r="Z829" i="5"/>
  <c r="Y829" i="5"/>
  <c r="X829" i="5"/>
  <c r="W829" i="5"/>
  <c r="V829" i="5"/>
  <c r="U829" i="5"/>
  <c r="T829" i="5"/>
  <c r="AA828" i="5"/>
  <c r="Z828" i="5"/>
  <c r="Y828" i="5"/>
  <c r="X828" i="5"/>
  <c r="W828" i="5"/>
  <c r="V828" i="5"/>
  <c r="U828" i="5"/>
  <c r="T828" i="5"/>
  <c r="AA827" i="5"/>
  <c r="Z827" i="5"/>
  <c r="Y827" i="5"/>
  <c r="X827" i="5"/>
  <c r="W827" i="5"/>
  <c r="V827" i="5"/>
  <c r="U827" i="5"/>
  <c r="T827" i="5"/>
  <c r="AA826" i="5"/>
  <c r="Z826" i="5"/>
  <c r="Y826" i="5"/>
  <c r="X826" i="5"/>
  <c r="W826" i="5"/>
  <c r="V826" i="5"/>
  <c r="U826" i="5"/>
  <c r="T826" i="5"/>
  <c r="AA825" i="5"/>
  <c r="Z825" i="5"/>
  <c r="Y825" i="5"/>
  <c r="X825" i="5"/>
  <c r="W825" i="5"/>
  <c r="V825" i="5"/>
  <c r="U825" i="5"/>
  <c r="T825" i="5"/>
  <c r="AA824" i="5"/>
  <c r="Z824" i="5"/>
  <c r="Y824" i="5"/>
  <c r="X824" i="5"/>
  <c r="W824" i="5"/>
  <c r="V824" i="5"/>
  <c r="U824" i="5"/>
  <c r="T824" i="5"/>
  <c r="AA823" i="5"/>
  <c r="Z823" i="5"/>
  <c r="Y823" i="5"/>
  <c r="X823" i="5"/>
  <c r="W823" i="5"/>
  <c r="V823" i="5"/>
  <c r="U823" i="5"/>
  <c r="T823" i="5"/>
  <c r="AA822" i="5"/>
  <c r="Z822" i="5"/>
  <c r="Y822" i="5"/>
  <c r="X822" i="5"/>
  <c r="W822" i="5"/>
  <c r="V822" i="5"/>
  <c r="U822" i="5"/>
  <c r="T822" i="5"/>
  <c r="AA821" i="5"/>
  <c r="Z821" i="5"/>
  <c r="Y821" i="5"/>
  <c r="X821" i="5"/>
  <c r="W821" i="5"/>
  <c r="V821" i="5"/>
  <c r="U821" i="5"/>
  <c r="T821" i="5"/>
  <c r="AA820" i="5"/>
  <c r="Z820" i="5"/>
  <c r="Y820" i="5"/>
  <c r="X820" i="5"/>
  <c r="W820" i="5"/>
  <c r="V820" i="5"/>
  <c r="U820" i="5"/>
  <c r="T820" i="5"/>
  <c r="AA819" i="5"/>
  <c r="Z819" i="5"/>
  <c r="Y819" i="5"/>
  <c r="X819" i="5"/>
  <c r="W819" i="5"/>
  <c r="V819" i="5"/>
  <c r="U819" i="5"/>
  <c r="T819" i="5"/>
  <c r="AA818" i="5"/>
  <c r="Z818" i="5"/>
  <c r="Y818" i="5"/>
  <c r="X818" i="5"/>
  <c r="W818" i="5"/>
  <c r="V818" i="5"/>
  <c r="U818" i="5"/>
  <c r="T818" i="5"/>
  <c r="AA817" i="5"/>
  <c r="Z817" i="5"/>
  <c r="Y817" i="5"/>
  <c r="X817" i="5"/>
  <c r="W817" i="5"/>
  <c r="V817" i="5"/>
  <c r="U817" i="5"/>
  <c r="T817" i="5"/>
  <c r="AA816" i="5"/>
  <c r="Z816" i="5"/>
  <c r="Y816" i="5"/>
  <c r="X816" i="5"/>
  <c r="W816" i="5"/>
  <c r="V816" i="5"/>
  <c r="U816" i="5"/>
  <c r="T816" i="5"/>
  <c r="AA815" i="5"/>
  <c r="Z815" i="5"/>
  <c r="Y815" i="5"/>
  <c r="X815" i="5"/>
  <c r="W815" i="5"/>
  <c r="V815" i="5"/>
  <c r="U815" i="5"/>
  <c r="T815" i="5"/>
  <c r="AA814" i="5"/>
  <c r="Z814" i="5"/>
  <c r="Y814" i="5"/>
  <c r="X814" i="5"/>
  <c r="W814" i="5"/>
  <c r="V814" i="5"/>
  <c r="U814" i="5"/>
  <c r="T814" i="5"/>
  <c r="AA813" i="5"/>
  <c r="Z813" i="5"/>
  <c r="Y813" i="5"/>
  <c r="X813" i="5"/>
  <c r="W813" i="5"/>
  <c r="V813" i="5"/>
  <c r="U813" i="5"/>
  <c r="T813" i="5"/>
  <c r="AA812" i="5"/>
  <c r="Z812" i="5"/>
  <c r="Y812" i="5"/>
  <c r="X812" i="5"/>
  <c r="W812" i="5"/>
  <c r="V812" i="5"/>
  <c r="U812" i="5"/>
  <c r="T812" i="5"/>
  <c r="AA811" i="5"/>
  <c r="Z811" i="5"/>
  <c r="Y811" i="5"/>
  <c r="X811" i="5"/>
  <c r="W811" i="5"/>
  <c r="V811" i="5"/>
  <c r="U811" i="5"/>
  <c r="T811" i="5"/>
  <c r="AA810" i="5"/>
  <c r="Z810" i="5"/>
  <c r="Y810" i="5"/>
  <c r="X810" i="5"/>
  <c r="W810" i="5"/>
  <c r="V810" i="5"/>
  <c r="U810" i="5"/>
  <c r="T810" i="5"/>
  <c r="AA809" i="5"/>
  <c r="Z809" i="5"/>
  <c r="Y809" i="5"/>
  <c r="X809" i="5"/>
  <c r="W809" i="5"/>
  <c r="V809" i="5"/>
  <c r="U809" i="5"/>
  <c r="T809" i="5"/>
  <c r="AA808" i="5"/>
  <c r="Z808" i="5"/>
  <c r="Y808" i="5"/>
  <c r="X808" i="5"/>
  <c r="W808" i="5"/>
  <c r="V808" i="5"/>
  <c r="U808" i="5"/>
  <c r="T808" i="5"/>
  <c r="AA807" i="5"/>
  <c r="Z807" i="5"/>
  <c r="Y807" i="5"/>
  <c r="X807" i="5"/>
  <c r="W807" i="5"/>
  <c r="V807" i="5"/>
  <c r="U807" i="5"/>
  <c r="T807" i="5"/>
  <c r="AA806" i="5"/>
  <c r="Z806" i="5"/>
  <c r="Y806" i="5"/>
  <c r="X806" i="5"/>
  <c r="W806" i="5"/>
  <c r="V806" i="5"/>
  <c r="U806" i="5"/>
  <c r="T806" i="5"/>
  <c r="AA805" i="5"/>
  <c r="Z805" i="5"/>
  <c r="Y805" i="5"/>
  <c r="X805" i="5"/>
  <c r="W805" i="5"/>
  <c r="V805" i="5"/>
  <c r="U805" i="5"/>
  <c r="T805" i="5"/>
  <c r="AA804" i="5"/>
  <c r="Z804" i="5"/>
  <c r="Y804" i="5"/>
  <c r="X804" i="5"/>
  <c r="W804" i="5"/>
  <c r="V804" i="5"/>
  <c r="U804" i="5"/>
  <c r="T804" i="5"/>
  <c r="AA803" i="5"/>
  <c r="Z803" i="5"/>
  <c r="Y803" i="5"/>
  <c r="X803" i="5"/>
  <c r="W803" i="5"/>
  <c r="V803" i="5"/>
  <c r="U803" i="5"/>
  <c r="T803" i="5"/>
  <c r="AA802" i="5"/>
  <c r="Z802" i="5"/>
  <c r="Y802" i="5"/>
  <c r="X802" i="5"/>
  <c r="W802" i="5"/>
  <c r="V802" i="5"/>
  <c r="U802" i="5"/>
  <c r="T802" i="5"/>
  <c r="AA801" i="5"/>
  <c r="Z801" i="5"/>
  <c r="Y801" i="5"/>
  <c r="X801" i="5"/>
  <c r="W801" i="5"/>
  <c r="V801" i="5"/>
  <c r="U801" i="5"/>
  <c r="T801" i="5"/>
  <c r="AA800" i="5"/>
  <c r="Z800" i="5"/>
  <c r="Y800" i="5"/>
  <c r="X800" i="5"/>
  <c r="W800" i="5"/>
  <c r="V800" i="5"/>
  <c r="U800" i="5"/>
  <c r="T800" i="5"/>
  <c r="AA799" i="5"/>
  <c r="Z799" i="5"/>
  <c r="Y799" i="5"/>
  <c r="X799" i="5"/>
  <c r="W799" i="5"/>
  <c r="V799" i="5"/>
  <c r="U799" i="5"/>
  <c r="T799" i="5"/>
  <c r="AA798" i="5"/>
  <c r="Z798" i="5"/>
  <c r="Y798" i="5"/>
  <c r="X798" i="5"/>
  <c r="W798" i="5"/>
  <c r="V798" i="5"/>
  <c r="U798" i="5"/>
  <c r="T798" i="5"/>
  <c r="AA797" i="5"/>
  <c r="Z797" i="5"/>
  <c r="Y797" i="5"/>
  <c r="X797" i="5"/>
  <c r="W797" i="5"/>
  <c r="V797" i="5"/>
  <c r="U797" i="5"/>
  <c r="T797" i="5"/>
  <c r="AA796" i="5"/>
  <c r="Z796" i="5"/>
  <c r="Y796" i="5"/>
  <c r="X796" i="5"/>
  <c r="W796" i="5"/>
  <c r="V796" i="5"/>
  <c r="U796" i="5"/>
  <c r="T796" i="5"/>
  <c r="AA795" i="5"/>
  <c r="Z795" i="5"/>
  <c r="Y795" i="5"/>
  <c r="X795" i="5"/>
  <c r="W795" i="5"/>
  <c r="V795" i="5"/>
  <c r="U795" i="5"/>
  <c r="T795" i="5"/>
  <c r="AA794" i="5"/>
  <c r="Z794" i="5"/>
  <c r="Y794" i="5"/>
  <c r="X794" i="5"/>
  <c r="W794" i="5"/>
  <c r="V794" i="5"/>
  <c r="U794" i="5"/>
  <c r="T794" i="5"/>
  <c r="AA793" i="5"/>
  <c r="Z793" i="5"/>
  <c r="Y793" i="5"/>
  <c r="X793" i="5"/>
  <c r="W793" i="5"/>
  <c r="V793" i="5"/>
  <c r="U793" i="5"/>
  <c r="T793" i="5"/>
  <c r="AA792" i="5"/>
  <c r="Z792" i="5"/>
  <c r="Y792" i="5"/>
  <c r="X792" i="5"/>
  <c r="W792" i="5"/>
  <c r="V792" i="5"/>
  <c r="U792" i="5"/>
  <c r="T792" i="5"/>
  <c r="AA791" i="5"/>
  <c r="Z791" i="5"/>
  <c r="Y791" i="5"/>
  <c r="X791" i="5"/>
  <c r="W791" i="5"/>
  <c r="V791" i="5"/>
  <c r="U791" i="5"/>
  <c r="T791" i="5"/>
  <c r="AA790" i="5"/>
  <c r="Z790" i="5"/>
  <c r="Y790" i="5"/>
  <c r="X790" i="5"/>
  <c r="W790" i="5"/>
  <c r="V790" i="5"/>
  <c r="U790" i="5"/>
  <c r="T790" i="5"/>
  <c r="AA789" i="5"/>
  <c r="Z789" i="5"/>
  <c r="Y789" i="5"/>
  <c r="X789" i="5"/>
  <c r="W789" i="5"/>
  <c r="V789" i="5"/>
  <c r="U789" i="5"/>
  <c r="T789" i="5"/>
  <c r="AA788" i="5"/>
  <c r="Z788" i="5"/>
  <c r="Y788" i="5"/>
  <c r="X788" i="5"/>
  <c r="W788" i="5"/>
  <c r="V788" i="5"/>
  <c r="U788" i="5"/>
  <c r="T788" i="5"/>
  <c r="AA787" i="5"/>
  <c r="Z787" i="5"/>
  <c r="Y787" i="5"/>
  <c r="X787" i="5"/>
  <c r="W787" i="5"/>
  <c r="V787" i="5"/>
  <c r="U787" i="5"/>
  <c r="T787" i="5"/>
  <c r="AA786" i="5"/>
  <c r="Z786" i="5"/>
  <c r="Y786" i="5"/>
  <c r="X786" i="5"/>
  <c r="W786" i="5"/>
  <c r="V786" i="5"/>
  <c r="U786" i="5"/>
  <c r="T786" i="5"/>
  <c r="AA785" i="5"/>
  <c r="Z785" i="5"/>
  <c r="Y785" i="5"/>
  <c r="X785" i="5"/>
  <c r="W785" i="5"/>
  <c r="V785" i="5"/>
  <c r="U785" i="5"/>
  <c r="T785" i="5"/>
  <c r="AA784" i="5"/>
  <c r="Z784" i="5"/>
  <c r="Y784" i="5"/>
  <c r="X784" i="5"/>
  <c r="W784" i="5"/>
  <c r="V784" i="5"/>
  <c r="U784" i="5"/>
  <c r="T784" i="5"/>
  <c r="AA783" i="5"/>
  <c r="Z783" i="5"/>
  <c r="Y783" i="5"/>
  <c r="X783" i="5"/>
  <c r="W783" i="5"/>
  <c r="V783" i="5"/>
  <c r="U783" i="5"/>
  <c r="T783" i="5"/>
  <c r="AA782" i="5"/>
  <c r="Z782" i="5"/>
  <c r="Y782" i="5"/>
  <c r="X782" i="5"/>
  <c r="W782" i="5"/>
  <c r="V782" i="5"/>
  <c r="U782" i="5"/>
  <c r="T782" i="5"/>
  <c r="AA781" i="5"/>
  <c r="Z781" i="5"/>
  <c r="Y781" i="5"/>
  <c r="X781" i="5"/>
  <c r="W781" i="5"/>
  <c r="V781" i="5"/>
  <c r="U781" i="5"/>
  <c r="T781" i="5"/>
  <c r="AA780" i="5"/>
  <c r="Z780" i="5"/>
  <c r="Y780" i="5"/>
  <c r="X780" i="5"/>
  <c r="W780" i="5"/>
  <c r="V780" i="5"/>
  <c r="U780" i="5"/>
  <c r="T780" i="5"/>
  <c r="AA779" i="5"/>
  <c r="Z779" i="5"/>
  <c r="Y779" i="5"/>
  <c r="X779" i="5"/>
  <c r="W779" i="5"/>
  <c r="V779" i="5"/>
  <c r="U779" i="5"/>
  <c r="T779" i="5"/>
  <c r="AA778" i="5"/>
  <c r="Z778" i="5"/>
  <c r="Y778" i="5"/>
  <c r="X778" i="5"/>
  <c r="W778" i="5"/>
  <c r="V778" i="5"/>
  <c r="U778" i="5"/>
  <c r="T778" i="5"/>
  <c r="AA777" i="5"/>
  <c r="Z777" i="5"/>
  <c r="Y777" i="5"/>
  <c r="X777" i="5"/>
  <c r="W777" i="5"/>
  <c r="V777" i="5"/>
  <c r="U777" i="5"/>
  <c r="T777" i="5"/>
  <c r="AA776" i="5"/>
  <c r="Z776" i="5"/>
  <c r="Y776" i="5"/>
  <c r="X776" i="5"/>
  <c r="W776" i="5"/>
  <c r="V776" i="5"/>
  <c r="U776" i="5"/>
  <c r="T776" i="5"/>
  <c r="AA775" i="5"/>
  <c r="Z775" i="5"/>
  <c r="Y775" i="5"/>
  <c r="X775" i="5"/>
  <c r="W775" i="5"/>
  <c r="V775" i="5"/>
  <c r="U775" i="5"/>
  <c r="T775" i="5"/>
  <c r="AA774" i="5"/>
  <c r="Z774" i="5"/>
  <c r="Y774" i="5"/>
  <c r="X774" i="5"/>
  <c r="W774" i="5"/>
  <c r="V774" i="5"/>
  <c r="U774" i="5"/>
  <c r="T774" i="5"/>
  <c r="AA773" i="5"/>
  <c r="Z773" i="5"/>
  <c r="Y773" i="5"/>
  <c r="X773" i="5"/>
  <c r="W773" i="5"/>
  <c r="V773" i="5"/>
  <c r="U773" i="5"/>
  <c r="T773" i="5"/>
  <c r="AA772" i="5"/>
  <c r="Z772" i="5"/>
  <c r="Y772" i="5"/>
  <c r="X772" i="5"/>
  <c r="W772" i="5"/>
  <c r="V772" i="5"/>
  <c r="U772" i="5"/>
  <c r="T772" i="5"/>
  <c r="AA771" i="5"/>
  <c r="Z771" i="5"/>
  <c r="Y771" i="5"/>
  <c r="X771" i="5"/>
  <c r="W771" i="5"/>
  <c r="V771" i="5"/>
  <c r="U771" i="5"/>
  <c r="T771" i="5"/>
  <c r="AA770" i="5"/>
  <c r="Z770" i="5"/>
  <c r="Y770" i="5"/>
  <c r="X770" i="5"/>
  <c r="W770" i="5"/>
  <c r="V770" i="5"/>
  <c r="U770" i="5"/>
  <c r="T770" i="5"/>
  <c r="AA769" i="5"/>
  <c r="Z769" i="5"/>
  <c r="Y769" i="5"/>
  <c r="X769" i="5"/>
  <c r="W769" i="5"/>
  <c r="V769" i="5"/>
  <c r="U769" i="5"/>
  <c r="T769" i="5"/>
  <c r="AA768" i="5"/>
  <c r="Z768" i="5"/>
  <c r="Y768" i="5"/>
  <c r="X768" i="5"/>
  <c r="W768" i="5"/>
  <c r="V768" i="5"/>
  <c r="U768" i="5"/>
  <c r="T768" i="5"/>
  <c r="AA767" i="5"/>
  <c r="Z767" i="5"/>
  <c r="Y767" i="5"/>
  <c r="X767" i="5"/>
  <c r="W767" i="5"/>
  <c r="V767" i="5"/>
  <c r="U767" i="5"/>
  <c r="T767" i="5"/>
  <c r="AA766" i="5"/>
  <c r="Z766" i="5"/>
  <c r="Y766" i="5"/>
  <c r="X766" i="5"/>
  <c r="W766" i="5"/>
  <c r="V766" i="5"/>
  <c r="U766" i="5"/>
  <c r="T766" i="5"/>
  <c r="AA765" i="5"/>
  <c r="Z765" i="5"/>
  <c r="Y765" i="5"/>
  <c r="X765" i="5"/>
  <c r="W765" i="5"/>
  <c r="V765" i="5"/>
  <c r="U765" i="5"/>
  <c r="T765" i="5"/>
  <c r="AA764" i="5"/>
  <c r="Z764" i="5"/>
  <c r="Y764" i="5"/>
  <c r="X764" i="5"/>
  <c r="W764" i="5"/>
  <c r="V764" i="5"/>
  <c r="U764" i="5"/>
  <c r="T764" i="5"/>
  <c r="AA763" i="5"/>
  <c r="Z763" i="5"/>
  <c r="Y763" i="5"/>
  <c r="X763" i="5"/>
  <c r="W763" i="5"/>
  <c r="V763" i="5"/>
  <c r="U763" i="5"/>
  <c r="T763" i="5"/>
  <c r="AA762" i="5"/>
  <c r="Z762" i="5"/>
  <c r="Y762" i="5"/>
  <c r="X762" i="5"/>
  <c r="W762" i="5"/>
  <c r="V762" i="5"/>
  <c r="U762" i="5"/>
  <c r="T762" i="5"/>
  <c r="AA761" i="5"/>
  <c r="Z761" i="5"/>
  <c r="Y761" i="5"/>
  <c r="X761" i="5"/>
  <c r="W761" i="5"/>
  <c r="V761" i="5"/>
  <c r="U761" i="5"/>
  <c r="T761" i="5"/>
  <c r="AA760" i="5"/>
  <c r="Z760" i="5"/>
  <c r="Y760" i="5"/>
  <c r="X760" i="5"/>
  <c r="W760" i="5"/>
  <c r="V760" i="5"/>
  <c r="U760" i="5"/>
  <c r="T760" i="5"/>
  <c r="AA759" i="5"/>
  <c r="Z759" i="5"/>
  <c r="Y759" i="5"/>
  <c r="X759" i="5"/>
  <c r="W759" i="5"/>
  <c r="V759" i="5"/>
  <c r="U759" i="5"/>
  <c r="T759" i="5"/>
  <c r="AA758" i="5"/>
  <c r="Z758" i="5"/>
  <c r="Y758" i="5"/>
  <c r="X758" i="5"/>
  <c r="W758" i="5"/>
  <c r="V758" i="5"/>
  <c r="U758" i="5"/>
  <c r="T758" i="5"/>
  <c r="AA757" i="5"/>
  <c r="Z757" i="5"/>
  <c r="Y757" i="5"/>
  <c r="X757" i="5"/>
  <c r="W757" i="5"/>
  <c r="V757" i="5"/>
  <c r="U757" i="5"/>
  <c r="T757" i="5"/>
  <c r="AA756" i="5"/>
  <c r="Z756" i="5"/>
  <c r="Y756" i="5"/>
  <c r="X756" i="5"/>
  <c r="W756" i="5"/>
  <c r="V756" i="5"/>
  <c r="U756" i="5"/>
  <c r="T756" i="5"/>
  <c r="AA755" i="5"/>
  <c r="Z755" i="5"/>
  <c r="Y755" i="5"/>
  <c r="X755" i="5"/>
  <c r="W755" i="5"/>
  <c r="V755" i="5"/>
  <c r="U755" i="5"/>
  <c r="T755" i="5"/>
  <c r="AA754" i="5"/>
  <c r="Z754" i="5"/>
  <c r="Y754" i="5"/>
  <c r="X754" i="5"/>
  <c r="W754" i="5"/>
  <c r="V754" i="5"/>
  <c r="U754" i="5"/>
  <c r="T754" i="5"/>
  <c r="AA753" i="5"/>
  <c r="Z753" i="5"/>
  <c r="Y753" i="5"/>
  <c r="X753" i="5"/>
  <c r="W753" i="5"/>
  <c r="V753" i="5"/>
  <c r="U753" i="5"/>
  <c r="T753" i="5"/>
  <c r="AA752" i="5"/>
  <c r="Z752" i="5"/>
  <c r="Y752" i="5"/>
  <c r="X752" i="5"/>
  <c r="W752" i="5"/>
  <c r="V752" i="5"/>
  <c r="U752" i="5"/>
  <c r="T752" i="5"/>
  <c r="AA751" i="5"/>
  <c r="Z751" i="5"/>
  <c r="Y751" i="5"/>
  <c r="X751" i="5"/>
  <c r="W751" i="5"/>
  <c r="V751" i="5"/>
  <c r="U751" i="5"/>
  <c r="T751" i="5"/>
  <c r="AA750" i="5"/>
  <c r="Z750" i="5"/>
  <c r="Y750" i="5"/>
  <c r="X750" i="5"/>
  <c r="W750" i="5"/>
  <c r="V750" i="5"/>
  <c r="U750" i="5"/>
  <c r="T750" i="5"/>
  <c r="AA749" i="5"/>
  <c r="Z749" i="5"/>
  <c r="Y749" i="5"/>
  <c r="X749" i="5"/>
  <c r="W749" i="5"/>
  <c r="V749" i="5"/>
  <c r="U749" i="5"/>
  <c r="T749" i="5"/>
  <c r="AA748" i="5"/>
  <c r="Z748" i="5"/>
  <c r="Y748" i="5"/>
  <c r="X748" i="5"/>
  <c r="W748" i="5"/>
  <c r="V748" i="5"/>
  <c r="U748" i="5"/>
  <c r="T748" i="5"/>
  <c r="AA747" i="5"/>
  <c r="Z747" i="5"/>
  <c r="Y747" i="5"/>
  <c r="X747" i="5"/>
  <c r="W747" i="5"/>
  <c r="V747" i="5"/>
  <c r="U747" i="5"/>
  <c r="T747" i="5"/>
  <c r="AA746" i="5"/>
  <c r="Z746" i="5"/>
  <c r="Y746" i="5"/>
  <c r="X746" i="5"/>
  <c r="W746" i="5"/>
  <c r="V746" i="5"/>
  <c r="U746" i="5"/>
  <c r="T746" i="5"/>
  <c r="AA745" i="5"/>
  <c r="Z745" i="5"/>
  <c r="Y745" i="5"/>
  <c r="X745" i="5"/>
  <c r="W745" i="5"/>
  <c r="V745" i="5"/>
  <c r="U745" i="5"/>
  <c r="T745" i="5"/>
  <c r="AA744" i="5"/>
  <c r="Z744" i="5"/>
  <c r="Y744" i="5"/>
  <c r="X744" i="5"/>
  <c r="W744" i="5"/>
  <c r="V744" i="5"/>
  <c r="U744" i="5"/>
  <c r="T744" i="5"/>
  <c r="AA743" i="5"/>
  <c r="Z743" i="5"/>
  <c r="Y743" i="5"/>
  <c r="X743" i="5"/>
  <c r="W743" i="5"/>
  <c r="V743" i="5"/>
  <c r="U743" i="5"/>
  <c r="T743" i="5"/>
  <c r="AA742" i="5"/>
  <c r="Z742" i="5"/>
  <c r="Y742" i="5"/>
  <c r="X742" i="5"/>
  <c r="W742" i="5"/>
  <c r="V742" i="5"/>
  <c r="U742" i="5"/>
  <c r="T742" i="5"/>
  <c r="AA741" i="5"/>
  <c r="Z741" i="5"/>
  <c r="Y741" i="5"/>
  <c r="X741" i="5"/>
  <c r="W741" i="5"/>
  <c r="V741" i="5"/>
  <c r="U741" i="5"/>
  <c r="T741" i="5"/>
  <c r="AA740" i="5"/>
  <c r="Z740" i="5"/>
  <c r="Y740" i="5"/>
  <c r="X740" i="5"/>
  <c r="W740" i="5"/>
  <c r="V740" i="5"/>
  <c r="U740" i="5"/>
  <c r="T740" i="5"/>
  <c r="AA739" i="5"/>
  <c r="Z739" i="5"/>
  <c r="Y739" i="5"/>
  <c r="X739" i="5"/>
  <c r="W739" i="5"/>
  <c r="V739" i="5"/>
  <c r="U739" i="5"/>
  <c r="T739" i="5"/>
  <c r="AA738" i="5"/>
  <c r="Z738" i="5"/>
  <c r="Y738" i="5"/>
  <c r="X738" i="5"/>
  <c r="W738" i="5"/>
  <c r="V738" i="5"/>
  <c r="U738" i="5"/>
  <c r="T738" i="5"/>
  <c r="AA737" i="5"/>
  <c r="Z737" i="5"/>
  <c r="Y737" i="5"/>
  <c r="X737" i="5"/>
  <c r="W737" i="5"/>
  <c r="V737" i="5"/>
  <c r="U737" i="5"/>
  <c r="T737" i="5"/>
  <c r="AA736" i="5"/>
  <c r="Z736" i="5"/>
  <c r="Y736" i="5"/>
  <c r="X736" i="5"/>
  <c r="W736" i="5"/>
  <c r="V736" i="5"/>
  <c r="U736" i="5"/>
  <c r="T736" i="5"/>
  <c r="AA735" i="5"/>
  <c r="Z735" i="5"/>
  <c r="Y735" i="5"/>
  <c r="X735" i="5"/>
  <c r="W735" i="5"/>
  <c r="V735" i="5"/>
  <c r="U735" i="5"/>
  <c r="T735" i="5"/>
  <c r="AA734" i="5"/>
  <c r="Z734" i="5"/>
  <c r="Y734" i="5"/>
  <c r="X734" i="5"/>
  <c r="W734" i="5"/>
  <c r="V734" i="5"/>
  <c r="U734" i="5"/>
  <c r="T734" i="5"/>
  <c r="AA733" i="5"/>
  <c r="Z733" i="5"/>
  <c r="Y733" i="5"/>
  <c r="X733" i="5"/>
  <c r="W733" i="5"/>
  <c r="V733" i="5"/>
  <c r="U733" i="5"/>
  <c r="T733" i="5"/>
  <c r="AA732" i="5"/>
  <c r="Z732" i="5"/>
  <c r="Y732" i="5"/>
  <c r="X732" i="5"/>
  <c r="W732" i="5"/>
  <c r="V732" i="5"/>
  <c r="U732" i="5"/>
  <c r="T732" i="5"/>
  <c r="BD731" i="5"/>
  <c r="BC731" i="5"/>
  <c r="BB731" i="5"/>
  <c r="BA731" i="5"/>
  <c r="AZ731" i="5"/>
  <c r="AY731" i="5"/>
  <c r="AX731" i="5"/>
  <c r="AW731" i="5"/>
  <c r="AP731" i="5"/>
  <c r="AO731" i="5"/>
  <c r="AN731" i="5"/>
  <c r="AM731" i="5"/>
  <c r="AL731" i="5"/>
  <c r="AK731" i="5"/>
  <c r="AJ731" i="5"/>
  <c r="AI731" i="5"/>
  <c r="AA731" i="5"/>
  <c r="Z731" i="5"/>
  <c r="Y731" i="5"/>
  <c r="X731" i="5"/>
  <c r="W731" i="5"/>
  <c r="V731" i="5"/>
  <c r="U731" i="5"/>
  <c r="T731" i="5"/>
  <c r="BD730" i="5"/>
  <c r="BC730" i="5"/>
  <c r="BB730" i="5"/>
  <c r="BA730" i="5"/>
  <c r="AZ730" i="5"/>
  <c r="AY730" i="5"/>
  <c r="AX730" i="5"/>
  <c r="AW730" i="5"/>
  <c r="AP730" i="5"/>
  <c r="AO730" i="5"/>
  <c r="AN730" i="5"/>
  <c r="AM730" i="5"/>
  <c r="AL730" i="5"/>
  <c r="AK730" i="5"/>
  <c r="AJ730" i="5"/>
  <c r="AI730" i="5"/>
  <c r="AA730" i="5"/>
  <c r="Z730" i="5"/>
  <c r="Y730" i="5"/>
  <c r="X730" i="5"/>
  <c r="W730" i="5"/>
  <c r="V730" i="5"/>
  <c r="U730" i="5"/>
  <c r="T730" i="5"/>
  <c r="BD729" i="5"/>
  <c r="BC729" i="5"/>
  <c r="BB729" i="5"/>
  <c r="BA729" i="5"/>
  <c r="AZ729" i="5"/>
  <c r="AY729" i="5"/>
  <c r="AX729" i="5"/>
  <c r="AW729" i="5"/>
  <c r="AP729" i="5"/>
  <c r="AO729" i="5"/>
  <c r="AN729" i="5"/>
  <c r="AM729" i="5"/>
  <c r="AL729" i="5"/>
  <c r="AK729" i="5"/>
  <c r="AJ729" i="5"/>
  <c r="AI729" i="5"/>
  <c r="AA729" i="5"/>
  <c r="Z729" i="5"/>
  <c r="Y729" i="5"/>
  <c r="X729" i="5"/>
  <c r="W729" i="5"/>
  <c r="V729" i="5"/>
  <c r="U729" i="5"/>
  <c r="T729" i="5"/>
  <c r="BD728" i="5"/>
  <c r="BC728" i="5"/>
  <c r="BB728" i="5"/>
  <c r="BA728" i="5"/>
  <c r="AZ728" i="5"/>
  <c r="AY728" i="5"/>
  <c r="AX728" i="5"/>
  <c r="AW728" i="5"/>
  <c r="AP728" i="5"/>
  <c r="AO728" i="5"/>
  <c r="AN728" i="5"/>
  <c r="AM728" i="5"/>
  <c r="AL728" i="5"/>
  <c r="AK728" i="5"/>
  <c r="AJ728" i="5"/>
  <c r="AI728" i="5"/>
  <c r="AA728" i="5"/>
  <c r="Z728" i="5"/>
  <c r="Y728" i="5"/>
  <c r="X728" i="5"/>
  <c r="W728" i="5"/>
  <c r="V728" i="5"/>
  <c r="U728" i="5"/>
  <c r="T728" i="5"/>
  <c r="BD727" i="5"/>
  <c r="BC727" i="5"/>
  <c r="BB727" i="5"/>
  <c r="BA727" i="5"/>
  <c r="AZ727" i="5"/>
  <c r="AY727" i="5"/>
  <c r="AX727" i="5"/>
  <c r="AW727" i="5"/>
  <c r="AP727" i="5"/>
  <c r="AO727" i="5"/>
  <c r="AN727" i="5"/>
  <c r="AM727" i="5"/>
  <c r="AL727" i="5"/>
  <c r="AK727" i="5"/>
  <c r="AJ727" i="5"/>
  <c r="AI727" i="5"/>
  <c r="AA727" i="5"/>
  <c r="Z727" i="5"/>
  <c r="Y727" i="5"/>
  <c r="X727" i="5"/>
  <c r="W727" i="5"/>
  <c r="V727" i="5"/>
  <c r="U727" i="5"/>
  <c r="T727" i="5"/>
  <c r="BD726" i="5"/>
  <c r="BC726" i="5"/>
  <c r="BB726" i="5"/>
  <c r="BA726" i="5"/>
  <c r="AZ726" i="5"/>
  <c r="AY726" i="5"/>
  <c r="AX726" i="5"/>
  <c r="AW726" i="5"/>
  <c r="AP726" i="5"/>
  <c r="AO726" i="5"/>
  <c r="AN726" i="5"/>
  <c r="AM726" i="5"/>
  <c r="AL726" i="5"/>
  <c r="AK726" i="5"/>
  <c r="AJ726" i="5"/>
  <c r="AI726" i="5"/>
  <c r="AA726" i="5"/>
  <c r="Z726" i="5"/>
  <c r="Y726" i="5"/>
  <c r="X726" i="5"/>
  <c r="W726" i="5"/>
  <c r="V726" i="5"/>
  <c r="U726" i="5"/>
  <c r="T726" i="5"/>
  <c r="BD725" i="5"/>
  <c r="BC725" i="5"/>
  <c r="BB725" i="5"/>
  <c r="BA725" i="5"/>
  <c r="AZ725" i="5"/>
  <c r="AY725" i="5"/>
  <c r="AX725" i="5"/>
  <c r="AW725" i="5"/>
  <c r="AP725" i="5"/>
  <c r="AO725" i="5"/>
  <c r="AN725" i="5"/>
  <c r="AM725" i="5"/>
  <c r="AL725" i="5"/>
  <c r="AK725" i="5"/>
  <c r="AJ725" i="5"/>
  <c r="AI725" i="5"/>
  <c r="AA725" i="5"/>
  <c r="Z725" i="5"/>
  <c r="Y725" i="5"/>
  <c r="X725" i="5"/>
  <c r="W725" i="5"/>
  <c r="V725" i="5"/>
  <c r="U725" i="5"/>
  <c r="T725" i="5"/>
  <c r="BD724" i="5"/>
  <c r="BC724" i="5"/>
  <c r="BB724" i="5"/>
  <c r="BA724" i="5"/>
  <c r="AZ724" i="5"/>
  <c r="AY724" i="5"/>
  <c r="AX724" i="5"/>
  <c r="AW724" i="5"/>
  <c r="AP724" i="5"/>
  <c r="AO724" i="5"/>
  <c r="AN724" i="5"/>
  <c r="AM724" i="5"/>
  <c r="AL724" i="5"/>
  <c r="AK724" i="5"/>
  <c r="AJ724" i="5"/>
  <c r="AI724" i="5"/>
  <c r="AA724" i="5"/>
  <c r="Z724" i="5"/>
  <c r="Y724" i="5"/>
  <c r="X724" i="5"/>
  <c r="W724" i="5"/>
  <c r="V724" i="5"/>
  <c r="U724" i="5"/>
  <c r="T724" i="5"/>
  <c r="BD723" i="5"/>
  <c r="BC723" i="5"/>
  <c r="BB723" i="5"/>
  <c r="BA723" i="5"/>
  <c r="AZ723" i="5"/>
  <c r="AY723" i="5"/>
  <c r="AX723" i="5"/>
  <c r="AW723" i="5"/>
  <c r="AP723" i="5"/>
  <c r="AO723" i="5"/>
  <c r="AN723" i="5"/>
  <c r="AM723" i="5"/>
  <c r="AL723" i="5"/>
  <c r="AK723" i="5"/>
  <c r="AJ723" i="5"/>
  <c r="AI723" i="5"/>
  <c r="AA723" i="5"/>
  <c r="Z723" i="5"/>
  <c r="Y723" i="5"/>
  <c r="X723" i="5"/>
  <c r="W723" i="5"/>
  <c r="V723" i="5"/>
  <c r="U723" i="5"/>
  <c r="T723" i="5"/>
  <c r="BD722" i="5"/>
  <c r="BC722" i="5"/>
  <c r="BB722" i="5"/>
  <c r="BA722" i="5"/>
  <c r="AZ722" i="5"/>
  <c r="AY722" i="5"/>
  <c r="AX722" i="5"/>
  <c r="AW722" i="5"/>
  <c r="AP722" i="5"/>
  <c r="AO722" i="5"/>
  <c r="AN722" i="5"/>
  <c r="AM722" i="5"/>
  <c r="AL722" i="5"/>
  <c r="AK722" i="5"/>
  <c r="AJ722" i="5"/>
  <c r="AI722" i="5"/>
  <c r="AA722" i="5"/>
  <c r="Z722" i="5"/>
  <c r="Y722" i="5"/>
  <c r="X722" i="5"/>
  <c r="W722" i="5"/>
  <c r="V722" i="5"/>
  <c r="U722" i="5"/>
  <c r="T722" i="5"/>
  <c r="BD721" i="5"/>
  <c r="BC721" i="5"/>
  <c r="BB721" i="5"/>
  <c r="BA721" i="5"/>
  <c r="AZ721" i="5"/>
  <c r="AY721" i="5"/>
  <c r="AX721" i="5"/>
  <c r="AW721" i="5"/>
  <c r="AP721" i="5"/>
  <c r="AO721" i="5"/>
  <c r="AN721" i="5"/>
  <c r="AM721" i="5"/>
  <c r="AL721" i="5"/>
  <c r="AK721" i="5"/>
  <c r="AJ721" i="5"/>
  <c r="AI721" i="5"/>
  <c r="AA721" i="5"/>
  <c r="Z721" i="5"/>
  <c r="Y721" i="5"/>
  <c r="X721" i="5"/>
  <c r="W721" i="5"/>
  <c r="V721" i="5"/>
  <c r="U721" i="5"/>
  <c r="T721" i="5"/>
  <c r="BD720" i="5"/>
  <c r="BC720" i="5"/>
  <c r="BB720" i="5"/>
  <c r="BA720" i="5"/>
  <c r="AZ720" i="5"/>
  <c r="AY720" i="5"/>
  <c r="AX720" i="5"/>
  <c r="AW720" i="5"/>
  <c r="AP720" i="5"/>
  <c r="AO720" i="5"/>
  <c r="AN720" i="5"/>
  <c r="AM720" i="5"/>
  <c r="AL720" i="5"/>
  <c r="AK720" i="5"/>
  <c r="AJ720" i="5"/>
  <c r="AI720" i="5"/>
  <c r="AA720" i="5"/>
  <c r="Z720" i="5"/>
  <c r="Y720" i="5"/>
  <c r="X720" i="5"/>
  <c r="W720" i="5"/>
  <c r="V720" i="5"/>
  <c r="U720" i="5"/>
  <c r="T720" i="5"/>
  <c r="BD719" i="5"/>
  <c r="BC719" i="5"/>
  <c r="BB719" i="5"/>
  <c r="BA719" i="5"/>
  <c r="AZ719" i="5"/>
  <c r="AY719" i="5"/>
  <c r="AX719" i="5"/>
  <c r="AW719" i="5"/>
  <c r="AP719" i="5"/>
  <c r="AO719" i="5"/>
  <c r="AN719" i="5"/>
  <c r="AM719" i="5"/>
  <c r="AL719" i="5"/>
  <c r="AK719" i="5"/>
  <c r="AJ719" i="5"/>
  <c r="AI719" i="5"/>
  <c r="AA719" i="5"/>
  <c r="Z719" i="5"/>
  <c r="Y719" i="5"/>
  <c r="X719" i="5"/>
  <c r="W719" i="5"/>
  <c r="V719" i="5"/>
  <c r="U719" i="5"/>
  <c r="T719" i="5"/>
  <c r="BD718" i="5"/>
  <c r="BC718" i="5"/>
  <c r="BB718" i="5"/>
  <c r="BA718" i="5"/>
  <c r="AZ718" i="5"/>
  <c r="AY718" i="5"/>
  <c r="AX718" i="5"/>
  <c r="AW718" i="5"/>
  <c r="AP718" i="5"/>
  <c r="AO718" i="5"/>
  <c r="AN718" i="5"/>
  <c r="AM718" i="5"/>
  <c r="AL718" i="5"/>
  <c r="AK718" i="5"/>
  <c r="AJ718" i="5"/>
  <c r="AI718" i="5"/>
  <c r="AA718" i="5"/>
  <c r="Z718" i="5"/>
  <c r="Y718" i="5"/>
  <c r="X718" i="5"/>
  <c r="W718" i="5"/>
  <c r="V718" i="5"/>
  <c r="U718" i="5"/>
  <c r="T718" i="5"/>
  <c r="BD717" i="5"/>
  <c r="BC717" i="5"/>
  <c r="BB717" i="5"/>
  <c r="BA717" i="5"/>
  <c r="AZ717" i="5"/>
  <c r="AY717" i="5"/>
  <c r="AX717" i="5"/>
  <c r="AW717" i="5"/>
  <c r="AP717" i="5"/>
  <c r="AO717" i="5"/>
  <c r="AN717" i="5"/>
  <c r="AM717" i="5"/>
  <c r="AL717" i="5"/>
  <c r="AK717" i="5"/>
  <c r="AJ717" i="5"/>
  <c r="AI717" i="5"/>
  <c r="AA717" i="5"/>
  <c r="Z717" i="5"/>
  <c r="Y717" i="5"/>
  <c r="X717" i="5"/>
  <c r="W717" i="5"/>
  <c r="V717" i="5"/>
  <c r="U717" i="5"/>
  <c r="T717" i="5"/>
  <c r="BD716" i="5"/>
  <c r="BC716" i="5"/>
  <c r="BB716" i="5"/>
  <c r="BA716" i="5"/>
  <c r="AZ716" i="5"/>
  <c r="AY716" i="5"/>
  <c r="AX716" i="5"/>
  <c r="AW716" i="5"/>
  <c r="AP716" i="5"/>
  <c r="AO716" i="5"/>
  <c r="AN716" i="5"/>
  <c r="AM716" i="5"/>
  <c r="AL716" i="5"/>
  <c r="AK716" i="5"/>
  <c r="AJ716" i="5"/>
  <c r="AI716" i="5"/>
  <c r="AA716" i="5"/>
  <c r="Z716" i="5"/>
  <c r="Y716" i="5"/>
  <c r="X716" i="5"/>
  <c r="W716" i="5"/>
  <c r="V716" i="5"/>
  <c r="U716" i="5"/>
  <c r="T716" i="5"/>
  <c r="BD715" i="5"/>
  <c r="BC715" i="5"/>
  <c r="BB715" i="5"/>
  <c r="BA715" i="5"/>
  <c r="AZ715" i="5"/>
  <c r="AY715" i="5"/>
  <c r="AX715" i="5"/>
  <c r="AW715" i="5"/>
  <c r="AP715" i="5"/>
  <c r="AO715" i="5"/>
  <c r="AN715" i="5"/>
  <c r="AM715" i="5"/>
  <c r="AL715" i="5"/>
  <c r="AK715" i="5"/>
  <c r="AJ715" i="5"/>
  <c r="AI715" i="5"/>
  <c r="AA715" i="5"/>
  <c r="Z715" i="5"/>
  <c r="Y715" i="5"/>
  <c r="X715" i="5"/>
  <c r="W715" i="5"/>
  <c r="V715" i="5"/>
  <c r="U715" i="5"/>
  <c r="T715" i="5"/>
  <c r="BD714" i="5"/>
  <c r="BC714" i="5"/>
  <c r="BB714" i="5"/>
  <c r="BA714" i="5"/>
  <c r="AZ714" i="5"/>
  <c r="AY714" i="5"/>
  <c r="AX714" i="5"/>
  <c r="AW714" i="5"/>
  <c r="AP714" i="5"/>
  <c r="AO714" i="5"/>
  <c r="AN714" i="5"/>
  <c r="AM714" i="5"/>
  <c r="AL714" i="5"/>
  <c r="AK714" i="5"/>
  <c r="AJ714" i="5"/>
  <c r="AI714" i="5"/>
  <c r="AA714" i="5"/>
  <c r="Z714" i="5"/>
  <c r="Y714" i="5"/>
  <c r="X714" i="5"/>
  <c r="W714" i="5"/>
  <c r="V714" i="5"/>
  <c r="U714" i="5"/>
  <c r="T714" i="5"/>
  <c r="BD713" i="5"/>
  <c r="BC713" i="5"/>
  <c r="BB713" i="5"/>
  <c r="BA713" i="5"/>
  <c r="AZ713" i="5"/>
  <c r="AY713" i="5"/>
  <c r="AX713" i="5"/>
  <c r="AW713" i="5"/>
  <c r="AP713" i="5"/>
  <c r="AO713" i="5"/>
  <c r="AN713" i="5"/>
  <c r="AM713" i="5"/>
  <c r="AL713" i="5"/>
  <c r="AK713" i="5"/>
  <c r="AJ713" i="5"/>
  <c r="AI713" i="5"/>
  <c r="AA713" i="5"/>
  <c r="Z713" i="5"/>
  <c r="Y713" i="5"/>
  <c r="X713" i="5"/>
  <c r="W713" i="5"/>
  <c r="V713" i="5"/>
  <c r="U713" i="5"/>
  <c r="T713" i="5"/>
  <c r="BD712" i="5"/>
  <c r="BC712" i="5"/>
  <c r="BB712" i="5"/>
  <c r="BA712" i="5"/>
  <c r="AZ712" i="5"/>
  <c r="AY712" i="5"/>
  <c r="AX712" i="5"/>
  <c r="AW712" i="5"/>
  <c r="AP712" i="5"/>
  <c r="AO712" i="5"/>
  <c r="AN712" i="5"/>
  <c r="AM712" i="5"/>
  <c r="AL712" i="5"/>
  <c r="AK712" i="5"/>
  <c r="AJ712" i="5"/>
  <c r="AI712" i="5"/>
  <c r="AA712" i="5"/>
  <c r="Z712" i="5"/>
  <c r="Y712" i="5"/>
  <c r="X712" i="5"/>
  <c r="W712" i="5"/>
  <c r="V712" i="5"/>
  <c r="U712" i="5"/>
  <c r="T712" i="5"/>
  <c r="BD711" i="5"/>
  <c r="BC711" i="5"/>
  <c r="BB711" i="5"/>
  <c r="BA711" i="5"/>
  <c r="AZ711" i="5"/>
  <c r="AY711" i="5"/>
  <c r="AX711" i="5"/>
  <c r="AW711" i="5"/>
  <c r="AP711" i="5"/>
  <c r="AO711" i="5"/>
  <c r="AN711" i="5"/>
  <c r="AM711" i="5"/>
  <c r="AL711" i="5"/>
  <c r="AK711" i="5"/>
  <c r="AJ711" i="5"/>
  <c r="AI711" i="5"/>
  <c r="AA711" i="5"/>
  <c r="Z711" i="5"/>
  <c r="Y711" i="5"/>
  <c r="X711" i="5"/>
  <c r="W711" i="5"/>
  <c r="V711" i="5"/>
  <c r="U711" i="5"/>
  <c r="T711" i="5"/>
  <c r="BD710" i="5"/>
  <c r="BC710" i="5"/>
  <c r="BB710" i="5"/>
  <c r="BA710" i="5"/>
  <c r="AZ710" i="5"/>
  <c r="AY710" i="5"/>
  <c r="AX710" i="5"/>
  <c r="AW710" i="5"/>
  <c r="AP710" i="5"/>
  <c r="AO710" i="5"/>
  <c r="AN710" i="5"/>
  <c r="AM710" i="5"/>
  <c r="AL710" i="5"/>
  <c r="AK710" i="5"/>
  <c r="AJ710" i="5"/>
  <c r="AI710" i="5"/>
  <c r="AA710" i="5"/>
  <c r="Z710" i="5"/>
  <c r="Y710" i="5"/>
  <c r="X710" i="5"/>
  <c r="W710" i="5"/>
  <c r="V710" i="5"/>
  <c r="U710" i="5"/>
  <c r="T710" i="5"/>
  <c r="BD709" i="5"/>
  <c r="BC709" i="5"/>
  <c r="BB709" i="5"/>
  <c r="BA709" i="5"/>
  <c r="AZ709" i="5"/>
  <c r="AY709" i="5"/>
  <c r="AX709" i="5"/>
  <c r="AW709" i="5"/>
  <c r="AP709" i="5"/>
  <c r="AO709" i="5"/>
  <c r="AN709" i="5"/>
  <c r="AM709" i="5"/>
  <c r="AL709" i="5"/>
  <c r="AK709" i="5"/>
  <c r="AJ709" i="5"/>
  <c r="AI709" i="5"/>
  <c r="AA709" i="5"/>
  <c r="Z709" i="5"/>
  <c r="Y709" i="5"/>
  <c r="X709" i="5"/>
  <c r="W709" i="5"/>
  <c r="V709" i="5"/>
  <c r="U709" i="5"/>
  <c r="T709" i="5"/>
  <c r="BD708" i="5"/>
  <c r="BC708" i="5"/>
  <c r="BB708" i="5"/>
  <c r="BA708" i="5"/>
  <c r="AZ708" i="5"/>
  <c r="AY708" i="5"/>
  <c r="AX708" i="5"/>
  <c r="AW708" i="5"/>
  <c r="AP708" i="5"/>
  <c r="AO708" i="5"/>
  <c r="AN708" i="5"/>
  <c r="AM708" i="5"/>
  <c r="AL708" i="5"/>
  <c r="AK708" i="5"/>
  <c r="AJ708" i="5"/>
  <c r="AI708" i="5"/>
  <c r="AA708" i="5"/>
  <c r="Z708" i="5"/>
  <c r="Y708" i="5"/>
  <c r="X708" i="5"/>
  <c r="W708" i="5"/>
  <c r="V708" i="5"/>
  <c r="U708" i="5"/>
  <c r="T708" i="5"/>
  <c r="BD707" i="5"/>
  <c r="BC707" i="5"/>
  <c r="BB707" i="5"/>
  <c r="BA707" i="5"/>
  <c r="AZ707" i="5"/>
  <c r="AY707" i="5"/>
  <c r="AX707" i="5"/>
  <c r="AW707" i="5"/>
  <c r="AP707" i="5"/>
  <c r="AO707" i="5"/>
  <c r="AN707" i="5"/>
  <c r="AM707" i="5"/>
  <c r="AL707" i="5"/>
  <c r="AK707" i="5"/>
  <c r="AJ707" i="5"/>
  <c r="AI707" i="5"/>
  <c r="AA707" i="5"/>
  <c r="Z707" i="5"/>
  <c r="Y707" i="5"/>
  <c r="X707" i="5"/>
  <c r="W707" i="5"/>
  <c r="V707" i="5"/>
  <c r="U707" i="5"/>
  <c r="T707" i="5"/>
  <c r="BD706" i="5"/>
  <c r="BC706" i="5"/>
  <c r="BB706" i="5"/>
  <c r="BA706" i="5"/>
  <c r="AZ706" i="5"/>
  <c r="AY706" i="5"/>
  <c r="AX706" i="5"/>
  <c r="AW706" i="5"/>
  <c r="AP706" i="5"/>
  <c r="AO706" i="5"/>
  <c r="AN706" i="5"/>
  <c r="AM706" i="5"/>
  <c r="AL706" i="5"/>
  <c r="AK706" i="5"/>
  <c r="AJ706" i="5"/>
  <c r="AI706" i="5"/>
  <c r="AA706" i="5"/>
  <c r="Z706" i="5"/>
  <c r="Y706" i="5"/>
  <c r="X706" i="5"/>
  <c r="W706" i="5"/>
  <c r="V706" i="5"/>
  <c r="U706" i="5"/>
  <c r="T706" i="5"/>
  <c r="BD705" i="5"/>
  <c r="BC705" i="5"/>
  <c r="BB705" i="5"/>
  <c r="BA705" i="5"/>
  <c r="AZ705" i="5"/>
  <c r="AY705" i="5"/>
  <c r="AX705" i="5"/>
  <c r="AW705" i="5"/>
  <c r="AP705" i="5"/>
  <c r="AO705" i="5"/>
  <c r="AN705" i="5"/>
  <c r="AM705" i="5"/>
  <c r="AL705" i="5"/>
  <c r="AK705" i="5"/>
  <c r="AJ705" i="5"/>
  <c r="AI705" i="5"/>
  <c r="AA705" i="5"/>
  <c r="Z705" i="5"/>
  <c r="Y705" i="5"/>
  <c r="X705" i="5"/>
  <c r="W705" i="5"/>
  <c r="V705" i="5"/>
  <c r="U705" i="5"/>
  <c r="T705" i="5"/>
  <c r="BD704" i="5"/>
  <c r="BC704" i="5"/>
  <c r="BB704" i="5"/>
  <c r="BA704" i="5"/>
  <c r="AZ704" i="5"/>
  <c r="AY704" i="5"/>
  <c r="AX704" i="5"/>
  <c r="AW704" i="5"/>
  <c r="AP704" i="5"/>
  <c r="AO704" i="5"/>
  <c r="AN704" i="5"/>
  <c r="AM704" i="5"/>
  <c r="AL704" i="5"/>
  <c r="AK704" i="5"/>
  <c r="AJ704" i="5"/>
  <c r="AI704" i="5"/>
  <c r="AA704" i="5"/>
  <c r="Z704" i="5"/>
  <c r="Y704" i="5"/>
  <c r="X704" i="5"/>
  <c r="W704" i="5"/>
  <c r="V704" i="5"/>
  <c r="U704" i="5"/>
  <c r="T704" i="5"/>
  <c r="BD703" i="5"/>
  <c r="BC703" i="5"/>
  <c r="BB703" i="5"/>
  <c r="BA703" i="5"/>
  <c r="AZ703" i="5"/>
  <c r="AY703" i="5"/>
  <c r="AX703" i="5"/>
  <c r="AW703" i="5"/>
  <c r="AP703" i="5"/>
  <c r="AO703" i="5"/>
  <c r="AN703" i="5"/>
  <c r="AM703" i="5"/>
  <c r="AL703" i="5"/>
  <c r="AK703" i="5"/>
  <c r="AJ703" i="5"/>
  <c r="AI703" i="5"/>
  <c r="AA703" i="5"/>
  <c r="Z703" i="5"/>
  <c r="Y703" i="5"/>
  <c r="X703" i="5"/>
  <c r="W703" i="5"/>
  <c r="V703" i="5"/>
  <c r="U703" i="5"/>
  <c r="T703" i="5"/>
  <c r="BD702" i="5"/>
  <c r="BC702" i="5"/>
  <c r="BB702" i="5"/>
  <c r="BA702" i="5"/>
  <c r="AZ702" i="5"/>
  <c r="AY702" i="5"/>
  <c r="AX702" i="5"/>
  <c r="AW702" i="5"/>
  <c r="AP702" i="5"/>
  <c r="AO702" i="5"/>
  <c r="AN702" i="5"/>
  <c r="AM702" i="5"/>
  <c r="AL702" i="5"/>
  <c r="AK702" i="5"/>
  <c r="AJ702" i="5"/>
  <c r="AI702" i="5"/>
  <c r="AA702" i="5"/>
  <c r="Z702" i="5"/>
  <c r="Y702" i="5"/>
  <c r="X702" i="5"/>
  <c r="W702" i="5"/>
  <c r="V702" i="5"/>
  <c r="U702" i="5"/>
  <c r="T702" i="5"/>
  <c r="BD701" i="5"/>
  <c r="BC701" i="5"/>
  <c r="BB701" i="5"/>
  <c r="BA701" i="5"/>
  <c r="AZ701" i="5"/>
  <c r="AY701" i="5"/>
  <c r="AX701" i="5"/>
  <c r="AW701" i="5"/>
  <c r="AP701" i="5"/>
  <c r="AO701" i="5"/>
  <c r="AN701" i="5"/>
  <c r="AM701" i="5"/>
  <c r="AL701" i="5"/>
  <c r="AK701" i="5"/>
  <c r="AJ701" i="5"/>
  <c r="AI701" i="5"/>
  <c r="AA701" i="5"/>
  <c r="Z701" i="5"/>
  <c r="Y701" i="5"/>
  <c r="X701" i="5"/>
  <c r="W701" i="5"/>
  <c r="V701" i="5"/>
  <c r="U701" i="5"/>
  <c r="T701" i="5"/>
  <c r="BD700" i="5"/>
  <c r="BC700" i="5"/>
  <c r="BB700" i="5"/>
  <c r="BA700" i="5"/>
  <c r="AZ700" i="5"/>
  <c r="AY700" i="5"/>
  <c r="AX700" i="5"/>
  <c r="AW700" i="5"/>
  <c r="AP700" i="5"/>
  <c r="AO700" i="5"/>
  <c r="AN700" i="5"/>
  <c r="AM700" i="5"/>
  <c r="AL700" i="5"/>
  <c r="AK700" i="5"/>
  <c r="AJ700" i="5"/>
  <c r="AI700" i="5"/>
  <c r="AA700" i="5"/>
  <c r="Z700" i="5"/>
  <c r="Y700" i="5"/>
  <c r="X700" i="5"/>
  <c r="W700" i="5"/>
  <c r="V700" i="5"/>
  <c r="U700" i="5"/>
  <c r="T700" i="5"/>
  <c r="BD699" i="5"/>
  <c r="BC699" i="5"/>
  <c r="BB699" i="5"/>
  <c r="BA699" i="5"/>
  <c r="AZ699" i="5"/>
  <c r="AY699" i="5"/>
  <c r="AX699" i="5"/>
  <c r="AW699" i="5"/>
  <c r="AP699" i="5"/>
  <c r="AO699" i="5"/>
  <c r="AN699" i="5"/>
  <c r="AM699" i="5"/>
  <c r="AL699" i="5"/>
  <c r="AK699" i="5"/>
  <c r="AJ699" i="5"/>
  <c r="AI699" i="5"/>
  <c r="AA699" i="5"/>
  <c r="Z699" i="5"/>
  <c r="Y699" i="5"/>
  <c r="X699" i="5"/>
  <c r="W699" i="5"/>
  <c r="V699" i="5"/>
  <c r="U699" i="5"/>
  <c r="T699" i="5"/>
  <c r="BD698" i="5"/>
  <c r="BC698" i="5"/>
  <c r="BB698" i="5"/>
  <c r="BA698" i="5"/>
  <c r="AZ698" i="5"/>
  <c r="AY698" i="5"/>
  <c r="AX698" i="5"/>
  <c r="AW698" i="5"/>
  <c r="AP698" i="5"/>
  <c r="AO698" i="5"/>
  <c r="AN698" i="5"/>
  <c r="AM698" i="5"/>
  <c r="AL698" i="5"/>
  <c r="AK698" i="5"/>
  <c r="AJ698" i="5"/>
  <c r="AI698" i="5"/>
  <c r="AA698" i="5"/>
  <c r="Z698" i="5"/>
  <c r="Y698" i="5"/>
  <c r="X698" i="5"/>
  <c r="W698" i="5"/>
  <c r="V698" i="5"/>
  <c r="U698" i="5"/>
  <c r="T698" i="5"/>
  <c r="BD697" i="5"/>
  <c r="BC697" i="5"/>
  <c r="BB697" i="5"/>
  <c r="BA697" i="5"/>
  <c r="AZ697" i="5"/>
  <c r="AY697" i="5"/>
  <c r="AX697" i="5"/>
  <c r="AW697" i="5"/>
  <c r="AP697" i="5"/>
  <c r="AO697" i="5"/>
  <c r="AN697" i="5"/>
  <c r="AM697" i="5"/>
  <c r="AL697" i="5"/>
  <c r="AK697" i="5"/>
  <c r="AJ697" i="5"/>
  <c r="AI697" i="5"/>
  <c r="AA697" i="5"/>
  <c r="Z697" i="5"/>
  <c r="Y697" i="5"/>
  <c r="X697" i="5"/>
  <c r="W697" i="5"/>
  <c r="V697" i="5"/>
  <c r="U697" i="5"/>
  <c r="T697" i="5"/>
  <c r="BD696" i="5"/>
  <c r="BC696" i="5"/>
  <c r="BB696" i="5"/>
  <c r="BA696" i="5"/>
  <c r="AZ696" i="5"/>
  <c r="AY696" i="5"/>
  <c r="AX696" i="5"/>
  <c r="AW696" i="5"/>
  <c r="AP696" i="5"/>
  <c r="AO696" i="5"/>
  <c r="AN696" i="5"/>
  <c r="AM696" i="5"/>
  <c r="AL696" i="5"/>
  <c r="AK696" i="5"/>
  <c r="AJ696" i="5"/>
  <c r="AI696" i="5"/>
  <c r="AA696" i="5"/>
  <c r="Z696" i="5"/>
  <c r="Y696" i="5"/>
  <c r="X696" i="5"/>
  <c r="W696" i="5"/>
  <c r="V696" i="5"/>
  <c r="U696" i="5"/>
  <c r="T696" i="5"/>
  <c r="BD695" i="5"/>
  <c r="BC695" i="5"/>
  <c r="BB695" i="5"/>
  <c r="BA695" i="5"/>
  <c r="AZ695" i="5"/>
  <c r="AY695" i="5"/>
  <c r="AX695" i="5"/>
  <c r="AW695" i="5"/>
  <c r="AP695" i="5"/>
  <c r="AO695" i="5"/>
  <c r="AN695" i="5"/>
  <c r="AM695" i="5"/>
  <c r="AL695" i="5"/>
  <c r="AK695" i="5"/>
  <c r="AJ695" i="5"/>
  <c r="AI695" i="5"/>
  <c r="AA695" i="5"/>
  <c r="Z695" i="5"/>
  <c r="Y695" i="5"/>
  <c r="X695" i="5"/>
  <c r="W695" i="5"/>
  <c r="V695" i="5"/>
  <c r="U695" i="5"/>
  <c r="T695" i="5"/>
  <c r="BD694" i="5"/>
  <c r="BC694" i="5"/>
  <c r="BB694" i="5"/>
  <c r="BA694" i="5"/>
  <c r="AZ694" i="5"/>
  <c r="AY694" i="5"/>
  <c r="AX694" i="5"/>
  <c r="AW694" i="5"/>
  <c r="AP694" i="5"/>
  <c r="AO694" i="5"/>
  <c r="AN694" i="5"/>
  <c r="AM694" i="5"/>
  <c r="AL694" i="5"/>
  <c r="AK694" i="5"/>
  <c r="AJ694" i="5"/>
  <c r="AI694" i="5"/>
  <c r="AA694" i="5"/>
  <c r="Z694" i="5"/>
  <c r="Y694" i="5"/>
  <c r="X694" i="5"/>
  <c r="W694" i="5"/>
  <c r="V694" i="5"/>
  <c r="U694" i="5"/>
  <c r="T694" i="5"/>
  <c r="BD693" i="5"/>
  <c r="BC693" i="5"/>
  <c r="BB693" i="5"/>
  <c r="BA693" i="5"/>
  <c r="AZ693" i="5"/>
  <c r="AY693" i="5"/>
  <c r="AX693" i="5"/>
  <c r="AW693" i="5"/>
  <c r="AP693" i="5"/>
  <c r="AO693" i="5"/>
  <c r="AN693" i="5"/>
  <c r="AM693" i="5"/>
  <c r="AL693" i="5"/>
  <c r="AK693" i="5"/>
  <c r="AJ693" i="5"/>
  <c r="AI693" i="5"/>
  <c r="AA693" i="5"/>
  <c r="Z693" i="5"/>
  <c r="Y693" i="5"/>
  <c r="X693" i="5"/>
  <c r="W693" i="5"/>
  <c r="V693" i="5"/>
  <c r="U693" i="5"/>
  <c r="T693" i="5"/>
  <c r="BD692" i="5"/>
  <c r="BC692" i="5"/>
  <c r="BB692" i="5"/>
  <c r="BA692" i="5"/>
  <c r="AZ692" i="5"/>
  <c r="AY692" i="5"/>
  <c r="AX692" i="5"/>
  <c r="AW692" i="5"/>
  <c r="AP692" i="5"/>
  <c r="AO692" i="5"/>
  <c r="AN692" i="5"/>
  <c r="AM692" i="5"/>
  <c r="AL692" i="5"/>
  <c r="AK692" i="5"/>
  <c r="AJ692" i="5"/>
  <c r="AI692" i="5"/>
  <c r="AA692" i="5"/>
  <c r="Z692" i="5"/>
  <c r="Y692" i="5"/>
  <c r="X692" i="5"/>
  <c r="W692" i="5"/>
  <c r="V692" i="5"/>
  <c r="U692" i="5"/>
  <c r="T692" i="5"/>
  <c r="BD691" i="5"/>
  <c r="BC691" i="5"/>
  <c r="BB691" i="5"/>
  <c r="BA691" i="5"/>
  <c r="AZ691" i="5"/>
  <c r="AY691" i="5"/>
  <c r="AX691" i="5"/>
  <c r="AW691" i="5"/>
  <c r="AP691" i="5"/>
  <c r="AO691" i="5"/>
  <c r="AN691" i="5"/>
  <c r="AM691" i="5"/>
  <c r="AL691" i="5"/>
  <c r="AK691" i="5"/>
  <c r="AJ691" i="5"/>
  <c r="AI691" i="5"/>
  <c r="AA691" i="5"/>
  <c r="Z691" i="5"/>
  <c r="Y691" i="5"/>
  <c r="X691" i="5"/>
  <c r="W691" i="5"/>
  <c r="V691" i="5"/>
  <c r="U691" i="5"/>
  <c r="T691" i="5"/>
  <c r="BD690" i="5"/>
  <c r="BC690" i="5"/>
  <c r="BB690" i="5"/>
  <c r="BA690" i="5"/>
  <c r="AZ690" i="5"/>
  <c r="AY690" i="5"/>
  <c r="AX690" i="5"/>
  <c r="AW690" i="5"/>
  <c r="AP690" i="5"/>
  <c r="AO690" i="5"/>
  <c r="AN690" i="5"/>
  <c r="AM690" i="5"/>
  <c r="AL690" i="5"/>
  <c r="AK690" i="5"/>
  <c r="AJ690" i="5"/>
  <c r="AI690" i="5"/>
  <c r="AA690" i="5"/>
  <c r="Z690" i="5"/>
  <c r="Y690" i="5"/>
  <c r="X690" i="5"/>
  <c r="W690" i="5"/>
  <c r="V690" i="5"/>
  <c r="U690" i="5"/>
  <c r="T690" i="5"/>
  <c r="BD689" i="5"/>
  <c r="BC689" i="5"/>
  <c r="BB689" i="5"/>
  <c r="BA689" i="5"/>
  <c r="AZ689" i="5"/>
  <c r="AY689" i="5"/>
  <c r="AX689" i="5"/>
  <c r="AW689" i="5"/>
  <c r="AP689" i="5"/>
  <c r="AO689" i="5"/>
  <c r="AN689" i="5"/>
  <c r="AM689" i="5"/>
  <c r="AL689" i="5"/>
  <c r="AK689" i="5"/>
  <c r="AJ689" i="5"/>
  <c r="AI689" i="5"/>
  <c r="AA689" i="5"/>
  <c r="Z689" i="5"/>
  <c r="Y689" i="5"/>
  <c r="X689" i="5"/>
  <c r="W689" i="5"/>
  <c r="V689" i="5"/>
  <c r="U689" i="5"/>
  <c r="T689" i="5"/>
  <c r="BD688" i="5"/>
  <c r="BC688" i="5"/>
  <c r="BB688" i="5"/>
  <c r="BA688" i="5"/>
  <c r="AZ688" i="5"/>
  <c r="AY688" i="5"/>
  <c r="AX688" i="5"/>
  <c r="AW688" i="5"/>
  <c r="AP688" i="5"/>
  <c r="AO688" i="5"/>
  <c r="AN688" i="5"/>
  <c r="AM688" i="5"/>
  <c r="AL688" i="5"/>
  <c r="AK688" i="5"/>
  <c r="AJ688" i="5"/>
  <c r="AI688" i="5"/>
  <c r="AA688" i="5"/>
  <c r="Z688" i="5"/>
  <c r="Y688" i="5"/>
  <c r="X688" i="5"/>
  <c r="W688" i="5"/>
  <c r="V688" i="5"/>
  <c r="U688" i="5"/>
  <c r="T688" i="5"/>
  <c r="BD687" i="5"/>
  <c r="BC687" i="5"/>
  <c r="BB687" i="5"/>
  <c r="BA687" i="5"/>
  <c r="AZ687" i="5"/>
  <c r="AY687" i="5"/>
  <c r="AX687" i="5"/>
  <c r="AW687" i="5"/>
  <c r="AP687" i="5"/>
  <c r="AO687" i="5"/>
  <c r="AN687" i="5"/>
  <c r="AM687" i="5"/>
  <c r="AL687" i="5"/>
  <c r="AK687" i="5"/>
  <c r="AJ687" i="5"/>
  <c r="AI687" i="5"/>
  <c r="AA687" i="5"/>
  <c r="Z687" i="5"/>
  <c r="Y687" i="5"/>
  <c r="X687" i="5"/>
  <c r="W687" i="5"/>
  <c r="V687" i="5"/>
  <c r="U687" i="5"/>
  <c r="T687" i="5"/>
  <c r="BD686" i="5"/>
  <c r="BC686" i="5"/>
  <c r="BB686" i="5"/>
  <c r="BA686" i="5"/>
  <c r="AZ686" i="5"/>
  <c r="AY686" i="5"/>
  <c r="AX686" i="5"/>
  <c r="AW686" i="5"/>
  <c r="AP686" i="5"/>
  <c r="AO686" i="5"/>
  <c r="AN686" i="5"/>
  <c r="AM686" i="5"/>
  <c r="AL686" i="5"/>
  <c r="AK686" i="5"/>
  <c r="AJ686" i="5"/>
  <c r="AI686" i="5"/>
  <c r="AA686" i="5"/>
  <c r="Z686" i="5"/>
  <c r="Y686" i="5"/>
  <c r="X686" i="5"/>
  <c r="W686" i="5"/>
  <c r="V686" i="5"/>
  <c r="U686" i="5"/>
  <c r="T686" i="5"/>
  <c r="BD685" i="5"/>
  <c r="BC685" i="5"/>
  <c r="BB685" i="5"/>
  <c r="BA685" i="5"/>
  <c r="AZ685" i="5"/>
  <c r="AY685" i="5"/>
  <c r="AX685" i="5"/>
  <c r="AW685" i="5"/>
  <c r="AP685" i="5"/>
  <c r="AO685" i="5"/>
  <c r="AN685" i="5"/>
  <c r="AM685" i="5"/>
  <c r="AL685" i="5"/>
  <c r="AK685" i="5"/>
  <c r="AJ685" i="5"/>
  <c r="AI685" i="5"/>
  <c r="AA685" i="5"/>
  <c r="Z685" i="5"/>
  <c r="Y685" i="5"/>
  <c r="X685" i="5"/>
  <c r="W685" i="5"/>
  <c r="V685" i="5"/>
  <c r="U685" i="5"/>
  <c r="T685" i="5"/>
  <c r="BD684" i="5"/>
  <c r="BC684" i="5"/>
  <c r="BB684" i="5"/>
  <c r="BA684" i="5"/>
  <c r="AZ684" i="5"/>
  <c r="AY684" i="5"/>
  <c r="AX684" i="5"/>
  <c r="AW684" i="5"/>
  <c r="AP684" i="5"/>
  <c r="AO684" i="5"/>
  <c r="AN684" i="5"/>
  <c r="AM684" i="5"/>
  <c r="AL684" i="5"/>
  <c r="AK684" i="5"/>
  <c r="AJ684" i="5"/>
  <c r="AI684" i="5"/>
  <c r="AA684" i="5"/>
  <c r="Z684" i="5"/>
  <c r="Y684" i="5"/>
  <c r="X684" i="5"/>
  <c r="W684" i="5"/>
  <c r="V684" i="5"/>
  <c r="U684" i="5"/>
  <c r="T684" i="5"/>
  <c r="BD683" i="5"/>
  <c r="BC683" i="5"/>
  <c r="BB683" i="5"/>
  <c r="BA683" i="5"/>
  <c r="AZ683" i="5"/>
  <c r="AY683" i="5"/>
  <c r="AX683" i="5"/>
  <c r="AW683" i="5"/>
  <c r="AP683" i="5"/>
  <c r="AO683" i="5"/>
  <c r="AN683" i="5"/>
  <c r="AM683" i="5"/>
  <c r="AL683" i="5"/>
  <c r="AK683" i="5"/>
  <c r="AJ683" i="5"/>
  <c r="AI683" i="5"/>
  <c r="AA683" i="5"/>
  <c r="Z683" i="5"/>
  <c r="Y683" i="5"/>
  <c r="X683" i="5"/>
  <c r="W683" i="5"/>
  <c r="V683" i="5"/>
  <c r="U683" i="5"/>
  <c r="T683" i="5"/>
  <c r="BD682" i="5"/>
  <c r="BC682" i="5"/>
  <c r="BB682" i="5"/>
  <c r="BA682" i="5"/>
  <c r="AZ682" i="5"/>
  <c r="AY682" i="5"/>
  <c r="AX682" i="5"/>
  <c r="AW682" i="5"/>
  <c r="AP682" i="5"/>
  <c r="AO682" i="5"/>
  <c r="AN682" i="5"/>
  <c r="AM682" i="5"/>
  <c r="AL682" i="5"/>
  <c r="AK682" i="5"/>
  <c r="AJ682" i="5"/>
  <c r="AI682" i="5"/>
  <c r="AA682" i="5"/>
  <c r="Z682" i="5"/>
  <c r="Y682" i="5"/>
  <c r="X682" i="5"/>
  <c r="W682" i="5"/>
  <c r="V682" i="5"/>
  <c r="U682" i="5"/>
  <c r="T682" i="5"/>
  <c r="BD681" i="5"/>
  <c r="BC681" i="5"/>
  <c r="BB681" i="5"/>
  <c r="BA681" i="5"/>
  <c r="AZ681" i="5"/>
  <c r="AY681" i="5"/>
  <c r="AX681" i="5"/>
  <c r="AW681" i="5"/>
  <c r="AP681" i="5"/>
  <c r="AO681" i="5"/>
  <c r="AN681" i="5"/>
  <c r="AM681" i="5"/>
  <c r="AL681" i="5"/>
  <c r="AK681" i="5"/>
  <c r="AJ681" i="5"/>
  <c r="AI681" i="5"/>
  <c r="AA681" i="5"/>
  <c r="Z681" i="5"/>
  <c r="Y681" i="5"/>
  <c r="X681" i="5"/>
  <c r="W681" i="5"/>
  <c r="V681" i="5"/>
  <c r="U681" i="5"/>
  <c r="T681" i="5"/>
  <c r="BD680" i="5"/>
  <c r="BC680" i="5"/>
  <c r="BB680" i="5"/>
  <c r="BA680" i="5"/>
  <c r="AZ680" i="5"/>
  <c r="AY680" i="5"/>
  <c r="AX680" i="5"/>
  <c r="AW680" i="5"/>
  <c r="AP680" i="5"/>
  <c r="AO680" i="5"/>
  <c r="AN680" i="5"/>
  <c r="AM680" i="5"/>
  <c r="AL680" i="5"/>
  <c r="AK680" i="5"/>
  <c r="AJ680" i="5"/>
  <c r="AI680" i="5"/>
  <c r="AA680" i="5"/>
  <c r="Z680" i="5"/>
  <c r="Y680" i="5"/>
  <c r="X680" i="5"/>
  <c r="W680" i="5"/>
  <c r="V680" i="5"/>
  <c r="U680" i="5"/>
  <c r="T680" i="5"/>
  <c r="BD679" i="5"/>
  <c r="BC679" i="5"/>
  <c r="BB679" i="5"/>
  <c r="BA679" i="5"/>
  <c r="AZ679" i="5"/>
  <c r="AY679" i="5"/>
  <c r="AX679" i="5"/>
  <c r="AW679" i="5"/>
  <c r="AP679" i="5"/>
  <c r="AO679" i="5"/>
  <c r="AN679" i="5"/>
  <c r="AM679" i="5"/>
  <c r="AL679" i="5"/>
  <c r="AK679" i="5"/>
  <c r="AJ679" i="5"/>
  <c r="AI679" i="5"/>
  <c r="AA679" i="5"/>
  <c r="Z679" i="5"/>
  <c r="Y679" i="5"/>
  <c r="X679" i="5"/>
  <c r="W679" i="5"/>
  <c r="V679" i="5"/>
  <c r="U679" i="5"/>
  <c r="T679" i="5"/>
  <c r="BD678" i="5"/>
  <c r="BC678" i="5"/>
  <c r="BB678" i="5"/>
  <c r="BA678" i="5"/>
  <c r="AZ678" i="5"/>
  <c r="AY678" i="5"/>
  <c r="AX678" i="5"/>
  <c r="AW678" i="5"/>
  <c r="AP678" i="5"/>
  <c r="AO678" i="5"/>
  <c r="AN678" i="5"/>
  <c r="AM678" i="5"/>
  <c r="AL678" i="5"/>
  <c r="AK678" i="5"/>
  <c r="AJ678" i="5"/>
  <c r="AI678" i="5"/>
  <c r="AA678" i="5"/>
  <c r="Z678" i="5"/>
  <c r="Y678" i="5"/>
  <c r="X678" i="5"/>
  <c r="W678" i="5"/>
  <c r="V678" i="5"/>
  <c r="U678" i="5"/>
  <c r="T678" i="5"/>
  <c r="BD677" i="5"/>
  <c r="BC677" i="5"/>
  <c r="BB677" i="5"/>
  <c r="BA677" i="5"/>
  <c r="AZ677" i="5"/>
  <c r="AY677" i="5"/>
  <c r="AX677" i="5"/>
  <c r="AW677" i="5"/>
  <c r="AP677" i="5"/>
  <c r="AO677" i="5"/>
  <c r="AN677" i="5"/>
  <c r="AM677" i="5"/>
  <c r="AL677" i="5"/>
  <c r="AK677" i="5"/>
  <c r="AJ677" i="5"/>
  <c r="AI677" i="5"/>
  <c r="AA677" i="5"/>
  <c r="Z677" i="5"/>
  <c r="Y677" i="5"/>
  <c r="X677" i="5"/>
  <c r="W677" i="5"/>
  <c r="V677" i="5"/>
  <c r="U677" i="5"/>
  <c r="T677" i="5"/>
  <c r="BD676" i="5"/>
  <c r="BC676" i="5"/>
  <c r="BB676" i="5"/>
  <c r="BA676" i="5"/>
  <c r="AZ676" i="5"/>
  <c r="AY676" i="5"/>
  <c r="AX676" i="5"/>
  <c r="AW676" i="5"/>
  <c r="AP676" i="5"/>
  <c r="AO676" i="5"/>
  <c r="AN676" i="5"/>
  <c r="AM676" i="5"/>
  <c r="AL676" i="5"/>
  <c r="AK676" i="5"/>
  <c r="AJ676" i="5"/>
  <c r="AI676" i="5"/>
  <c r="AA676" i="5"/>
  <c r="Z676" i="5"/>
  <c r="Y676" i="5"/>
  <c r="X676" i="5"/>
  <c r="W676" i="5"/>
  <c r="V676" i="5"/>
  <c r="U676" i="5"/>
  <c r="T676" i="5"/>
  <c r="BD675" i="5"/>
  <c r="BC675" i="5"/>
  <c r="BB675" i="5"/>
  <c r="BA675" i="5"/>
  <c r="AZ675" i="5"/>
  <c r="AY675" i="5"/>
  <c r="AX675" i="5"/>
  <c r="AW675" i="5"/>
  <c r="AP675" i="5"/>
  <c r="AO675" i="5"/>
  <c r="AN675" i="5"/>
  <c r="AM675" i="5"/>
  <c r="AL675" i="5"/>
  <c r="AK675" i="5"/>
  <c r="AJ675" i="5"/>
  <c r="AI675" i="5"/>
  <c r="AA675" i="5"/>
  <c r="Z675" i="5"/>
  <c r="Y675" i="5"/>
  <c r="X675" i="5"/>
  <c r="W675" i="5"/>
  <c r="V675" i="5"/>
  <c r="U675" i="5"/>
  <c r="T675" i="5"/>
  <c r="BD674" i="5"/>
  <c r="BC674" i="5"/>
  <c r="BB674" i="5"/>
  <c r="BA674" i="5"/>
  <c r="AZ674" i="5"/>
  <c r="AY674" i="5"/>
  <c r="AX674" i="5"/>
  <c r="AW674" i="5"/>
  <c r="AP674" i="5"/>
  <c r="AO674" i="5"/>
  <c r="AN674" i="5"/>
  <c r="AM674" i="5"/>
  <c r="AL674" i="5"/>
  <c r="AK674" i="5"/>
  <c r="AJ674" i="5"/>
  <c r="AI674" i="5"/>
  <c r="AA674" i="5"/>
  <c r="Z674" i="5"/>
  <c r="Y674" i="5"/>
  <c r="X674" i="5"/>
  <c r="W674" i="5"/>
  <c r="V674" i="5"/>
  <c r="U674" i="5"/>
  <c r="T674" i="5"/>
  <c r="BD673" i="5"/>
  <c r="BC673" i="5"/>
  <c r="BB673" i="5"/>
  <c r="BA673" i="5"/>
  <c r="AZ673" i="5"/>
  <c r="AY673" i="5"/>
  <c r="AX673" i="5"/>
  <c r="AW673" i="5"/>
  <c r="AP673" i="5"/>
  <c r="AO673" i="5"/>
  <c r="AN673" i="5"/>
  <c r="AM673" i="5"/>
  <c r="AL673" i="5"/>
  <c r="AK673" i="5"/>
  <c r="AJ673" i="5"/>
  <c r="AI673" i="5"/>
  <c r="AA673" i="5"/>
  <c r="Z673" i="5"/>
  <c r="Y673" i="5"/>
  <c r="X673" i="5"/>
  <c r="W673" i="5"/>
  <c r="V673" i="5"/>
  <c r="U673" i="5"/>
  <c r="T673" i="5"/>
  <c r="BD672" i="5"/>
  <c r="BC672" i="5"/>
  <c r="BB672" i="5"/>
  <c r="BA672" i="5"/>
  <c r="AZ672" i="5"/>
  <c r="AY672" i="5"/>
  <c r="AX672" i="5"/>
  <c r="AW672" i="5"/>
  <c r="AP672" i="5"/>
  <c r="AO672" i="5"/>
  <c r="AN672" i="5"/>
  <c r="AM672" i="5"/>
  <c r="AL672" i="5"/>
  <c r="AK672" i="5"/>
  <c r="AJ672" i="5"/>
  <c r="AI672" i="5"/>
  <c r="AA672" i="5"/>
  <c r="Z672" i="5"/>
  <c r="Y672" i="5"/>
  <c r="X672" i="5"/>
  <c r="W672" i="5"/>
  <c r="V672" i="5"/>
  <c r="U672" i="5"/>
  <c r="T672" i="5"/>
  <c r="BD671" i="5"/>
  <c r="BC671" i="5"/>
  <c r="BB671" i="5"/>
  <c r="BA671" i="5"/>
  <c r="AZ671" i="5"/>
  <c r="AY671" i="5"/>
  <c r="AX671" i="5"/>
  <c r="AW671" i="5"/>
  <c r="AP671" i="5"/>
  <c r="AO671" i="5"/>
  <c r="AN671" i="5"/>
  <c r="AM671" i="5"/>
  <c r="AL671" i="5"/>
  <c r="AK671" i="5"/>
  <c r="AJ671" i="5"/>
  <c r="AI671" i="5"/>
  <c r="AA671" i="5"/>
  <c r="Z671" i="5"/>
  <c r="Y671" i="5"/>
  <c r="X671" i="5"/>
  <c r="W671" i="5"/>
  <c r="V671" i="5"/>
  <c r="U671" i="5"/>
  <c r="T671" i="5"/>
  <c r="BD670" i="5"/>
  <c r="BC670" i="5"/>
  <c r="BB670" i="5"/>
  <c r="BA670" i="5"/>
  <c r="AZ670" i="5"/>
  <c r="AY670" i="5"/>
  <c r="AX670" i="5"/>
  <c r="AW670" i="5"/>
  <c r="AP670" i="5"/>
  <c r="AO670" i="5"/>
  <c r="AN670" i="5"/>
  <c r="AM670" i="5"/>
  <c r="AL670" i="5"/>
  <c r="AK670" i="5"/>
  <c r="AJ670" i="5"/>
  <c r="AI670" i="5"/>
  <c r="AA670" i="5"/>
  <c r="Z670" i="5"/>
  <c r="Y670" i="5"/>
  <c r="X670" i="5"/>
  <c r="W670" i="5"/>
  <c r="V670" i="5"/>
  <c r="U670" i="5"/>
  <c r="T670" i="5"/>
  <c r="BD669" i="5"/>
  <c r="BC669" i="5"/>
  <c r="BB669" i="5"/>
  <c r="BA669" i="5"/>
  <c r="AZ669" i="5"/>
  <c r="AY669" i="5"/>
  <c r="AX669" i="5"/>
  <c r="AW669" i="5"/>
  <c r="AP669" i="5"/>
  <c r="AO669" i="5"/>
  <c r="AN669" i="5"/>
  <c r="AM669" i="5"/>
  <c r="AL669" i="5"/>
  <c r="AK669" i="5"/>
  <c r="AJ669" i="5"/>
  <c r="AI669" i="5"/>
  <c r="AA669" i="5"/>
  <c r="Z669" i="5"/>
  <c r="Y669" i="5"/>
  <c r="X669" i="5"/>
  <c r="W669" i="5"/>
  <c r="V669" i="5"/>
  <c r="U669" i="5"/>
  <c r="T669" i="5"/>
  <c r="BD668" i="5"/>
  <c r="BC668" i="5"/>
  <c r="BB668" i="5"/>
  <c r="BA668" i="5"/>
  <c r="AZ668" i="5"/>
  <c r="AY668" i="5"/>
  <c r="AX668" i="5"/>
  <c r="AW668" i="5"/>
  <c r="AP668" i="5"/>
  <c r="AO668" i="5"/>
  <c r="AN668" i="5"/>
  <c r="AM668" i="5"/>
  <c r="AL668" i="5"/>
  <c r="AK668" i="5"/>
  <c r="AJ668" i="5"/>
  <c r="AI668" i="5"/>
  <c r="AA668" i="5"/>
  <c r="Z668" i="5"/>
  <c r="Y668" i="5"/>
  <c r="X668" i="5"/>
  <c r="W668" i="5"/>
  <c r="V668" i="5"/>
  <c r="U668" i="5"/>
  <c r="T668" i="5"/>
  <c r="BD667" i="5"/>
  <c r="BC667" i="5"/>
  <c r="BB667" i="5"/>
  <c r="BA667" i="5"/>
  <c r="AZ667" i="5"/>
  <c r="AY667" i="5"/>
  <c r="AX667" i="5"/>
  <c r="AW667" i="5"/>
  <c r="AP667" i="5"/>
  <c r="AO667" i="5"/>
  <c r="AN667" i="5"/>
  <c r="AM667" i="5"/>
  <c r="AL667" i="5"/>
  <c r="AK667" i="5"/>
  <c r="AJ667" i="5"/>
  <c r="AI667" i="5"/>
  <c r="AA667" i="5"/>
  <c r="Z667" i="5"/>
  <c r="Y667" i="5"/>
  <c r="X667" i="5"/>
  <c r="W667" i="5"/>
  <c r="V667" i="5"/>
  <c r="U667" i="5"/>
  <c r="T667" i="5"/>
  <c r="BD666" i="5"/>
  <c r="BC666" i="5"/>
  <c r="BB666" i="5"/>
  <c r="BA666" i="5"/>
  <c r="AZ666" i="5"/>
  <c r="AY666" i="5"/>
  <c r="AX666" i="5"/>
  <c r="AW666" i="5"/>
  <c r="AP666" i="5"/>
  <c r="AO666" i="5"/>
  <c r="AN666" i="5"/>
  <c r="AM666" i="5"/>
  <c r="AL666" i="5"/>
  <c r="AK666" i="5"/>
  <c r="AJ666" i="5"/>
  <c r="AI666" i="5"/>
  <c r="AA666" i="5"/>
  <c r="Z666" i="5"/>
  <c r="Y666" i="5"/>
  <c r="X666" i="5"/>
  <c r="W666" i="5"/>
  <c r="V666" i="5"/>
  <c r="U666" i="5"/>
  <c r="T666" i="5"/>
  <c r="BD665" i="5"/>
  <c r="BC665" i="5"/>
  <c r="BB665" i="5"/>
  <c r="BA665" i="5"/>
  <c r="AZ665" i="5"/>
  <c r="AY665" i="5"/>
  <c r="AX665" i="5"/>
  <c r="AW665" i="5"/>
  <c r="AP665" i="5"/>
  <c r="AO665" i="5"/>
  <c r="AN665" i="5"/>
  <c r="AM665" i="5"/>
  <c r="AL665" i="5"/>
  <c r="AK665" i="5"/>
  <c r="AJ665" i="5"/>
  <c r="AI665" i="5"/>
  <c r="AA665" i="5"/>
  <c r="Z665" i="5"/>
  <c r="Y665" i="5"/>
  <c r="X665" i="5"/>
  <c r="W665" i="5"/>
  <c r="V665" i="5"/>
  <c r="U665" i="5"/>
  <c r="T665" i="5"/>
  <c r="BD664" i="5"/>
  <c r="BC664" i="5"/>
  <c r="BB664" i="5"/>
  <c r="BA664" i="5"/>
  <c r="AZ664" i="5"/>
  <c r="AY664" i="5"/>
  <c r="AX664" i="5"/>
  <c r="AW664" i="5"/>
  <c r="AP664" i="5"/>
  <c r="AO664" i="5"/>
  <c r="AN664" i="5"/>
  <c r="AM664" i="5"/>
  <c r="AL664" i="5"/>
  <c r="AK664" i="5"/>
  <c r="AJ664" i="5"/>
  <c r="AI664" i="5"/>
  <c r="AA664" i="5"/>
  <c r="Z664" i="5"/>
  <c r="Y664" i="5"/>
  <c r="X664" i="5"/>
  <c r="W664" i="5"/>
  <c r="V664" i="5"/>
  <c r="U664" i="5"/>
  <c r="T664" i="5"/>
  <c r="BD663" i="5"/>
  <c r="BC663" i="5"/>
  <c r="BB663" i="5"/>
  <c r="BA663" i="5"/>
  <c r="AZ663" i="5"/>
  <c r="AY663" i="5"/>
  <c r="AX663" i="5"/>
  <c r="AW663" i="5"/>
  <c r="AP663" i="5"/>
  <c r="AO663" i="5"/>
  <c r="AN663" i="5"/>
  <c r="AM663" i="5"/>
  <c r="AL663" i="5"/>
  <c r="AK663" i="5"/>
  <c r="AJ663" i="5"/>
  <c r="AI663" i="5"/>
  <c r="AA663" i="5"/>
  <c r="Z663" i="5"/>
  <c r="Y663" i="5"/>
  <c r="X663" i="5"/>
  <c r="W663" i="5"/>
  <c r="V663" i="5"/>
  <c r="U663" i="5"/>
  <c r="T663" i="5"/>
  <c r="BD662" i="5"/>
  <c r="BC662" i="5"/>
  <c r="BB662" i="5"/>
  <c r="BA662" i="5"/>
  <c r="AZ662" i="5"/>
  <c r="AY662" i="5"/>
  <c r="AX662" i="5"/>
  <c r="AW662" i="5"/>
  <c r="AP662" i="5"/>
  <c r="AO662" i="5"/>
  <c r="AN662" i="5"/>
  <c r="AM662" i="5"/>
  <c r="AL662" i="5"/>
  <c r="AK662" i="5"/>
  <c r="AJ662" i="5"/>
  <c r="AI662" i="5"/>
  <c r="AA662" i="5"/>
  <c r="Z662" i="5"/>
  <c r="Y662" i="5"/>
  <c r="X662" i="5"/>
  <c r="W662" i="5"/>
  <c r="V662" i="5"/>
  <c r="U662" i="5"/>
  <c r="T662" i="5"/>
  <c r="BD661" i="5"/>
  <c r="BC661" i="5"/>
  <c r="BB661" i="5"/>
  <c r="BA661" i="5"/>
  <c r="AZ661" i="5"/>
  <c r="AY661" i="5"/>
  <c r="AX661" i="5"/>
  <c r="AW661" i="5"/>
  <c r="AP661" i="5"/>
  <c r="AO661" i="5"/>
  <c r="AN661" i="5"/>
  <c r="AM661" i="5"/>
  <c r="AL661" i="5"/>
  <c r="AK661" i="5"/>
  <c r="AJ661" i="5"/>
  <c r="AI661" i="5"/>
  <c r="AA661" i="5"/>
  <c r="Z661" i="5"/>
  <c r="Y661" i="5"/>
  <c r="X661" i="5"/>
  <c r="W661" i="5"/>
  <c r="V661" i="5"/>
  <c r="U661" i="5"/>
  <c r="T661" i="5"/>
  <c r="BD660" i="5"/>
  <c r="BC660" i="5"/>
  <c r="BB660" i="5"/>
  <c r="BA660" i="5"/>
  <c r="AZ660" i="5"/>
  <c r="AY660" i="5"/>
  <c r="AX660" i="5"/>
  <c r="AW660" i="5"/>
  <c r="AP660" i="5"/>
  <c r="AO660" i="5"/>
  <c r="AN660" i="5"/>
  <c r="AM660" i="5"/>
  <c r="AL660" i="5"/>
  <c r="AK660" i="5"/>
  <c r="AJ660" i="5"/>
  <c r="AI660" i="5"/>
  <c r="AA660" i="5"/>
  <c r="Z660" i="5"/>
  <c r="Y660" i="5"/>
  <c r="X660" i="5"/>
  <c r="W660" i="5"/>
  <c r="V660" i="5"/>
  <c r="U660" i="5"/>
  <c r="T660" i="5"/>
  <c r="BD659" i="5"/>
  <c r="BC659" i="5"/>
  <c r="BB659" i="5"/>
  <c r="BA659" i="5"/>
  <c r="AZ659" i="5"/>
  <c r="AY659" i="5"/>
  <c r="AX659" i="5"/>
  <c r="AW659" i="5"/>
  <c r="AP659" i="5"/>
  <c r="AO659" i="5"/>
  <c r="AN659" i="5"/>
  <c r="AM659" i="5"/>
  <c r="AL659" i="5"/>
  <c r="AK659" i="5"/>
  <c r="AJ659" i="5"/>
  <c r="AI659" i="5"/>
  <c r="AA659" i="5"/>
  <c r="Z659" i="5"/>
  <c r="Y659" i="5"/>
  <c r="X659" i="5"/>
  <c r="W659" i="5"/>
  <c r="V659" i="5"/>
  <c r="U659" i="5"/>
  <c r="T659" i="5"/>
  <c r="BD658" i="5"/>
  <c r="BC658" i="5"/>
  <c r="BB658" i="5"/>
  <c r="BA658" i="5"/>
  <c r="AZ658" i="5"/>
  <c r="AY658" i="5"/>
  <c r="AX658" i="5"/>
  <c r="AW658" i="5"/>
  <c r="AP658" i="5"/>
  <c r="AO658" i="5"/>
  <c r="AN658" i="5"/>
  <c r="AM658" i="5"/>
  <c r="AL658" i="5"/>
  <c r="AK658" i="5"/>
  <c r="AJ658" i="5"/>
  <c r="AI658" i="5"/>
  <c r="AA658" i="5"/>
  <c r="Z658" i="5"/>
  <c r="Y658" i="5"/>
  <c r="X658" i="5"/>
  <c r="W658" i="5"/>
  <c r="V658" i="5"/>
  <c r="U658" i="5"/>
  <c r="T658" i="5"/>
  <c r="BD657" i="5"/>
  <c r="BC657" i="5"/>
  <c r="BB657" i="5"/>
  <c r="BA657" i="5"/>
  <c r="AZ657" i="5"/>
  <c r="AY657" i="5"/>
  <c r="AX657" i="5"/>
  <c r="AW657" i="5"/>
  <c r="AP657" i="5"/>
  <c r="AO657" i="5"/>
  <c r="AN657" i="5"/>
  <c r="AM657" i="5"/>
  <c r="AL657" i="5"/>
  <c r="AK657" i="5"/>
  <c r="AJ657" i="5"/>
  <c r="AI657" i="5"/>
  <c r="AA657" i="5"/>
  <c r="Z657" i="5"/>
  <c r="Y657" i="5"/>
  <c r="X657" i="5"/>
  <c r="W657" i="5"/>
  <c r="V657" i="5"/>
  <c r="U657" i="5"/>
  <c r="T657" i="5"/>
  <c r="BD656" i="5"/>
  <c r="BC656" i="5"/>
  <c r="BB656" i="5"/>
  <c r="BA656" i="5"/>
  <c r="AZ656" i="5"/>
  <c r="AY656" i="5"/>
  <c r="AX656" i="5"/>
  <c r="AW656" i="5"/>
  <c r="AP656" i="5"/>
  <c r="AO656" i="5"/>
  <c r="AN656" i="5"/>
  <c r="AM656" i="5"/>
  <c r="AL656" i="5"/>
  <c r="AK656" i="5"/>
  <c r="AJ656" i="5"/>
  <c r="AI656" i="5"/>
  <c r="AA656" i="5"/>
  <c r="Z656" i="5"/>
  <c r="Y656" i="5"/>
  <c r="X656" i="5"/>
  <c r="W656" i="5"/>
  <c r="V656" i="5"/>
  <c r="U656" i="5"/>
  <c r="T656" i="5"/>
  <c r="BD655" i="5"/>
  <c r="BC655" i="5"/>
  <c r="BB655" i="5"/>
  <c r="BA655" i="5"/>
  <c r="AZ655" i="5"/>
  <c r="AY655" i="5"/>
  <c r="AX655" i="5"/>
  <c r="AW655" i="5"/>
  <c r="AP655" i="5"/>
  <c r="AO655" i="5"/>
  <c r="AN655" i="5"/>
  <c r="AM655" i="5"/>
  <c r="AL655" i="5"/>
  <c r="AK655" i="5"/>
  <c r="AJ655" i="5"/>
  <c r="AI655" i="5"/>
  <c r="AA655" i="5"/>
  <c r="Z655" i="5"/>
  <c r="Y655" i="5"/>
  <c r="X655" i="5"/>
  <c r="W655" i="5"/>
  <c r="V655" i="5"/>
  <c r="U655" i="5"/>
  <c r="T655" i="5"/>
  <c r="BD654" i="5"/>
  <c r="BC654" i="5"/>
  <c r="BB654" i="5"/>
  <c r="BA654" i="5"/>
  <c r="AZ654" i="5"/>
  <c r="AY654" i="5"/>
  <c r="AX654" i="5"/>
  <c r="AW654" i="5"/>
  <c r="AP654" i="5"/>
  <c r="AO654" i="5"/>
  <c r="AN654" i="5"/>
  <c r="AM654" i="5"/>
  <c r="AL654" i="5"/>
  <c r="AK654" i="5"/>
  <c r="AJ654" i="5"/>
  <c r="AI654" i="5"/>
  <c r="AA654" i="5"/>
  <c r="Z654" i="5"/>
  <c r="Y654" i="5"/>
  <c r="X654" i="5"/>
  <c r="W654" i="5"/>
  <c r="V654" i="5"/>
  <c r="U654" i="5"/>
  <c r="T654" i="5"/>
  <c r="BD653" i="5"/>
  <c r="BC653" i="5"/>
  <c r="BB653" i="5"/>
  <c r="BA653" i="5"/>
  <c r="AZ653" i="5"/>
  <c r="AY653" i="5"/>
  <c r="AX653" i="5"/>
  <c r="AW653" i="5"/>
  <c r="AP653" i="5"/>
  <c r="AO653" i="5"/>
  <c r="AN653" i="5"/>
  <c r="AM653" i="5"/>
  <c r="AL653" i="5"/>
  <c r="AK653" i="5"/>
  <c r="AJ653" i="5"/>
  <c r="AI653" i="5"/>
  <c r="AA653" i="5"/>
  <c r="Z653" i="5"/>
  <c r="Y653" i="5"/>
  <c r="X653" i="5"/>
  <c r="W653" i="5"/>
  <c r="V653" i="5"/>
  <c r="U653" i="5"/>
  <c r="T653" i="5"/>
  <c r="BD652" i="5"/>
  <c r="BC652" i="5"/>
  <c r="BB652" i="5"/>
  <c r="BA652" i="5"/>
  <c r="AZ652" i="5"/>
  <c r="AY652" i="5"/>
  <c r="AX652" i="5"/>
  <c r="AW652" i="5"/>
  <c r="AP652" i="5"/>
  <c r="AO652" i="5"/>
  <c r="AN652" i="5"/>
  <c r="AM652" i="5"/>
  <c r="AL652" i="5"/>
  <c r="AK652" i="5"/>
  <c r="AJ652" i="5"/>
  <c r="AI652" i="5"/>
  <c r="AA652" i="5"/>
  <c r="Z652" i="5"/>
  <c r="Y652" i="5"/>
  <c r="X652" i="5"/>
  <c r="W652" i="5"/>
  <c r="V652" i="5"/>
  <c r="U652" i="5"/>
  <c r="T652" i="5"/>
  <c r="BD651" i="5"/>
  <c r="BC651" i="5"/>
  <c r="BB651" i="5"/>
  <c r="BA651" i="5"/>
  <c r="AZ651" i="5"/>
  <c r="AY651" i="5"/>
  <c r="AX651" i="5"/>
  <c r="AW651" i="5"/>
  <c r="AP651" i="5"/>
  <c r="AO651" i="5"/>
  <c r="AN651" i="5"/>
  <c r="AM651" i="5"/>
  <c r="AL651" i="5"/>
  <c r="AK651" i="5"/>
  <c r="AJ651" i="5"/>
  <c r="AI651" i="5"/>
  <c r="AA651" i="5"/>
  <c r="Z651" i="5"/>
  <c r="Y651" i="5"/>
  <c r="X651" i="5"/>
  <c r="W651" i="5"/>
  <c r="V651" i="5"/>
  <c r="U651" i="5"/>
  <c r="T651" i="5"/>
  <c r="BD650" i="5"/>
  <c r="BC650" i="5"/>
  <c r="BB650" i="5"/>
  <c r="BA650" i="5"/>
  <c r="AZ650" i="5"/>
  <c r="AY650" i="5"/>
  <c r="AX650" i="5"/>
  <c r="AW650" i="5"/>
  <c r="AP650" i="5"/>
  <c r="AO650" i="5"/>
  <c r="AN650" i="5"/>
  <c r="AM650" i="5"/>
  <c r="AL650" i="5"/>
  <c r="AK650" i="5"/>
  <c r="AJ650" i="5"/>
  <c r="AI650" i="5"/>
  <c r="AA650" i="5"/>
  <c r="Z650" i="5"/>
  <c r="Y650" i="5"/>
  <c r="X650" i="5"/>
  <c r="W650" i="5"/>
  <c r="V650" i="5"/>
  <c r="U650" i="5"/>
  <c r="T650" i="5"/>
  <c r="BD649" i="5"/>
  <c r="BC649" i="5"/>
  <c r="BB649" i="5"/>
  <c r="BA649" i="5"/>
  <c r="AZ649" i="5"/>
  <c r="AY649" i="5"/>
  <c r="AX649" i="5"/>
  <c r="AW649" i="5"/>
  <c r="AP649" i="5"/>
  <c r="AO649" i="5"/>
  <c r="AN649" i="5"/>
  <c r="AM649" i="5"/>
  <c r="AL649" i="5"/>
  <c r="AK649" i="5"/>
  <c r="AJ649" i="5"/>
  <c r="AI649" i="5"/>
  <c r="AA649" i="5"/>
  <c r="Z649" i="5"/>
  <c r="Y649" i="5"/>
  <c r="X649" i="5"/>
  <c r="W649" i="5"/>
  <c r="V649" i="5"/>
  <c r="U649" i="5"/>
  <c r="T649" i="5"/>
  <c r="BD648" i="5"/>
  <c r="BC648" i="5"/>
  <c r="BB648" i="5"/>
  <c r="BA648" i="5"/>
  <c r="AZ648" i="5"/>
  <c r="AY648" i="5"/>
  <c r="AX648" i="5"/>
  <c r="AW648" i="5"/>
  <c r="AP648" i="5"/>
  <c r="AO648" i="5"/>
  <c r="AN648" i="5"/>
  <c r="AM648" i="5"/>
  <c r="AL648" i="5"/>
  <c r="AK648" i="5"/>
  <c r="AJ648" i="5"/>
  <c r="AI648" i="5"/>
  <c r="AA648" i="5"/>
  <c r="Z648" i="5"/>
  <c r="Y648" i="5"/>
  <c r="X648" i="5"/>
  <c r="W648" i="5"/>
  <c r="V648" i="5"/>
  <c r="U648" i="5"/>
  <c r="T648" i="5"/>
  <c r="BD647" i="5"/>
  <c r="BC647" i="5"/>
  <c r="BB647" i="5"/>
  <c r="BA647" i="5"/>
  <c r="AZ647" i="5"/>
  <c r="AY647" i="5"/>
  <c r="AX647" i="5"/>
  <c r="AW647" i="5"/>
  <c r="AP647" i="5"/>
  <c r="AO647" i="5"/>
  <c r="AN647" i="5"/>
  <c r="AM647" i="5"/>
  <c r="AL647" i="5"/>
  <c r="AK647" i="5"/>
  <c r="AJ647" i="5"/>
  <c r="AI647" i="5"/>
  <c r="AA647" i="5"/>
  <c r="Z647" i="5"/>
  <c r="Y647" i="5"/>
  <c r="X647" i="5"/>
  <c r="W647" i="5"/>
  <c r="V647" i="5"/>
  <c r="U647" i="5"/>
  <c r="T647" i="5"/>
  <c r="BD646" i="5"/>
  <c r="BC646" i="5"/>
  <c r="BB646" i="5"/>
  <c r="BA646" i="5"/>
  <c r="AZ646" i="5"/>
  <c r="AY646" i="5"/>
  <c r="AX646" i="5"/>
  <c r="AW646" i="5"/>
  <c r="AP646" i="5"/>
  <c r="AO646" i="5"/>
  <c r="AN646" i="5"/>
  <c r="AM646" i="5"/>
  <c r="AL646" i="5"/>
  <c r="AK646" i="5"/>
  <c r="AJ646" i="5"/>
  <c r="AI646" i="5"/>
  <c r="AA646" i="5"/>
  <c r="Z646" i="5"/>
  <c r="Y646" i="5"/>
  <c r="X646" i="5"/>
  <c r="W646" i="5"/>
  <c r="V646" i="5"/>
  <c r="U646" i="5"/>
  <c r="T646" i="5"/>
  <c r="BD645" i="5"/>
  <c r="BC645" i="5"/>
  <c r="BB645" i="5"/>
  <c r="BA645" i="5"/>
  <c r="AZ645" i="5"/>
  <c r="AY645" i="5"/>
  <c r="AX645" i="5"/>
  <c r="AW645" i="5"/>
  <c r="AP645" i="5"/>
  <c r="AO645" i="5"/>
  <c r="AN645" i="5"/>
  <c r="AM645" i="5"/>
  <c r="AL645" i="5"/>
  <c r="AK645" i="5"/>
  <c r="AJ645" i="5"/>
  <c r="AI645" i="5"/>
  <c r="AA645" i="5"/>
  <c r="Z645" i="5"/>
  <c r="Y645" i="5"/>
  <c r="X645" i="5"/>
  <c r="W645" i="5"/>
  <c r="V645" i="5"/>
  <c r="U645" i="5"/>
  <c r="T645" i="5"/>
  <c r="BD644" i="5"/>
  <c r="BC644" i="5"/>
  <c r="BB644" i="5"/>
  <c r="BA644" i="5"/>
  <c r="AZ644" i="5"/>
  <c r="AY644" i="5"/>
  <c r="AX644" i="5"/>
  <c r="AW644" i="5"/>
  <c r="AP644" i="5"/>
  <c r="AO644" i="5"/>
  <c r="AN644" i="5"/>
  <c r="AM644" i="5"/>
  <c r="AL644" i="5"/>
  <c r="AK644" i="5"/>
  <c r="AJ644" i="5"/>
  <c r="AI644" i="5"/>
  <c r="AA644" i="5"/>
  <c r="Z644" i="5"/>
  <c r="Y644" i="5"/>
  <c r="X644" i="5"/>
  <c r="W644" i="5"/>
  <c r="V644" i="5"/>
  <c r="U644" i="5"/>
  <c r="T644" i="5"/>
  <c r="BD643" i="5"/>
  <c r="BC643" i="5"/>
  <c r="BB643" i="5"/>
  <c r="BA643" i="5"/>
  <c r="AZ643" i="5"/>
  <c r="AY643" i="5"/>
  <c r="AX643" i="5"/>
  <c r="AW643" i="5"/>
  <c r="AP643" i="5"/>
  <c r="AO643" i="5"/>
  <c r="AN643" i="5"/>
  <c r="AM643" i="5"/>
  <c r="AL643" i="5"/>
  <c r="AK643" i="5"/>
  <c r="AJ643" i="5"/>
  <c r="AI643" i="5"/>
  <c r="AA643" i="5"/>
  <c r="Z643" i="5"/>
  <c r="Y643" i="5"/>
  <c r="X643" i="5"/>
  <c r="W643" i="5"/>
  <c r="V643" i="5"/>
  <c r="U643" i="5"/>
  <c r="T643" i="5"/>
  <c r="BD642" i="5"/>
  <c r="BC642" i="5"/>
  <c r="BB642" i="5"/>
  <c r="BA642" i="5"/>
  <c r="AZ642" i="5"/>
  <c r="AY642" i="5"/>
  <c r="AX642" i="5"/>
  <c r="AW642" i="5"/>
  <c r="AP642" i="5"/>
  <c r="AO642" i="5"/>
  <c r="AN642" i="5"/>
  <c r="AM642" i="5"/>
  <c r="AL642" i="5"/>
  <c r="AK642" i="5"/>
  <c r="AJ642" i="5"/>
  <c r="AI642" i="5"/>
  <c r="AA642" i="5"/>
  <c r="Z642" i="5"/>
  <c r="Y642" i="5"/>
  <c r="X642" i="5"/>
  <c r="W642" i="5"/>
  <c r="V642" i="5"/>
  <c r="U642" i="5"/>
  <c r="T642" i="5"/>
  <c r="BD641" i="5"/>
  <c r="BC641" i="5"/>
  <c r="BB641" i="5"/>
  <c r="BA641" i="5"/>
  <c r="AZ641" i="5"/>
  <c r="AY641" i="5"/>
  <c r="AX641" i="5"/>
  <c r="AW641" i="5"/>
  <c r="AP641" i="5"/>
  <c r="AO641" i="5"/>
  <c r="AN641" i="5"/>
  <c r="AM641" i="5"/>
  <c r="AL641" i="5"/>
  <c r="AK641" i="5"/>
  <c r="AJ641" i="5"/>
  <c r="AI641" i="5"/>
  <c r="AA641" i="5"/>
  <c r="Z641" i="5"/>
  <c r="Y641" i="5"/>
  <c r="X641" i="5"/>
  <c r="W641" i="5"/>
  <c r="V641" i="5"/>
  <c r="U641" i="5"/>
  <c r="T641" i="5"/>
  <c r="BD640" i="5"/>
  <c r="BC640" i="5"/>
  <c r="BB640" i="5"/>
  <c r="BA640" i="5"/>
  <c r="AZ640" i="5"/>
  <c r="AY640" i="5"/>
  <c r="AX640" i="5"/>
  <c r="AW640" i="5"/>
  <c r="AP640" i="5"/>
  <c r="AO640" i="5"/>
  <c r="AN640" i="5"/>
  <c r="AM640" i="5"/>
  <c r="AL640" i="5"/>
  <c r="AK640" i="5"/>
  <c r="AJ640" i="5"/>
  <c r="AI640" i="5"/>
  <c r="AA640" i="5"/>
  <c r="Z640" i="5"/>
  <c r="Y640" i="5"/>
  <c r="X640" i="5"/>
  <c r="W640" i="5"/>
  <c r="V640" i="5"/>
  <c r="U640" i="5"/>
  <c r="T640" i="5"/>
  <c r="BD639" i="5"/>
  <c r="BC639" i="5"/>
  <c r="BB639" i="5"/>
  <c r="BA639" i="5"/>
  <c r="AZ639" i="5"/>
  <c r="AY639" i="5"/>
  <c r="AX639" i="5"/>
  <c r="AW639" i="5"/>
  <c r="AP639" i="5"/>
  <c r="AO639" i="5"/>
  <c r="AN639" i="5"/>
  <c r="AM639" i="5"/>
  <c r="AL639" i="5"/>
  <c r="AK639" i="5"/>
  <c r="AJ639" i="5"/>
  <c r="AI639" i="5"/>
  <c r="AA639" i="5"/>
  <c r="Z639" i="5"/>
  <c r="Y639" i="5"/>
  <c r="X639" i="5"/>
  <c r="W639" i="5"/>
  <c r="V639" i="5"/>
  <c r="U639" i="5"/>
  <c r="T639" i="5"/>
  <c r="BD638" i="5"/>
  <c r="BC638" i="5"/>
  <c r="BB638" i="5"/>
  <c r="BA638" i="5"/>
  <c r="AZ638" i="5"/>
  <c r="AY638" i="5"/>
  <c r="AX638" i="5"/>
  <c r="AW638" i="5"/>
  <c r="AP638" i="5"/>
  <c r="AO638" i="5"/>
  <c r="AN638" i="5"/>
  <c r="AM638" i="5"/>
  <c r="AL638" i="5"/>
  <c r="AK638" i="5"/>
  <c r="AJ638" i="5"/>
  <c r="AI638" i="5"/>
  <c r="AA638" i="5"/>
  <c r="Z638" i="5"/>
  <c r="Y638" i="5"/>
  <c r="X638" i="5"/>
  <c r="W638" i="5"/>
  <c r="V638" i="5"/>
  <c r="U638" i="5"/>
  <c r="T638" i="5"/>
  <c r="BD637" i="5"/>
  <c r="BC637" i="5"/>
  <c r="BB637" i="5"/>
  <c r="BA637" i="5"/>
  <c r="AZ637" i="5"/>
  <c r="AY637" i="5"/>
  <c r="AX637" i="5"/>
  <c r="AW637" i="5"/>
  <c r="AP637" i="5"/>
  <c r="AO637" i="5"/>
  <c r="AN637" i="5"/>
  <c r="AM637" i="5"/>
  <c r="AL637" i="5"/>
  <c r="AK637" i="5"/>
  <c r="AJ637" i="5"/>
  <c r="AI637" i="5"/>
  <c r="AA637" i="5"/>
  <c r="Z637" i="5"/>
  <c r="Y637" i="5"/>
  <c r="X637" i="5"/>
  <c r="W637" i="5"/>
  <c r="V637" i="5"/>
  <c r="U637" i="5"/>
  <c r="T637" i="5"/>
  <c r="BD636" i="5"/>
  <c r="BC636" i="5"/>
  <c r="BB636" i="5"/>
  <c r="BA636" i="5"/>
  <c r="AZ636" i="5"/>
  <c r="AY636" i="5"/>
  <c r="AX636" i="5"/>
  <c r="AW636" i="5"/>
  <c r="AP636" i="5"/>
  <c r="AO636" i="5"/>
  <c r="AN636" i="5"/>
  <c r="AM636" i="5"/>
  <c r="AL636" i="5"/>
  <c r="AK636" i="5"/>
  <c r="AJ636" i="5"/>
  <c r="AI636" i="5"/>
  <c r="AA636" i="5"/>
  <c r="Z636" i="5"/>
  <c r="Y636" i="5"/>
  <c r="X636" i="5"/>
  <c r="W636" i="5"/>
  <c r="V636" i="5"/>
  <c r="U636" i="5"/>
  <c r="T636" i="5"/>
  <c r="BD635" i="5"/>
  <c r="BC635" i="5"/>
  <c r="BB635" i="5"/>
  <c r="BA635" i="5"/>
  <c r="AZ635" i="5"/>
  <c r="AY635" i="5"/>
  <c r="AX635" i="5"/>
  <c r="AW635" i="5"/>
  <c r="AP635" i="5"/>
  <c r="AO635" i="5"/>
  <c r="AN635" i="5"/>
  <c r="AM635" i="5"/>
  <c r="AL635" i="5"/>
  <c r="AK635" i="5"/>
  <c r="AJ635" i="5"/>
  <c r="AI635" i="5"/>
  <c r="AA635" i="5"/>
  <c r="Z635" i="5"/>
  <c r="Y635" i="5"/>
  <c r="X635" i="5"/>
  <c r="W635" i="5"/>
  <c r="V635" i="5"/>
  <c r="U635" i="5"/>
  <c r="T635" i="5"/>
  <c r="BD634" i="5"/>
  <c r="BC634" i="5"/>
  <c r="BB634" i="5"/>
  <c r="BA634" i="5"/>
  <c r="AZ634" i="5"/>
  <c r="AY634" i="5"/>
  <c r="AX634" i="5"/>
  <c r="AW634" i="5"/>
  <c r="AP634" i="5"/>
  <c r="AO634" i="5"/>
  <c r="AN634" i="5"/>
  <c r="AM634" i="5"/>
  <c r="AL634" i="5"/>
  <c r="AK634" i="5"/>
  <c r="AJ634" i="5"/>
  <c r="AI634" i="5"/>
  <c r="AA634" i="5"/>
  <c r="Z634" i="5"/>
  <c r="Y634" i="5"/>
  <c r="X634" i="5"/>
  <c r="W634" i="5"/>
  <c r="V634" i="5"/>
  <c r="U634" i="5"/>
  <c r="T634" i="5"/>
  <c r="BD633" i="5"/>
  <c r="BC633" i="5"/>
  <c r="BB633" i="5"/>
  <c r="BA633" i="5"/>
  <c r="AZ633" i="5"/>
  <c r="AY633" i="5"/>
  <c r="AX633" i="5"/>
  <c r="AW633" i="5"/>
  <c r="AP633" i="5"/>
  <c r="AO633" i="5"/>
  <c r="AN633" i="5"/>
  <c r="AM633" i="5"/>
  <c r="AL633" i="5"/>
  <c r="AK633" i="5"/>
  <c r="AJ633" i="5"/>
  <c r="AI633" i="5"/>
  <c r="AA633" i="5"/>
  <c r="Z633" i="5"/>
  <c r="Y633" i="5"/>
  <c r="X633" i="5"/>
  <c r="W633" i="5"/>
  <c r="V633" i="5"/>
  <c r="U633" i="5"/>
  <c r="T633" i="5"/>
  <c r="AA632" i="5"/>
  <c r="Z632" i="5"/>
  <c r="Y632" i="5"/>
  <c r="X632" i="5"/>
  <c r="W632" i="5"/>
  <c r="V632" i="5"/>
  <c r="U632" i="5"/>
  <c r="T632" i="5"/>
  <c r="AA631" i="5"/>
  <c r="Z631" i="5"/>
  <c r="Y631" i="5"/>
  <c r="X631" i="5"/>
  <c r="W631" i="5"/>
  <c r="V631" i="5"/>
  <c r="U631" i="5"/>
  <c r="T631" i="5"/>
  <c r="AA630" i="5"/>
  <c r="Z630" i="5"/>
  <c r="Y630" i="5"/>
  <c r="X630" i="5"/>
  <c r="W630" i="5"/>
  <c r="V630" i="5"/>
  <c r="U630" i="5"/>
  <c r="T630" i="5"/>
  <c r="BD629" i="5"/>
  <c r="BC629" i="5"/>
  <c r="BB629" i="5"/>
  <c r="BA629" i="5"/>
  <c r="AZ629" i="5"/>
  <c r="AY629" i="5"/>
  <c r="AX629" i="5"/>
  <c r="AW629" i="5"/>
  <c r="AP629" i="5"/>
  <c r="AO629" i="5"/>
  <c r="AN629" i="5"/>
  <c r="AM629" i="5"/>
  <c r="AL629" i="5"/>
  <c r="AK629" i="5"/>
  <c r="AJ629" i="5"/>
  <c r="AI629" i="5"/>
  <c r="AA629" i="5"/>
  <c r="Z629" i="5"/>
  <c r="Y629" i="5"/>
  <c r="X629" i="5"/>
  <c r="W629" i="5"/>
  <c r="V629" i="5"/>
  <c r="U629" i="5"/>
  <c r="T629" i="5"/>
  <c r="BD628" i="5"/>
  <c r="BC628" i="5"/>
  <c r="BB628" i="5"/>
  <c r="BA628" i="5"/>
  <c r="AZ628" i="5"/>
  <c r="AY628" i="5"/>
  <c r="AX628" i="5"/>
  <c r="AW628" i="5"/>
  <c r="AP628" i="5"/>
  <c r="AO628" i="5"/>
  <c r="AN628" i="5"/>
  <c r="AM628" i="5"/>
  <c r="AL628" i="5"/>
  <c r="AK628" i="5"/>
  <c r="AJ628" i="5"/>
  <c r="AI628" i="5"/>
  <c r="AA628" i="5"/>
  <c r="Z628" i="5"/>
  <c r="Y628" i="5"/>
  <c r="X628" i="5"/>
  <c r="W628" i="5"/>
  <c r="V628" i="5"/>
  <c r="U628" i="5"/>
  <c r="T628" i="5"/>
  <c r="BD627" i="5"/>
  <c r="BC627" i="5"/>
  <c r="BB627" i="5"/>
  <c r="BA627" i="5"/>
  <c r="AZ627" i="5"/>
  <c r="AY627" i="5"/>
  <c r="AX627" i="5"/>
  <c r="AW627" i="5"/>
  <c r="AP627" i="5"/>
  <c r="AO627" i="5"/>
  <c r="AN627" i="5"/>
  <c r="AM627" i="5"/>
  <c r="AL627" i="5"/>
  <c r="AK627" i="5"/>
  <c r="AJ627" i="5"/>
  <c r="AI627" i="5"/>
  <c r="AA627" i="5"/>
  <c r="Z627" i="5"/>
  <c r="Y627" i="5"/>
  <c r="X627" i="5"/>
  <c r="W627" i="5"/>
  <c r="V627" i="5"/>
  <c r="U627" i="5"/>
  <c r="T627" i="5"/>
  <c r="BD626" i="5"/>
  <c r="BC626" i="5"/>
  <c r="BB626" i="5"/>
  <c r="BA626" i="5"/>
  <c r="AZ626" i="5"/>
  <c r="AY626" i="5"/>
  <c r="AX626" i="5"/>
  <c r="AW626" i="5"/>
  <c r="AP626" i="5"/>
  <c r="AO626" i="5"/>
  <c r="AN626" i="5"/>
  <c r="AM626" i="5"/>
  <c r="AL626" i="5"/>
  <c r="AK626" i="5"/>
  <c r="AJ626" i="5"/>
  <c r="AI626" i="5"/>
  <c r="AA626" i="5"/>
  <c r="Z626" i="5"/>
  <c r="Y626" i="5"/>
  <c r="X626" i="5"/>
  <c r="W626" i="5"/>
  <c r="V626" i="5"/>
  <c r="U626" i="5"/>
  <c r="T626" i="5"/>
  <c r="BD625" i="5"/>
  <c r="BC625" i="5"/>
  <c r="BB625" i="5"/>
  <c r="BA625" i="5"/>
  <c r="AZ625" i="5"/>
  <c r="AY625" i="5"/>
  <c r="AX625" i="5"/>
  <c r="AW625" i="5"/>
  <c r="AP625" i="5"/>
  <c r="AO625" i="5"/>
  <c r="AN625" i="5"/>
  <c r="AM625" i="5"/>
  <c r="AL625" i="5"/>
  <c r="AK625" i="5"/>
  <c r="AJ625" i="5"/>
  <c r="AI625" i="5"/>
  <c r="AA625" i="5"/>
  <c r="Z625" i="5"/>
  <c r="Y625" i="5"/>
  <c r="X625" i="5"/>
  <c r="W625" i="5"/>
  <c r="V625" i="5"/>
  <c r="U625" i="5"/>
  <c r="T625" i="5"/>
  <c r="BD624" i="5"/>
  <c r="BC624" i="5"/>
  <c r="BB624" i="5"/>
  <c r="BA624" i="5"/>
  <c r="AZ624" i="5"/>
  <c r="AY624" i="5"/>
  <c r="AX624" i="5"/>
  <c r="AW624" i="5"/>
  <c r="AP624" i="5"/>
  <c r="AO624" i="5"/>
  <c r="AN624" i="5"/>
  <c r="AM624" i="5"/>
  <c r="AL624" i="5"/>
  <c r="AK624" i="5"/>
  <c r="AJ624" i="5"/>
  <c r="AI624" i="5"/>
  <c r="AA624" i="5"/>
  <c r="Z624" i="5"/>
  <c r="Y624" i="5"/>
  <c r="X624" i="5"/>
  <c r="W624" i="5"/>
  <c r="V624" i="5"/>
  <c r="U624" i="5"/>
  <c r="T624" i="5"/>
  <c r="BD623" i="5"/>
  <c r="BC623" i="5"/>
  <c r="BB623" i="5"/>
  <c r="BA623" i="5"/>
  <c r="AZ623" i="5"/>
  <c r="AY623" i="5"/>
  <c r="AX623" i="5"/>
  <c r="AW623" i="5"/>
  <c r="AP623" i="5"/>
  <c r="AO623" i="5"/>
  <c r="AN623" i="5"/>
  <c r="AM623" i="5"/>
  <c r="AL623" i="5"/>
  <c r="AK623" i="5"/>
  <c r="AJ623" i="5"/>
  <c r="AI623" i="5"/>
  <c r="AA623" i="5"/>
  <c r="Z623" i="5"/>
  <c r="Y623" i="5"/>
  <c r="X623" i="5"/>
  <c r="W623" i="5"/>
  <c r="V623" i="5"/>
  <c r="U623" i="5"/>
  <c r="T623" i="5"/>
  <c r="BD622" i="5"/>
  <c r="BC622" i="5"/>
  <c r="BB622" i="5"/>
  <c r="BA622" i="5"/>
  <c r="AZ622" i="5"/>
  <c r="AY622" i="5"/>
  <c r="AX622" i="5"/>
  <c r="AW622" i="5"/>
  <c r="AP622" i="5"/>
  <c r="AO622" i="5"/>
  <c r="AN622" i="5"/>
  <c r="AM622" i="5"/>
  <c r="AL622" i="5"/>
  <c r="AK622" i="5"/>
  <c r="AJ622" i="5"/>
  <c r="AI622" i="5"/>
  <c r="AA622" i="5"/>
  <c r="Z622" i="5"/>
  <c r="Y622" i="5"/>
  <c r="X622" i="5"/>
  <c r="W622" i="5"/>
  <c r="V622" i="5"/>
  <c r="U622" i="5"/>
  <c r="T622" i="5"/>
  <c r="BD621" i="5"/>
  <c r="BC621" i="5"/>
  <c r="BB621" i="5"/>
  <c r="BA621" i="5"/>
  <c r="AZ621" i="5"/>
  <c r="AY621" i="5"/>
  <c r="AX621" i="5"/>
  <c r="AW621" i="5"/>
  <c r="AP621" i="5"/>
  <c r="AO621" i="5"/>
  <c r="AN621" i="5"/>
  <c r="AM621" i="5"/>
  <c r="AL621" i="5"/>
  <c r="AK621" i="5"/>
  <c r="AJ621" i="5"/>
  <c r="AI621" i="5"/>
  <c r="AA621" i="5"/>
  <c r="Z621" i="5"/>
  <c r="Y621" i="5"/>
  <c r="X621" i="5"/>
  <c r="W621" i="5"/>
  <c r="V621" i="5"/>
  <c r="U621" i="5"/>
  <c r="T621" i="5"/>
  <c r="BD620" i="5"/>
  <c r="BC620" i="5"/>
  <c r="BB620" i="5"/>
  <c r="BA620" i="5"/>
  <c r="AZ620" i="5"/>
  <c r="AY620" i="5"/>
  <c r="AX620" i="5"/>
  <c r="AW620" i="5"/>
  <c r="AP620" i="5"/>
  <c r="AO620" i="5"/>
  <c r="AN620" i="5"/>
  <c r="AM620" i="5"/>
  <c r="AL620" i="5"/>
  <c r="AK620" i="5"/>
  <c r="AJ620" i="5"/>
  <c r="AI620" i="5"/>
  <c r="AA620" i="5"/>
  <c r="Z620" i="5"/>
  <c r="Y620" i="5"/>
  <c r="X620" i="5"/>
  <c r="W620" i="5"/>
  <c r="V620" i="5"/>
  <c r="U620" i="5"/>
  <c r="T620" i="5"/>
  <c r="BD619" i="5"/>
  <c r="BC619" i="5"/>
  <c r="BB619" i="5"/>
  <c r="BA619" i="5"/>
  <c r="AZ619" i="5"/>
  <c r="AY619" i="5"/>
  <c r="AX619" i="5"/>
  <c r="AW619" i="5"/>
  <c r="AP619" i="5"/>
  <c r="AO619" i="5"/>
  <c r="AN619" i="5"/>
  <c r="AM619" i="5"/>
  <c r="AL619" i="5"/>
  <c r="AK619" i="5"/>
  <c r="AJ619" i="5"/>
  <c r="AI619" i="5"/>
  <c r="AA619" i="5"/>
  <c r="Z619" i="5"/>
  <c r="Y619" i="5"/>
  <c r="X619" i="5"/>
  <c r="W619" i="5"/>
  <c r="V619" i="5"/>
  <c r="U619" i="5"/>
  <c r="T619" i="5"/>
  <c r="BD618" i="5"/>
  <c r="BC618" i="5"/>
  <c r="BB618" i="5"/>
  <c r="BA618" i="5"/>
  <c r="AZ618" i="5"/>
  <c r="AY618" i="5"/>
  <c r="AX618" i="5"/>
  <c r="AW618" i="5"/>
  <c r="AP618" i="5"/>
  <c r="AO618" i="5"/>
  <c r="AN618" i="5"/>
  <c r="AM618" i="5"/>
  <c r="AL618" i="5"/>
  <c r="AK618" i="5"/>
  <c r="AJ618" i="5"/>
  <c r="AI618" i="5"/>
  <c r="AA618" i="5"/>
  <c r="Z618" i="5"/>
  <c r="Y618" i="5"/>
  <c r="X618" i="5"/>
  <c r="W618" i="5"/>
  <c r="V618" i="5"/>
  <c r="U618" i="5"/>
  <c r="T618" i="5"/>
  <c r="BD617" i="5"/>
  <c r="BC617" i="5"/>
  <c r="BB617" i="5"/>
  <c r="BA617" i="5"/>
  <c r="AZ617" i="5"/>
  <c r="AY617" i="5"/>
  <c r="AX617" i="5"/>
  <c r="AW617" i="5"/>
  <c r="AP617" i="5"/>
  <c r="AO617" i="5"/>
  <c r="AN617" i="5"/>
  <c r="AM617" i="5"/>
  <c r="AL617" i="5"/>
  <c r="AK617" i="5"/>
  <c r="AJ617" i="5"/>
  <c r="AI617" i="5"/>
  <c r="AA617" i="5"/>
  <c r="Z617" i="5"/>
  <c r="Y617" i="5"/>
  <c r="X617" i="5"/>
  <c r="W617" i="5"/>
  <c r="V617" i="5"/>
  <c r="U617" i="5"/>
  <c r="T617" i="5"/>
  <c r="BD616" i="5"/>
  <c r="BC616" i="5"/>
  <c r="BB616" i="5"/>
  <c r="BA616" i="5"/>
  <c r="AZ616" i="5"/>
  <c r="AY616" i="5"/>
  <c r="AX616" i="5"/>
  <c r="AW616" i="5"/>
  <c r="AP616" i="5"/>
  <c r="AO616" i="5"/>
  <c r="AN616" i="5"/>
  <c r="AM616" i="5"/>
  <c r="AL616" i="5"/>
  <c r="AK616" i="5"/>
  <c r="AJ616" i="5"/>
  <c r="AI616" i="5"/>
  <c r="AA616" i="5"/>
  <c r="Z616" i="5"/>
  <c r="Y616" i="5"/>
  <c r="X616" i="5"/>
  <c r="W616" i="5"/>
  <c r="V616" i="5"/>
  <c r="U616" i="5"/>
  <c r="T616" i="5"/>
  <c r="BD615" i="5"/>
  <c r="BC615" i="5"/>
  <c r="BB615" i="5"/>
  <c r="BA615" i="5"/>
  <c r="AZ615" i="5"/>
  <c r="AY615" i="5"/>
  <c r="AX615" i="5"/>
  <c r="AW615" i="5"/>
  <c r="AP615" i="5"/>
  <c r="AO615" i="5"/>
  <c r="AN615" i="5"/>
  <c r="AM615" i="5"/>
  <c r="AL615" i="5"/>
  <c r="AK615" i="5"/>
  <c r="AJ615" i="5"/>
  <c r="AI615" i="5"/>
  <c r="AA615" i="5"/>
  <c r="Z615" i="5"/>
  <c r="Y615" i="5"/>
  <c r="X615" i="5"/>
  <c r="W615" i="5"/>
  <c r="V615" i="5"/>
  <c r="U615" i="5"/>
  <c r="T615" i="5"/>
  <c r="BD614" i="5"/>
  <c r="BC614" i="5"/>
  <c r="BB614" i="5"/>
  <c r="BA614" i="5"/>
  <c r="AZ614" i="5"/>
  <c r="AY614" i="5"/>
  <c r="AX614" i="5"/>
  <c r="AW614" i="5"/>
  <c r="AP614" i="5"/>
  <c r="AO614" i="5"/>
  <c r="AN614" i="5"/>
  <c r="AM614" i="5"/>
  <c r="AL614" i="5"/>
  <c r="AK614" i="5"/>
  <c r="AJ614" i="5"/>
  <c r="AI614" i="5"/>
  <c r="AA614" i="5"/>
  <c r="Z614" i="5"/>
  <c r="Y614" i="5"/>
  <c r="X614" i="5"/>
  <c r="W614" i="5"/>
  <c r="V614" i="5"/>
  <c r="U614" i="5"/>
  <c r="T614" i="5"/>
  <c r="BD613" i="5"/>
  <c r="BC613" i="5"/>
  <c r="BB613" i="5"/>
  <c r="BA613" i="5"/>
  <c r="AZ613" i="5"/>
  <c r="AY613" i="5"/>
  <c r="AX613" i="5"/>
  <c r="AW613" i="5"/>
  <c r="AP613" i="5"/>
  <c r="AO613" i="5"/>
  <c r="AN613" i="5"/>
  <c r="AM613" i="5"/>
  <c r="AL613" i="5"/>
  <c r="AK613" i="5"/>
  <c r="AJ613" i="5"/>
  <c r="AI613" i="5"/>
  <c r="AA613" i="5"/>
  <c r="Z613" i="5"/>
  <c r="Y613" i="5"/>
  <c r="X613" i="5"/>
  <c r="W613" i="5"/>
  <c r="V613" i="5"/>
  <c r="U613" i="5"/>
  <c r="T613" i="5"/>
  <c r="BD612" i="5"/>
  <c r="BC612" i="5"/>
  <c r="BB612" i="5"/>
  <c r="BA612" i="5"/>
  <c r="AZ612" i="5"/>
  <c r="AY612" i="5"/>
  <c r="AX612" i="5"/>
  <c r="AW612" i="5"/>
  <c r="AP612" i="5"/>
  <c r="AO612" i="5"/>
  <c r="AN612" i="5"/>
  <c r="AM612" i="5"/>
  <c r="AL612" i="5"/>
  <c r="AK612" i="5"/>
  <c r="AJ612" i="5"/>
  <c r="AI612" i="5"/>
  <c r="AA612" i="5"/>
  <c r="Z612" i="5"/>
  <c r="Y612" i="5"/>
  <c r="X612" i="5"/>
  <c r="W612" i="5"/>
  <c r="V612" i="5"/>
  <c r="U612" i="5"/>
  <c r="T612" i="5"/>
  <c r="BD611" i="5"/>
  <c r="BC611" i="5"/>
  <c r="BB611" i="5"/>
  <c r="BA611" i="5"/>
  <c r="AZ611" i="5"/>
  <c r="AY611" i="5"/>
  <c r="AX611" i="5"/>
  <c r="AW611" i="5"/>
  <c r="AP611" i="5"/>
  <c r="AO611" i="5"/>
  <c r="AN611" i="5"/>
  <c r="AM611" i="5"/>
  <c r="AL611" i="5"/>
  <c r="AK611" i="5"/>
  <c r="AJ611" i="5"/>
  <c r="AI611" i="5"/>
  <c r="AA611" i="5"/>
  <c r="Z611" i="5"/>
  <c r="Y611" i="5"/>
  <c r="X611" i="5"/>
  <c r="W611" i="5"/>
  <c r="V611" i="5"/>
  <c r="U611" i="5"/>
  <c r="T611" i="5"/>
  <c r="BD610" i="5"/>
  <c r="BC610" i="5"/>
  <c r="BB610" i="5"/>
  <c r="BA610" i="5"/>
  <c r="AZ610" i="5"/>
  <c r="AY610" i="5"/>
  <c r="AX610" i="5"/>
  <c r="AW610" i="5"/>
  <c r="AP610" i="5"/>
  <c r="AO610" i="5"/>
  <c r="AN610" i="5"/>
  <c r="AM610" i="5"/>
  <c r="AL610" i="5"/>
  <c r="AK610" i="5"/>
  <c r="AJ610" i="5"/>
  <c r="AI610" i="5"/>
  <c r="AA610" i="5"/>
  <c r="Z610" i="5"/>
  <c r="Y610" i="5"/>
  <c r="X610" i="5"/>
  <c r="W610" i="5"/>
  <c r="V610" i="5"/>
  <c r="U610" i="5"/>
  <c r="T610" i="5"/>
  <c r="BD609" i="5"/>
  <c r="BC609" i="5"/>
  <c r="BB609" i="5"/>
  <c r="BA609" i="5"/>
  <c r="AZ609" i="5"/>
  <c r="AY609" i="5"/>
  <c r="AX609" i="5"/>
  <c r="AW609" i="5"/>
  <c r="AP609" i="5"/>
  <c r="AO609" i="5"/>
  <c r="AN609" i="5"/>
  <c r="AM609" i="5"/>
  <c r="AL609" i="5"/>
  <c r="AK609" i="5"/>
  <c r="AJ609" i="5"/>
  <c r="AI609" i="5"/>
  <c r="AA609" i="5"/>
  <c r="Z609" i="5"/>
  <c r="Y609" i="5"/>
  <c r="X609" i="5"/>
  <c r="W609" i="5"/>
  <c r="V609" i="5"/>
  <c r="U609" i="5"/>
  <c r="T609" i="5"/>
  <c r="BD608" i="5"/>
  <c r="BC608" i="5"/>
  <c r="BB608" i="5"/>
  <c r="BA608" i="5"/>
  <c r="AZ608" i="5"/>
  <c r="AY608" i="5"/>
  <c r="AX608" i="5"/>
  <c r="AW608" i="5"/>
  <c r="AP608" i="5"/>
  <c r="AO608" i="5"/>
  <c r="AN608" i="5"/>
  <c r="AM608" i="5"/>
  <c r="AL608" i="5"/>
  <c r="AK608" i="5"/>
  <c r="AJ608" i="5"/>
  <c r="AI608" i="5"/>
  <c r="AA608" i="5"/>
  <c r="Z608" i="5"/>
  <c r="Y608" i="5"/>
  <c r="X608" i="5"/>
  <c r="W608" i="5"/>
  <c r="V608" i="5"/>
  <c r="U608" i="5"/>
  <c r="T608" i="5"/>
  <c r="BD607" i="5"/>
  <c r="BC607" i="5"/>
  <c r="BB607" i="5"/>
  <c r="BA607" i="5"/>
  <c r="AZ607" i="5"/>
  <c r="AY607" i="5"/>
  <c r="AX607" i="5"/>
  <c r="AW607" i="5"/>
  <c r="AP607" i="5"/>
  <c r="AO607" i="5"/>
  <c r="AN607" i="5"/>
  <c r="AM607" i="5"/>
  <c r="AL607" i="5"/>
  <c r="AK607" i="5"/>
  <c r="AJ607" i="5"/>
  <c r="AI607" i="5"/>
  <c r="AA607" i="5"/>
  <c r="Z607" i="5"/>
  <c r="Y607" i="5"/>
  <c r="X607" i="5"/>
  <c r="W607" i="5"/>
  <c r="V607" i="5"/>
  <c r="U607" i="5"/>
  <c r="T607" i="5"/>
  <c r="BD606" i="5"/>
  <c r="BC606" i="5"/>
  <c r="BB606" i="5"/>
  <c r="BA606" i="5"/>
  <c r="AZ606" i="5"/>
  <c r="AY606" i="5"/>
  <c r="AX606" i="5"/>
  <c r="AW606" i="5"/>
  <c r="AP606" i="5"/>
  <c r="AO606" i="5"/>
  <c r="AN606" i="5"/>
  <c r="AM606" i="5"/>
  <c r="AL606" i="5"/>
  <c r="AK606" i="5"/>
  <c r="AJ606" i="5"/>
  <c r="AI606" i="5"/>
  <c r="AA606" i="5"/>
  <c r="Z606" i="5"/>
  <c r="Y606" i="5"/>
  <c r="X606" i="5"/>
  <c r="W606" i="5"/>
  <c r="V606" i="5"/>
  <c r="U606" i="5"/>
  <c r="T606" i="5"/>
  <c r="BD605" i="5"/>
  <c r="BC605" i="5"/>
  <c r="BB605" i="5"/>
  <c r="BA605" i="5"/>
  <c r="AZ605" i="5"/>
  <c r="AY605" i="5"/>
  <c r="AX605" i="5"/>
  <c r="AW605" i="5"/>
  <c r="AP605" i="5"/>
  <c r="AO605" i="5"/>
  <c r="AN605" i="5"/>
  <c r="AM605" i="5"/>
  <c r="AL605" i="5"/>
  <c r="AK605" i="5"/>
  <c r="AJ605" i="5"/>
  <c r="AI605" i="5"/>
  <c r="AA605" i="5"/>
  <c r="Z605" i="5"/>
  <c r="Y605" i="5"/>
  <c r="X605" i="5"/>
  <c r="W605" i="5"/>
  <c r="V605" i="5"/>
  <c r="U605" i="5"/>
  <c r="T605" i="5"/>
  <c r="BD604" i="5"/>
  <c r="BC604" i="5"/>
  <c r="BB604" i="5"/>
  <c r="BA604" i="5"/>
  <c r="AZ604" i="5"/>
  <c r="AY604" i="5"/>
  <c r="AX604" i="5"/>
  <c r="AW604" i="5"/>
  <c r="AP604" i="5"/>
  <c r="AO604" i="5"/>
  <c r="AN604" i="5"/>
  <c r="AM604" i="5"/>
  <c r="AL604" i="5"/>
  <c r="AK604" i="5"/>
  <c r="AJ604" i="5"/>
  <c r="AI604" i="5"/>
  <c r="AA604" i="5"/>
  <c r="Z604" i="5"/>
  <c r="Y604" i="5"/>
  <c r="X604" i="5"/>
  <c r="W604" i="5"/>
  <c r="V604" i="5"/>
  <c r="U604" i="5"/>
  <c r="T604" i="5"/>
  <c r="BD603" i="5"/>
  <c r="BC603" i="5"/>
  <c r="BB603" i="5"/>
  <c r="BA603" i="5"/>
  <c r="AZ603" i="5"/>
  <c r="AY603" i="5"/>
  <c r="AX603" i="5"/>
  <c r="AW603" i="5"/>
  <c r="AP603" i="5"/>
  <c r="AO603" i="5"/>
  <c r="AN603" i="5"/>
  <c r="AM603" i="5"/>
  <c r="AL603" i="5"/>
  <c r="AK603" i="5"/>
  <c r="AJ603" i="5"/>
  <c r="AI603" i="5"/>
  <c r="AA603" i="5"/>
  <c r="Z603" i="5"/>
  <c r="Y603" i="5"/>
  <c r="X603" i="5"/>
  <c r="W603" i="5"/>
  <c r="V603" i="5"/>
  <c r="U603" i="5"/>
  <c r="T603" i="5"/>
  <c r="BD602" i="5"/>
  <c r="BC602" i="5"/>
  <c r="BB602" i="5"/>
  <c r="BA602" i="5"/>
  <c r="AZ602" i="5"/>
  <c r="AY602" i="5"/>
  <c r="AX602" i="5"/>
  <c r="AW602" i="5"/>
  <c r="AP602" i="5"/>
  <c r="AO602" i="5"/>
  <c r="AN602" i="5"/>
  <c r="AM602" i="5"/>
  <c r="AL602" i="5"/>
  <c r="AK602" i="5"/>
  <c r="AJ602" i="5"/>
  <c r="AI602" i="5"/>
  <c r="AA602" i="5"/>
  <c r="Z602" i="5"/>
  <c r="Y602" i="5"/>
  <c r="X602" i="5"/>
  <c r="W602" i="5"/>
  <c r="V602" i="5"/>
  <c r="U602" i="5"/>
  <c r="T602" i="5"/>
  <c r="BD601" i="5"/>
  <c r="BC601" i="5"/>
  <c r="BB601" i="5"/>
  <c r="BA601" i="5"/>
  <c r="AZ601" i="5"/>
  <c r="AY601" i="5"/>
  <c r="AX601" i="5"/>
  <c r="AW601" i="5"/>
  <c r="AP601" i="5"/>
  <c r="AO601" i="5"/>
  <c r="AN601" i="5"/>
  <c r="AM601" i="5"/>
  <c r="AL601" i="5"/>
  <c r="AK601" i="5"/>
  <c r="AJ601" i="5"/>
  <c r="AI601" i="5"/>
  <c r="AA601" i="5"/>
  <c r="Z601" i="5"/>
  <c r="Y601" i="5"/>
  <c r="X601" i="5"/>
  <c r="W601" i="5"/>
  <c r="V601" i="5"/>
  <c r="U601" i="5"/>
  <c r="T601" i="5"/>
  <c r="BD600" i="5"/>
  <c r="BC600" i="5"/>
  <c r="BB600" i="5"/>
  <c r="BA600" i="5"/>
  <c r="AZ600" i="5"/>
  <c r="AY600" i="5"/>
  <c r="AX600" i="5"/>
  <c r="AW600" i="5"/>
  <c r="AP600" i="5"/>
  <c r="AO600" i="5"/>
  <c r="AN600" i="5"/>
  <c r="AM600" i="5"/>
  <c r="AL600" i="5"/>
  <c r="AK600" i="5"/>
  <c r="AJ600" i="5"/>
  <c r="AI600" i="5"/>
  <c r="AA600" i="5"/>
  <c r="Z600" i="5"/>
  <c r="Y600" i="5"/>
  <c r="X600" i="5"/>
  <c r="W600" i="5"/>
  <c r="V600" i="5"/>
  <c r="U600" i="5"/>
  <c r="T600" i="5"/>
  <c r="BD599" i="5"/>
  <c r="BC599" i="5"/>
  <c r="BB599" i="5"/>
  <c r="BA599" i="5"/>
  <c r="AZ599" i="5"/>
  <c r="AY599" i="5"/>
  <c r="AX599" i="5"/>
  <c r="AW599" i="5"/>
  <c r="AP599" i="5"/>
  <c r="AO599" i="5"/>
  <c r="AN599" i="5"/>
  <c r="AM599" i="5"/>
  <c r="AL599" i="5"/>
  <c r="AK599" i="5"/>
  <c r="AJ599" i="5"/>
  <c r="AI599" i="5"/>
  <c r="AA599" i="5"/>
  <c r="Z599" i="5"/>
  <c r="Y599" i="5"/>
  <c r="X599" i="5"/>
  <c r="W599" i="5"/>
  <c r="V599" i="5"/>
  <c r="U599" i="5"/>
  <c r="T599" i="5"/>
  <c r="BD598" i="5"/>
  <c r="BC598" i="5"/>
  <c r="BB598" i="5"/>
  <c r="BA598" i="5"/>
  <c r="AZ598" i="5"/>
  <c r="AY598" i="5"/>
  <c r="AX598" i="5"/>
  <c r="AW598" i="5"/>
  <c r="AP598" i="5"/>
  <c r="AO598" i="5"/>
  <c r="AN598" i="5"/>
  <c r="AM598" i="5"/>
  <c r="AL598" i="5"/>
  <c r="AK598" i="5"/>
  <c r="AJ598" i="5"/>
  <c r="AI598" i="5"/>
  <c r="AA598" i="5"/>
  <c r="Z598" i="5"/>
  <c r="Y598" i="5"/>
  <c r="X598" i="5"/>
  <c r="W598" i="5"/>
  <c r="V598" i="5"/>
  <c r="U598" i="5"/>
  <c r="T598" i="5"/>
  <c r="BD597" i="5"/>
  <c r="BC597" i="5"/>
  <c r="BB597" i="5"/>
  <c r="BA597" i="5"/>
  <c r="AZ597" i="5"/>
  <c r="AY597" i="5"/>
  <c r="AX597" i="5"/>
  <c r="AW597" i="5"/>
  <c r="AP597" i="5"/>
  <c r="AO597" i="5"/>
  <c r="AN597" i="5"/>
  <c r="AM597" i="5"/>
  <c r="AL597" i="5"/>
  <c r="AK597" i="5"/>
  <c r="AJ597" i="5"/>
  <c r="AI597" i="5"/>
  <c r="AA597" i="5"/>
  <c r="Z597" i="5"/>
  <c r="Y597" i="5"/>
  <c r="X597" i="5"/>
  <c r="W597" i="5"/>
  <c r="V597" i="5"/>
  <c r="U597" i="5"/>
  <c r="T597" i="5"/>
  <c r="BD596" i="5"/>
  <c r="BC596" i="5"/>
  <c r="BB596" i="5"/>
  <c r="BA596" i="5"/>
  <c r="AZ596" i="5"/>
  <c r="AY596" i="5"/>
  <c r="AX596" i="5"/>
  <c r="AW596" i="5"/>
  <c r="AP596" i="5"/>
  <c r="AO596" i="5"/>
  <c r="AN596" i="5"/>
  <c r="AM596" i="5"/>
  <c r="AL596" i="5"/>
  <c r="AK596" i="5"/>
  <c r="AJ596" i="5"/>
  <c r="AI596" i="5"/>
  <c r="AA596" i="5"/>
  <c r="Z596" i="5"/>
  <c r="Y596" i="5"/>
  <c r="X596" i="5"/>
  <c r="W596" i="5"/>
  <c r="V596" i="5"/>
  <c r="U596" i="5"/>
  <c r="T596" i="5"/>
  <c r="BD595" i="5"/>
  <c r="BC595" i="5"/>
  <c r="BB595" i="5"/>
  <c r="BA595" i="5"/>
  <c r="AZ595" i="5"/>
  <c r="AY595" i="5"/>
  <c r="AX595" i="5"/>
  <c r="AW595" i="5"/>
  <c r="AP595" i="5"/>
  <c r="AO595" i="5"/>
  <c r="AN595" i="5"/>
  <c r="AM595" i="5"/>
  <c r="AL595" i="5"/>
  <c r="AK595" i="5"/>
  <c r="AJ595" i="5"/>
  <c r="AI595" i="5"/>
  <c r="AA595" i="5"/>
  <c r="Z595" i="5"/>
  <c r="Y595" i="5"/>
  <c r="X595" i="5"/>
  <c r="W595" i="5"/>
  <c r="V595" i="5"/>
  <c r="U595" i="5"/>
  <c r="T595" i="5"/>
  <c r="BD594" i="5"/>
  <c r="BC594" i="5"/>
  <c r="BB594" i="5"/>
  <c r="BA594" i="5"/>
  <c r="AZ594" i="5"/>
  <c r="AY594" i="5"/>
  <c r="AX594" i="5"/>
  <c r="AW594" i="5"/>
  <c r="AP594" i="5"/>
  <c r="AO594" i="5"/>
  <c r="AN594" i="5"/>
  <c r="AM594" i="5"/>
  <c r="AL594" i="5"/>
  <c r="AK594" i="5"/>
  <c r="AJ594" i="5"/>
  <c r="AI594" i="5"/>
  <c r="AA594" i="5"/>
  <c r="Z594" i="5"/>
  <c r="Y594" i="5"/>
  <c r="X594" i="5"/>
  <c r="W594" i="5"/>
  <c r="V594" i="5"/>
  <c r="U594" i="5"/>
  <c r="T594" i="5"/>
  <c r="BD593" i="5"/>
  <c r="BC593" i="5"/>
  <c r="BB593" i="5"/>
  <c r="BA593" i="5"/>
  <c r="AZ593" i="5"/>
  <c r="AY593" i="5"/>
  <c r="AX593" i="5"/>
  <c r="AW593" i="5"/>
  <c r="AP593" i="5"/>
  <c r="AO593" i="5"/>
  <c r="AN593" i="5"/>
  <c r="AM593" i="5"/>
  <c r="AL593" i="5"/>
  <c r="AK593" i="5"/>
  <c r="AJ593" i="5"/>
  <c r="AI593" i="5"/>
  <c r="AA593" i="5"/>
  <c r="Z593" i="5"/>
  <c r="Y593" i="5"/>
  <c r="X593" i="5"/>
  <c r="W593" i="5"/>
  <c r="V593" i="5"/>
  <c r="U593" i="5"/>
  <c r="T593" i="5"/>
  <c r="BD592" i="5"/>
  <c r="BC592" i="5"/>
  <c r="BB592" i="5"/>
  <c r="BA592" i="5"/>
  <c r="AZ592" i="5"/>
  <c r="AY592" i="5"/>
  <c r="AX592" i="5"/>
  <c r="AW592" i="5"/>
  <c r="AP592" i="5"/>
  <c r="AO592" i="5"/>
  <c r="AN592" i="5"/>
  <c r="AM592" i="5"/>
  <c r="AL592" i="5"/>
  <c r="AK592" i="5"/>
  <c r="AJ592" i="5"/>
  <c r="AI592" i="5"/>
  <c r="AA592" i="5"/>
  <c r="Z592" i="5"/>
  <c r="Y592" i="5"/>
  <c r="X592" i="5"/>
  <c r="W592" i="5"/>
  <c r="V592" i="5"/>
  <c r="U592" i="5"/>
  <c r="T592" i="5"/>
  <c r="BD591" i="5"/>
  <c r="BC591" i="5"/>
  <c r="BB591" i="5"/>
  <c r="BA591" i="5"/>
  <c r="AZ591" i="5"/>
  <c r="AY591" i="5"/>
  <c r="AX591" i="5"/>
  <c r="AW591" i="5"/>
  <c r="AP591" i="5"/>
  <c r="AO591" i="5"/>
  <c r="AN591" i="5"/>
  <c r="AM591" i="5"/>
  <c r="AL591" i="5"/>
  <c r="AK591" i="5"/>
  <c r="AJ591" i="5"/>
  <c r="AI591" i="5"/>
  <c r="AA591" i="5"/>
  <c r="Z591" i="5"/>
  <c r="Y591" i="5"/>
  <c r="X591" i="5"/>
  <c r="W591" i="5"/>
  <c r="V591" i="5"/>
  <c r="U591" i="5"/>
  <c r="T591" i="5"/>
  <c r="BD590" i="5"/>
  <c r="BC590" i="5"/>
  <c r="BB590" i="5"/>
  <c r="BA590" i="5"/>
  <c r="AZ590" i="5"/>
  <c r="AY590" i="5"/>
  <c r="AX590" i="5"/>
  <c r="AW590" i="5"/>
  <c r="AP590" i="5"/>
  <c r="AO590" i="5"/>
  <c r="AN590" i="5"/>
  <c r="AM590" i="5"/>
  <c r="AL590" i="5"/>
  <c r="AK590" i="5"/>
  <c r="AJ590" i="5"/>
  <c r="AI590" i="5"/>
  <c r="AA590" i="5"/>
  <c r="Z590" i="5"/>
  <c r="Y590" i="5"/>
  <c r="X590" i="5"/>
  <c r="W590" i="5"/>
  <c r="V590" i="5"/>
  <c r="U590" i="5"/>
  <c r="T590" i="5"/>
  <c r="BD589" i="5"/>
  <c r="BC589" i="5"/>
  <c r="BB589" i="5"/>
  <c r="BA589" i="5"/>
  <c r="AZ589" i="5"/>
  <c r="AY589" i="5"/>
  <c r="AX589" i="5"/>
  <c r="AW589" i="5"/>
  <c r="AP589" i="5"/>
  <c r="AO589" i="5"/>
  <c r="AN589" i="5"/>
  <c r="AM589" i="5"/>
  <c r="AL589" i="5"/>
  <c r="AK589" i="5"/>
  <c r="AJ589" i="5"/>
  <c r="AI589" i="5"/>
  <c r="AA589" i="5"/>
  <c r="Z589" i="5"/>
  <c r="Y589" i="5"/>
  <c r="X589" i="5"/>
  <c r="W589" i="5"/>
  <c r="V589" i="5"/>
  <c r="U589" i="5"/>
  <c r="T589" i="5"/>
  <c r="BD588" i="5"/>
  <c r="BC588" i="5"/>
  <c r="BB588" i="5"/>
  <c r="BA588" i="5"/>
  <c r="AZ588" i="5"/>
  <c r="AY588" i="5"/>
  <c r="AX588" i="5"/>
  <c r="AW588" i="5"/>
  <c r="AP588" i="5"/>
  <c r="AO588" i="5"/>
  <c r="AN588" i="5"/>
  <c r="AM588" i="5"/>
  <c r="AL588" i="5"/>
  <c r="AK588" i="5"/>
  <c r="AJ588" i="5"/>
  <c r="AI588" i="5"/>
  <c r="AA588" i="5"/>
  <c r="Z588" i="5"/>
  <c r="Y588" i="5"/>
  <c r="X588" i="5"/>
  <c r="W588" i="5"/>
  <c r="V588" i="5"/>
  <c r="U588" i="5"/>
  <c r="T588" i="5"/>
  <c r="BD587" i="5"/>
  <c r="BC587" i="5"/>
  <c r="BB587" i="5"/>
  <c r="BA587" i="5"/>
  <c r="AZ587" i="5"/>
  <c r="AY587" i="5"/>
  <c r="AX587" i="5"/>
  <c r="AW587" i="5"/>
  <c r="AP587" i="5"/>
  <c r="AO587" i="5"/>
  <c r="AN587" i="5"/>
  <c r="AM587" i="5"/>
  <c r="AL587" i="5"/>
  <c r="AK587" i="5"/>
  <c r="AJ587" i="5"/>
  <c r="AI587" i="5"/>
  <c r="AA587" i="5"/>
  <c r="Z587" i="5"/>
  <c r="Y587" i="5"/>
  <c r="X587" i="5"/>
  <c r="W587" i="5"/>
  <c r="V587" i="5"/>
  <c r="U587" i="5"/>
  <c r="T587" i="5"/>
  <c r="BD586" i="5"/>
  <c r="BC586" i="5"/>
  <c r="BB586" i="5"/>
  <c r="BA586" i="5"/>
  <c r="AZ586" i="5"/>
  <c r="AY586" i="5"/>
  <c r="AX586" i="5"/>
  <c r="AW586" i="5"/>
  <c r="AP586" i="5"/>
  <c r="AO586" i="5"/>
  <c r="AN586" i="5"/>
  <c r="AM586" i="5"/>
  <c r="AL586" i="5"/>
  <c r="AK586" i="5"/>
  <c r="AJ586" i="5"/>
  <c r="AI586" i="5"/>
  <c r="AA586" i="5"/>
  <c r="Z586" i="5"/>
  <c r="Y586" i="5"/>
  <c r="X586" i="5"/>
  <c r="W586" i="5"/>
  <c r="V586" i="5"/>
  <c r="U586" i="5"/>
  <c r="T586" i="5"/>
  <c r="BD585" i="5"/>
  <c r="BC585" i="5"/>
  <c r="BB585" i="5"/>
  <c r="BA585" i="5"/>
  <c r="AZ585" i="5"/>
  <c r="AY585" i="5"/>
  <c r="AX585" i="5"/>
  <c r="AW585" i="5"/>
  <c r="AP585" i="5"/>
  <c r="AO585" i="5"/>
  <c r="AN585" i="5"/>
  <c r="AM585" i="5"/>
  <c r="AL585" i="5"/>
  <c r="AK585" i="5"/>
  <c r="AJ585" i="5"/>
  <c r="AI585" i="5"/>
  <c r="AA585" i="5"/>
  <c r="Z585" i="5"/>
  <c r="Y585" i="5"/>
  <c r="X585" i="5"/>
  <c r="W585" i="5"/>
  <c r="V585" i="5"/>
  <c r="U585" i="5"/>
  <c r="T585" i="5"/>
  <c r="BD584" i="5"/>
  <c r="BC584" i="5"/>
  <c r="BB584" i="5"/>
  <c r="BA584" i="5"/>
  <c r="AZ584" i="5"/>
  <c r="AY584" i="5"/>
  <c r="AX584" i="5"/>
  <c r="AW584" i="5"/>
  <c r="AP584" i="5"/>
  <c r="AO584" i="5"/>
  <c r="AN584" i="5"/>
  <c r="AM584" i="5"/>
  <c r="AL584" i="5"/>
  <c r="AK584" i="5"/>
  <c r="AJ584" i="5"/>
  <c r="AI584" i="5"/>
  <c r="AA584" i="5"/>
  <c r="Z584" i="5"/>
  <c r="Y584" i="5"/>
  <c r="X584" i="5"/>
  <c r="W584" i="5"/>
  <c r="V584" i="5"/>
  <c r="U584" i="5"/>
  <c r="T584" i="5"/>
  <c r="BD583" i="5"/>
  <c r="BC583" i="5"/>
  <c r="BB583" i="5"/>
  <c r="BA583" i="5"/>
  <c r="AZ583" i="5"/>
  <c r="AY583" i="5"/>
  <c r="AX583" i="5"/>
  <c r="AW583" i="5"/>
  <c r="AP583" i="5"/>
  <c r="AO583" i="5"/>
  <c r="AN583" i="5"/>
  <c r="AM583" i="5"/>
  <c r="AL583" i="5"/>
  <c r="AK583" i="5"/>
  <c r="AJ583" i="5"/>
  <c r="AI583" i="5"/>
  <c r="AA583" i="5"/>
  <c r="Z583" i="5"/>
  <c r="Y583" i="5"/>
  <c r="X583" i="5"/>
  <c r="W583" i="5"/>
  <c r="V583" i="5"/>
  <c r="U583" i="5"/>
  <c r="T583" i="5"/>
  <c r="BD582" i="5"/>
  <c r="BC582" i="5"/>
  <c r="BB582" i="5"/>
  <c r="BA582" i="5"/>
  <c r="AZ582" i="5"/>
  <c r="AY582" i="5"/>
  <c r="AX582" i="5"/>
  <c r="AW582" i="5"/>
  <c r="AP582" i="5"/>
  <c r="AO582" i="5"/>
  <c r="AN582" i="5"/>
  <c r="AM582" i="5"/>
  <c r="AL582" i="5"/>
  <c r="AK582" i="5"/>
  <c r="AJ582" i="5"/>
  <c r="AI582" i="5"/>
  <c r="AA582" i="5"/>
  <c r="Z582" i="5"/>
  <c r="Y582" i="5"/>
  <c r="X582" i="5"/>
  <c r="W582" i="5"/>
  <c r="V582" i="5"/>
  <c r="U582" i="5"/>
  <c r="T582" i="5"/>
  <c r="BD581" i="5"/>
  <c r="BC581" i="5"/>
  <c r="BB581" i="5"/>
  <c r="BA581" i="5"/>
  <c r="AZ581" i="5"/>
  <c r="AY581" i="5"/>
  <c r="AX581" i="5"/>
  <c r="AW581" i="5"/>
  <c r="AP581" i="5"/>
  <c r="AO581" i="5"/>
  <c r="AN581" i="5"/>
  <c r="AM581" i="5"/>
  <c r="AL581" i="5"/>
  <c r="AK581" i="5"/>
  <c r="AJ581" i="5"/>
  <c r="AI581" i="5"/>
  <c r="AA581" i="5"/>
  <c r="Z581" i="5"/>
  <c r="Y581" i="5"/>
  <c r="X581" i="5"/>
  <c r="W581" i="5"/>
  <c r="V581" i="5"/>
  <c r="U581" i="5"/>
  <c r="T581" i="5"/>
  <c r="BD580" i="5"/>
  <c r="BC580" i="5"/>
  <c r="BB580" i="5"/>
  <c r="BA580" i="5"/>
  <c r="AZ580" i="5"/>
  <c r="AY580" i="5"/>
  <c r="AX580" i="5"/>
  <c r="AW580" i="5"/>
  <c r="AP580" i="5"/>
  <c r="AO580" i="5"/>
  <c r="AN580" i="5"/>
  <c r="AM580" i="5"/>
  <c r="AL580" i="5"/>
  <c r="AK580" i="5"/>
  <c r="AJ580" i="5"/>
  <c r="AI580" i="5"/>
  <c r="AA580" i="5"/>
  <c r="Z580" i="5"/>
  <c r="Y580" i="5"/>
  <c r="X580" i="5"/>
  <c r="W580" i="5"/>
  <c r="V580" i="5"/>
  <c r="U580" i="5"/>
  <c r="T580" i="5"/>
  <c r="BD579" i="5"/>
  <c r="BC579" i="5"/>
  <c r="BB579" i="5"/>
  <c r="BA579" i="5"/>
  <c r="AZ579" i="5"/>
  <c r="AY579" i="5"/>
  <c r="AX579" i="5"/>
  <c r="AW579" i="5"/>
  <c r="AP579" i="5"/>
  <c r="AO579" i="5"/>
  <c r="AN579" i="5"/>
  <c r="AM579" i="5"/>
  <c r="AL579" i="5"/>
  <c r="AK579" i="5"/>
  <c r="AJ579" i="5"/>
  <c r="AI579" i="5"/>
  <c r="AA579" i="5"/>
  <c r="Z579" i="5"/>
  <c r="Y579" i="5"/>
  <c r="X579" i="5"/>
  <c r="W579" i="5"/>
  <c r="V579" i="5"/>
  <c r="U579" i="5"/>
  <c r="T579" i="5"/>
  <c r="BD578" i="5"/>
  <c r="BC578" i="5"/>
  <c r="BB578" i="5"/>
  <c r="BA578" i="5"/>
  <c r="AZ578" i="5"/>
  <c r="AY578" i="5"/>
  <c r="AX578" i="5"/>
  <c r="AW578" i="5"/>
  <c r="AP578" i="5"/>
  <c r="AO578" i="5"/>
  <c r="AN578" i="5"/>
  <c r="AM578" i="5"/>
  <c r="AL578" i="5"/>
  <c r="AK578" i="5"/>
  <c r="AJ578" i="5"/>
  <c r="AI578" i="5"/>
  <c r="AA578" i="5"/>
  <c r="Z578" i="5"/>
  <c r="Y578" i="5"/>
  <c r="X578" i="5"/>
  <c r="W578" i="5"/>
  <c r="V578" i="5"/>
  <c r="U578" i="5"/>
  <c r="T578" i="5"/>
  <c r="BD577" i="5"/>
  <c r="BC577" i="5"/>
  <c r="BB577" i="5"/>
  <c r="BA577" i="5"/>
  <c r="AZ577" i="5"/>
  <c r="AY577" i="5"/>
  <c r="AX577" i="5"/>
  <c r="AW577" i="5"/>
  <c r="AP577" i="5"/>
  <c r="AO577" i="5"/>
  <c r="AN577" i="5"/>
  <c r="AM577" i="5"/>
  <c r="AL577" i="5"/>
  <c r="AK577" i="5"/>
  <c r="AJ577" i="5"/>
  <c r="AI577" i="5"/>
  <c r="AA577" i="5"/>
  <c r="Z577" i="5"/>
  <c r="Y577" i="5"/>
  <c r="X577" i="5"/>
  <c r="W577" i="5"/>
  <c r="V577" i="5"/>
  <c r="U577" i="5"/>
  <c r="T577" i="5"/>
  <c r="BD576" i="5"/>
  <c r="BC576" i="5"/>
  <c r="BB576" i="5"/>
  <c r="BA576" i="5"/>
  <c r="AZ576" i="5"/>
  <c r="AY576" i="5"/>
  <c r="AX576" i="5"/>
  <c r="AW576" i="5"/>
  <c r="AP576" i="5"/>
  <c r="AO576" i="5"/>
  <c r="AN576" i="5"/>
  <c r="AM576" i="5"/>
  <c r="AL576" i="5"/>
  <c r="AK576" i="5"/>
  <c r="AJ576" i="5"/>
  <c r="AI576" i="5"/>
  <c r="AA576" i="5"/>
  <c r="Z576" i="5"/>
  <c r="Y576" i="5"/>
  <c r="X576" i="5"/>
  <c r="W576" i="5"/>
  <c r="V576" i="5"/>
  <c r="U576" i="5"/>
  <c r="T576" i="5"/>
  <c r="BD575" i="5"/>
  <c r="BC575" i="5"/>
  <c r="BB575" i="5"/>
  <c r="BA575" i="5"/>
  <c r="AZ575" i="5"/>
  <c r="AY575" i="5"/>
  <c r="AX575" i="5"/>
  <c r="AW575" i="5"/>
  <c r="AP575" i="5"/>
  <c r="AO575" i="5"/>
  <c r="AN575" i="5"/>
  <c r="AM575" i="5"/>
  <c r="AL575" i="5"/>
  <c r="AK575" i="5"/>
  <c r="AJ575" i="5"/>
  <c r="AI575" i="5"/>
  <c r="AA575" i="5"/>
  <c r="Z575" i="5"/>
  <c r="Y575" i="5"/>
  <c r="X575" i="5"/>
  <c r="W575" i="5"/>
  <c r="V575" i="5"/>
  <c r="U575" i="5"/>
  <c r="T575" i="5"/>
  <c r="BD574" i="5"/>
  <c r="BC574" i="5"/>
  <c r="BB574" i="5"/>
  <c r="BA574" i="5"/>
  <c r="AZ574" i="5"/>
  <c r="AY574" i="5"/>
  <c r="AX574" i="5"/>
  <c r="AW574" i="5"/>
  <c r="AP574" i="5"/>
  <c r="AO574" i="5"/>
  <c r="AN574" i="5"/>
  <c r="AM574" i="5"/>
  <c r="AL574" i="5"/>
  <c r="AK574" i="5"/>
  <c r="AJ574" i="5"/>
  <c r="AI574" i="5"/>
  <c r="AA574" i="5"/>
  <c r="Z574" i="5"/>
  <c r="Y574" i="5"/>
  <c r="X574" i="5"/>
  <c r="W574" i="5"/>
  <c r="V574" i="5"/>
  <c r="U574" i="5"/>
  <c r="T574" i="5"/>
  <c r="BD573" i="5"/>
  <c r="BC573" i="5"/>
  <c r="BB573" i="5"/>
  <c r="BA573" i="5"/>
  <c r="AZ573" i="5"/>
  <c r="AY573" i="5"/>
  <c r="AX573" i="5"/>
  <c r="AW573" i="5"/>
  <c r="AP573" i="5"/>
  <c r="AO573" i="5"/>
  <c r="AN573" i="5"/>
  <c r="AM573" i="5"/>
  <c r="AL573" i="5"/>
  <c r="AK573" i="5"/>
  <c r="AJ573" i="5"/>
  <c r="AI573" i="5"/>
  <c r="AA573" i="5"/>
  <c r="Z573" i="5"/>
  <c r="Y573" i="5"/>
  <c r="X573" i="5"/>
  <c r="W573" i="5"/>
  <c r="V573" i="5"/>
  <c r="U573" i="5"/>
  <c r="T573" i="5"/>
  <c r="BD572" i="5"/>
  <c r="BC572" i="5"/>
  <c r="BB572" i="5"/>
  <c r="BA572" i="5"/>
  <c r="AZ572" i="5"/>
  <c r="AY572" i="5"/>
  <c r="AX572" i="5"/>
  <c r="AW572" i="5"/>
  <c r="AP572" i="5"/>
  <c r="AO572" i="5"/>
  <c r="AN572" i="5"/>
  <c r="AM572" i="5"/>
  <c r="AL572" i="5"/>
  <c r="AK572" i="5"/>
  <c r="AJ572" i="5"/>
  <c r="AI572" i="5"/>
  <c r="AA572" i="5"/>
  <c r="Z572" i="5"/>
  <c r="Y572" i="5"/>
  <c r="X572" i="5"/>
  <c r="W572" i="5"/>
  <c r="V572" i="5"/>
  <c r="U572" i="5"/>
  <c r="T572" i="5"/>
  <c r="BD571" i="5"/>
  <c r="BC571" i="5"/>
  <c r="BB571" i="5"/>
  <c r="BA571" i="5"/>
  <c r="AZ571" i="5"/>
  <c r="AY571" i="5"/>
  <c r="AX571" i="5"/>
  <c r="AW571" i="5"/>
  <c r="AP571" i="5"/>
  <c r="AO571" i="5"/>
  <c r="AN571" i="5"/>
  <c r="AM571" i="5"/>
  <c r="AL571" i="5"/>
  <c r="AK571" i="5"/>
  <c r="AJ571" i="5"/>
  <c r="AI571" i="5"/>
  <c r="AA571" i="5"/>
  <c r="Z571" i="5"/>
  <c r="Y571" i="5"/>
  <c r="X571" i="5"/>
  <c r="W571" i="5"/>
  <c r="V571" i="5"/>
  <c r="U571" i="5"/>
  <c r="T571" i="5"/>
  <c r="BD570" i="5"/>
  <c r="BC570" i="5"/>
  <c r="BB570" i="5"/>
  <c r="BA570" i="5"/>
  <c r="AZ570" i="5"/>
  <c r="AY570" i="5"/>
  <c r="AX570" i="5"/>
  <c r="AW570" i="5"/>
  <c r="AP570" i="5"/>
  <c r="AO570" i="5"/>
  <c r="AN570" i="5"/>
  <c r="AM570" i="5"/>
  <c r="AL570" i="5"/>
  <c r="AK570" i="5"/>
  <c r="AJ570" i="5"/>
  <c r="AI570" i="5"/>
  <c r="AA570" i="5"/>
  <c r="Z570" i="5"/>
  <c r="Y570" i="5"/>
  <c r="X570" i="5"/>
  <c r="W570" i="5"/>
  <c r="V570" i="5"/>
  <c r="U570" i="5"/>
  <c r="T570" i="5"/>
  <c r="BD569" i="5"/>
  <c r="BC569" i="5"/>
  <c r="BB569" i="5"/>
  <c r="BA569" i="5"/>
  <c r="AZ569" i="5"/>
  <c r="AY569" i="5"/>
  <c r="AX569" i="5"/>
  <c r="AW569" i="5"/>
  <c r="AP569" i="5"/>
  <c r="AO569" i="5"/>
  <c r="AN569" i="5"/>
  <c r="AM569" i="5"/>
  <c r="AL569" i="5"/>
  <c r="AK569" i="5"/>
  <c r="AJ569" i="5"/>
  <c r="AI569" i="5"/>
  <c r="AA569" i="5"/>
  <c r="Z569" i="5"/>
  <c r="Y569" i="5"/>
  <c r="X569" i="5"/>
  <c r="W569" i="5"/>
  <c r="V569" i="5"/>
  <c r="U569" i="5"/>
  <c r="T569" i="5"/>
  <c r="BD568" i="5"/>
  <c r="BC568" i="5"/>
  <c r="BB568" i="5"/>
  <c r="BA568" i="5"/>
  <c r="AZ568" i="5"/>
  <c r="AY568" i="5"/>
  <c r="AX568" i="5"/>
  <c r="AW568" i="5"/>
  <c r="AP568" i="5"/>
  <c r="AO568" i="5"/>
  <c r="AN568" i="5"/>
  <c r="AM568" i="5"/>
  <c r="AL568" i="5"/>
  <c r="AK568" i="5"/>
  <c r="AJ568" i="5"/>
  <c r="AI568" i="5"/>
  <c r="AA568" i="5"/>
  <c r="Z568" i="5"/>
  <c r="Y568" i="5"/>
  <c r="X568" i="5"/>
  <c r="W568" i="5"/>
  <c r="V568" i="5"/>
  <c r="U568" i="5"/>
  <c r="T568" i="5"/>
  <c r="BD567" i="5"/>
  <c r="BC567" i="5"/>
  <c r="BB567" i="5"/>
  <c r="BA567" i="5"/>
  <c r="AZ567" i="5"/>
  <c r="AY567" i="5"/>
  <c r="AX567" i="5"/>
  <c r="AW567" i="5"/>
  <c r="AP567" i="5"/>
  <c r="AO567" i="5"/>
  <c r="AN567" i="5"/>
  <c r="AM567" i="5"/>
  <c r="AL567" i="5"/>
  <c r="AK567" i="5"/>
  <c r="AJ567" i="5"/>
  <c r="AI567" i="5"/>
  <c r="AA567" i="5"/>
  <c r="Z567" i="5"/>
  <c r="Y567" i="5"/>
  <c r="X567" i="5"/>
  <c r="W567" i="5"/>
  <c r="V567" i="5"/>
  <c r="U567" i="5"/>
  <c r="T567" i="5"/>
  <c r="BD566" i="5"/>
  <c r="BC566" i="5"/>
  <c r="BB566" i="5"/>
  <c r="BA566" i="5"/>
  <c r="AZ566" i="5"/>
  <c r="AY566" i="5"/>
  <c r="AX566" i="5"/>
  <c r="AW566" i="5"/>
  <c r="AP566" i="5"/>
  <c r="AO566" i="5"/>
  <c r="AN566" i="5"/>
  <c r="AM566" i="5"/>
  <c r="AL566" i="5"/>
  <c r="AK566" i="5"/>
  <c r="AJ566" i="5"/>
  <c r="AI566" i="5"/>
  <c r="AA566" i="5"/>
  <c r="Z566" i="5"/>
  <c r="Y566" i="5"/>
  <c r="X566" i="5"/>
  <c r="W566" i="5"/>
  <c r="V566" i="5"/>
  <c r="U566" i="5"/>
  <c r="T566" i="5"/>
  <c r="BD565" i="5"/>
  <c r="BC565" i="5"/>
  <c r="BB565" i="5"/>
  <c r="BA565" i="5"/>
  <c r="AZ565" i="5"/>
  <c r="AY565" i="5"/>
  <c r="AX565" i="5"/>
  <c r="AW565" i="5"/>
  <c r="AP565" i="5"/>
  <c r="AO565" i="5"/>
  <c r="AN565" i="5"/>
  <c r="AM565" i="5"/>
  <c r="AL565" i="5"/>
  <c r="AK565" i="5"/>
  <c r="AJ565" i="5"/>
  <c r="AI565" i="5"/>
  <c r="AA565" i="5"/>
  <c r="Z565" i="5"/>
  <c r="Y565" i="5"/>
  <c r="X565" i="5"/>
  <c r="W565" i="5"/>
  <c r="V565" i="5"/>
  <c r="U565" i="5"/>
  <c r="T565" i="5"/>
  <c r="BD564" i="5"/>
  <c r="BC564" i="5"/>
  <c r="BB564" i="5"/>
  <c r="BA564" i="5"/>
  <c r="AZ564" i="5"/>
  <c r="AY564" i="5"/>
  <c r="AX564" i="5"/>
  <c r="AW564" i="5"/>
  <c r="AP564" i="5"/>
  <c r="AO564" i="5"/>
  <c r="AN564" i="5"/>
  <c r="AM564" i="5"/>
  <c r="AL564" i="5"/>
  <c r="AK564" i="5"/>
  <c r="AJ564" i="5"/>
  <c r="AI564" i="5"/>
  <c r="AA564" i="5"/>
  <c r="Z564" i="5"/>
  <c r="Y564" i="5"/>
  <c r="X564" i="5"/>
  <c r="W564" i="5"/>
  <c r="V564" i="5"/>
  <c r="U564" i="5"/>
  <c r="T564" i="5"/>
  <c r="BD563" i="5"/>
  <c r="BC563" i="5"/>
  <c r="BB563" i="5"/>
  <c r="BA563" i="5"/>
  <c r="AZ563" i="5"/>
  <c r="AY563" i="5"/>
  <c r="AX563" i="5"/>
  <c r="AW563" i="5"/>
  <c r="AP563" i="5"/>
  <c r="AO563" i="5"/>
  <c r="AN563" i="5"/>
  <c r="AM563" i="5"/>
  <c r="AL563" i="5"/>
  <c r="AK563" i="5"/>
  <c r="AJ563" i="5"/>
  <c r="AI563" i="5"/>
  <c r="AA563" i="5"/>
  <c r="Z563" i="5"/>
  <c r="Y563" i="5"/>
  <c r="X563" i="5"/>
  <c r="W563" i="5"/>
  <c r="V563" i="5"/>
  <c r="U563" i="5"/>
  <c r="T563" i="5"/>
  <c r="BD562" i="5"/>
  <c r="BC562" i="5"/>
  <c r="BB562" i="5"/>
  <c r="BA562" i="5"/>
  <c r="AZ562" i="5"/>
  <c r="AY562" i="5"/>
  <c r="AX562" i="5"/>
  <c r="AW562" i="5"/>
  <c r="AP562" i="5"/>
  <c r="AO562" i="5"/>
  <c r="AN562" i="5"/>
  <c r="AM562" i="5"/>
  <c r="AL562" i="5"/>
  <c r="AK562" i="5"/>
  <c r="AJ562" i="5"/>
  <c r="AI562" i="5"/>
  <c r="AA562" i="5"/>
  <c r="Z562" i="5"/>
  <c r="Y562" i="5"/>
  <c r="X562" i="5"/>
  <c r="W562" i="5"/>
  <c r="V562" i="5"/>
  <c r="U562" i="5"/>
  <c r="T562" i="5"/>
  <c r="BD561" i="5"/>
  <c r="BC561" i="5"/>
  <c r="BB561" i="5"/>
  <c r="BA561" i="5"/>
  <c r="AZ561" i="5"/>
  <c r="AY561" i="5"/>
  <c r="AX561" i="5"/>
  <c r="AW561" i="5"/>
  <c r="AP561" i="5"/>
  <c r="AO561" i="5"/>
  <c r="AN561" i="5"/>
  <c r="AM561" i="5"/>
  <c r="AL561" i="5"/>
  <c r="AK561" i="5"/>
  <c r="AJ561" i="5"/>
  <c r="AI561" i="5"/>
  <c r="AA561" i="5"/>
  <c r="Z561" i="5"/>
  <c r="Y561" i="5"/>
  <c r="X561" i="5"/>
  <c r="W561" i="5"/>
  <c r="V561" i="5"/>
  <c r="U561" i="5"/>
  <c r="T561" i="5"/>
  <c r="BD560" i="5"/>
  <c r="BC560" i="5"/>
  <c r="BB560" i="5"/>
  <c r="BA560" i="5"/>
  <c r="AZ560" i="5"/>
  <c r="AY560" i="5"/>
  <c r="AX560" i="5"/>
  <c r="AW560" i="5"/>
  <c r="AP560" i="5"/>
  <c r="AO560" i="5"/>
  <c r="AN560" i="5"/>
  <c r="AM560" i="5"/>
  <c r="AL560" i="5"/>
  <c r="AK560" i="5"/>
  <c r="AJ560" i="5"/>
  <c r="AI560" i="5"/>
  <c r="AA560" i="5"/>
  <c r="Z560" i="5"/>
  <c r="Y560" i="5"/>
  <c r="X560" i="5"/>
  <c r="W560" i="5"/>
  <c r="V560" i="5"/>
  <c r="U560" i="5"/>
  <c r="T560" i="5"/>
  <c r="BD559" i="5"/>
  <c r="BC559" i="5"/>
  <c r="BB559" i="5"/>
  <c r="BA559" i="5"/>
  <c r="AZ559" i="5"/>
  <c r="AY559" i="5"/>
  <c r="AX559" i="5"/>
  <c r="AW559" i="5"/>
  <c r="AP559" i="5"/>
  <c r="AO559" i="5"/>
  <c r="AN559" i="5"/>
  <c r="AM559" i="5"/>
  <c r="AL559" i="5"/>
  <c r="AK559" i="5"/>
  <c r="AJ559" i="5"/>
  <c r="AI559" i="5"/>
  <c r="AA559" i="5"/>
  <c r="Z559" i="5"/>
  <c r="Y559" i="5"/>
  <c r="X559" i="5"/>
  <c r="W559" i="5"/>
  <c r="V559" i="5"/>
  <c r="U559" i="5"/>
  <c r="T559" i="5"/>
  <c r="BD558" i="5"/>
  <c r="BC558" i="5"/>
  <c r="BB558" i="5"/>
  <c r="BA558" i="5"/>
  <c r="AZ558" i="5"/>
  <c r="AY558" i="5"/>
  <c r="AX558" i="5"/>
  <c r="AW558" i="5"/>
  <c r="AP558" i="5"/>
  <c r="AO558" i="5"/>
  <c r="AN558" i="5"/>
  <c r="AM558" i="5"/>
  <c r="AL558" i="5"/>
  <c r="AK558" i="5"/>
  <c r="AJ558" i="5"/>
  <c r="AI558" i="5"/>
  <c r="AA558" i="5"/>
  <c r="Z558" i="5"/>
  <c r="Y558" i="5"/>
  <c r="X558" i="5"/>
  <c r="W558" i="5"/>
  <c r="V558" i="5"/>
  <c r="U558" i="5"/>
  <c r="T558" i="5"/>
  <c r="BD557" i="5"/>
  <c r="BC557" i="5"/>
  <c r="BB557" i="5"/>
  <c r="BA557" i="5"/>
  <c r="AZ557" i="5"/>
  <c r="AY557" i="5"/>
  <c r="AX557" i="5"/>
  <c r="AW557" i="5"/>
  <c r="AP557" i="5"/>
  <c r="AO557" i="5"/>
  <c r="AN557" i="5"/>
  <c r="AM557" i="5"/>
  <c r="AL557" i="5"/>
  <c r="AK557" i="5"/>
  <c r="AJ557" i="5"/>
  <c r="AI557" i="5"/>
  <c r="AA557" i="5"/>
  <c r="Z557" i="5"/>
  <c r="Y557" i="5"/>
  <c r="X557" i="5"/>
  <c r="W557" i="5"/>
  <c r="V557" i="5"/>
  <c r="U557" i="5"/>
  <c r="T557" i="5"/>
  <c r="BD556" i="5"/>
  <c r="BC556" i="5"/>
  <c r="BB556" i="5"/>
  <c r="BA556" i="5"/>
  <c r="AZ556" i="5"/>
  <c r="AY556" i="5"/>
  <c r="AX556" i="5"/>
  <c r="AW556" i="5"/>
  <c r="AP556" i="5"/>
  <c r="AO556" i="5"/>
  <c r="AN556" i="5"/>
  <c r="AM556" i="5"/>
  <c r="AL556" i="5"/>
  <c r="AK556" i="5"/>
  <c r="AJ556" i="5"/>
  <c r="AI556" i="5"/>
  <c r="AA556" i="5"/>
  <c r="Z556" i="5"/>
  <c r="Y556" i="5"/>
  <c r="X556" i="5"/>
  <c r="W556" i="5"/>
  <c r="V556" i="5"/>
  <c r="U556" i="5"/>
  <c r="T556" i="5"/>
  <c r="BD555" i="5"/>
  <c r="BC555" i="5"/>
  <c r="BB555" i="5"/>
  <c r="BA555" i="5"/>
  <c r="AZ555" i="5"/>
  <c r="AY555" i="5"/>
  <c r="AX555" i="5"/>
  <c r="AW555" i="5"/>
  <c r="AP555" i="5"/>
  <c r="AO555" i="5"/>
  <c r="AN555" i="5"/>
  <c r="AM555" i="5"/>
  <c r="AL555" i="5"/>
  <c r="AK555" i="5"/>
  <c r="AJ555" i="5"/>
  <c r="AI555" i="5"/>
  <c r="AA555" i="5"/>
  <c r="Z555" i="5"/>
  <c r="Y555" i="5"/>
  <c r="X555" i="5"/>
  <c r="W555" i="5"/>
  <c r="V555" i="5"/>
  <c r="U555" i="5"/>
  <c r="T555" i="5"/>
  <c r="BD554" i="5"/>
  <c r="BC554" i="5"/>
  <c r="BB554" i="5"/>
  <c r="BA554" i="5"/>
  <c r="AZ554" i="5"/>
  <c r="AY554" i="5"/>
  <c r="AX554" i="5"/>
  <c r="AW554" i="5"/>
  <c r="AP554" i="5"/>
  <c r="AO554" i="5"/>
  <c r="AN554" i="5"/>
  <c r="AM554" i="5"/>
  <c r="AL554" i="5"/>
  <c r="AK554" i="5"/>
  <c r="AJ554" i="5"/>
  <c r="AI554" i="5"/>
  <c r="AA554" i="5"/>
  <c r="Z554" i="5"/>
  <c r="Y554" i="5"/>
  <c r="X554" i="5"/>
  <c r="W554" i="5"/>
  <c r="V554" i="5"/>
  <c r="U554" i="5"/>
  <c r="T554" i="5"/>
  <c r="BD553" i="5"/>
  <c r="BC553" i="5"/>
  <c r="BB553" i="5"/>
  <c r="BA553" i="5"/>
  <c r="AZ553" i="5"/>
  <c r="AY553" i="5"/>
  <c r="AX553" i="5"/>
  <c r="AW553" i="5"/>
  <c r="AP553" i="5"/>
  <c r="AO553" i="5"/>
  <c r="AN553" i="5"/>
  <c r="AM553" i="5"/>
  <c r="AL553" i="5"/>
  <c r="AK553" i="5"/>
  <c r="AJ553" i="5"/>
  <c r="AI553" i="5"/>
  <c r="AA553" i="5"/>
  <c r="Z553" i="5"/>
  <c r="Y553" i="5"/>
  <c r="X553" i="5"/>
  <c r="W553" i="5"/>
  <c r="V553" i="5"/>
  <c r="U553" i="5"/>
  <c r="T553" i="5"/>
  <c r="BD552" i="5"/>
  <c r="BC552" i="5"/>
  <c r="BB552" i="5"/>
  <c r="BA552" i="5"/>
  <c r="AZ552" i="5"/>
  <c r="AY552" i="5"/>
  <c r="AX552" i="5"/>
  <c r="AW552" i="5"/>
  <c r="AP552" i="5"/>
  <c r="AO552" i="5"/>
  <c r="AN552" i="5"/>
  <c r="AM552" i="5"/>
  <c r="AL552" i="5"/>
  <c r="AK552" i="5"/>
  <c r="AJ552" i="5"/>
  <c r="AI552" i="5"/>
  <c r="AA552" i="5"/>
  <c r="Z552" i="5"/>
  <c r="Y552" i="5"/>
  <c r="X552" i="5"/>
  <c r="W552" i="5"/>
  <c r="V552" i="5"/>
  <c r="U552" i="5"/>
  <c r="T552" i="5"/>
  <c r="BD551" i="5"/>
  <c r="BC551" i="5"/>
  <c r="BB551" i="5"/>
  <c r="BA551" i="5"/>
  <c r="AZ551" i="5"/>
  <c r="AY551" i="5"/>
  <c r="AX551" i="5"/>
  <c r="AW551" i="5"/>
  <c r="AP551" i="5"/>
  <c r="AO551" i="5"/>
  <c r="AN551" i="5"/>
  <c r="AM551" i="5"/>
  <c r="AL551" i="5"/>
  <c r="AK551" i="5"/>
  <c r="AJ551" i="5"/>
  <c r="AI551" i="5"/>
  <c r="AA551" i="5"/>
  <c r="Z551" i="5"/>
  <c r="Y551" i="5"/>
  <c r="X551" i="5"/>
  <c r="W551" i="5"/>
  <c r="V551" i="5"/>
  <c r="U551" i="5"/>
  <c r="T551" i="5"/>
  <c r="BD550" i="5"/>
  <c r="BC550" i="5"/>
  <c r="BB550" i="5"/>
  <c r="BA550" i="5"/>
  <c r="AZ550" i="5"/>
  <c r="AY550" i="5"/>
  <c r="AX550" i="5"/>
  <c r="AW550" i="5"/>
  <c r="AP550" i="5"/>
  <c r="AO550" i="5"/>
  <c r="AN550" i="5"/>
  <c r="AM550" i="5"/>
  <c r="AL550" i="5"/>
  <c r="AK550" i="5"/>
  <c r="AJ550" i="5"/>
  <c r="AI550" i="5"/>
  <c r="AA550" i="5"/>
  <c r="Z550" i="5"/>
  <c r="Y550" i="5"/>
  <c r="X550" i="5"/>
  <c r="W550" i="5"/>
  <c r="V550" i="5"/>
  <c r="U550" i="5"/>
  <c r="T550" i="5"/>
  <c r="BD549" i="5"/>
  <c r="BC549" i="5"/>
  <c r="BB549" i="5"/>
  <c r="BA549" i="5"/>
  <c r="AZ549" i="5"/>
  <c r="AY549" i="5"/>
  <c r="AX549" i="5"/>
  <c r="AW549" i="5"/>
  <c r="AP549" i="5"/>
  <c r="AO549" i="5"/>
  <c r="AN549" i="5"/>
  <c r="AM549" i="5"/>
  <c r="AL549" i="5"/>
  <c r="AK549" i="5"/>
  <c r="AJ549" i="5"/>
  <c r="AI549" i="5"/>
  <c r="AA549" i="5"/>
  <c r="Z549" i="5"/>
  <c r="Y549" i="5"/>
  <c r="X549" i="5"/>
  <c r="W549" i="5"/>
  <c r="V549" i="5"/>
  <c r="U549" i="5"/>
  <c r="T549" i="5"/>
  <c r="BD548" i="5"/>
  <c r="BC548" i="5"/>
  <c r="BB548" i="5"/>
  <c r="BA548" i="5"/>
  <c r="AZ548" i="5"/>
  <c r="AY548" i="5"/>
  <c r="AX548" i="5"/>
  <c r="AW548" i="5"/>
  <c r="AP548" i="5"/>
  <c r="AO548" i="5"/>
  <c r="AN548" i="5"/>
  <c r="AM548" i="5"/>
  <c r="AL548" i="5"/>
  <c r="AK548" i="5"/>
  <c r="AJ548" i="5"/>
  <c r="AI548" i="5"/>
  <c r="AA548" i="5"/>
  <c r="Z548" i="5"/>
  <c r="Y548" i="5"/>
  <c r="X548" i="5"/>
  <c r="W548" i="5"/>
  <c r="V548" i="5"/>
  <c r="U548" i="5"/>
  <c r="T548" i="5"/>
  <c r="BD547" i="5"/>
  <c r="BC547" i="5"/>
  <c r="BB547" i="5"/>
  <c r="BA547" i="5"/>
  <c r="AZ547" i="5"/>
  <c r="AY547" i="5"/>
  <c r="AX547" i="5"/>
  <c r="AW547" i="5"/>
  <c r="AP547" i="5"/>
  <c r="AO547" i="5"/>
  <c r="AN547" i="5"/>
  <c r="AM547" i="5"/>
  <c r="AL547" i="5"/>
  <c r="AK547" i="5"/>
  <c r="AJ547" i="5"/>
  <c r="AI547" i="5"/>
  <c r="AA547" i="5"/>
  <c r="Z547" i="5"/>
  <c r="Y547" i="5"/>
  <c r="X547" i="5"/>
  <c r="W547" i="5"/>
  <c r="V547" i="5"/>
  <c r="U547" i="5"/>
  <c r="T547" i="5"/>
  <c r="BD546" i="5"/>
  <c r="BC546" i="5"/>
  <c r="BB546" i="5"/>
  <c r="BA546" i="5"/>
  <c r="AZ546" i="5"/>
  <c r="AY546" i="5"/>
  <c r="AX546" i="5"/>
  <c r="AW546" i="5"/>
  <c r="AP546" i="5"/>
  <c r="AO546" i="5"/>
  <c r="AN546" i="5"/>
  <c r="AM546" i="5"/>
  <c r="AL546" i="5"/>
  <c r="AK546" i="5"/>
  <c r="AJ546" i="5"/>
  <c r="AI546" i="5"/>
  <c r="AA546" i="5"/>
  <c r="Z546" i="5"/>
  <c r="Y546" i="5"/>
  <c r="X546" i="5"/>
  <c r="W546" i="5"/>
  <c r="V546" i="5"/>
  <c r="U546" i="5"/>
  <c r="T546" i="5"/>
  <c r="BD545" i="5"/>
  <c r="BC545" i="5"/>
  <c r="BB545" i="5"/>
  <c r="BA545" i="5"/>
  <c r="AZ545" i="5"/>
  <c r="AY545" i="5"/>
  <c r="AX545" i="5"/>
  <c r="AW545" i="5"/>
  <c r="AP545" i="5"/>
  <c r="AO545" i="5"/>
  <c r="AN545" i="5"/>
  <c r="AM545" i="5"/>
  <c r="AL545" i="5"/>
  <c r="AK545" i="5"/>
  <c r="AJ545" i="5"/>
  <c r="AI545" i="5"/>
  <c r="AA545" i="5"/>
  <c r="Z545" i="5"/>
  <c r="Y545" i="5"/>
  <c r="X545" i="5"/>
  <c r="W545" i="5"/>
  <c r="V545" i="5"/>
  <c r="U545" i="5"/>
  <c r="T545" i="5"/>
  <c r="BD544" i="5"/>
  <c r="BC544" i="5"/>
  <c r="BB544" i="5"/>
  <c r="BA544" i="5"/>
  <c r="AZ544" i="5"/>
  <c r="AY544" i="5"/>
  <c r="AX544" i="5"/>
  <c r="AW544" i="5"/>
  <c r="AP544" i="5"/>
  <c r="AO544" i="5"/>
  <c r="AN544" i="5"/>
  <c r="AM544" i="5"/>
  <c r="AL544" i="5"/>
  <c r="AK544" i="5"/>
  <c r="AJ544" i="5"/>
  <c r="AI544" i="5"/>
  <c r="AA544" i="5"/>
  <c r="Z544" i="5"/>
  <c r="Y544" i="5"/>
  <c r="X544" i="5"/>
  <c r="W544" i="5"/>
  <c r="V544" i="5"/>
  <c r="U544" i="5"/>
  <c r="T544" i="5"/>
  <c r="BD543" i="5"/>
  <c r="BC543" i="5"/>
  <c r="BB543" i="5"/>
  <c r="BA543" i="5"/>
  <c r="AZ543" i="5"/>
  <c r="AY543" i="5"/>
  <c r="AX543" i="5"/>
  <c r="AW543" i="5"/>
  <c r="AP543" i="5"/>
  <c r="AO543" i="5"/>
  <c r="AN543" i="5"/>
  <c r="AM543" i="5"/>
  <c r="AL543" i="5"/>
  <c r="AK543" i="5"/>
  <c r="AJ543" i="5"/>
  <c r="AI543" i="5"/>
  <c r="AA543" i="5"/>
  <c r="Z543" i="5"/>
  <c r="Y543" i="5"/>
  <c r="X543" i="5"/>
  <c r="W543" i="5"/>
  <c r="V543" i="5"/>
  <c r="U543" i="5"/>
  <c r="T543" i="5"/>
  <c r="BD542" i="5"/>
  <c r="BC542" i="5"/>
  <c r="BB542" i="5"/>
  <c r="BA542" i="5"/>
  <c r="AZ542" i="5"/>
  <c r="AY542" i="5"/>
  <c r="AX542" i="5"/>
  <c r="AW542" i="5"/>
  <c r="AP542" i="5"/>
  <c r="AO542" i="5"/>
  <c r="AN542" i="5"/>
  <c r="AM542" i="5"/>
  <c r="AL542" i="5"/>
  <c r="AK542" i="5"/>
  <c r="AJ542" i="5"/>
  <c r="AI542" i="5"/>
  <c r="AA542" i="5"/>
  <c r="Z542" i="5"/>
  <c r="Y542" i="5"/>
  <c r="X542" i="5"/>
  <c r="W542" i="5"/>
  <c r="V542" i="5"/>
  <c r="U542" i="5"/>
  <c r="T542" i="5"/>
  <c r="BD541" i="5"/>
  <c r="BC541" i="5"/>
  <c r="BB541" i="5"/>
  <c r="BA541" i="5"/>
  <c r="AZ541" i="5"/>
  <c r="AY541" i="5"/>
  <c r="AX541" i="5"/>
  <c r="AW541" i="5"/>
  <c r="AP541" i="5"/>
  <c r="AO541" i="5"/>
  <c r="AN541" i="5"/>
  <c r="AM541" i="5"/>
  <c r="AL541" i="5"/>
  <c r="AK541" i="5"/>
  <c r="AJ541" i="5"/>
  <c r="AI541" i="5"/>
  <c r="AA541" i="5"/>
  <c r="Z541" i="5"/>
  <c r="Y541" i="5"/>
  <c r="X541" i="5"/>
  <c r="W541" i="5"/>
  <c r="V541" i="5"/>
  <c r="U541" i="5"/>
  <c r="T541" i="5"/>
  <c r="BD540" i="5"/>
  <c r="BC540" i="5"/>
  <c r="BB540" i="5"/>
  <c r="BA540" i="5"/>
  <c r="AZ540" i="5"/>
  <c r="AY540" i="5"/>
  <c r="AX540" i="5"/>
  <c r="AW540" i="5"/>
  <c r="AP540" i="5"/>
  <c r="AO540" i="5"/>
  <c r="AN540" i="5"/>
  <c r="AM540" i="5"/>
  <c r="AL540" i="5"/>
  <c r="AK540" i="5"/>
  <c r="AJ540" i="5"/>
  <c r="AI540" i="5"/>
  <c r="AA540" i="5"/>
  <c r="Z540" i="5"/>
  <c r="Y540" i="5"/>
  <c r="X540" i="5"/>
  <c r="W540" i="5"/>
  <c r="V540" i="5"/>
  <c r="U540" i="5"/>
  <c r="T540" i="5"/>
  <c r="BD539" i="5"/>
  <c r="BC539" i="5"/>
  <c r="BB539" i="5"/>
  <c r="BA539" i="5"/>
  <c r="AZ539" i="5"/>
  <c r="AY539" i="5"/>
  <c r="AX539" i="5"/>
  <c r="AW539" i="5"/>
  <c r="AP539" i="5"/>
  <c r="AO539" i="5"/>
  <c r="AN539" i="5"/>
  <c r="AM539" i="5"/>
  <c r="AL539" i="5"/>
  <c r="AK539" i="5"/>
  <c r="AJ539" i="5"/>
  <c r="AI539" i="5"/>
  <c r="AA539" i="5"/>
  <c r="Z539" i="5"/>
  <c r="Y539" i="5"/>
  <c r="X539" i="5"/>
  <c r="W539" i="5"/>
  <c r="V539" i="5"/>
  <c r="U539" i="5"/>
  <c r="T539" i="5"/>
  <c r="BD538" i="5"/>
  <c r="BC538" i="5"/>
  <c r="BB538" i="5"/>
  <c r="BA538" i="5"/>
  <c r="AZ538" i="5"/>
  <c r="AY538" i="5"/>
  <c r="AX538" i="5"/>
  <c r="AW538" i="5"/>
  <c r="AP538" i="5"/>
  <c r="AO538" i="5"/>
  <c r="AN538" i="5"/>
  <c r="AM538" i="5"/>
  <c r="AL538" i="5"/>
  <c r="AK538" i="5"/>
  <c r="AJ538" i="5"/>
  <c r="AI538" i="5"/>
  <c r="AA538" i="5"/>
  <c r="Z538" i="5"/>
  <c r="Y538" i="5"/>
  <c r="X538" i="5"/>
  <c r="W538" i="5"/>
  <c r="V538" i="5"/>
  <c r="U538" i="5"/>
  <c r="T538" i="5"/>
  <c r="BD537" i="5"/>
  <c r="BC537" i="5"/>
  <c r="BB537" i="5"/>
  <c r="BA537" i="5"/>
  <c r="AZ537" i="5"/>
  <c r="AY537" i="5"/>
  <c r="AX537" i="5"/>
  <c r="AW537" i="5"/>
  <c r="AP537" i="5"/>
  <c r="AO537" i="5"/>
  <c r="AN537" i="5"/>
  <c r="AM537" i="5"/>
  <c r="AL537" i="5"/>
  <c r="AK537" i="5"/>
  <c r="AJ537" i="5"/>
  <c r="AI537" i="5"/>
  <c r="AA537" i="5"/>
  <c r="Z537" i="5"/>
  <c r="Y537" i="5"/>
  <c r="X537" i="5"/>
  <c r="W537" i="5"/>
  <c r="V537" i="5"/>
  <c r="U537" i="5"/>
  <c r="T537" i="5"/>
  <c r="BD536" i="5"/>
  <c r="BC536" i="5"/>
  <c r="BB536" i="5"/>
  <c r="BA536" i="5"/>
  <c r="AZ536" i="5"/>
  <c r="AY536" i="5"/>
  <c r="AX536" i="5"/>
  <c r="AW536" i="5"/>
  <c r="AP536" i="5"/>
  <c r="AO536" i="5"/>
  <c r="AN536" i="5"/>
  <c r="AM536" i="5"/>
  <c r="AL536" i="5"/>
  <c r="AK536" i="5"/>
  <c r="AJ536" i="5"/>
  <c r="AI536" i="5"/>
  <c r="AA536" i="5"/>
  <c r="Z536" i="5"/>
  <c r="Y536" i="5"/>
  <c r="X536" i="5"/>
  <c r="W536" i="5"/>
  <c r="V536" i="5"/>
  <c r="U536" i="5"/>
  <c r="T536" i="5"/>
  <c r="BD535" i="5"/>
  <c r="BC535" i="5"/>
  <c r="BB535" i="5"/>
  <c r="BA535" i="5"/>
  <c r="AZ535" i="5"/>
  <c r="AY535" i="5"/>
  <c r="AX535" i="5"/>
  <c r="AW535" i="5"/>
  <c r="AP535" i="5"/>
  <c r="AO535" i="5"/>
  <c r="AN535" i="5"/>
  <c r="AM535" i="5"/>
  <c r="AL535" i="5"/>
  <c r="AK535" i="5"/>
  <c r="AJ535" i="5"/>
  <c r="AI535" i="5"/>
  <c r="AA535" i="5"/>
  <c r="Z535" i="5"/>
  <c r="Y535" i="5"/>
  <c r="X535" i="5"/>
  <c r="W535" i="5"/>
  <c r="V535" i="5"/>
  <c r="U535" i="5"/>
  <c r="T535" i="5"/>
  <c r="BD534" i="5"/>
  <c r="BC534" i="5"/>
  <c r="BB534" i="5"/>
  <c r="BA534" i="5"/>
  <c r="AZ534" i="5"/>
  <c r="AY534" i="5"/>
  <c r="AX534" i="5"/>
  <c r="AW534" i="5"/>
  <c r="AP534" i="5"/>
  <c r="AO534" i="5"/>
  <c r="AN534" i="5"/>
  <c r="AM534" i="5"/>
  <c r="AL534" i="5"/>
  <c r="AK534" i="5"/>
  <c r="AJ534" i="5"/>
  <c r="AI534" i="5"/>
  <c r="AA534" i="5"/>
  <c r="Z534" i="5"/>
  <c r="Y534" i="5"/>
  <c r="X534" i="5"/>
  <c r="W534" i="5"/>
  <c r="V534" i="5"/>
  <c r="U534" i="5"/>
  <c r="T534" i="5"/>
  <c r="BD533" i="5"/>
  <c r="BC533" i="5"/>
  <c r="BB533" i="5"/>
  <c r="BA533" i="5"/>
  <c r="AZ533" i="5"/>
  <c r="AY533" i="5"/>
  <c r="AX533" i="5"/>
  <c r="AW533" i="5"/>
  <c r="AP533" i="5"/>
  <c r="AO533" i="5"/>
  <c r="AN533" i="5"/>
  <c r="AM533" i="5"/>
  <c r="AL533" i="5"/>
  <c r="AK533" i="5"/>
  <c r="AJ533" i="5"/>
  <c r="AI533" i="5"/>
  <c r="AA533" i="5"/>
  <c r="Z533" i="5"/>
  <c r="Y533" i="5"/>
  <c r="X533" i="5"/>
  <c r="W533" i="5"/>
  <c r="V533" i="5"/>
  <c r="U533" i="5"/>
  <c r="T533" i="5"/>
  <c r="BD532" i="5"/>
  <c r="BC532" i="5"/>
  <c r="BB532" i="5"/>
  <c r="BA532" i="5"/>
  <c r="AZ532" i="5"/>
  <c r="AY532" i="5"/>
  <c r="AX532" i="5"/>
  <c r="AW532" i="5"/>
  <c r="AP532" i="5"/>
  <c r="AO532" i="5"/>
  <c r="AN532" i="5"/>
  <c r="AM532" i="5"/>
  <c r="AL532" i="5"/>
  <c r="AK532" i="5"/>
  <c r="AJ532" i="5"/>
  <c r="AI532" i="5"/>
  <c r="AA532" i="5"/>
  <c r="Z532" i="5"/>
  <c r="Y532" i="5"/>
  <c r="X532" i="5"/>
  <c r="W532" i="5"/>
  <c r="V532" i="5"/>
  <c r="U532" i="5"/>
  <c r="T532" i="5"/>
  <c r="BD531" i="5"/>
  <c r="BC531" i="5"/>
  <c r="BB531" i="5"/>
  <c r="BA531" i="5"/>
  <c r="AZ531" i="5"/>
  <c r="AY531" i="5"/>
  <c r="AX531" i="5"/>
  <c r="AW531" i="5"/>
  <c r="AP531" i="5"/>
  <c r="AO531" i="5"/>
  <c r="AN531" i="5"/>
  <c r="AM531" i="5"/>
  <c r="AL531" i="5"/>
  <c r="AK531" i="5"/>
  <c r="AJ531" i="5"/>
  <c r="AI531" i="5"/>
  <c r="AA531" i="5"/>
  <c r="Z531" i="5"/>
  <c r="Y531" i="5"/>
  <c r="X531" i="5"/>
  <c r="W531" i="5"/>
  <c r="V531" i="5"/>
  <c r="U531" i="5"/>
  <c r="T531" i="5"/>
  <c r="BD530" i="5"/>
  <c r="BC530" i="5"/>
  <c r="BB530" i="5"/>
  <c r="BA530" i="5"/>
  <c r="AZ530" i="5"/>
  <c r="AY530" i="5"/>
  <c r="AX530" i="5"/>
  <c r="AW530" i="5"/>
  <c r="AP530" i="5"/>
  <c r="AO530" i="5"/>
  <c r="AN530" i="5"/>
  <c r="AM530" i="5"/>
  <c r="AL530" i="5"/>
  <c r="AK530" i="5"/>
  <c r="AJ530" i="5"/>
  <c r="AI530" i="5"/>
  <c r="AA530" i="5"/>
  <c r="Z530" i="5"/>
  <c r="Y530" i="5"/>
  <c r="X530" i="5"/>
  <c r="W530" i="5"/>
  <c r="V530" i="5"/>
  <c r="U530" i="5"/>
  <c r="T530" i="5"/>
  <c r="BD529" i="5"/>
  <c r="BC529" i="5"/>
  <c r="BB529" i="5"/>
  <c r="BA529" i="5"/>
  <c r="AZ529" i="5"/>
  <c r="AY529" i="5"/>
  <c r="AX529" i="5"/>
  <c r="AW529" i="5"/>
  <c r="AP529" i="5"/>
  <c r="AO529" i="5"/>
  <c r="AN529" i="5"/>
  <c r="AM529" i="5"/>
  <c r="AL529" i="5"/>
  <c r="AK529" i="5"/>
  <c r="AJ529" i="5"/>
  <c r="AI529" i="5"/>
  <c r="AA529" i="5"/>
  <c r="Z529" i="5"/>
  <c r="Y529" i="5"/>
  <c r="X529" i="5"/>
  <c r="W529" i="5"/>
  <c r="V529" i="5"/>
  <c r="U529" i="5"/>
  <c r="T529" i="5"/>
  <c r="BD528" i="5"/>
  <c r="BC528" i="5"/>
  <c r="BB528" i="5"/>
  <c r="BA528" i="5"/>
  <c r="AZ528" i="5"/>
  <c r="AY528" i="5"/>
  <c r="AX528" i="5"/>
  <c r="AW528" i="5"/>
  <c r="AP528" i="5"/>
  <c r="AO528" i="5"/>
  <c r="AN528" i="5"/>
  <c r="AM528" i="5"/>
  <c r="AL528" i="5"/>
  <c r="AK528" i="5"/>
  <c r="AJ528" i="5"/>
  <c r="AI528" i="5"/>
  <c r="AA528" i="5"/>
  <c r="Z528" i="5"/>
  <c r="Y528" i="5"/>
  <c r="X528" i="5"/>
  <c r="W528" i="5"/>
  <c r="V528" i="5"/>
  <c r="U528" i="5"/>
  <c r="T528" i="5"/>
  <c r="BD527" i="5"/>
  <c r="BC527" i="5"/>
  <c r="BB527" i="5"/>
  <c r="BA527" i="5"/>
  <c r="AZ527" i="5"/>
  <c r="AY527" i="5"/>
  <c r="AX527" i="5"/>
  <c r="AW527" i="5"/>
  <c r="AP527" i="5"/>
  <c r="AO527" i="5"/>
  <c r="AN527" i="5"/>
  <c r="AM527" i="5"/>
  <c r="AL527" i="5"/>
  <c r="AK527" i="5"/>
  <c r="AJ527" i="5"/>
  <c r="AI527" i="5"/>
  <c r="AA527" i="5"/>
  <c r="Z527" i="5"/>
  <c r="Y527" i="5"/>
  <c r="X527" i="5"/>
  <c r="W527" i="5"/>
  <c r="V527" i="5"/>
  <c r="U527" i="5"/>
  <c r="T527" i="5"/>
  <c r="BD526" i="5"/>
  <c r="BC526" i="5"/>
  <c r="BB526" i="5"/>
  <c r="BA526" i="5"/>
  <c r="AZ526" i="5"/>
  <c r="AY526" i="5"/>
  <c r="AX526" i="5"/>
  <c r="AW526" i="5"/>
  <c r="AP526" i="5"/>
  <c r="AO526" i="5"/>
  <c r="AN526" i="5"/>
  <c r="AM526" i="5"/>
  <c r="AL526" i="5"/>
  <c r="AK526" i="5"/>
  <c r="AJ526" i="5"/>
  <c r="AI526" i="5"/>
  <c r="AA526" i="5"/>
  <c r="Z526" i="5"/>
  <c r="Y526" i="5"/>
  <c r="X526" i="5"/>
  <c r="W526" i="5"/>
  <c r="V526" i="5"/>
  <c r="U526" i="5"/>
  <c r="T526" i="5"/>
  <c r="BD525" i="5"/>
  <c r="BC525" i="5"/>
  <c r="BB525" i="5"/>
  <c r="BA525" i="5"/>
  <c r="AZ525" i="5"/>
  <c r="AY525" i="5"/>
  <c r="AX525" i="5"/>
  <c r="AW525" i="5"/>
  <c r="AP525" i="5"/>
  <c r="AO525" i="5"/>
  <c r="AN525" i="5"/>
  <c r="AM525" i="5"/>
  <c r="AL525" i="5"/>
  <c r="AK525" i="5"/>
  <c r="AJ525" i="5"/>
  <c r="AI525" i="5"/>
  <c r="AA525" i="5"/>
  <c r="Z525" i="5"/>
  <c r="Y525" i="5"/>
  <c r="X525" i="5"/>
  <c r="W525" i="5"/>
  <c r="V525" i="5"/>
  <c r="U525" i="5"/>
  <c r="T525" i="5"/>
  <c r="BD524" i="5"/>
  <c r="BC524" i="5"/>
  <c r="BB524" i="5"/>
  <c r="BA524" i="5"/>
  <c r="AZ524" i="5"/>
  <c r="AY524" i="5"/>
  <c r="AX524" i="5"/>
  <c r="AW524" i="5"/>
  <c r="AP524" i="5"/>
  <c r="AO524" i="5"/>
  <c r="AN524" i="5"/>
  <c r="AM524" i="5"/>
  <c r="AL524" i="5"/>
  <c r="AK524" i="5"/>
  <c r="AJ524" i="5"/>
  <c r="AI524" i="5"/>
  <c r="AA524" i="5"/>
  <c r="Z524" i="5"/>
  <c r="Y524" i="5"/>
  <c r="X524" i="5"/>
  <c r="W524" i="5"/>
  <c r="V524" i="5"/>
  <c r="U524" i="5"/>
  <c r="T524" i="5"/>
  <c r="BD523" i="5"/>
  <c r="BC523" i="5"/>
  <c r="BB523" i="5"/>
  <c r="BA523" i="5"/>
  <c r="AZ523" i="5"/>
  <c r="AY523" i="5"/>
  <c r="AX523" i="5"/>
  <c r="AW523" i="5"/>
  <c r="AP523" i="5"/>
  <c r="AO523" i="5"/>
  <c r="AN523" i="5"/>
  <c r="AM523" i="5"/>
  <c r="AL523" i="5"/>
  <c r="AK523" i="5"/>
  <c r="AJ523" i="5"/>
  <c r="AI523" i="5"/>
  <c r="AA523" i="5"/>
  <c r="Z523" i="5"/>
  <c r="Y523" i="5"/>
  <c r="X523" i="5"/>
  <c r="W523" i="5"/>
  <c r="V523" i="5"/>
  <c r="U523" i="5"/>
  <c r="T523" i="5"/>
  <c r="BD522" i="5"/>
  <c r="BC522" i="5"/>
  <c r="BB522" i="5"/>
  <c r="BA522" i="5"/>
  <c r="AZ522" i="5"/>
  <c r="AY522" i="5"/>
  <c r="AX522" i="5"/>
  <c r="AW522" i="5"/>
  <c r="AP522" i="5"/>
  <c r="AO522" i="5"/>
  <c r="AN522" i="5"/>
  <c r="AM522" i="5"/>
  <c r="AL522" i="5"/>
  <c r="AK522" i="5"/>
  <c r="AJ522" i="5"/>
  <c r="AI522" i="5"/>
  <c r="AA522" i="5"/>
  <c r="Z522" i="5"/>
  <c r="Y522" i="5"/>
  <c r="X522" i="5"/>
  <c r="W522" i="5"/>
  <c r="V522" i="5"/>
  <c r="U522" i="5"/>
  <c r="T522" i="5"/>
  <c r="BD521" i="5"/>
  <c r="BC521" i="5"/>
  <c r="BB521" i="5"/>
  <c r="BA521" i="5"/>
  <c r="AZ521" i="5"/>
  <c r="AY521" i="5"/>
  <c r="AX521" i="5"/>
  <c r="AW521" i="5"/>
  <c r="AP521" i="5"/>
  <c r="AO521" i="5"/>
  <c r="AN521" i="5"/>
  <c r="AM521" i="5"/>
  <c r="AL521" i="5"/>
  <c r="AK521" i="5"/>
  <c r="AJ521" i="5"/>
  <c r="AI521" i="5"/>
  <c r="AA521" i="5"/>
  <c r="Z521" i="5"/>
  <c r="Y521" i="5"/>
  <c r="X521" i="5"/>
  <c r="W521" i="5"/>
  <c r="V521" i="5"/>
  <c r="U521" i="5"/>
  <c r="T521" i="5"/>
  <c r="BD520" i="5"/>
  <c r="BC520" i="5"/>
  <c r="BB520" i="5"/>
  <c r="BA520" i="5"/>
  <c r="AZ520" i="5"/>
  <c r="AY520" i="5"/>
  <c r="AX520" i="5"/>
  <c r="AW520" i="5"/>
  <c r="AP520" i="5"/>
  <c r="AO520" i="5"/>
  <c r="AN520" i="5"/>
  <c r="AM520" i="5"/>
  <c r="AL520" i="5"/>
  <c r="AK520" i="5"/>
  <c r="AJ520" i="5"/>
  <c r="AI520" i="5"/>
  <c r="AA520" i="5"/>
  <c r="Z520" i="5"/>
  <c r="Y520" i="5"/>
  <c r="X520" i="5"/>
  <c r="W520" i="5"/>
  <c r="V520" i="5"/>
  <c r="U520" i="5"/>
  <c r="T520" i="5"/>
  <c r="BD519" i="5"/>
  <c r="BC519" i="5"/>
  <c r="BB519" i="5"/>
  <c r="BA519" i="5"/>
  <c r="AZ519" i="5"/>
  <c r="AY519" i="5"/>
  <c r="AX519" i="5"/>
  <c r="AW519" i="5"/>
  <c r="AP519" i="5"/>
  <c r="AO519" i="5"/>
  <c r="AN519" i="5"/>
  <c r="AM519" i="5"/>
  <c r="AL519" i="5"/>
  <c r="AK519" i="5"/>
  <c r="AJ519" i="5"/>
  <c r="AI519" i="5"/>
  <c r="AA519" i="5"/>
  <c r="Z519" i="5"/>
  <c r="Y519" i="5"/>
  <c r="X519" i="5"/>
  <c r="W519" i="5"/>
  <c r="V519" i="5"/>
  <c r="U519" i="5"/>
  <c r="T519" i="5"/>
  <c r="BD518" i="5"/>
  <c r="BC518" i="5"/>
  <c r="BB518" i="5"/>
  <c r="BA518" i="5"/>
  <c r="AZ518" i="5"/>
  <c r="AY518" i="5"/>
  <c r="AX518" i="5"/>
  <c r="AW518" i="5"/>
  <c r="AP518" i="5"/>
  <c r="AO518" i="5"/>
  <c r="AN518" i="5"/>
  <c r="AM518" i="5"/>
  <c r="AL518" i="5"/>
  <c r="AK518" i="5"/>
  <c r="AJ518" i="5"/>
  <c r="AI518" i="5"/>
  <c r="AA518" i="5"/>
  <c r="Z518" i="5"/>
  <c r="Y518" i="5"/>
  <c r="X518" i="5"/>
  <c r="W518" i="5"/>
  <c r="V518" i="5"/>
  <c r="U518" i="5"/>
  <c r="T518" i="5"/>
  <c r="BD517" i="5"/>
  <c r="BC517" i="5"/>
  <c r="BB517" i="5"/>
  <c r="BA517" i="5"/>
  <c r="AZ517" i="5"/>
  <c r="AY517" i="5"/>
  <c r="AX517" i="5"/>
  <c r="AW517" i="5"/>
  <c r="AP517" i="5"/>
  <c r="AO517" i="5"/>
  <c r="AN517" i="5"/>
  <c r="AM517" i="5"/>
  <c r="AL517" i="5"/>
  <c r="AK517" i="5"/>
  <c r="AJ517" i="5"/>
  <c r="AI517" i="5"/>
  <c r="AA517" i="5"/>
  <c r="Z517" i="5"/>
  <c r="Y517" i="5"/>
  <c r="X517" i="5"/>
  <c r="W517" i="5"/>
  <c r="V517" i="5"/>
  <c r="U517" i="5"/>
  <c r="T517" i="5"/>
  <c r="BD516" i="5"/>
  <c r="BC516" i="5"/>
  <c r="BB516" i="5"/>
  <c r="BA516" i="5"/>
  <c r="AZ516" i="5"/>
  <c r="AY516" i="5"/>
  <c r="AX516" i="5"/>
  <c r="AW516" i="5"/>
  <c r="AP516" i="5"/>
  <c r="AO516" i="5"/>
  <c r="AN516" i="5"/>
  <c r="AM516" i="5"/>
  <c r="AL516" i="5"/>
  <c r="AK516" i="5"/>
  <c r="AJ516" i="5"/>
  <c r="AI516" i="5"/>
  <c r="AA516" i="5"/>
  <c r="Z516" i="5"/>
  <c r="Y516" i="5"/>
  <c r="X516" i="5"/>
  <c r="W516" i="5"/>
  <c r="V516" i="5"/>
  <c r="U516" i="5"/>
  <c r="T516" i="5"/>
  <c r="BD515" i="5"/>
  <c r="BC515" i="5"/>
  <c r="BB515" i="5"/>
  <c r="BA515" i="5"/>
  <c r="AZ515" i="5"/>
  <c r="AY515" i="5"/>
  <c r="AX515" i="5"/>
  <c r="AW515" i="5"/>
  <c r="AP515" i="5"/>
  <c r="AO515" i="5"/>
  <c r="AN515" i="5"/>
  <c r="AM515" i="5"/>
  <c r="AL515" i="5"/>
  <c r="AK515" i="5"/>
  <c r="AJ515" i="5"/>
  <c r="AI515" i="5"/>
  <c r="AA515" i="5"/>
  <c r="Z515" i="5"/>
  <c r="Y515" i="5"/>
  <c r="X515" i="5"/>
  <c r="W515" i="5"/>
  <c r="V515" i="5"/>
  <c r="U515" i="5"/>
  <c r="T515" i="5"/>
  <c r="BD514" i="5"/>
  <c r="BC514" i="5"/>
  <c r="BB514" i="5"/>
  <c r="BA514" i="5"/>
  <c r="AZ514" i="5"/>
  <c r="AY514" i="5"/>
  <c r="AX514" i="5"/>
  <c r="AW514" i="5"/>
  <c r="AP514" i="5"/>
  <c r="AO514" i="5"/>
  <c r="AN514" i="5"/>
  <c r="AM514" i="5"/>
  <c r="AL514" i="5"/>
  <c r="AK514" i="5"/>
  <c r="AJ514" i="5"/>
  <c r="AI514" i="5"/>
  <c r="AA514" i="5"/>
  <c r="Z514" i="5"/>
  <c r="Y514" i="5"/>
  <c r="X514" i="5"/>
  <c r="W514" i="5"/>
  <c r="V514" i="5"/>
  <c r="U514" i="5"/>
  <c r="T514" i="5"/>
  <c r="BD513" i="5"/>
  <c r="BC513" i="5"/>
  <c r="BB513" i="5"/>
  <c r="BA513" i="5"/>
  <c r="AZ513" i="5"/>
  <c r="AY513" i="5"/>
  <c r="AX513" i="5"/>
  <c r="AW513" i="5"/>
  <c r="AP513" i="5"/>
  <c r="AO513" i="5"/>
  <c r="AN513" i="5"/>
  <c r="AM513" i="5"/>
  <c r="AL513" i="5"/>
  <c r="AK513" i="5"/>
  <c r="AJ513" i="5"/>
  <c r="AI513" i="5"/>
  <c r="AA513" i="5"/>
  <c r="Z513" i="5"/>
  <c r="Y513" i="5"/>
  <c r="X513" i="5"/>
  <c r="W513" i="5"/>
  <c r="V513" i="5"/>
  <c r="U513" i="5"/>
  <c r="T513" i="5"/>
  <c r="BD512" i="5"/>
  <c r="BC512" i="5"/>
  <c r="BB512" i="5"/>
  <c r="BA512" i="5"/>
  <c r="AZ512" i="5"/>
  <c r="AY512" i="5"/>
  <c r="AX512" i="5"/>
  <c r="AW512" i="5"/>
  <c r="AP512" i="5"/>
  <c r="AO512" i="5"/>
  <c r="AN512" i="5"/>
  <c r="AM512" i="5"/>
  <c r="AL512" i="5"/>
  <c r="AK512" i="5"/>
  <c r="AJ512" i="5"/>
  <c r="AI512" i="5"/>
  <c r="AA512" i="5"/>
  <c r="Z512" i="5"/>
  <c r="Y512" i="5"/>
  <c r="X512" i="5"/>
  <c r="W512" i="5"/>
  <c r="V512" i="5"/>
  <c r="U512" i="5"/>
  <c r="T512" i="5"/>
  <c r="BD511" i="5"/>
  <c r="BC511" i="5"/>
  <c r="BB511" i="5"/>
  <c r="BA511" i="5"/>
  <c r="AZ511" i="5"/>
  <c r="AY511" i="5"/>
  <c r="AX511" i="5"/>
  <c r="AW511" i="5"/>
  <c r="AP511" i="5"/>
  <c r="AO511" i="5"/>
  <c r="AN511" i="5"/>
  <c r="AM511" i="5"/>
  <c r="AL511" i="5"/>
  <c r="AK511" i="5"/>
  <c r="AJ511" i="5"/>
  <c r="AI511" i="5"/>
  <c r="AA511" i="5"/>
  <c r="Z511" i="5"/>
  <c r="Y511" i="5"/>
  <c r="X511" i="5"/>
  <c r="W511" i="5"/>
  <c r="V511" i="5"/>
  <c r="U511" i="5"/>
  <c r="T511" i="5"/>
  <c r="BD510" i="5"/>
  <c r="BC510" i="5"/>
  <c r="BB510" i="5"/>
  <c r="BA510" i="5"/>
  <c r="AZ510" i="5"/>
  <c r="AY510" i="5"/>
  <c r="AX510" i="5"/>
  <c r="AW510" i="5"/>
  <c r="AP510" i="5"/>
  <c r="AO510" i="5"/>
  <c r="AN510" i="5"/>
  <c r="AM510" i="5"/>
  <c r="AL510" i="5"/>
  <c r="AK510" i="5"/>
  <c r="AJ510" i="5"/>
  <c r="AI510" i="5"/>
  <c r="AA510" i="5"/>
  <c r="Z510" i="5"/>
  <c r="Y510" i="5"/>
  <c r="X510" i="5"/>
  <c r="W510" i="5"/>
  <c r="V510" i="5"/>
  <c r="U510" i="5"/>
  <c r="T510" i="5"/>
  <c r="BD509" i="5"/>
  <c r="BC509" i="5"/>
  <c r="BB509" i="5"/>
  <c r="BA509" i="5"/>
  <c r="AZ509" i="5"/>
  <c r="AY509" i="5"/>
  <c r="AX509" i="5"/>
  <c r="AW509" i="5"/>
  <c r="AP509" i="5"/>
  <c r="AO509" i="5"/>
  <c r="AN509" i="5"/>
  <c r="AM509" i="5"/>
  <c r="AL509" i="5"/>
  <c r="AK509" i="5"/>
  <c r="AJ509" i="5"/>
  <c r="AI509" i="5"/>
  <c r="AA509" i="5"/>
  <c r="Z509" i="5"/>
  <c r="Y509" i="5"/>
  <c r="X509" i="5"/>
  <c r="W509" i="5"/>
  <c r="V509" i="5"/>
  <c r="U509" i="5"/>
  <c r="T509" i="5"/>
  <c r="BD508" i="5"/>
  <c r="BC508" i="5"/>
  <c r="BB508" i="5"/>
  <c r="BA508" i="5"/>
  <c r="AZ508" i="5"/>
  <c r="AY508" i="5"/>
  <c r="AX508" i="5"/>
  <c r="AW508" i="5"/>
  <c r="AP508" i="5"/>
  <c r="AO508" i="5"/>
  <c r="AN508" i="5"/>
  <c r="AM508" i="5"/>
  <c r="AL508" i="5"/>
  <c r="AK508" i="5"/>
  <c r="AJ508" i="5"/>
  <c r="AI508" i="5"/>
  <c r="AA508" i="5"/>
  <c r="Z508" i="5"/>
  <c r="Y508" i="5"/>
  <c r="X508" i="5"/>
  <c r="W508" i="5"/>
  <c r="V508" i="5"/>
  <c r="U508" i="5"/>
  <c r="T508" i="5"/>
  <c r="BD507" i="5"/>
  <c r="BC507" i="5"/>
  <c r="BB507" i="5"/>
  <c r="BA507" i="5"/>
  <c r="AZ507" i="5"/>
  <c r="AY507" i="5"/>
  <c r="AX507" i="5"/>
  <c r="AW507" i="5"/>
  <c r="AP507" i="5"/>
  <c r="AO507" i="5"/>
  <c r="AN507" i="5"/>
  <c r="AM507" i="5"/>
  <c r="AL507" i="5"/>
  <c r="AK507" i="5"/>
  <c r="AJ507" i="5"/>
  <c r="AI507" i="5"/>
  <c r="AA507" i="5"/>
  <c r="Z507" i="5"/>
  <c r="Y507" i="5"/>
  <c r="X507" i="5"/>
  <c r="W507" i="5"/>
  <c r="V507" i="5"/>
  <c r="U507" i="5"/>
  <c r="T507" i="5"/>
  <c r="BD506" i="5"/>
  <c r="BC506" i="5"/>
  <c r="BB506" i="5"/>
  <c r="BA506" i="5"/>
  <c r="AZ506" i="5"/>
  <c r="AY506" i="5"/>
  <c r="AX506" i="5"/>
  <c r="AW506" i="5"/>
  <c r="AP506" i="5"/>
  <c r="AO506" i="5"/>
  <c r="AN506" i="5"/>
  <c r="AM506" i="5"/>
  <c r="AL506" i="5"/>
  <c r="AK506" i="5"/>
  <c r="AJ506" i="5"/>
  <c r="AI506" i="5"/>
  <c r="AA506" i="5"/>
  <c r="Z506" i="5"/>
  <c r="Y506" i="5"/>
  <c r="X506" i="5"/>
  <c r="W506" i="5"/>
  <c r="V506" i="5"/>
  <c r="U506" i="5"/>
  <c r="T506" i="5"/>
  <c r="BD505" i="5"/>
  <c r="BC505" i="5"/>
  <c r="BB505" i="5"/>
  <c r="BA505" i="5"/>
  <c r="AZ505" i="5"/>
  <c r="AY505" i="5"/>
  <c r="AX505" i="5"/>
  <c r="AW505" i="5"/>
  <c r="AP505" i="5"/>
  <c r="AO505" i="5"/>
  <c r="AN505" i="5"/>
  <c r="AM505" i="5"/>
  <c r="AL505" i="5"/>
  <c r="AK505" i="5"/>
  <c r="AJ505" i="5"/>
  <c r="AI505" i="5"/>
  <c r="AA505" i="5"/>
  <c r="Z505" i="5"/>
  <c r="Y505" i="5"/>
  <c r="X505" i="5"/>
  <c r="W505" i="5"/>
  <c r="V505" i="5"/>
  <c r="U505" i="5"/>
  <c r="T505" i="5"/>
  <c r="BD504" i="5"/>
  <c r="BC504" i="5"/>
  <c r="BB504" i="5"/>
  <c r="BA504" i="5"/>
  <c r="AZ504" i="5"/>
  <c r="AY504" i="5"/>
  <c r="AX504" i="5"/>
  <c r="AW504" i="5"/>
  <c r="AP504" i="5"/>
  <c r="AO504" i="5"/>
  <c r="AN504" i="5"/>
  <c r="AM504" i="5"/>
  <c r="AL504" i="5"/>
  <c r="AK504" i="5"/>
  <c r="AJ504" i="5"/>
  <c r="AI504" i="5"/>
  <c r="AA504" i="5"/>
  <c r="Z504" i="5"/>
  <c r="Y504" i="5"/>
  <c r="X504" i="5"/>
  <c r="W504" i="5"/>
  <c r="V504" i="5"/>
  <c r="U504" i="5"/>
  <c r="T504" i="5"/>
  <c r="BD503" i="5"/>
  <c r="BC503" i="5"/>
  <c r="BB503" i="5"/>
  <c r="BA503" i="5"/>
  <c r="AZ503" i="5"/>
  <c r="AY503" i="5"/>
  <c r="AX503" i="5"/>
  <c r="AW503" i="5"/>
  <c r="AP503" i="5"/>
  <c r="AO503" i="5"/>
  <c r="AN503" i="5"/>
  <c r="AM503" i="5"/>
  <c r="AL503" i="5"/>
  <c r="AK503" i="5"/>
  <c r="AJ503" i="5"/>
  <c r="AI503" i="5"/>
  <c r="AA503" i="5"/>
  <c r="Z503" i="5"/>
  <c r="Y503" i="5"/>
  <c r="X503" i="5"/>
  <c r="W503" i="5"/>
  <c r="V503" i="5"/>
  <c r="U503" i="5"/>
  <c r="T503" i="5"/>
  <c r="BD502" i="5"/>
  <c r="BC502" i="5"/>
  <c r="BB502" i="5"/>
  <c r="BA502" i="5"/>
  <c r="AZ502" i="5"/>
  <c r="AY502" i="5"/>
  <c r="AX502" i="5"/>
  <c r="AW502" i="5"/>
  <c r="AP502" i="5"/>
  <c r="AO502" i="5"/>
  <c r="AN502" i="5"/>
  <c r="AM502" i="5"/>
  <c r="AL502" i="5"/>
  <c r="AK502" i="5"/>
  <c r="AJ502" i="5"/>
  <c r="AI502" i="5"/>
  <c r="AA502" i="5"/>
  <c r="Z502" i="5"/>
  <c r="Y502" i="5"/>
  <c r="X502" i="5"/>
  <c r="W502" i="5"/>
  <c r="V502" i="5"/>
  <c r="U502" i="5"/>
  <c r="T502" i="5"/>
  <c r="BD501" i="5"/>
  <c r="BC501" i="5"/>
  <c r="BB501" i="5"/>
  <c r="BA501" i="5"/>
  <c r="AZ501" i="5"/>
  <c r="AY501" i="5"/>
  <c r="AX501" i="5"/>
  <c r="AW501" i="5"/>
  <c r="AP501" i="5"/>
  <c r="AO501" i="5"/>
  <c r="AN501" i="5"/>
  <c r="AM501" i="5"/>
  <c r="AL501" i="5"/>
  <c r="AK501" i="5"/>
  <c r="AJ501" i="5"/>
  <c r="AI501" i="5"/>
  <c r="AA501" i="5"/>
  <c r="Z501" i="5"/>
  <c r="Y501" i="5"/>
  <c r="X501" i="5"/>
  <c r="W501" i="5"/>
  <c r="V501" i="5"/>
  <c r="U501" i="5"/>
  <c r="T501" i="5"/>
  <c r="BD500" i="5"/>
  <c r="BC500" i="5"/>
  <c r="BB500" i="5"/>
  <c r="BA500" i="5"/>
  <c r="AZ500" i="5"/>
  <c r="AY500" i="5"/>
  <c r="AX500" i="5"/>
  <c r="AW500" i="5"/>
  <c r="AP500" i="5"/>
  <c r="AO500" i="5"/>
  <c r="AN500" i="5"/>
  <c r="AM500" i="5"/>
  <c r="AL500" i="5"/>
  <c r="AK500" i="5"/>
  <c r="AJ500" i="5"/>
  <c r="AI500" i="5"/>
  <c r="AA500" i="5"/>
  <c r="Z500" i="5"/>
  <c r="Y500" i="5"/>
  <c r="X500" i="5"/>
  <c r="W500" i="5"/>
  <c r="V500" i="5"/>
  <c r="U500" i="5"/>
  <c r="T500" i="5"/>
  <c r="BD499" i="5"/>
  <c r="BC499" i="5"/>
  <c r="BB499" i="5"/>
  <c r="BA499" i="5"/>
  <c r="AZ499" i="5"/>
  <c r="AY499" i="5"/>
  <c r="AX499" i="5"/>
  <c r="AW499" i="5"/>
  <c r="AP499" i="5"/>
  <c r="AO499" i="5"/>
  <c r="AN499" i="5"/>
  <c r="AM499" i="5"/>
  <c r="AL499" i="5"/>
  <c r="AK499" i="5"/>
  <c r="AJ499" i="5"/>
  <c r="AI499" i="5"/>
  <c r="AA499" i="5"/>
  <c r="Z499" i="5"/>
  <c r="Y499" i="5"/>
  <c r="X499" i="5"/>
  <c r="W499" i="5"/>
  <c r="V499" i="5"/>
  <c r="U499" i="5"/>
  <c r="T499" i="5"/>
  <c r="BD498" i="5"/>
  <c r="BC498" i="5"/>
  <c r="BB498" i="5"/>
  <c r="BA498" i="5"/>
  <c r="AZ498" i="5"/>
  <c r="AY498" i="5"/>
  <c r="AX498" i="5"/>
  <c r="AW498" i="5"/>
  <c r="AP498" i="5"/>
  <c r="AO498" i="5"/>
  <c r="AN498" i="5"/>
  <c r="AM498" i="5"/>
  <c r="AL498" i="5"/>
  <c r="AK498" i="5"/>
  <c r="AJ498" i="5"/>
  <c r="AI498" i="5"/>
  <c r="AA498" i="5"/>
  <c r="Z498" i="5"/>
  <c r="Y498" i="5"/>
  <c r="X498" i="5"/>
  <c r="W498" i="5"/>
  <c r="V498" i="5"/>
  <c r="U498" i="5"/>
  <c r="T498" i="5"/>
  <c r="BD497" i="5"/>
  <c r="BC497" i="5"/>
  <c r="BB497" i="5"/>
  <c r="BA497" i="5"/>
  <c r="AZ497" i="5"/>
  <c r="AY497" i="5"/>
  <c r="AX497" i="5"/>
  <c r="AW497" i="5"/>
  <c r="AP497" i="5"/>
  <c r="AO497" i="5"/>
  <c r="AN497" i="5"/>
  <c r="AM497" i="5"/>
  <c r="AL497" i="5"/>
  <c r="AK497" i="5"/>
  <c r="AJ497" i="5"/>
  <c r="AI497" i="5"/>
  <c r="AA497" i="5"/>
  <c r="Z497" i="5"/>
  <c r="Y497" i="5"/>
  <c r="X497" i="5"/>
  <c r="W497" i="5"/>
  <c r="V497" i="5"/>
  <c r="U497" i="5"/>
  <c r="T497" i="5"/>
  <c r="BD496" i="5"/>
  <c r="BC496" i="5"/>
  <c r="BB496" i="5"/>
  <c r="BA496" i="5"/>
  <c r="AZ496" i="5"/>
  <c r="AY496" i="5"/>
  <c r="AX496" i="5"/>
  <c r="AW496" i="5"/>
  <c r="AP496" i="5"/>
  <c r="AO496" i="5"/>
  <c r="AN496" i="5"/>
  <c r="AM496" i="5"/>
  <c r="AL496" i="5"/>
  <c r="AK496" i="5"/>
  <c r="AJ496" i="5"/>
  <c r="AI496" i="5"/>
  <c r="AA496" i="5"/>
  <c r="Z496" i="5"/>
  <c r="Y496" i="5"/>
  <c r="X496" i="5"/>
  <c r="W496" i="5"/>
  <c r="V496" i="5"/>
  <c r="U496" i="5"/>
  <c r="T496" i="5"/>
  <c r="BD495" i="5"/>
  <c r="BC495" i="5"/>
  <c r="BB495" i="5"/>
  <c r="BA495" i="5"/>
  <c r="AZ495" i="5"/>
  <c r="AY495" i="5"/>
  <c r="AX495" i="5"/>
  <c r="AW495" i="5"/>
  <c r="AP495" i="5"/>
  <c r="AO495" i="5"/>
  <c r="AN495" i="5"/>
  <c r="AM495" i="5"/>
  <c r="AL495" i="5"/>
  <c r="AK495" i="5"/>
  <c r="AJ495" i="5"/>
  <c r="AI495" i="5"/>
  <c r="AA495" i="5"/>
  <c r="Z495" i="5"/>
  <c r="Y495" i="5"/>
  <c r="X495" i="5"/>
  <c r="W495" i="5"/>
  <c r="V495" i="5"/>
  <c r="U495" i="5"/>
  <c r="T495" i="5"/>
  <c r="BD494" i="5"/>
  <c r="BC494" i="5"/>
  <c r="BB494" i="5"/>
  <c r="BA494" i="5"/>
  <c r="AZ494" i="5"/>
  <c r="AY494" i="5"/>
  <c r="AX494" i="5"/>
  <c r="AW494" i="5"/>
  <c r="AP494" i="5"/>
  <c r="AO494" i="5"/>
  <c r="AN494" i="5"/>
  <c r="AM494" i="5"/>
  <c r="AL494" i="5"/>
  <c r="AK494" i="5"/>
  <c r="AJ494" i="5"/>
  <c r="AI494" i="5"/>
  <c r="AA494" i="5"/>
  <c r="Z494" i="5"/>
  <c r="Y494" i="5"/>
  <c r="X494" i="5"/>
  <c r="W494" i="5"/>
  <c r="V494" i="5"/>
  <c r="U494" i="5"/>
  <c r="T494" i="5"/>
  <c r="BD493" i="5"/>
  <c r="BC493" i="5"/>
  <c r="BB493" i="5"/>
  <c r="BA493" i="5"/>
  <c r="AZ493" i="5"/>
  <c r="AY493" i="5"/>
  <c r="AX493" i="5"/>
  <c r="AW493" i="5"/>
  <c r="AP493" i="5"/>
  <c r="AO493" i="5"/>
  <c r="AN493" i="5"/>
  <c r="AM493" i="5"/>
  <c r="AL493" i="5"/>
  <c r="AK493" i="5"/>
  <c r="AJ493" i="5"/>
  <c r="AI493" i="5"/>
  <c r="AA493" i="5"/>
  <c r="Z493" i="5"/>
  <c r="Y493" i="5"/>
  <c r="X493" i="5"/>
  <c r="W493" i="5"/>
  <c r="V493" i="5"/>
  <c r="U493" i="5"/>
  <c r="T493" i="5"/>
  <c r="BD492" i="5"/>
  <c r="BC492" i="5"/>
  <c r="BB492" i="5"/>
  <c r="BA492" i="5"/>
  <c r="AZ492" i="5"/>
  <c r="AY492" i="5"/>
  <c r="AX492" i="5"/>
  <c r="AW492" i="5"/>
  <c r="AP492" i="5"/>
  <c r="AO492" i="5"/>
  <c r="AN492" i="5"/>
  <c r="AM492" i="5"/>
  <c r="AL492" i="5"/>
  <c r="AK492" i="5"/>
  <c r="AJ492" i="5"/>
  <c r="AI492" i="5"/>
  <c r="AA492" i="5"/>
  <c r="Z492" i="5"/>
  <c r="Y492" i="5"/>
  <c r="X492" i="5"/>
  <c r="W492" i="5"/>
  <c r="V492" i="5"/>
  <c r="U492" i="5"/>
  <c r="T492" i="5"/>
  <c r="BD491" i="5"/>
  <c r="BC491" i="5"/>
  <c r="BB491" i="5"/>
  <c r="BA491" i="5"/>
  <c r="AZ491" i="5"/>
  <c r="AY491" i="5"/>
  <c r="AX491" i="5"/>
  <c r="AW491" i="5"/>
  <c r="AP491" i="5"/>
  <c r="AO491" i="5"/>
  <c r="AN491" i="5"/>
  <c r="AM491" i="5"/>
  <c r="AL491" i="5"/>
  <c r="AK491" i="5"/>
  <c r="AJ491" i="5"/>
  <c r="AI491" i="5"/>
  <c r="AA491" i="5"/>
  <c r="Z491" i="5"/>
  <c r="Y491" i="5"/>
  <c r="X491" i="5"/>
  <c r="W491" i="5"/>
  <c r="V491" i="5"/>
  <c r="U491" i="5"/>
  <c r="T491" i="5"/>
  <c r="BD490" i="5"/>
  <c r="BC490" i="5"/>
  <c r="BB490" i="5"/>
  <c r="BA490" i="5"/>
  <c r="AZ490" i="5"/>
  <c r="AY490" i="5"/>
  <c r="AX490" i="5"/>
  <c r="AW490" i="5"/>
  <c r="AP490" i="5"/>
  <c r="AO490" i="5"/>
  <c r="AN490" i="5"/>
  <c r="AM490" i="5"/>
  <c r="AL490" i="5"/>
  <c r="AK490" i="5"/>
  <c r="AJ490" i="5"/>
  <c r="AI490" i="5"/>
  <c r="AA490" i="5"/>
  <c r="Z490" i="5"/>
  <c r="Y490" i="5"/>
  <c r="X490" i="5"/>
  <c r="W490" i="5"/>
  <c r="V490" i="5"/>
  <c r="U490" i="5"/>
  <c r="T490" i="5"/>
  <c r="BD489" i="5"/>
  <c r="BC489" i="5"/>
  <c r="BB489" i="5"/>
  <c r="BA489" i="5"/>
  <c r="AZ489" i="5"/>
  <c r="AY489" i="5"/>
  <c r="AX489" i="5"/>
  <c r="AW489" i="5"/>
  <c r="AP489" i="5"/>
  <c r="AO489" i="5"/>
  <c r="AN489" i="5"/>
  <c r="AM489" i="5"/>
  <c r="AL489" i="5"/>
  <c r="AK489" i="5"/>
  <c r="AJ489" i="5"/>
  <c r="AI489" i="5"/>
  <c r="AA489" i="5"/>
  <c r="Z489" i="5"/>
  <c r="Y489" i="5"/>
  <c r="X489" i="5"/>
  <c r="W489" i="5"/>
  <c r="V489" i="5"/>
  <c r="U489" i="5"/>
  <c r="T489" i="5"/>
  <c r="BD488" i="5"/>
  <c r="BC488" i="5"/>
  <c r="BB488" i="5"/>
  <c r="BA488" i="5"/>
  <c r="AZ488" i="5"/>
  <c r="AY488" i="5"/>
  <c r="AX488" i="5"/>
  <c r="AW488" i="5"/>
  <c r="AP488" i="5"/>
  <c r="AO488" i="5"/>
  <c r="AN488" i="5"/>
  <c r="AM488" i="5"/>
  <c r="AL488" i="5"/>
  <c r="AK488" i="5"/>
  <c r="AJ488" i="5"/>
  <c r="AI488" i="5"/>
  <c r="AA488" i="5"/>
  <c r="Z488" i="5"/>
  <c r="Y488" i="5"/>
  <c r="X488" i="5"/>
  <c r="W488" i="5"/>
  <c r="V488" i="5"/>
  <c r="U488" i="5"/>
  <c r="T488" i="5"/>
  <c r="BD487" i="5"/>
  <c r="BC487" i="5"/>
  <c r="BB487" i="5"/>
  <c r="BA487" i="5"/>
  <c r="AZ487" i="5"/>
  <c r="AY487" i="5"/>
  <c r="AX487" i="5"/>
  <c r="AW487" i="5"/>
  <c r="AP487" i="5"/>
  <c r="AO487" i="5"/>
  <c r="AN487" i="5"/>
  <c r="AM487" i="5"/>
  <c r="AL487" i="5"/>
  <c r="AK487" i="5"/>
  <c r="AJ487" i="5"/>
  <c r="AI487" i="5"/>
  <c r="AA487" i="5"/>
  <c r="Z487" i="5"/>
  <c r="Y487" i="5"/>
  <c r="X487" i="5"/>
  <c r="W487" i="5"/>
  <c r="V487" i="5"/>
  <c r="U487" i="5"/>
  <c r="T487" i="5"/>
  <c r="BD486" i="5"/>
  <c r="BC486" i="5"/>
  <c r="BB486" i="5"/>
  <c r="BA486" i="5"/>
  <c r="AZ486" i="5"/>
  <c r="AY486" i="5"/>
  <c r="AX486" i="5"/>
  <c r="AW486" i="5"/>
  <c r="AP486" i="5"/>
  <c r="AO486" i="5"/>
  <c r="AN486" i="5"/>
  <c r="AM486" i="5"/>
  <c r="AL486" i="5"/>
  <c r="AK486" i="5"/>
  <c r="AJ486" i="5"/>
  <c r="AI486" i="5"/>
  <c r="AA486" i="5"/>
  <c r="Z486" i="5"/>
  <c r="Y486" i="5"/>
  <c r="X486" i="5"/>
  <c r="W486" i="5"/>
  <c r="V486" i="5"/>
  <c r="U486" i="5"/>
  <c r="T486" i="5"/>
  <c r="BD485" i="5"/>
  <c r="BC485" i="5"/>
  <c r="BB485" i="5"/>
  <c r="BA485" i="5"/>
  <c r="AZ485" i="5"/>
  <c r="AY485" i="5"/>
  <c r="AX485" i="5"/>
  <c r="AW485" i="5"/>
  <c r="AP485" i="5"/>
  <c r="AO485" i="5"/>
  <c r="AN485" i="5"/>
  <c r="AM485" i="5"/>
  <c r="AL485" i="5"/>
  <c r="AK485" i="5"/>
  <c r="AJ485" i="5"/>
  <c r="AI485" i="5"/>
  <c r="AA485" i="5"/>
  <c r="Z485" i="5"/>
  <c r="Y485" i="5"/>
  <c r="X485" i="5"/>
  <c r="W485" i="5"/>
  <c r="V485" i="5"/>
  <c r="U485" i="5"/>
  <c r="T485" i="5"/>
  <c r="BD484" i="5"/>
  <c r="BC484" i="5"/>
  <c r="BB484" i="5"/>
  <c r="BA484" i="5"/>
  <c r="AZ484" i="5"/>
  <c r="AY484" i="5"/>
  <c r="AX484" i="5"/>
  <c r="AW484" i="5"/>
  <c r="AP484" i="5"/>
  <c r="AO484" i="5"/>
  <c r="AN484" i="5"/>
  <c r="AM484" i="5"/>
  <c r="AL484" i="5"/>
  <c r="AK484" i="5"/>
  <c r="AJ484" i="5"/>
  <c r="AI484" i="5"/>
  <c r="AA484" i="5"/>
  <c r="Z484" i="5"/>
  <c r="Y484" i="5"/>
  <c r="X484" i="5"/>
  <c r="W484" i="5"/>
  <c r="V484" i="5"/>
  <c r="U484" i="5"/>
  <c r="T484" i="5"/>
  <c r="BD483" i="5"/>
  <c r="BC483" i="5"/>
  <c r="BB483" i="5"/>
  <c r="BA483" i="5"/>
  <c r="AZ483" i="5"/>
  <c r="AY483" i="5"/>
  <c r="AX483" i="5"/>
  <c r="AW483" i="5"/>
  <c r="AP483" i="5"/>
  <c r="AO483" i="5"/>
  <c r="AN483" i="5"/>
  <c r="AM483" i="5"/>
  <c r="AL483" i="5"/>
  <c r="AK483" i="5"/>
  <c r="AJ483" i="5"/>
  <c r="AI483" i="5"/>
  <c r="AA483" i="5"/>
  <c r="Z483" i="5"/>
  <c r="Y483" i="5"/>
  <c r="X483" i="5"/>
  <c r="W483" i="5"/>
  <c r="V483" i="5"/>
  <c r="U483" i="5"/>
  <c r="T483" i="5"/>
  <c r="BD482" i="5"/>
  <c r="BC482" i="5"/>
  <c r="BB482" i="5"/>
  <c r="BA482" i="5"/>
  <c r="AZ482" i="5"/>
  <c r="AY482" i="5"/>
  <c r="AX482" i="5"/>
  <c r="AW482" i="5"/>
  <c r="AP482" i="5"/>
  <c r="AO482" i="5"/>
  <c r="AN482" i="5"/>
  <c r="AM482" i="5"/>
  <c r="AL482" i="5"/>
  <c r="AK482" i="5"/>
  <c r="AJ482" i="5"/>
  <c r="AI482" i="5"/>
  <c r="AA482" i="5"/>
  <c r="Z482" i="5"/>
  <c r="Y482" i="5"/>
  <c r="X482" i="5"/>
  <c r="W482" i="5"/>
  <c r="V482" i="5"/>
  <c r="U482" i="5"/>
  <c r="T482" i="5"/>
  <c r="BD481" i="5"/>
  <c r="BC481" i="5"/>
  <c r="BB481" i="5"/>
  <c r="BA481" i="5"/>
  <c r="AZ481" i="5"/>
  <c r="AY481" i="5"/>
  <c r="AX481" i="5"/>
  <c r="AW481" i="5"/>
  <c r="AP481" i="5"/>
  <c r="AO481" i="5"/>
  <c r="AN481" i="5"/>
  <c r="AM481" i="5"/>
  <c r="AL481" i="5"/>
  <c r="AK481" i="5"/>
  <c r="AJ481" i="5"/>
  <c r="AI481" i="5"/>
  <c r="AA481" i="5"/>
  <c r="Z481" i="5"/>
  <c r="Y481" i="5"/>
  <c r="X481" i="5"/>
  <c r="W481" i="5"/>
  <c r="V481" i="5"/>
  <c r="U481" i="5"/>
  <c r="T481" i="5"/>
  <c r="BD480" i="5"/>
  <c r="BC480" i="5"/>
  <c r="BB480" i="5"/>
  <c r="BA480" i="5"/>
  <c r="AZ480" i="5"/>
  <c r="AY480" i="5"/>
  <c r="AX480" i="5"/>
  <c r="AW480" i="5"/>
  <c r="AP480" i="5"/>
  <c r="AO480" i="5"/>
  <c r="AN480" i="5"/>
  <c r="AM480" i="5"/>
  <c r="AL480" i="5"/>
  <c r="AK480" i="5"/>
  <c r="AJ480" i="5"/>
  <c r="AI480" i="5"/>
  <c r="AA480" i="5"/>
  <c r="Z480" i="5"/>
  <c r="Y480" i="5"/>
  <c r="X480" i="5"/>
  <c r="W480" i="5"/>
  <c r="V480" i="5"/>
  <c r="U480" i="5"/>
  <c r="T480" i="5"/>
  <c r="BD479" i="5"/>
  <c r="BC479" i="5"/>
  <c r="BB479" i="5"/>
  <c r="BA479" i="5"/>
  <c r="AZ479" i="5"/>
  <c r="AY479" i="5"/>
  <c r="AX479" i="5"/>
  <c r="AW479" i="5"/>
  <c r="AP479" i="5"/>
  <c r="AO479" i="5"/>
  <c r="AN479" i="5"/>
  <c r="AM479" i="5"/>
  <c r="AL479" i="5"/>
  <c r="AK479" i="5"/>
  <c r="AJ479" i="5"/>
  <c r="AI479" i="5"/>
  <c r="AA479" i="5"/>
  <c r="Z479" i="5"/>
  <c r="Y479" i="5"/>
  <c r="X479" i="5"/>
  <c r="W479" i="5"/>
  <c r="V479" i="5"/>
  <c r="U479" i="5"/>
  <c r="T479" i="5"/>
  <c r="BD478" i="5"/>
  <c r="BC478" i="5"/>
  <c r="BB478" i="5"/>
  <c r="BA478" i="5"/>
  <c r="AZ478" i="5"/>
  <c r="AY478" i="5"/>
  <c r="AX478" i="5"/>
  <c r="AW478" i="5"/>
  <c r="AP478" i="5"/>
  <c r="AO478" i="5"/>
  <c r="AN478" i="5"/>
  <c r="AM478" i="5"/>
  <c r="AL478" i="5"/>
  <c r="AK478" i="5"/>
  <c r="AJ478" i="5"/>
  <c r="AI478" i="5"/>
  <c r="AA478" i="5"/>
  <c r="Z478" i="5"/>
  <c r="Y478" i="5"/>
  <c r="X478" i="5"/>
  <c r="W478" i="5"/>
  <c r="V478" i="5"/>
  <c r="U478" i="5"/>
  <c r="T478" i="5"/>
  <c r="BD477" i="5"/>
  <c r="BC477" i="5"/>
  <c r="BB477" i="5"/>
  <c r="BA477" i="5"/>
  <c r="AZ477" i="5"/>
  <c r="AY477" i="5"/>
  <c r="AX477" i="5"/>
  <c r="AW477" i="5"/>
  <c r="AP477" i="5"/>
  <c r="AO477" i="5"/>
  <c r="AN477" i="5"/>
  <c r="AM477" i="5"/>
  <c r="AL477" i="5"/>
  <c r="AK477" i="5"/>
  <c r="AJ477" i="5"/>
  <c r="AI477" i="5"/>
  <c r="AA477" i="5"/>
  <c r="Z477" i="5"/>
  <c r="Y477" i="5"/>
  <c r="X477" i="5"/>
  <c r="W477" i="5"/>
  <c r="V477" i="5"/>
  <c r="U477" i="5"/>
  <c r="T477" i="5"/>
  <c r="BD476" i="5"/>
  <c r="BC476" i="5"/>
  <c r="BB476" i="5"/>
  <c r="BA476" i="5"/>
  <c r="AZ476" i="5"/>
  <c r="AY476" i="5"/>
  <c r="AX476" i="5"/>
  <c r="AW476" i="5"/>
  <c r="AP476" i="5"/>
  <c r="AO476" i="5"/>
  <c r="AN476" i="5"/>
  <c r="AM476" i="5"/>
  <c r="AL476" i="5"/>
  <c r="AK476" i="5"/>
  <c r="AJ476" i="5"/>
  <c r="AI476" i="5"/>
  <c r="AA476" i="5"/>
  <c r="Z476" i="5"/>
  <c r="Y476" i="5"/>
  <c r="X476" i="5"/>
  <c r="W476" i="5"/>
  <c r="V476" i="5"/>
  <c r="U476" i="5"/>
  <c r="T476" i="5"/>
  <c r="BD475" i="5"/>
  <c r="BC475" i="5"/>
  <c r="BB475" i="5"/>
  <c r="BA475" i="5"/>
  <c r="AZ475" i="5"/>
  <c r="AY475" i="5"/>
  <c r="AX475" i="5"/>
  <c r="AW475" i="5"/>
  <c r="AP475" i="5"/>
  <c r="AO475" i="5"/>
  <c r="AN475" i="5"/>
  <c r="AM475" i="5"/>
  <c r="AL475" i="5"/>
  <c r="AK475" i="5"/>
  <c r="AJ475" i="5"/>
  <c r="AI475" i="5"/>
  <c r="AA475" i="5"/>
  <c r="Z475" i="5"/>
  <c r="Y475" i="5"/>
  <c r="X475" i="5"/>
  <c r="W475" i="5"/>
  <c r="V475" i="5"/>
  <c r="U475" i="5"/>
  <c r="T475" i="5"/>
  <c r="BD474" i="5"/>
  <c r="BC474" i="5"/>
  <c r="BB474" i="5"/>
  <c r="BA474" i="5"/>
  <c r="AZ474" i="5"/>
  <c r="AY474" i="5"/>
  <c r="AX474" i="5"/>
  <c r="AW474" i="5"/>
  <c r="AP474" i="5"/>
  <c r="AO474" i="5"/>
  <c r="AN474" i="5"/>
  <c r="AM474" i="5"/>
  <c r="AL474" i="5"/>
  <c r="AK474" i="5"/>
  <c r="AJ474" i="5"/>
  <c r="AI474" i="5"/>
  <c r="AA474" i="5"/>
  <c r="Z474" i="5"/>
  <c r="Y474" i="5"/>
  <c r="X474" i="5"/>
  <c r="W474" i="5"/>
  <c r="V474" i="5"/>
  <c r="U474" i="5"/>
  <c r="T474" i="5"/>
  <c r="BD473" i="5"/>
  <c r="BC473" i="5"/>
  <c r="BB473" i="5"/>
  <c r="BA473" i="5"/>
  <c r="AZ473" i="5"/>
  <c r="AY473" i="5"/>
  <c r="AX473" i="5"/>
  <c r="AW473" i="5"/>
  <c r="AP473" i="5"/>
  <c r="AO473" i="5"/>
  <c r="AN473" i="5"/>
  <c r="AM473" i="5"/>
  <c r="AL473" i="5"/>
  <c r="AK473" i="5"/>
  <c r="AJ473" i="5"/>
  <c r="AI473" i="5"/>
  <c r="AA473" i="5"/>
  <c r="Z473" i="5"/>
  <c r="Y473" i="5"/>
  <c r="X473" i="5"/>
  <c r="W473" i="5"/>
  <c r="V473" i="5"/>
  <c r="U473" i="5"/>
  <c r="T473" i="5"/>
  <c r="BD472" i="5"/>
  <c r="BC472" i="5"/>
  <c r="BB472" i="5"/>
  <c r="BA472" i="5"/>
  <c r="AZ472" i="5"/>
  <c r="AY472" i="5"/>
  <c r="AX472" i="5"/>
  <c r="AW472" i="5"/>
  <c r="AP472" i="5"/>
  <c r="AO472" i="5"/>
  <c r="AN472" i="5"/>
  <c r="AM472" i="5"/>
  <c r="AL472" i="5"/>
  <c r="AK472" i="5"/>
  <c r="AJ472" i="5"/>
  <c r="AI472" i="5"/>
  <c r="AA472" i="5"/>
  <c r="Z472" i="5"/>
  <c r="Y472" i="5"/>
  <c r="X472" i="5"/>
  <c r="W472" i="5"/>
  <c r="V472" i="5"/>
  <c r="U472" i="5"/>
  <c r="T472" i="5"/>
  <c r="BD471" i="5"/>
  <c r="BC471" i="5"/>
  <c r="BB471" i="5"/>
  <c r="BA471" i="5"/>
  <c r="AZ471" i="5"/>
  <c r="AY471" i="5"/>
  <c r="AX471" i="5"/>
  <c r="AW471" i="5"/>
  <c r="AP471" i="5"/>
  <c r="AO471" i="5"/>
  <c r="AN471" i="5"/>
  <c r="AM471" i="5"/>
  <c r="AL471" i="5"/>
  <c r="AK471" i="5"/>
  <c r="AJ471" i="5"/>
  <c r="AI471" i="5"/>
  <c r="AA471" i="5"/>
  <c r="Z471" i="5"/>
  <c r="Y471" i="5"/>
  <c r="X471" i="5"/>
  <c r="W471" i="5"/>
  <c r="V471" i="5"/>
  <c r="U471" i="5"/>
  <c r="T471" i="5"/>
  <c r="BD470" i="5"/>
  <c r="BC470" i="5"/>
  <c r="BB470" i="5"/>
  <c r="BA470" i="5"/>
  <c r="AZ470" i="5"/>
  <c r="AY470" i="5"/>
  <c r="AX470" i="5"/>
  <c r="AW470" i="5"/>
  <c r="AP470" i="5"/>
  <c r="AO470" i="5"/>
  <c r="AN470" i="5"/>
  <c r="AM470" i="5"/>
  <c r="AL470" i="5"/>
  <c r="AK470" i="5"/>
  <c r="AJ470" i="5"/>
  <c r="AI470" i="5"/>
  <c r="AA470" i="5"/>
  <c r="Z470" i="5"/>
  <c r="Y470" i="5"/>
  <c r="X470" i="5"/>
  <c r="W470" i="5"/>
  <c r="V470" i="5"/>
  <c r="U470" i="5"/>
  <c r="T470" i="5"/>
  <c r="BD469" i="5"/>
  <c r="BC469" i="5"/>
  <c r="BB469" i="5"/>
  <c r="BA469" i="5"/>
  <c r="AZ469" i="5"/>
  <c r="AY469" i="5"/>
  <c r="AX469" i="5"/>
  <c r="AW469" i="5"/>
  <c r="AP469" i="5"/>
  <c r="AO469" i="5"/>
  <c r="AN469" i="5"/>
  <c r="AM469" i="5"/>
  <c r="AL469" i="5"/>
  <c r="AK469" i="5"/>
  <c r="AJ469" i="5"/>
  <c r="AI469" i="5"/>
  <c r="AA469" i="5"/>
  <c r="Z469" i="5"/>
  <c r="Y469" i="5"/>
  <c r="X469" i="5"/>
  <c r="W469" i="5"/>
  <c r="V469" i="5"/>
  <c r="U469" i="5"/>
  <c r="T469" i="5"/>
  <c r="BD468" i="5"/>
  <c r="BC468" i="5"/>
  <c r="BB468" i="5"/>
  <c r="BA468" i="5"/>
  <c r="AZ468" i="5"/>
  <c r="AY468" i="5"/>
  <c r="AX468" i="5"/>
  <c r="AW468" i="5"/>
  <c r="AP468" i="5"/>
  <c r="AO468" i="5"/>
  <c r="AN468" i="5"/>
  <c r="AM468" i="5"/>
  <c r="AL468" i="5"/>
  <c r="AK468" i="5"/>
  <c r="AJ468" i="5"/>
  <c r="AI468" i="5"/>
  <c r="AA468" i="5"/>
  <c r="Z468" i="5"/>
  <c r="Y468" i="5"/>
  <c r="X468" i="5"/>
  <c r="W468" i="5"/>
  <c r="V468" i="5"/>
  <c r="U468" i="5"/>
  <c r="T468" i="5"/>
  <c r="BD467" i="5"/>
  <c r="BC467" i="5"/>
  <c r="BB467" i="5"/>
  <c r="BA467" i="5"/>
  <c r="AZ467" i="5"/>
  <c r="AY467" i="5"/>
  <c r="AX467" i="5"/>
  <c r="AW467" i="5"/>
  <c r="AP467" i="5"/>
  <c r="AO467" i="5"/>
  <c r="AN467" i="5"/>
  <c r="AM467" i="5"/>
  <c r="AL467" i="5"/>
  <c r="AK467" i="5"/>
  <c r="AJ467" i="5"/>
  <c r="AI467" i="5"/>
  <c r="AA467" i="5"/>
  <c r="Z467" i="5"/>
  <c r="Y467" i="5"/>
  <c r="X467" i="5"/>
  <c r="W467" i="5"/>
  <c r="V467" i="5"/>
  <c r="U467" i="5"/>
  <c r="T467" i="5"/>
  <c r="BD466" i="5"/>
  <c r="BC466" i="5"/>
  <c r="BB466" i="5"/>
  <c r="BA466" i="5"/>
  <c r="AZ466" i="5"/>
  <c r="AY466" i="5"/>
  <c r="AX466" i="5"/>
  <c r="AW466" i="5"/>
  <c r="AP466" i="5"/>
  <c r="AO466" i="5"/>
  <c r="AN466" i="5"/>
  <c r="AM466" i="5"/>
  <c r="AL466" i="5"/>
  <c r="AK466" i="5"/>
  <c r="AJ466" i="5"/>
  <c r="AI466" i="5"/>
  <c r="AA466" i="5"/>
  <c r="Z466" i="5"/>
  <c r="Y466" i="5"/>
  <c r="X466" i="5"/>
  <c r="W466" i="5"/>
  <c r="V466" i="5"/>
  <c r="U466" i="5"/>
  <c r="T466" i="5"/>
  <c r="BD465" i="5"/>
  <c r="BC465" i="5"/>
  <c r="BB465" i="5"/>
  <c r="BA465" i="5"/>
  <c r="AZ465" i="5"/>
  <c r="AY465" i="5"/>
  <c r="AX465" i="5"/>
  <c r="AW465" i="5"/>
  <c r="AP465" i="5"/>
  <c r="AO465" i="5"/>
  <c r="AN465" i="5"/>
  <c r="AM465" i="5"/>
  <c r="AL465" i="5"/>
  <c r="AK465" i="5"/>
  <c r="AJ465" i="5"/>
  <c r="AI465" i="5"/>
  <c r="AA465" i="5"/>
  <c r="Z465" i="5"/>
  <c r="Y465" i="5"/>
  <c r="X465" i="5"/>
  <c r="W465" i="5"/>
  <c r="V465" i="5"/>
  <c r="U465" i="5"/>
  <c r="T465" i="5"/>
  <c r="BD464" i="5"/>
  <c r="BC464" i="5"/>
  <c r="BB464" i="5"/>
  <c r="BA464" i="5"/>
  <c r="AZ464" i="5"/>
  <c r="AY464" i="5"/>
  <c r="AX464" i="5"/>
  <c r="AW464" i="5"/>
  <c r="AP464" i="5"/>
  <c r="AO464" i="5"/>
  <c r="AN464" i="5"/>
  <c r="AM464" i="5"/>
  <c r="AL464" i="5"/>
  <c r="AK464" i="5"/>
  <c r="AJ464" i="5"/>
  <c r="AI464" i="5"/>
  <c r="AA464" i="5"/>
  <c r="Z464" i="5"/>
  <c r="Y464" i="5"/>
  <c r="X464" i="5"/>
  <c r="W464" i="5"/>
  <c r="V464" i="5"/>
  <c r="U464" i="5"/>
  <c r="T464" i="5"/>
  <c r="BD463" i="5"/>
  <c r="BC463" i="5"/>
  <c r="BB463" i="5"/>
  <c r="BA463" i="5"/>
  <c r="AZ463" i="5"/>
  <c r="AY463" i="5"/>
  <c r="AX463" i="5"/>
  <c r="AW463" i="5"/>
  <c r="AP463" i="5"/>
  <c r="AO463" i="5"/>
  <c r="AN463" i="5"/>
  <c r="AM463" i="5"/>
  <c r="AL463" i="5"/>
  <c r="AK463" i="5"/>
  <c r="AJ463" i="5"/>
  <c r="AI463" i="5"/>
  <c r="AA463" i="5"/>
  <c r="Z463" i="5"/>
  <c r="Y463" i="5"/>
  <c r="X463" i="5"/>
  <c r="W463" i="5"/>
  <c r="V463" i="5"/>
  <c r="U463" i="5"/>
  <c r="T463" i="5"/>
  <c r="BD462" i="5"/>
  <c r="BC462" i="5"/>
  <c r="BB462" i="5"/>
  <c r="BA462" i="5"/>
  <c r="AZ462" i="5"/>
  <c r="AY462" i="5"/>
  <c r="AX462" i="5"/>
  <c r="AW462" i="5"/>
  <c r="AP462" i="5"/>
  <c r="AO462" i="5"/>
  <c r="AN462" i="5"/>
  <c r="AM462" i="5"/>
  <c r="AL462" i="5"/>
  <c r="AK462" i="5"/>
  <c r="AJ462" i="5"/>
  <c r="AI462" i="5"/>
  <c r="AA462" i="5"/>
  <c r="Z462" i="5"/>
  <c r="Y462" i="5"/>
  <c r="X462" i="5"/>
  <c r="W462" i="5"/>
  <c r="V462" i="5"/>
  <c r="U462" i="5"/>
  <c r="T462" i="5"/>
  <c r="BD461" i="5"/>
  <c r="BC461" i="5"/>
  <c r="BB461" i="5"/>
  <c r="BA461" i="5"/>
  <c r="AZ461" i="5"/>
  <c r="AY461" i="5"/>
  <c r="AX461" i="5"/>
  <c r="AW461" i="5"/>
  <c r="AP461" i="5"/>
  <c r="AO461" i="5"/>
  <c r="AN461" i="5"/>
  <c r="AM461" i="5"/>
  <c r="AL461" i="5"/>
  <c r="AK461" i="5"/>
  <c r="AJ461" i="5"/>
  <c r="AI461" i="5"/>
  <c r="AA461" i="5"/>
  <c r="Z461" i="5"/>
  <c r="Y461" i="5"/>
  <c r="X461" i="5"/>
  <c r="W461" i="5"/>
  <c r="V461" i="5"/>
  <c r="U461" i="5"/>
  <c r="T461" i="5"/>
  <c r="BD460" i="5"/>
  <c r="BC460" i="5"/>
  <c r="BB460" i="5"/>
  <c r="BA460" i="5"/>
  <c r="AZ460" i="5"/>
  <c r="AY460" i="5"/>
  <c r="AX460" i="5"/>
  <c r="AW460" i="5"/>
  <c r="AP460" i="5"/>
  <c r="AO460" i="5"/>
  <c r="AN460" i="5"/>
  <c r="AM460" i="5"/>
  <c r="AL460" i="5"/>
  <c r="AK460" i="5"/>
  <c r="AJ460" i="5"/>
  <c r="AI460" i="5"/>
  <c r="AA460" i="5"/>
  <c r="Z460" i="5"/>
  <c r="Y460" i="5"/>
  <c r="X460" i="5"/>
  <c r="W460" i="5"/>
  <c r="V460" i="5"/>
  <c r="U460" i="5"/>
  <c r="T460" i="5"/>
  <c r="BD459" i="5"/>
  <c r="BC459" i="5"/>
  <c r="BB459" i="5"/>
  <c r="BA459" i="5"/>
  <c r="AZ459" i="5"/>
  <c r="AY459" i="5"/>
  <c r="AX459" i="5"/>
  <c r="AW459" i="5"/>
  <c r="AP459" i="5"/>
  <c r="AO459" i="5"/>
  <c r="AN459" i="5"/>
  <c r="AM459" i="5"/>
  <c r="AL459" i="5"/>
  <c r="AK459" i="5"/>
  <c r="AJ459" i="5"/>
  <c r="AI459" i="5"/>
  <c r="AA459" i="5"/>
  <c r="Z459" i="5"/>
  <c r="Y459" i="5"/>
  <c r="X459" i="5"/>
  <c r="W459" i="5"/>
  <c r="V459" i="5"/>
  <c r="U459" i="5"/>
  <c r="T459" i="5"/>
  <c r="BD458" i="5"/>
  <c r="BC458" i="5"/>
  <c r="BB458" i="5"/>
  <c r="BA458" i="5"/>
  <c r="AZ458" i="5"/>
  <c r="AY458" i="5"/>
  <c r="AX458" i="5"/>
  <c r="AW458" i="5"/>
  <c r="AP458" i="5"/>
  <c r="AO458" i="5"/>
  <c r="AN458" i="5"/>
  <c r="AM458" i="5"/>
  <c r="AL458" i="5"/>
  <c r="AK458" i="5"/>
  <c r="AJ458" i="5"/>
  <c r="AI458" i="5"/>
  <c r="AA458" i="5"/>
  <c r="Z458" i="5"/>
  <c r="Y458" i="5"/>
  <c r="X458" i="5"/>
  <c r="W458" i="5"/>
  <c r="V458" i="5"/>
  <c r="U458" i="5"/>
  <c r="T458" i="5"/>
  <c r="BD457" i="5"/>
  <c r="BC457" i="5"/>
  <c r="BB457" i="5"/>
  <c r="BA457" i="5"/>
  <c r="AZ457" i="5"/>
  <c r="AY457" i="5"/>
  <c r="AX457" i="5"/>
  <c r="AW457" i="5"/>
  <c r="AP457" i="5"/>
  <c r="AO457" i="5"/>
  <c r="AN457" i="5"/>
  <c r="AM457" i="5"/>
  <c r="AL457" i="5"/>
  <c r="AK457" i="5"/>
  <c r="AJ457" i="5"/>
  <c r="AI457" i="5"/>
  <c r="AA457" i="5"/>
  <c r="Z457" i="5"/>
  <c r="Y457" i="5"/>
  <c r="X457" i="5"/>
  <c r="W457" i="5"/>
  <c r="V457" i="5"/>
  <c r="U457" i="5"/>
  <c r="T457" i="5"/>
  <c r="BD456" i="5"/>
  <c r="BC456" i="5"/>
  <c r="BB456" i="5"/>
  <c r="BA456" i="5"/>
  <c r="AZ456" i="5"/>
  <c r="AY456" i="5"/>
  <c r="AX456" i="5"/>
  <c r="AW456" i="5"/>
  <c r="AP456" i="5"/>
  <c r="AO456" i="5"/>
  <c r="AN456" i="5"/>
  <c r="AM456" i="5"/>
  <c r="AL456" i="5"/>
  <c r="AK456" i="5"/>
  <c r="AJ456" i="5"/>
  <c r="AI456" i="5"/>
  <c r="AA456" i="5"/>
  <c r="Z456" i="5"/>
  <c r="Y456" i="5"/>
  <c r="X456" i="5"/>
  <c r="W456" i="5"/>
  <c r="V456" i="5"/>
  <c r="U456" i="5"/>
  <c r="T456" i="5"/>
  <c r="BD455" i="5"/>
  <c r="BC455" i="5"/>
  <c r="BB455" i="5"/>
  <c r="BA455" i="5"/>
  <c r="AZ455" i="5"/>
  <c r="AY455" i="5"/>
  <c r="AX455" i="5"/>
  <c r="AW455" i="5"/>
  <c r="AP455" i="5"/>
  <c r="AO455" i="5"/>
  <c r="AN455" i="5"/>
  <c r="AM455" i="5"/>
  <c r="AL455" i="5"/>
  <c r="AK455" i="5"/>
  <c r="AJ455" i="5"/>
  <c r="AI455" i="5"/>
  <c r="AA455" i="5"/>
  <c r="Z455" i="5"/>
  <c r="Y455" i="5"/>
  <c r="X455" i="5"/>
  <c r="W455" i="5"/>
  <c r="V455" i="5"/>
  <c r="U455" i="5"/>
  <c r="T455" i="5"/>
  <c r="BD454" i="5"/>
  <c r="BC454" i="5"/>
  <c r="BB454" i="5"/>
  <c r="BA454" i="5"/>
  <c r="AZ454" i="5"/>
  <c r="AY454" i="5"/>
  <c r="AX454" i="5"/>
  <c r="AW454" i="5"/>
  <c r="AP454" i="5"/>
  <c r="AO454" i="5"/>
  <c r="AN454" i="5"/>
  <c r="AM454" i="5"/>
  <c r="AL454" i="5"/>
  <c r="AK454" i="5"/>
  <c r="AJ454" i="5"/>
  <c r="AI454" i="5"/>
  <c r="AA454" i="5"/>
  <c r="Z454" i="5"/>
  <c r="Y454" i="5"/>
  <c r="X454" i="5"/>
  <c r="W454" i="5"/>
  <c r="V454" i="5"/>
  <c r="U454" i="5"/>
  <c r="T454" i="5"/>
  <c r="BD453" i="5"/>
  <c r="BC453" i="5"/>
  <c r="BB453" i="5"/>
  <c r="BA453" i="5"/>
  <c r="AZ453" i="5"/>
  <c r="AY453" i="5"/>
  <c r="AX453" i="5"/>
  <c r="AW453" i="5"/>
  <c r="AP453" i="5"/>
  <c r="AO453" i="5"/>
  <c r="AN453" i="5"/>
  <c r="AM453" i="5"/>
  <c r="AL453" i="5"/>
  <c r="AK453" i="5"/>
  <c r="AJ453" i="5"/>
  <c r="AI453" i="5"/>
  <c r="AA453" i="5"/>
  <c r="Z453" i="5"/>
  <c r="Y453" i="5"/>
  <c r="X453" i="5"/>
  <c r="W453" i="5"/>
  <c r="V453" i="5"/>
  <c r="U453" i="5"/>
  <c r="T453" i="5"/>
  <c r="BD452" i="5"/>
  <c r="BC452" i="5"/>
  <c r="BB452" i="5"/>
  <c r="BA452" i="5"/>
  <c r="AZ452" i="5"/>
  <c r="AY452" i="5"/>
  <c r="AX452" i="5"/>
  <c r="AW452" i="5"/>
  <c r="AP452" i="5"/>
  <c r="AO452" i="5"/>
  <c r="AN452" i="5"/>
  <c r="AM452" i="5"/>
  <c r="AL452" i="5"/>
  <c r="AK452" i="5"/>
  <c r="AJ452" i="5"/>
  <c r="AI452" i="5"/>
  <c r="AA452" i="5"/>
  <c r="Z452" i="5"/>
  <c r="Y452" i="5"/>
  <c r="X452" i="5"/>
  <c r="W452" i="5"/>
  <c r="V452" i="5"/>
  <c r="U452" i="5"/>
  <c r="T452" i="5"/>
  <c r="BD451" i="5"/>
  <c r="BC451" i="5"/>
  <c r="BB451" i="5"/>
  <c r="BA451" i="5"/>
  <c r="AZ451" i="5"/>
  <c r="AY451" i="5"/>
  <c r="AX451" i="5"/>
  <c r="AW451" i="5"/>
  <c r="AP451" i="5"/>
  <c r="AO451" i="5"/>
  <c r="AN451" i="5"/>
  <c r="AM451" i="5"/>
  <c r="AL451" i="5"/>
  <c r="AK451" i="5"/>
  <c r="AJ451" i="5"/>
  <c r="AI451" i="5"/>
  <c r="AA451" i="5"/>
  <c r="Z451" i="5"/>
  <c r="Y451" i="5"/>
  <c r="X451" i="5"/>
  <c r="W451" i="5"/>
  <c r="V451" i="5"/>
  <c r="U451" i="5"/>
  <c r="T451" i="5"/>
  <c r="BD450" i="5"/>
  <c r="BC450" i="5"/>
  <c r="BB450" i="5"/>
  <c r="BA450" i="5"/>
  <c r="AZ450" i="5"/>
  <c r="AY450" i="5"/>
  <c r="AX450" i="5"/>
  <c r="AW450" i="5"/>
  <c r="AP450" i="5"/>
  <c r="AO450" i="5"/>
  <c r="AN450" i="5"/>
  <c r="AM450" i="5"/>
  <c r="AL450" i="5"/>
  <c r="AK450" i="5"/>
  <c r="AJ450" i="5"/>
  <c r="AI450" i="5"/>
  <c r="AA450" i="5"/>
  <c r="Z450" i="5"/>
  <c r="Y450" i="5"/>
  <c r="X450" i="5"/>
  <c r="W450" i="5"/>
  <c r="V450" i="5"/>
  <c r="U450" i="5"/>
  <c r="T450" i="5"/>
  <c r="BD449" i="5"/>
  <c r="BC449" i="5"/>
  <c r="BB449" i="5"/>
  <c r="BA449" i="5"/>
  <c r="AZ449" i="5"/>
  <c r="AY449" i="5"/>
  <c r="AX449" i="5"/>
  <c r="AW449" i="5"/>
  <c r="AP449" i="5"/>
  <c r="AO449" i="5"/>
  <c r="AN449" i="5"/>
  <c r="AM449" i="5"/>
  <c r="AL449" i="5"/>
  <c r="AK449" i="5"/>
  <c r="AJ449" i="5"/>
  <c r="AI449" i="5"/>
  <c r="AA449" i="5"/>
  <c r="Z449" i="5"/>
  <c r="Y449" i="5"/>
  <c r="X449" i="5"/>
  <c r="W449" i="5"/>
  <c r="V449" i="5"/>
  <c r="U449" i="5"/>
  <c r="T449" i="5"/>
  <c r="BD448" i="5"/>
  <c r="BC448" i="5"/>
  <c r="BB448" i="5"/>
  <c r="BA448" i="5"/>
  <c r="AZ448" i="5"/>
  <c r="AY448" i="5"/>
  <c r="AX448" i="5"/>
  <c r="AW448" i="5"/>
  <c r="AP448" i="5"/>
  <c r="AO448" i="5"/>
  <c r="AN448" i="5"/>
  <c r="AM448" i="5"/>
  <c r="AL448" i="5"/>
  <c r="AK448" i="5"/>
  <c r="AJ448" i="5"/>
  <c r="AI448" i="5"/>
  <c r="AA448" i="5"/>
  <c r="Z448" i="5"/>
  <c r="Y448" i="5"/>
  <c r="X448" i="5"/>
  <c r="W448" i="5"/>
  <c r="V448" i="5"/>
  <c r="U448" i="5"/>
  <c r="T448" i="5"/>
  <c r="BD447" i="5"/>
  <c r="BC447" i="5"/>
  <c r="BB447" i="5"/>
  <c r="BA447" i="5"/>
  <c r="AZ447" i="5"/>
  <c r="AY447" i="5"/>
  <c r="AX447" i="5"/>
  <c r="AW447" i="5"/>
  <c r="AP447" i="5"/>
  <c r="AO447" i="5"/>
  <c r="AN447" i="5"/>
  <c r="AM447" i="5"/>
  <c r="AL447" i="5"/>
  <c r="AK447" i="5"/>
  <c r="AJ447" i="5"/>
  <c r="AI447" i="5"/>
  <c r="AA447" i="5"/>
  <c r="Z447" i="5"/>
  <c r="Y447" i="5"/>
  <c r="X447" i="5"/>
  <c r="W447" i="5"/>
  <c r="V447" i="5"/>
  <c r="U447" i="5"/>
  <c r="T447" i="5"/>
  <c r="BD446" i="5"/>
  <c r="BC446" i="5"/>
  <c r="BB446" i="5"/>
  <c r="BA446" i="5"/>
  <c r="AZ446" i="5"/>
  <c r="AY446" i="5"/>
  <c r="AX446" i="5"/>
  <c r="AW446" i="5"/>
  <c r="AP446" i="5"/>
  <c r="AO446" i="5"/>
  <c r="AN446" i="5"/>
  <c r="AM446" i="5"/>
  <c r="AL446" i="5"/>
  <c r="AK446" i="5"/>
  <c r="AJ446" i="5"/>
  <c r="AI446" i="5"/>
  <c r="AA446" i="5"/>
  <c r="Z446" i="5"/>
  <c r="Y446" i="5"/>
  <c r="X446" i="5"/>
  <c r="W446" i="5"/>
  <c r="V446" i="5"/>
  <c r="U446" i="5"/>
  <c r="T446" i="5"/>
  <c r="BD445" i="5"/>
  <c r="BC445" i="5"/>
  <c r="BB445" i="5"/>
  <c r="BA445" i="5"/>
  <c r="AZ445" i="5"/>
  <c r="AY445" i="5"/>
  <c r="AX445" i="5"/>
  <c r="AW445" i="5"/>
  <c r="AP445" i="5"/>
  <c r="AO445" i="5"/>
  <c r="AN445" i="5"/>
  <c r="AM445" i="5"/>
  <c r="AL445" i="5"/>
  <c r="AK445" i="5"/>
  <c r="AJ445" i="5"/>
  <c r="AI445" i="5"/>
  <c r="AA445" i="5"/>
  <c r="Z445" i="5"/>
  <c r="Y445" i="5"/>
  <c r="X445" i="5"/>
  <c r="W445" i="5"/>
  <c r="V445" i="5"/>
  <c r="U445" i="5"/>
  <c r="T445" i="5"/>
  <c r="BD444" i="5"/>
  <c r="BC444" i="5"/>
  <c r="BB444" i="5"/>
  <c r="BA444" i="5"/>
  <c r="AZ444" i="5"/>
  <c r="AY444" i="5"/>
  <c r="AX444" i="5"/>
  <c r="AW444" i="5"/>
  <c r="AP444" i="5"/>
  <c r="AO444" i="5"/>
  <c r="AN444" i="5"/>
  <c r="AM444" i="5"/>
  <c r="AL444" i="5"/>
  <c r="AK444" i="5"/>
  <c r="AJ444" i="5"/>
  <c r="AI444" i="5"/>
  <c r="AA444" i="5"/>
  <c r="Z444" i="5"/>
  <c r="Y444" i="5"/>
  <c r="X444" i="5"/>
  <c r="W444" i="5"/>
  <c r="V444" i="5"/>
  <c r="U444" i="5"/>
  <c r="T444" i="5"/>
  <c r="BD443" i="5"/>
  <c r="BC443" i="5"/>
  <c r="BB443" i="5"/>
  <c r="BA443" i="5"/>
  <c r="AZ443" i="5"/>
  <c r="AY443" i="5"/>
  <c r="AX443" i="5"/>
  <c r="AW443" i="5"/>
  <c r="AP443" i="5"/>
  <c r="AO443" i="5"/>
  <c r="AN443" i="5"/>
  <c r="AM443" i="5"/>
  <c r="AL443" i="5"/>
  <c r="AK443" i="5"/>
  <c r="AJ443" i="5"/>
  <c r="AI443" i="5"/>
  <c r="AA443" i="5"/>
  <c r="Z443" i="5"/>
  <c r="Y443" i="5"/>
  <c r="X443" i="5"/>
  <c r="W443" i="5"/>
  <c r="V443" i="5"/>
  <c r="U443" i="5"/>
  <c r="T443" i="5"/>
  <c r="BD442" i="5"/>
  <c r="BC442" i="5"/>
  <c r="BB442" i="5"/>
  <c r="BA442" i="5"/>
  <c r="AZ442" i="5"/>
  <c r="AY442" i="5"/>
  <c r="AX442" i="5"/>
  <c r="AW442" i="5"/>
  <c r="AP442" i="5"/>
  <c r="AO442" i="5"/>
  <c r="AN442" i="5"/>
  <c r="AM442" i="5"/>
  <c r="AL442" i="5"/>
  <c r="AK442" i="5"/>
  <c r="AJ442" i="5"/>
  <c r="AI442" i="5"/>
  <c r="AA442" i="5"/>
  <c r="Z442" i="5"/>
  <c r="Y442" i="5"/>
  <c r="X442" i="5"/>
  <c r="W442" i="5"/>
  <c r="V442" i="5"/>
  <c r="U442" i="5"/>
  <c r="T442" i="5"/>
  <c r="BD441" i="5"/>
  <c r="BC441" i="5"/>
  <c r="BB441" i="5"/>
  <c r="BA441" i="5"/>
  <c r="AZ441" i="5"/>
  <c r="AY441" i="5"/>
  <c r="AX441" i="5"/>
  <c r="AW441" i="5"/>
  <c r="AP441" i="5"/>
  <c r="AO441" i="5"/>
  <c r="AN441" i="5"/>
  <c r="AM441" i="5"/>
  <c r="AL441" i="5"/>
  <c r="AK441" i="5"/>
  <c r="AJ441" i="5"/>
  <c r="AI441" i="5"/>
  <c r="AA441" i="5"/>
  <c r="Z441" i="5"/>
  <c r="Y441" i="5"/>
  <c r="X441" i="5"/>
  <c r="W441" i="5"/>
  <c r="V441" i="5"/>
  <c r="U441" i="5"/>
  <c r="T441" i="5"/>
  <c r="BD440" i="5"/>
  <c r="BC440" i="5"/>
  <c r="BB440" i="5"/>
  <c r="BA440" i="5"/>
  <c r="AZ440" i="5"/>
  <c r="AY440" i="5"/>
  <c r="AX440" i="5"/>
  <c r="AW440" i="5"/>
  <c r="AP440" i="5"/>
  <c r="AO440" i="5"/>
  <c r="AN440" i="5"/>
  <c r="AM440" i="5"/>
  <c r="AL440" i="5"/>
  <c r="AK440" i="5"/>
  <c r="AJ440" i="5"/>
  <c r="AI440" i="5"/>
  <c r="AA440" i="5"/>
  <c r="Z440" i="5"/>
  <c r="Y440" i="5"/>
  <c r="X440" i="5"/>
  <c r="W440" i="5"/>
  <c r="V440" i="5"/>
  <c r="U440" i="5"/>
  <c r="T440" i="5"/>
  <c r="BD439" i="5"/>
  <c r="BC439" i="5"/>
  <c r="BB439" i="5"/>
  <c r="BA439" i="5"/>
  <c r="AZ439" i="5"/>
  <c r="AY439" i="5"/>
  <c r="AX439" i="5"/>
  <c r="AW439" i="5"/>
  <c r="AP439" i="5"/>
  <c r="AO439" i="5"/>
  <c r="AN439" i="5"/>
  <c r="AM439" i="5"/>
  <c r="AL439" i="5"/>
  <c r="AK439" i="5"/>
  <c r="AJ439" i="5"/>
  <c r="AI439" i="5"/>
  <c r="AA439" i="5"/>
  <c r="Z439" i="5"/>
  <c r="Y439" i="5"/>
  <c r="X439" i="5"/>
  <c r="W439" i="5"/>
  <c r="V439" i="5"/>
  <c r="U439" i="5"/>
  <c r="T439" i="5"/>
  <c r="BD438" i="5"/>
  <c r="BC438" i="5"/>
  <c r="BB438" i="5"/>
  <c r="BA438" i="5"/>
  <c r="AZ438" i="5"/>
  <c r="AY438" i="5"/>
  <c r="AX438" i="5"/>
  <c r="AW438" i="5"/>
  <c r="AP438" i="5"/>
  <c r="AO438" i="5"/>
  <c r="AN438" i="5"/>
  <c r="AM438" i="5"/>
  <c r="AL438" i="5"/>
  <c r="AK438" i="5"/>
  <c r="AJ438" i="5"/>
  <c r="AI438" i="5"/>
  <c r="AA438" i="5"/>
  <c r="Z438" i="5"/>
  <c r="Y438" i="5"/>
  <c r="X438" i="5"/>
  <c r="W438" i="5"/>
  <c r="V438" i="5"/>
  <c r="U438" i="5"/>
  <c r="T438" i="5"/>
  <c r="BD437" i="5"/>
  <c r="BC437" i="5"/>
  <c r="BB437" i="5"/>
  <c r="BA437" i="5"/>
  <c r="AZ437" i="5"/>
  <c r="AY437" i="5"/>
  <c r="AX437" i="5"/>
  <c r="AW437" i="5"/>
  <c r="AP437" i="5"/>
  <c r="AO437" i="5"/>
  <c r="AN437" i="5"/>
  <c r="AM437" i="5"/>
  <c r="AL437" i="5"/>
  <c r="AK437" i="5"/>
  <c r="AJ437" i="5"/>
  <c r="AI437" i="5"/>
  <c r="AA437" i="5"/>
  <c r="Z437" i="5"/>
  <c r="Y437" i="5"/>
  <c r="X437" i="5"/>
  <c r="W437" i="5"/>
  <c r="V437" i="5"/>
  <c r="U437" i="5"/>
  <c r="T437" i="5"/>
  <c r="BD436" i="5"/>
  <c r="BC436" i="5"/>
  <c r="BB436" i="5"/>
  <c r="BA436" i="5"/>
  <c r="AZ436" i="5"/>
  <c r="AY436" i="5"/>
  <c r="AX436" i="5"/>
  <c r="AW436" i="5"/>
  <c r="AP436" i="5"/>
  <c r="AO436" i="5"/>
  <c r="AN436" i="5"/>
  <c r="AM436" i="5"/>
  <c r="AL436" i="5"/>
  <c r="AK436" i="5"/>
  <c r="AJ436" i="5"/>
  <c r="AI436" i="5"/>
  <c r="AA436" i="5"/>
  <c r="Z436" i="5"/>
  <c r="Y436" i="5"/>
  <c r="X436" i="5"/>
  <c r="W436" i="5"/>
  <c r="V436" i="5"/>
  <c r="U436" i="5"/>
  <c r="T436" i="5"/>
  <c r="BD435" i="5"/>
  <c r="BC435" i="5"/>
  <c r="BB435" i="5"/>
  <c r="BA435" i="5"/>
  <c r="AZ435" i="5"/>
  <c r="AY435" i="5"/>
  <c r="AX435" i="5"/>
  <c r="AW435" i="5"/>
  <c r="AP435" i="5"/>
  <c r="AO435" i="5"/>
  <c r="AN435" i="5"/>
  <c r="AM435" i="5"/>
  <c r="AL435" i="5"/>
  <c r="AK435" i="5"/>
  <c r="AJ435" i="5"/>
  <c r="AI435" i="5"/>
  <c r="AA435" i="5"/>
  <c r="Z435" i="5"/>
  <c r="Y435" i="5"/>
  <c r="X435" i="5"/>
  <c r="W435" i="5"/>
  <c r="V435" i="5"/>
  <c r="U435" i="5"/>
  <c r="T435" i="5"/>
  <c r="BD434" i="5"/>
  <c r="BC434" i="5"/>
  <c r="BB434" i="5"/>
  <c r="BA434" i="5"/>
  <c r="AZ434" i="5"/>
  <c r="AY434" i="5"/>
  <c r="AX434" i="5"/>
  <c r="AW434" i="5"/>
  <c r="AP434" i="5"/>
  <c r="AO434" i="5"/>
  <c r="AN434" i="5"/>
  <c r="AM434" i="5"/>
  <c r="AL434" i="5"/>
  <c r="AK434" i="5"/>
  <c r="AJ434" i="5"/>
  <c r="AI434" i="5"/>
  <c r="AA434" i="5"/>
  <c r="Z434" i="5"/>
  <c r="Y434" i="5"/>
  <c r="X434" i="5"/>
  <c r="W434" i="5"/>
  <c r="V434" i="5"/>
  <c r="U434" i="5"/>
  <c r="T434" i="5"/>
  <c r="BD433" i="5"/>
  <c r="BC433" i="5"/>
  <c r="BB433" i="5"/>
  <c r="BA433" i="5"/>
  <c r="AZ433" i="5"/>
  <c r="AY433" i="5"/>
  <c r="AX433" i="5"/>
  <c r="AW433" i="5"/>
  <c r="AP433" i="5"/>
  <c r="AO433" i="5"/>
  <c r="AN433" i="5"/>
  <c r="AM433" i="5"/>
  <c r="AL433" i="5"/>
  <c r="AK433" i="5"/>
  <c r="AJ433" i="5"/>
  <c r="AI433" i="5"/>
  <c r="AA433" i="5"/>
  <c r="Z433" i="5"/>
  <c r="Y433" i="5"/>
  <c r="X433" i="5"/>
  <c r="W433" i="5"/>
  <c r="V433" i="5"/>
  <c r="U433" i="5"/>
  <c r="T433" i="5"/>
  <c r="BD432" i="5"/>
  <c r="BC432" i="5"/>
  <c r="BB432" i="5"/>
  <c r="BA432" i="5"/>
  <c r="AZ432" i="5"/>
  <c r="AY432" i="5"/>
  <c r="AX432" i="5"/>
  <c r="AW432" i="5"/>
  <c r="AP432" i="5"/>
  <c r="AO432" i="5"/>
  <c r="AN432" i="5"/>
  <c r="AM432" i="5"/>
  <c r="AL432" i="5"/>
  <c r="AK432" i="5"/>
  <c r="AJ432" i="5"/>
  <c r="AI432" i="5"/>
  <c r="AA432" i="5"/>
  <c r="Z432" i="5"/>
  <c r="Y432" i="5"/>
  <c r="X432" i="5"/>
  <c r="W432" i="5"/>
  <c r="V432" i="5"/>
  <c r="U432" i="5"/>
  <c r="T432" i="5"/>
  <c r="BD431" i="5"/>
  <c r="BC431" i="5"/>
  <c r="BB431" i="5"/>
  <c r="BA431" i="5"/>
  <c r="AZ431" i="5"/>
  <c r="AY431" i="5"/>
  <c r="AX431" i="5"/>
  <c r="AW431" i="5"/>
  <c r="AP431" i="5"/>
  <c r="AO431" i="5"/>
  <c r="AN431" i="5"/>
  <c r="AM431" i="5"/>
  <c r="AL431" i="5"/>
  <c r="AK431" i="5"/>
  <c r="AJ431" i="5"/>
  <c r="AI431" i="5"/>
  <c r="AA431" i="5"/>
  <c r="Z431" i="5"/>
  <c r="Y431" i="5"/>
  <c r="X431" i="5"/>
  <c r="W431" i="5"/>
  <c r="V431" i="5"/>
  <c r="U431" i="5"/>
  <c r="T431" i="5"/>
  <c r="BD430" i="5"/>
  <c r="BC430" i="5"/>
  <c r="BB430" i="5"/>
  <c r="BA430" i="5"/>
  <c r="AZ430" i="5"/>
  <c r="AY430" i="5"/>
  <c r="AX430" i="5"/>
  <c r="AW430" i="5"/>
  <c r="AP430" i="5"/>
  <c r="AO430" i="5"/>
  <c r="AN430" i="5"/>
  <c r="AM430" i="5"/>
  <c r="AL430" i="5"/>
  <c r="AK430" i="5"/>
  <c r="AJ430" i="5"/>
  <c r="AI430" i="5"/>
  <c r="AA430" i="5"/>
  <c r="Z430" i="5"/>
  <c r="Y430" i="5"/>
  <c r="X430" i="5"/>
  <c r="W430" i="5"/>
  <c r="V430" i="5"/>
  <c r="U430" i="5"/>
  <c r="T430" i="5"/>
  <c r="BD429" i="5"/>
  <c r="BC429" i="5"/>
  <c r="BB429" i="5"/>
  <c r="BA429" i="5"/>
  <c r="AZ429" i="5"/>
  <c r="AY429" i="5"/>
  <c r="AX429" i="5"/>
  <c r="AW429" i="5"/>
  <c r="AP429" i="5"/>
  <c r="AO429" i="5"/>
  <c r="AN429" i="5"/>
  <c r="AM429" i="5"/>
  <c r="AL429" i="5"/>
  <c r="AK429" i="5"/>
  <c r="AJ429" i="5"/>
  <c r="AI429" i="5"/>
  <c r="AA429" i="5"/>
  <c r="Z429" i="5"/>
  <c r="Y429" i="5"/>
  <c r="X429" i="5"/>
  <c r="W429" i="5"/>
  <c r="V429" i="5"/>
  <c r="U429" i="5"/>
  <c r="T429" i="5"/>
  <c r="BD428" i="5"/>
  <c r="BC428" i="5"/>
  <c r="BB428" i="5"/>
  <c r="BA428" i="5"/>
  <c r="AZ428" i="5"/>
  <c r="AY428" i="5"/>
  <c r="AX428" i="5"/>
  <c r="AW428" i="5"/>
  <c r="AP428" i="5"/>
  <c r="AO428" i="5"/>
  <c r="AN428" i="5"/>
  <c r="AM428" i="5"/>
  <c r="AL428" i="5"/>
  <c r="AK428" i="5"/>
  <c r="AJ428" i="5"/>
  <c r="AI428" i="5"/>
  <c r="AA428" i="5"/>
  <c r="Z428" i="5"/>
  <c r="Y428" i="5"/>
  <c r="X428" i="5"/>
  <c r="W428" i="5"/>
  <c r="V428" i="5"/>
  <c r="U428" i="5"/>
  <c r="T428" i="5"/>
  <c r="BD427" i="5"/>
  <c r="BC427" i="5"/>
  <c r="BB427" i="5"/>
  <c r="BA427" i="5"/>
  <c r="AZ427" i="5"/>
  <c r="AY427" i="5"/>
  <c r="AX427" i="5"/>
  <c r="AW427" i="5"/>
  <c r="AP427" i="5"/>
  <c r="AO427" i="5"/>
  <c r="AN427" i="5"/>
  <c r="AM427" i="5"/>
  <c r="AL427" i="5"/>
  <c r="AK427" i="5"/>
  <c r="AJ427" i="5"/>
  <c r="AI427" i="5"/>
  <c r="AA427" i="5"/>
  <c r="Z427" i="5"/>
  <c r="Y427" i="5"/>
  <c r="X427" i="5"/>
  <c r="W427" i="5"/>
  <c r="V427" i="5"/>
  <c r="U427" i="5"/>
  <c r="T427" i="5"/>
  <c r="BD426" i="5"/>
  <c r="BC426" i="5"/>
  <c r="BB426" i="5"/>
  <c r="BA426" i="5"/>
  <c r="AZ426" i="5"/>
  <c r="AY426" i="5"/>
  <c r="AX426" i="5"/>
  <c r="AW426" i="5"/>
  <c r="AP426" i="5"/>
  <c r="AO426" i="5"/>
  <c r="AN426" i="5"/>
  <c r="AM426" i="5"/>
  <c r="AL426" i="5"/>
  <c r="AK426" i="5"/>
  <c r="AJ426" i="5"/>
  <c r="AI426" i="5"/>
  <c r="AA426" i="5"/>
  <c r="Z426" i="5"/>
  <c r="Y426" i="5"/>
  <c r="X426" i="5"/>
  <c r="W426" i="5"/>
  <c r="V426" i="5"/>
  <c r="U426" i="5"/>
  <c r="T426" i="5"/>
  <c r="BD425" i="5"/>
  <c r="BC425" i="5"/>
  <c r="BB425" i="5"/>
  <c r="BA425" i="5"/>
  <c r="AZ425" i="5"/>
  <c r="AY425" i="5"/>
  <c r="AX425" i="5"/>
  <c r="AW425" i="5"/>
  <c r="AP425" i="5"/>
  <c r="AO425" i="5"/>
  <c r="AN425" i="5"/>
  <c r="AM425" i="5"/>
  <c r="AL425" i="5"/>
  <c r="AK425" i="5"/>
  <c r="AJ425" i="5"/>
  <c r="AI425" i="5"/>
  <c r="AA425" i="5"/>
  <c r="Z425" i="5"/>
  <c r="Y425" i="5"/>
  <c r="X425" i="5"/>
  <c r="W425" i="5"/>
  <c r="V425" i="5"/>
  <c r="U425" i="5"/>
  <c r="T425" i="5"/>
  <c r="BD424" i="5"/>
  <c r="BC424" i="5"/>
  <c r="BB424" i="5"/>
  <c r="BA424" i="5"/>
  <c r="AZ424" i="5"/>
  <c r="AY424" i="5"/>
  <c r="AX424" i="5"/>
  <c r="AW424" i="5"/>
  <c r="AP424" i="5"/>
  <c r="AO424" i="5"/>
  <c r="AN424" i="5"/>
  <c r="AM424" i="5"/>
  <c r="AL424" i="5"/>
  <c r="AK424" i="5"/>
  <c r="AJ424" i="5"/>
  <c r="AI424" i="5"/>
  <c r="AA424" i="5"/>
  <c r="Z424" i="5"/>
  <c r="Y424" i="5"/>
  <c r="X424" i="5"/>
  <c r="W424" i="5"/>
  <c r="V424" i="5"/>
  <c r="U424" i="5"/>
  <c r="T424" i="5"/>
  <c r="BD423" i="5"/>
  <c r="BC423" i="5"/>
  <c r="BB423" i="5"/>
  <c r="BA423" i="5"/>
  <c r="AZ423" i="5"/>
  <c r="AY423" i="5"/>
  <c r="AX423" i="5"/>
  <c r="AW423" i="5"/>
  <c r="AP423" i="5"/>
  <c r="AO423" i="5"/>
  <c r="AN423" i="5"/>
  <c r="AM423" i="5"/>
  <c r="AL423" i="5"/>
  <c r="AK423" i="5"/>
  <c r="AJ423" i="5"/>
  <c r="AI423" i="5"/>
  <c r="AA423" i="5"/>
  <c r="Z423" i="5"/>
  <c r="Y423" i="5"/>
  <c r="X423" i="5"/>
  <c r="W423" i="5"/>
  <c r="V423" i="5"/>
  <c r="U423" i="5"/>
  <c r="T423" i="5"/>
  <c r="BD422" i="5"/>
  <c r="BC422" i="5"/>
  <c r="BB422" i="5"/>
  <c r="BA422" i="5"/>
  <c r="AZ422" i="5"/>
  <c r="AY422" i="5"/>
  <c r="AX422" i="5"/>
  <c r="AW422" i="5"/>
  <c r="AP422" i="5"/>
  <c r="AO422" i="5"/>
  <c r="AN422" i="5"/>
  <c r="AM422" i="5"/>
  <c r="AL422" i="5"/>
  <c r="AK422" i="5"/>
  <c r="AJ422" i="5"/>
  <c r="AI422" i="5"/>
  <c r="AA422" i="5"/>
  <c r="Z422" i="5"/>
  <c r="Y422" i="5"/>
  <c r="X422" i="5"/>
  <c r="W422" i="5"/>
  <c r="V422" i="5"/>
  <c r="U422" i="5"/>
  <c r="T422" i="5"/>
  <c r="BD421" i="5"/>
  <c r="BC421" i="5"/>
  <c r="BB421" i="5"/>
  <c r="BA421" i="5"/>
  <c r="AZ421" i="5"/>
  <c r="AY421" i="5"/>
  <c r="AX421" i="5"/>
  <c r="AW421" i="5"/>
  <c r="AP421" i="5"/>
  <c r="AO421" i="5"/>
  <c r="AN421" i="5"/>
  <c r="AM421" i="5"/>
  <c r="AL421" i="5"/>
  <c r="AK421" i="5"/>
  <c r="AJ421" i="5"/>
  <c r="AI421" i="5"/>
  <c r="AA421" i="5"/>
  <c r="Z421" i="5"/>
  <c r="Y421" i="5"/>
  <c r="X421" i="5"/>
  <c r="W421" i="5"/>
  <c r="V421" i="5"/>
  <c r="U421" i="5"/>
  <c r="T421" i="5"/>
  <c r="BD420" i="5"/>
  <c r="BC420" i="5"/>
  <c r="BB420" i="5"/>
  <c r="BA420" i="5"/>
  <c r="AZ420" i="5"/>
  <c r="AY420" i="5"/>
  <c r="AX420" i="5"/>
  <c r="AW420" i="5"/>
  <c r="AP420" i="5"/>
  <c r="AO420" i="5"/>
  <c r="AN420" i="5"/>
  <c r="AM420" i="5"/>
  <c r="AL420" i="5"/>
  <c r="AK420" i="5"/>
  <c r="AJ420" i="5"/>
  <c r="AI420" i="5"/>
  <c r="AA420" i="5"/>
  <c r="Z420" i="5"/>
  <c r="Y420" i="5"/>
  <c r="X420" i="5"/>
  <c r="W420" i="5"/>
  <c r="V420" i="5"/>
  <c r="U420" i="5"/>
  <c r="T420" i="5"/>
  <c r="BD419" i="5"/>
  <c r="BC419" i="5"/>
  <c r="BB419" i="5"/>
  <c r="BA419" i="5"/>
  <c r="AZ419" i="5"/>
  <c r="AY419" i="5"/>
  <c r="AX419" i="5"/>
  <c r="AW419" i="5"/>
  <c r="AP419" i="5"/>
  <c r="AO419" i="5"/>
  <c r="AN419" i="5"/>
  <c r="AM419" i="5"/>
  <c r="AL419" i="5"/>
  <c r="AK419" i="5"/>
  <c r="AJ419" i="5"/>
  <c r="AI419" i="5"/>
  <c r="AA419" i="5"/>
  <c r="Z419" i="5"/>
  <c r="Y419" i="5"/>
  <c r="X419" i="5"/>
  <c r="W419" i="5"/>
  <c r="V419" i="5"/>
  <c r="U419" i="5"/>
  <c r="T419" i="5"/>
  <c r="BD418" i="5"/>
  <c r="BC418" i="5"/>
  <c r="BB418" i="5"/>
  <c r="BA418" i="5"/>
  <c r="AZ418" i="5"/>
  <c r="AY418" i="5"/>
  <c r="AX418" i="5"/>
  <c r="AW418" i="5"/>
  <c r="AP418" i="5"/>
  <c r="AO418" i="5"/>
  <c r="AN418" i="5"/>
  <c r="AM418" i="5"/>
  <c r="AL418" i="5"/>
  <c r="AK418" i="5"/>
  <c r="AJ418" i="5"/>
  <c r="AI418" i="5"/>
  <c r="AA418" i="5"/>
  <c r="Z418" i="5"/>
  <c r="Y418" i="5"/>
  <c r="X418" i="5"/>
  <c r="W418" i="5"/>
  <c r="V418" i="5"/>
  <c r="U418" i="5"/>
  <c r="T418" i="5"/>
  <c r="BD417" i="5"/>
  <c r="BC417" i="5"/>
  <c r="BB417" i="5"/>
  <c r="BA417" i="5"/>
  <c r="AZ417" i="5"/>
  <c r="AY417" i="5"/>
  <c r="AX417" i="5"/>
  <c r="AW417" i="5"/>
  <c r="AP417" i="5"/>
  <c r="AO417" i="5"/>
  <c r="AN417" i="5"/>
  <c r="AM417" i="5"/>
  <c r="AL417" i="5"/>
  <c r="AK417" i="5"/>
  <c r="AJ417" i="5"/>
  <c r="AI417" i="5"/>
  <c r="AA417" i="5"/>
  <c r="Z417" i="5"/>
  <c r="Y417" i="5"/>
  <c r="X417" i="5"/>
  <c r="W417" i="5"/>
  <c r="V417" i="5"/>
  <c r="U417" i="5"/>
  <c r="T417" i="5"/>
  <c r="BD416" i="5"/>
  <c r="BC416" i="5"/>
  <c r="BB416" i="5"/>
  <c r="BA416" i="5"/>
  <c r="AZ416" i="5"/>
  <c r="AY416" i="5"/>
  <c r="AX416" i="5"/>
  <c r="AW416" i="5"/>
  <c r="AP416" i="5"/>
  <c r="AO416" i="5"/>
  <c r="AN416" i="5"/>
  <c r="AM416" i="5"/>
  <c r="AL416" i="5"/>
  <c r="AK416" i="5"/>
  <c r="AJ416" i="5"/>
  <c r="AI416" i="5"/>
  <c r="AA416" i="5"/>
  <c r="Z416" i="5"/>
  <c r="Y416" i="5"/>
  <c r="X416" i="5"/>
  <c r="W416" i="5"/>
  <c r="V416" i="5"/>
  <c r="U416" i="5"/>
  <c r="T416" i="5"/>
  <c r="BD415" i="5"/>
  <c r="BC415" i="5"/>
  <c r="BB415" i="5"/>
  <c r="BA415" i="5"/>
  <c r="AZ415" i="5"/>
  <c r="AY415" i="5"/>
  <c r="AX415" i="5"/>
  <c r="AW415" i="5"/>
  <c r="AP415" i="5"/>
  <c r="AO415" i="5"/>
  <c r="AN415" i="5"/>
  <c r="AM415" i="5"/>
  <c r="AL415" i="5"/>
  <c r="AK415" i="5"/>
  <c r="AJ415" i="5"/>
  <c r="AI415" i="5"/>
  <c r="AA415" i="5"/>
  <c r="Z415" i="5"/>
  <c r="Y415" i="5"/>
  <c r="X415" i="5"/>
  <c r="W415" i="5"/>
  <c r="V415" i="5"/>
  <c r="U415" i="5"/>
  <c r="T415" i="5"/>
  <c r="BD414" i="5"/>
  <c r="BC414" i="5"/>
  <c r="BB414" i="5"/>
  <c r="BA414" i="5"/>
  <c r="AZ414" i="5"/>
  <c r="AY414" i="5"/>
  <c r="AX414" i="5"/>
  <c r="AW414" i="5"/>
  <c r="AP414" i="5"/>
  <c r="AO414" i="5"/>
  <c r="AN414" i="5"/>
  <c r="AM414" i="5"/>
  <c r="AL414" i="5"/>
  <c r="AK414" i="5"/>
  <c r="AJ414" i="5"/>
  <c r="AI414" i="5"/>
  <c r="AA414" i="5"/>
  <c r="Z414" i="5"/>
  <c r="Y414" i="5"/>
  <c r="X414" i="5"/>
  <c r="W414" i="5"/>
  <c r="V414" i="5"/>
  <c r="U414" i="5"/>
  <c r="T414" i="5"/>
  <c r="BD413" i="5"/>
  <c r="BC413" i="5"/>
  <c r="BB413" i="5"/>
  <c r="BA413" i="5"/>
  <c r="AZ413" i="5"/>
  <c r="AY413" i="5"/>
  <c r="AX413" i="5"/>
  <c r="AW413" i="5"/>
  <c r="AP413" i="5"/>
  <c r="AO413" i="5"/>
  <c r="AN413" i="5"/>
  <c r="AM413" i="5"/>
  <c r="AL413" i="5"/>
  <c r="AK413" i="5"/>
  <c r="AJ413" i="5"/>
  <c r="AI413" i="5"/>
  <c r="AA413" i="5"/>
  <c r="Z413" i="5"/>
  <c r="Y413" i="5"/>
  <c r="X413" i="5"/>
  <c r="W413" i="5"/>
  <c r="V413" i="5"/>
  <c r="U413" i="5"/>
  <c r="T413" i="5"/>
  <c r="BD412" i="5"/>
  <c r="BC412" i="5"/>
  <c r="BB412" i="5"/>
  <c r="BA412" i="5"/>
  <c r="AZ412" i="5"/>
  <c r="AY412" i="5"/>
  <c r="AX412" i="5"/>
  <c r="AW412" i="5"/>
  <c r="AP412" i="5"/>
  <c r="AO412" i="5"/>
  <c r="AN412" i="5"/>
  <c r="AM412" i="5"/>
  <c r="AL412" i="5"/>
  <c r="AK412" i="5"/>
  <c r="AJ412" i="5"/>
  <c r="AI412" i="5"/>
  <c r="AA412" i="5"/>
  <c r="Z412" i="5"/>
  <c r="Y412" i="5"/>
  <c r="X412" i="5"/>
  <c r="W412" i="5"/>
  <c r="V412" i="5"/>
  <c r="U412" i="5"/>
  <c r="T412" i="5"/>
  <c r="BD411" i="5"/>
  <c r="BC411" i="5"/>
  <c r="BB411" i="5"/>
  <c r="BA411" i="5"/>
  <c r="AZ411" i="5"/>
  <c r="AY411" i="5"/>
  <c r="AX411" i="5"/>
  <c r="AW411" i="5"/>
  <c r="AP411" i="5"/>
  <c r="AO411" i="5"/>
  <c r="AN411" i="5"/>
  <c r="AM411" i="5"/>
  <c r="AL411" i="5"/>
  <c r="AK411" i="5"/>
  <c r="AJ411" i="5"/>
  <c r="AI411" i="5"/>
  <c r="AA411" i="5"/>
  <c r="Z411" i="5"/>
  <c r="Y411" i="5"/>
  <c r="X411" i="5"/>
  <c r="W411" i="5"/>
  <c r="V411" i="5"/>
  <c r="U411" i="5"/>
  <c r="T411" i="5"/>
  <c r="BD410" i="5"/>
  <c r="BC410" i="5"/>
  <c r="BB410" i="5"/>
  <c r="BA410" i="5"/>
  <c r="AZ410" i="5"/>
  <c r="AY410" i="5"/>
  <c r="AX410" i="5"/>
  <c r="AW410" i="5"/>
  <c r="AP410" i="5"/>
  <c r="AO410" i="5"/>
  <c r="AN410" i="5"/>
  <c r="AM410" i="5"/>
  <c r="AL410" i="5"/>
  <c r="AK410" i="5"/>
  <c r="AJ410" i="5"/>
  <c r="AI410" i="5"/>
  <c r="AA410" i="5"/>
  <c r="Z410" i="5"/>
  <c r="Y410" i="5"/>
  <c r="X410" i="5"/>
  <c r="W410" i="5"/>
  <c r="V410" i="5"/>
  <c r="U410" i="5"/>
  <c r="T410" i="5"/>
  <c r="BD409" i="5"/>
  <c r="BC409" i="5"/>
  <c r="BB409" i="5"/>
  <c r="BA409" i="5"/>
  <c r="AZ409" i="5"/>
  <c r="AY409" i="5"/>
  <c r="AX409" i="5"/>
  <c r="AW409" i="5"/>
  <c r="AP409" i="5"/>
  <c r="AO409" i="5"/>
  <c r="AN409" i="5"/>
  <c r="AM409" i="5"/>
  <c r="AL409" i="5"/>
  <c r="AK409" i="5"/>
  <c r="AJ409" i="5"/>
  <c r="AI409" i="5"/>
  <c r="AA409" i="5"/>
  <c r="Z409" i="5"/>
  <c r="Y409" i="5"/>
  <c r="X409" i="5"/>
  <c r="W409" i="5"/>
  <c r="V409" i="5"/>
  <c r="U409" i="5"/>
  <c r="T409" i="5"/>
  <c r="BD408" i="5"/>
  <c r="BC408" i="5"/>
  <c r="BB408" i="5"/>
  <c r="BA408" i="5"/>
  <c r="AZ408" i="5"/>
  <c r="AY408" i="5"/>
  <c r="AX408" i="5"/>
  <c r="AW408" i="5"/>
  <c r="AP408" i="5"/>
  <c r="AO408" i="5"/>
  <c r="AN408" i="5"/>
  <c r="AM408" i="5"/>
  <c r="AL408" i="5"/>
  <c r="AK408" i="5"/>
  <c r="AJ408" i="5"/>
  <c r="AI408" i="5"/>
  <c r="AA408" i="5"/>
  <c r="Z408" i="5"/>
  <c r="Y408" i="5"/>
  <c r="X408" i="5"/>
  <c r="W408" i="5"/>
  <c r="V408" i="5"/>
  <c r="U408" i="5"/>
  <c r="T408" i="5"/>
  <c r="BD407" i="5"/>
  <c r="BC407" i="5"/>
  <c r="BB407" i="5"/>
  <c r="BA407" i="5"/>
  <c r="AZ407" i="5"/>
  <c r="AY407" i="5"/>
  <c r="AX407" i="5"/>
  <c r="AW407" i="5"/>
  <c r="AP407" i="5"/>
  <c r="AO407" i="5"/>
  <c r="AN407" i="5"/>
  <c r="AM407" i="5"/>
  <c r="AL407" i="5"/>
  <c r="AK407" i="5"/>
  <c r="AJ407" i="5"/>
  <c r="AI407" i="5"/>
  <c r="AA407" i="5"/>
  <c r="Z407" i="5"/>
  <c r="Y407" i="5"/>
  <c r="X407" i="5"/>
  <c r="W407" i="5"/>
  <c r="V407" i="5"/>
  <c r="U407" i="5"/>
  <c r="T407" i="5"/>
  <c r="BD406" i="5"/>
  <c r="BC406" i="5"/>
  <c r="BB406" i="5"/>
  <c r="BA406" i="5"/>
  <c r="AZ406" i="5"/>
  <c r="AY406" i="5"/>
  <c r="AX406" i="5"/>
  <c r="AW406" i="5"/>
  <c r="AP406" i="5"/>
  <c r="AO406" i="5"/>
  <c r="AN406" i="5"/>
  <c r="AM406" i="5"/>
  <c r="AL406" i="5"/>
  <c r="AK406" i="5"/>
  <c r="AJ406" i="5"/>
  <c r="AI406" i="5"/>
  <c r="AA406" i="5"/>
  <c r="Z406" i="5"/>
  <c r="Y406" i="5"/>
  <c r="X406" i="5"/>
  <c r="W406" i="5"/>
  <c r="V406" i="5"/>
  <c r="U406" i="5"/>
  <c r="T406" i="5"/>
  <c r="BD405" i="5"/>
  <c r="BC405" i="5"/>
  <c r="BB405" i="5"/>
  <c r="BA405" i="5"/>
  <c r="AZ405" i="5"/>
  <c r="AY405" i="5"/>
  <c r="AX405" i="5"/>
  <c r="AW405" i="5"/>
  <c r="AP405" i="5"/>
  <c r="AO405" i="5"/>
  <c r="AN405" i="5"/>
  <c r="AM405" i="5"/>
  <c r="AL405" i="5"/>
  <c r="AK405" i="5"/>
  <c r="AJ405" i="5"/>
  <c r="AI405" i="5"/>
  <c r="AA405" i="5"/>
  <c r="Z405" i="5"/>
  <c r="Y405" i="5"/>
  <c r="X405" i="5"/>
  <c r="W405" i="5"/>
  <c r="V405" i="5"/>
  <c r="U405" i="5"/>
  <c r="T405" i="5"/>
  <c r="BD404" i="5"/>
  <c r="BC404" i="5"/>
  <c r="BB404" i="5"/>
  <c r="BA404" i="5"/>
  <c r="AZ404" i="5"/>
  <c r="AY404" i="5"/>
  <c r="AX404" i="5"/>
  <c r="AW404" i="5"/>
  <c r="AP404" i="5"/>
  <c r="AO404" i="5"/>
  <c r="AN404" i="5"/>
  <c r="AM404" i="5"/>
  <c r="AL404" i="5"/>
  <c r="AK404" i="5"/>
  <c r="AJ404" i="5"/>
  <c r="AI404" i="5"/>
  <c r="AA404" i="5"/>
  <c r="Z404" i="5"/>
  <c r="Y404" i="5"/>
  <c r="X404" i="5"/>
  <c r="W404" i="5"/>
  <c r="V404" i="5"/>
  <c r="U404" i="5"/>
  <c r="T404" i="5"/>
  <c r="BD403" i="5"/>
  <c r="BC403" i="5"/>
  <c r="BB403" i="5"/>
  <c r="BA403" i="5"/>
  <c r="AZ403" i="5"/>
  <c r="AY403" i="5"/>
  <c r="AX403" i="5"/>
  <c r="AW403" i="5"/>
  <c r="AP403" i="5"/>
  <c r="AO403" i="5"/>
  <c r="AN403" i="5"/>
  <c r="AM403" i="5"/>
  <c r="AL403" i="5"/>
  <c r="AK403" i="5"/>
  <c r="AJ403" i="5"/>
  <c r="AI403" i="5"/>
  <c r="AA403" i="5"/>
  <c r="Z403" i="5"/>
  <c r="Y403" i="5"/>
  <c r="X403" i="5"/>
  <c r="W403" i="5"/>
  <c r="V403" i="5"/>
  <c r="U403" i="5"/>
  <c r="T403" i="5"/>
  <c r="BD402" i="5"/>
  <c r="BC402" i="5"/>
  <c r="BB402" i="5"/>
  <c r="BA402" i="5"/>
  <c r="AZ402" i="5"/>
  <c r="AY402" i="5"/>
  <c r="AX402" i="5"/>
  <c r="AW402" i="5"/>
  <c r="AP402" i="5"/>
  <c r="AO402" i="5"/>
  <c r="AN402" i="5"/>
  <c r="AM402" i="5"/>
  <c r="AL402" i="5"/>
  <c r="AK402" i="5"/>
  <c r="AJ402" i="5"/>
  <c r="AI402" i="5"/>
  <c r="AA402" i="5"/>
  <c r="Z402" i="5"/>
  <c r="Y402" i="5"/>
  <c r="X402" i="5"/>
  <c r="W402" i="5"/>
  <c r="V402" i="5"/>
  <c r="U402" i="5"/>
  <c r="T402" i="5"/>
  <c r="BD401" i="5"/>
  <c r="BC401" i="5"/>
  <c r="BB401" i="5"/>
  <c r="BA401" i="5"/>
  <c r="AZ401" i="5"/>
  <c r="AY401" i="5"/>
  <c r="AX401" i="5"/>
  <c r="AW401" i="5"/>
  <c r="AP401" i="5"/>
  <c r="AO401" i="5"/>
  <c r="AN401" i="5"/>
  <c r="AM401" i="5"/>
  <c r="AL401" i="5"/>
  <c r="AK401" i="5"/>
  <c r="AJ401" i="5"/>
  <c r="AI401" i="5"/>
  <c r="AA401" i="5"/>
  <c r="Z401" i="5"/>
  <c r="Y401" i="5"/>
  <c r="X401" i="5"/>
  <c r="W401" i="5"/>
  <c r="V401" i="5"/>
  <c r="U401" i="5"/>
  <c r="T401" i="5"/>
  <c r="BD400" i="5"/>
  <c r="BC400" i="5"/>
  <c r="BB400" i="5"/>
  <c r="BA400" i="5"/>
  <c r="AZ400" i="5"/>
  <c r="AY400" i="5"/>
  <c r="AX400" i="5"/>
  <c r="AW400" i="5"/>
  <c r="AP400" i="5"/>
  <c r="AO400" i="5"/>
  <c r="AN400" i="5"/>
  <c r="AM400" i="5"/>
  <c r="AL400" i="5"/>
  <c r="AK400" i="5"/>
  <c r="AJ400" i="5"/>
  <c r="AI400" i="5"/>
  <c r="AA400" i="5"/>
  <c r="Z400" i="5"/>
  <c r="Y400" i="5"/>
  <c r="X400" i="5"/>
  <c r="W400" i="5"/>
  <c r="V400" i="5"/>
  <c r="U400" i="5"/>
  <c r="T400" i="5"/>
  <c r="BD399" i="5"/>
  <c r="BC399" i="5"/>
  <c r="BB399" i="5"/>
  <c r="BA399" i="5"/>
  <c r="AZ399" i="5"/>
  <c r="AY399" i="5"/>
  <c r="AX399" i="5"/>
  <c r="AW399" i="5"/>
  <c r="AP399" i="5"/>
  <c r="AO399" i="5"/>
  <c r="AN399" i="5"/>
  <c r="AM399" i="5"/>
  <c r="AL399" i="5"/>
  <c r="AK399" i="5"/>
  <c r="AJ399" i="5"/>
  <c r="AI399" i="5"/>
  <c r="AA399" i="5"/>
  <c r="Z399" i="5"/>
  <c r="Y399" i="5"/>
  <c r="X399" i="5"/>
  <c r="W399" i="5"/>
  <c r="V399" i="5"/>
  <c r="U399" i="5"/>
  <c r="T399" i="5"/>
  <c r="BD398" i="5"/>
  <c r="BC398" i="5"/>
  <c r="BB398" i="5"/>
  <c r="BA398" i="5"/>
  <c r="AZ398" i="5"/>
  <c r="AY398" i="5"/>
  <c r="AX398" i="5"/>
  <c r="AW398" i="5"/>
  <c r="AP398" i="5"/>
  <c r="AO398" i="5"/>
  <c r="AN398" i="5"/>
  <c r="AM398" i="5"/>
  <c r="AL398" i="5"/>
  <c r="AK398" i="5"/>
  <c r="AJ398" i="5"/>
  <c r="AI398" i="5"/>
  <c r="AA398" i="5"/>
  <c r="Z398" i="5"/>
  <c r="Y398" i="5"/>
  <c r="X398" i="5"/>
  <c r="W398" i="5"/>
  <c r="V398" i="5"/>
  <c r="U398" i="5"/>
  <c r="T398" i="5"/>
  <c r="BD397" i="5"/>
  <c r="BC397" i="5"/>
  <c r="BB397" i="5"/>
  <c r="BA397" i="5"/>
  <c r="AZ397" i="5"/>
  <c r="AY397" i="5"/>
  <c r="AX397" i="5"/>
  <c r="AW397" i="5"/>
  <c r="AP397" i="5"/>
  <c r="AO397" i="5"/>
  <c r="AN397" i="5"/>
  <c r="AM397" i="5"/>
  <c r="AL397" i="5"/>
  <c r="AK397" i="5"/>
  <c r="AJ397" i="5"/>
  <c r="AI397" i="5"/>
  <c r="AA397" i="5"/>
  <c r="Z397" i="5"/>
  <c r="Y397" i="5"/>
  <c r="X397" i="5"/>
  <c r="W397" i="5"/>
  <c r="V397" i="5"/>
  <c r="U397" i="5"/>
  <c r="T397" i="5"/>
  <c r="BD396" i="5"/>
  <c r="BC396" i="5"/>
  <c r="BB396" i="5"/>
  <c r="BA396" i="5"/>
  <c r="AZ396" i="5"/>
  <c r="AY396" i="5"/>
  <c r="AX396" i="5"/>
  <c r="AW396" i="5"/>
  <c r="AP396" i="5"/>
  <c r="AO396" i="5"/>
  <c r="AN396" i="5"/>
  <c r="AM396" i="5"/>
  <c r="AL396" i="5"/>
  <c r="AK396" i="5"/>
  <c r="AJ396" i="5"/>
  <c r="AI396" i="5"/>
  <c r="AA396" i="5"/>
  <c r="Z396" i="5"/>
  <c r="Y396" i="5"/>
  <c r="X396" i="5"/>
  <c r="W396" i="5"/>
  <c r="V396" i="5"/>
  <c r="U396" i="5"/>
  <c r="T396" i="5"/>
  <c r="BD395" i="5"/>
  <c r="BC395" i="5"/>
  <c r="BB395" i="5"/>
  <c r="BA395" i="5"/>
  <c r="AZ395" i="5"/>
  <c r="AY395" i="5"/>
  <c r="AX395" i="5"/>
  <c r="AW395" i="5"/>
  <c r="AP395" i="5"/>
  <c r="AO395" i="5"/>
  <c r="AN395" i="5"/>
  <c r="AM395" i="5"/>
  <c r="AL395" i="5"/>
  <c r="AK395" i="5"/>
  <c r="AJ395" i="5"/>
  <c r="AI395" i="5"/>
  <c r="AA395" i="5"/>
  <c r="Z395" i="5"/>
  <c r="Y395" i="5"/>
  <c r="X395" i="5"/>
  <c r="W395" i="5"/>
  <c r="V395" i="5"/>
  <c r="U395" i="5"/>
  <c r="T395" i="5"/>
  <c r="BD394" i="5"/>
  <c r="BC394" i="5"/>
  <c r="BB394" i="5"/>
  <c r="BA394" i="5"/>
  <c r="AZ394" i="5"/>
  <c r="AY394" i="5"/>
  <c r="AX394" i="5"/>
  <c r="AW394" i="5"/>
  <c r="AP394" i="5"/>
  <c r="AO394" i="5"/>
  <c r="AN394" i="5"/>
  <c r="AM394" i="5"/>
  <c r="AL394" i="5"/>
  <c r="AK394" i="5"/>
  <c r="AJ394" i="5"/>
  <c r="AI394" i="5"/>
  <c r="AA394" i="5"/>
  <c r="Z394" i="5"/>
  <c r="Y394" i="5"/>
  <c r="X394" i="5"/>
  <c r="W394" i="5"/>
  <c r="V394" i="5"/>
  <c r="U394" i="5"/>
  <c r="T394" i="5"/>
  <c r="BD393" i="5"/>
  <c r="BC393" i="5"/>
  <c r="BB393" i="5"/>
  <c r="BA393" i="5"/>
  <c r="AZ393" i="5"/>
  <c r="AY393" i="5"/>
  <c r="AX393" i="5"/>
  <c r="AW393" i="5"/>
  <c r="AP393" i="5"/>
  <c r="AO393" i="5"/>
  <c r="AN393" i="5"/>
  <c r="AM393" i="5"/>
  <c r="AL393" i="5"/>
  <c r="AK393" i="5"/>
  <c r="AJ393" i="5"/>
  <c r="AI393" i="5"/>
  <c r="AA393" i="5"/>
  <c r="Z393" i="5"/>
  <c r="Y393" i="5"/>
  <c r="X393" i="5"/>
  <c r="W393" i="5"/>
  <c r="V393" i="5"/>
  <c r="U393" i="5"/>
  <c r="T393" i="5"/>
  <c r="BD392" i="5"/>
  <c r="BC392" i="5"/>
  <c r="BB392" i="5"/>
  <c r="BA392" i="5"/>
  <c r="AZ392" i="5"/>
  <c r="AY392" i="5"/>
  <c r="AX392" i="5"/>
  <c r="AW392" i="5"/>
  <c r="AP392" i="5"/>
  <c r="AO392" i="5"/>
  <c r="AN392" i="5"/>
  <c r="AM392" i="5"/>
  <c r="AL392" i="5"/>
  <c r="AK392" i="5"/>
  <c r="AJ392" i="5"/>
  <c r="AI392" i="5"/>
  <c r="AA392" i="5"/>
  <c r="Z392" i="5"/>
  <c r="Y392" i="5"/>
  <c r="X392" i="5"/>
  <c r="W392" i="5"/>
  <c r="V392" i="5"/>
  <c r="U392" i="5"/>
  <c r="T392" i="5"/>
  <c r="BD391" i="5"/>
  <c r="BC391" i="5"/>
  <c r="BB391" i="5"/>
  <c r="BA391" i="5"/>
  <c r="AZ391" i="5"/>
  <c r="AY391" i="5"/>
  <c r="AX391" i="5"/>
  <c r="AW391" i="5"/>
  <c r="AP391" i="5"/>
  <c r="AO391" i="5"/>
  <c r="AN391" i="5"/>
  <c r="AM391" i="5"/>
  <c r="AL391" i="5"/>
  <c r="AK391" i="5"/>
  <c r="AJ391" i="5"/>
  <c r="AI391" i="5"/>
  <c r="AA391" i="5"/>
  <c r="Z391" i="5"/>
  <c r="Y391" i="5"/>
  <c r="X391" i="5"/>
  <c r="W391" i="5"/>
  <c r="V391" i="5"/>
  <c r="U391" i="5"/>
  <c r="T391" i="5"/>
  <c r="BD390" i="5"/>
  <c r="BC390" i="5"/>
  <c r="BB390" i="5"/>
  <c r="BA390" i="5"/>
  <c r="AZ390" i="5"/>
  <c r="AY390" i="5"/>
  <c r="AX390" i="5"/>
  <c r="AW390" i="5"/>
  <c r="AP390" i="5"/>
  <c r="AO390" i="5"/>
  <c r="AN390" i="5"/>
  <c r="AM390" i="5"/>
  <c r="AL390" i="5"/>
  <c r="AK390" i="5"/>
  <c r="AJ390" i="5"/>
  <c r="AI390" i="5"/>
  <c r="AA390" i="5"/>
  <c r="Z390" i="5"/>
  <c r="Y390" i="5"/>
  <c r="X390" i="5"/>
  <c r="W390" i="5"/>
  <c r="V390" i="5"/>
  <c r="U390" i="5"/>
  <c r="T390" i="5"/>
  <c r="BD389" i="5"/>
  <c r="BC389" i="5"/>
  <c r="BB389" i="5"/>
  <c r="BA389" i="5"/>
  <c r="AZ389" i="5"/>
  <c r="AY389" i="5"/>
  <c r="AX389" i="5"/>
  <c r="AW389" i="5"/>
  <c r="AP389" i="5"/>
  <c r="AO389" i="5"/>
  <c r="AN389" i="5"/>
  <c r="AM389" i="5"/>
  <c r="AL389" i="5"/>
  <c r="AK389" i="5"/>
  <c r="AJ389" i="5"/>
  <c r="AI389" i="5"/>
  <c r="AA389" i="5"/>
  <c r="Z389" i="5"/>
  <c r="Y389" i="5"/>
  <c r="X389" i="5"/>
  <c r="W389" i="5"/>
  <c r="V389" i="5"/>
  <c r="U389" i="5"/>
  <c r="T389" i="5"/>
  <c r="BD388" i="5"/>
  <c r="BC388" i="5"/>
  <c r="BB388" i="5"/>
  <c r="BA388" i="5"/>
  <c r="AZ388" i="5"/>
  <c r="AY388" i="5"/>
  <c r="AX388" i="5"/>
  <c r="AW388" i="5"/>
  <c r="AP388" i="5"/>
  <c r="AO388" i="5"/>
  <c r="AN388" i="5"/>
  <c r="AM388" i="5"/>
  <c r="AL388" i="5"/>
  <c r="AK388" i="5"/>
  <c r="AJ388" i="5"/>
  <c r="AI388" i="5"/>
  <c r="AA388" i="5"/>
  <c r="Z388" i="5"/>
  <c r="Y388" i="5"/>
  <c r="X388" i="5"/>
  <c r="W388" i="5"/>
  <c r="V388" i="5"/>
  <c r="U388" i="5"/>
  <c r="T388" i="5"/>
  <c r="BD387" i="5"/>
  <c r="BC387" i="5"/>
  <c r="BB387" i="5"/>
  <c r="BA387" i="5"/>
  <c r="AZ387" i="5"/>
  <c r="AY387" i="5"/>
  <c r="AX387" i="5"/>
  <c r="AW387" i="5"/>
  <c r="AP387" i="5"/>
  <c r="AO387" i="5"/>
  <c r="AN387" i="5"/>
  <c r="AM387" i="5"/>
  <c r="AL387" i="5"/>
  <c r="AK387" i="5"/>
  <c r="AJ387" i="5"/>
  <c r="AI387" i="5"/>
  <c r="AA387" i="5"/>
  <c r="Z387" i="5"/>
  <c r="Y387" i="5"/>
  <c r="X387" i="5"/>
  <c r="W387" i="5"/>
  <c r="V387" i="5"/>
  <c r="U387" i="5"/>
  <c r="T387" i="5"/>
  <c r="BD386" i="5"/>
  <c r="BC386" i="5"/>
  <c r="BB386" i="5"/>
  <c r="BA386" i="5"/>
  <c r="AZ386" i="5"/>
  <c r="AY386" i="5"/>
  <c r="AX386" i="5"/>
  <c r="AW386" i="5"/>
  <c r="AP386" i="5"/>
  <c r="AO386" i="5"/>
  <c r="AN386" i="5"/>
  <c r="AM386" i="5"/>
  <c r="AL386" i="5"/>
  <c r="AK386" i="5"/>
  <c r="AJ386" i="5"/>
  <c r="AI386" i="5"/>
  <c r="AA386" i="5"/>
  <c r="Z386" i="5"/>
  <c r="Y386" i="5"/>
  <c r="X386" i="5"/>
  <c r="W386" i="5"/>
  <c r="V386" i="5"/>
  <c r="U386" i="5"/>
  <c r="T386" i="5"/>
  <c r="BD385" i="5"/>
  <c r="BC385" i="5"/>
  <c r="BB385" i="5"/>
  <c r="BA385" i="5"/>
  <c r="AZ385" i="5"/>
  <c r="AY385" i="5"/>
  <c r="AX385" i="5"/>
  <c r="AW385" i="5"/>
  <c r="AP385" i="5"/>
  <c r="AO385" i="5"/>
  <c r="AN385" i="5"/>
  <c r="AM385" i="5"/>
  <c r="AL385" i="5"/>
  <c r="AK385" i="5"/>
  <c r="AJ385" i="5"/>
  <c r="AI385" i="5"/>
  <c r="AA385" i="5"/>
  <c r="Z385" i="5"/>
  <c r="Y385" i="5"/>
  <c r="X385" i="5"/>
  <c r="W385" i="5"/>
  <c r="V385" i="5"/>
  <c r="U385" i="5"/>
  <c r="T385" i="5"/>
  <c r="BD384" i="5"/>
  <c r="BC384" i="5"/>
  <c r="BB384" i="5"/>
  <c r="BA384" i="5"/>
  <c r="AZ384" i="5"/>
  <c r="AY384" i="5"/>
  <c r="AX384" i="5"/>
  <c r="AW384" i="5"/>
  <c r="AP384" i="5"/>
  <c r="AO384" i="5"/>
  <c r="AN384" i="5"/>
  <c r="AM384" i="5"/>
  <c r="AL384" i="5"/>
  <c r="AK384" i="5"/>
  <c r="AJ384" i="5"/>
  <c r="AI384" i="5"/>
  <c r="AA384" i="5"/>
  <c r="Z384" i="5"/>
  <c r="Y384" i="5"/>
  <c r="X384" i="5"/>
  <c r="W384" i="5"/>
  <c r="V384" i="5"/>
  <c r="U384" i="5"/>
  <c r="T384" i="5"/>
  <c r="BD383" i="5"/>
  <c r="BC383" i="5"/>
  <c r="BB383" i="5"/>
  <c r="BA383" i="5"/>
  <c r="AZ383" i="5"/>
  <c r="AY383" i="5"/>
  <c r="AX383" i="5"/>
  <c r="AW383" i="5"/>
  <c r="AP383" i="5"/>
  <c r="AO383" i="5"/>
  <c r="AN383" i="5"/>
  <c r="AM383" i="5"/>
  <c r="AL383" i="5"/>
  <c r="AK383" i="5"/>
  <c r="AJ383" i="5"/>
  <c r="AI383" i="5"/>
  <c r="AA383" i="5"/>
  <c r="Z383" i="5"/>
  <c r="Y383" i="5"/>
  <c r="X383" i="5"/>
  <c r="W383" i="5"/>
  <c r="V383" i="5"/>
  <c r="U383" i="5"/>
  <c r="T383" i="5"/>
  <c r="BD382" i="5"/>
  <c r="BC382" i="5"/>
  <c r="BB382" i="5"/>
  <c r="BA382" i="5"/>
  <c r="AZ382" i="5"/>
  <c r="AY382" i="5"/>
  <c r="AX382" i="5"/>
  <c r="AW382" i="5"/>
  <c r="AP382" i="5"/>
  <c r="AO382" i="5"/>
  <c r="AN382" i="5"/>
  <c r="AM382" i="5"/>
  <c r="AL382" i="5"/>
  <c r="AK382" i="5"/>
  <c r="AJ382" i="5"/>
  <c r="AI382" i="5"/>
  <c r="AA382" i="5"/>
  <c r="Z382" i="5"/>
  <c r="Y382" i="5"/>
  <c r="X382" i="5"/>
  <c r="W382" i="5"/>
  <c r="V382" i="5"/>
  <c r="U382" i="5"/>
  <c r="T382" i="5"/>
  <c r="BD381" i="5"/>
  <c r="BC381" i="5"/>
  <c r="BB381" i="5"/>
  <c r="BA381" i="5"/>
  <c r="AZ381" i="5"/>
  <c r="AY381" i="5"/>
  <c r="AX381" i="5"/>
  <c r="AW381" i="5"/>
  <c r="AP381" i="5"/>
  <c r="AO381" i="5"/>
  <c r="AN381" i="5"/>
  <c r="AM381" i="5"/>
  <c r="AL381" i="5"/>
  <c r="AK381" i="5"/>
  <c r="AJ381" i="5"/>
  <c r="AI381" i="5"/>
  <c r="AA381" i="5"/>
  <c r="Z381" i="5"/>
  <c r="Y381" i="5"/>
  <c r="X381" i="5"/>
  <c r="W381" i="5"/>
  <c r="V381" i="5"/>
  <c r="U381" i="5"/>
  <c r="T381" i="5"/>
  <c r="BD380" i="5"/>
  <c r="BC380" i="5"/>
  <c r="BB380" i="5"/>
  <c r="BA380" i="5"/>
  <c r="AZ380" i="5"/>
  <c r="AY380" i="5"/>
  <c r="AX380" i="5"/>
  <c r="AW380" i="5"/>
  <c r="AP380" i="5"/>
  <c r="AO380" i="5"/>
  <c r="AN380" i="5"/>
  <c r="AM380" i="5"/>
  <c r="AL380" i="5"/>
  <c r="AK380" i="5"/>
  <c r="AJ380" i="5"/>
  <c r="AI380" i="5"/>
  <c r="AA380" i="5"/>
  <c r="Z380" i="5"/>
  <c r="Y380" i="5"/>
  <c r="X380" i="5"/>
  <c r="W380" i="5"/>
  <c r="V380" i="5"/>
  <c r="U380" i="5"/>
  <c r="T380" i="5"/>
  <c r="BD379" i="5"/>
  <c r="BC379" i="5"/>
  <c r="BB379" i="5"/>
  <c r="BA379" i="5"/>
  <c r="AZ379" i="5"/>
  <c r="AY379" i="5"/>
  <c r="AX379" i="5"/>
  <c r="AW379" i="5"/>
  <c r="AP379" i="5"/>
  <c r="AO379" i="5"/>
  <c r="AN379" i="5"/>
  <c r="AM379" i="5"/>
  <c r="AL379" i="5"/>
  <c r="AK379" i="5"/>
  <c r="AJ379" i="5"/>
  <c r="AI379" i="5"/>
  <c r="AA379" i="5"/>
  <c r="Z379" i="5"/>
  <c r="Y379" i="5"/>
  <c r="X379" i="5"/>
  <c r="W379" i="5"/>
  <c r="V379" i="5"/>
  <c r="U379" i="5"/>
  <c r="T379" i="5"/>
  <c r="BD378" i="5"/>
  <c r="BC378" i="5"/>
  <c r="BB378" i="5"/>
  <c r="BA378" i="5"/>
  <c r="AZ378" i="5"/>
  <c r="AY378" i="5"/>
  <c r="AX378" i="5"/>
  <c r="AW378" i="5"/>
  <c r="AP378" i="5"/>
  <c r="AO378" i="5"/>
  <c r="AN378" i="5"/>
  <c r="AM378" i="5"/>
  <c r="AL378" i="5"/>
  <c r="AK378" i="5"/>
  <c r="AJ378" i="5"/>
  <c r="AI378" i="5"/>
  <c r="AA378" i="5"/>
  <c r="Z378" i="5"/>
  <c r="Y378" i="5"/>
  <c r="X378" i="5"/>
  <c r="W378" i="5"/>
  <c r="V378" i="5"/>
  <c r="U378" i="5"/>
  <c r="T378" i="5"/>
  <c r="BD377" i="5"/>
  <c r="BC377" i="5"/>
  <c r="BB377" i="5"/>
  <c r="BA377" i="5"/>
  <c r="AZ377" i="5"/>
  <c r="AY377" i="5"/>
  <c r="AX377" i="5"/>
  <c r="AW377" i="5"/>
  <c r="AP377" i="5"/>
  <c r="AO377" i="5"/>
  <c r="AN377" i="5"/>
  <c r="AM377" i="5"/>
  <c r="AL377" i="5"/>
  <c r="AK377" i="5"/>
  <c r="AJ377" i="5"/>
  <c r="AI377" i="5"/>
  <c r="AA377" i="5"/>
  <c r="Z377" i="5"/>
  <c r="Y377" i="5"/>
  <c r="X377" i="5"/>
  <c r="W377" i="5"/>
  <c r="V377" i="5"/>
  <c r="U377" i="5"/>
  <c r="T377" i="5"/>
  <c r="BD376" i="5"/>
  <c r="BC376" i="5"/>
  <c r="BB376" i="5"/>
  <c r="BA376" i="5"/>
  <c r="AZ376" i="5"/>
  <c r="AY376" i="5"/>
  <c r="AX376" i="5"/>
  <c r="AW376" i="5"/>
  <c r="AP376" i="5"/>
  <c r="AO376" i="5"/>
  <c r="AN376" i="5"/>
  <c r="AM376" i="5"/>
  <c r="AL376" i="5"/>
  <c r="AK376" i="5"/>
  <c r="AJ376" i="5"/>
  <c r="AI376" i="5"/>
  <c r="AA376" i="5"/>
  <c r="Z376" i="5"/>
  <c r="Y376" i="5"/>
  <c r="X376" i="5"/>
  <c r="W376" i="5"/>
  <c r="V376" i="5"/>
  <c r="U376" i="5"/>
  <c r="T376" i="5"/>
  <c r="BD375" i="5"/>
  <c r="BC375" i="5"/>
  <c r="BB375" i="5"/>
  <c r="BA375" i="5"/>
  <c r="AZ375" i="5"/>
  <c r="AY375" i="5"/>
  <c r="AX375" i="5"/>
  <c r="AW375" i="5"/>
  <c r="AP375" i="5"/>
  <c r="AO375" i="5"/>
  <c r="AN375" i="5"/>
  <c r="AM375" i="5"/>
  <c r="AL375" i="5"/>
  <c r="AK375" i="5"/>
  <c r="AJ375" i="5"/>
  <c r="AI375" i="5"/>
  <c r="AA375" i="5"/>
  <c r="Z375" i="5"/>
  <c r="Y375" i="5"/>
  <c r="X375" i="5"/>
  <c r="W375" i="5"/>
  <c r="V375" i="5"/>
  <c r="U375" i="5"/>
  <c r="T375" i="5"/>
  <c r="BD374" i="5"/>
  <c r="BC374" i="5"/>
  <c r="BB374" i="5"/>
  <c r="BA374" i="5"/>
  <c r="AZ374" i="5"/>
  <c r="AY374" i="5"/>
  <c r="AX374" i="5"/>
  <c r="AW374" i="5"/>
  <c r="AP374" i="5"/>
  <c r="AO374" i="5"/>
  <c r="AN374" i="5"/>
  <c r="AM374" i="5"/>
  <c r="AL374" i="5"/>
  <c r="AK374" i="5"/>
  <c r="AJ374" i="5"/>
  <c r="AI374" i="5"/>
  <c r="AA374" i="5"/>
  <c r="Z374" i="5"/>
  <c r="Y374" i="5"/>
  <c r="X374" i="5"/>
  <c r="W374" i="5"/>
  <c r="V374" i="5"/>
  <c r="U374" i="5"/>
  <c r="T374" i="5"/>
  <c r="BD373" i="5"/>
  <c r="BC373" i="5"/>
  <c r="BB373" i="5"/>
  <c r="BA373" i="5"/>
  <c r="AZ373" i="5"/>
  <c r="AY373" i="5"/>
  <c r="AX373" i="5"/>
  <c r="AW373" i="5"/>
  <c r="AP373" i="5"/>
  <c r="AO373" i="5"/>
  <c r="AN373" i="5"/>
  <c r="AM373" i="5"/>
  <c r="AL373" i="5"/>
  <c r="AK373" i="5"/>
  <c r="AJ373" i="5"/>
  <c r="AI373" i="5"/>
  <c r="AA373" i="5"/>
  <c r="Z373" i="5"/>
  <c r="Y373" i="5"/>
  <c r="X373" i="5"/>
  <c r="W373" i="5"/>
  <c r="V373" i="5"/>
  <c r="U373" i="5"/>
  <c r="T373" i="5"/>
  <c r="BD372" i="5"/>
  <c r="BC372" i="5"/>
  <c r="BB372" i="5"/>
  <c r="BA372" i="5"/>
  <c r="AZ372" i="5"/>
  <c r="AY372" i="5"/>
  <c r="AX372" i="5"/>
  <c r="AW372" i="5"/>
  <c r="AP372" i="5"/>
  <c r="AO372" i="5"/>
  <c r="AN372" i="5"/>
  <c r="AM372" i="5"/>
  <c r="AL372" i="5"/>
  <c r="AK372" i="5"/>
  <c r="AJ372" i="5"/>
  <c r="AI372" i="5"/>
  <c r="AA372" i="5"/>
  <c r="Z372" i="5"/>
  <c r="Y372" i="5"/>
  <c r="X372" i="5"/>
  <c r="W372" i="5"/>
  <c r="V372" i="5"/>
  <c r="U372" i="5"/>
  <c r="T372" i="5"/>
  <c r="BD371" i="5"/>
  <c r="BC371" i="5"/>
  <c r="BB371" i="5"/>
  <c r="BA371" i="5"/>
  <c r="AZ371" i="5"/>
  <c r="AY371" i="5"/>
  <c r="AX371" i="5"/>
  <c r="AW371" i="5"/>
  <c r="AP371" i="5"/>
  <c r="AO371" i="5"/>
  <c r="AN371" i="5"/>
  <c r="AM371" i="5"/>
  <c r="AL371" i="5"/>
  <c r="AK371" i="5"/>
  <c r="AJ371" i="5"/>
  <c r="AI371" i="5"/>
  <c r="AA371" i="5"/>
  <c r="Z371" i="5"/>
  <c r="Y371" i="5"/>
  <c r="X371" i="5"/>
  <c r="W371" i="5"/>
  <c r="V371" i="5"/>
  <c r="U371" i="5"/>
  <c r="T371" i="5"/>
  <c r="BD370" i="5"/>
  <c r="BC370" i="5"/>
  <c r="BB370" i="5"/>
  <c r="BA370" i="5"/>
  <c r="AZ370" i="5"/>
  <c r="AY370" i="5"/>
  <c r="AX370" i="5"/>
  <c r="AW370" i="5"/>
  <c r="AP370" i="5"/>
  <c r="AO370" i="5"/>
  <c r="AN370" i="5"/>
  <c r="AM370" i="5"/>
  <c r="AL370" i="5"/>
  <c r="AK370" i="5"/>
  <c r="AJ370" i="5"/>
  <c r="AI370" i="5"/>
  <c r="AA370" i="5"/>
  <c r="Z370" i="5"/>
  <c r="Y370" i="5"/>
  <c r="X370" i="5"/>
  <c r="W370" i="5"/>
  <c r="V370" i="5"/>
  <c r="U370" i="5"/>
  <c r="T370" i="5"/>
  <c r="BD369" i="5"/>
  <c r="BC369" i="5"/>
  <c r="BB369" i="5"/>
  <c r="BA369" i="5"/>
  <c r="AZ369" i="5"/>
  <c r="AY369" i="5"/>
  <c r="AX369" i="5"/>
  <c r="AW369" i="5"/>
  <c r="AP369" i="5"/>
  <c r="AO369" i="5"/>
  <c r="AN369" i="5"/>
  <c r="AM369" i="5"/>
  <c r="AL369" i="5"/>
  <c r="AK369" i="5"/>
  <c r="AJ369" i="5"/>
  <c r="AI369" i="5"/>
  <c r="AA369" i="5"/>
  <c r="Z369" i="5"/>
  <c r="Y369" i="5"/>
  <c r="X369" i="5"/>
  <c r="W369" i="5"/>
  <c r="V369" i="5"/>
  <c r="U369" i="5"/>
  <c r="T369" i="5"/>
  <c r="BD368" i="5"/>
  <c r="BC368" i="5"/>
  <c r="BB368" i="5"/>
  <c r="BA368" i="5"/>
  <c r="AZ368" i="5"/>
  <c r="AY368" i="5"/>
  <c r="AX368" i="5"/>
  <c r="AW368" i="5"/>
  <c r="AP368" i="5"/>
  <c r="AO368" i="5"/>
  <c r="AN368" i="5"/>
  <c r="AM368" i="5"/>
  <c r="AL368" i="5"/>
  <c r="AK368" i="5"/>
  <c r="AJ368" i="5"/>
  <c r="AI368" i="5"/>
  <c r="AA368" i="5"/>
  <c r="Z368" i="5"/>
  <c r="Y368" i="5"/>
  <c r="X368" i="5"/>
  <c r="W368" i="5"/>
  <c r="V368" i="5"/>
  <c r="U368" i="5"/>
  <c r="T368" i="5"/>
  <c r="BD367" i="5"/>
  <c r="BC367" i="5"/>
  <c r="BB367" i="5"/>
  <c r="BA367" i="5"/>
  <c r="AZ367" i="5"/>
  <c r="AY367" i="5"/>
  <c r="AX367" i="5"/>
  <c r="AW367" i="5"/>
  <c r="AP367" i="5"/>
  <c r="AO367" i="5"/>
  <c r="AN367" i="5"/>
  <c r="AM367" i="5"/>
  <c r="AL367" i="5"/>
  <c r="AK367" i="5"/>
  <c r="AJ367" i="5"/>
  <c r="AI367" i="5"/>
  <c r="AA367" i="5"/>
  <c r="Z367" i="5"/>
  <c r="Y367" i="5"/>
  <c r="X367" i="5"/>
  <c r="W367" i="5"/>
  <c r="V367" i="5"/>
  <c r="U367" i="5"/>
  <c r="T367" i="5"/>
  <c r="BD366" i="5"/>
  <c r="BC366" i="5"/>
  <c r="BB366" i="5"/>
  <c r="BA366" i="5"/>
  <c r="AZ366" i="5"/>
  <c r="AY366" i="5"/>
  <c r="AX366" i="5"/>
  <c r="AW366" i="5"/>
  <c r="AP366" i="5"/>
  <c r="AO366" i="5"/>
  <c r="AN366" i="5"/>
  <c r="AM366" i="5"/>
  <c r="AL366" i="5"/>
  <c r="AK366" i="5"/>
  <c r="AJ366" i="5"/>
  <c r="AI366" i="5"/>
  <c r="AA366" i="5"/>
  <c r="Z366" i="5"/>
  <c r="Y366" i="5"/>
  <c r="X366" i="5"/>
  <c r="W366" i="5"/>
  <c r="V366" i="5"/>
  <c r="U366" i="5"/>
  <c r="T366" i="5"/>
  <c r="BD365" i="5"/>
  <c r="BC365" i="5"/>
  <c r="BB365" i="5"/>
  <c r="BA365" i="5"/>
  <c r="AZ365" i="5"/>
  <c r="AY365" i="5"/>
  <c r="AX365" i="5"/>
  <c r="AW365" i="5"/>
  <c r="AP365" i="5"/>
  <c r="AO365" i="5"/>
  <c r="AN365" i="5"/>
  <c r="AM365" i="5"/>
  <c r="AL365" i="5"/>
  <c r="AK365" i="5"/>
  <c r="AJ365" i="5"/>
  <c r="AI365" i="5"/>
  <c r="AA365" i="5"/>
  <c r="Z365" i="5"/>
  <c r="Y365" i="5"/>
  <c r="X365" i="5"/>
  <c r="W365" i="5"/>
  <c r="V365" i="5"/>
  <c r="U365" i="5"/>
  <c r="T365" i="5"/>
  <c r="BD364" i="5"/>
  <c r="BC364" i="5"/>
  <c r="BB364" i="5"/>
  <c r="BA364" i="5"/>
  <c r="AZ364" i="5"/>
  <c r="AY364" i="5"/>
  <c r="AX364" i="5"/>
  <c r="AW364" i="5"/>
  <c r="AP364" i="5"/>
  <c r="AO364" i="5"/>
  <c r="AN364" i="5"/>
  <c r="AM364" i="5"/>
  <c r="AL364" i="5"/>
  <c r="AK364" i="5"/>
  <c r="AJ364" i="5"/>
  <c r="AI364" i="5"/>
  <c r="AA364" i="5"/>
  <c r="Z364" i="5"/>
  <c r="Y364" i="5"/>
  <c r="X364" i="5"/>
  <c r="W364" i="5"/>
  <c r="V364" i="5"/>
  <c r="U364" i="5"/>
  <c r="T364" i="5"/>
  <c r="BD363" i="5"/>
  <c r="BC363" i="5"/>
  <c r="BB363" i="5"/>
  <c r="BA363" i="5"/>
  <c r="AZ363" i="5"/>
  <c r="AY363" i="5"/>
  <c r="AX363" i="5"/>
  <c r="AW363" i="5"/>
  <c r="AP363" i="5"/>
  <c r="AO363" i="5"/>
  <c r="AN363" i="5"/>
  <c r="AM363" i="5"/>
  <c r="AL363" i="5"/>
  <c r="AK363" i="5"/>
  <c r="AJ363" i="5"/>
  <c r="AI363" i="5"/>
  <c r="AA363" i="5"/>
  <c r="Z363" i="5"/>
  <c r="Y363" i="5"/>
  <c r="X363" i="5"/>
  <c r="W363" i="5"/>
  <c r="V363" i="5"/>
  <c r="U363" i="5"/>
  <c r="T363" i="5"/>
  <c r="BD362" i="5"/>
  <c r="BC362" i="5"/>
  <c r="BB362" i="5"/>
  <c r="BA362" i="5"/>
  <c r="AZ362" i="5"/>
  <c r="AY362" i="5"/>
  <c r="AX362" i="5"/>
  <c r="AW362" i="5"/>
  <c r="AP362" i="5"/>
  <c r="AO362" i="5"/>
  <c r="AN362" i="5"/>
  <c r="AM362" i="5"/>
  <c r="AL362" i="5"/>
  <c r="AK362" i="5"/>
  <c r="AJ362" i="5"/>
  <c r="AI362" i="5"/>
  <c r="AA362" i="5"/>
  <c r="Z362" i="5"/>
  <c r="Y362" i="5"/>
  <c r="X362" i="5"/>
  <c r="W362" i="5"/>
  <c r="V362" i="5"/>
  <c r="U362" i="5"/>
  <c r="T362" i="5"/>
  <c r="BD361" i="5"/>
  <c r="BC361" i="5"/>
  <c r="BB361" i="5"/>
  <c r="BA361" i="5"/>
  <c r="AZ361" i="5"/>
  <c r="AY361" i="5"/>
  <c r="AX361" i="5"/>
  <c r="AW361" i="5"/>
  <c r="AP361" i="5"/>
  <c r="AO361" i="5"/>
  <c r="AN361" i="5"/>
  <c r="AM361" i="5"/>
  <c r="AL361" i="5"/>
  <c r="AK361" i="5"/>
  <c r="AJ361" i="5"/>
  <c r="AI361" i="5"/>
  <c r="AA361" i="5"/>
  <c r="Z361" i="5"/>
  <c r="Y361" i="5"/>
  <c r="X361" i="5"/>
  <c r="W361" i="5"/>
  <c r="V361" i="5"/>
  <c r="U361" i="5"/>
  <c r="T361" i="5"/>
  <c r="BD360" i="5"/>
  <c r="BC360" i="5"/>
  <c r="BB360" i="5"/>
  <c r="BA360" i="5"/>
  <c r="AZ360" i="5"/>
  <c r="AY360" i="5"/>
  <c r="AX360" i="5"/>
  <c r="AW360" i="5"/>
  <c r="AP360" i="5"/>
  <c r="AO360" i="5"/>
  <c r="AN360" i="5"/>
  <c r="AM360" i="5"/>
  <c r="AL360" i="5"/>
  <c r="AK360" i="5"/>
  <c r="AJ360" i="5"/>
  <c r="AI360" i="5"/>
  <c r="AA360" i="5"/>
  <c r="Z360" i="5"/>
  <c r="Y360" i="5"/>
  <c r="X360" i="5"/>
  <c r="W360" i="5"/>
  <c r="V360" i="5"/>
  <c r="U360" i="5"/>
  <c r="T360" i="5"/>
  <c r="BD359" i="5"/>
  <c r="BC359" i="5"/>
  <c r="BB359" i="5"/>
  <c r="BA359" i="5"/>
  <c r="AZ359" i="5"/>
  <c r="AY359" i="5"/>
  <c r="AX359" i="5"/>
  <c r="AW359" i="5"/>
  <c r="AP359" i="5"/>
  <c r="AO359" i="5"/>
  <c r="AN359" i="5"/>
  <c r="AM359" i="5"/>
  <c r="AL359" i="5"/>
  <c r="AK359" i="5"/>
  <c r="AJ359" i="5"/>
  <c r="AI359" i="5"/>
  <c r="AA359" i="5"/>
  <c r="Z359" i="5"/>
  <c r="Y359" i="5"/>
  <c r="X359" i="5"/>
  <c r="W359" i="5"/>
  <c r="V359" i="5"/>
  <c r="U359" i="5"/>
  <c r="T359" i="5"/>
  <c r="BD358" i="5"/>
  <c r="BC358" i="5"/>
  <c r="BB358" i="5"/>
  <c r="BA358" i="5"/>
  <c r="AZ358" i="5"/>
  <c r="AY358" i="5"/>
  <c r="AX358" i="5"/>
  <c r="AW358" i="5"/>
  <c r="AP358" i="5"/>
  <c r="AO358" i="5"/>
  <c r="AN358" i="5"/>
  <c r="AM358" i="5"/>
  <c r="AL358" i="5"/>
  <c r="AK358" i="5"/>
  <c r="AJ358" i="5"/>
  <c r="AI358" i="5"/>
  <c r="AA358" i="5"/>
  <c r="Z358" i="5"/>
  <c r="Y358" i="5"/>
  <c r="X358" i="5"/>
  <c r="W358" i="5"/>
  <c r="V358" i="5"/>
  <c r="U358" i="5"/>
  <c r="T358" i="5"/>
  <c r="BD357" i="5"/>
  <c r="BC357" i="5"/>
  <c r="BB357" i="5"/>
  <c r="BA357" i="5"/>
  <c r="AZ357" i="5"/>
  <c r="AY357" i="5"/>
  <c r="AX357" i="5"/>
  <c r="AW357" i="5"/>
  <c r="AP357" i="5"/>
  <c r="AO357" i="5"/>
  <c r="AN357" i="5"/>
  <c r="AM357" i="5"/>
  <c r="AL357" i="5"/>
  <c r="AK357" i="5"/>
  <c r="AJ357" i="5"/>
  <c r="AI357" i="5"/>
  <c r="AA357" i="5"/>
  <c r="Z357" i="5"/>
  <c r="Y357" i="5"/>
  <c r="X357" i="5"/>
  <c r="W357" i="5"/>
  <c r="V357" i="5"/>
  <c r="U357" i="5"/>
  <c r="T357" i="5"/>
  <c r="BD356" i="5"/>
  <c r="BC356" i="5"/>
  <c r="BB356" i="5"/>
  <c r="BA356" i="5"/>
  <c r="AZ356" i="5"/>
  <c r="AY356" i="5"/>
  <c r="AX356" i="5"/>
  <c r="AW356" i="5"/>
  <c r="AP356" i="5"/>
  <c r="AO356" i="5"/>
  <c r="AN356" i="5"/>
  <c r="AM356" i="5"/>
  <c r="AL356" i="5"/>
  <c r="AK356" i="5"/>
  <c r="AJ356" i="5"/>
  <c r="AI356" i="5"/>
  <c r="AA356" i="5"/>
  <c r="Z356" i="5"/>
  <c r="Y356" i="5"/>
  <c r="X356" i="5"/>
  <c r="W356" i="5"/>
  <c r="V356" i="5"/>
  <c r="U356" i="5"/>
  <c r="T356" i="5"/>
  <c r="BD355" i="5"/>
  <c r="BC355" i="5"/>
  <c r="BB355" i="5"/>
  <c r="BA355" i="5"/>
  <c r="AZ355" i="5"/>
  <c r="AY355" i="5"/>
  <c r="AX355" i="5"/>
  <c r="AW355" i="5"/>
  <c r="AP355" i="5"/>
  <c r="AO355" i="5"/>
  <c r="AN355" i="5"/>
  <c r="AM355" i="5"/>
  <c r="AL355" i="5"/>
  <c r="AK355" i="5"/>
  <c r="AJ355" i="5"/>
  <c r="AI355" i="5"/>
  <c r="AA355" i="5"/>
  <c r="Z355" i="5"/>
  <c r="Y355" i="5"/>
  <c r="X355" i="5"/>
  <c r="W355" i="5"/>
  <c r="V355" i="5"/>
  <c r="U355" i="5"/>
  <c r="T355" i="5"/>
  <c r="BD354" i="5"/>
  <c r="BC354" i="5"/>
  <c r="BB354" i="5"/>
  <c r="BA354" i="5"/>
  <c r="AZ354" i="5"/>
  <c r="AY354" i="5"/>
  <c r="AX354" i="5"/>
  <c r="AW354" i="5"/>
  <c r="AP354" i="5"/>
  <c r="AO354" i="5"/>
  <c r="AN354" i="5"/>
  <c r="AM354" i="5"/>
  <c r="AL354" i="5"/>
  <c r="AK354" i="5"/>
  <c r="AJ354" i="5"/>
  <c r="AI354" i="5"/>
  <c r="AA354" i="5"/>
  <c r="Z354" i="5"/>
  <c r="Y354" i="5"/>
  <c r="X354" i="5"/>
  <c r="W354" i="5"/>
  <c r="V354" i="5"/>
  <c r="U354" i="5"/>
  <c r="T354" i="5"/>
  <c r="BD353" i="5"/>
  <c r="BC353" i="5"/>
  <c r="BB353" i="5"/>
  <c r="BA353" i="5"/>
  <c r="AZ353" i="5"/>
  <c r="AY353" i="5"/>
  <c r="AX353" i="5"/>
  <c r="AW353" i="5"/>
  <c r="AP353" i="5"/>
  <c r="AO353" i="5"/>
  <c r="AN353" i="5"/>
  <c r="AM353" i="5"/>
  <c r="AL353" i="5"/>
  <c r="AK353" i="5"/>
  <c r="AJ353" i="5"/>
  <c r="AI353" i="5"/>
  <c r="AA353" i="5"/>
  <c r="Z353" i="5"/>
  <c r="Y353" i="5"/>
  <c r="X353" i="5"/>
  <c r="W353" i="5"/>
  <c r="V353" i="5"/>
  <c r="U353" i="5"/>
  <c r="T353" i="5"/>
  <c r="BD352" i="5"/>
  <c r="BC352" i="5"/>
  <c r="BB352" i="5"/>
  <c r="BA352" i="5"/>
  <c r="AZ352" i="5"/>
  <c r="AY352" i="5"/>
  <c r="AX352" i="5"/>
  <c r="AW352" i="5"/>
  <c r="AP352" i="5"/>
  <c r="AO352" i="5"/>
  <c r="AN352" i="5"/>
  <c r="AM352" i="5"/>
  <c r="AL352" i="5"/>
  <c r="AK352" i="5"/>
  <c r="AJ352" i="5"/>
  <c r="AI352" i="5"/>
  <c r="AA352" i="5"/>
  <c r="Z352" i="5"/>
  <c r="Y352" i="5"/>
  <c r="X352" i="5"/>
  <c r="W352" i="5"/>
  <c r="V352" i="5"/>
  <c r="U352" i="5"/>
  <c r="T352" i="5"/>
  <c r="BD351" i="5"/>
  <c r="BC351" i="5"/>
  <c r="BB351" i="5"/>
  <c r="BA351" i="5"/>
  <c r="AZ351" i="5"/>
  <c r="AY351" i="5"/>
  <c r="AX351" i="5"/>
  <c r="AW351" i="5"/>
  <c r="AP351" i="5"/>
  <c r="AO351" i="5"/>
  <c r="AN351" i="5"/>
  <c r="AM351" i="5"/>
  <c r="AL351" i="5"/>
  <c r="AK351" i="5"/>
  <c r="AJ351" i="5"/>
  <c r="AI351" i="5"/>
  <c r="AA351" i="5"/>
  <c r="Z351" i="5"/>
  <c r="Y351" i="5"/>
  <c r="X351" i="5"/>
  <c r="W351" i="5"/>
  <c r="V351" i="5"/>
  <c r="U351" i="5"/>
  <c r="T351" i="5"/>
  <c r="BD350" i="5"/>
  <c r="BC350" i="5"/>
  <c r="BB350" i="5"/>
  <c r="BA350" i="5"/>
  <c r="AZ350" i="5"/>
  <c r="AY350" i="5"/>
  <c r="AX350" i="5"/>
  <c r="AW350" i="5"/>
  <c r="AP350" i="5"/>
  <c r="AO350" i="5"/>
  <c r="AN350" i="5"/>
  <c r="AM350" i="5"/>
  <c r="AL350" i="5"/>
  <c r="AK350" i="5"/>
  <c r="AJ350" i="5"/>
  <c r="AI350" i="5"/>
  <c r="AA350" i="5"/>
  <c r="Z350" i="5"/>
  <c r="Y350" i="5"/>
  <c r="X350" i="5"/>
  <c r="W350" i="5"/>
  <c r="V350" i="5"/>
  <c r="U350" i="5"/>
  <c r="T350" i="5"/>
  <c r="BD349" i="5"/>
  <c r="BC349" i="5"/>
  <c r="BB349" i="5"/>
  <c r="BA349" i="5"/>
  <c r="AZ349" i="5"/>
  <c r="AY349" i="5"/>
  <c r="AX349" i="5"/>
  <c r="AW349" i="5"/>
  <c r="AP349" i="5"/>
  <c r="AO349" i="5"/>
  <c r="AN349" i="5"/>
  <c r="AM349" i="5"/>
  <c r="AL349" i="5"/>
  <c r="AK349" i="5"/>
  <c r="AJ349" i="5"/>
  <c r="AI349" i="5"/>
  <c r="AA349" i="5"/>
  <c r="Z349" i="5"/>
  <c r="Y349" i="5"/>
  <c r="X349" i="5"/>
  <c r="W349" i="5"/>
  <c r="V349" i="5"/>
  <c r="U349" i="5"/>
  <c r="T349" i="5"/>
  <c r="BD348" i="5"/>
  <c r="BC348" i="5"/>
  <c r="BB348" i="5"/>
  <c r="BA348" i="5"/>
  <c r="AZ348" i="5"/>
  <c r="AY348" i="5"/>
  <c r="AX348" i="5"/>
  <c r="AW348" i="5"/>
  <c r="AP348" i="5"/>
  <c r="AO348" i="5"/>
  <c r="AN348" i="5"/>
  <c r="AM348" i="5"/>
  <c r="AL348" i="5"/>
  <c r="AK348" i="5"/>
  <c r="AJ348" i="5"/>
  <c r="AI348" i="5"/>
  <c r="AA348" i="5"/>
  <c r="Z348" i="5"/>
  <c r="Y348" i="5"/>
  <c r="X348" i="5"/>
  <c r="W348" i="5"/>
  <c r="V348" i="5"/>
  <c r="U348" i="5"/>
  <c r="T348" i="5"/>
  <c r="BD347" i="5"/>
  <c r="BC347" i="5"/>
  <c r="BB347" i="5"/>
  <c r="BA347" i="5"/>
  <c r="AZ347" i="5"/>
  <c r="AY347" i="5"/>
  <c r="AX347" i="5"/>
  <c r="AW347" i="5"/>
  <c r="AP347" i="5"/>
  <c r="AO347" i="5"/>
  <c r="AN347" i="5"/>
  <c r="AM347" i="5"/>
  <c r="AL347" i="5"/>
  <c r="AK347" i="5"/>
  <c r="AJ347" i="5"/>
  <c r="AI347" i="5"/>
  <c r="AA347" i="5"/>
  <c r="Z347" i="5"/>
  <c r="Y347" i="5"/>
  <c r="X347" i="5"/>
  <c r="W347" i="5"/>
  <c r="V347" i="5"/>
  <c r="U347" i="5"/>
  <c r="T347" i="5"/>
  <c r="BD346" i="5"/>
  <c r="BC346" i="5"/>
  <c r="BB346" i="5"/>
  <c r="BA346" i="5"/>
  <c r="AZ346" i="5"/>
  <c r="AY346" i="5"/>
  <c r="AX346" i="5"/>
  <c r="AW346" i="5"/>
  <c r="AP346" i="5"/>
  <c r="AO346" i="5"/>
  <c r="AN346" i="5"/>
  <c r="AM346" i="5"/>
  <c r="AL346" i="5"/>
  <c r="AK346" i="5"/>
  <c r="AJ346" i="5"/>
  <c r="AI346" i="5"/>
  <c r="AA346" i="5"/>
  <c r="Z346" i="5"/>
  <c r="Y346" i="5"/>
  <c r="X346" i="5"/>
  <c r="W346" i="5"/>
  <c r="V346" i="5"/>
  <c r="U346" i="5"/>
  <c r="T346" i="5"/>
  <c r="BD345" i="5"/>
  <c r="BC345" i="5"/>
  <c r="BB345" i="5"/>
  <c r="BA345" i="5"/>
  <c r="AZ345" i="5"/>
  <c r="AY345" i="5"/>
  <c r="AX345" i="5"/>
  <c r="AW345" i="5"/>
  <c r="AP345" i="5"/>
  <c r="AO345" i="5"/>
  <c r="AN345" i="5"/>
  <c r="AM345" i="5"/>
  <c r="AL345" i="5"/>
  <c r="AK345" i="5"/>
  <c r="AJ345" i="5"/>
  <c r="AI345" i="5"/>
  <c r="AA345" i="5"/>
  <c r="Z345" i="5"/>
  <c r="Y345" i="5"/>
  <c r="X345" i="5"/>
  <c r="W345" i="5"/>
  <c r="V345" i="5"/>
  <c r="U345" i="5"/>
  <c r="T345" i="5"/>
  <c r="BD344" i="5"/>
  <c r="BC344" i="5"/>
  <c r="BB344" i="5"/>
  <c r="BA344" i="5"/>
  <c r="AZ344" i="5"/>
  <c r="AY344" i="5"/>
  <c r="AX344" i="5"/>
  <c r="AW344" i="5"/>
  <c r="AP344" i="5"/>
  <c r="AO344" i="5"/>
  <c r="AN344" i="5"/>
  <c r="AM344" i="5"/>
  <c r="AL344" i="5"/>
  <c r="AK344" i="5"/>
  <c r="AJ344" i="5"/>
  <c r="AI344" i="5"/>
  <c r="AA344" i="5"/>
  <c r="Z344" i="5"/>
  <c r="Y344" i="5"/>
  <c r="X344" i="5"/>
  <c r="W344" i="5"/>
  <c r="V344" i="5"/>
  <c r="U344" i="5"/>
  <c r="T344" i="5"/>
  <c r="BD343" i="5"/>
  <c r="BC343" i="5"/>
  <c r="BB343" i="5"/>
  <c r="BA343" i="5"/>
  <c r="AZ343" i="5"/>
  <c r="AY343" i="5"/>
  <c r="AX343" i="5"/>
  <c r="AW343" i="5"/>
  <c r="AP343" i="5"/>
  <c r="AO343" i="5"/>
  <c r="AN343" i="5"/>
  <c r="AM343" i="5"/>
  <c r="AL343" i="5"/>
  <c r="AK343" i="5"/>
  <c r="AJ343" i="5"/>
  <c r="AI343" i="5"/>
  <c r="AA343" i="5"/>
  <c r="Z343" i="5"/>
  <c r="Y343" i="5"/>
  <c r="X343" i="5"/>
  <c r="W343" i="5"/>
  <c r="V343" i="5"/>
  <c r="U343" i="5"/>
  <c r="T343" i="5"/>
  <c r="BD342" i="5"/>
  <c r="BC342" i="5"/>
  <c r="BB342" i="5"/>
  <c r="BA342" i="5"/>
  <c r="AZ342" i="5"/>
  <c r="AY342" i="5"/>
  <c r="AX342" i="5"/>
  <c r="AW342" i="5"/>
  <c r="AP342" i="5"/>
  <c r="AO342" i="5"/>
  <c r="AN342" i="5"/>
  <c r="AM342" i="5"/>
  <c r="AL342" i="5"/>
  <c r="AK342" i="5"/>
  <c r="AJ342" i="5"/>
  <c r="AI342" i="5"/>
  <c r="AA342" i="5"/>
  <c r="Z342" i="5"/>
  <c r="Y342" i="5"/>
  <c r="X342" i="5"/>
  <c r="W342" i="5"/>
  <c r="V342" i="5"/>
  <c r="U342" i="5"/>
  <c r="T342" i="5"/>
  <c r="BD341" i="5"/>
  <c r="BC341" i="5"/>
  <c r="BB341" i="5"/>
  <c r="BA341" i="5"/>
  <c r="AZ341" i="5"/>
  <c r="AY341" i="5"/>
  <c r="AX341" i="5"/>
  <c r="AW341" i="5"/>
  <c r="AP341" i="5"/>
  <c r="AO341" i="5"/>
  <c r="AN341" i="5"/>
  <c r="AM341" i="5"/>
  <c r="AL341" i="5"/>
  <c r="AK341" i="5"/>
  <c r="AJ341" i="5"/>
  <c r="AI341" i="5"/>
  <c r="AA341" i="5"/>
  <c r="Z341" i="5"/>
  <c r="Y341" i="5"/>
  <c r="X341" i="5"/>
  <c r="W341" i="5"/>
  <c r="V341" i="5"/>
  <c r="U341" i="5"/>
  <c r="T341" i="5"/>
  <c r="BD340" i="5"/>
  <c r="BC340" i="5"/>
  <c r="BB340" i="5"/>
  <c r="BA340" i="5"/>
  <c r="AZ340" i="5"/>
  <c r="AY340" i="5"/>
  <c r="AX340" i="5"/>
  <c r="AW340" i="5"/>
  <c r="AP340" i="5"/>
  <c r="AO340" i="5"/>
  <c r="AN340" i="5"/>
  <c r="AM340" i="5"/>
  <c r="AL340" i="5"/>
  <c r="AK340" i="5"/>
  <c r="AJ340" i="5"/>
  <c r="AI340" i="5"/>
  <c r="AA340" i="5"/>
  <c r="Z340" i="5"/>
  <c r="Y340" i="5"/>
  <c r="X340" i="5"/>
  <c r="W340" i="5"/>
  <c r="V340" i="5"/>
  <c r="U340" i="5"/>
  <c r="T340" i="5"/>
  <c r="BD339" i="5"/>
  <c r="BC339" i="5"/>
  <c r="BB339" i="5"/>
  <c r="BA339" i="5"/>
  <c r="AZ339" i="5"/>
  <c r="AY339" i="5"/>
  <c r="AX339" i="5"/>
  <c r="AW339" i="5"/>
  <c r="AP339" i="5"/>
  <c r="AO339" i="5"/>
  <c r="AN339" i="5"/>
  <c r="AM339" i="5"/>
  <c r="AL339" i="5"/>
  <c r="AK339" i="5"/>
  <c r="AJ339" i="5"/>
  <c r="AI339" i="5"/>
  <c r="AA339" i="5"/>
  <c r="Z339" i="5"/>
  <c r="Y339" i="5"/>
  <c r="X339" i="5"/>
  <c r="W339" i="5"/>
  <c r="V339" i="5"/>
  <c r="U339" i="5"/>
  <c r="T339" i="5"/>
  <c r="BD338" i="5"/>
  <c r="BC338" i="5"/>
  <c r="BB338" i="5"/>
  <c r="BA338" i="5"/>
  <c r="AZ338" i="5"/>
  <c r="AY338" i="5"/>
  <c r="AX338" i="5"/>
  <c r="AW338" i="5"/>
  <c r="AP338" i="5"/>
  <c r="AO338" i="5"/>
  <c r="AN338" i="5"/>
  <c r="AM338" i="5"/>
  <c r="AL338" i="5"/>
  <c r="AK338" i="5"/>
  <c r="AJ338" i="5"/>
  <c r="AI338" i="5"/>
  <c r="AA338" i="5"/>
  <c r="Z338" i="5"/>
  <c r="Y338" i="5"/>
  <c r="X338" i="5"/>
  <c r="W338" i="5"/>
  <c r="V338" i="5"/>
  <c r="U338" i="5"/>
  <c r="T338" i="5"/>
  <c r="BD337" i="5"/>
  <c r="BC337" i="5"/>
  <c r="BB337" i="5"/>
  <c r="BA337" i="5"/>
  <c r="AZ337" i="5"/>
  <c r="AY337" i="5"/>
  <c r="AX337" i="5"/>
  <c r="AW337" i="5"/>
  <c r="AP337" i="5"/>
  <c r="AO337" i="5"/>
  <c r="AN337" i="5"/>
  <c r="AM337" i="5"/>
  <c r="AL337" i="5"/>
  <c r="AK337" i="5"/>
  <c r="AJ337" i="5"/>
  <c r="AI337" i="5"/>
  <c r="AA337" i="5"/>
  <c r="Z337" i="5"/>
  <c r="Y337" i="5"/>
  <c r="X337" i="5"/>
  <c r="W337" i="5"/>
  <c r="V337" i="5"/>
  <c r="U337" i="5"/>
  <c r="T337" i="5"/>
  <c r="BD336" i="5"/>
  <c r="BC336" i="5"/>
  <c r="BB336" i="5"/>
  <c r="BA336" i="5"/>
  <c r="AZ336" i="5"/>
  <c r="AY336" i="5"/>
  <c r="AX336" i="5"/>
  <c r="AW336" i="5"/>
  <c r="AP336" i="5"/>
  <c r="AO336" i="5"/>
  <c r="AN336" i="5"/>
  <c r="AM336" i="5"/>
  <c r="AL336" i="5"/>
  <c r="AK336" i="5"/>
  <c r="AJ336" i="5"/>
  <c r="AI336" i="5"/>
  <c r="AA336" i="5"/>
  <c r="Z336" i="5"/>
  <c r="Y336" i="5"/>
  <c r="X336" i="5"/>
  <c r="W336" i="5"/>
  <c r="V336" i="5"/>
  <c r="U336" i="5"/>
  <c r="T336" i="5"/>
  <c r="BD335" i="5"/>
  <c r="BC335" i="5"/>
  <c r="BB335" i="5"/>
  <c r="BA335" i="5"/>
  <c r="AZ335" i="5"/>
  <c r="AY335" i="5"/>
  <c r="AX335" i="5"/>
  <c r="AW335" i="5"/>
  <c r="AP335" i="5"/>
  <c r="AO335" i="5"/>
  <c r="AN335" i="5"/>
  <c r="AM335" i="5"/>
  <c r="AL335" i="5"/>
  <c r="AK335" i="5"/>
  <c r="AJ335" i="5"/>
  <c r="AI335" i="5"/>
  <c r="AA335" i="5"/>
  <c r="Z335" i="5"/>
  <c r="Y335" i="5"/>
  <c r="X335" i="5"/>
  <c r="W335" i="5"/>
  <c r="V335" i="5"/>
  <c r="U335" i="5"/>
  <c r="T335" i="5"/>
  <c r="BD334" i="5"/>
  <c r="BC334" i="5"/>
  <c r="BB334" i="5"/>
  <c r="BA334" i="5"/>
  <c r="AZ334" i="5"/>
  <c r="AY334" i="5"/>
  <c r="AX334" i="5"/>
  <c r="AW334" i="5"/>
  <c r="AP334" i="5"/>
  <c r="AO334" i="5"/>
  <c r="AN334" i="5"/>
  <c r="AM334" i="5"/>
  <c r="AL334" i="5"/>
  <c r="AK334" i="5"/>
  <c r="AJ334" i="5"/>
  <c r="AI334" i="5"/>
  <c r="AA334" i="5"/>
  <c r="Z334" i="5"/>
  <c r="Y334" i="5"/>
  <c r="X334" i="5"/>
  <c r="W334" i="5"/>
  <c r="V334" i="5"/>
  <c r="U334" i="5"/>
  <c r="T334" i="5"/>
  <c r="BD333" i="5"/>
  <c r="BC333" i="5"/>
  <c r="BB333" i="5"/>
  <c r="BA333" i="5"/>
  <c r="AZ333" i="5"/>
  <c r="AY333" i="5"/>
  <c r="AX333" i="5"/>
  <c r="AW333" i="5"/>
  <c r="AP333" i="5"/>
  <c r="AO333" i="5"/>
  <c r="AN333" i="5"/>
  <c r="AM333" i="5"/>
  <c r="AL333" i="5"/>
  <c r="AK333" i="5"/>
  <c r="AJ333" i="5"/>
  <c r="AI333" i="5"/>
  <c r="AA333" i="5"/>
  <c r="Z333" i="5"/>
  <c r="Y333" i="5"/>
  <c r="X333" i="5"/>
  <c r="W333" i="5"/>
  <c r="V333" i="5"/>
  <c r="U333" i="5"/>
  <c r="T333" i="5"/>
  <c r="BD332" i="5"/>
  <c r="BC332" i="5"/>
  <c r="BB332" i="5"/>
  <c r="BA332" i="5"/>
  <c r="AZ332" i="5"/>
  <c r="AY332" i="5"/>
  <c r="AX332" i="5"/>
  <c r="AW332" i="5"/>
  <c r="AP332" i="5"/>
  <c r="AO332" i="5"/>
  <c r="AN332" i="5"/>
  <c r="AM332" i="5"/>
  <c r="AL332" i="5"/>
  <c r="AK332" i="5"/>
  <c r="AJ332" i="5"/>
  <c r="AI332" i="5"/>
  <c r="AA332" i="5"/>
  <c r="Z332" i="5"/>
  <c r="Y332" i="5"/>
  <c r="X332" i="5"/>
  <c r="W332" i="5"/>
  <c r="V332" i="5"/>
  <c r="U332" i="5"/>
  <c r="T332" i="5"/>
  <c r="BD331" i="5"/>
  <c r="BC331" i="5"/>
  <c r="BB331" i="5"/>
  <c r="BA331" i="5"/>
  <c r="AZ331" i="5"/>
  <c r="AY331" i="5"/>
  <c r="AX331" i="5"/>
  <c r="AW331" i="5"/>
  <c r="AP331" i="5"/>
  <c r="AO331" i="5"/>
  <c r="AN331" i="5"/>
  <c r="AM331" i="5"/>
  <c r="AL331" i="5"/>
  <c r="AK331" i="5"/>
  <c r="AJ331" i="5"/>
  <c r="AI331" i="5"/>
  <c r="AA331" i="5"/>
  <c r="Z331" i="5"/>
  <c r="Y331" i="5"/>
  <c r="X331" i="5"/>
  <c r="W331" i="5"/>
  <c r="V331" i="5"/>
  <c r="U331" i="5"/>
  <c r="T331" i="5"/>
  <c r="BD330" i="5"/>
  <c r="BC330" i="5"/>
  <c r="BB330" i="5"/>
  <c r="BA330" i="5"/>
  <c r="AZ330" i="5"/>
  <c r="AY330" i="5"/>
  <c r="AX330" i="5"/>
  <c r="AW330" i="5"/>
  <c r="AP330" i="5"/>
  <c r="AO330" i="5"/>
  <c r="AN330" i="5"/>
  <c r="AM330" i="5"/>
  <c r="AL330" i="5"/>
  <c r="AK330" i="5"/>
  <c r="AJ330" i="5"/>
  <c r="AI330" i="5"/>
  <c r="AA330" i="5"/>
  <c r="Z330" i="5"/>
  <c r="Y330" i="5"/>
  <c r="X330" i="5"/>
  <c r="W330" i="5"/>
  <c r="V330" i="5"/>
  <c r="U330" i="5"/>
  <c r="T330" i="5"/>
  <c r="BD329" i="5"/>
  <c r="BC329" i="5"/>
  <c r="BB329" i="5"/>
  <c r="BA329" i="5"/>
  <c r="AZ329" i="5"/>
  <c r="AY329" i="5"/>
  <c r="AX329" i="5"/>
  <c r="AW329" i="5"/>
  <c r="AP329" i="5"/>
  <c r="AO329" i="5"/>
  <c r="AN329" i="5"/>
  <c r="AM329" i="5"/>
  <c r="AL329" i="5"/>
  <c r="AK329" i="5"/>
  <c r="AJ329" i="5"/>
  <c r="AI329" i="5"/>
  <c r="AA329" i="5"/>
  <c r="Z329" i="5"/>
  <c r="Y329" i="5"/>
  <c r="X329" i="5"/>
  <c r="W329" i="5"/>
  <c r="V329" i="5"/>
  <c r="U329" i="5"/>
  <c r="T329" i="5"/>
  <c r="BD328" i="5"/>
  <c r="BC328" i="5"/>
  <c r="BB328" i="5"/>
  <c r="BA328" i="5"/>
  <c r="AZ328" i="5"/>
  <c r="AY328" i="5"/>
  <c r="AX328" i="5"/>
  <c r="AW328" i="5"/>
  <c r="AP328" i="5"/>
  <c r="AO328" i="5"/>
  <c r="AN328" i="5"/>
  <c r="AM328" i="5"/>
  <c r="AL328" i="5"/>
  <c r="AK328" i="5"/>
  <c r="AJ328" i="5"/>
  <c r="AI328" i="5"/>
  <c r="AA328" i="5"/>
  <c r="Z328" i="5"/>
  <c r="Y328" i="5"/>
  <c r="X328" i="5"/>
  <c r="W328" i="5"/>
  <c r="V328" i="5"/>
  <c r="U328" i="5"/>
  <c r="T328" i="5"/>
  <c r="BD327" i="5"/>
  <c r="BC327" i="5"/>
  <c r="BB327" i="5"/>
  <c r="BA327" i="5"/>
  <c r="AZ327" i="5"/>
  <c r="AY327" i="5"/>
  <c r="AX327" i="5"/>
  <c r="AW327" i="5"/>
  <c r="AP327" i="5"/>
  <c r="AO327" i="5"/>
  <c r="AN327" i="5"/>
  <c r="AM327" i="5"/>
  <c r="AL327" i="5"/>
  <c r="AK327" i="5"/>
  <c r="AJ327" i="5"/>
  <c r="AI327" i="5"/>
  <c r="AA327" i="5"/>
  <c r="Z327" i="5"/>
  <c r="Y327" i="5"/>
  <c r="X327" i="5"/>
  <c r="W327" i="5"/>
  <c r="V327" i="5"/>
  <c r="U327" i="5"/>
  <c r="T327" i="5"/>
  <c r="BD326" i="5"/>
  <c r="BC326" i="5"/>
  <c r="BB326" i="5"/>
  <c r="BA326" i="5"/>
  <c r="AZ326" i="5"/>
  <c r="AY326" i="5"/>
  <c r="AX326" i="5"/>
  <c r="AW326" i="5"/>
  <c r="AP326" i="5"/>
  <c r="AO326" i="5"/>
  <c r="AN326" i="5"/>
  <c r="AM326" i="5"/>
  <c r="AL326" i="5"/>
  <c r="AK326" i="5"/>
  <c r="AJ326" i="5"/>
  <c r="AI326" i="5"/>
  <c r="AA326" i="5"/>
  <c r="Z326" i="5"/>
  <c r="Y326" i="5"/>
  <c r="X326" i="5"/>
  <c r="W326" i="5"/>
  <c r="V326" i="5"/>
  <c r="U326" i="5"/>
  <c r="T326" i="5"/>
  <c r="BD325" i="5"/>
  <c r="BC325" i="5"/>
  <c r="BB325" i="5"/>
  <c r="BA325" i="5"/>
  <c r="AZ325" i="5"/>
  <c r="AY325" i="5"/>
  <c r="AX325" i="5"/>
  <c r="AW325" i="5"/>
  <c r="AP325" i="5"/>
  <c r="AO325" i="5"/>
  <c r="AN325" i="5"/>
  <c r="AM325" i="5"/>
  <c r="AL325" i="5"/>
  <c r="AK325" i="5"/>
  <c r="AJ325" i="5"/>
  <c r="AI325" i="5"/>
  <c r="AA325" i="5"/>
  <c r="Z325" i="5"/>
  <c r="Y325" i="5"/>
  <c r="X325" i="5"/>
  <c r="W325" i="5"/>
  <c r="V325" i="5"/>
  <c r="U325" i="5"/>
  <c r="T325" i="5"/>
  <c r="BD324" i="5"/>
  <c r="BC324" i="5"/>
  <c r="BB324" i="5"/>
  <c r="BA324" i="5"/>
  <c r="AZ324" i="5"/>
  <c r="AY324" i="5"/>
  <c r="AX324" i="5"/>
  <c r="AW324" i="5"/>
  <c r="AP324" i="5"/>
  <c r="AO324" i="5"/>
  <c r="AN324" i="5"/>
  <c r="AM324" i="5"/>
  <c r="AL324" i="5"/>
  <c r="AK324" i="5"/>
  <c r="AJ324" i="5"/>
  <c r="AI324" i="5"/>
  <c r="AA324" i="5"/>
  <c r="Z324" i="5"/>
  <c r="Y324" i="5"/>
  <c r="X324" i="5"/>
  <c r="W324" i="5"/>
  <c r="V324" i="5"/>
  <c r="U324" i="5"/>
  <c r="T324" i="5"/>
  <c r="BD323" i="5"/>
  <c r="BC323" i="5"/>
  <c r="BB323" i="5"/>
  <c r="BA323" i="5"/>
  <c r="AZ323" i="5"/>
  <c r="AY323" i="5"/>
  <c r="AX323" i="5"/>
  <c r="AW323" i="5"/>
  <c r="AP323" i="5"/>
  <c r="AO323" i="5"/>
  <c r="AN323" i="5"/>
  <c r="AM323" i="5"/>
  <c r="AL323" i="5"/>
  <c r="AK323" i="5"/>
  <c r="AJ323" i="5"/>
  <c r="AI323" i="5"/>
  <c r="AA323" i="5"/>
  <c r="Z323" i="5"/>
  <c r="Y323" i="5"/>
  <c r="X323" i="5"/>
  <c r="W323" i="5"/>
  <c r="V323" i="5"/>
  <c r="U323" i="5"/>
  <c r="T323" i="5"/>
  <c r="BD322" i="5"/>
  <c r="BC322" i="5"/>
  <c r="BB322" i="5"/>
  <c r="BA322" i="5"/>
  <c r="AZ322" i="5"/>
  <c r="AY322" i="5"/>
  <c r="AX322" i="5"/>
  <c r="AW322" i="5"/>
  <c r="AP322" i="5"/>
  <c r="AO322" i="5"/>
  <c r="AN322" i="5"/>
  <c r="AM322" i="5"/>
  <c r="AL322" i="5"/>
  <c r="AK322" i="5"/>
  <c r="AJ322" i="5"/>
  <c r="AI322" i="5"/>
  <c r="AA322" i="5"/>
  <c r="Z322" i="5"/>
  <c r="Y322" i="5"/>
  <c r="X322" i="5"/>
  <c r="W322" i="5"/>
  <c r="V322" i="5"/>
  <c r="U322" i="5"/>
  <c r="T322" i="5"/>
  <c r="BD321" i="5"/>
  <c r="BC321" i="5"/>
  <c r="BB321" i="5"/>
  <c r="BA321" i="5"/>
  <c r="AZ321" i="5"/>
  <c r="AY321" i="5"/>
  <c r="AX321" i="5"/>
  <c r="AW321" i="5"/>
  <c r="AP321" i="5"/>
  <c r="AO321" i="5"/>
  <c r="AN321" i="5"/>
  <c r="AM321" i="5"/>
  <c r="AL321" i="5"/>
  <c r="AK321" i="5"/>
  <c r="AJ321" i="5"/>
  <c r="AI321" i="5"/>
  <c r="AA321" i="5"/>
  <c r="Z321" i="5"/>
  <c r="Y321" i="5"/>
  <c r="X321" i="5"/>
  <c r="W321" i="5"/>
  <c r="V321" i="5"/>
  <c r="U321" i="5"/>
  <c r="T321" i="5"/>
  <c r="BD320" i="5"/>
  <c r="BC320" i="5"/>
  <c r="BB320" i="5"/>
  <c r="BA320" i="5"/>
  <c r="AZ320" i="5"/>
  <c r="AY320" i="5"/>
  <c r="AX320" i="5"/>
  <c r="AW320" i="5"/>
  <c r="AP320" i="5"/>
  <c r="AO320" i="5"/>
  <c r="AN320" i="5"/>
  <c r="AM320" i="5"/>
  <c r="AL320" i="5"/>
  <c r="AK320" i="5"/>
  <c r="AJ320" i="5"/>
  <c r="AI320" i="5"/>
  <c r="AA320" i="5"/>
  <c r="Z320" i="5"/>
  <c r="Y320" i="5"/>
  <c r="X320" i="5"/>
  <c r="W320" i="5"/>
  <c r="V320" i="5"/>
  <c r="U320" i="5"/>
  <c r="T320" i="5"/>
  <c r="BD319" i="5"/>
  <c r="BC319" i="5"/>
  <c r="BB319" i="5"/>
  <c r="BA319" i="5"/>
  <c r="AZ319" i="5"/>
  <c r="AY319" i="5"/>
  <c r="AX319" i="5"/>
  <c r="AW319" i="5"/>
  <c r="AP319" i="5"/>
  <c r="AO319" i="5"/>
  <c r="AN319" i="5"/>
  <c r="AM319" i="5"/>
  <c r="AL319" i="5"/>
  <c r="AK319" i="5"/>
  <c r="AJ319" i="5"/>
  <c r="AI319" i="5"/>
  <c r="AA319" i="5"/>
  <c r="Z319" i="5"/>
  <c r="Y319" i="5"/>
  <c r="X319" i="5"/>
  <c r="W319" i="5"/>
  <c r="V319" i="5"/>
  <c r="U319" i="5"/>
  <c r="T319" i="5"/>
  <c r="BD318" i="5"/>
  <c r="BC318" i="5"/>
  <c r="BB318" i="5"/>
  <c r="BA318" i="5"/>
  <c r="AZ318" i="5"/>
  <c r="AY318" i="5"/>
  <c r="AX318" i="5"/>
  <c r="AW318" i="5"/>
  <c r="AP318" i="5"/>
  <c r="AO318" i="5"/>
  <c r="AN318" i="5"/>
  <c r="AM318" i="5"/>
  <c r="AL318" i="5"/>
  <c r="AK318" i="5"/>
  <c r="AJ318" i="5"/>
  <c r="AI318" i="5"/>
  <c r="AA318" i="5"/>
  <c r="Z318" i="5"/>
  <c r="Y318" i="5"/>
  <c r="X318" i="5"/>
  <c r="W318" i="5"/>
  <c r="V318" i="5"/>
  <c r="U318" i="5"/>
  <c r="T318" i="5"/>
  <c r="BD317" i="5"/>
  <c r="BC317" i="5"/>
  <c r="BB317" i="5"/>
  <c r="BA317" i="5"/>
  <c r="AZ317" i="5"/>
  <c r="AY317" i="5"/>
  <c r="AX317" i="5"/>
  <c r="AW317" i="5"/>
  <c r="AP317" i="5"/>
  <c r="AO317" i="5"/>
  <c r="AN317" i="5"/>
  <c r="AM317" i="5"/>
  <c r="AL317" i="5"/>
  <c r="AK317" i="5"/>
  <c r="AJ317" i="5"/>
  <c r="AI317" i="5"/>
  <c r="AA317" i="5"/>
  <c r="Z317" i="5"/>
  <c r="Y317" i="5"/>
  <c r="X317" i="5"/>
  <c r="W317" i="5"/>
  <c r="V317" i="5"/>
  <c r="U317" i="5"/>
  <c r="T317" i="5"/>
  <c r="BD316" i="5"/>
  <c r="BC316" i="5"/>
  <c r="BB316" i="5"/>
  <c r="BA316" i="5"/>
  <c r="AZ316" i="5"/>
  <c r="AY316" i="5"/>
  <c r="AX316" i="5"/>
  <c r="AW316" i="5"/>
  <c r="AP316" i="5"/>
  <c r="AO316" i="5"/>
  <c r="AN316" i="5"/>
  <c r="AM316" i="5"/>
  <c r="AL316" i="5"/>
  <c r="AK316" i="5"/>
  <c r="AJ316" i="5"/>
  <c r="AI316" i="5"/>
  <c r="AA316" i="5"/>
  <c r="Z316" i="5"/>
  <c r="Y316" i="5"/>
  <c r="X316" i="5"/>
  <c r="W316" i="5"/>
  <c r="V316" i="5"/>
  <c r="U316" i="5"/>
  <c r="T316" i="5"/>
  <c r="BD315" i="5"/>
  <c r="BC315" i="5"/>
  <c r="BB315" i="5"/>
  <c r="BA315" i="5"/>
  <c r="AZ315" i="5"/>
  <c r="AY315" i="5"/>
  <c r="AX315" i="5"/>
  <c r="AW315" i="5"/>
  <c r="AP315" i="5"/>
  <c r="AO315" i="5"/>
  <c r="AN315" i="5"/>
  <c r="AM315" i="5"/>
  <c r="AL315" i="5"/>
  <c r="AK315" i="5"/>
  <c r="AJ315" i="5"/>
  <c r="AI315" i="5"/>
  <c r="AA315" i="5"/>
  <c r="Z315" i="5"/>
  <c r="Y315" i="5"/>
  <c r="X315" i="5"/>
  <c r="W315" i="5"/>
  <c r="V315" i="5"/>
  <c r="U315" i="5"/>
  <c r="T315" i="5"/>
  <c r="BD314" i="5"/>
  <c r="BC314" i="5"/>
  <c r="BB314" i="5"/>
  <c r="BA314" i="5"/>
  <c r="AZ314" i="5"/>
  <c r="AY314" i="5"/>
  <c r="AX314" i="5"/>
  <c r="AW314" i="5"/>
  <c r="AP314" i="5"/>
  <c r="AO314" i="5"/>
  <c r="AN314" i="5"/>
  <c r="AM314" i="5"/>
  <c r="AL314" i="5"/>
  <c r="AK314" i="5"/>
  <c r="AJ314" i="5"/>
  <c r="AI314" i="5"/>
  <c r="AA314" i="5"/>
  <c r="Z314" i="5"/>
  <c r="Y314" i="5"/>
  <c r="X314" i="5"/>
  <c r="W314" i="5"/>
  <c r="V314" i="5"/>
  <c r="U314" i="5"/>
  <c r="T314" i="5"/>
  <c r="BD313" i="5"/>
  <c r="BC313" i="5"/>
  <c r="BB313" i="5"/>
  <c r="BA313" i="5"/>
  <c r="AZ313" i="5"/>
  <c r="AY313" i="5"/>
  <c r="AX313" i="5"/>
  <c r="AW313" i="5"/>
  <c r="AP313" i="5"/>
  <c r="AO313" i="5"/>
  <c r="AN313" i="5"/>
  <c r="AM313" i="5"/>
  <c r="AL313" i="5"/>
  <c r="AK313" i="5"/>
  <c r="AJ313" i="5"/>
  <c r="AI313" i="5"/>
  <c r="AA313" i="5"/>
  <c r="Z313" i="5"/>
  <c r="Y313" i="5"/>
  <c r="X313" i="5"/>
  <c r="W313" i="5"/>
  <c r="V313" i="5"/>
  <c r="U313" i="5"/>
  <c r="T313" i="5"/>
  <c r="BD312" i="5"/>
  <c r="BC312" i="5"/>
  <c r="BB312" i="5"/>
  <c r="BA312" i="5"/>
  <c r="AZ312" i="5"/>
  <c r="AY312" i="5"/>
  <c r="AX312" i="5"/>
  <c r="AW312" i="5"/>
  <c r="AP312" i="5"/>
  <c r="AO312" i="5"/>
  <c r="AN312" i="5"/>
  <c r="AM312" i="5"/>
  <c r="AL312" i="5"/>
  <c r="AK312" i="5"/>
  <c r="AJ312" i="5"/>
  <c r="AI312" i="5"/>
  <c r="AA312" i="5"/>
  <c r="Z312" i="5"/>
  <c r="Y312" i="5"/>
  <c r="X312" i="5"/>
  <c r="W312" i="5"/>
  <c r="V312" i="5"/>
  <c r="U312" i="5"/>
  <c r="T312" i="5"/>
  <c r="BD311" i="5"/>
  <c r="BC311" i="5"/>
  <c r="BB311" i="5"/>
  <c r="BA311" i="5"/>
  <c r="AZ311" i="5"/>
  <c r="AY311" i="5"/>
  <c r="AX311" i="5"/>
  <c r="AW311" i="5"/>
  <c r="AP311" i="5"/>
  <c r="AO311" i="5"/>
  <c r="AN311" i="5"/>
  <c r="AM311" i="5"/>
  <c r="AL311" i="5"/>
  <c r="AK311" i="5"/>
  <c r="AJ311" i="5"/>
  <c r="AI311" i="5"/>
  <c r="AA311" i="5"/>
  <c r="Z311" i="5"/>
  <c r="Y311" i="5"/>
  <c r="X311" i="5"/>
  <c r="W311" i="5"/>
  <c r="V311" i="5"/>
  <c r="U311" i="5"/>
  <c r="T311" i="5"/>
  <c r="BD310" i="5"/>
  <c r="BC310" i="5"/>
  <c r="BB310" i="5"/>
  <c r="BA310" i="5"/>
  <c r="AZ310" i="5"/>
  <c r="AY310" i="5"/>
  <c r="AX310" i="5"/>
  <c r="AW310" i="5"/>
  <c r="AP310" i="5"/>
  <c r="AO310" i="5"/>
  <c r="AN310" i="5"/>
  <c r="AM310" i="5"/>
  <c r="AL310" i="5"/>
  <c r="AK310" i="5"/>
  <c r="AJ310" i="5"/>
  <c r="AI310" i="5"/>
  <c r="AA310" i="5"/>
  <c r="Z310" i="5"/>
  <c r="Y310" i="5"/>
  <c r="X310" i="5"/>
  <c r="W310" i="5"/>
  <c r="V310" i="5"/>
  <c r="U310" i="5"/>
  <c r="T310" i="5"/>
  <c r="BD309" i="5"/>
  <c r="BC309" i="5"/>
  <c r="BB309" i="5"/>
  <c r="BA309" i="5"/>
  <c r="AZ309" i="5"/>
  <c r="AY309" i="5"/>
  <c r="AX309" i="5"/>
  <c r="AW309" i="5"/>
  <c r="AP309" i="5"/>
  <c r="AO309" i="5"/>
  <c r="AN309" i="5"/>
  <c r="AM309" i="5"/>
  <c r="AL309" i="5"/>
  <c r="AK309" i="5"/>
  <c r="AJ309" i="5"/>
  <c r="AI309" i="5"/>
  <c r="AA309" i="5"/>
  <c r="Z309" i="5"/>
  <c r="Y309" i="5"/>
  <c r="X309" i="5"/>
  <c r="W309" i="5"/>
  <c r="V309" i="5"/>
  <c r="U309" i="5"/>
  <c r="T309" i="5"/>
  <c r="BD308" i="5"/>
  <c r="BC308" i="5"/>
  <c r="BB308" i="5"/>
  <c r="BA308" i="5"/>
  <c r="AZ308" i="5"/>
  <c r="AY308" i="5"/>
  <c r="AX308" i="5"/>
  <c r="AW308" i="5"/>
  <c r="AP308" i="5"/>
  <c r="AO308" i="5"/>
  <c r="AN308" i="5"/>
  <c r="AM308" i="5"/>
  <c r="AL308" i="5"/>
  <c r="AK308" i="5"/>
  <c r="AJ308" i="5"/>
  <c r="AI308" i="5"/>
  <c r="AA308" i="5"/>
  <c r="Z308" i="5"/>
  <c r="Y308" i="5"/>
  <c r="X308" i="5"/>
  <c r="W308" i="5"/>
  <c r="V308" i="5"/>
  <c r="U308" i="5"/>
  <c r="T308" i="5"/>
  <c r="BD307" i="5"/>
  <c r="BC307" i="5"/>
  <c r="BB307" i="5"/>
  <c r="BA307" i="5"/>
  <c r="AZ307" i="5"/>
  <c r="AY307" i="5"/>
  <c r="AX307" i="5"/>
  <c r="AW307" i="5"/>
  <c r="AP307" i="5"/>
  <c r="AO307" i="5"/>
  <c r="AN307" i="5"/>
  <c r="AM307" i="5"/>
  <c r="AL307" i="5"/>
  <c r="AK307" i="5"/>
  <c r="AJ307" i="5"/>
  <c r="AI307" i="5"/>
  <c r="AA307" i="5"/>
  <c r="Z307" i="5"/>
  <c r="Y307" i="5"/>
  <c r="X307" i="5"/>
  <c r="W307" i="5"/>
  <c r="V307" i="5"/>
  <c r="U307" i="5"/>
  <c r="T307" i="5"/>
  <c r="BD306" i="5"/>
  <c r="BC306" i="5"/>
  <c r="BB306" i="5"/>
  <c r="BA306" i="5"/>
  <c r="AZ306" i="5"/>
  <c r="AY306" i="5"/>
  <c r="AX306" i="5"/>
  <c r="AW306" i="5"/>
  <c r="AP306" i="5"/>
  <c r="AO306" i="5"/>
  <c r="AN306" i="5"/>
  <c r="AM306" i="5"/>
  <c r="AL306" i="5"/>
  <c r="AK306" i="5"/>
  <c r="AJ306" i="5"/>
  <c r="AI306" i="5"/>
  <c r="AA306" i="5"/>
  <c r="Z306" i="5"/>
  <c r="Y306" i="5"/>
  <c r="X306" i="5"/>
  <c r="W306" i="5"/>
  <c r="V306" i="5"/>
  <c r="U306" i="5"/>
  <c r="T306" i="5"/>
  <c r="BD305" i="5"/>
  <c r="BC305" i="5"/>
  <c r="BB305" i="5"/>
  <c r="BA305" i="5"/>
  <c r="AZ305" i="5"/>
  <c r="AY305" i="5"/>
  <c r="AX305" i="5"/>
  <c r="AW305" i="5"/>
  <c r="AP305" i="5"/>
  <c r="AO305" i="5"/>
  <c r="AN305" i="5"/>
  <c r="AM305" i="5"/>
  <c r="AL305" i="5"/>
  <c r="AK305" i="5"/>
  <c r="AJ305" i="5"/>
  <c r="AI305" i="5"/>
  <c r="AA305" i="5"/>
  <c r="Z305" i="5"/>
  <c r="Y305" i="5"/>
  <c r="X305" i="5"/>
  <c r="W305" i="5"/>
  <c r="V305" i="5"/>
  <c r="U305" i="5"/>
  <c r="T305" i="5"/>
  <c r="BD304" i="5"/>
  <c r="BC304" i="5"/>
  <c r="BB304" i="5"/>
  <c r="BA304" i="5"/>
  <c r="AZ304" i="5"/>
  <c r="AY304" i="5"/>
  <c r="AX304" i="5"/>
  <c r="AW304" i="5"/>
  <c r="AP304" i="5"/>
  <c r="AO304" i="5"/>
  <c r="AN304" i="5"/>
  <c r="AM304" i="5"/>
  <c r="AL304" i="5"/>
  <c r="AK304" i="5"/>
  <c r="AJ304" i="5"/>
  <c r="AI304" i="5"/>
  <c r="AA304" i="5"/>
  <c r="Z304" i="5"/>
  <c r="Y304" i="5"/>
  <c r="X304" i="5"/>
  <c r="W304" i="5"/>
  <c r="V304" i="5"/>
  <c r="U304" i="5"/>
  <c r="T304" i="5"/>
  <c r="BD303" i="5"/>
  <c r="BC303" i="5"/>
  <c r="BB303" i="5"/>
  <c r="BA303" i="5"/>
  <c r="AZ303" i="5"/>
  <c r="AY303" i="5"/>
  <c r="AX303" i="5"/>
  <c r="AW303" i="5"/>
  <c r="AP303" i="5"/>
  <c r="AO303" i="5"/>
  <c r="AN303" i="5"/>
  <c r="AM303" i="5"/>
  <c r="AL303" i="5"/>
  <c r="AK303" i="5"/>
  <c r="AJ303" i="5"/>
  <c r="AI303" i="5"/>
  <c r="AA303" i="5"/>
  <c r="Z303" i="5"/>
  <c r="Y303" i="5"/>
  <c r="X303" i="5"/>
  <c r="W303" i="5"/>
  <c r="V303" i="5"/>
  <c r="U303" i="5"/>
  <c r="T303" i="5"/>
  <c r="BD302" i="5"/>
  <c r="BC302" i="5"/>
  <c r="BB302" i="5"/>
  <c r="BA302" i="5"/>
  <c r="AZ302" i="5"/>
  <c r="AY302" i="5"/>
  <c r="AX302" i="5"/>
  <c r="AW302" i="5"/>
  <c r="AP302" i="5"/>
  <c r="AO302" i="5"/>
  <c r="AN302" i="5"/>
  <c r="AM302" i="5"/>
  <c r="AL302" i="5"/>
  <c r="AK302" i="5"/>
  <c r="AJ302" i="5"/>
  <c r="AI302" i="5"/>
  <c r="AA302" i="5"/>
  <c r="Z302" i="5"/>
  <c r="Y302" i="5"/>
  <c r="X302" i="5"/>
  <c r="W302" i="5"/>
  <c r="V302" i="5"/>
  <c r="U302" i="5"/>
  <c r="T302" i="5"/>
  <c r="BD301" i="5"/>
  <c r="BC301" i="5"/>
  <c r="BB301" i="5"/>
  <c r="BA301" i="5"/>
  <c r="AZ301" i="5"/>
  <c r="AY301" i="5"/>
  <c r="AX301" i="5"/>
  <c r="AW301" i="5"/>
  <c r="AP301" i="5"/>
  <c r="AO301" i="5"/>
  <c r="AN301" i="5"/>
  <c r="AM301" i="5"/>
  <c r="AL301" i="5"/>
  <c r="AK301" i="5"/>
  <c r="AJ301" i="5"/>
  <c r="AI301" i="5"/>
  <c r="AA301" i="5"/>
  <c r="Z301" i="5"/>
  <c r="Y301" i="5"/>
  <c r="X301" i="5"/>
  <c r="W301" i="5"/>
  <c r="V301" i="5"/>
  <c r="U301" i="5"/>
  <c r="T301" i="5"/>
  <c r="BD300" i="5"/>
  <c r="BC300" i="5"/>
  <c r="BB300" i="5"/>
  <c r="BA300" i="5"/>
  <c r="AZ300" i="5"/>
  <c r="AY300" i="5"/>
  <c r="AX300" i="5"/>
  <c r="AW300" i="5"/>
  <c r="AP300" i="5"/>
  <c r="AO300" i="5"/>
  <c r="AN300" i="5"/>
  <c r="AM300" i="5"/>
  <c r="AL300" i="5"/>
  <c r="AK300" i="5"/>
  <c r="AJ300" i="5"/>
  <c r="AI300" i="5"/>
  <c r="AA300" i="5"/>
  <c r="Z300" i="5"/>
  <c r="Y300" i="5"/>
  <c r="X300" i="5"/>
  <c r="W300" i="5"/>
  <c r="V300" i="5"/>
  <c r="U300" i="5"/>
  <c r="T300" i="5"/>
  <c r="BD299" i="5"/>
  <c r="BC299" i="5"/>
  <c r="BB299" i="5"/>
  <c r="BA299" i="5"/>
  <c r="AZ299" i="5"/>
  <c r="AY299" i="5"/>
  <c r="AX299" i="5"/>
  <c r="AW299" i="5"/>
  <c r="AP299" i="5"/>
  <c r="AO299" i="5"/>
  <c r="AN299" i="5"/>
  <c r="AM299" i="5"/>
  <c r="AL299" i="5"/>
  <c r="AK299" i="5"/>
  <c r="AJ299" i="5"/>
  <c r="AI299" i="5"/>
  <c r="AA299" i="5"/>
  <c r="Z299" i="5"/>
  <c r="Y299" i="5"/>
  <c r="X299" i="5"/>
  <c r="W299" i="5"/>
  <c r="V299" i="5"/>
  <c r="U299" i="5"/>
  <c r="T299" i="5"/>
  <c r="BD298" i="5"/>
  <c r="BC298" i="5"/>
  <c r="BB298" i="5"/>
  <c r="BA298" i="5"/>
  <c r="AZ298" i="5"/>
  <c r="AY298" i="5"/>
  <c r="AX298" i="5"/>
  <c r="AW298" i="5"/>
  <c r="AP298" i="5"/>
  <c r="AO298" i="5"/>
  <c r="AN298" i="5"/>
  <c r="AM298" i="5"/>
  <c r="AL298" i="5"/>
  <c r="AK298" i="5"/>
  <c r="AJ298" i="5"/>
  <c r="AI298" i="5"/>
  <c r="AA298" i="5"/>
  <c r="Z298" i="5"/>
  <c r="Y298" i="5"/>
  <c r="X298" i="5"/>
  <c r="W298" i="5"/>
  <c r="V298" i="5"/>
  <c r="U298" i="5"/>
  <c r="T298" i="5"/>
  <c r="BD297" i="5"/>
  <c r="BC297" i="5"/>
  <c r="BB297" i="5"/>
  <c r="BA297" i="5"/>
  <c r="AZ297" i="5"/>
  <c r="AY297" i="5"/>
  <c r="AX297" i="5"/>
  <c r="AW297" i="5"/>
  <c r="AP297" i="5"/>
  <c r="AO297" i="5"/>
  <c r="AN297" i="5"/>
  <c r="AM297" i="5"/>
  <c r="AL297" i="5"/>
  <c r="AK297" i="5"/>
  <c r="AJ297" i="5"/>
  <c r="AI297" i="5"/>
  <c r="AA297" i="5"/>
  <c r="Z297" i="5"/>
  <c r="Y297" i="5"/>
  <c r="X297" i="5"/>
  <c r="W297" i="5"/>
  <c r="V297" i="5"/>
  <c r="U297" i="5"/>
  <c r="T297" i="5"/>
  <c r="BD296" i="5"/>
  <c r="BC296" i="5"/>
  <c r="BB296" i="5"/>
  <c r="BA296" i="5"/>
  <c r="AZ296" i="5"/>
  <c r="AY296" i="5"/>
  <c r="AX296" i="5"/>
  <c r="AW296" i="5"/>
  <c r="AP296" i="5"/>
  <c r="AO296" i="5"/>
  <c r="AN296" i="5"/>
  <c r="AM296" i="5"/>
  <c r="AL296" i="5"/>
  <c r="AK296" i="5"/>
  <c r="AJ296" i="5"/>
  <c r="AI296" i="5"/>
  <c r="AA296" i="5"/>
  <c r="Z296" i="5"/>
  <c r="Y296" i="5"/>
  <c r="X296" i="5"/>
  <c r="W296" i="5"/>
  <c r="V296" i="5"/>
  <c r="U296" i="5"/>
  <c r="T296" i="5"/>
  <c r="BD295" i="5"/>
  <c r="BC295" i="5"/>
  <c r="BB295" i="5"/>
  <c r="BA295" i="5"/>
  <c r="AZ295" i="5"/>
  <c r="AY295" i="5"/>
  <c r="AX295" i="5"/>
  <c r="AW295" i="5"/>
  <c r="AP295" i="5"/>
  <c r="AO295" i="5"/>
  <c r="AN295" i="5"/>
  <c r="AM295" i="5"/>
  <c r="AL295" i="5"/>
  <c r="AK295" i="5"/>
  <c r="AJ295" i="5"/>
  <c r="AI295" i="5"/>
  <c r="AA295" i="5"/>
  <c r="Z295" i="5"/>
  <c r="Y295" i="5"/>
  <c r="X295" i="5"/>
  <c r="W295" i="5"/>
  <c r="V295" i="5"/>
  <c r="U295" i="5"/>
  <c r="T295" i="5"/>
  <c r="BD294" i="5"/>
  <c r="BC294" i="5"/>
  <c r="BB294" i="5"/>
  <c r="BA294" i="5"/>
  <c r="AZ294" i="5"/>
  <c r="AY294" i="5"/>
  <c r="AX294" i="5"/>
  <c r="AW294" i="5"/>
  <c r="AP294" i="5"/>
  <c r="AO294" i="5"/>
  <c r="AN294" i="5"/>
  <c r="AM294" i="5"/>
  <c r="AL294" i="5"/>
  <c r="AK294" i="5"/>
  <c r="AJ294" i="5"/>
  <c r="AI294" i="5"/>
  <c r="AA294" i="5"/>
  <c r="Z294" i="5"/>
  <c r="Y294" i="5"/>
  <c r="X294" i="5"/>
  <c r="W294" i="5"/>
  <c r="V294" i="5"/>
  <c r="U294" i="5"/>
  <c r="T294" i="5"/>
  <c r="BD293" i="5"/>
  <c r="BC293" i="5"/>
  <c r="BB293" i="5"/>
  <c r="BA293" i="5"/>
  <c r="AZ293" i="5"/>
  <c r="AY293" i="5"/>
  <c r="AX293" i="5"/>
  <c r="AW293" i="5"/>
  <c r="AP293" i="5"/>
  <c r="AO293" i="5"/>
  <c r="AN293" i="5"/>
  <c r="AM293" i="5"/>
  <c r="AL293" i="5"/>
  <c r="AK293" i="5"/>
  <c r="AJ293" i="5"/>
  <c r="AI293" i="5"/>
  <c r="AA293" i="5"/>
  <c r="Z293" i="5"/>
  <c r="Y293" i="5"/>
  <c r="X293" i="5"/>
  <c r="W293" i="5"/>
  <c r="V293" i="5"/>
  <c r="U293" i="5"/>
  <c r="T293" i="5"/>
  <c r="BD292" i="5"/>
  <c r="BC292" i="5"/>
  <c r="BB292" i="5"/>
  <c r="BA292" i="5"/>
  <c r="AZ292" i="5"/>
  <c r="AY292" i="5"/>
  <c r="AX292" i="5"/>
  <c r="AW292" i="5"/>
  <c r="AP292" i="5"/>
  <c r="AO292" i="5"/>
  <c r="AN292" i="5"/>
  <c r="AM292" i="5"/>
  <c r="AL292" i="5"/>
  <c r="AK292" i="5"/>
  <c r="AJ292" i="5"/>
  <c r="AI292" i="5"/>
  <c r="AA292" i="5"/>
  <c r="Z292" i="5"/>
  <c r="Y292" i="5"/>
  <c r="X292" i="5"/>
  <c r="W292" i="5"/>
  <c r="V292" i="5"/>
  <c r="U292" i="5"/>
  <c r="T292" i="5"/>
  <c r="AB292" i="5" s="1"/>
  <c r="BD291" i="5"/>
  <c r="BC291" i="5"/>
  <c r="BB291" i="5"/>
  <c r="BA291" i="5"/>
  <c r="AZ291" i="5"/>
  <c r="AY291" i="5"/>
  <c r="AX291" i="5"/>
  <c r="AW291" i="5"/>
  <c r="BE291" i="5" s="1"/>
  <c r="AP291" i="5"/>
  <c r="AO291" i="5"/>
  <c r="AN291" i="5"/>
  <c r="AM291" i="5"/>
  <c r="AL291" i="5"/>
  <c r="AK291" i="5"/>
  <c r="AJ291" i="5"/>
  <c r="AI291" i="5"/>
  <c r="AQ291" i="5" s="1"/>
  <c r="AA291" i="5"/>
  <c r="Z291" i="5"/>
  <c r="Y291" i="5"/>
  <c r="X291" i="5"/>
  <c r="W291" i="5"/>
  <c r="V291" i="5"/>
  <c r="U291" i="5"/>
  <c r="T291" i="5"/>
  <c r="BD290" i="5"/>
  <c r="BC290" i="5"/>
  <c r="BB290" i="5"/>
  <c r="BA290" i="5"/>
  <c r="AZ290" i="5"/>
  <c r="AY290" i="5"/>
  <c r="AX290" i="5"/>
  <c r="AW290" i="5"/>
  <c r="AP290" i="5"/>
  <c r="AO290" i="5"/>
  <c r="AN290" i="5"/>
  <c r="AM290" i="5"/>
  <c r="AL290" i="5"/>
  <c r="AK290" i="5"/>
  <c r="AJ290" i="5"/>
  <c r="AI290" i="5"/>
  <c r="AQ290" i="5" s="1"/>
  <c r="AA290" i="5"/>
  <c r="Z290" i="5"/>
  <c r="Y290" i="5"/>
  <c r="X290" i="5"/>
  <c r="W290" i="5"/>
  <c r="V290" i="5"/>
  <c r="U290" i="5"/>
  <c r="T290" i="5"/>
  <c r="AB290" i="5" s="1"/>
  <c r="BD289" i="5"/>
  <c r="BC289" i="5"/>
  <c r="BB289" i="5"/>
  <c r="BA289" i="5"/>
  <c r="AZ289" i="5"/>
  <c r="AY289" i="5"/>
  <c r="AX289" i="5"/>
  <c r="AW289" i="5"/>
  <c r="AP289" i="5"/>
  <c r="AO289" i="5"/>
  <c r="AN289" i="5"/>
  <c r="AM289" i="5"/>
  <c r="AL289" i="5"/>
  <c r="AK289" i="5"/>
  <c r="AJ289" i="5"/>
  <c r="AI289" i="5"/>
  <c r="AQ289" i="5" s="1"/>
  <c r="AA289" i="5"/>
  <c r="Z289" i="5"/>
  <c r="Y289" i="5"/>
  <c r="X289" i="5"/>
  <c r="W289" i="5"/>
  <c r="V289" i="5"/>
  <c r="U289" i="5"/>
  <c r="T289" i="5"/>
  <c r="BD288" i="5"/>
  <c r="BC288" i="5"/>
  <c r="BB288" i="5"/>
  <c r="BA288" i="5"/>
  <c r="AZ288" i="5"/>
  <c r="AY288" i="5"/>
  <c r="AX288" i="5"/>
  <c r="AW288" i="5"/>
  <c r="AP288" i="5"/>
  <c r="AO288" i="5"/>
  <c r="AN288" i="5"/>
  <c r="AM288" i="5"/>
  <c r="AL288" i="5"/>
  <c r="AK288" i="5"/>
  <c r="AJ288" i="5"/>
  <c r="AI288" i="5"/>
  <c r="AQ288" i="5" s="1"/>
  <c r="AA288" i="5"/>
  <c r="Z288" i="5"/>
  <c r="Y288" i="5"/>
  <c r="X288" i="5"/>
  <c r="W288" i="5"/>
  <c r="V288" i="5"/>
  <c r="U288" i="5"/>
  <c r="T288" i="5"/>
  <c r="AB288" i="5" s="1"/>
  <c r="BD287" i="5"/>
  <c r="BC287" i="5"/>
  <c r="BB287" i="5"/>
  <c r="BA287" i="5"/>
  <c r="AZ287" i="5"/>
  <c r="AY287" i="5"/>
  <c r="AX287" i="5"/>
  <c r="AW287" i="5"/>
  <c r="AP287" i="5"/>
  <c r="AO287" i="5"/>
  <c r="AN287" i="5"/>
  <c r="AM287" i="5"/>
  <c r="AL287" i="5"/>
  <c r="AK287" i="5"/>
  <c r="AJ287" i="5"/>
  <c r="AI287" i="5"/>
  <c r="AQ287" i="5" s="1"/>
  <c r="AA287" i="5"/>
  <c r="Z287" i="5"/>
  <c r="Y287" i="5"/>
  <c r="X287" i="5"/>
  <c r="W287" i="5"/>
  <c r="V287" i="5"/>
  <c r="U287" i="5"/>
  <c r="T287" i="5"/>
  <c r="BD286" i="5"/>
  <c r="BC286" i="5"/>
  <c r="BB286" i="5"/>
  <c r="BA286" i="5"/>
  <c r="AZ286" i="5"/>
  <c r="AY286" i="5"/>
  <c r="AX286" i="5"/>
  <c r="AW286" i="5"/>
  <c r="AP286" i="5"/>
  <c r="AO286" i="5"/>
  <c r="AN286" i="5"/>
  <c r="AM286" i="5"/>
  <c r="AL286" i="5"/>
  <c r="AK286" i="5"/>
  <c r="AJ286" i="5"/>
  <c r="AI286" i="5"/>
  <c r="AA286" i="5"/>
  <c r="Z286" i="5"/>
  <c r="Y286" i="5"/>
  <c r="X286" i="5"/>
  <c r="W286" i="5"/>
  <c r="V286" i="5"/>
  <c r="U286" i="5"/>
  <c r="T286" i="5"/>
  <c r="BD285" i="5"/>
  <c r="BC285" i="5"/>
  <c r="BB285" i="5"/>
  <c r="BA285" i="5"/>
  <c r="AZ285" i="5"/>
  <c r="AY285" i="5"/>
  <c r="AX285" i="5"/>
  <c r="AW285" i="5"/>
  <c r="AP285" i="5"/>
  <c r="AO285" i="5"/>
  <c r="AN285" i="5"/>
  <c r="AM285" i="5"/>
  <c r="AL285" i="5"/>
  <c r="AK285" i="5"/>
  <c r="AJ285" i="5"/>
  <c r="AI285" i="5"/>
  <c r="AQ285" i="5" s="1"/>
  <c r="AA285" i="5"/>
  <c r="Z285" i="5"/>
  <c r="Y285" i="5"/>
  <c r="X285" i="5"/>
  <c r="W285" i="5"/>
  <c r="V285" i="5"/>
  <c r="U285" i="5"/>
  <c r="T285" i="5"/>
  <c r="BD284" i="5"/>
  <c r="BC284" i="5"/>
  <c r="BB284" i="5"/>
  <c r="BA284" i="5"/>
  <c r="AZ284" i="5"/>
  <c r="AY284" i="5"/>
  <c r="AX284" i="5"/>
  <c r="AW284" i="5"/>
  <c r="AP284" i="5"/>
  <c r="AO284" i="5"/>
  <c r="AN284" i="5"/>
  <c r="AM284" i="5"/>
  <c r="AL284" i="5"/>
  <c r="AK284" i="5"/>
  <c r="AJ284" i="5"/>
  <c r="AI284" i="5"/>
  <c r="AA284" i="5"/>
  <c r="Z284" i="5"/>
  <c r="Y284" i="5"/>
  <c r="X284" i="5"/>
  <c r="W284" i="5"/>
  <c r="V284" i="5"/>
  <c r="U284" i="5"/>
  <c r="T284" i="5"/>
  <c r="BD283" i="5"/>
  <c r="BC283" i="5"/>
  <c r="BB283" i="5"/>
  <c r="BA283" i="5"/>
  <c r="AZ283" i="5"/>
  <c r="AY283" i="5"/>
  <c r="AX283" i="5"/>
  <c r="AW283" i="5"/>
  <c r="AP283" i="5"/>
  <c r="AO283" i="5"/>
  <c r="AN283" i="5"/>
  <c r="AM283" i="5"/>
  <c r="AL283" i="5"/>
  <c r="AK283" i="5"/>
  <c r="AJ283" i="5"/>
  <c r="AI283" i="5"/>
  <c r="AA283" i="5"/>
  <c r="Z283" i="5"/>
  <c r="Y283" i="5"/>
  <c r="X283" i="5"/>
  <c r="W283" i="5"/>
  <c r="V283" i="5"/>
  <c r="U283" i="5"/>
  <c r="T283" i="5"/>
  <c r="BD282" i="5"/>
  <c r="BC282" i="5"/>
  <c r="BB282" i="5"/>
  <c r="BA282" i="5"/>
  <c r="AZ282" i="5"/>
  <c r="AY282" i="5"/>
  <c r="AX282" i="5"/>
  <c r="AW282" i="5"/>
  <c r="AP282" i="5"/>
  <c r="AO282" i="5"/>
  <c r="AN282" i="5"/>
  <c r="AM282" i="5"/>
  <c r="AL282" i="5"/>
  <c r="AK282" i="5"/>
  <c r="AJ282" i="5"/>
  <c r="AI282" i="5"/>
  <c r="AA282" i="5"/>
  <c r="Z282" i="5"/>
  <c r="Y282" i="5"/>
  <c r="X282" i="5"/>
  <c r="W282" i="5"/>
  <c r="V282" i="5"/>
  <c r="U282" i="5"/>
  <c r="T282" i="5"/>
  <c r="BD281" i="5"/>
  <c r="BC281" i="5"/>
  <c r="BB281" i="5"/>
  <c r="BA281" i="5"/>
  <c r="AZ281" i="5"/>
  <c r="AY281" i="5"/>
  <c r="AX281" i="5"/>
  <c r="AW281" i="5"/>
  <c r="AP281" i="5"/>
  <c r="AO281" i="5"/>
  <c r="AN281" i="5"/>
  <c r="AM281" i="5"/>
  <c r="AL281" i="5"/>
  <c r="AK281" i="5"/>
  <c r="AJ281" i="5"/>
  <c r="AI281" i="5"/>
  <c r="AA281" i="5"/>
  <c r="Z281" i="5"/>
  <c r="Y281" i="5"/>
  <c r="X281" i="5"/>
  <c r="W281" i="5"/>
  <c r="V281" i="5"/>
  <c r="U281" i="5"/>
  <c r="T281" i="5"/>
  <c r="BD280" i="5"/>
  <c r="BC280" i="5"/>
  <c r="BB280" i="5"/>
  <c r="BA280" i="5"/>
  <c r="AZ280" i="5"/>
  <c r="AY280" i="5"/>
  <c r="AX280" i="5"/>
  <c r="AW280" i="5"/>
  <c r="AP280" i="5"/>
  <c r="AO280" i="5"/>
  <c r="AN280" i="5"/>
  <c r="AM280" i="5"/>
  <c r="AL280" i="5"/>
  <c r="AK280" i="5"/>
  <c r="AJ280" i="5"/>
  <c r="AI280" i="5"/>
  <c r="AQ280" i="5" s="1"/>
  <c r="AA280" i="5"/>
  <c r="Z280" i="5"/>
  <c r="Y280" i="5"/>
  <c r="X280" i="5"/>
  <c r="W280" i="5"/>
  <c r="V280" i="5"/>
  <c r="U280" i="5"/>
  <c r="T280" i="5"/>
  <c r="BD279" i="5"/>
  <c r="BC279" i="5"/>
  <c r="BB279" i="5"/>
  <c r="BA279" i="5"/>
  <c r="AZ279" i="5"/>
  <c r="AY279" i="5"/>
  <c r="AX279" i="5"/>
  <c r="AW279" i="5"/>
  <c r="AP279" i="5"/>
  <c r="AO279" i="5"/>
  <c r="AN279" i="5"/>
  <c r="AM279" i="5"/>
  <c r="AL279" i="5"/>
  <c r="AK279" i="5"/>
  <c r="AJ279" i="5"/>
  <c r="AI279" i="5"/>
  <c r="AQ279" i="5" s="1"/>
  <c r="AA279" i="5"/>
  <c r="Z279" i="5"/>
  <c r="Y279" i="5"/>
  <c r="X279" i="5"/>
  <c r="W279" i="5"/>
  <c r="V279" i="5"/>
  <c r="U279" i="5"/>
  <c r="T279" i="5"/>
  <c r="BD278" i="5"/>
  <c r="BC278" i="5"/>
  <c r="BB278" i="5"/>
  <c r="BA278" i="5"/>
  <c r="AZ278" i="5"/>
  <c r="AY278" i="5"/>
  <c r="AX278" i="5"/>
  <c r="AW278" i="5"/>
  <c r="AP278" i="5"/>
  <c r="AO278" i="5"/>
  <c r="AN278" i="5"/>
  <c r="AM278" i="5"/>
  <c r="AL278" i="5"/>
  <c r="AK278" i="5"/>
  <c r="AJ278" i="5"/>
  <c r="AI278" i="5"/>
  <c r="AA278" i="5"/>
  <c r="Z278" i="5"/>
  <c r="Y278" i="5"/>
  <c r="X278" i="5"/>
  <c r="W278" i="5"/>
  <c r="V278" i="5"/>
  <c r="U278" i="5"/>
  <c r="T278" i="5"/>
  <c r="BD277" i="5"/>
  <c r="BC277" i="5"/>
  <c r="BB277" i="5"/>
  <c r="BA277" i="5"/>
  <c r="AZ277" i="5"/>
  <c r="AY277" i="5"/>
  <c r="AX277" i="5"/>
  <c r="AW277" i="5"/>
  <c r="AP277" i="5"/>
  <c r="AO277" i="5"/>
  <c r="AN277" i="5"/>
  <c r="AM277" i="5"/>
  <c r="AL277" i="5"/>
  <c r="AK277" i="5"/>
  <c r="AJ277" i="5"/>
  <c r="AI277" i="5"/>
  <c r="AA277" i="5"/>
  <c r="Z277" i="5"/>
  <c r="Y277" i="5"/>
  <c r="X277" i="5"/>
  <c r="W277" i="5"/>
  <c r="V277" i="5"/>
  <c r="U277" i="5"/>
  <c r="T277" i="5"/>
  <c r="BD276" i="5"/>
  <c r="BC276" i="5"/>
  <c r="BB276" i="5"/>
  <c r="BA276" i="5"/>
  <c r="AZ276" i="5"/>
  <c r="AY276" i="5"/>
  <c r="AX276" i="5"/>
  <c r="AW276" i="5"/>
  <c r="AP276" i="5"/>
  <c r="AO276" i="5"/>
  <c r="AN276" i="5"/>
  <c r="AM276" i="5"/>
  <c r="AL276" i="5"/>
  <c r="AK276" i="5"/>
  <c r="AJ276" i="5"/>
  <c r="AI276" i="5"/>
  <c r="AQ276" i="5" s="1"/>
  <c r="AA276" i="5"/>
  <c r="Z276" i="5"/>
  <c r="Y276" i="5"/>
  <c r="X276" i="5"/>
  <c r="W276" i="5"/>
  <c r="V276" i="5"/>
  <c r="U276" i="5"/>
  <c r="T276" i="5"/>
  <c r="BD275" i="5"/>
  <c r="BC275" i="5"/>
  <c r="BB275" i="5"/>
  <c r="BA275" i="5"/>
  <c r="AZ275" i="5"/>
  <c r="AY275" i="5"/>
  <c r="AX275" i="5"/>
  <c r="AW275" i="5"/>
  <c r="AP275" i="5"/>
  <c r="AO275" i="5"/>
  <c r="AN275" i="5"/>
  <c r="AM275" i="5"/>
  <c r="AL275" i="5"/>
  <c r="AK275" i="5"/>
  <c r="AJ275" i="5"/>
  <c r="AI275" i="5"/>
  <c r="AQ275" i="5" s="1"/>
  <c r="AA275" i="5"/>
  <c r="Z275" i="5"/>
  <c r="Y275" i="5"/>
  <c r="X275" i="5"/>
  <c r="W275" i="5"/>
  <c r="V275" i="5"/>
  <c r="U275" i="5"/>
  <c r="T275" i="5"/>
  <c r="BD274" i="5"/>
  <c r="BC274" i="5"/>
  <c r="BB274" i="5"/>
  <c r="BA274" i="5"/>
  <c r="AZ274" i="5"/>
  <c r="AY274" i="5"/>
  <c r="AX274" i="5"/>
  <c r="AW274" i="5"/>
  <c r="AP274" i="5"/>
  <c r="AO274" i="5"/>
  <c r="AN274" i="5"/>
  <c r="AM274" i="5"/>
  <c r="AL274" i="5"/>
  <c r="AK274" i="5"/>
  <c r="AJ274" i="5"/>
  <c r="AI274" i="5"/>
  <c r="AQ274" i="5" s="1"/>
  <c r="AA274" i="5"/>
  <c r="Z274" i="5"/>
  <c r="Y274" i="5"/>
  <c r="X274" i="5"/>
  <c r="W274" i="5"/>
  <c r="V274" i="5"/>
  <c r="U274" i="5"/>
  <c r="T274" i="5"/>
  <c r="BD273" i="5"/>
  <c r="BC273" i="5"/>
  <c r="BB273" i="5"/>
  <c r="BA273" i="5"/>
  <c r="AZ273" i="5"/>
  <c r="AY273" i="5"/>
  <c r="AX273" i="5"/>
  <c r="AW273" i="5"/>
  <c r="AP273" i="5"/>
  <c r="AO273" i="5"/>
  <c r="AN273" i="5"/>
  <c r="AM273" i="5"/>
  <c r="AL273" i="5"/>
  <c r="AK273" i="5"/>
  <c r="AJ273" i="5"/>
  <c r="AI273" i="5"/>
  <c r="AA273" i="5"/>
  <c r="Z273" i="5"/>
  <c r="Y273" i="5"/>
  <c r="X273" i="5"/>
  <c r="W273" i="5"/>
  <c r="V273" i="5"/>
  <c r="U273" i="5"/>
  <c r="T273" i="5"/>
  <c r="BD272" i="5"/>
  <c r="BC272" i="5"/>
  <c r="BB272" i="5"/>
  <c r="BA272" i="5"/>
  <c r="AZ272" i="5"/>
  <c r="AY272" i="5"/>
  <c r="AX272" i="5"/>
  <c r="AW272" i="5"/>
  <c r="AP272" i="5"/>
  <c r="AO272" i="5"/>
  <c r="AN272" i="5"/>
  <c r="AM272" i="5"/>
  <c r="AL272" i="5"/>
  <c r="AK272" i="5"/>
  <c r="AJ272" i="5"/>
  <c r="AI272" i="5"/>
  <c r="AQ272" i="5" s="1"/>
  <c r="AA272" i="5"/>
  <c r="Z272" i="5"/>
  <c r="Y272" i="5"/>
  <c r="X272" i="5"/>
  <c r="W272" i="5"/>
  <c r="V272" i="5"/>
  <c r="U272" i="5"/>
  <c r="T272" i="5"/>
  <c r="BD271" i="5"/>
  <c r="BC271" i="5"/>
  <c r="BB271" i="5"/>
  <c r="BA271" i="5"/>
  <c r="AZ271" i="5"/>
  <c r="AY271" i="5"/>
  <c r="AX271" i="5"/>
  <c r="AW271" i="5"/>
  <c r="AP271" i="5"/>
  <c r="AO271" i="5"/>
  <c r="AN271" i="5"/>
  <c r="AM271" i="5"/>
  <c r="AL271" i="5"/>
  <c r="AK271" i="5"/>
  <c r="AJ271" i="5"/>
  <c r="AI271" i="5"/>
  <c r="AA271" i="5"/>
  <c r="Z271" i="5"/>
  <c r="Y271" i="5"/>
  <c r="X271" i="5"/>
  <c r="W271" i="5"/>
  <c r="V271" i="5"/>
  <c r="U271" i="5"/>
  <c r="T271" i="5"/>
  <c r="BD270" i="5"/>
  <c r="BC270" i="5"/>
  <c r="BB270" i="5"/>
  <c r="BA270" i="5"/>
  <c r="AZ270" i="5"/>
  <c r="AY270" i="5"/>
  <c r="AX270" i="5"/>
  <c r="AW270" i="5"/>
  <c r="AP270" i="5"/>
  <c r="AO270" i="5"/>
  <c r="AN270" i="5"/>
  <c r="AM270" i="5"/>
  <c r="AL270" i="5"/>
  <c r="AK270" i="5"/>
  <c r="AJ270" i="5"/>
  <c r="AI270" i="5"/>
  <c r="AQ270" i="5" s="1"/>
  <c r="AA270" i="5"/>
  <c r="Z270" i="5"/>
  <c r="Y270" i="5"/>
  <c r="X270" i="5"/>
  <c r="W270" i="5"/>
  <c r="V270" i="5"/>
  <c r="U270" i="5"/>
  <c r="T270" i="5"/>
  <c r="BD269" i="5"/>
  <c r="BC269" i="5"/>
  <c r="BB269" i="5"/>
  <c r="BA269" i="5"/>
  <c r="AZ269" i="5"/>
  <c r="AY269" i="5"/>
  <c r="AX269" i="5"/>
  <c r="AW269" i="5"/>
  <c r="BE269" i="5" s="1"/>
  <c r="AP269" i="5"/>
  <c r="AO269" i="5"/>
  <c r="AN269" i="5"/>
  <c r="AM269" i="5"/>
  <c r="AL269" i="5"/>
  <c r="AK269" i="5"/>
  <c r="AJ269" i="5"/>
  <c r="AI269" i="5"/>
  <c r="AA269" i="5"/>
  <c r="Z269" i="5"/>
  <c r="Y269" i="5"/>
  <c r="X269" i="5"/>
  <c r="W269" i="5"/>
  <c r="V269" i="5"/>
  <c r="U269" i="5"/>
  <c r="T269" i="5"/>
  <c r="BD268" i="5"/>
  <c r="BC268" i="5"/>
  <c r="BB268" i="5"/>
  <c r="BA268" i="5"/>
  <c r="AZ268" i="5"/>
  <c r="AY268" i="5"/>
  <c r="AX268" i="5"/>
  <c r="AW268" i="5"/>
  <c r="AP268" i="5"/>
  <c r="AO268" i="5"/>
  <c r="AN268" i="5"/>
  <c r="AM268" i="5"/>
  <c r="AL268" i="5"/>
  <c r="AK268" i="5"/>
  <c r="AJ268" i="5"/>
  <c r="AI268" i="5"/>
  <c r="AQ268" i="5" s="1"/>
  <c r="AA268" i="5"/>
  <c r="Z268" i="5"/>
  <c r="Y268" i="5"/>
  <c r="X268" i="5"/>
  <c r="W268" i="5"/>
  <c r="V268" i="5"/>
  <c r="U268" i="5"/>
  <c r="T268" i="5"/>
  <c r="BD267" i="5"/>
  <c r="BC267" i="5"/>
  <c r="BB267" i="5"/>
  <c r="BA267" i="5"/>
  <c r="AZ267" i="5"/>
  <c r="AY267" i="5"/>
  <c r="AX267" i="5"/>
  <c r="AW267" i="5"/>
  <c r="AP267" i="5"/>
  <c r="AO267" i="5"/>
  <c r="AN267" i="5"/>
  <c r="AM267" i="5"/>
  <c r="AL267" i="5"/>
  <c r="AK267" i="5"/>
  <c r="AJ267" i="5"/>
  <c r="AI267" i="5"/>
  <c r="AA267" i="5"/>
  <c r="Z267" i="5"/>
  <c r="Y267" i="5"/>
  <c r="X267" i="5"/>
  <c r="W267" i="5"/>
  <c r="V267" i="5"/>
  <c r="U267" i="5"/>
  <c r="T267" i="5"/>
  <c r="BD266" i="5"/>
  <c r="BC266" i="5"/>
  <c r="BB266" i="5"/>
  <c r="BA266" i="5"/>
  <c r="AZ266" i="5"/>
  <c r="AY266" i="5"/>
  <c r="AX266" i="5"/>
  <c r="AW266" i="5"/>
  <c r="AP266" i="5"/>
  <c r="AO266" i="5"/>
  <c r="AN266" i="5"/>
  <c r="AM266" i="5"/>
  <c r="AL266" i="5"/>
  <c r="AK266" i="5"/>
  <c r="AJ266" i="5"/>
  <c r="AI266" i="5"/>
  <c r="AA266" i="5"/>
  <c r="Z266" i="5"/>
  <c r="Y266" i="5"/>
  <c r="X266" i="5"/>
  <c r="W266" i="5"/>
  <c r="V266" i="5"/>
  <c r="U266" i="5"/>
  <c r="T266" i="5"/>
  <c r="BD265" i="5"/>
  <c r="BC265" i="5"/>
  <c r="BB265" i="5"/>
  <c r="BA265" i="5"/>
  <c r="AZ265" i="5"/>
  <c r="AY265" i="5"/>
  <c r="AX265" i="5"/>
  <c r="AW265" i="5"/>
  <c r="BE265" i="5" s="1"/>
  <c r="AP265" i="5"/>
  <c r="AO265" i="5"/>
  <c r="AN265" i="5"/>
  <c r="AM265" i="5"/>
  <c r="AL265" i="5"/>
  <c r="AK265" i="5"/>
  <c r="AJ265" i="5"/>
  <c r="AI265" i="5"/>
  <c r="AQ265" i="5" s="1"/>
  <c r="AA265" i="5"/>
  <c r="Z265" i="5"/>
  <c r="Y265" i="5"/>
  <c r="X265" i="5"/>
  <c r="W265" i="5"/>
  <c r="V265" i="5"/>
  <c r="U265" i="5"/>
  <c r="T265" i="5"/>
  <c r="BD264" i="5"/>
  <c r="BC264" i="5"/>
  <c r="BB264" i="5"/>
  <c r="BA264" i="5"/>
  <c r="AZ264" i="5"/>
  <c r="AY264" i="5"/>
  <c r="AX264" i="5"/>
  <c r="AW264" i="5"/>
  <c r="AP264" i="5"/>
  <c r="AO264" i="5"/>
  <c r="AN264" i="5"/>
  <c r="AM264" i="5"/>
  <c r="AL264" i="5"/>
  <c r="AK264" i="5"/>
  <c r="AJ264" i="5"/>
  <c r="AI264" i="5"/>
  <c r="AA264" i="5"/>
  <c r="Z264" i="5"/>
  <c r="Y264" i="5"/>
  <c r="X264" i="5"/>
  <c r="W264" i="5"/>
  <c r="V264" i="5"/>
  <c r="U264" i="5"/>
  <c r="T264" i="5"/>
  <c r="BD263" i="5"/>
  <c r="BC263" i="5"/>
  <c r="BB263" i="5"/>
  <c r="BA263" i="5"/>
  <c r="AZ263" i="5"/>
  <c r="AY263" i="5"/>
  <c r="AX263" i="5"/>
  <c r="AW263" i="5"/>
  <c r="AP263" i="5"/>
  <c r="AO263" i="5"/>
  <c r="AN263" i="5"/>
  <c r="AM263" i="5"/>
  <c r="AL263" i="5"/>
  <c r="AK263" i="5"/>
  <c r="AJ263" i="5"/>
  <c r="AI263" i="5"/>
  <c r="AQ263" i="5" s="1"/>
  <c r="AA263" i="5"/>
  <c r="Z263" i="5"/>
  <c r="Y263" i="5"/>
  <c r="X263" i="5"/>
  <c r="W263" i="5"/>
  <c r="V263" i="5"/>
  <c r="U263" i="5"/>
  <c r="T263" i="5"/>
  <c r="BD262" i="5"/>
  <c r="BC262" i="5"/>
  <c r="BB262" i="5"/>
  <c r="BA262" i="5"/>
  <c r="AZ262" i="5"/>
  <c r="AY262" i="5"/>
  <c r="AX262" i="5"/>
  <c r="AW262" i="5"/>
  <c r="AP262" i="5"/>
  <c r="AO262" i="5"/>
  <c r="AN262" i="5"/>
  <c r="AM262" i="5"/>
  <c r="AL262" i="5"/>
  <c r="AK262" i="5"/>
  <c r="AJ262" i="5"/>
  <c r="AI262" i="5"/>
  <c r="AQ262" i="5" s="1"/>
  <c r="AA262" i="5"/>
  <c r="Z262" i="5"/>
  <c r="Y262" i="5"/>
  <c r="X262" i="5"/>
  <c r="W262" i="5"/>
  <c r="V262" i="5"/>
  <c r="U262" i="5"/>
  <c r="T262" i="5"/>
  <c r="BD261" i="5"/>
  <c r="BC261" i="5"/>
  <c r="BB261" i="5"/>
  <c r="BA261" i="5"/>
  <c r="AZ261" i="5"/>
  <c r="AY261" i="5"/>
  <c r="AX261" i="5"/>
  <c r="AW261" i="5"/>
  <c r="AP261" i="5"/>
  <c r="AO261" i="5"/>
  <c r="AN261" i="5"/>
  <c r="AM261" i="5"/>
  <c r="AL261" i="5"/>
  <c r="AK261" i="5"/>
  <c r="AJ261" i="5"/>
  <c r="AI261" i="5"/>
  <c r="AQ261" i="5" s="1"/>
  <c r="AA261" i="5"/>
  <c r="Z261" i="5"/>
  <c r="Y261" i="5"/>
  <c r="X261" i="5"/>
  <c r="W261" i="5"/>
  <c r="V261" i="5"/>
  <c r="U261" i="5"/>
  <c r="T261" i="5"/>
  <c r="BD260" i="5"/>
  <c r="BC260" i="5"/>
  <c r="BB260" i="5"/>
  <c r="BA260" i="5"/>
  <c r="AZ260" i="5"/>
  <c r="AY260" i="5"/>
  <c r="AX260" i="5"/>
  <c r="AW260" i="5"/>
  <c r="AP260" i="5"/>
  <c r="AO260" i="5"/>
  <c r="AN260" i="5"/>
  <c r="AM260" i="5"/>
  <c r="AL260" i="5"/>
  <c r="AK260" i="5"/>
  <c r="AJ260" i="5"/>
  <c r="AI260" i="5"/>
  <c r="AQ260" i="5" s="1"/>
  <c r="AA260" i="5"/>
  <c r="Z260" i="5"/>
  <c r="Y260" i="5"/>
  <c r="X260" i="5"/>
  <c r="W260" i="5"/>
  <c r="V260" i="5"/>
  <c r="U260" i="5"/>
  <c r="T260" i="5"/>
  <c r="BD259" i="5"/>
  <c r="BC259" i="5"/>
  <c r="BB259" i="5"/>
  <c r="BA259" i="5"/>
  <c r="AZ259" i="5"/>
  <c r="AY259" i="5"/>
  <c r="AX259" i="5"/>
  <c r="AW259" i="5"/>
  <c r="AP259" i="5"/>
  <c r="AO259" i="5"/>
  <c r="AN259" i="5"/>
  <c r="AM259" i="5"/>
  <c r="AL259" i="5"/>
  <c r="AK259" i="5"/>
  <c r="AJ259" i="5"/>
  <c r="AI259" i="5"/>
  <c r="AA259" i="5"/>
  <c r="Z259" i="5"/>
  <c r="Y259" i="5"/>
  <c r="X259" i="5"/>
  <c r="W259" i="5"/>
  <c r="V259" i="5"/>
  <c r="U259" i="5"/>
  <c r="T259" i="5"/>
  <c r="BD258" i="5"/>
  <c r="BC258" i="5"/>
  <c r="BB258" i="5"/>
  <c r="BA258" i="5"/>
  <c r="AZ258" i="5"/>
  <c r="AY258" i="5"/>
  <c r="AX258" i="5"/>
  <c r="AW258" i="5"/>
  <c r="AP258" i="5"/>
  <c r="AO258" i="5"/>
  <c r="AN258" i="5"/>
  <c r="AM258" i="5"/>
  <c r="AL258" i="5"/>
  <c r="AK258" i="5"/>
  <c r="AJ258" i="5"/>
  <c r="AI258" i="5"/>
  <c r="AQ258" i="5" s="1"/>
  <c r="AA258" i="5"/>
  <c r="Z258" i="5"/>
  <c r="Y258" i="5"/>
  <c r="X258" i="5"/>
  <c r="W258" i="5"/>
  <c r="V258" i="5"/>
  <c r="U258" i="5"/>
  <c r="T258" i="5"/>
  <c r="BD257" i="5"/>
  <c r="BC257" i="5"/>
  <c r="BB257" i="5"/>
  <c r="BA257" i="5"/>
  <c r="AZ257" i="5"/>
  <c r="AY257" i="5"/>
  <c r="AX257" i="5"/>
  <c r="AW257" i="5"/>
  <c r="AP257" i="5"/>
  <c r="AO257" i="5"/>
  <c r="AN257" i="5"/>
  <c r="AM257" i="5"/>
  <c r="AL257" i="5"/>
  <c r="AK257" i="5"/>
  <c r="AJ257" i="5"/>
  <c r="AI257" i="5"/>
  <c r="AQ257" i="5" s="1"/>
  <c r="AA257" i="5"/>
  <c r="Z257" i="5"/>
  <c r="Y257" i="5"/>
  <c r="X257" i="5"/>
  <c r="W257" i="5"/>
  <c r="V257" i="5"/>
  <c r="U257" i="5"/>
  <c r="T257" i="5"/>
  <c r="BD256" i="5"/>
  <c r="BC256" i="5"/>
  <c r="BB256" i="5"/>
  <c r="BA256" i="5"/>
  <c r="AZ256" i="5"/>
  <c r="AY256" i="5"/>
  <c r="AX256" i="5"/>
  <c r="AW256" i="5"/>
  <c r="AP256" i="5"/>
  <c r="AO256" i="5"/>
  <c r="AN256" i="5"/>
  <c r="AM256" i="5"/>
  <c r="AL256" i="5"/>
  <c r="AK256" i="5"/>
  <c r="AJ256" i="5"/>
  <c r="AI256" i="5"/>
  <c r="AQ256" i="5" s="1"/>
  <c r="AA256" i="5"/>
  <c r="Z256" i="5"/>
  <c r="Y256" i="5"/>
  <c r="X256" i="5"/>
  <c r="W256" i="5"/>
  <c r="V256" i="5"/>
  <c r="U256" i="5"/>
  <c r="T256" i="5"/>
  <c r="BD255" i="5"/>
  <c r="BC255" i="5"/>
  <c r="BB255" i="5"/>
  <c r="BA255" i="5"/>
  <c r="AZ255" i="5"/>
  <c r="AY255" i="5"/>
  <c r="AX255" i="5"/>
  <c r="AW255" i="5"/>
  <c r="AP255" i="5"/>
  <c r="AO255" i="5"/>
  <c r="AN255" i="5"/>
  <c r="AM255" i="5"/>
  <c r="AL255" i="5"/>
  <c r="AK255" i="5"/>
  <c r="AJ255" i="5"/>
  <c r="AI255" i="5"/>
  <c r="AQ255" i="5" s="1"/>
  <c r="AA255" i="5"/>
  <c r="Z255" i="5"/>
  <c r="Y255" i="5"/>
  <c r="X255" i="5"/>
  <c r="W255" i="5"/>
  <c r="V255" i="5"/>
  <c r="U255" i="5"/>
  <c r="T255" i="5"/>
  <c r="BD254" i="5"/>
  <c r="BC254" i="5"/>
  <c r="BB254" i="5"/>
  <c r="BA254" i="5"/>
  <c r="AZ254" i="5"/>
  <c r="AY254" i="5"/>
  <c r="AX254" i="5"/>
  <c r="AW254" i="5"/>
  <c r="AP254" i="5"/>
  <c r="AO254" i="5"/>
  <c r="AN254" i="5"/>
  <c r="AM254" i="5"/>
  <c r="AL254" i="5"/>
  <c r="AK254" i="5"/>
  <c r="AJ254" i="5"/>
  <c r="AI254" i="5"/>
  <c r="AQ254" i="5" s="1"/>
  <c r="AA254" i="5"/>
  <c r="Z254" i="5"/>
  <c r="Y254" i="5"/>
  <c r="X254" i="5"/>
  <c r="W254" i="5"/>
  <c r="V254" i="5"/>
  <c r="U254" i="5"/>
  <c r="T254" i="5"/>
  <c r="BD253" i="5"/>
  <c r="BC253" i="5"/>
  <c r="BB253" i="5"/>
  <c r="BA253" i="5"/>
  <c r="AZ253" i="5"/>
  <c r="AY253" i="5"/>
  <c r="AX253" i="5"/>
  <c r="AW253" i="5"/>
  <c r="AP253" i="5"/>
  <c r="AO253" i="5"/>
  <c r="AN253" i="5"/>
  <c r="AM253" i="5"/>
  <c r="AL253" i="5"/>
  <c r="AK253" i="5"/>
  <c r="AJ253" i="5"/>
  <c r="AI253" i="5"/>
  <c r="AQ253" i="5" s="1"/>
  <c r="AA253" i="5"/>
  <c r="Z253" i="5"/>
  <c r="Y253" i="5"/>
  <c r="X253" i="5"/>
  <c r="W253" i="5"/>
  <c r="V253" i="5"/>
  <c r="U253" i="5"/>
  <c r="T253" i="5"/>
  <c r="BD252" i="5"/>
  <c r="BC252" i="5"/>
  <c r="BB252" i="5"/>
  <c r="BA252" i="5"/>
  <c r="AZ252" i="5"/>
  <c r="AY252" i="5"/>
  <c r="AX252" i="5"/>
  <c r="AW252" i="5"/>
  <c r="AP252" i="5"/>
  <c r="AO252" i="5"/>
  <c r="AN252" i="5"/>
  <c r="AM252" i="5"/>
  <c r="AL252" i="5"/>
  <c r="AK252" i="5"/>
  <c r="AJ252" i="5"/>
  <c r="AI252" i="5"/>
  <c r="AQ252" i="5" s="1"/>
  <c r="AA252" i="5"/>
  <c r="Z252" i="5"/>
  <c r="Y252" i="5"/>
  <c r="X252" i="5"/>
  <c r="W252" i="5"/>
  <c r="V252" i="5"/>
  <c r="U252" i="5"/>
  <c r="T252" i="5"/>
  <c r="BD251" i="5"/>
  <c r="BC251" i="5"/>
  <c r="BB251" i="5"/>
  <c r="BA251" i="5"/>
  <c r="AZ251" i="5"/>
  <c r="AY251" i="5"/>
  <c r="AX251" i="5"/>
  <c r="AW251" i="5"/>
  <c r="AP251" i="5"/>
  <c r="AO251" i="5"/>
  <c r="AN251" i="5"/>
  <c r="AM251" i="5"/>
  <c r="AL251" i="5"/>
  <c r="AK251" i="5"/>
  <c r="AJ251" i="5"/>
  <c r="AI251" i="5"/>
  <c r="AA251" i="5"/>
  <c r="Z251" i="5"/>
  <c r="Y251" i="5"/>
  <c r="X251" i="5"/>
  <c r="W251" i="5"/>
  <c r="V251" i="5"/>
  <c r="U251" i="5"/>
  <c r="T251" i="5"/>
  <c r="BD250" i="5"/>
  <c r="BC250" i="5"/>
  <c r="BB250" i="5"/>
  <c r="BA250" i="5"/>
  <c r="AZ250" i="5"/>
  <c r="AY250" i="5"/>
  <c r="AX250" i="5"/>
  <c r="AW250" i="5"/>
  <c r="AP250" i="5"/>
  <c r="AO250" i="5"/>
  <c r="AN250" i="5"/>
  <c r="AM250" i="5"/>
  <c r="AL250" i="5"/>
  <c r="AK250" i="5"/>
  <c r="AJ250" i="5"/>
  <c r="AI250" i="5"/>
  <c r="AQ250" i="5" s="1"/>
  <c r="AA250" i="5"/>
  <c r="Z250" i="5"/>
  <c r="Y250" i="5"/>
  <c r="X250" i="5"/>
  <c r="W250" i="5"/>
  <c r="V250" i="5"/>
  <c r="U250" i="5"/>
  <c r="T250" i="5"/>
  <c r="BD249" i="5"/>
  <c r="BC249" i="5"/>
  <c r="BB249" i="5"/>
  <c r="BA249" i="5"/>
  <c r="AZ249" i="5"/>
  <c r="AY249" i="5"/>
  <c r="AX249" i="5"/>
  <c r="AW249" i="5"/>
  <c r="AP249" i="5"/>
  <c r="AO249" i="5"/>
  <c r="AN249" i="5"/>
  <c r="AM249" i="5"/>
  <c r="AL249" i="5"/>
  <c r="AK249" i="5"/>
  <c r="AJ249" i="5"/>
  <c r="AI249" i="5"/>
  <c r="AQ249" i="5" s="1"/>
  <c r="AA249" i="5"/>
  <c r="Z249" i="5"/>
  <c r="Y249" i="5"/>
  <c r="X249" i="5"/>
  <c r="W249" i="5"/>
  <c r="V249" i="5"/>
  <c r="U249" i="5"/>
  <c r="T249" i="5"/>
  <c r="BD248" i="5"/>
  <c r="BC248" i="5"/>
  <c r="BB248" i="5"/>
  <c r="BA248" i="5"/>
  <c r="AZ248" i="5"/>
  <c r="AY248" i="5"/>
  <c r="AX248" i="5"/>
  <c r="AW248" i="5"/>
  <c r="AP248" i="5"/>
  <c r="AO248" i="5"/>
  <c r="AN248" i="5"/>
  <c r="AM248" i="5"/>
  <c r="AL248" i="5"/>
  <c r="AK248" i="5"/>
  <c r="AJ248" i="5"/>
  <c r="AI248" i="5"/>
  <c r="AQ248" i="5" s="1"/>
  <c r="AA248" i="5"/>
  <c r="Z248" i="5"/>
  <c r="Y248" i="5"/>
  <c r="X248" i="5"/>
  <c r="W248" i="5"/>
  <c r="V248" i="5"/>
  <c r="U248" i="5"/>
  <c r="T248" i="5"/>
  <c r="BD247" i="5"/>
  <c r="BC247" i="5"/>
  <c r="BB247" i="5"/>
  <c r="BA247" i="5"/>
  <c r="AZ247" i="5"/>
  <c r="AY247" i="5"/>
  <c r="AX247" i="5"/>
  <c r="AW247" i="5"/>
  <c r="AP247" i="5"/>
  <c r="AO247" i="5"/>
  <c r="AN247" i="5"/>
  <c r="AM247" i="5"/>
  <c r="AL247" i="5"/>
  <c r="AK247" i="5"/>
  <c r="AJ247" i="5"/>
  <c r="AI247" i="5"/>
  <c r="AQ247" i="5" s="1"/>
  <c r="AA247" i="5"/>
  <c r="Z247" i="5"/>
  <c r="Y247" i="5"/>
  <c r="X247" i="5"/>
  <c r="W247" i="5"/>
  <c r="V247" i="5"/>
  <c r="U247" i="5"/>
  <c r="T247" i="5"/>
  <c r="BD246" i="5"/>
  <c r="BC246" i="5"/>
  <c r="BB246" i="5"/>
  <c r="BA246" i="5"/>
  <c r="AZ246" i="5"/>
  <c r="AY246" i="5"/>
  <c r="AX246" i="5"/>
  <c r="AW246" i="5"/>
  <c r="AP246" i="5"/>
  <c r="AO246" i="5"/>
  <c r="AN246" i="5"/>
  <c r="AM246" i="5"/>
  <c r="AL246" i="5"/>
  <c r="AK246" i="5"/>
  <c r="AJ246" i="5"/>
  <c r="AI246" i="5"/>
  <c r="AQ246" i="5" s="1"/>
  <c r="AA246" i="5"/>
  <c r="Z246" i="5"/>
  <c r="Y246" i="5"/>
  <c r="X246" i="5"/>
  <c r="W246" i="5"/>
  <c r="V246" i="5"/>
  <c r="U246" i="5"/>
  <c r="T246" i="5"/>
  <c r="BD245" i="5"/>
  <c r="BC245" i="5"/>
  <c r="BB245" i="5"/>
  <c r="BA245" i="5"/>
  <c r="AZ245" i="5"/>
  <c r="AY245" i="5"/>
  <c r="AX245" i="5"/>
  <c r="AW245" i="5"/>
  <c r="AP245" i="5"/>
  <c r="AO245" i="5"/>
  <c r="AN245" i="5"/>
  <c r="AM245" i="5"/>
  <c r="AL245" i="5"/>
  <c r="AK245" i="5"/>
  <c r="AJ245" i="5"/>
  <c r="AI245" i="5"/>
  <c r="AQ245" i="5" s="1"/>
  <c r="AA245" i="5"/>
  <c r="Z245" i="5"/>
  <c r="Y245" i="5"/>
  <c r="X245" i="5"/>
  <c r="W245" i="5"/>
  <c r="V245" i="5"/>
  <c r="U245" i="5"/>
  <c r="T245" i="5"/>
  <c r="BD244" i="5"/>
  <c r="BC244" i="5"/>
  <c r="BB244" i="5"/>
  <c r="BA244" i="5"/>
  <c r="AZ244" i="5"/>
  <c r="AY244" i="5"/>
  <c r="AX244" i="5"/>
  <c r="AW244" i="5"/>
  <c r="AP244" i="5"/>
  <c r="AO244" i="5"/>
  <c r="AN244" i="5"/>
  <c r="AM244" i="5"/>
  <c r="AL244" i="5"/>
  <c r="AK244" i="5"/>
  <c r="AJ244" i="5"/>
  <c r="AI244" i="5"/>
  <c r="AQ244" i="5" s="1"/>
  <c r="AA244" i="5"/>
  <c r="Z244" i="5"/>
  <c r="Y244" i="5"/>
  <c r="X244" i="5"/>
  <c r="W244" i="5"/>
  <c r="V244" i="5"/>
  <c r="U244" i="5"/>
  <c r="T244" i="5"/>
  <c r="BD243" i="5"/>
  <c r="BC243" i="5"/>
  <c r="BB243" i="5"/>
  <c r="BA243" i="5"/>
  <c r="AZ243" i="5"/>
  <c r="AY243" i="5"/>
  <c r="AX243" i="5"/>
  <c r="AW243" i="5"/>
  <c r="AP243" i="5"/>
  <c r="AO243" i="5"/>
  <c r="AN243" i="5"/>
  <c r="AM243" i="5"/>
  <c r="AL243" i="5"/>
  <c r="AK243" i="5"/>
  <c r="AJ243" i="5"/>
  <c r="AI243" i="5"/>
  <c r="AA243" i="5"/>
  <c r="Z243" i="5"/>
  <c r="Y243" i="5"/>
  <c r="X243" i="5"/>
  <c r="W243" i="5"/>
  <c r="V243" i="5"/>
  <c r="U243" i="5"/>
  <c r="T243" i="5"/>
  <c r="BD242" i="5"/>
  <c r="BC242" i="5"/>
  <c r="BB242" i="5"/>
  <c r="BA242" i="5"/>
  <c r="AZ242" i="5"/>
  <c r="AY242" i="5"/>
  <c r="AX242" i="5"/>
  <c r="AW242" i="5"/>
  <c r="AP242" i="5"/>
  <c r="AO242" i="5"/>
  <c r="AN242" i="5"/>
  <c r="AM242" i="5"/>
  <c r="AL242" i="5"/>
  <c r="AK242" i="5"/>
  <c r="AJ242" i="5"/>
  <c r="AI242" i="5"/>
  <c r="AQ242" i="5" s="1"/>
  <c r="AA242" i="5"/>
  <c r="Z242" i="5"/>
  <c r="Y242" i="5"/>
  <c r="X242" i="5"/>
  <c r="W242" i="5"/>
  <c r="V242" i="5"/>
  <c r="U242" i="5"/>
  <c r="T242" i="5"/>
  <c r="BD241" i="5"/>
  <c r="BC241" i="5"/>
  <c r="BB241" i="5"/>
  <c r="BA241" i="5"/>
  <c r="AZ241" i="5"/>
  <c r="AY241" i="5"/>
  <c r="AX241" i="5"/>
  <c r="AW241" i="5"/>
  <c r="AP241" i="5"/>
  <c r="AO241" i="5"/>
  <c r="AN241" i="5"/>
  <c r="AM241" i="5"/>
  <c r="AL241" i="5"/>
  <c r="AK241" i="5"/>
  <c r="AJ241" i="5"/>
  <c r="AI241" i="5"/>
  <c r="AQ241" i="5" s="1"/>
  <c r="AA241" i="5"/>
  <c r="Z241" i="5"/>
  <c r="Y241" i="5"/>
  <c r="X241" i="5"/>
  <c r="W241" i="5"/>
  <c r="V241" i="5"/>
  <c r="U241" i="5"/>
  <c r="T241" i="5"/>
  <c r="BD240" i="5"/>
  <c r="BC240" i="5"/>
  <c r="BB240" i="5"/>
  <c r="BA240" i="5"/>
  <c r="AZ240" i="5"/>
  <c r="AY240" i="5"/>
  <c r="AX240" i="5"/>
  <c r="AW240" i="5"/>
  <c r="AP240" i="5"/>
  <c r="AO240" i="5"/>
  <c r="AN240" i="5"/>
  <c r="AM240" i="5"/>
  <c r="AL240" i="5"/>
  <c r="AK240" i="5"/>
  <c r="AJ240" i="5"/>
  <c r="AI240" i="5"/>
  <c r="AQ240" i="5" s="1"/>
  <c r="AA240" i="5"/>
  <c r="Z240" i="5"/>
  <c r="Y240" i="5"/>
  <c r="X240" i="5"/>
  <c r="W240" i="5"/>
  <c r="V240" i="5"/>
  <c r="U240" i="5"/>
  <c r="T240" i="5"/>
  <c r="BD239" i="5"/>
  <c r="BC239" i="5"/>
  <c r="BB239" i="5"/>
  <c r="BA239" i="5"/>
  <c r="AZ239" i="5"/>
  <c r="AY239" i="5"/>
  <c r="AX239" i="5"/>
  <c r="AW239" i="5"/>
  <c r="AP239" i="5"/>
  <c r="AO239" i="5"/>
  <c r="AN239" i="5"/>
  <c r="AM239" i="5"/>
  <c r="AL239" i="5"/>
  <c r="AK239" i="5"/>
  <c r="AJ239" i="5"/>
  <c r="AI239" i="5"/>
  <c r="AQ239" i="5" s="1"/>
  <c r="AA239" i="5"/>
  <c r="Z239" i="5"/>
  <c r="Y239" i="5"/>
  <c r="X239" i="5"/>
  <c r="W239" i="5"/>
  <c r="V239" i="5"/>
  <c r="U239" i="5"/>
  <c r="T239" i="5"/>
  <c r="BD238" i="5"/>
  <c r="BC238" i="5"/>
  <c r="BB238" i="5"/>
  <c r="BA238" i="5"/>
  <c r="AZ238" i="5"/>
  <c r="AY238" i="5"/>
  <c r="AX238" i="5"/>
  <c r="AW238" i="5"/>
  <c r="AP238" i="5"/>
  <c r="AO238" i="5"/>
  <c r="AN238" i="5"/>
  <c r="AM238" i="5"/>
  <c r="AL238" i="5"/>
  <c r="AK238" i="5"/>
  <c r="AJ238" i="5"/>
  <c r="AI238" i="5"/>
  <c r="AQ238" i="5" s="1"/>
  <c r="AA238" i="5"/>
  <c r="Z238" i="5"/>
  <c r="Y238" i="5"/>
  <c r="X238" i="5"/>
  <c r="W238" i="5"/>
  <c r="V238" i="5"/>
  <c r="U238" i="5"/>
  <c r="T238" i="5"/>
  <c r="BD237" i="5"/>
  <c r="BC237" i="5"/>
  <c r="BB237" i="5"/>
  <c r="BA237" i="5"/>
  <c r="AZ237" i="5"/>
  <c r="AY237" i="5"/>
  <c r="AX237" i="5"/>
  <c r="AW237" i="5"/>
  <c r="AP237" i="5"/>
  <c r="AO237" i="5"/>
  <c r="AN237" i="5"/>
  <c r="AM237" i="5"/>
  <c r="AL237" i="5"/>
  <c r="AK237" i="5"/>
  <c r="AJ237" i="5"/>
  <c r="AI237" i="5"/>
  <c r="AQ237" i="5" s="1"/>
  <c r="AA237" i="5"/>
  <c r="Z237" i="5"/>
  <c r="Y237" i="5"/>
  <c r="X237" i="5"/>
  <c r="W237" i="5"/>
  <c r="V237" i="5"/>
  <c r="U237" i="5"/>
  <c r="T237" i="5"/>
  <c r="BD236" i="5"/>
  <c r="BC236" i="5"/>
  <c r="BB236" i="5"/>
  <c r="BA236" i="5"/>
  <c r="AZ236" i="5"/>
  <c r="AY236" i="5"/>
  <c r="AX236" i="5"/>
  <c r="AW236" i="5"/>
  <c r="AP236" i="5"/>
  <c r="AO236" i="5"/>
  <c r="AN236" i="5"/>
  <c r="AM236" i="5"/>
  <c r="AL236" i="5"/>
  <c r="AK236" i="5"/>
  <c r="AJ236" i="5"/>
  <c r="AI236" i="5"/>
  <c r="AQ236" i="5" s="1"/>
  <c r="AA236" i="5"/>
  <c r="Z236" i="5"/>
  <c r="Y236" i="5"/>
  <c r="X236" i="5"/>
  <c r="W236" i="5"/>
  <c r="V236" i="5"/>
  <c r="U236" i="5"/>
  <c r="T236" i="5"/>
  <c r="BD235" i="5"/>
  <c r="BC235" i="5"/>
  <c r="BB235" i="5"/>
  <c r="BA235" i="5"/>
  <c r="AZ235" i="5"/>
  <c r="AY235" i="5"/>
  <c r="AX235" i="5"/>
  <c r="AW235" i="5"/>
  <c r="AP235" i="5"/>
  <c r="AO235" i="5"/>
  <c r="AN235" i="5"/>
  <c r="AM235" i="5"/>
  <c r="AL235" i="5"/>
  <c r="AK235" i="5"/>
  <c r="AJ235" i="5"/>
  <c r="AI235" i="5"/>
  <c r="AA235" i="5"/>
  <c r="Z235" i="5"/>
  <c r="Y235" i="5"/>
  <c r="X235" i="5"/>
  <c r="W235" i="5"/>
  <c r="V235" i="5"/>
  <c r="U235" i="5"/>
  <c r="T235" i="5"/>
  <c r="BD234" i="5"/>
  <c r="BC234" i="5"/>
  <c r="BB234" i="5"/>
  <c r="BA234" i="5"/>
  <c r="AZ234" i="5"/>
  <c r="AY234" i="5"/>
  <c r="AX234" i="5"/>
  <c r="AW234" i="5"/>
  <c r="AP234" i="5"/>
  <c r="AO234" i="5"/>
  <c r="AN234" i="5"/>
  <c r="AM234" i="5"/>
  <c r="AL234" i="5"/>
  <c r="AK234" i="5"/>
  <c r="AJ234" i="5"/>
  <c r="AI234" i="5"/>
  <c r="AQ234" i="5" s="1"/>
  <c r="AA234" i="5"/>
  <c r="Z234" i="5"/>
  <c r="Y234" i="5"/>
  <c r="X234" i="5"/>
  <c r="W234" i="5"/>
  <c r="V234" i="5"/>
  <c r="U234" i="5"/>
  <c r="T234" i="5"/>
  <c r="BD233" i="5"/>
  <c r="BC233" i="5"/>
  <c r="BB233" i="5"/>
  <c r="BA233" i="5"/>
  <c r="AZ233" i="5"/>
  <c r="AY233" i="5"/>
  <c r="AX233" i="5"/>
  <c r="AW233" i="5"/>
  <c r="AP233" i="5"/>
  <c r="AO233" i="5"/>
  <c r="AN233" i="5"/>
  <c r="AM233" i="5"/>
  <c r="AL233" i="5"/>
  <c r="AK233" i="5"/>
  <c r="AJ233" i="5"/>
  <c r="AI233" i="5"/>
  <c r="AA233" i="5"/>
  <c r="Z233" i="5"/>
  <c r="Y233" i="5"/>
  <c r="X233" i="5"/>
  <c r="W233" i="5"/>
  <c r="V233" i="5"/>
  <c r="U233" i="5"/>
  <c r="T233" i="5"/>
  <c r="BD232" i="5"/>
  <c r="BC232" i="5"/>
  <c r="BB232" i="5"/>
  <c r="BA232" i="5"/>
  <c r="AZ232" i="5"/>
  <c r="AY232" i="5"/>
  <c r="AX232" i="5"/>
  <c r="AW232" i="5"/>
  <c r="AP232" i="5"/>
  <c r="AO232" i="5"/>
  <c r="AN232" i="5"/>
  <c r="AM232" i="5"/>
  <c r="AL232" i="5"/>
  <c r="AK232" i="5"/>
  <c r="AJ232" i="5"/>
  <c r="AI232" i="5"/>
  <c r="AA232" i="5"/>
  <c r="Z232" i="5"/>
  <c r="Y232" i="5"/>
  <c r="X232" i="5"/>
  <c r="W232" i="5"/>
  <c r="V232" i="5"/>
  <c r="U232" i="5"/>
  <c r="T232" i="5"/>
  <c r="BD231" i="5"/>
  <c r="BC231" i="5"/>
  <c r="BB231" i="5"/>
  <c r="BA231" i="5"/>
  <c r="AZ231" i="5"/>
  <c r="AY231" i="5"/>
  <c r="AX231" i="5"/>
  <c r="AW231" i="5"/>
  <c r="AP231" i="5"/>
  <c r="AO231" i="5"/>
  <c r="AN231" i="5"/>
  <c r="AM231" i="5"/>
  <c r="AL231" i="5"/>
  <c r="AK231" i="5"/>
  <c r="AJ231" i="5"/>
  <c r="AI231" i="5"/>
  <c r="AQ231" i="5" s="1"/>
  <c r="AA231" i="5"/>
  <c r="Z231" i="5"/>
  <c r="Y231" i="5"/>
  <c r="X231" i="5"/>
  <c r="W231" i="5"/>
  <c r="V231" i="5"/>
  <c r="U231" i="5"/>
  <c r="T231" i="5"/>
  <c r="BD230" i="5"/>
  <c r="BC230" i="5"/>
  <c r="BB230" i="5"/>
  <c r="BA230" i="5"/>
  <c r="AZ230" i="5"/>
  <c r="AY230" i="5"/>
  <c r="AX230" i="5"/>
  <c r="AW230" i="5"/>
  <c r="AP230" i="5"/>
  <c r="AO230" i="5"/>
  <c r="AN230" i="5"/>
  <c r="AM230" i="5"/>
  <c r="AL230" i="5"/>
  <c r="AK230" i="5"/>
  <c r="AJ230" i="5"/>
  <c r="AI230" i="5"/>
  <c r="AA230" i="5"/>
  <c r="Z230" i="5"/>
  <c r="Y230" i="5"/>
  <c r="X230" i="5"/>
  <c r="W230" i="5"/>
  <c r="V230" i="5"/>
  <c r="U230" i="5"/>
  <c r="T230" i="5"/>
  <c r="BD229" i="5"/>
  <c r="BC229" i="5"/>
  <c r="BB229" i="5"/>
  <c r="BA229" i="5"/>
  <c r="AZ229" i="5"/>
  <c r="AY229" i="5"/>
  <c r="AX229" i="5"/>
  <c r="AW229" i="5"/>
  <c r="AP229" i="5"/>
  <c r="AO229" i="5"/>
  <c r="AN229" i="5"/>
  <c r="AM229" i="5"/>
  <c r="AL229" i="5"/>
  <c r="AK229" i="5"/>
  <c r="AJ229" i="5"/>
  <c r="AI229" i="5"/>
  <c r="AQ229" i="5" s="1"/>
  <c r="AA229" i="5"/>
  <c r="Z229" i="5"/>
  <c r="Y229" i="5"/>
  <c r="X229" i="5"/>
  <c r="W229" i="5"/>
  <c r="V229" i="5"/>
  <c r="U229" i="5"/>
  <c r="T229" i="5"/>
  <c r="BD228" i="5"/>
  <c r="BC228" i="5"/>
  <c r="BB228" i="5"/>
  <c r="BA228" i="5"/>
  <c r="AZ228" i="5"/>
  <c r="AY228" i="5"/>
  <c r="AX228" i="5"/>
  <c r="AW228" i="5"/>
  <c r="AP228" i="5"/>
  <c r="AO228" i="5"/>
  <c r="AN228" i="5"/>
  <c r="AM228" i="5"/>
  <c r="AL228" i="5"/>
  <c r="AK228" i="5"/>
  <c r="AJ228" i="5"/>
  <c r="AI228" i="5"/>
  <c r="AA228" i="5"/>
  <c r="Z228" i="5"/>
  <c r="Y228" i="5"/>
  <c r="X228" i="5"/>
  <c r="W228" i="5"/>
  <c r="V228" i="5"/>
  <c r="U228" i="5"/>
  <c r="T228" i="5"/>
  <c r="BD227" i="5"/>
  <c r="BC227" i="5"/>
  <c r="BB227" i="5"/>
  <c r="BA227" i="5"/>
  <c r="AZ227" i="5"/>
  <c r="AY227" i="5"/>
  <c r="AX227" i="5"/>
  <c r="AW227" i="5"/>
  <c r="AP227" i="5"/>
  <c r="AO227" i="5"/>
  <c r="AN227" i="5"/>
  <c r="AM227" i="5"/>
  <c r="AL227" i="5"/>
  <c r="AK227" i="5"/>
  <c r="AJ227" i="5"/>
  <c r="AI227" i="5"/>
  <c r="AQ227" i="5" s="1"/>
  <c r="AA227" i="5"/>
  <c r="Z227" i="5"/>
  <c r="Y227" i="5"/>
  <c r="X227" i="5"/>
  <c r="W227" i="5"/>
  <c r="V227" i="5"/>
  <c r="U227" i="5"/>
  <c r="T227" i="5"/>
  <c r="BD226" i="5"/>
  <c r="BC226" i="5"/>
  <c r="BB226" i="5"/>
  <c r="BA226" i="5"/>
  <c r="AZ226" i="5"/>
  <c r="AY226" i="5"/>
  <c r="AX226" i="5"/>
  <c r="AW226" i="5"/>
  <c r="AP226" i="5"/>
  <c r="AO226" i="5"/>
  <c r="AN226" i="5"/>
  <c r="AM226" i="5"/>
  <c r="AL226" i="5"/>
  <c r="AK226" i="5"/>
  <c r="AJ226" i="5"/>
  <c r="AI226" i="5"/>
  <c r="AA226" i="5"/>
  <c r="Z226" i="5"/>
  <c r="Y226" i="5"/>
  <c r="X226" i="5"/>
  <c r="W226" i="5"/>
  <c r="V226" i="5"/>
  <c r="U226" i="5"/>
  <c r="T226" i="5"/>
  <c r="BD225" i="5"/>
  <c r="BC225" i="5"/>
  <c r="BB225" i="5"/>
  <c r="BA225" i="5"/>
  <c r="AZ225" i="5"/>
  <c r="AY225" i="5"/>
  <c r="AX225" i="5"/>
  <c r="AW225" i="5"/>
  <c r="AP225" i="5"/>
  <c r="AO225" i="5"/>
  <c r="AN225" i="5"/>
  <c r="AM225" i="5"/>
  <c r="AL225" i="5"/>
  <c r="AK225" i="5"/>
  <c r="AJ225" i="5"/>
  <c r="AI225" i="5"/>
  <c r="AQ225" i="5" s="1"/>
  <c r="AA225" i="5"/>
  <c r="Z225" i="5"/>
  <c r="Y225" i="5"/>
  <c r="X225" i="5"/>
  <c r="W225" i="5"/>
  <c r="V225" i="5"/>
  <c r="U225" i="5"/>
  <c r="T225" i="5"/>
  <c r="BD224" i="5"/>
  <c r="BC224" i="5"/>
  <c r="BB224" i="5"/>
  <c r="BA224" i="5"/>
  <c r="AZ224" i="5"/>
  <c r="AY224" i="5"/>
  <c r="AX224" i="5"/>
  <c r="AW224" i="5"/>
  <c r="AP224" i="5"/>
  <c r="AO224" i="5"/>
  <c r="AN224" i="5"/>
  <c r="AM224" i="5"/>
  <c r="AL224" i="5"/>
  <c r="AK224" i="5"/>
  <c r="AJ224" i="5"/>
  <c r="AI224" i="5"/>
  <c r="AA224" i="5"/>
  <c r="Z224" i="5"/>
  <c r="Y224" i="5"/>
  <c r="X224" i="5"/>
  <c r="W224" i="5"/>
  <c r="V224" i="5"/>
  <c r="U224" i="5"/>
  <c r="T224" i="5"/>
  <c r="BD223" i="5"/>
  <c r="BC223" i="5"/>
  <c r="BB223" i="5"/>
  <c r="BA223" i="5"/>
  <c r="AZ223" i="5"/>
  <c r="AY223" i="5"/>
  <c r="AX223" i="5"/>
  <c r="AW223" i="5"/>
  <c r="AP223" i="5"/>
  <c r="AO223" i="5"/>
  <c r="AN223" i="5"/>
  <c r="AM223" i="5"/>
  <c r="AL223" i="5"/>
  <c r="AK223" i="5"/>
  <c r="AJ223" i="5"/>
  <c r="AI223" i="5"/>
  <c r="AQ223" i="5" s="1"/>
  <c r="AA223" i="5"/>
  <c r="Z223" i="5"/>
  <c r="Y223" i="5"/>
  <c r="X223" i="5"/>
  <c r="W223" i="5"/>
  <c r="V223" i="5"/>
  <c r="U223" i="5"/>
  <c r="T223" i="5"/>
  <c r="BD222" i="5"/>
  <c r="BC222" i="5"/>
  <c r="BB222" i="5"/>
  <c r="BA222" i="5"/>
  <c r="AZ222" i="5"/>
  <c r="AY222" i="5"/>
  <c r="AX222" i="5"/>
  <c r="AW222" i="5"/>
  <c r="AP222" i="5"/>
  <c r="AO222" i="5"/>
  <c r="AN222" i="5"/>
  <c r="AM222" i="5"/>
  <c r="AL222" i="5"/>
  <c r="AK222" i="5"/>
  <c r="AJ222" i="5"/>
  <c r="AI222" i="5"/>
  <c r="AA222" i="5"/>
  <c r="Z222" i="5"/>
  <c r="Y222" i="5"/>
  <c r="X222" i="5"/>
  <c r="W222" i="5"/>
  <c r="V222" i="5"/>
  <c r="U222" i="5"/>
  <c r="T222" i="5"/>
  <c r="BD221" i="5"/>
  <c r="BC221" i="5"/>
  <c r="BB221" i="5"/>
  <c r="BA221" i="5"/>
  <c r="AZ221" i="5"/>
  <c r="AY221" i="5"/>
  <c r="AX221" i="5"/>
  <c r="AW221" i="5"/>
  <c r="AP221" i="5"/>
  <c r="AO221" i="5"/>
  <c r="AN221" i="5"/>
  <c r="AM221" i="5"/>
  <c r="AL221" i="5"/>
  <c r="AK221" i="5"/>
  <c r="AJ221" i="5"/>
  <c r="AI221" i="5"/>
  <c r="AQ221" i="5" s="1"/>
  <c r="AA221" i="5"/>
  <c r="Z221" i="5"/>
  <c r="Y221" i="5"/>
  <c r="X221" i="5"/>
  <c r="W221" i="5"/>
  <c r="V221" i="5"/>
  <c r="U221" i="5"/>
  <c r="T221" i="5"/>
  <c r="BD220" i="5"/>
  <c r="BC220" i="5"/>
  <c r="BB220" i="5"/>
  <c r="BA220" i="5"/>
  <c r="AZ220" i="5"/>
  <c r="AY220" i="5"/>
  <c r="AX220" i="5"/>
  <c r="AW220" i="5"/>
  <c r="AP220" i="5"/>
  <c r="AO220" i="5"/>
  <c r="AN220" i="5"/>
  <c r="AM220" i="5"/>
  <c r="AL220" i="5"/>
  <c r="AK220" i="5"/>
  <c r="AJ220" i="5"/>
  <c r="AI220" i="5"/>
  <c r="AA220" i="5"/>
  <c r="Z220" i="5"/>
  <c r="Y220" i="5"/>
  <c r="X220" i="5"/>
  <c r="W220" i="5"/>
  <c r="V220" i="5"/>
  <c r="U220" i="5"/>
  <c r="T220" i="5"/>
  <c r="BD219" i="5"/>
  <c r="BC219" i="5"/>
  <c r="BB219" i="5"/>
  <c r="BA219" i="5"/>
  <c r="AZ219" i="5"/>
  <c r="AY219" i="5"/>
  <c r="AX219" i="5"/>
  <c r="AW219" i="5"/>
  <c r="AP219" i="5"/>
  <c r="AO219" i="5"/>
  <c r="AN219" i="5"/>
  <c r="AM219" i="5"/>
  <c r="AL219" i="5"/>
  <c r="AK219" i="5"/>
  <c r="AJ219" i="5"/>
  <c r="AI219" i="5"/>
  <c r="AA219" i="5"/>
  <c r="Z219" i="5"/>
  <c r="Y219" i="5"/>
  <c r="X219" i="5"/>
  <c r="W219" i="5"/>
  <c r="V219" i="5"/>
  <c r="U219" i="5"/>
  <c r="T219" i="5"/>
  <c r="BD218" i="5"/>
  <c r="BC218" i="5"/>
  <c r="BB218" i="5"/>
  <c r="BA218" i="5"/>
  <c r="AZ218" i="5"/>
  <c r="AY218" i="5"/>
  <c r="AX218" i="5"/>
  <c r="AW218" i="5"/>
  <c r="AP218" i="5"/>
  <c r="AO218" i="5"/>
  <c r="AN218" i="5"/>
  <c r="AM218" i="5"/>
  <c r="AL218" i="5"/>
  <c r="AK218" i="5"/>
  <c r="AJ218" i="5"/>
  <c r="AI218" i="5"/>
  <c r="AA218" i="5"/>
  <c r="Z218" i="5"/>
  <c r="Y218" i="5"/>
  <c r="X218" i="5"/>
  <c r="W218" i="5"/>
  <c r="V218" i="5"/>
  <c r="U218" i="5"/>
  <c r="T218" i="5"/>
  <c r="BD217" i="5"/>
  <c r="BC217" i="5"/>
  <c r="BB217" i="5"/>
  <c r="BA217" i="5"/>
  <c r="AZ217" i="5"/>
  <c r="AY217" i="5"/>
  <c r="AX217" i="5"/>
  <c r="AW217" i="5"/>
  <c r="AP217" i="5"/>
  <c r="AO217" i="5"/>
  <c r="AN217" i="5"/>
  <c r="AM217" i="5"/>
  <c r="AL217" i="5"/>
  <c r="AK217" i="5"/>
  <c r="AJ217" i="5"/>
  <c r="AI217" i="5"/>
  <c r="AQ217" i="5" s="1"/>
  <c r="AA217" i="5"/>
  <c r="Z217" i="5"/>
  <c r="Y217" i="5"/>
  <c r="X217" i="5"/>
  <c r="W217" i="5"/>
  <c r="V217" i="5"/>
  <c r="U217" i="5"/>
  <c r="T217" i="5"/>
  <c r="BD216" i="5"/>
  <c r="BC216" i="5"/>
  <c r="BB216" i="5"/>
  <c r="BA216" i="5"/>
  <c r="AZ216" i="5"/>
  <c r="AY216" i="5"/>
  <c r="AX216" i="5"/>
  <c r="AW216" i="5"/>
  <c r="AP216" i="5"/>
  <c r="AO216" i="5"/>
  <c r="AN216" i="5"/>
  <c r="AM216" i="5"/>
  <c r="AL216" i="5"/>
  <c r="AK216" i="5"/>
  <c r="AJ216" i="5"/>
  <c r="AI216" i="5"/>
  <c r="AA216" i="5"/>
  <c r="Z216" i="5"/>
  <c r="Y216" i="5"/>
  <c r="X216" i="5"/>
  <c r="W216" i="5"/>
  <c r="V216" i="5"/>
  <c r="U216" i="5"/>
  <c r="T216" i="5"/>
  <c r="BD215" i="5"/>
  <c r="BC215" i="5"/>
  <c r="BB215" i="5"/>
  <c r="BA215" i="5"/>
  <c r="AZ215" i="5"/>
  <c r="AY215" i="5"/>
  <c r="AX215" i="5"/>
  <c r="AW215" i="5"/>
  <c r="AP215" i="5"/>
  <c r="AO215" i="5"/>
  <c r="AN215" i="5"/>
  <c r="AM215" i="5"/>
  <c r="AL215" i="5"/>
  <c r="AK215" i="5"/>
  <c r="AJ215" i="5"/>
  <c r="AI215" i="5"/>
  <c r="AQ215" i="5" s="1"/>
  <c r="AA215" i="5"/>
  <c r="Z215" i="5"/>
  <c r="Y215" i="5"/>
  <c r="X215" i="5"/>
  <c r="W215" i="5"/>
  <c r="V215" i="5"/>
  <c r="U215" i="5"/>
  <c r="T215" i="5"/>
  <c r="BD214" i="5"/>
  <c r="BC214" i="5"/>
  <c r="BB214" i="5"/>
  <c r="BA214" i="5"/>
  <c r="AZ214" i="5"/>
  <c r="AY214" i="5"/>
  <c r="AX214" i="5"/>
  <c r="AW214" i="5"/>
  <c r="AP214" i="5"/>
  <c r="AO214" i="5"/>
  <c r="AN214" i="5"/>
  <c r="AM214" i="5"/>
  <c r="AL214" i="5"/>
  <c r="AK214" i="5"/>
  <c r="AJ214" i="5"/>
  <c r="AI214" i="5"/>
  <c r="AA214" i="5"/>
  <c r="Z214" i="5"/>
  <c r="Y214" i="5"/>
  <c r="X214" i="5"/>
  <c r="W214" i="5"/>
  <c r="V214" i="5"/>
  <c r="U214" i="5"/>
  <c r="T214" i="5"/>
  <c r="BD213" i="5"/>
  <c r="BC213" i="5"/>
  <c r="BB213" i="5"/>
  <c r="BA213" i="5"/>
  <c r="AZ213" i="5"/>
  <c r="AY213" i="5"/>
  <c r="AX213" i="5"/>
  <c r="AW213" i="5"/>
  <c r="AP213" i="5"/>
  <c r="AO213" i="5"/>
  <c r="AN213" i="5"/>
  <c r="AM213" i="5"/>
  <c r="AL213" i="5"/>
  <c r="AK213" i="5"/>
  <c r="AJ213" i="5"/>
  <c r="AI213" i="5"/>
  <c r="AQ213" i="5" s="1"/>
  <c r="AA213" i="5"/>
  <c r="Z213" i="5"/>
  <c r="Y213" i="5"/>
  <c r="X213" i="5"/>
  <c r="W213" i="5"/>
  <c r="V213" i="5"/>
  <c r="U213" i="5"/>
  <c r="T213" i="5"/>
  <c r="BD212" i="5"/>
  <c r="BC212" i="5"/>
  <c r="BB212" i="5"/>
  <c r="BA212" i="5"/>
  <c r="AZ212" i="5"/>
  <c r="AY212" i="5"/>
  <c r="AX212" i="5"/>
  <c r="AW212" i="5"/>
  <c r="AP212" i="5"/>
  <c r="AO212" i="5"/>
  <c r="AN212" i="5"/>
  <c r="AM212" i="5"/>
  <c r="AL212" i="5"/>
  <c r="AK212" i="5"/>
  <c r="AJ212" i="5"/>
  <c r="AI212" i="5"/>
  <c r="AA212" i="5"/>
  <c r="Z212" i="5"/>
  <c r="Y212" i="5"/>
  <c r="X212" i="5"/>
  <c r="W212" i="5"/>
  <c r="V212" i="5"/>
  <c r="U212" i="5"/>
  <c r="T212" i="5"/>
  <c r="BD211" i="5"/>
  <c r="BC211" i="5"/>
  <c r="BB211" i="5"/>
  <c r="BA211" i="5"/>
  <c r="AZ211" i="5"/>
  <c r="AY211" i="5"/>
  <c r="AX211" i="5"/>
  <c r="AW211" i="5"/>
  <c r="AP211" i="5"/>
  <c r="AO211" i="5"/>
  <c r="AN211" i="5"/>
  <c r="AM211" i="5"/>
  <c r="AL211" i="5"/>
  <c r="AK211" i="5"/>
  <c r="AJ211" i="5"/>
  <c r="AI211" i="5"/>
  <c r="AQ211" i="5" s="1"/>
  <c r="AA211" i="5"/>
  <c r="Z211" i="5"/>
  <c r="Y211" i="5"/>
  <c r="X211" i="5"/>
  <c r="W211" i="5"/>
  <c r="V211" i="5"/>
  <c r="U211" i="5"/>
  <c r="T211" i="5"/>
  <c r="BD210" i="5"/>
  <c r="BC210" i="5"/>
  <c r="BB210" i="5"/>
  <c r="BA210" i="5"/>
  <c r="AZ210" i="5"/>
  <c r="AY210" i="5"/>
  <c r="AX210" i="5"/>
  <c r="AW210" i="5"/>
  <c r="AP210" i="5"/>
  <c r="AO210" i="5"/>
  <c r="AN210" i="5"/>
  <c r="AM210" i="5"/>
  <c r="AL210" i="5"/>
  <c r="AK210" i="5"/>
  <c r="AJ210" i="5"/>
  <c r="AI210" i="5"/>
  <c r="AA210" i="5"/>
  <c r="Z210" i="5"/>
  <c r="Y210" i="5"/>
  <c r="X210" i="5"/>
  <c r="W210" i="5"/>
  <c r="V210" i="5"/>
  <c r="U210" i="5"/>
  <c r="T210" i="5"/>
  <c r="BD209" i="5"/>
  <c r="BC209" i="5"/>
  <c r="BB209" i="5"/>
  <c r="BA209" i="5"/>
  <c r="AZ209" i="5"/>
  <c r="AY209" i="5"/>
  <c r="AX209" i="5"/>
  <c r="AW209" i="5"/>
  <c r="AP209" i="5"/>
  <c r="AO209" i="5"/>
  <c r="AN209" i="5"/>
  <c r="AM209" i="5"/>
  <c r="AL209" i="5"/>
  <c r="AK209" i="5"/>
  <c r="AJ209" i="5"/>
  <c r="AI209" i="5"/>
  <c r="AA209" i="5"/>
  <c r="Z209" i="5"/>
  <c r="Y209" i="5"/>
  <c r="X209" i="5"/>
  <c r="W209" i="5"/>
  <c r="V209" i="5"/>
  <c r="U209" i="5"/>
  <c r="T209" i="5"/>
  <c r="BD208" i="5"/>
  <c r="BC208" i="5"/>
  <c r="BB208" i="5"/>
  <c r="BA208" i="5"/>
  <c r="AZ208" i="5"/>
  <c r="AY208" i="5"/>
  <c r="AX208" i="5"/>
  <c r="AW208" i="5"/>
  <c r="AP208" i="5"/>
  <c r="AO208" i="5"/>
  <c r="AN208" i="5"/>
  <c r="AM208" i="5"/>
  <c r="AL208" i="5"/>
  <c r="AK208" i="5"/>
  <c r="AJ208" i="5"/>
  <c r="AI208" i="5"/>
  <c r="AA208" i="5"/>
  <c r="Z208" i="5"/>
  <c r="Y208" i="5"/>
  <c r="X208" i="5"/>
  <c r="W208" i="5"/>
  <c r="V208" i="5"/>
  <c r="U208" i="5"/>
  <c r="T208" i="5"/>
  <c r="BD207" i="5"/>
  <c r="BC207" i="5"/>
  <c r="BB207" i="5"/>
  <c r="BA207" i="5"/>
  <c r="AZ207" i="5"/>
  <c r="AY207" i="5"/>
  <c r="AX207" i="5"/>
  <c r="AW207" i="5"/>
  <c r="AP207" i="5"/>
  <c r="AO207" i="5"/>
  <c r="AN207" i="5"/>
  <c r="AM207" i="5"/>
  <c r="AL207" i="5"/>
  <c r="AK207" i="5"/>
  <c r="AJ207" i="5"/>
  <c r="AI207" i="5"/>
  <c r="AQ207" i="5" s="1"/>
  <c r="AA207" i="5"/>
  <c r="Z207" i="5"/>
  <c r="Y207" i="5"/>
  <c r="X207" i="5"/>
  <c r="W207" i="5"/>
  <c r="V207" i="5"/>
  <c r="U207" i="5"/>
  <c r="T207" i="5"/>
  <c r="BD206" i="5"/>
  <c r="BC206" i="5"/>
  <c r="BB206" i="5"/>
  <c r="BA206" i="5"/>
  <c r="AZ206" i="5"/>
  <c r="AY206" i="5"/>
  <c r="AX206" i="5"/>
  <c r="AW206" i="5"/>
  <c r="AP206" i="5"/>
  <c r="AO206" i="5"/>
  <c r="AN206" i="5"/>
  <c r="AM206" i="5"/>
  <c r="AL206" i="5"/>
  <c r="AK206" i="5"/>
  <c r="AJ206" i="5"/>
  <c r="AI206" i="5"/>
  <c r="AA206" i="5"/>
  <c r="Z206" i="5"/>
  <c r="Y206" i="5"/>
  <c r="X206" i="5"/>
  <c r="W206" i="5"/>
  <c r="V206" i="5"/>
  <c r="U206" i="5"/>
  <c r="T206" i="5"/>
  <c r="BD205" i="5"/>
  <c r="BC205" i="5"/>
  <c r="BB205" i="5"/>
  <c r="BA205" i="5"/>
  <c r="AZ205" i="5"/>
  <c r="AY205" i="5"/>
  <c r="AX205" i="5"/>
  <c r="AW205" i="5"/>
  <c r="AP205" i="5"/>
  <c r="AO205" i="5"/>
  <c r="AN205" i="5"/>
  <c r="AM205" i="5"/>
  <c r="AL205" i="5"/>
  <c r="AK205" i="5"/>
  <c r="AJ205" i="5"/>
  <c r="AI205" i="5"/>
  <c r="AA205" i="5"/>
  <c r="Z205" i="5"/>
  <c r="Y205" i="5"/>
  <c r="X205" i="5"/>
  <c r="W205" i="5"/>
  <c r="V205" i="5"/>
  <c r="U205" i="5"/>
  <c r="T205" i="5"/>
  <c r="BD204" i="5"/>
  <c r="BC204" i="5"/>
  <c r="BB204" i="5"/>
  <c r="BA204" i="5"/>
  <c r="AZ204" i="5"/>
  <c r="AY204" i="5"/>
  <c r="AX204" i="5"/>
  <c r="AW204" i="5"/>
  <c r="AP204" i="5"/>
  <c r="AO204" i="5"/>
  <c r="AN204" i="5"/>
  <c r="AM204" i="5"/>
  <c r="AL204" i="5"/>
  <c r="AK204" i="5"/>
  <c r="AJ204" i="5"/>
  <c r="AI204" i="5"/>
  <c r="AA204" i="5"/>
  <c r="Z204" i="5"/>
  <c r="Y204" i="5"/>
  <c r="X204" i="5"/>
  <c r="W204" i="5"/>
  <c r="V204" i="5"/>
  <c r="U204" i="5"/>
  <c r="T204" i="5"/>
  <c r="BD203" i="5"/>
  <c r="BC203" i="5"/>
  <c r="BB203" i="5"/>
  <c r="BA203" i="5"/>
  <c r="AZ203" i="5"/>
  <c r="AY203" i="5"/>
  <c r="AX203" i="5"/>
  <c r="AW203" i="5"/>
  <c r="AP203" i="5"/>
  <c r="AO203" i="5"/>
  <c r="AN203" i="5"/>
  <c r="AM203" i="5"/>
  <c r="AL203" i="5"/>
  <c r="AK203" i="5"/>
  <c r="AJ203" i="5"/>
  <c r="AI203" i="5"/>
  <c r="AA203" i="5"/>
  <c r="Z203" i="5"/>
  <c r="Y203" i="5"/>
  <c r="X203" i="5"/>
  <c r="W203" i="5"/>
  <c r="V203" i="5"/>
  <c r="U203" i="5"/>
  <c r="T203" i="5"/>
  <c r="BD202" i="5"/>
  <c r="BC202" i="5"/>
  <c r="BB202" i="5"/>
  <c r="BA202" i="5"/>
  <c r="AZ202" i="5"/>
  <c r="AY202" i="5"/>
  <c r="AX202" i="5"/>
  <c r="AW202" i="5"/>
  <c r="AP202" i="5"/>
  <c r="AO202" i="5"/>
  <c r="AN202" i="5"/>
  <c r="AM202" i="5"/>
  <c r="AL202" i="5"/>
  <c r="AK202" i="5"/>
  <c r="AJ202" i="5"/>
  <c r="AI202" i="5"/>
  <c r="AA202" i="5"/>
  <c r="Z202" i="5"/>
  <c r="Y202" i="5"/>
  <c r="X202" i="5"/>
  <c r="W202" i="5"/>
  <c r="V202" i="5"/>
  <c r="U202" i="5"/>
  <c r="T202" i="5"/>
  <c r="BD201" i="5"/>
  <c r="BC201" i="5"/>
  <c r="BB201" i="5"/>
  <c r="BA201" i="5"/>
  <c r="AZ201" i="5"/>
  <c r="AY201" i="5"/>
  <c r="AX201" i="5"/>
  <c r="AW201" i="5"/>
  <c r="AP201" i="5"/>
  <c r="AO201" i="5"/>
  <c r="AN201" i="5"/>
  <c r="AM201" i="5"/>
  <c r="AL201" i="5"/>
  <c r="AK201" i="5"/>
  <c r="AJ201" i="5"/>
  <c r="AI201" i="5"/>
  <c r="AA201" i="5"/>
  <c r="Z201" i="5"/>
  <c r="Y201" i="5"/>
  <c r="X201" i="5"/>
  <c r="W201" i="5"/>
  <c r="V201" i="5"/>
  <c r="U201" i="5"/>
  <c r="T201" i="5"/>
  <c r="BD200" i="5"/>
  <c r="BC200" i="5"/>
  <c r="BB200" i="5"/>
  <c r="BA200" i="5"/>
  <c r="AZ200" i="5"/>
  <c r="AY200" i="5"/>
  <c r="AX200" i="5"/>
  <c r="AW200" i="5"/>
  <c r="AP200" i="5"/>
  <c r="AO200" i="5"/>
  <c r="AN200" i="5"/>
  <c r="AM200" i="5"/>
  <c r="AL200" i="5"/>
  <c r="AK200" i="5"/>
  <c r="AJ200" i="5"/>
  <c r="AI200" i="5"/>
  <c r="AA200" i="5"/>
  <c r="Z200" i="5"/>
  <c r="Y200" i="5"/>
  <c r="X200" i="5"/>
  <c r="W200" i="5"/>
  <c r="V200" i="5"/>
  <c r="U200" i="5"/>
  <c r="T200" i="5"/>
  <c r="AB200" i="5" s="1"/>
  <c r="BD199" i="5"/>
  <c r="BC199" i="5"/>
  <c r="BB199" i="5"/>
  <c r="BA199" i="5"/>
  <c r="AZ199" i="5"/>
  <c r="AY199" i="5"/>
  <c r="AX199" i="5"/>
  <c r="AW199" i="5"/>
  <c r="AP199" i="5"/>
  <c r="AO199" i="5"/>
  <c r="AN199" i="5"/>
  <c r="AM199" i="5"/>
  <c r="AL199" i="5"/>
  <c r="AK199" i="5"/>
  <c r="AJ199" i="5"/>
  <c r="AI199" i="5"/>
  <c r="AQ199" i="5" s="1"/>
  <c r="AA199" i="5"/>
  <c r="Z199" i="5"/>
  <c r="Y199" i="5"/>
  <c r="X199" i="5"/>
  <c r="W199" i="5"/>
  <c r="V199" i="5"/>
  <c r="U199" i="5"/>
  <c r="T199" i="5"/>
  <c r="BD198" i="5"/>
  <c r="BC198" i="5"/>
  <c r="BB198" i="5"/>
  <c r="BA198" i="5"/>
  <c r="AZ198" i="5"/>
  <c r="AY198" i="5"/>
  <c r="AX198" i="5"/>
  <c r="AW198" i="5"/>
  <c r="BE198" i="5" s="1"/>
  <c r="AP198" i="5"/>
  <c r="AO198" i="5"/>
  <c r="AN198" i="5"/>
  <c r="AM198" i="5"/>
  <c r="AL198" i="5"/>
  <c r="AK198" i="5"/>
  <c r="AJ198" i="5"/>
  <c r="AI198" i="5"/>
  <c r="AA198" i="5"/>
  <c r="Z198" i="5"/>
  <c r="Y198" i="5"/>
  <c r="X198" i="5"/>
  <c r="W198" i="5"/>
  <c r="V198" i="5"/>
  <c r="U198" i="5"/>
  <c r="T198" i="5"/>
  <c r="AB198" i="5" s="1"/>
  <c r="BD197" i="5"/>
  <c r="BC197" i="5"/>
  <c r="BB197" i="5"/>
  <c r="BA197" i="5"/>
  <c r="AZ197" i="5"/>
  <c r="AY197" i="5"/>
  <c r="AX197" i="5"/>
  <c r="AW197" i="5"/>
  <c r="BE197" i="5" s="1"/>
  <c r="AP197" i="5"/>
  <c r="AO197" i="5"/>
  <c r="AN197" i="5"/>
  <c r="AM197" i="5"/>
  <c r="AL197" i="5"/>
  <c r="AK197" i="5"/>
  <c r="AJ197" i="5"/>
  <c r="AI197" i="5"/>
  <c r="AA197" i="5"/>
  <c r="Z197" i="5"/>
  <c r="Y197" i="5"/>
  <c r="X197" i="5"/>
  <c r="W197" i="5"/>
  <c r="V197" i="5"/>
  <c r="U197" i="5"/>
  <c r="T197" i="5"/>
  <c r="AB197" i="5" s="1"/>
  <c r="BD196" i="5"/>
  <c r="BC196" i="5"/>
  <c r="BB196" i="5"/>
  <c r="BA196" i="5"/>
  <c r="AZ196" i="5"/>
  <c r="AY196" i="5"/>
  <c r="AX196" i="5"/>
  <c r="AW196" i="5"/>
  <c r="BE196" i="5" s="1"/>
  <c r="AP196" i="5"/>
  <c r="AO196" i="5"/>
  <c r="AN196" i="5"/>
  <c r="AM196" i="5"/>
  <c r="AL196" i="5"/>
  <c r="AK196" i="5"/>
  <c r="AJ196" i="5"/>
  <c r="AI196" i="5"/>
  <c r="AA196" i="5"/>
  <c r="Z196" i="5"/>
  <c r="Y196" i="5"/>
  <c r="X196" i="5"/>
  <c r="W196" i="5"/>
  <c r="V196" i="5"/>
  <c r="U196" i="5"/>
  <c r="T196" i="5"/>
  <c r="BD195" i="5"/>
  <c r="BC195" i="5"/>
  <c r="BB195" i="5"/>
  <c r="BA195" i="5"/>
  <c r="AZ195" i="5"/>
  <c r="AY195" i="5"/>
  <c r="AX195" i="5"/>
  <c r="AW195" i="5"/>
  <c r="AP195" i="5"/>
  <c r="AO195" i="5"/>
  <c r="AN195" i="5"/>
  <c r="AM195" i="5"/>
  <c r="AL195" i="5"/>
  <c r="AK195" i="5"/>
  <c r="AJ195" i="5"/>
  <c r="AI195" i="5"/>
  <c r="AQ195" i="5" s="1"/>
  <c r="AA195" i="5"/>
  <c r="Z195" i="5"/>
  <c r="Y195" i="5"/>
  <c r="X195" i="5"/>
  <c r="W195" i="5"/>
  <c r="V195" i="5"/>
  <c r="U195" i="5"/>
  <c r="T195" i="5"/>
  <c r="AB195" i="5" s="1"/>
  <c r="BD194" i="5"/>
  <c r="BC194" i="5"/>
  <c r="BB194" i="5"/>
  <c r="BA194" i="5"/>
  <c r="AZ194" i="5"/>
  <c r="AY194" i="5"/>
  <c r="AX194" i="5"/>
  <c r="AW194" i="5"/>
  <c r="AP194" i="5"/>
  <c r="AO194" i="5"/>
  <c r="AN194" i="5"/>
  <c r="AM194" i="5"/>
  <c r="AL194" i="5"/>
  <c r="AK194" i="5"/>
  <c r="AJ194" i="5"/>
  <c r="AI194" i="5"/>
  <c r="AA194" i="5"/>
  <c r="Z194" i="5"/>
  <c r="Y194" i="5"/>
  <c r="X194" i="5"/>
  <c r="W194" i="5"/>
  <c r="V194" i="5"/>
  <c r="U194" i="5"/>
  <c r="T194" i="5"/>
  <c r="AB194" i="5" s="1"/>
  <c r="BD193" i="5"/>
  <c r="BC193" i="5"/>
  <c r="BB193" i="5"/>
  <c r="BA193" i="5"/>
  <c r="AZ193" i="5"/>
  <c r="AY193" i="5"/>
  <c r="AX193" i="5"/>
  <c r="AW193" i="5"/>
  <c r="BE193" i="5" s="1"/>
  <c r="AP193" i="5"/>
  <c r="AO193" i="5"/>
  <c r="AN193" i="5"/>
  <c r="AM193" i="5"/>
  <c r="AL193" i="5"/>
  <c r="AK193" i="5"/>
  <c r="AJ193" i="5"/>
  <c r="AI193" i="5"/>
  <c r="AA193" i="5"/>
  <c r="Z193" i="5"/>
  <c r="Y193" i="5"/>
  <c r="X193" i="5"/>
  <c r="W193" i="5"/>
  <c r="V193" i="5"/>
  <c r="U193" i="5"/>
  <c r="T193" i="5"/>
  <c r="AB193" i="5" s="1"/>
  <c r="BD192" i="5"/>
  <c r="BC192" i="5"/>
  <c r="BB192" i="5"/>
  <c r="BA192" i="5"/>
  <c r="AZ192" i="5"/>
  <c r="AY192" i="5"/>
  <c r="AX192" i="5"/>
  <c r="AW192" i="5"/>
  <c r="AP192" i="5"/>
  <c r="AO192" i="5"/>
  <c r="AN192" i="5"/>
  <c r="AM192" i="5"/>
  <c r="AL192" i="5"/>
  <c r="AK192" i="5"/>
  <c r="AJ192" i="5"/>
  <c r="AI192" i="5"/>
  <c r="AQ192" i="5" s="1"/>
  <c r="AA192" i="5"/>
  <c r="Z192" i="5"/>
  <c r="Y192" i="5"/>
  <c r="X192" i="5"/>
  <c r="W192" i="5"/>
  <c r="V192" i="5"/>
  <c r="U192" i="5"/>
  <c r="T192" i="5"/>
  <c r="BD191" i="5"/>
  <c r="BC191" i="5"/>
  <c r="BB191" i="5"/>
  <c r="BA191" i="5"/>
  <c r="AZ191" i="5"/>
  <c r="AY191" i="5"/>
  <c r="AX191" i="5"/>
  <c r="AW191" i="5"/>
  <c r="BE191" i="5" s="1"/>
  <c r="AP191" i="5"/>
  <c r="AO191" i="5"/>
  <c r="AN191" i="5"/>
  <c r="AM191" i="5"/>
  <c r="AL191" i="5"/>
  <c r="AK191" i="5"/>
  <c r="AJ191" i="5"/>
  <c r="AI191" i="5"/>
  <c r="AA191" i="5"/>
  <c r="Z191" i="5"/>
  <c r="Y191" i="5"/>
  <c r="X191" i="5"/>
  <c r="W191" i="5"/>
  <c r="V191" i="5"/>
  <c r="U191" i="5"/>
  <c r="T191" i="5"/>
  <c r="AB191" i="5" s="1"/>
  <c r="BD190" i="5"/>
  <c r="BC190" i="5"/>
  <c r="BB190" i="5"/>
  <c r="BA190" i="5"/>
  <c r="AZ190" i="5"/>
  <c r="AY190" i="5"/>
  <c r="AX190" i="5"/>
  <c r="AW190" i="5"/>
  <c r="BE190" i="5" s="1"/>
  <c r="AP190" i="5"/>
  <c r="AO190" i="5"/>
  <c r="AN190" i="5"/>
  <c r="AM190" i="5"/>
  <c r="AL190" i="5"/>
  <c r="AK190" i="5"/>
  <c r="AJ190" i="5"/>
  <c r="AI190" i="5"/>
  <c r="AA190" i="5"/>
  <c r="Z190" i="5"/>
  <c r="Y190" i="5"/>
  <c r="X190" i="5"/>
  <c r="W190" i="5"/>
  <c r="V190" i="5"/>
  <c r="U190" i="5"/>
  <c r="T190" i="5"/>
  <c r="BD189" i="5"/>
  <c r="BC189" i="5"/>
  <c r="BB189" i="5"/>
  <c r="BA189" i="5"/>
  <c r="AZ189" i="5"/>
  <c r="AY189" i="5"/>
  <c r="AX189" i="5"/>
  <c r="AW189" i="5"/>
  <c r="BE189" i="5" s="1"/>
  <c r="AP189" i="5"/>
  <c r="AO189" i="5"/>
  <c r="AN189" i="5"/>
  <c r="AM189" i="5"/>
  <c r="AL189" i="5"/>
  <c r="AK189" i="5"/>
  <c r="AJ189" i="5"/>
  <c r="AI189" i="5"/>
  <c r="AA189" i="5"/>
  <c r="Z189" i="5"/>
  <c r="Y189" i="5"/>
  <c r="X189" i="5"/>
  <c r="W189" i="5"/>
  <c r="V189" i="5"/>
  <c r="U189" i="5"/>
  <c r="T189" i="5"/>
  <c r="BD188" i="5"/>
  <c r="BC188" i="5"/>
  <c r="BB188" i="5"/>
  <c r="BA188" i="5"/>
  <c r="AZ188" i="5"/>
  <c r="AY188" i="5"/>
  <c r="AX188" i="5"/>
  <c r="AW188" i="5"/>
  <c r="AP188" i="5"/>
  <c r="AO188" i="5"/>
  <c r="AN188" i="5"/>
  <c r="AM188" i="5"/>
  <c r="AL188" i="5"/>
  <c r="AK188" i="5"/>
  <c r="AJ188" i="5"/>
  <c r="AI188" i="5"/>
  <c r="AA188" i="5"/>
  <c r="Z188" i="5"/>
  <c r="Y188" i="5"/>
  <c r="X188" i="5"/>
  <c r="W188" i="5"/>
  <c r="V188" i="5"/>
  <c r="U188" i="5"/>
  <c r="T188" i="5"/>
  <c r="AB188" i="5" s="1"/>
  <c r="BD187" i="5"/>
  <c r="BC187" i="5"/>
  <c r="BB187" i="5"/>
  <c r="BA187" i="5"/>
  <c r="AZ187" i="5"/>
  <c r="AY187" i="5"/>
  <c r="AX187" i="5"/>
  <c r="AW187" i="5"/>
  <c r="AP187" i="5"/>
  <c r="AO187" i="5"/>
  <c r="AN187" i="5"/>
  <c r="AM187" i="5"/>
  <c r="AL187" i="5"/>
  <c r="AK187" i="5"/>
  <c r="AJ187" i="5"/>
  <c r="AI187" i="5"/>
  <c r="AA187" i="5"/>
  <c r="Z187" i="5"/>
  <c r="Y187" i="5"/>
  <c r="X187" i="5"/>
  <c r="W187" i="5"/>
  <c r="V187" i="5"/>
  <c r="U187" i="5"/>
  <c r="T187" i="5"/>
  <c r="AB187" i="5" s="1"/>
  <c r="BD186" i="5"/>
  <c r="BC186" i="5"/>
  <c r="BB186" i="5"/>
  <c r="BA186" i="5"/>
  <c r="AZ186" i="5"/>
  <c r="AY186" i="5"/>
  <c r="AX186" i="5"/>
  <c r="AW186" i="5"/>
  <c r="BE186" i="5" s="1"/>
  <c r="AP186" i="5"/>
  <c r="AO186" i="5"/>
  <c r="AN186" i="5"/>
  <c r="AM186" i="5"/>
  <c r="AL186" i="5"/>
  <c r="AK186" i="5"/>
  <c r="AJ186" i="5"/>
  <c r="AI186" i="5"/>
  <c r="AQ186" i="5" s="1"/>
  <c r="AA186" i="5"/>
  <c r="Z186" i="5"/>
  <c r="Y186" i="5"/>
  <c r="X186" i="5"/>
  <c r="W186" i="5"/>
  <c r="V186" i="5"/>
  <c r="U186" i="5"/>
  <c r="T186" i="5"/>
  <c r="AB186" i="5" s="1"/>
  <c r="BD185" i="5"/>
  <c r="BC185" i="5"/>
  <c r="BB185" i="5"/>
  <c r="BA185" i="5"/>
  <c r="AZ185" i="5"/>
  <c r="AY185" i="5"/>
  <c r="AX185" i="5"/>
  <c r="AW185" i="5"/>
  <c r="BE185" i="5" s="1"/>
  <c r="AP185" i="5"/>
  <c r="AO185" i="5"/>
  <c r="AN185" i="5"/>
  <c r="AM185" i="5"/>
  <c r="AL185" i="5"/>
  <c r="AK185" i="5"/>
  <c r="AJ185" i="5"/>
  <c r="AI185" i="5"/>
  <c r="AA185" i="5"/>
  <c r="Z185" i="5"/>
  <c r="Y185" i="5"/>
  <c r="X185" i="5"/>
  <c r="W185" i="5"/>
  <c r="V185" i="5"/>
  <c r="U185" i="5"/>
  <c r="T185" i="5"/>
  <c r="BD184" i="5"/>
  <c r="BC184" i="5"/>
  <c r="BB184" i="5"/>
  <c r="BA184" i="5"/>
  <c r="AZ184" i="5"/>
  <c r="AY184" i="5"/>
  <c r="AX184" i="5"/>
  <c r="AW184" i="5"/>
  <c r="BE184" i="5" s="1"/>
  <c r="AP184" i="5"/>
  <c r="AO184" i="5"/>
  <c r="AN184" i="5"/>
  <c r="AM184" i="5"/>
  <c r="AL184" i="5"/>
  <c r="AK184" i="5"/>
  <c r="AJ184" i="5"/>
  <c r="AI184" i="5"/>
  <c r="AA184" i="5"/>
  <c r="Z184" i="5"/>
  <c r="Y184" i="5"/>
  <c r="X184" i="5"/>
  <c r="W184" i="5"/>
  <c r="V184" i="5"/>
  <c r="U184" i="5"/>
  <c r="T184" i="5"/>
  <c r="BD183" i="5"/>
  <c r="BC183" i="5"/>
  <c r="BB183" i="5"/>
  <c r="BA183" i="5"/>
  <c r="AZ183" i="5"/>
  <c r="AY183" i="5"/>
  <c r="AX183" i="5"/>
  <c r="AW183" i="5"/>
  <c r="AP183" i="5"/>
  <c r="AO183" i="5"/>
  <c r="AN183" i="5"/>
  <c r="AM183" i="5"/>
  <c r="AL183" i="5"/>
  <c r="AK183" i="5"/>
  <c r="AJ183" i="5"/>
  <c r="AI183" i="5"/>
  <c r="AQ183" i="5" s="1"/>
  <c r="AA183" i="5"/>
  <c r="Z183" i="5"/>
  <c r="Y183" i="5"/>
  <c r="X183" i="5"/>
  <c r="W183" i="5"/>
  <c r="V183" i="5"/>
  <c r="U183" i="5"/>
  <c r="T183" i="5"/>
  <c r="AB183" i="5" s="1"/>
  <c r="BD182" i="5"/>
  <c r="BC182" i="5"/>
  <c r="BB182" i="5"/>
  <c r="BA182" i="5"/>
  <c r="AZ182" i="5"/>
  <c r="AY182" i="5"/>
  <c r="AX182" i="5"/>
  <c r="AW182" i="5"/>
  <c r="AP182" i="5"/>
  <c r="AO182" i="5"/>
  <c r="AN182" i="5"/>
  <c r="AM182" i="5"/>
  <c r="AL182" i="5"/>
  <c r="AK182" i="5"/>
  <c r="AJ182" i="5"/>
  <c r="AI182" i="5"/>
  <c r="AQ182" i="5" s="1"/>
  <c r="AA182" i="5"/>
  <c r="Z182" i="5"/>
  <c r="Y182" i="5"/>
  <c r="X182" i="5"/>
  <c r="W182" i="5"/>
  <c r="V182" i="5"/>
  <c r="U182" i="5"/>
  <c r="T182" i="5"/>
  <c r="BD181" i="5"/>
  <c r="BC181" i="5"/>
  <c r="BB181" i="5"/>
  <c r="BA181" i="5"/>
  <c r="AZ181" i="5"/>
  <c r="AY181" i="5"/>
  <c r="AX181" i="5"/>
  <c r="AW181" i="5"/>
  <c r="BE181" i="5" s="1"/>
  <c r="AP181" i="5"/>
  <c r="AO181" i="5"/>
  <c r="AN181" i="5"/>
  <c r="AM181" i="5"/>
  <c r="AL181" i="5"/>
  <c r="AK181" i="5"/>
  <c r="AJ181" i="5"/>
  <c r="AI181" i="5"/>
  <c r="AQ181" i="5" s="1"/>
  <c r="AA181" i="5"/>
  <c r="Z181" i="5"/>
  <c r="Y181" i="5"/>
  <c r="X181" i="5"/>
  <c r="W181" i="5"/>
  <c r="V181" i="5"/>
  <c r="U181" i="5"/>
  <c r="T181" i="5"/>
  <c r="BD180" i="5"/>
  <c r="BC180" i="5"/>
  <c r="BB180" i="5"/>
  <c r="BA180" i="5"/>
  <c r="AZ180" i="5"/>
  <c r="AY180" i="5"/>
  <c r="AX180" i="5"/>
  <c r="AW180" i="5"/>
  <c r="AP180" i="5"/>
  <c r="AO180" i="5"/>
  <c r="AN180" i="5"/>
  <c r="AM180" i="5"/>
  <c r="AL180" i="5"/>
  <c r="AK180" i="5"/>
  <c r="AJ180" i="5"/>
  <c r="AI180" i="5"/>
  <c r="AA180" i="5"/>
  <c r="Z180" i="5"/>
  <c r="Y180" i="5"/>
  <c r="X180" i="5"/>
  <c r="W180" i="5"/>
  <c r="V180" i="5"/>
  <c r="U180" i="5"/>
  <c r="T180" i="5"/>
  <c r="AB180" i="5" s="1"/>
  <c r="BD179" i="5"/>
  <c r="BC179" i="5"/>
  <c r="BB179" i="5"/>
  <c r="BA179" i="5"/>
  <c r="AZ179" i="5"/>
  <c r="AY179" i="5"/>
  <c r="AX179" i="5"/>
  <c r="AW179" i="5"/>
  <c r="AP179" i="5"/>
  <c r="AO179" i="5"/>
  <c r="AN179" i="5"/>
  <c r="AM179" i="5"/>
  <c r="AL179" i="5"/>
  <c r="AK179" i="5"/>
  <c r="AJ179" i="5"/>
  <c r="AI179" i="5"/>
  <c r="AA179" i="5"/>
  <c r="Z179" i="5"/>
  <c r="Y179" i="5"/>
  <c r="X179" i="5"/>
  <c r="W179" i="5"/>
  <c r="V179" i="5"/>
  <c r="U179" i="5"/>
  <c r="T179" i="5"/>
  <c r="AB179" i="5" s="1"/>
  <c r="BD178" i="5"/>
  <c r="BC178" i="5"/>
  <c r="BB178" i="5"/>
  <c r="BA178" i="5"/>
  <c r="AZ178" i="5"/>
  <c r="AY178" i="5"/>
  <c r="AX178" i="5"/>
  <c r="AW178" i="5"/>
  <c r="BE178" i="5" s="1"/>
  <c r="AP178" i="5"/>
  <c r="AO178" i="5"/>
  <c r="AN178" i="5"/>
  <c r="AM178" i="5"/>
  <c r="AL178" i="5"/>
  <c r="AK178" i="5"/>
  <c r="AJ178" i="5"/>
  <c r="AI178" i="5"/>
  <c r="AQ178" i="5" s="1"/>
  <c r="AA178" i="5"/>
  <c r="Z178" i="5"/>
  <c r="Y178" i="5"/>
  <c r="X178" i="5"/>
  <c r="W178" i="5"/>
  <c r="V178" i="5"/>
  <c r="U178" i="5"/>
  <c r="T178" i="5"/>
  <c r="AB178" i="5" s="1"/>
  <c r="BD177" i="5"/>
  <c r="BC177" i="5"/>
  <c r="BB177" i="5"/>
  <c r="BA177" i="5"/>
  <c r="AZ177" i="5"/>
  <c r="AY177" i="5"/>
  <c r="AX177" i="5"/>
  <c r="AW177" i="5"/>
  <c r="BE177" i="5" s="1"/>
  <c r="AP177" i="5"/>
  <c r="AO177" i="5"/>
  <c r="AN177" i="5"/>
  <c r="AM177" i="5"/>
  <c r="AL177" i="5"/>
  <c r="AK177" i="5"/>
  <c r="AJ177" i="5"/>
  <c r="AI177" i="5"/>
  <c r="AA177" i="5"/>
  <c r="Z177" i="5"/>
  <c r="Y177" i="5"/>
  <c r="X177" i="5"/>
  <c r="W177" i="5"/>
  <c r="V177" i="5"/>
  <c r="U177" i="5"/>
  <c r="T177" i="5"/>
  <c r="BD176" i="5"/>
  <c r="BC176" i="5"/>
  <c r="BB176" i="5"/>
  <c r="BA176" i="5"/>
  <c r="AZ176" i="5"/>
  <c r="AY176" i="5"/>
  <c r="AX176" i="5"/>
  <c r="AW176" i="5"/>
  <c r="BE176" i="5" s="1"/>
  <c r="AP176" i="5"/>
  <c r="AO176" i="5"/>
  <c r="AN176" i="5"/>
  <c r="AM176" i="5"/>
  <c r="AL176" i="5"/>
  <c r="AK176" i="5"/>
  <c r="AJ176" i="5"/>
  <c r="AI176" i="5"/>
  <c r="AA176" i="5"/>
  <c r="Z176" i="5"/>
  <c r="Y176" i="5"/>
  <c r="X176" i="5"/>
  <c r="W176" i="5"/>
  <c r="V176" i="5"/>
  <c r="U176" i="5"/>
  <c r="T176" i="5"/>
  <c r="BD175" i="5"/>
  <c r="BC175" i="5"/>
  <c r="BB175" i="5"/>
  <c r="BA175" i="5"/>
  <c r="AZ175" i="5"/>
  <c r="AY175" i="5"/>
  <c r="AX175" i="5"/>
  <c r="AW175" i="5"/>
  <c r="AP175" i="5"/>
  <c r="AO175" i="5"/>
  <c r="AN175" i="5"/>
  <c r="AM175" i="5"/>
  <c r="AL175" i="5"/>
  <c r="AK175" i="5"/>
  <c r="AJ175" i="5"/>
  <c r="AI175" i="5"/>
  <c r="AA175" i="5"/>
  <c r="Z175" i="5"/>
  <c r="Y175" i="5"/>
  <c r="X175" i="5"/>
  <c r="W175" i="5"/>
  <c r="V175" i="5"/>
  <c r="U175" i="5"/>
  <c r="T175" i="5"/>
  <c r="AB175" i="5" s="1"/>
  <c r="BD174" i="5"/>
  <c r="BC174" i="5"/>
  <c r="BB174" i="5"/>
  <c r="BA174" i="5"/>
  <c r="AZ174" i="5"/>
  <c r="AY174" i="5"/>
  <c r="AX174" i="5"/>
  <c r="AW174" i="5"/>
  <c r="AP174" i="5"/>
  <c r="AO174" i="5"/>
  <c r="AN174" i="5"/>
  <c r="AM174" i="5"/>
  <c r="AL174" i="5"/>
  <c r="AK174" i="5"/>
  <c r="AJ174" i="5"/>
  <c r="AI174" i="5"/>
  <c r="AQ174" i="5" s="1"/>
  <c r="AA174" i="5"/>
  <c r="Z174" i="5"/>
  <c r="Y174" i="5"/>
  <c r="X174" i="5"/>
  <c r="W174" i="5"/>
  <c r="V174" i="5"/>
  <c r="U174" i="5"/>
  <c r="T174" i="5"/>
  <c r="BD173" i="5"/>
  <c r="BC173" i="5"/>
  <c r="BB173" i="5"/>
  <c r="BA173" i="5"/>
  <c r="AZ173" i="5"/>
  <c r="AY173" i="5"/>
  <c r="AX173" i="5"/>
  <c r="AW173" i="5"/>
  <c r="BE173" i="5" s="1"/>
  <c r="AP173" i="5"/>
  <c r="AO173" i="5"/>
  <c r="AN173" i="5"/>
  <c r="AM173" i="5"/>
  <c r="AL173" i="5"/>
  <c r="AK173" i="5"/>
  <c r="AJ173" i="5"/>
  <c r="AI173" i="5"/>
  <c r="AQ173" i="5" s="1"/>
  <c r="AA173" i="5"/>
  <c r="Z173" i="5"/>
  <c r="Y173" i="5"/>
  <c r="X173" i="5"/>
  <c r="W173" i="5"/>
  <c r="V173" i="5"/>
  <c r="U173" i="5"/>
  <c r="T173" i="5"/>
  <c r="BD172" i="5"/>
  <c r="BC172" i="5"/>
  <c r="BB172" i="5"/>
  <c r="BA172" i="5"/>
  <c r="AZ172" i="5"/>
  <c r="AY172" i="5"/>
  <c r="AX172" i="5"/>
  <c r="AW172" i="5"/>
  <c r="AP172" i="5"/>
  <c r="AO172" i="5"/>
  <c r="AN172" i="5"/>
  <c r="AM172" i="5"/>
  <c r="AL172" i="5"/>
  <c r="AK172" i="5"/>
  <c r="AJ172" i="5"/>
  <c r="AI172" i="5"/>
  <c r="AA172" i="5"/>
  <c r="Z172" i="5"/>
  <c r="Y172" i="5"/>
  <c r="X172" i="5"/>
  <c r="W172" i="5"/>
  <c r="V172" i="5"/>
  <c r="U172" i="5"/>
  <c r="T172" i="5"/>
  <c r="BD171" i="5"/>
  <c r="BC171" i="5"/>
  <c r="BB171" i="5"/>
  <c r="BA171" i="5"/>
  <c r="AZ171" i="5"/>
  <c r="AY171" i="5"/>
  <c r="AX171" i="5"/>
  <c r="AW171" i="5"/>
  <c r="AP171" i="5"/>
  <c r="AO171" i="5"/>
  <c r="AN171" i="5"/>
  <c r="AM171" i="5"/>
  <c r="AL171" i="5"/>
  <c r="AK171" i="5"/>
  <c r="AJ171" i="5"/>
  <c r="AI171" i="5"/>
  <c r="AA171" i="5"/>
  <c r="Z171" i="5"/>
  <c r="Y171" i="5"/>
  <c r="X171" i="5"/>
  <c r="W171" i="5"/>
  <c r="V171" i="5"/>
  <c r="U171" i="5"/>
  <c r="T171" i="5"/>
  <c r="AB171" i="5" s="1"/>
  <c r="BD170" i="5"/>
  <c r="BC170" i="5"/>
  <c r="BB170" i="5"/>
  <c r="BA170" i="5"/>
  <c r="AZ170" i="5"/>
  <c r="AY170" i="5"/>
  <c r="AX170" i="5"/>
  <c r="AW170" i="5"/>
  <c r="AP170" i="5"/>
  <c r="AO170" i="5"/>
  <c r="AN170" i="5"/>
  <c r="AM170" i="5"/>
  <c r="AL170" i="5"/>
  <c r="AK170" i="5"/>
  <c r="AJ170" i="5"/>
  <c r="AI170" i="5"/>
  <c r="AQ170" i="5" s="1"/>
  <c r="AA170" i="5"/>
  <c r="Z170" i="5"/>
  <c r="Y170" i="5"/>
  <c r="X170" i="5"/>
  <c r="W170" i="5"/>
  <c r="V170" i="5"/>
  <c r="U170" i="5"/>
  <c r="T170" i="5"/>
  <c r="AB170" i="5" s="1"/>
  <c r="BD169" i="5"/>
  <c r="BC169" i="5"/>
  <c r="BB169" i="5"/>
  <c r="BA169" i="5"/>
  <c r="AZ169" i="5"/>
  <c r="AY169" i="5"/>
  <c r="AX169" i="5"/>
  <c r="AW169" i="5"/>
  <c r="BE169" i="5" s="1"/>
  <c r="AP169" i="5"/>
  <c r="AO169" i="5"/>
  <c r="AN169" i="5"/>
  <c r="AM169" i="5"/>
  <c r="AL169" i="5"/>
  <c r="AK169" i="5"/>
  <c r="AJ169" i="5"/>
  <c r="AI169" i="5"/>
  <c r="AA169" i="5"/>
  <c r="Z169" i="5"/>
  <c r="Y169" i="5"/>
  <c r="X169" i="5"/>
  <c r="W169" i="5"/>
  <c r="V169" i="5"/>
  <c r="U169" i="5"/>
  <c r="T169" i="5"/>
  <c r="BD168" i="5"/>
  <c r="BC168" i="5"/>
  <c r="BB168" i="5"/>
  <c r="BA168" i="5"/>
  <c r="AZ168" i="5"/>
  <c r="AY168" i="5"/>
  <c r="AX168" i="5"/>
  <c r="AW168" i="5"/>
  <c r="BE168" i="5" s="1"/>
  <c r="AP168" i="5"/>
  <c r="AO168" i="5"/>
  <c r="AN168" i="5"/>
  <c r="AM168" i="5"/>
  <c r="AL168" i="5"/>
  <c r="AK168" i="5"/>
  <c r="AJ168" i="5"/>
  <c r="AI168" i="5"/>
  <c r="AA168" i="5"/>
  <c r="Z168" i="5"/>
  <c r="Y168" i="5"/>
  <c r="X168" i="5"/>
  <c r="W168" i="5"/>
  <c r="V168" i="5"/>
  <c r="U168" i="5"/>
  <c r="T168" i="5"/>
  <c r="BD167" i="5"/>
  <c r="BC167" i="5"/>
  <c r="BB167" i="5"/>
  <c r="BA167" i="5"/>
  <c r="AZ167" i="5"/>
  <c r="AY167" i="5"/>
  <c r="AX167" i="5"/>
  <c r="AW167" i="5"/>
  <c r="AP167" i="5"/>
  <c r="AO167" i="5"/>
  <c r="AN167" i="5"/>
  <c r="AM167" i="5"/>
  <c r="AL167" i="5"/>
  <c r="AK167" i="5"/>
  <c r="AJ167" i="5"/>
  <c r="AI167" i="5"/>
  <c r="AA167" i="5"/>
  <c r="Z167" i="5"/>
  <c r="Y167" i="5"/>
  <c r="X167" i="5"/>
  <c r="W167" i="5"/>
  <c r="V167" i="5"/>
  <c r="U167" i="5"/>
  <c r="T167" i="5"/>
  <c r="AB167" i="5" s="1"/>
  <c r="BD166" i="5"/>
  <c r="BC166" i="5"/>
  <c r="BB166" i="5"/>
  <c r="BA166" i="5"/>
  <c r="AZ166" i="5"/>
  <c r="AY166" i="5"/>
  <c r="AX166" i="5"/>
  <c r="AW166" i="5"/>
  <c r="AP166" i="5"/>
  <c r="AO166" i="5"/>
  <c r="AN166" i="5"/>
  <c r="AM166" i="5"/>
  <c r="AL166" i="5"/>
  <c r="AK166" i="5"/>
  <c r="AJ166" i="5"/>
  <c r="AI166" i="5"/>
  <c r="AQ166" i="5" s="1"/>
  <c r="AA166" i="5"/>
  <c r="Z166" i="5"/>
  <c r="Y166" i="5"/>
  <c r="X166" i="5"/>
  <c r="W166" i="5"/>
  <c r="V166" i="5"/>
  <c r="U166" i="5"/>
  <c r="T166" i="5"/>
  <c r="BD165" i="5"/>
  <c r="BC165" i="5"/>
  <c r="BB165" i="5"/>
  <c r="BA165" i="5"/>
  <c r="AZ165" i="5"/>
  <c r="AY165" i="5"/>
  <c r="AX165" i="5"/>
  <c r="AW165" i="5"/>
  <c r="BE165" i="5" s="1"/>
  <c r="AP165" i="5"/>
  <c r="AO165" i="5"/>
  <c r="AN165" i="5"/>
  <c r="AM165" i="5"/>
  <c r="AL165" i="5"/>
  <c r="AK165" i="5"/>
  <c r="AJ165" i="5"/>
  <c r="AI165" i="5"/>
  <c r="AQ165" i="5" s="1"/>
  <c r="AA165" i="5"/>
  <c r="Z165" i="5"/>
  <c r="Y165" i="5"/>
  <c r="X165" i="5"/>
  <c r="W165" i="5"/>
  <c r="V165" i="5"/>
  <c r="U165" i="5"/>
  <c r="T165" i="5"/>
  <c r="BD164" i="5"/>
  <c r="BC164" i="5"/>
  <c r="BB164" i="5"/>
  <c r="BA164" i="5"/>
  <c r="AZ164" i="5"/>
  <c r="AY164" i="5"/>
  <c r="AX164" i="5"/>
  <c r="AW164" i="5"/>
  <c r="AP164" i="5"/>
  <c r="AO164" i="5"/>
  <c r="AN164" i="5"/>
  <c r="AM164" i="5"/>
  <c r="AL164" i="5"/>
  <c r="AK164" i="5"/>
  <c r="AJ164" i="5"/>
  <c r="AI164" i="5"/>
  <c r="AA164" i="5"/>
  <c r="Z164" i="5"/>
  <c r="Y164" i="5"/>
  <c r="X164" i="5"/>
  <c r="W164" i="5"/>
  <c r="V164" i="5"/>
  <c r="U164" i="5"/>
  <c r="T164" i="5"/>
  <c r="BD163" i="5"/>
  <c r="BC163" i="5"/>
  <c r="BB163" i="5"/>
  <c r="BA163" i="5"/>
  <c r="AZ163" i="5"/>
  <c r="AY163" i="5"/>
  <c r="AX163" i="5"/>
  <c r="AW163" i="5"/>
  <c r="AP163" i="5"/>
  <c r="AO163" i="5"/>
  <c r="AN163" i="5"/>
  <c r="AM163" i="5"/>
  <c r="AL163" i="5"/>
  <c r="AK163" i="5"/>
  <c r="AJ163" i="5"/>
  <c r="AI163" i="5"/>
  <c r="AA163" i="5"/>
  <c r="Z163" i="5"/>
  <c r="Y163" i="5"/>
  <c r="X163" i="5"/>
  <c r="W163" i="5"/>
  <c r="V163" i="5"/>
  <c r="U163" i="5"/>
  <c r="T163" i="5"/>
  <c r="AB163" i="5" s="1"/>
  <c r="BD162" i="5"/>
  <c r="BC162" i="5"/>
  <c r="BB162" i="5"/>
  <c r="BA162" i="5"/>
  <c r="AZ162" i="5"/>
  <c r="AY162" i="5"/>
  <c r="AX162" i="5"/>
  <c r="AW162" i="5"/>
  <c r="AP162" i="5"/>
  <c r="AO162" i="5"/>
  <c r="AN162" i="5"/>
  <c r="AM162" i="5"/>
  <c r="AL162" i="5"/>
  <c r="AK162" i="5"/>
  <c r="AJ162" i="5"/>
  <c r="AI162" i="5"/>
  <c r="AA162" i="5"/>
  <c r="Z162" i="5"/>
  <c r="Y162" i="5"/>
  <c r="X162" i="5"/>
  <c r="W162" i="5"/>
  <c r="V162" i="5"/>
  <c r="U162" i="5"/>
  <c r="T162" i="5"/>
  <c r="AB162" i="5" s="1"/>
  <c r="BD161" i="5"/>
  <c r="BC161" i="5"/>
  <c r="BB161" i="5"/>
  <c r="BA161" i="5"/>
  <c r="AZ161" i="5"/>
  <c r="AY161" i="5"/>
  <c r="AX161" i="5"/>
  <c r="AW161" i="5"/>
  <c r="BE161" i="5" s="1"/>
  <c r="AP161" i="5"/>
  <c r="AO161" i="5"/>
  <c r="AN161" i="5"/>
  <c r="AM161" i="5"/>
  <c r="AL161" i="5"/>
  <c r="AK161" i="5"/>
  <c r="AJ161" i="5"/>
  <c r="AI161" i="5"/>
  <c r="AA161" i="5"/>
  <c r="Z161" i="5"/>
  <c r="Y161" i="5"/>
  <c r="X161" i="5"/>
  <c r="W161" i="5"/>
  <c r="V161" i="5"/>
  <c r="U161" i="5"/>
  <c r="T161" i="5"/>
  <c r="BD160" i="5"/>
  <c r="BC160" i="5"/>
  <c r="BB160" i="5"/>
  <c r="BA160" i="5"/>
  <c r="AZ160" i="5"/>
  <c r="AY160" i="5"/>
  <c r="AX160" i="5"/>
  <c r="AW160" i="5"/>
  <c r="BE160" i="5" s="1"/>
  <c r="AP160" i="5"/>
  <c r="AO160" i="5"/>
  <c r="AN160" i="5"/>
  <c r="AM160" i="5"/>
  <c r="AL160" i="5"/>
  <c r="AK160" i="5"/>
  <c r="AJ160" i="5"/>
  <c r="AI160" i="5"/>
  <c r="AA160" i="5"/>
  <c r="Z160" i="5"/>
  <c r="Y160" i="5"/>
  <c r="X160" i="5"/>
  <c r="W160" i="5"/>
  <c r="V160" i="5"/>
  <c r="U160" i="5"/>
  <c r="T160" i="5"/>
  <c r="BD159" i="5"/>
  <c r="BC159" i="5"/>
  <c r="BB159" i="5"/>
  <c r="BA159" i="5"/>
  <c r="AZ159" i="5"/>
  <c r="AY159" i="5"/>
  <c r="AX159" i="5"/>
  <c r="AW159" i="5"/>
  <c r="AP159" i="5"/>
  <c r="AO159" i="5"/>
  <c r="AN159" i="5"/>
  <c r="AM159" i="5"/>
  <c r="AL159" i="5"/>
  <c r="AK159" i="5"/>
  <c r="AJ159" i="5"/>
  <c r="AI159" i="5"/>
  <c r="AA159" i="5"/>
  <c r="Z159" i="5"/>
  <c r="Y159" i="5"/>
  <c r="X159" i="5"/>
  <c r="W159" i="5"/>
  <c r="V159" i="5"/>
  <c r="U159" i="5"/>
  <c r="T159" i="5"/>
  <c r="BD158" i="5"/>
  <c r="BC158" i="5"/>
  <c r="BB158" i="5"/>
  <c r="BA158" i="5"/>
  <c r="AZ158" i="5"/>
  <c r="AY158" i="5"/>
  <c r="AX158" i="5"/>
  <c r="AW158" i="5"/>
  <c r="AP158" i="5"/>
  <c r="AO158" i="5"/>
  <c r="AN158" i="5"/>
  <c r="AM158" i="5"/>
  <c r="AL158" i="5"/>
  <c r="AK158" i="5"/>
  <c r="AJ158" i="5"/>
  <c r="AI158" i="5"/>
  <c r="AQ158" i="5" s="1"/>
  <c r="AA158" i="5"/>
  <c r="Z158" i="5"/>
  <c r="Y158" i="5"/>
  <c r="X158" i="5"/>
  <c r="W158" i="5"/>
  <c r="V158" i="5"/>
  <c r="U158" i="5"/>
  <c r="T158" i="5"/>
  <c r="BD157" i="5"/>
  <c r="BC157" i="5"/>
  <c r="BB157" i="5"/>
  <c r="BA157" i="5"/>
  <c r="AZ157" i="5"/>
  <c r="AY157" i="5"/>
  <c r="AX157" i="5"/>
  <c r="AW157" i="5"/>
  <c r="AP157" i="5"/>
  <c r="AO157" i="5"/>
  <c r="AN157" i="5"/>
  <c r="AM157" i="5"/>
  <c r="AL157" i="5"/>
  <c r="AK157" i="5"/>
  <c r="AJ157" i="5"/>
  <c r="AI157" i="5"/>
  <c r="AQ157" i="5" s="1"/>
  <c r="AA157" i="5"/>
  <c r="Z157" i="5"/>
  <c r="Y157" i="5"/>
  <c r="X157" i="5"/>
  <c r="W157" i="5"/>
  <c r="V157" i="5"/>
  <c r="U157" i="5"/>
  <c r="T157" i="5"/>
  <c r="BD156" i="5"/>
  <c r="BC156" i="5"/>
  <c r="BB156" i="5"/>
  <c r="BA156" i="5"/>
  <c r="AZ156" i="5"/>
  <c r="AY156" i="5"/>
  <c r="AX156" i="5"/>
  <c r="AW156" i="5"/>
  <c r="AP156" i="5"/>
  <c r="AO156" i="5"/>
  <c r="AN156" i="5"/>
  <c r="AM156" i="5"/>
  <c r="AL156" i="5"/>
  <c r="AK156" i="5"/>
  <c r="AJ156" i="5"/>
  <c r="AI156" i="5"/>
  <c r="AA156" i="5"/>
  <c r="Z156" i="5"/>
  <c r="Y156" i="5"/>
  <c r="X156" i="5"/>
  <c r="W156" i="5"/>
  <c r="V156" i="5"/>
  <c r="U156" i="5"/>
  <c r="T156" i="5"/>
  <c r="BD155" i="5"/>
  <c r="BC155" i="5"/>
  <c r="BB155" i="5"/>
  <c r="BA155" i="5"/>
  <c r="AZ155" i="5"/>
  <c r="AY155" i="5"/>
  <c r="AX155" i="5"/>
  <c r="AW155" i="5"/>
  <c r="AP155" i="5"/>
  <c r="AO155" i="5"/>
  <c r="AN155" i="5"/>
  <c r="AM155" i="5"/>
  <c r="AL155" i="5"/>
  <c r="AK155" i="5"/>
  <c r="AJ155" i="5"/>
  <c r="AI155" i="5"/>
  <c r="AA155" i="5"/>
  <c r="Z155" i="5"/>
  <c r="Y155" i="5"/>
  <c r="X155" i="5"/>
  <c r="W155" i="5"/>
  <c r="V155" i="5"/>
  <c r="U155" i="5"/>
  <c r="T155" i="5"/>
  <c r="AB155" i="5" s="1"/>
  <c r="BD154" i="5"/>
  <c r="BC154" i="5"/>
  <c r="BB154" i="5"/>
  <c r="BA154" i="5"/>
  <c r="AZ154" i="5"/>
  <c r="AY154" i="5"/>
  <c r="AX154" i="5"/>
  <c r="AW154" i="5"/>
  <c r="AP154" i="5"/>
  <c r="AO154" i="5"/>
  <c r="AN154" i="5"/>
  <c r="AM154" i="5"/>
  <c r="AL154" i="5"/>
  <c r="AK154" i="5"/>
  <c r="AJ154" i="5"/>
  <c r="AI154" i="5"/>
  <c r="AA154" i="5"/>
  <c r="Z154" i="5"/>
  <c r="Y154" i="5"/>
  <c r="X154" i="5"/>
  <c r="W154" i="5"/>
  <c r="V154" i="5"/>
  <c r="U154" i="5"/>
  <c r="T154" i="5"/>
  <c r="BD153" i="5"/>
  <c r="BC153" i="5"/>
  <c r="BB153" i="5"/>
  <c r="BA153" i="5"/>
  <c r="AZ153" i="5"/>
  <c r="AY153" i="5"/>
  <c r="AX153" i="5"/>
  <c r="AW153" i="5"/>
  <c r="BE153" i="5" s="1"/>
  <c r="AP153" i="5"/>
  <c r="AO153" i="5"/>
  <c r="AN153" i="5"/>
  <c r="AM153" i="5"/>
  <c r="AL153" i="5"/>
  <c r="AK153" i="5"/>
  <c r="AJ153" i="5"/>
  <c r="AI153" i="5"/>
  <c r="AA153" i="5"/>
  <c r="Z153" i="5"/>
  <c r="Y153" i="5"/>
  <c r="X153" i="5"/>
  <c r="W153" i="5"/>
  <c r="V153" i="5"/>
  <c r="U153" i="5"/>
  <c r="T153" i="5"/>
  <c r="BD152" i="5"/>
  <c r="BC152" i="5"/>
  <c r="BB152" i="5"/>
  <c r="BA152" i="5"/>
  <c r="AZ152" i="5"/>
  <c r="AY152" i="5"/>
  <c r="AX152" i="5"/>
  <c r="AW152" i="5"/>
  <c r="AP152" i="5"/>
  <c r="AO152" i="5"/>
  <c r="AN152" i="5"/>
  <c r="AM152" i="5"/>
  <c r="AL152" i="5"/>
  <c r="AK152" i="5"/>
  <c r="AJ152" i="5"/>
  <c r="AI152" i="5"/>
  <c r="AA152" i="5"/>
  <c r="Z152" i="5"/>
  <c r="Y152" i="5"/>
  <c r="X152" i="5"/>
  <c r="W152" i="5"/>
  <c r="V152" i="5"/>
  <c r="U152" i="5"/>
  <c r="T152" i="5"/>
  <c r="BD151" i="5"/>
  <c r="BC151" i="5"/>
  <c r="BB151" i="5"/>
  <c r="BA151" i="5"/>
  <c r="AZ151" i="5"/>
  <c r="AY151" i="5"/>
  <c r="AX151" i="5"/>
  <c r="AW151" i="5"/>
  <c r="AP151" i="5"/>
  <c r="AO151" i="5"/>
  <c r="AN151" i="5"/>
  <c r="AM151" i="5"/>
  <c r="AL151" i="5"/>
  <c r="AK151" i="5"/>
  <c r="AJ151" i="5"/>
  <c r="AI151" i="5"/>
  <c r="AA151" i="5"/>
  <c r="Z151" i="5"/>
  <c r="Y151" i="5"/>
  <c r="X151" i="5"/>
  <c r="W151" i="5"/>
  <c r="V151" i="5"/>
  <c r="U151" i="5"/>
  <c r="T151" i="5"/>
  <c r="BD150" i="5"/>
  <c r="BC150" i="5"/>
  <c r="BB150" i="5"/>
  <c r="BA150" i="5"/>
  <c r="AZ150" i="5"/>
  <c r="AY150" i="5"/>
  <c r="AX150" i="5"/>
  <c r="AW150" i="5"/>
  <c r="AP150" i="5"/>
  <c r="AO150" i="5"/>
  <c r="AN150" i="5"/>
  <c r="AM150" i="5"/>
  <c r="AL150" i="5"/>
  <c r="AK150" i="5"/>
  <c r="AJ150" i="5"/>
  <c r="AI150" i="5"/>
  <c r="AQ150" i="5" s="1"/>
  <c r="AA150" i="5"/>
  <c r="Z150" i="5"/>
  <c r="Y150" i="5"/>
  <c r="X150" i="5"/>
  <c r="W150" i="5"/>
  <c r="V150" i="5"/>
  <c r="U150" i="5"/>
  <c r="T150" i="5"/>
  <c r="BD149" i="5"/>
  <c r="BC149" i="5"/>
  <c r="BB149" i="5"/>
  <c r="BA149" i="5"/>
  <c r="AZ149" i="5"/>
  <c r="AY149" i="5"/>
  <c r="AX149" i="5"/>
  <c r="AW149" i="5"/>
  <c r="AP149" i="5"/>
  <c r="AO149" i="5"/>
  <c r="AN149" i="5"/>
  <c r="AM149" i="5"/>
  <c r="AL149" i="5"/>
  <c r="AK149" i="5"/>
  <c r="AJ149" i="5"/>
  <c r="AI149" i="5"/>
  <c r="AA149" i="5"/>
  <c r="Z149" i="5"/>
  <c r="Y149" i="5"/>
  <c r="X149" i="5"/>
  <c r="W149" i="5"/>
  <c r="V149" i="5"/>
  <c r="U149" i="5"/>
  <c r="T149" i="5"/>
  <c r="BD148" i="5"/>
  <c r="BC148" i="5"/>
  <c r="BB148" i="5"/>
  <c r="BA148" i="5"/>
  <c r="AZ148" i="5"/>
  <c r="AY148" i="5"/>
  <c r="AX148" i="5"/>
  <c r="AW148" i="5"/>
  <c r="AP148" i="5"/>
  <c r="AO148" i="5"/>
  <c r="AN148" i="5"/>
  <c r="AM148" i="5"/>
  <c r="AL148" i="5"/>
  <c r="AK148" i="5"/>
  <c r="AJ148" i="5"/>
  <c r="AI148" i="5"/>
  <c r="AA148" i="5"/>
  <c r="Z148" i="5"/>
  <c r="Y148" i="5"/>
  <c r="X148" i="5"/>
  <c r="W148" i="5"/>
  <c r="V148" i="5"/>
  <c r="U148" i="5"/>
  <c r="T148" i="5"/>
  <c r="BD147" i="5"/>
  <c r="BC147" i="5"/>
  <c r="BB147" i="5"/>
  <c r="BA147" i="5"/>
  <c r="AZ147" i="5"/>
  <c r="AY147" i="5"/>
  <c r="AX147" i="5"/>
  <c r="AW147" i="5"/>
  <c r="AP147" i="5"/>
  <c r="AO147" i="5"/>
  <c r="AN147" i="5"/>
  <c r="AM147" i="5"/>
  <c r="AL147" i="5"/>
  <c r="AK147" i="5"/>
  <c r="AJ147" i="5"/>
  <c r="AI147" i="5"/>
  <c r="AA147" i="5"/>
  <c r="Z147" i="5"/>
  <c r="Y147" i="5"/>
  <c r="X147" i="5"/>
  <c r="W147" i="5"/>
  <c r="V147" i="5"/>
  <c r="U147" i="5"/>
  <c r="T147" i="5"/>
  <c r="AB147" i="5" s="1"/>
  <c r="BD146" i="5"/>
  <c r="BC146" i="5"/>
  <c r="BB146" i="5"/>
  <c r="BA146" i="5"/>
  <c r="AZ146" i="5"/>
  <c r="AY146" i="5"/>
  <c r="AX146" i="5"/>
  <c r="AW146" i="5"/>
  <c r="AP146" i="5"/>
  <c r="AO146" i="5"/>
  <c r="AN146" i="5"/>
  <c r="AM146" i="5"/>
  <c r="AL146" i="5"/>
  <c r="AK146" i="5"/>
  <c r="AJ146" i="5"/>
  <c r="AI146" i="5"/>
  <c r="AA146" i="5"/>
  <c r="Z146" i="5"/>
  <c r="Y146" i="5"/>
  <c r="X146" i="5"/>
  <c r="W146" i="5"/>
  <c r="V146" i="5"/>
  <c r="U146" i="5"/>
  <c r="T146" i="5"/>
  <c r="BD145" i="5"/>
  <c r="BC145" i="5"/>
  <c r="BB145" i="5"/>
  <c r="BA145" i="5"/>
  <c r="AZ145" i="5"/>
  <c r="AY145" i="5"/>
  <c r="AX145" i="5"/>
  <c r="AW145" i="5"/>
  <c r="BE145" i="5" s="1"/>
  <c r="AP145" i="5"/>
  <c r="AO145" i="5"/>
  <c r="AN145" i="5"/>
  <c r="AM145" i="5"/>
  <c r="AL145" i="5"/>
  <c r="AK145" i="5"/>
  <c r="AJ145" i="5"/>
  <c r="AI145" i="5"/>
  <c r="AA145" i="5"/>
  <c r="Z145" i="5"/>
  <c r="Y145" i="5"/>
  <c r="X145" i="5"/>
  <c r="W145" i="5"/>
  <c r="V145" i="5"/>
  <c r="U145" i="5"/>
  <c r="T145" i="5"/>
  <c r="BD144" i="5"/>
  <c r="BC144" i="5"/>
  <c r="BB144" i="5"/>
  <c r="BA144" i="5"/>
  <c r="AZ144" i="5"/>
  <c r="AY144" i="5"/>
  <c r="AX144" i="5"/>
  <c r="AW144" i="5"/>
  <c r="AP144" i="5"/>
  <c r="AO144" i="5"/>
  <c r="AN144" i="5"/>
  <c r="AM144" i="5"/>
  <c r="AL144" i="5"/>
  <c r="AK144" i="5"/>
  <c r="AJ144" i="5"/>
  <c r="AI144" i="5"/>
  <c r="AA144" i="5"/>
  <c r="Z144" i="5"/>
  <c r="Y144" i="5"/>
  <c r="X144" i="5"/>
  <c r="W144" i="5"/>
  <c r="V144" i="5"/>
  <c r="U144" i="5"/>
  <c r="T144" i="5"/>
  <c r="BD143" i="5"/>
  <c r="BC143" i="5"/>
  <c r="BB143" i="5"/>
  <c r="BA143" i="5"/>
  <c r="AZ143" i="5"/>
  <c r="AY143" i="5"/>
  <c r="AX143" i="5"/>
  <c r="AW143" i="5"/>
  <c r="AP143" i="5"/>
  <c r="AO143" i="5"/>
  <c r="AN143" i="5"/>
  <c r="AM143" i="5"/>
  <c r="AL143" i="5"/>
  <c r="AK143" i="5"/>
  <c r="AJ143" i="5"/>
  <c r="AI143" i="5"/>
  <c r="AA143" i="5"/>
  <c r="Z143" i="5"/>
  <c r="Y143" i="5"/>
  <c r="X143" i="5"/>
  <c r="W143" i="5"/>
  <c r="V143" i="5"/>
  <c r="U143" i="5"/>
  <c r="T143" i="5"/>
  <c r="BD142" i="5"/>
  <c r="BC142" i="5"/>
  <c r="BB142" i="5"/>
  <c r="BA142" i="5"/>
  <c r="AZ142" i="5"/>
  <c r="AY142" i="5"/>
  <c r="AX142" i="5"/>
  <c r="AW142" i="5"/>
  <c r="AP142" i="5"/>
  <c r="AO142" i="5"/>
  <c r="AN142" i="5"/>
  <c r="AM142" i="5"/>
  <c r="AL142" i="5"/>
  <c r="AK142" i="5"/>
  <c r="AJ142" i="5"/>
  <c r="AI142" i="5"/>
  <c r="AA142" i="5"/>
  <c r="Z142" i="5"/>
  <c r="Y142" i="5"/>
  <c r="X142" i="5"/>
  <c r="W142" i="5"/>
  <c r="V142" i="5"/>
  <c r="U142" i="5"/>
  <c r="T142" i="5"/>
  <c r="BD141" i="5"/>
  <c r="BC141" i="5"/>
  <c r="BB141" i="5"/>
  <c r="BA141" i="5"/>
  <c r="AZ141" i="5"/>
  <c r="AY141" i="5"/>
  <c r="AX141" i="5"/>
  <c r="AW141" i="5"/>
  <c r="AP141" i="5"/>
  <c r="AO141" i="5"/>
  <c r="AN141" i="5"/>
  <c r="AM141" i="5"/>
  <c r="AL141" i="5"/>
  <c r="AK141" i="5"/>
  <c r="AJ141" i="5"/>
  <c r="AI141" i="5"/>
  <c r="AQ141" i="5" s="1"/>
  <c r="AA141" i="5"/>
  <c r="Z141" i="5"/>
  <c r="Y141" i="5"/>
  <c r="X141" i="5"/>
  <c r="W141" i="5"/>
  <c r="V141" i="5"/>
  <c r="U141" i="5"/>
  <c r="T141" i="5"/>
  <c r="BD140" i="5"/>
  <c r="BC140" i="5"/>
  <c r="BB140" i="5"/>
  <c r="BA140" i="5"/>
  <c r="AZ140" i="5"/>
  <c r="AY140" i="5"/>
  <c r="AX140" i="5"/>
  <c r="AW140" i="5"/>
  <c r="AP140" i="5"/>
  <c r="AO140" i="5"/>
  <c r="AN140" i="5"/>
  <c r="AM140" i="5"/>
  <c r="AL140" i="5"/>
  <c r="AK140" i="5"/>
  <c r="AJ140" i="5"/>
  <c r="AI140" i="5"/>
  <c r="AA140" i="5"/>
  <c r="Z140" i="5"/>
  <c r="Y140" i="5"/>
  <c r="X140" i="5"/>
  <c r="W140" i="5"/>
  <c r="V140" i="5"/>
  <c r="U140" i="5"/>
  <c r="T140" i="5"/>
  <c r="BD139" i="5"/>
  <c r="BC139" i="5"/>
  <c r="BB139" i="5"/>
  <c r="BA139" i="5"/>
  <c r="AZ139" i="5"/>
  <c r="AY139" i="5"/>
  <c r="AX139" i="5"/>
  <c r="AW139" i="5"/>
  <c r="AP139" i="5"/>
  <c r="AO139" i="5"/>
  <c r="AN139" i="5"/>
  <c r="AM139" i="5"/>
  <c r="AL139" i="5"/>
  <c r="AK139" i="5"/>
  <c r="AJ139" i="5"/>
  <c r="AI139" i="5"/>
  <c r="AQ139" i="5" s="1"/>
  <c r="AA139" i="5"/>
  <c r="Z139" i="5"/>
  <c r="Y139" i="5"/>
  <c r="X139" i="5"/>
  <c r="W139" i="5"/>
  <c r="V139" i="5"/>
  <c r="U139" i="5"/>
  <c r="T139" i="5"/>
  <c r="BD138" i="5"/>
  <c r="BC138" i="5"/>
  <c r="BB138" i="5"/>
  <c r="BA138" i="5"/>
  <c r="AZ138" i="5"/>
  <c r="AY138" i="5"/>
  <c r="AX138" i="5"/>
  <c r="AW138" i="5"/>
  <c r="AP138" i="5"/>
  <c r="AO138" i="5"/>
  <c r="AN138" i="5"/>
  <c r="AM138" i="5"/>
  <c r="AL138" i="5"/>
  <c r="AK138" i="5"/>
  <c r="AJ138" i="5"/>
  <c r="AI138" i="5"/>
  <c r="AA138" i="5"/>
  <c r="Z138" i="5"/>
  <c r="Y138" i="5"/>
  <c r="X138" i="5"/>
  <c r="W138" i="5"/>
  <c r="V138" i="5"/>
  <c r="U138" i="5"/>
  <c r="T138" i="5"/>
  <c r="BD137" i="5"/>
  <c r="BC137" i="5"/>
  <c r="BB137" i="5"/>
  <c r="BA137" i="5"/>
  <c r="AZ137" i="5"/>
  <c r="AY137" i="5"/>
  <c r="AX137" i="5"/>
  <c r="AW137" i="5"/>
  <c r="AP137" i="5"/>
  <c r="AO137" i="5"/>
  <c r="AN137" i="5"/>
  <c r="AM137" i="5"/>
  <c r="AL137" i="5"/>
  <c r="AK137" i="5"/>
  <c r="AJ137" i="5"/>
  <c r="AI137" i="5"/>
  <c r="AQ137" i="5" s="1"/>
  <c r="AA137" i="5"/>
  <c r="Z137" i="5"/>
  <c r="Y137" i="5"/>
  <c r="X137" i="5"/>
  <c r="W137" i="5"/>
  <c r="V137" i="5"/>
  <c r="U137" i="5"/>
  <c r="T137" i="5"/>
  <c r="BD136" i="5"/>
  <c r="BC136" i="5"/>
  <c r="BB136" i="5"/>
  <c r="BA136" i="5"/>
  <c r="AZ136" i="5"/>
  <c r="AY136" i="5"/>
  <c r="AX136" i="5"/>
  <c r="AW136" i="5"/>
  <c r="AP136" i="5"/>
  <c r="AO136" i="5"/>
  <c r="AN136" i="5"/>
  <c r="AM136" i="5"/>
  <c r="AL136" i="5"/>
  <c r="AK136" i="5"/>
  <c r="AJ136" i="5"/>
  <c r="AI136" i="5"/>
  <c r="AA136" i="5"/>
  <c r="Z136" i="5"/>
  <c r="Y136" i="5"/>
  <c r="X136" i="5"/>
  <c r="W136" i="5"/>
  <c r="V136" i="5"/>
  <c r="U136" i="5"/>
  <c r="T136" i="5"/>
  <c r="BD135" i="5"/>
  <c r="BC135" i="5"/>
  <c r="BB135" i="5"/>
  <c r="BA135" i="5"/>
  <c r="AZ135" i="5"/>
  <c r="AY135" i="5"/>
  <c r="AX135" i="5"/>
  <c r="AW135" i="5"/>
  <c r="AP135" i="5"/>
  <c r="AO135" i="5"/>
  <c r="AN135" i="5"/>
  <c r="AM135" i="5"/>
  <c r="AL135" i="5"/>
  <c r="AK135" i="5"/>
  <c r="AJ135" i="5"/>
  <c r="AI135" i="5"/>
  <c r="AQ135" i="5" s="1"/>
  <c r="AA135" i="5"/>
  <c r="Z135" i="5"/>
  <c r="Y135" i="5"/>
  <c r="X135" i="5"/>
  <c r="W135" i="5"/>
  <c r="V135" i="5"/>
  <c r="U135" i="5"/>
  <c r="T135" i="5"/>
  <c r="BD134" i="5"/>
  <c r="BC134" i="5"/>
  <c r="BB134" i="5"/>
  <c r="BA134" i="5"/>
  <c r="AZ134" i="5"/>
  <c r="AY134" i="5"/>
  <c r="AX134" i="5"/>
  <c r="AW134" i="5"/>
  <c r="AP134" i="5"/>
  <c r="AO134" i="5"/>
  <c r="AN134" i="5"/>
  <c r="AM134" i="5"/>
  <c r="AL134" i="5"/>
  <c r="AK134" i="5"/>
  <c r="AJ134" i="5"/>
  <c r="AI134" i="5"/>
  <c r="AA134" i="5"/>
  <c r="Z134" i="5"/>
  <c r="Y134" i="5"/>
  <c r="X134" i="5"/>
  <c r="W134" i="5"/>
  <c r="V134" i="5"/>
  <c r="U134" i="5"/>
  <c r="T134" i="5"/>
  <c r="BD133" i="5"/>
  <c r="BC133" i="5"/>
  <c r="BB133" i="5"/>
  <c r="BA133" i="5"/>
  <c r="AZ133" i="5"/>
  <c r="AY133" i="5"/>
  <c r="AX133" i="5"/>
  <c r="AW133" i="5"/>
  <c r="AP133" i="5"/>
  <c r="AO133" i="5"/>
  <c r="AN133" i="5"/>
  <c r="AM133" i="5"/>
  <c r="AL133" i="5"/>
  <c r="AK133" i="5"/>
  <c r="AJ133" i="5"/>
  <c r="AI133" i="5"/>
  <c r="AA133" i="5"/>
  <c r="Z133" i="5"/>
  <c r="Y133" i="5"/>
  <c r="X133" i="5"/>
  <c r="W133" i="5"/>
  <c r="V133" i="5"/>
  <c r="U133" i="5"/>
  <c r="T133" i="5"/>
  <c r="BD132" i="5"/>
  <c r="BC132" i="5"/>
  <c r="BB132" i="5"/>
  <c r="BA132" i="5"/>
  <c r="AZ132" i="5"/>
  <c r="AY132" i="5"/>
  <c r="AX132" i="5"/>
  <c r="AW132" i="5"/>
  <c r="AP132" i="5"/>
  <c r="AO132" i="5"/>
  <c r="AN132" i="5"/>
  <c r="AM132" i="5"/>
  <c r="AL132" i="5"/>
  <c r="AK132" i="5"/>
  <c r="AJ132" i="5"/>
  <c r="AI132" i="5"/>
  <c r="AA132" i="5"/>
  <c r="Z132" i="5"/>
  <c r="Y132" i="5"/>
  <c r="X132" i="5"/>
  <c r="W132" i="5"/>
  <c r="V132" i="5"/>
  <c r="U132" i="5"/>
  <c r="T132" i="5"/>
  <c r="BD131" i="5"/>
  <c r="BC131" i="5"/>
  <c r="BB131" i="5"/>
  <c r="BA131" i="5"/>
  <c r="AZ131" i="5"/>
  <c r="AY131" i="5"/>
  <c r="AX131" i="5"/>
  <c r="AW131" i="5"/>
  <c r="AP131" i="5"/>
  <c r="AO131" i="5"/>
  <c r="AN131" i="5"/>
  <c r="AM131" i="5"/>
  <c r="AL131" i="5"/>
  <c r="AK131" i="5"/>
  <c r="AJ131" i="5"/>
  <c r="AI131" i="5"/>
  <c r="AA131" i="5"/>
  <c r="Z131" i="5"/>
  <c r="Y131" i="5"/>
  <c r="X131" i="5"/>
  <c r="W131" i="5"/>
  <c r="V131" i="5"/>
  <c r="U131" i="5"/>
  <c r="T131" i="5"/>
  <c r="BD130" i="5"/>
  <c r="BC130" i="5"/>
  <c r="BB130" i="5"/>
  <c r="BA130" i="5"/>
  <c r="AZ130" i="5"/>
  <c r="AY130" i="5"/>
  <c r="AX130" i="5"/>
  <c r="AW130" i="5"/>
  <c r="AP130" i="5"/>
  <c r="AO130" i="5"/>
  <c r="AN130" i="5"/>
  <c r="AM130" i="5"/>
  <c r="AL130" i="5"/>
  <c r="AK130" i="5"/>
  <c r="AJ130" i="5"/>
  <c r="AI130" i="5"/>
  <c r="AA130" i="5"/>
  <c r="Z130" i="5"/>
  <c r="Y130" i="5"/>
  <c r="X130" i="5"/>
  <c r="W130" i="5"/>
  <c r="V130" i="5"/>
  <c r="U130" i="5"/>
  <c r="T130" i="5"/>
  <c r="BD129" i="5"/>
  <c r="BC129" i="5"/>
  <c r="BB129" i="5"/>
  <c r="BA129" i="5"/>
  <c r="AZ129" i="5"/>
  <c r="AY129" i="5"/>
  <c r="AX129" i="5"/>
  <c r="AW129" i="5"/>
  <c r="AP129" i="5"/>
  <c r="AO129" i="5"/>
  <c r="AN129" i="5"/>
  <c r="AM129" i="5"/>
  <c r="AL129" i="5"/>
  <c r="AK129" i="5"/>
  <c r="AJ129" i="5"/>
  <c r="AI129" i="5"/>
  <c r="AA129" i="5"/>
  <c r="Z129" i="5"/>
  <c r="Y129" i="5"/>
  <c r="X129" i="5"/>
  <c r="W129" i="5"/>
  <c r="V129" i="5"/>
  <c r="U129" i="5"/>
  <c r="T129" i="5"/>
  <c r="BD128" i="5"/>
  <c r="BC128" i="5"/>
  <c r="BB128" i="5"/>
  <c r="BA128" i="5"/>
  <c r="AZ128" i="5"/>
  <c r="AY128" i="5"/>
  <c r="AX128" i="5"/>
  <c r="AW128" i="5"/>
  <c r="AP128" i="5"/>
  <c r="AO128" i="5"/>
  <c r="AN128" i="5"/>
  <c r="AM128" i="5"/>
  <c r="AL128" i="5"/>
  <c r="AK128" i="5"/>
  <c r="AJ128" i="5"/>
  <c r="AI128" i="5"/>
  <c r="AA128" i="5"/>
  <c r="Z128" i="5"/>
  <c r="Y128" i="5"/>
  <c r="X128" i="5"/>
  <c r="W128" i="5"/>
  <c r="V128" i="5"/>
  <c r="U128" i="5"/>
  <c r="T128" i="5"/>
  <c r="BD127" i="5"/>
  <c r="BC127" i="5"/>
  <c r="BB127" i="5"/>
  <c r="BA127" i="5"/>
  <c r="AZ127" i="5"/>
  <c r="AY127" i="5"/>
  <c r="AX127" i="5"/>
  <c r="AW127" i="5"/>
  <c r="AP127" i="5"/>
  <c r="AO127" i="5"/>
  <c r="AN127" i="5"/>
  <c r="AM127" i="5"/>
  <c r="AL127" i="5"/>
  <c r="AK127" i="5"/>
  <c r="AJ127" i="5"/>
  <c r="AI127" i="5"/>
  <c r="AA127" i="5"/>
  <c r="Z127" i="5"/>
  <c r="Y127" i="5"/>
  <c r="X127" i="5"/>
  <c r="W127" i="5"/>
  <c r="V127" i="5"/>
  <c r="U127" i="5"/>
  <c r="T127" i="5"/>
  <c r="BD126" i="5"/>
  <c r="BC126" i="5"/>
  <c r="BB126" i="5"/>
  <c r="BA126" i="5"/>
  <c r="AZ126" i="5"/>
  <c r="AY126" i="5"/>
  <c r="AX126" i="5"/>
  <c r="AW126" i="5"/>
  <c r="AP126" i="5"/>
  <c r="AO126" i="5"/>
  <c r="AN126" i="5"/>
  <c r="AM126" i="5"/>
  <c r="AL126" i="5"/>
  <c r="AK126" i="5"/>
  <c r="AJ126" i="5"/>
  <c r="AI126" i="5"/>
  <c r="AA126" i="5"/>
  <c r="Z126" i="5"/>
  <c r="Y126" i="5"/>
  <c r="X126" i="5"/>
  <c r="W126" i="5"/>
  <c r="V126" i="5"/>
  <c r="U126" i="5"/>
  <c r="T126" i="5"/>
  <c r="BD125" i="5"/>
  <c r="BC125" i="5"/>
  <c r="BB125" i="5"/>
  <c r="BA125" i="5"/>
  <c r="AZ125" i="5"/>
  <c r="AY125" i="5"/>
  <c r="AX125" i="5"/>
  <c r="AW125" i="5"/>
  <c r="AP125" i="5"/>
  <c r="AO125" i="5"/>
  <c r="AN125" i="5"/>
  <c r="AM125" i="5"/>
  <c r="AL125" i="5"/>
  <c r="AK125" i="5"/>
  <c r="AJ125" i="5"/>
  <c r="AI125" i="5"/>
  <c r="AA125" i="5"/>
  <c r="Z125" i="5"/>
  <c r="Y125" i="5"/>
  <c r="X125" i="5"/>
  <c r="W125" i="5"/>
  <c r="V125" i="5"/>
  <c r="U125" i="5"/>
  <c r="T125" i="5"/>
  <c r="BD124" i="5"/>
  <c r="BC124" i="5"/>
  <c r="BB124" i="5"/>
  <c r="BA124" i="5"/>
  <c r="AZ124" i="5"/>
  <c r="AY124" i="5"/>
  <c r="AX124" i="5"/>
  <c r="AW124" i="5"/>
  <c r="AP124" i="5"/>
  <c r="AO124" i="5"/>
  <c r="AN124" i="5"/>
  <c r="AM124" i="5"/>
  <c r="AL124" i="5"/>
  <c r="AK124" i="5"/>
  <c r="AJ124" i="5"/>
  <c r="AI124" i="5"/>
  <c r="AA124" i="5"/>
  <c r="Z124" i="5"/>
  <c r="Y124" i="5"/>
  <c r="X124" i="5"/>
  <c r="W124" i="5"/>
  <c r="V124" i="5"/>
  <c r="U124" i="5"/>
  <c r="T124" i="5"/>
  <c r="BD123" i="5"/>
  <c r="BC123" i="5"/>
  <c r="BB123" i="5"/>
  <c r="BA123" i="5"/>
  <c r="AZ123" i="5"/>
  <c r="AY123" i="5"/>
  <c r="AX123" i="5"/>
  <c r="AW123" i="5"/>
  <c r="AP123" i="5"/>
  <c r="AO123" i="5"/>
  <c r="AN123" i="5"/>
  <c r="AM123" i="5"/>
  <c r="AL123" i="5"/>
  <c r="AK123" i="5"/>
  <c r="AJ123" i="5"/>
  <c r="AI123" i="5"/>
  <c r="AA123" i="5"/>
  <c r="Z123" i="5"/>
  <c r="Y123" i="5"/>
  <c r="X123" i="5"/>
  <c r="W123" i="5"/>
  <c r="V123" i="5"/>
  <c r="U123" i="5"/>
  <c r="T123" i="5"/>
  <c r="BD122" i="5"/>
  <c r="BC122" i="5"/>
  <c r="BB122" i="5"/>
  <c r="BA122" i="5"/>
  <c r="AZ122" i="5"/>
  <c r="AY122" i="5"/>
  <c r="AX122" i="5"/>
  <c r="AW122" i="5"/>
  <c r="AP122" i="5"/>
  <c r="AO122" i="5"/>
  <c r="AN122" i="5"/>
  <c r="AM122" i="5"/>
  <c r="AL122" i="5"/>
  <c r="AK122" i="5"/>
  <c r="AJ122" i="5"/>
  <c r="AI122" i="5"/>
  <c r="AA122" i="5"/>
  <c r="Z122" i="5"/>
  <c r="Y122" i="5"/>
  <c r="X122" i="5"/>
  <c r="W122" i="5"/>
  <c r="V122" i="5"/>
  <c r="U122" i="5"/>
  <c r="T122" i="5"/>
  <c r="BD121" i="5"/>
  <c r="BC121" i="5"/>
  <c r="BB121" i="5"/>
  <c r="BA121" i="5"/>
  <c r="AZ121" i="5"/>
  <c r="AY121" i="5"/>
  <c r="AX121" i="5"/>
  <c r="AW121" i="5"/>
  <c r="AP121" i="5"/>
  <c r="AO121" i="5"/>
  <c r="AN121" i="5"/>
  <c r="AM121" i="5"/>
  <c r="AL121" i="5"/>
  <c r="AK121" i="5"/>
  <c r="AJ121" i="5"/>
  <c r="AI121" i="5"/>
  <c r="AA121" i="5"/>
  <c r="Z121" i="5"/>
  <c r="Y121" i="5"/>
  <c r="X121" i="5"/>
  <c r="W121" i="5"/>
  <c r="V121" i="5"/>
  <c r="U121" i="5"/>
  <c r="T121" i="5"/>
  <c r="BD120" i="5"/>
  <c r="BC120" i="5"/>
  <c r="BB120" i="5"/>
  <c r="BA120" i="5"/>
  <c r="AZ120" i="5"/>
  <c r="AY120" i="5"/>
  <c r="AX120" i="5"/>
  <c r="AW120" i="5"/>
  <c r="AP120" i="5"/>
  <c r="AO120" i="5"/>
  <c r="AN120" i="5"/>
  <c r="AM120" i="5"/>
  <c r="AL120" i="5"/>
  <c r="AK120" i="5"/>
  <c r="AJ120" i="5"/>
  <c r="AI120" i="5"/>
  <c r="AA120" i="5"/>
  <c r="Z120" i="5"/>
  <c r="Y120" i="5"/>
  <c r="X120" i="5"/>
  <c r="W120" i="5"/>
  <c r="V120" i="5"/>
  <c r="U120" i="5"/>
  <c r="T120" i="5"/>
  <c r="BD119" i="5"/>
  <c r="BC119" i="5"/>
  <c r="BB119" i="5"/>
  <c r="BA119" i="5"/>
  <c r="AZ119" i="5"/>
  <c r="AY119" i="5"/>
  <c r="AX119" i="5"/>
  <c r="AW119" i="5"/>
  <c r="AP119" i="5"/>
  <c r="AO119" i="5"/>
  <c r="AN119" i="5"/>
  <c r="AM119" i="5"/>
  <c r="AL119" i="5"/>
  <c r="AK119" i="5"/>
  <c r="AJ119" i="5"/>
  <c r="AI119" i="5"/>
  <c r="AA119" i="5"/>
  <c r="Z119" i="5"/>
  <c r="Y119" i="5"/>
  <c r="X119" i="5"/>
  <c r="W119" i="5"/>
  <c r="V119" i="5"/>
  <c r="U119" i="5"/>
  <c r="T119" i="5"/>
  <c r="BD118" i="5"/>
  <c r="BC118" i="5"/>
  <c r="BB118" i="5"/>
  <c r="BA118" i="5"/>
  <c r="AZ118" i="5"/>
  <c r="AY118" i="5"/>
  <c r="AX118" i="5"/>
  <c r="AW118" i="5"/>
  <c r="AP118" i="5"/>
  <c r="AO118" i="5"/>
  <c r="AN118" i="5"/>
  <c r="AM118" i="5"/>
  <c r="AL118" i="5"/>
  <c r="AK118" i="5"/>
  <c r="AJ118" i="5"/>
  <c r="AI118" i="5"/>
  <c r="AA118" i="5"/>
  <c r="Z118" i="5"/>
  <c r="Y118" i="5"/>
  <c r="X118" i="5"/>
  <c r="W118" i="5"/>
  <c r="V118" i="5"/>
  <c r="U118" i="5"/>
  <c r="T118" i="5"/>
  <c r="BD117" i="5"/>
  <c r="BC117" i="5"/>
  <c r="BB117" i="5"/>
  <c r="BA117" i="5"/>
  <c r="AZ117" i="5"/>
  <c r="AY117" i="5"/>
  <c r="AX117" i="5"/>
  <c r="AW117" i="5"/>
  <c r="AP117" i="5"/>
  <c r="AO117" i="5"/>
  <c r="AN117" i="5"/>
  <c r="AM117" i="5"/>
  <c r="AL117" i="5"/>
  <c r="AK117" i="5"/>
  <c r="AJ117" i="5"/>
  <c r="AI117" i="5"/>
  <c r="AA117" i="5"/>
  <c r="Z117" i="5"/>
  <c r="Y117" i="5"/>
  <c r="X117" i="5"/>
  <c r="W117" i="5"/>
  <c r="V117" i="5"/>
  <c r="U117" i="5"/>
  <c r="T117" i="5"/>
  <c r="BD116" i="5"/>
  <c r="BC116" i="5"/>
  <c r="BB116" i="5"/>
  <c r="BA116" i="5"/>
  <c r="AZ116" i="5"/>
  <c r="AY116" i="5"/>
  <c r="AX116" i="5"/>
  <c r="AW116" i="5"/>
  <c r="AP116" i="5"/>
  <c r="AO116" i="5"/>
  <c r="AN116" i="5"/>
  <c r="AM116" i="5"/>
  <c r="AL116" i="5"/>
  <c r="AK116" i="5"/>
  <c r="AJ116" i="5"/>
  <c r="AI116" i="5"/>
  <c r="AA116" i="5"/>
  <c r="Z116" i="5"/>
  <c r="Y116" i="5"/>
  <c r="X116" i="5"/>
  <c r="W116" i="5"/>
  <c r="V116" i="5"/>
  <c r="U116" i="5"/>
  <c r="T116" i="5"/>
  <c r="BD115" i="5"/>
  <c r="BC115" i="5"/>
  <c r="BB115" i="5"/>
  <c r="BA115" i="5"/>
  <c r="AZ115" i="5"/>
  <c r="AY115" i="5"/>
  <c r="AX115" i="5"/>
  <c r="AW115" i="5"/>
  <c r="AP115" i="5"/>
  <c r="AO115" i="5"/>
  <c r="AN115" i="5"/>
  <c r="AM115" i="5"/>
  <c r="AL115" i="5"/>
  <c r="AK115" i="5"/>
  <c r="AJ115" i="5"/>
  <c r="AI115" i="5"/>
  <c r="AA115" i="5"/>
  <c r="Z115" i="5"/>
  <c r="Y115" i="5"/>
  <c r="X115" i="5"/>
  <c r="W115" i="5"/>
  <c r="V115" i="5"/>
  <c r="U115" i="5"/>
  <c r="T115" i="5"/>
  <c r="BD114" i="5"/>
  <c r="BC114" i="5"/>
  <c r="BB114" i="5"/>
  <c r="BA114" i="5"/>
  <c r="AZ114" i="5"/>
  <c r="AY114" i="5"/>
  <c r="AX114" i="5"/>
  <c r="AW114" i="5"/>
  <c r="AP114" i="5"/>
  <c r="AO114" i="5"/>
  <c r="AN114" i="5"/>
  <c r="AM114" i="5"/>
  <c r="AL114" i="5"/>
  <c r="AK114" i="5"/>
  <c r="AJ114" i="5"/>
  <c r="AI114" i="5"/>
  <c r="AA114" i="5"/>
  <c r="Z114" i="5"/>
  <c r="Y114" i="5"/>
  <c r="X114" i="5"/>
  <c r="W114" i="5"/>
  <c r="V114" i="5"/>
  <c r="U114" i="5"/>
  <c r="T114" i="5"/>
  <c r="BD113" i="5"/>
  <c r="BC113" i="5"/>
  <c r="BB113" i="5"/>
  <c r="BA113" i="5"/>
  <c r="AZ113" i="5"/>
  <c r="AY113" i="5"/>
  <c r="AX113" i="5"/>
  <c r="AW113" i="5"/>
  <c r="AP113" i="5"/>
  <c r="AO113" i="5"/>
  <c r="AN113" i="5"/>
  <c r="AM113" i="5"/>
  <c r="AL113" i="5"/>
  <c r="AK113" i="5"/>
  <c r="AJ113" i="5"/>
  <c r="AI113" i="5"/>
  <c r="AA113" i="5"/>
  <c r="Z113" i="5"/>
  <c r="Y113" i="5"/>
  <c r="X113" i="5"/>
  <c r="W113" i="5"/>
  <c r="V113" i="5"/>
  <c r="U113" i="5"/>
  <c r="T113" i="5"/>
  <c r="BD112" i="5"/>
  <c r="BC112" i="5"/>
  <c r="BB112" i="5"/>
  <c r="BA112" i="5"/>
  <c r="AZ112" i="5"/>
  <c r="AY112" i="5"/>
  <c r="AX112" i="5"/>
  <c r="AW112" i="5"/>
  <c r="AP112" i="5"/>
  <c r="AO112" i="5"/>
  <c r="AN112" i="5"/>
  <c r="AM112" i="5"/>
  <c r="AL112" i="5"/>
  <c r="AK112" i="5"/>
  <c r="AJ112" i="5"/>
  <c r="AI112" i="5"/>
  <c r="AA112" i="5"/>
  <c r="Z112" i="5"/>
  <c r="Y112" i="5"/>
  <c r="X112" i="5"/>
  <c r="W112" i="5"/>
  <c r="V112" i="5"/>
  <c r="U112" i="5"/>
  <c r="T112" i="5"/>
  <c r="BD111" i="5"/>
  <c r="BC111" i="5"/>
  <c r="BB111" i="5"/>
  <c r="BA111" i="5"/>
  <c r="AZ111" i="5"/>
  <c r="AY111" i="5"/>
  <c r="AX111" i="5"/>
  <c r="AW111" i="5"/>
  <c r="AP111" i="5"/>
  <c r="AO111" i="5"/>
  <c r="AN111" i="5"/>
  <c r="AM111" i="5"/>
  <c r="AL111" i="5"/>
  <c r="AK111" i="5"/>
  <c r="AJ111" i="5"/>
  <c r="AI111" i="5"/>
  <c r="AA111" i="5"/>
  <c r="Z111" i="5"/>
  <c r="Y111" i="5"/>
  <c r="X111" i="5"/>
  <c r="W111" i="5"/>
  <c r="V111" i="5"/>
  <c r="U111" i="5"/>
  <c r="T111" i="5"/>
  <c r="BD110" i="5"/>
  <c r="BC110" i="5"/>
  <c r="BB110" i="5"/>
  <c r="BA110" i="5"/>
  <c r="AZ110" i="5"/>
  <c r="AY110" i="5"/>
  <c r="AX110" i="5"/>
  <c r="AW110" i="5"/>
  <c r="AP110" i="5"/>
  <c r="AO110" i="5"/>
  <c r="AN110" i="5"/>
  <c r="AM110" i="5"/>
  <c r="AL110" i="5"/>
  <c r="AK110" i="5"/>
  <c r="AJ110" i="5"/>
  <c r="AI110" i="5"/>
  <c r="AA110" i="5"/>
  <c r="Z110" i="5"/>
  <c r="Y110" i="5"/>
  <c r="X110" i="5"/>
  <c r="W110" i="5"/>
  <c r="V110" i="5"/>
  <c r="U110" i="5"/>
  <c r="T110" i="5"/>
  <c r="BD109" i="5"/>
  <c r="BC109" i="5"/>
  <c r="BB109" i="5"/>
  <c r="BA109" i="5"/>
  <c r="AZ109" i="5"/>
  <c r="AY109" i="5"/>
  <c r="AX109" i="5"/>
  <c r="AW109" i="5"/>
  <c r="AP109" i="5"/>
  <c r="AO109" i="5"/>
  <c r="AN109" i="5"/>
  <c r="AM109" i="5"/>
  <c r="AL109" i="5"/>
  <c r="AK109" i="5"/>
  <c r="AJ109" i="5"/>
  <c r="AI109" i="5"/>
  <c r="AA109" i="5"/>
  <c r="Z109" i="5"/>
  <c r="Y109" i="5"/>
  <c r="X109" i="5"/>
  <c r="W109" i="5"/>
  <c r="V109" i="5"/>
  <c r="U109" i="5"/>
  <c r="T109" i="5"/>
  <c r="BD108" i="5"/>
  <c r="BC108" i="5"/>
  <c r="BB108" i="5"/>
  <c r="BA108" i="5"/>
  <c r="AZ108" i="5"/>
  <c r="AY108" i="5"/>
  <c r="AX108" i="5"/>
  <c r="AW108" i="5"/>
  <c r="AP108" i="5"/>
  <c r="AO108" i="5"/>
  <c r="AN108" i="5"/>
  <c r="AM108" i="5"/>
  <c r="AL108" i="5"/>
  <c r="AK108" i="5"/>
  <c r="AJ108" i="5"/>
  <c r="AI108" i="5"/>
  <c r="AA108" i="5"/>
  <c r="Z108" i="5"/>
  <c r="Y108" i="5"/>
  <c r="X108" i="5"/>
  <c r="W108" i="5"/>
  <c r="V108" i="5"/>
  <c r="U108" i="5"/>
  <c r="T108" i="5"/>
  <c r="BD107" i="5"/>
  <c r="BC107" i="5"/>
  <c r="BB107" i="5"/>
  <c r="BA107" i="5"/>
  <c r="AZ107" i="5"/>
  <c r="AY107" i="5"/>
  <c r="AX107" i="5"/>
  <c r="AW107" i="5"/>
  <c r="AP107" i="5"/>
  <c r="AO107" i="5"/>
  <c r="AN107" i="5"/>
  <c r="AM107" i="5"/>
  <c r="AL107" i="5"/>
  <c r="AK107" i="5"/>
  <c r="AJ107" i="5"/>
  <c r="AI107" i="5"/>
  <c r="AA107" i="5"/>
  <c r="Z107" i="5"/>
  <c r="Y107" i="5"/>
  <c r="X107" i="5"/>
  <c r="W107" i="5"/>
  <c r="V107" i="5"/>
  <c r="U107" i="5"/>
  <c r="T107" i="5"/>
  <c r="BD106" i="5"/>
  <c r="BC106" i="5"/>
  <c r="BB106" i="5"/>
  <c r="BA106" i="5"/>
  <c r="AZ106" i="5"/>
  <c r="AY106" i="5"/>
  <c r="AX106" i="5"/>
  <c r="AW106" i="5"/>
  <c r="AP106" i="5"/>
  <c r="AO106" i="5"/>
  <c r="AN106" i="5"/>
  <c r="AM106" i="5"/>
  <c r="AL106" i="5"/>
  <c r="AK106" i="5"/>
  <c r="AJ106" i="5"/>
  <c r="AI106" i="5"/>
  <c r="AA106" i="5"/>
  <c r="Z106" i="5"/>
  <c r="Y106" i="5"/>
  <c r="X106" i="5"/>
  <c r="W106" i="5"/>
  <c r="V106" i="5"/>
  <c r="U106" i="5"/>
  <c r="T106" i="5"/>
  <c r="BD105" i="5"/>
  <c r="BC105" i="5"/>
  <c r="BB105" i="5"/>
  <c r="BA105" i="5"/>
  <c r="AZ105" i="5"/>
  <c r="AY105" i="5"/>
  <c r="AX105" i="5"/>
  <c r="AW105" i="5"/>
  <c r="AP105" i="5"/>
  <c r="AO105" i="5"/>
  <c r="AN105" i="5"/>
  <c r="AM105" i="5"/>
  <c r="AL105" i="5"/>
  <c r="AK105" i="5"/>
  <c r="AJ105" i="5"/>
  <c r="AI105" i="5"/>
  <c r="AA105" i="5"/>
  <c r="Z105" i="5"/>
  <c r="Y105" i="5"/>
  <c r="X105" i="5"/>
  <c r="W105" i="5"/>
  <c r="V105" i="5"/>
  <c r="U105" i="5"/>
  <c r="T105" i="5"/>
  <c r="BD104" i="5"/>
  <c r="BC104" i="5"/>
  <c r="BB104" i="5"/>
  <c r="BA104" i="5"/>
  <c r="AZ104" i="5"/>
  <c r="AY104" i="5"/>
  <c r="AX104" i="5"/>
  <c r="AW104" i="5"/>
  <c r="AP104" i="5"/>
  <c r="AO104" i="5"/>
  <c r="AN104" i="5"/>
  <c r="AM104" i="5"/>
  <c r="AL104" i="5"/>
  <c r="AK104" i="5"/>
  <c r="AJ104" i="5"/>
  <c r="AI104" i="5"/>
  <c r="AA104" i="5"/>
  <c r="Z104" i="5"/>
  <c r="Y104" i="5"/>
  <c r="X104" i="5"/>
  <c r="W104" i="5"/>
  <c r="V104" i="5"/>
  <c r="U104" i="5"/>
  <c r="T104" i="5"/>
  <c r="BD103" i="5"/>
  <c r="BC103" i="5"/>
  <c r="BB103" i="5"/>
  <c r="BA103" i="5"/>
  <c r="AZ103" i="5"/>
  <c r="AY103" i="5"/>
  <c r="AX103" i="5"/>
  <c r="AW103" i="5"/>
  <c r="AP103" i="5"/>
  <c r="AO103" i="5"/>
  <c r="AN103" i="5"/>
  <c r="AM103" i="5"/>
  <c r="AL103" i="5"/>
  <c r="AK103" i="5"/>
  <c r="AJ103" i="5"/>
  <c r="AI103" i="5"/>
  <c r="AA103" i="5"/>
  <c r="Z103" i="5"/>
  <c r="Y103" i="5"/>
  <c r="X103" i="5"/>
  <c r="W103" i="5"/>
  <c r="V103" i="5"/>
  <c r="U103" i="5"/>
  <c r="T103" i="5"/>
  <c r="BD102" i="5"/>
  <c r="BC102" i="5"/>
  <c r="BB102" i="5"/>
  <c r="BA102" i="5"/>
  <c r="AZ102" i="5"/>
  <c r="AY102" i="5"/>
  <c r="AX102" i="5"/>
  <c r="AW102" i="5"/>
  <c r="AP102" i="5"/>
  <c r="AO102" i="5"/>
  <c r="AN102" i="5"/>
  <c r="AM102" i="5"/>
  <c r="AL102" i="5"/>
  <c r="AK102" i="5"/>
  <c r="AJ102" i="5"/>
  <c r="AI102" i="5"/>
  <c r="AA102" i="5"/>
  <c r="Z102" i="5"/>
  <c r="Y102" i="5"/>
  <c r="X102" i="5"/>
  <c r="W102" i="5"/>
  <c r="V102" i="5"/>
  <c r="U102" i="5"/>
  <c r="T102" i="5"/>
  <c r="BD101" i="5"/>
  <c r="BC101" i="5"/>
  <c r="BB101" i="5"/>
  <c r="BA101" i="5"/>
  <c r="AZ101" i="5"/>
  <c r="AY101" i="5"/>
  <c r="AX101" i="5"/>
  <c r="AW101" i="5"/>
  <c r="AP101" i="5"/>
  <c r="AO101" i="5"/>
  <c r="AN101" i="5"/>
  <c r="AM101" i="5"/>
  <c r="AL101" i="5"/>
  <c r="AK101" i="5"/>
  <c r="AJ101" i="5"/>
  <c r="AI101" i="5"/>
  <c r="AA101" i="5"/>
  <c r="Z101" i="5"/>
  <c r="Y101" i="5"/>
  <c r="X101" i="5"/>
  <c r="W101" i="5"/>
  <c r="V101" i="5"/>
  <c r="U101" i="5"/>
  <c r="T101" i="5"/>
  <c r="BD100" i="5"/>
  <c r="BC100" i="5"/>
  <c r="BB100" i="5"/>
  <c r="BA100" i="5"/>
  <c r="AZ100" i="5"/>
  <c r="AY100" i="5"/>
  <c r="AX100" i="5"/>
  <c r="AW100" i="5"/>
  <c r="AP100" i="5"/>
  <c r="AO100" i="5"/>
  <c r="AN100" i="5"/>
  <c r="AM100" i="5"/>
  <c r="AL100" i="5"/>
  <c r="AK100" i="5"/>
  <c r="AJ100" i="5"/>
  <c r="AI100" i="5"/>
  <c r="AA100" i="5"/>
  <c r="Z100" i="5"/>
  <c r="Y100" i="5"/>
  <c r="X100" i="5"/>
  <c r="W100" i="5"/>
  <c r="V100" i="5"/>
  <c r="U100" i="5"/>
  <c r="T100" i="5"/>
  <c r="BD99" i="5"/>
  <c r="BC99" i="5"/>
  <c r="BB99" i="5"/>
  <c r="BA99" i="5"/>
  <c r="AZ99" i="5"/>
  <c r="AY99" i="5"/>
  <c r="AX99" i="5"/>
  <c r="AW99" i="5"/>
  <c r="AP99" i="5"/>
  <c r="AO99" i="5"/>
  <c r="AN99" i="5"/>
  <c r="AM99" i="5"/>
  <c r="AL99" i="5"/>
  <c r="AK99" i="5"/>
  <c r="AJ99" i="5"/>
  <c r="AI99" i="5"/>
  <c r="AA99" i="5"/>
  <c r="Z99" i="5"/>
  <c r="Y99" i="5"/>
  <c r="X99" i="5"/>
  <c r="W99" i="5"/>
  <c r="V99" i="5"/>
  <c r="U99" i="5"/>
  <c r="T99" i="5"/>
  <c r="BD98" i="5"/>
  <c r="BC98" i="5"/>
  <c r="BB98" i="5"/>
  <c r="BA98" i="5"/>
  <c r="AZ98" i="5"/>
  <c r="AY98" i="5"/>
  <c r="AX98" i="5"/>
  <c r="AW98" i="5"/>
  <c r="AP98" i="5"/>
  <c r="AO98" i="5"/>
  <c r="AN98" i="5"/>
  <c r="AM98" i="5"/>
  <c r="AL98" i="5"/>
  <c r="AK98" i="5"/>
  <c r="AJ98" i="5"/>
  <c r="AI98" i="5"/>
  <c r="AA98" i="5"/>
  <c r="Z98" i="5"/>
  <c r="Y98" i="5"/>
  <c r="X98" i="5"/>
  <c r="W98" i="5"/>
  <c r="V98" i="5"/>
  <c r="U98" i="5"/>
  <c r="T98" i="5"/>
  <c r="BD97" i="5"/>
  <c r="BC97" i="5"/>
  <c r="BB97" i="5"/>
  <c r="BA97" i="5"/>
  <c r="AZ97" i="5"/>
  <c r="AY97" i="5"/>
  <c r="AX97" i="5"/>
  <c r="AW97" i="5"/>
  <c r="AP97" i="5"/>
  <c r="AO97" i="5"/>
  <c r="AN97" i="5"/>
  <c r="AM97" i="5"/>
  <c r="AL97" i="5"/>
  <c r="AK97" i="5"/>
  <c r="AJ97" i="5"/>
  <c r="AI97" i="5"/>
  <c r="AA97" i="5"/>
  <c r="Z97" i="5"/>
  <c r="Y97" i="5"/>
  <c r="X97" i="5"/>
  <c r="W97" i="5"/>
  <c r="V97" i="5"/>
  <c r="U97" i="5"/>
  <c r="T97" i="5"/>
  <c r="BD96" i="5"/>
  <c r="BC96" i="5"/>
  <c r="BB96" i="5"/>
  <c r="BA96" i="5"/>
  <c r="AZ96" i="5"/>
  <c r="AY96" i="5"/>
  <c r="AX96" i="5"/>
  <c r="AW96" i="5"/>
  <c r="AP96" i="5"/>
  <c r="AO96" i="5"/>
  <c r="AN96" i="5"/>
  <c r="AM96" i="5"/>
  <c r="AL96" i="5"/>
  <c r="AK96" i="5"/>
  <c r="AJ96" i="5"/>
  <c r="AI96" i="5"/>
  <c r="AA96" i="5"/>
  <c r="Z96" i="5"/>
  <c r="Y96" i="5"/>
  <c r="X96" i="5"/>
  <c r="W96" i="5"/>
  <c r="V96" i="5"/>
  <c r="U96" i="5"/>
  <c r="T96" i="5"/>
  <c r="BD95" i="5"/>
  <c r="BC95" i="5"/>
  <c r="BB95" i="5"/>
  <c r="BA95" i="5"/>
  <c r="AZ95" i="5"/>
  <c r="AY95" i="5"/>
  <c r="AX95" i="5"/>
  <c r="AW95" i="5"/>
  <c r="AP95" i="5"/>
  <c r="AO95" i="5"/>
  <c r="AN95" i="5"/>
  <c r="AM95" i="5"/>
  <c r="AL95" i="5"/>
  <c r="AK95" i="5"/>
  <c r="AJ95" i="5"/>
  <c r="AI95" i="5"/>
  <c r="AA95" i="5"/>
  <c r="Z95" i="5"/>
  <c r="Y95" i="5"/>
  <c r="X95" i="5"/>
  <c r="W95" i="5"/>
  <c r="V95" i="5"/>
  <c r="U95" i="5"/>
  <c r="T95" i="5"/>
  <c r="BD94" i="5"/>
  <c r="BC94" i="5"/>
  <c r="BB94" i="5"/>
  <c r="BA94" i="5"/>
  <c r="AZ94" i="5"/>
  <c r="AY94" i="5"/>
  <c r="AX94" i="5"/>
  <c r="AW94" i="5"/>
  <c r="AP94" i="5"/>
  <c r="AO94" i="5"/>
  <c r="AN94" i="5"/>
  <c r="AM94" i="5"/>
  <c r="AL94" i="5"/>
  <c r="AK94" i="5"/>
  <c r="AJ94" i="5"/>
  <c r="AI94" i="5"/>
  <c r="AA94" i="5"/>
  <c r="Z94" i="5"/>
  <c r="Y94" i="5"/>
  <c r="X94" i="5"/>
  <c r="W94" i="5"/>
  <c r="V94" i="5"/>
  <c r="U94" i="5"/>
  <c r="T94" i="5"/>
  <c r="BD93" i="5"/>
  <c r="BC93" i="5"/>
  <c r="BB93" i="5"/>
  <c r="BA93" i="5"/>
  <c r="AZ93" i="5"/>
  <c r="AY93" i="5"/>
  <c r="AX93" i="5"/>
  <c r="AW93" i="5"/>
  <c r="AP93" i="5"/>
  <c r="AO93" i="5"/>
  <c r="AN93" i="5"/>
  <c r="AM93" i="5"/>
  <c r="AL93" i="5"/>
  <c r="AK93" i="5"/>
  <c r="AJ93" i="5"/>
  <c r="AI93" i="5"/>
  <c r="AA93" i="5"/>
  <c r="Z93" i="5"/>
  <c r="Y93" i="5"/>
  <c r="X93" i="5"/>
  <c r="W93" i="5"/>
  <c r="V93" i="5"/>
  <c r="U93" i="5"/>
  <c r="T93" i="5"/>
  <c r="BD92" i="5"/>
  <c r="BC92" i="5"/>
  <c r="BB92" i="5"/>
  <c r="BA92" i="5"/>
  <c r="AZ92" i="5"/>
  <c r="AY92" i="5"/>
  <c r="AX92" i="5"/>
  <c r="AW92" i="5"/>
  <c r="AP92" i="5"/>
  <c r="AO92" i="5"/>
  <c r="AN92" i="5"/>
  <c r="AM92" i="5"/>
  <c r="AL92" i="5"/>
  <c r="AK92" i="5"/>
  <c r="AJ92" i="5"/>
  <c r="AI92" i="5"/>
  <c r="AA92" i="5"/>
  <c r="Z92" i="5"/>
  <c r="Y92" i="5"/>
  <c r="X92" i="5"/>
  <c r="W92" i="5"/>
  <c r="V92" i="5"/>
  <c r="U92" i="5"/>
  <c r="T92" i="5"/>
  <c r="BD91" i="5"/>
  <c r="BC91" i="5"/>
  <c r="BB91" i="5"/>
  <c r="BA91" i="5"/>
  <c r="AZ91" i="5"/>
  <c r="AY91" i="5"/>
  <c r="AX91" i="5"/>
  <c r="AW91" i="5"/>
  <c r="AP91" i="5"/>
  <c r="AO91" i="5"/>
  <c r="AN91" i="5"/>
  <c r="AM91" i="5"/>
  <c r="AL91" i="5"/>
  <c r="AK91" i="5"/>
  <c r="AJ91" i="5"/>
  <c r="AI91" i="5"/>
  <c r="AA91" i="5"/>
  <c r="Z91" i="5"/>
  <c r="Y91" i="5"/>
  <c r="X91" i="5"/>
  <c r="W91" i="5"/>
  <c r="V91" i="5"/>
  <c r="U91" i="5"/>
  <c r="T91" i="5"/>
  <c r="BD90" i="5"/>
  <c r="BC90" i="5"/>
  <c r="BB90" i="5"/>
  <c r="BA90" i="5"/>
  <c r="AZ90" i="5"/>
  <c r="AY90" i="5"/>
  <c r="AX90" i="5"/>
  <c r="AW90" i="5"/>
  <c r="AP90" i="5"/>
  <c r="AO90" i="5"/>
  <c r="AN90" i="5"/>
  <c r="AM90" i="5"/>
  <c r="AL90" i="5"/>
  <c r="AK90" i="5"/>
  <c r="AJ90" i="5"/>
  <c r="AI90" i="5"/>
  <c r="AA90" i="5"/>
  <c r="Z90" i="5"/>
  <c r="Y90" i="5"/>
  <c r="X90" i="5"/>
  <c r="W90" i="5"/>
  <c r="V90" i="5"/>
  <c r="U90" i="5"/>
  <c r="T90" i="5"/>
  <c r="BD89" i="5"/>
  <c r="BC89" i="5"/>
  <c r="BB89" i="5"/>
  <c r="BA89" i="5"/>
  <c r="AZ89" i="5"/>
  <c r="AY89" i="5"/>
  <c r="AX89" i="5"/>
  <c r="AW89" i="5"/>
  <c r="AP89" i="5"/>
  <c r="AO89" i="5"/>
  <c r="AN89" i="5"/>
  <c r="AM89" i="5"/>
  <c r="AL89" i="5"/>
  <c r="AK89" i="5"/>
  <c r="AJ89" i="5"/>
  <c r="AI89" i="5"/>
  <c r="AA89" i="5"/>
  <c r="Z89" i="5"/>
  <c r="Y89" i="5"/>
  <c r="X89" i="5"/>
  <c r="W89" i="5"/>
  <c r="V89" i="5"/>
  <c r="U89" i="5"/>
  <c r="T89" i="5"/>
  <c r="BD88" i="5"/>
  <c r="BC88" i="5"/>
  <c r="BB88" i="5"/>
  <c r="BA88" i="5"/>
  <c r="AZ88" i="5"/>
  <c r="AY88" i="5"/>
  <c r="AX88" i="5"/>
  <c r="AW88" i="5"/>
  <c r="AP88" i="5"/>
  <c r="AO88" i="5"/>
  <c r="AN88" i="5"/>
  <c r="AM88" i="5"/>
  <c r="AL88" i="5"/>
  <c r="AK88" i="5"/>
  <c r="AJ88" i="5"/>
  <c r="AI88" i="5"/>
  <c r="AA88" i="5"/>
  <c r="Z88" i="5"/>
  <c r="Y88" i="5"/>
  <c r="X88" i="5"/>
  <c r="W88" i="5"/>
  <c r="V88" i="5"/>
  <c r="U88" i="5"/>
  <c r="T88" i="5"/>
  <c r="BD87" i="5"/>
  <c r="BC87" i="5"/>
  <c r="BB87" i="5"/>
  <c r="BA87" i="5"/>
  <c r="AZ87" i="5"/>
  <c r="AY87" i="5"/>
  <c r="AX87" i="5"/>
  <c r="AW87" i="5"/>
  <c r="AP87" i="5"/>
  <c r="AO87" i="5"/>
  <c r="AN87" i="5"/>
  <c r="AM87" i="5"/>
  <c r="AL87" i="5"/>
  <c r="AK87" i="5"/>
  <c r="AJ87" i="5"/>
  <c r="AI87" i="5"/>
  <c r="AA87" i="5"/>
  <c r="Z87" i="5"/>
  <c r="Y87" i="5"/>
  <c r="X87" i="5"/>
  <c r="W87" i="5"/>
  <c r="V87" i="5"/>
  <c r="U87" i="5"/>
  <c r="T87" i="5"/>
  <c r="BD86" i="5"/>
  <c r="BC86" i="5"/>
  <c r="BB86" i="5"/>
  <c r="BA86" i="5"/>
  <c r="AZ86" i="5"/>
  <c r="AY86" i="5"/>
  <c r="AX86" i="5"/>
  <c r="AW86" i="5"/>
  <c r="AP86" i="5"/>
  <c r="AO86" i="5"/>
  <c r="AN86" i="5"/>
  <c r="AM86" i="5"/>
  <c r="AL86" i="5"/>
  <c r="AK86" i="5"/>
  <c r="AJ86" i="5"/>
  <c r="AI86" i="5"/>
  <c r="AA86" i="5"/>
  <c r="Z86" i="5"/>
  <c r="Y86" i="5"/>
  <c r="X86" i="5"/>
  <c r="W86" i="5"/>
  <c r="V86" i="5"/>
  <c r="U86" i="5"/>
  <c r="T86" i="5"/>
  <c r="BD85" i="5"/>
  <c r="BC85" i="5"/>
  <c r="BB85" i="5"/>
  <c r="BA85" i="5"/>
  <c r="AZ85" i="5"/>
  <c r="AY85" i="5"/>
  <c r="AX85" i="5"/>
  <c r="AW85" i="5"/>
  <c r="AP85" i="5"/>
  <c r="AO85" i="5"/>
  <c r="AN85" i="5"/>
  <c r="AM85" i="5"/>
  <c r="AL85" i="5"/>
  <c r="AK85" i="5"/>
  <c r="AJ85" i="5"/>
  <c r="AI85" i="5"/>
  <c r="AA85" i="5"/>
  <c r="Z85" i="5"/>
  <c r="Y85" i="5"/>
  <c r="X85" i="5"/>
  <c r="W85" i="5"/>
  <c r="V85" i="5"/>
  <c r="U85" i="5"/>
  <c r="T85" i="5"/>
  <c r="BD84" i="5"/>
  <c r="BC84" i="5"/>
  <c r="BB84" i="5"/>
  <c r="BA84" i="5"/>
  <c r="AZ84" i="5"/>
  <c r="AY84" i="5"/>
  <c r="AX84" i="5"/>
  <c r="AW84" i="5"/>
  <c r="AP84" i="5"/>
  <c r="AO84" i="5"/>
  <c r="AN84" i="5"/>
  <c r="AM84" i="5"/>
  <c r="AL84" i="5"/>
  <c r="AK84" i="5"/>
  <c r="AJ84" i="5"/>
  <c r="AI84" i="5"/>
  <c r="AA84" i="5"/>
  <c r="Z84" i="5"/>
  <c r="Y84" i="5"/>
  <c r="X84" i="5"/>
  <c r="W84" i="5"/>
  <c r="V84" i="5"/>
  <c r="U84" i="5"/>
  <c r="T84" i="5"/>
  <c r="BD83" i="5"/>
  <c r="BC83" i="5"/>
  <c r="BB83" i="5"/>
  <c r="BA83" i="5"/>
  <c r="AZ83" i="5"/>
  <c r="AY83" i="5"/>
  <c r="AX83" i="5"/>
  <c r="AW83" i="5"/>
  <c r="AP83" i="5"/>
  <c r="AO83" i="5"/>
  <c r="AN83" i="5"/>
  <c r="AM83" i="5"/>
  <c r="AL83" i="5"/>
  <c r="AK83" i="5"/>
  <c r="AJ83" i="5"/>
  <c r="AI83" i="5"/>
  <c r="AA83" i="5"/>
  <c r="Z83" i="5"/>
  <c r="Y83" i="5"/>
  <c r="X83" i="5"/>
  <c r="W83" i="5"/>
  <c r="V83" i="5"/>
  <c r="U83" i="5"/>
  <c r="T83" i="5"/>
  <c r="BD82" i="5"/>
  <c r="BC82" i="5"/>
  <c r="BB82" i="5"/>
  <c r="BA82" i="5"/>
  <c r="AZ82" i="5"/>
  <c r="AY82" i="5"/>
  <c r="AX82" i="5"/>
  <c r="AW82" i="5"/>
  <c r="AP82" i="5"/>
  <c r="AO82" i="5"/>
  <c r="AN82" i="5"/>
  <c r="AM82" i="5"/>
  <c r="AL82" i="5"/>
  <c r="AK82" i="5"/>
  <c r="AJ82" i="5"/>
  <c r="AI82" i="5"/>
  <c r="AA82" i="5"/>
  <c r="Z82" i="5"/>
  <c r="Y82" i="5"/>
  <c r="X82" i="5"/>
  <c r="W82" i="5"/>
  <c r="V82" i="5"/>
  <c r="U82" i="5"/>
  <c r="T82" i="5"/>
  <c r="BD81" i="5"/>
  <c r="BC81" i="5"/>
  <c r="BB81" i="5"/>
  <c r="BA81" i="5"/>
  <c r="AZ81" i="5"/>
  <c r="AY81" i="5"/>
  <c r="AX81" i="5"/>
  <c r="AW81" i="5"/>
  <c r="AP81" i="5"/>
  <c r="AO81" i="5"/>
  <c r="AN81" i="5"/>
  <c r="AM81" i="5"/>
  <c r="AL81" i="5"/>
  <c r="AK81" i="5"/>
  <c r="AJ81" i="5"/>
  <c r="AI81" i="5"/>
  <c r="AA81" i="5"/>
  <c r="Z81" i="5"/>
  <c r="Y81" i="5"/>
  <c r="X81" i="5"/>
  <c r="W81" i="5"/>
  <c r="V81" i="5"/>
  <c r="U81" i="5"/>
  <c r="T81" i="5"/>
  <c r="BD80" i="5"/>
  <c r="BC80" i="5"/>
  <c r="BB80" i="5"/>
  <c r="BA80" i="5"/>
  <c r="AZ80" i="5"/>
  <c r="AY80" i="5"/>
  <c r="AX80" i="5"/>
  <c r="AW80" i="5"/>
  <c r="AP80" i="5"/>
  <c r="AO80" i="5"/>
  <c r="AN80" i="5"/>
  <c r="AM80" i="5"/>
  <c r="AL80" i="5"/>
  <c r="AK80" i="5"/>
  <c r="AJ80" i="5"/>
  <c r="AI80" i="5"/>
  <c r="AA80" i="5"/>
  <c r="Z80" i="5"/>
  <c r="Y80" i="5"/>
  <c r="X80" i="5"/>
  <c r="W80" i="5"/>
  <c r="V80" i="5"/>
  <c r="U80" i="5"/>
  <c r="T80" i="5"/>
  <c r="BD79" i="5"/>
  <c r="BC79" i="5"/>
  <c r="BB79" i="5"/>
  <c r="BA79" i="5"/>
  <c r="AZ79" i="5"/>
  <c r="AY79" i="5"/>
  <c r="AX79" i="5"/>
  <c r="AW79" i="5"/>
  <c r="AP79" i="5"/>
  <c r="AO79" i="5"/>
  <c r="AN79" i="5"/>
  <c r="AM79" i="5"/>
  <c r="AL79" i="5"/>
  <c r="AK79" i="5"/>
  <c r="AJ79" i="5"/>
  <c r="AI79" i="5"/>
  <c r="AA79" i="5"/>
  <c r="Z79" i="5"/>
  <c r="Y79" i="5"/>
  <c r="X79" i="5"/>
  <c r="W79" i="5"/>
  <c r="V79" i="5"/>
  <c r="U79" i="5"/>
  <c r="T79" i="5"/>
  <c r="BD78" i="5"/>
  <c r="BC78" i="5"/>
  <c r="BB78" i="5"/>
  <c r="BA78" i="5"/>
  <c r="AZ78" i="5"/>
  <c r="AY78" i="5"/>
  <c r="AX78" i="5"/>
  <c r="AW78" i="5"/>
  <c r="AP78" i="5"/>
  <c r="AO78" i="5"/>
  <c r="AN78" i="5"/>
  <c r="AM78" i="5"/>
  <c r="AL78" i="5"/>
  <c r="AK78" i="5"/>
  <c r="AJ78" i="5"/>
  <c r="AI78" i="5"/>
  <c r="AA78" i="5"/>
  <c r="Z78" i="5"/>
  <c r="Y78" i="5"/>
  <c r="X78" i="5"/>
  <c r="W78" i="5"/>
  <c r="V78" i="5"/>
  <c r="U78" i="5"/>
  <c r="T78" i="5"/>
  <c r="BD77" i="5"/>
  <c r="BC77" i="5"/>
  <c r="BB77" i="5"/>
  <c r="BA77" i="5"/>
  <c r="AZ77" i="5"/>
  <c r="AY77" i="5"/>
  <c r="AX77" i="5"/>
  <c r="AW77" i="5"/>
  <c r="AP77" i="5"/>
  <c r="AO77" i="5"/>
  <c r="AN77" i="5"/>
  <c r="AM77" i="5"/>
  <c r="AL77" i="5"/>
  <c r="AK77" i="5"/>
  <c r="AJ77" i="5"/>
  <c r="AI77" i="5"/>
  <c r="AA77" i="5"/>
  <c r="Z77" i="5"/>
  <c r="Y77" i="5"/>
  <c r="X77" i="5"/>
  <c r="W77" i="5"/>
  <c r="V77" i="5"/>
  <c r="U77" i="5"/>
  <c r="T77" i="5"/>
  <c r="BD76" i="5"/>
  <c r="BC76" i="5"/>
  <c r="BB76" i="5"/>
  <c r="BA76" i="5"/>
  <c r="AZ76" i="5"/>
  <c r="AY76" i="5"/>
  <c r="AX76" i="5"/>
  <c r="AW76" i="5"/>
  <c r="AP76" i="5"/>
  <c r="AO76" i="5"/>
  <c r="AN76" i="5"/>
  <c r="AM76" i="5"/>
  <c r="AL76" i="5"/>
  <c r="AK76" i="5"/>
  <c r="AJ76" i="5"/>
  <c r="AI76" i="5"/>
  <c r="AA76" i="5"/>
  <c r="Z76" i="5"/>
  <c r="Y76" i="5"/>
  <c r="X76" i="5"/>
  <c r="W76" i="5"/>
  <c r="V76" i="5"/>
  <c r="U76" i="5"/>
  <c r="T76" i="5"/>
  <c r="BD75" i="5"/>
  <c r="BC75" i="5"/>
  <c r="BB75" i="5"/>
  <c r="BA75" i="5"/>
  <c r="AZ75" i="5"/>
  <c r="AY75" i="5"/>
  <c r="AX75" i="5"/>
  <c r="AW75" i="5"/>
  <c r="AP75" i="5"/>
  <c r="AO75" i="5"/>
  <c r="AN75" i="5"/>
  <c r="AM75" i="5"/>
  <c r="AL75" i="5"/>
  <c r="AK75" i="5"/>
  <c r="AJ75" i="5"/>
  <c r="AI75" i="5"/>
  <c r="AA75" i="5"/>
  <c r="Z75" i="5"/>
  <c r="Y75" i="5"/>
  <c r="X75" i="5"/>
  <c r="W75" i="5"/>
  <c r="V75" i="5"/>
  <c r="U75" i="5"/>
  <c r="T75" i="5"/>
  <c r="BD74" i="5"/>
  <c r="BC74" i="5"/>
  <c r="BB74" i="5"/>
  <c r="BA74" i="5"/>
  <c r="AZ74" i="5"/>
  <c r="AY74" i="5"/>
  <c r="AX74" i="5"/>
  <c r="AW74" i="5"/>
  <c r="AP74" i="5"/>
  <c r="AO74" i="5"/>
  <c r="AN74" i="5"/>
  <c r="AM74" i="5"/>
  <c r="AL74" i="5"/>
  <c r="AK74" i="5"/>
  <c r="AJ74" i="5"/>
  <c r="AI74" i="5"/>
  <c r="AA74" i="5"/>
  <c r="Z74" i="5"/>
  <c r="Y74" i="5"/>
  <c r="X74" i="5"/>
  <c r="W74" i="5"/>
  <c r="V74" i="5"/>
  <c r="U74" i="5"/>
  <c r="T74" i="5"/>
  <c r="BD73" i="5"/>
  <c r="BC73" i="5"/>
  <c r="BB73" i="5"/>
  <c r="BA73" i="5"/>
  <c r="AZ73" i="5"/>
  <c r="AY73" i="5"/>
  <c r="AX73" i="5"/>
  <c r="AW73" i="5"/>
  <c r="AP73" i="5"/>
  <c r="AO73" i="5"/>
  <c r="AN73" i="5"/>
  <c r="AM73" i="5"/>
  <c r="AL73" i="5"/>
  <c r="AK73" i="5"/>
  <c r="AJ73" i="5"/>
  <c r="AI73" i="5"/>
  <c r="AA73" i="5"/>
  <c r="Z73" i="5"/>
  <c r="Y73" i="5"/>
  <c r="X73" i="5"/>
  <c r="W73" i="5"/>
  <c r="V73" i="5"/>
  <c r="U73" i="5"/>
  <c r="T73" i="5"/>
  <c r="BD72" i="5"/>
  <c r="BC72" i="5"/>
  <c r="BB72" i="5"/>
  <c r="BA72" i="5"/>
  <c r="AZ72" i="5"/>
  <c r="AY72" i="5"/>
  <c r="AX72" i="5"/>
  <c r="AW72" i="5"/>
  <c r="AP72" i="5"/>
  <c r="AO72" i="5"/>
  <c r="AN72" i="5"/>
  <c r="AM72" i="5"/>
  <c r="AL72" i="5"/>
  <c r="AK72" i="5"/>
  <c r="AJ72" i="5"/>
  <c r="AI72" i="5"/>
  <c r="AA72" i="5"/>
  <c r="Z72" i="5"/>
  <c r="Y72" i="5"/>
  <c r="X72" i="5"/>
  <c r="W72" i="5"/>
  <c r="V72" i="5"/>
  <c r="U72" i="5"/>
  <c r="T72" i="5"/>
  <c r="BD71" i="5"/>
  <c r="BC71" i="5"/>
  <c r="BB71" i="5"/>
  <c r="BA71" i="5"/>
  <c r="AZ71" i="5"/>
  <c r="AY71" i="5"/>
  <c r="AX71" i="5"/>
  <c r="AW71" i="5"/>
  <c r="AP71" i="5"/>
  <c r="AO71" i="5"/>
  <c r="AN71" i="5"/>
  <c r="AM71" i="5"/>
  <c r="AL71" i="5"/>
  <c r="AK71" i="5"/>
  <c r="AJ71" i="5"/>
  <c r="AI71" i="5"/>
  <c r="AA71" i="5"/>
  <c r="Z71" i="5"/>
  <c r="Y71" i="5"/>
  <c r="X71" i="5"/>
  <c r="W71" i="5"/>
  <c r="V71" i="5"/>
  <c r="U71" i="5"/>
  <c r="T71" i="5"/>
  <c r="BD70" i="5"/>
  <c r="BC70" i="5"/>
  <c r="BB70" i="5"/>
  <c r="BA70" i="5"/>
  <c r="AZ70" i="5"/>
  <c r="AY70" i="5"/>
  <c r="AX70" i="5"/>
  <c r="AW70" i="5"/>
  <c r="AP70" i="5"/>
  <c r="AO70" i="5"/>
  <c r="AN70" i="5"/>
  <c r="AM70" i="5"/>
  <c r="AL70" i="5"/>
  <c r="AK70" i="5"/>
  <c r="AJ70" i="5"/>
  <c r="AI70" i="5"/>
  <c r="AA70" i="5"/>
  <c r="Z70" i="5"/>
  <c r="Y70" i="5"/>
  <c r="X70" i="5"/>
  <c r="W70" i="5"/>
  <c r="V70" i="5"/>
  <c r="U70" i="5"/>
  <c r="T70" i="5"/>
  <c r="BD69" i="5"/>
  <c r="BC69" i="5"/>
  <c r="BB69" i="5"/>
  <c r="BA69" i="5"/>
  <c r="AZ69" i="5"/>
  <c r="AY69" i="5"/>
  <c r="AX69" i="5"/>
  <c r="AW69" i="5"/>
  <c r="AP69" i="5"/>
  <c r="AO69" i="5"/>
  <c r="AN69" i="5"/>
  <c r="AM69" i="5"/>
  <c r="AL69" i="5"/>
  <c r="AK69" i="5"/>
  <c r="AJ69" i="5"/>
  <c r="AI69" i="5"/>
  <c r="AA69" i="5"/>
  <c r="Z69" i="5"/>
  <c r="Y69" i="5"/>
  <c r="X69" i="5"/>
  <c r="W69" i="5"/>
  <c r="V69" i="5"/>
  <c r="U69" i="5"/>
  <c r="T69" i="5"/>
  <c r="BD68" i="5"/>
  <c r="BC68" i="5"/>
  <c r="BB68" i="5"/>
  <c r="BA68" i="5"/>
  <c r="AZ68" i="5"/>
  <c r="AY68" i="5"/>
  <c r="AX68" i="5"/>
  <c r="AW68" i="5"/>
  <c r="AP68" i="5"/>
  <c r="AO68" i="5"/>
  <c r="AN68" i="5"/>
  <c r="AM68" i="5"/>
  <c r="AL68" i="5"/>
  <c r="AK68" i="5"/>
  <c r="AJ68" i="5"/>
  <c r="AI68" i="5"/>
  <c r="AA68" i="5"/>
  <c r="Z68" i="5"/>
  <c r="Y68" i="5"/>
  <c r="X68" i="5"/>
  <c r="W68" i="5"/>
  <c r="V68" i="5"/>
  <c r="U68" i="5"/>
  <c r="T68" i="5"/>
  <c r="BD67" i="5"/>
  <c r="BC67" i="5"/>
  <c r="BB67" i="5"/>
  <c r="BA67" i="5"/>
  <c r="AZ67" i="5"/>
  <c r="AY67" i="5"/>
  <c r="AX67" i="5"/>
  <c r="AW67" i="5"/>
  <c r="AP67" i="5"/>
  <c r="AO67" i="5"/>
  <c r="AN67" i="5"/>
  <c r="AM67" i="5"/>
  <c r="AL67" i="5"/>
  <c r="AK67" i="5"/>
  <c r="AJ67" i="5"/>
  <c r="AI67" i="5"/>
  <c r="AA67" i="5"/>
  <c r="Z67" i="5"/>
  <c r="Y67" i="5"/>
  <c r="X67" i="5"/>
  <c r="W67" i="5"/>
  <c r="V67" i="5"/>
  <c r="U67" i="5"/>
  <c r="T67" i="5"/>
  <c r="BD66" i="5"/>
  <c r="BC66" i="5"/>
  <c r="BB66" i="5"/>
  <c r="BA66" i="5"/>
  <c r="AZ66" i="5"/>
  <c r="AY66" i="5"/>
  <c r="AX66" i="5"/>
  <c r="AW66" i="5"/>
  <c r="AP66" i="5"/>
  <c r="AO66" i="5"/>
  <c r="AN66" i="5"/>
  <c r="AM66" i="5"/>
  <c r="AL66" i="5"/>
  <c r="AK66" i="5"/>
  <c r="AJ66" i="5"/>
  <c r="AI66" i="5"/>
  <c r="AA66" i="5"/>
  <c r="Z66" i="5"/>
  <c r="Y66" i="5"/>
  <c r="X66" i="5"/>
  <c r="W66" i="5"/>
  <c r="V66" i="5"/>
  <c r="U66" i="5"/>
  <c r="T66" i="5"/>
  <c r="BD65" i="5"/>
  <c r="BC65" i="5"/>
  <c r="BB65" i="5"/>
  <c r="BA65" i="5"/>
  <c r="AZ65" i="5"/>
  <c r="AY65" i="5"/>
  <c r="AX65" i="5"/>
  <c r="AW65" i="5"/>
  <c r="AP65" i="5"/>
  <c r="AO65" i="5"/>
  <c r="AN65" i="5"/>
  <c r="AM65" i="5"/>
  <c r="AL65" i="5"/>
  <c r="AK65" i="5"/>
  <c r="AJ65" i="5"/>
  <c r="AI65" i="5"/>
  <c r="AA65" i="5"/>
  <c r="Z65" i="5"/>
  <c r="Y65" i="5"/>
  <c r="X65" i="5"/>
  <c r="W65" i="5"/>
  <c r="V65" i="5"/>
  <c r="U65" i="5"/>
  <c r="T65" i="5"/>
  <c r="BD64" i="5"/>
  <c r="BC64" i="5"/>
  <c r="BB64" i="5"/>
  <c r="BA64" i="5"/>
  <c r="AZ64" i="5"/>
  <c r="AY64" i="5"/>
  <c r="AX64" i="5"/>
  <c r="AW64" i="5"/>
  <c r="AP64" i="5"/>
  <c r="AO64" i="5"/>
  <c r="AN64" i="5"/>
  <c r="AM64" i="5"/>
  <c r="AL64" i="5"/>
  <c r="AK64" i="5"/>
  <c r="AJ64" i="5"/>
  <c r="AI64" i="5"/>
  <c r="AA64" i="5"/>
  <c r="Z64" i="5"/>
  <c r="Y64" i="5"/>
  <c r="X64" i="5"/>
  <c r="W64" i="5"/>
  <c r="V64" i="5"/>
  <c r="U64" i="5"/>
  <c r="T64" i="5"/>
  <c r="BD63" i="5"/>
  <c r="BC63" i="5"/>
  <c r="BB63" i="5"/>
  <c r="BA63" i="5"/>
  <c r="AZ63" i="5"/>
  <c r="AY63" i="5"/>
  <c r="AX63" i="5"/>
  <c r="AW63" i="5"/>
  <c r="AP63" i="5"/>
  <c r="AO63" i="5"/>
  <c r="AN63" i="5"/>
  <c r="AM63" i="5"/>
  <c r="AL63" i="5"/>
  <c r="AK63" i="5"/>
  <c r="AJ63" i="5"/>
  <c r="AI63" i="5"/>
  <c r="AA63" i="5"/>
  <c r="Z63" i="5"/>
  <c r="Y63" i="5"/>
  <c r="X63" i="5"/>
  <c r="W63" i="5"/>
  <c r="V63" i="5"/>
  <c r="U63" i="5"/>
  <c r="T63" i="5"/>
  <c r="BD62" i="5"/>
  <c r="BC62" i="5"/>
  <c r="BB62" i="5"/>
  <c r="BA62" i="5"/>
  <c r="AZ62" i="5"/>
  <c r="AY62" i="5"/>
  <c r="AX62" i="5"/>
  <c r="AW62" i="5"/>
  <c r="AP62" i="5"/>
  <c r="AO62" i="5"/>
  <c r="AN62" i="5"/>
  <c r="AM62" i="5"/>
  <c r="AL62" i="5"/>
  <c r="AK62" i="5"/>
  <c r="AJ62" i="5"/>
  <c r="AI62" i="5"/>
  <c r="AA62" i="5"/>
  <c r="Z62" i="5"/>
  <c r="Y62" i="5"/>
  <c r="X62" i="5"/>
  <c r="W62" i="5"/>
  <c r="V62" i="5"/>
  <c r="U62" i="5"/>
  <c r="T62" i="5"/>
  <c r="BD61" i="5"/>
  <c r="BC61" i="5"/>
  <c r="BB61" i="5"/>
  <c r="BA61" i="5"/>
  <c r="AZ61" i="5"/>
  <c r="AY61" i="5"/>
  <c r="AX61" i="5"/>
  <c r="AW61" i="5"/>
  <c r="AP61" i="5"/>
  <c r="AO61" i="5"/>
  <c r="AN61" i="5"/>
  <c r="AM61" i="5"/>
  <c r="AL61" i="5"/>
  <c r="AK61" i="5"/>
  <c r="AJ61" i="5"/>
  <c r="AI61" i="5"/>
  <c r="AA61" i="5"/>
  <c r="Z61" i="5"/>
  <c r="Y61" i="5"/>
  <c r="X61" i="5"/>
  <c r="W61" i="5"/>
  <c r="V61" i="5"/>
  <c r="U61" i="5"/>
  <c r="T61" i="5"/>
  <c r="BD60" i="5"/>
  <c r="BC60" i="5"/>
  <c r="BB60" i="5"/>
  <c r="BA60" i="5"/>
  <c r="AZ60" i="5"/>
  <c r="AY60" i="5"/>
  <c r="AX60" i="5"/>
  <c r="AW60" i="5"/>
  <c r="AP60" i="5"/>
  <c r="AO60" i="5"/>
  <c r="AN60" i="5"/>
  <c r="AM60" i="5"/>
  <c r="AL60" i="5"/>
  <c r="AK60" i="5"/>
  <c r="AJ60" i="5"/>
  <c r="AI60" i="5"/>
  <c r="AA60" i="5"/>
  <c r="Z60" i="5"/>
  <c r="Y60" i="5"/>
  <c r="X60" i="5"/>
  <c r="W60" i="5"/>
  <c r="V60" i="5"/>
  <c r="U60" i="5"/>
  <c r="T60" i="5"/>
  <c r="BD59" i="5"/>
  <c r="BC59" i="5"/>
  <c r="BB59" i="5"/>
  <c r="BA59" i="5"/>
  <c r="AZ59" i="5"/>
  <c r="AY59" i="5"/>
  <c r="AX59" i="5"/>
  <c r="AW59" i="5"/>
  <c r="AP59" i="5"/>
  <c r="AO59" i="5"/>
  <c r="AN59" i="5"/>
  <c r="AM59" i="5"/>
  <c r="AL59" i="5"/>
  <c r="AK59" i="5"/>
  <c r="AJ59" i="5"/>
  <c r="AI59" i="5"/>
  <c r="AA59" i="5"/>
  <c r="Z59" i="5"/>
  <c r="Y59" i="5"/>
  <c r="X59" i="5"/>
  <c r="W59" i="5"/>
  <c r="V59" i="5"/>
  <c r="U59" i="5"/>
  <c r="T59" i="5"/>
  <c r="BD58" i="5"/>
  <c r="BC58" i="5"/>
  <c r="BB58" i="5"/>
  <c r="BA58" i="5"/>
  <c r="AZ58" i="5"/>
  <c r="AY58" i="5"/>
  <c r="AX58" i="5"/>
  <c r="AW58" i="5"/>
  <c r="AP58" i="5"/>
  <c r="AO58" i="5"/>
  <c r="AN58" i="5"/>
  <c r="AM58" i="5"/>
  <c r="AL58" i="5"/>
  <c r="AK58" i="5"/>
  <c r="AJ58" i="5"/>
  <c r="AI58" i="5"/>
  <c r="AA58" i="5"/>
  <c r="Z58" i="5"/>
  <c r="Y58" i="5"/>
  <c r="X58" i="5"/>
  <c r="W58" i="5"/>
  <c r="V58" i="5"/>
  <c r="U58" i="5"/>
  <c r="T58" i="5"/>
  <c r="BD57" i="5"/>
  <c r="BC57" i="5"/>
  <c r="BB57" i="5"/>
  <c r="BA57" i="5"/>
  <c r="AZ57" i="5"/>
  <c r="AY57" i="5"/>
  <c r="AX57" i="5"/>
  <c r="AW57" i="5"/>
  <c r="AP57" i="5"/>
  <c r="AO57" i="5"/>
  <c r="AN57" i="5"/>
  <c r="AM57" i="5"/>
  <c r="AL57" i="5"/>
  <c r="AK57" i="5"/>
  <c r="AJ57" i="5"/>
  <c r="AI57" i="5"/>
  <c r="AA57" i="5"/>
  <c r="Z57" i="5"/>
  <c r="Y57" i="5"/>
  <c r="X57" i="5"/>
  <c r="W57" i="5"/>
  <c r="V57" i="5"/>
  <c r="U57" i="5"/>
  <c r="T57" i="5"/>
  <c r="BD56" i="5"/>
  <c r="BC56" i="5"/>
  <c r="BB56" i="5"/>
  <c r="BA56" i="5"/>
  <c r="AZ56" i="5"/>
  <c r="AY56" i="5"/>
  <c r="AX56" i="5"/>
  <c r="AW56" i="5"/>
  <c r="AP56" i="5"/>
  <c r="AO56" i="5"/>
  <c r="AN56" i="5"/>
  <c r="AM56" i="5"/>
  <c r="AL56" i="5"/>
  <c r="AK56" i="5"/>
  <c r="AJ56" i="5"/>
  <c r="AI56" i="5"/>
  <c r="AA56" i="5"/>
  <c r="Z56" i="5"/>
  <c r="Y56" i="5"/>
  <c r="X56" i="5"/>
  <c r="W56" i="5"/>
  <c r="V56" i="5"/>
  <c r="U56" i="5"/>
  <c r="T56" i="5"/>
  <c r="BD55" i="5"/>
  <c r="BC55" i="5"/>
  <c r="BB55" i="5"/>
  <c r="BA55" i="5"/>
  <c r="AZ55" i="5"/>
  <c r="AY55" i="5"/>
  <c r="AX55" i="5"/>
  <c r="AW55" i="5"/>
  <c r="AP55" i="5"/>
  <c r="AO55" i="5"/>
  <c r="AN55" i="5"/>
  <c r="AM55" i="5"/>
  <c r="AL55" i="5"/>
  <c r="AK55" i="5"/>
  <c r="AJ55" i="5"/>
  <c r="AI55" i="5"/>
  <c r="AA55" i="5"/>
  <c r="Z55" i="5"/>
  <c r="Y55" i="5"/>
  <c r="X55" i="5"/>
  <c r="W55" i="5"/>
  <c r="V55" i="5"/>
  <c r="U55" i="5"/>
  <c r="T55" i="5"/>
  <c r="BD54" i="5"/>
  <c r="BC54" i="5"/>
  <c r="BB54" i="5"/>
  <c r="BA54" i="5"/>
  <c r="AZ54" i="5"/>
  <c r="AY54" i="5"/>
  <c r="AX54" i="5"/>
  <c r="AW54" i="5"/>
  <c r="AP54" i="5"/>
  <c r="AO54" i="5"/>
  <c r="AN54" i="5"/>
  <c r="AM54" i="5"/>
  <c r="AL54" i="5"/>
  <c r="AK54" i="5"/>
  <c r="AJ54" i="5"/>
  <c r="AI54" i="5"/>
  <c r="AA54" i="5"/>
  <c r="Z54" i="5"/>
  <c r="Y54" i="5"/>
  <c r="X54" i="5"/>
  <c r="W54" i="5"/>
  <c r="V54" i="5"/>
  <c r="U54" i="5"/>
  <c r="T54" i="5"/>
  <c r="BD53" i="5"/>
  <c r="BC53" i="5"/>
  <c r="BB53" i="5"/>
  <c r="BA53" i="5"/>
  <c r="AZ53" i="5"/>
  <c r="AY53" i="5"/>
  <c r="AX53" i="5"/>
  <c r="AW53" i="5"/>
  <c r="AP53" i="5"/>
  <c r="AO53" i="5"/>
  <c r="AN53" i="5"/>
  <c r="AM53" i="5"/>
  <c r="AL53" i="5"/>
  <c r="AK53" i="5"/>
  <c r="AJ53" i="5"/>
  <c r="AI53" i="5"/>
  <c r="AA53" i="5"/>
  <c r="Z53" i="5"/>
  <c r="Y53" i="5"/>
  <c r="X53" i="5"/>
  <c r="W53" i="5"/>
  <c r="V53" i="5"/>
  <c r="U53" i="5"/>
  <c r="T53" i="5"/>
  <c r="BD52" i="5"/>
  <c r="BC52" i="5"/>
  <c r="BB52" i="5"/>
  <c r="BA52" i="5"/>
  <c r="AZ52" i="5"/>
  <c r="AY52" i="5"/>
  <c r="AX52" i="5"/>
  <c r="AW52" i="5"/>
  <c r="AP52" i="5"/>
  <c r="AO52" i="5"/>
  <c r="AN52" i="5"/>
  <c r="AM52" i="5"/>
  <c r="AL52" i="5"/>
  <c r="AK52" i="5"/>
  <c r="AJ52" i="5"/>
  <c r="AI52" i="5"/>
  <c r="AA52" i="5"/>
  <c r="Z52" i="5"/>
  <c r="Y52" i="5"/>
  <c r="X52" i="5"/>
  <c r="W52" i="5"/>
  <c r="V52" i="5"/>
  <c r="U52" i="5"/>
  <c r="T52" i="5"/>
  <c r="BD51" i="5"/>
  <c r="BC51" i="5"/>
  <c r="BB51" i="5"/>
  <c r="BA51" i="5"/>
  <c r="AZ51" i="5"/>
  <c r="AY51" i="5"/>
  <c r="AX51" i="5"/>
  <c r="AW51" i="5"/>
  <c r="AP51" i="5"/>
  <c r="AO51" i="5"/>
  <c r="AN51" i="5"/>
  <c r="AM51" i="5"/>
  <c r="AL51" i="5"/>
  <c r="AK51" i="5"/>
  <c r="AJ51" i="5"/>
  <c r="AI51" i="5"/>
  <c r="AA51" i="5"/>
  <c r="Z51" i="5"/>
  <c r="Y51" i="5"/>
  <c r="X51" i="5"/>
  <c r="W51" i="5"/>
  <c r="V51" i="5"/>
  <c r="U51" i="5"/>
  <c r="T51" i="5"/>
  <c r="BD50" i="5"/>
  <c r="BC50" i="5"/>
  <c r="BB50" i="5"/>
  <c r="BA50" i="5"/>
  <c r="AZ50" i="5"/>
  <c r="AY50" i="5"/>
  <c r="AX50" i="5"/>
  <c r="AW50" i="5"/>
  <c r="AP50" i="5"/>
  <c r="AO50" i="5"/>
  <c r="AN50" i="5"/>
  <c r="AM50" i="5"/>
  <c r="AL50" i="5"/>
  <c r="AK50" i="5"/>
  <c r="AJ50" i="5"/>
  <c r="AI50" i="5"/>
  <c r="AA50" i="5"/>
  <c r="Z50" i="5"/>
  <c r="Y50" i="5"/>
  <c r="X50" i="5"/>
  <c r="W50" i="5"/>
  <c r="V50" i="5"/>
  <c r="U50" i="5"/>
  <c r="T50" i="5"/>
  <c r="BD49" i="5"/>
  <c r="BC49" i="5"/>
  <c r="BB49" i="5"/>
  <c r="BA49" i="5"/>
  <c r="AZ49" i="5"/>
  <c r="AY49" i="5"/>
  <c r="AX49" i="5"/>
  <c r="AW49" i="5"/>
  <c r="AP49" i="5"/>
  <c r="AO49" i="5"/>
  <c r="AN49" i="5"/>
  <c r="AM49" i="5"/>
  <c r="AL49" i="5"/>
  <c r="AK49" i="5"/>
  <c r="AJ49" i="5"/>
  <c r="AI49" i="5"/>
  <c r="AA49" i="5"/>
  <c r="Z49" i="5"/>
  <c r="Y49" i="5"/>
  <c r="X49" i="5"/>
  <c r="W49" i="5"/>
  <c r="V49" i="5"/>
  <c r="U49" i="5"/>
  <c r="T49" i="5"/>
  <c r="BD48" i="5"/>
  <c r="BC48" i="5"/>
  <c r="BB48" i="5"/>
  <c r="BA48" i="5"/>
  <c r="AZ48" i="5"/>
  <c r="AY48" i="5"/>
  <c r="AX48" i="5"/>
  <c r="AW48" i="5"/>
  <c r="AP48" i="5"/>
  <c r="AO48" i="5"/>
  <c r="AN48" i="5"/>
  <c r="AM48" i="5"/>
  <c r="AL48" i="5"/>
  <c r="AK48" i="5"/>
  <c r="AJ48" i="5"/>
  <c r="AI48" i="5"/>
  <c r="AA48" i="5"/>
  <c r="Z48" i="5"/>
  <c r="Y48" i="5"/>
  <c r="X48" i="5"/>
  <c r="W48" i="5"/>
  <c r="V48" i="5"/>
  <c r="U48" i="5"/>
  <c r="T48" i="5"/>
  <c r="BD47" i="5"/>
  <c r="BC47" i="5"/>
  <c r="BB47" i="5"/>
  <c r="BA47" i="5"/>
  <c r="AZ47" i="5"/>
  <c r="AY47" i="5"/>
  <c r="AX47" i="5"/>
  <c r="AW47" i="5"/>
  <c r="AP47" i="5"/>
  <c r="AO47" i="5"/>
  <c r="AN47" i="5"/>
  <c r="AM47" i="5"/>
  <c r="AL47" i="5"/>
  <c r="AK47" i="5"/>
  <c r="AJ47" i="5"/>
  <c r="AI47" i="5"/>
  <c r="AA47" i="5"/>
  <c r="Z47" i="5"/>
  <c r="Y47" i="5"/>
  <c r="X47" i="5"/>
  <c r="W47" i="5"/>
  <c r="V47" i="5"/>
  <c r="U47" i="5"/>
  <c r="T47" i="5"/>
  <c r="BD46" i="5"/>
  <c r="BC46" i="5"/>
  <c r="BB46" i="5"/>
  <c r="BA46" i="5"/>
  <c r="AZ46" i="5"/>
  <c r="AY46" i="5"/>
  <c r="AX46" i="5"/>
  <c r="AW46" i="5"/>
  <c r="AP46" i="5"/>
  <c r="AO46" i="5"/>
  <c r="AN46" i="5"/>
  <c r="AM46" i="5"/>
  <c r="AL46" i="5"/>
  <c r="AK46" i="5"/>
  <c r="AJ46" i="5"/>
  <c r="AI46" i="5"/>
  <c r="AA46" i="5"/>
  <c r="Z46" i="5"/>
  <c r="Y46" i="5"/>
  <c r="X46" i="5"/>
  <c r="W46" i="5"/>
  <c r="V46" i="5"/>
  <c r="U46" i="5"/>
  <c r="T46" i="5"/>
  <c r="BD45" i="5"/>
  <c r="BC45" i="5"/>
  <c r="BB45" i="5"/>
  <c r="BA45" i="5"/>
  <c r="AZ45" i="5"/>
  <c r="AY45" i="5"/>
  <c r="AX45" i="5"/>
  <c r="AW45" i="5"/>
  <c r="AP45" i="5"/>
  <c r="AO45" i="5"/>
  <c r="AN45" i="5"/>
  <c r="AM45" i="5"/>
  <c r="AL45" i="5"/>
  <c r="AK45" i="5"/>
  <c r="AJ45" i="5"/>
  <c r="AI45" i="5"/>
  <c r="AA45" i="5"/>
  <c r="Z45" i="5"/>
  <c r="Y45" i="5"/>
  <c r="X45" i="5"/>
  <c r="W45" i="5"/>
  <c r="V45" i="5"/>
  <c r="U45" i="5"/>
  <c r="T45" i="5"/>
  <c r="BD44" i="5"/>
  <c r="BC44" i="5"/>
  <c r="BB44" i="5"/>
  <c r="BA44" i="5"/>
  <c r="AZ44" i="5"/>
  <c r="AY44" i="5"/>
  <c r="AX44" i="5"/>
  <c r="AW44" i="5"/>
  <c r="AP44" i="5"/>
  <c r="AO44" i="5"/>
  <c r="AN44" i="5"/>
  <c r="AM44" i="5"/>
  <c r="AL44" i="5"/>
  <c r="AK44" i="5"/>
  <c r="AJ44" i="5"/>
  <c r="AI44" i="5"/>
  <c r="AA44" i="5"/>
  <c r="Z44" i="5"/>
  <c r="Y44" i="5"/>
  <c r="X44" i="5"/>
  <c r="W44" i="5"/>
  <c r="V44" i="5"/>
  <c r="U44" i="5"/>
  <c r="T44" i="5"/>
  <c r="BD43" i="5"/>
  <c r="BC43" i="5"/>
  <c r="BB43" i="5"/>
  <c r="BA43" i="5"/>
  <c r="AZ43" i="5"/>
  <c r="AY43" i="5"/>
  <c r="AX43" i="5"/>
  <c r="AW43" i="5"/>
  <c r="AP43" i="5"/>
  <c r="AO43" i="5"/>
  <c r="AN43" i="5"/>
  <c r="AM43" i="5"/>
  <c r="AL43" i="5"/>
  <c r="AK43" i="5"/>
  <c r="AJ43" i="5"/>
  <c r="AI43" i="5"/>
  <c r="AA43" i="5"/>
  <c r="Z43" i="5"/>
  <c r="Y43" i="5"/>
  <c r="X43" i="5"/>
  <c r="W43" i="5"/>
  <c r="V43" i="5"/>
  <c r="U43" i="5"/>
  <c r="T43" i="5"/>
  <c r="BD42" i="5"/>
  <c r="BC42" i="5"/>
  <c r="BB42" i="5"/>
  <c r="BA42" i="5"/>
  <c r="AZ42" i="5"/>
  <c r="AY42" i="5"/>
  <c r="AX42" i="5"/>
  <c r="AW42" i="5"/>
  <c r="AP42" i="5"/>
  <c r="AO42" i="5"/>
  <c r="AN42" i="5"/>
  <c r="AM42" i="5"/>
  <c r="AL42" i="5"/>
  <c r="AK42" i="5"/>
  <c r="AJ42" i="5"/>
  <c r="AI42" i="5"/>
  <c r="AA42" i="5"/>
  <c r="Z42" i="5"/>
  <c r="Y42" i="5"/>
  <c r="X42" i="5"/>
  <c r="W42" i="5"/>
  <c r="V42" i="5"/>
  <c r="U42" i="5"/>
  <c r="T42" i="5"/>
  <c r="BD41" i="5"/>
  <c r="BC41" i="5"/>
  <c r="BB41" i="5"/>
  <c r="BA41" i="5"/>
  <c r="AZ41" i="5"/>
  <c r="AY41" i="5"/>
  <c r="AX41" i="5"/>
  <c r="AW41" i="5"/>
  <c r="AP41" i="5"/>
  <c r="AO41" i="5"/>
  <c r="AN41" i="5"/>
  <c r="AM41" i="5"/>
  <c r="AL41" i="5"/>
  <c r="AK41" i="5"/>
  <c r="AJ41" i="5"/>
  <c r="AI41" i="5"/>
  <c r="AA41" i="5"/>
  <c r="Z41" i="5"/>
  <c r="Y41" i="5"/>
  <c r="X41" i="5"/>
  <c r="W41" i="5"/>
  <c r="V41" i="5"/>
  <c r="U41" i="5"/>
  <c r="T41" i="5"/>
  <c r="BD40" i="5"/>
  <c r="BC40" i="5"/>
  <c r="BB40" i="5"/>
  <c r="BA40" i="5"/>
  <c r="AZ40" i="5"/>
  <c r="AY40" i="5"/>
  <c r="AX40" i="5"/>
  <c r="AW40" i="5"/>
  <c r="AP40" i="5"/>
  <c r="AO40" i="5"/>
  <c r="AN40" i="5"/>
  <c r="AM40" i="5"/>
  <c r="AL40" i="5"/>
  <c r="AK40" i="5"/>
  <c r="AJ40" i="5"/>
  <c r="AI40" i="5"/>
  <c r="AA40" i="5"/>
  <c r="Z40" i="5"/>
  <c r="Y40" i="5"/>
  <c r="X40" i="5"/>
  <c r="W40" i="5"/>
  <c r="V40" i="5"/>
  <c r="U40" i="5"/>
  <c r="T40" i="5"/>
  <c r="BD39" i="5"/>
  <c r="BC39" i="5"/>
  <c r="BB39" i="5"/>
  <c r="BA39" i="5"/>
  <c r="AZ39" i="5"/>
  <c r="AY39" i="5"/>
  <c r="AX39" i="5"/>
  <c r="AW39" i="5"/>
  <c r="AP39" i="5"/>
  <c r="AO39" i="5"/>
  <c r="AN39" i="5"/>
  <c r="AM39" i="5"/>
  <c r="AL39" i="5"/>
  <c r="AK39" i="5"/>
  <c r="AJ39" i="5"/>
  <c r="AI39" i="5"/>
  <c r="AA39" i="5"/>
  <c r="Z39" i="5"/>
  <c r="Y39" i="5"/>
  <c r="X39" i="5"/>
  <c r="W39" i="5"/>
  <c r="V39" i="5"/>
  <c r="U39" i="5"/>
  <c r="T39" i="5"/>
  <c r="BD38" i="5"/>
  <c r="BC38" i="5"/>
  <c r="BB38" i="5"/>
  <c r="BA38" i="5"/>
  <c r="AZ38" i="5"/>
  <c r="AY38" i="5"/>
  <c r="AX38" i="5"/>
  <c r="AW38" i="5"/>
  <c r="AP38" i="5"/>
  <c r="AO38" i="5"/>
  <c r="AN38" i="5"/>
  <c r="AM38" i="5"/>
  <c r="AL38" i="5"/>
  <c r="AK38" i="5"/>
  <c r="AJ38" i="5"/>
  <c r="AI38" i="5"/>
  <c r="AA38" i="5"/>
  <c r="Z38" i="5"/>
  <c r="Y38" i="5"/>
  <c r="X38" i="5"/>
  <c r="W38" i="5"/>
  <c r="V38" i="5"/>
  <c r="U38" i="5"/>
  <c r="T38" i="5"/>
  <c r="BD37" i="5"/>
  <c r="BC37" i="5"/>
  <c r="BB37" i="5"/>
  <c r="BA37" i="5"/>
  <c r="AZ37" i="5"/>
  <c r="AY37" i="5"/>
  <c r="AX37" i="5"/>
  <c r="AW37" i="5"/>
  <c r="AP37" i="5"/>
  <c r="AO37" i="5"/>
  <c r="AN37" i="5"/>
  <c r="AM37" i="5"/>
  <c r="AL37" i="5"/>
  <c r="AK37" i="5"/>
  <c r="AJ37" i="5"/>
  <c r="AI37" i="5"/>
  <c r="AA37" i="5"/>
  <c r="Z37" i="5"/>
  <c r="Y37" i="5"/>
  <c r="X37" i="5"/>
  <c r="W37" i="5"/>
  <c r="V37" i="5"/>
  <c r="U37" i="5"/>
  <c r="T37" i="5"/>
  <c r="BD36" i="5"/>
  <c r="BC36" i="5"/>
  <c r="BB36" i="5"/>
  <c r="BA36" i="5"/>
  <c r="AZ36" i="5"/>
  <c r="AY36" i="5"/>
  <c r="AX36" i="5"/>
  <c r="AW36" i="5"/>
  <c r="AP36" i="5"/>
  <c r="AO36" i="5"/>
  <c r="AN36" i="5"/>
  <c r="AM36" i="5"/>
  <c r="AL36" i="5"/>
  <c r="AK36" i="5"/>
  <c r="AJ36" i="5"/>
  <c r="AI36" i="5"/>
  <c r="AA36" i="5"/>
  <c r="Z36" i="5"/>
  <c r="Y36" i="5"/>
  <c r="X36" i="5"/>
  <c r="W36" i="5"/>
  <c r="V36" i="5"/>
  <c r="U36" i="5"/>
  <c r="T36" i="5"/>
  <c r="CG35" i="5"/>
  <c r="CF35" i="5"/>
  <c r="CE35" i="5"/>
  <c r="CD35" i="5"/>
  <c r="CC35" i="5"/>
  <c r="CB35" i="5"/>
  <c r="CA35" i="5"/>
  <c r="BZ35" i="5"/>
  <c r="BS35" i="5"/>
  <c r="BR35" i="5"/>
  <c r="BQ35" i="5"/>
  <c r="BP35" i="5"/>
  <c r="BO35" i="5"/>
  <c r="BN35" i="5"/>
  <c r="BM35" i="5"/>
  <c r="BL35" i="5"/>
  <c r="BD35" i="5"/>
  <c r="BC35" i="5"/>
  <c r="BB35" i="5"/>
  <c r="BA35" i="5"/>
  <c r="AZ35" i="5"/>
  <c r="AY35" i="5"/>
  <c r="AX35" i="5"/>
  <c r="AW35" i="5"/>
  <c r="AP35" i="5"/>
  <c r="AO35" i="5"/>
  <c r="AN35" i="5"/>
  <c r="AM35" i="5"/>
  <c r="AL35" i="5"/>
  <c r="AK35" i="5"/>
  <c r="AJ35" i="5"/>
  <c r="AI35" i="5"/>
  <c r="AA35" i="5"/>
  <c r="Z35" i="5"/>
  <c r="Y35" i="5"/>
  <c r="X35" i="5"/>
  <c r="W35" i="5"/>
  <c r="V35" i="5"/>
  <c r="U35" i="5"/>
  <c r="T35" i="5"/>
  <c r="CG34" i="5"/>
  <c r="CF34" i="5"/>
  <c r="CE34" i="5"/>
  <c r="CD34" i="5"/>
  <c r="CC34" i="5"/>
  <c r="CB34" i="5"/>
  <c r="CA34" i="5"/>
  <c r="BZ34" i="5"/>
  <c r="BS34" i="5"/>
  <c r="BR34" i="5"/>
  <c r="BQ34" i="5"/>
  <c r="BP34" i="5"/>
  <c r="BO34" i="5"/>
  <c r="BN34" i="5"/>
  <c r="BM34" i="5"/>
  <c r="BL34" i="5"/>
  <c r="BD34" i="5"/>
  <c r="BC34" i="5"/>
  <c r="BB34" i="5"/>
  <c r="BA34" i="5"/>
  <c r="AZ34" i="5"/>
  <c r="AY34" i="5"/>
  <c r="AX34" i="5"/>
  <c r="AW34" i="5"/>
  <c r="AP34" i="5"/>
  <c r="AO34" i="5"/>
  <c r="AN34" i="5"/>
  <c r="AM34" i="5"/>
  <c r="AL34" i="5"/>
  <c r="AK34" i="5"/>
  <c r="AJ34" i="5"/>
  <c r="AI34" i="5"/>
  <c r="AA34" i="5"/>
  <c r="Z34" i="5"/>
  <c r="Y34" i="5"/>
  <c r="X34" i="5"/>
  <c r="W34" i="5"/>
  <c r="V34" i="5"/>
  <c r="U34" i="5"/>
  <c r="T34" i="5"/>
  <c r="CG33" i="5"/>
  <c r="CF33" i="5"/>
  <c r="CE33" i="5"/>
  <c r="CD33" i="5"/>
  <c r="CC33" i="5"/>
  <c r="CB33" i="5"/>
  <c r="CA33" i="5"/>
  <c r="BZ33" i="5"/>
  <c r="BS33" i="5"/>
  <c r="BR33" i="5"/>
  <c r="BQ33" i="5"/>
  <c r="BP33" i="5"/>
  <c r="BO33" i="5"/>
  <c r="BN33" i="5"/>
  <c r="BM33" i="5"/>
  <c r="BL33" i="5"/>
  <c r="BD33" i="5"/>
  <c r="BC33" i="5"/>
  <c r="BB33" i="5"/>
  <c r="BA33" i="5"/>
  <c r="AZ33" i="5"/>
  <c r="AY33" i="5"/>
  <c r="AX33" i="5"/>
  <c r="AW33" i="5"/>
  <c r="AP33" i="5"/>
  <c r="AO33" i="5"/>
  <c r="AN33" i="5"/>
  <c r="AM33" i="5"/>
  <c r="AL33" i="5"/>
  <c r="AK33" i="5"/>
  <c r="AJ33" i="5"/>
  <c r="AI33" i="5"/>
  <c r="AA33" i="5"/>
  <c r="Z33" i="5"/>
  <c r="Y33" i="5"/>
  <c r="X33" i="5"/>
  <c r="W33" i="5"/>
  <c r="V33" i="5"/>
  <c r="U33" i="5"/>
  <c r="T33" i="5"/>
  <c r="CG32" i="5"/>
  <c r="CF32" i="5"/>
  <c r="CE32" i="5"/>
  <c r="CD32" i="5"/>
  <c r="CC32" i="5"/>
  <c r="CB32" i="5"/>
  <c r="CA32" i="5"/>
  <c r="BZ32" i="5"/>
  <c r="BS32" i="5"/>
  <c r="BR32" i="5"/>
  <c r="BQ32" i="5"/>
  <c r="BP32" i="5"/>
  <c r="BO32" i="5"/>
  <c r="BN32" i="5"/>
  <c r="BM32" i="5"/>
  <c r="BL32" i="5"/>
  <c r="BD32" i="5"/>
  <c r="BC32" i="5"/>
  <c r="BB32" i="5"/>
  <c r="BA32" i="5"/>
  <c r="AZ32" i="5"/>
  <c r="AY32" i="5"/>
  <c r="AX32" i="5"/>
  <c r="AW32" i="5"/>
  <c r="AP32" i="5"/>
  <c r="AO32" i="5"/>
  <c r="AN32" i="5"/>
  <c r="AM32" i="5"/>
  <c r="AL32" i="5"/>
  <c r="AK32" i="5"/>
  <c r="AJ32" i="5"/>
  <c r="AI32" i="5"/>
  <c r="AA32" i="5"/>
  <c r="Z32" i="5"/>
  <c r="Y32" i="5"/>
  <c r="X32" i="5"/>
  <c r="W32" i="5"/>
  <c r="V32" i="5"/>
  <c r="U32" i="5"/>
  <c r="T32" i="5"/>
  <c r="CG31" i="5"/>
  <c r="CF31" i="5"/>
  <c r="CE31" i="5"/>
  <c r="CD31" i="5"/>
  <c r="CC31" i="5"/>
  <c r="CB31" i="5"/>
  <c r="CA31" i="5"/>
  <c r="BZ31" i="5"/>
  <c r="BS31" i="5"/>
  <c r="BR31" i="5"/>
  <c r="BQ31" i="5"/>
  <c r="BP31" i="5"/>
  <c r="BO31" i="5"/>
  <c r="BN31" i="5"/>
  <c r="BM31" i="5"/>
  <c r="BL31" i="5"/>
  <c r="BD31" i="5"/>
  <c r="BC31" i="5"/>
  <c r="BB31" i="5"/>
  <c r="BA31" i="5"/>
  <c r="AZ31" i="5"/>
  <c r="AY31" i="5"/>
  <c r="AX31" i="5"/>
  <c r="AW31" i="5"/>
  <c r="AP31" i="5"/>
  <c r="AO31" i="5"/>
  <c r="AN31" i="5"/>
  <c r="AM31" i="5"/>
  <c r="AL31" i="5"/>
  <c r="AK31" i="5"/>
  <c r="AJ31" i="5"/>
  <c r="AI31" i="5"/>
  <c r="AA31" i="5"/>
  <c r="Z31" i="5"/>
  <c r="Y31" i="5"/>
  <c r="X31" i="5"/>
  <c r="W31" i="5"/>
  <c r="V31" i="5"/>
  <c r="U31" i="5"/>
  <c r="T31" i="5"/>
  <c r="CG30" i="5"/>
  <c r="CF30" i="5"/>
  <c r="CE30" i="5"/>
  <c r="CD30" i="5"/>
  <c r="CC30" i="5"/>
  <c r="CB30" i="5"/>
  <c r="CA30" i="5"/>
  <c r="BZ30" i="5"/>
  <c r="BS30" i="5"/>
  <c r="BR30" i="5"/>
  <c r="BQ30" i="5"/>
  <c r="BP30" i="5"/>
  <c r="BO30" i="5"/>
  <c r="BN30" i="5"/>
  <c r="BM30" i="5"/>
  <c r="BL30" i="5"/>
  <c r="BD30" i="5"/>
  <c r="BC30" i="5"/>
  <c r="BB30" i="5"/>
  <c r="BA30" i="5"/>
  <c r="AZ30" i="5"/>
  <c r="AY30" i="5"/>
  <c r="AX30" i="5"/>
  <c r="AW30" i="5"/>
  <c r="AP30" i="5"/>
  <c r="AO30" i="5"/>
  <c r="AN30" i="5"/>
  <c r="AM30" i="5"/>
  <c r="AL30" i="5"/>
  <c r="AK30" i="5"/>
  <c r="AJ30" i="5"/>
  <c r="AI30" i="5"/>
  <c r="AA30" i="5"/>
  <c r="Z30" i="5"/>
  <c r="Y30" i="5"/>
  <c r="X30" i="5"/>
  <c r="W30" i="5"/>
  <c r="V30" i="5"/>
  <c r="U30" i="5"/>
  <c r="T30" i="5"/>
  <c r="CG29" i="5"/>
  <c r="CF29" i="5"/>
  <c r="CE29" i="5"/>
  <c r="CD29" i="5"/>
  <c r="CC29" i="5"/>
  <c r="CB29" i="5"/>
  <c r="CA29" i="5"/>
  <c r="BZ29" i="5"/>
  <c r="BS29" i="5"/>
  <c r="BR29" i="5"/>
  <c r="BQ29" i="5"/>
  <c r="BP29" i="5"/>
  <c r="BO29" i="5"/>
  <c r="BN29" i="5"/>
  <c r="BM29" i="5"/>
  <c r="BL29" i="5"/>
  <c r="BD29" i="5"/>
  <c r="BC29" i="5"/>
  <c r="BB29" i="5"/>
  <c r="BA29" i="5"/>
  <c r="AZ29" i="5"/>
  <c r="AY29" i="5"/>
  <c r="AX29" i="5"/>
  <c r="AW29" i="5"/>
  <c r="AP29" i="5"/>
  <c r="AO29" i="5"/>
  <c r="AN29" i="5"/>
  <c r="AM29" i="5"/>
  <c r="AL29" i="5"/>
  <c r="AK29" i="5"/>
  <c r="AJ29" i="5"/>
  <c r="AI29" i="5"/>
  <c r="AA29" i="5"/>
  <c r="Z29" i="5"/>
  <c r="Y29" i="5"/>
  <c r="X29" i="5"/>
  <c r="W29" i="5"/>
  <c r="V29" i="5"/>
  <c r="U29" i="5"/>
  <c r="T29" i="5"/>
  <c r="CG28" i="5"/>
  <c r="CF28" i="5"/>
  <c r="CE28" i="5"/>
  <c r="CD28" i="5"/>
  <c r="CC28" i="5"/>
  <c r="CB28" i="5"/>
  <c r="CA28" i="5"/>
  <c r="BZ28" i="5"/>
  <c r="BS28" i="5"/>
  <c r="BR28" i="5"/>
  <c r="BQ28" i="5"/>
  <c r="BP28" i="5"/>
  <c r="BO28" i="5"/>
  <c r="BN28" i="5"/>
  <c r="BM28" i="5"/>
  <c r="BL28" i="5"/>
  <c r="BD28" i="5"/>
  <c r="BC28" i="5"/>
  <c r="BB28" i="5"/>
  <c r="BA28" i="5"/>
  <c r="AZ28" i="5"/>
  <c r="AY28" i="5"/>
  <c r="AX28" i="5"/>
  <c r="AW28" i="5"/>
  <c r="AP28" i="5"/>
  <c r="AO28" i="5"/>
  <c r="AN28" i="5"/>
  <c r="AM28" i="5"/>
  <c r="AL28" i="5"/>
  <c r="AK28" i="5"/>
  <c r="AJ28" i="5"/>
  <c r="AI28" i="5"/>
  <c r="AA28" i="5"/>
  <c r="Z28" i="5"/>
  <c r="Y28" i="5"/>
  <c r="X28" i="5"/>
  <c r="W28" i="5"/>
  <c r="V28" i="5"/>
  <c r="U28" i="5"/>
  <c r="T28" i="5"/>
  <c r="CG27" i="5"/>
  <c r="CF27" i="5"/>
  <c r="CE27" i="5"/>
  <c r="CD27" i="5"/>
  <c r="CC27" i="5"/>
  <c r="CB27" i="5"/>
  <c r="CA27" i="5"/>
  <c r="BZ27" i="5"/>
  <c r="BS27" i="5"/>
  <c r="BR27" i="5"/>
  <c r="BQ27" i="5"/>
  <c r="BP27" i="5"/>
  <c r="BO27" i="5"/>
  <c r="BN27" i="5"/>
  <c r="BM27" i="5"/>
  <c r="BL27" i="5"/>
  <c r="BD27" i="5"/>
  <c r="BC27" i="5"/>
  <c r="BB27" i="5"/>
  <c r="BA27" i="5"/>
  <c r="AZ27" i="5"/>
  <c r="AY27" i="5"/>
  <c r="AX27" i="5"/>
  <c r="AW27" i="5"/>
  <c r="AP27" i="5"/>
  <c r="AO27" i="5"/>
  <c r="AN27" i="5"/>
  <c r="AM27" i="5"/>
  <c r="AL27" i="5"/>
  <c r="AK27" i="5"/>
  <c r="AJ27" i="5"/>
  <c r="AI27" i="5"/>
  <c r="AA27" i="5"/>
  <c r="Z27" i="5"/>
  <c r="Y27" i="5"/>
  <c r="X27" i="5"/>
  <c r="W27" i="5"/>
  <c r="V27" i="5"/>
  <c r="U27" i="5"/>
  <c r="T27" i="5"/>
  <c r="CG26" i="5"/>
  <c r="CF26" i="5"/>
  <c r="CE26" i="5"/>
  <c r="CD26" i="5"/>
  <c r="CC26" i="5"/>
  <c r="CB26" i="5"/>
  <c r="CA26" i="5"/>
  <c r="BZ26" i="5"/>
  <c r="BS26" i="5"/>
  <c r="BR26" i="5"/>
  <c r="BQ26" i="5"/>
  <c r="BP26" i="5"/>
  <c r="BO26" i="5"/>
  <c r="BN26" i="5"/>
  <c r="BM26" i="5"/>
  <c r="BL26" i="5"/>
  <c r="BD26" i="5"/>
  <c r="BC26" i="5"/>
  <c r="BB26" i="5"/>
  <c r="BA26" i="5"/>
  <c r="AZ26" i="5"/>
  <c r="AY26" i="5"/>
  <c r="AX26" i="5"/>
  <c r="AW26" i="5"/>
  <c r="AP26" i="5"/>
  <c r="AO26" i="5"/>
  <c r="AN26" i="5"/>
  <c r="AM26" i="5"/>
  <c r="AL26" i="5"/>
  <c r="AK26" i="5"/>
  <c r="AJ26" i="5"/>
  <c r="AI26" i="5"/>
  <c r="AA26" i="5"/>
  <c r="Z26" i="5"/>
  <c r="Y26" i="5"/>
  <c r="X26" i="5"/>
  <c r="W26" i="5"/>
  <c r="V26" i="5"/>
  <c r="U26" i="5"/>
  <c r="T26" i="5"/>
  <c r="CG25" i="5"/>
  <c r="CF25" i="5"/>
  <c r="CE25" i="5"/>
  <c r="CD25" i="5"/>
  <c r="CC25" i="5"/>
  <c r="CB25" i="5"/>
  <c r="CA25" i="5"/>
  <c r="BZ25" i="5"/>
  <c r="BS25" i="5"/>
  <c r="BR25" i="5"/>
  <c r="BQ25" i="5"/>
  <c r="BP25" i="5"/>
  <c r="BO25" i="5"/>
  <c r="BN25" i="5"/>
  <c r="BM25" i="5"/>
  <c r="BL25" i="5"/>
  <c r="BD25" i="5"/>
  <c r="BC25" i="5"/>
  <c r="BB25" i="5"/>
  <c r="BA25" i="5"/>
  <c r="AZ25" i="5"/>
  <c r="AY25" i="5"/>
  <c r="AX25" i="5"/>
  <c r="AW25" i="5"/>
  <c r="AP25" i="5"/>
  <c r="AO25" i="5"/>
  <c r="AN25" i="5"/>
  <c r="AM25" i="5"/>
  <c r="AL25" i="5"/>
  <c r="AK25" i="5"/>
  <c r="AJ25" i="5"/>
  <c r="AI25" i="5"/>
  <c r="AA25" i="5"/>
  <c r="Z25" i="5"/>
  <c r="Y25" i="5"/>
  <c r="X25" i="5"/>
  <c r="W25" i="5"/>
  <c r="V25" i="5"/>
  <c r="U25" i="5"/>
  <c r="T25" i="5"/>
  <c r="CG24" i="5"/>
  <c r="CF24" i="5"/>
  <c r="CE24" i="5"/>
  <c r="CD24" i="5"/>
  <c r="CC24" i="5"/>
  <c r="CB24" i="5"/>
  <c r="CA24" i="5"/>
  <c r="BZ24" i="5"/>
  <c r="BS24" i="5"/>
  <c r="BR24" i="5"/>
  <c r="BQ24" i="5"/>
  <c r="BP24" i="5"/>
  <c r="BO24" i="5"/>
  <c r="BN24" i="5"/>
  <c r="BM24" i="5"/>
  <c r="BL24" i="5"/>
  <c r="BD24" i="5"/>
  <c r="BC24" i="5"/>
  <c r="BB24" i="5"/>
  <c r="BA24" i="5"/>
  <c r="AZ24" i="5"/>
  <c r="AY24" i="5"/>
  <c r="AX24" i="5"/>
  <c r="AW24" i="5"/>
  <c r="AP24" i="5"/>
  <c r="AO24" i="5"/>
  <c r="AN24" i="5"/>
  <c r="AM24" i="5"/>
  <c r="AL24" i="5"/>
  <c r="AK24" i="5"/>
  <c r="AJ24" i="5"/>
  <c r="AI24" i="5"/>
  <c r="AA24" i="5"/>
  <c r="Z24" i="5"/>
  <c r="Y24" i="5"/>
  <c r="X24" i="5"/>
  <c r="W24" i="5"/>
  <c r="V24" i="5"/>
  <c r="U24" i="5"/>
  <c r="T24" i="5"/>
  <c r="CG23" i="5"/>
  <c r="CF23" i="5"/>
  <c r="CE23" i="5"/>
  <c r="CD23" i="5"/>
  <c r="CC23" i="5"/>
  <c r="CB23" i="5"/>
  <c r="CA23" i="5"/>
  <c r="BZ23" i="5"/>
  <c r="BS23" i="5"/>
  <c r="BR23" i="5"/>
  <c r="BQ23" i="5"/>
  <c r="BP23" i="5"/>
  <c r="BO23" i="5"/>
  <c r="BN23" i="5"/>
  <c r="BM23" i="5"/>
  <c r="BL23" i="5"/>
  <c r="BD23" i="5"/>
  <c r="BC23" i="5"/>
  <c r="BB23" i="5"/>
  <c r="BA23" i="5"/>
  <c r="AZ23" i="5"/>
  <c r="AY23" i="5"/>
  <c r="AX23" i="5"/>
  <c r="AW23" i="5"/>
  <c r="AP23" i="5"/>
  <c r="AO23" i="5"/>
  <c r="AN23" i="5"/>
  <c r="AM23" i="5"/>
  <c r="AL23" i="5"/>
  <c r="AK23" i="5"/>
  <c r="AJ23" i="5"/>
  <c r="AI23" i="5"/>
  <c r="AA23" i="5"/>
  <c r="Z23" i="5"/>
  <c r="Y23" i="5"/>
  <c r="X23" i="5"/>
  <c r="W23" i="5"/>
  <c r="V23" i="5"/>
  <c r="U23" i="5"/>
  <c r="T23" i="5"/>
  <c r="CG22" i="5"/>
  <c r="CF22" i="5"/>
  <c r="CE22" i="5"/>
  <c r="CD22" i="5"/>
  <c r="CC22" i="5"/>
  <c r="CB22" i="5"/>
  <c r="CA22" i="5"/>
  <c r="BZ22" i="5"/>
  <c r="BS22" i="5"/>
  <c r="BR22" i="5"/>
  <c r="BQ22" i="5"/>
  <c r="BP22" i="5"/>
  <c r="BO22" i="5"/>
  <c r="BN22" i="5"/>
  <c r="BM22" i="5"/>
  <c r="BL22" i="5"/>
  <c r="BD22" i="5"/>
  <c r="BC22" i="5"/>
  <c r="BB22" i="5"/>
  <c r="BA22" i="5"/>
  <c r="AZ22" i="5"/>
  <c r="AY22" i="5"/>
  <c r="AX22" i="5"/>
  <c r="AW22" i="5"/>
  <c r="AP22" i="5"/>
  <c r="AO22" i="5"/>
  <c r="AN22" i="5"/>
  <c r="AM22" i="5"/>
  <c r="AL22" i="5"/>
  <c r="AK22" i="5"/>
  <c r="AJ22" i="5"/>
  <c r="AI22" i="5"/>
  <c r="AA22" i="5"/>
  <c r="Z22" i="5"/>
  <c r="Y22" i="5"/>
  <c r="X22" i="5"/>
  <c r="W22" i="5"/>
  <c r="V22" i="5"/>
  <c r="U22" i="5"/>
  <c r="T22" i="5"/>
  <c r="CG21" i="5"/>
  <c r="CF21" i="5"/>
  <c r="CE21" i="5"/>
  <c r="CD21" i="5"/>
  <c r="CC21" i="5"/>
  <c r="CB21" i="5"/>
  <c r="CA21" i="5"/>
  <c r="BZ21" i="5"/>
  <c r="BS21" i="5"/>
  <c r="BR21" i="5"/>
  <c r="BQ21" i="5"/>
  <c r="BP21" i="5"/>
  <c r="BO21" i="5"/>
  <c r="BN21" i="5"/>
  <c r="BM21" i="5"/>
  <c r="BL21" i="5"/>
  <c r="BD21" i="5"/>
  <c r="BC21" i="5"/>
  <c r="BB21" i="5"/>
  <c r="BA21" i="5"/>
  <c r="AZ21" i="5"/>
  <c r="AY21" i="5"/>
  <c r="AX21" i="5"/>
  <c r="AW21" i="5"/>
  <c r="AP21" i="5"/>
  <c r="AO21" i="5"/>
  <c r="AN21" i="5"/>
  <c r="AM21" i="5"/>
  <c r="AL21" i="5"/>
  <c r="AK21" i="5"/>
  <c r="AJ21" i="5"/>
  <c r="AI21" i="5"/>
  <c r="AA21" i="5"/>
  <c r="Z21" i="5"/>
  <c r="Y21" i="5"/>
  <c r="X21" i="5"/>
  <c r="W21" i="5"/>
  <c r="V21" i="5"/>
  <c r="U21" i="5"/>
  <c r="T21" i="5"/>
  <c r="CG20" i="5"/>
  <c r="CF20" i="5"/>
  <c r="CE20" i="5"/>
  <c r="CD20" i="5"/>
  <c r="CC20" i="5"/>
  <c r="CB20" i="5"/>
  <c r="CA20" i="5"/>
  <c r="BZ20" i="5"/>
  <c r="BS20" i="5"/>
  <c r="BR20" i="5"/>
  <c r="BQ20" i="5"/>
  <c r="BP20" i="5"/>
  <c r="BO20" i="5"/>
  <c r="BN20" i="5"/>
  <c r="BM20" i="5"/>
  <c r="BL20" i="5"/>
  <c r="BD20" i="5"/>
  <c r="BC20" i="5"/>
  <c r="BB20" i="5"/>
  <c r="BA20" i="5"/>
  <c r="AZ20" i="5"/>
  <c r="AY20" i="5"/>
  <c r="AX20" i="5"/>
  <c r="AW20" i="5"/>
  <c r="AP20" i="5"/>
  <c r="AO20" i="5"/>
  <c r="AN20" i="5"/>
  <c r="AM20" i="5"/>
  <c r="AL20" i="5"/>
  <c r="AK20" i="5"/>
  <c r="AJ20" i="5"/>
  <c r="AI20" i="5"/>
  <c r="AA20" i="5"/>
  <c r="Z20" i="5"/>
  <c r="Y20" i="5"/>
  <c r="X20" i="5"/>
  <c r="W20" i="5"/>
  <c r="V20" i="5"/>
  <c r="U20" i="5"/>
  <c r="T20" i="5"/>
  <c r="CG19" i="5"/>
  <c r="CF19" i="5"/>
  <c r="CE19" i="5"/>
  <c r="CD19" i="5"/>
  <c r="CC19" i="5"/>
  <c r="CB19" i="5"/>
  <c r="CA19" i="5"/>
  <c r="BZ19" i="5"/>
  <c r="BS19" i="5"/>
  <c r="BR19" i="5"/>
  <c r="BQ19" i="5"/>
  <c r="BP19" i="5"/>
  <c r="BO19" i="5"/>
  <c r="BN19" i="5"/>
  <c r="BM19" i="5"/>
  <c r="BL19" i="5"/>
  <c r="BD19" i="5"/>
  <c r="BC19" i="5"/>
  <c r="BB19" i="5"/>
  <c r="BA19" i="5"/>
  <c r="AZ19" i="5"/>
  <c r="AY19" i="5"/>
  <c r="AX19" i="5"/>
  <c r="AW19" i="5"/>
  <c r="AP19" i="5"/>
  <c r="AO19" i="5"/>
  <c r="AN19" i="5"/>
  <c r="AM19" i="5"/>
  <c r="AL19" i="5"/>
  <c r="AK19" i="5"/>
  <c r="AJ19" i="5"/>
  <c r="AI19" i="5"/>
  <c r="AA19" i="5"/>
  <c r="Z19" i="5"/>
  <c r="Y19" i="5"/>
  <c r="X19" i="5"/>
  <c r="W19" i="5"/>
  <c r="V19" i="5"/>
  <c r="U19" i="5"/>
  <c r="T19" i="5"/>
  <c r="CG18" i="5"/>
  <c r="CF18" i="5"/>
  <c r="CE18" i="5"/>
  <c r="CD18" i="5"/>
  <c r="CC18" i="5"/>
  <c r="CB18" i="5"/>
  <c r="CA18" i="5"/>
  <c r="BZ18" i="5"/>
  <c r="BS18" i="5"/>
  <c r="BR18" i="5"/>
  <c r="BQ18" i="5"/>
  <c r="BP18" i="5"/>
  <c r="BO18" i="5"/>
  <c r="BN18" i="5"/>
  <c r="BM18" i="5"/>
  <c r="BL18" i="5"/>
  <c r="BD18" i="5"/>
  <c r="BC18" i="5"/>
  <c r="BB18" i="5"/>
  <c r="BA18" i="5"/>
  <c r="AZ18" i="5"/>
  <c r="AY18" i="5"/>
  <c r="AX18" i="5"/>
  <c r="AW18" i="5"/>
  <c r="AP18" i="5"/>
  <c r="AO18" i="5"/>
  <c r="AN18" i="5"/>
  <c r="AM18" i="5"/>
  <c r="AL18" i="5"/>
  <c r="AK18" i="5"/>
  <c r="AJ18" i="5"/>
  <c r="AI18" i="5"/>
  <c r="AA18" i="5"/>
  <c r="Z18" i="5"/>
  <c r="Y18" i="5"/>
  <c r="X18" i="5"/>
  <c r="W18" i="5"/>
  <c r="V18" i="5"/>
  <c r="U18" i="5"/>
  <c r="T18" i="5"/>
  <c r="CG17" i="5"/>
  <c r="CF17" i="5"/>
  <c r="CE17" i="5"/>
  <c r="CD17" i="5"/>
  <c r="CC17" i="5"/>
  <c r="CB17" i="5"/>
  <c r="CA17" i="5"/>
  <c r="BZ17" i="5"/>
  <c r="BS17" i="5"/>
  <c r="BR17" i="5"/>
  <c r="BQ17" i="5"/>
  <c r="BP17" i="5"/>
  <c r="BO17" i="5"/>
  <c r="BN17" i="5"/>
  <c r="BM17" i="5"/>
  <c r="BL17" i="5"/>
  <c r="BD17" i="5"/>
  <c r="BC17" i="5"/>
  <c r="BB17" i="5"/>
  <c r="BA17" i="5"/>
  <c r="AZ17" i="5"/>
  <c r="AY17" i="5"/>
  <c r="AX17" i="5"/>
  <c r="AW17" i="5"/>
  <c r="AP17" i="5"/>
  <c r="AO17" i="5"/>
  <c r="AN17" i="5"/>
  <c r="AM17" i="5"/>
  <c r="AL17" i="5"/>
  <c r="AK17" i="5"/>
  <c r="AJ17" i="5"/>
  <c r="AI17" i="5"/>
  <c r="AA17" i="5"/>
  <c r="Z17" i="5"/>
  <c r="Y17" i="5"/>
  <c r="X17" i="5"/>
  <c r="W17" i="5"/>
  <c r="V17" i="5"/>
  <c r="U17" i="5"/>
  <c r="T17" i="5"/>
  <c r="CG16" i="5"/>
  <c r="CF16" i="5"/>
  <c r="CE16" i="5"/>
  <c r="CD16" i="5"/>
  <c r="CC16" i="5"/>
  <c r="CB16" i="5"/>
  <c r="CA16" i="5"/>
  <c r="BZ16" i="5"/>
  <c r="BS16" i="5"/>
  <c r="BR16" i="5"/>
  <c r="BQ16" i="5"/>
  <c r="BP16" i="5"/>
  <c r="BO16" i="5"/>
  <c r="BN16" i="5"/>
  <c r="BM16" i="5"/>
  <c r="BL16" i="5"/>
  <c r="BD16" i="5"/>
  <c r="BC16" i="5"/>
  <c r="BB16" i="5"/>
  <c r="BA16" i="5"/>
  <c r="AZ16" i="5"/>
  <c r="AY16" i="5"/>
  <c r="AX16" i="5"/>
  <c r="AW16" i="5"/>
  <c r="AP16" i="5"/>
  <c r="AO16" i="5"/>
  <c r="AN16" i="5"/>
  <c r="AM16" i="5"/>
  <c r="AL16" i="5"/>
  <c r="AK16" i="5"/>
  <c r="AJ16" i="5"/>
  <c r="AI16" i="5"/>
  <c r="AA16" i="5"/>
  <c r="Z16" i="5"/>
  <c r="Y16" i="5"/>
  <c r="X16" i="5"/>
  <c r="W16" i="5"/>
  <c r="V16" i="5"/>
  <c r="U16" i="5"/>
  <c r="T16" i="5"/>
  <c r="CG15" i="5"/>
  <c r="CF15" i="5"/>
  <c r="CE15" i="5"/>
  <c r="CD15" i="5"/>
  <c r="CC15" i="5"/>
  <c r="CB15" i="5"/>
  <c r="CA15" i="5"/>
  <c r="BZ15" i="5"/>
  <c r="BS15" i="5"/>
  <c r="BR15" i="5"/>
  <c r="BQ15" i="5"/>
  <c r="BP15" i="5"/>
  <c r="BO15" i="5"/>
  <c r="BN15" i="5"/>
  <c r="BM15" i="5"/>
  <c r="BL15" i="5"/>
  <c r="BD15" i="5"/>
  <c r="BC15" i="5"/>
  <c r="BB15" i="5"/>
  <c r="BA15" i="5"/>
  <c r="AZ15" i="5"/>
  <c r="AY15" i="5"/>
  <c r="AX15" i="5"/>
  <c r="AW15" i="5"/>
  <c r="AP15" i="5"/>
  <c r="AO15" i="5"/>
  <c r="AN15" i="5"/>
  <c r="AM15" i="5"/>
  <c r="AL15" i="5"/>
  <c r="AK15" i="5"/>
  <c r="AJ15" i="5"/>
  <c r="AI15" i="5"/>
  <c r="AA15" i="5"/>
  <c r="Z15" i="5"/>
  <c r="Y15" i="5"/>
  <c r="X15" i="5"/>
  <c r="W15" i="5"/>
  <c r="V15" i="5"/>
  <c r="U15" i="5"/>
  <c r="T15" i="5"/>
  <c r="CG14" i="5"/>
  <c r="CF14" i="5"/>
  <c r="CE14" i="5"/>
  <c r="CD14" i="5"/>
  <c r="CC14" i="5"/>
  <c r="CB14" i="5"/>
  <c r="CA14" i="5"/>
  <c r="BZ14" i="5"/>
  <c r="BS14" i="5"/>
  <c r="BR14" i="5"/>
  <c r="BQ14" i="5"/>
  <c r="BP14" i="5"/>
  <c r="BO14" i="5"/>
  <c r="BN14" i="5"/>
  <c r="BM14" i="5"/>
  <c r="BL14" i="5"/>
  <c r="BD14" i="5"/>
  <c r="BC14" i="5"/>
  <c r="BB14" i="5"/>
  <c r="BA14" i="5"/>
  <c r="AZ14" i="5"/>
  <c r="AY14" i="5"/>
  <c r="AX14" i="5"/>
  <c r="AW14" i="5"/>
  <c r="AP14" i="5"/>
  <c r="AO14" i="5"/>
  <c r="AN14" i="5"/>
  <c r="AM14" i="5"/>
  <c r="AL14" i="5"/>
  <c r="AK14" i="5"/>
  <c r="AJ14" i="5"/>
  <c r="AI14" i="5"/>
  <c r="AA14" i="5"/>
  <c r="Z14" i="5"/>
  <c r="Y14" i="5"/>
  <c r="X14" i="5"/>
  <c r="W14" i="5"/>
  <c r="V14" i="5"/>
  <c r="U14" i="5"/>
  <c r="T14" i="5"/>
  <c r="CG13" i="5"/>
  <c r="CF13" i="5"/>
  <c r="CE13" i="5"/>
  <c r="CD13" i="5"/>
  <c r="CC13" i="5"/>
  <c r="CB13" i="5"/>
  <c r="CA13" i="5"/>
  <c r="BZ13" i="5"/>
  <c r="BS13" i="5"/>
  <c r="BR13" i="5"/>
  <c r="BQ13" i="5"/>
  <c r="BP13" i="5"/>
  <c r="BO13" i="5"/>
  <c r="BN13" i="5"/>
  <c r="BM13" i="5"/>
  <c r="BL13" i="5"/>
  <c r="BD13" i="5"/>
  <c r="BC13" i="5"/>
  <c r="BB13" i="5"/>
  <c r="BA13" i="5"/>
  <c r="AZ13" i="5"/>
  <c r="AY13" i="5"/>
  <c r="AX13" i="5"/>
  <c r="AW13" i="5"/>
  <c r="AP13" i="5"/>
  <c r="AO13" i="5"/>
  <c r="AN13" i="5"/>
  <c r="AM13" i="5"/>
  <c r="AL13" i="5"/>
  <c r="AK13" i="5"/>
  <c r="AJ13" i="5"/>
  <c r="AI13" i="5"/>
  <c r="AA13" i="5"/>
  <c r="Z13" i="5"/>
  <c r="Y13" i="5"/>
  <c r="X13" i="5"/>
  <c r="W13" i="5"/>
  <c r="V13" i="5"/>
  <c r="U13" i="5"/>
  <c r="T13" i="5"/>
  <c r="CG12" i="5"/>
  <c r="CF12" i="5"/>
  <c r="CE12" i="5"/>
  <c r="CD12" i="5"/>
  <c r="CC12" i="5"/>
  <c r="CB12" i="5"/>
  <c r="CA12" i="5"/>
  <c r="BZ12" i="5"/>
  <c r="BS12" i="5"/>
  <c r="BR12" i="5"/>
  <c r="BQ12" i="5"/>
  <c r="BP12" i="5"/>
  <c r="BO12" i="5"/>
  <c r="BN12" i="5"/>
  <c r="BM12" i="5"/>
  <c r="BL12" i="5"/>
  <c r="BD12" i="5"/>
  <c r="BC12" i="5"/>
  <c r="BB12" i="5"/>
  <c r="BA12" i="5"/>
  <c r="AZ12" i="5"/>
  <c r="AY12" i="5"/>
  <c r="AX12" i="5"/>
  <c r="AW12" i="5"/>
  <c r="AP12" i="5"/>
  <c r="AO12" i="5"/>
  <c r="AN12" i="5"/>
  <c r="AM12" i="5"/>
  <c r="AL12" i="5"/>
  <c r="AK12" i="5"/>
  <c r="AJ12" i="5"/>
  <c r="AI12" i="5"/>
  <c r="AA12" i="5"/>
  <c r="Z12" i="5"/>
  <c r="Y12" i="5"/>
  <c r="X12" i="5"/>
  <c r="W12" i="5"/>
  <c r="V12" i="5"/>
  <c r="U12" i="5"/>
  <c r="T12" i="5"/>
  <c r="CG11" i="5"/>
  <c r="CF11" i="5"/>
  <c r="CE11" i="5"/>
  <c r="CD11" i="5"/>
  <c r="CC11" i="5"/>
  <c r="CB11" i="5"/>
  <c r="CA11" i="5"/>
  <c r="BZ11" i="5"/>
  <c r="BS11" i="5"/>
  <c r="BR11" i="5"/>
  <c r="BQ11" i="5"/>
  <c r="BP11" i="5"/>
  <c r="BO11" i="5"/>
  <c r="BN11" i="5"/>
  <c r="BM11" i="5"/>
  <c r="BL11" i="5"/>
  <c r="BD11" i="5"/>
  <c r="BC11" i="5"/>
  <c r="BB11" i="5"/>
  <c r="BA11" i="5"/>
  <c r="AZ11" i="5"/>
  <c r="AY11" i="5"/>
  <c r="AX11" i="5"/>
  <c r="AW11" i="5"/>
  <c r="AP11" i="5"/>
  <c r="AO11" i="5"/>
  <c r="AN11" i="5"/>
  <c r="AM11" i="5"/>
  <c r="AL11" i="5"/>
  <c r="AK11" i="5"/>
  <c r="AJ11" i="5"/>
  <c r="AI11" i="5"/>
  <c r="AA11" i="5"/>
  <c r="Z11" i="5"/>
  <c r="Y11" i="5"/>
  <c r="X11" i="5"/>
  <c r="W11" i="5"/>
  <c r="V11" i="5"/>
  <c r="U11" i="5"/>
  <c r="T11" i="5"/>
  <c r="CG10" i="5"/>
  <c r="CF10" i="5"/>
  <c r="CE10" i="5"/>
  <c r="CD10" i="5"/>
  <c r="CC10" i="5"/>
  <c r="CB10" i="5"/>
  <c r="CA10" i="5"/>
  <c r="BZ10" i="5"/>
  <c r="BS10" i="5"/>
  <c r="BR10" i="5"/>
  <c r="BQ10" i="5"/>
  <c r="BP10" i="5"/>
  <c r="BO10" i="5"/>
  <c r="BN10" i="5"/>
  <c r="BM10" i="5"/>
  <c r="BL10" i="5"/>
  <c r="BD10" i="5"/>
  <c r="BC10" i="5"/>
  <c r="BB10" i="5"/>
  <c r="BA10" i="5"/>
  <c r="AZ10" i="5"/>
  <c r="AY10" i="5"/>
  <c r="AX10" i="5"/>
  <c r="AW10" i="5"/>
  <c r="AP10" i="5"/>
  <c r="AO10" i="5"/>
  <c r="AN10" i="5"/>
  <c r="AM10" i="5"/>
  <c r="AL10" i="5"/>
  <c r="AK10" i="5"/>
  <c r="AJ10" i="5"/>
  <c r="AI10" i="5"/>
  <c r="AA10" i="5"/>
  <c r="Z10" i="5"/>
  <c r="Y10" i="5"/>
  <c r="X10" i="5"/>
  <c r="W10" i="5"/>
  <c r="V10" i="5"/>
  <c r="U10" i="5"/>
  <c r="T10" i="5"/>
  <c r="CG9" i="5"/>
  <c r="CF9" i="5"/>
  <c r="CE9" i="5"/>
  <c r="CD9" i="5"/>
  <c r="CC9" i="5"/>
  <c r="CB9" i="5"/>
  <c r="CA9" i="5"/>
  <c r="BZ9" i="5"/>
  <c r="BS9" i="5"/>
  <c r="BR9" i="5"/>
  <c r="BQ9" i="5"/>
  <c r="BP9" i="5"/>
  <c r="BO9" i="5"/>
  <c r="BN9" i="5"/>
  <c r="BM9" i="5"/>
  <c r="BL9" i="5"/>
  <c r="BD9" i="5"/>
  <c r="BC9" i="5"/>
  <c r="BB9" i="5"/>
  <c r="BA9" i="5"/>
  <c r="AZ9" i="5"/>
  <c r="AY9" i="5"/>
  <c r="AX9" i="5"/>
  <c r="AW9" i="5"/>
  <c r="AP9" i="5"/>
  <c r="AO9" i="5"/>
  <c r="AN9" i="5"/>
  <c r="AM9" i="5"/>
  <c r="AL9" i="5"/>
  <c r="AK9" i="5"/>
  <c r="AJ9" i="5"/>
  <c r="AI9" i="5"/>
  <c r="AA9" i="5"/>
  <c r="Z9" i="5"/>
  <c r="Y9" i="5"/>
  <c r="X9" i="5"/>
  <c r="W9" i="5"/>
  <c r="V9" i="5"/>
  <c r="U9" i="5"/>
  <c r="T9" i="5"/>
  <c r="CG8" i="5"/>
  <c r="CF8" i="5"/>
  <c r="CE8" i="5"/>
  <c r="CD8" i="5"/>
  <c r="CC8" i="5"/>
  <c r="CB8" i="5"/>
  <c r="CA8" i="5"/>
  <c r="BZ8" i="5"/>
  <c r="BS8" i="5"/>
  <c r="BR8" i="5"/>
  <c r="BQ8" i="5"/>
  <c r="BP8" i="5"/>
  <c r="BO8" i="5"/>
  <c r="BN8" i="5"/>
  <c r="BM8" i="5"/>
  <c r="BL8" i="5"/>
  <c r="BD8" i="5"/>
  <c r="BC8" i="5"/>
  <c r="BB8" i="5"/>
  <c r="BA8" i="5"/>
  <c r="AZ8" i="5"/>
  <c r="AY8" i="5"/>
  <c r="AX8" i="5"/>
  <c r="AW8" i="5"/>
  <c r="AP8" i="5"/>
  <c r="AO8" i="5"/>
  <c r="AN8" i="5"/>
  <c r="AM8" i="5"/>
  <c r="AL8" i="5"/>
  <c r="AK8" i="5"/>
  <c r="AJ8" i="5"/>
  <c r="AI8" i="5"/>
  <c r="AA8" i="5"/>
  <c r="Z8" i="5"/>
  <c r="Y8" i="5"/>
  <c r="X8" i="5"/>
  <c r="W8" i="5"/>
  <c r="V8" i="5"/>
  <c r="U8" i="5"/>
  <c r="T8" i="5"/>
  <c r="CG7" i="5"/>
  <c r="CF7" i="5"/>
  <c r="CE7" i="5"/>
  <c r="CD7" i="5"/>
  <c r="CC7" i="5"/>
  <c r="CB7" i="5"/>
  <c r="CA7" i="5"/>
  <c r="BZ7" i="5"/>
  <c r="BS7" i="5"/>
  <c r="BR7" i="5"/>
  <c r="BQ7" i="5"/>
  <c r="BP7" i="5"/>
  <c r="BO7" i="5"/>
  <c r="BN7" i="5"/>
  <c r="BM7" i="5"/>
  <c r="BL7" i="5"/>
  <c r="BD7" i="5"/>
  <c r="BC7" i="5"/>
  <c r="BB7" i="5"/>
  <c r="BA7" i="5"/>
  <c r="AZ7" i="5"/>
  <c r="AY7" i="5"/>
  <c r="AX7" i="5"/>
  <c r="AW7" i="5"/>
  <c r="AP7" i="5"/>
  <c r="AO7" i="5"/>
  <c r="AN7" i="5"/>
  <c r="AM7" i="5"/>
  <c r="AL7" i="5"/>
  <c r="AK7" i="5"/>
  <c r="AJ7" i="5"/>
  <c r="AI7" i="5"/>
  <c r="AA7" i="5"/>
  <c r="Z7" i="5"/>
  <c r="Y7" i="5"/>
  <c r="X7" i="5"/>
  <c r="W7" i="5"/>
  <c r="V7" i="5"/>
  <c r="U7" i="5"/>
  <c r="T7" i="5"/>
  <c r="CG6" i="5"/>
  <c r="CF6" i="5"/>
  <c r="CE6" i="5"/>
  <c r="CD6" i="5"/>
  <c r="CC6" i="5"/>
  <c r="CB6" i="5"/>
  <c r="CA6" i="5"/>
  <c r="BZ6" i="5"/>
  <c r="BS6" i="5"/>
  <c r="BR6" i="5"/>
  <c r="BQ6" i="5"/>
  <c r="BP6" i="5"/>
  <c r="BO6" i="5"/>
  <c r="BN6" i="5"/>
  <c r="BM6" i="5"/>
  <c r="BL6" i="5"/>
  <c r="BD6" i="5"/>
  <c r="BC6" i="5"/>
  <c r="BB6" i="5"/>
  <c r="BA6" i="5"/>
  <c r="AZ6" i="5"/>
  <c r="AY6" i="5"/>
  <c r="AX6" i="5"/>
  <c r="AW6" i="5"/>
  <c r="AP6" i="5"/>
  <c r="AO6" i="5"/>
  <c r="AN6" i="5"/>
  <c r="AM6" i="5"/>
  <c r="AL6" i="5"/>
  <c r="AK6" i="5"/>
  <c r="AJ6" i="5"/>
  <c r="AI6" i="5"/>
  <c r="AA6" i="5"/>
  <c r="Z6" i="5"/>
  <c r="Y6" i="5"/>
  <c r="X6" i="5"/>
  <c r="W6" i="5"/>
  <c r="V6" i="5"/>
  <c r="U6" i="5"/>
  <c r="T6" i="5"/>
  <c r="CG5" i="5"/>
  <c r="CF5" i="5"/>
  <c r="CE5" i="5"/>
  <c r="CD5" i="5"/>
  <c r="CC5" i="5"/>
  <c r="CB5" i="5"/>
  <c r="CA5" i="5"/>
  <c r="BZ5" i="5"/>
  <c r="BS5" i="5"/>
  <c r="BR5" i="5"/>
  <c r="BQ5" i="5"/>
  <c r="BP5" i="5"/>
  <c r="BO5" i="5"/>
  <c r="BN5" i="5"/>
  <c r="BM5" i="5"/>
  <c r="BL5" i="5"/>
  <c r="BD5" i="5"/>
  <c r="BC5" i="5"/>
  <c r="BB5" i="5"/>
  <c r="BA5" i="5"/>
  <c r="AZ5" i="5"/>
  <c r="AY5" i="5"/>
  <c r="AX5" i="5"/>
  <c r="AW5" i="5"/>
  <c r="AP5" i="5"/>
  <c r="AO5" i="5"/>
  <c r="AN5" i="5"/>
  <c r="AM5" i="5"/>
  <c r="AL5" i="5"/>
  <c r="AK5" i="5"/>
  <c r="AJ5" i="5"/>
  <c r="AI5" i="5"/>
  <c r="AA5" i="5"/>
  <c r="Z5" i="5"/>
  <c r="Y5" i="5"/>
  <c r="X5" i="5"/>
  <c r="W5" i="5"/>
  <c r="V5" i="5"/>
  <c r="U5" i="5"/>
  <c r="T5" i="5"/>
  <c r="CG4" i="5"/>
  <c r="CF4" i="5"/>
  <c r="CE4" i="5"/>
  <c r="CD4" i="5"/>
  <c r="CC4" i="5"/>
  <c r="CB4" i="5"/>
  <c r="CA4" i="5"/>
  <c r="BZ4" i="5"/>
  <c r="BS4" i="5"/>
  <c r="BR4" i="5"/>
  <c r="BQ4" i="5"/>
  <c r="BP4" i="5"/>
  <c r="BO4" i="5"/>
  <c r="BN4" i="5"/>
  <c r="BM4" i="5"/>
  <c r="BL4" i="5"/>
  <c r="BD4" i="5"/>
  <c r="BC4" i="5"/>
  <c r="BB4" i="5"/>
  <c r="BA4" i="5"/>
  <c r="AZ4" i="5"/>
  <c r="AY4" i="5"/>
  <c r="AX4" i="5"/>
  <c r="AW4" i="5"/>
  <c r="AP4" i="5"/>
  <c r="AO4" i="5"/>
  <c r="AN4" i="5"/>
  <c r="AM4" i="5"/>
  <c r="AL4" i="5"/>
  <c r="AK4" i="5"/>
  <c r="AJ4" i="5"/>
  <c r="AI4" i="5"/>
  <c r="AA4" i="5"/>
  <c r="Z4" i="5"/>
  <c r="Y4" i="5"/>
  <c r="X4" i="5"/>
  <c r="W4" i="5"/>
  <c r="V4" i="5"/>
  <c r="U4" i="5"/>
  <c r="T4" i="5"/>
  <c r="CG3" i="5"/>
  <c r="CF3" i="5"/>
  <c r="CE3" i="5"/>
  <c r="CD3" i="5"/>
  <c r="CC3" i="5"/>
  <c r="CB3" i="5"/>
  <c r="CA3" i="5"/>
  <c r="BZ3" i="5"/>
  <c r="BS3" i="5"/>
  <c r="BR3" i="5"/>
  <c r="BQ3" i="5"/>
  <c r="BP3" i="5"/>
  <c r="BO3" i="5"/>
  <c r="BN3" i="5"/>
  <c r="BM3" i="5"/>
  <c r="BL3" i="5"/>
  <c r="BD3" i="5"/>
  <c r="BC3" i="5"/>
  <c r="BB3" i="5"/>
  <c r="BA3" i="5"/>
  <c r="AZ3" i="5"/>
  <c r="AY3" i="5"/>
  <c r="AX3" i="5"/>
  <c r="AW3" i="5"/>
  <c r="AP3" i="5"/>
  <c r="AO3" i="5"/>
  <c r="AN3" i="5"/>
  <c r="AM3" i="5"/>
  <c r="AL3" i="5"/>
  <c r="AK3" i="5"/>
  <c r="AJ3" i="5"/>
  <c r="AI3" i="5"/>
  <c r="AA3" i="5"/>
  <c r="Z3" i="5"/>
  <c r="Y3" i="5"/>
  <c r="X3" i="5"/>
  <c r="W3" i="5"/>
  <c r="V3" i="5"/>
  <c r="U3" i="5"/>
  <c r="T3" i="5"/>
  <c r="AB1982" i="5"/>
  <c r="AB1981" i="5"/>
  <c r="AB1980" i="5"/>
  <c r="AB1979" i="5"/>
  <c r="AB1978" i="5"/>
  <c r="AB1977" i="5"/>
  <c r="AB1976" i="5"/>
  <c r="AB1975" i="5"/>
  <c r="AB1974" i="5"/>
  <c r="AB1973" i="5"/>
  <c r="AB1972" i="5"/>
  <c r="AB1971" i="5"/>
  <c r="AB1970" i="5"/>
  <c r="AB1969" i="5"/>
  <c r="AB1968" i="5"/>
  <c r="AB1967" i="5"/>
  <c r="AB1966" i="5"/>
  <c r="AB1965" i="5"/>
  <c r="AB1964" i="5"/>
  <c r="AB1963" i="5"/>
  <c r="AB1962" i="5"/>
  <c r="AB1961" i="5"/>
  <c r="AB1960" i="5"/>
  <c r="AB1959" i="5"/>
  <c r="AB1958" i="5"/>
  <c r="AB1957" i="5"/>
  <c r="AB1956" i="5"/>
  <c r="AB1955" i="5"/>
  <c r="AB1954" i="5"/>
  <c r="AB1953" i="5"/>
  <c r="AB1952" i="5"/>
  <c r="AB1950" i="5"/>
  <c r="AB1948" i="5"/>
  <c r="AB1935" i="5"/>
  <c r="AB1931" i="5"/>
  <c r="AB1929" i="5"/>
  <c r="AB1922" i="5"/>
  <c r="AB1915" i="5"/>
  <c r="AB1907" i="5"/>
  <c r="AB1905" i="5"/>
  <c r="AB1899" i="5"/>
  <c r="AB1896" i="5"/>
  <c r="AB1895" i="5"/>
  <c r="AB1891" i="5"/>
  <c r="AB1890" i="5"/>
  <c r="AB1888" i="5"/>
  <c r="AB1887" i="5"/>
  <c r="AB1885" i="5"/>
  <c r="AB1882" i="5"/>
  <c r="AB1881" i="5"/>
  <c r="AB1870" i="5"/>
  <c r="AB1869" i="5"/>
  <c r="AB1866" i="5"/>
  <c r="AB1865" i="5"/>
  <c r="AB1851" i="5"/>
  <c r="AB1832" i="5"/>
  <c r="AB1831" i="5"/>
  <c r="AB1826" i="5"/>
  <c r="AB1822" i="5"/>
  <c r="AB1820" i="5"/>
  <c r="AB1818" i="5"/>
  <c r="AB1816" i="5"/>
  <c r="AB1815" i="5"/>
  <c r="AB1814" i="5"/>
  <c r="AB1811" i="5"/>
  <c r="AB1810" i="5"/>
  <c r="AB1808" i="5"/>
  <c r="AB1807" i="5"/>
  <c r="AB1806" i="5"/>
  <c r="AB1802" i="5"/>
  <c r="AB1800" i="5"/>
  <c r="AB1798" i="5"/>
  <c r="AB1793" i="5"/>
  <c r="AB1792" i="5"/>
  <c r="AB1789" i="5"/>
  <c r="AB1781" i="5"/>
  <c r="AB1780" i="5"/>
  <c r="AB1777" i="5"/>
  <c r="AB1776" i="5"/>
  <c r="AB1772" i="5"/>
  <c r="AB1769" i="5"/>
  <c r="AB1765" i="5"/>
  <c r="AB1764" i="5"/>
  <c r="AB1762" i="5"/>
  <c r="AB1761" i="5"/>
  <c r="AB1760" i="5"/>
  <c r="AB1759" i="5"/>
  <c r="AB1758" i="5"/>
  <c r="AB1757" i="5"/>
  <c r="AB1756" i="5"/>
  <c r="AB1755" i="5"/>
  <c r="AB1754" i="5"/>
  <c r="AB1753" i="5"/>
  <c r="AB1752" i="5"/>
  <c r="AB1751" i="5"/>
  <c r="AB1750" i="5"/>
  <c r="AB1749" i="5"/>
  <c r="AB1748" i="5"/>
  <c r="AB1747" i="5"/>
  <c r="AB1746" i="5"/>
  <c r="AB1745" i="5"/>
  <c r="AB1744" i="5"/>
  <c r="AB1743" i="5"/>
  <c r="AB1742" i="5"/>
  <c r="AB1741" i="5"/>
  <c r="AB1740" i="5"/>
  <c r="AB1739" i="5"/>
  <c r="AB1738" i="5"/>
  <c r="AB1737" i="5"/>
  <c r="AB1736" i="5"/>
  <c r="AB1735" i="5"/>
  <c r="AB1734" i="5"/>
  <c r="AB1733" i="5"/>
  <c r="AB1732" i="5"/>
  <c r="AB1731" i="5"/>
  <c r="AB1730" i="5"/>
  <c r="AB1729" i="5"/>
  <c r="AB1728" i="5"/>
  <c r="AB1727" i="5"/>
  <c r="AB1726" i="5"/>
  <c r="AB1725" i="5"/>
  <c r="AB1724" i="5"/>
  <c r="AB1723" i="5"/>
  <c r="AB1722" i="5"/>
  <c r="AB1720" i="5"/>
  <c r="AB1716" i="5"/>
  <c r="AB1708" i="5"/>
  <c r="AB1704" i="5"/>
  <c r="AB1702" i="5"/>
  <c r="AB1698" i="5"/>
  <c r="AB1694" i="5"/>
  <c r="AB1690" i="5"/>
  <c r="AB1686" i="5"/>
  <c r="AB1682" i="5"/>
  <c r="AB1678" i="5"/>
  <c r="AB1674" i="5"/>
  <c r="AB1671" i="5"/>
  <c r="AB1670" i="5"/>
  <c r="AB1669" i="5"/>
  <c r="AB1668" i="5"/>
  <c r="AB1667" i="5"/>
  <c r="AB1666" i="5"/>
  <c r="AB1665" i="5"/>
  <c r="AB1664" i="5"/>
  <c r="AB1663" i="5"/>
  <c r="AB1662" i="5"/>
  <c r="AB1661" i="5"/>
  <c r="AB1660" i="5"/>
  <c r="AB1659" i="5"/>
  <c r="AB1658" i="5"/>
  <c r="AB1657" i="5"/>
  <c r="AB1656" i="5"/>
  <c r="AB1655" i="5"/>
  <c r="AB1654" i="5"/>
  <c r="AB1653" i="5"/>
  <c r="AB1652" i="5"/>
  <c r="AB1651" i="5"/>
  <c r="AB1650" i="5"/>
  <c r="AB1643" i="5"/>
  <c r="AB1639" i="5"/>
  <c r="AB1635" i="5"/>
  <c r="AB1634" i="5"/>
  <c r="AB1627" i="5"/>
  <c r="AB1624" i="5"/>
  <c r="AB1619" i="5"/>
  <c r="AB1615" i="5"/>
  <c r="AB1611" i="5"/>
  <c r="AB1605" i="5"/>
  <c r="AB1604" i="5"/>
  <c r="AB1603" i="5"/>
  <c r="AB1602" i="5"/>
  <c r="AB1601" i="5"/>
  <c r="AB1600" i="5"/>
  <c r="AB1599" i="5"/>
  <c r="AB1598" i="5"/>
  <c r="AB1597" i="5"/>
  <c r="AB1596" i="5"/>
  <c r="AB1595" i="5"/>
  <c r="AB1594" i="5"/>
  <c r="AB1593" i="5"/>
  <c r="AB1592" i="5"/>
  <c r="AB1591" i="5"/>
  <c r="AB1590" i="5"/>
  <c r="AB1589" i="5"/>
  <c r="AB1588" i="5"/>
  <c r="AB1587" i="5"/>
  <c r="AB1586" i="5"/>
  <c r="AB1585" i="5"/>
  <c r="AB1584" i="5"/>
  <c r="AB1583" i="5"/>
  <c r="AB1582" i="5"/>
  <c r="AB1581" i="5"/>
  <c r="AB1580" i="5"/>
  <c r="AB1579" i="5"/>
  <c r="AB1578" i="5"/>
  <c r="AB1577" i="5"/>
  <c r="AB1576" i="5"/>
  <c r="AB1575" i="5"/>
  <c r="AB1574" i="5"/>
  <c r="AB1572" i="5"/>
  <c r="AB1571" i="5"/>
  <c r="AB1570" i="5"/>
  <c r="AB1568" i="5"/>
  <c r="AB1567" i="5"/>
  <c r="AB1566" i="5"/>
  <c r="AB1564" i="5"/>
  <c r="AB1563" i="5"/>
  <c r="AB1562" i="5"/>
  <c r="AB1560" i="5"/>
  <c r="AB1559" i="5"/>
  <c r="AB1558" i="5"/>
  <c r="AB1556" i="5"/>
  <c r="AB1555" i="5"/>
  <c r="AB1554" i="5"/>
  <c r="AB1552" i="5"/>
  <c r="AB1551" i="5"/>
  <c r="AB1550" i="5"/>
  <c r="AB1548" i="5"/>
  <c r="AB1542" i="5"/>
  <c r="AB1541" i="5"/>
  <c r="AB1537" i="5"/>
  <c r="AB1536" i="5"/>
  <c r="AB1534" i="5"/>
  <c r="AB1533" i="5"/>
  <c r="AB1529" i="5"/>
  <c r="AB1528" i="5"/>
  <c r="AB1525" i="5"/>
  <c r="AB1524" i="5"/>
  <c r="AB1523" i="5"/>
  <c r="AB1521" i="5"/>
  <c r="AB1517" i="5"/>
  <c r="AB1516" i="5"/>
  <c r="AB1515" i="5"/>
  <c r="AB1514" i="5"/>
  <c r="AB1513" i="5"/>
  <c r="AB1512" i="5"/>
  <c r="AB1511" i="5"/>
  <c r="AB1510" i="5"/>
  <c r="AB1509" i="5"/>
  <c r="AB1508" i="5"/>
  <c r="AB1507" i="5"/>
  <c r="AB1506" i="5"/>
  <c r="AB1505" i="5"/>
  <c r="AB1504" i="5"/>
  <c r="AB1503" i="5"/>
  <c r="AB1502" i="5"/>
  <c r="AB1501" i="5"/>
  <c r="AB1500" i="5"/>
  <c r="AB1499" i="5"/>
  <c r="AB1498" i="5"/>
  <c r="AB1497" i="5"/>
  <c r="AB1496" i="5"/>
  <c r="AB1495" i="5"/>
  <c r="AB1494" i="5"/>
  <c r="AB1493" i="5"/>
  <c r="AB1492" i="5"/>
  <c r="AB1491" i="5"/>
  <c r="AB1490" i="5"/>
  <c r="AB1489" i="5"/>
  <c r="AB1488" i="5"/>
  <c r="AB1487" i="5"/>
  <c r="AB1486" i="5"/>
  <c r="AB1485" i="5"/>
  <c r="AB1484" i="5"/>
  <c r="AB1483" i="5"/>
  <c r="AB1482" i="5"/>
  <c r="AB1481" i="5"/>
  <c r="AB1480" i="5"/>
  <c r="AB1479" i="5"/>
  <c r="AB1478" i="5"/>
  <c r="AB1477" i="5"/>
  <c r="AB1476" i="5"/>
  <c r="AB1475" i="5"/>
  <c r="AB1474" i="5"/>
  <c r="AB1473" i="5"/>
  <c r="AB1472" i="5"/>
  <c r="AB1471" i="5"/>
  <c r="AB1470" i="5"/>
  <c r="AB1469" i="5"/>
  <c r="AB1468" i="5"/>
  <c r="AB1467" i="5"/>
  <c r="AB1466" i="5"/>
  <c r="AB1465" i="5"/>
  <c r="AB1464" i="5"/>
  <c r="AB1461" i="5"/>
  <c r="AB1457" i="5"/>
  <c r="AB1453" i="5"/>
  <c r="AB1449" i="5"/>
  <c r="AB1445" i="5"/>
  <c r="AB1441" i="5"/>
  <c r="AB1437" i="5"/>
  <c r="AB1433" i="5"/>
  <c r="AB1429" i="5"/>
  <c r="AB1425" i="5"/>
  <c r="AB1421" i="5"/>
  <c r="AB1417" i="5"/>
  <c r="AB1416" i="5"/>
  <c r="AB1415" i="5"/>
  <c r="AB1414" i="5"/>
  <c r="AB1413" i="5"/>
  <c r="AB1412" i="5"/>
  <c r="AB1411" i="5"/>
  <c r="AB1410" i="5"/>
  <c r="AB1409" i="5"/>
  <c r="AB1408" i="5"/>
  <c r="AB1406" i="5"/>
  <c r="AB1405" i="5"/>
  <c r="AB1404" i="5"/>
  <c r="AB1396" i="5"/>
  <c r="AB1394" i="5"/>
  <c r="AB1393" i="5"/>
  <c r="AB1388" i="5"/>
  <c r="AB1384" i="5"/>
  <c r="AB1380" i="5"/>
  <c r="AB1376" i="5"/>
  <c r="AB1368" i="5"/>
  <c r="AB1367" i="5"/>
  <c r="AB1364" i="5"/>
  <c r="AB1363" i="5"/>
  <c r="AB1362" i="5"/>
  <c r="AB1361" i="5"/>
  <c r="AB1360" i="5"/>
  <c r="AB1359" i="5"/>
  <c r="AB1358" i="5"/>
  <c r="AB1357" i="5"/>
  <c r="AB1356" i="5"/>
  <c r="AB1355" i="5"/>
  <c r="AB1354" i="5"/>
  <c r="AB1353" i="5"/>
  <c r="AB1352" i="5"/>
  <c r="AB1351" i="5"/>
  <c r="AB1350" i="5"/>
  <c r="AB1349" i="5"/>
  <c r="AB1348" i="5"/>
  <c r="AB1347" i="5"/>
  <c r="AB1346" i="5"/>
  <c r="AB1345" i="5"/>
  <c r="AB1344" i="5"/>
  <c r="AB1343" i="5"/>
  <c r="AB1342" i="5"/>
  <c r="AB1341" i="5"/>
  <c r="AB1340" i="5"/>
  <c r="AB1339" i="5"/>
  <c r="AB1338" i="5"/>
  <c r="AB1337" i="5"/>
  <c r="AB1336" i="5"/>
  <c r="AB1335" i="5"/>
  <c r="AB1334" i="5"/>
  <c r="AB1333" i="5"/>
  <c r="AB1332" i="5"/>
  <c r="AB1331" i="5"/>
  <c r="AB1330" i="5"/>
  <c r="AB1329" i="5"/>
  <c r="AB1328" i="5"/>
  <c r="AB1327" i="5"/>
  <c r="AB1326" i="5"/>
  <c r="AB1325" i="5"/>
  <c r="AB1324" i="5"/>
  <c r="AB1323" i="5"/>
  <c r="AB1322" i="5"/>
  <c r="AB1321" i="5"/>
  <c r="AB1320" i="5"/>
  <c r="AB1319" i="5"/>
  <c r="AB1318" i="5"/>
  <c r="AB1317" i="5"/>
  <c r="AB1316" i="5"/>
  <c r="AB1315" i="5"/>
  <c r="AB1263" i="5"/>
  <c r="AB1262" i="5"/>
  <c r="AB1261" i="5"/>
  <c r="AB1260" i="5"/>
  <c r="AB1259" i="5"/>
  <c r="AB1258" i="5"/>
  <c r="AB1257" i="5"/>
  <c r="AB1256" i="5"/>
  <c r="AB1255" i="5"/>
  <c r="AB1254" i="5"/>
  <c r="AB1253" i="5"/>
  <c r="AB1252" i="5"/>
  <c r="AB1251" i="5"/>
  <c r="AB1250" i="5"/>
  <c r="AB1249" i="5"/>
  <c r="AB1248" i="5"/>
  <c r="AB1247" i="5"/>
  <c r="AB1246" i="5"/>
  <c r="AB1245" i="5"/>
  <c r="AB1244" i="5"/>
  <c r="AB1243" i="5"/>
  <c r="AB1242" i="5"/>
  <c r="AB1241" i="5"/>
  <c r="AB1240" i="5"/>
  <c r="AB1239" i="5"/>
  <c r="AB1238" i="5"/>
  <c r="AB1237" i="5"/>
  <c r="AB1236" i="5"/>
  <c r="AB1235" i="5"/>
  <c r="AB1234" i="5"/>
  <c r="AB1233" i="5"/>
  <c r="AB1232" i="5"/>
  <c r="AB1231" i="5"/>
  <c r="AB1230" i="5"/>
  <c r="AB1229" i="5"/>
  <c r="AB1228" i="5"/>
  <c r="AB1227" i="5"/>
  <c r="AB1226" i="5"/>
  <c r="AB1225" i="5"/>
  <c r="AB1224" i="5"/>
  <c r="AB1223" i="5"/>
  <c r="AB1222" i="5"/>
  <c r="AB1221" i="5"/>
  <c r="AB1220" i="5"/>
  <c r="AB1219" i="5"/>
  <c r="AB1218" i="5"/>
  <c r="AB1217" i="5"/>
  <c r="AB1216" i="5"/>
  <c r="AB1214" i="5"/>
  <c r="AB1213" i="5"/>
  <c r="AB1211" i="5"/>
  <c r="AB1208" i="5"/>
  <c r="AB1206" i="5"/>
  <c r="AB1205" i="5"/>
  <c r="AB1198" i="5"/>
  <c r="AB1190" i="5"/>
  <c r="AB1182" i="5"/>
  <c r="AB1174" i="5"/>
  <c r="AB1173" i="5"/>
  <c r="AB1172" i="5"/>
  <c r="AB1171" i="5"/>
  <c r="AB1170" i="5"/>
  <c r="AB1169" i="5"/>
  <c r="AB1168" i="5"/>
  <c r="AB1167" i="5"/>
  <c r="AB1166" i="5"/>
  <c r="AB1165" i="5"/>
  <c r="AB1164" i="5"/>
  <c r="AB1163" i="5"/>
  <c r="AB1162" i="5"/>
  <c r="AB1161" i="5"/>
  <c r="AB1160" i="5"/>
  <c r="AB1159" i="5"/>
  <c r="AB1158" i="5"/>
  <c r="AB1157" i="5"/>
  <c r="AB1156" i="5"/>
  <c r="AB1155" i="5"/>
  <c r="AB1154" i="5"/>
  <c r="AB1153" i="5"/>
  <c r="AB1152" i="5"/>
  <c r="AB1151" i="5"/>
  <c r="AB1150" i="5"/>
  <c r="AB1149" i="5"/>
  <c r="AB1148" i="5"/>
  <c r="AB1147" i="5"/>
  <c r="AB1146" i="5"/>
  <c r="AB1145" i="5"/>
  <c r="AB1144" i="5"/>
  <c r="AB1143" i="5"/>
  <c r="AB1142" i="5"/>
  <c r="AB1141" i="5"/>
  <c r="AB1140" i="5"/>
  <c r="AB1139" i="5"/>
  <c r="AB1138" i="5"/>
  <c r="AB1137" i="5"/>
  <c r="AB1136" i="5"/>
  <c r="AB1135" i="5"/>
  <c r="AB1134" i="5"/>
  <c r="AB1132" i="5"/>
  <c r="AB1129" i="5"/>
  <c r="AB1127" i="5"/>
  <c r="AB1126" i="5"/>
  <c r="AB1124" i="5"/>
  <c r="AB1121" i="5"/>
  <c r="AB1119" i="5"/>
  <c r="AB1118" i="5"/>
  <c r="AB1116" i="5"/>
  <c r="AB1113" i="5"/>
  <c r="AB1111" i="5"/>
  <c r="AB1110" i="5"/>
  <c r="AB1108" i="5"/>
  <c r="AB1105" i="5"/>
  <c r="AB1103" i="5"/>
  <c r="AB1102" i="5"/>
  <c r="AB1100" i="5"/>
  <c r="AB1097" i="5"/>
  <c r="AB1095" i="5"/>
  <c r="AB1094" i="5"/>
  <c r="AB1092" i="5"/>
  <c r="AB1089" i="5"/>
  <c r="AB1087" i="5"/>
  <c r="AB1086" i="5"/>
  <c r="AB1083" i="5"/>
  <c r="AB1079" i="5"/>
  <c r="AB1075" i="5"/>
  <c r="AB1071" i="5"/>
  <c r="AB1067" i="5"/>
  <c r="AB1063" i="5"/>
  <c r="AB1059" i="5"/>
  <c r="AB1056" i="5"/>
  <c r="AB1055" i="5"/>
  <c r="AB1054" i="5"/>
  <c r="AB1053" i="5"/>
  <c r="AB1052" i="5"/>
  <c r="AB1051" i="5"/>
  <c r="AB1050" i="5"/>
  <c r="AB1049" i="5"/>
  <c r="AB1048" i="5"/>
  <c r="AB1047" i="5"/>
  <c r="AB1046" i="5"/>
  <c r="AB1045" i="5"/>
  <c r="AB1044" i="5"/>
  <c r="AB1043" i="5"/>
  <c r="AB1042" i="5"/>
  <c r="AB1041" i="5"/>
  <c r="AB1040" i="5"/>
  <c r="AB1039" i="5"/>
  <c r="AB1038" i="5"/>
  <c r="AB1037" i="5"/>
  <c r="AB1036" i="5"/>
  <c r="AB1035" i="5"/>
  <c r="AB1034" i="5"/>
  <c r="AB1033" i="5"/>
  <c r="AB1032" i="5"/>
  <c r="AB1031" i="5"/>
  <c r="AB1030" i="5"/>
  <c r="AB1029" i="5"/>
  <c r="AB1028" i="5"/>
  <c r="AB1027" i="5"/>
  <c r="AB1026" i="5"/>
  <c r="AB1025" i="5"/>
  <c r="AB1024" i="5"/>
  <c r="AB1023" i="5"/>
  <c r="AB1022" i="5"/>
  <c r="AB1021" i="5"/>
  <c r="AB1020" i="5"/>
  <c r="AB1019" i="5"/>
  <c r="AB1018" i="5"/>
  <c r="AB1017" i="5"/>
  <c r="AB1016" i="5"/>
  <c r="AB1015" i="5"/>
  <c r="AB1014" i="5"/>
  <c r="AB1013" i="5"/>
  <c r="AB1012" i="5"/>
  <c r="AB1011" i="5"/>
  <c r="AB1010" i="5"/>
  <c r="AB1009" i="5"/>
  <c r="AB1008" i="5"/>
  <c r="AB1007" i="5"/>
  <c r="AB1006" i="5"/>
  <c r="AB1005" i="5"/>
  <c r="AB1004" i="5"/>
  <c r="AB1003" i="5"/>
  <c r="AB1002" i="5"/>
  <c r="AB1001" i="5"/>
  <c r="AB1000" i="5"/>
  <c r="AB999" i="5"/>
  <c r="AB998" i="5"/>
  <c r="AB997" i="5"/>
  <c r="AB996" i="5"/>
  <c r="AB995" i="5"/>
  <c r="AB994" i="5"/>
  <c r="AA1987" i="5"/>
  <c r="Z1987" i="5"/>
  <c r="Y1987" i="5"/>
  <c r="W1987" i="5"/>
  <c r="V1987" i="5"/>
  <c r="U1987" i="5"/>
  <c r="AB989" i="5"/>
  <c r="AB987" i="5"/>
  <c r="AB982" i="5"/>
  <c r="AB980" i="5"/>
  <c r="AB976" i="5"/>
  <c r="AB972" i="5"/>
  <c r="AB971" i="5"/>
  <c r="AB969" i="5"/>
  <c r="AB968" i="5"/>
  <c r="AB967" i="5"/>
  <c r="AB965" i="5"/>
  <c r="AB964" i="5"/>
  <c r="AB963" i="5"/>
  <c r="AB961" i="5"/>
  <c r="AB960" i="5"/>
  <c r="AB959" i="5"/>
  <c r="AB957" i="5"/>
  <c r="AB956" i="5"/>
  <c r="AB955" i="5"/>
  <c r="AB952" i="5"/>
  <c r="AB947" i="5"/>
  <c r="AB942" i="5"/>
  <c r="AB940" i="5"/>
  <c r="AB939" i="5"/>
  <c r="AB936" i="5"/>
  <c r="AB935" i="5"/>
  <c r="AB930" i="5"/>
  <c r="AB927" i="5"/>
  <c r="AB926" i="5"/>
  <c r="AB924" i="5"/>
  <c r="AB920" i="5"/>
  <c r="AB915" i="5"/>
  <c r="AB914" i="5"/>
  <c r="AB910" i="5"/>
  <c r="AB908" i="5"/>
  <c r="AB907" i="5"/>
  <c r="AB904" i="5"/>
  <c r="AB898" i="5"/>
  <c r="AB894" i="5"/>
  <c r="AB892" i="5"/>
  <c r="AB888" i="5"/>
  <c r="AB887" i="5"/>
  <c r="AB883" i="5"/>
  <c r="AB882" i="5"/>
  <c r="AB878" i="5"/>
  <c r="AB876" i="5"/>
  <c r="AB875" i="5"/>
  <c r="AB872" i="5"/>
  <c r="AB866" i="5"/>
  <c r="AB862" i="5"/>
  <c r="AB860" i="5"/>
  <c r="AB859" i="5"/>
  <c r="AB858" i="5"/>
  <c r="AB857" i="5"/>
  <c r="AB855" i="5"/>
  <c r="AB853" i="5"/>
  <c r="AB850" i="5"/>
  <c r="AB849" i="5"/>
  <c r="AB848" i="5"/>
  <c r="AB847" i="5"/>
  <c r="AB846" i="5"/>
  <c r="AB845" i="5"/>
  <c r="AB844" i="5"/>
  <c r="AB843" i="5"/>
  <c r="AB842" i="5"/>
  <c r="AB841" i="5"/>
  <c r="AB840" i="5"/>
  <c r="AB839" i="5"/>
  <c r="AB838" i="5"/>
  <c r="AB837" i="5"/>
  <c r="AB836" i="5"/>
  <c r="AB835" i="5"/>
  <c r="AB834" i="5"/>
  <c r="AB833" i="5"/>
  <c r="AB832" i="5"/>
  <c r="AB831" i="5"/>
  <c r="AB830" i="5"/>
  <c r="AB829" i="5"/>
  <c r="AB828" i="5"/>
  <c r="AB827" i="5"/>
  <c r="AB826" i="5"/>
  <c r="AB825" i="5"/>
  <c r="AB824" i="5"/>
  <c r="AB823" i="5"/>
  <c r="AB822" i="5"/>
  <c r="AB821" i="5"/>
  <c r="AB820" i="5"/>
  <c r="AB819" i="5"/>
  <c r="AB818" i="5"/>
  <c r="AB817" i="5"/>
  <c r="AB816" i="5"/>
  <c r="AB815" i="5"/>
  <c r="AB814" i="5"/>
  <c r="AB813" i="5"/>
  <c r="AB812" i="5"/>
  <c r="AB811" i="5"/>
  <c r="AB810" i="5"/>
  <c r="AB809" i="5"/>
  <c r="AB808" i="5"/>
  <c r="AB807" i="5"/>
  <c r="AB806" i="5"/>
  <c r="AB805" i="5"/>
  <c r="AB804" i="5"/>
  <c r="AB803" i="5"/>
  <c r="AB802" i="5"/>
  <c r="AB801" i="5"/>
  <c r="AB800" i="5"/>
  <c r="AB799" i="5"/>
  <c r="AB798" i="5"/>
  <c r="AB797" i="5"/>
  <c r="AB796" i="5"/>
  <c r="AB795" i="5"/>
  <c r="AB794" i="5"/>
  <c r="AB793" i="5"/>
  <c r="AB792" i="5"/>
  <c r="AB791" i="5"/>
  <c r="AB790" i="5"/>
  <c r="AB789" i="5"/>
  <c r="AB788" i="5"/>
  <c r="AB787" i="5"/>
  <c r="AB786" i="5"/>
  <c r="AB785" i="5"/>
  <c r="AB784" i="5"/>
  <c r="AB783" i="5"/>
  <c r="AB782" i="5"/>
  <c r="AB781" i="5"/>
  <c r="AB780" i="5"/>
  <c r="AB779" i="5"/>
  <c r="AB778" i="5"/>
  <c r="AB777" i="5"/>
  <c r="AB776" i="5"/>
  <c r="AB775" i="5"/>
  <c r="AB774" i="5"/>
  <c r="AB773" i="5"/>
  <c r="AB772" i="5"/>
  <c r="AB771" i="5"/>
  <c r="AB770" i="5"/>
  <c r="AB769" i="5"/>
  <c r="AB768" i="5"/>
  <c r="AB767" i="5"/>
  <c r="AB766" i="5"/>
  <c r="AB765" i="5"/>
  <c r="AB764" i="5"/>
  <c r="AB763" i="5"/>
  <c r="AB762" i="5"/>
  <c r="AB761" i="5"/>
  <c r="AB760" i="5"/>
  <c r="AB759" i="5"/>
  <c r="AB758" i="5"/>
  <c r="AB757" i="5"/>
  <c r="AB756" i="5"/>
  <c r="AB755" i="5"/>
  <c r="AB754" i="5"/>
  <c r="AB753" i="5"/>
  <c r="AB752" i="5"/>
  <c r="AB751" i="5"/>
  <c r="AB750" i="5"/>
  <c r="AB749" i="5"/>
  <c r="AB748" i="5"/>
  <c r="AB747" i="5"/>
  <c r="AB746" i="5"/>
  <c r="AB745" i="5"/>
  <c r="AB744" i="5"/>
  <c r="AB743" i="5"/>
  <c r="AB742" i="5"/>
  <c r="AB741" i="5"/>
  <c r="AB740" i="5"/>
  <c r="AB739" i="5"/>
  <c r="AB738" i="5"/>
  <c r="AB737" i="5"/>
  <c r="AB736" i="5"/>
  <c r="AB735" i="5"/>
  <c r="AB734" i="5"/>
  <c r="AB733" i="5"/>
  <c r="AB732" i="5"/>
  <c r="BE731" i="5"/>
  <c r="AQ731" i="5"/>
  <c r="AB731" i="5"/>
  <c r="BE730" i="5"/>
  <c r="AQ730" i="5"/>
  <c r="AB730" i="5"/>
  <c r="BE729" i="5"/>
  <c r="AQ729" i="5"/>
  <c r="AB729" i="5"/>
  <c r="BE728" i="5"/>
  <c r="AQ728" i="5"/>
  <c r="AB728" i="5"/>
  <c r="BE727" i="5"/>
  <c r="AQ727" i="5"/>
  <c r="AB727" i="5"/>
  <c r="BE726" i="5"/>
  <c r="AQ726" i="5"/>
  <c r="AB726" i="5"/>
  <c r="BE725" i="5"/>
  <c r="AQ725" i="5"/>
  <c r="AB725" i="5"/>
  <c r="BE724" i="5"/>
  <c r="AQ724" i="5"/>
  <c r="AB724" i="5"/>
  <c r="BE723" i="5"/>
  <c r="AQ723" i="5"/>
  <c r="AB723" i="5"/>
  <c r="BE722" i="5"/>
  <c r="AQ722" i="5"/>
  <c r="AB722" i="5"/>
  <c r="BE721" i="5"/>
  <c r="AQ721" i="5"/>
  <c r="AB721" i="5"/>
  <c r="BE720" i="5"/>
  <c r="AQ720" i="5"/>
  <c r="AB720" i="5"/>
  <c r="BE719" i="5"/>
  <c r="AQ719" i="5"/>
  <c r="AB719" i="5"/>
  <c r="BE718" i="5"/>
  <c r="AQ718" i="5"/>
  <c r="AB718" i="5"/>
  <c r="BE717" i="5"/>
  <c r="AQ717" i="5"/>
  <c r="AB717" i="5"/>
  <c r="BE716" i="5"/>
  <c r="AQ716" i="5"/>
  <c r="AB716" i="5"/>
  <c r="BE715" i="5"/>
  <c r="AQ715" i="5"/>
  <c r="AB715" i="5"/>
  <c r="BE714" i="5"/>
  <c r="AQ714" i="5"/>
  <c r="AB714" i="5"/>
  <c r="BE713" i="5"/>
  <c r="AQ713" i="5"/>
  <c r="AB713" i="5"/>
  <c r="BE712" i="5"/>
  <c r="AQ712" i="5"/>
  <c r="AB712" i="5"/>
  <c r="BE711" i="5"/>
  <c r="AQ711" i="5"/>
  <c r="AB711" i="5"/>
  <c r="BE710" i="5"/>
  <c r="AQ710" i="5"/>
  <c r="AB710" i="5"/>
  <c r="BE709" i="5"/>
  <c r="AQ709" i="5"/>
  <c r="AB709" i="5"/>
  <c r="BE708" i="5"/>
  <c r="AQ708" i="5"/>
  <c r="AB708" i="5"/>
  <c r="BE707" i="5"/>
  <c r="AQ707" i="5"/>
  <c r="AB707" i="5"/>
  <c r="BE706" i="5"/>
  <c r="AQ706" i="5"/>
  <c r="AB706" i="5"/>
  <c r="BE705" i="5"/>
  <c r="AQ705" i="5"/>
  <c r="AB705" i="5"/>
  <c r="BE704" i="5"/>
  <c r="AQ704" i="5"/>
  <c r="AB704" i="5"/>
  <c r="BE703" i="5"/>
  <c r="AQ703" i="5"/>
  <c r="AB703" i="5"/>
  <c r="BE702" i="5"/>
  <c r="AQ702" i="5"/>
  <c r="AB702" i="5"/>
  <c r="BE701" i="5"/>
  <c r="AQ701" i="5"/>
  <c r="AB701" i="5"/>
  <c r="BE700" i="5"/>
  <c r="AQ700" i="5"/>
  <c r="AB700" i="5"/>
  <c r="BE699" i="5"/>
  <c r="AQ699" i="5"/>
  <c r="AB699" i="5"/>
  <c r="BE698" i="5"/>
  <c r="AQ698" i="5"/>
  <c r="AB698" i="5"/>
  <c r="BE697" i="5"/>
  <c r="BE696" i="5"/>
  <c r="AQ696" i="5"/>
  <c r="AB696" i="5"/>
  <c r="BE695" i="5"/>
  <c r="AQ695" i="5"/>
  <c r="BE693" i="5"/>
  <c r="AQ693" i="5"/>
  <c r="AB693" i="5"/>
  <c r="BE692" i="5"/>
  <c r="AQ692" i="5"/>
  <c r="AB692" i="5"/>
  <c r="BE691" i="5"/>
  <c r="AQ691" i="5"/>
  <c r="BE689" i="5"/>
  <c r="AQ689" i="5"/>
  <c r="AB689" i="5"/>
  <c r="AQ688" i="5"/>
  <c r="BE687" i="5"/>
  <c r="AB687" i="5"/>
  <c r="BE686" i="5"/>
  <c r="AQ686" i="5"/>
  <c r="AB686" i="5"/>
  <c r="BE685" i="5"/>
  <c r="BE683" i="5"/>
  <c r="AQ683" i="5"/>
  <c r="AB683" i="5"/>
  <c r="BE682" i="5"/>
  <c r="AQ682" i="5"/>
  <c r="AB682" i="5"/>
  <c r="BE681" i="5"/>
  <c r="AQ680" i="5"/>
  <c r="AB680" i="5"/>
  <c r="BE679" i="5"/>
  <c r="AQ679" i="5"/>
  <c r="BE677" i="5"/>
  <c r="BE675" i="5"/>
  <c r="AQ675" i="5"/>
  <c r="AB675" i="5"/>
  <c r="BE674" i="5"/>
  <c r="BE673" i="5"/>
  <c r="AB673" i="5"/>
  <c r="BE672" i="5"/>
  <c r="BE671" i="5"/>
  <c r="BE669" i="5"/>
  <c r="BE667" i="5"/>
  <c r="AQ667" i="5"/>
  <c r="AB667" i="5"/>
  <c r="BE666" i="5"/>
  <c r="AQ666" i="5"/>
  <c r="AQ665" i="5"/>
  <c r="AB665" i="5"/>
  <c r="AQ664" i="5"/>
  <c r="AQ663" i="5"/>
  <c r="AB663" i="5"/>
  <c r="AQ662" i="5"/>
  <c r="AB662" i="5"/>
  <c r="BE661" i="5"/>
  <c r="AQ661" i="5"/>
  <c r="AQ660" i="5"/>
  <c r="AB660" i="5"/>
  <c r="BE659" i="5"/>
  <c r="AQ659" i="5"/>
  <c r="AB659" i="5"/>
  <c r="BE658" i="5"/>
  <c r="AQ658" i="5"/>
  <c r="AB658" i="5"/>
  <c r="BE657" i="5"/>
  <c r="AQ657" i="5"/>
  <c r="AB657" i="5"/>
  <c r="BE656" i="5"/>
  <c r="AQ656" i="5"/>
  <c r="AB656" i="5"/>
  <c r="BE655" i="5"/>
  <c r="AQ655" i="5"/>
  <c r="AB655" i="5"/>
  <c r="BE654" i="5"/>
  <c r="AQ654" i="5"/>
  <c r="AB654" i="5"/>
  <c r="BE653" i="5"/>
  <c r="AQ653" i="5"/>
  <c r="AB653" i="5"/>
  <c r="BE652" i="5"/>
  <c r="AQ652" i="5"/>
  <c r="AB652" i="5"/>
  <c r="BE651" i="5"/>
  <c r="AQ651" i="5"/>
  <c r="AB651" i="5"/>
  <c r="BE650" i="5"/>
  <c r="AQ650" i="5"/>
  <c r="AB650" i="5"/>
  <c r="BE649" i="5"/>
  <c r="AQ649" i="5"/>
  <c r="AB649" i="5"/>
  <c r="BE648" i="5"/>
  <c r="AQ648" i="5"/>
  <c r="AB648" i="5"/>
  <c r="BE647" i="5"/>
  <c r="AQ647" i="5"/>
  <c r="AB647" i="5"/>
  <c r="BE646" i="5"/>
  <c r="AQ646" i="5"/>
  <c r="AB646" i="5"/>
  <c r="BE645" i="5"/>
  <c r="AQ645" i="5"/>
  <c r="AB645" i="5"/>
  <c r="BE644" i="5"/>
  <c r="AQ644" i="5"/>
  <c r="AB644" i="5"/>
  <c r="BE643" i="5"/>
  <c r="AQ643" i="5"/>
  <c r="AB643" i="5"/>
  <c r="BE642" i="5"/>
  <c r="AQ642" i="5"/>
  <c r="AB642" i="5"/>
  <c r="BE641" i="5"/>
  <c r="AQ641" i="5"/>
  <c r="AB641" i="5"/>
  <c r="BE640" i="5"/>
  <c r="AQ640" i="5"/>
  <c r="AB640" i="5"/>
  <c r="BE639" i="5"/>
  <c r="AQ639" i="5"/>
  <c r="AB639" i="5"/>
  <c r="BE638" i="5"/>
  <c r="AQ638" i="5"/>
  <c r="AB638" i="5"/>
  <c r="BE637" i="5"/>
  <c r="AQ637" i="5"/>
  <c r="AB637" i="5"/>
  <c r="BE636" i="5"/>
  <c r="AQ636" i="5"/>
  <c r="AB636" i="5"/>
  <c r="BE635" i="5"/>
  <c r="AQ635" i="5"/>
  <c r="AB635" i="5"/>
  <c r="BE634" i="5"/>
  <c r="AQ634" i="5"/>
  <c r="AB634" i="5"/>
  <c r="BC732" i="5"/>
  <c r="BB732" i="5"/>
  <c r="BA732" i="5"/>
  <c r="AZ732" i="5"/>
  <c r="AW732" i="5"/>
  <c r="AP732" i="5"/>
  <c r="AO732" i="5"/>
  <c r="AN732" i="5"/>
  <c r="AM732" i="5"/>
  <c r="AJ732" i="5"/>
  <c r="AB633" i="5"/>
  <c r="AB632" i="5"/>
  <c r="AB631" i="5"/>
  <c r="AB630" i="5"/>
  <c r="BE629" i="5"/>
  <c r="AQ629" i="5"/>
  <c r="AB629" i="5"/>
  <c r="BE628" i="5"/>
  <c r="AQ628" i="5"/>
  <c r="AB628" i="5"/>
  <c r="BE627" i="5"/>
  <c r="AQ627" i="5"/>
  <c r="AB627" i="5"/>
  <c r="BE626" i="5"/>
  <c r="AQ626" i="5"/>
  <c r="AB626" i="5"/>
  <c r="BE625" i="5"/>
  <c r="AQ625" i="5"/>
  <c r="AB625" i="5"/>
  <c r="BE624" i="5"/>
  <c r="AQ624" i="5"/>
  <c r="AB624" i="5"/>
  <c r="BE623" i="5"/>
  <c r="AQ623" i="5"/>
  <c r="AB623" i="5"/>
  <c r="BE622" i="5"/>
  <c r="AQ622" i="5"/>
  <c r="AB622" i="5"/>
  <c r="BE621" i="5"/>
  <c r="AQ621" i="5"/>
  <c r="AB621" i="5"/>
  <c r="BE620" i="5"/>
  <c r="AQ620" i="5"/>
  <c r="AB620" i="5"/>
  <c r="BE619" i="5"/>
  <c r="AQ619" i="5"/>
  <c r="AB619" i="5"/>
  <c r="BE618" i="5"/>
  <c r="AQ618" i="5"/>
  <c r="AB618" i="5"/>
  <c r="BE617" i="5"/>
  <c r="AQ617" i="5"/>
  <c r="AB617" i="5"/>
  <c r="BE616" i="5"/>
  <c r="AQ616" i="5"/>
  <c r="AB616" i="5"/>
  <c r="BE615" i="5"/>
  <c r="AQ615" i="5"/>
  <c r="AB615" i="5"/>
  <c r="BE614" i="5"/>
  <c r="AQ614" i="5"/>
  <c r="AB614" i="5"/>
  <c r="BE613" i="5"/>
  <c r="AQ613" i="5"/>
  <c r="AB613" i="5"/>
  <c r="BE612" i="5"/>
  <c r="AQ612" i="5"/>
  <c r="AB612" i="5"/>
  <c r="BE611" i="5"/>
  <c r="AQ611" i="5"/>
  <c r="AB611" i="5"/>
  <c r="BE610" i="5"/>
  <c r="AQ610" i="5"/>
  <c r="AB610" i="5"/>
  <c r="BE609" i="5"/>
  <c r="AQ609" i="5"/>
  <c r="AB609" i="5"/>
  <c r="BE608" i="5"/>
  <c r="AQ608" i="5"/>
  <c r="AB608" i="5"/>
  <c r="BE607" i="5"/>
  <c r="AQ607" i="5"/>
  <c r="AB607" i="5"/>
  <c r="BE606" i="5"/>
  <c r="AQ606" i="5"/>
  <c r="AB606" i="5"/>
  <c r="BE605" i="5"/>
  <c r="AQ605" i="5"/>
  <c r="AB605" i="5"/>
  <c r="BE604" i="5"/>
  <c r="AQ604" i="5"/>
  <c r="AB604" i="5"/>
  <c r="BE603" i="5"/>
  <c r="AQ603" i="5"/>
  <c r="AB603" i="5"/>
  <c r="BE602" i="5"/>
  <c r="AQ602" i="5"/>
  <c r="AB602" i="5"/>
  <c r="BE601" i="5"/>
  <c r="AQ601" i="5"/>
  <c r="AB601" i="5"/>
  <c r="BE600" i="5"/>
  <c r="AQ600" i="5"/>
  <c r="AB600" i="5"/>
  <c r="BE599" i="5"/>
  <c r="AQ599" i="5"/>
  <c r="AB599" i="5"/>
  <c r="BE598" i="5"/>
  <c r="AQ598" i="5"/>
  <c r="AB598" i="5"/>
  <c r="BD630" i="5"/>
  <c r="BC630" i="5"/>
  <c r="BB630" i="5"/>
  <c r="BA630" i="5"/>
  <c r="AZ630" i="5"/>
  <c r="AY630" i="5"/>
  <c r="AX630" i="5"/>
  <c r="BE597" i="5"/>
  <c r="AP630" i="5"/>
  <c r="AO630" i="5"/>
  <c r="AN630" i="5"/>
  <c r="AM630" i="5"/>
  <c r="AL630" i="5"/>
  <c r="AK630" i="5"/>
  <c r="AJ630" i="5"/>
  <c r="AQ597" i="5"/>
  <c r="AB597" i="5"/>
  <c r="AQ596" i="5"/>
  <c r="AB596" i="5"/>
  <c r="BE595" i="5"/>
  <c r="AB595" i="5"/>
  <c r="AQ594" i="5"/>
  <c r="AB594" i="5"/>
  <c r="AB593" i="5"/>
  <c r="AQ592" i="5"/>
  <c r="AB592" i="5"/>
  <c r="BE591" i="5"/>
  <c r="AB591" i="5"/>
  <c r="AQ590" i="5"/>
  <c r="AB590" i="5"/>
  <c r="AB589" i="5"/>
  <c r="BE587" i="5"/>
  <c r="AB587" i="5"/>
  <c r="AB586" i="5"/>
  <c r="J1971" i="5"/>
  <c r="AB584" i="5"/>
  <c r="BE583" i="5"/>
  <c r="AB583" i="5"/>
  <c r="J1967" i="5"/>
  <c r="BE579" i="5"/>
  <c r="AB579" i="5"/>
  <c r="AQ578" i="5"/>
  <c r="AB578" i="5"/>
  <c r="J1963" i="5"/>
  <c r="AB575" i="5"/>
  <c r="AQ574" i="5"/>
  <c r="AB574" i="5"/>
  <c r="J1959" i="5"/>
  <c r="AQ573" i="5"/>
  <c r="BE571" i="5"/>
  <c r="AB571" i="5"/>
  <c r="AQ570" i="5"/>
  <c r="AB570" i="5"/>
  <c r="J1955" i="5"/>
  <c r="AB568" i="5"/>
  <c r="BE567" i="5"/>
  <c r="AB567" i="5"/>
  <c r="AQ565" i="5"/>
  <c r="K1949" i="5"/>
  <c r="AB563" i="5"/>
  <c r="AQ562" i="5"/>
  <c r="AB562" i="5"/>
  <c r="AQ561" i="5"/>
  <c r="AB561" i="5"/>
  <c r="BE559" i="5"/>
  <c r="AQ558" i="5"/>
  <c r="AB558" i="5"/>
  <c r="AQ557" i="5"/>
  <c r="AB557" i="5"/>
  <c r="BE555" i="5"/>
  <c r="AB554" i="5"/>
  <c r="AQ553" i="5"/>
  <c r="AB553" i="5"/>
  <c r="AB552" i="5"/>
  <c r="BE551" i="5"/>
  <c r="AB550" i="5"/>
  <c r="AQ549" i="5"/>
  <c r="AB549" i="5"/>
  <c r="BE547" i="5"/>
  <c r="AB546" i="5"/>
  <c r="AQ545" i="5"/>
  <c r="AB545" i="5"/>
  <c r="AB542" i="5"/>
  <c r="AQ541" i="5"/>
  <c r="AB541" i="5"/>
  <c r="K1925" i="5"/>
  <c r="K1923" i="5"/>
  <c r="AQ537" i="5"/>
  <c r="AB537" i="5"/>
  <c r="K1922" i="5"/>
  <c r="AB536" i="5"/>
  <c r="K1921" i="5"/>
  <c r="J1921" i="5"/>
  <c r="AB535" i="5"/>
  <c r="AB534" i="5"/>
  <c r="K1919" i="5"/>
  <c r="BE533" i="5"/>
  <c r="AQ533" i="5"/>
  <c r="AB533" i="5"/>
  <c r="K1918" i="5"/>
  <c r="AB532" i="5"/>
  <c r="K1917" i="5"/>
  <c r="J1917" i="5"/>
  <c r="AB531" i="5"/>
  <c r="AB530" i="5"/>
  <c r="K1915" i="5"/>
  <c r="BE529" i="5"/>
  <c r="AQ529" i="5"/>
  <c r="AB529" i="5"/>
  <c r="K1914" i="5"/>
  <c r="K1913" i="5"/>
  <c r="J1913" i="5"/>
  <c r="AB527" i="5"/>
  <c r="K1912" i="5"/>
  <c r="K1911" i="5"/>
  <c r="BE525" i="5"/>
  <c r="AQ525" i="5"/>
  <c r="AB525" i="5"/>
  <c r="K1910" i="5"/>
  <c r="K1909" i="5"/>
  <c r="J1909" i="5"/>
  <c r="AB523" i="5"/>
  <c r="K1908" i="5"/>
  <c r="K1907" i="5"/>
  <c r="AQ521" i="5"/>
  <c r="AB521" i="5"/>
  <c r="K1906" i="5"/>
  <c r="K1905" i="5"/>
  <c r="J1905" i="5"/>
  <c r="AB519" i="5"/>
  <c r="K1903" i="5"/>
  <c r="BE517" i="5"/>
  <c r="AQ517" i="5"/>
  <c r="AB517" i="5"/>
  <c r="K1902" i="5"/>
  <c r="K1901" i="5"/>
  <c r="J1901" i="5"/>
  <c r="AB515" i="5"/>
  <c r="K1900" i="5"/>
  <c r="K1899" i="5"/>
  <c r="AQ513" i="5"/>
  <c r="AB513" i="5"/>
  <c r="K1898" i="5"/>
  <c r="K1897" i="5"/>
  <c r="AB511" i="5"/>
  <c r="K1895" i="5"/>
  <c r="AQ509" i="5"/>
  <c r="AB509" i="5"/>
  <c r="K1894" i="5"/>
  <c r="K1893" i="5"/>
  <c r="J1893" i="5"/>
  <c r="AB507" i="5"/>
  <c r="K1892" i="5"/>
  <c r="K1891" i="5"/>
  <c r="AQ505" i="5"/>
  <c r="AB505" i="5"/>
  <c r="K1890" i="5"/>
  <c r="J1890" i="5"/>
  <c r="K1889" i="5"/>
  <c r="AB503" i="5"/>
  <c r="K1887" i="5"/>
  <c r="AQ501" i="5"/>
  <c r="AB501" i="5"/>
  <c r="J1886" i="5"/>
  <c r="J1885" i="5"/>
  <c r="AB499" i="5"/>
  <c r="J1884" i="5"/>
  <c r="BE498" i="5"/>
  <c r="K1883" i="5"/>
  <c r="J1883" i="5"/>
  <c r="BE497" i="5"/>
  <c r="AQ497" i="5"/>
  <c r="AB497" i="5"/>
  <c r="J1882" i="5"/>
  <c r="BE496" i="5"/>
  <c r="AB496" i="5"/>
  <c r="J1881" i="5"/>
  <c r="BE495" i="5"/>
  <c r="J1880" i="5"/>
  <c r="BE494" i="5"/>
  <c r="AB494" i="5"/>
  <c r="K1879" i="5"/>
  <c r="J1879" i="5"/>
  <c r="BE493" i="5"/>
  <c r="AQ493" i="5"/>
  <c r="BE492" i="5"/>
  <c r="AB492" i="5"/>
  <c r="J1877" i="5"/>
  <c r="BE491" i="5"/>
  <c r="J1876" i="5"/>
  <c r="BE490" i="5"/>
  <c r="AB490" i="5"/>
  <c r="K1875" i="5"/>
  <c r="J1875" i="5"/>
  <c r="BE489" i="5"/>
  <c r="AQ489" i="5"/>
  <c r="J1874" i="5"/>
  <c r="BE488" i="5"/>
  <c r="AB488" i="5"/>
  <c r="J1873" i="5"/>
  <c r="BE487" i="5"/>
  <c r="J1872" i="5"/>
  <c r="BE486" i="5"/>
  <c r="AB486" i="5"/>
  <c r="K1871" i="5"/>
  <c r="J1871" i="5"/>
  <c r="BE485" i="5"/>
  <c r="AQ485" i="5"/>
  <c r="J1870" i="5"/>
  <c r="AB484" i="5"/>
  <c r="J1869" i="5"/>
  <c r="J1868" i="5"/>
  <c r="BE482" i="5"/>
  <c r="AB482" i="5"/>
  <c r="K1867" i="5"/>
  <c r="J1867" i="5"/>
  <c r="BE481" i="5"/>
  <c r="AQ481" i="5"/>
  <c r="J1866" i="5"/>
  <c r="BE480" i="5"/>
  <c r="AB480" i="5"/>
  <c r="J1865" i="5"/>
  <c r="BE479" i="5"/>
  <c r="J1864" i="5"/>
  <c r="BE478" i="5"/>
  <c r="AB478" i="5"/>
  <c r="K1863" i="5"/>
  <c r="J1863" i="5"/>
  <c r="BE477" i="5"/>
  <c r="AQ477" i="5"/>
  <c r="BE476" i="5"/>
  <c r="AB476" i="5"/>
  <c r="J1861" i="5"/>
  <c r="BE475" i="5"/>
  <c r="BE474" i="5"/>
  <c r="AB474" i="5"/>
  <c r="J1859" i="5"/>
  <c r="BE473" i="5"/>
  <c r="AQ473" i="5"/>
  <c r="J1858" i="5"/>
  <c r="BE472" i="5"/>
  <c r="AB472" i="5"/>
  <c r="J1857" i="5"/>
  <c r="BE471" i="5"/>
  <c r="K1856" i="5"/>
  <c r="BE470" i="5"/>
  <c r="AB470" i="5"/>
  <c r="J1855" i="5"/>
  <c r="BE469" i="5"/>
  <c r="AQ469" i="5"/>
  <c r="J1854" i="5"/>
  <c r="BE468" i="5"/>
  <c r="AB468" i="5"/>
  <c r="J1853" i="5"/>
  <c r="BE467" i="5"/>
  <c r="AB467" i="5"/>
  <c r="K1852" i="5"/>
  <c r="BE466" i="5"/>
  <c r="AB466" i="5"/>
  <c r="J1851" i="5"/>
  <c r="AQ465" i="5"/>
  <c r="AB465" i="5"/>
  <c r="J1850" i="5"/>
  <c r="BE464" i="5"/>
  <c r="AB464" i="5"/>
  <c r="J1849" i="5"/>
  <c r="BE463" i="5"/>
  <c r="AB463" i="5"/>
  <c r="K1848" i="5"/>
  <c r="BE462" i="5"/>
  <c r="J1847" i="5"/>
  <c r="BE461" i="5"/>
  <c r="AB461" i="5"/>
  <c r="J1846" i="5"/>
  <c r="BE460" i="5"/>
  <c r="AB460" i="5"/>
  <c r="J1845" i="5"/>
  <c r="BE459" i="5"/>
  <c r="AB459" i="5"/>
  <c r="K1844" i="5"/>
  <c r="J1844" i="5"/>
  <c r="BE458" i="5"/>
  <c r="AB458" i="5"/>
  <c r="J1843" i="5"/>
  <c r="AQ457" i="5"/>
  <c r="AB457" i="5"/>
  <c r="J1842" i="5"/>
  <c r="BE456" i="5"/>
  <c r="AB456" i="5"/>
  <c r="J1841" i="5"/>
  <c r="BE455" i="5"/>
  <c r="AB455" i="5"/>
  <c r="K1840" i="5"/>
  <c r="J1840" i="5"/>
  <c r="BE454" i="5"/>
  <c r="AB454" i="5"/>
  <c r="K1839" i="5"/>
  <c r="AB453" i="5"/>
  <c r="J1838" i="5"/>
  <c r="AB452" i="5"/>
  <c r="J1837" i="5"/>
  <c r="BE451" i="5"/>
  <c r="AB451" i="5"/>
  <c r="K1836" i="5"/>
  <c r="J1836" i="5"/>
  <c r="BE450" i="5"/>
  <c r="AB450" i="5"/>
  <c r="K1835" i="5"/>
  <c r="J1835" i="5"/>
  <c r="BE449" i="5"/>
  <c r="AB449" i="5"/>
  <c r="J1834" i="5"/>
  <c r="BE448" i="5"/>
  <c r="AB448" i="5"/>
  <c r="K1833" i="5"/>
  <c r="J1833" i="5"/>
  <c r="BE447" i="5"/>
  <c r="AB447" i="5"/>
  <c r="K1832" i="5"/>
  <c r="J1832" i="5"/>
  <c r="AB446" i="5"/>
  <c r="K1831" i="5"/>
  <c r="J1831" i="5"/>
  <c r="BE445" i="5"/>
  <c r="AB445" i="5"/>
  <c r="J1830" i="5"/>
  <c r="AB444" i="5"/>
  <c r="K1829" i="5"/>
  <c r="J1829" i="5"/>
  <c r="BE443" i="5"/>
  <c r="AB443" i="5"/>
  <c r="AB442" i="5"/>
  <c r="J1827" i="5"/>
  <c r="AB441" i="5"/>
  <c r="J1826" i="5"/>
  <c r="BE440" i="5"/>
  <c r="AB440" i="5"/>
  <c r="K1825" i="5"/>
  <c r="BE439" i="5"/>
  <c r="AB439" i="5"/>
  <c r="K1824" i="5"/>
  <c r="AB438" i="5"/>
  <c r="J1823" i="5"/>
  <c r="AB437" i="5"/>
  <c r="J1822" i="5"/>
  <c r="AB436" i="5"/>
  <c r="K1821" i="5"/>
  <c r="J1821" i="5"/>
  <c r="AB435" i="5"/>
  <c r="K1820" i="5"/>
  <c r="J1820" i="5"/>
  <c r="AB434" i="5"/>
  <c r="K1819" i="5"/>
  <c r="J1818" i="5"/>
  <c r="AB432" i="5"/>
  <c r="K1817" i="5"/>
  <c r="J1817" i="5"/>
  <c r="BE431" i="5"/>
  <c r="AB431" i="5"/>
  <c r="J1816" i="5"/>
  <c r="K1815" i="5"/>
  <c r="AB429" i="5"/>
  <c r="J1814" i="5"/>
  <c r="K1813" i="5"/>
  <c r="J1813" i="5"/>
  <c r="J1812" i="5"/>
  <c r="AB426" i="5"/>
  <c r="K1811" i="5"/>
  <c r="J1811" i="5"/>
  <c r="J1810" i="5"/>
  <c r="K1809" i="5"/>
  <c r="J1809" i="5"/>
  <c r="AB423" i="5"/>
  <c r="K1808" i="5"/>
  <c r="H1808" i="5"/>
  <c r="AB421" i="5"/>
  <c r="J1806" i="5"/>
  <c r="K1805" i="5"/>
  <c r="BE419" i="5"/>
  <c r="K1804" i="5"/>
  <c r="J1804" i="5"/>
  <c r="BE418" i="5"/>
  <c r="J1802" i="5"/>
  <c r="K1801" i="5"/>
  <c r="BE415" i="5"/>
  <c r="K1800" i="5"/>
  <c r="J1800" i="5"/>
  <c r="K1799" i="5"/>
  <c r="AB413" i="5"/>
  <c r="J1798" i="5"/>
  <c r="K1797" i="5"/>
  <c r="BE411" i="5"/>
  <c r="AB411" i="5"/>
  <c r="K1796" i="5"/>
  <c r="J1796" i="5"/>
  <c r="K1795" i="5"/>
  <c r="J1795" i="5"/>
  <c r="BE409" i="5"/>
  <c r="AB409" i="5"/>
  <c r="K1794" i="5"/>
  <c r="AB408" i="5"/>
  <c r="K1793" i="5"/>
  <c r="J1793" i="5"/>
  <c r="AB407" i="5"/>
  <c r="J1792" i="5"/>
  <c r="AB406" i="5"/>
  <c r="K1791" i="5"/>
  <c r="J1791" i="5"/>
  <c r="BE405" i="5"/>
  <c r="AB405" i="5"/>
  <c r="K1790" i="5"/>
  <c r="H1790" i="5"/>
  <c r="AB404" i="5"/>
  <c r="K1789" i="5"/>
  <c r="J1789" i="5"/>
  <c r="AB403" i="5"/>
  <c r="J1788" i="5"/>
  <c r="AB402" i="5"/>
  <c r="K1787" i="5"/>
  <c r="J1787" i="5"/>
  <c r="BE401" i="5"/>
  <c r="AB401" i="5"/>
  <c r="K1786" i="5"/>
  <c r="AB400" i="5"/>
  <c r="K1785" i="5"/>
  <c r="J1785" i="5"/>
  <c r="BE399" i="5"/>
  <c r="AB399" i="5"/>
  <c r="K1652" i="5"/>
  <c r="AB398" i="5"/>
  <c r="J1651" i="5"/>
  <c r="AQ397" i="5"/>
  <c r="AB397" i="5"/>
  <c r="BE396" i="5"/>
  <c r="AB396" i="5"/>
  <c r="K1649" i="5"/>
  <c r="BE395" i="5"/>
  <c r="AB395" i="5"/>
  <c r="K1648" i="5"/>
  <c r="AB394" i="5"/>
  <c r="J1647" i="5"/>
  <c r="AB393" i="5"/>
  <c r="J1646" i="5"/>
  <c r="BE392" i="5"/>
  <c r="AB392" i="5"/>
  <c r="K1645" i="5"/>
  <c r="BE391" i="5"/>
  <c r="AB391" i="5"/>
  <c r="K1644" i="5"/>
  <c r="AB390" i="5"/>
  <c r="J1643" i="5"/>
  <c r="AB389" i="5"/>
  <c r="J1642" i="5"/>
  <c r="BE388" i="5"/>
  <c r="AB388" i="5"/>
  <c r="K1641" i="5"/>
  <c r="BE387" i="5"/>
  <c r="AB387" i="5"/>
  <c r="K1640" i="5"/>
  <c r="AB386" i="5"/>
  <c r="J1639" i="5"/>
  <c r="AB385" i="5"/>
  <c r="J1638" i="5"/>
  <c r="BE384" i="5"/>
  <c r="AB384" i="5"/>
  <c r="K1637" i="5"/>
  <c r="BE383" i="5"/>
  <c r="AB383" i="5"/>
  <c r="K1636" i="5"/>
  <c r="AB382" i="5"/>
  <c r="J1635" i="5"/>
  <c r="AB381" i="5"/>
  <c r="J1634" i="5"/>
  <c r="BE380" i="5"/>
  <c r="AB380" i="5"/>
  <c r="K1633" i="5"/>
  <c r="BE379" i="5"/>
  <c r="AB379" i="5"/>
  <c r="K1632" i="5"/>
  <c r="AB378" i="5"/>
  <c r="J1631" i="5"/>
  <c r="AB377" i="5"/>
  <c r="J1630" i="5"/>
  <c r="BE376" i="5"/>
  <c r="AB376" i="5"/>
  <c r="K1629" i="5"/>
  <c r="I1629" i="5"/>
  <c r="BE375" i="5"/>
  <c r="AB375" i="5"/>
  <c r="AB374" i="5"/>
  <c r="J1627" i="5"/>
  <c r="BE373" i="5"/>
  <c r="AB373" i="5"/>
  <c r="J1626" i="5"/>
  <c r="BE372" i="5"/>
  <c r="AB372" i="5"/>
  <c r="K1625" i="5"/>
  <c r="BE371" i="5"/>
  <c r="AB371" i="5"/>
  <c r="J1624" i="5"/>
  <c r="AB370" i="5"/>
  <c r="J1623" i="5"/>
  <c r="BE369" i="5"/>
  <c r="AB369" i="5"/>
  <c r="J1622" i="5"/>
  <c r="BE368" i="5"/>
  <c r="AB368" i="5"/>
  <c r="K1621" i="5"/>
  <c r="BE367" i="5"/>
  <c r="AB367" i="5"/>
  <c r="K1620" i="5"/>
  <c r="AB366" i="5"/>
  <c r="J1619" i="5"/>
  <c r="BE365" i="5"/>
  <c r="AB365" i="5"/>
  <c r="J1618" i="5"/>
  <c r="BE364" i="5"/>
  <c r="AB364" i="5"/>
  <c r="K1617" i="5"/>
  <c r="BE363" i="5"/>
  <c r="AB363" i="5"/>
  <c r="J1616" i="5"/>
  <c r="AB362" i="5"/>
  <c r="J1615" i="5"/>
  <c r="AB361" i="5"/>
  <c r="J1614" i="5"/>
  <c r="BE360" i="5"/>
  <c r="AB360" i="5"/>
  <c r="K1613" i="5"/>
  <c r="J1613" i="5"/>
  <c r="BE359" i="5"/>
  <c r="AB359" i="5"/>
  <c r="K1612" i="5"/>
  <c r="J1612" i="5"/>
  <c r="AB358" i="5"/>
  <c r="J1611" i="5"/>
  <c r="AB357" i="5"/>
  <c r="J1610" i="5"/>
  <c r="BE356" i="5"/>
  <c r="AB356" i="5"/>
  <c r="K1609" i="5"/>
  <c r="BE355" i="5"/>
  <c r="AB355" i="5"/>
  <c r="K1608" i="5"/>
  <c r="J1608" i="5"/>
  <c r="AB354" i="5"/>
  <c r="J1607" i="5"/>
  <c r="BE353" i="5"/>
  <c r="J1606" i="5"/>
  <c r="K1605" i="5"/>
  <c r="J1605" i="5"/>
  <c r="AB351" i="5"/>
  <c r="K1604" i="5"/>
  <c r="AQ350" i="5"/>
  <c r="AB350" i="5"/>
  <c r="K1603" i="5"/>
  <c r="J1603" i="5"/>
  <c r="AB349" i="5"/>
  <c r="K1602" i="5"/>
  <c r="K1601" i="5"/>
  <c r="AB347" i="5"/>
  <c r="K1600" i="5"/>
  <c r="AB346" i="5"/>
  <c r="K1599" i="5"/>
  <c r="J1599" i="5"/>
  <c r="K1598" i="5"/>
  <c r="AB344" i="5"/>
  <c r="K1597" i="5"/>
  <c r="AB343" i="5"/>
  <c r="K1596" i="5"/>
  <c r="K1595" i="5"/>
  <c r="J1595" i="5"/>
  <c r="K1594" i="5"/>
  <c r="K1593" i="5"/>
  <c r="AQ339" i="5"/>
  <c r="AB339" i="5"/>
  <c r="K1592" i="5"/>
  <c r="H1592" i="5"/>
  <c r="K1591" i="5"/>
  <c r="J1591" i="5"/>
  <c r="AQ337" i="5"/>
  <c r="AB337" i="5"/>
  <c r="K1590" i="5"/>
  <c r="K1589" i="5"/>
  <c r="K1588" i="5"/>
  <c r="K1587" i="5"/>
  <c r="J1587" i="5"/>
  <c r="K1586" i="5"/>
  <c r="AB332" i="5"/>
  <c r="K1585" i="5"/>
  <c r="K1584" i="5"/>
  <c r="AB330" i="5"/>
  <c r="K1583" i="5"/>
  <c r="J1583" i="5"/>
  <c r="K1582" i="5"/>
  <c r="AB328" i="5"/>
  <c r="K1581" i="5"/>
  <c r="K1580" i="5"/>
  <c r="K1579" i="5"/>
  <c r="J1579" i="5"/>
  <c r="AB325" i="5"/>
  <c r="K1578" i="5"/>
  <c r="K1577" i="5"/>
  <c r="AB323" i="5"/>
  <c r="K1576" i="5"/>
  <c r="K1575" i="5"/>
  <c r="J1575" i="5"/>
  <c r="AB321" i="5"/>
  <c r="K1574" i="5"/>
  <c r="K1573" i="5"/>
  <c r="BE319" i="5"/>
  <c r="AB319" i="5"/>
  <c r="K1572" i="5"/>
  <c r="K1571" i="5"/>
  <c r="J1571" i="5"/>
  <c r="AB317" i="5"/>
  <c r="I1570" i="5"/>
  <c r="K1569" i="5"/>
  <c r="BE315" i="5"/>
  <c r="AB315" i="5"/>
  <c r="K1568" i="5"/>
  <c r="K1567" i="5"/>
  <c r="J1567" i="5"/>
  <c r="AB313" i="5"/>
  <c r="K1565" i="5"/>
  <c r="BE311" i="5"/>
  <c r="AB311" i="5"/>
  <c r="K1564" i="5"/>
  <c r="K1563" i="5"/>
  <c r="J1563" i="5"/>
  <c r="AB309" i="5"/>
  <c r="K1561" i="5"/>
  <c r="I1561" i="5"/>
  <c r="BE307" i="5"/>
  <c r="AB307" i="5"/>
  <c r="K1560" i="5"/>
  <c r="K1559" i="5"/>
  <c r="J1559" i="5"/>
  <c r="AB305" i="5"/>
  <c r="K1557" i="5"/>
  <c r="BE303" i="5"/>
  <c r="AB303" i="5"/>
  <c r="K1556" i="5"/>
  <c r="K1555" i="5"/>
  <c r="J1555" i="5"/>
  <c r="AB301" i="5"/>
  <c r="K1553" i="5"/>
  <c r="BE299" i="5"/>
  <c r="AQ299" i="5"/>
  <c r="K1552" i="5"/>
  <c r="AQ298" i="5"/>
  <c r="AB298" i="5"/>
  <c r="K1551" i="5"/>
  <c r="J1551" i="5"/>
  <c r="AQ297" i="5"/>
  <c r="AQ296" i="5"/>
  <c r="AB296" i="5"/>
  <c r="K1549" i="5"/>
  <c r="BE295" i="5"/>
  <c r="AQ295" i="5"/>
  <c r="K1548" i="5"/>
  <c r="AQ294" i="5"/>
  <c r="AB294" i="5"/>
  <c r="K1547" i="5"/>
  <c r="J1547" i="5"/>
  <c r="AQ293" i="5"/>
  <c r="AQ292" i="5"/>
  <c r="K1545" i="5"/>
  <c r="K1544" i="5"/>
  <c r="K1543" i="5"/>
  <c r="J1543" i="5"/>
  <c r="K1542" i="5"/>
  <c r="K1541" i="5"/>
  <c r="K1540" i="5"/>
  <c r="K1539" i="5"/>
  <c r="J1539" i="5"/>
  <c r="K1538" i="5"/>
  <c r="K1537" i="5"/>
  <c r="K1536" i="5"/>
  <c r="K1535" i="5"/>
  <c r="J1535" i="5"/>
  <c r="K1534" i="5"/>
  <c r="I1534" i="5"/>
  <c r="K1533" i="5"/>
  <c r="K1532" i="5"/>
  <c r="AQ278" i="5"/>
  <c r="K1531" i="5"/>
  <c r="J1531" i="5"/>
  <c r="K1530" i="5"/>
  <c r="K1529" i="5"/>
  <c r="I1529" i="5"/>
  <c r="K1528" i="5"/>
  <c r="K1527" i="5"/>
  <c r="J1527" i="5"/>
  <c r="K1526" i="5"/>
  <c r="K1525" i="5"/>
  <c r="J1525" i="5"/>
  <c r="I1524" i="5"/>
  <c r="K1523" i="5"/>
  <c r="J1523" i="5"/>
  <c r="K1522" i="5"/>
  <c r="K1521" i="5"/>
  <c r="J1521" i="5"/>
  <c r="K1519" i="5"/>
  <c r="J1519" i="5"/>
  <c r="K1518" i="5"/>
  <c r="AQ264" i="5"/>
  <c r="K1517" i="5"/>
  <c r="J1517" i="5"/>
  <c r="K1515" i="5"/>
  <c r="K1514" i="5"/>
  <c r="K1513" i="5"/>
  <c r="AQ259" i="5"/>
  <c r="K1512" i="5"/>
  <c r="K1511" i="5"/>
  <c r="K1510" i="5"/>
  <c r="K1509" i="5"/>
  <c r="K1508" i="5"/>
  <c r="K1507" i="5"/>
  <c r="K1506" i="5"/>
  <c r="K1505" i="5"/>
  <c r="AQ251" i="5"/>
  <c r="K1504" i="5"/>
  <c r="K1503" i="5"/>
  <c r="K1502" i="5"/>
  <c r="K1501" i="5"/>
  <c r="K1500" i="5"/>
  <c r="K1499" i="5"/>
  <c r="K1498" i="5"/>
  <c r="K1497" i="5"/>
  <c r="AQ243" i="5"/>
  <c r="K1496" i="5"/>
  <c r="K1495" i="5"/>
  <c r="K1494" i="5"/>
  <c r="I1494" i="5"/>
  <c r="K1493" i="5"/>
  <c r="K1492" i="5"/>
  <c r="K1491" i="5"/>
  <c r="K1490" i="5"/>
  <c r="K1489" i="5"/>
  <c r="AQ235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AQ219" i="5"/>
  <c r="K1472" i="5"/>
  <c r="K1471" i="5"/>
  <c r="K1470" i="5"/>
  <c r="K1469" i="5"/>
  <c r="K1468" i="5"/>
  <c r="K1467" i="5"/>
  <c r="K1466" i="5"/>
  <c r="K1465" i="5"/>
  <c r="K1464" i="5"/>
  <c r="K1463" i="5"/>
  <c r="I1463" i="5"/>
  <c r="AQ209" i="5"/>
  <c r="K1462" i="5"/>
  <c r="I1462" i="5"/>
  <c r="K1461" i="5"/>
  <c r="K1460" i="5"/>
  <c r="K1459" i="5"/>
  <c r="AQ205" i="5"/>
  <c r="K1458" i="5"/>
  <c r="K1457" i="5"/>
  <c r="K1456" i="5"/>
  <c r="K1455" i="5"/>
  <c r="I1455" i="5"/>
  <c r="J1322" i="5"/>
  <c r="J1321" i="5"/>
  <c r="BE199" i="5"/>
  <c r="AB199" i="5"/>
  <c r="J1320" i="5"/>
  <c r="J1319" i="5"/>
  <c r="H1319" i="5"/>
  <c r="AQ197" i="5"/>
  <c r="J1318" i="5"/>
  <c r="AB196" i="5"/>
  <c r="J1317" i="5"/>
  <c r="BE195" i="5"/>
  <c r="J1316" i="5"/>
  <c r="BE194" i="5"/>
  <c r="AQ194" i="5"/>
  <c r="J1315" i="5"/>
  <c r="J1314" i="5"/>
  <c r="BE192" i="5"/>
  <c r="AB192" i="5"/>
  <c r="J1313" i="5"/>
  <c r="J1312" i="5"/>
  <c r="H1312" i="5"/>
  <c r="AQ190" i="5"/>
  <c r="AB190" i="5"/>
  <c r="J1311" i="5"/>
  <c r="AB189" i="5"/>
  <c r="J1310" i="5"/>
  <c r="BE188" i="5"/>
  <c r="AQ188" i="5"/>
  <c r="J1309" i="5"/>
  <c r="BE187" i="5"/>
  <c r="AQ187" i="5"/>
  <c r="J1308" i="5"/>
  <c r="J1307" i="5"/>
  <c r="AQ185" i="5"/>
  <c r="AB185" i="5"/>
  <c r="J1306" i="5"/>
  <c r="AQ184" i="5"/>
  <c r="AB184" i="5"/>
  <c r="J1305" i="5"/>
  <c r="H1305" i="5"/>
  <c r="BE183" i="5"/>
  <c r="J1304" i="5"/>
  <c r="H1304" i="5"/>
  <c r="BE182" i="5"/>
  <c r="AB182" i="5"/>
  <c r="J1303" i="5"/>
  <c r="AB181" i="5"/>
  <c r="J1302" i="5"/>
  <c r="BE180" i="5"/>
  <c r="AQ180" i="5"/>
  <c r="J1301" i="5"/>
  <c r="BE179" i="5"/>
  <c r="AQ179" i="5"/>
  <c r="J1300" i="5"/>
  <c r="J1299" i="5"/>
  <c r="AQ177" i="5"/>
  <c r="AB177" i="5"/>
  <c r="J1298" i="5"/>
  <c r="AQ176" i="5"/>
  <c r="AB176" i="5"/>
  <c r="J1297" i="5"/>
  <c r="H1297" i="5"/>
  <c r="BE175" i="5"/>
  <c r="AQ175" i="5"/>
  <c r="J1296" i="5"/>
  <c r="BE174" i="5"/>
  <c r="AB174" i="5"/>
  <c r="J1295" i="5"/>
  <c r="H1295" i="5"/>
  <c r="AB173" i="5"/>
  <c r="J1294" i="5"/>
  <c r="BE172" i="5"/>
  <c r="AQ172" i="5"/>
  <c r="AB172" i="5"/>
  <c r="J1293" i="5"/>
  <c r="BE171" i="5"/>
  <c r="AQ171" i="5"/>
  <c r="J1292" i="5"/>
  <c r="BE170" i="5"/>
  <c r="J1291" i="5"/>
  <c r="H1291" i="5"/>
  <c r="AQ169" i="5"/>
  <c r="AB169" i="5"/>
  <c r="J1290" i="5"/>
  <c r="AQ168" i="5"/>
  <c r="AB168" i="5"/>
  <c r="J1289" i="5"/>
  <c r="BE167" i="5"/>
  <c r="AQ167" i="5"/>
  <c r="J1288" i="5"/>
  <c r="H1288" i="5"/>
  <c r="BE166" i="5"/>
  <c r="AB166" i="5"/>
  <c r="J1287" i="5"/>
  <c r="AB165" i="5"/>
  <c r="J1286" i="5"/>
  <c r="BE164" i="5"/>
  <c r="AQ164" i="5"/>
  <c r="AB164" i="5"/>
  <c r="J1285" i="5"/>
  <c r="BE163" i="5"/>
  <c r="AQ163" i="5"/>
  <c r="J1284" i="5"/>
  <c r="H1284" i="5"/>
  <c r="BE162" i="5"/>
  <c r="AQ162" i="5"/>
  <c r="J1283" i="5"/>
  <c r="AQ161" i="5"/>
  <c r="AB161" i="5"/>
  <c r="J1282" i="5"/>
  <c r="H1282" i="5"/>
  <c r="AQ160" i="5"/>
  <c r="AB160" i="5"/>
  <c r="J1281" i="5"/>
  <c r="BE159" i="5"/>
  <c r="AQ159" i="5"/>
  <c r="AB159" i="5"/>
  <c r="J1280" i="5"/>
  <c r="BE158" i="5"/>
  <c r="AB158" i="5"/>
  <c r="J1279" i="5"/>
  <c r="H1279" i="5"/>
  <c r="BE157" i="5"/>
  <c r="AB157" i="5"/>
  <c r="J1278" i="5"/>
  <c r="BE156" i="5"/>
  <c r="AQ156" i="5"/>
  <c r="AB156" i="5"/>
  <c r="J1277" i="5"/>
  <c r="BE155" i="5"/>
  <c r="AQ155" i="5"/>
  <c r="J1276" i="5"/>
  <c r="H1276" i="5"/>
  <c r="BE154" i="5"/>
  <c r="AQ154" i="5"/>
  <c r="AB154" i="5"/>
  <c r="J1275" i="5"/>
  <c r="H1275" i="5"/>
  <c r="AQ153" i="5"/>
  <c r="AB153" i="5"/>
  <c r="J1274" i="5"/>
  <c r="BE152" i="5"/>
  <c r="AQ152" i="5"/>
  <c r="AB152" i="5"/>
  <c r="J1273" i="5"/>
  <c r="BE151" i="5"/>
  <c r="AQ151" i="5"/>
  <c r="AB151" i="5"/>
  <c r="J1272" i="5"/>
  <c r="H1272" i="5"/>
  <c r="BE150" i="5"/>
  <c r="AB150" i="5"/>
  <c r="J1271" i="5"/>
  <c r="H1271" i="5"/>
  <c r="BE149" i="5"/>
  <c r="AQ149" i="5"/>
  <c r="AB149" i="5"/>
  <c r="J1270" i="5"/>
  <c r="BE148" i="5"/>
  <c r="AQ148" i="5"/>
  <c r="AB148" i="5"/>
  <c r="J1269" i="5"/>
  <c r="H1269" i="5"/>
  <c r="BE147" i="5"/>
  <c r="AQ147" i="5"/>
  <c r="J1268" i="5"/>
  <c r="H1268" i="5"/>
  <c r="BE146" i="5"/>
  <c r="AQ146" i="5"/>
  <c r="AB146" i="5"/>
  <c r="J1267" i="5"/>
  <c r="AQ145" i="5"/>
  <c r="AB145" i="5"/>
  <c r="J1266" i="5"/>
  <c r="H1266" i="5"/>
  <c r="BE144" i="5"/>
  <c r="AQ144" i="5"/>
  <c r="J1265" i="5"/>
  <c r="AQ143" i="5"/>
  <c r="J1264" i="5"/>
  <c r="H1264" i="5"/>
  <c r="AQ142" i="5"/>
  <c r="AB142" i="5"/>
  <c r="K1263" i="5"/>
  <c r="H1263" i="5"/>
  <c r="AB141" i="5"/>
  <c r="J1262" i="5"/>
  <c r="H1262" i="5"/>
  <c r="AQ140" i="5"/>
  <c r="AB140" i="5"/>
  <c r="J1261" i="5"/>
  <c r="H1261" i="5"/>
  <c r="AB139" i="5"/>
  <c r="J1260" i="5"/>
  <c r="I1260" i="5"/>
  <c r="AQ138" i="5"/>
  <c r="AB138" i="5"/>
  <c r="K1259" i="5"/>
  <c r="H1259" i="5"/>
  <c r="AB137" i="5"/>
  <c r="J1258" i="5"/>
  <c r="H1258" i="5"/>
  <c r="AQ136" i="5"/>
  <c r="AB136" i="5"/>
  <c r="J1257" i="5"/>
  <c r="H1257" i="5"/>
  <c r="AB135" i="5"/>
  <c r="J1256" i="5"/>
  <c r="I1256" i="5"/>
  <c r="BE134" i="5"/>
  <c r="AQ134" i="5"/>
  <c r="AB134" i="5"/>
  <c r="K1255" i="5"/>
  <c r="AQ133" i="5"/>
  <c r="AB133" i="5"/>
  <c r="J1254" i="5"/>
  <c r="H1254" i="5"/>
  <c r="AQ132" i="5"/>
  <c r="AB132" i="5"/>
  <c r="J1253" i="5"/>
  <c r="AQ131" i="5"/>
  <c r="AB131" i="5"/>
  <c r="J1252" i="5"/>
  <c r="I1252" i="5"/>
  <c r="AQ130" i="5"/>
  <c r="AB130" i="5"/>
  <c r="K1251" i="5"/>
  <c r="H1251" i="5"/>
  <c r="AQ129" i="5"/>
  <c r="AB129" i="5"/>
  <c r="J1250" i="5"/>
  <c r="H1250" i="5"/>
  <c r="AQ128" i="5"/>
  <c r="AB128" i="5"/>
  <c r="J1249" i="5"/>
  <c r="H1249" i="5"/>
  <c r="AQ127" i="5"/>
  <c r="AB127" i="5"/>
  <c r="J1248" i="5"/>
  <c r="I1248" i="5"/>
  <c r="AQ126" i="5"/>
  <c r="AB126" i="5"/>
  <c r="K1247" i="5"/>
  <c r="H1247" i="5"/>
  <c r="AQ125" i="5"/>
  <c r="AB125" i="5"/>
  <c r="J1246" i="5"/>
  <c r="H1246" i="5"/>
  <c r="AQ124" i="5"/>
  <c r="J1245" i="5"/>
  <c r="H1245" i="5"/>
  <c r="BE123" i="5"/>
  <c r="AQ123" i="5"/>
  <c r="AB123" i="5"/>
  <c r="J1244" i="5"/>
  <c r="I1244" i="5"/>
  <c r="AQ122" i="5"/>
  <c r="K1243" i="5"/>
  <c r="H1243" i="5"/>
  <c r="AQ121" i="5"/>
  <c r="AB121" i="5"/>
  <c r="J1242" i="5"/>
  <c r="H1242" i="5"/>
  <c r="AQ120" i="5"/>
  <c r="J1241" i="5"/>
  <c r="H1241" i="5"/>
  <c r="AQ119" i="5"/>
  <c r="AB119" i="5"/>
  <c r="J1240" i="5"/>
  <c r="I1240" i="5"/>
  <c r="BE118" i="5"/>
  <c r="AQ118" i="5"/>
  <c r="K1239" i="5"/>
  <c r="H1239" i="5"/>
  <c r="BE117" i="5"/>
  <c r="AQ117" i="5"/>
  <c r="AB117" i="5"/>
  <c r="J1238" i="5"/>
  <c r="H1238" i="5"/>
  <c r="AQ116" i="5"/>
  <c r="J1237" i="5"/>
  <c r="H1237" i="5"/>
  <c r="BE115" i="5"/>
  <c r="AQ115" i="5"/>
  <c r="AB115" i="5"/>
  <c r="J1236" i="5"/>
  <c r="I1236" i="5"/>
  <c r="BE114" i="5"/>
  <c r="AQ114" i="5"/>
  <c r="AB114" i="5"/>
  <c r="K1235" i="5"/>
  <c r="H1235" i="5"/>
  <c r="BE113" i="5"/>
  <c r="AQ113" i="5"/>
  <c r="AB113" i="5"/>
  <c r="J1234" i="5"/>
  <c r="H1234" i="5"/>
  <c r="AQ112" i="5"/>
  <c r="AB112" i="5"/>
  <c r="J1233" i="5"/>
  <c r="H1233" i="5"/>
  <c r="BE111" i="5"/>
  <c r="AQ111" i="5"/>
  <c r="AB111" i="5"/>
  <c r="J1232" i="5"/>
  <c r="I1232" i="5"/>
  <c r="BE110" i="5"/>
  <c r="AQ110" i="5"/>
  <c r="AB110" i="5"/>
  <c r="K1231" i="5"/>
  <c r="H1231" i="5"/>
  <c r="BE109" i="5"/>
  <c r="AQ109" i="5"/>
  <c r="AB109" i="5"/>
  <c r="J1230" i="5"/>
  <c r="H1230" i="5"/>
  <c r="AQ108" i="5"/>
  <c r="AB108" i="5"/>
  <c r="J1229" i="5"/>
  <c r="H1229" i="5"/>
  <c r="BE107" i="5"/>
  <c r="AQ107" i="5"/>
  <c r="AB107" i="5"/>
  <c r="J1228" i="5"/>
  <c r="I1228" i="5"/>
  <c r="BE106" i="5"/>
  <c r="AQ106" i="5"/>
  <c r="AB106" i="5"/>
  <c r="K1227" i="5"/>
  <c r="H1227" i="5"/>
  <c r="BE105" i="5"/>
  <c r="AQ105" i="5"/>
  <c r="AB105" i="5"/>
  <c r="J1226" i="5"/>
  <c r="H1226" i="5"/>
  <c r="AQ104" i="5"/>
  <c r="AB104" i="5"/>
  <c r="J1225" i="5"/>
  <c r="H1225" i="5"/>
  <c r="BE103" i="5"/>
  <c r="AQ103" i="5"/>
  <c r="AB103" i="5"/>
  <c r="J1224" i="5"/>
  <c r="I1224" i="5"/>
  <c r="BE102" i="5"/>
  <c r="AQ102" i="5"/>
  <c r="AB102" i="5"/>
  <c r="K1223" i="5"/>
  <c r="H1223" i="5"/>
  <c r="BE101" i="5"/>
  <c r="AQ101" i="5"/>
  <c r="AB101" i="5"/>
  <c r="J1222" i="5"/>
  <c r="H1222" i="5"/>
  <c r="AQ100" i="5"/>
  <c r="AB100" i="5"/>
  <c r="J1221" i="5"/>
  <c r="H1221" i="5"/>
  <c r="BE99" i="5"/>
  <c r="AQ99" i="5"/>
  <c r="AB99" i="5"/>
  <c r="J1220" i="5"/>
  <c r="I1220" i="5"/>
  <c r="BE98" i="5"/>
  <c r="AQ98" i="5"/>
  <c r="AB98" i="5"/>
  <c r="K1219" i="5"/>
  <c r="H1219" i="5"/>
  <c r="BE97" i="5"/>
  <c r="AQ97" i="5"/>
  <c r="AB97" i="5"/>
  <c r="J1218" i="5"/>
  <c r="H1218" i="5"/>
  <c r="AQ96" i="5"/>
  <c r="AB96" i="5"/>
  <c r="J1217" i="5"/>
  <c r="H1217" i="5"/>
  <c r="BE95" i="5"/>
  <c r="AQ95" i="5"/>
  <c r="AB95" i="5"/>
  <c r="J1216" i="5"/>
  <c r="I1216" i="5"/>
  <c r="BE94" i="5"/>
  <c r="AQ94" i="5"/>
  <c r="AB94" i="5"/>
  <c r="K1215" i="5"/>
  <c r="H1215" i="5"/>
  <c r="BE93" i="5"/>
  <c r="AQ93" i="5"/>
  <c r="AB93" i="5"/>
  <c r="J1214" i="5"/>
  <c r="H1214" i="5"/>
  <c r="AQ92" i="5"/>
  <c r="AB92" i="5"/>
  <c r="J1213" i="5"/>
  <c r="H1213" i="5"/>
  <c r="BE91" i="5"/>
  <c r="AQ91" i="5"/>
  <c r="AB91" i="5"/>
  <c r="J1212" i="5"/>
  <c r="I1212" i="5"/>
  <c r="BE90" i="5"/>
  <c r="AQ90" i="5"/>
  <c r="AB90" i="5"/>
  <c r="K1211" i="5"/>
  <c r="H1211" i="5"/>
  <c r="BE89" i="5"/>
  <c r="AQ89" i="5"/>
  <c r="AB89" i="5"/>
  <c r="J1210" i="5"/>
  <c r="H1210" i="5"/>
  <c r="AQ88" i="5"/>
  <c r="AB88" i="5"/>
  <c r="J1209" i="5"/>
  <c r="H1209" i="5"/>
  <c r="BE87" i="5"/>
  <c r="AQ87" i="5"/>
  <c r="AB87" i="5"/>
  <c r="J1208" i="5"/>
  <c r="I1208" i="5"/>
  <c r="BE86" i="5"/>
  <c r="AQ86" i="5"/>
  <c r="AB86" i="5"/>
  <c r="K1207" i="5"/>
  <c r="H1207" i="5"/>
  <c r="BE85" i="5"/>
  <c r="AQ85" i="5"/>
  <c r="AB85" i="5"/>
  <c r="J1206" i="5"/>
  <c r="H1206" i="5"/>
  <c r="AQ84" i="5"/>
  <c r="AB84" i="5"/>
  <c r="J1205" i="5"/>
  <c r="H1205" i="5"/>
  <c r="BE83" i="5"/>
  <c r="AQ83" i="5"/>
  <c r="AB83" i="5"/>
  <c r="J1204" i="5"/>
  <c r="I1204" i="5"/>
  <c r="BE82" i="5"/>
  <c r="AQ82" i="5"/>
  <c r="AB82" i="5"/>
  <c r="K1203" i="5"/>
  <c r="H1203" i="5"/>
  <c r="BE81" i="5"/>
  <c r="AQ81" i="5"/>
  <c r="AB81" i="5"/>
  <c r="J1202" i="5"/>
  <c r="H1202" i="5"/>
  <c r="BE80" i="5"/>
  <c r="AQ80" i="5"/>
  <c r="AB80" i="5"/>
  <c r="J1201" i="5"/>
  <c r="H1201" i="5"/>
  <c r="BE79" i="5"/>
  <c r="AQ79" i="5"/>
  <c r="AB79" i="5"/>
  <c r="J1200" i="5"/>
  <c r="BE78" i="5"/>
  <c r="AQ78" i="5"/>
  <c r="AB78" i="5"/>
  <c r="K1199" i="5"/>
  <c r="H1199" i="5"/>
  <c r="BE77" i="5"/>
  <c r="AQ77" i="5"/>
  <c r="AB77" i="5"/>
  <c r="J1198" i="5"/>
  <c r="H1198" i="5"/>
  <c r="BE76" i="5"/>
  <c r="AQ76" i="5"/>
  <c r="AB76" i="5"/>
  <c r="J1197" i="5"/>
  <c r="H1197" i="5"/>
  <c r="BE75" i="5"/>
  <c r="AQ75" i="5"/>
  <c r="AB75" i="5"/>
  <c r="J1196" i="5"/>
  <c r="BE74" i="5"/>
  <c r="AQ74" i="5"/>
  <c r="AB74" i="5"/>
  <c r="K1195" i="5"/>
  <c r="H1195" i="5"/>
  <c r="BE73" i="5"/>
  <c r="AQ73" i="5"/>
  <c r="J1194" i="5"/>
  <c r="H1194" i="5"/>
  <c r="AB72" i="5"/>
  <c r="J1193" i="5"/>
  <c r="H1193" i="5"/>
  <c r="J1192" i="5"/>
  <c r="BE70" i="5"/>
  <c r="AQ70" i="5"/>
  <c r="K1191" i="5"/>
  <c r="H1191" i="5"/>
  <c r="BE69" i="5"/>
  <c r="AQ69" i="5"/>
  <c r="J1190" i="5"/>
  <c r="H1190" i="5"/>
  <c r="J1189" i="5"/>
  <c r="H1189" i="5"/>
  <c r="J1188" i="5"/>
  <c r="BE66" i="5"/>
  <c r="K1187" i="5"/>
  <c r="H1187" i="5"/>
  <c r="J1186" i="5"/>
  <c r="H1186" i="5"/>
  <c r="AB64" i="5"/>
  <c r="J1185" i="5"/>
  <c r="H1185" i="5"/>
  <c r="AQ63" i="5"/>
  <c r="I63" i="5"/>
  <c r="AB63" i="5"/>
  <c r="J1184" i="5"/>
  <c r="AB62" i="5"/>
  <c r="K1183" i="5"/>
  <c r="H1183" i="5"/>
  <c r="AQ61" i="5"/>
  <c r="I61" i="5"/>
  <c r="J1182" i="5"/>
  <c r="H1182" i="5"/>
  <c r="AB60" i="5"/>
  <c r="J1181" i="5"/>
  <c r="H1181" i="5"/>
  <c r="AQ59" i="5"/>
  <c r="I59" i="5"/>
  <c r="AB59" i="5"/>
  <c r="J1180" i="5"/>
  <c r="I1180" i="5"/>
  <c r="AB58" i="5"/>
  <c r="K1179" i="5"/>
  <c r="J1179" i="5"/>
  <c r="H1179" i="5"/>
  <c r="AQ57" i="5"/>
  <c r="J1178" i="5"/>
  <c r="H1178" i="5"/>
  <c r="AQ56" i="5"/>
  <c r="F56" i="5"/>
  <c r="AB56" i="5"/>
  <c r="J1177" i="5"/>
  <c r="H1177" i="5"/>
  <c r="AQ55" i="5"/>
  <c r="J1176" i="5"/>
  <c r="H1176" i="5"/>
  <c r="AQ54" i="5"/>
  <c r="K1175" i="5"/>
  <c r="J1175" i="5"/>
  <c r="H1175" i="5"/>
  <c r="AQ53" i="5"/>
  <c r="J1174" i="5"/>
  <c r="H1174" i="5"/>
  <c r="BE52" i="5"/>
  <c r="AQ52" i="5"/>
  <c r="AB52" i="5"/>
  <c r="J1173" i="5"/>
  <c r="H1173" i="5"/>
  <c r="AQ51" i="5"/>
  <c r="J1172" i="5"/>
  <c r="H1172" i="5"/>
  <c r="AQ50" i="5"/>
  <c r="AB50" i="5"/>
  <c r="J1171" i="5"/>
  <c r="H1171" i="5"/>
  <c r="AQ49" i="5"/>
  <c r="J1170" i="5"/>
  <c r="H1170" i="5"/>
  <c r="BE48" i="5"/>
  <c r="AQ48" i="5"/>
  <c r="AB48" i="5"/>
  <c r="J1169" i="5"/>
  <c r="H1169" i="5"/>
  <c r="AQ47" i="5"/>
  <c r="J1168" i="5"/>
  <c r="H1168" i="5"/>
  <c r="AQ46" i="5"/>
  <c r="AB46" i="5"/>
  <c r="J1167" i="5"/>
  <c r="H1167" i="5"/>
  <c r="AQ45" i="5"/>
  <c r="AB45" i="5"/>
  <c r="J1166" i="5"/>
  <c r="H1166" i="5"/>
  <c r="BE44" i="5"/>
  <c r="AQ44" i="5"/>
  <c r="AB44" i="5"/>
  <c r="J1165" i="5"/>
  <c r="H1165" i="5"/>
  <c r="BE43" i="5"/>
  <c r="AQ43" i="5"/>
  <c r="J1164" i="5"/>
  <c r="H1164" i="5"/>
  <c r="AQ42" i="5"/>
  <c r="F42" i="5"/>
  <c r="AB42" i="5"/>
  <c r="J1163" i="5"/>
  <c r="H1163" i="5"/>
  <c r="AQ41" i="5"/>
  <c r="J1162" i="5"/>
  <c r="H1162" i="5"/>
  <c r="AQ40" i="5"/>
  <c r="F40" i="5"/>
  <c r="AB40" i="5"/>
  <c r="J1161" i="5"/>
  <c r="H1161" i="5"/>
  <c r="AQ39" i="5"/>
  <c r="J1160" i="5"/>
  <c r="H1160" i="5"/>
  <c r="AQ38" i="5"/>
  <c r="J1159" i="5"/>
  <c r="H1159" i="5"/>
  <c r="AQ37" i="5"/>
  <c r="L37" i="5"/>
  <c r="J1158" i="5"/>
  <c r="H1158" i="5"/>
  <c r="BE36" i="5"/>
  <c r="CH35" i="5"/>
  <c r="BT35" i="5"/>
  <c r="J1157" i="5"/>
  <c r="H1157" i="5"/>
  <c r="BE35" i="5"/>
  <c r="AB35" i="5"/>
  <c r="CH34" i="5"/>
  <c r="BT34" i="5"/>
  <c r="K1156" i="5"/>
  <c r="H1156" i="5"/>
  <c r="AQ34" i="5"/>
  <c r="CH33" i="5"/>
  <c r="BT33" i="5"/>
  <c r="J1155" i="5"/>
  <c r="H1155" i="5"/>
  <c r="AQ33" i="5"/>
  <c r="BT32" i="5"/>
  <c r="J1154" i="5"/>
  <c r="H1154" i="5"/>
  <c r="AQ32" i="5"/>
  <c r="AB32" i="5"/>
  <c r="BT31" i="5"/>
  <c r="J1153" i="5"/>
  <c r="I1153" i="5"/>
  <c r="AQ31" i="5"/>
  <c r="K31" i="5"/>
  <c r="CH30" i="5"/>
  <c r="BT30" i="5"/>
  <c r="K1152" i="5"/>
  <c r="H1152" i="5"/>
  <c r="AQ30" i="5"/>
  <c r="BT29" i="5"/>
  <c r="J1151" i="5"/>
  <c r="H1151" i="5"/>
  <c r="AQ29" i="5"/>
  <c r="G29" i="5"/>
  <c r="AB29" i="5"/>
  <c r="BT28" i="5"/>
  <c r="J1150" i="5"/>
  <c r="H1150" i="5"/>
  <c r="AQ28" i="5"/>
  <c r="F28" i="5"/>
  <c r="BT27" i="5"/>
  <c r="J1149" i="5"/>
  <c r="I1149" i="5"/>
  <c r="BE27" i="5"/>
  <c r="AQ27" i="5"/>
  <c r="L27" i="5"/>
  <c r="CH26" i="5"/>
  <c r="BT26" i="5"/>
  <c r="K1148" i="5"/>
  <c r="H1148" i="5"/>
  <c r="AQ26" i="5"/>
  <c r="AB26" i="5"/>
  <c r="BT25" i="5"/>
  <c r="J1147" i="5"/>
  <c r="H1147" i="5"/>
  <c r="AQ25" i="5"/>
  <c r="CH24" i="5"/>
  <c r="BT24" i="5"/>
  <c r="J1146" i="5"/>
  <c r="H1146" i="5"/>
  <c r="AQ24" i="5"/>
  <c r="F24" i="5"/>
  <c r="BT23" i="5"/>
  <c r="J1145" i="5"/>
  <c r="I1145" i="5"/>
  <c r="BE23" i="5"/>
  <c r="AQ23" i="5"/>
  <c r="L23" i="5"/>
  <c r="K23" i="5"/>
  <c r="CH22" i="5"/>
  <c r="BT22" i="5"/>
  <c r="K1144" i="5"/>
  <c r="H1144" i="5"/>
  <c r="AQ22" i="5"/>
  <c r="AB22" i="5"/>
  <c r="BT21" i="5"/>
  <c r="J1143" i="5"/>
  <c r="H1143" i="5"/>
  <c r="AQ21" i="5"/>
  <c r="K21" i="5"/>
  <c r="CH20" i="5"/>
  <c r="BT20" i="5"/>
  <c r="J1142" i="5"/>
  <c r="H1142" i="5"/>
  <c r="BE20" i="5"/>
  <c r="AQ20" i="5"/>
  <c r="L20" i="5"/>
  <c r="J20" i="5"/>
  <c r="AB20" i="5"/>
  <c r="CH19" i="5"/>
  <c r="BT19" i="5"/>
  <c r="J1141" i="5"/>
  <c r="I1141" i="5"/>
  <c r="BE19" i="5"/>
  <c r="K19" i="5"/>
  <c r="J19" i="5"/>
  <c r="I19" i="5"/>
  <c r="H19" i="5"/>
  <c r="CH18" i="5"/>
  <c r="BT18" i="5"/>
  <c r="K1140" i="5"/>
  <c r="H1140" i="5"/>
  <c r="BE18" i="5"/>
  <c r="H18" i="5"/>
  <c r="AB18" i="5"/>
  <c r="BT17" i="5"/>
  <c r="J1139" i="5"/>
  <c r="H1139" i="5"/>
  <c r="L17" i="5"/>
  <c r="K17" i="5"/>
  <c r="AB17" i="5"/>
  <c r="CH16" i="5"/>
  <c r="BT16" i="5"/>
  <c r="J1138" i="5"/>
  <c r="H1138" i="5"/>
  <c r="AB16" i="5"/>
  <c r="CH15" i="5"/>
  <c r="BT15" i="5"/>
  <c r="J1137" i="5"/>
  <c r="I1137" i="5"/>
  <c r="BE15" i="5"/>
  <c r="L15" i="5"/>
  <c r="K15" i="5"/>
  <c r="J15" i="5"/>
  <c r="I15" i="5"/>
  <c r="CH14" i="5"/>
  <c r="BT14" i="5"/>
  <c r="K1136" i="5"/>
  <c r="H1136" i="5"/>
  <c r="BE14" i="5"/>
  <c r="J14" i="5"/>
  <c r="AB14" i="5"/>
  <c r="BT13" i="5"/>
  <c r="J1135" i="5"/>
  <c r="H1135" i="5"/>
  <c r="L13" i="5"/>
  <c r="K13" i="5"/>
  <c r="AB13" i="5"/>
  <c r="CH12" i="5"/>
  <c r="BT12" i="5"/>
  <c r="J1134" i="5"/>
  <c r="H1134" i="5"/>
  <c r="I12" i="5"/>
  <c r="H12" i="5"/>
  <c r="F12" i="5"/>
  <c r="AB12" i="5"/>
  <c r="CH11" i="5"/>
  <c r="BT11" i="5"/>
  <c r="J1133" i="5"/>
  <c r="I1133" i="5"/>
  <c r="BE11" i="5"/>
  <c r="L11" i="5"/>
  <c r="G11" i="5"/>
  <c r="F11" i="5"/>
  <c r="AB11" i="5"/>
  <c r="CH10" i="5"/>
  <c r="BT10" i="5"/>
  <c r="K1132" i="5"/>
  <c r="H1132" i="5"/>
  <c r="BE10" i="5"/>
  <c r="L10" i="5"/>
  <c r="J10" i="5"/>
  <c r="CH9" i="5"/>
  <c r="BT9" i="5"/>
  <c r="J1131" i="5"/>
  <c r="H1131" i="5"/>
  <c r="K9" i="5"/>
  <c r="J9" i="5"/>
  <c r="H9" i="5"/>
  <c r="AB9" i="5"/>
  <c r="CH8" i="5"/>
  <c r="BT8" i="5"/>
  <c r="J1130" i="5"/>
  <c r="H1130" i="5"/>
  <c r="BE8" i="5"/>
  <c r="L8" i="5"/>
  <c r="H8" i="5"/>
  <c r="F8" i="5"/>
  <c r="AB8" i="5"/>
  <c r="CH7" i="5"/>
  <c r="BT7" i="5"/>
  <c r="J1129" i="5"/>
  <c r="I1129" i="5"/>
  <c r="BE7" i="5"/>
  <c r="L7" i="5"/>
  <c r="J7" i="5"/>
  <c r="F7" i="5"/>
  <c r="AB7" i="5"/>
  <c r="CH6" i="5"/>
  <c r="BT6" i="5"/>
  <c r="K1128" i="5"/>
  <c r="H1128" i="5"/>
  <c r="BE6" i="5"/>
  <c r="K138" i="5"/>
  <c r="AB6" i="5"/>
  <c r="J6" i="5"/>
  <c r="H6" i="5"/>
  <c r="CH5" i="5"/>
  <c r="BT5" i="5"/>
  <c r="J1127" i="5"/>
  <c r="H1127" i="5"/>
  <c r="I137" i="5"/>
  <c r="K3" i="5"/>
  <c r="J8" i="5"/>
  <c r="H5" i="5"/>
  <c r="F5" i="5"/>
  <c r="AB5" i="5"/>
  <c r="K5" i="5"/>
  <c r="CH4" i="5"/>
  <c r="BT4" i="5"/>
  <c r="J1126" i="5"/>
  <c r="H1126" i="5"/>
  <c r="BE4" i="5"/>
  <c r="L4" i="5"/>
  <c r="K7" i="5"/>
  <c r="I11" i="5"/>
  <c r="H3" i="5"/>
  <c r="F4" i="5"/>
  <c r="AB4" i="5"/>
  <c r="I4" i="5"/>
  <c r="CG37" i="5"/>
  <c r="Y1993" i="5"/>
  <c r="CA37" i="5"/>
  <c r="Z1992" i="5"/>
  <c r="BN37" i="5"/>
  <c r="T1990" i="5"/>
  <c r="U1989" i="5"/>
  <c r="AQ3" i="5"/>
  <c r="L35" i="5"/>
  <c r="J70" i="5"/>
  <c r="I54" i="5"/>
  <c r="H33" i="5"/>
  <c r="G50" i="5"/>
  <c r="G3" i="5"/>
  <c r="H1910" i="5" l="1"/>
  <c r="H1885" i="5"/>
  <c r="H1883" i="5"/>
  <c r="H1870" i="5"/>
  <c r="H1855" i="5"/>
  <c r="H1851" i="5"/>
  <c r="H1843" i="5"/>
  <c r="H1837" i="5"/>
  <c r="H1822" i="5"/>
  <c r="H1815" i="5"/>
  <c r="H1810" i="5"/>
  <c r="H1807" i="5"/>
  <c r="H1786" i="5"/>
  <c r="H1652" i="5"/>
  <c r="H1647" i="5"/>
  <c r="H1631" i="5"/>
  <c r="H1620" i="5"/>
  <c r="H1618" i="5"/>
  <c r="H1616" i="5"/>
  <c r="H1610" i="5"/>
  <c r="H1604" i="5"/>
  <c r="H1544" i="5"/>
  <c r="H1524" i="5"/>
  <c r="H1522" i="5"/>
  <c r="H1881" i="5"/>
  <c r="H1877" i="5"/>
  <c r="H1859" i="5"/>
  <c r="H1839" i="5"/>
  <c r="H1826" i="5"/>
  <c r="H1797" i="5"/>
  <c r="H1640" i="5"/>
  <c r="H1624" i="5"/>
  <c r="H1612" i="5"/>
  <c r="H1564" i="5"/>
  <c r="H1548" i="5"/>
  <c r="H1317" i="5"/>
  <c r="H1310" i="5"/>
  <c r="H1302" i="5"/>
  <c r="H1294" i="5"/>
  <c r="H1286" i="5"/>
  <c r="H1278" i="5"/>
  <c r="H1270" i="5"/>
  <c r="H1265" i="5"/>
  <c r="H1255" i="5"/>
  <c r="H1253" i="5"/>
  <c r="H1879" i="5"/>
  <c r="H1830" i="5"/>
  <c r="H1817" i="5"/>
  <c r="H1812" i="5"/>
  <c r="H1803" i="5"/>
  <c r="H1635" i="5"/>
  <c r="H1628" i="5"/>
  <c r="H1626" i="5"/>
  <c r="H1608" i="5"/>
  <c r="H1580" i="5"/>
  <c r="H1552" i="5"/>
  <c r="H1536" i="5"/>
  <c r="H1526" i="5"/>
  <c r="H1884" i="5"/>
  <c r="H1875" i="5"/>
  <c r="H1873" i="5"/>
  <c r="H1869" i="5"/>
  <c r="H1867" i="5"/>
  <c r="H1865" i="5"/>
  <c r="H1861" i="5"/>
  <c r="H1846" i="5"/>
  <c r="H1835" i="5"/>
  <c r="H1819" i="5"/>
  <c r="H1793" i="5"/>
  <c r="H1789" i="5"/>
  <c r="H1644" i="5"/>
  <c r="H1619" i="5"/>
  <c r="H1615" i="5"/>
  <c r="H1596" i="5"/>
  <c r="H1588" i="5"/>
  <c r="H1572" i="5"/>
  <c r="H1528" i="5"/>
  <c r="H1315" i="5"/>
  <c r="H1918" i="5"/>
  <c r="H1890" i="5"/>
  <c r="H1880" i="5"/>
  <c r="H1871" i="5"/>
  <c r="H1863" i="5"/>
  <c r="H1856" i="5"/>
  <c r="H1854" i="5"/>
  <c r="H1852" i="5"/>
  <c r="H1850" i="5"/>
  <c r="H1848" i="5"/>
  <c r="H1844" i="5"/>
  <c r="H1842" i="5"/>
  <c r="H1838" i="5"/>
  <c r="H1814" i="5"/>
  <c r="H1809" i="5"/>
  <c r="H1799" i="5"/>
  <c r="H1785" i="5"/>
  <c r="H1639" i="5"/>
  <c r="H1623" i="5"/>
  <c r="H1621" i="5"/>
  <c r="H1613" i="5"/>
  <c r="H1611" i="5"/>
  <c r="H1605" i="5"/>
  <c r="H1560" i="5"/>
  <c r="H1322" i="5"/>
  <c r="H1320" i="5"/>
  <c r="H1313" i="5"/>
  <c r="H1303" i="5"/>
  <c r="H1906" i="5"/>
  <c r="H1898" i="5"/>
  <c r="H1882" i="5"/>
  <c r="H1878" i="5"/>
  <c r="H1876" i="5"/>
  <c r="H1868" i="5"/>
  <c r="H1860" i="5"/>
  <c r="H1858" i="5"/>
  <c r="H1840" i="5"/>
  <c r="H1831" i="5"/>
  <c r="H1827" i="5"/>
  <c r="H1823" i="5"/>
  <c r="H1821" i="5"/>
  <c r="H1648" i="5"/>
  <c r="H1632" i="5"/>
  <c r="H1627" i="5"/>
  <c r="H1609" i="5"/>
  <c r="H1607" i="5"/>
  <c r="H1516" i="5"/>
  <c r="H1318" i="5"/>
  <c r="H1311" i="5"/>
  <c r="H1306" i="5"/>
  <c r="H1298" i="5"/>
  <c r="H1290" i="5"/>
  <c r="H1922" i="5"/>
  <c r="H1886" i="5"/>
  <c r="H1872" i="5"/>
  <c r="H1864" i="5"/>
  <c r="H1836" i="5"/>
  <c r="H1825" i="5"/>
  <c r="H1811" i="5"/>
  <c r="H1643" i="5"/>
  <c r="H1600" i="5"/>
  <c r="H1584" i="5"/>
  <c r="H1576" i="5"/>
  <c r="H1568" i="5"/>
  <c r="H1532" i="5"/>
  <c r="H1520" i="5"/>
  <c r="H1518" i="5"/>
  <c r="H1316" i="5"/>
  <c r="H1309" i="5"/>
  <c r="H1301" i="5"/>
  <c r="H1293" i="5"/>
  <c r="H1285" i="5"/>
  <c r="H1277" i="5"/>
  <c r="I1917" i="5"/>
  <c r="I1912" i="5"/>
  <c r="I1907" i="5"/>
  <c r="I1905" i="5"/>
  <c r="I1899" i="5"/>
  <c r="I1888" i="5"/>
  <c r="I1853" i="5"/>
  <c r="I1849" i="5"/>
  <c r="I1826" i="5"/>
  <c r="I1804" i="5"/>
  <c r="I1797" i="5"/>
  <c r="I1622" i="5"/>
  <c r="I1606" i="5"/>
  <c r="I1602" i="5"/>
  <c r="I1594" i="5"/>
  <c r="I1589" i="5"/>
  <c r="I1586" i="5"/>
  <c r="I1578" i="5"/>
  <c r="I1564" i="5"/>
  <c r="I1558" i="5"/>
  <c r="I1550" i="5"/>
  <c r="I1548" i="5"/>
  <c r="I1515" i="5"/>
  <c r="I1507" i="5"/>
  <c r="I1499" i="5"/>
  <c r="I1491" i="5"/>
  <c r="I1485" i="5"/>
  <c r="I1482" i="5"/>
  <c r="I1469" i="5"/>
  <c r="I1466" i="5"/>
  <c r="I1902" i="5"/>
  <c r="I1896" i="5"/>
  <c r="I1879" i="5"/>
  <c r="I1857" i="5"/>
  <c r="I1832" i="5"/>
  <c r="I1830" i="5"/>
  <c r="I1817" i="5"/>
  <c r="I1812" i="5"/>
  <c r="I1649" i="5"/>
  <c r="I1642" i="5"/>
  <c r="I1633" i="5"/>
  <c r="I1626" i="5"/>
  <c r="I1580" i="5"/>
  <c r="I1575" i="5"/>
  <c r="I1569" i="5"/>
  <c r="I1552" i="5"/>
  <c r="I1536" i="5"/>
  <c r="I1526" i="5"/>
  <c r="I1519" i="5"/>
  <c r="I1512" i="5"/>
  <c r="I1504" i="5"/>
  <c r="I1496" i="5"/>
  <c r="I1488" i="5"/>
  <c r="I1475" i="5"/>
  <c r="I1472" i="5"/>
  <c r="I1459" i="5"/>
  <c r="I1923" i="5"/>
  <c r="I1916" i="5"/>
  <c r="I1914" i="5"/>
  <c r="I1911" i="5"/>
  <c r="I1904" i="5"/>
  <c r="I1893" i="5"/>
  <c r="I1887" i="5"/>
  <c r="I1875" i="5"/>
  <c r="I1867" i="5"/>
  <c r="I1828" i="5"/>
  <c r="I1824" i="5"/>
  <c r="I1800" i="5"/>
  <c r="I1795" i="5"/>
  <c r="I1601" i="5"/>
  <c r="I1599" i="5"/>
  <c r="I1596" i="5"/>
  <c r="I1593" i="5"/>
  <c r="I1591" i="5"/>
  <c r="I1588" i="5"/>
  <c r="I1583" i="5"/>
  <c r="I1577" i="5"/>
  <c r="I1572" i="5"/>
  <c r="I1566" i="5"/>
  <c r="I1557" i="5"/>
  <c r="I1539" i="5"/>
  <c r="I1533" i="5"/>
  <c r="I1531" i="5"/>
  <c r="I1528" i="5"/>
  <c r="I1517" i="5"/>
  <c r="I1509" i="5"/>
  <c r="I1501" i="5"/>
  <c r="I1493" i="5"/>
  <c r="I1481" i="5"/>
  <c r="I1478" i="5"/>
  <c r="I1920" i="5"/>
  <c r="I1918" i="5"/>
  <c r="I1909" i="5"/>
  <c r="I1895" i="5"/>
  <c r="I1871" i="5"/>
  <c r="I1863" i="5"/>
  <c r="I1814" i="5"/>
  <c r="I1809" i="5"/>
  <c r="I1787" i="5"/>
  <c r="I1646" i="5"/>
  <c r="I1637" i="5"/>
  <c r="I1630" i="5"/>
  <c r="I1605" i="5"/>
  <c r="I1585" i="5"/>
  <c r="I1560" i="5"/>
  <c r="I1554" i="5"/>
  <c r="I1545" i="5"/>
  <c r="I1541" i="5"/>
  <c r="I1514" i="5"/>
  <c r="I1506" i="5"/>
  <c r="I1498" i="5"/>
  <c r="I1490" i="5"/>
  <c r="I1484" i="5"/>
  <c r="I1471" i="5"/>
  <c r="I1468" i="5"/>
  <c r="I1906" i="5"/>
  <c r="I1903" i="5"/>
  <c r="I1898" i="5"/>
  <c r="I1876" i="5"/>
  <c r="I1840" i="5"/>
  <c r="I1833" i="5"/>
  <c r="I1821" i="5"/>
  <c r="I1805" i="5"/>
  <c r="I1802" i="5"/>
  <c r="I1617" i="5"/>
  <c r="I1609" i="5"/>
  <c r="I1598" i="5"/>
  <c r="I1582" i="5"/>
  <c r="I1574" i="5"/>
  <c r="I1565" i="5"/>
  <c r="I1549" i="5"/>
  <c r="I1530" i="5"/>
  <c r="I1523" i="5"/>
  <c r="I1521" i="5"/>
  <c r="I1516" i="5"/>
  <c r="I1511" i="5"/>
  <c r="I1503" i="5"/>
  <c r="I1495" i="5"/>
  <c r="I1487" i="5"/>
  <c r="I1477" i="5"/>
  <c r="I1474" i="5"/>
  <c r="I1461" i="5"/>
  <c r="I1458" i="5"/>
  <c r="I1915" i="5"/>
  <c r="I1913" i="5"/>
  <c r="I1892" i="5"/>
  <c r="I1836" i="5"/>
  <c r="I1825" i="5"/>
  <c r="I1818" i="5"/>
  <c r="I1650" i="5"/>
  <c r="I1641" i="5"/>
  <c r="I1634" i="5"/>
  <c r="I1603" i="5"/>
  <c r="I1600" i="5"/>
  <c r="I1584" i="5"/>
  <c r="I1579" i="5"/>
  <c r="I1576" i="5"/>
  <c r="I1568" i="5"/>
  <c r="I1562" i="5"/>
  <c r="I1553" i="5"/>
  <c r="I1538" i="5"/>
  <c r="I1535" i="5"/>
  <c r="I1532" i="5"/>
  <c r="I1520" i="5"/>
  <c r="I1518" i="5"/>
  <c r="I1508" i="5"/>
  <c r="I1500" i="5"/>
  <c r="I1492" i="5"/>
  <c r="I1483" i="5"/>
  <c r="I1480" i="5"/>
  <c r="I1467" i="5"/>
  <c r="I1464" i="5"/>
  <c r="I1919" i="5"/>
  <c r="I1908" i="5"/>
  <c r="I1900" i="5"/>
  <c r="I1889" i="5"/>
  <c r="I1829" i="5"/>
  <c r="I1816" i="5"/>
  <c r="I1801" i="5"/>
  <c r="I1796" i="5"/>
  <c r="I1794" i="5"/>
  <c r="I1792" i="5"/>
  <c r="I1790" i="5"/>
  <c r="I1788" i="5"/>
  <c r="I1614" i="5"/>
  <c r="I1595" i="5"/>
  <c r="I1592" i="5"/>
  <c r="I1590" i="5"/>
  <c r="I1587" i="5"/>
  <c r="I1573" i="5"/>
  <c r="I1556" i="5"/>
  <c r="I1540" i="5"/>
  <c r="I1525" i="5"/>
  <c r="I1513" i="5"/>
  <c r="I1505" i="5"/>
  <c r="I1497" i="5"/>
  <c r="I1489" i="5"/>
  <c r="I1486" i="5"/>
  <c r="I1473" i="5"/>
  <c r="I1470" i="5"/>
  <c r="I1457" i="5"/>
  <c r="AR167" i="5"/>
  <c r="H1267" i="5"/>
  <c r="H1274" i="5"/>
  <c r="H1280" i="5"/>
  <c r="H1300" i="5"/>
  <c r="H1308" i="5"/>
  <c r="I1544" i="5"/>
  <c r="I1638" i="5"/>
  <c r="H1834" i="5"/>
  <c r="AR134" i="5"/>
  <c r="H1314" i="5"/>
  <c r="H1321" i="5"/>
  <c r="I1502" i="5"/>
  <c r="H1540" i="5"/>
  <c r="I1597" i="5"/>
  <c r="I1604" i="5"/>
  <c r="I1610" i="5"/>
  <c r="I1618" i="5"/>
  <c r="H1636" i="5"/>
  <c r="H1788" i="5"/>
  <c r="I1813" i="5"/>
  <c r="H1874" i="5"/>
  <c r="I1476" i="5"/>
  <c r="I1645" i="5"/>
  <c r="I1786" i="5"/>
  <c r="H1796" i="5"/>
  <c r="H1866" i="5"/>
  <c r="I1897" i="5"/>
  <c r="H1273" i="5"/>
  <c r="H1287" i="5"/>
  <c r="H1289" i="5"/>
  <c r="H1296" i="5"/>
  <c r="I1510" i="5"/>
  <c r="I1522" i="5"/>
  <c r="I1527" i="5"/>
  <c r="I1581" i="5"/>
  <c r="I1460" i="5"/>
  <c r="I1537" i="5"/>
  <c r="I1542" i="5"/>
  <c r="I1546" i="5"/>
  <c r="H1556" i="5"/>
  <c r="H1794" i="5"/>
  <c r="I1837" i="5"/>
  <c r="H1847" i="5"/>
  <c r="I1894" i="5"/>
  <c r="I1910" i="5"/>
  <c r="H1281" i="5"/>
  <c r="H1283" i="5"/>
  <c r="H1292" i="5"/>
  <c r="I1465" i="5"/>
  <c r="I1845" i="5"/>
  <c r="I1883" i="5"/>
  <c r="H1299" i="5"/>
  <c r="H1307" i="5"/>
  <c r="I1456" i="5"/>
  <c r="I1479" i="5"/>
  <c r="H1614" i="5"/>
  <c r="H1792" i="5"/>
  <c r="H1829" i="5"/>
  <c r="H1862" i="5"/>
  <c r="I1891" i="5"/>
  <c r="AC398" i="5"/>
  <c r="U1986" i="5"/>
  <c r="F1990" i="5" s="1"/>
  <c r="U1984" i="5"/>
  <c r="F464" i="5"/>
  <c r="F462" i="5"/>
  <c r="F458" i="5"/>
  <c r="F454" i="5"/>
  <c r="F431" i="5"/>
  <c r="F409" i="5"/>
  <c r="F398" i="5"/>
  <c r="F365" i="5"/>
  <c r="F415" i="5"/>
  <c r="F411" i="5"/>
  <c r="F334" i="5"/>
  <c r="F421" i="5"/>
  <c r="F419" i="5"/>
  <c r="F413" i="5"/>
  <c r="F417" i="5"/>
  <c r="F333" i="5"/>
  <c r="F115" i="5"/>
  <c r="F112" i="5"/>
  <c r="F110" i="5"/>
  <c r="F108" i="5"/>
  <c r="F106" i="5"/>
  <c r="F104" i="5"/>
  <c r="F102" i="5"/>
  <c r="F101" i="5"/>
  <c r="F99" i="5"/>
  <c r="F97" i="5"/>
  <c r="F95" i="5"/>
  <c r="F93" i="5"/>
  <c r="F91" i="5"/>
  <c r="F89" i="5"/>
  <c r="F87" i="5"/>
  <c r="F85" i="5"/>
  <c r="F83" i="5"/>
  <c r="F81" i="5"/>
  <c r="F79" i="5"/>
  <c r="F77" i="5"/>
  <c r="F75" i="5"/>
  <c r="F117" i="5"/>
  <c r="F125" i="5"/>
  <c r="F113" i="5"/>
  <c r="F111" i="5"/>
  <c r="F109" i="5"/>
  <c r="F107" i="5"/>
  <c r="F105" i="5"/>
  <c r="F103" i="5"/>
  <c r="F100" i="5"/>
  <c r="F98" i="5"/>
  <c r="F96" i="5"/>
  <c r="F94" i="5"/>
  <c r="F92" i="5"/>
  <c r="F90" i="5"/>
  <c r="AA1990" i="5"/>
  <c r="AA1992" i="5"/>
  <c r="BS37" i="5"/>
  <c r="L9" i="5"/>
  <c r="AB10" i="5"/>
  <c r="G6" i="5"/>
  <c r="AQ6" i="5"/>
  <c r="I7" i="5"/>
  <c r="K8" i="5"/>
  <c r="I140" i="5"/>
  <c r="AQ5" i="5"/>
  <c r="I6" i="5"/>
  <c r="I139" i="5"/>
  <c r="K140" i="5"/>
  <c r="L3" i="5"/>
  <c r="Z1984" i="5"/>
  <c r="Z1986" i="5"/>
  <c r="K462" i="5"/>
  <c r="K460" i="5"/>
  <c r="K458" i="5"/>
  <c r="K456" i="5"/>
  <c r="K454" i="5"/>
  <c r="K452" i="5"/>
  <c r="K450" i="5"/>
  <c r="K448" i="5"/>
  <c r="K446" i="5"/>
  <c r="K444" i="5"/>
  <c r="K442" i="5"/>
  <c r="K440" i="5"/>
  <c r="K438" i="5"/>
  <c r="K436" i="5"/>
  <c r="K463" i="5"/>
  <c r="K461" i="5"/>
  <c r="K459" i="5"/>
  <c r="K457" i="5"/>
  <c r="K455" i="5"/>
  <c r="K453" i="5"/>
  <c r="K451" i="5"/>
  <c r="K449" i="5"/>
  <c r="K447" i="5"/>
  <c r="K445" i="5"/>
  <c r="K443" i="5"/>
  <c r="K441" i="5"/>
  <c r="K439" i="5"/>
  <c r="K437" i="5"/>
  <c r="K431" i="5"/>
  <c r="K434" i="5"/>
  <c r="K428" i="5"/>
  <c r="K420" i="5"/>
  <c r="K410" i="5"/>
  <c r="K432" i="5"/>
  <c r="K422" i="5"/>
  <c r="K421" i="5"/>
  <c r="K418" i="5"/>
  <c r="K429" i="5"/>
  <c r="K424" i="5"/>
  <c r="K423" i="5"/>
  <c r="K407" i="5"/>
  <c r="K405" i="5"/>
  <c r="K403" i="5"/>
  <c r="K401" i="5"/>
  <c r="K399" i="5"/>
  <c r="K396" i="5"/>
  <c r="K394" i="5"/>
  <c r="K392" i="5"/>
  <c r="K390" i="5"/>
  <c r="K388" i="5"/>
  <c r="K386" i="5"/>
  <c r="K384" i="5"/>
  <c r="K382" i="5"/>
  <c r="K380" i="5"/>
  <c r="K378" i="5"/>
  <c r="K376" i="5"/>
  <c r="K374" i="5"/>
  <c r="K372" i="5"/>
  <c r="K370" i="5"/>
  <c r="K368" i="5"/>
  <c r="K366" i="5"/>
  <c r="K363" i="5"/>
  <c r="K361" i="5"/>
  <c r="K359" i="5"/>
  <c r="K357" i="5"/>
  <c r="K355" i="5"/>
  <c r="K353" i="5"/>
  <c r="K351" i="5"/>
  <c r="K349" i="5"/>
  <c r="K347" i="5"/>
  <c r="K345" i="5"/>
  <c r="K343" i="5"/>
  <c r="K341" i="5"/>
  <c r="K339" i="5"/>
  <c r="K337" i="5"/>
  <c r="K435" i="5"/>
  <c r="K425" i="5"/>
  <c r="K416" i="5"/>
  <c r="K433" i="5"/>
  <c r="K430" i="5"/>
  <c r="K426" i="5"/>
  <c r="K427" i="5"/>
  <c r="K414" i="5"/>
  <c r="K411" i="5"/>
  <c r="K408" i="5"/>
  <c r="K406" i="5"/>
  <c r="K404" i="5"/>
  <c r="K402" i="5"/>
  <c r="K400" i="5"/>
  <c r="K397" i="5"/>
  <c r="K395" i="5"/>
  <c r="K393" i="5"/>
  <c r="K391" i="5"/>
  <c r="K389" i="5"/>
  <c r="K387" i="5"/>
  <c r="K385" i="5"/>
  <c r="K383" i="5"/>
  <c r="K381" i="5"/>
  <c r="K379" i="5"/>
  <c r="K377" i="5"/>
  <c r="K375" i="5"/>
  <c r="K373" i="5"/>
  <c r="K371" i="5"/>
  <c r="K369" i="5"/>
  <c r="K367" i="5"/>
  <c r="K364" i="5"/>
  <c r="K362" i="5"/>
  <c r="K360" i="5"/>
  <c r="K358" i="5"/>
  <c r="K356" i="5"/>
  <c r="K354" i="5"/>
  <c r="K352" i="5"/>
  <c r="K350" i="5"/>
  <c r="K348" i="5"/>
  <c r="K346" i="5"/>
  <c r="K344" i="5"/>
  <c r="K340" i="5"/>
  <c r="K342" i="5"/>
  <c r="K336" i="5"/>
  <c r="K334" i="5"/>
  <c r="K338" i="5"/>
  <c r="K122" i="5"/>
  <c r="K103" i="5"/>
  <c r="K100" i="5"/>
  <c r="K98" i="5"/>
  <c r="K96" i="5"/>
  <c r="K94" i="5"/>
  <c r="K92" i="5"/>
  <c r="K88" i="5"/>
  <c r="K84" i="5"/>
  <c r="K80" i="5"/>
  <c r="K78" i="5"/>
  <c r="K76" i="5"/>
  <c r="K74" i="5"/>
  <c r="K72" i="5"/>
  <c r="K70" i="5"/>
  <c r="K67" i="5"/>
  <c r="K65" i="5"/>
  <c r="K63" i="5"/>
  <c r="K61" i="5"/>
  <c r="K59" i="5"/>
  <c r="K133" i="5"/>
  <c r="K129" i="5"/>
  <c r="K124" i="5"/>
  <c r="K123" i="5"/>
  <c r="K121" i="5"/>
  <c r="K120" i="5"/>
  <c r="K116" i="5"/>
  <c r="K113" i="5"/>
  <c r="K125" i="5"/>
  <c r="K134" i="5"/>
  <c r="K130" i="5"/>
  <c r="K126" i="5"/>
  <c r="K119" i="5"/>
  <c r="K77" i="5"/>
  <c r="K75" i="5"/>
  <c r="K73" i="5"/>
  <c r="K71" i="5"/>
  <c r="K69" i="5"/>
  <c r="K66" i="5"/>
  <c r="K131" i="5"/>
  <c r="K127" i="5"/>
  <c r="K132" i="5"/>
  <c r="K128" i="5"/>
  <c r="K117" i="5"/>
  <c r="Y1989" i="5"/>
  <c r="X1990" i="5"/>
  <c r="I1125" i="5"/>
  <c r="W1992" i="5"/>
  <c r="V1993" i="5"/>
  <c r="BE5" i="5"/>
  <c r="BE9" i="5"/>
  <c r="I13" i="5"/>
  <c r="CH13" i="5"/>
  <c r="K148" i="5"/>
  <c r="H17" i="5"/>
  <c r="L18" i="5"/>
  <c r="K150" i="5"/>
  <c r="G21" i="5"/>
  <c r="L154" i="5"/>
  <c r="J23" i="5"/>
  <c r="J155" i="5"/>
  <c r="G24" i="5"/>
  <c r="H24" i="5"/>
  <c r="AB25" i="5"/>
  <c r="K26" i="5"/>
  <c r="I27" i="5"/>
  <c r="G28" i="5"/>
  <c r="CH29" i="5"/>
  <c r="F31" i="5"/>
  <c r="BE31" i="5"/>
  <c r="AB33" i="5"/>
  <c r="L34" i="5"/>
  <c r="F36" i="5"/>
  <c r="CE37" i="5"/>
  <c r="AB38" i="5"/>
  <c r="L170" i="5"/>
  <c r="AB39" i="5"/>
  <c r="F41" i="5"/>
  <c r="BE41" i="5"/>
  <c r="BE42" i="5"/>
  <c r="F44" i="5"/>
  <c r="H44" i="5"/>
  <c r="G45" i="5"/>
  <c r="H45" i="5"/>
  <c r="G46" i="5"/>
  <c r="I47" i="5"/>
  <c r="I48" i="5"/>
  <c r="J48" i="5"/>
  <c r="J49" i="5"/>
  <c r="K50" i="5"/>
  <c r="K51" i="5"/>
  <c r="L52" i="5"/>
  <c r="L53" i="5"/>
  <c r="AB54" i="5"/>
  <c r="L186" i="5"/>
  <c r="AB55" i="5"/>
  <c r="F57" i="5"/>
  <c r="BE57" i="5"/>
  <c r="H58" i="5"/>
  <c r="L60" i="5"/>
  <c r="F61" i="5"/>
  <c r="BE61" i="5"/>
  <c r="H62" i="5"/>
  <c r="L64" i="5"/>
  <c r="I66" i="5"/>
  <c r="L68" i="5"/>
  <c r="AB70" i="5"/>
  <c r="F71" i="5"/>
  <c r="Z1993" i="5"/>
  <c r="CF37" i="5"/>
  <c r="L5" i="5"/>
  <c r="F6" i="5"/>
  <c r="AA1986" i="5"/>
  <c r="AA1984" i="5"/>
  <c r="L419" i="5"/>
  <c r="L413" i="5"/>
  <c r="L417" i="5"/>
  <c r="L412" i="5"/>
  <c r="L409" i="5"/>
  <c r="L415" i="5"/>
  <c r="L340" i="5"/>
  <c r="L338" i="5"/>
  <c r="L336" i="5"/>
  <c r="L334" i="5"/>
  <c r="L333" i="5"/>
  <c r="L118" i="5"/>
  <c r="L115" i="5"/>
  <c r="L112" i="5"/>
  <c r="L110" i="5"/>
  <c r="L108" i="5"/>
  <c r="L106" i="5"/>
  <c r="L104" i="5"/>
  <c r="L102" i="5"/>
  <c r="L101" i="5"/>
  <c r="L99" i="5"/>
  <c r="L97" i="5"/>
  <c r="L95" i="5"/>
  <c r="L93" i="5"/>
  <c r="L114" i="5"/>
  <c r="L111" i="5"/>
  <c r="L109" i="5"/>
  <c r="L107" i="5"/>
  <c r="L105" i="5"/>
  <c r="L103" i="5"/>
  <c r="L100" i="5"/>
  <c r="L98" i="5"/>
  <c r="Z1989" i="5"/>
  <c r="K135" i="5"/>
  <c r="Y1990" i="5"/>
  <c r="J1125" i="5"/>
  <c r="X1992" i="5"/>
  <c r="W1993" i="5"/>
  <c r="G4" i="5"/>
  <c r="AQ4" i="5"/>
  <c r="I5" i="5"/>
  <c r="K6" i="5"/>
  <c r="I138" i="5"/>
  <c r="G8" i="5"/>
  <c r="AQ8" i="5"/>
  <c r="I9" i="5"/>
  <c r="K10" i="5"/>
  <c r="I142" i="5"/>
  <c r="G12" i="5"/>
  <c r="AQ12" i="5"/>
  <c r="J13" i="5"/>
  <c r="I145" i="5"/>
  <c r="F14" i="5"/>
  <c r="AQ14" i="5"/>
  <c r="I147" i="5"/>
  <c r="I17" i="5"/>
  <c r="CH17" i="5"/>
  <c r="H21" i="5"/>
  <c r="CH21" i="5"/>
  <c r="K155" i="5"/>
  <c r="I24" i="5"/>
  <c r="F25" i="5"/>
  <c r="F157" i="5"/>
  <c r="BE25" i="5"/>
  <c r="L26" i="5"/>
  <c r="K27" i="5"/>
  <c r="J27" i="5"/>
  <c r="J159" i="5"/>
  <c r="I28" i="5"/>
  <c r="J28" i="5"/>
  <c r="H29" i="5"/>
  <c r="G30" i="5"/>
  <c r="H30" i="5"/>
  <c r="CH31" i="5"/>
  <c r="BE32" i="5"/>
  <c r="F33" i="5"/>
  <c r="F165" i="5"/>
  <c r="BE33" i="5"/>
  <c r="AB34" i="5"/>
  <c r="H36" i="5"/>
  <c r="G37" i="5"/>
  <c r="H37" i="5"/>
  <c r="BO37" i="5"/>
  <c r="F39" i="5"/>
  <c r="BE39" i="5"/>
  <c r="BE40" i="5"/>
  <c r="H42" i="5"/>
  <c r="G43" i="5"/>
  <c r="H43" i="5"/>
  <c r="G44" i="5"/>
  <c r="I45" i="5"/>
  <c r="I46" i="5"/>
  <c r="J46" i="5"/>
  <c r="J47" i="5"/>
  <c r="K48" i="5"/>
  <c r="K49" i="5"/>
  <c r="L50" i="5"/>
  <c r="L51" i="5"/>
  <c r="L184" i="5"/>
  <c r="AB53" i="5"/>
  <c r="F55" i="5"/>
  <c r="BE55" i="5"/>
  <c r="BE56" i="5"/>
  <c r="F58" i="5"/>
  <c r="J59" i="5"/>
  <c r="L192" i="5"/>
  <c r="F62" i="5"/>
  <c r="J63" i="5"/>
  <c r="L196" i="5"/>
  <c r="H65" i="5"/>
  <c r="L66" i="5"/>
  <c r="H67" i="5"/>
  <c r="AB68" i="5"/>
  <c r="AQ68" i="5"/>
  <c r="J69" i="5"/>
  <c r="F70" i="5"/>
  <c r="I71" i="5"/>
  <c r="L71" i="5"/>
  <c r="H72" i="5"/>
  <c r="F74" i="5"/>
  <c r="F76" i="5"/>
  <c r="F78" i="5"/>
  <c r="F80" i="5"/>
  <c r="F82" i="5"/>
  <c r="F84" i="5"/>
  <c r="F86" i="5"/>
  <c r="F88" i="5"/>
  <c r="F119" i="5"/>
  <c r="F121" i="5"/>
  <c r="F123" i="5"/>
  <c r="K139" i="5"/>
  <c r="K143" i="5"/>
  <c r="F3" i="5"/>
  <c r="T1986" i="5"/>
  <c r="T1984" i="5"/>
  <c r="AB3" i="5"/>
  <c r="AA1989" i="5"/>
  <c r="Z1990" i="5"/>
  <c r="Y1992" i="5"/>
  <c r="BQ37" i="5"/>
  <c r="X1993" i="5"/>
  <c r="CD37" i="5"/>
  <c r="H4" i="5"/>
  <c r="J5" i="5"/>
  <c r="L6" i="5"/>
  <c r="BE12" i="5"/>
  <c r="G14" i="5"/>
  <c r="F16" i="5"/>
  <c r="AQ16" i="5"/>
  <c r="J17" i="5"/>
  <c r="I149" i="5"/>
  <c r="F18" i="5"/>
  <c r="AQ18" i="5"/>
  <c r="L152" i="5"/>
  <c r="I21" i="5"/>
  <c r="F22" i="5"/>
  <c r="BE22" i="5"/>
  <c r="J24" i="5"/>
  <c r="G25" i="5"/>
  <c r="L158" i="5"/>
  <c r="K28" i="5"/>
  <c r="I29" i="5"/>
  <c r="J29" i="5"/>
  <c r="I30" i="5"/>
  <c r="G31" i="5"/>
  <c r="H31" i="5"/>
  <c r="F32" i="5"/>
  <c r="H32" i="5"/>
  <c r="CH32" i="5"/>
  <c r="F34" i="5"/>
  <c r="BE34" i="5"/>
  <c r="I36" i="5"/>
  <c r="I37" i="5"/>
  <c r="BP37" i="5"/>
  <c r="BE38" i="5"/>
  <c r="H40" i="5"/>
  <c r="G41" i="5"/>
  <c r="H41" i="5"/>
  <c r="G42" i="5"/>
  <c r="I43" i="5"/>
  <c r="I44" i="5"/>
  <c r="J44" i="5"/>
  <c r="J45" i="5"/>
  <c r="K46" i="5"/>
  <c r="K47" i="5"/>
  <c r="L48" i="5"/>
  <c r="L49" i="5"/>
  <c r="L182" i="5"/>
  <c r="AB51" i="5"/>
  <c r="F53" i="5"/>
  <c r="BE53" i="5"/>
  <c r="BE54" i="5"/>
  <c r="H56" i="5"/>
  <c r="G57" i="5"/>
  <c r="H57" i="5"/>
  <c r="I58" i="5"/>
  <c r="J58" i="5"/>
  <c r="L59" i="5"/>
  <c r="AQ60" i="5"/>
  <c r="BE60" i="5"/>
  <c r="H61" i="5"/>
  <c r="I62" i="5"/>
  <c r="J62" i="5"/>
  <c r="L63" i="5"/>
  <c r="AQ64" i="5"/>
  <c r="BE64" i="5"/>
  <c r="AB66" i="5"/>
  <c r="L198" i="5"/>
  <c r="I67" i="5"/>
  <c r="BE68" i="5"/>
  <c r="F69" i="5"/>
  <c r="AB71" i="5"/>
  <c r="L203" i="5"/>
  <c r="I72" i="5"/>
  <c r="H73" i="5"/>
  <c r="G78" i="5"/>
  <c r="G80" i="5"/>
  <c r="G81" i="5"/>
  <c r="G82" i="5"/>
  <c r="G84" i="5"/>
  <c r="G85" i="5"/>
  <c r="G86" i="5"/>
  <c r="G88" i="5"/>
  <c r="G89" i="5"/>
  <c r="G90" i="5"/>
  <c r="G92" i="5"/>
  <c r="G94" i="5"/>
  <c r="G96" i="5"/>
  <c r="G98" i="5"/>
  <c r="G100" i="5"/>
  <c r="G103" i="5"/>
  <c r="G104" i="5"/>
  <c r="G105" i="5"/>
  <c r="G106" i="5"/>
  <c r="G107" i="5"/>
  <c r="G108" i="5"/>
  <c r="G109" i="5"/>
  <c r="G110" i="5"/>
  <c r="G111" i="5"/>
  <c r="G112" i="5"/>
  <c r="G114" i="5"/>
  <c r="G118" i="5"/>
  <c r="G7" i="5"/>
  <c r="AQ7" i="5"/>
  <c r="I8" i="5"/>
  <c r="I141" i="5"/>
  <c r="K142" i="5"/>
  <c r="AQ11" i="5"/>
  <c r="K145" i="5"/>
  <c r="H14" i="5"/>
  <c r="K147" i="5"/>
  <c r="G16" i="5"/>
  <c r="BE16" i="5"/>
  <c r="G18" i="5"/>
  <c r="F20" i="5"/>
  <c r="J21" i="5"/>
  <c r="J153" i="5"/>
  <c r="G22" i="5"/>
  <c r="H22" i="5"/>
  <c r="AB23" i="5"/>
  <c r="K24" i="5"/>
  <c r="H25" i="5"/>
  <c r="CH25" i="5"/>
  <c r="L28" i="5"/>
  <c r="K29" i="5"/>
  <c r="J30" i="5"/>
  <c r="I31" i="5"/>
  <c r="G32" i="5"/>
  <c r="G33" i="5"/>
  <c r="F35" i="5"/>
  <c r="AQ35" i="5"/>
  <c r="J36" i="5"/>
  <c r="K36" i="5"/>
  <c r="J168" i="5"/>
  <c r="K37" i="5"/>
  <c r="J37" i="5"/>
  <c r="J169" i="5"/>
  <c r="BR37" i="5"/>
  <c r="F38" i="5"/>
  <c r="H38" i="5"/>
  <c r="G39" i="5"/>
  <c r="H39" i="5"/>
  <c r="G40" i="5"/>
  <c r="I41" i="5"/>
  <c r="I42" i="5"/>
  <c r="J42" i="5"/>
  <c r="J43" i="5"/>
  <c r="K44" i="5"/>
  <c r="K45" i="5"/>
  <c r="L46" i="5"/>
  <c r="L47" i="5"/>
  <c r="L180" i="5"/>
  <c r="AB49" i="5"/>
  <c r="F51" i="5"/>
  <c r="BE51" i="5"/>
  <c r="F54" i="5"/>
  <c r="H54" i="5"/>
  <c r="G55" i="5"/>
  <c r="H55" i="5"/>
  <c r="G56" i="5"/>
  <c r="I57" i="5"/>
  <c r="K58" i="5"/>
  <c r="G61" i="5"/>
  <c r="K62" i="5"/>
  <c r="I65" i="5"/>
  <c r="AQ66" i="5"/>
  <c r="G68" i="5"/>
  <c r="I69" i="5"/>
  <c r="L69" i="5"/>
  <c r="H70" i="5"/>
  <c r="AQ71" i="5"/>
  <c r="BE71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3" i="5"/>
  <c r="H95" i="5"/>
  <c r="H101" i="5"/>
  <c r="H116" i="5"/>
  <c r="L19" i="5"/>
  <c r="K151" i="5"/>
  <c r="G20" i="5"/>
  <c r="L21" i="5"/>
  <c r="K153" i="5"/>
  <c r="I22" i="5"/>
  <c r="F23" i="5"/>
  <c r="F155" i="5"/>
  <c r="L24" i="5"/>
  <c r="I25" i="5"/>
  <c r="F26" i="5"/>
  <c r="BE26" i="5"/>
  <c r="AB27" i="5"/>
  <c r="AB28" i="5"/>
  <c r="L160" i="5"/>
  <c r="L29" i="5"/>
  <c r="K30" i="5"/>
  <c r="J31" i="5"/>
  <c r="J163" i="5"/>
  <c r="I32" i="5"/>
  <c r="J32" i="5"/>
  <c r="G34" i="5"/>
  <c r="H34" i="5"/>
  <c r="L36" i="5"/>
  <c r="G38" i="5"/>
  <c r="I39" i="5"/>
  <c r="I40" i="5"/>
  <c r="J40" i="5"/>
  <c r="J41" i="5"/>
  <c r="K42" i="5"/>
  <c r="K43" i="5"/>
  <c r="L44" i="5"/>
  <c r="L45" i="5"/>
  <c r="L178" i="5"/>
  <c r="AB47" i="5"/>
  <c r="F49" i="5"/>
  <c r="BE49" i="5"/>
  <c r="BE50" i="5"/>
  <c r="F52" i="5"/>
  <c r="H52" i="5"/>
  <c r="G53" i="5"/>
  <c r="H53" i="5"/>
  <c r="G54" i="5"/>
  <c r="I55" i="5"/>
  <c r="I56" i="5"/>
  <c r="J56" i="5"/>
  <c r="J57" i="5"/>
  <c r="L58" i="5"/>
  <c r="F59" i="5"/>
  <c r="BE59" i="5"/>
  <c r="H60" i="5"/>
  <c r="L62" i="5"/>
  <c r="F63" i="5"/>
  <c r="BE63" i="5"/>
  <c r="H64" i="5"/>
  <c r="J65" i="5"/>
  <c r="J67" i="5"/>
  <c r="K199" i="5"/>
  <c r="AB69" i="5"/>
  <c r="L201" i="5"/>
  <c r="I70" i="5"/>
  <c r="J72" i="5"/>
  <c r="K204" i="5"/>
  <c r="J73" i="5"/>
  <c r="I74" i="5"/>
  <c r="I76" i="5"/>
  <c r="I78" i="5"/>
  <c r="I80" i="5"/>
  <c r="I82" i="5"/>
  <c r="I84" i="5"/>
  <c r="I86" i="5"/>
  <c r="I88" i="5"/>
  <c r="I90" i="5"/>
  <c r="I92" i="5"/>
  <c r="I95" i="5"/>
  <c r="I96" i="5"/>
  <c r="I97" i="5"/>
  <c r="I99" i="5"/>
  <c r="I100" i="5"/>
  <c r="I102" i="5"/>
  <c r="I103" i="5"/>
  <c r="I104" i="5"/>
  <c r="I105" i="5"/>
  <c r="I106" i="5"/>
  <c r="I107" i="5"/>
  <c r="I108" i="5"/>
  <c r="I109" i="5"/>
  <c r="I110" i="5"/>
  <c r="I111" i="5"/>
  <c r="I112" i="5"/>
  <c r="I114" i="5"/>
  <c r="I118" i="5"/>
  <c r="I134" i="5"/>
  <c r="T1989" i="5"/>
  <c r="J12" i="5"/>
  <c r="I16" i="5"/>
  <c r="W1986" i="5"/>
  <c r="W1984" i="5"/>
  <c r="H411" i="5"/>
  <c r="H413" i="5"/>
  <c r="H418" i="5"/>
  <c r="H409" i="5"/>
  <c r="H398" i="5"/>
  <c r="H339" i="5"/>
  <c r="H337" i="5"/>
  <c r="H335" i="5"/>
  <c r="H416" i="5"/>
  <c r="H412" i="5"/>
  <c r="H333" i="5"/>
  <c r="H134" i="5"/>
  <c r="H117" i="5"/>
  <c r="H114" i="5"/>
  <c r="H113" i="5"/>
  <c r="H111" i="5"/>
  <c r="H109" i="5"/>
  <c r="H107" i="5"/>
  <c r="H105" i="5"/>
  <c r="H103" i="5"/>
  <c r="H100" i="5"/>
  <c r="H98" i="5"/>
  <c r="H96" i="5"/>
  <c r="H94" i="5"/>
  <c r="H92" i="5"/>
  <c r="H120" i="5"/>
  <c r="H35" i="5"/>
  <c r="H115" i="5"/>
  <c r="H118" i="5"/>
  <c r="H112" i="5"/>
  <c r="H110" i="5"/>
  <c r="H108" i="5"/>
  <c r="H106" i="5"/>
  <c r="H104" i="5"/>
  <c r="H102" i="5"/>
  <c r="H99" i="5"/>
  <c r="H97" i="5"/>
  <c r="H68" i="5"/>
  <c r="T1992" i="5"/>
  <c r="BT3" i="5"/>
  <c r="K141" i="5"/>
  <c r="AB15" i="5"/>
  <c r="AQ15" i="5"/>
  <c r="J16" i="5"/>
  <c r="I18" i="5"/>
  <c r="I20" i="5"/>
  <c r="H20" i="5"/>
  <c r="J22" i="5"/>
  <c r="G23" i="5"/>
  <c r="AB24" i="5"/>
  <c r="L156" i="5"/>
  <c r="K25" i="5"/>
  <c r="J25" i="5"/>
  <c r="J157" i="5"/>
  <c r="G26" i="5"/>
  <c r="H26" i="5"/>
  <c r="F27" i="5"/>
  <c r="L30" i="5"/>
  <c r="L31" i="5"/>
  <c r="K32" i="5"/>
  <c r="I33" i="5"/>
  <c r="J33" i="5"/>
  <c r="I34" i="5"/>
  <c r="G35" i="5"/>
  <c r="AB36" i="5"/>
  <c r="L168" i="5"/>
  <c r="I38" i="5"/>
  <c r="J38" i="5"/>
  <c r="J39" i="5"/>
  <c r="K40" i="5"/>
  <c r="K41" i="5"/>
  <c r="L42" i="5"/>
  <c r="L43" i="5"/>
  <c r="L176" i="5"/>
  <c r="F47" i="5"/>
  <c r="BE47" i="5"/>
  <c r="F50" i="5"/>
  <c r="H50" i="5"/>
  <c r="G51" i="5"/>
  <c r="H51" i="5"/>
  <c r="G52" i="5"/>
  <c r="I53" i="5"/>
  <c r="J54" i="5"/>
  <c r="J55" i="5"/>
  <c r="K56" i="5"/>
  <c r="K57" i="5"/>
  <c r="L190" i="5"/>
  <c r="F60" i="5"/>
  <c r="J61" i="5"/>
  <c r="L194" i="5"/>
  <c r="F64" i="5"/>
  <c r="L65" i="5"/>
  <c r="H66" i="5"/>
  <c r="L67" i="5"/>
  <c r="H71" i="5"/>
  <c r="L72" i="5"/>
  <c r="J75" i="5"/>
  <c r="J77" i="5"/>
  <c r="J79" i="5"/>
  <c r="J81" i="5"/>
  <c r="J83" i="5"/>
  <c r="J85" i="5"/>
  <c r="J87" i="5"/>
  <c r="J89" i="5"/>
  <c r="J101" i="5"/>
  <c r="J116" i="5"/>
  <c r="H7" i="5"/>
  <c r="F10" i="5"/>
  <c r="H11" i="5"/>
  <c r="I14" i="5"/>
  <c r="H16" i="5"/>
  <c r="K149" i="5"/>
  <c r="I3" i="5"/>
  <c r="V1989" i="5"/>
  <c r="U1990" i="5"/>
  <c r="AA1993" i="5"/>
  <c r="K4" i="5"/>
  <c r="I136" i="5"/>
  <c r="G10" i="5"/>
  <c r="AQ10" i="5"/>
  <c r="K12" i="5"/>
  <c r="I144" i="5"/>
  <c r="F13" i="5"/>
  <c r="AQ13" i="5"/>
  <c r="I146" i="5"/>
  <c r="J3" i="5"/>
  <c r="X1986" i="5"/>
  <c r="X1984" i="5"/>
  <c r="I463" i="5"/>
  <c r="I459" i="5"/>
  <c r="I457" i="5"/>
  <c r="I455" i="5"/>
  <c r="I453" i="5"/>
  <c r="I451" i="5"/>
  <c r="I449" i="5"/>
  <c r="I447" i="5"/>
  <c r="I445" i="5"/>
  <c r="I443" i="5"/>
  <c r="I441" i="5"/>
  <c r="I439" i="5"/>
  <c r="I462" i="5"/>
  <c r="I460" i="5"/>
  <c r="I458" i="5"/>
  <c r="I456" i="5"/>
  <c r="I454" i="5"/>
  <c r="I452" i="5"/>
  <c r="I450" i="5"/>
  <c r="I448" i="5"/>
  <c r="I446" i="5"/>
  <c r="I444" i="5"/>
  <c r="I442" i="5"/>
  <c r="I440" i="5"/>
  <c r="I438" i="5"/>
  <c r="I436" i="5"/>
  <c r="I434" i="5"/>
  <c r="I432" i="5"/>
  <c r="I437" i="5"/>
  <c r="I427" i="5"/>
  <c r="I411" i="5"/>
  <c r="I414" i="5"/>
  <c r="I408" i="5"/>
  <c r="I406" i="5"/>
  <c r="I404" i="5"/>
  <c r="I402" i="5"/>
  <c r="I400" i="5"/>
  <c r="I397" i="5"/>
  <c r="I395" i="5"/>
  <c r="I393" i="5"/>
  <c r="I391" i="5"/>
  <c r="I389" i="5"/>
  <c r="I387" i="5"/>
  <c r="I385" i="5"/>
  <c r="I383" i="5"/>
  <c r="I381" i="5"/>
  <c r="I379" i="5"/>
  <c r="I377" i="5"/>
  <c r="I375" i="5"/>
  <c r="I373" i="5"/>
  <c r="I371" i="5"/>
  <c r="I369" i="5"/>
  <c r="I367" i="5"/>
  <c r="I364" i="5"/>
  <c r="I362" i="5"/>
  <c r="I360" i="5"/>
  <c r="I358" i="5"/>
  <c r="I356" i="5"/>
  <c r="I354" i="5"/>
  <c r="I428" i="5"/>
  <c r="I421" i="5"/>
  <c r="I420" i="5"/>
  <c r="I419" i="5"/>
  <c r="I413" i="5"/>
  <c r="I410" i="5"/>
  <c r="I429" i="5"/>
  <c r="I423" i="5"/>
  <c r="I422" i="5"/>
  <c r="I418" i="5"/>
  <c r="I435" i="5"/>
  <c r="I425" i="5"/>
  <c r="I424" i="5"/>
  <c r="I417" i="5"/>
  <c r="I409" i="5"/>
  <c r="I405" i="5"/>
  <c r="I403" i="5"/>
  <c r="I401" i="5"/>
  <c r="I399" i="5"/>
  <c r="I396" i="5"/>
  <c r="I394" i="5"/>
  <c r="I392" i="5"/>
  <c r="I390" i="5"/>
  <c r="I388" i="5"/>
  <c r="I386" i="5"/>
  <c r="I384" i="5"/>
  <c r="I382" i="5"/>
  <c r="I380" i="5"/>
  <c r="I378" i="5"/>
  <c r="I376" i="5"/>
  <c r="I374" i="5"/>
  <c r="I372" i="5"/>
  <c r="I370" i="5"/>
  <c r="I368" i="5"/>
  <c r="I366" i="5"/>
  <c r="I363" i="5"/>
  <c r="I361" i="5"/>
  <c r="I359" i="5"/>
  <c r="I357" i="5"/>
  <c r="I355" i="5"/>
  <c r="I353" i="5"/>
  <c r="I351" i="5"/>
  <c r="I349" i="5"/>
  <c r="I347" i="5"/>
  <c r="I345" i="5"/>
  <c r="I343" i="5"/>
  <c r="I341" i="5"/>
  <c r="I339" i="5"/>
  <c r="I433" i="5"/>
  <c r="I430" i="5"/>
  <c r="I426" i="5"/>
  <c r="I416" i="5"/>
  <c r="I415" i="5"/>
  <c r="I348" i="5"/>
  <c r="I340" i="5"/>
  <c r="I352" i="5"/>
  <c r="I346" i="5"/>
  <c r="I342" i="5"/>
  <c r="I350" i="5"/>
  <c r="I336" i="5"/>
  <c r="I344" i="5"/>
  <c r="I338" i="5"/>
  <c r="I334" i="5"/>
  <c r="I132" i="5"/>
  <c r="I128" i="5"/>
  <c r="I117" i="5"/>
  <c r="I133" i="5"/>
  <c r="I129" i="5"/>
  <c r="I123" i="5"/>
  <c r="I122" i="5"/>
  <c r="I121" i="5"/>
  <c r="I113" i="5"/>
  <c r="I98" i="5"/>
  <c r="I94" i="5"/>
  <c r="I125" i="5"/>
  <c r="I124" i="5"/>
  <c r="I120" i="5"/>
  <c r="I116" i="5"/>
  <c r="I130" i="5"/>
  <c r="I126" i="5"/>
  <c r="I119" i="5"/>
  <c r="I115" i="5"/>
  <c r="I131" i="5"/>
  <c r="I127" i="5"/>
  <c r="I101" i="5"/>
  <c r="I93" i="5"/>
  <c r="I91" i="5"/>
  <c r="I89" i="5"/>
  <c r="I87" i="5"/>
  <c r="I85" i="5"/>
  <c r="I83" i="5"/>
  <c r="I81" i="5"/>
  <c r="I79" i="5"/>
  <c r="I77" i="5"/>
  <c r="I75" i="5"/>
  <c r="I73" i="5"/>
  <c r="W1989" i="5"/>
  <c r="V1990" i="5"/>
  <c r="U1992" i="5"/>
  <c r="BM37" i="5"/>
  <c r="T1993" i="5"/>
  <c r="BZ37" i="5"/>
  <c r="CH3" i="5"/>
  <c r="F9" i="5"/>
  <c r="H10" i="5"/>
  <c r="J11" i="5"/>
  <c r="L12" i="5"/>
  <c r="G13" i="5"/>
  <c r="BE13" i="5"/>
  <c r="K14" i="5"/>
  <c r="G15" i="5"/>
  <c r="F15" i="5"/>
  <c r="K16" i="5"/>
  <c r="I148" i="5"/>
  <c r="F17" i="5"/>
  <c r="AQ17" i="5"/>
  <c r="J18" i="5"/>
  <c r="I150" i="5"/>
  <c r="AB19" i="5"/>
  <c r="AQ19" i="5"/>
  <c r="AB21" i="5"/>
  <c r="K22" i="5"/>
  <c r="H23" i="5"/>
  <c r="CH23" i="5"/>
  <c r="L25" i="5"/>
  <c r="I26" i="5"/>
  <c r="CH27" i="5"/>
  <c r="BE28" i="5"/>
  <c r="F29" i="5"/>
  <c r="F161" i="5"/>
  <c r="BE29" i="5"/>
  <c r="AB30" i="5"/>
  <c r="L32" i="5"/>
  <c r="K33" i="5"/>
  <c r="J34" i="5"/>
  <c r="I35" i="5"/>
  <c r="AQ36" i="5"/>
  <c r="AB37" i="5"/>
  <c r="CB37" i="5"/>
  <c r="K38" i="5"/>
  <c r="K39" i="5"/>
  <c r="L40" i="5"/>
  <c r="L41" i="5"/>
  <c r="L174" i="5"/>
  <c r="AB43" i="5"/>
  <c r="F45" i="5"/>
  <c r="BE45" i="5"/>
  <c r="BE46" i="5"/>
  <c r="F48" i="5"/>
  <c r="H48" i="5"/>
  <c r="G49" i="5"/>
  <c r="H49" i="5"/>
  <c r="I51" i="5"/>
  <c r="I52" i="5"/>
  <c r="J52" i="5"/>
  <c r="J53" i="5"/>
  <c r="K54" i="5"/>
  <c r="K55" i="5"/>
  <c r="L56" i="5"/>
  <c r="L57" i="5"/>
  <c r="AQ58" i="5"/>
  <c r="BE58" i="5"/>
  <c r="H59" i="5"/>
  <c r="I60" i="5"/>
  <c r="J60" i="5"/>
  <c r="L61" i="5"/>
  <c r="AQ62" i="5"/>
  <c r="BE62" i="5"/>
  <c r="H63" i="5"/>
  <c r="I64" i="5"/>
  <c r="J64" i="5"/>
  <c r="AB65" i="5"/>
  <c r="AQ65" i="5"/>
  <c r="BE65" i="5"/>
  <c r="AB67" i="5"/>
  <c r="BE67" i="5"/>
  <c r="F68" i="5"/>
  <c r="J68" i="5"/>
  <c r="K202" i="5"/>
  <c r="AQ72" i="5"/>
  <c r="AR101" i="5" s="1"/>
  <c r="BE72" i="5"/>
  <c r="F73" i="5"/>
  <c r="L73" i="5"/>
  <c r="K79" i="5"/>
  <c r="K81" i="5"/>
  <c r="K82" i="5"/>
  <c r="K83" i="5"/>
  <c r="K85" i="5"/>
  <c r="K86" i="5"/>
  <c r="K87" i="5"/>
  <c r="K89" i="5"/>
  <c r="K90" i="5"/>
  <c r="K91" i="5"/>
  <c r="K93" i="5"/>
  <c r="K95" i="5"/>
  <c r="K97" i="5"/>
  <c r="K99" i="5"/>
  <c r="K101" i="5"/>
  <c r="K102" i="5"/>
  <c r="K104" i="5"/>
  <c r="K105" i="5"/>
  <c r="K106" i="5"/>
  <c r="K107" i="5"/>
  <c r="K108" i="5"/>
  <c r="K109" i="5"/>
  <c r="K110" i="5"/>
  <c r="K111" i="5"/>
  <c r="K112" i="5"/>
  <c r="K114" i="5"/>
  <c r="K115" i="5"/>
  <c r="K118" i="5"/>
  <c r="V1986" i="5"/>
  <c r="G1990" i="5" s="1"/>
  <c r="V1984" i="5"/>
  <c r="G463" i="5"/>
  <c r="G461" i="5"/>
  <c r="G459" i="5"/>
  <c r="G457" i="5"/>
  <c r="G455" i="5"/>
  <c r="G453" i="5"/>
  <c r="G451" i="5"/>
  <c r="G449" i="5"/>
  <c r="G447" i="5"/>
  <c r="G445" i="5"/>
  <c r="G443" i="5"/>
  <c r="G441" i="5"/>
  <c r="G439" i="5"/>
  <c r="G437" i="5"/>
  <c r="G464" i="5"/>
  <c r="G462" i="5"/>
  <c r="G460" i="5"/>
  <c r="G458" i="5"/>
  <c r="G456" i="5"/>
  <c r="G454" i="5"/>
  <c r="G452" i="5"/>
  <c r="G450" i="5"/>
  <c r="G448" i="5"/>
  <c r="G446" i="5"/>
  <c r="G444" i="5"/>
  <c r="G442" i="5"/>
  <c r="G440" i="5"/>
  <c r="G438" i="5"/>
  <c r="G436" i="5"/>
  <c r="G416" i="5"/>
  <c r="G415" i="5"/>
  <c r="G431" i="5"/>
  <c r="G427" i="5"/>
  <c r="G434" i="5"/>
  <c r="G411" i="5"/>
  <c r="G432" i="5"/>
  <c r="G428" i="5"/>
  <c r="G414" i="5"/>
  <c r="G408" i="5"/>
  <c r="G406" i="5"/>
  <c r="G404" i="5"/>
  <c r="G402" i="5"/>
  <c r="G400" i="5"/>
  <c r="G397" i="5"/>
  <c r="G395" i="5"/>
  <c r="G393" i="5"/>
  <c r="G391" i="5"/>
  <c r="G389" i="5"/>
  <c r="G387" i="5"/>
  <c r="G385" i="5"/>
  <c r="G383" i="5"/>
  <c r="G381" i="5"/>
  <c r="G379" i="5"/>
  <c r="G377" i="5"/>
  <c r="G375" i="5"/>
  <c r="G373" i="5"/>
  <c r="G371" i="5"/>
  <c r="G369" i="5"/>
  <c r="G367" i="5"/>
  <c r="G364" i="5"/>
  <c r="G362" i="5"/>
  <c r="G360" i="5"/>
  <c r="G358" i="5"/>
  <c r="G356" i="5"/>
  <c r="G354" i="5"/>
  <c r="G352" i="5"/>
  <c r="G350" i="5"/>
  <c r="G348" i="5"/>
  <c r="G346" i="5"/>
  <c r="G344" i="5"/>
  <c r="G342" i="5"/>
  <c r="G340" i="5"/>
  <c r="G338" i="5"/>
  <c r="G336" i="5"/>
  <c r="G421" i="5"/>
  <c r="G420" i="5"/>
  <c r="G419" i="5"/>
  <c r="G429" i="5"/>
  <c r="G423" i="5"/>
  <c r="G422" i="5"/>
  <c r="G413" i="5"/>
  <c r="G410" i="5"/>
  <c r="G435" i="5"/>
  <c r="G425" i="5"/>
  <c r="G424" i="5"/>
  <c r="G418" i="5"/>
  <c r="G417" i="5"/>
  <c r="G433" i="5"/>
  <c r="G430" i="5"/>
  <c r="G426" i="5"/>
  <c r="G409" i="5"/>
  <c r="G407" i="5"/>
  <c r="G405" i="5"/>
  <c r="G403" i="5"/>
  <c r="G401" i="5"/>
  <c r="G399" i="5"/>
  <c r="G398" i="5"/>
  <c r="G396" i="5"/>
  <c r="G394" i="5"/>
  <c r="G392" i="5"/>
  <c r="G390" i="5"/>
  <c r="G388" i="5"/>
  <c r="G386" i="5"/>
  <c r="G384" i="5"/>
  <c r="G382" i="5"/>
  <c r="G380" i="5"/>
  <c r="G378" i="5"/>
  <c r="G376" i="5"/>
  <c r="G374" i="5"/>
  <c r="G372" i="5"/>
  <c r="G370" i="5"/>
  <c r="G368" i="5"/>
  <c r="G366" i="5"/>
  <c r="G365" i="5"/>
  <c r="G363" i="5"/>
  <c r="G361" i="5"/>
  <c r="G359" i="5"/>
  <c r="G357" i="5"/>
  <c r="G355" i="5"/>
  <c r="G353" i="5"/>
  <c r="G351" i="5"/>
  <c r="G349" i="5"/>
  <c r="G347" i="5"/>
  <c r="G345" i="5"/>
  <c r="G343" i="5"/>
  <c r="G335" i="5"/>
  <c r="G337" i="5"/>
  <c r="G339" i="5"/>
  <c r="G341" i="5"/>
  <c r="G333" i="5"/>
  <c r="G102" i="5"/>
  <c r="G101" i="5"/>
  <c r="G99" i="5"/>
  <c r="G97" i="5"/>
  <c r="G95" i="5"/>
  <c r="G93" i="5"/>
  <c r="G91" i="5"/>
  <c r="G87" i="5"/>
  <c r="G83" i="5"/>
  <c r="G79" i="5"/>
  <c r="G77" i="5"/>
  <c r="G75" i="5"/>
  <c r="G73" i="5"/>
  <c r="G71" i="5"/>
  <c r="G69" i="5"/>
  <c r="G66" i="5"/>
  <c r="G64" i="5"/>
  <c r="G62" i="5"/>
  <c r="G60" i="5"/>
  <c r="G58" i="5"/>
  <c r="G132" i="5"/>
  <c r="G128" i="5"/>
  <c r="G117" i="5"/>
  <c r="G133" i="5"/>
  <c r="G129" i="5"/>
  <c r="G123" i="5"/>
  <c r="G122" i="5"/>
  <c r="G121" i="5"/>
  <c r="G125" i="5"/>
  <c r="G124" i="5"/>
  <c r="G113" i="5"/>
  <c r="G76" i="5"/>
  <c r="G74" i="5"/>
  <c r="G72" i="5"/>
  <c r="G70" i="5"/>
  <c r="G67" i="5"/>
  <c r="G65" i="5"/>
  <c r="G134" i="5"/>
  <c r="G130" i="5"/>
  <c r="G126" i="5"/>
  <c r="G120" i="5"/>
  <c r="G119" i="5"/>
  <c r="G116" i="5"/>
  <c r="G131" i="5"/>
  <c r="G127" i="5"/>
  <c r="G115" i="5"/>
  <c r="BE3" i="5"/>
  <c r="J4" i="5"/>
  <c r="K137" i="5"/>
  <c r="Y1984" i="5"/>
  <c r="Y1986" i="5"/>
  <c r="J1990" i="5" s="1"/>
  <c r="J420" i="5"/>
  <c r="J422" i="5"/>
  <c r="J418" i="5"/>
  <c r="J424" i="5"/>
  <c r="J365" i="5"/>
  <c r="J333" i="5"/>
  <c r="J416" i="5"/>
  <c r="J412" i="5"/>
  <c r="J334" i="5"/>
  <c r="J134" i="5"/>
  <c r="J122" i="5"/>
  <c r="J111" i="5"/>
  <c r="J109" i="5"/>
  <c r="J107" i="5"/>
  <c r="J105" i="5"/>
  <c r="J103" i="5"/>
  <c r="J100" i="5"/>
  <c r="J98" i="5"/>
  <c r="J96" i="5"/>
  <c r="J94" i="5"/>
  <c r="J92" i="5"/>
  <c r="J90" i="5"/>
  <c r="J88" i="5"/>
  <c r="J86" i="5"/>
  <c r="J84" i="5"/>
  <c r="J82" i="5"/>
  <c r="J80" i="5"/>
  <c r="J78" i="5"/>
  <c r="J76" i="5"/>
  <c r="J74" i="5"/>
  <c r="J124" i="5"/>
  <c r="J120" i="5"/>
  <c r="J118" i="5"/>
  <c r="J112" i="5"/>
  <c r="J110" i="5"/>
  <c r="J108" i="5"/>
  <c r="J106" i="5"/>
  <c r="J104" i="5"/>
  <c r="J102" i="5"/>
  <c r="J99" i="5"/>
  <c r="J97" i="5"/>
  <c r="J95" i="5"/>
  <c r="J93" i="5"/>
  <c r="J91" i="5"/>
  <c r="J114" i="5"/>
  <c r="X1989" i="5"/>
  <c r="I135" i="5"/>
  <c r="W1990" i="5"/>
  <c r="V1992" i="5"/>
  <c r="U1993" i="5"/>
  <c r="K136" i="5"/>
  <c r="G5" i="5"/>
  <c r="G9" i="5"/>
  <c r="AQ9" i="5"/>
  <c r="I10" i="5"/>
  <c r="K11" i="5"/>
  <c r="I143" i="5"/>
  <c r="K144" i="5"/>
  <c r="H13" i="5"/>
  <c r="L14" i="5"/>
  <c r="K146" i="5"/>
  <c r="H15" i="5"/>
  <c r="L16" i="5"/>
  <c r="G17" i="5"/>
  <c r="BE17" i="5"/>
  <c r="K18" i="5"/>
  <c r="G19" i="5"/>
  <c r="F19" i="5"/>
  <c r="K20" i="5"/>
  <c r="F21" i="5"/>
  <c r="F153" i="5"/>
  <c r="BE21" i="5"/>
  <c r="L22" i="5"/>
  <c r="I23" i="5"/>
  <c r="BE24" i="5"/>
  <c r="J26" i="5"/>
  <c r="G27" i="5"/>
  <c r="H27" i="5"/>
  <c r="H28" i="5"/>
  <c r="CH28" i="5"/>
  <c r="F30" i="5"/>
  <c r="BE30" i="5"/>
  <c r="AB31" i="5"/>
  <c r="L164" i="5"/>
  <c r="L33" i="5"/>
  <c r="K34" i="5"/>
  <c r="K35" i="5"/>
  <c r="J35" i="5"/>
  <c r="G36" i="5"/>
  <c r="F168" i="5"/>
  <c r="F37" i="5"/>
  <c r="BE37" i="5"/>
  <c r="BL37" i="5"/>
  <c r="CC37" i="5"/>
  <c r="L38" i="5"/>
  <c r="L39" i="5"/>
  <c r="L172" i="5"/>
  <c r="AB41" i="5"/>
  <c r="F43" i="5"/>
  <c r="F46" i="5"/>
  <c r="H46" i="5"/>
  <c r="G47" i="5"/>
  <c r="H47" i="5"/>
  <c r="G48" i="5"/>
  <c r="I49" i="5"/>
  <c r="I50" i="5"/>
  <c r="J50" i="5"/>
  <c r="J51" i="5"/>
  <c r="K52" i="5"/>
  <c r="K53" i="5"/>
  <c r="L54" i="5"/>
  <c r="L55" i="5"/>
  <c r="L188" i="5"/>
  <c r="AB57" i="5"/>
  <c r="G59" i="5"/>
  <c r="K60" i="5"/>
  <c r="AB61" i="5"/>
  <c r="G63" i="5"/>
  <c r="K64" i="5"/>
  <c r="F65" i="5"/>
  <c r="F66" i="5"/>
  <c r="J66" i="5"/>
  <c r="F67" i="5"/>
  <c r="I68" i="5"/>
  <c r="K68" i="5"/>
  <c r="H69" i="5"/>
  <c r="L70" i="5"/>
  <c r="J71" i="5"/>
  <c r="F72" i="5"/>
  <c r="AB73" i="5"/>
  <c r="L205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4" i="5"/>
  <c r="L96" i="5"/>
  <c r="L113" i="5"/>
  <c r="L116" i="5"/>
  <c r="L117" i="5"/>
  <c r="L119" i="5"/>
  <c r="L121" i="5"/>
  <c r="J154" i="5"/>
  <c r="F156" i="5"/>
  <c r="J158" i="5"/>
  <c r="L159" i="5"/>
  <c r="F160" i="5"/>
  <c r="J162" i="5"/>
  <c r="L163" i="5"/>
  <c r="F164" i="5"/>
  <c r="J166" i="5"/>
  <c r="J167" i="5"/>
  <c r="L169" i="5"/>
  <c r="F170" i="5"/>
  <c r="J171" i="5"/>
  <c r="F172" i="5"/>
  <c r="J173" i="5"/>
  <c r="F174" i="5"/>
  <c r="J175" i="5"/>
  <c r="F176" i="5"/>
  <c r="J177" i="5"/>
  <c r="F178" i="5"/>
  <c r="J179" i="5"/>
  <c r="F180" i="5"/>
  <c r="J181" i="5"/>
  <c r="F182" i="5"/>
  <c r="J183" i="5"/>
  <c r="F184" i="5"/>
  <c r="J185" i="5"/>
  <c r="F186" i="5"/>
  <c r="J187" i="5"/>
  <c r="F188" i="5"/>
  <c r="J189" i="5"/>
  <c r="F190" i="5"/>
  <c r="J191" i="5"/>
  <c r="F192" i="5"/>
  <c r="J193" i="5"/>
  <c r="F194" i="5"/>
  <c r="J195" i="5"/>
  <c r="F196" i="5"/>
  <c r="J197" i="5"/>
  <c r="F198" i="5"/>
  <c r="F201" i="5"/>
  <c r="J202" i="5"/>
  <c r="F203" i="5"/>
  <c r="J204" i="5"/>
  <c r="F205" i="5"/>
  <c r="J206" i="5"/>
  <c r="F207" i="5"/>
  <c r="J208" i="5"/>
  <c r="F209" i="5"/>
  <c r="J210" i="5"/>
  <c r="F211" i="5"/>
  <c r="J212" i="5"/>
  <c r="J214" i="5"/>
  <c r="F215" i="5"/>
  <c r="J216" i="5"/>
  <c r="F217" i="5"/>
  <c r="J218" i="5"/>
  <c r="F219" i="5"/>
  <c r="J220" i="5"/>
  <c r="F221" i="5"/>
  <c r="J222" i="5"/>
  <c r="F223" i="5"/>
  <c r="J224" i="5"/>
  <c r="F225" i="5"/>
  <c r="J226" i="5"/>
  <c r="F227" i="5"/>
  <c r="J228" i="5"/>
  <c r="J230" i="5"/>
  <c r="F231" i="5"/>
  <c r="J232" i="5"/>
  <c r="F234" i="5"/>
  <c r="J235" i="5"/>
  <c r="F236" i="5"/>
  <c r="BE104" i="5"/>
  <c r="J237" i="5"/>
  <c r="F238" i="5"/>
  <c r="J239" i="5"/>
  <c r="F240" i="5"/>
  <c r="BE108" i="5"/>
  <c r="J241" i="5"/>
  <c r="F242" i="5"/>
  <c r="J243" i="5"/>
  <c r="F244" i="5"/>
  <c r="BE112" i="5"/>
  <c r="F247" i="5"/>
  <c r="L248" i="5"/>
  <c r="J117" i="5"/>
  <c r="AB120" i="5"/>
  <c r="L122" i="5"/>
  <c r="L254" i="5"/>
  <c r="L255" i="5"/>
  <c r="AB124" i="5"/>
  <c r="AC200" i="5"/>
  <c r="K206" i="5"/>
  <c r="K208" i="5"/>
  <c r="K210" i="5"/>
  <c r="K212" i="5"/>
  <c r="K214" i="5"/>
  <c r="K216" i="5"/>
  <c r="K218" i="5"/>
  <c r="K220" i="5"/>
  <c r="K222" i="5"/>
  <c r="K224" i="5"/>
  <c r="K226" i="5"/>
  <c r="K228" i="5"/>
  <c r="K230" i="5"/>
  <c r="K232" i="5"/>
  <c r="L245" i="5"/>
  <c r="J246" i="5"/>
  <c r="AB116" i="5"/>
  <c r="J249" i="5"/>
  <c r="F251" i="5"/>
  <c r="BE119" i="5"/>
  <c r="F120" i="5"/>
  <c r="F252" i="5"/>
  <c r="BE120" i="5"/>
  <c r="L253" i="5"/>
  <c r="AB122" i="5"/>
  <c r="F124" i="5"/>
  <c r="F256" i="5"/>
  <c r="F257" i="5"/>
  <c r="BE125" i="5"/>
  <c r="H126" i="5"/>
  <c r="J127" i="5"/>
  <c r="J259" i="5"/>
  <c r="L128" i="5"/>
  <c r="L260" i="5"/>
  <c r="F129" i="5"/>
  <c r="F261" i="5"/>
  <c r="BE129" i="5"/>
  <c r="H130" i="5"/>
  <c r="J131" i="5"/>
  <c r="J263" i="5"/>
  <c r="L132" i="5"/>
  <c r="L264" i="5"/>
  <c r="F133" i="5"/>
  <c r="F265" i="5"/>
  <c r="BE133" i="5"/>
  <c r="J136" i="5"/>
  <c r="J268" i="5"/>
  <c r="L137" i="5"/>
  <c r="L269" i="5"/>
  <c r="F138" i="5"/>
  <c r="F270" i="5"/>
  <c r="BE138" i="5"/>
  <c r="J140" i="5"/>
  <c r="J272" i="5"/>
  <c r="L141" i="5"/>
  <c r="L273" i="5"/>
  <c r="F142" i="5"/>
  <c r="F274" i="5"/>
  <c r="BE142" i="5"/>
  <c r="J144" i="5"/>
  <c r="J276" i="5"/>
  <c r="F145" i="5"/>
  <c r="F277" i="5"/>
  <c r="F146" i="5"/>
  <c r="F278" i="5"/>
  <c r="F147" i="5"/>
  <c r="F279" i="5"/>
  <c r="F148" i="5"/>
  <c r="F280" i="5"/>
  <c r="F149" i="5"/>
  <c r="F281" i="5"/>
  <c r="F150" i="5"/>
  <c r="F282" i="5"/>
  <c r="F151" i="5"/>
  <c r="F283" i="5"/>
  <c r="F152" i="5"/>
  <c r="F284" i="5"/>
  <c r="F285" i="5"/>
  <c r="F167" i="5"/>
  <c r="F213" i="5"/>
  <c r="F229" i="5"/>
  <c r="F233" i="5"/>
  <c r="F266" i="5"/>
  <c r="F159" i="5"/>
  <c r="J161" i="5"/>
  <c r="L162" i="5"/>
  <c r="F163" i="5"/>
  <c r="J165" i="5"/>
  <c r="L166" i="5"/>
  <c r="F169" i="5"/>
  <c r="L171" i="5"/>
  <c r="L173" i="5"/>
  <c r="L175" i="5"/>
  <c r="L177" i="5"/>
  <c r="L179" i="5"/>
  <c r="L181" i="5"/>
  <c r="L183" i="5"/>
  <c r="L185" i="5"/>
  <c r="L187" i="5"/>
  <c r="L189" i="5"/>
  <c r="L191" i="5"/>
  <c r="L193" i="5"/>
  <c r="L195" i="5"/>
  <c r="L197" i="5"/>
  <c r="F200" i="5"/>
  <c r="L202" i="5"/>
  <c r="L204" i="5"/>
  <c r="L206" i="5"/>
  <c r="L208" i="5"/>
  <c r="L210" i="5"/>
  <c r="L212" i="5"/>
  <c r="L214" i="5"/>
  <c r="L216" i="5"/>
  <c r="L218" i="5"/>
  <c r="L220" i="5"/>
  <c r="L222" i="5"/>
  <c r="L224" i="5"/>
  <c r="L226" i="5"/>
  <c r="L228" i="5"/>
  <c r="L230" i="5"/>
  <c r="L232" i="5"/>
  <c r="L235" i="5"/>
  <c r="L237" i="5"/>
  <c r="L239" i="5"/>
  <c r="L241" i="5"/>
  <c r="L243" i="5"/>
  <c r="F116" i="5"/>
  <c r="F248" i="5"/>
  <c r="BE116" i="5"/>
  <c r="H119" i="5"/>
  <c r="F122" i="5"/>
  <c r="F254" i="5"/>
  <c r="BE122" i="5"/>
  <c r="F255" i="5"/>
  <c r="H125" i="5"/>
  <c r="AQ67" i="5"/>
  <c r="F245" i="5"/>
  <c r="L246" i="5"/>
  <c r="J115" i="5"/>
  <c r="L249" i="5"/>
  <c r="J250" i="5"/>
  <c r="F253" i="5"/>
  <c r="BE121" i="5"/>
  <c r="H123" i="5"/>
  <c r="H124" i="5"/>
  <c r="J126" i="5"/>
  <c r="J258" i="5"/>
  <c r="L127" i="5"/>
  <c r="L259" i="5"/>
  <c r="F128" i="5"/>
  <c r="F260" i="5"/>
  <c r="H129" i="5"/>
  <c r="J130" i="5"/>
  <c r="J262" i="5"/>
  <c r="L131" i="5"/>
  <c r="L263" i="5"/>
  <c r="F132" i="5"/>
  <c r="F264" i="5"/>
  <c r="H133" i="5"/>
  <c r="J135" i="5"/>
  <c r="J267" i="5"/>
  <c r="L136" i="5"/>
  <c r="L268" i="5"/>
  <c r="F137" i="5"/>
  <c r="F269" i="5"/>
  <c r="BE137" i="5"/>
  <c r="J139" i="5"/>
  <c r="J271" i="5"/>
  <c r="L140" i="5"/>
  <c r="L272" i="5"/>
  <c r="F141" i="5"/>
  <c r="F273" i="5"/>
  <c r="BE141" i="5"/>
  <c r="J143" i="5"/>
  <c r="J275" i="5"/>
  <c r="L144" i="5"/>
  <c r="L276" i="5"/>
  <c r="F154" i="5"/>
  <c r="J156" i="5"/>
  <c r="L157" i="5"/>
  <c r="F158" i="5"/>
  <c r="J160" i="5"/>
  <c r="L161" i="5"/>
  <c r="F162" i="5"/>
  <c r="J164" i="5"/>
  <c r="L165" i="5"/>
  <c r="F166" i="5"/>
  <c r="J170" i="5"/>
  <c r="F171" i="5"/>
  <c r="J172" i="5"/>
  <c r="F173" i="5"/>
  <c r="J174" i="5"/>
  <c r="F175" i="5"/>
  <c r="J176" i="5"/>
  <c r="F177" i="5"/>
  <c r="J178" i="5"/>
  <c r="F179" i="5"/>
  <c r="J180" i="5"/>
  <c r="F181" i="5"/>
  <c r="J182" i="5"/>
  <c r="F183" i="5"/>
  <c r="J184" i="5"/>
  <c r="F185" i="5"/>
  <c r="J186" i="5"/>
  <c r="F187" i="5"/>
  <c r="J188" i="5"/>
  <c r="F189" i="5"/>
  <c r="J190" i="5"/>
  <c r="F191" i="5"/>
  <c r="J192" i="5"/>
  <c r="F193" i="5"/>
  <c r="J194" i="5"/>
  <c r="F195" i="5"/>
  <c r="J196" i="5"/>
  <c r="F197" i="5"/>
  <c r="J198" i="5"/>
  <c r="F199" i="5"/>
  <c r="J201" i="5"/>
  <c r="F202" i="5"/>
  <c r="J203" i="5"/>
  <c r="F204" i="5"/>
  <c r="J205" i="5"/>
  <c r="F206" i="5"/>
  <c r="J207" i="5"/>
  <c r="F208" i="5"/>
  <c r="J209" i="5"/>
  <c r="F210" i="5"/>
  <c r="J211" i="5"/>
  <c r="F212" i="5"/>
  <c r="J213" i="5"/>
  <c r="F214" i="5"/>
  <c r="J215" i="5"/>
  <c r="F216" i="5"/>
  <c r="BE84" i="5"/>
  <c r="J217" i="5"/>
  <c r="F218" i="5"/>
  <c r="J219" i="5"/>
  <c r="F220" i="5"/>
  <c r="BE88" i="5"/>
  <c r="J221" i="5"/>
  <c r="F222" i="5"/>
  <c r="J223" i="5"/>
  <c r="F224" i="5"/>
  <c r="BE92" i="5"/>
  <c r="J225" i="5"/>
  <c r="F226" i="5"/>
  <c r="J227" i="5"/>
  <c r="F228" i="5"/>
  <c r="BE96" i="5"/>
  <c r="J229" i="5"/>
  <c r="F230" i="5"/>
  <c r="J231" i="5"/>
  <c r="F232" i="5"/>
  <c r="BE100" i="5"/>
  <c r="J234" i="5"/>
  <c r="F235" i="5"/>
  <c r="J236" i="5"/>
  <c r="F237" i="5"/>
  <c r="J238" i="5"/>
  <c r="F239" i="5"/>
  <c r="J240" i="5"/>
  <c r="F241" i="5"/>
  <c r="J242" i="5"/>
  <c r="F243" i="5"/>
  <c r="J244" i="5"/>
  <c r="J247" i="5"/>
  <c r="J119" i="5"/>
  <c r="H121" i="5"/>
  <c r="H122" i="5"/>
  <c r="J125" i="5"/>
  <c r="J266" i="5"/>
  <c r="AB144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200" i="5"/>
  <c r="F114" i="5"/>
  <c r="F246" i="5"/>
  <c r="F249" i="5"/>
  <c r="L250" i="5"/>
  <c r="J251" i="5"/>
  <c r="J252" i="5"/>
  <c r="J123" i="5"/>
  <c r="J256" i="5"/>
  <c r="J257" i="5"/>
  <c r="L126" i="5"/>
  <c r="L258" i="5"/>
  <c r="F127" i="5"/>
  <c r="F259" i="5"/>
  <c r="BE127" i="5"/>
  <c r="H128" i="5"/>
  <c r="J129" i="5"/>
  <c r="J261" i="5"/>
  <c r="L130" i="5"/>
  <c r="L262" i="5"/>
  <c r="F131" i="5"/>
  <c r="F263" i="5"/>
  <c r="BE131" i="5"/>
  <c r="H132" i="5"/>
  <c r="J133" i="5"/>
  <c r="J265" i="5"/>
  <c r="L134" i="5"/>
  <c r="L135" i="5"/>
  <c r="L267" i="5"/>
  <c r="F136" i="5"/>
  <c r="F268" i="5"/>
  <c r="J138" i="5"/>
  <c r="J270" i="5"/>
  <c r="L139" i="5"/>
  <c r="L271" i="5"/>
  <c r="F140" i="5"/>
  <c r="F272" i="5"/>
  <c r="J142" i="5"/>
  <c r="J274" i="5"/>
  <c r="L143" i="5"/>
  <c r="L275" i="5"/>
  <c r="F144" i="5"/>
  <c r="F276" i="5"/>
  <c r="J145" i="5"/>
  <c r="J277" i="5"/>
  <c r="J146" i="5"/>
  <c r="J278" i="5"/>
  <c r="J147" i="5"/>
  <c r="J279" i="5"/>
  <c r="J148" i="5"/>
  <c r="J280" i="5"/>
  <c r="J149" i="5"/>
  <c r="J281" i="5"/>
  <c r="J150" i="5"/>
  <c r="J282" i="5"/>
  <c r="J151" i="5"/>
  <c r="J283" i="5"/>
  <c r="J152" i="5"/>
  <c r="J284" i="5"/>
  <c r="J199" i="5"/>
  <c r="J200" i="5"/>
  <c r="L207" i="5"/>
  <c r="L209" i="5"/>
  <c r="L211" i="5"/>
  <c r="L213" i="5"/>
  <c r="L215" i="5"/>
  <c r="L217" i="5"/>
  <c r="L219" i="5"/>
  <c r="L221" i="5"/>
  <c r="L223" i="5"/>
  <c r="L225" i="5"/>
  <c r="L227" i="5"/>
  <c r="L229" i="5"/>
  <c r="L231" i="5"/>
  <c r="J233" i="5"/>
  <c r="L234" i="5"/>
  <c r="L236" i="5"/>
  <c r="L238" i="5"/>
  <c r="L240" i="5"/>
  <c r="L242" i="5"/>
  <c r="L244" i="5"/>
  <c r="J113" i="5"/>
  <c r="L247" i="5"/>
  <c r="J248" i="5"/>
  <c r="AB118" i="5"/>
  <c r="J121" i="5"/>
  <c r="J254" i="5"/>
  <c r="J255" i="5"/>
  <c r="L125" i="5"/>
  <c r="L266" i="5"/>
  <c r="AB143" i="5"/>
  <c r="AC167" i="5" s="1"/>
  <c r="K152" i="5"/>
  <c r="K154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I199" i="5"/>
  <c r="J245" i="5"/>
  <c r="F118" i="5"/>
  <c r="F250" i="5"/>
  <c r="L251" i="5"/>
  <c r="L120" i="5"/>
  <c r="L252" i="5"/>
  <c r="J253" i="5"/>
  <c r="L123" i="5"/>
  <c r="L124" i="5"/>
  <c r="L256" i="5"/>
  <c r="L257" i="5"/>
  <c r="F126" i="5"/>
  <c r="F258" i="5"/>
  <c r="BE126" i="5"/>
  <c r="H127" i="5"/>
  <c r="J128" i="5"/>
  <c r="J260" i="5"/>
  <c r="L129" i="5"/>
  <c r="L261" i="5"/>
  <c r="F130" i="5"/>
  <c r="F262" i="5"/>
  <c r="BE130" i="5"/>
  <c r="H131" i="5"/>
  <c r="J132" i="5"/>
  <c r="J264" i="5"/>
  <c r="L133" i="5"/>
  <c r="L265" i="5"/>
  <c r="F134" i="5"/>
  <c r="F135" i="5"/>
  <c r="F267" i="5"/>
  <c r="BE135" i="5"/>
  <c r="J137" i="5"/>
  <c r="J269" i="5"/>
  <c r="L138" i="5"/>
  <c r="L270" i="5"/>
  <c r="F139" i="5"/>
  <c r="F271" i="5"/>
  <c r="BE139" i="5"/>
  <c r="J141" i="5"/>
  <c r="J273" i="5"/>
  <c r="L142" i="5"/>
  <c r="L274" i="5"/>
  <c r="F143" i="5"/>
  <c r="F275" i="5"/>
  <c r="BE143" i="5"/>
  <c r="L145" i="5"/>
  <c r="L277" i="5"/>
  <c r="L146" i="5"/>
  <c r="L278" i="5"/>
  <c r="L147" i="5"/>
  <c r="L279" i="5"/>
  <c r="L148" i="5"/>
  <c r="L280" i="5"/>
  <c r="L149" i="5"/>
  <c r="L281" i="5"/>
  <c r="L150" i="5"/>
  <c r="L282" i="5"/>
  <c r="L151" i="5"/>
  <c r="L283" i="5"/>
  <c r="L284" i="5"/>
  <c r="L153" i="5"/>
  <c r="L286" i="5"/>
  <c r="L155" i="5"/>
  <c r="L167" i="5"/>
  <c r="L199" i="5"/>
  <c r="L200" i="5"/>
  <c r="L233" i="5"/>
  <c r="BE124" i="5"/>
  <c r="BE128" i="5"/>
  <c r="BE132" i="5"/>
  <c r="J286" i="5"/>
  <c r="F287" i="5"/>
  <c r="J288" i="5"/>
  <c r="F289" i="5"/>
  <c r="J290" i="5"/>
  <c r="F291" i="5"/>
  <c r="J292" i="5"/>
  <c r="F293" i="5"/>
  <c r="J294" i="5"/>
  <c r="F295" i="5"/>
  <c r="J296" i="5"/>
  <c r="F297" i="5"/>
  <c r="J298" i="5"/>
  <c r="L299" i="5"/>
  <c r="F300" i="5"/>
  <c r="J301" i="5"/>
  <c r="F302" i="5"/>
  <c r="J303" i="5"/>
  <c r="F304" i="5"/>
  <c r="J305" i="5"/>
  <c r="F306" i="5"/>
  <c r="J307" i="5"/>
  <c r="F308" i="5"/>
  <c r="J309" i="5"/>
  <c r="F310" i="5"/>
  <c r="J311" i="5"/>
  <c r="F312" i="5"/>
  <c r="J313" i="5"/>
  <c r="F314" i="5"/>
  <c r="J315" i="5"/>
  <c r="F316" i="5"/>
  <c r="J317" i="5"/>
  <c r="F318" i="5"/>
  <c r="J319" i="5"/>
  <c r="F320" i="5"/>
  <c r="J321" i="5"/>
  <c r="F322" i="5"/>
  <c r="J323" i="5"/>
  <c r="F324" i="5"/>
  <c r="J325" i="5"/>
  <c r="F326" i="5"/>
  <c r="J327" i="5"/>
  <c r="F328" i="5"/>
  <c r="J329" i="5"/>
  <c r="F330" i="5"/>
  <c r="K331" i="5"/>
  <c r="I201" i="5"/>
  <c r="I202" i="5"/>
  <c r="K205" i="5"/>
  <c r="J470" i="5"/>
  <c r="AB209" i="5"/>
  <c r="AB210" i="5"/>
  <c r="AQ212" i="5"/>
  <c r="BE212" i="5"/>
  <c r="F477" i="5"/>
  <c r="BE213" i="5"/>
  <c r="F478" i="5"/>
  <c r="I217" i="5"/>
  <c r="I218" i="5"/>
  <c r="K221" i="5"/>
  <c r="J485" i="5"/>
  <c r="J486" i="5"/>
  <c r="AB225" i="5"/>
  <c r="L489" i="5"/>
  <c r="AB226" i="5"/>
  <c r="L490" i="5"/>
  <c r="AQ228" i="5"/>
  <c r="BE228" i="5"/>
  <c r="F493" i="5"/>
  <c r="BE229" i="5"/>
  <c r="F494" i="5"/>
  <c r="F497" i="5"/>
  <c r="BE237" i="5"/>
  <c r="BE241" i="5"/>
  <c r="BE245" i="5"/>
  <c r="BE249" i="5"/>
  <c r="BE253" i="5"/>
  <c r="BE257" i="5"/>
  <c r="BE261" i="5"/>
  <c r="F530" i="5"/>
  <c r="BE270" i="5"/>
  <c r="BE274" i="5"/>
  <c r="BE278" i="5"/>
  <c r="AQ282" i="5"/>
  <c r="BE282" i="5"/>
  <c r="K284" i="5"/>
  <c r="AB286" i="5"/>
  <c r="AQ286" i="5"/>
  <c r="K327" i="5"/>
  <c r="K329" i="5"/>
  <c r="L331" i="5"/>
  <c r="K200" i="5"/>
  <c r="I466" i="5"/>
  <c r="K203" i="5"/>
  <c r="AB207" i="5"/>
  <c r="AB208" i="5"/>
  <c r="AQ210" i="5"/>
  <c r="BE210" i="5"/>
  <c r="F475" i="5"/>
  <c r="BE211" i="5"/>
  <c r="I215" i="5"/>
  <c r="I216" i="5"/>
  <c r="K219" i="5"/>
  <c r="J483" i="5"/>
  <c r="J484" i="5"/>
  <c r="AB223" i="5"/>
  <c r="L487" i="5"/>
  <c r="AB224" i="5"/>
  <c r="L488" i="5"/>
  <c r="AQ226" i="5"/>
  <c r="BE226" i="5"/>
  <c r="F491" i="5"/>
  <c r="BE227" i="5"/>
  <c r="F492" i="5"/>
  <c r="I231" i="5"/>
  <c r="I232" i="5"/>
  <c r="I233" i="5"/>
  <c r="I234" i="5"/>
  <c r="K235" i="5"/>
  <c r="J499" i="5"/>
  <c r="AB236" i="5"/>
  <c r="L500" i="5"/>
  <c r="F501" i="5"/>
  <c r="I238" i="5"/>
  <c r="K239" i="5"/>
  <c r="J503" i="5"/>
  <c r="AB240" i="5"/>
  <c r="L504" i="5"/>
  <c r="F505" i="5"/>
  <c r="I242" i="5"/>
  <c r="K243" i="5"/>
  <c r="J507" i="5"/>
  <c r="AB244" i="5"/>
  <c r="L508" i="5"/>
  <c r="F509" i="5"/>
  <c r="I246" i="5"/>
  <c r="K247" i="5"/>
  <c r="J511" i="5"/>
  <c r="AB248" i="5"/>
  <c r="L512" i="5"/>
  <c r="F513" i="5"/>
  <c r="I250" i="5"/>
  <c r="K251" i="5"/>
  <c r="J515" i="5"/>
  <c r="AB252" i="5"/>
  <c r="L516" i="5"/>
  <c r="F517" i="5"/>
  <c r="I254" i="5"/>
  <c r="K255" i="5"/>
  <c r="J519" i="5"/>
  <c r="AB256" i="5"/>
  <c r="L520" i="5"/>
  <c r="F521" i="5"/>
  <c r="I258" i="5"/>
  <c r="K259" i="5"/>
  <c r="J523" i="5"/>
  <c r="AB260" i="5"/>
  <c r="L524" i="5"/>
  <c r="F525" i="5"/>
  <c r="I262" i="5"/>
  <c r="K263" i="5"/>
  <c r="J527" i="5"/>
  <c r="AB264" i="5"/>
  <c r="F529" i="5"/>
  <c r="I267" i="5"/>
  <c r="K268" i="5"/>
  <c r="J532" i="5"/>
  <c r="AB269" i="5"/>
  <c r="F534" i="5"/>
  <c r="I271" i="5"/>
  <c r="K272" i="5"/>
  <c r="J536" i="5"/>
  <c r="AB273" i="5"/>
  <c r="I275" i="5"/>
  <c r="K276" i="5"/>
  <c r="AB277" i="5"/>
  <c r="L541" i="5"/>
  <c r="I279" i="5"/>
  <c r="K280" i="5"/>
  <c r="AB281" i="5"/>
  <c r="L545" i="5"/>
  <c r="I283" i="5"/>
  <c r="I285" i="5"/>
  <c r="F305" i="5"/>
  <c r="F307" i="5"/>
  <c r="F309" i="5"/>
  <c r="F311" i="5"/>
  <c r="F313" i="5"/>
  <c r="F315" i="5"/>
  <c r="F317" i="5"/>
  <c r="F319" i="5"/>
  <c r="F321" i="5"/>
  <c r="F323" i="5"/>
  <c r="F325" i="5"/>
  <c r="F332" i="5"/>
  <c r="F335" i="5"/>
  <c r="L288" i="5"/>
  <c r="L290" i="5"/>
  <c r="L292" i="5"/>
  <c r="L294" i="5"/>
  <c r="L296" i="5"/>
  <c r="L298" i="5"/>
  <c r="F299" i="5"/>
  <c r="L301" i="5"/>
  <c r="L303" i="5"/>
  <c r="L305" i="5"/>
  <c r="L307" i="5"/>
  <c r="L309" i="5"/>
  <c r="L311" i="5"/>
  <c r="L313" i="5"/>
  <c r="L315" i="5"/>
  <c r="L317" i="5"/>
  <c r="L319" i="5"/>
  <c r="L321" i="5"/>
  <c r="L323" i="5"/>
  <c r="L325" i="5"/>
  <c r="L327" i="5"/>
  <c r="L329" i="5"/>
  <c r="K201" i="5"/>
  <c r="AB205" i="5"/>
  <c r="AB206" i="5"/>
  <c r="BE208" i="5"/>
  <c r="F473" i="5"/>
  <c r="BE209" i="5"/>
  <c r="I213" i="5"/>
  <c r="I214" i="5"/>
  <c r="K217" i="5"/>
  <c r="J481" i="5"/>
  <c r="J482" i="5"/>
  <c r="AB221" i="5"/>
  <c r="L485" i="5"/>
  <c r="AB222" i="5"/>
  <c r="L486" i="5"/>
  <c r="AQ224" i="5"/>
  <c r="BE224" i="5"/>
  <c r="F489" i="5"/>
  <c r="BE225" i="5"/>
  <c r="F490" i="5"/>
  <c r="I229" i="5"/>
  <c r="I230" i="5"/>
  <c r="BE236" i="5"/>
  <c r="BE240" i="5"/>
  <c r="BE244" i="5"/>
  <c r="BE248" i="5"/>
  <c r="BE252" i="5"/>
  <c r="BE256" i="5"/>
  <c r="BE260" i="5"/>
  <c r="BE264" i="5"/>
  <c r="I266" i="5"/>
  <c r="BE273" i="5"/>
  <c r="BE277" i="5"/>
  <c r="AQ281" i="5"/>
  <c r="BE281" i="5"/>
  <c r="AB284" i="5"/>
  <c r="L548" i="5"/>
  <c r="I320" i="5"/>
  <c r="AQ189" i="5"/>
  <c r="I322" i="5"/>
  <c r="AQ191" i="5"/>
  <c r="I324" i="5"/>
  <c r="AQ193" i="5"/>
  <c r="I326" i="5"/>
  <c r="F331" i="5"/>
  <c r="AB203" i="5"/>
  <c r="AB204" i="5"/>
  <c r="AQ206" i="5"/>
  <c r="BE206" i="5"/>
  <c r="F471" i="5"/>
  <c r="BE207" i="5"/>
  <c r="I211" i="5"/>
  <c r="I212" i="5"/>
  <c r="K215" i="5"/>
  <c r="J479" i="5"/>
  <c r="J480" i="5"/>
  <c r="AB219" i="5"/>
  <c r="L483" i="5"/>
  <c r="AB220" i="5"/>
  <c r="L484" i="5"/>
  <c r="AQ222" i="5"/>
  <c r="BE222" i="5"/>
  <c r="F487" i="5"/>
  <c r="BE223" i="5"/>
  <c r="F488" i="5"/>
  <c r="I227" i="5"/>
  <c r="I228" i="5"/>
  <c r="K231" i="5"/>
  <c r="J495" i="5"/>
  <c r="J496" i="5"/>
  <c r="K233" i="5"/>
  <c r="K234" i="5"/>
  <c r="J498" i="5"/>
  <c r="AB235" i="5"/>
  <c r="L499" i="5"/>
  <c r="F500" i="5"/>
  <c r="I237" i="5"/>
  <c r="K238" i="5"/>
  <c r="J502" i="5"/>
  <c r="AB239" i="5"/>
  <c r="L503" i="5"/>
  <c r="F504" i="5"/>
  <c r="I241" i="5"/>
  <c r="K242" i="5"/>
  <c r="J506" i="5"/>
  <c r="AB243" i="5"/>
  <c r="L507" i="5"/>
  <c r="F508" i="5"/>
  <c r="I245" i="5"/>
  <c r="K246" i="5"/>
  <c r="J510" i="5"/>
  <c r="AB247" i="5"/>
  <c r="L511" i="5"/>
  <c r="F512" i="5"/>
  <c r="I249" i="5"/>
  <c r="K250" i="5"/>
  <c r="J514" i="5"/>
  <c r="AB251" i="5"/>
  <c r="L515" i="5"/>
  <c r="F516" i="5"/>
  <c r="I253" i="5"/>
  <c r="K254" i="5"/>
  <c r="J518" i="5"/>
  <c r="AB255" i="5"/>
  <c r="L519" i="5"/>
  <c r="F520" i="5"/>
  <c r="I257" i="5"/>
  <c r="K258" i="5"/>
  <c r="J522" i="5"/>
  <c r="AB259" i="5"/>
  <c r="L523" i="5"/>
  <c r="F524" i="5"/>
  <c r="I261" i="5"/>
  <c r="K262" i="5"/>
  <c r="J526" i="5"/>
  <c r="AB263" i="5"/>
  <c r="L527" i="5"/>
  <c r="F528" i="5"/>
  <c r="I265" i="5"/>
  <c r="K267" i="5"/>
  <c r="J531" i="5"/>
  <c r="AB268" i="5"/>
  <c r="L532" i="5"/>
  <c r="F533" i="5"/>
  <c r="I270" i="5"/>
  <c r="K271" i="5"/>
  <c r="J535" i="5"/>
  <c r="AB272" i="5"/>
  <c r="I274" i="5"/>
  <c r="K275" i="5"/>
  <c r="AB276" i="5"/>
  <c r="L540" i="5"/>
  <c r="I278" i="5"/>
  <c r="K279" i="5"/>
  <c r="AB280" i="5"/>
  <c r="L544" i="5"/>
  <c r="I282" i="5"/>
  <c r="K283" i="5"/>
  <c r="AQ284" i="5"/>
  <c r="K285" i="5"/>
  <c r="BE136" i="5"/>
  <c r="BE140" i="5"/>
  <c r="J285" i="5"/>
  <c r="F286" i="5"/>
  <c r="J287" i="5"/>
  <c r="F288" i="5"/>
  <c r="J289" i="5"/>
  <c r="F290" i="5"/>
  <c r="J291" i="5"/>
  <c r="F292" i="5"/>
  <c r="J293" i="5"/>
  <c r="F294" i="5"/>
  <c r="J295" i="5"/>
  <c r="F296" i="5"/>
  <c r="J297" i="5"/>
  <c r="F298" i="5"/>
  <c r="J300" i="5"/>
  <c r="F301" i="5"/>
  <c r="F303" i="5"/>
  <c r="F327" i="5"/>
  <c r="J328" i="5"/>
  <c r="F329" i="5"/>
  <c r="L332" i="5"/>
  <c r="AB201" i="5"/>
  <c r="AB202" i="5"/>
  <c r="AQ203" i="5"/>
  <c r="BE204" i="5"/>
  <c r="F469" i="5"/>
  <c r="BE205" i="5"/>
  <c r="I209" i="5"/>
  <c r="I210" i="5"/>
  <c r="K213" i="5"/>
  <c r="J478" i="5"/>
  <c r="AB217" i="5"/>
  <c r="L481" i="5"/>
  <c r="AB218" i="5"/>
  <c r="L482" i="5"/>
  <c r="AQ220" i="5"/>
  <c r="BE220" i="5"/>
  <c r="F485" i="5"/>
  <c r="BE221" i="5"/>
  <c r="F486" i="5"/>
  <c r="I225" i="5"/>
  <c r="I226" i="5"/>
  <c r="K229" i="5"/>
  <c r="J493" i="5"/>
  <c r="J494" i="5"/>
  <c r="J497" i="5"/>
  <c r="BE235" i="5"/>
  <c r="BE239" i="5"/>
  <c r="BE243" i="5"/>
  <c r="BE247" i="5"/>
  <c r="BE251" i="5"/>
  <c r="BE255" i="5"/>
  <c r="BE259" i="5"/>
  <c r="BE263" i="5"/>
  <c r="K266" i="5"/>
  <c r="BE268" i="5"/>
  <c r="BE272" i="5"/>
  <c r="BE276" i="5"/>
  <c r="BE280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1" i="5"/>
  <c r="I323" i="5"/>
  <c r="I325" i="5"/>
  <c r="K306" i="5"/>
  <c r="K308" i="5"/>
  <c r="K310" i="5"/>
  <c r="K312" i="5"/>
  <c r="K314" i="5"/>
  <c r="K316" i="5"/>
  <c r="K318" i="5"/>
  <c r="K320" i="5"/>
  <c r="K322" i="5"/>
  <c r="K324" i="5"/>
  <c r="K326" i="5"/>
  <c r="K328" i="5"/>
  <c r="K330" i="5"/>
  <c r="AQ201" i="5"/>
  <c r="AQ202" i="5"/>
  <c r="BE202" i="5"/>
  <c r="BE203" i="5"/>
  <c r="I207" i="5"/>
  <c r="I208" i="5"/>
  <c r="K211" i="5"/>
  <c r="J476" i="5"/>
  <c r="AB215" i="5"/>
  <c r="L479" i="5"/>
  <c r="AB216" i="5"/>
  <c r="L480" i="5"/>
  <c r="AQ218" i="5"/>
  <c r="BE218" i="5"/>
  <c r="F483" i="5"/>
  <c r="BE219" i="5"/>
  <c r="F484" i="5"/>
  <c r="I223" i="5"/>
  <c r="I224" i="5"/>
  <c r="K227" i="5"/>
  <c r="J491" i="5"/>
  <c r="J492" i="5"/>
  <c r="AB231" i="5"/>
  <c r="L495" i="5"/>
  <c r="AB232" i="5"/>
  <c r="L496" i="5"/>
  <c r="AB233" i="5"/>
  <c r="AB234" i="5"/>
  <c r="L498" i="5"/>
  <c r="F499" i="5"/>
  <c r="I236" i="5"/>
  <c r="K237" i="5"/>
  <c r="J501" i="5"/>
  <c r="AB238" i="5"/>
  <c r="L502" i="5"/>
  <c r="F503" i="5"/>
  <c r="I240" i="5"/>
  <c r="K241" i="5"/>
  <c r="J505" i="5"/>
  <c r="AB242" i="5"/>
  <c r="L506" i="5"/>
  <c r="F507" i="5"/>
  <c r="I244" i="5"/>
  <c r="K245" i="5"/>
  <c r="J509" i="5"/>
  <c r="AB246" i="5"/>
  <c r="L510" i="5"/>
  <c r="F511" i="5"/>
  <c r="I248" i="5"/>
  <c r="K249" i="5"/>
  <c r="J513" i="5"/>
  <c r="AB250" i="5"/>
  <c r="L514" i="5"/>
  <c r="F515" i="5"/>
  <c r="I252" i="5"/>
  <c r="K253" i="5"/>
  <c r="J517" i="5"/>
  <c r="AB254" i="5"/>
  <c r="L518" i="5"/>
  <c r="F519" i="5"/>
  <c r="I256" i="5"/>
  <c r="K257" i="5"/>
  <c r="J521" i="5"/>
  <c r="AB258" i="5"/>
  <c r="L522" i="5"/>
  <c r="F523" i="5"/>
  <c r="I260" i="5"/>
  <c r="K261" i="5"/>
  <c r="J525" i="5"/>
  <c r="AB262" i="5"/>
  <c r="F527" i="5"/>
  <c r="I264" i="5"/>
  <c r="K265" i="5"/>
  <c r="J529" i="5"/>
  <c r="AB267" i="5"/>
  <c r="F532" i="5"/>
  <c r="I269" i="5"/>
  <c r="K270" i="5"/>
  <c r="J534" i="5"/>
  <c r="AB271" i="5"/>
  <c r="F536" i="5"/>
  <c r="I273" i="5"/>
  <c r="K274" i="5"/>
  <c r="AB275" i="5"/>
  <c r="I277" i="5"/>
  <c r="K278" i="5"/>
  <c r="AB279" i="5"/>
  <c r="L543" i="5"/>
  <c r="I281" i="5"/>
  <c r="K282" i="5"/>
  <c r="AB283" i="5"/>
  <c r="L547" i="5"/>
  <c r="AB285" i="5"/>
  <c r="L549" i="5"/>
  <c r="J299" i="5"/>
  <c r="J302" i="5"/>
  <c r="J304" i="5"/>
  <c r="J306" i="5"/>
  <c r="J308" i="5"/>
  <c r="J310" i="5"/>
  <c r="J312" i="5"/>
  <c r="J314" i="5"/>
  <c r="J316" i="5"/>
  <c r="J318" i="5"/>
  <c r="J320" i="5"/>
  <c r="J322" i="5"/>
  <c r="J324" i="5"/>
  <c r="J326" i="5"/>
  <c r="J330" i="5"/>
  <c r="L285" i="5"/>
  <c r="L287" i="5"/>
  <c r="L289" i="5"/>
  <c r="L291" i="5"/>
  <c r="L293" i="5"/>
  <c r="L295" i="5"/>
  <c r="L297" i="5"/>
  <c r="L300" i="5"/>
  <c r="L302" i="5"/>
  <c r="L304" i="5"/>
  <c r="L306" i="5"/>
  <c r="L308" i="5"/>
  <c r="L310" i="5"/>
  <c r="L312" i="5"/>
  <c r="L314" i="5"/>
  <c r="L316" i="5"/>
  <c r="L318" i="5"/>
  <c r="L320" i="5"/>
  <c r="L328" i="5"/>
  <c r="I331" i="5"/>
  <c r="BE200" i="5"/>
  <c r="BF200" i="5" s="1"/>
  <c r="BE201" i="5"/>
  <c r="I205" i="5"/>
  <c r="I206" i="5"/>
  <c r="K209" i="5"/>
  <c r="J474" i="5"/>
  <c r="AB213" i="5"/>
  <c r="L477" i="5"/>
  <c r="AB214" i="5"/>
  <c r="AQ216" i="5"/>
  <c r="BE216" i="5"/>
  <c r="F481" i="5"/>
  <c r="BE217" i="5"/>
  <c r="F482" i="5"/>
  <c r="I221" i="5"/>
  <c r="I222" i="5"/>
  <c r="K225" i="5"/>
  <c r="J489" i="5"/>
  <c r="J490" i="5"/>
  <c r="AB229" i="5"/>
  <c r="L493" i="5"/>
  <c r="AB230" i="5"/>
  <c r="L494" i="5"/>
  <c r="AQ232" i="5"/>
  <c r="BE232" i="5"/>
  <c r="BE234" i="5"/>
  <c r="BE238" i="5"/>
  <c r="BE242" i="5"/>
  <c r="BE246" i="5"/>
  <c r="BE250" i="5"/>
  <c r="BE254" i="5"/>
  <c r="BE258" i="5"/>
  <c r="BE262" i="5"/>
  <c r="BE267" i="5"/>
  <c r="BE271" i="5"/>
  <c r="BE275" i="5"/>
  <c r="BE279" i="5"/>
  <c r="AQ283" i="5"/>
  <c r="BE283" i="5"/>
  <c r="I284" i="5"/>
  <c r="BE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300" i="5"/>
  <c r="K301" i="5"/>
  <c r="K302" i="5"/>
  <c r="K303" i="5"/>
  <c r="K304" i="5"/>
  <c r="K305" i="5"/>
  <c r="K307" i="5"/>
  <c r="K309" i="5"/>
  <c r="K311" i="5"/>
  <c r="K313" i="5"/>
  <c r="K315" i="5"/>
  <c r="K317" i="5"/>
  <c r="K319" i="5"/>
  <c r="K321" i="5"/>
  <c r="K323" i="5"/>
  <c r="K325" i="5"/>
  <c r="K299" i="5"/>
  <c r="I327" i="5"/>
  <c r="AQ196" i="5"/>
  <c r="I329" i="5"/>
  <c r="AQ198" i="5"/>
  <c r="J331" i="5"/>
  <c r="I203" i="5"/>
  <c r="I204" i="5"/>
  <c r="K207" i="5"/>
  <c r="J472" i="5"/>
  <c r="AB211" i="5"/>
  <c r="L475" i="5"/>
  <c r="AB212" i="5"/>
  <c r="AQ214" i="5"/>
  <c r="BE214" i="5"/>
  <c r="F479" i="5"/>
  <c r="BE215" i="5"/>
  <c r="F480" i="5"/>
  <c r="I219" i="5"/>
  <c r="I220" i="5"/>
  <c r="K223" i="5"/>
  <c r="J487" i="5"/>
  <c r="J488" i="5"/>
  <c r="AB227" i="5"/>
  <c r="L491" i="5"/>
  <c r="AB228" i="5"/>
  <c r="L492" i="5"/>
  <c r="AQ230" i="5"/>
  <c r="BE230" i="5"/>
  <c r="F495" i="5"/>
  <c r="BE231" i="5"/>
  <c r="F496" i="5"/>
  <c r="F498" i="5"/>
  <c r="I235" i="5"/>
  <c r="K236" i="5"/>
  <c r="J500" i="5"/>
  <c r="AB237" i="5"/>
  <c r="L501" i="5"/>
  <c r="F502" i="5"/>
  <c r="I239" i="5"/>
  <c r="K240" i="5"/>
  <c r="J504" i="5"/>
  <c r="AB241" i="5"/>
  <c r="L505" i="5"/>
  <c r="F506" i="5"/>
  <c r="I243" i="5"/>
  <c r="K244" i="5"/>
  <c r="J508" i="5"/>
  <c r="AB245" i="5"/>
  <c r="L509" i="5"/>
  <c r="F510" i="5"/>
  <c r="I247" i="5"/>
  <c r="K248" i="5"/>
  <c r="J512" i="5"/>
  <c r="AB249" i="5"/>
  <c r="L513" i="5"/>
  <c r="F514" i="5"/>
  <c r="I251" i="5"/>
  <c r="K252" i="5"/>
  <c r="J516" i="5"/>
  <c r="AB253" i="5"/>
  <c r="L517" i="5"/>
  <c r="F518" i="5"/>
  <c r="I255" i="5"/>
  <c r="K256" i="5"/>
  <c r="J520" i="5"/>
  <c r="AB257" i="5"/>
  <c r="L521" i="5"/>
  <c r="F522" i="5"/>
  <c r="I259" i="5"/>
  <c r="K260" i="5"/>
  <c r="J524" i="5"/>
  <c r="AB261" i="5"/>
  <c r="L525" i="5"/>
  <c r="F526" i="5"/>
  <c r="I263" i="5"/>
  <c r="K264" i="5"/>
  <c r="J528" i="5"/>
  <c r="AB265" i="5"/>
  <c r="L529" i="5"/>
  <c r="F531" i="5"/>
  <c r="I268" i="5"/>
  <c r="K269" i="5"/>
  <c r="J533" i="5"/>
  <c r="AB270" i="5"/>
  <c r="F535" i="5"/>
  <c r="I272" i="5"/>
  <c r="K273" i="5"/>
  <c r="AB274" i="5"/>
  <c r="L538" i="5"/>
  <c r="I276" i="5"/>
  <c r="K277" i="5"/>
  <c r="AB278" i="5"/>
  <c r="L542" i="5"/>
  <c r="I280" i="5"/>
  <c r="K281" i="5"/>
  <c r="AB282" i="5"/>
  <c r="L546" i="5"/>
  <c r="L322" i="5"/>
  <c r="L324" i="5"/>
  <c r="L326" i="5"/>
  <c r="L330" i="5"/>
  <c r="AB287" i="5"/>
  <c r="L551" i="5"/>
  <c r="AB289" i="5"/>
  <c r="L553" i="5"/>
  <c r="AB291" i="5"/>
  <c r="L555" i="5"/>
  <c r="AB293" i="5"/>
  <c r="L557" i="5"/>
  <c r="AB295" i="5"/>
  <c r="L559" i="5"/>
  <c r="AB297" i="5"/>
  <c r="AB300" i="5"/>
  <c r="AB302" i="5"/>
  <c r="AB304" i="5"/>
  <c r="AB306" i="5"/>
  <c r="AB308" i="5"/>
  <c r="AB310" i="5"/>
  <c r="AB312" i="5"/>
  <c r="AB314" i="5"/>
  <c r="AB316" i="5"/>
  <c r="L580" i="5"/>
  <c r="AB318" i="5"/>
  <c r="L582" i="5"/>
  <c r="AB320" i="5"/>
  <c r="L584" i="5"/>
  <c r="AB322" i="5"/>
  <c r="L586" i="5"/>
  <c r="AB324" i="5"/>
  <c r="L588" i="5"/>
  <c r="AB326" i="5"/>
  <c r="L590" i="5"/>
  <c r="J591" i="5"/>
  <c r="AQ329" i="5"/>
  <c r="J594" i="5"/>
  <c r="I332" i="5"/>
  <c r="I598" i="5"/>
  <c r="AB335" i="5"/>
  <c r="L599" i="5"/>
  <c r="I600" i="5"/>
  <c r="F337" i="5"/>
  <c r="AB340" i="5"/>
  <c r="J341" i="5"/>
  <c r="L343" i="5"/>
  <c r="H346" i="5"/>
  <c r="F347" i="5"/>
  <c r="AB348" i="5"/>
  <c r="AQ348" i="5"/>
  <c r="K613" i="5"/>
  <c r="J350" i="5"/>
  <c r="H351" i="5"/>
  <c r="AB353" i="5"/>
  <c r="I529" i="5"/>
  <c r="AB266" i="5"/>
  <c r="AQ267" i="5"/>
  <c r="I532" i="5"/>
  <c r="AQ269" i="5"/>
  <c r="I534" i="5"/>
  <c r="AQ271" i="5"/>
  <c r="I536" i="5"/>
  <c r="AQ273" i="5"/>
  <c r="I538" i="5"/>
  <c r="AQ277" i="5"/>
  <c r="AB299" i="5"/>
  <c r="K563" i="5"/>
  <c r="AQ300" i="5"/>
  <c r="I565" i="5"/>
  <c r="AQ302" i="5"/>
  <c r="I567" i="5"/>
  <c r="AQ304" i="5"/>
  <c r="I569" i="5"/>
  <c r="AQ306" i="5"/>
  <c r="I571" i="5"/>
  <c r="AQ308" i="5"/>
  <c r="I573" i="5"/>
  <c r="AQ310" i="5"/>
  <c r="I575" i="5"/>
  <c r="AQ312" i="5"/>
  <c r="I577" i="5"/>
  <c r="AQ314" i="5"/>
  <c r="I579" i="5"/>
  <c r="AQ316" i="5"/>
  <c r="AQ318" i="5"/>
  <c r="I583" i="5"/>
  <c r="AQ320" i="5"/>
  <c r="I585" i="5"/>
  <c r="AQ322" i="5"/>
  <c r="I587" i="5"/>
  <c r="AQ324" i="5"/>
  <c r="I589" i="5"/>
  <c r="AQ326" i="5"/>
  <c r="I328" i="5"/>
  <c r="F593" i="5"/>
  <c r="BE329" i="5"/>
  <c r="K594" i="5"/>
  <c r="J595" i="5"/>
  <c r="J332" i="5"/>
  <c r="I333" i="5"/>
  <c r="J598" i="5"/>
  <c r="AQ335" i="5"/>
  <c r="J336" i="5"/>
  <c r="F340" i="5"/>
  <c r="K605" i="5"/>
  <c r="H342" i="5"/>
  <c r="AQ343" i="5"/>
  <c r="L344" i="5"/>
  <c r="J345" i="5"/>
  <c r="F348" i="5"/>
  <c r="L349" i="5"/>
  <c r="H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9" i="5"/>
  <c r="F400" i="5"/>
  <c r="F401" i="5"/>
  <c r="F402" i="5"/>
  <c r="F403" i="5"/>
  <c r="F404" i="5"/>
  <c r="F405" i="5"/>
  <c r="F406" i="5"/>
  <c r="F407" i="5"/>
  <c r="F408" i="5"/>
  <c r="F423" i="5"/>
  <c r="F425" i="5"/>
  <c r="BE287" i="5"/>
  <c r="BE289" i="5"/>
  <c r="BE293" i="5"/>
  <c r="BE297" i="5"/>
  <c r="L563" i="5"/>
  <c r="F564" i="5"/>
  <c r="BE300" i="5"/>
  <c r="J565" i="5"/>
  <c r="F566" i="5"/>
  <c r="BE302" i="5"/>
  <c r="J567" i="5"/>
  <c r="F568" i="5"/>
  <c r="BE304" i="5"/>
  <c r="J569" i="5"/>
  <c r="F570" i="5"/>
  <c r="BE306" i="5"/>
  <c r="J571" i="5"/>
  <c r="BE308" i="5"/>
  <c r="J573" i="5"/>
  <c r="F574" i="5"/>
  <c r="BE310" i="5"/>
  <c r="BE312" i="5"/>
  <c r="J577" i="5"/>
  <c r="F578" i="5"/>
  <c r="BE314" i="5"/>
  <c r="J579" i="5"/>
  <c r="F580" i="5"/>
  <c r="BE316" i="5"/>
  <c r="J581" i="5"/>
  <c r="F582" i="5"/>
  <c r="BE318" i="5"/>
  <c r="J583" i="5"/>
  <c r="F584" i="5"/>
  <c r="BE320" i="5"/>
  <c r="J585" i="5"/>
  <c r="F586" i="5"/>
  <c r="BE322" i="5"/>
  <c r="J587" i="5"/>
  <c r="BE324" i="5"/>
  <c r="J589" i="5"/>
  <c r="F590" i="5"/>
  <c r="BE326" i="5"/>
  <c r="AB327" i="5"/>
  <c r="I592" i="5"/>
  <c r="L594" i="5"/>
  <c r="K332" i="5"/>
  <c r="I596" i="5"/>
  <c r="AB338" i="5"/>
  <c r="J339" i="5"/>
  <c r="L341" i="5"/>
  <c r="I606" i="5"/>
  <c r="F343" i="5"/>
  <c r="K609" i="5"/>
  <c r="J346" i="5"/>
  <c r="H347" i="5"/>
  <c r="L350" i="5"/>
  <c r="J351" i="5"/>
  <c r="G412" i="5"/>
  <c r="AQ200" i="5"/>
  <c r="K466" i="5"/>
  <c r="K468" i="5"/>
  <c r="K470" i="5"/>
  <c r="K472" i="5"/>
  <c r="K474" i="5"/>
  <c r="K476" i="5"/>
  <c r="K478" i="5"/>
  <c r="AQ233" i="5"/>
  <c r="K527" i="5"/>
  <c r="K529" i="5"/>
  <c r="AQ266" i="5"/>
  <c r="AR266" i="5" s="1"/>
  <c r="K532" i="5"/>
  <c r="K534" i="5"/>
  <c r="K536" i="5"/>
  <c r="K538" i="5"/>
  <c r="K540" i="5"/>
  <c r="K542" i="5"/>
  <c r="K544" i="5"/>
  <c r="K546" i="5"/>
  <c r="K548" i="5"/>
  <c r="K550" i="5"/>
  <c r="K552" i="5"/>
  <c r="K554" i="5"/>
  <c r="K556" i="5"/>
  <c r="K558" i="5"/>
  <c r="K560" i="5"/>
  <c r="K562" i="5"/>
  <c r="K577" i="5"/>
  <c r="K579" i="5"/>
  <c r="K581" i="5"/>
  <c r="K583" i="5"/>
  <c r="K585" i="5"/>
  <c r="K587" i="5"/>
  <c r="K589" i="5"/>
  <c r="AQ327" i="5"/>
  <c r="J592" i="5"/>
  <c r="AQ330" i="5"/>
  <c r="AB331" i="5"/>
  <c r="J596" i="5"/>
  <c r="K333" i="5"/>
  <c r="I337" i="5"/>
  <c r="F338" i="5"/>
  <c r="K603" i="5"/>
  <c r="H340" i="5"/>
  <c r="AB341" i="5"/>
  <c r="AQ341" i="5"/>
  <c r="J342" i="5"/>
  <c r="F344" i="5"/>
  <c r="L345" i="5"/>
  <c r="H348" i="5"/>
  <c r="F349" i="5"/>
  <c r="K615" i="5"/>
  <c r="J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9" i="5"/>
  <c r="H400" i="5"/>
  <c r="H401" i="5"/>
  <c r="H402" i="5"/>
  <c r="H403" i="5"/>
  <c r="H404" i="5"/>
  <c r="H405" i="5"/>
  <c r="H406" i="5"/>
  <c r="H407" i="5"/>
  <c r="H408" i="5"/>
  <c r="H410" i="5"/>
  <c r="H414" i="5"/>
  <c r="L550" i="5"/>
  <c r="L552" i="5"/>
  <c r="L554" i="5"/>
  <c r="L556" i="5"/>
  <c r="L558" i="5"/>
  <c r="L560" i="5"/>
  <c r="L562" i="5"/>
  <c r="F591" i="5"/>
  <c r="BE327" i="5"/>
  <c r="F594" i="5"/>
  <c r="BE330" i="5"/>
  <c r="BE331" i="5"/>
  <c r="K597" i="5"/>
  <c r="AB334" i="5"/>
  <c r="AQ334" i="5"/>
  <c r="I335" i="5"/>
  <c r="AB336" i="5"/>
  <c r="J337" i="5"/>
  <c r="L339" i="5"/>
  <c r="F341" i="5"/>
  <c r="H343" i="5"/>
  <c r="AB345" i="5"/>
  <c r="AQ345" i="5"/>
  <c r="L346" i="5"/>
  <c r="J347" i="5"/>
  <c r="F350" i="5"/>
  <c r="L351" i="5"/>
  <c r="I365" i="5"/>
  <c r="I398" i="5"/>
  <c r="I407" i="5"/>
  <c r="I412" i="5"/>
  <c r="I467" i="5"/>
  <c r="AQ204" i="5"/>
  <c r="I471" i="5"/>
  <c r="AQ208" i="5"/>
  <c r="BE233" i="5"/>
  <c r="BE266" i="5"/>
  <c r="I564" i="5"/>
  <c r="AQ301" i="5"/>
  <c r="I566" i="5"/>
  <c r="AQ303" i="5"/>
  <c r="I568" i="5"/>
  <c r="AQ305" i="5"/>
  <c r="I570" i="5"/>
  <c r="AQ307" i="5"/>
  <c r="I572" i="5"/>
  <c r="AQ309" i="5"/>
  <c r="I574" i="5"/>
  <c r="AQ311" i="5"/>
  <c r="I576" i="5"/>
  <c r="AQ313" i="5"/>
  <c r="I578" i="5"/>
  <c r="AQ315" i="5"/>
  <c r="I580" i="5"/>
  <c r="AQ317" i="5"/>
  <c r="I582" i="5"/>
  <c r="AQ319" i="5"/>
  <c r="I584" i="5"/>
  <c r="AQ321" i="5"/>
  <c r="I586" i="5"/>
  <c r="AQ323" i="5"/>
  <c r="I588" i="5"/>
  <c r="AQ325" i="5"/>
  <c r="I590" i="5"/>
  <c r="L592" i="5"/>
  <c r="J593" i="5"/>
  <c r="F595" i="5"/>
  <c r="L596" i="5"/>
  <c r="AB333" i="5"/>
  <c r="L597" i="5"/>
  <c r="J335" i="5"/>
  <c r="F336" i="5"/>
  <c r="K601" i="5"/>
  <c r="H338" i="5"/>
  <c r="J340" i="5"/>
  <c r="L342" i="5"/>
  <c r="H344" i="5"/>
  <c r="F345" i="5"/>
  <c r="AQ346" i="5"/>
  <c r="K611" i="5"/>
  <c r="J348" i="5"/>
  <c r="H349" i="5"/>
  <c r="L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10" i="5"/>
  <c r="J414" i="5"/>
  <c r="BE284" i="5"/>
  <c r="BE286" i="5"/>
  <c r="BE288" i="5"/>
  <c r="BE290" i="5"/>
  <c r="BE292" i="5"/>
  <c r="BE294" i="5"/>
  <c r="BE296" i="5"/>
  <c r="BE298" i="5"/>
  <c r="J564" i="5"/>
  <c r="F565" i="5"/>
  <c r="BE301" i="5"/>
  <c r="F567" i="5"/>
  <c r="J568" i="5"/>
  <c r="F569" i="5"/>
  <c r="BE305" i="5"/>
  <c r="F571" i="5"/>
  <c r="J572" i="5"/>
  <c r="BE309" i="5"/>
  <c r="F575" i="5"/>
  <c r="J576" i="5"/>
  <c r="F577" i="5"/>
  <c r="BE313" i="5"/>
  <c r="J578" i="5"/>
  <c r="F579" i="5"/>
  <c r="BE317" i="5"/>
  <c r="F583" i="5"/>
  <c r="BE321" i="5"/>
  <c r="F587" i="5"/>
  <c r="BE323" i="5"/>
  <c r="J588" i="5"/>
  <c r="F589" i="5"/>
  <c r="BE325" i="5"/>
  <c r="J590" i="5"/>
  <c r="AQ328" i="5"/>
  <c r="I330" i="5"/>
  <c r="AQ333" i="5"/>
  <c r="G334" i="5"/>
  <c r="K335" i="5"/>
  <c r="L337" i="5"/>
  <c r="I602" i="5"/>
  <c r="F339" i="5"/>
  <c r="H341" i="5"/>
  <c r="AB342" i="5"/>
  <c r="J343" i="5"/>
  <c r="F346" i="5"/>
  <c r="L347" i="5"/>
  <c r="H350" i="5"/>
  <c r="F351" i="5"/>
  <c r="AB352" i="5"/>
  <c r="BE352" i="5"/>
  <c r="K617" i="5"/>
  <c r="K365" i="5"/>
  <c r="K398" i="5"/>
  <c r="K409" i="5"/>
  <c r="K412" i="5"/>
  <c r="K413" i="5"/>
  <c r="K415" i="5"/>
  <c r="K417" i="5"/>
  <c r="K419" i="5"/>
  <c r="K465" i="5"/>
  <c r="K469" i="5"/>
  <c r="K473" i="5"/>
  <c r="I497" i="5"/>
  <c r="I530" i="5"/>
  <c r="K535" i="5"/>
  <c r="K537" i="5"/>
  <c r="K539" i="5"/>
  <c r="K541" i="5"/>
  <c r="K543" i="5"/>
  <c r="K545" i="5"/>
  <c r="K547" i="5"/>
  <c r="K549" i="5"/>
  <c r="K551" i="5"/>
  <c r="K553" i="5"/>
  <c r="K555" i="5"/>
  <c r="K557" i="5"/>
  <c r="K559" i="5"/>
  <c r="K561" i="5"/>
  <c r="K578" i="5"/>
  <c r="K582" i="5"/>
  <c r="K586" i="5"/>
  <c r="I591" i="5"/>
  <c r="F592" i="5"/>
  <c r="BE328" i="5"/>
  <c r="AB329" i="5"/>
  <c r="I594" i="5"/>
  <c r="F597" i="5"/>
  <c r="BE333" i="5"/>
  <c r="H334" i="5"/>
  <c r="L335" i="5"/>
  <c r="K599" i="5"/>
  <c r="H336" i="5"/>
  <c r="J338" i="5"/>
  <c r="F342" i="5"/>
  <c r="K607" i="5"/>
  <c r="J344" i="5"/>
  <c r="H345" i="5"/>
  <c r="L348" i="5"/>
  <c r="J349" i="5"/>
  <c r="F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10" i="5"/>
  <c r="L411" i="5"/>
  <c r="L414" i="5"/>
  <c r="I608" i="5"/>
  <c r="I610" i="5"/>
  <c r="AQ347" i="5"/>
  <c r="I612" i="5"/>
  <c r="AQ349" i="5"/>
  <c r="I614" i="5"/>
  <c r="AQ351" i="5"/>
  <c r="I616" i="5"/>
  <c r="AQ353" i="5"/>
  <c r="I618" i="5"/>
  <c r="AQ355" i="5"/>
  <c r="I620" i="5"/>
  <c r="AQ357" i="5"/>
  <c r="I622" i="5"/>
  <c r="AQ359" i="5"/>
  <c r="I624" i="5"/>
  <c r="AQ361" i="5"/>
  <c r="I626" i="5"/>
  <c r="AQ363" i="5"/>
  <c r="I628" i="5"/>
  <c r="K629" i="5"/>
  <c r="AQ366" i="5"/>
  <c r="I631" i="5"/>
  <c r="AQ368" i="5"/>
  <c r="I633" i="5"/>
  <c r="AQ370" i="5"/>
  <c r="I635" i="5"/>
  <c r="AQ372" i="5"/>
  <c r="I637" i="5"/>
  <c r="AQ374" i="5"/>
  <c r="I639" i="5"/>
  <c r="AQ376" i="5"/>
  <c r="I641" i="5"/>
  <c r="AQ378" i="5"/>
  <c r="I643" i="5"/>
  <c r="AQ380" i="5"/>
  <c r="I645" i="5"/>
  <c r="AQ382" i="5"/>
  <c r="I647" i="5"/>
  <c r="AQ384" i="5"/>
  <c r="I649" i="5"/>
  <c r="AQ386" i="5"/>
  <c r="I651" i="5"/>
  <c r="AQ388" i="5"/>
  <c r="I653" i="5"/>
  <c r="AQ390" i="5"/>
  <c r="I655" i="5"/>
  <c r="AQ392" i="5"/>
  <c r="I657" i="5"/>
  <c r="AQ394" i="5"/>
  <c r="I659" i="5"/>
  <c r="AQ396" i="5"/>
  <c r="I661" i="5"/>
  <c r="K662" i="5"/>
  <c r="AQ399" i="5"/>
  <c r="I796" i="5"/>
  <c r="AQ401" i="5"/>
  <c r="I798" i="5"/>
  <c r="AQ403" i="5"/>
  <c r="I800" i="5"/>
  <c r="AQ405" i="5"/>
  <c r="I802" i="5"/>
  <c r="AQ407" i="5"/>
  <c r="I804" i="5"/>
  <c r="F805" i="5"/>
  <c r="J411" i="5"/>
  <c r="I807" i="5"/>
  <c r="F418" i="5"/>
  <c r="AB419" i="5"/>
  <c r="AB420" i="5"/>
  <c r="AQ420" i="5"/>
  <c r="AQ421" i="5"/>
  <c r="F422" i="5"/>
  <c r="BE423" i="5"/>
  <c r="H425" i="5"/>
  <c r="I822" i="5"/>
  <c r="K823" i="5"/>
  <c r="AB428" i="5"/>
  <c r="AQ428" i="5"/>
  <c r="I826" i="5"/>
  <c r="L431" i="5"/>
  <c r="K827" i="5"/>
  <c r="F432" i="5"/>
  <c r="J433" i="5"/>
  <c r="AQ434" i="5"/>
  <c r="I831" i="5"/>
  <c r="F436" i="5"/>
  <c r="F599" i="5"/>
  <c r="BE335" i="5"/>
  <c r="J600" i="5"/>
  <c r="F601" i="5"/>
  <c r="BE337" i="5"/>
  <c r="F603" i="5"/>
  <c r="BE339" i="5"/>
  <c r="J604" i="5"/>
  <c r="F605" i="5"/>
  <c r="BE341" i="5"/>
  <c r="F607" i="5"/>
  <c r="BE343" i="5"/>
  <c r="J608" i="5"/>
  <c r="F609" i="5"/>
  <c r="BE345" i="5"/>
  <c r="J610" i="5"/>
  <c r="F611" i="5"/>
  <c r="BE347" i="5"/>
  <c r="J612" i="5"/>
  <c r="F613" i="5"/>
  <c r="BE349" i="5"/>
  <c r="J614" i="5"/>
  <c r="F615" i="5"/>
  <c r="BE351" i="5"/>
  <c r="J616" i="5"/>
  <c r="F617" i="5"/>
  <c r="J618" i="5"/>
  <c r="F619" i="5"/>
  <c r="J620" i="5"/>
  <c r="F621" i="5"/>
  <c r="BE357" i="5"/>
  <c r="J622" i="5"/>
  <c r="F623" i="5"/>
  <c r="J624" i="5"/>
  <c r="F625" i="5"/>
  <c r="BE361" i="5"/>
  <c r="J626" i="5"/>
  <c r="F627" i="5"/>
  <c r="J628" i="5"/>
  <c r="L629" i="5"/>
  <c r="F630" i="5"/>
  <c r="BE366" i="5"/>
  <c r="J631" i="5"/>
  <c r="BE370" i="5"/>
  <c r="BE374" i="5"/>
  <c r="BE378" i="5"/>
  <c r="BE382" i="5"/>
  <c r="BE386" i="5"/>
  <c r="BE390" i="5"/>
  <c r="BE394" i="5"/>
  <c r="J661" i="5"/>
  <c r="F795" i="5"/>
  <c r="F799" i="5"/>
  <c r="BE403" i="5"/>
  <c r="F801" i="5"/>
  <c r="F803" i="5"/>
  <c r="BE407" i="5"/>
  <c r="AB410" i="5"/>
  <c r="AQ410" i="5"/>
  <c r="J807" i="5"/>
  <c r="AQ413" i="5"/>
  <c r="K810" i="5"/>
  <c r="J415" i="5"/>
  <c r="I811" i="5"/>
  <c r="I812" i="5"/>
  <c r="H417" i="5"/>
  <c r="AQ419" i="5"/>
  <c r="F420" i="5"/>
  <c r="H423" i="5"/>
  <c r="H424" i="5"/>
  <c r="J426" i="5"/>
  <c r="L427" i="5"/>
  <c r="F428" i="5"/>
  <c r="H429" i="5"/>
  <c r="J430" i="5"/>
  <c r="F434" i="5"/>
  <c r="BE434" i="5"/>
  <c r="J435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5" i="5"/>
  <c r="F456" i="5"/>
  <c r="F457" i="5"/>
  <c r="F459" i="5"/>
  <c r="F460" i="5"/>
  <c r="F461" i="5"/>
  <c r="F463" i="5"/>
  <c r="F465" i="5"/>
  <c r="F466" i="5"/>
  <c r="F467" i="5"/>
  <c r="F468" i="5"/>
  <c r="F470" i="5"/>
  <c r="F472" i="5"/>
  <c r="F474" i="5"/>
  <c r="F476" i="5"/>
  <c r="F537" i="5"/>
  <c r="F538" i="5"/>
  <c r="F539" i="5"/>
  <c r="K591" i="5"/>
  <c r="K593" i="5"/>
  <c r="K595" i="5"/>
  <c r="AQ332" i="5"/>
  <c r="K598" i="5"/>
  <c r="K600" i="5"/>
  <c r="K602" i="5"/>
  <c r="K604" i="5"/>
  <c r="K606" i="5"/>
  <c r="K608" i="5"/>
  <c r="K610" i="5"/>
  <c r="K612" i="5"/>
  <c r="K614" i="5"/>
  <c r="K616" i="5"/>
  <c r="K618" i="5"/>
  <c r="K620" i="5"/>
  <c r="K622" i="5"/>
  <c r="K624" i="5"/>
  <c r="K626" i="5"/>
  <c r="K628" i="5"/>
  <c r="AQ365" i="5"/>
  <c r="K631" i="5"/>
  <c r="K633" i="5"/>
  <c r="K635" i="5"/>
  <c r="K637" i="5"/>
  <c r="K639" i="5"/>
  <c r="K641" i="5"/>
  <c r="K643" i="5"/>
  <c r="K645" i="5"/>
  <c r="K647" i="5"/>
  <c r="K649" i="5"/>
  <c r="K651" i="5"/>
  <c r="K653" i="5"/>
  <c r="K655" i="5"/>
  <c r="K657" i="5"/>
  <c r="K659" i="5"/>
  <c r="K661" i="5"/>
  <c r="AQ398" i="5"/>
  <c r="K796" i="5"/>
  <c r="K798" i="5"/>
  <c r="K800" i="5"/>
  <c r="K802" i="5"/>
  <c r="K804" i="5"/>
  <c r="F410" i="5"/>
  <c r="BE410" i="5"/>
  <c r="K807" i="5"/>
  <c r="I808" i="5"/>
  <c r="F809" i="5"/>
  <c r="BE413" i="5"/>
  <c r="J811" i="5"/>
  <c r="H421" i="5"/>
  <c r="H422" i="5"/>
  <c r="I820" i="5"/>
  <c r="J425" i="5"/>
  <c r="I821" i="5"/>
  <c r="K822" i="5"/>
  <c r="AB427" i="5"/>
  <c r="AQ427" i="5"/>
  <c r="I825" i="5"/>
  <c r="K826" i="5"/>
  <c r="H432" i="5"/>
  <c r="L433" i="5"/>
  <c r="H436" i="5"/>
  <c r="F596" i="5"/>
  <c r="L598" i="5"/>
  <c r="L602" i="5"/>
  <c r="L604" i="5"/>
  <c r="L606" i="5"/>
  <c r="L608" i="5"/>
  <c r="F629" i="5"/>
  <c r="L631" i="5"/>
  <c r="L796" i="5"/>
  <c r="L800" i="5"/>
  <c r="L802" i="5"/>
  <c r="L804" i="5"/>
  <c r="J409" i="5"/>
  <c r="I805" i="5"/>
  <c r="AB414" i="5"/>
  <c r="AQ414" i="5"/>
  <c r="K811" i="5"/>
  <c r="K812" i="5"/>
  <c r="J417" i="5"/>
  <c r="I813" i="5"/>
  <c r="I814" i="5"/>
  <c r="H419" i="5"/>
  <c r="H420" i="5"/>
  <c r="I818" i="5"/>
  <c r="J423" i="5"/>
  <c r="I819" i="5"/>
  <c r="L426" i="5"/>
  <c r="F427" i="5"/>
  <c r="BE427" i="5"/>
  <c r="H428" i="5"/>
  <c r="J429" i="5"/>
  <c r="L430" i="5"/>
  <c r="I828" i="5"/>
  <c r="AB433" i="5"/>
  <c r="AQ433" i="5"/>
  <c r="H434" i="5"/>
  <c r="L435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AQ331" i="5"/>
  <c r="BE332" i="5"/>
  <c r="I597" i="5"/>
  <c r="I599" i="5"/>
  <c r="AQ336" i="5"/>
  <c r="I601" i="5"/>
  <c r="AQ338" i="5"/>
  <c r="I603" i="5"/>
  <c r="AQ340" i="5"/>
  <c r="I605" i="5"/>
  <c r="AQ342" i="5"/>
  <c r="I607" i="5"/>
  <c r="AQ344" i="5"/>
  <c r="I615" i="5"/>
  <c r="AQ352" i="5"/>
  <c r="I617" i="5"/>
  <c r="AQ354" i="5"/>
  <c r="I619" i="5"/>
  <c r="AQ356" i="5"/>
  <c r="I621" i="5"/>
  <c r="AQ358" i="5"/>
  <c r="I623" i="5"/>
  <c r="AQ360" i="5"/>
  <c r="I625" i="5"/>
  <c r="AQ362" i="5"/>
  <c r="I627" i="5"/>
  <c r="AQ364" i="5"/>
  <c r="I630" i="5"/>
  <c r="AQ367" i="5"/>
  <c r="I632" i="5"/>
  <c r="AQ369" i="5"/>
  <c r="I634" i="5"/>
  <c r="AQ371" i="5"/>
  <c r="I636" i="5"/>
  <c r="AQ373" i="5"/>
  <c r="I638" i="5"/>
  <c r="AQ375" i="5"/>
  <c r="I640" i="5"/>
  <c r="AQ377" i="5"/>
  <c r="I642" i="5"/>
  <c r="AQ379" i="5"/>
  <c r="I644" i="5"/>
  <c r="AQ381" i="5"/>
  <c r="I646" i="5"/>
  <c r="AQ383" i="5"/>
  <c r="I648" i="5"/>
  <c r="AQ385" i="5"/>
  <c r="I650" i="5"/>
  <c r="AQ387" i="5"/>
  <c r="I652" i="5"/>
  <c r="AQ389" i="5"/>
  <c r="I654" i="5"/>
  <c r="AQ391" i="5"/>
  <c r="I656" i="5"/>
  <c r="AQ393" i="5"/>
  <c r="I658" i="5"/>
  <c r="AQ395" i="5"/>
  <c r="I660" i="5"/>
  <c r="BE398" i="5"/>
  <c r="I795" i="5"/>
  <c r="AQ400" i="5"/>
  <c r="I797" i="5"/>
  <c r="AQ402" i="5"/>
  <c r="I799" i="5"/>
  <c r="AQ404" i="5"/>
  <c r="I801" i="5"/>
  <c r="AQ406" i="5"/>
  <c r="I803" i="5"/>
  <c r="AQ408" i="5"/>
  <c r="J805" i="5"/>
  <c r="AQ411" i="5"/>
  <c r="K808" i="5"/>
  <c r="F414" i="5"/>
  <c r="BE414" i="5"/>
  <c r="AB415" i="5"/>
  <c r="L416" i="5"/>
  <c r="J813" i="5"/>
  <c r="I816" i="5"/>
  <c r="J421" i="5"/>
  <c r="I817" i="5"/>
  <c r="K820" i="5"/>
  <c r="L425" i="5"/>
  <c r="K821" i="5"/>
  <c r="AQ426" i="5"/>
  <c r="I824" i="5"/>
  <c r="K825" i="5"/>
  <c r="AB430" i="5"/>
  <c r="AQ430" i="5"/>
  <c r="H431" i="5"/>
  <c r="J432" i="5"/>
  <c r="F433" i="5"/>
  <c r="I830" i="5"/>
  <c r="AQ435" i="5"/>
  <c r="J436" i="5"/>
  <c r="I461" i="5"/>
  <c r="I464" i="5"/>
  <c r="I465" i="5"/>
  <c r="I468" i="5"/>
  <c r="I469" i="5"/>
  <c r="I470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31" i="5"/>
  <c r="I533" i="5"/>
  <c r="I535" i="5"/>
  <c r="BE334" i="5"/>
  <c r="BE336" i="5"/>
  <c r="BE338" i="5"/>
  <c r="BE340" i="5"/>
  <c r="BE342" i="5"/>
  <c r="BE344" i="5"/>
  <c r="BE346" i="5"/>
  <c r="BE348" i="5"/>
  <c r="BE350" i="5"/>
  <c r="BE354" i="5"/>
  <c r="BE358" i="5"/>
  <c r="BE362" i="5"/>
  <c r="J632" i="5"/>
  <c r="F633" i="5"/>
  <c r="J634" i="5"/>
  <c r="F635" i="5"/>
  <c r="J636" i="5"/>
  <c r="F637" i="5"/>
  <c r="J638" i="5"/>
  <c r="F639" i="5"/>
  <c r="J640" i="5"/>
  <c r="F641" i="5"/>
  <c r="BE377" i="5"/>
  <c r="J642" i="5"/>
  <c r="F643" i="5"/>
  <c r="J644" i="5"/>
  <c r="F645" i="5"/>
  <c r="BE381" i="5"/>
  <c r="J646" i="5"/>
  <c r="F647" i="5"/>
  <c r="J648" i="5"/>
  <c r="F649" i="5"/>
  <c r="BE385" i="5"/>
  <c r="J650" i="5"/>
  <c r="F651" i="5"/>
  <c r="J652" i="5"/>
  <c r="F653" i="5"/>
  <c r="BE389" i="5"/>
  <c r="J654" i="5"/>
  <c r="F655" i="5"/>
  <c r="J656" i="5"/>
  <c r="F657" i="5"/>
  <c r="BE393" i="5"/>
  <c r="J658" i="5"/>
  <c r="F659" i="5"/>
  <c r="J660" i="5"/>
  <c r="F661" i="5"/>
  <c r="BE397" i="5"/>
  <c r="BE400" i="5"/>
  <c r="J797" i="5"/>
  <c r="BE402" i="5"/>
  <c r="J799" i="5"/>
  <c r="BE404" i="5"/>
  <c r="J801" i="5"/>
  <c r="BE406" i="5"/>
  <c r="J803" i="5"/>
  <c r="BE408" i="5"/>
  <c r="K805" i="5"/>
  <c r="I806" i="5"/>
  <c r="F807" i="5"/>
  <c r="J413" i="5"/>
  <c r="I809" i="5"/>
  <c r="AQ415" i="5"/>
  <c r="AB416" i="5"/>
  <c r="AQ416" i="5"/>
  <c r="K813" i="5"/>
  <c r="K814" i="5"/>
  <c r="J419" i="5"/>
  <c r="I815" i="5"/>
  <c r="K818" i="5"/>
  <c r="L423" i="5"/>
  <c r="K819" i="5"/>
  <c r="L424" i="5"/>
  <c r="AB425" i="5"/>
  <c r="F426" i="5"/>
  <c r="H427" i="5"/>
  <c r="J428" i="5"/>
  <c r="L429" i="5"/>
  <c r="F430" i="5"/>
  <c r="I431" i="5"/>
  <c r="K828" i="5"/>
  <c r="J434" i="5"/>
  <c r="F435" i="5"/>
  <c r="BE435" i="5"/>
  <c r="K832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1" i="5"/>
  <c r="J473" i="5"/>
  <c r="J475" i="5"/>
  <c r="J477" i="5"/>
  <c r="J530" i="5"/>
  <c r="J537" i="5"/>
  <c r="J538" i="5"/>
  <c r="J539" i="5"/>
  <c r="K619" i="5"/>
  <c r="K621" i="5"/>
  <c r="K623" i="5"/>
  <c r="K625" i="5"/>
  <c r="K627" i="5"/>
  <c r="I629" i="5"/>
  <c r="K630" i="5"/>
  <c r="K632" i="5"/>
  <c r="K634" i="5"/>
  <c r="K636" i="5"/>
  <c r="K638" i="5"/>
  <c r="K640" i="5"/>
  <c r="K642" i="5"/>
  <c r="K644" i="5"/>
  <c r="K646" i="5"/>
  <c r="K648" i="5"/>
  <c r="K650" i="5"/>
  <c r="K652" i="5"/>
  <c r="K654" i="5"/>
  <c r="K656" i="5"/>
  <c r="K658" i="5"/>
  <c r="K660" i="5"/>
  <c r="I662" i="5"/>
  <c r="K795" i="5"/>
  <c r="K797" i="5"/>
  <c r="K799" i="5"/>
  <c r="K801" i="5"/>
  <c r="K803" i="5"/>
  <c r="AB412" i="5"/>
  <c r="AQ412" i="5"/>
  <c r="J809" i="5"/>
  <c r="F416" i="5"/>
  <c r="BE416" i="5"/>
  <c r="AB417" i="5"/>
  <c r="L418" i="5"/>
  <c r="J815" i="5"/>
  <c r="K816" i="5"/>
  <c r="L421" i="5"/>
  <c r="K817" i="5"/>
  <c r="L422" i="5"/>
  <c r="AB424" i="5"/>
  <c r="AQ424" i="5"/>
  <c r="AQ425" i="5"/>
  <c r="I823" i="5"/>
  <c r="K824" i="5"/>
  <c r="AQ429" i="5"/>
  <c r="J431" i="5"/>
  <c r="I827" i="5"/>
  <c r="L432" i="5"/>
  <c r="H433" i="5"/>
  <c r="K830" i="5"/>
  <c r="L436" i="5"/>
  <c r="K464" i="5"/>
  <c r="K467" i="5"/>
  <c r="K471" i="5"/>
  <c r="K475" i="5"/>
  <c r="K477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8" i="5"/>
  <c r="K530" i="5"/>
  <c r="K531" i="5"/>
  <c r="K533" i="5"/>
  <c r="L601" i="5"/>
  <c r="L603" i="5"/>
  <c r="L605" i="5"/>
  <c r="L607" i="5"/>
  <c r="L609" i="5"/>
  <c r="L611" i="5"/>
  <c r="L613" i="5"/>
  <c r="L615" i="5"/>
  <c r="L617" i="5"/>
  <c r="L619" i="5"/>
  <c r="L621" i="5"/>
  <c r="L623" i="5"/>
  <c r="L625" i="5"/>
  <c r="L627" i="5"/>
  <c r="L634" i="5"/>
  <c r="L636" i="5"/>
  <c r="L638" i="5"/>
  <c r="L640" i="5"/>
  <c r="L642" i="5"/>
  <c r="L644" i="5"/>
  <c r="L646" i="5"/>
  <c r="L648" i="5"/>
  <c r="L650" i="5"/>
  <c r="L652" i="5"/>
  <c r="L654" i="5"/>
  <c r="L656" i="5"/>
  <c r="L658" i="5"/>
  <c r="L660" i="5"/>
  <c r="J662" i="5"/>
  <c r="AQ409" i="5"/>
  <c r="K806" i="5"/>
  <c r="F412" i="5"/>
  <c r="BE412" i="5"/>
  <c r="K809" i="5"/>
  <c r="I810" i="5"/>
  <c r="H415" i="5"/>
  <c r="AQ417" i="5"/>
  <c r="AB418" i="5"/>
  <c r="AQ418" i="5"/>
  <c r="K815" i="5"/>
  <c r="L420" i="5"/>
  <c r="AB422" i="5"/>
  <c r="AQ422" i="5"/>
  <c r="AQ423" i="5"/>
  <c r="F424" i="5"/>
  <c r="BE425" i="5"/>
  <c r="H426" i="5"/>
  <c r="J427" i="5"/>
  <c r="L428" i="5"/>
  <c r="F429" i="5"/>
  <c r="H430" i="5"/>
  <c r="AQ432" i="5"/>
  <c r="I829" i="5"/>
  <c r="L434" i="5"/>
  <c r="H435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6" i="5"/>
  <c r="L478" i="5"/>
  <c r="L497" i="5"/>
  <c r="L526" i="5"/>
  <c r="L528" i="5"/>
  <c r="L530" i="5"/>
  <c r="L531" i="5"/>
  <c r="L533" i="5"/>
  <c r="L534" i="5"/>
  <c r="L535" i="5"/>
  <c r="L536" i="5"/>
  <c r="L537" i="5"/>
  <c r="L539" i="5"/>
  <c r="J827" i="5"/>
  <c r="L828" i="5"/>
  <c r="L830" i="5"/>
  <c r="L832" i="5"/>
  <c r="L834" i="5"/>
  <c r="L836" i="5"/>
  <c r="L838" i="5"/>
  <c r="L840" i="5"/>
  <c r="L842" i="5"/>
  <c r="L844" i="5"/>
  <c r="L846" i="5"/>
  <c r="L848" i="5"/>
  <c r="L850" i="5"/>
  <c r="L854" i="5"/>
  <c r="AB462" i="5"/>
  <c r="AC464" i="5" s="1"/>
  <c r="L858" i="5"/>
  <c r="L861" i="5"/>
  <c r="AB469" i="5"/>
  <c r="L865" i="5"/>
  <c r="AB471" i="5"/>
  <c r="AB473" i="5"/>
  <c r="L869" i="5"/>
  <c r="AB475" i="5"/>
  <c r="AB477" i="5"/>
  <c r="L873" i="5"/>
  <c r="AB479" i="5"/>
  <c r="AB481" i="5"/>
  <c r="L877" i="5"/>
  <c r="AB483" i="5"/>
  <c r="AB485" i="5"/>
  <c r="L881" i="5"/>
  <c r="AB487" i="5"/>
  <c r="AB489" i="5"/>
  <c r="L885" i="5"/>
  <c r="AB491" i="5"/>
  <c r="AB493" i="5"/>
  <c r="L889" i="5"/>
  <c r="AB495" i="5"/>
  <c r="AB498" i="5"/>
  <c r="L894" i="5"/>
  <c r="AB500" i="5"/>
  <c r="AB502" i="5"/>
  <c r="L898" i="5"/>
  <c r="AB504" i="5"/>
  <c r="AB506" i="5"/>
  <c r="L902" i="5"/>
  <c r="AB508" i="5"/>
  <c r="AB510" i="5"/>
  <c r="L906" i="5"/>
  <c r="AB512" i="5"/>
  <c r="AB514" i="5"/>
  <c r="L910" i="5"/>
  <c r="AB516" i="5"/>
  <c r="AB518" i="5"/>
  <c r="L914" i="5"/>
  <c r="AB520" i="5"/>
  <c r="AB522" i="5"/>
  <c r="L918" i="5"/>
  <c r="AB524" i="5"/>
  <c r="AB526" i="5"/>
  <c r="L922" i="5"/>
  <c r="AB528" i="5"/>
  <c r="BE537" i="5"/>
  <c r="BE538" i="5"/>
  <c r="AB539" i="5"/>
  <c r="I540" i="5"/>
  <c r="I936" i="5"/>
  <c r="F541" i="5"/>
  <c r="I544" i="5"/>
  <c r="I940" i="5"/>
  <c r="F546" i="5"/>
  <c r="AB547" i="5"/>
  <c r="AQ547" i="5"/>
  <c r="J549" i="5"/>
  <c r="J554" i="5"/>
  <c r="I555" i="5"/>
  <c r="F557" i="5"/>
  <c r="I560" i="5"/>
  <c r="F562" i="5"/>
  <c r="AQ563" i="5"/>
  <c r="K564" i="5"/>
  <c r="K569" i="5"/>
  <c r="K965" i="5"/>
  <c r="J570" i="5"/>
  <c r="AB573" i="5"/>
  <c r="L574" i="5"/>
  <c r="J575" i="5"/>
  <c r="L579" i="5"/>
  <c r="K580" i="5"/>
  <c r="I581" i="5"/>
  <c r="J586" i="5"/>
  <c r="AR629" i="5"/>
  <c r="AQ630" i="5"/>
  <c r="BF629" i="5"/>
  <c r="BE630" i="5"/>
  <c r="AQ436" i="5"/>
  <c r="I833" i="5"/>
  <c r="AQ438" i="5"/>
  <c r="I835" i="5"/>
  <c r="AQ440" i="5"/>
  <c r="I837" i="5"/>
  <c r="AQ442" i="5"/>
  <c r="I839" i="5"/>
  <c r="AQ444" i="5"/>
  <c r="I841" i="5"/>
  <c r="AQ446" i="5"/>
  <c r="I843" i="5"/>
  <c r="AQ448" i="5"/>
  <c r="I845" i="5"/>
  <c r="AQ450" i="5"/>
  <c r="I847" i="5"/>
  <c r="AQ452" i="5"/>
  <c r="I849" i="5"/>
  <c r="AQ454" i="5"/>
  <c r="I851" i="5"/>
  <c r="AQ456" i="5"/>
  <c r="I853" i="5"/>
  <c r="AQ458" i="5"/>
  <c r="AQ460" i="5"/>
  <c r="I857" i="5"/>
  <c r="AQ462" i="5"/>
  <c r="I859" i="5"/>
  <c r="K860" i="5"/>
  <c r="I862" i="5"/>
  <c r="AQ467" i="5"/>
  <c r="I864" i="5"/>
  <c r="I866" i="5"/>
  <c r="AQ471" i="5"/>
  <c r="I868" i="5"/>
  <c r="I870" i="5"/>
  <c r="AQ475" i="5"/>
  <c r="I872" i="5"/>
  <c r="I874" i="5"/>
  <c r="AQ479" i="5"/>
  <c r="I876" i="5"/>
  <c r="I878" i="5"/>
  <c r="AQ483" i="5"/>
  <c r="I880" i="5"/>
  <c r="I882" i="5"/>
  <c r="AQ487" i="5"/>
  <c r="I884" i="5"/>
  <c r="I886" i="5"/>
  <c r="AQ491" i="5"/>
  <c r="I888" i="5"/>
  <c r="I890" i="5"/>
  <c r="AQ495" i="5"/>
  <c r="I892" i="5"/>
  <c r="K893" i="5"/>
  <c r="AQ498" i="5"/>
  <c r="AQ500" i="5"/>
  <c r="I897" i="5"/>
  <c r="AQ502" i="5"/>
  <c r="AQ504" i="5"/>
  <c r="I901" i="5"/>
  <c r="AQ506" i="5"/>
  <c r="AQ508" i="5"/>
  <c r="I905" i="5"/>
  <c r="AQ510" i="5"/>
  <c r="AQ512" i="5"/>
  <c r="I909" i="5"/>
  <c r="AQ514" i="5"/>
  <c r="AQ516" i="5"/>
  <c r="I913" i="5"/>
  <c r="AQ518" i="5"/>
  <c r="AQ520" i="5"/>
  <c r="I917" i="5"/>
  <c r="AQ522" i="5"/>
  <c r="AQ524" i="5"/>
  <c r="I921" i="5"/>
  <c r="AQ526" i="5"/>
  <c r="AQ528" i="5"/>
  <c r="I925" i="5"/>
  <c r="AQ531" i="5"/>
  <c r="I928" i="5"/>
  <c r="I930" i="5"/>
  <c r="AQ535" i="5"/>
  <c r="I932" i="5"/>
  <c r="AQ539" i="5"/>
  <c r="J540" i="5"/>
  <c r="J544" i="5"/>
  <c r="I545" i="5"/>
  <c r="F547" i="5"/>
  <c r="I550" i="5"/>
  <c r="I946" i="5"/>
  <c r="F552" i="5"/>
  <c r="J555" i="5"/>
  <c r="J560" i="5"/>
  <c r="I561" i="5"/>
  <c r="F563" i="5"/>
  <c r="BE563" i="5"/>
  <c r="L564" i="5"/>
  <c r="L569" i="5"/>
  <c r="K570" i="5"/>
  <c r="F573" i="5"/>
  <c r="K575" i="5"/>
  <c r="L585" i="5"/>
  <c r="AJ734" i="5"/>
  <c r="F732" i="5"/>
  <c r="F730" i="5"/>
  <c r="F728" i="5"/>
  <c r="F726" i="5"/>
  <c r="F724" i="5"/>
  <c r="F722" i="5"/>
  <c r="F720" i="5"/>
  <c r="F718" i="5"/>
  <c r="F716" i="5"/>
  <c r="F714" i="5"/>
  <c r="F712" i="5"/>
  <c r="F710" i="5"/>
  <c r="F708" i="5"/>
  <c r="F706" i="5"/>
  <c r="F704" i="5"/>
  <c r="F702" i="5"/>
  <c r="F700" i="5"/>
  <c r="F698" i="5"/>
  <c r="F696" i="5"/>
  <c r="F694" i="5"/>
  <c r="F692" i="5"/>
  <c r="F690" i="5"/>
  <c r="F688" i="5"/>
  <c r="F686" i="5"/>
  <c r="F684" i="5"/>
  <c r="F682" i="5"/>
  <c r="F680" i="5"/>
  <c r="F734" i="5"/>
  <c r="F736" i="5"/>
  <c r="F733" i="5"/>
  <c r="F731" i="5"/>
  <c r="F729" i="5"/>
  <c r="F727" i="5"/>
  <c r="F725" i="5"/>
  <c r="F723" i="5"/>
  <c r="F721" i="5"/>
  <c r="F719" i="5"/>
  <c r="F717" i="5"/>
  <c r="F715" i="5"/>
  <c r="F713" i="5"/>
  <c r="F711" i="5"/>
  <c r="F709" i="5"/>
  <c r="F707" i="5"/>
  <c r="F705" i="5"/>
  <c r="F703" i="5"/>
  <c r="F701" i="5"/>
  <c r="F699" i="5"/>
  <c r="F697" i="5"/>
  <c r="F695" i="5"/>
  <c r="F693" i="5"/>
  <c r="F691" i="5"/>
  <c r="F689" i="5"/>
  <c r="F687" i="5"/>
  <c r="F685" i="5"/>
  <c r="F683" i="5"/>
  <c r="F681" i="5"/>
  <c r="F679" i="5"/>
  <c r="F677" i="5"/>
  <c r="F675" i="5"/>
  <c r="F673" i="5"/>
  <c r="F671" i="5"/>
  <c r="F669" i="5"/>
  <c r="F667" i="5"/>
  <c r="F791" i="5"/>
  <c r="F787" i="5"/>
  <c r="F783" i="5"/>
  <c r="F779" i="5"/>
  <c r="F775" i="5"/>
  <c r="F771" i="5"/>
  <c r="F767" i="5"/>
  <c r="F763" i="5"/>
  <c r="F759" i="5"/>
  <c r="F755" i="5"/>
  <c r="F751" i="5"/>
  <c r="F747" i="5"/>
  <c r="F743" i="5"/>
  <c r="F739" i="5"/>
  <c r="F735" i="5"/>
  <c r="F678" i="5"/>
  <c r="F670" i="5"/>
  <c r="F672" i="5"/>
  <c r="F674" i="5"/>
  <c r="F676" i="5"/>
  <c r="F668" i="5"/>
  <c r="F666" i="5"/>
  <c r="F1782" i="5"/>
  <c r="F1778" i="5"/>
  <c r="F1770" i="5"/>
  <c r="F1766" i="5"/>
  <c r="F1762" i="5"/>
  <c r="F1779" i="5"/>
  <c r="F1759" i="5"/>
  <c r="F1755" i="5"/>
  <c r="F1751" i="5"/>
  <c r="F1747" i="5"/>
  <c r="F1743" i="5"/>
  <c r="F1739" i="5"/>
  <c r="F1735" i="5"/>
  <c r="F1731" i="5"/>
  <c r="F1727" i="5"/>
  <c r="F1723" i="5"/>
  <c r="F1783" i="5"/>
  <c r="F1758" i="5"/>
  <c r="F1754" i="5"/>
  <c r="F1750" i="5"/>
  <c r="F1746" i="5"/>
  <c r="F1742" i="5"/>
  <c r="F1738" i="5"/>
  <c r="F1734" i="5"/>
  <c r="F1730" i="5"/>
  <c r="F1726" i="5"/>
  <c r="F1722" i="5"/>
  <c r="F1718" i="5"/>
  <c r="F1714" i="5"/>
  <c r="F1710" i="5"/>
  <c r="F1781" i="5"/>
  <c r="F1777" i="5"/>
  <c r="F1772" i="5"/>
  <c r="F1767" i="5"/>
  <c r="F1773" i="5"/>
  <c r="F1768" i="5"/>
  <c r="F1763" i="5"/>
  <c r="F1757" i="5"/>
  <c r="F1753" i="5"/>
  <c r="F1749" i="5"/>
  <c r="F1745" i="5"/>
  <c r="F1741" i="5"/>
  <c r="F1737" i="5"/>
  <c r="F1733" i="5"/>
  <c r="F1729" i="5"/>
  <c r="F1725" i="5"/>
  <c r="F1769" i="5"/>
  <c r="F1765" i="5"/>
  <c r="F1756" i="5"/>
  <c r="F1752" i="5"/>
  <c r="F1748" i="5"/>
  <c r="F1744" i="5"/>
  <c r="F1740" i="5"/>
  <c r="F1736" i="5"/>
  <c r="F1732" i="5"/>
  <c r="F1728" i="5"/>
  <c r="F1724" i="5"/>
  <c r="F1720" i="5"/>
  <c r="F1716" i="5"/>
  <c r="F1712" i="5"/>
  <c r="F1708" i="5"/>
  <c r="F1704" i="5"/>
  <c r="F1700" i="5"/>
  <c r="F1696" i="5"/>
  <c r="F1692" i="5"/>
  <c r="F1688" i="5"/>
  <c r="F1684" i="5"/>
  <c r="F1680" i="5"/>
  <c r="F1676" i="5"/>
  <c r="F1761" i="5"/>
  <c r="F1721" i="5"/>
  <c r="F1717" i="5"/>
  <c r="F1703" i="5"/>
  <c r="F1698" i="5"/>
  <c r="F1690" i="5"/>
  <c r="F1682" i="5"/>
  <c r="F1674" i="5"/>
  <c r="F1707" i="5"/>
  <c r="F1705" i="5"/>
  <c r="F1713" i="5"/>
  <c r="F1701" i="5"/>
  <c r="F1693" i="5"/>
  <c r="F1685" i="5"/>
  <c r="F1677" i="5"/>
  <c r="F1719" i="5"/>
  <c r="F1699" i="5"/>
  <c r="F1691" i="5"/>
  <c r="F1683" i="5"/>
  <c r="F1675" i="5"/>
  <c r="F1709" i="5"/>
  <c r="F1702" i="5"/>
  <c r="F1694" i="5"/>
  <c r="F1686" i="5"/>
  <c r="F1678" i="5"/>
  <c r="F1669" i="5"/>
  <c r="F1665" i="5"/>
  <c r="F1661" i="5"/>
  <c r="F1657" i="5"/>
  <c r="F1653" i="5"/>
  <c r="F1715" i="5"/>
  <c r="F1706" i="5"/>
  <c r="F1664" i="5"/>
  <c r="F1660" i="5"/>
  <c r="F1656" i="5"/>
  <c r="F1711" i="5"/>
  <c r="F1695" i="5"/>
  <c r="F1687" i="5"/>
  <c r="F1679" i="5"/>
  <c r="F1416" i="5"/>
  <c r="F1412" i="5"/>
  <c r="F1408" i="5"/>
  <c r="F1404" i="5"/>
  <c r="F1400" i="5"/>
  <c r="F1396" i="5"/>
  <c r="F1392" i="5"/>
  <c r="F1407" i="5"/>
  <c r="F1359" i="5"/>
  <c r="F1355" i="5"/>
  <c r="F1351" i="5"/>
  <c r="F1347" i="5"/>
  <c r="F1343" i="5"/>
  <c r="F1339" i="5"/>
  <c r="F1335" i="5"/>
  <c r="F1331" i="5"/>
  <c r="F1327" i="5"/>
  <c r="F1323" i="5"/>
  <c r="F1388" i="5"/>
  <c r="F1380" i="5"/>
  <c r="F1362" i="5"/>
  <c r="F1358" i="5"/>
  <c r="F1354" i="5"/>
  <c r="F1350" i="5"/>
  <c r="F1346" i="5"/>
  <c r="F1342" i="5"/>
  <c r="F1338" i="5"/>
  <c r="F1334" i="5"/>
  <c r="F1330" i="5"/>
  <c r="F1326" i="5"/>
  <c r="F1361" i="5"/>
  <c r="F1357" i="5"/>
  <c r="F1353" i="5"/>
  <c r="F1349" i="5"/>
  <c r="F1345" i="5"/>
  <c r="F1341" i="5"/>
  <c r="F1337" i="5"/>
  <c r="F1333" i="5"/>
  <c r="F1329" i="5"/>
  <c r="F1325" i="5"/>
  <c r="F1403" i="5"/>
  <c r="F1391" i="5"/>
  <c r="F1384" i="5"/>
  <c r="F1376" i="5"/>
  <c r="F1371" i="5"/>
  <c r="F1360" i="5"/>
  <c r="F1356" i="5"/>
  <c r="F1352" i="5"/>
  <c r="F1348" i="5"/>
  <c r="F1344" i="5"/>
  <c r="F1340" i="5"/>
  <c r="F1336" i="5"/>
  <c r="F1332" i="5"/>
  <c r="F1328" i="5"/>
  <c r="F1324" i="5"/>
  <c r="F1399" i="5"/>
  <c r="F1372" i="5"/>
  <c r="F1123" i="5"/>
  <c r="F1119" i="5"/>
  <c r="F1115" i="5"/>
  <c r="F1111" i="5"/>
  <c r="F1107" i="5"/>
  <c r="F1103" i="5"/>
  <c r="F1099" i="5"/>
  <c r="F1095" i="5"/>
  <c r="F1091" i="5"/>
  <c r="F1087" i="5"/>
  <c r="F1083" i="5"/>
  <c r="F1121" i="5"/>
  <c r="F1117" i="5"/>
  <c r="F1113" i="5"/>
  <c r="F1109" i="5"/>
  <c r="F1105" i="5"/>
  <c r="F1101" i="5"/>
  <c r="F1097" i="5"/>
  <c r="F1093" i="5"/>
  <c r="F1089" i="5"/>
  <c r="F1124" i="5"/>
  <c r="F1120" i="5"/>
  <c r="F1116" i="5"/>
  <c r="F1112" i="5"/>
  <c r="F1108" i="5"/>
  <c r="F1104" i="5"/>
  <c r="F1100" i="5"/>
  <c r="F1096" i="5"/>
  <c r="F1092" i="5"/>
  <c r="F1088" i="5"/>
  <c r="F1084" i="5"/>
  <c r="F1080" i="5"/>
  <c r="F1072" i="5"/>
  <c r="F1064" i="5"/>
  <c r="F1054" i="5"/>
  <c r="F1050" i="5"/>
  <c r="F1046" i="5"/>
  <c r="F1042" i="5"/>
  <c r="F1038" i="5"/>
  <c r="F1034" i="5"/>
  <c r="F1030" i="5"/>
  <c r="F1026" i="5"/>
  <c r="F1022" i="5"/>
  <c r="F1018" i="5"/>
  <c r="F1014" i="5"/>
  <c r="F1010" i="5"/>
  <c r="F1006" i="5"/>
  <c r="F1002" i="5"/>
  <c r="F998" i="5"/>
  <c r="F994" i="5"/>
  <c r="F1075" i="5"/>
  <c r="F1067" i="5"/>
  <c r="F1060" i="5"/>
  <c r="F1053" i="5"/>
  <c r="F1049" i="5"/>
  <c r="F1045" i="5"/>
  <c r="F1041" i="5"/>
  <c r="F1037" i="5"/>
  <c r="F1033" i="5"/>
  <c r="F1029" i="5"/>
  <c r="F1025" i="5"/>
  <c r="F1021" i="5"/>
  <c r="F1017" i="5"/>
  <c r="F1013" i="5"/>
  <c r="F1009" i="5"/>
  <c r="F1005" i="5"/>
  <c r="F1001" i="5"/>
  <c r="F997" i="5"/>
  <c r="F993" i="5"/>
  <c r="F1081" i="5"/>
  <c r="F1073" i="5"/>
  <c r="F1065" i="5"/>
  <c r="F1061" i="5"/>
  <c r="F1076" i="5"/>
  <c r="F1068" i="5"/>
  <c r="F1057" i="5"/>
  <c r="F1056" i="5"/>
  <c r="F1052" i="5"/>
  <c r="F1048" i="5"/>
  <c r="F1044" i="5"/>
  <c r="F1040" i="5"/>
  <c r="F1036" i="5"/>
  <c r="F1032" i="5"/>
  <c r="F1028" i="5"/>
  <c r="F1024" i="5"/>
  <c r="F1020" i="5"/>
  <c r="F1016" i="5"/>
  <c r="F1012" i="5"/>
  <c r="F1008" i="5"/>
  <c r="F1004" i="5"/>
  <c r="F1000" i="5"/>
  <c r="F996" i="5"/>
  <c r="F1085" i="5"/>
  <c r="F1079" i="5"/>
  <c r="F1071" i="5"/>
  <c r="F1062" i="5"/>
  <c r="F1063" i="5"/>
  <c r="F1055" i="5"/>
  <c r="F1051" i="5"/>
  <c r="F1047" i="5"/>
  <c r="F1043" i="5"/>
  <c r="F1039" i="5"/>
  <c r="F1035" i="5"/>
  <c r="F1031" i="5"/>
  <c r="F1027" i="5"/>
  <c r="F1023" i="5"/>
  <c r="F1019" i="5"/>
  <c r="F1015" i="5"/>
  <c r="F1011" i="5"/>
  <c r="F1007" i="5"/>
  <c r="F1003" i="5"/>
  <c r="F999" i="5"/>
  <c r="F995" i="5"/>
  <c r="F1077" i="5"/>
  <c r="F1069" i="5"/>
  <c r="F1059" i="5"/>
  <c r="AX734" i="5"/>
  <c r="F598" i="5"/>
  <c r="F600" i="5"/>
  <c r="F602" i="5"/>
  <c r="F604" i="5"/>
  <c r="F606" i="5"/>
  <c r="F608" i="5"/>
  <c r="F610" i="5"/>
  <c r="F612" i="5"/>
  <c r="F614" i="5"/>
  <c r="F616" i="5"/>
  <c r="F618" i="5"/>
  <c r="F620" i="5"/>
  <c r="F622" i="5"/>
  <c r="F624" i="5"/>
  <c r="F626" i="5"/>
  <c r="F628" i="5"/>
  <c r="F631" i="5"/>
  <c r="F632" i="5"/>
  <c r="F634" i="5"/>
  <c r="F636" i="5"/>
  <c r="F638" i="5"/>
  <c r="F640" i="5"/>
  <c r="F642" i="5"/>
  <c r="F644" i="5"/>
  <c r="F646" i="5"/>
  <c r="F648" i="5"/>
  <c r="F650" i="5"/>
  <c r="F652" i="5"/>
  <c r="F654" i="5"/>
  <c r="F656" i="5"/>
  <c r="F658" i="5"/>
  <c r="F660" i="5"/>
  <c r="F662" i="5"/>
  <c r="F663" i="5"/>
  <c r="F664" i="5"/>
  <c r="F811" i="5"/>
  <c r="F813" i="5"/>
  <c r="BE417" i="5"/>
  <c r="F815" i="5"/>
  <c r="F817" i="5"/>
  <c r="BE421" i="5"/>
  <c r="F819" i="5"/>
  <c r="F821" i="5"/>
  <c r="F823" i="5"/>
  <c r="F825" i="5"/>
  <c r="BE429" i="5"/>
  <c r="BE432" i="5"/>
  <c r="J829" i="5"/>
  <c r="J831" i="5"/>
  <c r="BE436" i="5"/>
  <c r="J833" i="5"/>
  <c r="BE438" i="5"/>
  <c r="J835" i="5"/>
  <c r="J837" i="5"/>
  <c r="BE442" i="5"/>
  <c r="J839" i="5"/>
  <c r="BE444" i="5"/>
  <c r="J841" i="5"/>
  <c r="BE446" i="5"/>
  <c r="J843" i="5"/>
  <c r="J845" i="5"/>
  <c r="J847" i="5"/>
  <c r="BE452" i="5"/>
  <c r="J849" i="5"/>
  <c r="J851" i="5"/>
  <c r="J855" i="5"/>
  <c r="J859" i="5"/>
  <c r="F861" i="5"/>
  <c r="BE465" i="5"/>
  <c r="J862" i="5"/>
  <c r="F865" i="5"/>
  <c r="J866" i="5"/>
  <c r="F869" i="5"/>
  <c r="J870" i="5"/>
  <c r="F873" i="5"/>
  <c r="J874" i="5"/>
  <c r="F877" i="5"/>
  <c r="J878" i="5"/>
  <c r="BE483" i="5"/>
  <c r="F881" i="5"/>
  <c r="J882" i="5"/>
  <c r="F885" i="5"/>
  <c r="J886" i="5"/>
  <c r="F889" i="5"/>
  <c r="J890" i="5"/>
  <c r="L893" i="5"/>
  <c r="J895" i="5"/>
  <c r="F896" i="5"/>
  <c r="BE500" i="5"/>
  <c r="BE502" i="5"/>
  <c r="J899" i="5"/>
  <c r="F900" i="5"/>
  <c r="BE504" i="5"/>
  <c r="BE506" i="5"/>
  <c r="J903" i="5"/>
  <c r="F904" i="5"/>
  <c r="BE508" i="5"/>
  <c r="BE510" i="5"/>
  <c r="J907" i="5"/>
  <c r="F908" i="5"/>
  <c r="BE512" i="5"/>
  <c r="BE514" i="5"/>
  <c r="J911" i="5"/>
  <c r="F912" i="5"/>
  <c r="BE516" i="5"/>
  <c r="BE518" i="5"/>
  <c r="J915" i="5"/>
  <c r="F916" i="5"/>
  <c r="BE520" i="5"/>
  <c r="BE522" i="5"/>
  <c r="J919" i="5"/>
  <c r="F920" i="5"/>
  <c r="BE524" i="5"/>
  <c r="BE526" i="5"/>
  <c r="J923" i="5"/>
  <c r="BE528" i="5"/>
  <c r="L926" i="5"/>
  <c r="BE531" i="5"/>
  <c r="F929" i="5"/>
  <c r="BE535" i="5"/>
  <c r="I537" i="5"/>
  <c r="F542" i="5"/>
  <c r="AB543" i="5"/>
  <c r="AQ543" i="5"/>
  <c r="J545" i="5"/>
  <c r="AB548" i="5"/>
  <c r="J550" i="5"/>
  <c r="I551" i="5"/>
  <c r="F553" i="5"/>
  <c r="I556" i="5"/>
  <c r="F558" i="5"/>
  <c r="AB559" i="5"/>
  <c r="AQ559" i="5"/>
  <c r="J561" i="5"/>
  <c r="AB564" i="5"/>
  <c r="K565" i="5"/>
  <c r="K961" i="5"/>
  <c r="J566" i="5"/>
  <c r="AB569" i="5"/>
  <c r="AQ569" i="5"/>
  <c r="L570" i="5"/>
  <c r="L575" i="5"/>
  <c r="K576" i="5"/>
  <c r="AB580" i="5"/>
  <c r="J582" i="5"/>
  <c r="AB585" i="5"/>
  <c r="G793" i="5"/>
  <c r="G789" i="5"/>
  <c r="G785" i="5"/>
  <c r="G781" i="5"/>
  <c r="G777" i="5"/>
  <c r="G773" i="5"/>
  <c r="G769" i="5"/>
  <c r="G765" i="5"/>
  <c r="G761" i="5"/>
  <c r="G757" i="5"/>
  <c r="G753" i="5"/>
  <c r="G749" i="5"/>
  <c r="G745" i="5"/>
  <c r="G741" i="5"/>
  <c r="G737" i="5"/>
  <c r="G792" i="5"/>
  <c r="G788" i="5"/>
  <c r="G784" i="5"/>
  <c r="G780" i="5"/>
  <c r="G776" i="5"/>
  <c r="G772" i="5"/>
  <c r="G768" i="5"/>
  <c r="G764" i="5"/>
  <c r="G760" i="5"/>
  <c r="G756" i="5"/>
  <c r="G752" i="5"/>
  <c r="G748" i="5"/>
  <c r="G744" i="5"/>
  <c r="G740" i="5"/>
  <c r="G791" i="5"/>
  <c r="G787" i="5"/>
  <c r="G783" i="5"/>
  <c r="G779" i="5"/>
  <c r="G775" i="5"/>
  <c r="G771" i="5"/>
  <c r="G767" i="5"/>
  <c r="G763" i="5"/>
  <c r="G759" i="5"/>
  <c r="G755" i="5"/>
  <c r="G751" i="5"/>
  <c r="G747" i="5"/>
  <c r="G743" i="5"/>
  <c r="G739" i="5"/>
  <c r="G735" i="5"/>
  <c r="G794" i="5"/>
  <c r="G790" i="5"/>
  <c r="G786" i="5"/>
  <c r="G782" i="5"/>
  <c r="G778" i="5"/>
  <c r="G774" i="5"/>
  <c r="G770" i="5"/>
  <c r="G766" i="5"/>
  <c r="G762" i="5"/>
  <c r="G758" i="5"/>
  <c r="G754" i="5"/>
  <c r="G750" i="5"/>
  <c r="G746" i="5"/>
  <c r="G742" i="5"/>
  <c r="G738" i="5"/>
  <c r="AK734" i="5"/>
  <c r="G665" i="5"/>
  <c r="G664" i="5"/>
  <c r="G663" i="5"/>
  <c r="G1781" i="5"/>
  <c r="G1777" i="5"/>
  <c r="G1773" i="5"/>
  <c r="G1769" i="5"/>
  <c r="G1765" i="5"/>
  <c r="G1761" i="5"/>
  <c r="G1780" i="5"/>
  <c r="G1775" i="5"/>
  <c r="G1783" i="5"/>
  <c r="G1768" i="5"/>
  <c r="G1763" i="5"/>
  <c r="G1784" i="5"/>
  <c r="G1764" i="5"/>
  <c r="G1779" i="5"/>
  <c r="G1759" i="5"/>
  <c r="G1755" i="5"/>
  <c r="G1751" i="5"/>
  <c r="G1747" i="5"/>
  <c r="G1743" i="5"/>
  <c r="G1739" i="5"/>
  <c r="G1735" i="5"/>
  <c r="G1731" i="5"/>
  <c r="G1727" i="5"/>
  <c r="G1723" i="5"/>
  <c r="G1719" i="5"/>
  <c r="G1715" i="5"/>
  <c r="G1711" i="5"/>
  <c r="G1707" i="5"/>
  <c r="G1703" i="5"/>
  <c r="G1699" i="5"/>
  <c r="G1695" i="5"/>
  <c r="G1691" i="5"/>
  <c r="G1687" i="5"/>
  <c r="G1683" i="5"/>
  <c r="G1679" i="5"/>
  <c r="G1675" i="5"/>
  <c r="G1701" i="5"/>
  <c r="G1693" i="5"/>
  <c r="G1685" i="5"/>
  <c r="G1677" i="5"/>
  <c r="G1670" i="5"/>
  <c r="G1666" i="5"/>
  <c r="G1662" i="5"/>
  <c r="G1658" i="5"/>
  <c r="G1654" i="5"/>
  <c r="G1671" i="5"/>
  <c r="G1667" i="5"/>
  <c r="G1663" i="5"/>
  <c r="G1659" i="5"/>
  <c r="G1655" i="5"/>
  <c r="G1449" i="5"/>
  <c r="G1441" i="5"/>
  <c r="G1433" i="5"/>
  <c r="G1425" i="5"/>
  <c r="G1415" i="5"/>
  <c r="G1411" i="5"/>
  <c r="G1407" i="5"/>
  <c r="G1403" i="5"/>
  <c r="G1452" i="5"/>
  <c r="G1444" i="5"/>
  <c r="G1436" i="5"/>
  <c r="G1428" i="5"/>
  <c r="G1420" i="5"/>
  <c r="G1447" i="5"/>
  <c r="G1439" i="5"/>
  <c r="G1431" i="5"/>
  <c r="G1423" i="5"/>
  <c r="G1414" i="5"/>
  <c r="G1410" i="5"/>
  <c r="G1450" i="5"/>
  <c r="G1442" i="5"/>
  <c r="G1434" i="5"/>
  <c r="G1426" i="5"/>
  <c r="G1418" i="5"/>
  <c r="G1453" i="5"/>
  <c r="G1445" i="5"/>
  <c r="G1437" i="5"/>
  <c r="G1429" i="5"/>
  <c r="G1421" i="5"/>
  <c r="G1417" i="5"/>
  <c r="G1413" i="5"/>
  <c r="G1409" i="5"/>
  <c r="G1405" i="5"/>
  <c r="G1448" i="5"/>
  <c r="G1440" i="5"/>
  <c r="G1432" i="5"/>
  <c r="G1424" i="5"/>
  <c r="G1451" i="5"/>
  <c r="G1443" i="5"/>
  <c r="G1435" i="5"/>
  <c r="G1427" i="5"/>
  <c r="G1419" i="5"/>
  <c r="G1416" i="5"/>
  <c r="G1412" i="5"/>
  <c r="G1408" i="5"/>
  <c r="G1404" i="5"/>
  <c r="G1400" i="5"/>
  <c r="G1396" i="5"/>
  <c r="G1392" i="5"/>
  <c r="G1388" i="5"/>
  <c r="G1384" i="5"/>
  <c r="G1380" i="5"/>
  <c r="G1454" i="5"/>
  <c r="G1446" i="5"/>
  <c r="G1438" i="5"/>
  <c r="G1430" i="5"/>
  <c r="G1422" i="5"/>
  <c r="G1385" i="5"/>
  <c r="G1377" i="5"/>
  <c r="G1373" i="5"/>
  <c r="G1364" i="5"/>
  <c r="G1363" i="5"/>
  <c r="G1401" i="5"/>
  <c r="G1365" i="5"/>
  <c r="G1383" i="5"/>
  <c r="G1368" i="5"/>
  <c r="G1367" i="5"/>
  <c r="G1366" i="5"/>
  <c r="G1369" i="5"/>
  <c r="G1391" i="5"/>
  <c r="G1389" i="5"/>
  <c r="G1381" i="5"/>
  <c r="G1370" i="5"/>
  <c r="G1395" i="5"/>
  <c r="G1393" i="5"/>
  <c r="G1376" i="5"/>
  <c r="G1399" i="5"/>
  <c r="G1397" i="5"/>
  <c r="G1387" i="5"/>
  <c r="G1379" i="5"/>
  <c r="G1372" i="5"/>
  <c r="G1114" i="5"/>
  <c r="G1094" i="5"/>
  <c r="G993" i="5"/>
  <c r="G1106" i="5"/>
  <c r="G1118" i="5"/>
  <c r="G1086" i="5"/>
  <c r="G1056" i="5"/>
  <c r="G1098" i="5"/>
  <c r="G1062" i="5"/>
  <c r="G1110" i="5"/>
  <c r="G1058" i="5"/>
  <c r="G1122" i="5"/>
  <c r="G1090" i="5"/>
  <c r="G1102" i="5"/>
  <c r="G1082" i="5"/>
  <c r="AY734" i="5"/>
  <c r="AQ431" i="5"/>
  <c r="K829" i="5"/>
  <c r="K831" i="5"/>
  <c r="K833" i="5"/>
  <c r="K835" i="5"/>
  <c r="K837" i="5"/>
  <c r="K839" i="5"/>
  <c r="K841" i="5"/>
  <c r="K843" i="5"/>
  <c r="K845" i="5"/>
  <c r="K847" i="5"/>
  <c r="K849" i="5"/>
  <c r="K851" i="5"/>
  <c r="K853" i="5"/>
  <c r="K855" i="5"/>
  <c r="K857" i="5"/>
  <c r="K859" i="5"/>
  <c r="AQ464" i="5"/>
  <c r="K864" i="5"/>
  <c r="K868" i="5"/>
  <c r="K872" i="5"/>
  <c r="K876" i="5"/>
  <c r="K880" i="5"/>
  <c r="K884" i="5"/>
  <c r="K888" i="5"/>
  <c r="K892" i="5"/>
  <c r="K895" i="5"/>
  <c r="K897" i="5"/>
  <c r="K899" i="5"/>
  <c r="K901" i="5"/>
  <c r="K903" i="5"/>
  <c r="K905" i="5"/>
  <c r="K907" i="5"/>
  <c r="K909" i="5"/>
  <c r="K911" i="5"/>
  <c r="K913" i="5"/>
  <c r="K915" i="5"/>
  <c r="K917" i="5"/>
  <c r="K919" i="5"/>
  <c r="K921" i="5"/>
  <c r="K923" i="5"/>
  <c r="K925" i="5"/>
  <c r="AQ530" i="5"/>
  <c r="K928" i="5"/>
  <c r="K932" i="5"/>
  <c r="I933" i="5"/>
  <c r="I934" i="5"/>
  <c r="I541" i="5"/>
  <c r="I937" i="5"/>
  <c r="F543" i="5"/>
  <c r="I546" i="5"/>
  <c r="I942" i="5"/>
  <c r="F548" i="5"/>
  <c r="J551" i="5"/>
  <c r="AQ554" i="5"/>
  <c r="J556" i="5"/>
  <c r="I557" i="5"/>
  <c r="F559" i="5"/>
  <c r="I562" i="5"/>
  <c r="I958" i="5"/>
  <c r="L565" i="5"/>
  <c r="K566" i="5"/>
  <c r="K571" i="5"/>
  <c r="BE575" i="5"/>
  <c r="L576" i="5"/>
  <c r="L581" i="5"/>
  <c r="F585" i="5"/>
  <c r="H734" i="5"/>
  <c r="H736" i="5"/>
  <c r="H733" i="5"/>
  <c r="H731" i="5"/>
  <c r="H729" i="5"/>
  <c r="H727" i="5"/>
  <c r="H725" i="5"/>
  <c r="H723" i="5"/>
  <c r="H721" i="5"/>
  <c r="H719" i="5"/>
  <c r="H717" i="5"/>
  <c r="H715" i="5"/>
  <c r="H713" i="5"/>
  <c r="H711" i="5"/>
  <c r="H709" i="5"/>
  <c r="H707" i="5"/>
  <c r="H705" i="5"/>
  <c r="H703" i="5"/>
  <c r="H701" i="5"/>
  <c r="H699" i="5"/>
  <c r="H735" i="5"/>
  <c r="H794" i="5"/>
  <c r="H790" i="5"/>
  <c r="H786" i="5"/>
  <c r="H782" i="5"/>
  <c r="H778" i="5"/>
  <c r="H774" i="5"/>
  <c r="H770" i="5"/>
  <c r="H766" i="5"/>
  <c r="H762" i="5"/>
  <c r="H758" i="5"/>
  <c r="H754" i="5"/>
  <c r="H750" i="5"/>
  <c r="H746" i="5"/>
  <c r="H742" i="5"/>
  <c r="H738" i="5"/>
  <c r="AL734" i="5"/>
  <c r="H732" i="5"/>
  <c r="H730" i="5"/>
  <c r="H728" i="5"/>
  <c r="H726" i="5"/>
  <c r="H724" i="5"/>
  <c r="H722" i="5"/>
  <c r="H720" i="5"/>
  <c r="H718" i="5"/>
  <c r="H716" i="5"/>
  <c r="H714" i="5"/>
  <c r="H712" i="5"/>
  <c r="H710" i="5"/>
  <c r="H708" i="5"/>
  <c r="H706" i="5"/>
  <c r="H704" i="5"/>
  <c r="H702" i="5"/>
  <c r="H700" i="5"/>
  <c r="H698" i="5"/>
  <c r="H696" i="5"/>
  <c r="H694" i="5"/>
  <c r="H692" i="5"/>
  <c r="H690" i="5"/>
  <c r="H688" i="5"/>
  <c r="H686" i="5"/>
  <c r="H684" i="5"/>
  <c r="H682" i="5"/>
  <c r="H680" i="5"/>
  <c r="H678" i="5"/>
  <c r="H676" i="5"/>
  <c r="H674" i="5"/>
  <c r="H672" i="5"/>
  <c r="H670" i="5"/>
  <c r="H668" i="5"/>
  <c r="H693" i="5"/>
  <c r="H687" i="5"/>
  <c r="H675" i="5"/>
  <c r="H667" i="5"/>
  <c r="H697" i="5"/>
  <c r="H681" i="5"/>
  <c r="H691" i="5"/>
  <c r="H677" i="5"/>
  <c r="H669" i="5"/>
  <c r="H685" i="5"/>
  <c r="H695" i="5"/>
  <c r="H679" i="5"/>
  <c r="H671" i="5"/>
  <c r="H666" i="5"/>
  <c r="H689" i="5"/>
  <c r="H683" i="5"/>
  <c r="H673" i="5"/>
  <c r="H1781" i="5"/>
  <c r="H1777" i="5"/>
  <c r="H1773" i="5"/>
  <c r="H1769" i="5"/>
  <c r="H1765" i="5"/>
  <c r="H1761" i="5"/>
  <c r="H1776" i="5"/>
  <c r="H1771" i="5"/>
  <c r="H1766" i="5"/>
  <c r="H1758" i="5"/>
  <c r="H1754" i="5"/>
  <c r="H1750" i="5"/>
  <c r="H1746" i="5"/>
  <c r="H1742" i="5"/>
  <c r="H1738" i="5"/>
  <c r="H1734" i="5"/>
  <c r="H1730" i="5"/>
  <c r="H1726" i="5"/>
  <c r="H1722" i="5"/>
  <c r="H1772" i="5"/>
  <c r="H1762" i="5"/>
  <c r="H1768" i="5"/>
  <c r="H1757" i="5"/>
  <c r="H1753" i="5"/>
  <c r="H1749" i="5"/>
  <c r="H1745" i="5"/>
  <c r="H1741" i="5"/>
  <c r="H1737" i="5"/>
  <c r="H1733" i="5"/>
  <c r="H1729" i="5"/>
  <c r="H1725" i="5"/>
  <c r="H1721" i="5"/>
  <c r="H1717" i="5"/>
  <c r="H1713" i="5"/>
  <c r="H1709" i="5"/>
  <c r="H1784" i="5"/>
  <c r="H1764" i="5"/>
  <c r="H1760" i="5"/>
  <c r="H1756" i="5"/>
  <c r="H1752" i="5"/>
  <c r="H1748" i="5"/>
  <c r="H1744" i="5"/>
  <c r="H1740" i="5"/>
  <c r="H1736" i="5"/>
  <c r="H1732" i="5"/>
  <c r="H1728" i="5"/>
  <c r="H1724" i="5"/>
  <c r="H1778" i="5"/>
  <c r="H1774" i="5"/>
  <c r="H1759" i="5"/>
  <c r="H1755" i="5"/>
  <c r="H1751" i="5"/>
  <c r="H1747" i="5"/>
  <c r="H1743" i="5"/>
  <c r="H1739" i="5"/>
  <c r="H1735" i="5"/>
  <c r="H1731" i="5"/>
  <c r="H1727" i="5"/>
  <c r="H1723" i="5"/>
  <c r="H1719" i="5"/>
  <c r="H1715" i="5"/>
  <c r="H1711" i="5"/>
  <c r="H1707" i="5"/>
  <c r="H1703" i="5"/>
  <c r="H1699" i="5"/>
  <c r="H1695" i="5"/>
  <c r="H1691" i="5"/>
  <c r="H1687" i="5"/>
  <c r="H1683" i="5"/>
  <c r="H1679" i="5"/>
  <c r="H1675" i="5"/>
  <c r="H1780" i="5"/>
  <c r="H1775" i="5"/>
  <c r="H1770" i="5"/>
  <c r="H1705" i="5"/>
  <c r="H1701" i="5"/>
  <c r="H1693" i="5"/>
  <c r="H1685" i="5"/>
  <c r="H1677" i="5"/>
  <c r="H1720" i="5"/>
  <c r="H1710" i="5"/>
  <c r="H1716" i="5"/>
  <c r="H1696" i="5"/>
  <c r="H1688" i="5"/>
  <c r="H1680" i="5"/>
  <c r="H1702" i="5"/>
  <c r="H1694" i="5"/>
  <c r="H1686" i="5"/>
  <c r="H1678" i="5"/>
  <c r="H1712" i="5"/>
  <c r="H1706" i="5"/>
  <c r="H1704" i="5"/>
  <c r="H1697" i="5"/>
  <c r="H1689" i="5"/>
  <c r="H1681" i="5"/>
  <c r="H1673" i="5"/>
  <c r="H1672" i="5"/>
  <c r="H1668" i="5"/>
  <c r="H1664" i="5"/>
  <c r="H1660" i="5"/>
  <c r="H1656" i="5"/>
  <c r="H1718" i="5"/>
  <c r="H1708" i="5"/>
  <c r="H1663" i="5"/>
  <c r="H1659" i="5"/>
  <c r="H1655" i="5"/>
  <c r="H1714" i="5"/>
  <c r="H1698" i="5"/>
  <c r="H1690" i="5"/>
  <c r="H1682" i="5"/>
  <c r="H1674" i="5"/>
  <c r="H1415" i="5"/>
  <c r="H1411" i="5"/>
  <c r="H1407" i="5"/>
  <c r="H1403" i="5"/>
  <c r="H1399" i="5"/>
  <c r="H1395" i="5"/>
  <c r="H1391" i="5"/>
  <c r="H1362" i="5"/>
  <c r="H1358" i="5"/>
  <c r="H1354" i="5"/>
  <c r="H1350" i="5"/>
  <c r="H1346" i="5"/>
  <c r="H1342" i="5"/>
  <c r="H1338" i="5"/>
  <c r="H1334" i="5"/>
  <c r="H1330" i="5"/>
  <c r="H1326" i="5"/>
  <c r="H1406" i="5"/>
  <c r="H1383" i="5"/>
  <c r="H1366" i="5"/>
  <c r="H1398" i="5"/>
  <c r="H1374" i="5"/>
  <c r="H1361" i="5"/>
  <c r="H1357" i="5"/>
  <c r="H1353" i="5"/>
  <c r="H1349" i="5"/>
  <c r="H1345" i="5"/>
  <c r="H1341" i="5"/>
  <c r="H1337" i="5"/>
  <c r="H1333" i="5"/>
  <c r="H1329" i="5"/>
  <c r="H1325" i="5"/>
  <c r="H1375" i="5"/>
  <c r="H1370" i="5"/>
  <c r="H1360" i="5"/>
  <c r="H1356" i="5"/>
  <c r="H1352" i="5"/>
  <c r="H1348" i="5"/>
  <c r="H1344" i="5"/>
  <c r="H1340" i="5"/>
  <c r="H1336" i="5"/>
  <c r="H1332" i="5"/>
  <c r="H1328" i="5"/>
  <c r="H1324" i="5"/>
  <c r="H1387" i="5"/>
  <c r="H1379" i="5"/>
  <c r="H1402" i="5"/>
  <c r="H1359" i="5"/>
  <c r="H1355" i="5"/>
  <c r="H1351" i="5"/>
  <c r="H1347" i="5"/>
  <c r="H1343" i="5"/>
  <c r="H1339" i="5"/>
  <c r="H1335" i="5"/>
  <c r="H1331" i="5"/>
  <c r="H1327" i="5"/>
  <c r="H1323" i="5"/>
  <c r="H1122" i="5"/>
  <c r="H1118" i="5"/>
  <c r="H1114" i="5"/>
  <c r="H1110" i="5"/>
  <c r="H1106" i="5"/>
  <c r="H1102" i="5"/>
  <c r="H1098" i="5"/>
  <c r="H1094" i="5"/>
  <c r="H1090" i="5"/>
  <c r="H1086" i="5"/>
  <c r="H1082" i="5"/>
  <c r="H1124" i="5"/>
  <c r="H1120" i="5"/>
  <c r="H1116" i="5"/>
  <c r="H1112" i="5"/>
  <c r="H1108" i="5"/>
  <c r="H1104" i="5"/>
  <c r="H1100" i="5"/>
  <c r="H1096" i="5"/>
  <c r="H1092" i="5"/>
  <c r="H1088" i="5"/>
  <c r="H1123" i="5"/>
  <c r="H1119" i="5"/>
  <c r="H1115" i="5"/>
  <c r="H1111" i="5"/>
  <c r="H1107" i="5"/>
  <c r="H1103" i="5"/>
  <c r="H1099" i="5"/>
  <c r="H1095" i="5"/>
  <c r="H1091" i="5"/>
  <c r="H1087" i="5"/>
  <c r="H1075" i="5"/>
  <c r="H1067" i="5"/>
  <c r="H1060" i="5"/>
  <c r="H1053" i="5"/>
  <c r="H1049" i="5"/>
  <c r="H1045" i="5"/>
  <c r="H1041" i="5"/>
  <c r="H1037" i="5"/>
  <c r="H1033" i="5"/>
  <c r="H1029" i="5"/>
  <c r="H1025" i="5"/>
  <c r="H1021" i="5"/>
  <c r="H1017" i="5"/>
  <c r="H1013" i="5"/>
  <c r="H1009" i="5"/>
  <c r="H1005" i="5"/>
  <c r="H1001" i="5"/>
  <c r="H997" i="5"/>
  <c r="H1078" i="5"/>
  <c r="H1070" i="5"/>
  <c r="H1061" i="5"/>
  <c r="H1056" i="5"/>
  <c r="H1052" i="5"/>
  <c r="H1048" i="5"/>
  <c r="H1044" i="5"/>
  <c r="H1040" i="5"/>
  <c r="H1036" i="5"/>
  <c r="H1032" i="5"/>
  <c r="H1028" i="5"/>
  <c r="H1024" i="5"/>
  <c r="H1020" i="5"/>
  <c r="H1016" i="5"/>
  <c r="H1012" i="5"/>
  <c r="H1008" i="5"/>
  <c r="H1004" i="5"/>
  <c r="H1000" i="5"/>
  <c r="H996" i="5"/>
  <c r="H1083" i="5"/>
  <c r="H1076" i="5"/>
  <c r="H1068" i="5"/>
  <c r="H1062" i="5"/>
  <c r="H1079" i="5"/>
  <c r="H1071" i="5"/>
  <c r="H1058" i="5"/>
  <c r="H1055" i="5"/>
  <c r="H1051" i="5"/>
  <c r="H1047" i="5"/>
  <c r="H1043" i="5"/>
  <c r="H1039" i="5"/>
  <c r="H1035" i="5"/>
  <c r="H1031" i="5"/>
  <c r="H1027" i="5"/>
  <c r="H1023" i="5"/>
  <c r="H1019" i="5"/>
  <c r="H1015" i="5"/>
  <c r="H1011" i="5"/>
  <c r="H1007" i="5"/>
  <c r="H1003" i="5"/>
  <c r="H999" i="5"/>
  <c r="H995" i="5"/>
  <c r="H1074" i="5"/>
  <c r="H1066" i="5"/>
  <c r="H1063" i="5"/>
  <c r="H1059" i="5"/>
  <c r="H1054" i="5"/>
  <c r="H1050" i="5"/>
  <c r="H1046" i="5"/>
  <c r="H1042" i="5"/>
  <c r="H1038" i="5"/>
  <c r="H1034" i="5"/>
  <c r="H1030" i="5"/>
  <c r="H1026" i="5"/>
  <c r="H1022" i="5"/>
  <c r="H1018" i="5"/>
  <c r="H1014" i="5"/>
  <c r="H1010" i="5"/>
  <c r="H1006" i="5"/>
  <c r="H1002" i="5"/>
  <c r="H998" i="5"/>
  <c r="H994" i="5"/>
  <c r="H1084" i="5"/>
  <c r="H1080" i="5"/>
  <c r="H1072" i="5"/>
  <c r="H1064" i="5"/>
  <c r="H993" i="5"/>
  <c r="AZ734" i="5"/>
  <c r="L806" i="5"/>
  <c r="L808" i="5"/>
  <c r="L810" i="5"/>
  <c r="L812" i="5"/>
  <c r="L814" i="5"/>
  <c r="L816" i="5"/>
  <c r="L818" i="5"/>
  <c r="L820" i="5"/>
  <c r="L822" i="5"/>
  <c r="L824" i="5"/>
  <c r="L826" i="5"/>
  <c r="F827" i="5"/>
  <c r="L862" i="5"/>
  <c r="L866" i="5"/>
  <c r="L870" i="5"/>
  <c r="L874" i="5"/>
  <c r="L878" i="5"/>
  <c r="L882" i="5"/>
  <c r="L886" i="5"/>
  <c r="L890" i="5"/>
  <c r="F893" i="5"/>
  <c r="L897" i="5"/>
  <c r="L901" i="5"/>
  <c r="L905" i="5"/>
  <c r="L909" i="5"/>
  <c r="L913" i="5"/>
  <c r="L917" i="5"/>
  <c r="L930" i="5"/>
  <c r="I539" i="5"/>
  <c r="AB540" i="5"/>
  <c r="AQ540" i="5"/>
  <c r="J541" i="5"/>
  <c r="AB544" i="5"/>
  <c r="J546" i="5"/>
  <c r="I547" i="5"/>
  <c r="F549" i="5"/>
  <c r="I552" i="5"/>
  <c r="F554" i="5"/>
  <c r="AB555" i="5"/>
  <c r="AQ555" i="5"/>
  <c r="J557" i="5"/>
  <c r="AB560" i="5"/>
  <c r="L561" i="5"/>
  <c r="J562" i="5"/>
  <c r="I563" i="5"/>
  <c r="AB565" i="5"/>
  <c r="L566" i="5"/>
  <c r="L571" i="5"/>
  <c r="K572" i="5"/>
  <c r="AB576" i="5"/>
  <c r="K973" i="5"/>
  <c r="AB581" i="5"/>
  <c r="L587" i="5"/>
  <c r="K588" i="5"/>
  <c r="I593" i="5"/>
  <c r="I595" i="5"/>
  <c r="I792" i="5"/>
  <c r="I788" i="5"/>
  <c r="I784" i="5"/>
  <c r="I780" i="5"/>
  <c r="I776" i="5"/>
  <c r="I772" i="5"/>
  <c r="I768" i="5"/>
  <c r="I764" i="5"/>
  <c r="I760" i="5"/>
  <c r="I756" i="5"/>
  <c r="I752" i="5"/>
  <c r="I748" i="5"/>
  <c r="I744" i="5"/>
  <c r="I740" i="5"/>
  <c r="I791" i="5"/>
  <c r="I787" i="5"/>
  <c r="I783" i="5"/>
  <c r="I779" i="5"/>
  <c r="I775" i="5"/>
  <c r="I771" i="5"/>
  <c r="I767" i="5"/>
  <c r="I763" i="5"/>
  <c r="I759" i="5"/>
  <c r="I755" i="5"/>
  <c r="I751" i="5"/>
  <c r="I747" i="5"/>
  <c r="I743" i="5"/>
  <c r="I739" i="5"/>
  <c r="I794" i="5"/>
  <c r="I790" i="5"/>
  <c r="I786" i="5"/>
  <c r="I782" i="5"/>
  <c r="I778" i="5"/>
  <c r="I774" i="5"/>
  <c r="I770" i="5"/>
  <c r="I766" i="5"/>
  <c r="I762" i="5"/>
  <c r="I758" i="5"/>
  <c r="I754" i="5"/>
  <c r="I750" i="5"/>
  <c r="I746" i="5"/>
  <c r="I742" i="5"/>
  <c r="I738" i="5"/>
  <c r="AM734" i="5"/>
  <c r="I732" i="5"/>
  <c r="I730" i="5"/>
  <c r="I728" i="5"/>
  <c r="I726" i="5"/>
  <c r="I724" i="5"/>
  <c r="I722" i="5"/>
  <c r="I720" i="5"/>
  <c r="I718" i="5"/>
  <c r="I716" i="5"/>
  <c r="I714" i="5"/>
  <c r="I712" i="5"/>
  <c r="I710" i="5"/>
  <c r="I708" i="5"/>
  <c r="I706" i="5"/>
  <c r="I704" i="5"/>
  <c r="I702" i="5"/>
  <c r="I700" i="5"/>
  <c r="I698" i="5"/>
  <c r="I696" i="5"/>
  <c r="I694" i="5"/>
  <c r="I692" i="5"/>
  <c r="I690" i="5"/>
  <c r="I688" i="5"/>
  <c r="I686" i="5"/>
  <c r="I684" i="5"/>
  <c r="I682" i="5"/>
  <c r="I680" i="5"/>
  <c r="I793" i="5"/>
  <c r="I789" i="5"/>
  <c r="I785" i="5"/>
  <c r="I781" i="5"/>
  <c r="I777" i="5"/>
  <c r="I773" i="5"/>
  <c r="I769" i="5"/>
  <c r="I765" i="5"/>
  <c r="I761" i="5"/>
  <c r="I757" i="5"/>
  <c r="I753" i="5"/>
  <c r="I749" i="5"/>
  <c r="I745" i="5"/>
  <c r="I741" i="5"/>
  <c r="I737" i="5"/>
  <c r="I665" i="5"/>
  <c r="I664" i="5"/>
  <c r="I663" i="5"/>
  <c r="I1784" i="5"/>
  <c r="I1780" i="5"/>
  <c r="I1776" i="5"/>
  <c r="I1772" i="5"/>
  <c r="I1768" i="5"/>
  <c r="I1764" i="5"/>
  <c r="I1760" i="5"/>
  <c r="I1783" i="5"/>
  <c r="I1767" i="5"/>
  <c r="I1762" i="5"/>
  <c r="I1778" i="5"/>
  <c r="I1782" i="5"/>
  <c r="I1774" i="5"/>
  <c r="I1770" i="5"/>
  <c r="I1771" i="5"/>
  <c r="I1766" i="5"/>
  <c r="I1758" i="5"/>
  <c r="I1754" i="5"/>
  <c r="I1750" i="5"/>
  <c r="I1746" i="5"/>
  <c r="I1742" i="5"/>
  <c r="I1738" i="5"/>
  <c r="I1734" i="5"/>
  <c r="I1730" i="5"/>
  <c r="I1726" i="5"/>
  <c r="I1722" i="5"/>
  <c r="I1718" i="5"/>
  <c r="I1714" i="5"/>
  <c r="I1710" i="5"/>
  <c r="I1706" i="5"/>
  <c r="I1702" i="5"/>
  <c r="I1698" i="5"/>
  <c r="I1694" i="5"/>
  <c r="I1690" i="5"/>
  <c r="I1686" i="5"/>
  <c r="I1682" i="5"/>
  <c r="I1678" i="5"/>
  <c r="I1674" i="5"/>
  <c r="I1696" i="5"/>
  <c r="I1688" i="5"/>
  <c r="I1680" i="5"/>
  <c r="I1669" i="5"/>
  <c r="I1665" i="5"/>
  <c r="I1661" i="5"/>
  <c r="I1657" i="5"/>
  <c r="I1653" i="5"/>
  <c r="I1700" i="5"/>
  <c r="I1692" i="5"/>
  <c r="I1684" i="5"/>
  <c r="I1676" i="5"/>
  <c r="I1670" i="5"/>
  <c r="I1666" i="5"/>
  <c r="I1662" i="5"/>
  <c r="I1658" i="5"/>
  <c r="I1654" i="5"/>
  <c r="I1452" i="5"/>
  <c r="I1444" i="5"/>
  <c r="I1436" i="5"/>
  <c r="I1428" i="5"/>
  <c r="I1420" i="5"/>
  <c r="I1414" i="5"/>
  <c r="I1410" i="5"/>
  <c r="I1406" i="5"/>
  <c r="I1402" i="5"/>
  <c r="I1447" i="5"/>
  <c r="I1439" i="5"/>
  <c r="I1431" i="5"/>
  <c r="I1423" i="5"/>
  <c r="I1450" i="5"/>
  <c r="I1442" i="5"/>
  <c r="I1434" i="5"/>
  <c r="I1426" i="5"/>
  <c r="I1418" i="5"/>
  <c r="I1417" i="5"/>
  <c r="I1413" i="5"/>
  <c r="I1409" i="5"/>
  <c r="I1453" i="5"/>
  <c r="I1445" i="5"/>
  <c r="I1437" i="5"/>
  <c r="I1429" i="5"/>
  <c r="I1421" i="5"/>
  <c r="I1448" i="5"/>
  <c r="I1440" i="5"/>
  <c r="I1432" i="5"/>
  <c r="I1424" i="5"/>
  <c r="I1416" i="5"/>
  <c r="I1412" i="5"/>
  <c r="I1408" i="5"/>
  <c r="I1404" i="5"/>
  <c r="I1451" i="5"/>
  <c r="I1443" i="5"/>
  <c r="I1435" i="5"/>
  <c r="I1427" i="5"/>
  <c r="I1419" i="5"/>
  <c r="I1454" i="5"/>
  <c r="I1446" i="5"/>
  <c r="I1438" i="5"/>
  <c r="I1430" i="5"/>
  <c r="I1422" i="5"/>
  <c r="I1415" i="5"/>
  <c r="I1411" i="5"/>
  <c r="I1407" i="5"/>
  <c r="I1403" i="5"/>
  <c r="I1399" i="5"/>
  <c r="I1395" i="5"/>
  <c r="I1391" i="5"/>
  <c r="I1387" i="5"/>
  <c r="I1383" i="5"/>
  <c r="I1379" i="5"/>
  <c r="I1449" i="5"/>
  <c r="I1441" i="5"/>
  <c r="I1433" i="5"/>
  <c r="I1425" i="5"/>
  <c r="I1394" i="5"/>
  <c r="I1392" i="5"/>
  <c r="I1388" i="5"/>
  <c r="I1380" i="5"/>
  <c r="I1367" i="5"/>
  <c r="I1366" i="5"/>
  <c r="I1365" i="5"/>
  <c r="I1398" i="5"/>
  <c r="I1396" i="5"/>
  <c r="I1374" i="5"/>
  <c r="I1368" i="5"/>
  <c r="I1386" i="5"/>
  <c r="I1378" i="5"/>
  <c r="I1375" i="5"/>
  <c r="I1370" i="5"/>
  <c r="I1369" i="5"/>
  <c r="I1400" i="5"/>
  <c r="I1371" i="5"/>
  <c r="I1384" i="5"/>
  <c r="I1376" i="5"/>
  <c r="I1372" i="5"/>
  <c r="I1382" i="5"/>
  <c r="I1363" i="5"/>
  <c r="I1390" i="5"/>
  <c r="I1364" i="5"/>
  <c r="I1101" i="5"/>
  <c r="I1113" i="5"/>
  <c r="I1056" i="5"/>
  <c r="I1093" i="5"/>
  <c r="I1081" i="5"/>
  <c r="I1073" i="5"/>
  <c r="I1065" i="5"/>
  <c r="I1057" i="5"/>
  <c r="I1105" i="5"/>
  <c r="I1117" i="5"/>
  <c r="I1085" i="5"/>
  <c r="I1097" i="5"/>
  <c r="I1109" i="5"/>
  <c r="I1077" i="5"/>
  <c r="I1069" i="5"/>
  <c r="I1121" i="5"/>
  <c r="I1089" i="5"/>
  <c r="I993" i="5"/>
  <c r="BA734" i="5"/>
  <c r="I604" i="5"/>
  <c r="I609" i="5"/>
  <c r="I611" i="5"/>
  <c r="I613" i="5"/>
  <c r="I832" i="5"/>
  <c r="AQ437" i="5"/>
  <c r="I834" i="5"/>
  <c r="AQ439" i="5"/>
  <c r="I836" i="5"/>
  <c r="AQ441" i="5"/>
  <c r="I838" i="5"/>
  <c r="AQ443" i="5"/>
  <c r="I840" i="5"/>
  <c r="AQ445" i="5"/>
  <c r="I842" i="5"/>
  <c r="AQ447" i="5"/>
  <c r="I844" i="5"/>
  <c r="AQ449" i="5"/>
  <c r="I846" i="5"/>
  <c r="AQ451" i="5"/>
  <c r="I848" i="5"/>
  <c r="AQ453" i="5"/>
  <c r="I850" i="5"/>
  <c r="AQ455" i="5"/>
  <c r="I852" i="5"/>
  <c r="I854" i="5"/>
  <c r="AQ459" i="5"/>
  <c r="I856" i="5"/>
  <c r="AQ461" i="5"/>
  <c r="I858" i="5"/>
  <c r="AQ463" i="5"/>
  <c r="I861" i="5"/>
  <c r="AQ466" i="5"/>
  <c r="AQ468" i="5"/>
  <c r="I865" i="5"/>
  <c r="AQ470" i="5"/>
  <c r="AQ472" i="5"/>
  <c r="I869" i="5"/>
  <c r="AQ474" i="5"/>
  <c r="AQ476" i="5"/>
  <c r="I873" i="5"/>
  <c r="AQ478" i="5"/>
  <c r="AQ480" i="5"/>
  <c r="I877" i="5"/>
  <c r="AQ482" i="5"/>
  <c r="AQ484" i="5"/>
  <c r="I881" i="5"/>
  <c r="AQ486" i="5"/>
  <c r="AQ488" i="5"/>
  <c r="I885" i="5"/>
  <c r="AQ490" i="5"/>
  <c r="AQ492" i="5"/>
  <c r="I889" i="5"/>
  <c r="AQ494" i="5"/>
  <c r="AQ496" i="5"/>
  <c r="I894" i="5"/>
  <c r="AQ499" i="5"/>
  <c r="I896" i="5"/>
  <c r="I898" i="5"/>
  <c r="AQ503" i="5"/>
  <c r="I900" i="5"/>
  <c r="I902" i="5"/>
  <c r="AQ507" i="5"/>
  <c r="I904" i="5"/>
  <c r="I906" i="5"/>
  <c r="AQ511" i="5"/>
  <c r="I908" i="5"/>
  <c r="I910" i="5"/>
  <c r="AQ515" i="5"/>
  <c r="I912" i="5"/>
  <c r="I914" i="5"/>
  <c r="AQ519" i="5"/>
  <c r="I916" i="5"/>
  <c r="I918" i="5"/>
  <c r="AQ523" i="5"/>
  <c r="I920" i="5"/>
  <c r="I922" i="5"/>
  <c r="AQ527" i="5"/>
  <c r="I924" i="5"/>
  <c r="BE530" i="5"/>
  <c r="AQ532" i="5"/>
  <c r="I929" i="5"/>
  <c r="AQ534" i="5"/>
  <c r="AQ536" i="5"/>
  <c r="K933" i="5"/>
  <c r="F540" i="5"/>
  <c r="I542" i="5"/>
  <c r="I938" i="5"/>
  <c r="F544" i="5"/>
  <c r="J547" i="5"/>
  <c r="AQ550" i="5"/>
  <c r="J552" i="5"/>
  <c r="I553" i="5"/>
  <c r="F555" i="5"/>
  <c r="I558" i="5"/>
  <c r="I954" i="5"/>
  <c r="F560" i="5"/>
  <c r="J563" i="5"/>
  <c r="AB566" i="5"/>
  <c r="AQ566" i="5"/>
  <c r="K567" i="5"/>
  <c r="L572" i="5"/>
  <c r="F576" i="5"/>
  <c r="L577" i="5"/>
  <c r="F581" i="5"/>
  <c r="AB582" i="5"/>
  <c r="AQ582" i="5"/>
  <c r="K979" i="5"/>
  <c r="J584" i="5"/>
  <c r="J597" i="5"/>
  <c r="J736" i="5"/>
  <c r="J733" i="5"/>
  <c r="J731" i="5"/>
  <c r="J729" i="5"/>
  <c r="J727" i="5"/>
  <c r="J725" i="5"/>
  <c r="J723" i="5"/>
  <c r="J721" i="5"/>
  <c r="J719" i="5"/>
  <c r="J717" i="5"/>
  <c r="J715" i="5"/>
  <c r="J713" i="5"/>
  <c r="J711" i="5"/>
  <c r="J709" i="5"/>
  <c r="J707" i="5"/>
  <c r="J705" i="5"/>
  <c r="J703" i="5"/>
  <c r="J701" i="5"/>
  <c r="J699" i="5"/>
  <c r="J697" i="5"/>
  <c r="J695" i="5"/>
  <c r="J693" i="5"/>
  <c r="J691" i="5"/>
  <c r="J689" i="5"/>
  <c r="J687" i="5"/>
  <c r="J685" i="5"/>
  <c r="J683" i="5"/>
  <c r="J681" i="5"/>
  <c r="J679" i="5"/>
  <c r="J735" i="5"/>
  <c r="AN734" i="5"/>
  <c r="J732" i="5"/>
  <c r="J730" i="5"/>
  <c r="J728" i="5"/>
  <c r="J726" i="5"/>
  <c r="J724" i="5"/>
  <c r="J722" i="5"/>
  <c r="J720" i="5"/>
  <c r="J718" i="5"/>
  <c r="J716" i="5"/>
  <c r="J714" i="5"/>
  <c r="J712" i="5"/>
  <c r="J710" i="5"/>
  <c r="J708" i="5"/>
  <c r="J706" i="5"/>
  <c r="J704" i="5"/>
  <c r="J702" i="5"/>
  <c r="J700" i="5"/>
  <c r="J698" i="5"/>
  <c r="J696" i="5"/>
  <c r="J694" i="5"/>
  <c r="J692" i="5"/>
  <c r="J690" i="5"/>
  <c r="J688" i="5"/>
  <c r="J686" i="5"/>
  <c r="J684" i="5"/>
  <c r="J682" i="5"/>
  <c r="J680" i="5"/>
  <c r="J678" i="5"/>
  <c r="J676" i="5"/>
  <c r="J674" i="5"/>
  <c r="J672" i="5"/>
  <c r="J670" i="5"/>
  <c r="J668" i="5"/>
  <c r="J666" i="5"/>
  <c r="J793" i="5"/>
  <c r="J789" i="5"/>
  <c r="J785" i="5"/>
  <c r="J781" i="5"/>
  <c r="J777" i="5"/>
  <c r="J773" i="5"/>
  <c r="J769" i="5"/>
  <c r="J765" i="5"/>
  <c r="J761" i="5"/>
  <c r="J757" i="5"/>
  <c r="J753" i="5"/>
  <c r="J749" i="5"/>
  <c r="J745" i="5"/>
  <c r="J741" i="5"/>
  <c r="J737" i="5"/>
  <c r="J734" i="5"/>
  <c r="J675" i="5"/>
  <c r="J667" i="5"/>
  <c r="J677" i="5"/>
  <c r="J669" i="5"/>
  <c r="J664" i="5"/>
  <c r="J663" i="5"/>
  <c r="J671" i="5"/>
  <c r="J673" i="5"/>
  <c r="J1784" i="5"/>
  <c r="J1780" i="5"/>
  <c r="J1776" i="5"/>
  <c r="J1772" i="5"/>
  <c r="J1768" i="5"/>
  <c r="J1764" i="5"/>
  <c r="J1760" i="5"/>
  <c r="J1763" i="5"/>
  <c r="J1757" i="5"/>
  <c r="J1753" i="5"/>
  <c r="J1749" i="5"/>
  <c r="J1745" i="5"/>
  <c r="J1741" i="5"/>
  <c r="J1737" i="5"/>
  <c r="J1733" i="5"/>
  <c r="J1729" i="5"/>
  <c r="J1725" i="5"/>
  <c r="J1721" i="5"/>
  <c r="J1781" i="5"/>
  <c r="J1777" i="5"/>
  <c r="J1756" i="5"/>
  <c r="J1752" i="5"/>
  <c r="J1748" i="5"/>
  <c r="J1744" i="5"/>
  <c r="J1740" i="5"/>
  <c r="J1736" i="5"/>
  <c r="J1732" i="5"/>
  <c r="J1728" i="5"/>
  <c r="J1724" i="5"/>
  <c r="J1720" i="5"/>
  <c r="J1716" i="5"/>
  <c r="J1712" i="5"/>
  <c r="J1708" i="5"/>
  <c r="J1778" i="5"/>
  <c r="J1773" i="5"/>
  <c r="J1779" i="5"/>
  <c r="J1774" i="5"/>
  <c r="J1769" i="5"/>
  <c r="J1759" i="5"/>
  <c r="J1755" i="5"/>
  <c r="J1751" i="5"/>
  <c r="J1747" i="5"/>
  <c r="J1743" i="5"/>
  <c r="J1739" i="5"/>
  <c r="J1735" i="5"/>
  <c r="J1731" i="5"/>
  <c r="J1727" i="5"/>
  <c r="J1723" i="5"/>
  <c r="J1775" i="5"/>
  <c r="J1770" i="5"/>
  <c r="J1771" i="5"/>
  <c r="J1766" i="5"/>
  <c r="J1761" i="5"/>
  <c r="J1758" i="5"/>
  <c r="J1754" i="5"/>
  <c r="J1750" i="5"/>
  <c r="J1746" i="5"/>
  <c r="J1742" i="5"/>
  <c r="J1738" i="5"/>
  <c r="J1734" i="5"/>
  <c r="J1730" i="5"/>
  <c r="J1726" i="5"/>
  <c r="J1722" i="5"/>
  <c r="J1718" i="5"/>
  <c r="J1714" i="5"/>
  <c r="J1710" i="5"/>
  <c r="J1706" i="5"/>
  <c r="J1702" i="5"/>
  <c r="J1698" i="5"/>
  <c r="J1694" i="5"/>
  <c r="J1690" i="5"/>
  <c r="J1686" i="5"/>
  <c r="J1682" i="5"/>
  <c r="J1678" i="5"/>
  <c r="J1674" i="5"/>
  <c r="J1783" i="5"/>
  <c r="J1767" i="5"/>
  <c r="J1762" i="5"/>
  <c r="J1707" i="5"/>
  <c r="J1696" i="5"/>
  <c r="J1688" i="5"/>
  <c r="J1680" i="5"/>
  <c r="J1713" i="5"/>
  <c r="J1719" i="5"/>
  <c r="J1699" i="5"/>
  <c r="J1691" i="5"/>
  <c r="J1683" i="5"/>
  <c r="J1675" i="5"/>
  <c r="J1672" i="5"/>
  <c r="J1709" i="5"/>
  <c r="J1704" i="5"/>
  <c r="J1697" i="5"/>
  <c r="J1689" i="5"/>
  <c r="J1681" i="5"/>
  <c r="J1673" i="5"/>
  <c r="J1715" i="5"/>
  <c r="J1700" i="5"/>
  <c r="J1692" i="5"/>
  <c r="J1684" i="5"/>
  <c r="J1676" i="5"/>
  <c r="J1671" i="5"/>
  <c r="J1667" i="5"/>
  <c r="J1663" i="5"/>
  <c r="J1659" i="5"/>
  <c r="J1655" i="5"/>
  <c r="J1711" i="5"/>
  <c r="J1695" i="5"/>
  <c r="J1687" i="5"/>
  <c r="J1679" i="5"/>
  <c r="J1662" i="5"/>
  <c r="J1658" i="5"/>
  <c r="J1717" i="5"/>
  <c r="J1705" i="5"/>
  <c r="J1703" i="5"/>
  <c r="J1701" i="5"/>
  <c r="J1693" i="5"/>
  <c r="J1685" i="5"/>
  <c r="J1677" i="5"/>
  <c r="J1414" i="5"/>
  <c r="J1410" i="5"/>
  <c r="J1406" i="5"/>
  <c r="J1402" i="5"/>
  <c r="J1398" i="5"/>
  <c r="J1394" i="5"/>
  <c r="J1390" i="5"/>
  <c r="J1401" i="5"/>
  <c r="J1374" i="5"/>
  <c r="J1361" i="5"/>
  <c r="J1357" i="5"/>
  <c r="J1353" i="5"/>
  <c r="J1349" i="5"/>
  <c r="J1345" i="5"/>
  <c r="J1341" i="5"/>
  <c r="J1337" i="5"/>
  <c r="J1333" i="5"/>
  <c r="J1329" i="5"/>
  <c r="J1325" i="5"/>
  <c r="J1386" i="5"/>
  <c r="J1378" i="5"/>
  <c r="J1370" i="5"/>
  <c r="J1405" i="5"/>
  <c r="J1360" i="5"/>
  <c r="J1356" i="5"/>
  <c r="J1352" i="5"/>
  <c r="J1348" i="5"/>
  <c r="J1344" i="5"/>
  <c r="J1340" i="5"/>
  <c r="J1336" i="5"/>
  <c r="J1332" i="5"/>
  <c r="J1328" i="5"/>
  <c r="J1324" i="5"/>
  <c r="J1381" i="5"/>
  <c r="J1393" i="5"/>
  <c r="J1359" i="5"/>
  <c r="J1355" i="5"/>
  <c r="J1351" i="5"/>
  <c r="J1347" i="5"/>
  <c r="J1343" i="5"/>
  <c r="J1339" i="5"/>
  <c r="J1335" i="5"/>
  <c r="J1331" i="5"/>
  <c r="J1327" i="5"/>
  <c r="J1323" i="5"/>
  <c r="J1382" i="5"/>
  <c r="J1362" i="5"/>
  <c r="J1358" i="5"/>
  <c r="J1354" i="5"/>
  <c r="J1350" i="5"/>
  <c r="J1346" i="5"/>
  <c r="J1342" i="5"/>
  <c r="J1338" i="5"/>
  <c r="J1334" i="5"/>
  <c r="J1330" i="5"/>
  <c r="J1326" i="5"/>
  <c r="J1385" i="5"/>
  <c r="J1377" i="5"/>
  <c r="J1366" i="5"/>
  <c r="J1121" i="5"/>
  <c r="J1117" i="5"/>
  <c r="J1113" i="5"/>
  <c r="J1109" i="5"/>
  <c r="J1105" i="5"/>
  <c r="J1101" i="5"/>
  <c r="J1097" i="5"/>
  <c r="J1093" i="5"/>
  <c r="J1089" i="5"/>
  <c r="J1085" i="5"/>
  <c r="J1081" i="5"/>
  <c r="J1123" i="5"/>
  <c r="J1119" i="5"/>
  <c r="J1115" i="5"/>
  <c r="J1111" i="5"/>
  <c r="J1107" i="5"/>
  <c r="J1103" i="5"/>
  <c r="J1099" i="5"/>
  <c r="J1095" i="5"/>
  <c r="J1091" i="5"/>
  <c r="J1087" i="5"/>
  <c r="J1122" i="5"/>
  <c r="J1118" i="5"/>
  <c r="J1114" i="5"/>
  <c r="J1110" i="5"/>
  <c r="J1106" i="5"/>
  <c r="J1102" i="5"/>
  <c r="J1098" i="5"/>
  <c r="J1094" i="5"/>
  <c r="J1090" i="5"/>
  <c r="J1086" i="5"/>
  <c r="J1078" i="5"/>
  <c r="J1070" i="5"/>
  <c r="J1061" i="5"/>
  <c r="J1056" i="5"/>
  <c r="J1052" i="5"/>
  <c r="J1048" i="5"/>
  <c r="J1044" i="5"/>
  <c r="J1040" i="5"/>
  <c r="J1036" i="5"/>
  <c r="J1032" i="5"/>
  <c r="J1028" i="5"/>
  <c r="J1024" i="5"/>
  <c r="J1020" i="5"/>
  <c r="J1016" i="5"/>
  <c r="J1012" i="5"/>
  <c r="J1008" i="5"/>
  <c r="J1004" i="5"/>
  <c r="J1000" i="5"/>
  <c r="J996" i="5"/>
  <c r="J1073" i="5"/>
  <c r="J1065" i="5"/>
  <c r="J1057" i="5"/>
  <c r="J1083" i="5"/>
  <c r="J1062" i="5"/>
  <c r="J1055" i="5"/>
  <c r="J1051" i="5"/>
  <c r="J1047" i="5"/>
  <c r="J1043" i="5"/>
  <c r="J1039" i="5"/>
  <c r="J1035" i="5"/>
  <c r="J1031" i="5"/>
  <c r="J1027" i="5"/>
  <c r="J1023" i="5"/>
  <c r="J1019" i="5"/>
  <c r="J1015" i="5"/>
  <c r="J1011" i="5"/>
  <c r="J1007" i="5"/>
  <c r="J1003" i="5"/>
  <c r="J999" i="5"/>
  <c r="J995" i="5"/>
  <c r="J1079" i="5"/>
  <c r="J1071" i="5"/>
  <c r="J1058" i="5"/>
  <c r="J1074" i="5"/>
  <c r="J1066" i="5"/>
  <c r="J1063" i="5"/>
  <c r="J1054" i="5"/>
  <c r="J1050" i="5"/>
  <c r="J1046" i="5"/>
  <c r="J1042" i="5"/>
  <c r="J1038" i="5"/>
  <c r="J1034" i="5"/>
  <c r="J1030" i="5"/>
  <c r="J1026" i="5"/>
  <c r="J1022" i="5"/>
  <c r="J1018" i="5"/>
  <c r="J1014" i="5"/>
  <c r="J1010" i="5"/>
  <c r="J1006" i="5"/>
  <c r="J1002" i="5"/>
  <c r="J998" i="5"/>
  <c r="J994" i="5"/>
  <c r="J1077" i="5"/>
  <c r="J1069" i="5"/>
  <c r="J1059" i="5"/>
  <c r="J1082" i="5"/>
  <c r="J1053" i="5"/>
  <c r="J1049" i="5"/>
  <c r="J1045" i="5"/>
  <c r="J1041" i="5"/>
  <c r="J1037" i="5"/>
  <c r="J1033" i="5"/>
  <c r="J1029" i="5"/>
  <c r="J1025" i="5"/>
  <c r="J1021" i="5"/>
  <c r="J1017" i="5"/>
  <c r="J1013" i="5"/>
  <c r="J1009" i="5"/>
  <c r="J1005" i="5"/>
  <c r="J1001" i="5"/>
  <c r="J997" i="5"/>
  <c r="J993" i="5"/>
  <c r="J1075" i="5"/>
  <c r="J1067" i="5"/>
  <c r="J1060" i="5"/>
  <c r="BB734" i="5"/>
  <c r="J599" i="5"/>
  <c r="J601" i="5"/>
  <c r="J602" i="5"/>
  <c r="J603" i="5"/>
  <c r="J605" i="5"/>
  <c r="J606" i="5"/>
  <c r="J607" i="5"/>
  <c r="J609" i="5"/>
  <c r="J611" i="5"/>
  <c r="J613" i="5"/>
  <c r="J615" i="5"/>
  <c r="J617" i="5"/>
  <c r="J619" i="5"/>
  <c r="J621" i="5"/>
  <c r="J623" i="5"/>
  <c r="J625" i="5"/>
  <c r="J627" i="5"/>
  <c r="J629" i="5"/>
  <c r="J630" i="5"/>
  <c r="J633" i="5"/>
  <c r="J635" i="5"/>
  <c r="J637" i="5"/>
  <c r="J639" i="5"/>
  <c r="J641" i="5"/>
  <c r="J643" i="5"/>
  <c r="J645" i="5"/>
  <c r="J647" i="5"/>
  <c r="J649" i="5"/>
  <c r="J651" i="5"/>
  <c r="J653" i="5"/>
  <c r="J655" i="5"/>
  <c r="J657" i="5"/>
  <c r="J659" i="5"/>
  <c r="BE420" i="5"/>
  <c r="J817" i="5"/>
  <c r="BE422" i="5"/>
  <c r="J819" i="5"/>
  <c r="BE424" i="5"/>
  <c r="J821" i="5"/>
  <c r="BE426" i="5"/>
  <c r="J823" i="5"/>
  <c r="BE428" i="5"/>
  <c r="J825" i="5"/>
  <c r="BE430" i="5"/>
  <c r="F829" i="5"/>
  <c r="BE433" i="5"/>
  <c r="F831" i="5"/>
  <c r="F833" i="5"/>
  <c r="BE437" i="5"/>
  <c r="F835" i="5"/>
  <c r="F837" i="5"/>
  <c r="BE441" i="5"/>
  <c r="F839" i="5"/>
  <c r="F841" i="5"/>
  <c r="F843" i="5"/>
  <c r="F845" i="5"/>
  <c r="F847" i="5"/>
  <c r="F849" i="5"/>
  <c r="BE453" i="5"/>
  <c r="F851" i="5"/>
  <c r="F853" i="5"/>
  <c r="BE457" i="5"/>
  <c r="F857" i="5"/>
  <c r="J863" i="5"/>
  <c r="F864" i="5"/>
  <c r="J867" i="5"/>
  <c r="F868" i="5"/>
  <c r="J871" i="5"/>
  <c r="F872" i="5"/>
  <c r="J875" i="5"/>
  <c r="F876" i="5"/>
  <c r="J879" i="5"/>
  <c r="F880" i="5"/>
  <c r="BE484" i="5"/>
  <c r="J883" i="5"/>
  <c r="F884" i="5"/>
  <c r="J887" i="5"/>
  <c r="F888" i="5"/>
  <c r="J891" i="5"/>
  <c r="F892" i="5"/>
  <c r="J894" i="5"/>
  <c r="BE499" i="5"/>
  <c r="F897" i="5"/>
  <c r="BE501" i="5"/>
  <c r="J898" i="5"/>
  <c r="BE503" i="5"/>
  <c r="F901" i="5"/>
  <c r="BE505" i="5"/>
  <c r="J902" i="5"/>
  <c r="BE507" i="5"/>
  <c r="F905" i="5"/>
  <c r="BE509" i="5"/>
  <c r="J906" i="5"/>
  <c r="BE511" i="5"/>
  <c r="F909" i="5"/>
  <c r="BE513" i="5"/>
  <c r="J910" i="5"/>
  <c r="BE515" i="5"/>
  <c r="F913" i="5"/>
  <c r="J914" i="5"/>
  <c r="BE519" i="5"/>
  <c r="F917" i="5"/>
  <c r="BE521" i="5"/>
  <c r="J918" i="5"/>
  <c r="BE523" i="5"/>
  <c r="F921" i="5"/>
  <c r="BE527" i="5"/>
  <c r="F925" i="5"/>
  <c r="J927" i="5"/>
  <c r="BE532" i="5"/>
  <c r="BE534" i="5"/>
  <c r="J931" i="5"/>
  <c r="BE536" i="5"/>
  <c r="AB538" i="5"/>
  <c r="L934" i="5"/>
  <c r="J935" i="5"/>
  <c r="J542" i="5"/>
  <c r="I543" i="5"/>
  <c r="F545" i="5"/>
  <c r="I548" i="5"/>
  <c r="F550" i="5"/>
  <c r="AB551" i="5"/>
  <c r="AQ551" i="5"/>
  <c r="J553" i="5"/>
  <c r="AB556" i="5"/>
  <c r="J558" i="5"/>
  <c r="I559" i="5"/>
  <c r="F561" i="5"/>
  <c r="L567" i="5"/>
  <c r="K568" i="5"/>
  <c r="AB572" i="5"/>
  <c r="K573" i="5"/>
  <c r="K969" i="5"/>
  <c r="J574" i="5"/>
  <c r="AB577" i="5"/>
  <c r="L578" i="5"/>
  <c r="L583" i="5"/>
  <c r="K584" i="5"/>
  <c r="AB588" i="5"/>
  <c r="AQ588" i="5"/>
  <c r="K590" i="5"/>
  <c r="K592" i="5"/>
  <c r="K596" i="5"/>
  <c r="K791" i="5"/>
  <c r="K787" i="5"/>
  <c r="K783" i="5"/>
  <c r="K779" i="5"/>
  <c r="K775" i="5"/>
  <c r="K771" i="5"/>
  <c r="K767" i="5"/>
  <c r="K763" i="5"/>
  <c r="K759" i="5"/>
  <c r="K755" i="5"/>
  <c r="K751" i="5"/>
  <c r="K747" i="5"/>
  <c r="K743" i="5"/>
  <c r="K739" i="5"/>
  <c r="K794" i="5"/>
  <c r="K790" i="5"/>
  <c r="K786" i="5"/>
  <c r="K782" i="5"/>
  <c r="K778" i="5"/>
  <c r="K774" i="5"/>
  <c r="K770" i="5"/>
  <c r="K766" i="5"/>
  <c r="K762" i="5"/>
  <c r="K758" i="5"/>
  <c r="K754" i="5"/>
  <c r="K750" i="5"/>
  <c r="K746" i="5"/>
  <c r="K742" i="5"/>
  <c r="K738" i="5"/>
  <c r="AO734" i="5"/>
  <c r="K793" i="5"/>
  <c r="K789" i="5"/>
  <c r="K785" i="5"/>
  <c r="K781" i="5"/>
  <c r="K777" i="5"/>
  <c r="K773" i="5"/>
  <c r="K769" i="5"/>
  <c r="K765" i="5"/>
  <c r="K761" i="5"/>
  <c r="K757" i="5"/>
  <c r="K753" i="5"/>
  <c r="K749" i="5"/>
  <c r="K745" i="5"/>
  <c r="K741" i="5"/>
  <c r="K737" i="5"/>
  <c r="K734" i="5"/>
  <c r="K792" i="5"/>
  <c r="K788" i="5"/>
  <c r="K784" i="5"/>
  <c r="K780" i="5"/>
  <c r="K776" i="5"/>
  <c r="K772" i="5"/>
  <c r="K768" i="5"/>
  <c r="K764" i="5"/>
  <c r="K760" i="5"/>
  <c r="K756" i="5"/>
  <c r="K752" i="5"/>
  <c r="K748" i="5"/>
  <c r="K744" i="5"/>
  <c r="K740" i="5"/>
  <c r="K664" i="5"/>
  <c r="K665" i="5"/>
  <c r="K663" i="5"/>
  <c r="K1783" i="5"/>
  <c r="K1779" i="5"/>
  <c r="K1775" i="5"/>
  <c r="K1771" i="5"/>
  <c r="K1767" i="5"/>
  <c r="K1763" i="5"/>
  <c r="K1781" i="5"/>
  <c r="K1778" i="5"/>
  <c r="K1773" i="5"/>
  <c r="K1774" i="5"/>
  <c r="K1769" i="5"/>
  <c r="K1782" i="5"/>
  <c r="K1770" i="5"/>
  <c r="K1765" i="5"/>
  <c r="K1766" i="5"/>
  <c r="K1762" i="5"/>
  <c r="K1757" i="5"/>
  <c r="K1753" i="5"/>
  <c r="K1749" i="5"/>
  <c r="K1745" i="5"/>
  <c r="K1741" i="5"/>
  <c r="K1737" i="5"/>
  <c r="K1733" i="5"/>
  <c r="K1729" i="5"/>
  <c r="K1725" i="5"/>
  <c r="K1721" i="5"/>
  <c r="K1717" i="5"/>
  <c r="K1713" i="5"/>
  <c r="K1709" i="5"/>
  <c r="K1705" i="5"/>
  <c r="K1701" i="5"/>
  <c r="K1697" i="5"/>
  <c r="K1693" i="5"/>
  <c r="K1689" i="5"/>
  <c r="K1685" i="5"/>
  <c r="K1681" i="5"/>
  <c r="K1677" i="5"/>
  <c r="K1673" i="5"/>
  <c r="K1699" i="5"/>
  <c r="K1691" i="5"/>
  <c r="K1683" i="5"/>
  <c r="K1675" i="5"/>
  <c r="K1672" i="5"/>
  <c r="K1668" i="5"/>
  <c r="K1664" i="5"/>
  <c r="K1660" i="5"/>
  <c r="K1656" i="5"/>
  <c r="K1695" i="5"/>
  <c r="K1687" i="5"/>
  <c r="K1679" i="5"/>
  <c r="K1669" i="5"/>
  <c r="K1665" i="5"/>
  <c r="K1661" i="5"/>
  <c r="K1657" i="5"/>
  <c r="K1653" i="5"/>
  <c r="K1447" i="5"/>
  <c r="K1439" i="5"/>
  <c r="K1431" i="5"/>
  <c r="K1423" i="5"/>
  <c r="K1417" i="5"/>
  <c r="K1413" i="5"/>
  <c r="K1409" i="5"/>
  <c r="K1405" i="5"/>
  <c r="K1401" i="5"/>
  <c r="K1450" i="5"/>
  <c r="K1442" i="5"/>
  <c r="K1434" i="5"/>
  <c r="K1426" i="5"/>
  <c r="K1418" i="5"/>
  <c r="K1453" i="5"/>
  <c r="K1445" i="5"/>
  <c r="K1437" i="5"/>
  <c r="K1429" i="5"/>
  <c r="K1421" i="5"/>
  <c r="K1416" i="5"/>
  <c r="K1412" i="5"/>
  <c r="K1408" i="5"/>
  <c r="K1448" i="5"/>
  <c r="K1440" i="5"/>
  <c r="K1432" i="5"/>
  <c r="K1424" i="5"/>
  <c r="K1451" i="5"/>
  <c r="K1443" i="5"/>
  <c r="K1435" i="5"/>
  <c r="K1427" i="5"/>
  <c r="K1419" i="5"/>
  <c r="K1415" i="5"/>
  <c r="K1411" i="5"/>
  <c r="K1407" i="5"/>
  <c r="K1403" i="5"/>
  <c r="K1454" i="5"/>
  <c r="K1446" i="5"/>
  <c r="K1438" i="5"/>
  <c r="K1430" i="5"/>
  <c r="K1422" i="5"/>
  <c r="K1449" i="5"/>
  <c r="K1441" i="5"/>
  <c r="K1433" i="5"/>
  <c r="K1425" i="5"/>
  <c r="K1414" i="5"/>
  <c r="K1410" i="5"/>
  <c r="K1406" i="5"/>
  <c r="K1402" i="5"/>
  <c r="K1398" i="5"/>
  <c r="K1394" i="5"/>
  <c r="K1390" i="5"/>
  <c r="K1386" i="5"/>
  <c r="K1382" i="5"/>
  <c r="K1378" i="5"/>
  <c r="K1452" i="5"/>
  <c r="K1444" i="5"/>
  <c r="K1436" i="5"/>
  <c r="K1428" i="5"/>
  <c r="K1420" i="5"/>
  <c r="K1383" i="5"/>
  <c r="K1370" i="5"/>
  <c r="K1369" i="5"/>
  <c r="K1368" i="5"/>
  <c r="K1375" i="5"/>
  <c r="K1389" i="5"/>
  <c r="K1381" i="5"/>
  <c r="K1371" i="5"/>
  <c r="K1393" i="5"/>
  <c r="K1391" i="5"/>
  <c r="K1397" i="5"/>
  <c r="K1395" i="5"/>
  <c r="K1387" i="5"/>
  <c r="K1379" i="5"/>
  <c r="K1399" i="5"/>
  <c r="K1363" i="5"/>
  <c r="K1362" i="5"/>
  <c r="K1385" i="5"/>
  <c r="K1377" i="5"/>
  <c r="K1373" i="5"/>
  <c r="K1366" i="5"/>
  <c r="K1365" i="5"/>
  <c r="K1364" i="5"/>
  <c r="K1374" i="5"/>
  <c r="K1367" i="5"/>
  <c r="K1120" i="5"/>
  <c r="K1088" i="5"/>
  <c r="K1100" i="5"/>
  <c r="K1112" i="5"/>
  <c r="K1076" i="5"/>
  <c r="K1068" i="5"/>
  <c r="K1124" i="5"/>
  <c r="K1092" i="5"/>
  <c r="K1104" i="5"/>
  <c r="K1116" i="5"/>
  <c r="K993" i="5"/>
  <c r="K1096" i="5"/>
  <c r="K1084" i="5"/>
  <c r="K1080" i="5"/>
  <c r="K1072" i="5"/>
  <c r="K1064" i="5"/>
  <c r="K1060" i="5"/>
  <c r="K1108" i="5"/>
  <c r="K1056" i="5"/>
  <c r="BC734" i="5"/>
  <c r="K834" i="5"/>
  <c r="K836" i="5"/>
  <c r="K838" i="5"/>
  <c r="K840" i="5"/>
  <c r="K842" i="5"/>
  <c r="K844" i="5"/>
  <c r="K846" i="5"/>
  <c r="K848" i="5"/>
  <c r="K850" i="5"/>
  <c r="K852" i="5"/>
  <c r="K854" i="5"/>
  <c r="K856" i="5"/>
  <c r="K858" i="5"/>
  <c r="I860" i="5"/>
  <c r="K861" i="5"/>
  <c r="K863" i="5"/>
  <c r="K865" i="5"/>
  <c r="K867" i="5"/>
  <c r="K869" i="5"/>
  <c r="K871" i="5"/>
  <c r="K873" i="5"/>
  <c r="K875" i="5"/>
  <c r="K877" i="5"/>
  <c r="K879" i="5"/>
  <c r="K881" i="5"/>
  <c r="K883" i="5"/>
  <c r="K885" i="5"/>
  <c r="K887" i="5"/>
  <c r="K889" i="5"/>
  <c r="K891" i="5"/>
  <c r="I893" i="5"/>
  <c r="K896" i="5"/>
  <c r="K900" i="5"/>
  <c r="K904" i="5"/>
  <c r="K908" i="5"/>
  <c r="K912" i="5"/>
  <c r="K916" i="5"/>
  <c r="K920" i="5"/>
  <c r="K924" i="5"/>
  <c r="I926" i="5"/>
  <c r="K927" i="5"/>
  <c r="K929" i="5"/>
  <c r="K931" i="5"/>
  <c r="AQ538" i="5"/>
  <c r="K935" i="5"/>
  <c r="J543" i="5"/>
  <c r="J548" i="5"/>
  <c r="I549" i="5"/>
  <c r="F551" i="5"/>
  <c r="I554" i="5"/>
  <c r="I950" i="5"/>
  <c r="F556" i="5"/>
  <c r="J559" i="5"/>
  <c r="L568" i="5"/>
  <c r="F572" i="5"/>
  <c r="L573" i="5"/>
  <c r="K574" i="5"/>
  <c r="J580" i="5"/>
  <c r="F588" i="5"/>
  <c r="L589" i="5"/>
  <c r="L591" i="5"/>
  <c r="L593" i="5"/>
  <c r="L595" i="5"/>
  <c r="L735" i="5"/>
  <c r="AP734" i="5"/>
  <c r="L732" i="5"/>
  <c r="L730" i="5"/>
  <c r="L728" i="5"/>
  <c r="L726" i="5"/>
  <c r="L724" i="5"/>
  <c r="L722" i="5"/>
  <c r="L720" i="5"/>
  <c r="L718" i="5"/>
  <c r="L716" i="5"/>
  <c r="L714" i="5"/>
  <c r="L712" i="5"/>
  <c r="L710" i="5"/>
  <c r="L708" i="5"/>
  <c r="L706" i="5"/>
  <c r="L704" i="5"/>
  <c r="L702" i="5"/>
  <c r="L700" i="5"/>
  <c r="L734" i="5"/>
  <c r="L792" i="5"/>
  <c r="L788" i="5"/>
  <c r="L784" i="5"/>
  <c r="L780" i="5"/>
  <c r="L776" i="5"/>
  <c r="L772" i="5"/>
  <c r="L768" i="5"/>
  <c r="L764" i="5"/>
  <c r="L760" i="5"/>
  <c r="L756" i="5"/>
  <c r="L752" i="5"/>
  <c r="L748" i="5"/>
  <c r="L744" i="5"/>
  <c r="L740" i="5"/>
  <c r="L736" i="5"/>
  <c r="L733" i="5"/>
  <c r="L731" i="5"/>
  <c r="L729" i="5"/>
  <c r="L727" i="5"/>
  <c r="L725" i="5"/>
  <c r="L723" i="5"/>
  <c r="L721" i="5"/>
  <c r="L719" i="5"/>
  <c r="L717" i="5"/>
  <c r="L715" i="5"/>
  <c r="L713" i="5"/>
  <c r="L711" i="5"/>
  <c r="L709" i="5"/>
  <c r="L707" i="5"/>
  <c r="L705" i="5"/>
  <c r="L703" i="5"/>
  <c r="L701" i="5"/>
  <c r="L699" i="5"/>
  <c r="L697" i="5"/>
  <c r="L695" i="5"/>
  <c r="L693" i="5"/>
  <c r="L691" i="5"/>
  <c r="L689" i="5"/>
  <c r="L687" i="5"/>
  <c r="L685" i="5"/>
  <c r="L683" i="5"/>
  <c r="L681" i="5"/>
  <c r="L679" i="5"/>
  <c r="L677" i="5"/>
  <c r="L675" i="5"/>
  <c r="L673" i="5"/>
  <c r="L671" i="5"/>
  <c r="L669" i="5"/>
  <c r="L667" i="5"/>
  <c r="L698" i="5"/>
  <c r="L682" i="5"/>
  <c r="L692" i="5"/>
  <c r="L672" i="5"/>
  <c r="L686" i="5"/>
  <c r="L696" i="5"/>
  <c r="L680" i="5"/>
  <c r="L674" i="5"/>
  <c r="L690" i="5"/>
  <c r="L666" i="5"/>
  <c r="L684" i="5"/>
  <c r="L676" i="5"/>
  <c r="L668" i="5"/>
  <c r="L694" i="5"/>
  <c r="L688" i="5"/>
  <c r="L678" i="5"/>
  <c r="L670" i="5"/>
  <c r="L1783" i="5"/>
  <c r="L1779" i="5"/>
  <c r="L1775" i="5"/>
  <c r="L1771" i="5"/>
  <c r="L1767" i="5"/>
  <c r="L1763" i="5"/>
  <c r="L1777" i="5"/>
  <c r="L1772" i="5"/>
  <c r="L1756" i="5"/>
  <c r="L1752" i="5"/>
  <c r="L1748" i="5"/>
  <c r="L1744" i="5"/>
  <c r="L1740" i="5"/>
  <c r="L1736" i="5"/>
  <c r="L1732" i="5"/>
  <c r="L1728" i="5"/>
  <c r="L1724" i="5"/>
  <c r="L1720" i="5"/>
  <c r="L1778" i="5"/>
  <c r="L1784" i="5"/>
  <c r="L1774" i="5"/>
  <c r="L1769" i="5"/>
  <c r="L1764" i="5"/>
  <c r="L1759" i="5"/>
  <c r="L1755" i="5"/>
  <c r="L1751" i="5"/>
  <c r="L1747" i="5"/>
  <c r="L1743" i="5"/>
  <c r="L1739" i="5"/>
  <c r="L1735" i="5"/>
  <c r="L1731" i="5"/>
  <c r="L1727" i="5"/>
  <c r="L1723" i="5"/>
  <c r="L1719" i="5"/>
  <c r="L1715" i="5"/>
  <c r="L1711" i="5"/>
  <c r="L1707" i="5"/>
  <c r="L1782" i="5"/>
  <c r="L1770" i="5"/>
  <c r="L1765" i="5"/>
  <c r="L1760" i="5"/>
  <c r="L1766" i="5"/>
  <c r="L1761" i="5"/>
  <c r="L1758" i="5"/>
  <c r="L1754" i="5"/>
  <c r="L1750" i="5"/>
  <c r="L1746" i="5"/>
  <c r="L1742" i="5"/>
  <c r="L1738" i="5"/>
  <c r="L1734" i="5"/>
  <c r="L1730" i="5"/>
  <c r="L1726" i="5"/>
  <c r="L1722" i="5"/>
  <c r="L1762" i="5"/>
  <c r="L1780" i="5"/>
  <c r="L1757" i="5"/>
  <c r="L1753" i="5"/>
  <c r="L1749" i="5"/>
  <c r="L1745" i="5"/>
  <c r="L1741" i="5"/>
  <c r="L1737" i="5"/>
  <c r="L1733" i="5"/>
  <c r="L1729" i="5"/>
  <c r="L1725" i="5"/>
  <c r="L1721" i="5"/>
  <c r="L1717" i="5"/>
  <c r="L1713" i="5"/>
  <c r="L1709" i="5"/>
  <c r="L1705" i="5"/>
  <c r="L1701" i="5"/>
  <c r="L1697" i="5"/>
  <c r="L1693" i="5"/>
  <c r="L1689" i="5"/>
  <c r="L1685" i="5"/>
  <c r="L1681" i="5"/>
  <c r="L1677" i="5"/>
  <c r="L1673" i="5"/>
  <c r="L1776" i="5"/>
  <c r="L1710" i="5"/>
  <c r="L1699" i="5"/>
  <c r="L1691" i="5"/>
  <c r="L1683" i="5"/>
  <c r="L1675" i="5"/>
  <c r="L1672" i="5"/>
  <c r="L1716" i="5"/>
  <c r="L1704" i="5"/>
  <c r="L1702" i="5"/>
  <c r="L1712" i="5"/>
  <c r="L1706" i="5"/>
  <c r="L1700" i="5"/>
  <c r="L1692" i="5"/>
  <c r="L1684" i="5"/>
  <c r="L1676" i="5"/>
  <c r="L1718" i="5"/>
  <c r="L1695" i="5"/>
  <c r="L1687" i="5"/>
  <c r="L1679" i="5"/>
  <c r="L1670" i="5"/>
  <c r="L1666" i="5"/>
  <c r="L1662" i="5"/>
  <c r="L1658" i="5"/>
  <c r="L1654" i="5"/>
  <c r="L1708" i="5"/>
  <c r="L1714" i="5"/>
  <c r="L1703" i="5"/>
  <c r="L1661" i="5"/>
  <c r="L1657" i="5"/>
  <c r="L1696" i="5"/>
  <c r="L1688" i="5"/>
  <c r="L1680" i="5"/>
  <c r="L1417" i="5"/>
  <c r="L1413" i="5"/>
  <c r="L1409" i="5"/>
  <c r="L1405" i="5"/>
  <c r="L1401" i="5"/>
  <c r="L1397" i="5"/>
  <c r="L1393" i="5"/>
  <c r="L1389" i="5"/>
  <c r="L1396" i="5"/>
  <c r="L1360" i="5"/>
  <c r="L1356" i="5"/>
  <c r="L1352" i="5"/>
  <c r="L1348" i="5"/>
  <c r="L1344" i="5"/>
  <c r="L1340" i="5"/>
  <c r="L1336" i="5"/>
  <c r="L1332" i="5"/>
  <c r="L1328" i="5"/>
  <c r="L1324" i="5"/>
  <c r="L1381" i="5"/>
  <c r="L1400" i="5"/>
  <c r="L1359" i="5"/>
  <c r="L1355" i="5"/>
  <c r="L1351" i="5"/>
  <c r="L1347" i="5"/>
  <c r="L1343" i="5"/>
  <c r="L1339" i="5"/>
  <c r="L1335" i="5"/>
  <c r="L1331" i="5"/>
  <c r="L1327" i="5"/>
  <c r="L1323" i="5"/>
  <c r="L1404" i="5"/>
  <c r="L1372" i="5"/>
  <c r="L1362" i="5"/>
  <c r="L1358" i="5"/>
  <c r="L1354" i="5"/>
  <c r="L1350" i="5"/>
  <c r="L1346" i="5"/>
  <c r="L1342" i="5"/>
  <c r="L1338" i="5"/>
  <c r="L1334" i="5"/>
  <c r="L1330" i="5"/>
  <c r="L1326" i="5"/>
  <c r="L1385" i="5"/>
  <c r="L1377" i="5"/>
  <c r="L1361" i="5"/>
  <c r="L1357" i="5"/>
  <c r="L1353" i="5"/>
  <c r="L1349" i="5"/>
  <c r="L1345" i="5"/>
  <c r="L1341" i="5"/>
  <c r="L1337" i="5"/>
  <c r="L1333" i="5"/>
  <c r="L1329" i="5"/>
  <c r="L1325" i="5"/>
  <c r="L1124" i="5"/>
  <c r="L1120" i="5"/>
  <c r="L1116" i="5"/>
  <c r="L1112" i="5"/>
  <c r="L1108" i="5"/>
  <c r="L1104" i="5"/>
  <c r="L1100" i="5"/>
  <c r="L1096" i="5"/>
  <c r="L1092" i="5"/>
  <c r="L1088" i="5"/>
  <c r="L1084" i="5"/>
  <c r="L1122" i="5"/>
  <c r="L1118" i="5"/>
  <c r="L1114" i="5"/>
  <c r="L1110" i="5"/>
  <c r="L1106" i="5"/>
  <c r="L1102" i="5"/>
  <c r="L1098" i="5"/>
  <c r="L1094" i="5"/>
  <c r="L1090" i="5"/>
  <c r="L1086" i="5"/>
  <c r="L1121" i="5"/>
  <c r="L1117" i="5"/>
  <c r="L1113" i="5"/>
  <c r="L1109" i="5"/>
  <c r="L1105" i="5"/>
  <c r="L1101" i="5"/>
  <c r="L1097" i="5"/>
  <c r="L1093" i="5"/>
  <c r="L1089" i="5"/>
  <c r="L1085" i="5"/>
  <c r="L1073" i="5"/>
  <c r="L1065" i="5"/>
  <c r="L1057" i="5"/>
  <c r="L1055" i="5"/>
  <c r="L1051" i="5"/>
  <c r="L1047" i="5"/>
  <c r="L1043" i="5"/>
  <c r="L1039" i="5"/>
  <c r="L1035" i="5"/>
  <c r="L1031" i="5"/>
  <c r="L1027" i="5"/>
  <c r="L1023" i="5"/>
  <c r="L1019" i="5"/>
  <c r="L1015" i="5"/>
  <c r="L1011" i="5"/>
  <c r="L1007" i="5"/>
  <c r="L1003" i="5"/>
  <c r="L999" i="5"/>
  <c r="L995" i="5"/>
  <c r="L1081" i="5"/>
  <c r="L1076" i="5"/>
  <c r="L1068" i="5"/>
  <c r="L1062" i="5"/>
  <c r="L1058" i="5"/>
  <c r="L1054" i="5"/>
  <c r="L1050" i="5"/>
  <c r="L1046" i="5"/>
  <c r="L1042" i="5"/>
  <c r="L1038" i="5"/>
  <c r="L1034" i="5"/>
  <c r="L1030" i="5"/>
  <c r="L1026" i="5"/>
  <c r="L1022" i="5"/>
  <c r="L1018" i="5"/>
  <c r="L1014" i="5"/>
  <c r="L1010" i="5"/>
  <c r="L1006" i="5"/>
  <c r="L1002" i="5"/>
  <c r="L998" i="5"/>
  <c r="L994" i="5"/>
  <c r="L1074" i="5"/>
  <c r="L1066" i="5"/>
  <c r="L1077" i="5"/>
  <c r="L1069" i="5"/>
  <c r="L1059" i="5"/>
  <c r="L1053" i="5"/>
  <c r="L1049" i="5"/>
  <c r="L1045" i="5"/>
  <c r="L1041" i="5"/>
  <c r="L1037" i="5"/>
  <c r="L1033" i="5"/>
  <c r="L1029" i="5"/>
  <c r="L1025" i="5"/>
  <c r="L1021" i="5"/>
  <c r="L1017" i="5"/>
  <c r="L1013" i="5"/>
  <c r="L1009" i="5"/>
  <c r="L1005" i="5"/>
  <c r="L1001" i="5"/>
  <c r="L997" i="5"/>
  <c r="L1082" i="5"/>
  <c r="L1080" i="5"/>
  <c r="L1072" i="5"/>
  <c r="L1064" i="5"/>
  <c r="L1060" i="5"/>
  <c r="L1056" i="5"/>
  <c r="L1052" i="5"/>
  <c r="L1048" i="5"/>
  <c r="L1044" i="5"/>
  <c r="L1040" i="5"/>
  <c r="L1036" i="5"/>
  <c r="L1032" i="5"/>
  <c r="L1028" i="5"/>
  <c r="L1024" i="5"/>
  <c r="L1020" i="5"/>
  <c r="L1016" i="5"/>
  <c r="L1012" i="5"/>
  <c r="L1008" i="5"/>
  <c r="L1004" i="5"/>
  <c r="L1000" i="5"/>
  <c r="L996" i="5"/>
  <c r="L1078" i="5"/>
  <c r="L1070" i="5"/>
  <c r="L1061" i="5"/>
  <c r="L993" i="5"/>
  <c r="BD734" i="5"/>
  <c r="L600" i="5"/>
  <c r="L610" i="5"/>
  <c r="L612" i="5"/>
  <c r="L614" i="5"/>
  <c r="L616" i="5"/>
  <c r="L618" i="5"/>
  <c r="L620" i="5"/>
  <c r="L622" i="5"/>
  <c r="L624" i="5"/>
  <c r="L626" i="5"/>
  <c r="L628" i="5"/>
  <c r="L630" i="5"/>
  <c r="L632" i="5"/>
  <c r="L633" i="5"/>
  <c r="L635" i="5"/>
  <c r="L637" i="5"/>
  <c r="L639" i="5"/>
  <c r="L641" i="5"/>
  <c r="L643" i="5"/>
  <c r="L645" i="5"/>
  <c r="L647" i="5"/>
  <c r="L649" i="5"/>
  <c r="L651" i="5"/>
  <c r="L653" i="5"/>
  <c r="L655" i="5"/>
  <c r="L657" i="5"/>
  <c r="L659" i="5"/>
  <c r="I1922" i="5"/>
  <c r="F933" i="5"/>
  <c r="I1924" i="5"/>
  <c r="BE539" i="5"/>
  <c r="I1926" i="5"/>
  <c r="F937" i="5"/>
  <c r="BE541" i="5"/>
  <c r="I1928" i="5"/>
  <c r="BE543" i="5"/>
  <c r="I1930" i="5"/>
  <c r="F941" i="5"/>
  <c r="BE545" i="5"/>
  <c r="I1932" i="5"/>
  <c r="I1934" i="5"/>
  <c r="F945" i="5"/>
  <c r="BE549" i="5"/>
  <c r="I1936" i="5"/>
  <c r="I1938" i="5"/>
  <c r="F949" i="5"/>
  <c r="BE553" i="5"/>
  <c r="I1940" i="5"/>
  <c r="I1942" i="5"/>
  <c r="F953" i="5"/>
  <c r="E1943" i="5"/>
  <c r="BE557" i="5"/>
  <c r="I1944" i="5"/>
  <c r="I1946" i="5"/>
  <c r="F957" i="5"/>
  <c r="BE561" i="5"/>
  <c r="I1948" i="5"/>
  <c r="K1951" i="5"/>
  <c r="K1953" i="5"/>
  <c r="K1955" i="5"/>
  <c r="K1957" i="5"/>
  <c r="K1959" i="5"/>
  <c r="K1961" i="5"/>
  <c r="K1963" i="5"/>
  <c r="L975" i="5"/>
  <c r="K1965" i="5"/>
  <c r="K1967" i="5"/>
  <c r="K1969" i="5"/>
  <c r="L981" i="5"/>
  <c r="K1971" i="5"/>
  <c r="K1973" i="5"/>
  <c r="L985" i="5"/>
  <c r="K1975" i="5"/>
  <c r="L987" i="5"/>
  <c r="K1977" i="5"/>
  <c r="L989" i="5"/>
  <c r="K1979" i="5"/>
  <c r="L991" i="5"/>
  <c r="K1981" i="5"/>
  <c r="BE662" i="5"/>
  <c r="AB664" i="5"/>
  <c r="F665" i="5"/>
  <c r="BE665" i="5"/>
  <c r="I666" i="5"/>
  <c r="G669" i="5"/>
  <c r="I671" i="5"/>
  <c r="AQ672" i="5"/>
  <c r="K673" i="5"/>
  <c r="G677" i="5"/>
  <c r="G681" i="5"/>
  <c r="I685" i="5"/>
  <c r="G686" i="5"/>
  <c r="K689" i="5"/>
  <c r="K694" i="5"/>
  <c r="G697" i="5"/>
  <c r="K936" i="5"/>
  <c r="K940" i="5"/>
  <c r="K944" i="5"/>
  <c r="K948" i="5"/>
  <c r="E556" i="5"/>
  <c r="K952" i="5"/>
  <c r="K956" i="5"/>
  <c r="I962" i="5"/>
  <c r="H1952" i="5"/>
  <c r="AQ567" i="5"/>
  <c r="I966" i="5"/>
  <c r="H1956" i="5"/>
  <c r="AQ571" i="5"/>
  <c r="I970" i="5"/>
  <c r="H1960" i="5"/>
  <c r="AQ575" i="5"/>
  <c r="AQ577" i="5"/>
  <c r="I974" i="5"/>
  <c r="H1964" i="5"/>
  <c r="AQ579" i="5"/>
  <c r="I976" i="5"/>
  <c r="AQ581" i="5"/>
  <c r="I978" i="5"/>
  <c r="H1968" i="5"/>
  <c r="AQ583" i="5"/>
  <c r="I980" i="5"/>
  <c r="E981" i="5"/>
  <c r="AQ585" i="5"/>
  <c r="I982" i="5"/>
  <c r="H1972" i="5"/>
  <c r="AQ587" i="5"/>
  <c r="AQ589" i="5"/>
  <c r="H1976" i="5"/>
  <c r="AQ591" i="5"/>
  <c r="AQ593" i="5"/>
  <c r="H1980" i="5"/>
  <c r="AQ595" i="5"/>
  <c r="AI630" i="5"/>
  <c r="AI732" i="5"/>
  <c r="E542" i="5" s="1"/>
  <c r="AQ633" i="5"/>
  <c r="BD732" i="5"/>
  <c r="BE663" i="5"/>
  <c r="K668" i="5"/>
  <c r="AB670" i="5"/>
  <c r="G672" i="5"/>
  <c r="I674" i="5"/>
  <c r="K676" i="5"/>
  <c r="E678" i="5"/>
  <c r="AB678" i="5"/>
  <c r="K679" i="5"/>
  <c r="K684" i="5"/>
  <c r="G687" i="5"/>
  <c r="AB688" i="5"/>
  <c r="BE688" i="5"/>
  <c r="I691" i="5"/>
  <c r="G692" i="5"/>
  <c r="K695" i="5"/>
  <c r="F737" i="5"/>
  <c r="F738" i="5"/>
  <c r="F740" i="5"/>
  <c r="F741" i="5"/>
  <c r="F742" i="5"/>
  <c r="F744" i="5"/>
  <c r="F745" i="5"/>
  <c r="F746" i="5"/>
  <c r="F748" i="5"/>
  <c r="F749" i="5"/>
  <c r="F750" i="5"/>
  <c r="F752" i="5"/>
  <c r="F753" i="5"/>
  <c r="F754" i="5"/>
  <c r="F756" i="5"/>
  <c r="F757" i="5"/>
  <c r="F758" i="5"/>
  <c r="F760" i="5"/>
  <c r="F761" i="5"/>
  <c r="F762" i="5"/>
  <c r="F764" i="5"/>
  <c r="F765" i="5"/>
  <c r="F766" i="5"/>
  <c r="F768" i="5"/>
  <c r="F769" i="5"/>
  <c r="F770" i="5"/>
  <c r="F772" i="5"/>
  <c r="F773" i="5"/>
  <c r="F774" i="5"/>
  <c r="F776" i="5"/>
  <c r="F777" i="5"/>
  <c r="F778" i="5"/>
  <c r="F780" i="5"/>
  <c r="F781" i="5"/>
  <c r="F782" i="5"/>
  <c r="F784" i="5"/>
  <c r="F785" i="5"/>
  <c r="F786" i="5"/>
  <c r="F788" i="5"/>
  <c r="F789" i="5"/>
  <c r="F790" i="5"/>
  <c r="F792" i="5"/>
  <c r="F793" i="5"/>
  <c r="F794" i="5"/>
  <c r="F796" i="5"/>
  <c r="F797" i="5"/>
  <c r="F798" i="5"/>
  <c r="F800" i="5"/>
  <c r="F802" i="5"/>
  <c r="F804" i="5"/>
  <c r="F806" i="5"/>
  <c r="F808" i="5"/>
  <c r="F810" i="5"/>
  <c r="F812" i="5"/>
  <c r="F814" i="5"/>
  <c r="F816" i="5"/>
  <c r="F818" i="5"/>
  <c r="F820" i="5"/>
  <c r="F822" i="5"/>
  <c r="F824" i="5"/>
  <c r="F826" i="5"/>
  <c r="F828" i="5"/>
  <c r="F830" i="5"/>
  <c r="F832" i="5"/>
  <c r="F834" i="5"/>
  <c r="F836" i="5"/>
  <c r="F838" i="5"/>
  <c r="F840" i="5"/>
  <c r="F842" i="5"/>
  <c r="F844" i="5"/>
  <c r="F846" i="5"/>
  <c r="F848" i="5"/>
  <c r="F850" i="5"/>
  <c r="K1926" i="5"/>
  <c r="L938" i="5"/>
  <c r="K1928" i="5"/>
  <c r="L942" i="5"/>
  <c r="K1932" i="5"/>
  <c r="L946" i="5"/>
  <c r="K1936" i="5"/>
  <c r="L950" i="5"/>
  <c r="K1940" i="5"/>
  <c r="L954" i="5"/>
  <c r="K1944" i="5"/>
  <c r="L958" i="5"/>
  <c r="K1948" i="5"/>
  <c r="I1950" i="5"/>
  <c r="F961" i="5"/>
  <c r="BE565" i="5"/>
  <c r="I1952" i="5"/>
  <c r="I1954" i="5"/>
  <c r="F965" i="5"/>
  <c r="BE569" i="5"/>
  <c r="I1956" i="5"/>
  <c r="I1958" i="5"/>
  <c r="F969" i="5"/>
  <c r="BE573" i="5"/>
  <c r="I1960" i="5"/>
  <c r="I1962" i="5"/>
  <c r="BE577" i="5"/>
  <c r="J974" i="5"/>
  <c r="I1964" i="5"/>
  <c r="J976" i="5"/>
  <c r="I1966" i="5"/>
  <c r="BE581" i="5"/>
  <c r="J978" i="5"/>
  <c r="I1968" i="5"/>
  <c r="J980" i="5"/>
  <c r="I1970" i="5"/>
  <c r="BE585" i="5"/>
  <c r="J982" i="5"/>
  <c r="I1972" i="5"/>
  <c r="J984" i="5"/>
  <c r="I1974" i="5"/>
  <c r="BE589" i="5"/>
  <c r="J986" i="5"/>
  <c r="I1976" i="5"/>
  <c r="J988" i="5"/>
  <c r="I1978" i="5"/>
  <c r="E1979" i="5"/>
  <c r="BE593" i="5"/>
  <c r="J990" i="5"/>
  <c r="I1980" i="5"/>
  <c r="J992" i="5"/>
  <c r="AW630" i="5"/>
  <c r="E1939" i="5" s="1"/>
  <c r="BE633" i="5"/>
  <c r="H663" i="5"/>
  <c r="BE664" i="5"/>
  <c r="H665" i="5"/>
  <c r="K666" i="5"/>
  <c r="G667" i="5"/>
  <c r="I669" i="5"/>
  <c r="AQ670" i="5"/>
  <c r="BE670" i="5"/>
  <c r="K671" i="5"/>
  <c r="AQ673" i="5"/>
  <c r="G675" i="5"/>
  <c r="I677" i="5"/>
  <c r="AQ678" i="5"/>
  <c r="BE678" i="5"/>
  <c r="I681" i="5"/>
  <c r="G682" i="5"/>
  <c r="K685" i="5"/>
  <c r="K690" i="5"/>
  <c r="G693" i="5"/>
  <c r="AB694" i="5"/>
  <c r="AQ694" i="5"/>
  <c r="BE694" i="5"/>
  <c r="I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6" i="5"/>
  <c r="AQ542" i="5"/>
  <c r="E940" i="5"/>
  <c r="AQ544" i="5"/>
  <c r="I941" i="5"/>
  <c r="E942" i="5"/>
  <c r="AQ546" i="5"/>
  <c r="E944" i="5"/>
  <c r="AQ548" i="5"/>
  <c r="I945" i="5"/>
  <c r="E948" i="5"/>
  <c r="AQ552" i="5"/>
  <c r="I949" i="5"/>
  <c r="E952" i="5"/>
  <c r="AQ556" i="5"/>
  <c r="L1942" i="5"/>
  <c r="I953" i="5"/>
  <c r="E956" i="5"/>
  <c r="AQ560" i="5"/>
  <c r="I957" i="5"/>
  <c r="K960" i="5"/>
  <c r="F1953" i="5"/>
  <c r="K964" i="5"/>
  <c r="K968" i="5"/>
  <c r="F1961" i="5"/>
  <c r="K972" i="5"/>
  <c r="K974" i="5"/>
  <c r="F1965" i="5"/>
  <c r="K976" i="5"/>
  <c r="K978" i="5"/>
  <c r="K980" i="5"/>
  <c r="K982" i="5"/>
  <c r="K984" i="5"/>
  <c r="K986" i="5"/>
  <c r="F1977" i="5"/>
  <c r="K988" i="5"/>
  <c r="K990" i="5"/>
  <c r="K992" i="5"/>
  <c r="I1982" i="5"/>
  <c r="AK732" i="5"/>
  <c r="G909" i="5" s="1"/>
  <c r="AX732" i="5"/>
  <c r="F1957" i="5" s="1"/>
  <c r="H664" i="5"/>
  <c r="E668" i="5"/>
  <c r="AB668" i="5"/>
  <c r="G670" i="5"/>
  <c r="I672" i="5"/>
  <c r="K674" i="5"/>
  <c r="E676" i="5"/>
  <c r="AB676" i="5"/>
  <c r="G678" i="5"/>
  <c r="AB679" i="5"/>
  <c r="K680" i="5"/>
  <c r="G683" i="5"/>
  <c r="AB684" i="5"/>
  <c r="AQ684" i="5"/>
  <c r="BE684" i="5"/>
  <c r="I687" i="5"/>
  <c r="G688" i="5"/>
  <c r="K691" i="5"/>
  <c r="AB695" i="5"/>
  <c r="K696" i="5"/>
  <c r="H737" i="5"/>
  <c r="H739" i="5"/>
  <c r="H740" i="5"/>
  <c r="H741" i="5"/>
  <c r="H743" i="5"/>
  <c r="H744" i="5"/>
  <c r="H745" i="5"/>
  <c r="H747" i="5"/>
  <c r="H748" i="5"/>
  <c r="H749" i="5"/>
  <c r="H751" i="5"/>
  <c r="H752" i="5"/>
  <c r="H753" i="5"/>
  <c r="H755" i="5"/>
  <c r="H756" i="5"/>
  <c r="H757" i="5"/>
  <c r="H759" i="5"/>
  <c r="H760" i="5"/>
  <c r="H761" i="5"/>
  <c r="H763" i="5"/>
  <c r="H764" i="5"/>
  <c r="H765" i="5"/>
  <c r="H767" i="5"/>
  <c r="H768" i="5"/>
  <c r="H769" i="5"/>
  <c r="H771" i="5"/>
  <c r="H772" i="5"/>
  <c r="H773" i="5"/>
  <c r="H775" i="5"/>
  <c r="H776" i="5"/>
  <c r="H777" i="5"/>
  <c r="H779" i="5"/>
  <c r="H780" i="5"/>
  <c r="H781" i="5"/>
  <c r="H783" i="5"/>
  <c r="H784" i="5"/>
  <c r="H785" i="5"/>
  <c r="H787" i="5"/>
  <c r="H788" i="5"/>
  <c r="H789" i="5"/>
  <c r="H791" i="5"/>
  <c r="H792" i="5"/>
  <c r="H793" i="5"/>
  <c r="E1926" i="5"/>
  <c r="BE540" i="5"/>
  <c r="I1927" i="5"/>
  <c r="BE542" i="5"/>
  <c r="J939" i="5"/>
  <c r="I1929" i="5"/>
  <c r="BE544" i="5"/>
  <c r="E1932" i="5"/>
  <c r="BE546" i="5"/>
  <c r="J943" i="5"/>
  <c r="I1933" i="5"/>
  <c r="E1934" i="5"/>
  <c r="BE548" i="5"/>
  <c r="BE550" i="5"/>
  <c r="J947" i="5"/>
  <c r="I1937" i="5"/>
  <c r="BE552" i="5"/>
  <c r="E1940" i="5"/>
  <c r="BE554" i="5"/>
  <c r="J951" i="5"/>
  <c r="I1941" i="5"/>
  <c r="E1942" i="5"/>
  <c r="BE556" i="5"/>
  <c r="BE558" i="5"/>
  <c r="J955" i="5"/>
  <c r="I1945" i="5"/>
  <c r="BE560" i="5"/>
  <c r="E1948" i="5"/>
  <c r="BE562" i="5"/>
  <c r="J959" i="5"/>
  <c r="L962" i="5"/>
  <c r="K1952" i="5"/>
  <c r="L966" i="5"/>
  <c r="K1956" i="5"/>
  <c r="L970" i="5"/>
  <c r="K1960" i="5"/>
  <c r="K1964" i="5"/>
  <c r="K1968" i="5"/>
  <c r="K1972" i="5"/>
  <c r="K1976" i="5"/>
  <c r="G1977" i="5"/>
  <c r="K1980" i="5"/>
  <c r="AL732" i="5"/>
  <c r="H795" i="5" s="1"/>
  <c r="AY732" i="5"/>
  <c r="G1955" i="5" s="1"/>
  <c r="L661" i="5"/>
  <c r="J665" i="5"/>
  <c r="E666" i="5"/>
  <c r="AB666" i="5"/>
  <c r="I667" i="5"/>
  <c r="AQ668" i="5"/>
  <c r="BE668" i="5"/>
  <c r="K669" i="5"/>
  <c r="AB671" i="5"/>
  <c r="AQ671" i="5"/>
  <c r="G673" i="5"/>
  <c r="I675" i="5"/>
  <c r="AQ676" i="5"/>
  <c r="BE676" i="5"/>
  <c r="K677" i="5"/>
  <c r="K681" i="5"/>
  <c r="AB685" i="5"/>
  <c r="AQ685" i="5"/>
  <c r="K686" i="5"/>
  <c r="G689" i="5"/>
  <c r="AB690" i="5"/>
  <c r="AQ690" i="5"/>
  <c r="BE690" i="5"/>
  <c r="I693" i="5"/>
  <c r="G694" i="5"/>
  <c r="K697" i="5"/>
  <c r="I699" i="5"/>
  <c r="I701" i="5"/>
  <c r="I703" i="5"/>
  <c r="I705" i="5"/>
  <c r="I707" i="5"/>
  <c r="I709" i="5"/>
  <c r="I711" i="5"/>
  <c r="I713" i="5"/>
  <c r="I715" i="5"/>
  <c r="I717" i="5"/>
  <c r="I719" i="5"/>
  <c r="I721" i="5"/>
  <c r="I723" i="5"/>
  <c r="I725" i="5"/>
  <c r="I727" i="5"/>
  <c r="I729" i="5"/>
  <c r="I731" i="5"/>
  <c r="I733" i="5"/>
  <c r="I734" i="5"/>
  <c r="I735" i="5"/>
  <c r="I736" i="5"/>
  <c r="I855" i="5"/>
  <c r="K937" i="5"/>
  <c r="J1927" i="5"/>
  <c r="E543" i="5"/>
  <c r="K939" i="5"/>
  <c r="E545" i="5"/>
  <c r="K941" i="5"/>
  <c r="J1931" i="5"/>
  <c r="E547" i="5"/>
  <c r="K943" i="5"/>
  <c r="E549" i="5"/>
  <c r="K945" i="5"/>
  <c r="J1935" i="5"/>
  <c r="G946" i="5"/>
  <c r="E551" i="5"/>
  <c r="E553" i="5"/>
  <c r="K949" i="5"/>
  <c r="J1939" i="5"/>
  <c r="E555" i="5"/>
  <c r="E557" i="5"/>
  <c r="K953" i="5"/>
  <c r="J1943" i="5"/>
  <c r="E559" i="5"/>
  <c r="E561" i="5"/>
  <c r="K957" i="5"/>
  <c r="J1947" i="5"/>
  <c r="E563" i="5"/>
  <c r="I1949" i="5"/>
  <c r="E960" i="5"/>
  <c r="AQ564" i="5"/>
  <c r="L1950" i="5"/>
  <c r="I961" i="5"/>
  <c r="E964" i="5"/>
  <c r="AQ568" i="5"/>
  <c r="L1954" i="5"/>
  <c r="I965" i="5"/>
  <c r="E968" i="5"/>
  <c r="AQ572" i="5"/>
  <c r="L1958" i="5"/>
  <c r="I969" i="5"/>
  <c r="E972" i="5"/>
  <c r="AQ576" i="5"/>
  <c r="L1962" i="5"/>
  <c r="I973" i="5"/>
  <c r="I975" i="5"/>
  <c r="E976" i="5"/>
  <c r="AQ580" i="5"/>
  <c r="L1966" i="5"/>
  <c r="I977" i="5"/>
  <c r="I979" i="5"/>
  <c r="E980" i="5"/>
  <c r="AQ584" i="5"/>
  <c r="L1970" i="5"/>
  <c r="I981" i="5"/>
  <c r="E982" i="5"/>
  <c r="AQ586" i="5"/>
  <c r="I983" i="5"/>
  <c r="L1974" i="5"/>
  <c r="I985" i="5"/>
  <c r="I987" i="5"/>
  <c r="L1978" i="5"/>
  <c r="I989" i="5"/>
  <c r="I991" i="5"/>
  <c r="E598" i="5"/>
  <c r="E610" i="5"/>
  <c r="E612" i="5"/>
  <c r="E614" i="5"/>
  <c r="AB661" i="5"/>
  <c r="L662" i="5"/>
  <c r="G668" i="5"/>
  <c r="I670" i="5"/>
  <c r="K672" i="5"/>
  <c r="E674" i="5"/>
  <c r="AB674" i="5"/>
  <c r="G676" i="5"/>
  <c r="I678" i="5"/>
  <c r="G679" i="5"/>
  <c r="BE680" i="5"/>
  <c r="I683" i="5"/>
  <c r="G684" i="5"/>
  <c r="K687" i="5"/>
  <c r="AB691" i="5"/>
  <c r="K692" i="5"/>
  <c r="G695" i="5"/>
  <c r="J738" i="5"/>
  <c r="J739" i="5"/>
  <c r="J740" i="5"/>
  <c r="J742" i="5"/>
  <c r="J743" i="5"/>
  <c r="J744" i="5"/>
  <c r="J746" i="5"/>
  <c r="J747" i="5"/>
  <c r="J748" i="5"/>
  <c r="J750" i="5"/>
  <c r="J751" i="5"/>
  <c r="J752" i="5"/>
  <c r="J754" i="5"/>
  <c r="J755" i="5"/>
  <c r="J756" i="5"/>
  <c r="J758" i="5"/>
  <c r="J759" i="5"/>
  <c r="J760" i="5"/>
  <c r="J762" i="5"/>
  <c r="J763" i="5"/>
  <c r="J764" i="5"/>
  <c r="J766" i="5"/>
  <c r="J767" i="5"/>
  <c r="J768" i="5"/>
  <c r="J770" i="5"/>
  <c r="J771" i="5"/>
  <c r="J772" i="5"/>
  <c r="J774" i="5"/>
  <c r="J775" i="5"/>
  <c r="J776" i="5"/>
  <c r="J778" i="5"/>
  <c r="J779" i="5"/>
  <c r="J780" i="5"/>
  <c r="J782" i="5"/>
  <c r="J783" i="5"/>
  <c r="J784" i="5"/>
  <c r="J786" i="5"/>
  <c r="J787" i="5"/>
  <c r="J788" i="5"/>
  <c r="J790" i="5"/>
  <c r="J791" i="5"/>
  <c r="J792" i="5"/>
  <c r="J794" i="5"/>
  <c r="J795" i="5"/>
  <c r="J796" i="5"/>
  <c r="J798" i="5"/>
  <c r="J800" i="5"/>
  <c r="J802" i="5"/>
  <c r="J804" i="5"/>
  <c r="J806" i="5"/>
  <c r="J808" i="5"/>
  <c r="J810" i="5"/>
  <c r="J812" i="5"/>
  <c r="J814" i="5"/>
  <c r="J816" i="5"/>
  <c r="J818" i="5"/>
  <c r="J820" i="5"/>
  <c r="J822" i="5"/>
  <c r="J824" i="5"/>
  <c r="J826" i="5"/>
  <c r="J828" i="5"/>
  <c r="J830" i="5"/>
  <c r="J832" i="5"/>
  <c r="J834" i="5"/>
  <c r="J836" i="5"/>
  <c r="J838" i="5"/>
  <c r="J840" i="5"/>
  <c r="J842" i="5"/>
  <c r="J844" i="5"/>
  <c r="J846" i="5"/>
  <c r="J848" i="5"/>
  <c r="J850" i="5"/>
  <c r="G1926" i="5"/>
  <c r="K1927" i="5"/>
  <c r="K1929" i="5"/>
  <c r="G1930" i="5"/>
  <c r="K1931" i="5"/>
  <c r="K1933" i="5"/>
  <c r="G1934" i="5"/>
  <c r="K1935" i="5"/>
  <c r="K1937" i="5"/>
  <c r="K1939" i="5"/>
  <c r="K1941" i="5"/>
  <c r="K1943" i="5"/>
  <c r="K1945" i="5"/>
  <c r="G1946" i="5"/>
  <c r="K1947" i="5"/>
  <c r="E1950" i="5"/>
  <c r="BE564" i="5"/>
  <c r="E1952" i="5"/>
  <c r="BE566" i="5"/>
  <c r="J963" i="5"/>
  <c r="I1953" i="5"/>
  <c r="E1954" i="5"/>
  <c r="BE568" i="5"/>
  <c r="E1956" i="5"/>
  <c r="BE570" i="5"/>
  <c r="J967" i="5"/>
  <c r="I1957" i="5"/>
  <c r="E1958" i="5"/>
  <c r="BE572" i="5"/>
  <c r="E1960" i="5"/>
  <c r="BE574" i="5"/>
  <c r="J971" i="5"/>
  <c r="I1961" i="5"/>
  <c r="E1962" i="5"/>
  <c r="BE576" i="5"/>
  <c r="F974" i="5"/>
  <c r="E1964" i="5"/>
  <c r="BE578" i="5"/>
  <c r="I1965" i="5"/>
  <c r="E1966" i="5"/>
  <c r="BE580" i="5"/>
  <c r="F978" i="5"/>
  <c r="E1968" i="5"/>
  <c r="BE582" i="5"/>
  <c r="I1969" i="5"/>
  <c r="E1970" i="5"/>
  <c r="BE584" i="5"/>
  <c r="F982" i="5"/>
  <c r="E1972" i="5"/>
  <c r="BE586" i="5"/>
  <c r="I1973" i="5"/>
  <c r="E1974" i="5"/>
  <c r="BE588" i="5"/>
  <c r="F986" i="5"/>
  <c r="E1976" i="5"/>
  <c r="BE590" i="5"/>
  <c r="I1977" i="5"/>
  <c r="F988" i="5"/>
  <c r="E1978" i="5"/>
  <c r="BE592" i="5"/>
  <c r="F990" i="5"/>
  <c r="E1980" i="5"/>
  <c r="BE594" i="5"/>
  <c r="I1981" i="5"/>
  <c r="F992" i="5"/>
  <c r="L1982" i="5"/>
  <c r="BE660" i="5"/>
  <c r="L663" i="5"/>
  <c r="L665" i="5"/>
  <c r="G666" i="5"/>
  <c r="K667" i="5"/>
  <c r="AB669" i="5"/>
  <c r="AQ669" i="5"/>
  <c r="G671" i="5"/>
  <c r="I673" i="5"/>
  <c r="AQ674" i="5"/>
  <c r="K675" i="5"/>
  <c r="AB677" i="5"/>
  <c r="AQ677" i="5"/>
  <c r="AB681" i="5"/>
  <c r="AQ681" i="5"/>
  <c r="K682" i="5"/>
  <c r="G685" i="5"/>
  <c r="I689" i="5"/>
  <c r="G690" i="5"/>
  <c r="K693" i="5"/>
  <c r="AB697" i="5"/>
  <c r="AQ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5" i="5"/>
  <c r="K736" i="5"/>
  <c r="J1975" i="5"/>
  <c r="J1979" i="5"/>
  <c r="E1982" i="5"/>
  <c r="BE596" i="5"/>
  <c r="L664" i="5"/>
  <c r="I668" i="5"/>
  <c r="K670" i="5"/>
  <c r="E672" i="5"/>
  <c r="M672" i="5" s="1"/>
  <c r="AB672" i="5"/>
  <c r="G674" i="5"/>
  <c r="I676" i="5"/>
  <c r="K678" i="5"/>
  <c r="I679" i="5"/>
  <c r="G680" i="5"/>
  <c r="K683" i="5"/>
  <c r="AQ687" i="5"/>
  <c r="K688" i="5"/>
  <c r="G691" i="5"/>
  <c r="I695" i="5"/>
  <c r="G696" i="5"/>
  <c r="L737" i="5"/>
  <c r="L738" i="5"/>
  <c r="L739" i="5"/>
  <c r="L741" i="5"/>
  <c r="L742" i="5"/>
  <c r="L743" i="5"/>
  <c r="L745" i="5"/>
  <c r="L746" i="5"/>
  <c r="L747" i="5"/>
  <c r="L749" i="5"/>
  <c r="L750" i="5"/>
  <c r="L751" i="5"/>
  <c r="L753" i="5"/>
  <c r="L754" i="5"/>
  <c r="L755" i="5"/>
  <c r="L757" i="5"/>
  <c r="L758" i="5"/>
  <c r="L759" i="5"/>
  <c r="L761" i="5"/>
  <c r="L762" i="5"/>
  <c r="L763" i="5"/>
  <c r="L765" i="5"/>
  <c r="L766" i="5"/>
  <c r="L767" i="5"/>
  <c r="L769" i="5"/>
  <c r="L770" i="5"/>
  <c r="L771" i="5"/>
  <c r="L773" i="5"/>
  <c r="L774" i="5"/>
  <c r="L775" i="5"/>
  <c r="L777" i="5"/>
  <c r="L778" i="5"/>
  <c r="L779" i="5"/>
  <c r="L781" i="5"/>
  <c r="L782" i="5"/>
  <c r="L783" i="5"/>
  <c r="L785" i="5"/>
  <c r="L786" i="5"/>
  <c r="L787" i="5"/>
  <c r="L789" i="5"/>
  <c r="L790" i="5"/>
  <c r="L791" i="5"/>
  <c r="L793" i="5"/>
  <c r="L794" i="5"/>
  <c r="L795" i="5"/>
  <c r="L797" i="5"/>
  <c r="L798" i="5"/>
  <c r="L799" i="5"/>
  <c r="L801" i="5"/>
  <c r="L803" i="5"/>
  <c r="L805" i="5"/>
  <c r="L807" i="5"/>
  <c r="L809" i="5"/>
  <c r="L811" i="5"/>
  <c r="L813" i="5"/>
  <c r="L815" i="5"/>
  <c r="L817" i="5"/>
  <c r="L819" i="5"/>
  <c r="L821" i="5"/>
  <c r="L823" i="5"/>
  <c r="L825" i="5"/>
  <c r="L827" i="5"/>
  <c r="L829" i="5"/>
  <c r="L831" i="5"/>
  <c r="L833" i="5"/>
  <c r="L835" i="5"/>
  <c r="L837" i="5"/>
  <c r="L839" i="5"/>
  <c r="L841" i="5"/>
  <c r="L843" i="5"/>
  <c r="L845" i="5"/>
  <c r="L847" i="5"/>
  <c r="L849" i="5"/>
  <c r="L851" i="5"/>
  <c r="E735" i="5"/>
  <c r="M735" i="5" s="1"/>
  <c r="AB852" i="5"/>
  <c r="E853" i="5"/>
  <c r="AB856" i="5"/>
  <c r="J857" i="5"/>
  <c r="J861" i="5"/>
  <c r="E865" i="5"/>
  <c r="AB865" i="5"/>
  <c r="K866" i="5"/>
  <c r="F870" i="5"/>
  <c r="AB871" i="5"/>
  <c r="L872" i="5"/>
  <c r="J880" i="5"/>
  <c r="F883" i="5"/>
  <c r="AB884" i="5"/>
  <c r="I887" i="5"/>
  <c r="AB890" i="5"/>
  <c r="L891" i="5"/>
  <c r="J893" i="5"/>
  <c r="E897" i="5"/>
  <c r="AB897" i="5"/>
  <c r="K898" i="5"/>
  <c r="F902" i="5"/>
  <c r="AB903" i="5"/>
  <c r="L904" i="5"/>
  <c r="J912" i="5"/>
  <c r="F915" i="5"/>
  <c r="AB916" i="5"/>
  <c r="I919" i="5"/>
  <c r="AB922" i="5"/>
  <c r="L923" i="5"/>
  <c r="J925" i="5"/>
  <c r="F928" i="5"/>
  <c r="E929" i="5"/>
  <c r="AB929" i="5"/>
  <c r="K930" i="5"/>
  <c r="F934" i="5"/>
  <c r="L936" i="5"/>
  <c r="J944" i="5"/>
  <c r="F947" i="5"/>
  <c r="AB948" i="5"/>
  <c r="L949" i="5"/>
  <c r="J950" i="5"/>
  <c r="I951" i="5"/>
  <c r="E954" i="5"/>
  <c r="E958" i="5"/>
  <c r="E962" i="5"/>
  <c r="E966" i="5"/>
  <c r="E970" i="5"/>
  <c r="E974" i="5"/>
  <c r="E978" i="5"/>
  <c r="E984" i="5"/>
  <c r="F852" i="5"/>
  <c r="F856" i="5"/>
  <c r="H858" i="5"/>
  <c r="F859" i="5"/>
  <c r="L860" i="5"/>
  <c r="J868" i="5"/>
  <c r="F871" i="5"/>
  <c r="I875" i="5"/>
  <c r="L879" i="5"/>
  <c r="J881" i="5"/>
  <c r="E885" i="5"/>
  <c r="AB885" i="5"/>
  <c r="K886" i="5"/>
  <c r="F890" i="5"/>
  <c r="AB891" i="5"/>
  <c r="L892" i="5"/>
  <c r="J900" i="5"/>
  <c r="F903" i="5"/>
  <c r="I907" i="5"/>
  <c r="L911" i="5"/>
  <c r="J913" i="5"/>
  <c r="H914" i="5"/>
  <c r="E917" i="5"/>
  <c r="AB917" i="5"/>
  <c r="K918" i="5"/>
  <c r="F922" i="5"/>
  <c r="AB923" i="5"/>
  <c r="L924" i="5"/>
  <c r="H927" i="5"/>
  <c r="G928" i="5"/>
  <c r="J932" i="5"/>
  <c r="F935" i="5"/>
  <c r="L937" i="5"/>
  <c r="J938" i="5"/>
  <c r="I939" i="5"/>
  <c r="L943" i="5"/>
  <c r="J945" i="5"/>
  <c r="H946" i="5"/>
  <c r="F948" i="5"/>
  <c r="E949" i="5"/>
  <c r="AB949" i="5"/>
  <c r="K950" i="5"/>
  <c r="I952" i="5"/>
  <c r="F954" i="5"/>
  <c r="F955" i="5"/>
  <c r="F956" i="5"/>
  <c r="F958" i="5"/>
  <c r="F959" i="5"/>
  <c r="F960" i="5"/>
  <c r="F962" i="5"/>
  <c r="F963" i="5"/>
  <c r="F964" i="5"/>
  <c r="F966" i="5"/>
  <c r="F967" i="5"/>
  <c r="F968" i="5"/>
  <c r="F970" i="5"/>
  <c r="F971" i="5"/>
  <c r="F972" i="5"/>
  <c r="F976" i="5"/>
  <c r="F980" i="5"/>
  <c r="F984" i="5"/>
  <c r="E667" i="5"/>
  <c r="E669" i="5"/>
  <c r="M669" i="5" s="1"/>
  <c r="E671" i="5"/>
  <c r="E673" i="5"/>
  <c r="M673" i="5" s="1"/>
  <c r="E675" i="5"/>
  <c r="M675" i="5" s="1"/>
  <c r="E677" i="5"/>
  <c r="AB851" i="5"/>
  <c r="AB854" i="5"/>
  <c r="L857" i="5"/>
  <c r="I863" i="5"/>
  <c r="L867" i="5"/>
  <c r="J869" i="5"/>
  <c r="E873" i="5"/>
  <c r="AB873" i="5"/>
  <c r="K874" i="5"/>
  <c r="F878" i="5"/>
  <c r="AB879" i="5"/>
  <c r="L880" i="5"/>
  <c r="J888" i="5"/>
  <c r="F891" i="5"/>
  <c r="I895" i="5"/>
  <c r="L899" i="5"/>
  <c r="J901" i="5"/>
  <c r="E905" i="5"/>
  <c r="AB905" i="5"/>
  <c r="K906" i="5"/>
  <c r="H909" i="5"/>
  <c r="F910" i="5"/>
  <c r="AB911" i="5"/>
  <c r="L912" i="5"/>
  <c r="G916" i="5"/>
  <c r="J920" i="5"/>
  <c r="F923" i="5"/>
  <c r="L925" i="5"/>
  <c r="J926" i="5"/>
  <c r="I927" i="5"/>
  <c r="L931" i="5"/>
  <c r="J933" i="5"/>
  <c r="F936" i="5"/>
  <c r="E937" i="5"/>
  <c r="AB937" i="5"/>
  <c r="K938" i="5"/>
  <c r="H941" i="5"/>
  <c r="F942" i="5"/>
  <c r="AB943" i="5"/>
  <c r="L944" i="5"/>
  <c r="H947" i="5"/>
  <c r="K951" i="5"/>
  <c r="J952" i="5"/>
  <c r="G956" i="5"/>
  <c r="G960" i="5"/>
  <c r="G961" i="5"/>
  <c r="G964" i="5"/>
  <c r="G968" i="5"/>
  <c r="G969" i="5"/>
  <c r="G972" i="5"/>
  <c r="J853" i="5"/>
  <c r="F854" i="5"/>
  <c r="J858" i="5"/>
  <c r="H859" i="5"/>
  <c r="F860" i="5"/>
  <c r="E861" i="5"/>
  <c r="AB861" i="5"/>
  <c r="K862" i="5"/>
  <c r="F866" i="5"/>
  <c r="AB867" i="5"/>
  <c r="L868" i="5"/>
  <c r="J876" i="5"/>
  <c r="F879" i="5"/>
  <c r="AB880" i="5"/>
  <c r="I883" i="5"/>
  <c r="AB886" i="5"/>
  <c r="L887" i="5"/>
  <c r="J889" i="5"/>
  <c r="E893" i="5"/>
  <c r="AB893" i="5"/>
  <c r="K894" i="5"/>
  <c r="F898" i="5"/>
  <c r="AB899" i="5"/>
  <c r="L900" i="5"/>
  <c r="J908" i="5"/>
  <c r="F911" i="5"/>
  <c r="AB912" i="5"/>
  <c r="I915" i="5"/>
  <c r="AB918" i="5"/>
  <c r="L919" i="5"/>
  <c r="J921" i="5"/>
  <c r="F924" i="5"/>
  <c r="E925" i="5"/>
  <c r="AB925" i="5"/>
  <c r="K926" i="5"/>
  <c r="H929" i="5"/>
  <c r="F930" i="5"/>
  <c r="AB931" i="5"/>
  <c r="L932" i="5"/>
  <c r="H935" i="5"/>
  <c r="G936" i="5"/>
  <c r="J940" i="5"/>
  <c r="F943" i="5"/>
  <c r="AB944" i="5"/>
  <c r="L945" i="5"/>
  <c r="J946" i="5"/>
  <c r="I947" i="5"/>
  <c r="G949" i="5"/>
  <c r="E950" i="5"/>
  <c r="L951" i="5"/>
  <c r="J953" i="5"/>
  <c r="H954" i="5"/>
  <c r="H955" i="5"/>
  <c r="H957" i="5"/>
  <c r="H959" i="5"/>
  <c r="H961" i="5"/>
  <c r="H962" i="5"/>
  <c r="H965" i="5"/>
  <c r="H966" i="5"/>
  <c r="H967" i="5"/>
  <c r="H970" i="5"/>
  <c r="H971" i="5"/>
  <c r="H985" i="5"/>
  <c r="E734" i="5"/>
  <c r="M734" i="5" s="1"/>
  <c r="L855" i="5"/>
  <c r="J864" i="5"/>
  <c r="F867" i="5"/>
  <c r="AB868" i="5"/>
  <c r="I871" i="5"/>
  <c r="AB874" i="5"/>
  <c r="L875" i="5"/>
  <c r="J877" i="5"/>
  <c r="H878" i="5"/>
  <c r="E881" i="5"/>
  <c r="AB881" i="5"/>
  <c r="K882" i="5"/>
  <c r="H885" i="5"/>
  <c r="F886" i="5"/>
  <c r="L888" i="5"/>
  <c r="J896" i="5"/>
  <c r="F899" i="5"/>
  <c r="AB900" i="5"/>
  <c r="I903" i="5"/>
  <c r="AB906" i="5"/>
  <c r="L907" i="5"/>
  <c r="J909" i="5"/>
  <c r="E913" i="5"/>
  <c r="AB913" i="5"/>
  <c r="K914" i="5"/>
  <c r="F918" i="5"/>
  <c r="AB919" i="5"/>
  <c r="L920" i="5"/>
  <c r="G924" i="5"/>
  <c r="J928" i="5"/>
  <c r="F931" i="5"/>
  <c r="AB932" i="5"/>
  <c r="L933" i="5"/>
  <c r="J934" i="5"/>
  <c r="I935" i="5"/>
  <c r="AB938" i="5"/>
  <c r="L939" i="5"/>
  <c r="J941" i="5"/>
  <c r="H942" i="5"/>
  <c r="F944" i="5"/>
  <c r="E945" i="5"/>
  <c r="AB945" i="5"/>
  <c r="K946" i="5"/>
  <c r="I948" i="5"/>
  <c r="H949" i="5"/>
  <c r="F950" i="5"/>
  <c r="AB951" i="5"/>
  <c r="L952" i="5"/>
  <c r="I955" i="5"/>
  <c r="I956" i="5"/>
  <c r="I959" i="5"/>
  <c r="I960" i="5"/>
  <c r="I963" i="5"/>
  <c r="I964" i="5"/>
  <c r="I967" i="5"/>
  <c r="I968" i="5"/>
  <c r="I971" i="5"/>
  <c r="I972" i="5"/>
  <c r="I984" i="5"/>
  <c r="J852" i="5"/>
  <c r="L853" i="5"/>
  <c r="H854" i="5"/>
  <c r="J856" i="5"/>
  <c r="L863" i="5"/>
  <c r="J865" i="5"/>
  <c r="H866" i="5"/>
  <c r="E869" i="5"/>
  <c r="AB869" i="5"/>
  <c r="K870" i="5"/>
  <c r="H873" i="5"/>
  <c r="F874" i="5"/>
  <c r="L876" i="5"/>
  <c r="G880" i="5"/>
  <c r="J884" i="5"/>
  <c r="F887" i="5"/>
  <c r="I891" i="5"/>
  <c r="L895" i="5"/>
  <c r="J897" i="5"/>
  <c r="H898" i="5"/>
  <c r="E901" i="5"/>
  <c r="AB901" i="5"/>
  <c r="K902" i="5"/>
  <c r="H905" i="5"/>
  <c r="F906" i="5"/>
  <c r="L908" i="5"/>
  <c r="G912" i="5"/>
  <c r="J916" i="5"/>
  <c r="F919" i="5"/>
  <c r="L921" i="5"/>
  <c r="J922" i="5"/>
  <c r="I923" i="5"/>
  <c r="L927" i="5"/>
  <c r="J929" i="5"/>
  <c r="H930" i="5"/>
  <c r="F932" i="5"/>
  <c r="E933" i="5"/>
  <c r="AB933" i="5"/>
  <c r="K934" i="5"/>
  <c r="H937" i="5"/>
  <c r="F938" i="5"/>
  <c r="L940" i="5"/>
  <c r="H943" i="5"/>
  <c r="G944" i="5"/>
  <c r="K947" i="5"/>
  <c r="J948" i="5"/>
  <c r="F951" i="5"/>
  <c r="L953" i="5"/>
  <c r="J954" i="5"/>
  <c r="J956" i="5"/>
  <c r="J957" i="5"/>
  <c r="J958" i="5"/>
  <c r="J960" i="5"/>
  <c r="J961" i="5"/>
  <c r="J962" i="5"/>
  <c r="J964" i="5"/>
  <c r="J965" i="5"/>
  <c r="J966" i="5"/>
  <c r="J968" i="5"/>
  <c r="J969" i="5"/>
  <c r="J970" i="5"/>
  <c r="J972" i="5"/>
  <c r="E680" i="5"/>
  <c r="M680" i="5" s="1"/>
  <c r="E682" i="5"/>
  <c r="M682" i="5" s="1"/>
  <c r="E684" i="5"/>
  <c r="M684" i="5" s="1"/>
  <c r="E686" i="5"/>
  <c r="M686" i="5" s="1"/>
  <c r="E688" i="5"/>
  <c r="M688" i="5" s="1"/>
  <c r="E690" i="5"/>
  <c r="M690" i="5" s="1"/>
  <c r="E692" i="5"/>
  <c r="E694" i="5"/>
  <c r="M694" i="5" s="1"/>
  <c r="E696" i="5"/>
  <c r="M696" i="5" s="1"/>
  <c r="E698" i="5"/>
  <c r="M698" i="5" s="1"/>
  <c r="E700" i="5"/>
  <c r="M700" i="5" s="1"/>
  <c r="E702" i="5"/>
  <c r="M702" i="5" s="1"/>
  <c r="E704" i="5"/>
  <c r="M704" i="5" s="1"/>
  <c r="E706" i="5"/>
  <c r="M706" i="5" s="1"/>
  <c r="E708" i="5"/>
  <c r="M708" i="5" s="1"/>
  <c r="E710" i="5"/>
  <c r="M710" i="5" s="1"/>
  <c r="E712" i="5"/>
  <c r="M712" i="5" s="1"/>
  <c r="E714" i="5"/>
  <c r="M714" i="5" s="1"/>
  <c r="E716" i="5"/>
  <c r="M716" i="5" s="1"/>
  <c r="E718" i="5"/>
  <c r="M718" i="5" s="1"/>
  <c r="E720" i="5"/>
  <c r="M720" i="5" s="1"/>
  <c r="E722" i="5"/>
  <c r="M722" i="5" s="1"/>
  <c r="E724" i="5"/>
  <c r="M724" i="5" s="1"/>
  <c r="E726" i="5"/>
  <c r="M726" i="5" s="1"/>
  <c r="E728" i="5"/>
  <c r="M728" i="5" s="1"/>
  <c r="E730" i="5"/>
  <c r="M730" i="5" s="1"/>
  <c r="E732" i="5"/>
  <c r="M732" i="5" s="1"/>
  <c r="F855" i="5"/>
  <c r="H857" i="5"/>
  <c r="H861" i="5"/>
  <c r="F862" i="5"/>
  <c r="AB863" i="5"/>
  <c r="L864" i="5"/>
  <c r="G868" i="5"/>
  <c r="J872" i="5"/>
  <c r="F875" i="5"/>
  <c r="I879" i="5"/>
  <c r="L883" i="5"/>
  <c r="J885" i="5"/>
  <c r="H886" i="5"/>
  <c r="E889" i="5"/>
  <c r="AB889" i="5"/>
  <c r="K890" i="5"/>
  <c r="H893" i="5"/>
  <c r="F894" i="5"/>
  <c r="AB895" i="5"/>
  <c r="L896" i="5"/>
  <c r="G900" i="5"/>
  <c r="J904" i="5"/>
  <c r="F907" i="5"/>
  <c r="I911" i="5"/>
  <c r="L915" i="5"/>
  <c r="J917" i="5"/>
  <c r="H918" i="5"/>
  <c r="E921" i="5"/>
  <c r="AB921" i="5"/>
  <c r="K922" i="5"/>
  <c r="H925" i="5"/>
  <c r="F926" i="5"/>
  <c r="L928" i="5"/>
  <c r="H931" i="5"/>
  <c r="G932" i="5"/>
  <c r="J936" i="5"/>
  <c r="F939" i="5"/>
  <c r="L941" i="5"/>
  <c r="J942" i="5"/>
  <c r="I943" i="5"/>
  <c r="G945" i="5"/>
  <c r="E946" i="5"/>
  <c r="L947" i="5"/>
  <c r="J949" i="5"/>
  <c r="H950" i="5"/>
  <c r="F952" i="5"/>
  <c r="E953" i="5"/>
  <c r="AB953" i="5"/>
  <c r="K954" i="5"/>
  <c r="K955" i="5"/>
  <c r="K958" i="5"/>
  <c r="K959" i="5"/>
  <c r="K962" i="5"/>
  <c r="K963" i="5"/>
  <c r="K966" i="5"/>
  <c r="K967" i="5"/>
  <c r="K970" i="5"/>
  <c r="K971" i="5"/>
  <c r="K975" i="5"/>
  <c r="K977" i="5"/>
  <c r="K981" i="5"/>
  <c r="K983" i="5"/>
  <c r="L852" i="5"/>
  <c r="J854" i="5"/>
  <c r="L856" i="5"/>
  <c r="F858" i="5"/>
  <c r="L859" i="5"/>
  <c r="J860" i="5"/>
  <c r="F863" i="5"/>
  <c r="AB864" i="5"/>
  <c r="I867" i="5"/>
  <c r="AB870" i="5"/>
  <c r="L871" i="5"/>
  <c r="J873" i="5"/>
  <c r="H874" i="5"/>
  <c r="E877" i="5"/>
  <c r="AB877" i="5"/>
  <c r="K878" i="5"/>
  <c r="H881" i="5"/>
  <c r="F882" i="5"/>
  <c r="L884" i="5"/>
  <c r="G888" i="5"/>
  <c r="J892" i="5"/>
  <c r="F895" i="5"/>
  <c r="AB896" i="5"/>
  <c r="I899" i="5"/>
  <c r="AB902" i="5"/>
  <c r="L903" i="5"/>
  <c r="J905" i="5"/>
  <c r="H906" i="5"/>
  <c r="E909" i="5"/>
  <c r="AB909" i="5"/>
  <c r="K910" i="5"/>
  <c r="H913" i="5"/>
  <c r="F914" i="5"/>
  <c r="L916" i="5"/>
  <c r="G920" i="5"/>
  <c r="J924" i="5"/>
  <c r="F927" i="5"/>
  <c r="AB928" i="5"/>
  <c r="L929" i="5"/>
  <c r="J930" i="5"/>
  <c r="I931" i="5"/>
  <c r="AB934" i="5"/>
  <c r="L935" i="5"/>
  <c r="J937" i="5"/>
  <c r="H938" i="5"/>
  <c r="F940" i="5"/>
  <c r="E941" i="5"/>
  <c r="AB941" i="5"/>
  <c r="K942" i="5"/>
  <c r="I944" i="5"/>
  <c r="H945" i="5"/>
  <c r="F946" i="5"/>
  <c r="L948" i="5"/>
  <c r="H951" i="5"/>
  <c r="G952" i="5"/>
  <c r="L955" i="5"/>
  <c r="L956" i="5"/>
  <c r="L957" i="5"/>
  <c r="L959" i="5"/>
  <c r="L960" i="5"/>
  <c r="L961" i="5"/>
  <c r="L963" i="5"/>
  <c r="L964" i="5"/>
  <c r="L965" i="5"/>
  <c r="L967" i="5"/>
  <c r="L968" i="5"/>
  <c r="L969" i="5"/>
  <c r="L971" i="5"/>
  <c r="L972" i="5"/>
  <c r="L973" i="5"/>
  <c r="L977" i="5"/>
  <c r="L979" i="5"/>
  <c r="L983" i="5"/>
  <c r="AB946" i="5"/>
  <c r="AB950" i="5"/>
  <c r="AB954" i="5"/>
  <c r="AB958" i="5"/>
  <c r="AB962" i="5"/>
  <c r="AB966" i="5"/>
  <c r="AB970" i="5"/>
  <c r="J975" i="5"/>
  <c r="L978" i="5"/>
  <c r="AB981" i="5"/>
  <c r="F983" i="5"/>
  <c r="H984" i="5"/>
  <c r="J985" i="5"/>
  <c r="G989" i="5"/>
  <c r="E990" i="5"/>
  <c r="AB990" i="5"/>
  <c r="J991" i="5"/>
  <c r="H992" i="5"/>
  <c r="J973" i="5"/>
  <c r="L976" i="5"/>
  <c r="AB978" i="5"/>
  <c r="AB979" i="5"/>
  <c r="F981" i="5"/>
  <c r="K985" i="5"/>
  <c r="H986" i="5"/>
  <c r="K991" i="5"/>
  <c r="I992" i="5"/>
  <c r="F1058" i="5"/>
  <c r="L974" i="5"/>
  <c r="AB977" i="5"/>
  <c r="F979" i="5"/>
  <c r="H982" i="5"/>
  <c r="I986" i="5"/>
  <c r="F987" i="5"/>
  <c r="L988" i="5"/>
  <c r="G1991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66" i="5"/>
  <c r="G1070" i="5"/>
  <c r="G1074" i="5"/>
  <c r="G1078" i="5"/>
  <c r="AB974" i="5"/>
  <c r="AB975" i="5"/>
  <c r="F977" i="5"/>
  <c r="H980" i="5"/>
  <c r="AB985" i="5"/>
  <c r="G987" i="5"/>
  <c r="E988" i="5"/>
  <c r="AB988" i="5"/>
  <c r="J989" i="5"/>
  <c r="H990" i="5"/>
  <c r="AB991" i="5"/>
  <c r="H1057" i="5"/>
  <c r="AB973" i="5"/>
  <c r="F975" i="5"/>
  <c r="H978" i="5"/>
  <c r="J983" i="5"/>
  <c r="L984" i="5"/>
  <c r="F985" i="5"/>
  <c r="K989" i="5"/>
  <c r="I990" i="5"/>
  <c r="F991" i="5"/>
  <c r="L992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61" i="5"/>
  <c r="E957" i="5"/>
  <c r="E961" i="5"/>
  <c r="E965" i="5"/>
  <c r="E969" i="5"/>
  <c r="F973" i="5"/>
  <c r="H976" i="5"/>
  <c r="J981" i="5"/>
  <c r="AB984" i="5"/>
  <c r="G985" i="5"/>
  <c r="L986" i="5"/>
  <c r="G991" i="5"/>
  <c r="E992" i="5"/>
  <c r="AB992" i="5"/>
  <c r="H974" i="5"/>
  <c r="J979" i="5"/>
  <c r="L982" i="5"/>
  <c r="E986" i="5"/>
  <c r="AB986" i="5"/>
  <c r="J987" i="5"/>
  <c r="H988" i="5"/>
  <c r="K1991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J977" i="5"/>
  <c r="L980" i="5"/>
  <c r="AB983" i="5"/>
  <c r="K987" i="5"/>
  <c r="I988" i="5"/>
  <c r="F989" i="5"/>
  <c r="L990" i="5"/>
  <c r="L1063" i="5"/>
  <c r="H1991" i="5"/>
  <c r="E995" i="5"/>
  <c r="E999" i="5"/>
  <c r="E1003" i="5"/>
  <c r="M1003" i="5" s="1"/>
  <c r="E1007" i="5"/>
  <c r="E1011" i="5"/>
  <c r="E1015" i="5"/>
  <c r="E1019" i="5"/>
  <c r="E1023" i="5"/>
  <c r="E1027" i="5"/>
  <c r="E1031" i="5"/>
  <c r="E1035" i="5"/>
  <c r="M1035" i="5" s="1"/>
  <c r="E1039" i="5"/>
  <c r="E1043" i="5"/>
  <c r="E1047" i="5"/>
  <c r="E1051" i="5"/>
  <c r="E1055" i="5"/>
  <c r="E1057" i="5"/>
  <c r="AB1057" i="5"/>
  <c r="E1063" i="5"/>
  <c r="G1063" i="5"/>
  <c r="J1064" i="5"/>
  <c r="E1065" i="5"/>
  <c r="AB1065" i="5"/>
  <c r="K1067" i="5"/>
  <c r="G1071" i="5"/>
  <c r="J1072" i="5"/>
  <c r="E1073" i="5"/>
  <c r="AB1073" i="5"/>
  <c r="K1075" i="5"/>
  <c r="G1079" i="5"/>
  <c r="J1080" i="5"/>
  <c r="AB1088" i="5"/>
  <c r="K1090" i="5"/>
  <c r="I1091" i="5"/>
  <c r="G1093" i="5"/>
  <c r="F1094" i="5"/>
  <c r="L1095" i="5"/>
  <c r="I1098" i="5"/>
  <c r="G1099" i="5"/>
  <c r="AB1101" i="5"/>
  <c r="I1104" i="5"/>
  <c r="H1105" i="5"/>
  <c r="AB1107" i="5"/>
  <c r="K1109" i="5"/>
  <c r="G1112" i="5"/>
  <c r="AB1114" i="5"/>
  <c r="K1115" i="5"/>
  <c r="J1116" i="5"/>
  <c r="AB1120" i="5"/>
  <c r="K1122" i="5"/>
  <c r="I1123" i="5"/>
  <c r="G1125" i="5"/>
  <c r="F1126" i="5"/>
  <c r="L1127" i="5"/>
  <c r="I1130" i="5"/>
  <c r="G1131" i="5"/>
  <c r="AB1133" i="5"/>
  <c r="E1175" i="5"/>
  <c r="E1178" i="5"/>
  <c r="E1186" i="5"/>
  <c r="E1194" i="5"/>
  <c r="E1202" i="5"/>
  <c r="X1987" i="5"/>
  <c r="I1991" i="5" s="1"/>
  <c r="I1059" i="5"/>
  <c r="E1061" i="5"/>
  <c r="AB1061" i="5"/>
  <c r="I1066" i="5"/>
  <c r="L1067" i="5"/>
  <c r="G1068" i="5"/>
  <c r="AB1070" i="5"/>
  <c r="I1074" i="5"/>
  <c r="L1075" i="5"/>
  <c r="G1076" i="5"/>
  <c r="AB1078" i="5"/>
  <c r="G1081" i="5"/>
  <c r="K1082" i="5"/>
  <c r="G1083" i="5"/>
  <c r="I1086" i="5"/>
  <c r="G1087" i="5"/>
  <c r="I1092" i="5"/>
  <c r="H1093" i="5"/>
  <c r="K1097" i="5"/>
  <c r="G1100" i="5"/>
  <c r="K1103" i="5"/>
  <c r="J1104" i="5"/>
  <c r="K1110" i="5"/>
  <c r="I1111" i="5"/>
  <c r="G1113" i="5"/>
  <c r="F1114" i="5"/>
  <c r="L1115" i="5"/>
  <c r="I1118" i="5"/>
  <c r="G1119" i="5"/>
  <c r="I1124" i="5"/>
  <c r="H1125" i="5"/>
  <c r="K1129" i="5"/>
  <c r="G1132" i="5"/>
  <c r="F1134" i="5"/>
  <c r="F1138" i="5"/>
  <c r="F1142" i="5"/>
  <c r="F1146" i="5"/>
  <c r="F1150" i="5"/>
  <c r="F1154" i="5"/>
  <c r="F1181" i="5"/>
  <c r="J1991" i="5"/>
  <c r="E996" i="5"/>
  <c r="E1000" i="5"/>
  <c r="E1004" i="5"/>
  <c r="M1004" i="5" s="1"/>
  <c r="E1008" i="5"/>
  <c r="E1012" i="5"/>
  <c r="M1012" i="5" s="1"/>
  <c r="E1016" i="5"/>
  <c r="E1020" i="5"/>
  <c r="E1024" i="5"/>
  <c r="M1024" i="5" s="1"/>
  <c r="E1028" i="5"/>
  <c r="E1032" i="5"/>
  <c r="E1036" i="5"/>
  <c r="M1036" i="5" s="1"/>
  <c r="E1040" i="5"/>
  <c r="E1044" i="5"/>
  <c r="M1044" i="5" s="1"/>
  <c r="E1048" i="5"/>
  <c r="E1052" i="5"/>
  <c r="G1057" i="5"/>
  <c r="I1058" i="5"/>
  <c r="I1063" i="5"/>
  <c r="G1065" i="5"/>
  <c r="K1069" i="5"/>
  <c r="F1070" i="5"/>
  <c r="I1071" i="5"/>
  <c r="G1073" i="5"/>
  <c r="K1077" i="5"/>
  <c r="F1078" i="5"/>
  <c r="I1079" i="5"/>
  <c r="H1081" i="5"/>
  <c r="AB1084" i="5"/>
  <c r="K1085" i="5"/>
  <c r="G1088" i="5"/>
  <c r="AB1090" i="5"/>
  <c r="K1091" i="5"/>
  <c r="J1092" i="5"/>
  <c r="AB1096" i="5"/>
  <c r="K1098" i="5"/>
  <c r="I1099" i="5"/>
  <c r="G1101" i="5"/>
  <c r="F1102" i="5"/>
  <c r="L1103" i="5"/>
  <c r="I1106" i="5"/>
  <c r="G1107" i="5"/>
  <c r="AB1109" i="5"/>
  <c r="I1112" i="5"/>
  <c r="H1113" i="5"/>
  <c r="AB1115" i="5"/>
  <c r="K1117" i="5"/>
  <c r="G1120" i="5"/>
  <c r="AB1122" i="5"/>
  <c r="K1123" i="5"/>
  <c r="J1124" i="5"/>
  <c r="AB1128" i="5"/>
  <c r="K1130" i="5"/>
  <c r="I1131" i="5"/>
  <c r="G1133" i="5"/>
  <c r="G1135" i="5"/>
  <c r="G1136" i="5"/>
  <c r="G1137" i="5"/>
  <c r="G1139" i="5"/>
  <c r="G1140" i="5"/>
  <c r="G1141" i="5"/>
  <c r="G1143" i="5"/>
  <c r="G1144" i="5"/>
  <c r="G1145" i="5"/>
  <c r="G1147" i="5"/>
  <c r="G1148" i="5"/>
  <c r="G1149" i="5"/>
  <c r="G1151" i="5"/>
  <c r="G1152" i="5"/>
  <c r="G1153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7" i="5"/>
  <c r="G1181" i="5"/>
  <c r="G1185" i="5"/>
  <c r="G1189" i="5"/>
  <c r="G1193" i="5"/>
  <c r="G1197" i="5"/>
  <c r="G1201" i="5"/>
  <c r="K1059" i="5"/>
  <c r="E1060" i="5"/>
  <c r="M1060" i="5" s="1"/>
  <c r="AB1060" i="5"/>
  <c r="G1061" i="5"/>
  <c r="I1062" i="5"/>
  <c r="E1064" i="5"/>
  <c r="AB1064" i="5"/>
  <c r="H1065" i="5"/>
  <c r="K1066" i="5"/>
  <c r="I1068" i="5"/>
  <c r="E1072" i="5"/>
  <c r="AB1072" i="5"/>
  <c r="H1073" i="5"/>
  <c r="K1074" i="5"/>
  <c r="I1076" i="5"/>
  <c r="E1080" i="5"/>
  <c r="AB1080" i="5"/>
  <c r="AB1082" i="5"/>
  <c r="I1083" i="5"/>
  <c r="K1086" i="5"/>
  <c r="I1087" i="5"/>
  <c r="G1089" i="5"/>
  <c r="F1090" i="5"/>
  <c r="L1091" i="5"/>
  <c r="I1094" i="5"/>
  <c r="G1095" i="5"/>
  <c r="I1100" i="5"/>
  <c r="H1101" i="5"/>
  <c r="K1105" i="5"/>
  <c r="G1108" i="5"/>
  <c r="K1111" i="5"/>
  <c r="J1112" i="5"/>
  <c r="K1118" i="5"/>
  <c r="I1119" i="5"/>
  <c r="G1121" i="5"/>
  <c r="F1122" i="5"/>
  <c r="L1123" i="5"/>
  <c r="I1126" i="5"/>
  <c r="G1127" i="5"/>
  <c r="I1132" i="5"/>
  <c r="H1133" i="5"/>
  <c r="H1137" i="5"/>
  <c r="H1141" i="5"/>
  <c r="H1145" i="5"/>
  <c r="H1149" i="5"/>
  <c r="H1153" i="5"/>
  <c r="H1180" i="5"/>
  <c r="L1991" i="5"/>
  <c r="E997" i="5"/>
  <c r="E1001" i="5"/>
  <c r="M1001" i="5" s="1"/>
  <c r="E1005" i="5"/>
  <c r="M1005" i="5" s="1"/>
  <c r="E1009" i="5"/>
  <c r="M1009" i="5" s="1"/>
  <c r="E1013" i="5"/>
  <c r="E1017" i="5"/>
  <c r="E1021" i="5"/>
  <c r="M1021" i="5" s="1"/>
  <c r="E1025" i="5"/>
  <c r="M1025" i="5" s="1"/>
  <c r="E1029" i="5"/>
  <c r="E1033" i="5"/>
  <c r="M1033" i="5" s="1"/>
  <c r="E1037" i="5"/>
  <c r="M1037" i="5" s="1"/>
  <c r="E1041" i="5"/>
  <c r="M1041" i="5" s="1"/>
  <c r="E1045" i="5"/>
  <c r="E1049" i="5"/>
  <c r="E1053" i="5"/>
  <c r="M1053" i="5" s="1"/>
  <c r="K1058" i="5"/>
  <c r="K1063" i="5"/>
  <c r="G1067" i="5"/>
  <c r="J1068" i="5"/>
  <c r="E1069" i="5"/>
  <c r="AB1069" i="5"/>
  <c r="K1071" i="5"/>
  <c r="G1075" i="5"/>
  <c r="J1076" i="5"/>
  <c r="E1077" i="5"/>
  <c r="AB1077" i="5"/>
  <c r="K1079" i="5"/>
  <c r="F1082" i="5"/>
  <c r="G1084" i="5"/>
  <c r="AB1085" i="5"/>
  <c r="E1085" i="5"/>
  <c r="I1088" i="5"/>
  <c r="H1089" i="5"/>
  <c r="AB1091" i="5"/>
  <c r="K1093" i="5"/>
  <c r="G1096" i="5"/>
  <c r="AB1098" i="5"/>
  <c r="K1099" i="5"/>
  <c r="J1100" i="5"/>
  <c r="AB1104" i="5"/>
  <c r="K1106" i="5"/>
  <c r="I1107" i="5"/>
  <c r="G1109" i="5"/>
  <c r="F1110" i="5"/>
  <c r="L1111" i="5"/>
  <c r="I1114" i="5"/>
  <c r="G1115" i="5"/>
  <c r="AB1117" i="5"/>
  <c r="I1120" i="5"/>
  <c r="H1121" i="5"/>
  <c r="AB1123" i="5"/>
  <c r="K1125" i="5"/>
  <c r="G1128" i="5"/>
  <c r="AB1130" i="5"/>
  <c r="K1131" i="5"/>
  <c r="J1132" i="5"/>
  <c r="I1134" i="5"/>
  <c r="I1135" i="5"/>
  <c r="I1136" i="5"/>
  <c r="I1138" i="5"/>
  <c r="I1139" i="5"/>
  <c r="I1140" i="5"/>
  <c r="I1142" i="5"/>
  <c r="I1143" i="5"/>
  <c r="I1144" i="5"/>
  <c r="I1146" i="5"/>
  <c r="I1147" i="5"/>
  <c r="I1148" i="5"/>
  <c r="I1150" i="5"/>
  <c r="I1151" i="5"/>
  <c r="I1152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6" i="5"/>
  <c r="I1184" i="5"/>
  <c r="I1188" i="5"/>
  <c r="I1192" i="5"/>
  <c r="I1196" i="5"/>
  <c r="I1200" i="5"/>
  <c r="T1987" i="5"/>
  <c r="E1991" i="5" s="1"/>
  <c r="AB993" i="5"/>
  <c r="G1060" i="5"/>
  <c r="K1062" i="5"/>
  <c r="G1064" i="5"/>
  <c r="AB1066" i="5"/>
  <c r="I1070" i="5"/>
  <c r="L1071" i="5"/>
  <c r="G1072" i="5"/>
  <c r="AB1074" i="5"/>
  <c r="I1078" i="5"/>
  <c r="L1079" i="5"/>
  <c r="G1080" i="5"/>
  <c r="K1081" i="5"/>
  <c r="K1083" i="5"/>
  <c r="K1087" i="5"/>
  <c r="J1088" i="5"/>
  <c r="K1094" i="5"/>
  <c r="I1095" i="5"/>
  <c r="G1097" i="5"/>
  <c r="F1098" i="5"/>
  <c r="L1099" i="5"/>
  <c r="I1102" i="5"/>
  <c r="G1103" i="5"/>
  <c r="I1108" i="5"/>
  <c r="H1109" i="5"/>
  <c r="K1113" i="5"/>
  <c r="G1116" i="5"/>
  <c r="K1119" i="5"/>
  <c r="J1120" i="5"/>
  <c r="K1126" i="5"/>
  <c r="I1127" i="5"/>
  <c r="G1129" i="5"/>
  <c r="F1130" i="5"/>
  <c r="L1131" i="5"/>
  <c r="J1136" i="5"/>
  <c r="J1140" i="5"/>
  <c r="J1144" i="5"/>
  <c r="J1148" i="5"/>
  <c r="J1152" i="5"/>
  <c r="J1156" i="5"/>
  <c r="F1991" i="5"/>
  <c r="E994" i="5"/>
  <c r="M994" i="5" s="1"/>
  <c r="E998" i="5"/>
  <c r="M998" i="5" s="1"/>
  <c r="E1002" i="5"/>
  <c r="M1002" i="5" s="1"/>
  <c r="E1006" i="5"/>
  <c r="M1006" i="5" s="1"/>
  <c r="E1010" i="5"/>
  <c r="M1010" i="5" s="1"/>
  <c r="E1014" i="5"/>
  <c r="M1014" i="5" s="1"/>
  <c r="E1018" i="5"/>
  <c r="M1018" i="5" s="1"/>
  <c r="E1022" i="5"/>
  <c r="M1022" i="5" s="1"/>
  <c r="E1026" i="5"/>
  <c r="M1026" i="5" s="1"/>
  <c r="E1030" i="5"/>
  <c r="M1030" i="5" s="1"/>
  <c r="E1034" i="5"/>
  <c r="M1034" i="5" s="1"/>
  <c r="E1038" i="5"/>
  <c r="M1038" i="5" s="1"/>
  <c r="E1042" i="5"/>
  <c r="M1042" i="5" s="1"/>
  <c r="E1046" i="5"/>
  <c r="M1046" i="5" s="1"/>
  <c r="E1050" i="5"/>
  <c r="M1050" i="5" s="1"/>
  <c r="E1054" i="5"/>
  <c r="M1054" i="5" s="1"/>
  <c r="K1057" i="5"/>
  <c r="E1058" i="5"/>
  <c r="AB1058" i="5"/>
  <c r="K1065" i="5"/>
  <c r="F1066" i="5"/>
  <c r="I1067" i="5"/>
  <c r="G1069" i="5"/>
  <c r="K1073" i="5"/>
  <c r="F1074" i="5"/>
  <c r="I1075" i="5"/>
  <c r="G1077" i="5"/>
  <c r="L1083" i="5"/>
  <c r="I1084" i="5"/>
  <c r="G1085" i="5"/>
  <c r="F1086" i="5"/>
  <c r="L1087" i="5"/>
  <c r="I1090" i="5"/>
  <c r="G1091" i="5"/>
  <c r="AB1093" i="5"/>
  <c r="I1096" i="5"/>
  <c r="H1097" i="5"/>
  <c r="AB1099" i="5"/>
  <c r="K1101" i="5"/>
  <c r="G1104" i="5"/>
  <c r="AB1106" i="5"/>
  <c r="K1107" i="5"/>
  <c r="J1108" i="5"/>
  <c r="AB1112" i="5"/>
  <c r="K1114" i="5"/>
  <c r="I1115" i="5"/>
  <c r="G1117" i="5"/>
  <c r="F1118" i="5"/>
  <c r="L1119" i="5"/>
  <c r="I1122" i="5"/>
  <c r="G1123" i="5"/>
  <c r="AB1125" i="5"/>
  <c r="I1128" i="5"/>
  <c r="H1129" i="5"/>
  <c r="AB1131" i="5"/>
  <c r="K1133" i="5"/>
  <c r="K1134" i="5"/>
  <c r="K1135" i="5"/>
  <c r="K1137" i="5"/>
  <c r="K1138" i="5"/>
  <c r="K1139" i="5"/>
  <c r="K1141" i="5"/>
  <c r="K1142" i="5"/>
  <c r="K1143" i="5"/>
  <c r="K1145" i="5"/>
  <c r="K1146" i="5"/>
  <c r="K1147" i="5"/>
  <c r="K1149" i="5"/>
  <c r="K1150" i="5"/>
  <c r="K1151" i="5"/>
  <c r="K1153" i="5"/>
  <c r="K1154" i="5"/>
  <c r="K1155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G1059" i="5"/>
  <c r="I1060" i="5"/>
  <c r="K1061" i="5"/>
  <c r="E1062" i="5"/>
  <c r="AB1062" i="5"/>
  <c r="I1064" i="5"/>
  <c r="E1068" i="5"/>
  <c r="AB1068" i="5"/>
  <c r="H1069" i="5"/>
  <c r="K1070" i="5"/>
  <c r="I1072" i="5"/>
  <c r="E1076" i="5"/>
  <c r="AB1076" i="5"/>
  <c r="H1077" i="5"/>
  <c r="K1078" i="5"/>
  <c r="I1080" i="5"/>
  <c r="E1081" i="5"/>
  <c r="AB1081" i="5"/>
  <c r="I1082" i="5"/>
  <c r="J1084" i="5"/>
  <c r="H1085" i="5"/>
  <c r="K1089" i="5"/>
  <c r="G1092" i="5"/>
  <c r="K1095" i="5"/>
  <c r="J1096" i="5"/>
  <c r="K1102" i="5"/>
  <c r="I1103" i="5"/>
  <c r="G1105" i="5"/>
  <c r="F1106" i="5"/>
  <c r="L1107" i="5"/>
  <c r="I1110" i="5"/>
  <c r="G1111" i="5"/>
  <c r="I1116" i="5"/>
  <c r="H1117" i="5"/>
  <c r="K1121" i="5"/>
  <c r="G1124" i="5"/>
  <c r="K1127" i="5"/>
  <c r="J1128" i="5"/>
  <c r="L1135" i="5"/>
  <c r="L1139" i="5"/>
  <c r="L1143" i="5"/>
  <c r="L1147" i="5"/>
  <c r="L1151" i="5"/>
  <c r="L1155" i="5"/>
  <c r="L1178" i="5"/>
  <c r="E1084" i="5"/>
  <c r="E1088" i="5"/>
  <c r="E1092" i="5"/>
  <c r="E1096" i="5"/>
  <c r="M1096" i="5" s="1"/>
  <c r="E1100" i="5"/>
  <c r="E1104" i="5"/>
  <c r="M1104" i="5" s="1"/>
  <c r="E1108" i="5"/>
  <c r="E1112" i="5"/>
  <c r="E1116" i="5"/>
  <c r="E1120" i="5"/>
  <c r="E1124" i="5"/>
  <c r="M1124" i="5" s="1"/>
  <c r="E1128" i="5"/>
  <c r="E1132" i="5"/>
  <c r="E1136" i="5"/>
  <c r="E1140" i="5"/>
  <c r="E1144" i="5"/>
  <c r="E1148" i="5"/>
  <c r="E1152" i="5"/>
  <c r="E1156" i="5"/>
  <c r="E1160" i="5"/>
  <c r="E1164" i="5"/>
  <c r="E1168" i="5"/>
  <c r="E1172" i="5"/>
  <c r="AB1178" i="5"/>
  <c r="G1179" i="5"/>
  <c r="K1181" i="5"/>
  <c r="I1183" i="5"/>
  <c r="E1187" i="5"/>
  <c r="AB1187" i="5"/>
  <c r="H1188" i="5"/>
  <c r="K1189" i="5"/>
  <c r="I1191" i="5"/>
  <c r="E1195" i="5"/>
  <c r="AB1195" i="5"/>
  <c r="H1196" i="5"/>
  <c r="K1197" i="5"/>
  <c r="I1199" i="5"/>
  <c r="AB1204" i="5"/>
  <c r="I1207" i="5"/>
  <c r="H1208" i="5"/>
  <c r="AB1210" i="5"/>
  <c r="K1212" i="5"/>
  <c r="G1215" i="5"/>
  <c r="E1264" i="5"/>
  <c r="I1175" i="5"/>
  <c r="K1176" i="5"/>
  <c r="E1177" i="5"/>
  <c r="AB1177" i="5"/>
  <c r="G1182" i="5"/>
  <c r="J1183" i="5"/>
  <c r="E1184" i="5"/>
  <c r="AB1184" i="5"/>
  <c r="K1186" i="5"/>
  <c r="G1190" i="5"/>
  <c r="J1191" i="5"/>
  <c r="E1192" i="5"/>
  <c r="AB1192" i="5"/>
  <c r="K1194" i="5"/>
  <c r="G1198" i="5"/>
  <c r="J1199" i="5"/>
  <c r="E1200" i="5"/>
  <c r="AB1200" i="5"/>
  <c r="K1202" i="5"/>
  <c r="G1203" i="5"/>
  <c r="K1206" i="5"/>
  <c r="J1207" i="5"/>
  <c r="K1213" i="5"/>
  <c r="I1214" i="5"/>
  <c r="G1216" i="5"/>
  <c r="F1217" i="5"/>
  <c r="F1221" i="5"/>
  <c r="F1225" i="5"/>
  <c r="F1229" i="5"/>
  <c r="F1233" i="5"/>
  <c r="F1237" i="5"/>
  <c r="F1241" i="5"/>
  <c r="F1245" i="5"/>
  <c r="F1249" i="5"/>
  <c r="F1253" i="5"/>
  <c r="F1257" i="5"/>
  <c r="F1261" i="5"/>
  <c r="E1089" i="5"/>
  <c r="M1089" i="5" s="1"/>
  <c r="E1093" i="5"/>
  <c r="E1097" i="5"/>
  <c r="E1101" i="5"/>
  <c r="E1105" i="5"/>
  <c r="M1105" i="5" s="1"/>
  <c r="E1109" i="5"/>
  <c r="M1109" i="5" s="1"/>
  <c r="E1113" i="5"/>
  <c r="M1113" i="5" s="1"/>
  <c r="E1117" i="5"/>
  <c r="E1121" i="5"/>
  <c r="E1125" i="5"/>
  <c r="E1129" i="5"/>
  <c r="E1133" i="5"/>
  <c r="E1137" i="5"/>
  <c r="E1141" i="5"/>
  <c r="E1145" i="5"/>
  <c r="E1149" i="5"/>
  <c r="E1153" i="5"/>
  <c r="E1157" i="5"/>
  <c r="E1161" i="5"/>
  <c r="E1165" i="5"/>
  <c r="E1169" i="5"/>
  <c r="E1173" i="5"/>
  <c r="G1178" i="5"/>
  <c r="I1179" i="5"/>
  <c r="K1180" i="5"/>
  <c r="AB1181" i="5"/>
  <c r="E1181" i="5"/>
  <c r="E1182" i="5"/>
  <c r="I1185" i="5"/>
  <c r="L1186" i="5"/>
  <c r="G1187" i="5"/>
  <c r="AB1189" i="5"/>
  <c r="E1190" i="5"/>
  <c r="I1193" i="5"/>
  <c r="L1194" i="5"/>
  <c r="G1195" i="5"/>
  <c r="AB1197" i="5"/>
  <c r="E1198" i="5"/>
  <c r="I1201" i="5"/>
  <c r="L1202" i="5"/>
  <c r="G1204" i="5"/>
  <c r="F1205" i="5"/>
  <c r="L1206" i="5"/>
  <c r="I1209" i="5"/>
  <c r="G1210" i="5"/>
  <c r="AB1212" i="5"/>
  <c r="I1215" i="5"/>
  <c r="H1216" i="5"/>
  <c r="G1218" i="5"/>
  <c r="G1219" i="5"/>
  <c r="G1220" i="5"/>
  <c r="G1222" i="5"/>
  <c r="G1223" i="5"/>
  <c r="G1224" i="5"/>
  <c r="G1226" i="5"/>
  <c r="G1227" i="5"/>
  <c r="G1228" i="5"/>
  <c r="G1230" i="5"/>
  <c r="G1231" i="5"/>
  <c r="G1232" i="5"/>
  <c r="G1234" i="5"/>
  <c r="G1235" i="5"/>
  <c r="G1236" i="5"/>
  <c r="G1238" i="5"/>
  <c r="G1239" i="5"/>
  <c r="G1240" i="5"/>
  <c r="G1242" i="5"/>
  <c r="G1243" i="5"/>
  <c r="G1244" i="5"/>
  <c r="G1246" i="5"/>
  <c r="G1247" i="5"/>
  <c r="G1248" i="5"/>
  <c r="G1250" i="5"/>
  <c r="G1251" i="5"/>
  <c r="G1252" i="5"/>
  <c r="G1254" i="5"/>
  <c r="G1255" i="5"/>
  <c r="G1256" i="5"/>
  <c r="G1258" i="5"/>
  <c r="G1259" i="5"/>
  <c r="G1260" i="5"/>
  <c r="G1262" i="5"/>
  <c r="G1263" i="5"/>
  <c r="E1176" i="5"/>
  <c r="AB1176" i="5"/>
  <c r="I1182" i="5"/>
  <c r="G1184" i="5"/>
  <c r="AB1186" i="5"/>
  <c r="K1188" i="5"/>
  <c r="F1189" i="5"/>
  <c r="I1190" i="5"/>
  <c r="G1192" i="5"/>
  <c r="AB1194" i="5"/>
  <c r="K1196" i="5"/>
  <c r="F1197" i="5"/>
  <c r="I1198" i="5"/>
  <c r="G1200" i="5"/>
  <c r="AB1202" i="5"/>
  <c r="I1203" i="5"/>
  <c r="H1204" i="5"/>
  <c r="K1208" i="5"/>
  <c r="G1211" i="5"/>
  <c r="K1214" i="5"/>
  <c r="J1215" i="5"/>
  <c r="H1220" i="5"/>
  <c r="H1224" i="5"/>
  <c r="H1228" i="5"/>
  <c r="H1232" i="5"/>
  <c r="H1236" i="5"/>
  <c r="H1240" i="5"/>
  <c r="H1244" i="5"/>
  <c r="H1248" i="5"/>
  <c r="H1252" i="5"/>
  <c r="H1256" i="5"/>
  <c r="H1260" i="5"/>
  <c r="E1066" i="5"/>
  <c r="E1070" i="5"/>
  <c r="M1070" i="5" s="1"/>
  <c r="E1074" i="5"/>
  <c r="M1074" i="5" s="1"/>
  <c r="E1078" i="5"/>
  <c r="E1082" i="5"/>
  <c r="E1086" i="5"/>
  <c r="M1086" i="5" s="1"/>
  <c r="E1090" i="5"/>
  <c r="M1090" i="5" s="1"/>
  <c r="E1094" i="5"/>
  <c r="M1094" i="5" s="1"/>
  <c r="E1098" i="5"/>
  <c r="E1102" i="5"/>
  <c r="M1102" i="5" s="1"/>
  <c r="E1106" i="5"/>
  <c r="M1106" i="5" s="1"/>
  <c r="E1110" i="5"/>
  <c r="E1114" i="5"/>
  <c r="M1114" i="5" s="1"/>
  <c r="E1118" i="5"/>
  <c r="E1122" i="5"/>
  <c r="M1122" i="5" s="1"/>
  <c r="E1126" i="5"/>
  <c r="E1130" i="5"/>
  <c r="E1134" i="5"/>
  <c r="E1138" i="5"/>
  <c r="E1142" i="5"/>
  <c r="E1146" i="5"/>
  <c r="E1150" i="5"/>
  <c r="E1154" i="5"/>
  <c r="E1158" i="5"/>
  <c r="E1162" i="5"/>
  <c r="E1166" i="5"/>
  <c r="E1170" i="5"/>
  <c r="E1174" i="5"/>
  <c r="I1178" i="5"/>
  <c r="E1180" i="5"/>
  <c r="AB1180" i="5"/>
  <c r="E1183" i="5"/>
  <c r="AB1183" i="5"/>
  <c r="H1184" i="5"/>
  <c r="K1185" i="5"/>
  <c r="I1187" i="5"/>
  <c r="E1191" i="5"/>
  <c r="AB1191" i="5"/>
  <c r="H1192" i="5"/>
  <c r="K1193" i="5"/>
  <c r="I1195" i="5"/>
  <c r="E1199" i="5"/>
  <c r="AB1199" i="5"/>
  <c r="H1200" i="5"/>
  <c r="K1201" i="5"/>
  <c r="J1203" i="5"/>
  <c r="AB1207" i="5"/>
  <c r="K1209" i="5"/>
  <c r="I1210" i="5"/>
  <c r="G1212" i="5"/>
  <c r="F1213" i="5"/>
  <c r="L1214" i="5"/>
  <c r="I1217" i="5"/>
  <c r="I1218" i="5"/>
  <c r="I1219" i="5"/>
  <c r="I1221" i="5"/>
  <c r="I1222" i="5"/>
  <c r="I1223" i="5"/>
  <c r="I1225" i="5"/>
  <c r="I1226" i="5"/>
  <c r="I1227" i="5"/>
  <c r="I1229" i="5"/>
  <c r="I1230" i="5"/>
  <c r="I1231" i="5"/>
  <c r="I1233" i="5"/>
  <c r="I1234" i="5"/>
  <c r="I1235" i="5"/>
  <c r="I1237" i="5"/>
  <c r="I1238" i="5"/>
  <c r="I1239" i="5"/>
  <c r="I1241" i="5"/>
  <c r="I1242" i="5"/>
  <c r="I1243" i="5"/>
  <c r="I1245" i="5"/>
  <c r="I1246" i="5"/>
  <c r="I1247" i="5"/>
  <c r="I1249" i="5"/>
  <c r="I1250" i="5"/>
  <c r="I1251" i="5"/>
  <c r="I1253" i="5"/>
  <c r="I1254" i="5"/>
  <c r="I1255" i="5"/>
  <c r="I1257" i="5"/>
  <c r="I1258" i="5"/>
  <c r="I1259" i="5"/>
  <c r="I1261" i="5"/>
  <c r="I1262" i="5"/>
  <c r="I1263" i="5"/>
  <c r="AB1175" i="5"/>
  <c r="G1176" i="5"/>
  <c r="I1177" i="5"/>
  <c r="K1182" i="5"/>
  <c r="G1186" i="5"/>
  <c r="J1187" i="5"/>
  <c r="E1188" i="5"/>
  <c r="AB1188" i="5"/>
  <c r="K1190" i="5"/>
  <c r="G1194" i="5"/>
  <c r="J1195" i="5"/>
  <c r="E1196" i="5"/>
  <c r="AB1196" i="5"/>
  <c r="K1198" i="5"/>
  <c r="G1202" i="5"/>
  <c r="I1205" i="5"/>
  <c r="G1206" i="5"/>
  <c r="I1211" i="5"/>
  <c r="H1212" i="5"/>
  <c r="K1216" i="5"/>
  <c r="J1219" i="5"/>
  <c r="J1223" i="5"/>
  <c r="J1227" i="5"/>
  <c r="J1231" i="5"/>
  <c r="J1235" i="5"/>
  <c r="J1239" i="5"/>
  <c r="J1243" i="5"/>
  <c r="J1247" i="5"/>
  <c r="J1251" i="5"/>
  <c r="J1255" i="5"/>
  <c r="J1259" i="5"/>
  <c r="J1263" i="5"/>
  <c r="E1159" i="5"/>
  <c r="E1163" i="5"/>
  <c r="E1167" i="5"/>
  <c r="E1171" i="5"/>
  <c r="K1178" i="5"/>
  <c r="E1179" i="5"/>
  <c r="AB1179" i="5"/>
  <c r="G1180" i="5"/>
  <c r="I1181" i="5"/>
  <c r="L1182" i="5"/>
  <c r="G1183" i="5"/>
  <c r="AB1185" i="5"/>
  <c r="I1189" i="5"/>
  <c r="L1190" i="5"/>
  <c r="G1191" i="5"/>
  <c r="AB1193" i="5"/>
  <c r="I1197" i="5"/>
  <c r="L1198" i="5"/>
  <c r="G1199" i="5"/>
  <c r="AB1201" i="5"/>
  <c r="K1204" i="5"/>
  <c r="G1207" i="5"/>
  <c r="AB1209" i="5"/>
  <c r="K1210" i="5"/>
  <c r="J1211" i="5"/>
  <c r="AB1215" i="5"/>
  <c r="K1217" i="5"/>
  <c r="K1218" i="5"/>
  <c r="K1220" i="5"/>
  <c r="K1221" i="5"/>
  <c r="K1222" i="5"/>
  <c r="K1224" i="5"/>
  <c r="K1225" i="5"/>
  <c r="K1226" i="5"/>
  <c r="K1228" i="5"/>
  <c r="K1229" i="5"/>
  <c r="K1230" i="5"/>
  <c r="K1232" i="5"/>
  <c r="K1233" i="5"/>
  <c r="K1234" i="5"/>
  <c r="K1236" i="5"/>
  <c r="K1237" i="5"/>
  <c r="K1238" i="5"/>
  <c r="K1240" i="5"/>
  <c r="K1241" i="5"/>
  <c r="K1242" i="5"/>
  <c r="K1244" i="5"/>
  <c r="K1245" i="5"/>
  <c r="K1246" i="5"/>
  <c r="K1248" i="5"/>
  <c r="K1249" i="5"/>
  <c r="K1250" i="5"/>
  <c r="K1252" i="5"/>
  <c r="K1253" i="5"/>
  <c r="K1254" i="5"/>
  <c r="K1256" i="5"/>
  <c r="K1257" i="5"/>
  <c r="K1258" i="5"/>
  <c r="K1260" i="5"/>
  <c r="K1261" i="5"/>
  <c r="K1262" i="5"/>
  <c r="K1177" i="5"/>
  <c r="K1184" i="5"/>
  <c r="F1185" i="5"/>
  <c r="I1186" i="5"/>
  <c r="G1188" i="5"/>
  <c r="K1192" i="5"/>
  <c r="F1193" i="5"/>
  <c r="I1194" i="5"/>
  <c r="G1196" i="5"/>
  <c r="K1200" i="5"/>
  <c r="F1201" i="5"/>
  <c r="I1202" i="5"/>
  <c r="AB1203" i="5"/>
  <c r="E1203" i="5"/>
  <c r="K1205" i="5"/>
  <c r="I1206" i="5"/>
  <c r="G1208" i="5"/>
  <c r="F1209" i="5"/>
  <c r="L1210" i="5"/>
  <c r="I1213" i="5"/>
  <c r="G1214" i="5"/>
  <c r="L1218" i="5"/>
  <c r="L1222" i="5"/>
  <c r="L1226" i="5"/>
  <c r="L1230" i="5"/>
  <c r="L1234" i="5"/>
  <c r="L1238" i="5"/>
  <c r="L1242" i="5"/>
  <c r="L1246" i="5"/>
  <c r="L1250" i="5"/>
  <c r="L1254" i="5"/>
  <c r="L1258" i="5"/>
  <c r="L1262" i="5"/>
  <c r="E1207" i="5"/>
  <c r="E1211" i="5"/>
  <c r="E1215" i="5"/>
  <c r="E1219" i="5"/>
  <c r="E1223" i="5"/>
  <c r="E1227" i="5"/>
  <c r="E1231" i="5"/>
  <c r="E1235" i="5"/>
  <c r="E1239" i="5"/>
  <c r="E1243" i="5"/>
  <c r="E1247" i="5"/>
  <c r="E1251" i="5"/>
  <c r="E1255" i="5"/>
  <c r="E1259" i="5"/>
  <c r="E1263" i="5"/>
  <c r="AB1264" i="5"/>
  <c r="K1266" i="5"/>
  <c r="I1268" i="5"/>
  <c r="G1270" i="5"/>
  <c r="E1272" i="5"/>
  <c r="AB1272" i="5"/>
  <c r="K1274" i="5"/>
  <c r="I1276" i="5"/>
  <c r="G1278" i="5"/>
  <c r="E1280" i="5"/>
  <c r="AB1280" i="5"/>
  <c r="K1282" i="5"/>
  <c r="I1284" i="5"/>
  <c r="G1286" i="5"/>
  <c r="E1288" i="5"/>
  <c r="AB1288" i="5"/>
  <c r="K1290" i="5"/>
  <c r="I1292" i="5"/>
  <c r="G1294" i="5"/>
  <c r="E1296" i="5"/>
  <c r="AB1296" i="5"/>
  <c r="K1298" i="5"/>
  <c r="I1300" i="5"/>
  <c r="G1302" i="5"/>
  <c r="E1304" i="5"/>
  <c r="AB1304" i="5"/>
  <c r="K1306" i="5"/>
  <c r="I1308" i="5"/>
  <c r="G1310" i="5"/>
  <c r="E1312" i="5"/>
  <c r="AB1312" i="5"/>
  <c r="K1314" i="5"/>
  <c r="G1315" i="5"/>
  <c r="E1372" i="5"/>
  <c r="I1265" i="5"/>
  <c r="G1267" i="5"/>
  <c r="E1269" i="5"/>
  <c r="AB1269" i="5"/>
  <c r="K1271" i="5"/>
  <c r="I1273" i="5"/>
  <c r="G1275" i="5"/>
  <c r="E1277" i="5"/>
  <c r="AB1277" i="5"/>
  <c r="K1279" i="5"/>
  <c r="I1281" i="5"/>
  <c r="G1283" i="5"/>
  <c r="E1285" i="5"/>
  <c r="AB1285" i="5"/>
  <c r="K1287" i="5"/>
  <c r="I1289" i="5"/>
  <c r="G1291" i="5"/>
  <c r="E1293" i="5"/>
  <c r="AB1293" i="5"/>
  <c r="K1295" i="5"/>
  <c r="I1297" i="5"/>
  <c r="G1299" i="5"/>
  <c r="E1301" i="5"/>
  <c r="AB1301" i="5"/>
  <c r="K1303" i="5"/>
  <c r="I1305" i="5"/>
  <c r="G1307" i="5"/>
  <c r="E1309" i="5"/>
  <c r="AB1309" i="5"/>
  <c r="K1311" i="5"/>
  <c r="I1313" i="5"/>
  <c r="F1363" i="5"/>
  <c r="F1364" i="5"/>
  <c r="F1367" i="5"/>
  <c r="F1368" i="5"/>
  <c r="F1375" i="5"/>
  <c r="F1379" i="5"/>
  <c r="F1383" i="5"/>
  <c r="F1387" i="5"/>
  <c r="F1395" i="5"/>
  <c r="E1204" i="5"/>
  <c r="E1208" i="5"/>
  <c r="E1212" i="5"/>
  <c r="E1216" i="5"/>
  <c r="E1220" i="5"/>
  <c r="E1224" i="5"/>
  <c r="E1228" i="5"/>
  <c r="E1232" i="5"/>
  <c r="E1236" i="5"/>
  <c r="E1240" i="5"/>
  <c r="E1244" i="5"/>
  <c r="E1248" i="5"/>
  <c r="E1252" i="5"/>
  <c r="E1256" i="5"/>
  <c r="E1260" i="5"/>
  <c r="E1266" i="5"/>
  <c r="AB1266" i="5"/>
  <c r="K1268" i="5"/>
  <c r="I1270" i="5"/>
  <c r="G1272" i="5"/>
  <c r="E1274" i="5"/>
  <c r="AB1274" i="5"/>
  <c r="K1276" i="5"/>
  <c r="I1278" i="5"/>
  <c r="G1280" i="5"/>
  <c r="E1282" i="5"/>
  <c r="AB1282" i="5"/>
  <c r="K1284" i="5"/>
  <c r="I1286" i="5"/>
  <c r="G1288" i="5"/>
  <c r="E1290" i="5"/>
  <c r="AB1290" i="5"/>
  <c r="K1292" i="5"/>
  <c r="I1294" i="5"/>
  <c r="G1296" i="5"/>
  <c r="E1298" i="5"/>
  <c r="AB1298" i="5"/>
  <c r="K1300" i="5"/>
  <c r="I1302" i="5"/>
  <c r="G1304" i="5"/>
  <c r="E1306" i="5"/>
  <c r="AB1306" i="5"/>
  <c r="K1308" i="5"/>
  <c r="I1310" i="5"/>
  <c r="G1312" i="5"/>
  <c r="E1314" i="5"/>
  <c r="AB1314" i="5"/>
  <c r="I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71" i="5"/>
  <c r="G1375" i="5"/>
  <c r="K1265" i="5"/>
  <c r="I1267" i="5"/>
  <c r="G1269" i="5"/>
  <c r="E1271" i="5"/>
  <c r="AB1271" i="5"/>
  <c r="K1273" i="5"/>
  <c r="I1275" i="5"/>
  <c r="G1277" i="5"/>
  <c r="E1279" i="5"/>
  <c r="AB1279" i="5"/>
  <c r="K1281" i="5"/>
  <c r="I1283" i="5"/>
  <c r="G1285" i="5"/>
  <c r="E1287" i="5"/>
  <c r="AB1287" i="5"/>
  <c r="K1289" i="5"/>
  <c r="I1291" i="5"/>
  <c r="G1293" i="5"/>
  <c r="E1295" i="5"/>
  <c r="AB1295" i="5"/>
  <c r="K1297" i="5"/>
  <c r="I1299" i="5"/>
  <c r="G1301" i="5"/>
  <c r="E1303" i="5"/>
  <c r="AB1303" i="5"/>
  <c r="K1305" i="5"/>
  <c r="I1307" i="5"/>
  <c r="G1309" i="5"/>
  <c r="E1311" i="5"/>
  <c r="AB1311" i="5"/>
  <c r="K1313" i="5"/>
  <c r="H1363" i="5"/>
  <c r="H1367" i="5"/>
  <c r="H1371" i="5"/>
  <c r="H1378" i="5"/>
  <c r="H1382" i="5"/>
  <c r="H1386" i="5"/>
  <c r="H1390" i="5"/>
  <c r="H1394" i="5"/>
  <c r="E1185" i="5"/>
  <c r="E1189" i="5"/>
  <c r="E1193" i="5"/>
  <c r="E1197" i="5"/>
  <c r="E1201" i="5"/>
  <c r="E1205" i="5"/>
  <c r="E1209" i="5"/>
  <c r="E1213" i="5"/>
  <c r="E1217" i="5"/>
  <c r="E1221" i="5"/>
  <c r="E1225" i="5"/>
  <c r="E1229" i="5"/>
  <c r="E1233" i="5"/>
  <c r="E1237" i="5"/>
  <c r="E1241" i="5"/>
  <c r="E1245" i="5"/>
  <c r="E1249" i="5"/>
  <c r="E1253" i="5"/>
  <c r="E1257" i="5"/>
  <c r="E1261" i="5"/>
  <c r="I1264" i="5"/>
  <c r="G1266" i="5"/>
  <c r="E1268" i="5"/>
  <c r="AB1268" i="5"/>
  <c r="K1270" i="5"/>
  <c r="I1272" i="5"/>
  <c r="G1274" i="5"/>
  <c r="E1276" i="5"/>
  <c r="AB1276" i="5"/>
  <c r="K1278" i="5"/>
  <c r="I1280" i="5"/>
  <c r="G1282" i="5"/>
  <c r="E1284" i="5"/>
  <c r="AB1284" i="5"/>
  <c r="K1286" i="5"/>
  <c r="I1288" i="5"/>
  <c r="G1290" i="5"/>
  <c r="E1292" i="5"/>
  <c r="AB1292" i="5"/>
  <c r="K1294" i="5"/>
  <c r="I1296" i="5"/>
  <c r="G1298" i="5"/>
  <c r="E1300" i="5"/>
  <c r="AB1300" i="5"/>
  <c r="K1302" i="5"/>
  <c r="I1304" i="5"/>
  <c r="G1306" i="5"/>
  <c r="E1308" i="5"/>
  <c r="AB1308" i="5"/>
  <c r="K1310" i="5"/>
  <c r="I1312" i="5"/>
  <c r="G1314" i="5"/>
  <c r="K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E1265" i="5"/>
  <c r="AB1265" i="5"/>
  <c r="K1267" i="5"/>
  <c r="I1269" i="5"/>
  <c r="G1271" i="5"/>
  <c r="E1273" i="5"/>
  <c r="AB1273" i="5"/>
  <c r="K1275" i="5"/>
  <c r="I1277" i="5"/>
  <c r="G1279" i="5"/>
  <c r="E1281" i="5"/>
  <c r="AB1281" i="5"/>
  <c r="K1283" i="5"/>
  <c r="I1285" i="5"/>
  <c r="G1287" i="5"/>
  <c r="E1289" i="5"/>
  <c r="AB1289" i="5"/>
  <c r="K1291" i="5"/>
  <c r="I1293" i="5"/>
  <c r="G1295" i="5"/>
  <c r="E1297" i="5"/>
  <c r="AB1297" i="5"/>
  <c r="K1299" i="5"/>
  <c r="I1301" i="5"/>
  <c r="G1303" i="5"/>
  <c r="E1305" i="5"/>
  <c r="AB1305" i="5"/>
  <c r="K1307" i="5"/>
  <c r="I1309" i="5"/>
  <c r="G1311" i="5"/>
  <c r="E1313" i="5"/>
  <c r="AB1313" i="5"/>
  <c r="J1365" i="5"/>
  <c r="J1369" i="5"/>
  <c r="J1373" i="5"/>
  <c r="J1389" i="5"/>
  <c r="J1397" i="5"/>
  <c r="K1264" i="5"/>
  <c r="I1266" i="5"/>
  <c r="G1268" i="5"/>
  <c r="E1270" i="5"/>
  <c r="AB1270" i="5"/>
  <c r="K1272" i="5"/>
  <c r="I1274" i="5"/>
  <c r="G1276" i="5"/>
  <c r="E1278" i="5"/>
  <c r="AB1278" i="5"/>
  <c r="K1280" i="5"/>
  <c r="I1282" i="5"/>
  <c r="G1284" i="5"/>
  <c r="E1286" i="5"/>
  <c r="AB1286" i="5"/>
  <c r="K1288" i="5"/>
  <c r="I1290" i="5"/>
  <c r="G1292" i="5"/>
  <c r="E1294" i="5"/>
  <c r="AB1294" i="5"/>
  <c r="K1296" i="5"/>
  <c r="I1298" i="5"/>
  <c r="G1300" i="5"/>
  <c r="E1302" i="5"/>
  <c r="AB1302" i="5"/>
  <c r="K1304" i="5"/>
  <c r="I1306" i="5"/>
  <c r="G1308" i="5"/>
  <c r="E1310" i="5"/>
  <c r="AB1310" i="5"/>
  <c r="K1312" i="5"/>
  <c r="I1314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G1265" i="5"/>
  <c r="E1267" i="5"/>
  <c r="AB1267" i="5"/>
  <c r="K1269" i="5"/>
  <c r="I1271" i="5"/>
  <c r="G1273" i="5"/>
  <c r="E1275" i="5"/>
  <c r="AB1275" i="5"/>
  <c r="K1277" i="5"/>
  <c r="I1279" i="5"/>
  <c r="G1281" i="5"/>
  <c r="E1283" i="5"/>
  <c r="AB1283" i="5"/>
  <c r="K1285" i="5"/>
  <c r="I1287" i="5"/>
  <c r="G1289" i="5"/>
  <c r="E1291" i="5"/>
  <c r="AB1291" i="5"/>
  <c r="K1293" i="5"/>
  <c r="I1295" i="5"/>
  <c r="G1297" i="5"/>
  <c r="E1299" i="5"/>
  <c r="AB1299" i="5"/>
  <c r="K1301" i="5"/>
  <c r="I1303" i="5"/>
  <c r="G1305" i="5"/>
  <c r="E1307" i="5"/>
  <c r="AB1307" i="5"/>
  <c r="K1309" i="5"/>
  <c r="I1311" i="5"/>
  <c r="G1313" i="5"/>
  <c r="L1364" i="5"/>
  <c r="L1365" i="5"/>
  <c r="L1368" i="5"/>
  <c r="L1369" i="5"/>
  <c r="L1373" i="5"/>
  <c r="L1376" i="5"/>
  <c r="L1380" i="5"/>
  <c r="L1384" i="5"/>
  <c r="L1388" i="5"/>
  <c r="L1392" i="5"/>
  <c r="E1316" i="5"/>
  <c r="E1320" i="5"/>
  <c r="E1324" i="5"/>
  <c r="M1324" i="5" s="1"/>
  <c r="E1328" i="5"/>
  <c r="E1332" i="5"/>
  <c r="M1332" i="5" s="1"/>
  <c r="E1336" i="5"/>
  <c r="M1336" i="5" s="1"/>
  <c r="E1340" i="5"/>
  <c r="M1340" i="5" s="1"/>
  <c r="E1344" i="5"/>
  <c r="M1344" i="5" s="1"/>
  <c r="E1348" i="5"/>
  <c r="E1352" i="5"/>
  <c r="E1356" i="5"/>
  <c r="M1356" i="5" s="1"/>
  <c r="E1360" i="5"/>
  <c r="L1370" i="5"/>
  <c r="H1372" i="5"/>
  <c r="I1373" i="5"/>
  <c r="AB1378" i="5"/>
  <c r="K1380" i="5"/>
  <c r="F1381" i="5"/>
  <c r="E1383" i="5"/>
  <c r="AB1383" i="5"/>
  <c r="AB1386" i="5"/>
  <c r="K1388" i="5"/>
  <c r="K1392" i="5"/>
  <c r="H1393" i="5"/>
  <c r="L1394" i="5"/>
  <c r="I1397" i="5"/>
  <c r="AB1398" i="5"/>
  <c r="J1399" i="5"/>
  <c r="AB1401" i="5"/>
  <c r="J1403" i="5"/>
  <c r="H1404" i="5"/>
  <c r="F1406" i="5"/>
  <c r="AB1407" i="5"/>
  <c r="E1407" i="5"/>
  <c r="J1363" i="5"/>
  <c r="J1364" i="5"/>
  <c r="L1367" i="5"/>
  <c r="AB1370" i="5"/>
  <c r="L1374" i="5"/>
  <c r="H1376" i="5"/>
  <c r="F1378" i="5"/>
  <c r="J1379" i="5"/>
  <c r="H1384" i="5"/>
  <c r="F1386" i="5"/>
  <c r="J1387" i="5"/>
  <c r="H1389" i="5"/>
  <c r="L1390" i="5"/>
  <c r="I1393" i="5"/>
  <c r="J1395" i="5"/>
  <c r="F1398" i="5"/>
  <c r="H1400" i="5"/>
  <c r="F1401" i="5"/>
  <c r="L1402" i="5"/>
  <c r="H1405" i="5"/>
  <c r="G1406" i="5"/>
  <c r="F1409" i="5"/>
  <c r="F1410" i="5"/>
  <c r="F1411" i="5"/>
  <c r="F1413" i="5"/>
  <c r="F1414" i="5"/>
  <c r="F1415" i="5"/>
  <c r="F1417" i="5"/>
  <c r="E1317" i="5"/>
  <c r="E1321" i="5"/>
  <c r="E1325" i="5"/>
  <c r="E1329" i="5"/>
  <c r="E1333" i="5"/>
  <c r="M1333" i="5" s="1"/>
  <c r="E1337" i="5"/>
  <c r="E1341" i="5"/>
  <c r="E1345" i="5"/>
  <c r="E1349" i="5"/>
  <c r="E1353" i="5"/>
  <c r="E1357" i="5"/>
  <c r="E1361" i="5"/>
  <c r="L1366" i="5"/>
  <c r="AB1369" i="5"/>
  <c r="F1370" i="5"/>
  <c r="J1372" i="5"/>
  <c r="AB1374" i="5"/>
  <c r="G1378" i="5"/>
  <c r="H1381" i="5"/>
  <c r="G1386" i="5"/>
  <c r="I1389" i="5"/>
  <c r="AB1390" i="5"/>
  <c r="J1391" i="5"/>
  <c r="AB1392" i="5"/>
  <c r="F1394" i="5"/>
  <c r="G1398" i="5"/>
  <c r="L1399" i="5"/>
  <c r="AB1402" i="5"/>
  <c r="L1403" i="5"/>
  <c r="J1404" i="5"/>
  <c r="I1405" i="5"/>
  <c r="L1363" i="5"/>
  <c r="AB1366" i="5"/>
  <c r="F1369" i="5"/>
  <c r="J1371" i="5"/>
  <c r="K1372" i="5"/>
  <c r="F1374" i="5"/>
  <c r="J1376" i="5"/>
  <c r="AB1377" i="5"/>
  <c r="L1379" i="5"/>
  <c r="I1381" i="5"/>
  <c r="L1382" i="5"/>
  <c r="J1384" i="5"/>
  <c r="AB1385" i="5"/>
  <c r="L1387" i="5"/>
  <c r="F1390" i="5"/>
  <c r="G1394" i="5"/>
  <c r="L1395" i="5"/>
  <c r="E1399" i="5"/>
  <c r="AB1399" i="5"/>
  <c r="J1400" i="5"/>
  <c r="H1401" i="5"/>
  <c r="F1402" i="5"/>
  <c r="E1403" i="5"/>
  <c r="AB1403" i="5"/>
  <c r="K1404" i="5"/>
  <c r="H1408" i="5"/>
  <c r="H1409" i="5"/>
  <c r="H1410" i="5"/>
  <c r="H1412" i="5"/>
  <c r="H1413" i="5"/>
  <c r="H1414" i="5"/>
  <c r="H1416" i="5"/>
  <c r="H1417" i="5"/>
  <c r="E1318" i="5"/>
  <c r="E1322" i="5"/>
  <c r="E1326" i="5"/>
  <c r="E1330" i="5"/>
  <c r="E1334" i="5"/>
  <c r="M1334" i="5" s="1"/>
  <c r="E1338" i="5"/>
  <c r="E1342" i="5"/>
  <c r="E1346" i="5"/>
  <c r="E1350" i="5"/>
  <c r="E1354" i="5"/>
  <c r="M1354" i="5" s="1"/>
  <c r="E1358" i="5"/>
  <c r="E1362" i="5"/>
  <c r="AB1365" i="5"/>
  <c r="F1366" i="5"/>
  <c r="AB1373" i="5"/>
  <c r="G1374" i="5"/>
  <c r="J1375" i="5"/>
  <c r="K1376" i="5"/>
  <c r="F1377" i="5"/>
  <c r="E1379" i="5"/>
  <c r="AB1379" i="5"/>
  <c r="AB1382" i="5"/>
  <c r="K1384" i="5"/>
  <c r="F1385" i="5"/>
  <c r="E1387" i="5"/>
  <c r="AB1387" i="5"/>
  <c r="G1390" i="5"/>
  <c r="L1391" i="5"/>
  <c r="E1395" i="5"/>
  <c r="M1395" i="5" s="1"/>
  <c r="AB1395" i="5"/>
  <c r="H1396" i="5"/>
  <c r="AB1397" i="5"/>
  <c r="K1400" i="5"/>
  <c r="I1401" i="5"/>
  <c r="G1402" i="5"/>
  <c r="F1365" i="5"/>
  <c r="H1368" i="5"/>
  <c r="H1369" i="5"/>
  <c r="L1371" i="5"/>
  <c r="AB1372" i="5"/>
  <c r="F1373" i="5"/>
  <c r="H1380" i="5"/>
  <c r="F1382" i="5"/>
  <c r="J1383" i="5"/>
  <c r="H1388" i="5"/>
  <c r="E1391" i="5"/>
  <c r="AB1391" i="5"/>
  <c r="H1392" i="5"/>
  <c r="F1397" i="5"/>
  <c r="J1407" i="5"/>
  <c r="J1408" i="5"/>
  <c r="J1409" i="5"/>
  <c r="J1411" i="5"/>
  <c r="J1412" i="5"/>
  <c r="J1413" i="5"/>
  <c r="J1415" i="5"/>
  <c r="J1416" i="5"/>
  <c r="J1417" i="5"/>
  <c r="E1315" i="5"/>
  <c r="E1319" i="5"/>
  <c r="E1323" i="5"/>
  <c r="M1323" i="5" s="1"/>
  <c r="E1327" i="5"/>
  <c r="M1327" i="5" s="1"/>
  <c r="E1331" i="5"/>
  <c r="M1331" i="5" s="1"/>
  <c r="E1335" i="5"/>
  <c r="E1339" i="5"/>
  <c r="E1343" i="5"/>
  <c r="M1343" i="5" s="1"/>
  <c r="E1347" i="5"/>
  <c r="M1347" i="5" s="1"/>
  <c r="E1351" i="5"/>
  <c r="E1355" i="5"/>
  <c r="M1355" i="5" s="1"/>
  <c r="E1359" i="5"/>
  <c r="M1359" i="5" s="1"/>
  <c r="E1371" i="5"/>
  <c r="AB1371" i="5"/>
  <c r="L1375" i="5"/>
  <c r="H1377" i="5"/>
  <c r="G1382" i="5"/>
  <c r="H1385" i="5"/>
  <c r="AB1389" i="5"/>
  <c r="F1393" i="5"/>
  <c r="J1396" i="5"/>
  <c r="AB1400" i="5"/>
  <c r="L1406" i="5"/>
  <c r="H1364" i="5"/>
  <c r="H1365" i="5"/>
  <c r="J1367" i="5"/>
  <c r="J1368" i="5"/>
  <c r="H1373" i="5"/>
  <c r="E1375" i="5"/>
  <c r="AB1375" i="5"/>
  <c r="I1377" i="5"/>
  <c r="L1378" i="5"/>
  <c r="J1380" i="5"/>
  <c r="AB1381" i="5"/>
  <c r="L1383" i="5"/>
  <c r="I1385" i="5"/>
  <c r="L1386" i="5"/>
  <c r="J1388" i="5"/>
  <c r="F1389" i="5"/>
  <c r="J1392" i="5"/>
  <c r="K1396" i="5"/>
  <c r="H1397" i="5"/>
  <c r="L1398" i="5"/>
  <c r="F1405" i="5"/>
  <c r="L1407" i="5"/>
  <c r="L1408" i="5"/>
  <c r="L1410" i="5"/>
  <c r="L1411" i="5"/>
  <c r="L1412" i="5"/>
  <c r="L1414" i="5"/>
  <c r="L1415" i="5"/>
  <c r="L1416" i="5"/>
  <c r="AB1418" i="5"/>
  <c r="H1419" i="5"/>
  <c r="F1421" i="5"/>
  <c r="L1423" i="5"/>
  <c r="J1425" i="5"/>
  <c r="AB1426" i="5"/>
  <c r="H1427" i="5"/>
  <c r="F1429" i="5"/>
  <c r="L1431" i="5"/>
  <c r="J1433" i="5"/>
  <c r="AB1434" i="5"/>
  <c r="H1435" i="5"/>
  <c r="F1437" i="5"/>
  <c r="L1439" i="5"/>
  <c r="J1441" i="5"/>
  <c r="AB1442" i="5"/>
  <c r="H1443" i="5"/>
  <c r="F1445" i="5"/>
  <c r="L1447" i="5"/>
  <c r="J1449" i="5"/>
  <c r="AB1450" i="5"/>
  <c r="H1451" i="5"/>
  <c r="F1453" i="5"/>
  <c r="L1455" i="5"/>
  <c r="J1457" i="5"/>
  <c r="AB1458" i="5"/>
  <c r="H1459" i="5"/>
  <c r="F1461" i="5"/>
  <c r="AB1463" i="5"/>
  <c r="E1519" i="5"/>
  <c r="F1418" i="5"/>
  <c r="L1420" i="5"/>
  <c r="J1422" i="5"/>
  <c r="AB1423" i="5"/>
  <c r="H1424" i="5"/>
  <c r="F1426" i="5"/>
  <c r="L1428" i="5"/>
  <c r="J1430" i="5"/>
  <c r="AB1431" i="5"/>
  <c r="H1432" i="5"/>
  <c r="F1434" i="5"/>
  <c r="L1436" i="5"/>
  <c r="J1438" i="5"/>
  <c r="AB1439" i="5"/>
  <c r="H1440" i="5"/>
  <c r="F1442" i="5"/>
  <c r="L1444" i="5"/>
  <c r="J1446" i="5"/>
  <c r="AB1447" i="5"/>
  <c r="H1448" i="5"/>
  <c r="F1450" i="5"/>
  <c r="L1452" i="5"/>
  <c r="J1454" i="5"/>
  <c r="AB1455" i="5"/>
  <c r="H1456" i="5"/>
  <c r="F1458" i="5"/>
  <c r="L1460" i="5"/>
  <c r="J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7" i="5"/>
  <c r="F1521" i="5"/>
  <c r="F1525" i="5"/>
  <c r="J1419" i="5"/>
  <c r="AB1420" i="5"/>
  <c r="H1421" i="5"/>
  <c r="F1423" i="5"/>
  <c r="L1425" i="5"/>
  <c r="J1427" i="5"/>
  <c r="AB1428" i="5"/>
  <c r="H1429" i="5"/>
  <c r="F1431" i="5"/>
  <c r="L1433" i="5"/>
  <c r="J1435" i="5"/>
  <c r="AB1436" i="5"/>
  <c r="H1437" i="5"/>
  <c r="F1439" i="5"/>
  <c r="L1441" i="5"/>
  <c r="J1443" i="5"/>
  <c r="AB1444" i="5"/>
  <c r="H1445" i="5"/>
  <c r="F1447" i="5"/>
  <c r="L1449" i="5"/>
  <c r="J1451" i="5"/>
  <c r="AB1452" i="5"/>
  <c r="H1453" i="5"/>
  <c r="F1455" i="5"/>
  <c r="L1457" i="5"/>
  <c r="J1459" i="5"/>
  <c r="AB1460" i="5"/>
  <c r="H1461" i="5"/>
  <c r="G1532" i="5"/>
  <c r="G1540" i="5"/>
  <c r="H1418" i="5"/>
  <c r="F1420" i="5"/>
  <c r="L1422" i="5"/>
  <c r="J1424" i="5"/>
  <c r="H1426" i="5"/>
  <c r="F1428" i="5"/>
  <c r="L1430" i="5"/>
  <c r="J1432" i="5"/>
  <c r="H1434" i="5"/>
  <c r="F1436" i="5"/>
  <c r="L1438" i="5"/>
  <c r="J1440" i="5"/>
  <c r="H1442" i="5"/>
  <c r="F1444" i="5"/>
  <c r="L1446" i="5"/>
  <c r="J1448" i="5"/>
  <c r="H1450" i="5"/>
  <c r="F1452" i="5"/>
  <c r="L1454" i="5"/>
  <c r="J1456" i="5"/>
  <c r="H1458" i="5"/>
  <c r="F1460" i="5"/>
  <c r="L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L1419" i="5"/>
  <c r="J1421" i="5"/>
  <c r="AB1422" i="5"/>
  <c r="H1423" i="5"/>
  <c r="F1425" i="5"/>
  <c r="L1427" i="5"/>
  <c r="J1429" i="5"/>
  <c r="AB1430" i="5"/>
  <c r="H1431" i="5"/>
  <c r="F1433" i="5"/>
  <c r="L1435" i="5"/>
  <c r="J1437" i="5"/>
  <c r="AB1438" i="5"/>
  <c r="H1439" i="5"/>
  <c r="F1441" i="5"/>
  <c r="L1443" i="5"/>
  <c r="J1445" i="5"/>
  <c r="AB1446" i="5"/>
  <c r="H1447" i="5"/>
  <c r="F1449" i="5"/>
  <c r="L1451" i="5"/>
  <c r="J1453" i="5"/>
  <c r="AB1454" i="5"/>
  <c r="H1455" i="5"/>
  <c r="F1457" i="5"/>
  <c r="L1459" i="5"/>
  <c r="J1461" i="5"/>
  <c r="AB1462" i="5"/>
  <c r="J1418" i="5"/>
  <c r="AB1419" i="5"/>
  <c r="H1420" i="5"/>
  <c r="F1422" i="5"/>
  <c r="L1424" i="5"/>
  <c r="J1426" i="5"/>
  <c r="AB1427" i="5"/>
  <c r="H1428" i="5"/>
  <c r="F1430" i="5"/>
  <c r="L1432" i="5"/>
  <c r="J1434" i="5"/>
  <c r="AB1435" i="5"/>
  <c r="H1436" i="5"/>
  <c r="F1438" i="5"/>
  <c r="L1440" i="5"/>
  <c r="J1442" i="5"/>
  <c r="AB1443" i="5"/>
  <c r="H1444" i="5"/>
  <c r="F1446" i="5"/>
  <c r="L1448" i="5"/>
  <c r="J1450" i="5"/>
  <c r="AB1451" i="5"/>
  <c r="H1452" i="5"/>
  <c r="F1454" i="5"/>
  <c r="L1456" i="5"/>
  <c r="J1458" i="5"/>
  <c r="AB1459" i="5"/>
  <c r="H1460" i="5"/>
  <c r="F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F1419" i="5"/>
  <c r="L1421" i="5"/>
  <c r="J1423" i="5"/>
  <c r="AB1424" i="5"/>
  <c r="H1425" i="5"/>
  <c r="F1427" i="5"/>
  <c r="L1429" i="5"/>
  <c r="J1431" i="5"/>
  <c r="AB1432" i="5"/>
  <c r="H1433" i="5"/>
  <c r="F1435" i="5"/>
  <c r="L1437" i="5"/>
  <c r="J1439" i="5"/>
  <c r="AB1440" i="5"/>
  <c r="H1441" i="5"/>
  <c r="F1443" i="5"/>
  <c r="L1445" i="5"/>
  <c r="J1447" i="5"/>
  <c r="AB1448" i="5"/>
  <c r="H1449" i="5"/>
  <c r="F1451" i="5"/>
  <c r="L1453" i="5"/>
  <c r="J1455" i="5"/>
  <c r="AB1456" i="5"/>
  <c r="H1457" i="5"/>
  <c r="F1459" i="5"/>
  <c r="L1461" i="5"/>
  <c r="K1516" i="5"/>
  <c r="K1520" i="5"/>
  <c r="K1524" i="5"/>
  <c r="L1418" i="5"/>
  <c r="J1420" i="5"/>
  <c r="H1422" i="5"/>
  <c r="F1424" i="5"/>
  <c r="L1426" i="5"/>
  <c r="J1428" i="5"/>
  <c r="H1430" i="5"/>
  <c r="F1432" i="5"/>
  <c r="L1434" i="5"/>
  <c r="J1436" i="5"/>
  <c r="H1438" i="5"/>
  <c r="F1440" i="5"/>
  <c r="L1442" i="5"/>
  <c r="J1444" i="5"/>
  <c r="H1446" i="5"/>
  <c r="F1448" i="5"/>
  <c r="L1450" i="5"/>
  <c r="J1452" i="5"/>
  <c r="H1454" i="5"/>
  <c r="F1456" i="5"/>
  <c r="L1458" i="5"/>
  <c r="J1460" i="5"/>
  <c r="H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8" i="5"/>
  <c r="L1522" i="5"/>
  <c r="L1526" i="5"/>
  <c r="J1516" i="5"/>
  <c r="L1519" i="5"/>
  <c r="AB1522" i="5"/>
  <c r="E1523" i="5"/>
  <c r="F1524" i="5"/>
  <c r="L1528" i="5"/>
  <c r="J1530" i="5"/>
  <c r="AB1531" i="5"/>
  <c r="F1534" i="5"/>
  <c r="L1536" i="5"/>
  <c r="J1538" i="5"/>
  <c r="AB1539" i="5"/>
  <c r="F1542" i="5"/>
  <c r="F1544" i="5"/>
  <c r="E1553" i="5"/>
  <c r="E1557" i="5"/>
  <c r="E1561" i="5"/>
  <c r="E1565" i="5"/>
  <c r="E1569" i="5"/>
  <c r="E1573" i="5"/>
  <c r="E1607" i="5"/>
  <c r="E1623" i="5"/>
  <c r="L1517" i="5"/>
  <c r="AB1519" i="5"/>
  <c r="AB1520" i="5"/>
  <c r="F1522" i="5"/>
  <c r="H1525" i="5"/>
  <c r="H1529" i="5"/>
  <c r="F1531" i="5"/>
  <c r="L1533" i="5"/>
  <c r="H1537" i="5"/>
  <c r="F1539" i="5"/>
  <c r="L1541" i="5"/>
  <c r="G1544" i="5"/>
  <c r="L1545" i="5"/>
  <c r="H1546" i="5"/>
  <c r="L1547" i="5"/>
  <c r="H1549" i="5"/>
  <c r="F1550" i="5"/>
  <c r="F1551" i="5"/>
  <c r="F1552" i="5"/>
  <c r="F1554" i="5"/>
  <c r="F1555" i="5"/>
  <c r="F1556" i="5"/>
  <c r="F1558" i="5"/>
  <c r="F1559" i="5"/>
  <c r="F1560" i="5"/>
  <c r="F1562" i="5"/>
  <c r="F1563" i="5"/>
  <c r="F1564" i="5"/>
  <c r="F1566" i="5"/>
  <c r="F1567" i="5"/>
  <c r="F1568" i="5"/>
  <c r="F1570" i="5"/>
  <c r="F1571" i="5"/>
  <c r="F1572" i="5"/>
  <c r="F1574" i="5"/>
  <c r="F1575" i="5"/>
  <c r="F1576" i="5"/>
  <c r="F1578" i="5"/>
  <c r="F1579" i="5"/>
  <c r="F1580" i="5"/>
  <c r="F1582" i="5"/>
  <c r="F1583" i="5"/>
  <c r="F1584" i="5"/>
  <c r="F1586" i="5"/>
  <c r="F1587" i="5"/>
  <c r="F1588" i="5"/>
  <c r="F1590" i="5"/>
  <c r="F1591" i="5"/>
  <c r="F1592" i="5"/>
  <c r="F1594" i="5"/>
  <c r="F1595" i="5"/>
  <c r="F1596" i="5"/>
  <c r="F1598" i="5"/>
  <c r="F1599" i="5"/>
  <c r="F1600" i="5"/>
  <c r="F1602" i="5"/>
  <c r="F1603" i="5"/>
  <c r="F1604" i="5"/>
  <c r="F1610" i="5"/>
  <c r="F1614" i="5"/>
  <c r="F1615" i="5"/>
  <c r="F1619" i="5"/>
  <c r="F1627" i="5"/>
  <c r="AB1518" i="5"/>
  <c r="F1520" i="5"/>
  <c r="H1523" i="5"/>
  <c r="F1528" i="5"/>
  <c r="J1532" i="5"/>
  <c r="H1534" i="5"/>
  <c r="F1536" i="5"/>
  <c r="J1540" i="5"/>
  <c r="H1542" i="5"/>
  <c r="L1543" i="5"/>
  <c r="E1545" i="5"/>
  <c r="AB1545" i="5"/>
  <c r="AB1547" i="5"/>
  <c r="J1548" i="5"/>
  <c r="G1552" i="5"/>
  <c r="G1556" i="5"/>
  <c r="G1560" i="5"/>
  <c r="G1564" i="5"/>
  <c r="G1568" i="5"/>
  <c r="G1572" i="5"/>
  <c r="G1606" i="5"/>
  <c r="G1610" i="5"/>
  <c r="G1626" i="5"/>
  <c r="F1518" i="5"/>
  <c r="H1521" i="5"/>
  <c r="J1526" i="5"/>
  <c r="L1527" i="5"/>
  <c r="J1529" i="5"/>
  <c r="AB1530" i="5"/>
  <c r="H1531" i="5"/>
  <c r="L1535" i="5"/>
  <c r="J1537" i="5"/>
  <c r="AB1538" i="5"/>
  <c r="H1539" i="5"/>
  <c r="AB1543" i="5"/>
  <c r="J1546" i="5"/>
  <c r="F1547" i="5"/>
  <c r="J1549" i="5"/>
  <c r="H1550" i="5"/>
  <c r="H1551" i="5"/>
  <c r="H1553" i="5"/>
  <c r="H1554" i="5"/>
  <c r="H1555" i="5"/>
  <c r="H1557" i="5"/>
  <c r="H1558" i="5"/>
  <c r="H1559" i="5"/>
  <c r="H1561" i="5"/>
  <c r="H1562" i="5"/>
  <c r="H1563" i="5"/>
  <c r="H1565" i="5"/>
  <c r="H1566" i="5"/>
  <c r="H1567" i="5"/>
  <c r="H1569" i="5"/>
  <c r="H1570" i="5"/>
  <c r="H1571" i="5"/>
  <c r="H1573" i="5"/>
  <c r="H1574" i="5"/>
  <c r="H1575" i="5"/>
  <c r="H1577" i="5"/>
  <c r="H1578" i="5"/>
  <c r="H1579" i="5"/>
  <c r="H1581" i="5"/>
  <c r="H1582" i="5"/>
  <c r="H1583" i="5"/>
  <c r="H1585" i="5"/>
  <c r="H1586" i="5"/>
  <c r="H1587" i="5"/>
  <c r="H1589" i="5"/>
  <c r="H1590" i="5"/>
  <c r="H1591" i="5"/>
  <c r="H1593" i="5"/>
  <c r="H1594" i="5"/>
  <c r="H1595" i="5"/>
  <c r="H1597" i="5"/>
  <c r="H1598" i="5"/>
  <c r="H1599" i="5"/>
  <c r="H1601" i="5"/>
  <c r="H1602" i="5"/>
  <c r="H1603" i="5"/>
  <c r="H1606" i="5"/>
  <c r="H1617" i="5"/>
  <c r="H1622" i="5"/>
  <c r="H1625" i="5"/>
  <c r="H1519" i="5"/>
  <c r="J1524" i="5"/>
  <c r="AB1527" i="5"/>
  <c r="F1530" i="5"/>
  <c r="L1532" i="5"/>
  <c r="J1534" i="5"/>
  <c r="AB1535" i="5"/>
  <c r="F1538" i="5"/>
  <c r="L1540" i="5"/>
  <c r="J1542" i="5"/>
  <c r="F1543" i="5"/>
  <c r="J1544" i="5"/>
  <c r="K1546" i="5"/>
  <c r="L1548" i="5"/>
  <c r="I1551" i="5"/>
  <c r="I1555" i="5"/>
  <c r="I1559" i="5"/>
  <c r="I1563" i="5"/>
  <c r="I1567" i="5"/>
  <c r="I1571" i="5"/>
  <c r="I1613" i="5"/>
  <c r="I1621" i="5"/>
  <c r="I1625" i="5"/>
  <c r="H1517" i="5"/>
  <c r="J1522" i="5"/>
  <c r="L1525" i="5"/>
  <c r="L1529" i="5"/>
  <c r="AB1532" i="5"/>
  <c r="H1533" i="5"/>
  <c r="F1535" i="5"/>
  <c r="L1537" i="5"/>
  <c r="AB1540" i="5"/>
  <c r="H1541" i="5"/>
  <c r="H1545" i="5"/>
  <c r="H1547" i="5"/>
  <c r="L1549" i="5"/>
  <c r="J1550" i="5"/>
  <c r="J1552" i="5"/>
  <c r="J1553" i="5"/>
  <c r="J1554" i="5"/>
  <c r="J1556" i="5"/>
  <c r="J1557" i="5"/>
  <c r="J1558" i="5"/>
  <c r="J1560" i="5"/>
  <c r="J1561" i="5"/>
  <c r="J1562" i="5"/>
  <c r="J1564" i="5"/>
  <c r="J1565" i="5"/>
  <c r="J1566" i="5"/>
  <c r="J1568" i="5"/>
  <c r="J1569" i="5"/>
  <c r="J1570" i="5"/>
  <c r="J1572" i="5"/>
  <c r="J1573" i="5"/>
  <c r="J1574" i="5"/>
  <c r="J1576" i="5"/>
  <c r="J1577" i="5"/>
  <c r="J1578" i="5"/>
  <c r="J1580" i="5"/>
  <c r="J1581" i="5"/>
  <c r="J1582" i="5"/>
  <c r="J1584" i="5"/>
  <c r="J1585" i="5"/>
  <c r="J1586" i="5"/>
  <c r="J1588" i="5"/>
  <c r="J1589" i="5"/>
  <c r="J1590" i="5"/>
  <c r="J1592" i="5"/>
  <c r="J1593" i="5"/>
  <c r="J1594" i="5"/>
  <c r="J1596" i="5"/>
  <c r="J1597" i="5"/>
  <c r="J1598" i="5"/>
  <c r="J1600" i="5"/>
  <c r="J1601" i="5"/>
  <c r="J1602" i="5"/>
  <c r="J1604" i="5"/>
  <c r="J1609" i="5"/>
  <c r="J1617" i="5"/>
  <c r="J1620" i="5"/>
  <c r="J1621" i="5"/>
  <c r="J1625" i="5"/>
  <c r="J1520" i="5"/>
  <c r="L1523" i="5"/>
  <c r="AB1526" i="5"/>
  <c r="J1528" i="5"/>
  <c r="H1530" i="5"/>
  <c r="F1532" i="5"/>
  <c r="J1536" i="5"/>
  <c r="H1538" i="5"/>
  <c r="F1540" i="5"/>
  <c r="H1543" i="5"/>
  <c r="L1544" i="5"/>
  <c r="AB1546" i="5"/>
  <c r="I1547" i="5"/>
  <c r="F1548" i="5"/>
  <c r="E1549" i="5"/>
  <c r="AB1549" i="5"/>
  <c r="K1550" i="5"/>
  <c r="K1554" i="5"/>
  <c r="K1558" i="5"/>
  <c r="K1562" i="5"/>
  <c r="K1566" i="5"/>
  <c r="K1570" i="5"/>
  <c r="K1616" i="5"/>
  <c r="K1624" i="5"/>
  <c r="K1628" i="5"/>
  <c r="J1518" i="5"/>
  <c r="L1521" i="5"/>
  <c r="F1526" i="5"/>
  <c r="H1527" i="5"/>
  <c r="L1531" i="5"/>
  <c r="J1533" i="5"/>
  <c r="H1535" i="5"/>
  <c r="L1539" i="5"/>
  <c r="J1541" i="5"/>
  <c r="I1543" i="5"/>
  <c r="AB1544" i="5"/>
  <c r="J1545" i="5"/>
  <c r="F1546" i="5"/>
  <c r="G1548" i="5"/>
  <c r="L1551" i="5"/>
  <c r="L1552" i="5"/>
  <c r="L1553" i="5"/>
  <c r="L1555" i="5"/>
  <c r="L1556" i="5"/>
  <c r="L1557" i="5"/>
  <c r="L1559" i="5"/>
  <c r="L1560" i="5"/>
  <c r="L1561" i="5"/>
  <c r="L1563" i="5"/>
  <c r="L1564" i="5"/>
  <c r="L1565" i="5"/>
  <c r="L1567" i="5"/>
  <c r="L1568" i="5"/>
  <c r="L1569" i="5"/>
  <c r="L1571" i="5"/>
  <c r="L1572" i="5"/>
  <c r="L1573" i="5"/>
  <c r="L1575" i="5"/>
  <c r="L1576" i="5"/>
  <c r="L1577" i="5"/>
  <c r="L1579" i="5"/>
  <c r="L1580" i="5"/>
  <c r="L1581" i="5"/>
  <c r="L1583" i="5"/>
  <c r="L1584" i="5"/>
  <c r="L1585" i="5"/>
  <c r="L1587" i="5"/>
  <c r="L1588" i="5"/>
  <c r="L1589" i="5"/>
  <c r="L1591" i="5"/>
  <c r="L1592" i="5"/>
  <c r="L1593" i="5"/>
  <c r="L1595" i="5"/>
  <c r="L1596" i="5"/>
  <c r="L1597" i="5"/>
  <c r="L1599" i="5"/>
  <c r="L1600" i="5"/>
  <c r="L1601" i="5"/>
  <c r="L1603" i="5"/>
  <c r="L1604" i="5"/>
  <c r="L1607" i="5"/>
  <c r="L1612" i="5"/>
  <c r="L1615" i="5"/>
  <c r="L1620" i="5"/>
  <c r="L1623" i="5"/>
  <c r="AB1553" i="5"/>
  <c r="AB1557" i="5"/>
  <c r="AB1561" i="5"/>
  <c r="AB1565" i="5"/>
  <c r="AB1569" i="5"/>
  <c r="AB1573" i="5"/>
  <c r="I1607" i="5"/>
  <c r="E1609" i="5"/>
  <c r="AB1609" i="5"/>
  <c r="I1612" i="5"/>
  <c r="E1618" i="5"/>
  <c r="AB1618" i="5"/>
  <c r="G1620" i="5"/>
  <c r="AB1623" i="5"/>
  <c r="K1626" i="5"/>
  <c r="E1629" i="5"/>
  <c r="AB1629" i="5"/>
  <c r="AB1631" i="5"/>
  <c r="I1632" i="5"/>
  <c r="F1635" i="5"/>
  <c r="J1636" i="5"/>
  <c r="G1637" i="5"/>
  <c r="K1638" i="5"/>
  <c r="AB1640" i="5"/>
  <c r="F1643" i="5"/>
  <c r="L1647" i="5"/>
  <c r="I1648" i="5"/>
  <c r="G1649" i="5"/>
  <c r="F1650" i="5"/>
  <c r="I1611" i="5"/>
  <c r="E1613" i="5"/>
  <c r="AB1613" i="5"/>
  <c r="I1616" i="5"/>
  <c r="E1619" i="5"/>
  <c r="E1622" i="5"/>
  <c r="AB1622" i="5"/>
  <c r="G1624" i="5"/>
  <c r="I1628" i="5"/>
  <c r="F1631" i="5"/>
  <c r="J1632" i="5"/>
  <c r="G1633" i="5"/>
  <c r="K1634" i="5"/>
  <c r="H1637" i="5"/>
  <c r="I1639" i="5"/>
  <c r="L1644" i="5"/>
  <c r="J1645" i="5"/>
  <c r="H1646" i="5"/>
  <c r="AB1647" i="5"/>
  <c r="J1648" i="5"/>
  <c r="H1649" i="5"/>
  <c r="F1651" i="5"/>
  <c r="F1652" i="5"/>
  <c r="F1654" i="5"/>
  <c r="F1655" i="5"/>
  <c r="F1658" i="5"/>
  <c r="F1659" i="5"/>
  <c r="F1662" i="5"/>
  <c r="F1663" i="5"/>
  <c r="F1666" i="5"/>
  <c r="F1667" i="5"/>
  <c r="F1668" i="5"/>
  <c r="F1670" i="5"/>
  <c r="F1671" i="5"/>
  <c r="F1672" i="5"/>
  <c r="F1673" i="5"/>
  <c r="F1681" i="5"/>
  <c r="F1689" i="5"/>
  <c r="F1697" i="5"/>
  <c r="K1607" i="5"/>
  <c r="G1609" i="5"/>
  <c r="I1615" i="5"/>
  <c r="E1617" i="5"/>
  <c r="AB1617" i="5"/>
  <c r="I1620" i="5"/>
  <c r="AB1626" i="5"/>
  <c r="E1626" i="5"/>
  <c r="E1627" i="5"/>
  <c r="J1628" i="5"/>
  <c r="G1629" i="5"/>
  <c r="K1630" i="5"/>
  <c r="H1633" i="5"/>
  <c r="L1636" i="5"/>
  <c r="AB1638" i="5"/>
  <c r="G1640" i="5"/>
  <c r="AB1641" i="5"/>
  <c r="K1642" i="5"/>
  <c r="AB1644" i="5"/>
  <c r="F1647" i="5"/>
  <c r="H1650" i="5"/>
  <c r="G1652" i="5"/>
  <c r="G1653" i="5"/>
  <c r="G1656" i="5"/>
  <c r="G1657" i="5"/>
  <c r="G1660" i="5"/>
  <c r="G1661" i="5"/>
  <c r="G1664" i="5"/>
  <c r="G1665" i="5"/>
  <c r="G1668" i="5"/>
  <c r="G1669" i="5"/>
  <c r="G1672" i="5"/>
  <c r="G1673" i="5"/>
  <c r="G1681" i="5"/>
  <c r="G1689" i="5"/>
  <c r="G1697" i="5"/>
  <c r="K1606" i="5"/>
  <c r="AB1608" i="5"/>
  <c r="K1611" i="5"/>
  <c r="G1613" i="5"/>
  <c r="I1619" i="5"/>
  <c r="E1621" i="5"/>
  <c r="AB1621" i="5"/>
  <c r="I1624" i="5"/>
  <c r="I1627" i="5"/>
  <c r="H1629" i="5"/>
  <c r="L1632" i="5"/>
  <c r="I1635" i="5"/>
  <c r="AB1636" i="5"/>
  <c r="J1637" i="5"/>
  <c r="F1638" i="5"/>
  <c r="K1639" i="5"/>
  <c r="I1643" i="5"/>
  <c r="L1648" i="5"/>
  <c r="J1649" i="5"/>
  <c r="H1651" i="5"/>
  <c r="H1653" i="5"/>
  <c r="H1654" i="5"/>
  <c r="H1657" i="5"/>
  <c r="H1658" i="5"/>
  <c r="H1661" i="5"/>
  <c r="H1662" i="5"/>
  <c r="H1665" i="5"/>
  <c r="H1666" i="5"/>
  <c r="H1667" i="5"/>
  <c r="H1669" i="5"/>
  <c r="H1670" i="5"/>
  <c r="H1671" i="5"/>
  <c r="H1676" i="5"/>
  <c r="H1684" i="5"/>
  <c r="H1692" i="5"/>
  <c r="H1700" i="5"/>
  <c r="AB1607" i="5"/>
  <c r="K1610" i="5"/>
  <c r="AB1612" i="5"/>
  <c r="K1615" i="5"/>
  <c r="G1617" i="5"/>
  <c r="I1623" i="5"/>
  <c r="E1625" i="5"/>
  <c r="AB1625" i="5"/>
  <c r="AB1630" i="5"/>
  <c r="I1631" i="5"/>
  <c r="AB1632" i="5"/>
  <c r="J1633" i="5"/>
  <c r="F1634" i="5"/>
  <c r="L1639" i="5"/>
  <c r="I1640" i="5"/>
  <c r="G1641" i="5"/>
  <c r="AB1642" i="5"/>
  <c r="G1644" i="5"/>
  <c r="AB1645" i="5"/>
  <c r="K1646" i="5"/>
  <c r="AB1648" i="5"/>
  <c r="J1650" i="5"/>
  <c r="I1651" i="5"/>
  <c r="I1652" i="5"/>
  <c r="I1655" i="5"/>
  <c r="I1656" i="5"/>
  <c r="I1659" i="5"/>
  <c r="I1660" i="5"/>
  <c r="I1663" i="5"/>
  <c r="I1664" i="5"/>
  <c r="I1667" i="5"/>
  <c r="I1668" i="5"/>
  <c r="I1671" i="5"/>
  <c r="I1672" i="5"/>
  <c r="E1606" i="5"/>
  <c r="AB1606" i="5"/>
  <c r="G1608" i="5"/>
  <c r="K1614" i="5"/>
  <c r="AB1616" i="5"/>
  <c r="K1619" i="5"/>
  <c r="G1621" i="5"/>
  <c r="K1627" i="5"/>
  <c r="AB1628" i="5"/>
  <c r="J1629" i="5"/>
  <c r="F1630" i="5"/>
  <c r="K1635" i="5"/>
  <c r="G1636" i="5"/>
  <c r="H1638" i="5"/>
  <c r="J1640" i="5"/>
  <c r="H1641" i="5"/>
  <c r="F1642" i="5"/>
  <c r="K1643" i="5"/>
  <c r="I1647" i="5"/>
  <c r="K1650" i="5"/>
  <c r="J1652" i="5"/>
  <c r="J1653" i="5"/>
  <c r="J1654" i="5"/>
  <c r="J1656" i="5"/>
  <c r="J1657" i="5"/>
  <c r="J1660" i="5"/>
  <c r="J1661" i="5"/>
  <c r="J1664" i="5"/>
  <c r="J1665" i="5"/>
  <c r="J1666" i="5"/>
  <c r="J1668" i="5"/>
  <c r="J1669" i="5"/>
  <c r="J1670" i="5"/>
  <c r="E1610" i="5"/>
  <c r="AB1610" i="5"/>
  <c r="G1612" i="5"/>
  <c r="K1618" i="5"/>
  <c r="AB1620" i="5"/>
  <c r="K1623" i="5"/>
  <c r="G1625" i="5"/>
  <c r="L1627" i="5"/>
  <c r="K1631" i="5"/>
  <c r="G1632" i="5"/>
  <c r="H1634" i="5"/>
  <c r="L1635" i="5"/>
  <c r="E1637" i="5"/>
  <c r="AB1637" i="5"/>
  <c r="F1639" i="5"/>
  <c r="L1643" i="5"/>
  <c r="I1644" i="5"/>
  <c r="G1645" i="5"/>
  <c r="AB1646" i="5"/>
  <c r="G1648" i="5"/>
  <c r="AB1649" i="5"/>
  <c r="K1651" i="5"/>
  <c r="K1654" i="5"/>
  <c r="K1655" i="5"/>
  <c r="K1658" i="5"/>
  <c r="K1659" i="5"/>
  <c r="K1662" i="5"/>
  <c r="K1663" i="5"/>
  <c r="K1666" i="5"/>
  <c r="K1667" i="5"/>
  <c r="K1670" i="5"/>
  <c r="K1671" i="5"/>
  <c r="I1608" i="5"/>
  <c r="E1614" i="5"/>
  <c r="AB1614" i="5"/>
  <c r="G1616" i="5"/>
  <c r="K1622" i="5"/>
  <c r="G1628" i="5"/>
  <c r="H1630" i="5"/>
  <c r="L1631" i="5"/>
  <c r="E1633" i="5"/>
  <c r="AB1633" i="5"/>
  <c r="I1636" i="5"/>
  <c r="L1640" i="5"/>
  <c r="J1641" i="5"/>
  <c r="H1642" i="5"/>
  <c r="J1644" i="5"/>
  <c r="H1645" i="5"/>
  <c r="F1646" i="5"/>
  <c r="K1647" i="5"/>
  <c r="L1651" i="5"/>
  <c r="L1652" i="5"/>
  <c r="L1653" i="5"/>
  <c r="L1655" i="5"/>
  <c r="L1656" i="5"/>
  <c r="L1659" i="5"/>
  <c r="L1660" i="5"/>
  <c r="L1663" i="5"/>
  <c r="L1664" i="5"/>
  <c r="L1665" i="5"/>
  <c r="L1667" i="5"/>
  <c r="L1668" i="5"/>
  <c r="L1669" i="5"/>
  <c r="L1671" i="5"/>
  <c r="L1674" i="5"/>
  <c r="L1678" i="5"/>
  <c r="L1682" i="5"/>
  <c r="L1686" i="5"/>
  <c r="L1690" i="5"/>
  <c r="L1694" i="5"/>
  <c r="L1698" i="5"/>
  <c r="E1675" i="5"/>
  <c r="AB1675" i="5"/>
  <c r="I1679" i="5"/>
  <c r="E1683" i="5"/>
  <c r="AB1683" i="5"/>
  <c r="I1687" i="5"/>
  <c r="E1691" i="5"/>
  <c r="AB1691" i="5"/>
  <c r="I1695" i="5"/>
  <c r="E1699" i="5"/>
  <c r="AB1699" i="5"/>
  <c r="G1702" i="5"/>
  <c r="K1703" i="5"/>
  <c r="G1704" i="5"/>
  <c r="E1707" i="5"/>
  <c r="AB1707" i="5"/>
  <c r="AB1710" i="5"/>
  <c r="K1711" i="5"/>
  <c r="K1714" i="5"/>
  <c r="I1715" i="5"/>
  <c r="AB1721" i="5"/>
  <c r="E1721" i="5"/>
  <c r="E1768" i="5"/>
  <c r="E1773" i="5"/>
  <c r="E1785" i="5"/>
  <c r="AB1672" i="5"/>
  <c r="I1673" i="5"/>
  <c r="K1674" i="5"/>
  <c r="E1677" i="5"/>
  <c r="AB1677" i="5"/>
  <c r="G1678" i="5"/>
  <c r="AB1680" i="5"/>
  <c r="I1681" i="5"/>
  <c r="K1682" i="5"/>
  <c r="E1685" i="5"/>
  <c r="M1685" i="5" s="1"/>
  <c r="AB1685" i="5"/>
  <c r="G1686" i="5"/>
  <c r="AB1688" i="5"/>
  <c r="I1689" i="5"/>
  <c r="K1690" i="5"/>
  <c r="E1693" i="5"/>
  <c r="AB1693" i="5"/>
  <c r="G1694" i="5"/>
  <c r="AB1696" i="5"/>
  <c r="I1697" i="5"/>
  <c r="K1698" i="5"/>
  <c r="E1701" i="5"/>
  <c r="AB1701" i="5"/>
  <c r="E1705" i="5"/>
  <c r="AB1705" i="5"/>
  <c r="K1708" i="5"/>
  <c r="I1709" i="5"/>
  <c r="I1712" i="5"/>
  <c r="G1713" i="5"/>
  <c r="G1716" i="5"/>
  <c r="E1717" i="5"/>
  <c r="AB1717" i="5"/>
  <c r="G1720" i="5"/>
  <c r="F1760" i="5"/>
  <c r="F1764" i="5"/>
  <c r="F1771" i="5"/>
  <c r="F1775" i="5"/>
  <c r="F1776" i="5"/>
  <c r="F1780" i="5"/>
  <c r="E1641" i="5"/>
  <c r="E1645" i="5"/>
  <c r="E1649" i="5"/>
  <c r="E1653" i="5"/>
  <c r="E1657" i="5"/>
  <c r="E1661" i="5"/>
  <c r="E1665" i="5"/>
  <c r="E1669" i="5"/>
  <c r="M1669" i="5" s="1"/>
  <c r="E1678" i="5"/>
  <c r="E1686" i="5"/>
  <c r="E1694" i="5"/>
  <c r="E1702" i="5"/>
  <c r="E1703" i="5"/>
  <c r="AB1703" i="5"/>
  <c r="I1704" i="5"/>
  <c r="G1710" i="5"/>
  <c r="E1711" i="5"/>
  <c r="AB1711" i="5"/>
  <c r="AB1714" i="5"/>
  <c r="K1715" i="5"/>
  <c r="K1718" i="5"/>
  <c r="I1719" i="5"/>
  <c r="G1721" i="5"/>
  <c r="G1722" i="5"/>
  <c r="G1724" i="5"/>
  <c r="G1725" i="5"/>
  <c r="G1726" i="5"/>
  <c r="G1728" i="5"/>
  <c r="G1729" i="5"/>
  <c r="G1730" i="5"/>
  <c r="G1732" i="5"/>
  <c r="G1733" i="5"/>
  <c r="G1734" i="5"/>
  <c r="G1736" i="5"/>
  <c r="G1737" i="5"/>
  <c r="G1738" i="5"/>
  <c r="G1740" i="5"/>
  <c r="G1741" i="5"/>
  <c r="G1742" i="5"/>
  <c r="G1744" i="5"/>
  <c r="G1745" i="5"/>
  <c r="G1746" i="5"/>
  <c r="G1748" i="5"/>
  <c r="G1749" i="5"/>
  <c r="G1750" i="5"/>
  <c r="G1752" i="5"/>
  <c r="G1753" i="5"/>
  <c r="G1754" i="5"/>
  <c r="G1756" i="5"/>
  <c r="G1757" i="5"/>
  <c r="G1758" i="5"/>
  <c r="G1760" i="5"/>
  <c r="G1767" i="5"/>
  <c r="G1771" i="5"/>
  <c r="G1772" i="5"/>
  <c r="G1776" i="5"/>
  <c r="G1788" i="5"/>
  <c r="G1796" i="5"/>
  <c r="K1676" i="5"/>
  <c r="G1680" i="5"/>
  <c r="K1684" i="5"/>
  <c r="G1688" i="5"/>
  <c r="K1692" i="5"/>
  <c r="G1696" i="5"/>
  <c r="K1700" i="5"/>
  <c r="G1705" i="5"/>
  <c r="K1706" i="5"/>
  <c r="K1712" i="5"/>
  <c r="I1713" i="5"/>
  <c r="I1716" i="5"/>
  <c r="G1717" i="5"/>
  <c r="I1720" i="5"/>
  <c r="H1763" i="5"/>
  <c r="H1767" i="5"/>
  <c r="H1779" i="5"/>
  <c r="H1782" i="5"/>
  <c r="E1630" i="5"/>
  <c r="E1634" i="5"/>
  <c r="E1638" i="5"/>
  <c r="E1642" i="5"/>
  <c r="E1646" i="5"/>
  <c r="E1650" i="5"/>
  <c r="E1654" i="5"/>
  <c r="M1654" i="5" s="1"/>
  <c r="E1658" i="5"/>
  <c r="M1658" i="5" s="1"/>
  <c r="E1662" i="5"/>
  <c r="E1666" i="5"/>
  <c r="M1666" i="5" s="1"/>
  <c r="E1670" i="5"/>
  <c r="I1675" i="5"/>
  <c r="E1679" i="5"/>
  <c r="AB1679" i="5"/>
  <c r="I1683" i="5"/>
  <c r="E1687" i="5"/>
  <c r="M1687" i="5" s="1"/>
  <c r="AB1687" i="5"/>
  <c r="I1691" i="5"/>
  <c r="E1695" i="5"/>
  <c r="AB1695" i="5"/>
  <c r="I1699" i="5"/>
  <c r="K1702" i="5"/>
  <c r="K1704" i="5"/>
  <c r="I1707" i="5"/>
  <c r="G1714" i="5"/>
  <c r="E1715" i="5"/>
  <c r="AB1715" i="5"/>
  <c r="AB1718" i="5"/>
  <c r="K1719" i="5"/>
  <c r="I1721" i="5"/>
  <c r="I1723" i="5"/>
  <c r="I1724" i="5"/>
  <c r="I1725" i="5"/>
  <c r="I1727" i="5"/>
  <c r="I1728" i="5"/>
  <c r="I1729" i="5"/>
  <c r="I1731" i="5"/>
  <c r="I1732" i="5"/>
  <c r="I1733" i="5"/>
  <c r="I1735" i="5"/>
  <c r="I1736" i="5"/>
  <c r="I1737" i="5"/>
  <c r="I1739" i="5"/>
  <c r="I1740" i="5"/>
  <c r="I1741" i="5"/>
  <c r="I1743" i="5"/>
  <c r="I1744" i="5"/>
  <c r="I1745" i="5"/>
  <c r="I1747" i="5"/>
  <c r="I1748" i="5"/>
  <c r="I1749" i="5"/>
  <c r="I1751" i="5"/>
  <c r="I1752" i="5"/>
  <c r="I1753" i="5"/>
  <c r="I1755" i="5"/>
  <c r="I1756" i="5"/>
  <c r="I1757" i="5"/>
  <c r="I1759" i="5"/>
  <c r="I1763" i="5"/>
  <c r="I1775" i="5"/>
  <c r="I1779" i="5"/>
  <c r="I1791" i="5"/>
  <c r="E1673" i="5"/>
  <c r="M1673" i="5" s="1"/>
  <c r="AB1673" i="5"/>
  <c r="G1674" i="5"/>
  <c r="AB1676" i="5"/>
  <c r="I1677" i="5"/>
  <c r="K1678" i="5"/>
  <c r="E1681" i="5"/>
  <c r="M1681" i="5" s="1"/>
  <c r="AB1681" i="5"/>
  <c r="G1682" i="5"/>
  <c r="AB1684" i="5"/>
  <c r="I1685" i="5"/>
  <c r="K1686" i="5"/>
  <c r="E1689" i="5"/>
  <c r="AB1689" i="5"/>
  <c r="G1690" i="5"/>
  <c r="AB1692" i="5"/>
  <c r="I1693" i="5"/>
  <c r="K1694" i="5"/>
  <c r="E1697" i="5"/>
  <c r="M1697" i="5" s="1"/>
  <c r="AB1697" i="5"/>
  <c r="G1698" i="5"/>
  <c r="AB1700" i="5"/>
  <c r="I1701" i="5"/>
  <c r="I1705" i="5"/>
  <c r="E1706" i="5"/>
  <c r="M1706" i="5" s="1"/>
  <c r="AB1706" i="5"/>
  <c r="G1708" i="5"/>
  <c r="E1709" i="5"/>
  <c r="AB1709" i="5"/>
  <c r="AB1712" i="5"/>
  <c r="K1716" i="5"/>
  <c r="I1717" i="5"/>
  <c r="K1720" i="5"/>
  <c r="J1765" i="5"/>
  <c r="I1703" i="5"/>
  <c r="K1707" i="5"/>
  <c r="K1710" i="5"/>
  <c r="I1711" i="5"/>
  <c r="G1718" i="5"/>
  <c r="AB1719" i="5"/>
  <c r="E1719" i="5"/>
  <c r="M1719" i="5" s="1"/>
  <c r="K1722" i="5"/>
  <c r="K1723" i="5"/>
  <c r="K1724" i="5"/>
  <c r="K1726" i="5"/>
  <c r="K1727" i="5"/>
  <c r="K1728" i="5"/>
  <c r="K1730" i="5"/>
  <c r="K1731" i="5"/>
  <c r="K1732" i="5"/>
  <c r="K1734" i="5"/>
  <c r="K1735" i="5"/>
  <c r="K1736" i="5"/>
  <c r="K1738" i="5"/>
  <c r="K1739" i="5"/>
  <c r="K1740" i="5"/>
  <c r="K1742" i="5"/>
  <c r="K1743" i="5"/>
  <c r="K1744" i="5"/>
  <c r="K1746" i="5"/>
  <c r="K1747" i="5"/>
  <c r="K1748" i="5"/>
  <c r="K1750" i="5"/>
  <c r="K1751" i="5"/>
  <c r="K1752" i="5"/>
  <c r="K1754" i="5"/>
  <c r="K1755" i="5"/>
  <c r="K1756" i="5"/>
  <c r="K1758" i="5"/>
  <c r="K1759" i="5"/>
  <c r="K1761" i="5"/>
  <c r="K1777" i="5"/>
  <c r="G1676" i="5"/>
  <c r="K1680" i="5"/>
  <c r="G1684" i="5"/>
  <c r="K1688" i="5"/>
  <c r="G1692" i="5"/>
  <c r="K1696" i="5"/>
  <c r="G1700" i="5"/>
  <c r="G1706" i="5"/>
  <c r="I1708" i="5"/>
  <c r="G1709" i="5"/>
  <c r="G1712" i="5"/>
  <c r="E1713" i="5"/>
  <c r="M1713" i="5" s="1"/>
  <c r="AB1713" i="5"/>
  <c r="L1768" i="5"/>
  <c r="L1773" i="5"/>
  <c r="E1763" i="5"/>
  <c r="AB1763" i="5"/>
  <c r="AB1768" i="5"/>
  <c r="AB1773" i="5"/>
  <c r="G1774" i="5"/>
  <c r="K1776" i="5"/>
  <c r="G1786" i="5"/>
  <c r="L1789" i="5"/>
  <c r="E1791" i="5"/>
  <c r="AB1791" i="5"/>
  <c r="AB1794" i="5"/>
  <c r="L1795" i="5"/>
  <c r="I1798" i="5"/>
  <c r="AB1804" i="5"/>
  <c r="E1804" i="5"/>
  <c r="I1761" i="5"/>
  <c r="E1764" i="5"/>
  <c r="E1767" i="5"/>
  <c r="M1767" i="5" s="1"/>
  <c r="AB1767" i="5"/>
  <c r="E1769" i="5"/>
  <c r="G1778" i="5"/>
  <c r="K1780" i="5"/>
  <c r="E1783" i="5"/>
  <c r="AB1783" i="5"/>
  <c r="L1785" i="5"/>
  <c r="E1787" i="5"/>
  <c r="AB1787" i="5"/>
  <c r="AB1795" i="5"/>
  <c r="H1801" i="5"/>
  <c r="F1806" i="5"/>
  <c r="F1814" i="5"/>
  <c r="F1817" i="5"/>
  <c r="F1819" i="5"/>
  <c r="F1821" i="5"/>
  <c r="F1825" i="5"/>
  <c r="F1830" i="5"/>
  <c r="F1831" i="5"/>
  <c r="F1838" i="5"/>
  <c r="E1725" i="5"/>
  <c r="M1725" i="5" s="1"/>
  <c r="E1729" i="5"/>
  <c r="M1729" i="5" s="1"/>
  <c r="E1733" i="5"/>
  <c r="E1737" i="5"/>
  <c r="M1737" i="5" s="1"/>
  <c r="E1741" i="5"/>
  <c r="E1745" i="5"/>
  <c r="E1749" i="5"/>
  <c r="E1753" i="5"/>
  <c r="M1753" i="5" s="1"/>
  <c r="E1757" i="5"/>
  <c r="M1757" i="5" s="1"/>
  <c r="I1765" i="5"/>
  <c r="E1771" i="5"/>
  <c r="AB1771" i="5"/>
  <c r="J1782" i="5"/>
  <c r="AB1785" i="5"/>
  <c r="J1790" i="5"/>
  <c r="K1792" i="5"/>
  <c r="G1794" i="5"/>
  <c r="AB1796" i="5"/>
  <c r="K1798" i="5"/>
  <c r="G1805" i="5"/>
  <c r="G1813" i="5"/>
  <c r="G1815" i="5"/>
  <c r="G1818" i="5"/>
  <c r="G1830" i="5"/>
  <c r="I1769" i="5"/>
  <c r="E1775" i="5"/>
  <c r="M1775" i="5" s="1"/>
  <c r="AB1775" i="5"/>
  <c r="J1786" i="5"/>
  <c r="K1788" i="5"/>
  <c r="H1791" i="5"/>
  <c r="I1793" i="5"/>
  <c r="H1805" i="5"/>
  <c r="H1813" i="5"/>
  <c r="H1818" i="5"/>
  <c r="H1824" i="5"/>
  <c r="H1828" i="5"/>
  <c r="H1833" i="5"/>
  <c r="H1841" i="5"/>
  <c r="E1710" i="5"/>
  <c r="E1714" i="5"/>
  <c r="E1718" i="5"/>
  <c r="M1718" i="5" s="1"/>
  <c r="E1722" i="5"/>
  <c r="M1722" i="5" s="1"/>
  <c r="E1726" i="5"/>
  <c r="E1730" i="5"/>
  <c r="M1730" i="5" s="1"/>
  <c r="E1734" i="5"/>
  <c r="E1738" i="5"/>
  <c r="E1742" i="5"/>
  <c r="E1746" i="5"/>
  <c r="M1746" i="5" s="1"/>
  <c r="E1750" i="5"/>
  <c r="M1750" i="5" s="1"/>
  <c r="E1754" i="5"/>
  <c r="M1754" i="5" s="1"/>
  <c r="E1758" i="5"/>
  <c r="K1760" i="5"/>
  <c r="AB1766" i="5"/>
  <c r="I1773" i="5"/>
  <c r="E1779" i="5"/>
  <c r="AB1779" i="5"/>
  <c r="I1781" i="5"/>
  <c r="H1783" i="5"/>
  <c r="K1784" i="5"/>
  <c r="H1787" i="5"/>
  <c r="H1795" i="5"/>
  <c r="L1799" i="5"/>
  <c r="I1806" i="5"/>
  <c r="I1810" i="5"/>
  <c r="I1822" i="5"/>
  <c r="G1762" i="5"/>
  <c r="K1764" i="5"/>
  <c r="AB1770" i="5"/>
  <c r="I1777" i="5"/>
  <c r="E1780" i="5"/>
  <c r="AB1782" i="5"/>
  <c r="AB1788" i="5"/>
  <c r="I1789" i="5"/>
  <c r="AB1790" i="5"/>
  <c r="F1792" i="5"/>
  <c r="J1794" i="5"/>
  <c r="G1797" i="5"/>
  <c r="J1815" i="5"/>
  <c r="J1825" i="5"/>
  <c r="E1723" i="5"/>
  <c r="E1727" i="5"/>
  <c r="M1727" i="5" s="1"/>
  <c r="E1731" i="5"/>
  <c r="E1735" i="5"/>
  <c r="E1739" i="5"/>
  <c r="M1739" i="5" s="1"/>
  <c r="E1743" i="5"/>
  <c r="M1743" i="5" s="1"/>
  <c r="E1747" i="5"/>
  <c r="E1751" i="5"/>
  <c r="E1755" i="5"/>
  <c r="E1759" i="5"/>
  <c r="M1759" i="5" s="1"/>
  <c r="G1766" i="5"/>
  <c r="K1768" i="5"/>
  <c r="AB1774" i="5"/>
  <c r="AB1784" i="5"/>
  <c r="I1785" i="5"/>
  <c r="AB1786" i="5"/>
  <c r="F1788" i="5"/>
  <c r="L1793" i="5"/>
  <c r="K1803" i="5"/>
  <c r="G1770" i="5"/>
  <c r="K1772" i="5"/>
  <c r="F1774" i="5"/>
  <c r="AB1778" i="5"/>
  <c r="L1781" i="5"/>
  <c r="G1782" i="5"/>
  <c r="F1784" i="5"/>
  <c r="G1790" i="5"/>
  <c r="L1812" i="5"/>
  <c r="L1818" i="5"/>
  <c r="E1778" i="5"/>
  <c r="F1799" i="5"/>
  <c r="H1800" i="5"/>
  <c r="J1801" i="5"/>
  <c r="L1802" i="5"/>
  <c r="AB1803" i="5"/>
  <c r="G1804" i="5"/>
  <c r="K1806" i="5"/>
  <c r="G1808" i="5"/>
  <c r="L1816" i="5"/>
  <c r="AB1823" i="5"/>
  <c r="L1827" i="5"/>
  <c r="L1832" i="5"/>
  <c r="H1845" i="5"/>
  <c r="E1855" i="5"/>
  <c r="F1803" i="5"/>
  <c r="H1804" i="5"/>
  <c r="J1805" i="5"/>
  <c r="L1806" i="5"/>
  <c r="E1811" i="5"/>
  <c r="L1822" i="5"/>
  <c r="AB1827" i="5"/>
  <c r="J1828" i="5"/>
  <c r="I1831" i="5"/>
  <c r="L1835" i="5"/>
  <c r="G1837" i="5"/>
  <c r="L1838" i="5"/>
  <c r="K1842" i="5"/>
  <c r="E1795" i="5"/>
  <c r="AB1797" i="5"/>
  <c r="I1808" i="5"/>
  <c r="I1811" i="5"/>
  <c r="K1812" i="5"/>
  <c r="L1815" i="5"/>
  <c r="K1818" i="5"/>
  <c r="AB1819" i="5"/>
  <c r="E1820" i="5"/>
  <c r="H1820" i="5"/>
  <c r="J1824" i="5"/>
  <c r="E1826" i="5"/>
  <c r="K1828" i="5"/>
  <c r="AB1830" i="5"/>
  <c r="E1831" i="5"/>
  <c r="E1835" i="5"/>
  <c r="AB1835" i="5"/>
  <c r="AB1838" i="5"/>
  <c r="J1839" i="5"/>
  <c r="G1840" i="5"/>
  <c r="L1796" i="5"/>
  <c r="F1797" i="5"/>
  <c r="H1798" i="5"/>
  <c r="I1799" i="5"/>
  <c r="AB1801" i="5"/>
  <c r="J1808" i="5"/>
  <c r="I1820" i="5"/>
  <c r="F1841" i="5"/>
  <c r="L1843" i="5"/>
  <c r="J1799" i="5"/>
  <c r="L1800" i="5"/>
  <c r="F1801" i="5"/>
  <c r="H1802" i="5"/>
  <c r="I1803" i="5"/>
  <c r="AB1805" i="5"/>
  <c r="AB1812" i="5"/>
  <c r="K1814" i="5"/>
  <c r="H1816" i="5"/>
  <c r="E1821" i="5"/>
  <c r="AB1821" i="5"/>
  <c r="I1823" i="5"/>
  <c r="L1826" i="5"/>
  <c r="AB1828" i="5"/>
  <c r="H1832" i="5"/>
  <c r="E1833" i="5"/>
  <c r="AB1833" i="5"/>
  <c r="E1836" i="5"/>
  <c r="AB1836" i="5"/>
  <c r="G1838" i="5"/>
  <c r="L1839" i="5"/>
  <c r="F1842" i="5"/>
  <c r="AB1843" i="5"/>
  <c r="J1803" i="5"/>
  <c r="L1804" i="5"/>
  <c r="F1805" i="5"/>
  <c r="H1806" i="5"/>
  <c r="J1807" i="5"/>
  <c r="L1811" i="5"/>
  <c r="AB1824" i="5"/>
  <c r="I1827" i="5"/>
  <c r="AB1839" i="5"/>
  <c r="G1842" i="5"/>
  <c r="K1807" i="5"/>
  <c r="K1810" i="5"/>
  <c r="G1812" i="5"/>
  <c r="E1817" i="5"/>
  <c r="AB1817" i="5"/>
  <c r="K1823" i="5"/>
  <c r="G1828" i="5"/>
  <c r="L1834" i="5"/>
  <c r="I1841" i="5"/>
  <c r="E1847" i="5"/>
  <c r="AB1847" i="5"/>
  <c r="K1849" i="5"/>
  <c r="J1797" i="5"/>
  <c r="L1798" i="5"/>
  <c r="AB1799" i="5"/>
  <c r="G1800" i="5"/>
  <c r="K1802" i="5"/>
  <c r="I1815" i="5"/>
  <c r="K1816" i="5"/>
  <c r="J1819" i="5"/>
  <c r="G1824" i="5"/>
  <c r="K1827" i="5"/>
  <c r="E1834" i="5"/>
  <c r="AB1834" i="5"/>
  <c r="G1839" i="5"/>
  <c r="F1846" i="5"/>
  <c r="F1850" i="5"/>
  <c r="I1851" i="5"/>
  <c r="G1853" i="5"/>
  <c r="AB1855" i="5"/>
  <c r="K1857" i="5"/>
  <c r="K1860" i="5"/>
  <c r="E1873" i="5"/>
  <c r="E1874" i="5"/>
  <c r="E1877" i="5"/>
  <c r="E1878" i="5"/>
  <c r="E1797" i="5"/>
  <c r="E1801" i="5"/>
  <c r="E1805" i="5"/>
  <c r="I1807" i="5"/>
  <c r="E1813" i="5"/>
  <c r="AB1813" i="5"/>
  <c r="G1820" i="5"/>
  <c r="K1826" i="5"/>
  <c r="G1836" i="5"/>
  <c r="G1844" i="5"/>
  <c r="K1846" i="5"/>
  <c r="I1848" i="5"/>
  <c r="E1852" i="5"/>
  <c r="AB1852" i="5"/>
  <c r="H1853" i="5"/>
  <c r="K1854" i="5"/>
  <c r="I1856" i="5"/>
  <c r="I1858" i="5"/>
  <c r="G1859" i="5"/>
  <c r="G1864" i="5"/>
  <c r="F1895" i="5"/>
  <c r="F1903" i="5"/>
  <c r="I1819" i="5"/>
  <c r="E1825" i="5"/>
  <c r="AB1825" i="5"/>
  <c r="G1832" i="5"/>
  <c r="G1835" i="5"/>
  <c r="I1838" i="5"/>
  <c r="I1839" i="5"/>
  <c r="K1841" i="5"/>
  <c r="E1842" i="5"/>
  <c r="AB1842" i="5"/>
  <c r="G1847" i="5"/>
  <c r="J1848" i="5"/>
  <c r="E1849" i="5"/>
  <c r="AB1849" i="5"/>
  <c r="K1851" i="5"/>
  <c r="G1855" i="5"/>
  <c r="J1856" i="5"/>
  <c r="E1857" i="5"/>
  <c r="AB1857" i="5"/>
  <c r="AB1860" i="5"/>
  <c r="K1861" i="5"/>
  <c r="J1862" i="5"/>
  <c r="G1865" i="5"/>
  <c r="G1868" i="5"/>
  <c r="G1869" i="5"/>
  <c r="G1876" i="5"/>
  <c r="G1877" i="5"/>
  <c r="G1880" i="5"/>
  <c r="G1881" i="5"/>
  <c r="G1884" i="5"/>
  <c r="G1885" i="5"/>
  <c r="G1906" i="5"/>
  <c r="G1843" i="5"/>
  <c r="I1844" i="5"/>
  <c r="K1845" i="5"/>
  <c r="AB1846" i="5"/>
  <c r="E1846" i="5"/>
  <c r="I1850" i="5"/>
  <c r="L1851" i="5"/>
  <c r="G1852" i="5"/>
  <c r="AB1854" i="5"/>
  <c r="K1858" i="5"/>
  <c r="I1859" i="5"/>
  <c r="K1862" i="5"/>
  <c r="I1864" i="5"/>
  <c r="H1902" i="5"/>
  <c r="H1914" i="5"/>
  <c r="K1830" i="5"/>
  <c r="I1834" i="5"/>
  <c r="I1835" i="5"/>
  <c r="K1837" i="5"/>
  <c r="K1838" i="5"/>
  <c r="E1841" i="5"/>
  <c r="AB1841" i="5"/>
  <c r="I1847" i="5"/>
  <c r="G1849" i="5"/>
  <c r="K1853" i="5"/>
  <c r="F1854" i="5"/>
  <c r="I1855" i="5"/>
  <c r="G1857" i="5"/>
  <c r="G1860" i="5"/>
  <c r="E1861" i="5"/>
  <c r="I1868" i="5"/>
  <c r="I1872" i="5"/>
  <c r="I1880" i="5"/>
  <c r="I1884" i="5"/>
  <c r="I1890" i="5"/>
  <c r="I1901" i="5"/>
  <c r="E1829" i="5"/>
  <c r="AB1829" i="5"/>
  <c r="E1840" i="5"/>
  <c r="AB1840" i="5"/>
  <c r="I1843" i="5"/>
  <c r="E1845" i="5"/>
  <c r="AB1845" i="5"/>
  <c r="E1848" i="5"/>
  <c r="AB1848" i="5"/>
  <c r="H1849" i="5"/>
  <c r="K1850" i="5"/>
  <c r="I1852" i="5"/>
  <c r="E1856" i="5"/>
  <c r="AB1856" i="5"/>
  <c r="H1857" i="5"/>
  <c r="AB1858" i="5"/>
  <c r="K1859" i="5"/>
  <c r="E1862" i="5"/>
  <c r="J1878" i="5"/>
  <c r="J1897" i="5"/>
  <c r="E1809" i="5"/>
  <c r="AB1809" i="5"/>
  <c r="G1816" i="5"/>
  <c r="K1822" i="5"/>
  <c r="K1834" i="5"/>
  <c r="E1837" i="5"/>
  <c r="AB1837" i="5"/>
  <c r="I1842" i="5"/>
  <c r="K1847" i="5"/>
  <c r="G1851" i="5"/>
  <c r="J1852" i="5"/>
  <c r="E1853" i="5"/>
  <c r="AB1853" i="5"/>
  <c r="K1855" i="5"/>
  <c r="F1858" i="5"/>
  <c r="L1859" i="5"/>
  <c r="I1860" i="5"/>
  <c r="G1861" i="5"/>
  <c r="K1866" i="5"/>
  <c r="K1870" i="5"/>
  <c r="K1874" i="5"/>
  <c r="K1878" i="5"/>
  <c r="K1882" i="5"/>
  <c r="K1886" i="5"/>
  <c r="K1888" i="5"/>
  <c r="K1843" i="5"/>
  <c r="E1844" i="5"/>
  <c r="AB1844" i="5"/>
  <c r="G1845" i="5"/>
  <c r="I1846" i="5"/>
  <c r="L1847" i="5"/>
  <c r="G1848" i="5"/>
  <c r="AB1850" i="5"/>
  <c r="I1854" i="5"/>
  <c r="L1855" i="5"/>
  <c r="G1856" i="5"/>
  <c r="G1858" i="5"/>
  <c r="E1859" i="5"/>
  <c r="AB1859" i="5"/>
  <c r="J1860" i="5"/>
  <c r="G1862" i="5"/>
  <c r="L1865" i="5"/>
  <c r="L1866" i="5"/>
  <c r="L1881" i="5"/>
  <c r="L1882" i="5"/>
  <c r="L1888" i="5"/>
  <c r="L1889" i="5"/>
  <c r="E1860" i="5"/>
  <c r="E1863" i="5"/>
  <c r="AB1863" i="5"/>
  <c r="E1865" i="5"/>
  <c r="E1866" i="5"/>
  <c r="G1867" i="5"/>
  <c r="E1879" i="5"/>
  <c r="AB1879" i="5"/>
  <c r="E1881" i="5"/>
  <c r="E1882" i="5"/>
  <c r="G1883" i="5"/>
  <c r="H1892" i="5"/>
  <c r="F1896" i="5"/>
  <c r="L1898" i="5"/>
  <c r="F1901" i="5"/>
  <c r="E1903" i="5"/>
  <c r="AB1903" i="5"/>
  <c r="H1908" i="5"/>
  <c r="L1909" i="5"/>
  <c r="AB1914" i="5"/>
  <c r="E1915" i="5"/>
  <c r="J1915" i="5"/>
  <c r="AB1861" i="5"/>
  <c r="AB1862" i="5"/>
  <c r="G1866" i="5"/>
  <c r="I1869" i="5"/>
  <c r="I1870" i="5"/>
  <c r="K1872" i="5"/>
  <c r="K1873" i="5"/>
  <c r="E1876" i="5"/>
  <c r="AB1876" i="5"/>
  <c r="AB1877" i="5"/>
  <c r="AB1878" i="5"/>
  <c r="G1882" i="5"/>
  <c r="I1885" i="5"/>
  <c r="I1886" i="5"/>
  <c r="L1887" i="5"/>
  <c r="F1888" i="5"/>
  <c r="H1889" i="5"/>
  <c r="L1893" i="5"/>
  <c r="H1894" i="5"/>
  <c r="L1895" i="5"/>
  <c r="AB1898" i="5"/>
  <c r="L1900" i="5"/>
  <c r="J1902" i="5"/>
  <c r="L1907" i="5"/>
  <c r="J1910" i="5"/>
  <c r="L1912" i="5"/>
  <c r="H1916" i="5"/>
  <c r="F1917" i="5"/>
  <c r="L1918" i="5"/>
  <c r="G1922" i="5"/>
  <c r="G1863" i="5"/>
  <c r="E1875" i="5"/>
  <c r="AB1875" i="5"/>
  <c r="G1879" i="5"/>
  <c r="L1890" i="5"/>
  <c r="H1891" i="5"/>
  <c r="J1892" i="5"/>
  <c r="H1896" i="5"/>
  <c r="AB1900" i="5"/>
  <c r="H1901" i="5"/>
  <c r="F1905" i="5"/>
  <c r="J1908" i="5"/>
  <c r="H1911" i="5"/>
  <c r="AB1912" i="5"/>
  <c r="J1920" i="5"/>
  <c r="I1921" i="5"/>
  <c r="I1865" i="5"/>
  <c r="I1866" i="5"/>
  <c r="K1868" i="5"/>
  <c r="K1869" i="5"/>
  <c r="E1872" i="5"/>
  <c r="AB1872" i="5"/>
  <c r="AB1873" i="5"/>
  <c r="AB1874" i="5"/>
  <c r="G1878" i="5"/>
  <c r="I1881" i="5"/>
  <c r="I1882" i="5"/>
  <c r="K1884" i="5"/>
  <c r="K1885" i="5"/>
  <c r="F1887" i="5"/>
  <c r="H1888" i="5"/>
  <c r="J1889" i="5"/>
  <c r="F1893" i="5"/>
  <c r="J1894" i="5"/>
  <c r="G1898" i="5"/>
  <c r="F1900" i="5"/>
  <c r="L1902" i="5"/>
  <c r="H1903" i="5"/>
  <c r="K1904" i="5"/>
  <c r="J1906" i="5"/>
  <c r="F1907" i="5"/>
  <c r="L1910" i="5"/>
  <c r="H1917" i="5"/>
  <c r="F1918" i="5"/>
  <c r="H1923" i="5"/>
  <c r="E1850" i="5"/>
  <c r="E1854" i="5"/>
  <c r="E1858" i="5"/>
  <c r="E1871" i="5"/>
  <c r="AB1871" i="5"/>
  <c r="G1875" i="5"/>
  <c r="F1890" i="5"/>
  <c r="L1892" i="5"/>
  <c r="AB1897" i="5"/>
  <c r="L1899" i="5"/>
  <c r="H1905" i="5"/>
  <c r="H1909" i="5"/>
  <c r="K1916" i="5"/>
  <c r="F1919" i="5"/>
  <c r="L1920" i="5"/>
  <c r="I1861" i="5"/>
  <c r="I1862" i="5"/>
  <c r="K1864" i="5"/>
  <c r="K1865" i="5"/>
  <c r="E1868" i="5"/>
  <c r="AB1868" i="5"/>
  <c r="G1874" i="5"/>
  <c r="I1877" i="5"/>
  <c r="I1878" i="5"/>
  <c r="K1880" i="5"/>
  <c r="K1881" i="5"/>
  <c r="E1884" i="5"/>
  <c r="AB1884" i="5"/>
  <c r="AB1886" i="5"/>
  <c r="H1887" i="5"/>
  <c r="J1888" i="5"/>
  <c r="H1893" i="5"/>
  <c r="L1894" i="5"/>
  <c r="H1895" i="5"/>
  <c r="K1896" i="5"/>
  <c r="H1900" i="5"/>
  <c r="F1902" i="5"/>
  <c r="J1903" i="5"/>
  <c r="AB1904" i="5"/>
  <c r="AB1908" i="5"/>
  <c r="F1910" i="5"/>
  <c r="L1916" i="5"/>
  <c r="E1867" i="5"/>
  <c r="AB1867" i="5"/>
  <c r="G1871" i="5"/>
  <c r="E1883" i="5"/>
  <c r="AB1883" i="5"/>
  <c r="AB1889" i="5"/>
  <c r="F1892" i="5"/>
  <c r="AB1894" i="5"/>
  <c r="J1898" i="5"/>
  <c r="F1899" i="5"/>
  <c r="L1901" i="5"/>
  <c r="F1904" i="5"/>
  <c r="AB1906" i="5"/>
  <c r="F1908" i="5"/>
  <c r="G1910" i="5"/>
  <c r="L1911" i="5"/>
  <c r="F1913" i="5"/>
  <c r="F1920" i="5"/>
  <c r="E1864" i="5"/>
  <c r="AB1864" i="5"/>
  <c r="G1870" i="5"/>
  <c r="I1873" i="5"/>
  <c r="I1874" i="5"/>
  <c r="K1876" i="5"/>
  <c r="K1877" i="5"/>
  <c r="E1880" i="5"/>
  <c r="AB1880" i="5"/>
  <c r="G1886" i="5"/>
  <c r="J1887" i="5"/>
  <c r="F1889" i="5"/>
  <c r="F1894" i="5"/>
  <c r="J1895" i="5"/>
  <c r="H1897" i="5"/>
  <c r="J1900" i="5"/>
  <c r="L1903" i="5"/>
  <c r="J1907" i="5"/>
  <c r="E1911" i="5"/>
  <c r="F1916" i="5"/>
  <c r="J1918" i="5"/>
  <c r="L1923" i="5"/>
  <c r="J1891" i="5"/>
  <c r="AB1893" i="5"/>
  <c r="J1896" i="5"/>
  <c r="L1897" i="5"/>
  <c r="F1898" i="5"/>
  <c r="H1899" i="5"/>
  <c r="AB1902" i="5"/>
  <c r="H1904" i="5"/>
  <c r="L1906" i="5"/>
  <c r="AB1911" i="5"/>
  <c r="F1912" i="5"/>
  <c r="H1913" i="5"/>
  <c r="J1914" i="5"/>
  <c r="L1915" i="5"/>
  <c r="AB1916" i="5"/>
  <c r="H1919" i="5"/>
  <c r="K1920" i="5"/>
  <c r="H1921" i="5"/>
  <c r="L1922" i="5"/>
  <c r="AB1924" i="5"/>
  <c r="F1928" i="5"/>
  <c r="L1929" i="5"/>
  <c r="H1932" i="5"/>
  <c r="F1934" i="5"/>
  <c r="J1923" i="5"/>
  <c r="F1924" i="5"/>
  <c r="L1925" i="5"/>
  <c r="J1926" i="5"/>
  <c r="H1927" i="5"/>
  <c r="L1930" i="5"/>
  <c r="H1933" i="5"/>
  <c r="F1937" i="5"/>
  <c r="F1941" i="5"/>
  <c r="F1945" i="5"/>
  <c r="L1891" i="5"/>
  <c r="AB1892" i="5"/>
  <c r="F1897" i="5"/>
  <c r="J1899" i="5"/>
  <c r="AB1901" i="5"/>
  <c r="J1904" i="5"/>
  <c r="L1905" i="5"/>
  <c r="F1906" i="5"/>
  <c r="H1907" i="5"/>
  <c r="AB1910" i="5"/>
  <c r="H1912" i="5"/>
  <c r="L1914" i="5"/>
  <c r="AB1918" i="5"/>
  <c r="J1919" i="5"/>
  <c r="AB1920" i="5"/>
  <c r="F1922" i="5"/>
  <c r="AB1925" i="5"/>
  <c r="H1928" i="5"/>
  <c r="H1924" i="5"/>
  <c r="F1925" i="5"/>
  <c r="L1926" i="5"/>
  <c r="F1930" i="5"/>
  <c r="H1936" i="5"/>
  <c r="H1940" i="5"/>
  <c r="H1944" i="5"/>
  <c r="H1948" i="5"/>
  <c r="AB1909" i="5"/>
  <c r="J1912" i="5"/>
  <c r="L1913" i="5"/>
  <c r="F1914" i="5"/>
  <c r="H1915" i="5"/>
  <c r="G1918" i="5"/>
  <c r="L1919" i="5"/>
  <c r="L1921" i="5"/>
  <c r="E1923" i="5"/>
  <c r="AB1923" i="5"/>
  <c r="J1928" i="5"/>
  <c r="H1929" i="5"/>
  <c r="L1932" i="5"/>
  <c r="J1934" i="5"/>
  <c r="F1909" i="5"/>
  <c r="J1911" i="5"/>
  <c r="AB1913" i="5"/>
  <c r="J1916" i="5"/>
  <c r="L1917" i="5"/>
  <c r="E1919" i="5"/>
  <c r="AB1919" i="5"/>
  <c r="H1920" i="5"/>
  <c r="AB1921" i="5"/>
  <c r="J1924" i="5"/>
  <c r="H1925" i="5"/>
  <c r="F1926" i="5"/>
  <c r="L1927" i="5"/>
  <c r="L1933" i="5"/>
  <c r="J1951" i="5"/>
  <c r="AB1917" i="5"/>
  <c r="F1921" i="5"/>
  <c r="J1922" i="5"/>
  <c r="K1924" i="5"/>
  <c r="I1925" i="5"/>
  <c r="L1934" i="5"/>
  <c r="L1924" i="5"/>
  <c r="J1925" i="5"/>
  <c r="J1930" i="5"/>
  <c r="I1931" i="5"/>
  <c r="F1933" i="5"/>
  <c r="L1938" i="5"/>
  <c r="L1946" i="5"/>
  <c r="AB1927" i="5"/>
  <c r="K1930" i="5"/>
  <c r="F1931" i="5"/>
  <c r="E1933" i="5"/>
  <c r="AB1933" i="5"/>
  <c r="AB1936" i="5"/>
  <c r="K1938" i="5"/>
  <c r="F1939" i="5"/>
  <c r="E1941" i="5"/>
  <c r="AB1941" i="5"/>
  <c r="H1942" i="5"/>
  <c r="AB1943" i="5"/>
  <c r="F1947" i="5"/>
  <c r="J1948" i="5"/>
  <c r="J1950" i="5"/>
  <c r="F1927" i="5"/>
  <c r="J1929" i="5"/>
  <c r="J1932" i="5"/>
  <c r="H1934" i="5"/>
  <c r="F1936" i="5"/>
  <c r="J1937" i="5"/>
  <c r="J1940" i="5"/>
  <c r="F1943" i="5"/>
  <c r="J1944" i="5"/>
  <c r="J1946" i="5"/>
  <c r="H1949" i="5"/>
  <c r="K1950" i="5"/>
  <c r="H1951" i="5"/>
  <c r="F1952" i="5"/>
  <c r="F1954" i="5"/>
  <c r="F1955" i="5"/>
  <c r="F1956" i="5"/>
  <c r="F1958" i="5"/>
  <c r="F1959" i="5"/>
  <c r="F1960" i="5"/>
  <c r="F1962" i="5"/>
  <c r="F1963" i="5"/>
  <c r="F1964" i="5"/>
  <c r="F1966" i="5"/>
  <c r="F1967" i="5"/>
  <c r="F1968" i="5"/>
  <c r="F1970" i="5"/>
  <c r="F1971" i="5"/>
  <c r="F1972" i="5"/>
  <c r="F1974" i="5"/>
  <c r="F1975" i="5"/>
  <c r="F1976" i="5"/>
  <c r="F1978" i="5"/>
  <c r="F1979" i="5"/>
  <c r="F1980" i="5"/>
  <c r="F1982" i="5"/>
  <c r="AB1926" i="5"/>
  <c r="AB1930" i="5"/>
  <c r="H1931" i="5"/>
  <c r="L1935" i="5"/>
  <c r="G1936" i="5"/>
  <c r="AB1938" i="5"/>
  <c r="H1939" i="5"/>
  <c r="J1942" i="5"/>
  <c r="H1945" i="5"/>
  <c r="K1946" i="5"/>
  <c r="H1947" i="5"/>
  <c r="L1948" i="5"/>
  <c r="I1951" i="5"/>
  <c r="G1952" i="5"/>
  <c r="G1956" i="5"/>
  <c r="G1960" i="5"/>
  <c r="G1964" i="5"/>
  <c r="G1968" i="5"/>
  <c r="G1972" i="5"/>
  <c r="G1976" i="5"/>
  <c r="G1980" i="5"/>
  <c r="L1937" i="5"/>
  <c r="F1938" i="5"/>
  <c r="I1939" i="5"/>
  <c r="L1940" i="5"/>
  <c r="H1941" i="5"/>
  <c r="K1942" i="5"/>
  <c r="H1943" i="5"/>
  <c r="L1944" i="5"/>
  <c r="I1947" i="5"/>
  <c r="J1949" i="5"/>
  <c r="H1953" i="5"/>
  <c r="H1954" i="5"/>
  <c r="H1955" i="5"/>
  <c r="H1957" i="5"/>
  <c r="H1958" i="5"/>
  <c r="H1959" i="5"/>
  <c r="H1961" i="5"/>
  <c r="H1962" i="5"/>
  <c r="H1963" i="5"/>
  <c r="H1965" i="5"/>
  <c r="H1966" i="5"/>
  <c r="H1967" i="5"/>
  <c r="H1969" i="5"/>
  <c r="H1970" i="5"/>
  <c r="H1971" i="5"/>
  <c r="H1973" i="5"/>
  <c r="H1974" i="5"/>
  <c r="H1975" i="5"/>
  <c r="H1977" i="5"/>
  <c r="H1978" i="5"/>
  <c r="H1979" i="5"/>
  <c r="H1981" i="5"/>
  <c r="H1982" i="5"/>
  <c r="AB1932" i="5"/>
  <c r="K1934" i="5"/>
  <c r="F1935" i="5"/>
  <c r="E1937" i="5"/>
  <c r="AB1937" i="5"/>
  <c r="AB1940" i="5"/>
  <c r="I1943" i="5"/>
  <c r="AB1944" i="5"/>
  <c r="J1945" i="5"/>
  <c r="AB1946" i="5"/>
  <c r="F1948" i="5"/>
  <c r="F1950" i="5"/>
  <c r="I1955" i="5"/>
  <c r="I1959" i="5"/>
  <c r="I1963" i="5"/>
  <c r="I1967" i="5"/>
  <c r="I1971" i="5"/>
  <c r="I1975" i="5"/>
  <c r="I1979" i="5"/>
  <c r="H1926" i="5"/>
  <c r="L1928" i="5"/>
  <c r="H1930" i="5"/>
  <c r="F1932" i="5"/>
  <c r="J1933" i="5"/>
  <c r="J1936" i="5"/>
  <c r="H1938" i="5"/>
  <c r="F1940" i="5"/>
  <c r="J1941" i="5"/>
  <c r="AB1942" i="5"/>
  <c r="F1944" i="5"/>
  <c r="F1946" i="5"/>
  <c r="G1948" i="5"/>
  <c r="L1949" i="5"/>
  <c r="L1951" i="5"/>
  <c r="J1952" i="5"/>
  <c r="J1953" i="5"/>
  <c r="J1954" i="5"/>
  <c r="J1956" i="5"/>
  <c r="J1957" i="5"/>
  <c r="J1958" i="5"/>
  <c r="J1960" i="5"/>
  <c r="J1961" i="5"/>
  <c r="J1962" i="5"/>
  <c r="J1964" i="5"/>
  <c r="J1965" i="5"/>
  <c r="J1966" i="5"/>
  <c r="J1968" i="5"/>
  <c r="J1969" i="5"/>
  <c r="J1970" i="5"/>
  <c r="J1972" i="5"/>
  <c r="J1973" i="5"/>
  <c r="J1974" i="5"/>
  <c r="J1976" i="5"/>
  <c r="J1977" i="5"/>
  <c r="J1978" i="5"/>
  <c r="J1980" i="5"/>
  <c r="J1981" i="5"/>
  <c r="J1982" i="5"/>
  <c r="AB1928" i="5"/>
  <c r="L1931" i="5"/>
  <c r="G1932" i="5"/>
  <c r="AB1934" i="5"/>
  <c r="H1935" i="5"/>
  <c r="L1939" i="5"/>
  <c r="G1940" i="5"/>
  <c r="F1942" i="5"/>
  <c r="G1944" i="5"/>
  <c r="L1945" i="5"/>
  <c r="L1947" i="5"/>
  <c r="E1949" i="5"/>
  <c r="AB1949" i="5"/>
  <c r="H1950" i="5"/>
  <c r="AB1951" i="5"/>
  <c r="K1954" i="5"/>
  <c r="K1958" i="5"/>
  <c r="K1962" i="5"/>
  <c r="K1966" i="5"/>
  <c r="K1970" i="5"/>
  <c r="K1974" i="5"/>
  <c r="K1978" i="5"/>
  <c r="K1982" i="5"/>
  <c r="I1935" i="5"/>
  <c r="L1936" i="5"/>
  <c r="H1937" i="5"/>
  <c r="J1938" i="5"/>
  <c r="AB1939" i="5"/>
  <c r="L1941" i="5"/>
  <c r="L1943" i="5"/>
  <c r="E1945" i="5"/>
  <c r="AB1945" i="5"/>
  <c r="H1946" i="5"/>
  <c r="AB1947" i="5"/>
  <c r="F1951" i="5"/>
  <c r="L1952" i="5"/>
  <c r="L1953" i="5"/>
  <c r="L1955" i="5"/>
  <c r="L1956" i="5"/>
  <c r="L1957" i="5"/>
  <c r="L1959" i="5"/>
  <c r="L1960" i="5"/>
  <c r="L1961" i="5"/>
  <c r="L1963" i="5"/>
  <c r="L1964" i="5"/>
  <c r="L1965" i="5"/>
  <c r="L1967" i="5"/>
  <c r="L1968" i="5"/>
  <c r="L1969" i="5"/>
  <c r="L1971" i="5"/>
  <c r="L1972" i="5"/>
  <c r="L1973" i="5"/>
  <c r="L1975" i="5"/>
  <c r="L1976" i="5"/>
  <c r="L1977" i="5"/>
  <c r="L1979" i="5"/>
  <c r="L1980" i="5"/>
  <c r="L1981" i="5"/>
  <c r="E1953" i="5"/>
  <c r="E1957" i="5"/>
  <c r="E1961" i="5"/>
  <c r="E1965" i="5"/>
  <c r="E1969" i="5"/>
  <c r="E1973" i="5"/>
  <c r="E1977" i="5"/>
  <c r="E1981" i="5"/>
  <c r="O3881" i="3"/>
  <c r="L3881" i="3"/>
  <c r="M3881" i="3" s="1"/>
  <c r="K3881" i="3"/>
  <c r="J3881" i="3"/>
  <c r="I3881" i="3"/>
  <c r="H3881" i="3"/>
  <c r="G3881" i="3"/>
  <c r="L3880" i="3"/>
  <c r="K3880" i="3"/>
  <c r="J3880" i="3"/>
  <c r="M3880" i="3" s="1"/>
  <c r="I3880" i="3"/>
  <c r="H3880" i="3"/>
  <c r="G3880" i="3"/>
  <c r="L3879" i="3"/>
  <c r="K3879" i="3"/>
  <c r="J3879" i="3"/>
  <c r="I3879" i="3"/>
  <c r="H3879" i="3"/>
  <c r="G3879" i="3"/>
  <c r="L3878" i="3"/>
  <c r="K3878" i="3"/>
  <c r="J3878" i="3"/>
  <c r="I3878" i="3"/>
  <c r="H3878" i="3"/>
  <c r="G3878" i="3"/>
  <c r="L3877" i="3"/>
  <c r="M3877" i="3" s="1"/>
  <c r="K3877" i="3"/>
  <c r="J3877" i="3"/>
  <c r="I3877" i="3"/>
  <c r="H3877" i="3"/>
  <c r="G3877" i="3"/>
  <c r="L3876" i="3"/>
  <c r="K3876" i="3"/>
  <c r="J3876" i="3"/>
  <c r="M3876" i="3" s="1"/>
  <c r="I3876" i="3"/>
  <c r="H3876" i="3"/>
  <c r="G3876" i="3"/>
  <c r="L3875" i="3"/>
  <c r="K3875" i="3"/>
  <c r="J3875" i="3"/>
  <c r="I3875" i="3"/>
  <c r="H3875" i="3"/>
  <c r="M3875" i="3" s="1"/>
  <c r="G3875" i="3"/>
  <c r="L3874" i="3"/>
  <c r="K3874" i="3"/>
  <c r="J3874" i="3"/>
  <c r="I3874" i="3"/>
  <c r="H3874" i="3"/>
  <c r="G3874" i="3"/>
  <c r="L3873" i="3"/>
  <c r="M3873" i="3" s="1"/>
  <c r="K3873" i="3"/>
  <c r="J3873" i="3"/>
  <c r="I3873" i="3"/>
  <c r="H3873" i="3"/>
  <c r="G3873" i="3"/>
  <c r="L3872" i="3"/>
  <c r="K3872" i="3"/>
  <c r="J3872" i="3"/>
  <c r="M3872" i="3" s="1"/>
  <c r="I3872" i="3"/>
  <c r="H3872" i="3"/>
  <c r="G3872" i="3"/>
  <c r="L3871" i="3"/>
  <c r="K3871" i="3"/>
  <c r="J3871" i="3"/>
  <c r="I3871" i="3"/>
  <c r="H3871" i="3"/>
  <c r="G3871" i="3"/>
  <c r="L3870" i="3"/>
  <c r="K3870" i="3"/>
  <c r="J3870" i="3"/>
  <c r="I3870" i="3"/>
  <c r="H3870" i="3"/>
  <c r="G3870" i="3"/>
  <c r="L3869" i="3"/>
  <c r="M3869" i="3" s="1"/>
  <c r="K3869" i="3"/>
  <c r="J3869" i="3"/>
  <c r="I3869" i="3"/>
  <c r="H3869" i="3"/>
  <c r="G3869" i="3"/>
  <c r="L3868" i="3"/>
  <c r="K3868" i="3"/>
  <c r="J3868" i="3"/>
  <c r="M3868" i="3" s="1"/>
  <c r="I3868" i="3"/>
  <c r="H3868" i="3"/>
  <c r="G3868" i="3"/>
  <c r="L3867" i="3"/>
  <c r="K3867" i="3"/>
  <c r="J3867" i="3"/>
  <c r="I3867" i="3"/>
  <c r="H3867" i="3"/>
  <c r="M3867" i="3" s="1"/>
  <c r="G3867" i="3"/>
  <c r="L3866" i="3"/>
  <c r="K3866" i="3"/>
  <c r="J3866" i="3"/>
  <c r="I3866" i="3"/>
  <c r="H3866" i="3"/>
  <c r="G3866" i="3"/>
  <c r="L3865" i="3"/>
  <c r="M3865" i="3" s="1"/>
  <c r="K3865" i="3"/>
  <c r="J3865" i="3"/>
  <c r="I3865" i="3"/>
  <c r="H3865" i="3"/>
  <c r="G3865" i="3"/>
  <c r="L3864" i="3"/>
  <c r="K3864" i="3"/>
  <c r="J3864" i="3"/>
  <c r="M3864" i="3" s="1"/>
  <c r="I3864" i="3"/>
  <c r="H3864" i="3"/>
  <c r="G3864" i="3"/>
  <c r="L3863" i="3"/>
  <c r="K3863" i="3"/>
  <c r="J3863" i="3"/>
  <c r="I3863" i="3"/>
  <c r="H3863" i="3"/>
  <c r="G3863" i="3"/>
  <c r="L3862" i="3"/>
  <c r="K3862" i="3"/>
  <c r="J3862" i="3"/>
  <c r="I3862" i="3"/>
  <c r="H3862" i="3"/>
  <c r="G3862" i="3"/>
  <c r="L3861" i="3"/>
  <c r="M3861" i="3" s="1"/>
  <c r="K3861" i="3"/>
  <c r="J3861" i="3"/>
  <c r="I3861" i="3"/>
  <c r="H3861" i="3"/>
  <c r="G3861" i="3"/>
  <c r="L3860" i="3"/>
  <c r="K3860" i="3"/>
  <c r="J3860" i="3"/>
  <c r="M3860" i="3" s="1"/>
  <c r="I3860" i="3"/>
  <c r="H3860" i="3"/>
  <c r="G3860" i="3"/>
  <c r="L3859" i="3"/>
  <c r="K3859" i="3"/>
  <c r="J3859" i="3"/>
  <c r="I3859" i="3"/>
  <c r="H3859" i="3"/>
  <c r="M3859" i="3" s="1"/>
  <c r="G3859" i="3"/>
  <c r="L3858" i="3"/>
  <c r="K3858" i="3"/>
  <c r="J3858" i="3"/>
  <c r="I3858" i="3"/>
  <c r="H3858" i="3"/>
  <c r="G3858" i="3"/>
  <c r="L3857" i="3"/>
  <c r="M3857" i="3" s="1"/>
  <c r="K3857" i="3"/>
  <c r="J3857" i="3"/>
  <c r="I3857" i="3"/>
  <c r="H3857" i="3"/>
  <c r="G3857" i="3"/>
  <c r="L3856" i="3"/>
  <c r="K3856" i="3"/>
  <c r="J3856" i="3"/>
  <c r="M3856" i="3" s="1"/>
  <c r="I3856" i="3"/>
  <c r="H3856" i="3"/>
  <c r="G3856" i="3"/>
  <c r="L3855" i="3"/>
  <c r="K3855" i="3"/>
  <c r="J3855" i="3"/>
  <c r="I3855" i="3"/>
  <c r="H3855" i="3"/>
  <c r="G3855" i="3"/>
  <c r="L3854" i="3"/>
  <c r="K3854" i="3"/>
  <c r="J3854" i="3"/>
  <c r="I3854" i="3"/>
  <c r="H3854" i="3"/>
  <c r="G3854" i="3"/>
  <c r="L3853" i="3"/>
  <c r="M3853" i="3" s="1"/>
  <c r="K3853" i="3"/>
  <c r="J3853" i="3"/>
  <c r="I3853" i="3"/>
  <c r="H3853" i="3"/>
  <c r="G3853" i="3"/>
  <c r="L3852" i="3"/>
  <c r="K3852" i="3"/>
  <c r="J3852" i="3"/>
  <c r="M3852" i="3" s="1"/>
  <c r="I3852" i="3"/>
  <c r="H3852" i="3"/>
  <c r="G3852" i="3"/>
  <c r="L3851" i="3"/>
  <c r="K3851" i="3"/>
  <c r="J3851" i="3"/>
  <c r="I3851" i="3"/>
  <c r="H3851" i="3"/>
  <c r="W3874" i="3" s="1"/>
  <c r="G3851" i="3"/>
  <c r="L3850" i="3"/>
  <c r="K3850" i="3"/>
  <c r="J3850" i="3"/>
  <c r="I3850" i="3"/>
  <c r="H3850" i="3"/>
  <c r="G3850" i="3"/>
  <c r="L3849" i="3"/>
  <c r="AA3872" i="3" s="1"/>
  <c r="K3849" i="3"/>
  <c r="J3849" i="3"/>
  <c r="I3849" i="3"/>
  <c r="H3849" i="3"/>
  <c r="G3849" i="3"/>
  <c r="L3848" i="3"/>
  <c r="K3848" i="3"/>
  <c r="J3848" i="3"/>
  <c r="M3848" i="3" s="1"/>
  <c r="I3848" i="3"/>
  <c r="H3848" i="3"/>
  <c r="G3848" i="3"/>
  <c r="O3847" i="3"/>
  <c r="L3847" i="3"/>
  <c r="K3847" i="3"/>
  <c r="J3847" i="3"/>
  <c r="I3847" i="3"/>
  <c r="H3847" i="3"/>
  <c r="G3847" i="3"/>
  <c r="L3846" i="3"/>
  <c r="K3846" i="3"/>
  <c r="J3846" i="3"/>
  <c r="I3846" i="3"/>
  <c r="H3846" i="3"/>
  <c r="G3846" i="3"/>
  <c r="M3846" i="3" s="1"/>
  <c r="L3845" i="3"/>
  <c r="K3845" i="3"/>
  <c r="J3845" i="3"/>
  <c r="I3845" i="3"/>
  <c r="H3845" i="3"/>
  <c r="G3845" i="3"/>
  <c r="L3844" i="3"/>
  <c r="K3844" i="3"/>
  <c r="M3844" i="3" s="1"/>
  <c r="J3844" i="3"/>
  <c r="I3844" i="3"/>
  <c r="H3844" i="3"/>
  <c r="G3844" i="3"/>
  <c r="L3843" i="3"/>
  <c r="K3843" i="3"/>
  <c r="J3843" i="3"/>
  <c r="I3843" i="3"/>
  <c r="M3843" i="3" s="1"/>
  <c r="H3843" i="3"/>
  <c r="G3843" i="3"/>
  <c r="L3842" i="3"/>
  <c r="K3842" i="3"/>
  <c r="J3842" i="3"/>
  <c r="I3842" i="3"/>
  <c r="H3842" i="3"/>
  <c r="G3842" i="3"/>
  <c r="M3842" i="3" s="1"/>
  <c r="L3841" i="3"/>
  <c r="K3841" i="3"/>
  <c r="J3841" i="3"/>
  <c r="I3841" i="3"/>
  <c r="H3841" i="3"/>
  <c r="G3841" i="3"/>
  <c r="L3840" i="3"/>
  <c r="K3840" i="3"/>
  <c r="M3840" i="3" s="1"/>
  <c r="J3840" i="3"/>
  <c r="I3840" i="3"/>
  <c r="H3840" i="3"/>
  <c r="G3840" i="3"/>
  <c r="L3839" i="3"/>
  <c r="K3839" i="3"/>
  <c r="J3839" i="3"/>
  <c r="I3839" i="3"/>
  <c r="M3839" i="3" s="1"/>
  <c r="H3839" i="3"/>
  <c r="G3839" i="3"/>
  <c r="L3838" i="3"/>
  <c r="K3838" i="3"/>
  <c r="J3838" i="3"/>
  <c r="I3838" i="3"/>
  <c r="H3838" i="3"/>
  <c r="G3838" i="3"/>
  <c r="M3838" i="3" s="1"/>
  <c r="L3837" i="3"/>
  <c r="K3837" i="3"/>
  <c r="J3837" i="3"/>
  <c r="I3837" i="3"/>
  <c r="H3837" i="3"/>
  <c r="G3837" i="3"/>
  <c r="L3836" i="3"/>
  <c r="K3836" i="3"/>
  <c r="M3836" i="3" s="1"/>
  <c r="J3836" i="3"/>
  <c r="I3836" i="3"/>
  <c r="H3836" i="3"/>
  <c r="G3836" i="3"/>
  <c r="L3835" i="3"/>
  <c r="K3835" i="3"/>
  <c r="J3835" i="3"/>
  <c r="I3835" i="3"/>
  <c r="M3835" i="3" s="1"/>
  <c r="H3835" i="3"/>
  <c r="G3835" i="3"/>
  <c r="L3834" i="3"/>
  <c r="K3834" i="3"/>
  <c r="J3834" i="3"/>
  <c r="I3834" i="3"/>
  <c r="H3834" i="3"/>
  <c r="G3834" i="3"/>
  <c r="M3834" i="3" s="1"/>
  <c r="L3833" i="3"/>
  <c r="K3833" i="3"/>
  <c r="J3833" i="3"/>
  <c r="I3833" i="3"/>
  <c r="H3833" i="3"/>
  <c r="G3833" i="3"/>
  <c r="L3832" i="3"/>
  <c r="K3832" i="3"/>
  <c r="M3832" i="3" s="1"/>
  <c r="J3832" i="3"/>
  <c r="I3832" i="3"/>
  <c r="H3832" i="3"/>
  <c r="G3832" i="3"/>
  <c r="L3831" i="3"/>
  <c r="K3831" i="3"/>
  <c r="J3831" i="3"/>
  <c r="I3831" i="3"/>
  <c r="H3831" i="3"/>
  <c r="G3831" i="3"/>
  <c r="L3830" i="3"/>
  <c r="K3830" i="3"/>
  <c r="J3830" i="3"/>
  <c r="I3830" i="3"/>
  <c r="H3830" i="3"/>
  <c r="G3830" i="3"/>
  <c r="M3830" i="3" s="1"/>
  <c r="L3829" i="3"/>
  <c r="K3829" i="3"/>
  <c r="J3829" i="3"/>
  <c r="I3829" i="3"/>
  <c r="H3829" i="3"/>
  <c r="G3829" i="3"/>
  <c r="L3828" i="3"/>
  <c r="K3828" i="3"/>
  <c r="M3828" i="3" s="1"/>
  <c r="J3828" i="3"/>
  <c r="I3828" i="3"/>
  <c r="H3828" i="3"/>
  <c r="G3828" i="3"/>
  <c r="L3827" i="3"/>
  <c r="K3827" i="3"/>
  <c r="J3827" i="3"/>
  <c r="I3827" i="3"/>
  <c r="M3827" i="3" s="1"/>
  <c r="H3827" i="3"/>
  <c r="G3827" i="3"/>
  <c r="L3826" i="3"/>
  <c r="K3826" i="3"/>
  <c r="J3826" i="3"/>
  <c r="I3826" i="3"/>
  <c r="H3826" i="3"/>
  <c r="G3826" i="3"/>
  <c r="M3826" i="3" s="1"/>
  <c r="L3825" i="3"/>
  <c r="K3825" i="3"/>
  <c r="J3825" i="3"/>
  <c r="I3825" i="3"/>
  <c r="H3825" i="3"/>
  <c r="G3825" i="3"/>
  <c r="L3824" i="3"/>
  <c r="K3824" i="3"/>
  <c r="M3824" i="3" s="1"/>
  <c r="J3824" i="3"/>
  <c r="I3824" i="3"/>
  <c r="H3824" i="3"/>
  <c r="G3824" i="3"/>
  <c r="L3823" i="3"/>
  <c r="K3823" i="3"/>
  <c r="J3823" i="3"/>
  <c r="I3823" i="3"/>
  <c r="H3823" i="3"/>
  <c r="G3823" i="3"/>
  <c r="L3822" i="3"/>
  <c r="K3822" i="3"/>
  <c r="J3822" i="3"/>
  <c r="I3822" i="3"/>
  <c r="H3822" i="3"/>
  <c r="G3822" i="3"/>
  <c r="M3822" i="3" s="1"/>
  <c r="L3821" i="3"/>
  <c r="K3821" i="3"/>
  <c r="J3821" i="3"/>
  <c r="I3821" i="3"/>
  <c r="H3821" i="3"/>
  <c r="G3821" i="3"/>
  <c r="L3820" i="3"/>
  <c r="K3820" i="3"/>
  <c r="M3820" i="3" s="1"/>
  <c r="J3820" i="3"/>
  <c r="I3820" i="3"/>
  <c r="H3820" i="3"/>
  <c r="G3820" i="3"/>
  <c r="L3819" i="3"/>
  <c r="K3819" i="3"/>
  <c r="J3819" i="3"/>
  <c r="I3819" i="3"/>
  <c r="M3819" i="3" s="1"/>
  <c r="H3819" i="3"/>
  <c r="G3819" i="3"/>
  <c r="L3818" i="3"/>
  <c r="K3818" i="3"/>
  <c r="J3818" i="3"/>
  <c r="I3818" i="3"/>
  <c r="H3818" i="3"/>
  <c r="G3818" i="3"/>
  <c r="M3818" i="3" s="1"/>
  <c r="L3817" i="3"/>
  <c r="K3817" i="3"/>
  <c r="J3817" i="3"/>
  <c r="I3817" i="3"/>
  <c r="H3817" i="3"/>
  <c r="G3817" i="3"/>
  <c r="L3816" i="3"/>
  <c r="K3816" i="3"/>
  <c r="M3816" i="3" s="1"/>
  <c r="J3816" i="3"/>
  <c r="I3816" i="3"/>
  <c r="H3816" i="3"/>
  <c r="G3816" i="3"/>
  <c r="L3815" i="3"/>
  <c r="K3815" i="3"/>
  <c r="J3815" i="3"/>
  <c r="I3815" i="3"/>
  <c r="X3831" i="3" s="1"/>
  <c r="H3815" i="3"/>
  <c r="G3815" i="3"/>
  <c r="L3814" i="3"/>
  <c r="K3814" i="3"/>
  <c r="J3814" i="3"/>
  <c r="I3814" i="3"/>
  <c r="H3814" i="3"/>
  <c r="G3814" i="3"/>
  <c r="M3814" i="3" s="1"/>
  <c r="O3813" i="3"/>
  <c r="L3813" i="3"/>
  <c r="K3813" i="3"/>
  <c r="J3813" i="3"/>
  <c r="I3813" i="3"/>
  <c r="H3813" i="3"/>
  <c r="G3813" i="3"/>
  <c r="L3812" i="3"/>
  <c r="M3812" i="3" s="1"/>
  <c r="K3812" i="3"/>
  <c r="J3812" i="3"/>
  <c r="I3812" i="3"/>
  <c r="H3812" i="3"/>
  <c r="G3812" i="3"/>
  <c r="L3811" i="3"/>
  <c r="K3811" i="3"/>
  <c r="J3811" i="3"/>
  <c r="M3811" i="3" s="1"/>
  <c r="I3811" i="3"/>
  <c r="H3811" i="3"/>
  <c r="G3811" i="3"/>
  <c r="L3810" i="3"/>
  <c r="K3810" i="3"/>
  <c r="J3810" i="3"/>
  <c r="I3810" i="3"/>
  <c r="H3810" i="3"/>
  <c r="M3810" i="3" s="1"/>
  <c r="G3810" i="3"/>
  <c r="L3809" i="3"/>
  <c r="K3809" i="3"/>
  <c r="J3809" i="3"/>
  <c r="I3809" i="3"/>
  <c r="H3809" i="3"/>
  <c r="G3809" i="3"/>
  <c r="L3808" i="3"/>
  <c r="M3808" i="3" s="1"/>
  <c r="K3808" i="3"/>
  <c r="J3808" i="3"/>
  <c r="I3808" i="3"/>
  <c r="H3808" i="3"/>
  <c r="G3808" i="3"/>
  <c r="L3807" i="3"/>
  <c r="K3807" i="3"/>
  <c r="J3807" i="3"/>
  <c r="M3807" i="3" s="1"/>
  <c r="I3807" i="3"/>
  <c r="H3807" i="3"/>
  <c r="G3807" i="3"/>
  <c r="L3806" i="3"/>
  <c r="K3806" i="3"/>
  <c r="J3806" i="3"/>
  <c r="I3806" i="3"/>
  <c r="H3806" i="3"/>
  <c r="M3806" i="3" s="1"/>
  <c r="G3806" i="3"/>
  <c r="L3805" i="3"/>
  <c r="K3805" i="3"/>
  <c r="J3805" i="3"/>
  <c r="I3805" i="3"/>
  <c r="H3805" i="3"/>
  <c r="G3805" i="3"/>
  <c r="L3804" i="3"/>
  <c r="M3804" i="3" s="1"/>
  <c r="K3804" i="3"/>
  <c r="J3804" i="3"/>
  <c r="I3804" i="3"/>
  <c r="H3804" i="3"/>
  <c r="G3804" i="3"/>
  <c r="L3803" i="3"/>
  <c r="K3803" i="3"/>
  <c r="J3803" i="3"/>
  <c r="M3803" i="3" s="1"/>
  <c r="I3803" i="3"/>
  <c r="H3803" i="3"/>
  <c r="G3803" i="3"/>
  <c r="L3802" i="3"/>
  <c r="K3802" i="3"/>
  <c r="J3802" i="3"/>
  <c r="I3802" i="3"/>
  <c r="H3802" i="3"/>
  <c r="M3802" i="3" s="1"/>
  <c r="G3802" i="3"/>
  <c r="L3801" i="3"/>
  <c r="K3801" i="3"/>
  <c r="J3801" i="3"/>
  <c r="I3801" i="3"/>
  <c r="H3801" i="3"/>
  <c r="G3801" i="3"/>
  <c r="L3800" i="3"/>
  <c r="M3800" i="3" s="1"/>
  <c r="K3800" i="3"/>
  <c r="J3800" i="3"/>
  <c r="I3800" i="3"/>
  <c r="H3800" i="3"/>
  <c r="G3800" i="3"/>
  <c r="L3799" i="3"/>
  <c r="K3799" i="3"/>
  <c r="J3799" i="3"/>
  <c r="M3799" i="3" s="1"/>
  <c r="I3799" i="3"/>
  <c r="H3799" i="3"/>
  <c r="G3799" i="3"/>
  <c r="L3798" i="3"/>
  <c r="K3798" i="3"/>
  <c r="J3798" i="3"/>
  <c r="I3798" i="3"/>
  <c r="H3798" i="3"/>
  <c r="M3798" i="3" s="1"/>
  <c r="G3798" i="3"/>
  <c r="L3797" i="3"/>
  <c r="K3797" i="3"/>
  <c r="J3797" i="3"/>
  <c r="I3797" i="3"/>
  <c r="H3797" i="3"/>
  <c r="G3797" i="3"/>
  <c r="M3797" i="3" s="1"/>
  <c r="L3796" i="3"/>
  <c r="M3796" i="3" s="1"/>
  <c r="K3796" i="3"/>
  <c r="J3796" i="3"/>
  <c r="I3796" i="3"/>
  <c r="H3796" i="3"/>
  <c r="G3796" i="3"/>
  <c r="L3795" i="3"/>
  <c r="K3795" i="3"/>
  <c r="J3795" i="3"/>
  <c r="M3795" i="3" s="1"/>
  <c r="I3795" i="3"/>
  <c r="H3795" i="3"/>
  <c r="G3795" i="3"/>
  <c r="L3794" i="3"/>
  <c r="K3794" i="3"/>
  <c r="J3794" i="3"/>
  <c r="I3794" i="3"/>
  <c r="H3794" i="3"/>
  <c r="M3794" i="3" s="1"/>
  <c r="G3794" i="3"/>
  <c r="L3793" i="3"/>
  <c r="K3793" i="3"/>
  <c r="J3793" i="3"/>
  <c r="I3793" i="3"/>
  <c r="H3793" i="3"/>
  <c r="G3793" i="3"/>
  <c r="M3793" i="3" s="1"/>
  <c r="L3792" i="3"/>
  <c r="M3792" i="3" s="1"/>
  <c r="K3792" i="3"/>
  <c r="J3792" i="3"/>
  <c r="I3792" i="3"/>
  <c r="H3792" i="3"/>
  <c r="G3792" i="3"/>
  <c r="L3791" i="3"/>
  <c r="K3791" i="3"/>
  <c r="J3791" i="3"/>
  <c r="M3791" i="3" s="1"/>
  <c r="I3791" i="3"/>
  <c r="H3791" i="3"/>
  <c r="G3791" i="3"/>
  <c r="L3790" i="3"/>
  <c r="K3790" i="3"/>
  <c r="J3790" i="3"/>
  <c r="I3790" i="3"/>
  <c r="H3790" i="3"/>
  <c r="M3790" i="3" s="1"/>
  <c r="G3790" i="3"/>
  <c r="L3789" i="3"/>
  <c r="K3789" i="3"/>
  <c r="J3789" i="3"/>
  <c r="I3789" i="3"/>
  <c r="H3789" i="3"/>
  <c r="G3789" i="3"/>
  <c r="L3788" i="3"/>
  <c r="M3788" i="3" s="1"/>
  <c r="K3788" i="3"/>
  <c r="J3788" i="3"/>
  <c r="I3788" i="3"/>
  <c r="H3788" i="3"/>
  <c r="G3788" i="3"/>
  <c r="L3787" i="3"/>
  <c r="K3787" i="3"/>
  <c r="J3787" i="3"/>
  <c r="I3787" i="3"/>
  <c r="H3787" i="3"/>
  <c r="G3787" i="3"/>
  <c r="L3786" i="3"/>
  <c r="K3786" i="3"/>
  <c r="J3786" i="3"/>
  <c r="I3786" i="3"/>
  <c r="H3786" i="3"/>
  <c r="M3786" i="3" s="1"/>
  <c r="G3786" i="3"/>
  <c r="L3785" i="3"/>
  <c r="K3785" i="3"/>
  <c r="J3785" i="3"/>
  <c r="I3785" i="3"/>
  <c r="H3785" i="3"/>
  <c r="G3785" i="3"/>
  <c r="L3784" i="3"/>
  <c r="M3784" i="3" s="1"/>
  <c r="K3784" i="3"/>
  <c r="J3784" i="3"/>
  <c r="I3784" i="3"/>
  <c r="H3784" i="3"/>
  <c r="G3784" i="3"/>
  <c r="L3783" i="3"/>
  <c r="K3783" i="3"/>
  <c r="J3783" i="3"/>
  <c r="Y3810" i="3" s="1"/>
  <c r="I3783" i="3"/>
  <c r="H3783" i="3"/>
  <c r="G3783" i="3"/>
  <c r="M3783" i="3" s="1"/>
  <c r="L3782" i="3"/>
  <c r="K3782" i="3"/>
  <c r="J3782" i="3"/>
  <c r="I3782" i="3"/>
  <c r="H3782" i="3"/>
  <c r="W3795" i="3" s="1"/>
  <c r="G3782" i="3"/>
  <c r="L3781" i="3"/>
  <c r="K3781" i="3"/>
  <c r="Z3809" i="3" s="1"/>
  <c r="J3781" i="3"/>
  <c r="I3781" i="3"/>
  <c r="H3781" i="3"/>
  <c r="G3781" i="3"/>
  <c r="L3780" i="3"/>
  <c r="AA3809" i="3" s="1"/>
  <c r="K3780" i="3"/>
  <c r="J3780" i="3"/>
  <c r="I3780" i="3"/>
  <c r="H3780" i="3"/>
  <c r="G3780" i="3"/>
  <c r="M3879" i="3"/>
  <c r="M3878" i="3"/>
  <c r="M3874" i="3"/>
  <c r="M3871" i="3"/>
  <c r="M3870" i="3"/>
  <c r="M3866" i="3"/>
  <c r="M3863" i="3"/>
  <c r="M3862" i="3"/>
  <c r="M3858" i="3"/>
  <c r="M3855" i="3"/>
  <c r="M3854" i="3"/>
  <c r="M3850" i="3"/>
  <c r="M3847" i="3"/>
  <c r="M3845" i="3"/>
  <c r="M3841" i="3"/>
  <c r="M3837" i="3"/>
  <c r="M3833" i="3"/>
  <c r="M3831" i="3"/>
  <c r="M3829" i="3"/>
  <c r="M3825" i="3"/>
  <c r="M3823" i="3"/>
  <c r="M3821" i="3"/>
  <c r="M3817" i="3"/>
  <c r="M3813" i="3"/>
  <c r="M3809" i="3"/>
  <c r="M3805" i="3"/>
  <c r="M3801" i="3"/>
  <c r="M3789" i="3"/>
  <c r="M3781" i="3"/>
  <c r="O3779" i="3"/>
  <c r="L3779" i="3"/>
  <c r="K3779" i="3"/>
  <c r="J3779" i="3"/>
  <c r="I3779" i="3"/>
  <c r="M3779" i="3" s="1"/>
  <c r="H3779" i="3"/>
  <c r="G3779" i="3"/>
  <c r="L3778" i="3"/>
  <c r="K3778" i="3"/>
  <c r="J3778" i="3"/>
  <c r="I3778" i="3"/>
  <c r="H3778" i="3"/>
  <c r="G3778" i="3"/>
  <c r="M3778" i="3" s="1"/>
  <c r="L3777" i="3"/>
  <c r="K3777" i="3"/>
  <c r="J3777" i="3"/>
  <c r="I3777" i="3"/>
  <c r="H3777" i="3"/>
  <c r="G3777" i="3"/>
  <c r="L3776" i="3"/>
  <c r="K3776" i="3"/>
  <c r="M3776" i="3" s="1"/>
  <c r="J3776" i="3"/>
  <c r="I3776" i="3"/>
  <c r="H3776" i="3"/>
  <c r="G3776" i="3"/>
  <c r="L3775" i="3"/>
  <c r="K3775" i="3"/>
  <c r="J3775" i="3"/>
  <c r="I3775" i="3"/>
  <c r="M3775" i="3" s="1"/>
  <c r="H3775" i="3"/>
  <c r="G3775" i="3"/>
  <c r="L3774" i="3"/>
  <c r="K3774" i="3"/>
  <c r="J3774" i="3"/>
  <c r="I3774" i="3"/>
  <c r="H3774" i="3"/>
  <c r="G3774" i="3"/>
  <c r="L3773" i="3"/>
  <c r="K3773" i="3"/>
  <c r="J3773" i="3"/>
  <c r="I3773" i="3"/>
  <c r="H3773" i="3"/>
  <c r="G3773" i="3"/>
  <c r="L3772" i="3"/>
  <c r="K3772" i="3"/>
  <c r="J3772" i="3"/>
  <c r="I3772" i="3"/>
  <c r="H3772" i="3"/>
  <c r="G3772" i="3"/>
  <c r="M3772" i="3" s="1"/>
  <c r="L3771" i="3"/>
  <c r="K3771" i="3"/>
  <c r="J3771" i="3"/>
  <c r="I3771" i="3"/>
  <c r="M3771" i="3" s="1"/>
  <c r="H3771" i="3"/>
  <c r="G3771" i="3"/>
  <c r="L3770" i="3"/>
  <c r="K3770" i="3"/>
  <c r="J3770" i="3"/>
  <c r="I3770" i="3"/>
  <c r="H3770" i="3"/>
  <c r="G3770" i="3"/>
  <c r="L3769" i="3"/>
  <c r="K3769" i="3"/>
  <c r="J3769" i="3"/>
  <c r="I3769" i="3"/>
  <c r="H3769" i="3"/>
  <c r="G3769" i="3"/>
  <c r="L3768" i="3"/>
  <c r="K3768" i="3"/>
  <c r="J3768" i="3"/>
  <c r="I3768" i="3"/>
  <c r="H3768" i="3"/>
  <c r="G3768" i="3"/>
  <c r="L3767" i="3"/>
  <c r="K3767" i="3"/>
  <c r="J3767" i="3"/>
  <c r="I3767" i="3"/>
  <c r="M3767" i="3" s="1"/>
  <c r="H3767" i="3"/>
  <c r="G3767" i="3"/>
  <c r="L3766" i="3"/>
  <c r="K3766" i="3"/>
  <c r="J3766" i="3"/>
  <c r="I3766" i="3"/>
  <c r="H3766" i="3"/>
  <c r="G3766" i="3"/>
  <c r="L3765" i="3"/>
  <c r="K3765" i="3"/>
  <c r="J3765" i="3"/>
  <c r="I3765" i="3"/>
  <c r="H3765" i="3"/>
  <c r="G3765" i="3"/>
  <c r="L3764" i="3"/>
  <c r="K3764" i="3"/>
  <c r="M3764" i="3" s="1"/>
  <c r="J3764" i="3"/>
  <c r="I3764" i="3"/>
  <c r="H3764" i="3"/>
  <c r="G3764" i="3"/>
  <c r="L3763" i="3"/>
  <c r="K3763" i="3"/>
  <c r="J3763" i="3"/>
  <c r="I3763" i="3"/>
  <c r="M3763" i="3" s="1"/>
  <c r="H3763" i="3"/>
  <c r="G3763" i="3"/>
  <c r="L3762" i="3"/>
  <c r="K3762" i="3"/>
  <c r="J3762" i="3"/>
  <c r="I3762" i="3"/>
  <c r="H3762" i="3"/>
  <c r="G3762" i="3"/>
  <c r="L3761" i="3"/>
  <c r="K3761" i="3"/>
  <c r="J3761" i="3"/>
  <c r="I3761" i="3"/>
  <c r="H3761" i="3"/>
  <c r="G3761" i="3"/>
  <c r="L3760" i="3"/>
  <c r="K3760" i="3"/>
  <c r="M3760" i="3" s="1"/>
  <c r="J3760" i="3"/>
  <c r="I3760" i="3"/>
  <c r="H3760" i="3"/>
  <c r="G3760" i="3"/>
  <c r="L3759" i="3"/>
  <c r="K3759" i="3"/>
  <c r="J3759" i="3"/>
  <c r="I3759" i="3"/>
  <c r="M3759" i="3" s="1"/>
  <c r="H3759" i="3"/>
  <c r="G3759" i="3"/>
  <c r="L3758" i="3"/>
  <c r="K3758" i="3"/>
  <c r="J3758" i="3"/>
  <c r="I3758" i="3"/>
  <c r="H3758" i="3"/>
  <c r="G3758" i="3"/>
  <c r="M3758" i="3" s="1"/>
  <c r="L3757" i="3"/>
  <c r="K3757" i="3"/>
  <c r="J3757" i="3"/>
  <c r="I3757" i="3"/>
  <c r="H3757" i="3"/>
  <c r="G3757" i="3"/>
  <c r="L3756" i="3"/>
  <c r="K3756" i="3"/>
  <c r="J3756" i="3"/>
  <c r="I3756" i="3"/>
  <c r="H3756" i="3"/>
  <c r="G3756" i="3"/>
  <c r="L3755" i="3"/>
  <c r="K3755" i="3"/>
  <c r="J3755" i="3"/>
  <c r="I3755" i="3"/>
  <c r="H3755" i="3"/>
  <c r="G3755" i="3"/>
  <c r="M3755" i="3" s="1"/>
  <c r="L3754" i="3"/>
  <c r="K3754" i="3"/>
  <c r="J3754" i="3"/>
  <c r="I3754" i="3"/>
  <c r="H3754" i="3"/>
  <c r="G3754" i="3"/>
  <c r="M3754" i="3" s="1"/>
  <c r="L3753" i="3"/>
  <c r="K3753" i="3"/>
  <c r="J3753" i="3"/>
  <c r="I3753" i="3"/>
  <c r="H3753" i="3"/>
  <c r="G3753" i="3"/>
  <c r="L3752" i="3"/>
  <c r="K3752" i="3"/>
  <c r="J3752" i="3"/>
  <c r="I3752" i="3"/>
  <c r="H3752" i="3"/>
  <c r="G3752" i="3"/>
  <c r="L3751" i="3"/>
  <c r="K3751" i="3"/>
  <c r="J3751" i="3"/>
  <c r="I3751" i="3"/>
  <c r="M3751" i="3" s="1"/>
  <c r="H3751" i="3"/>
  <c r="G3751" i="3"/>
  <c r="L3750" i="3"/>
  <c r="K3750" i="3"/>
  <c r="J3750" i="3"/>
  <c r="I3750" i="3"/>
  <c r="H3750" i="3"/>
  <c r="G3750" i="3"/>
  <c r="M3750" i="3" s="1"/>
  <c r="L3749" i="3"/>
  <c r="K3749" i="3"/>
  <c r="J3749" i="3"/>
  <c r="I3749" i="3"/>
  <c r="H3749" i="3"/>
  <c r="G3749" i="3"/>
  <c r="L3748" i="3"/>
  <c r="K3748" i="3"/>
  <c r="J3748" i="3"/>
  <c r="I3748" i="3"/>
  <c r="H3748" i="3"/>
  <c r="G3748" i="3"/>
  <c r="L3747" i="3"/>
  <c r="K3747" i="3"/>
  <c r="J3747" i="3"/>
  <c r="Y3757" i="3" s="1"/>
  <c r="I3747" i="3"/>
  <c r="X3768" i="3" s="1"/>
  <c r="H3747" i="3"/>
  <c r="G3747" i="3"/>
  <c r="L3746" i="3"/>
  <c r="K3746" i="3"/>
  <c r="J3746" i="3"/>
  <c r="I3746" i="3"/>
  <c r="H3746" i="3"/>
  <c r="G3746" i="3"/>
  <c r="V3769" i="3" s="1"/>
  <c r="M3777" i="3"/>
  <c r="M3768" i="3"/>
  <c r="V3747" i="3"/>
  <c r="O3745" i="3"/>
  <c r="L3745" i="3"/>
  <c r="K3745" i="3"/>
  <c r="J3745" i="3"/>
  <c r="I3745" i="3"/>
  <c r="H3745" i="3"/>
  <c r="G3745" i="3"/>
  <c r="L3744" i="3"/>
  <c r="K3744" i="3"/>
  <c r="J3744" i="3"/>
  <c r="I3744" i="3"/>
  <c r="H3744" i="3"/>
  <c r="G3744" i="3"/>
  <c r="L3743" i="3"/>
  <c r="M3743" i="3" s="1"/>
  <c r="K3743" i="3"/>
  <c r="J3743" i="3"/>
  <c r="I3743" i="3"/>
  <c r="H3743" i="3"/>
  <c r="G3743" i="3"/>
  <c r="L3742" i="3"/>
  <c r="K3742" i="3"/>
  <c r="J3742" i="3"/>
  <c r="M3742" i="3" s="1"/>
  <c r="I3742" i="3"/>
  <c r="H3742" i="3"/>
  <c r="G3742" i="3"/>
  <c r="L3741" i="3"/>
  <c r="K3741" i="3"/>
  <c r="J3741" i="3"/>
  <c r="I3741" i="3"/>
  <c r="H3741" i="3"/>
  <c r="M3741" i="3" s="1"/>
  <c r="G3741" i="3"/>
  <c r="L3740" i="3"/>
  <c r="K3740" i="3"/>
  <c r="J3740" i="3"/>
  <c r="I3740" i="3"/>
  <c r="H3740" i="3"/>
  <c r="G3740" i="3"/>
  <c r="L3739" i="3"/>
  <c r="M3739" i="3" s="1"/>
  <c r="K3739" i="3"/>
  <c r="J3739" i="3"/>
  <c r="I3739" i="3"/>
  <c r="H3739" i="3"/>
  <c r="G3739" i="3"/>
  <c r="L3738" i="3"/>
  <c r="K3738" i="3"/>
  <c r="J3738" i="3"/>
  <c r="M3738" i="3" s="1"/>
  <c r="I3738" i="3"/>
  <c r="H3738" i="3"/>
  <c r="G3738" i="3"/>
  <c r="L3737" i="3"/>
  <c r="K3737" i="3"/>
  <c r="J3737" i="3"/>
  <c r="I3737" i="3"/>
  <c r="H3737" i="3"/>
  <c r="G3737" i="3"/>
  <c r="L3736" i="3"/>
  <c r="K3736" i="3"/>
  <c r="J3736" i="3"/>
  <c r="I3736" i="3"/>
  <c r="H3736" i="3"/>
  <c r="G3736" i="3"/>
  <c r="L3735" i="3"/>
  <c r="M3735" i="3" s="1"/>
  <c r="K3735" i="3"/>
  <c r="J3735" i="3"/>
  <c r="I3735" i="3"/>
  <c r="H3735" i="3"/>
  <c r="G3735" i="3"/>
  <c r="L3734" i="3"/>
  <c r="K3734" i="3"/>
  <c r="J3734" i="3"/>
  <c r="M3734" i="3" s="1"/>
  <c r="I3734" i="3"/>
  <c r="H3734" i="3"/>
  <c r="G3734" i="3"/>
  <c r="L3733" i="3"/>
  <c r="K3733" i="3"/>
  <c r="J3733" i="3"/>
  <c r="I3733" i="3"/>
  <c r="H3733" i="3"/>
  <c r="M3733" i="3" s="1"/>
  <c r="G3733" i="3"/>
  <c r="L3732" i="3"/>
  <c r="K3732" i="3"/>
  <c r="J3732" i="3"/>
  <c r="M3732" i="3" s="1"/>
  <c r="I3732" i="3"/>
  <c r="H3732" i="3"/>
  <c r="G3732" i="3"/>
  <c r="L3731" i="3"/>
  <c r="K3731" i="3"/>
  <c r="J3731" i="3"/>
  <c r="I3731" i="3"/>
  <c r="H3731" i="3"/>
  <c r="G3731" i="3"/>
  <c r="L3730" i="3"/>
  <c r="K3730" i="3"/>
  <c r="J3730" i="3"/>
  <c r="I3730" i="3"/>
  <c r="H3730" i="3"/>
  <c r="G3730" i="3"/>
  <c r="M3730" i="3" s="1"/>
  <c r="L3729" i="3"/>
  <c r="K3729" i="3"/>
  <c r="J3729" i="3"/>
  <c r="I3729" i="3"/>
  <c r="H3729" i="3"/>
  <c r="M3729" i="3" s="1"/>
  <c r="G3729" i="3"/>
  <c r="L3728" i="3"/>
  <c r="K3728" i="3"/>
  <c r="J3728" i="3"/>
  <c r="I3728" i="3"/>
  <c r="H3728" i="3"/>
  <c r="G3728" i="3"/>
  <c r="L3727" i="3"/>
  <c r="K3727" i="3"/>
  <c r="J3727" i="3"/>
  <c r="I3727" i="3"/>
  <c r="H3727" i="3"/>
  <c r="G3727" i="3"/>
  <c r="L3726" i="3"/>
  <c r="K3726" i="3"/>
  <c r="J3726" i="3"/>
  <c r="I3726" i="3"/>
  <c r="H3726" i="3"/>
  <c r="G3726" i="3"/>
  <c r="L3725" i="3"/>
  <c r="K3725" i="3"/>
  <c r="J3725" i="3"/>
  <c r="I3725" i="3"/>
  <c r="H3725" i="3"/>
  <c r="M3725" i="3" s="1"/>
  <c r="G3725" i="3"/>
  <c r="L3724" i="3"/>
  <c r="K3724" i="3"/>
  <c r="J3724" i="3"/>
  <c r="I3724" i="3"/>
  <c r="H3724" i="3"/>
  <c r="G3724" i="3"/>
  <c r="L3723" i="3"/>
  <c r="K3723" i="3"/>
  <c r="J3723" i="3"/>
  <c r="I3723" i="3"/>
  <c r="H3723" i="3"/>
  <c r="G3723" i="3"/>
  <c r="L3722" i="3"/>
  <c r="K3722" i="3"/>
  <c r="J3722" i="3"/>
  <c r="I3722" i="3"/>
  <c r="H3722" i="3"/>
  <c r="G3722" i="3"/>
  <c r="M3722" i="3" s="1"/>
  <c r="L3721" i="3"/>
  <c r="K3721" i="3"/>
  <c r="J3721" i="3"/>
  <c r="I3721" i="3"/>
  <c r="H3721" i="3"/>
  <c r="M3721" i="3" s="1"/>
  <c r="G3721" i="3"/>
  <c r="L3720" i="3"/>
  <c r="K3720" i="3"/>
  <c r="J3720" i="3"/>
  <c r="I3720" i="3"/>
  <c r="H3720" i="3"/>
  <c r="G3720" i="3"/>
  <c r="L3719" i="3"/>
  <c r="K3719" i="3"/>
  <c r="J3719" i="3"/>
  <c r="I3719" i="3"/>
  <c r="H3719" i="3"/>
  <c r="G3719" i="3"/>
  <c r="L3718" i="3"/>
  <c r="K3718" i="3"/>
  <c r="J3718" i="3"/>
  <c r="I3718" i="3"/>
  <c r="H3718" i="3"/>
  <c r="G3718" i="3"/>
  <c r="M3718" i="3" s="1"/>
  <c r="L3717" i="3"/>
  <c r="K3717" i="3"/>
  <c r="J3717" i="3"/>
  <c r="I3717" i="3"/>
  <c r="H3717" i="3"/>
  <c r="M3717" i="3" s="1"/>
  <c r="G3717" i="3"/>
  <c r="L3716" i="3"/>
  <c r="K3716" i="3"/>
  <c r="J3716" i="3"/>
  <c r="I3716" i="3"/>
  <c r="H3716" i="3"/>
  <c r="G3716" i="3"/>
  <c r="L3715" i="3"/>
  <c r="K3715" i="3"/>
  <c r="J3715" i="3"/>
  <c r="I3715" i="3"/>
  <c r="H3715" i="3"/>
  <c r="M3715" i="3" s="1"/>
  <c r="G3715" i="3"/>
  <c r="L3714" i="3"/>
  <c r="K3714" i="3"/>
  <c r="J3714" i="3"/>
  <c r="M3714" i="3" s="1"/>
  <c r="I3714" i="3"/>
  <c r="H3714" i="3"/>
  <c r="G3714" i="3"/>
  <c r="L3713" i="3"/>
  <c r="K3713" i="3"/>
  <c r="J3713" i="3"/>
  <c r="I3713" i="3"/>
  <c r="H3713" i="3"/>
  <c r="M3713" i="3" s="1"/>
  <c r="G3713" i="3"/>
  <c r="L3712" i="3"/>
  <c r="K3712" i="3"/>
  <c r="Z3742" i="3" s="1"/>
  <c r="J3712" i="3"/>
  <c r="I3712" i="3"/>
  <c r="H3712" i="3"/>
  <c r="G3712" i="3"/>
  <c r="M3712" i="3" s="1"/>
  <c r="M3745" i="3"/>
  <c r="M3744" i="3"/>
  <c r="M3740" i="3"/>
  <c r="M3737" i="3"/>
  <c r="M3736" i="3"/>
  <c r="M3726" i="3"/>
  <c r="Z3722" i="3"/>
  <c r="X3721" i="3"/>
  <c r="O3711" i="3"/>
  <c r="L3711" i="3"/>
  <c r="K3711" i="3"/>
  <c r="J3711" i="3"/>
  <c r="I3711" i="3"/>
  <c r="H3711" i="3"/>
  <c r="G3711" i="3"/>
  <c r="M3711" i="3" s="1"/>
  <c r="L3710" i="3"/>
  <c r="K3710" i="3"/>
  <c r="J3710" i="3"/>
  <c r="I3710" i="3"/>
  <c r="H3710" i="3"/>
  <c r="G3710" i="3"/>
  <c r="L3709" i="3"/>
  <c r="K3709" i="3"/>
  <c r="M3709" i="3" s="1"/>
  <c r="J3709" i="3"/>
  <c r="I3709" i="3"/>
  <c r="H3709" i="3"/>
  <c r="G3709" i="3"/>
  <c r="L3708" i="3"/>
  <c r="K3708" i="3"/>
  <c r="J3708" i="3"/>
  <c r="I3708" i="3"/>
  <c r="M3708" i="3" s="1"/>
  <c r="H3708" i="3"/>
  <c r="G3708" i="3"/>
  <c r="L3707" i="3"/>
  <c r="K3707" i="3"/>
  <c r="J3707" i="3"/>
  <c r="I3707" i="3"/>
  <c r="H3707" i="3"/>
  <c r="G3707" i="3"/>
  <c r="M3707" i="3" s="1"/>
  <c r="L3706" i="3"/>
  <c r="K3706" i="3"/>
  <c r="J3706" i="3"/>
  <c r="I3706" i="3"/>
  <c r="H3706" i="3"/>
  <c r="G3706" i="3"/>
  <c r="L3705" i="3"/>
  <c r="K3705" i="3"/>
  <c r="M3705" i="3" s="1"/>
  <c r="J3705" i="3"/>
  <c r="I3705" i="3"/>
  <c r="H3705" i="3"/>
  <c r="G3705" i="3"/>
  <c r="L3704" i="3"/>
  <c r="K3704" i="3"/>
  <c r="J3704" i="3"/>
  <c r="I3704" i="3"/>
  <c r="M3704" i="3" s="1"/>
  <c r="H3704" i="3"/>
  <c r="G3704" i="3"/>
  <c r="L3703" i="3"/>
  <c r="K3703" i="3"/>
  <c r="J3703" i="3"/>
  <c r="I3703" i="3"/>
  <c r="H3703" i="3"/>
  <c r="G3703" i="3"/>
  <c r="M3703" i="3" s="1"/>
  <c r="L3702" i="3"/>
  <c r="K3702" i="3"/>
  <c r="J3702" i="3"/>
  <c r="I3702" i="3"/>
  <c r="H3702" i="3"/>
  <c r="G3702" i="3"/>
  <c r="L3701" i="3"/>
  <c r="K3701" i="3"/>
  <c r="M3701" i="3" s="1"/>
  <c r="J3701" i="3"/>
  <c r="I3701" i="3"/>
  <c r="H3701" i="3"/>
  <c r="G3701" i="3"/>
  <c r="L3700" i="3"/>
  <c r="K3700" i="3"/>
  <c r="J3700" i="3"/>
  <c r="I3700" i="3"/>
  <c r="M3700" i="3" s="1"/>
  <c r="H3700" i="3"/>
  <c r="G3700" i="3"/>
  <c r="L3699" i="3"/>
  <c r="K3699" i="3"/>
  <c r="J3699" i="3"/>
  <c r="I3699" i="3"/>
  <c r="H3699" i="3"/>
  <c r="G3699" i="3"/>
  <c r="M3699" i="3" s="1"/>
  <c r="L3698" i="3"/>
  <c r="K3698" i="3"/>
  <c r="J3698" i="3"/>
  <c r="I3698" i="3"/>
  <c r="H3698" i="3"/>
  <c r="G3698" i="3"/>
  <c r="L3697" i="3"/>
  <c r="K3697" i="3"/>
  <c r="J3697" i="3"/>
  <c r="I3697" i="3"/>
  <c r="H3697" i="3"/>
  <c r="G3697" i="3"/>
  <c r="M3697" i="3" s="1"/>
  <c r="L3696" i="3"/>
  <c r="K3696" i="3"/>
  <c r="J3696" i="3"/>
  <c r="I3696" i="3"/>
  <c r="M3696" i="3" s="1"/>
  <c r="H3696" i="3"/>
  <c r="G3696" i="3"/>
  <c r="L3695" i="3"/>
  <c r="K3695" i="3"/>
  <c r="J3695" i="3"/>
  <c r="I3695" i="3"/>
  <c r="H3695" i="3"/>
  <c r="G3695" i="3"/>
  <c r="M3695" i="3" s="1"/>
  <c r="L3694" i="3"/>
  <c r="K3694" i="3"/>
  <c r="J3694" i="3"/>
  <c r="I3694" i="3"/>
  <c r="H3694" i="3"/>
  <c r="G3694" i="3"/>
  <c r="L3693" i="3"/>
  <c r="K3693" i="3"/>
  <c r="J3693" i="3"/>
  <c r="I3693" i="3"/>
  <c r="H3693" i="3"/>
  <c r="G3693" i="3"/>
  <c r="M3693" i="3" s="1"/>
  <c r="L3692" i="3"/>
  <c r="K3692" i="3"/>
  <c r="J3692" i="3"/>
  <c r="I3692" i="3"/>
  <c r="M3692" i="3" s="1"/>
  <c r="H3692" i="3"/>
  <c r="G3692" i="3"/>
  <c r="L3691" i="3"/>
  <c r="K3691" i="3"/>
  <c r="J3691" i="3"/>
  <c r="I3691" i="3"/>
  <c r="H3691" i="3"/>
  <c r="G3691" i="3"/>
  <c r="M3691" i="3" s="1"/>
  <c r="L3690" i="3"/>
  <c r="K3690" i="3"/>
  <c r="J3690" i="3"/>
  <c r="I3690" i="3"/>
  <c r="H3690" i="3"/>
  <c r="G3690" i="3"/>
  <c r="L3689" i="3"/>
  <c r="K3689" i="3"/>
  <c r="J3689" i="3"/>
  <c r="I3689" i="3"/>
  <c r="H3689" i="3"/>
  <c r="G3689" i="3"/>
  <c r="M3689" i="3" s="1"/>
  <c r="L3688" i="3"/>
  <c r="K3688" i="3"/>
  <c r="J3688" i="3"/>
  <c r="I3688" i="3"/>
  <c r="M3688" i="3" s="1"/>
  <c r="H3688" i="3"/>
  <c r="G3688" i="3"/>
  <c r="L3687" i="3"/>
  <c r="K3687" i="3"/>
  <c r="J3687" i="3"/>
  <c r="I3687" i="3"/>
  <c r="H3687" i="3"/>
  <c r="G3687" i="3"/>
  <c r="M3687" i="3" s="1"/>
  <c r="L3686" i="3"/>
  <c r="K3686" i="3"/>
  <c r="J3686" i="3"/>
  <c r="I3686" i="3"/>
  <c r="H3686" i="3"/>
  <c r="G3686" i="3"/>
  <c r="L3685" i="3"/>
  <c r="K3685" i="3"/>
  <c r="J3685" i="3"/>
  <c r="I3685" i="3"/>
  <c r="H3685" i="3"/>
  <c r="G3685" i="3"/>
  <c r="M3685" i="3" s="1"/>
  <c r="L3684" i="3"/>
  <c r="K3684" i="3"/>
  <c r="J3684" i="3"/>
  <c r="I3684" i="3"/>
  <c r="M3684" i="3" s="1"/>
  <c r="H3684" i="3"/>
  <c r="G3684" i="3"/>
  <c r="L3683" i="3"/>
  <c r="K3683" i="3"/>
  <c r="J3683" i="3"/>
  <c r="I3683" i="3"/>
  <c r="H3683" i="3"/>
  <c r="G3683" i="3"/>
  <c r="L3682" i="3"/>
  <c r="K3682" i="3"/>
  <c r="J3682" i="3"/>
  <c r="I3682" i="3"/>
  <c r="H3682" i="3"/>
  <c r="G3682" i="3"/>
  <c r="L3681" i="3"/>
  <c r="K3681" i="3"/>
  <c r="Z3706" i="3" s="1"/>
  <c r="J3681" i="3"/>
  <c r="I3681" i="3"/>
  <c r="H3681" i="3"/>
  <c r="G3681" i="3"/>
  <c r="M3681" i="3" s="1"/>
  <c r="L3680" i="3"/>
  <c r="K3680" i="3"/>
  <c r="J3680" i="3"/>
  <c r="I3680" i="3"/>
  <c r="H3680" i="3"/>
  <c r="G3680" i="3"/>
  <c r="L3679" i="3"/>
  <c r="AA3702" i="3" s="1"/>
  <c r="K3679" i="3"/>
  <c r="J3679" i="3"/>
  <c r="I3679" i="3"/>
  <c r="H3679" i="3"/>
  <c r="G3679" i="3"/>
  <c r="V3684" i="3" s="1"/>
  <c r="L3678" i="3"/>
  <c r="K3678" i="3"/>
  <c r="J3678" i="3"/>
  <c r="Y3684" i="3" s="1"/>
  <c r="I3678" i="3"/>
  <c r="X3679" i="3" s="1"/>
  <c r="H3678" i="3"/>
  <c r="G3678" i="3"/>
  <c r="M3710" i="3"/>
  <c r="M3706" i="3"/>
  <c r="M3702" i="3"/>
  <c r="M3698" i="3"/>
  <c r="M3694" i="3"/>
  <c r="M3690" i="3"/>
  <c r="M3686" i="3"/>
  <c r="M3682" i="3"/>
  <c r="Z3686" i="3"/>
  <c r="AB3881" i="3"/>
  <c r="U3875" i="3"/>
  <c r="Y3873" i="3"/>
  <c r="U3871" i="3"/>
  <c r="U3867" i="3"/>
  <c r="Y3865" i="3"/>
  <c r="U3863" i="3"/>
  <c r="U3859" i="3"/>
  <c r="Y3857" i="3"/>
  <c r="U3855" i="3"/>
  <c r="U3851" i="3"/>
  <c r="W3850" i="3"/>
  <c r="Z3877" i="3"/>
  <c r="Y3878" i="3"/>
  <c r="U3880" i="3"/>
  <c r="AB3847" i="3"/>
  <c r="T3821" i="3"/>
  <c r="U3816" i="3"/>
  <c r="U3817" i="3"/>
  <c r="U3815" i="3"/>
  <c r="Z3815" i="3"/>
  <c r="T3841" i="3"/>
  <c r="U3814" i="3"/>
  <c r="AA3826" i="3"/>
  <c r="Y3821" i="3"/>
  <c r="W3840" i="3"/>
  <c r="U3833" i="3"/>
  <c r="T3845" i="3"/>
  <c r="AB3813" i="3"/>
  <c r="W3780" i="3"/>
  <c r="T3780" i="3"/>
  <c r="X3810" i="3"/>
  <c r="U3812" i="3"/>
  <c r="T3812" i="3"/>
  <c r="AB3779" i="3"/>
  <c r="U3755" i="3"/>
  <c r="U3751" i="3"/>
  <c r="AA3750" i="3"/>
  <c r="U3749" i="3"/>
  <c r="U3753" i="3"/>
  <c r="AA3748" i="3"/>
  <c r="W3748" i="3"/>
  <c r="U3747" i="3"/>
  <c r="W3746" i="3"/>
  <c r="U3769" i="3"/>
  <c r="T3770" i="3"/>
  <c r="AB3745" i="3"/>
  <c r="T3725" i="3"/>
  <c r="X3723" i="3"/>
  <c r="T3721" i="3"/>
  <c r="T3719" i="3"/>
  <c r="V3718" i="3"/>
  <c r="T3717" i="3"/>
  <c r="T3715" i="3"/>
  <c r="V3714" i="3"/>
  <c r="T3713" i="3"/>
  <c r="T3741" i="3"/>
  <c r="AB3711" i="3"/>
  <c r="T3685" i="3"/>
  <c r="T3681" i="3"/>
  <c r="U3679" i="3"/>
  <c r="W3706" i="3"/>
  <c r="U3706" i="3"/>
  <c r="T3706" i="3"/>
  <c r="M1778" i="5" l="1"/>
  <c r="M1734" i="5"/>
  <c r="M1741" i="5"/>
  <c r="M1702" i="5"/>
  <c r="M1653" i="5"/>
  <c r="M1391" i="5"/>
  <c r="M1338" i="5"/>
  <c r="M1360" i="5"/>
  <c r="M1328" i="5"/>
  <c r="M1062" i="5"/>
  <c r="G1942" i="5"/>
  <c r="E546" i="5"/>
  <c r="BF68" i="5"/>
  <c r="M1694" i="5"/>
  <c r="M1073" i="5"/>
  <c r="M1063" i="5"/>
  <c r="G1967" i="5"/>
  <c r="G1945" i="5"/>
  <c r="AC497" i="5"/>
  <c r="AR200" i="5"/>
  <c r="AC134" i="5"/>
  <c r="BF101" i="5"/>
  <c r="AR35" i="5"/>
  <c r="M1977" i="5"/>
  <c r="M1705" i="5"/>
  <c r="M1348" i="5"/>
  <c r="M1097" i="5"/>
  <c r="M1028" i="5"/>
  <c r="M996" i="5"/>
  <c r="M671" i="5"/>
  <c r="G1938" i="5"/>
  <c r="G1928" i="5"/>
  <c r="F1981" i="5"/>
  <c r="F1969" i="5"/>
  <c r="G1929" i="5"/>
  <c r="E554" i="5"/>
  <c r="E540" i="5"/>
  <c r="E663" i="5"/>
  <c r="M1717" i="5"/>
  <c r="M1092" i="5"/>
  <c r="G1982" i="5"/>
  <c r="AR497" i="5"/>
  <c r="BF134" i="5"/>
  <c r="M1710" i="5"/>
  <c r="M1721" i="5"/>
  <c r="G1973" i="5"/>
  <c r="G1937" i="5"/>
  <c r="E1925" i="5"/>
  <c r="AC431" i="5"/>
  <c r="M1747" i="5"/>
  <c r="M1780" i="5"/>
  <c r="M1657" i="5"/>
  <c r="M1677" i="5"/>
  <c r="M1375" i="5"/>
  <c r="M1110" i="5"/>
  <c r="M1078" i="5"/>
  <c r="BF530" i="5"/>
  <c r="BF431" i="5"/>
  <c r="M1937" i="5"/>
  <c r="M1683" i="5"/>
  <c r="M1403" i="5"/>
  <c r="M1337" i="5"/>
  <c r="M1108" i="5"/>
  <c r="M1076" i="5"/>
  <c r="M1072" i="5"/>
  <c r="M1040" i="5"/>
  <c r="M1008" i="5"/>
  <c r="M1039" i="5"/>
  <c r="M1007" i="5"/>
  <c r="M946" i="5"/>
  <c r="H934" i="5"/>
  <c r="H902" i="5"/>
  <c r="H921" i="5"/>
  <c r="G864" i="5"/>
  <c r="M1976" i="5"/>
  <c r="G1221" i="5"/>
  <c r="G1486" i="5"/>
  <c r="G1496" i="5"/>
  <c r="G1467" i="5"/>
  <c r="G1507" i="5"/>
  <c r="G1464" i="5"/>
  <c r="G1462" i="5"/>
  <c r="G1479" i="5"/>
  <c r="G1510" i="5"/>
  <c r="G1531" i="5"/>
  <c r="G1460" i="5"/>
  <c r="G1253" i="5"/>
  <c r="G1459" i="5"/>
  <c r="G1493" i="5"/>
  <c r="G1546" i="5"/>
  <c r="G1567" i="5"/>
  <c r="G1577" i="5"/>
  <c r="G1582" i="5"/>
  <c r="G1583" i="5"/>
  <c r="G1578" i="5"/>
  <c r="G1581" i="5"/>
  <c r="G1605" i="5"/>
  <c r="G1785" i="5"/>
  <c r="G1602" i="5"/>
  <c r="G1854" i="5"/>
  <c r="G1891" i="5"/>
  <c r="G1901" i="5"/>
  <c r="G1907" i="5"/>
  <c r="G1924" i="5"/>
  <c r="G1807" i="5"/>
  <c r="G1826" i="5"/>
  <c r="G1873" i="5"/>
  <c r="G1904" i="5"/>
  <c r="G1917" i="5"/>
  <c r="G1134" i="5"/>
  <c r="G1209" i="5"/>
  <c r="G1233" i="5"/>
  <c r="G1455" i="5"/>
  <c r="G1470" i="5"/>
  <c r="G1508" i="5"/>
  <c r="G1521" i="5"/>
  <c r="G1519" i="5"/>
  <c r="G1481" i="5"/>
  <c r="G1490" i="5"/>
  <c r="G1538" i="5"/>
  <c r="G1264" i="5"/>
  <c r="G1474" i="5"/>
  <c r="G1505" i="5"/>
  <c r="G1526" i="5"/>
  <c r="G1456" i="5"/>
  <c r="G1542" i="5"/>
  <c r="G1561" i="5"/>
  <c r="G1573" i="5"/>
  <c r="G1554" i="5"/>
  <c r="G1580" i="5"/>
  <c r="G1591" i="5"/>
  <c r="G1607" i="5"/>
  <c r="G1622" i="5"/>
  <c r="G1592" i="5"/>
  <c r="G1639" i="5"/>
  <c r="G1821" i="5"/>
  <c r="G1829" i="5"/>
  <c r="G1913" i="5"/>
  <c r="G1799" i="5"/>
  <c r="G1888" i="5"/>
  <c r="G1896" i="5"/>
  <c r="G1919" i="5"/>
  <c r="G1954" i="5"/>
  <c r="G1962" i="5"/>
  <c r="G1978" i="5"/>
  <c r="G1488" i="5"/>
  <c r="G1533" i="5"/>
  <c r="G1499" i="5"/>
  <c r="G1465" i="5"/>
  <c r="G1463" i="5"/>
  <c r="G1502" i="5"/>
  <c r="G1523" i="5"/>
  <c r="G1461" i="5"/>
  <c r="G1517" i="5"/>
  <c r="G1569" i="5"/>
  <c r="G1541" i="5"/>
  <c r="G1547" i="5"/>
  <c r="G1558" i="5"/>
  <c r="G1487" i="5"/>
  <c r="G1553" i="5"/>
  <c r="G1597" i="5"/>
  <c r="G1611" i="5"/>
  <c r="G1630" i="5"/>
  <c r="G1787" i="5"/>
  <c r="G1806" i="5"/>
  <c r="G1598" i="5"/>
  <c r="G1627" i="5"/>
  <c r="G1841" i="5"/>
  <c r="G1887" i="5"/>
  <c r="G1897" i="5"/>
  <c r="G1903" i="5"/>
  <c r="G1809" i="5"/>
  <c r="G1846" i="5"/>
  <c r="G1154" i="5"/>
  <c r="G1217" i="5"/>
  <c r="G1500" i="5"/>
  <c r="G1484" i="5"/>
  <c r="G1511" i="5"/>
  <c r="G1524" i="5"/>
  <c r="G1514" i="5"/>
  <c r="G1535" i="5"/>
  <c r="G1497" i="5"/>
  <c r="G1457" i="5"/>
  <c r="G1555" i="5"/>
  <c r="G1563" i="5"/>
  <c r="G1562" i="5"/>
  <c r="G1802" i="5"/>
  <c r="G1615" i="5"/>
  <c r="G1634" i="5"/>
  <c r="G1789" i="5"/>
  <c r="G1817" i="5"/>
  <c r="G1604" i="5"/>
  <c r="G1618" i="5"/>
  <c r="G1647" i="5"/>
  <c r="G1814" i="5"/>
  <c r="G1823" i="5"/>
  <c r="G1831" i="5"/>
  <c r="G1872" i="5"/>
  <c r="G1915" i="5"/>
  <c r="G1801" i="5"/>
  <c r="G1890" i="5"/>
  <c r="G1908" i="5"/>
  <c r="G1921" i="5"/>
  <c r="G1205" i="5"/>
  <c r="G1229" i="5"/>
  <c r="G1471" i="5"/>
  <c r="G1512" i="5"/>
  <c r="G1525" i="5"/>
  <c r="G1468" i="5"/>
  <c r="G1257" i="5"/>
  <c r="G1482" i="5"/>
  <c r="G1491" i="5"/>
  <c r="G1536" i="5"/>
  <c r="G1494" i="5"/>
  <c r="G1476" i="5"/>
  <c r="G1237" i="5"/>
  <c r="G1475" i="5"/>
  <c r="G1509" i="5"/>
  <c r="G1530" i="5"/>
  <c r="G1472" i="5"/>
  <c r="G1579" i="5"/>
  <c r="G1586" i="5"/>
  <c r="G1549" i="5"/>
  <c r="G1566" i="5"/>
  <c r="G1588" i="5"/>
  <c r="G1587" i="5"/>
  <c r="G1593" i="5"/>
  <c r="G1638" i="5"/>
  <c r="G1594" i="5"/>
  <c r="G1635" i="5"/>
  <c r="G1792" i="5"/>
  <c r="G1893" i="5"/>
  <c r="G1899" i="5"/>
  <c r="G1909" i="5"/>
  <c r="G1811" i="5"/>
  <c r="G1900" i="5"/>
  <c r="G1126" i="5"/>
  <c r="G1138" i="5"/>
  <c r="G1492" i="5"/>
  <c r="G1261" i="5"/>
  <c r="G1503" i="5"/>
  <c r="G1478" i="5"/>
  <c r="G1506" i="5"/>
  <c r="G1527" i="5"/>
  <c r="G1241" i="5"/>
  <c r="G1489" i="5"/>
  <c r="G1557" i="5"/>
  <c r="G1565" i="5"/>
  <c r="G1575" i="5"/>
  <c r="G1543" i="5"/>
  <c r="G1570" i="5"/>
  <c r="G1584" i="5"/>
  <c r="G1520" i="5"/>
  <c r="G1810" i="5"/>
  <c r="G1599" i="5"/>
  <c r="G1642" i="5"/>
  <c r="G1791" i="5"/>
  <c r="G1600" i="5"/>
  <c r="G1623" i="5"/>
  <c r="G1825" i="5"/>
  <c r="G1833" i="5"/>
  <c r="G1920" i="5"/>
  <c r="G1803" i="5"/>
  <c r="G1822" i="5"/>
  <c r="G1834" i="5"/>
  <c r="G1892" i="5"/>
  <c r="G1912" i="5"/>
  <c r="G1850" i="5"/>
  <c r="G1950" i="5"/>
  <c r="G1958" i="5"/>
  <c r="G1966" i="5"/>
  <c r="G1130" i="5"/>
  <c r="G1146" i="5"/>
  <c r="G1150" i="5"/>
  <c r="G1213" i="5"/>
  <c r="G1504" i="5"/>
  <c r="G1537" i="5"/>
  <c r="G1485" i="5"/>
  <c r="G1466" i="5"/>
  <c r="G1515" i="5"/>
  <c r="G1528" i="5"/>
  <c r="G1480" i="5"/>
  <c r="G1518" i="5"/>
  <c r="G1245" i="5"/>
  <c r="G1458" i="5"/>
  <c r="G1501" i="5"/>
  <c r="G1522" i="5"/>
  <c r="G1571" i="5"/>
  <c r="G1574" i="5"/>
  <c r="G1798" i="5"/>
  <c r="G1601" i="5"/>
  <c r="G1646" i="5"/>
  <c r="G1590" i="5"/>
  <c r="G1614" i="5"/>
  <c r="G1643" i="5"/>
  <c r="G1889" i="5"/>
  <c r="G1895" i="5"/>
  <c r="G1905" i="5"/>
  <c r="G1911" i="5"/>
  <c r="G1795" i="5"/>
  <c r="G1902" i="5"/>
  <c r="G1142" i="5"/>
  <c r="G1225" i="5"/>
  <c r="G1516" i="5"/>
  <c r="G1529" i="5"/>
  <c r="G1469" i="5"/>
  <c r="G1483" i="5"/>
  <c r="G1495" i="5"/>
  <c r="G1498" i="5"/>
  <c r="G1477" i="5"/>
  <c r="G1249" i="5"/>
  <c r="G1513" i="5"/>
  <c r="G1534" i="5"/>
  <c r="G1473" i="5"/>
  <c r="G1550" i="5"/>
  <c r="G1559" i="5"/>
  <c r="G1539" i="5"/>
  <c r="G1545" i="5"/>
  <c r="G1551" i="5"/>
  <c r="G1576" i="5"/>
  <c r="G1585" i="5"/>
  <c r="G1589" i="5"/>
  <c r="G1595" i="5"/>
  <c r="G1603" i="5"/>
  <c r="G1650" i="5"/>
  <c r="G1793" i="5"/>
  <c r="G1619" i="5"/>
  <c r="G1596" i="5"/>
  <c r="G1631" i="5"/>
  <c r="G1651" i="5"/>
  <c r="G1819" i="5"/>
  <c r="G1827" i="5"/>
  <c r="G1923" i="5"/>
  <c r="G1894" i="5"/>
  <c r="G1914" i="5"/>
  <c r="H987" i="5"/>
  <c r="G1969" i="5"/>
  <c r="G1963" i="5"/>
  <c r="M1948" i="5"/>
  <c r="M1942" i="5"/>
  <c r="M1932" i="5"/>
  <c r="H841" i="5"/>
  <c r="H825" i="5"/>
  <c r="H809" i="5"/>
  <c r="F1179" i="5"/>
  <c r="F1156" i="5"/>
  <c r="F1175" i="5"/>
  <c r="F1149" i="5"/>
  <c r="F1170" i="5"/>
  <c r="F1191" i="5"/>
  <c r="F1207" i="5"/>
  <c r="F1219" i="5"/>
  <c r="F1223" i="5"/>
  <c r="F1200" i="5"/>
  <c r="F1208" i="5"/>
  <c r="F1216" i="5"/>
  <c r="F1266" i="5"/>
  <c r="F1269" i="5"/>
  <c r="F1279" i="5"/>
  <c r="F1287" i="5"/>
  <c r="F1296" i="5"/>
  <c r="F1304" i="5"/>
  <c r="F1312" i="5"/>
  <c r="F1318" i="5"/>
  <c r="F1322" i="5"/>
  <c r="F1516" i="5"/>
  <c r="F1545" i="5"/>
  <c r="F1810" i="5"/>
  <c r="F1795" i="5"/>
  <c r="F1804" i="5"/>
  <c r="F1626" i="5"/>
  <c r="F1632" i="5"/>
  <c r="F1608" i="5"/>
  <c r="F1625" i="5"/>
  <c r="F1822" i="5"/>
  <c r="F1867" i="5"/>
  <c r="F1881" i="5"/>
  <c r="F1847" i="5"/>
  <c r="F1852" i="5"/>
  <c r="F1860" i="5"/>
  <c r="F1915" i="5"/>
  <c r="F1141" i="5"/>
  <c r="F1163" i="5"/>
  <c r="F1147" i="5"/>
  <c r="F1177" i="5"/>
  <c r="F1135" i="5"/>
  <c r="F1228" i="5"/>
  <c r="F1244" i="5"/>
  <c r="F1250" i="5"/>
  <c r="F1218" i="5"/>
  <c r="F1271" i="5"/>
  <c r="F1256" i="5"/>
  <c r="F1278" i="5"/>
  <c r="F1286" i="5"/>
  <c r="F1523" i="5"/>
  <c r="F1529" i="5"/>
  <c r="F1541" i="5"/>
  <c r="F1585" i="5"/>
  <c r="F1569" i="5"/>
  <c r="F1577" i="5"/>
  <c r="F1798" i="5"/>
  <c r="F1605" i="5"/>
  <c r="F1789" i="5"/>
  <c r="F1645" i="5"/>
  <c r="F1790" i="5"/>
  <c r="F1802" i="5"/>
  <c r="F1828" i="5"/>
  <c r="F1834" i="5"/>
  <c r="M1834" i="5" s="1"/>
  <c r="F1840" i="5"/>
  <c r="F1848" i="5"/>
  <c r="F1853" i="5"/>
  <c r="F1863" i="5"/>
  <c r="F1877" i="5"/>
  <c r="F1874" i="5"/>
  <c r="F1880" i="5"/>
  <c r="F1166" i="5"/>
  <c r="F1173" i="5"/>
  <c r="F1172" i="5"/>
  <c r="F1195" i="5"/>
  <c r="F1215" i="5"/>
  <c r="F1260" i="5"/>
  <c r="F1238" i="5"/>
  <c r="F1192" i="5"/>
  <c r="F1202" i="5"/>
  <c r="F1210" i="5"/>
  <c r="F1231" i="5"/>
  <c r="F1273" i="5"/>
  <c r="F1281" i="5"/>
  <c r="F1290" i="5"/>
  <c r="F1298" i="5"/>
  <c r="F1306" i="5"/>
  <c r="F1314" i="5"/>
  <c r="F1268" i="5"/>
  <c r="F1295" i="5"/>
  <c r="F1299" i="5"/>
  <c r="F1303" i="5"/>
  <c r="F1307" i="5"/>
  <c r="F1311" i="5"/>
  <c r="F1315" i="5"/>
  <c r="F1319" i="5"/>
  <c r="F1606" i="5"/>
  <c r="F1809" i="5"/>
  <c r="F1593" i="5"/>
  <c r="F1611" i="5"/>
  <c r="F1617" i="5"/>
  <c r="F1622" i="5"/>
  <c r="F1640" i="5"/>
  <c r="F1800" i="5"/>
  <c r="F1616" i="5"/>
  <c r="F1621" i="5"/>
  <c r="F1633" i="5"/>
  <c r="F1818" i="5"/>
  <c r="F1859" i="5"/>
  <c r="F1873" i="5"/>
  <c r="F1143" i="5"/>
  <c r="F1164" i="5"/>
  <c r="F1161" i="5"/>
  <c r="F1178" i="5"/>
  <c r="F1144" i="5"/>
  <c r="F1176" i="5"/>
  <c r="F1182" i="5"/>
  <c r="F1132" i="5"/>
  <c r="F1151" i="5"/>
  <c r="F1167" i="5"/>
  <c r="F1184" i="5"/>
  <c r="F1265" i="5"/>
  <c r="F1230" i="5"/>
  <c r="F1246" i="5"/>
  <c r="F1243" i="5"/>
  <c r="F1254" i="5"/>
  <c r="F1194" i="5"/>
  <c r="F1220" i="5"/>
  <c r="F1258" i="5"/>
  <c r="F1270" i="5"/>
  <c r="F1280" i="5"/>
  <c r="F1288" i="5"/>
  <c r="F1537" i="5"/>
  <c r="F1519" i="5"/>
  <c r="F1557" i="5"/>
  <c r="F1811" i="5"/>
  <c r="F1815" i="5"/>
  <c r="F1589" i="5"/>
  <c r="F1628" i="5"/>
  <c r="F1785" i="5"/>
  <c r="F1813" i="5"/>
  <c r="F1824" i="5"/>
  <c r="F1869" i="5"/>
  <c r="F1883" i="5"/>
  <c r="F1849" i="5"/>
  <c r="F1882" i="5"/>
  <c r="F1183" i="5"/>
  <c r="F1155" i="5"/>
  <c r="F1140" i="5"/>
  <c r="F1145" i="5"/>
  <c r="F1148" i="5"/>
  <c r="F1203" i="5"/>
  <c r="F1264" i="5"/>
  <c r="F1235" i="5"/>
  <c r="F1196" i="5"/>
  <c r="F1204" i="5"/>
  <c r="F1212" i="5"/>
  <c r="F1222" i="5"/>
  <c r="F1236" i="5"/>
  <c r="F1275" i="5"/>
  <c r="F1283" i="5"/>
  <c r="F1292" i="5"/>
  <c r="F1300" i="5"/>
  <c r="F1308" i="5"/>
  <c r="F1316" i="5"/>
  <c r="F1320" i="5"/>
  <c r="F1321" i="5"/>
  <c r="F1289" i="5"/>
  <c r="F1272" i="5"/>
  <c r="F1581" i="5"/>
  <c r="F1561" i="5"/>
  <c r="M1561" i="5" s="1"/>
  <c r="F1601" i="5"/>
  <c r="F1607" i="5"/>
  <c r="F1648" i="5"/>
  <c r="F1791" i="5"/>
  <c r="F1796" i="5"/>
  <c r="F1641" i="5"/>
  <c r="F1786" i="5"/>
  <c r="F1816" i="5"/>
  <c r="F1836" i="5"/>
  <c r="F1855" i="5"/>
  <c r="F1865" i="5"/>
  <c r="F1884" i="5"/>
  <c r="F1827" i="5"/>
  <c r="F1833" i="5"/>
  <c r="F1856" i="5"/>
  <c r="F1870" i="5"/>
  <c r="F1876" i="5"/>
  <c r="F1891" i="5"/>
  <c r="F1911" i="5"/>
  <c r="F1128" i="5"/>
  <c r="F1159" i="5"/>
  <c r="F1153" i="5"/>
  <c r="F1162" i="5"/>
  <c r="F1160" i="5"/>
  <c r="F1174" i="5"/>
  <c r="F1125" i="5"/>
  <c r="F1169" i="5"/>
  <c r="F1240" i="5"/>
  <c r="F1248" i="5"/>
  <c r="F1211" i="5"/>
  <c r="F1224" i="5"/>
  <c r="F1232" i="5"/>
  <c r="F1242" i="5"/>
  <c r="F1247" i="5"/>
  <c r="F1190" i="5"/>
  <c r="F1259" i="5"/>
  <c r="F1262" i="5"/>
  <c r="F1274" i="5"/>
  <c r="F1282" i="5"/>
  <c r="F1291" i="5"/>
  <c r="F1553" i="5"/>
  <c r="F1573" i="5"/>
  <c r="F1613" i="5"/>
  <c r="F1624" i="5"/>
  <c r="F1636" i="5"/>
  <c r="F1612" i="5"/>
  <c r="F1618" i="5"/>
  <c r="F1623" i="5"/>
  <c r="F1629" i="5"/>
  <c r="F1820" i="5"/>
  <c r="F1844" i="5"/>
  <c r="F1861" i="5"/>
  <c r="F1879" i="5"/>
  <c r="F1839" i="5"/>
  <c r="F1845" i="5"/>
  <c r="F1864" i="5"/>
  <c r="F1139" i="5"/>
  <c r="F1152" i="5"/>
  <c r="F1127" i="5"/>
  <c r="F1133" i="5"/>
  <c r="F1137" i="5"/>
  <c r="F1168" i="5"/>
  <c r="F1180" i="5"/>
  <c r="F1251" i="5"/>
  <c r="F1263" i="5"/>
  <c r="F1198" i="5"/>
  <c r="M1198" i="5" s="1"/>
  <c r="F1206" i="5"/>
  <c r="F1214" i="5"/>
  <c r="F1277" i="5"/>
  <c r="F1285" i="5"/>
  <c r="F1294" i="5"/>
  <c r="F1302" i="5"/>
  <c r="F1310" i="5"/>
  <c r="F1297" i="5"/>
  <c r="F1301" i="5"/>
  <c r="F1305" i="5"/>
  <c r="F1309" i="5"/>
  <c r="F1313" i="5"/>
  <c r="F1317" i="5"/>
  <c r="F1527" i="5"/>
  <c r="F1533" i="5"/>
  <c r="F1565" i="5"/>
  <c r="F1787" i="5"/>
  <c r="F1649" i="5"/>
  <c r="F1794" i="5"/>
  <c r="F1812" i="5"/>
  <c r="F1826" i="5"/>
  <c r="F1832" i="5"/>
  <c r="F1851" i="5"/>
  <c r="F1875" i="5"/>
  <c r="F1878" i="5"/>
  <c r="F1885" i="5"/>
  <c r="F1129" i="5"/>
  <c r="F1165" i="5"/>
  <c r="F1131" i="5"/>
  <c r="F1136" i="5"/>
  <c r="F1186" i="5"/>
  <c r="M1186" i="5" s="1"/>
  <c r="F1188" i="5"/>
  <c r="F1157" i="5"/>
  <c r="F1171" i="5"/>
  <c r="F1158" i="5"/>
  <c r="F1187" i="5"/>
  <c r="F1252" i="5"/>
  <c r="F1199" i="5"/>
  <c r="F1226" i="5"/>
  <c r="F1234" i="5"/>
  <c r="F1255" i="5"/>
  <c r="F1227" i="5"/>
  <c r="F1239" i="5"/>
  <c r="F1267" i="5"/>
  <c r="F1276" i="5"/>
  <c r="F1284" i="5"/>
  <c r="F1293" i="5"/>
  <c r="F1549" i="5"/>
  <c r="M1549" i="5" s="1"/>
  <c r="F1808" i="5"/>
  <c r="F1597" i="5"/>
  <c r="F1609" i="5"/>
  <c r="F1620" i="5"/>
  <c r="F1644" i="5"/>
  <c r="F1793" i="5"/>
  <c r="F1807" i="5"/>
  <c r="F1637" i="5"/>
  <c r="F1857" i="5"/>
  <c r="F1871" i="5"/>
  <c r="F1886" i="5"/>
  <c r="F1823" i="5"/>
  <c r="F1829" i="5"/>
  <c r="F1835" i="5"/>
  <c r="F1866" i="5"/>
  <c r="M1866" i="5" s="1"/>
  <c r="F1872" i="5"/>
  <c r="G979" i="5"/>
  <c r="G963" i="5"/>
  <c r="G852" i="5"/>
  <c r="E1971" i="5"/>
  <c r="E1959" i="5"/>
  <c r="G1947" i="5"/>
  <c r="G1939" i="5"/>
  <c r="M1939" i="5" s="1"/>
  <c r="G1931" i="5"/>
  <c r="E601" i="5"/>
  <c r="E987" i="5"/>
  <c r="E971" i="5"/>
  <c r="E963" i="5"/>
  <c r="E548" i="5"/>
  <c r="M1545" i="5"/>
  <c r="M1557" i="5"/>
  <c r="M1383" i="5"/>
  <c r="M1178" i="5"/>
  <c r="M949" i="5"/>
  <c r="M1980" i="5"/>
  <c r="M1960" i="5"/>
  <c r="M1954" i="5"/>
  <c r="H168" i="5"/>
  <c r="H173" i="5"/>
  <c r="H171" i="5"/>
  <c r="H166" i="5"/>
  <c r="H185" i="5"/>
  <c r="H135" i="5"/>
  <c r="H219" i="5"/>
  <c r="H225" i="5"/>
  <c r="H266" i="5"/>
  <c r="H147" i="5"/>
  <c r="H283" i="5"/>
  <c r="H269" i="5"/>
  <c r="H273" i="5"/>
  <c r="H243" i="5"/>
  <c r="H249" i="5"/>
  <c r="H263" i="5"/>
  <c r="H496" i="5"/>
  <c r="H518" i="5"/>
  <c r="H289" i="5"/>
  <c r="H297" i="5"/>
  <c r="H304" i="5"/>
  <c r="H312" i="5"/>
  <c r="H320" i="5"/>
  <c r="H328" i="5"/>
  <c r="H491" i="5"/>
  <c r="H501" i="5"/>
  <c r="H325" i="5"/>
  <c r="H520" i="5"/>
  <c r="H290" i="5"/>
  <c r="H298" i="5"/>
  <c r="H307" i="5"/>
  <c r="H315" i="5"/>
  <c r="H329" i="5"/>
  <c r="H507" i="5"/>
  <c r="H552" i="5"/>
  <c r="H601" i="5"/>
  <c r="H632" i="5"/>
  <c r="H466" i="5"/>
  <c r="H475" i="5"/>
  <c r="H533" i="5"/>
  <c r="H602" i="5"/>
  <c r="H626" i="5"/>
  <c r="H649" i="5"/>
  <c r="H655" i="5"/>
  <c r="H872" i="5"/>
  <c r="H880" i="5"/>
  <c r="H895" i="5"/>
  <c r="H588" i="5"/>
  <c r="H596" i="5"/>
  <c r="H617" i="5"/>
  <c r="H634" i="5"/>
  <c r="H650" i="5"/>
  <c r="H850" i="5"/>
  <c r="H579" i="5"/>
  <c r="H860" i="5"/>
  <c r="H555" i="5"/>
  <c r="H197" i="5"/>
  <c r="H179" i="5"/>
  <c r="H267" i="5"/>
  <c r="H139" i="5"/>
  <c r="H172" i="5"/>
  <c r="H180" i="5"/>
  <c r="H188" i="5"/>
  <c r="H196" i="5"/>
  <c r="H205" i="5"/>
  <c r="H213" i="5"/>
  <c r="H240" i="5"/>
  <c r="H279" i="5"/>
  <c r="H152" i="5"/>
  <c r="H206" i="5"/>
  <c r="H214" i="5"/>
  <c r="H222" i="5"/>
  <c r="H230" i="5"/>
  <c r="H237" i="5"/>
  <c r="H136" i="5"/>
  <c r="H480" i="5"/>
  <c r="H522" i="5"/>
  <c r="H494" i="5"/>
  <c r="H505" i="5"/>
  <c r="H546" i="5"/>
  <c r="H488" i="5"/>
  <c r="H524" i="5"/>
  <c r="H528" i="5"/>
  <c r="H484" i="5"/>
  <c r="H511" i="5"/>
  <c r="H562" i="5"/>
  <c r="H551" i="5"/>
  <c r="H557" i="5"/>
  <c r="H818" i="5"/>
  <c r="H607" i="5"/>
  <c r="H816" i="5"/>
  <c r="H467" i="5"/>
  <c r="H477" i="5"/>
  <c r="H534" i="5"/>
  <c r="H608" i="5"/>
  <c r="H620" i="5"/>
  <c r="H637" i="5"/>
  <c r="H643" i="5"/>
  <c r="H798" i="5"/>
  <c r="H822" i="5"/>
  <c r="H888" i="5"/>
  <c r="H907" i="5"/>
  <c r="H571" i="5"/>
  <c r="H582" i="5"/>
  <c r="H539" i="5"/>
  <c r="H568" i="5"/>
  <c r="H619" i="5"/>
  <c r="H636" i="5"/>
  <c r="H652" i="5"/>
  <c r="H838" i="5"/>
  <c r="H856" i="5"/>
  <c r="H871" i="5"/>
  <c r="H916" i="5"/>
  <c r="H543" i="5"/>
  <c r="H569" i="5"/>
  <c r="H570" i="5"/>
  <c r="H157" i="5"/>
  <c r="H165" i="5"/>
  <c r="H271" i="5"/>
  <c r="H143" i="5"/>
  <c r="H164" i="5"/>
  <c r="H227" i="5"/>
  <c r="H148" i="5"/>
  <c r="H285" i="5"/>
  <c r="H268" i="5"/>
  <c r="H140" i="5"/>
  <c r="H526" i="5"/>
  <c r="H531" i="5"/>
  <c r="H291" i="5"/>
  <c r="H306" i="5"/>
  <c r="H314" i="5"/>
  <c r="H322" i="5"/>
  <c r="H330" i="5"/>
  <c r="H478" i="5"/>
  <c r="H509" i="5"/>
  <c r="H542" i="5"/>
  <c r="H490" i="5"/>
  <c r="H284" i="5"/>
  <c r="H292" i="5"/>
  <c r="H301" i="5"/>
  <c r="H309" i="5"/>
  <c r="H317" i="5"/>
  <c r="H515" i="5"/>
  <c r="H544" i="5"/>
  <c r="H812" i="5"/>
  <c r="H468" i="5"/>
  <c r="H497" i="5"/>
  <c r="H535" i="5"/>
  <c r="H614" i="5"/>
  <c r="H628" i="5"/>
  <c r="H657" i="5"/>
  <c r="H800" i="5"/>
  <c r="H824" i="5"/>
  <c r="H572" i="5"/>
  <c r="H584" i="5"/>
  <c r="H621" i="5"/>
  <c r="H638" i="5"/>
  <c r="H654" i="5"/>
  <c r="H828" i="5"/>
  <c r="H840" i="5"/>
  <c r="H887" i="5"/>
  <c r="H900" i="5"/>
  <c r="H908" i="5"/>
  <c r="H559" i="5"/>
  <c r="H181" i="5"/>
  <c r="H275" i="5"/>
  <c r="H174" i="5"/>
  <c r="H182" i="5"/>
  <c r="H190" i="5"/>
  <c r="H198" i="5"/>
  <c r="H207" i="5"/>
  <c r="H215" i="5"/>
  <c r="H221" i="5"/>
  <c r="H234" i="5"/>
  <c r="H242" i="5"/>
  <c r="H280" i="5"/>
  <c r="H154" i="5"/>
  <c r="H159" i="5"/>
  <c r="H208" i="5"/>
  <c r="H216" i="5"/>
  <c r="H224" i="5"/>
  <c r="H232" i="5"/>
  <c r="H239" i="5"/>
  <c r="H272" i="5"/>
  <c r="H144" i="5"/>
  <c r="H481" i="5"/>
  <c r="H498" i="5"/>
  <c r="H492" i="5"/>
  <c r="H513" i="5"/>
  <c r="H500" i="5"/>
  <c r="H485" i="5"/>
  <c r="H519" i="5"/>
  <c r="H540" i="5"/>
  <c r="H558" i="5"/>
  <c r="H589" i="5"/>
  <c r="H814" i="5"/>
  <c r="H597" i="5"/>
  <c r="H603" i="5"/>
  <c r="H469" i="5"/>
  <c r="H525" i="5"/>
  <c r="H536" i="5"/>
  <c r="H604" i="5"/>
  <c r="H622" i="5"/>
  <c r="H645" i="5"/>
  <c r="H651" i="5"/>
  <c r="H802" i="5"/>
  <c r="H903" i="5"/>
  <c r="H919" i="5"/>
  <c r="H587" i="5"/>
  <c r="H573" i="5"/>
  <c r="H623" i="5"/>
  <c r="H640" i="5"/>
  <c r="H656" i="5"/>
  <c r="H830" i="5"/>
  <c r="H842" i="5"/>
  <c r="H875" i="5"/>
  <c r="H586" i="5"/>
  <c r="H565" i="5"/>
  <c r="H576" i="5"/>
  <c r="H162" i="5"/>
  <c r="H204" i="5"/>
  <c r="H250" i="5"/>
  <c r="H256" i="5"/>
  <c r="H145" i="5"/>
  <c r="H149" i="5"/>
  <c r="H199" i="5"/>
  <c r="H200" i="5"/>
  <c r="H253" i="5"/>
  <c r="H276" i="5"/>
  <c r="H502" i="5"/>
  <c r="H547" i="5"/>
  <c r="H293" i="5"/>
  <c r="H300" i="5"/>
  <c r="H308" i="5"/>
  <c r="H316" i="5"/>
  <c r="H324" i="5"/>
  <c r="H476" i="5"/>
  <c r="H517" i="5"/>
  <c r="H474" i="5"/>
  <c r="H504" i="5"/>
  <c r="H545" i="5"/>
  <c r="H286" i="5"/>
  <c r="H294" i="5"/>
  <c r="H303" i="5"/>
  <c r="H311" i="5"/>
  <c r="H319" i="5"/>
  <c r="H548" i="5"/>
  <c r="H523" i="5"/>
  <c r="H554" i="5"/>
  <c r="H585" i="5"/>
  <c r="H553" i="5"/>
  <c r="H563" i="5"/>
  <c r="H820" i="5"/>
  <c r="H609" i="5"/>
  <c r="H470" i="5"/>
  <c r="H527" i="5"/>
  <c r="H538" i="5"/>
  <c r="H810" i="5"/>
  <c r="H610" i="5"/>
  <c r="H633" i="5"/>
  <c r="H639" i="5"/>
  <c r="H826" i="5"/>
  <c r="H868" i="5"/>
  <c r="H876" i="5"/>
  <c r="H928" i="5"/>
  <c r="H567" i="5"/>
  <c r="H578" i="5"/>
  <c r="H590" i="5"/>
  <c r="H625" i="5"/>
  <c r="H642" i="5"/>
  <c r="H658" i="5"/>
  <c r="H832" i="5"/>
  <c r="H844" i="5"/>
  <c r="H891" i="5"/>
  <c r="H920" i="5"/>
  <c r="H177" i="5"/>
  <c r="H156" i="5"/>
  <c r="H193" i="5"/>
  <c r="H183" i="5"/>
  <c r="H167" i="5"/>
  <c r="H258" i="5"/>
  <c r="H160" i="5"/>
  <c r="H176" i="5"/>
  <c r="H184" i="5"/>
  <c r="H192" i="5"/>
  <c r="H201" i="5"/>
  <c r="H209" i="5"/>
  <c r="H223" i="5"/>
  <c r="H229" i="5"/>
  <c r="H236" i="5"/>
  <c r="H244" i="5"/>
  <c r="H251" i="5"/>
  <c r="H257" i="5"/>
  <c r="H261" i="5"/>
  <c r="H265" i="5"/>
  <c r="H138" i="5"/>
  <c r="H277" i="5"/>
  <c r="H281" i="5"/>
  <c r="H233" i="5"/>
  <c r="H169" i="5"/>
  <c r="H254" i="5"/>
  <c r="H245" i="5"/>
  <c r="H210" i="5"/>
  <c r="H218" i="5"/>
  <c r="H226" i="5"/>
  <c r="H495" i="5"/>
  <c r="H506" i="5"/>
  <c r="H521" i="5"/>
  <c r="H299" i="5"/>
  <c r="H331" i="5"/>
  <c r="H508" i="5"/>
  <c r="H541" i="5"/>
  <c r="H550" i="5"/>
  <c r="H581" i="5"/>
  <c r="H598" i="5"/>
  <c r="H808" i="5"/>
  <c r="H471" i="5"/>
  <c r="H529" i="5"/>
  <c r="H600" i="5"/>
  <c r="H616" i="5"/>
  <c r="H624" i="5"/>
  <c r="H653" i="5"/>
  <c r="H659" i="5"/>
  <c r="H804" i="5"/>
  <c r="H884" i="5"/>
  <c r="H892" i="5"/>
  <c r="H899" i="5"/>
  <c r="H915" i="5"/>
  <c r="H566" i="5"/>
  <c r="H592" i="5"/>
  <c r="H611" i="5"/>
  <c r="H627" i="5"/>
  <c r="H644" i="5"/>
  <c r="H660" i="5"/>
  <c r="H863" i="5"/>
  <c r="H879" i="5"/>
  <c r="H912" i="5"/>
  <c r="H574" i="5"/>
  <c r="H564" i="5"/>
  <c r="H175" i="5"/>
  <c r="H189" i="5"/>
  <c r="H187" i="5"/>
  <c r="H202" i="5"/>
  <c r="H195" i="5"/>
  <c r="H161" i="5"/>
  <c r="H262" i="5"/>
  <c r="H217" i="5"/>
  <c r="H252" i="5"/>
  <c r="H270" i="5"/>
  <c r="H142" i="5"/>
  <c r="H146" i="5"/>
  <c r="H150" i="5"/>
  <c r="H255" i="5"/>
  <c r="H260" i="5"/>
  <c r="H235" i="5"/>
  <c r="H241" i="5"/>
  <c r="H246" i="5"/>
  <c r="H482" i="5"/>
  <c r="H479" i="5"/>
  <c r="H510" i="5"/>
  <c r="H287" i="5"/>
  <c r="H295" i="5"/>
  <c r="H302" i="5"/>
  <c r="H310" i="5"/>
  <c r="H318" i="5"/>
  <c r="H326" i="5"/>
  <c r="H493" i="5"/>
  <c r="H321" i="5"/>
  <c r="H487" i="5"/>
  <c r="H512" i="5"/>
  <c r="H288" i="5"/>
  <c r="H296" i="5"/>
  <c r="H305" i="5"/>
  <c r="H313" i="5"/>
  <c r="H327" i="5"/>
  <c r="H486" i="5"/>
  <c r="H483" i="5"/>
  <c r="H499" i="5"/>
  <c r="H560" i="5"/>
  <c r="H549" i="5"/>
  <c r="H561" i="5"/>
  <c r="H599" i="5"/>
  <c r="H605" i="5"/>
  <c r="H630" i="5"/>
  <c r="H472" i="5"/>
  <c r="H530" i="5"/>
  <c r="H606" i="5"/>
  <c r="H641" i="5"/>
  <c r="H647" i="5"/>
  <c r="H932" i="5"/>
  <c r="H537" i="5"/>
  <c r="H594" i="5"/>
  <c r="H613" i="5"/>
  <c r="H629" i="5"/>
  <c r="H646" i="5"/>
  <c r="H834" i="5"/>
  <c r="H846" i="5"/>
  <c r="H904" i="5"/>
  <c r="H924" i="5"/>
  <c r="H575" i="5"/>
  <c r="H151" i="5"/>
  <c r="H158" i="5"/>
  <c r="H191" i="5"/>
  <c r="H153" i="5"/>
  <c r="H170" i="5"/>
  <c r="H178" i="5"/>
  <c r="H186" i="5"/>
  <c r="H194" i="5"/>
  <c r="H203" i="5"/>
  <c r="H211" i="5"/>
  <c r="H231" i="5"/>
  <c r="H238" i="5"/>
  <c r="H247" i="5"/>
  <c r="H274" i="5"/>
  <c r="H278" i="5"/>
  <c r="H282" i="5"/>
  <c r="H155" i="5"/>
  <c r="H163" i="5"/>
  <c r="H248" i="5"/>
  <c r="H264" i="5"/>
  <c r="H137" i="5"/>
  <c r="H141" i="5"/>
  <c r="H212" i="5"/>
  <c r="H220" i="5"/>
  <c r="H228" i="5"/>
  <c r="H259" i="5"/>
  <c r="H332" i="5"/>
  <c r="H514" i="5"/>
  <c r="H323" i="5"/>
  <c r="H489" i="5"/>
  <c r="H516" i="5"/>
  <c r="H503" i="5"/>
  <c r="H556" i="5"/>
  <c r="H577" i="5"/>
  <c r="H593" i="5"/>
  <c r="H591" i="5"/>
  <c r="H465" i="5"/>
  <c r="H473" i="5"/>
  <c r="H532" i="5"/>
  <c r="H806" i="5"/>
  <c r="H612" i="5"/>
  <c r="H618" i="5"/>
  <c r="H635" i="5"/>
  <c r="H864" i="5"/>
  <c r="H911" i="5"/>
  <c r="H583" i="5"/>
  <c r="H595" i="5"/>
  <c r="H615" i="5"/>
  <c r="H631" i="5"/>
  <c r="H648" i="5"/>
  <c r="H836" i="5"/>
  <c r="H848" i="5"/>
  <c r="H867" i="5"/>
  <c r="H883" i="5"/>
  <c r="H896" i="5"/>
  <c r="H580" i="5"/>
  <c r="H979" i="5"/>
  <c r="H973" i="5"/>
  <c r="M1926" i="5"/>
  <c r="H839" i="5"/>
  <c r="H823" i="5"/>
  <c r="H807" i="5"/>
  <c r="M676" i="5"/>
  <c r="G145" i="5"/>
  <c r="G156" i="5"/>
  <c r="G164" i="5"/>
  <c r="G173" i="5"/>
  <c r="G181" i="5"/>
  <c r="G189" i="5"/>
  <c r="G197" i="5"/>
  <c r="G200" i="5"/>
  <c r="G286" i="5"/>
  <c r="G294" i="5"/>
  <c r="G302" i="5"/>
  <c r="G316" i="5"/>
  <c r="G248" i="5"/>
  <c r="G277" i="5"/>
  <c r="G235" i="5"/>
  <c r="G254" i="5"/>
  <c r="G279" i="5"/>
  <c r="G285" i="5"/>
  <c r="G533" i="5"/>
  <c r="G539" i="5"/>
  <c r="G545" i="5"/>
  <c r="G551" i="5"/>
  <c r="M551" i="5" s="1"/>
  <c r="G580" i="5"/>
  <c r="G602" i="5"/>
  <c r="G530" i="5"/>
  <c r="G536" i="5"/>
  <c r="G587" i="5"/>
  <c r="G808" i="5"/>
  <c r="G615" i="5"/>
  <c r="G799" i="5"/>
  <c r="G833" i="5"/>
  <c r="G481" i="5"/>
  <c r="G489" i="5"/>
  <c r="G497" i="5"/>
  <c r="G505" i="5"/>
  <c r="G513" i="5"/>
  <c r="G521" i="5"/>
  <c r="G538" i="5"/>
  <c r="G629" i="5"/>
  <c r="G655" i="5"/>
  <c r="G661" i="5"/>
  <c r="G800" i="5"/>
  <c r="G812" i="5"/>
  <c r="G980" i="5"/>
  <c r="M980" i="5" s="1"/>
  <c r="G838" i="5"/>
  <c r="G844" i="5"/>
  <c r="G850" i="5"/>
  <c r="G858" i="5"/>
  <c r="G863" i="5"/>
  <c r="G873" i="5"/>
  <c r="G887" i="5"/>
  <c r="G922" i="5"/>
  <c r="G579" i="5"/>
  <c r="G890" i="5"/>
  <c r="G897" i="5"/>
  <c r="G907" i="5"/>
  <c r="G917" i="5"/>
  <c r="G152" i="5"/>
  <c r="G205" i="5"/>
  <c r="G211" i="5"/>
  <c r="G225" i="5"/>
  <c r="G157" i="5"/>
  <c r="G165" i="5"/>
  <c r="G174" i="5"/>
  <c r="G182" i="5"/>
  <c r="G190" i="5"/>
  <c r="G198" i="5"/>
  <c r="G233" i="5"/>
  <c r="G228" i="5"/>
  <c r="G237" i="5"/>
  <c r="G287" i="5"/>
  <c r="G295" i="5"/>
  <c r="G303" i="5"/>
  <c r="G318" i="5"/>
  <c r="G252" i="5"/>
  <c r="G305" i="5"/>
  <c r="G309" i="5"/>
  <c r="G313" i="5"/>
  <c r="G317" i="5"/>
  <c r="G321" i="5"/>
  <c r="G325" i="5"/>
  <c r="G329" i="5"/>
  <c r="G239" i="5"/>
  <c r="G232" i="5"/>
  <c r="G258" i="5"/>
  <c r="G275" i="5"/>
  <c r="G467" i="5"/>
  <c r="G475" i="5"/>
  <c r="G588" i="5"/>
  <c r="G614" i="5"/>
  <c r="G546" i="5"/>
  <c r="G554" i="5"/>
  <c r="M554" i="5" s="1"/>
  <c r="G562" i="5"/>
  <c r="G819" i="5"/>
  <c r="G603" i="5"/>
  <c r="G609" i="5"/>
  <c r="G621" i="5"/>
  <c r="G627" i="5"/>
  <c r="G632" i="5"/>
  <c r="G650" i="5"/>
  <c r="G656" i="5"/>
  <c r="G466" i="5"/>
  <c r="G482" i="5"/>
  <c r="G490" i="5"/>
  <c r="G498" i="5"/>
  <c r="G506" i="5"/>
  <c r="G514" i="5"/>
  <c r="G522" i="5"/>
  <c r="G810" i="5"/>
  <c r="G829" i="5"/>
  <c r="G626" i="5"/>
  <c r="G631" i="5"/>
  <c r="G643" i="5"/>
  <c r="G649" i="5"/>
  <c r="G573" i="5"/>
  <c r="G828" i="5"/>
  <c r="G869" i="5"/>
  <c r="G883" i="5"/>
  <c r="G910" i="5"/>
  <c r="G976" i="5"/>
  <c r="G893" i="5"/>
  <c r="G835" i="5"/>
  <c r="G841" i="5"/>
  <c r="G847" i="5"/>
  <c r="G853" i="5"/>
  <c r="G878" i="5"/>
  <c r="G899" i="5"/>
  <c r="G919" i="5"/>
  <c r="G154" i="5"/>
  <c r="G142" i="5"/>
  <c r="G219" i="5"/>
  <c r="G158" i="5"/>
  <c r="G166" i="5"/>
  <c r="G175" i="5"/>
  <c r="G183" i="5"/>
  <c r="G191" i="5"/>
  <c r="G215" i="5"/>
  <c r="G241" i="5"/>
  <c r="G282" i="5"/>
  <c r="G226" i="5"/>
  <c r="G288" i="5"/>
  <c r="G296" i="5"/>
  <c r="G304" i="5"/>
  <c r="G320" i="5"/>
  <c r="G199" i="5"/>
  <c r="G256" i="5"/>
  <c r="G273" i="5"/>
  <c r="G220" i="5"/>
  <c r="G243" i="5"/>
  <c r="G280" i="5"/>
  <c r="G216" i="5"/>
  <c r="G262" i="5"/>
  <c r="G271" i="5"/>
  <c r="G612" i="5"/>
  <c r="G528" i="5"/>
  <c r="G547" i="5"/>
  <c r="G561" i="5"/>
  <c r="G563" i="5"/>
  <c r="M563" i="5" s="1"/>
  <c r="G581" i="5"/>
  <c r="G821" i="5"/>
  <c r="G825" i="5"/>
  <c r="G599" i="5"/>
  <c r="G638" i="5"/>
  <c r="G644" i="5"/>
  <c r="G795" i="5"/>
  <c r="G824" i="5"/>
  <c r="G470" i="5"/>
  <c r="G483" i="5"/>
  <c r="G491" i="5"/>
  <c r="G499" i="5"/>
  <c r="G507" i="5"/>
  <c r="G515" i="5"/>
  <c r="G523" i="5"/>
  <c r="G823" i="5"/>
  <c r="G827" i="5"/>
  <c r="G620" i="5"/>
  <c r="G637" i="5"/>
  <c r="G831" i="5"/>
  <c r="G572" i="5"/>
  <c r="G589" i="5"/>
  <c r="G834" i="5"/>
  <c r="G879" i="5"/>
  <c r="G898" i="5"/>
  <c r="G929" i="5"/>
  <c r="G569" i="5"/>
  <c r="G860" i="5"/>
  <c r="G570" i="5"/>
  <c r="G136" i="5"/>
  <c r="G144" i="5"/>
  <c r="G148" i="5"/>
  <c r="G135" i="5"/>
  <c r="G213" i="5"/>
  <c r="G159" i="5"/>
  <c r="G168" i="5"/>
  <c r="G176" i="5"/>
  <c r="G184" i="5"/>
  <c r="G192" i="5"/>
  <c r="G231" i="5"/>
  <c r="G330" i="5"/>
  <c r="G212" i="5"/>
  <c r="G245" i="5"/>
  <c r="G289" i="5"/>
  <c r="G297" i="5"/>
  <c r="G306" i="5"/>
  <c r="G322" i="5"/>
  <c r="G260" i="5"/>
  <c r="G264" i="5"/>
  <c r="G269" i="5"/>
  <c r="G222" i="5"/>
  <c r="G247" i="5"/>
  <c r="G276" i="5"/>
  <c r="G234" i="5"/>
  <c r="G267" i="5"/>
  <c r="G604" i="5"/>
  <c r="G469" i="5"/>
  <c r="G477" i="5"/>
  <c r="G535" i="5"/>
  <c r="G541" i="5"/>
  <c r="G557" i="5"/>
  <c r="G576" i="5"/>
  <c r="G590" i="5"/>
  <c r="G591" i="5"/>
  <c r="G598" i="5"/>
  <c r="G540" i="5"/>
  <c r="G548" i="5"/>
  <c r="G556" i="5"/>
  <c r="G594" i="5"/>
  <c r="G611" i="5"/>
  <c r="G617" i="5"/>
  <c r="G658" i="5"/>
  <c r="G801" i="5"/>
  <c r="G474" i="5"/>
  <c r="G484" i="5"/>
  <c r="G492" i="5"/>
  <c r="G500" i="5"/>
  <c r="G508" i="5"/>
  <c r="G516" i="5"/>
  <c r="G524" i="5"/>
  <c r="G806" i="5"/>
  <c r="G651" i="5"/>
  <c r="G657" i="5"/>
  <c r="G796" i="5"/>
  <c r="G802" i="5"/>
  <c r="G826" i="5"/>
  <c r="G592" i="5"/>
  <c r="G840" i="5"/>
  <c r="G846" i="5"/>
  <c r="G865" i="5"/>
  <c r="G875" i="5"/>
  <c r="G894" i="5"/>
  <c r="G918" i="5"/>
  <c r="G926" i="5"/>
  <c r="G966" i="5"/>
  <c r="G837" i="5"/>
  <c r="G843" i="5"/>
  <c r="G866" i="5"/>
  <c r="G886" i="5"/>
  <c r="G901" i="5"/>
  <c r="G911" i="5"/>
  <c r="G921" i="5"/>
  <c r="G207" i="5"/>
  <c r="G221" i="5"/>
  <c r="G227" i="5"/>
  <c r="G160" i="5"/>
  <c r="G169" i="5"/>
  <c r="G177" i="5"/>
  <c r="G185" i="5"/>
  <c r="G193" i="5"/>
  <c r="G249" i="5"/>
  <c r="G278" i="5"/>
  <c r="G290" i="5"/>
  <c r="G298" i="5"/>
  <c r="G308" i="5"/>
  <c r="G324" i="5"/>
  <c r="G224" i="5"/>
  <c r="G284" i="5"/>
  <c r="G251" i="5"/>
  <c r="G238" i="5"/>
  <c r="G606" i="5"/>
  <c r="G553" i="5"/>
  <c r="G608" i="5"/>
  <c r="G583" i="5"/>
  <c r="G605" i="5"/>
  <c r="G623" i="5"/>
  <c r="G634" i="5"/>
  <c r="G646" i="5"/>
  <c r="G652" i="5"/>
  <c r="G816" i="5"/>
  <c r="G476" i="5"/>
  <c r="G485" i="5"/>
  <c r="G493" i="5"/>
  <c r="G501" i="5"/>
  <c r="G509" i="5"/>
  <c r="G517" i="5"/>
  <c r="G525" i="5"/>
  <c r="G622" i="5"/>
  <c r="G628" i="5"/>
  <c r="G633" i="5"/>
  <c r="G639" i="5"/>
  <c r="G645" i="5"/>
  <c r="G984" i="5"/>
  <c r="G596" i="5"/>
  <c r="G830" i="5"/>
  <c r="G854" i="5"/>
  <c r="G871" i="5"/>
  <c r="G889" i="5"/>
  <c r="G906" i="5"/>
  <c r="G931" i="5"/>
  <c r="G574" i="5"/>
  <c r="G849" i="5"/>
  <c r="G855" i="5"/>
  <c r="G874" i="5"/>
  <c r="G566" i="5"/>
  <c r="G149" i="5"/>
  <c r="G137" i="5"/>
  <c r="G140" i="5"/>
  <c r="G143" i="5"/>
  <c r="G138" i="5"/>
  <c r="G147" i="5"/>
  <c r="G151" i="5"/>
  <c r="G161" i="5"/>
  <c r="G170" i="5"/>
  <c r="G178" i="5"/>
  <c r="G186" i="5"/>
  <c r="G194" i="5"/>
  <c r="G253" i="5"/>
  <c r="G210" i="5"/>
  <c r="G291" i="5"/>
  <c r="G299" i="5"/>
  <c r="G310" i="5"/>
  <c r="G326" i="5"/>
  <c r="G236" i="5"/>
  <c r="G307" i="5"/>
  <c r="G311" i="5"/>
  <c r="G315" i="5"/>
  <c r="G319" i="5"/>
  <c r="G323" i="5"/>
  <c r="G327" i="5"/>
  <c r="G255" i="5"/>
  <c r="G272" i="5"/>
  <c r="G202" i="5"/>
  <c r="G242" i="5"/>
  <c r="G616" i="5"/>
  <c r="G593" i="5"/>
  <c r="G471" i="5"/>
  <c r="G537" i="5"/>
  <c r="G543" i="5"/>
  <c r="G549" i="5"/>
  <c r="G584" i="5"/>
  <c r="G468" i="5"/>
  <c r="G542" i="5"/>
  <c r="M542" i="5" s="1"/>
  <c r="G550" i="5"/>
  <c r="G558" i="5"/>
  <c r="G575" i="5"/>
  <c r="G640" i="5"/>
  <c r="G797" i="5"/>
  <c r="G478" i="5"/>
  <c r="G486" i="5"/>
  <c r="G494" i="5"/>
  <c r="G502" i="5"/>
  <c r="G510" i="5"/>
  <c r="G518" i="5"/>
  <c r="G527" i="5"/>
  <c r="G809" i="5"/>
  <c r="G659" i="5"/>
  <c r="G804" i="5"/>
  <c r="G822" i="5"/>
  <c r="G578" i="5"/>
  <c r="G568" i="5"/>
  <c r="G836" i="5"/>
  <c r="G842" i="5"/>
  <c r="G861" i="5"/>
  <c r="G885" i="5"/>
  <c r="M885" i="5" s="1"/>
  <c r="G970" i="5"/>
  <c r="M970" i="5" s="1"/>
  <c r="G982" i="5"/>
  <c r="G895" i="5"/>
  <c r="G903" i="5"/>
  <c r="G913" i="5"/>
  <c r="M913" i="5" s="1"/>
  <c r="G923" i="5"/>
  <c r="G930" i="5"/>
  <c r="G962" i="5"/>
  <c r="G582" i="5"/>
  <c r="G937" i="5"/>
  <c r="G943" i="5"/>
  <c r="G951" i="5"/>
  <c r="G959" i="5"/>
  <c r="G139" i="5"/>
  <c r="G141" i="5"/>
  <c r="G146" i="5"/>
  <c r="G167" i="5"/>
  <c r="G201" i="5"/>
  <c r="G209" i="5"/>
  <c r="G153" i="5"/>
  <c r="G162" i="5"/>
  <c r="G171" i="5"/>
  <c r="G179" i="5"/>
  <c r="G187" i="5"/>
  <c r="G195" i="5"/>
  <c r="G230" i="5"/>
  <c r="G257" i="5"/>
  <c r="G274" i="5"/>
  <c r="G292" i="5"/>
  <c r="G300" i="5"/>
  <c r="G312" i="5"/>
  <c r="G240" i="5"/>
  <c r="G259" i="5"/>
  <c r="G263" i="5"/>
  <c r="G268" i="5"/>
  <c r="G246" i="5"/>
  <c r="G531" i="5"/>
  <c r="G559" i="5"/>
  <c r="G595" i="5"/>
  <c r="G600" i="5"/>
  <c r="G534" i="5"/>
  <c r="G585" i="5"/>
  <c r="G610" i="5"/>
  <c r="G813" i="5"/>
  <c r="G818" i="5"/>
  <c r="G601" i="5"/>
  <c r="G607" i="5"/>
  <c r="G613" i="5"/>
  <c r="G619" i="5"/>
  <c r="G630" i="5"/>
  <c r="G654" i="5"/>
  <c r="G660" i="5"/>
  <c r="G803" i="5"/>
  <c r="G817" i="5"/>
  <c r="G479" i="5"/>
  <c r="G487" i="5"/>
  <c r="G495" i="5"/>
  <c r="G503" i="5"/>
  <c r="G511" i="5"/>
  <c r="G519" i="5"/>
  <c r="G529" i="5"/>
  <c r="G647" i="5"/>
  <c r="G653" i="5"/>
  <c r="G798" i="5"/>
  <c r="G974" i="5"/>
  <c r="M974" i="5" s="1"/>
  <c r="G848" i="5"/>
  <c r="G867" i="5"/>
  <c r="G881" i="5"/>
  <c r="M881" i="5" s="1"/>
  <c r="G914" i="5"/>
  <c r="G565" i="5"/>
  <c r="G839" i="5"/>
  <c r="G845" i="5"/>
  <c r="G882" i="5"/>
  <c r="G915" i="5"/>
  <c r="G978" i="5"/>
  <c r="M978" i="5" s="1"/>
  <c r="G150" i="5"/>
  <c r="G203" i="5"/>
  <c r="G217" i="5"/>
  <c r="G223" i="5"/>
  <c r="G229" i="5"/>
  <c r="G266" i="5"/>
  <c r="G155" i="5"/>
  <c r="G163" i="5"/>
  <c r="G172" i="5"/>
  <c r="G180" i="5"/>
  <c r="G188" i="5"/>
  <c r="G196" i="5"/>
  <c r="G214" i="5"/>
  <c r="G328" i="5"/>
  <c r="G261" i="5"/>
  <c r="G265" i="5"/>
  <c r="G270" i="5"/>
  <c r="G293" i="5"/>
  <c r="G301" i="5"/>
  <c r="G314" i="5"/>
  <c r="G208" i="5"/>
  <c r="G244" i="5"/>
  <c r="G281" i="5"/>
  <c r="G206" i="5"/>
  <c r="G204" i="5"/>
  <c r="G218" i="5"/>
  <c r="G332" i="5"/>
  <c r="G250" i="5"/>
  <c r="G283" i="5"/>
  <c r="G465" i="5"/>
  <c r="G473" i="5"/>
  <c r="G526" i="5"/>
  <c r="G555" i="5"/>
  <c r="G586" i="5"/>
  <c r="G331" i="5"/>
  <c r="G472" i="5"/>
  <c r="G544" i="5"/>
  <c r="G552" i="5"/>
  <c r="G560" i="5"/>
  <c r="G577" i="5"/>
  <c r="G820" i="5"/>
  <c r="G805" i="5"/>
  <c r="G814" i="5"/>
  <c r="G597" i="5"/>
  <c r="G625" i="5"/>
  <c r="G636" i="5"/>
  <c r="G642" i="5"/>
  <c r="G648" i="5"/>
  <c r="G480" i="5"/>
  <c r="G488" i="5"/>
  <c r="G496" i="5"/>
  <c r="G504" i="5"/>
  <c r="G512" i="5"/>
  <c r="G520" i="5"/>
  <c r="G532" i="5"/>
  <c r="G815" i="5"/>
  <c r="G662" i="5"/>
  <c r="G618" i="5"/>
  <c r="G624" i="5"/>
  <c r="G635" i="5"/>
  <c r="G641" i="5"/>
  <c r="G807" i="5"/>
  <c r="G811" i="5"/>
  <c r="G934" i="5"/>
  <c r="G567" i="5"/>
  <c r="G832" i="5"/>
  <c r="G877" i="5"/>
  <c r="G891" i="5"/>
  <c r="G902" i="5"/>
  <c r="G927" i="5"/>
  <c r="G564" i="5"/>
  <c r="G851" i="5"/>
  <c r="G857" i="5"/>
  <c r="G862" i="5"/>
  <c r="G870" i="5"/>
  <c r="M678" i="5"/>
  <c r="H662" i="5"/>
  <c r="M556" i="5"/>
  <c r="M546" i="5"/>
  <c r="M540" i="5"/>
  <c r="H972" i="5"/>
  <c r="G571" i="5"/>
  <c r="G1916" i="5"/>
  <c r="M1915" i="5"/>
  <c r="M1826" i="5"/>
  <c r="M1865" i="5"/>
  <c r="M1855" i="5"/>
  <c r="M1735" i="5"/>
  <c r="M1758" i="5"/>
  <c r="M1726" i="5"/>
  <c r="M1771" i="5"/>
  <c r="M1733" i="5"/>
  <c r="M1764" i="5"/>
  <c r="M1763" i="5"/>
  <c r="M1686" i="5"/>
  <c r="M1699" i="5"/>
  <c r="M1553" i="5"/>
  <c r="M1519" i="5"/>
  <c r="M1351" i="5"/>
  <c r="M1379" i="5"/>
  <c r="M1362" i="5"/>
  <c r="M1330" i="5"/>
  <c r="M1361" i="5"/>
  <c r="M1329" i="5"/>
  <c r="M1407" i="5"/>
  <c r="M1352" i="5"/>
  <c r="M1098" i="5"/>
  <c r="M1066" i="5"/>
  <c r="M1182" i="5"/>
  <c r="M1101" i="5"/>
  <c r="M1100" i="5"/>
  <c r="M1077" i="5"/>
  <c r="M1029" i="5"/>
  <c r="M997" i="5"/>
  <c r="M1032" i="5"/>
  <c r="M1000" i="5"/>
  <c r="M1031" i="5"/>
  <c r="M999" i="5"/>
  <c r="H923" i="5"/>
  <c r="H910" i="5"/>
  <c r="G892" i="5"/>
  <c r="H963" i="5"/>
  <c r="H897" i="5"/>
  <c r="H865" i="5"/>
  <c r="G957" i="5"/>
  <c r="H877" i="5"/>
  <c r="M667" i="5"/>
  <c r="G896" i="5"/>
  <c r="H882" i="5"/>
  <c r="H933" i="5"/>
  <c r="M1982" i="5"/>
  <c r="M1964" i="5"/>
  <c r="H956" i="5"/>
  <c r="M956" i="5" s="1"/>
  <c r="H948" i="5"/>
  <c r="H940" i="5"/>
  <c r="M612" i="5"/>
  <c r="G958" i="5"/>
  <c r="M557" i="5"/>
  <c r="M545" i="5"/>
  <c r="G1981" i="5"/>
  <c r="M1981" i="5" s="1"/>
  <c r="G1975" i="5"/>
  <c r="G1961" i="5"/>
  <c r="G1953" i="5"/>
  <c r="E1946" i="5"/>
  <c r="M1946" i="5" s="1"/>
  <c r="E1936" i="5"/>
  <c r="M1936" i="5" s="1"/>
  <c r="E1930" i="5"/>
  <c r="M1930" i="5" s="1"/>
  <c r="H852" i="5"/>
  <c r="H837" i="5"/>
  <c r="H821" i="5"/>
  <c r="H805" i="5"/>
  <c r="F1973" i="5"/>
  <c r="M1973" i="5" s="1"/>
  <c r="G977" i="5"/>
  <c r="G971" i="5"/>
  <c r="G1949" i="5"/>
  <c r="E1975" i="5"/>
  <c r="E1951" i="5"/>
  <c r="L1152" i="5"/>
  <c r="L1159" i="5"/>
  <c r="M1159" i="5" s="1"/>
  <c r="L1165" i="5"/>
  <c r="M1165" i="5" s="1"/>
  <c r="L1163" i="5"/>
  <c r="M1163" i="5" s="1"/>
  <c r="L1255" i="5"/>
  <c r="L1220" i="5"/>
  <c r="L1239" i="5"/>
  <c r="L1249" i="5"/>
  <c r="L1266" i="5"/>
  <c r="M1266" i="5" s="1"/>
  <c r="L1188" i="5"/>
  <c r="L1203" i="5"/>
  <c r="L1219" i="5"/>
  <c r="M1219" i="5" s="1"/>
  <c r="L1272" i="5"/>
  <c r="M1272" i="5" s="1"/>
  <c r="L1288" i="5"/>
  <c r="L1305" i="5"/>
  <c r="L1317" i="5"/>
  <c r="L1275" i="5"/>
  <c r="L1290" i="5"/>
  <c r="L1306" i="5"/>
  <c r="L1562" i="5"/>
  <c r="L1546" i="5"/>
  <c r="L1605" i="5"/>
  <c r="L1791" i="5"/>
  <c r="M1791" i="5" s="1"/>
  <c r="L1819" i="5"/>
  <c r="L1606" i="5"/>
  <c r="M1606" i="5" s="1"/>
  <c r="L1610" i="5"/>
  <c r="M1610" i="5" s="1"/>
  <c r="L1637" i="5"/>
  <c r="L1809" i="5"/>
  <c r="L1824" i="5"/>
  <c r="L1842" i="5"/>
  <c r="L1871" i="5"/>
  <c r="M1871" i="5" s="1"/>
  <c r="L1904" i="5"/>
  <c r="L1825" i="5"/>
  <c r="M1825" i="5" s="1"/>
  <c r="L1858" i="5"/>
  <c r="M1858" i="5" s="1"/>
  <c r="L1872" i="5"/>
  <c r="L1154" i="5"/>
  <c r="L1148" i="5"/>
  <c r="L1166" i="5"/>
  <c r="M1166" i="5" s="1"/>
  <c r="L1164" i="5"/>
  <c r="M1164" i="5" s="1"/>
  <c r="L1260" i="5"/>
  <c r="L1259" i="5"/>
  <c r="L1192" i="5"/>
  <c r="L1240" i="5"/>
  <c r="M1240" i="5" s="1"/>
  <c r="L1205" i="5"/>
  <c r="L1221" i="5"/>
  <c r="M1221" i="5" s="1"/>
  <c r="L1274" i="5"/>
  <c r="L1291" i="5"/>
  <c r="L1307" i="5"/>
  <c r="M1307" i="5" s="1"/>
  <c r="L1319" i="5"/>
  <c r="M1319" i="5" s="1"/>
  <c r="L1277" i="5"/>
  <c r="L1292" i="5"/>
  <c r="L1308" i="5"/>
  <c r="L1318" i="5"/>
  <c r="L1558" i="5"/>
  <c r="L1550" i="5"/>
  <c r="L1650" i="5"/>
  <c r="M1650" i="5" s="1"/>
  <c r="L1787" i="5"/>
  <c r="M1787" i="5" s="1"/>
  <c r="L1814" i="5"/>
  <c r="L1813" i="5"/>
  <c r="L1633" i="5"/>
  <c r="M1633" i="5" s="1"/>
  <c r="L1788" i="5"/>
  <c r="L1792" i="5"/>
  <c r="L1821" i="5"/>
  <c r="L1853" i="5"/>
  <c r="M1853" i="5" s="1"/>
  <c r="L1817" i="5"/>
  <c r="M1817" i="5" s="1"/>
  <c r="L1849" i="5"/>
  <c r="L1854" i="5"/>
  <c r="L1868" i="5"/>
  <c r="L1125" i="5"/>
  <c r="L1161" i="5"/>
  <c r="L1177" i="5"/>
  <c r="L1144" i="5"/>
  <c r="L1175" i="5"/>
  <c r="M1175" i="5" s="1"/>
  <c r="L1140" i="5"/>
  <c r="L1133" i="5"/>
  <c r="M1133" i="5" s="1"/>
  <c r="L1181" i="5"/>
  <c r="L1183" i="5"/>
  <c r="L1264" i="5"/>
  <c r="L1223" i="5"/>
  <c r="L1196" i="5"/>
  <c r="L1225" i="5"/>
  <c r="M1225" i="5" s="1"/>
  <c r="L1253" i="5"/>
  <c r="M1253" i="5" s="1"/>
  <c r="L1257" i="5"/>
  <c r="M1257" i="5" s="1"/>
  <c r="L1191" i="5"/>
  <c r="L1207" i="5"/>
  <c r="L1224" i="5"/>
  <c r="L1276" i="5"/>
  <c r="L1293" i="5"/>
  <c r="M1293" i="5" s="1"/>
  <c r="L1309" i="5"/>
  <c r="L1313" i="5"/>
  <c r="M1313" i="5" s="1"/>
  <c r="L1279" i="5"/>
  <c r="M1279" i="5" s="1"/>
  <c r="L1294" i="5"/>
  <c r="L1310" i="5"/>
  <c r="L1520" i="5"/>
  <c r="L1554" i="5"/>
  <c r="L1624" i="5"/>
  <c r="L1628" i="5"/>
  <c r="L1646" i="5"/>
  <c r="L1586" i="5"/>
  <c r="L1629" i="5"/>
  <c r="M1629" i="5" s="1"/>
  <c r="L1797" i="5"/>
  <c r="M1797" i="5" s="1"/>
  <c r="L1810" i="5"/>
  <c r="L1867" i="5"/>
  <c r="M1867" i="5" s="1"/>
  <c r="L1877" i="5"/>
  <c r="L1845" i="5"/>
  <c r="M1845" i="5" s="1"/>
  <c r="L1878" i="5"/>
  <c r="L1162" i="5"/>
  <c r="M1162" i="5" s="1"/>
  <c r="L1126" i="5"/>
  <c r="L1136" i="5"/>
  <c r="M1136" i="5" s="1"/>
  <c r="L1176" i="5"/>
  <c r="M1176" i="5" s="1"/>
  <c r="L1129" i="5"/>
  <c r="L1137" i="5"/>
  <c r="M1137" i="5" s="1"/>
  <c r="L1167" i="5"/>
  <c r="L1263" i="5"/>
  <c r="L1200" i="5"/>
  <c r="M1200" i="5" s="1"/>
  <c r="L1227" i="5"/>
  <c r="L1157" i="5"/>
  <c r="L1193" i="5"/>
  <c r="M1193" i="5" s="1"/>
  <c r="L1209" i="5"/>
  <c r="L1228" i="5"/>
  <c r="L1256" i="5"/>
  <c r="L1289" i="5"/>
  <c r="L1278" i="5"/>
  <c r="M1278" i="5" s="1"/>
  <c r="L1295" i="5"/>
  <c r="L1281" i="5"/>
  <c r="L1296" i="5"/>
  <c r="M1296" i="5" s="1"/>
  <c r="L1312" i="5"/>
  <c r="L1578" i="5"/>
  <c r="L1524" i="5"/>
  <c r="L1582" i="5"/>
  <c r="L1611" i="5"/>
  <c r="L1642" i="5"/>
  <c r="L1807" i="5"/>
  <c r="L1820" i="5"/>
  <c r="L1805" i="5"/>
  <c r="M1805" i="5" s="1"/>
  <c r="L1598" i="5"/>
  <c r="L1616" i="5"/>
  <c r="L1625" i="5"/>
  <c r="L1830" i="5"/>
  <c r="L1848" i="5"/>
  <c r="M1848" i="5" s="1"/>
  <c r="L1861" i="5"/>
  <c r="L1850" i="5"/>
  <c r="L1831" i="5"/>
  <c r="L1864" i="5"/>
  <c r="L1874" i="5"/>
  <c r="M1874" i="5" s="1"/>
  <c r="L1128" i="5"/>
  <c r="M1128" i="5" s="1"/>
  <c r="L1130" i="5"/>
  <c r="M1130" i="5" s="1"/>
  <c r="L1160" i="5"/>
  <c r="L1138" i="5"/>
  <c r="L1173" i="5"/>
  <c r="L1171" i="5"/>
  <c r="L1168" i="5"/>
  <c r="M1168" i="5" s="1"/>
  <c r="L1132" i="5"/>
  <c r="M1132" i="5" s="1"/>
  <c r="L1146" i="5"/>
  <c r="L1247" i="5"/>
  <c r="M1247" i="5" s="1"/>
  <c r="L1187" i="5"/>
  <c r="L1204" i="5"/>
  <c r="L1229" i="5"/>
  <c r="L1158" i="5"/>
  <c r="L1261" i="5"/>
  <c r="L1195" i="5"/>
  <c r="L1211" i="5"/>
  <c r="L1232" i="5"/>
  <c r="L1280" i="5"/>
  <c r="L1297" i="5"/>
  <c r="L1267" i="5"/>
  <c r="L1283" i="5"/>
  <c r="M1283" i="5" s="1"/>
  <c r="L1298" i="5"/>
  <c r="L1314" i="5"/>
  <c r="L1574" i="5"/>
  <c r="L1530" i="5"/>
  <c r="L1638" i="5"/>
  <c r="L1594" i="5"/>
  <c r="L1602" i="5"/>
  <c r="L1608" i="5"/>
  <c r="L1621" i="5"/>
  <c r="L1803" i="5"/>
  <c r="L1840" i="5"/>
  <c r="L1844" i="5"/>
  <c r="M1844" i="5" s="1"/>
  <c r="L1873" i="5"/>
  <c r="L1879" i="5"/>
  <c r="L1884" i="5"/>
  <c r="M1884" i="5" s="1"/>
  <c r="L1823" i="5"/>
  <c r="L1860" i="5"/>
  <c r="L1870" i="5"/>
  <c r="L1134" i="5"/>
  <c r="M1134" i="5" s="1"/>
  <c r="L1174" i="5"/>
  <c r="L1142" i="5"/>
  <c r="L1145" i="5"/>
  <c r="L1172" i="5"/>
  <c r="L1149" i="5"/>
  <c r="L1169" i="5"/>
  <c r="M1169" i="5" s="1"/>
  <c r="L1179" i="5"/>
  <c r="M1179" i="5" s="1"/>
  <c r="L1244" i="5"/>
  <c r="M1244" i="5" s="1"/>
  <c r="L1208" i="5"/>
  <c r="M1208" i="5" s="1"/>
  <c r="L1231" i="5"/>
  <c r="L1236" i="5"/>
  <c r="L1197" i="5"/>
  <c r="M1197" i="5" s="1"/>
  <c r="L1213" i="5"/>
  <c r="L1282" i="5"/>
  <c r="M1282" i="5" s="1"/>
  <c r="L1299" i="5"/>
  <c r="L1269" i="5"/>
  <c r="M1269" i="5" s="1"/>
  <c r="L1285" i="5"/>
  <c r="L1300" i="5"/>
  <c r="M1300" i="5" s="1"/>
  <c r="L1316" i="5"/>
  <c r="L1320" i="5"/>
  <c r="M1320" i="5" s="1"/>
  <c r="L1516" i="5"/>
  <c r="L1534" i="5"/>
  <c r="L1634" i="5"/>
  <c r="L1619" i="5"/>
  <c r="L1590" i="5"/>
  <c r="L1649" i="5"/>
  <c r="M1649" i="5" s="1"/>
  <c r="L1786" i="5"/>
  <c r="L1790" i="5"/>
  <c r="L1794" i="5"/>
  <c r="L1801" i="5"/>
  <c r="M1801" i="5" s="1"/>
  <c r="L1808" i="5"/>
  <c r="L1836" i="5"/>
  <c r="L1863" i="5"/>
  <c r="L1896" i="5"/>
  <c r="L1841" i="5"/>
  <c r="L1856" i="5"/>
  <c r="L1885" i="5"/>
  <c r="L1156" i="5"/>
  <c r="L1185" i="5"/>
  <c r="M1185" i="5" s="1"/>
  <c r="L1170" i="5"/>
  <c r="L1150" i="5"/>
  <c r="L1141" i="5"/>
  <c r="L1241" i="5"/>
  <c r="L1251" i="5"/>
  <c r="M1251" i="5" s="1"/>
  <c r="L1245" i="5"/>
  <c r="L1235" i="5"/>
  <c r="L1243" i="5"/>
  <c r="L1212" i="5"/>
  <c r="M1212" i="5" s="1"/>
  <c r="L1233" i="5"/>
  <c r="L1248" i="5"/>
  <c r="L1180" i="5"/>
  <c r="L1199" i="5"/>
  <c r="M1199" i="5" s="1"/>
  <c r="L1215" i="5"/>
  <c r="M1215" i="5" s="1"/>
  <c r="L1268" i="5"/>
  <c r="L1284" i="5"/>
  <c r="L1301" i="5"/>
  <c r="M1301" i="5" s="1"/>
  <c r="L1311" i="5"/>
  <c r="L1315" i="5"/>
  <c r="L1271" i="5"/>
  <c r="L1287" i="5"/>
  <c r="L1302" i="5"/>
  <c r="L1570" i="5"/>
  <c r="L1538" i="5"/>
  <c r="L1617" i="5"/>
  <c r="M1617" i="5" s="1"/>
  <c r="L1622" i="5"/>
  <c r="L1626" i="5"/>
  <c r="L1630" i="5"/>
  <c r="L1645" i="5"/>
  <c r="M1645" i="5" s="1"/>
  <c r="L1857" i="5"/>
  <c r="L1869" i="5"/>
  <c r="L1875" i="5"/>
  <c r="L1908" i="5"/>
  <c r="L1883" i="5"/>
  <c r="L1837" i="5"/>
  <c r="L1852" i="5"/>
  <c r="L1880" i="5"/>
  <c r="M1880" i="5" s="1"/>
  <c r="L1153" i="5"/>
  <c r="L1189" i="5"/>
  <c r="M1189" i="5" s="1"/>
  <c r="L1216" i="5"/>
  <c r="L1252" i="5"/>
  <c r="L1265" i="5"/>
  <c r="L1184" i="5"/>
  <c r="L1201" i="5"/>
  <c r="L1217" i="5"/>
  <c r="L1237" i="5"/>
  <c r="L1270" i="5"/>
  <c r="L1286" i="5"/>
  <c r="M1286" i="5" s="1"/>
  <c r="L1303" i="5"/>
  <c r="M1303" i="5" s="1"/>
  <c r="L1322" i="5"/>
  <c r="L1273" i="5"/>
  <c r="M1273" i="5" s="1"/>
  <c r="L1304" i="5"/>
  <c r="L1566" i="5"/>
  <c r="L1321" i="5"/>
  <c r="L1542" i="5"/>
  <c r="L1609" i="5"/>
  <c r="M1609" i="5" s="1"/>
  <c r="L1613" i="5"/>
  <c r="M1613" i="5" s="1"/>
  <c r="L1614" i="5"/>
  <c r="M1614" i="5" s="1"/>
  <c r="L1618" i="5"/>
  <c r="L1641" i="5"/>
  <c r="L1828" i="5"/>
  <c r="L1846" i="5"/>
  <c r="L1886" i="5"/>
  <c r="L1829" i="5"/>
  <c r="L1833" i="5"/>
  <c r="L1862" i="5"/>
  <c r="L1876" i="5"/>
  <c r="E975" i="5"/>
  <c r="G941" i="5"/>
  <c r="G935" i="5"/>
  <c r="H960" i="5"/>
  <c r="G905" i="5"/>
  <c r="F1862" i="5"/>
  <c r="G859" i="5"/>
  <c r="F1837" i="5"/>
  <c r="K1986" i="5"/>
  <c r="M1919" i="5"/>
  <c r="M1854" i="5"/>
  <c r="M1857" i="5"/>
  <c r="M1878" i="5"/>
  <c r="M1731" i="5"/>
  <c r="M1679" i="5"/>
  <c r="M1646" i="5"/>
  <c r="M1711" i="5"/>
  <c r="M1678" i="5"/>
  <c r="M1641" i="5"/>
  <c r="M1693" i="5"/>
  <c r="M1785" i="5"/>
  <c r="M1675" i="5"/>
  <c r="M1623" i="5"/>
  <c r="M1315" i="5"/>
  <c r="M1358" i="5"/>
  <c r="M1326" i="5"/>
  <c r="M1357" i="5"/>
  <c r="M1325" i="5"/>
  <c r="M1316" i="5"/>
  <c r="M1267" i="5"/>
  <c r="M1302" i="5"/>
  <c r="M1297" i="5"/>
  <c r="M1284" i="5"/>
  <c r="M1249" i="5"/>
  <c r="M1217" i="5"/>
  <c r="M1306" i="5"/>
  <c r="M1236" i="5"/>
  <c r="M1204" i="5"/>
  <c r="M1243" i="5"/>
  <c r="M1211" i="5"/>
  <c r="M1183" i="5"/>
  <c r="M1158" i="5"/>
  <c r="M1126" i="5"/>
  <c r="M1181" i="5"/>
  <c r="M1161" i="5"/>
  <c r="M1129" i="5"/>
  <c r="M1264" i="5"/>
  <c r="M1187" i="5"/>
  <c r="M1160" i="5"/>
  <c r="M1081" i="5"/>
  <c r="M1080" i="5"/>
  <c r="M1061" i="5"/>
  <c r="M1057" i="5"/>
  <c r="M1027" i="5"/>
  <c r="M995" i="5"/>
  <c r="M966" i="5"/>
  <c r="H901" i="5"/>
  <c r="H869" i="5"/>
  <c r="M869" i="5" s="1"/>
  <c r="H855" i="5"/>
  <c r="G992" i="5"/>
  <c r="M1958" i="5"/>
  <c r="M674" i="5"/>
  <c r="M610" i="5"/>
  <c r="M972" i="5"/>
  <c r="M555" i="5"/>
  <c r="H991" i="5"/>
  <c r="H851" i="5"/>
  <c r="H835" i="5"/>
  <c r="H819" i="5"/>
  <c r="H803" i="5"/>
  <c r="G983" i="5"/>
  <c r="AQ732" i="5"/>
  <c r="M199" i="5" s="1"/>
  <c r="E991" i="5"/>
  <c r="E985" i="5"/>
  <c r="M985" i="5" s="1"/>
  <c r="E562" i="5"/>
  <c r="M562" i="5" s="1"/>
  <c r="F1923" i="5"/>
  <c r="G1970" i="5"/>
  <c r="M1970" i="5" s="1"/>
  <c r="E1935" i="5"/>
  <c r="G925" i="5"/>
  <c r="M925" i="5" s="1"/>
  <c r="M1969" i="5"/>
  <c r="M1850" i="5"/>
  <c r="M1882" i="5"/>
  <c r="M1863" i="5"/>
  <c r="M1809" i="5"/>
  <c r="M1856" i="5"/>
  <c r="M1842" i="5"/>
  <c r="M1877" i="5"/>
  <c r="M1820" i="5"/>
  <c r="M1795" i="5"/>
  <c r="M1783" i="5"/>
  <c r="M1804" i="5"/>
  <c r="M1642" i="5"/>
  <c r="M1773" i="5"/>
  <c r="M1621" i="5"/>
  <c r="M1607" i="5"/>
  <c r="M1322" i="5"/>
  <c r="M1353" i="5"/>
  <c r="M1321" i="5"/>
  <c r="M1291" i="5"/>
  <c r="M1308" i="5"/>
  <c r="M1245" i="5"/>
  <c r="M1213" i="5"/>
  <c r="M1232" i="5"/>
  <c r="M1277" i="5"/>
  <c r="M1372" i="5"/>
  <c r="M1280" i="5"/>
  <c r="M1239" i="5"/>
  <c r="M1207" i="5"/>
  <c r="M1188" i="5"/>
  <c r="M1154" i="5"/>
  <c r="M1157" i="5"/>
  <c r="M1125" i="5"/>
  <c r="M1093" i="5"/>
  <c r="M1184" i="5"/>
  <c r="M1156" i="5"/>
  <c r="M1085" i="5"/>
  <c r="M1055" i="5"/>
  <c r="M1023" i="5"/>
  <c r="M992" i="5"/>
  <c r="M962" i="5"/>
  <c r="G990" i="5"/>
  <c r="M990" i="5" s="1"/>
  <c r="M1978" i="5"/>
  <c r="M1968" i="5"/>
  <c r="M598" i="5"/>
  <c r="G950" i="5"/>
  <c r="M950" i="5" s="1"/>
  <c r="M549" i="5"/>
  <c r="M543" i="5"/>
  <c r="H983" i="5"/>
  <c r="H977" i="5"/>
  <c r="M1940" i="5"/>
  <c r="M1934" i="5"/>
  <c r="H849" i="5"/>
  <c r="H833" i="5"/>
  <c r="H817" i="5"/>
  <c r="H801" i="5"/>
  <c r="E1963" i="5"/>
  <c r="M1963" i="5" s="1"/>
  <c r="G1943" i="5"/>
  <c r="M1943" i="5" s="1"/>
  <c r="G1935" i="5"/>
  <c r="G1927" i="5"/>
  <c r="E967" i="5"/>
  <c r="E552" i="5"/>
  <c r="E544" i="5"/>
  <c r="M544" i="5" s="1"/>
  <c r="G933" i="5"/>
  <c r="M663" i="5"/>
  <c r="H968" i="5"/>
  <c r="M176" i="5"/>
  <c r="M1961" i="5"/>
  <c r="M1872" i="5"/>
  <c r="M1881" i="5"/>
  <c r="M1860" i="5"/>
  <c r="M1847" i="5"/>
  <c r="M1835" i="5"/>
  <c r="M1811" i="5"/>
  <c r="M1755" i="5"/>
  <c r="M1723" i="5"/>
  <c r="M1714" i="5"/>
  <c r="M1689" i="5"/>
  <c r="M1695" i="5"/>
  <c r="M1670" i="5"/>
  <c r="M1638" i="5"/>
  <c r="M1665" i="5"/>
  <c r="M1701" i="5"/>
  <c r="M1768" i="5"/>
  <c r="M1707" i="5"/>
  <c r="M1691" i="5"/>
  <c r="M1627" i="5"/>
  <c r="M1573" i="5"/>
  <c r="M1523" i="5"/>
  <c r="M1339" i="5"/>
  <c r="M1387" i="5"/>
  <c r="M1350" i="5"/>
  <c r="M1318" i="5"/>
  <c r="M1399" i="5"/>
  <c r="M1349" i="5"/>
  <c r="M1317" i="5"/>
  <c r="M1281" i="5"/>
  <c r="M1268" i="5"/>
  <c r="M1241" i="5"/>
  <c r="M1209" i="5"/>
  <c r="M1287" i="5"/>
  <c r="M1290" i="5"/>
  <c r="M1260" i="5"/>
  <c r="M1228" i="5"/>
  <c r="M1304" i="5"/>
  <c r="M1235" i="5"/>
  <c r="M1180" i="5"/>
  <c r="M1150" i="5"/>
  <c r="M1118" i="5"/>
  <c r="M1190" i="5"/>
  <c r="M1153" i="5"/>
  <c r="M1121" i="5"/>
  <c r="M1152" i="5"/>
  <c r="M1120" i="5"/>
  <c r="M1088" i="5"/>
  <c r="M1068" i="5"/>
  <c r="M1058" i="5"/>
  <c r="M1049" i="5"/>
  <c r="M1017" i="5"/>
  <c r="M1064" i="5"/>
  <c r="M1052" i="5"/>
  <c r="M1020" i="5"/>
  <c r="M1051" i="5"/>
  <c r="M1019" i="5"/>
  <c r="M941" i="5"/>
  <c r="M945" i="5"/>
  <c r="M893" i="5"/>
  <c r="M861" i="5"/>
  <c r="M873" i="5"/>
  <c r="M677" i="5"/>
  <c r="H953" i="5"/>
  <c r="H853" i="5"/>
  <c r="M853" i="5" s="1"/>
  <c r="M929" i="5"/>
  <c r="M1962" i="5"/>
  <c r="M1952" i="5"/>
  <c r="M982" i="5"/>
  <c r="M561" i="5"/>
  <c r="G938" i="5"/>
  <c r="M666" i="5"/>
  <c r="G1979" i="5"/>
  <c r="M1979" i="5" s="1"/>
  <c r="G1965" i="5"/>
  <c r="M1965" i="5" s="1"/>
  <c r="G1959" i="5"/>
  <c r="G1951" i="5"/>
  <c r="H847" i="5"/>
  <c r="H831" i="5"/>
  <c r="H815" i="5"/>
  <c r="H799" i="5"/>
  <c r="G981" i="5"/>
  <c r="G975" i="5"/>
  <c r="G967" i="5"/>
  <c r="E1955" i="5"/>
  <c r="M1955" i="5" s="1"/>
  <c r="F1949" i="5"/>
  <c r="M1949" i="5" s="1"/>
  <c r="G1941" i="5"/>
  <c r="M1941" i="5" s="1"/>
  <c r="G1933" i="5"/>
  <c r="M1933" i="5" s="1"/>
  <c r="E794" i="5"/>
  <c r="M794" i="5" s="1"/>
  <c r="E790" i="5"/>
  <c r="M790" i="5" s="1"/>
  <c r="E786" i="5"/>
  <c r="M786" i="5" s="1"/>
  <c r="E782" i="5"/>
  <c r="M782" i="5" s="1"/>
  <c r="E778" i="5"/>
  <c r="M778" i="5" s="1"/>
  <c r="E774" i="5"/>
  <c r="M774" i="5" s="1"/>
  <c r="E770" i="5"/>
  <c r="M770" i="5" s="1"/>
  <c r="E766" i="5"/>
  <c r="M766" i="5" s="1"/>
  <c r="E762" i="5"/>
  <c r="M762" i="5" s="1"/>
  <c r="E758" i="5"/>
  <c r="M758" i="5" s="1"/>
  <c r="E754" i="5"/>
  <c r="M754" i="5" s="1"/>
  <c r="E750" i="5"/>
  <c r="M750" i="5" s="1"/>
  <c r="E746" i="5"/>
  <c r="M746" i="5" s="1"/>
  <c r="E742" i="5"/>
  <c r="M742" i="5" s="1"/>
  <c r="E738" i="5"/>
  <c r="M738" i="5" s="1"/>
  <c r="AI734" i="5"/>
  <c r="E793" i="5"/>
  <c r="M793" i="5" s="1"/>
  <c r="E789" i="5"/>
  <c r="M789" i="5" s="1"/>
  <c r="E785" i="5"/>
  <c r="M785" i="5" s="1"/>
  <c r="E781" i="5"/>
  <c r="M781" i="5" s="1"/>
  <c r="E777" i="5"/>
  <c r="M777" i="5" s="1"/>
  <c r="E773" i="5"/>
  <c r="M773" i="5" s="1"/>
  <c r="E769" i="5"/>
  <c r="M769" i="5" s="1"/>
  <c r="E765" i="5"/>
  <c r="M765" i="5" s="1"/>
  <c r="E761" i="5"/>
  <c r="M761" i="5" s="1"/>
  <c r="E757" i="5"/>
  <c r="M757" i="5" s="1"/>
  <c r="E753" i="5"/>
  <c r="M753" i="5" s="1"/>
  <c r="E749" i="5"/>
  <c r="M749" i="5" s="1"/>
  <c r="E745" i="5"/>
  <c r="M745" i="5" s="1"/>
  <c r="E741" i="5"/>
  <c r="M741" i="5" s="1"/>
  <c r="E737" i="5"/>
  <c r="M737" i="5" s="1"/>
  <c r="E792" i="5"/>
  <c r="M792" i="5" s="1"/>
  <c r="E788" i="5"/>
  <c r="M788" i="5" s="1"/>
  <c r="E784" i="5"/>
  <c r="M784" i="5" s="1"/>
  <c r="E780" i="5"/>
  <c r="M780" i="5" s="1"/>
  <c r="E776" i="5"/>
  <c r="M776" i="5" s="1"/>
  <c r="E772" i="5"/>
  <c r="M772" i="5" s="1"/>
  <c r="E768" i="5"/>
  <c r="M768" i="5" s="1"/>
  <c r="E764" i="5"/>
  <c r="M764" i="5" s="1"/>
  <c r="E760" i="5"/>
  <c r="M760" i="5" s="1"/>
  <c r="E756" i="5"/>
  <c r="M756" i="5" s="1"/>
  <c r="E752" i="5"/>
  <c r="M752" i="5" s="1"/>
  <c r="E748" i="5"/>
  <c r="M748" i="5" s="1"/>
  <c r="E744" i="5"/>
  <c r="M744" i="5" s="1"/>
  <c r="E740" i="5"/>
  <c r="M740" i="5" s="1"/>
  <c r="E736" i="5"/>
  <c r="M736" i="5" s="1"/>
  <c r="E733" i="5"/>
  <c r="M733" i="5" s="1"/>
  <c r="E731" i="5"/>
  <c r="M731" i="5" s="1"/>
  <c r="E729" i="5"/>
  <c r="M729" i="5" s="1"/>
  <c r="E727" i="5"/>
  <c r="M727" i="5" s="1"/>
  <c r="E725" i="5"/>
  <c r="M725" i="5" s="1"/>
  <c r="E723" i="5"/>
  <c r="M723" i="5" s="1"/>
  <c r="E721" i="5"/>
  <c r="M721" i="5" s="1"/>
  <c r="E719" i="5"/>
  <c r="M719" i="5" s="1"/>
  <c r="E717" i="5"/>
  <c r="M717" i="5" s="1"/>
  <c r="E715" i="5"/>
  <c r="M715" i="5" s="1"/>
  <c r="E713" i="5"/>
  <c r="M713" i="5" s="1"/>
  <c r="E711" i="5"/>
  <c r="M711" i="5" s="1"/>
  <c r="E709" i="5"/>
  <c r="M709" i="5" s="1"/>
  <c r="E707" i="5"/>
  <c r="M707" i="5" s="1"/>
  <c r="E705" i="5"/>
  <c r="M705" i="5" s="1"/>
  <c r="E703" i="5"/>
  <c r="M703" i="5" s="1"/>
  <c r="E701" i="5"/>
  <c r="M701" i="5" s="1"/>
  <c r="E699" i="5"/>
  <c r="M699" i="5" s="1"/>
  <c r="E697" i="5"/>
  <c r="M697" i="5" s="1"/>
  <c r="E695" i="5"/>
  <c r="M695" i="5" s="1"/>
  <c r="E693" i="5"/>
  <c r="M693" i="5" s="1"/>
  <c r="E691" i="5"/>
  <c r="M691" i="5" s="1"/>
  <c r="E689" i="5"/>
  <c r="M689" i="5" s="1"/>
  <c r="E687" i="5"/>
  <c r="M687" i="5" s="1"/>
  <c r="E685" i="5"/>
  <c r="M685" i="5" s="1"/>
  <c r="E683" i="5"/>
  <c r="M683" i="5" s="1"/>
  <c r="E681" i="5"/>
  <c r="M681" i="5" s="1"/>
  <c r="E679" i="5"/>
  <c r="M679" i="5" s="1"/>
  <c r="E791" i="5"/>
  <c r="M791" i="5" s="1"/>
  <c r="E787" i="5"/>
  <c r="M787" i="5" s="1"/>
  <c r="E783" i="5"/>
  <c r="M783" i="5" s="1"/>
  <c r="E779" i="5"/>
  <c r="M779" i="5" s="1"/>
  <c r="E775" i="5"/>
  <c r="M775" i="5" s="1"/>
  <c r="E771" i="5"/>
  <c r="M771" i="5" s="1"/>
  <c r="E767" i="5"/>
  <c r="M767" i="5" s="1"/>
  <c r="E763" i="5"/>
  <c r="M763" i="5" s="1"/>
  <c r="E759" i="5"/>
  <c r="M759" i="5" s="1"/>
  <c r="E755" i="5"/>
  <c r="M755" i="5" s="1"/>
  <c r="E751" i="5"/>
  <c r="M751" i="5" s="1"/>
  <c r="E747" i="5"/>
  <c r="M747" i="5" s="1"/>
  <c r="E743" i="5"/>
  <c r="M743" i="5" s="1"/>
  <c r="E739" i="5"/>
  <c r="M739" i="5" s="1"/>
  <c r="E665" i="5"/>
  <c r="M665" i="5" s="1"/>
  <c r="E464" i="5"/>
  <c r="M464" i="5" s="1"/>
  <c r="E460" i="5"/>
  <c r="M460" i="5" s="1"/>
  <c r="E458" i="5"/>
  <c r="M458" i="5" s="1"/>
  <c r="E456" i="5"/>
  <c r="M456" i="5" s="1"/>
  <c r="E454" i="5"/>
  <c r="M454" i="5" s="1"/>
  <c r="E452" i="5"/>
  <c r="M452" i="5" s="1"/>
  <c r="E450" i="5"/>
  <c r="M450" i="5" s="1"/>
  <c r="E448" i="5"/>
  <c r="M448" i="5" s="1"/>
  <c r="E446" i="5"/>
  <c r="M446" i="5" s="1"/>
  <c r="E444" i="5"/>
  <c r="M444" i="5" s="1"/>
  <c r="E442" i="5"/>
  <c r="M442" i="5" s="1"/>
  <c r="E440" i="5"/>
  <c r="M440" i="5" s="1"/>
  <c r="E438" i="5"/>
  <c r="M438" i="5" s="1"/>
  <c r="E463" i="5"/>
  <c r="M463" i="5" s="1"/>
  <c r="E461" i="5"/>
  <c r="M461" i="5" s="1"/>
  <c r="E459" i="5"/>
  <c r="M459" i="5" s="1"/>
  <c r="E457" i="5"/>
  <c r="M457" i="5" s="1"/>
  <c r="E455" i="5"/>
  <c r="M455" i="5" s="1"/>
  <c r="E453" i="5"/>
  <c r="M453" i="5" s="1"/>
  <c r="E451" i="5"/>
  <c r="M451" i="5" s="1"/>
  <c r="E449" i="5"/>
  <c r="M449" i="5" s="1"/>
  <c r="E447" i="5"/>
  <c r="M447" i="5" s="1"/>
  <c r="E445" i="5"/>
  <c r="M445" i="5" s="1"/>
  <c r="E443" i="5"/>
  <c r="M443" i="5" s="1"/>
  <c r="E441" i="5"/>
  <c r="M441" i="5" s="1"/>
  <c r="E439" i="5"/>
  <c r="M439" i="5" s="1"/>
  <c r="E437" i="5"/>
  <c r="M437" i="5" s="1"/>
  <c r="E435" i="5"/>
  <c r="M435" i="5" s="1"/>
  <c r="E433" i="5"/>
  <c r="M433" i="5" s="1"/>
  <c r="E430" i="5"/>
  <c r="M430" i="5" s="1"/>
  <c r="E426" i="5"/>
  <c r="M426" i="5" s="1"/>
  <c r="E416" i="5"/>
  <c r="M416" i="5" s="1"/>
  <c r="E412" i="5"/>
  <c r="M412" i="5" s="1"/>
  <c r="E409" i="5"/>
  <c r="M409" i="5" s="1"/>
  <c r="E407" i="5"/>
  <c r="M407" i="5" s="1"/>
  <c r="E405" i="5"/>
  <c r="M405" i="5" s="1"/>
  <c r="E403" i="5"/>
  <c r="M403" i="5" s="1"/>
  <c r="E401" i="5"/>
  <c r="M401" i="5" s="1"/>
  <c r="E399" i="5"/>
  <c r="M399" i="5" s="1"/>
  <c r="E398" i="5"/>
  <c r="M398" i="5" s="1"/>
  <c r="E396" i="5"/>
  <c r="M396" i="5" s="1"/>
  <c r="E394" i="5"/>
  <c r="M394" i="5" s="1"/>
  <c r="E392" i="5"/>
  <c r="M392" i="5" s="1"/>
  <c r="E390" i="5"/>
  <c r="M390" i="5" s="1"/>
  <c r="E388" i="5"/>
  <c r="M388" i="5" s="1"/>
  <c r="E386" i="5"/>
  <c r="M386" i="5" s="1"/>
  <c r="E384" i="5"/>
  <c r="M384" i="5" s="1"/>
  <c r="E382" i="5"/>
  <c r="M382" i="5" s="1"/>
  <c r="E380" i="5"/>
  <c r="M380" i="5" s="1"/>
  <c r="E378" i="5"/>
  <c r="M378" i="5" s="1"/>
  <c r="E376" i="5"/>
  <c r="M376" i="5" s="1"/>
  <c r="E374" i="5"/>
  <c r="M374" i="5" s="1"/>
  <c r="E372" i="5"/>
  <c r="M372" i="5" s="1"/>
  <c r="E370" i="5"/>
  <c r="M370" i="5" s="1"/>
  <c r="E368" i="5"/>
  <c r="M368" i="5" s="1"/>
  <c r="E366" i="5"/>
  <c r="M366" i="5" s="1"/>
  <c r="E365" i="5"/>
  <c r="M365" i="5" s="1"/>
  <c r="E363" i="5"/>
  <c r="M363" i="5" s="1"/>
  <c r="E361" i="5"/>
  <c r="M361" i="5" s="1"/>
  <c r="E359" i="5"/>
  <c r="M359" i="5" s="1"/>
  <c r="E357" i="5"/>
  <c r="M357" i="5" s="1"/>
  <c r="E355" i="5"/>
  <c r="M355" i="5" s="1"/>
  <c r="E436" i="5"/>
  <c r="M436" i="5" s="1"/>
  <c r="E431" i="5"/>
  <c r="M431" i="5" s="1"/>
  <c r="E427" i="5"/>
  <c r="M427" i="5" s="1"/>
  <c r="E434" i="5"/>
  <c r="M434" i="5" s="1"/>
  <c r="E432" i="5"/>
  <c r="M432" i="5" s="1"/>
  <c r="E428" i="5"/>
  <c r="M428" i="5" s="1"/>
  <c r="E414" i="5"/>
  <c r="M414" i="5" s="1"/>
  <c r="E411" i="5"/>
  <c r="M411" i="5" s="1"/>
  <c r="E420" i="5"/>
  <c r="M420" i="5" s="1"/>
  <c r="E406" i="5"/>
  <c r="M406" i="5" s="1"/>
  <c r="E404" i="5"/>
  <c r="M404" i="5" s="1"/>
  <c r="E402" i="5"/>
  <c r="M402" i="5" s="1"/>
  <c r="E400" i="5"/>
  <c r="M400" i="5" s="1"/>
  <c r="E397" i="5"/>
  <c r="M397" i="5" s="1"/>
  <c r="E395" i="5"/>
  <c r="M395" i="5" s="1"/>
  <c r="E393" i="5"/>
  <c r="M393" i="5" s="1"/>
  <c r="E391" i="5"/>
  <c r="M391" i="5" s="1"/>
  <c r="E389" i="5"/>
  <c r="M389" i="5" s="1"/>
  <c r="E387" i="5"/>
  <c r="M387" i="5" s="1"/>
  <c r="E385" i="5"/>
  <c r="M385" i="5" s="1"/>
  <c r="E383" i="5"/>
  <c r="M383" i="5" s="1"/>
  <c r="E381" i="5"/>
  <c r="M381" i="5" s="1"/>
  <c r="E379" i="5"/>
  <c r="M379" i="5" s="1"/>
  <c r="E377" i="5"/>
  <c r="M377" i="5" s="1"/>
  <c r="E375" i="5"/>
  <c r="M375" i="5" s="1"/>
  <c r="E373" i="5"/>
  <c r="M373" i="5" s="1"/>
  <c r="E371" i="5"/>
  <c r="M371" i="5" s="1"/>
  <c r="E369" i="5"/>
  <c r="M369" i="5" s="1"/>
  <c r="E367" i="5"/>
  <c r="M367" i="5" s="1"/>
  <c r="E364" i="5"/>
  <c r="M364" i="5" s="1"/>
  <c r="E362" i="5"/>
  <c r="M362" i="5" s="1"/>
  <c r="E360" i="5"/>
  <c r="M360" i="5" s="1"/>
  <c r="E358" i="5"/>
  <c r="M358" i="5" s="1"/>
  <c r="E356" i="5"/>
  <c r="M356" i="5" s="1"/>
  <c r="E354" i="5"/>
  <c r="M354" i="5" s="1"/>
  <c r="E352" i="5"/>
  <c r="M352" i="5" s="1"/>
  <c r="E350" i="5"/>
  <c r="M350" i="5" s="1"/>
  <c r="E348" i="5"/>
  <c r="M348" i="5" s="1"/>
  <c r="E346" i="5"/>
  <c r="M346" i="5" s="1"/>
  <c r="E344" i="5"/>
  <c r="M344" i="5" s="1"/>
  <c r="E342" i="5"/>
  <c r="M342" i="5" s="1"/>
  <c r="E340" i="5"/>
  <c r="M340" i="5" s="1"/>
  <c r="E429" i="5"/>
  <c r="M429" i="5" s="1"/>
  <c r="E422" i="5"/>
  <c r="M422" i="5" s="1"/>
  <c r="E410" i="5"/>
  <c r="M410" i="5" s="1"/>
  <c r="E424" i="5"/>
  <c r="M424" i="5" s="1"/>
  <c r="E418" i="5"/>
  <c r="M418" i="5" s="1"/>
  <c r="E413" i="5"/>
  <c r="M413" i="5" s="1"/>
  <c r="E353" i="5"/>
  <c r="M353" i="5" s="1"/>
  <c r="E343" i="5"/>
  <c r="M343" i="5" s="1"/>
  <c r="E347" i="5"/>
  <c r="M347" i="5" s="1"/>
  <c r="E337" i="5"/>
  <c r="M337" i="5" s="1"/>
  <c r="E351" i="5"/>
  <c r="M351" i="5" s="1"/>
  <c r="E345" i="5"/>
  <c r="M345" i="5" s="1"/>
  <c r="E339" i="5"/>
  <c r="M339" i="5" s="1"/>
  <c r="E349" i="5"/>
  <c r="M349" i="5" s="1"/>
  <c r="E341" i="5"/>
  <c r="M341" i="5" s="1"/>
  <c r="E131" i="5"/>
  <c r="M131" i="5" s="1"/>
  <c r="E127" i="5"/>
  <c r="M127" i="5" s="1"/>
  <c r="E118" i="5"/>
  <c r="M118" i="5" s="1"/>
  <c r="E115" i="5"/>
  <c r="M115" i="5" s="1"/>
  <c r="E132" i="5"/>
  <c r="M132" i="5" s="1"/>
  <c r="E128" i="5"/>
  <c r="M128" i="5" s="1"/>
  <c r="E101" i="5"/>
  <c r="M101" i="5" s="1"/>
  <c r="E99" i="5"/>
  <c r="M99" i="5" s="1"/>
  <c r="E95" i="5"/>
  <c r="M95" i="5" s="1"/>
  <c r="E68" i="5"/>
  <c r="M68" i="5" s="1"/>
  <c r="E114" i="5"/>
  <c r="M114" i="5" s="1"/>
  <c r="E133" i="5"/>
  <c r="M133" i="5" s="1"/>
  <c r="E129" i="5"/>
  <c r="M129" i="5" s="1"/>
  <c r="E122" i="5"/>
  <c r="M122" i="5" s="1"/>
  <c r="E117" i="5"/>
  <c r="M117" i="5" s="1"/>
  <c r="E124" i="5"/>
  <c r="M124" i="5" s="1"/>
  <c r="E123" i="5"/>
  <c r="M123" i="5" s="1"/>
  <c r="E121" i="5"/>
  <c r="M121" i="5" s="1"/>
  <c r="E130" i="5"/>
  <c r="M130" i="5" s="1"/>
  <c r="E126" i="5"/>
  <c r="M126" i="5" s="1"/>
  <c r="E120" i="5"/>
  <c r="M120" i="5" s="1"/>
  <c r="E116" i="5"/>
  <c r="M116" i="5" s="1"/>
  <c r="E113" i="5"/>
  <c r="M113" i="5" s="1"/>
  <c r="E94" i="5"/>
  <c r="M94" i="5" s="1"/>
  <c r="E92" i="5"/>
  <c r="M92" i="5" s="1"/>
  <c r="E90" i="5"/>
  <c r="M90" i="5" s="1"/>
  <c r="E88" i="5"/>
  <c r="M88" i="5" s="1"/>
  <c r="E86" i="5"/>
  <c r="M86" i="5" s="1"/>
  <c r="E84" i="5"/>
  <c r="M84" i="5" s="1"/>
  <c r="E82" i="5"/>
  <c r="M82" i="5" s="1"/>
  <c r="E80" i="5"/>
  <c r="M80" i="5" s="1"/>
  <c r="E78" i="5"/>
  <c r="M78" i="5" s="1"/>
  <c r="E76" i="5"/>
  <c r="M76" i="5" s="1"/>
  <c r="E74" i="5"/>
  <c r="M74" i="5" s="1"/>
  <c r="E119" i="5"/>
  <c r="M119" i="5" s="1"/>
  <c r="E45" i="5"/>
  <c r="M45" i="5" s="1"/>
  <c r="E44" i="5"/>
  <c r="M44" i="5" s="1"/>
  <c r="E29" i="5"/>
  <c r="M29" i="5" s="1"/>
  <c r="E12" i="5"/>
  <c r="M12" i="5" s="1"/>
  <c r="E4" i="5"/>
  <c r="M4" i="5" s="1"/>
  <c r="E5" i="5"/>
  <c r="M5" i="5" s="1"/>
  <c r="E6" i="5"/>
  <c r="M6" i="5" s="1"/>
  <c r="E63" i="5"/>
  <c r="M63" i="5" s="1"/>
  <c r="E59" i="5"/>
  <c r="M59" i="5" s="1"/>
  <c r="E47" i="5"/>
  <c r="M47" i="5" s="1"/>
  <c r="E46" i="5"/>
  <c r="M46" i="5" s="1"/>
  <c r="E27" i="5"/>
  <c r="M27" i="5" s="1"/>
  <c r="E21" i="5"/>
  <c r="M21" i="5" s="1"/>
  <c r="E19" i="5"/>
  <c r="M19" i="5" s="1"/>
  <c r="E13" i="5"/>
  <c r="M13" i="5" s="1"/>
  <c r="E70" i="5"/>
  <c r="M70" i="5" s="1"/>
  <c r="E49" i="5"/>
  <c r="M49" i="5" s="1"/>
  <c r="E48" i="5"/>
  <c r="M48" i="5" s="1"/>
  <c r="E17" i="5"/>
  <c r="M17" i="5" s="1"/>
  <c r="E15" i="5"/>
  <c r="M15" i="5" s="1"/>
  <c r="E9" i="5"/>
  <c r="M9" i="5" s="1"/>
  <c r="E64" i="5"/>
  <c r="M64" i="5" s="1"/>
  <c r="E60" i="5"/>
  <c r="M60" i="5" s="1"/>
  <c r="E51" i="5"/>
  <c r="M51" i="5" s="1"/>
  <c r="E50" i="5"/>
  <c r="M50" i="5" s="1"/>
  <c r="E35" i="5"/>
  <c r="M35" i="5" s="1"/>
  <c r="E23" i="5"/>
  <c r="M23" i="5" s="1"/>
  <c r="E72" i="5"/>
  <c r="M72" i="5" s="1"/>
  <c r="E67" i="5"/>
  <c r="M67" i="5" s="1"/>
  <c r="E53" i="5"/>
  <c r="M53" i="5" s="1"/>
  <c r="E52" i="5"/>
  <c r="M52" i="5" s="1"/>
  <c r="E34" i="5"/>
  <c r="M34" i="5" s="1"/>
  <c r="E26" i="5"/>
  <c r="M26" i="5" s="1"/>
  <c r="E65" i="5"/>
  <c r="M65" i="5" s="1"/>
  <c r="E61" i="5"/>
  <c r="M61" i="5" s="1"/>
  <c r="E55" i="5"/>
  <c r="M55" i="5" s="1"/>
  <c r="E39" i="5"/>
  <c r="M39" i="5" s="1"/>
  <c r="E33" i="5"/>
  <c r="M33" i="5" s="1"/>
  <c r="E20" i="5"/>
  <c r="M20" i="5" s="1"/>
  <c r="E11" i="5"/>
  <c r="M11" i="5" s="1"/>
  <c r="E7" i="5"/>
  <c r="M7" i="5" s="1"/>
  <c r="E57" i="5"/>
  <c r="M57" i="5" s="1"/>
  <c r="E41" i="5"/>
  <c r="M41" i="5" s="1"/>
  <c r="E31" i="5"/>
  <c r="M31" i="5" s="1"/>
  <c r="E25" i="5"/>
  <c r="M25" i="5" s="1"/>
  <c r="E22" i="5"/>
  <c r="M22" i="5" s="1"/>
  <c r="E18" i="5"/>
  <c r="M18" i="5" s="1"/>
  <c r="E16" i="5"/>
  <c r="M16" i="5" s="1"/>
  <c r="E3" i="5"/>
  <c r="E43" i="5"/>
  <c r="M43" i="5" s="1"/>
  <c r="E42" i="5"/>
  <c r="M42" i="5" s="1"/>
  <c r="E37" i="5"/>
  <c r="M37" i="5" s="1"/>
  <c r="E30" i="5"/>
  <c r="M30" i="5" s="1"/>
  <c r="E14" i="5"/>
  <c r="M14" i="5" s="1"/>
  <c r="E8" i="5"/>
  <c r="M8" i="5" s="1"/>
  <c r="E10" i="5"/>
  <c r="M10" i="5" s="1"/>
  <c r="E150" i="5"/>
  <c r="M150" i="5" s="1"/>
  <c r="E71" i="5"/>
  <c r="M71" i="5" s="1"/>
  <c r="E143" i="5"/>
  <c r="M143" i="5" s="1"/>
  <c r="E36" i="5"/>
  <c r="M36" i="5" s="1"/>
  <c r="E105" i="5"/>
  <c r="M105" i="5" s="1"/>
  <c r="E106" i="5"/>
  <c r="M106" i="5" s="1"/>
  <c r="E293" i="5"/>
  <c r="E302" i="5"/>
  <c r="M302" i="5" s="1"/>
  <c r="E318" i="5"/>
  <c r="M318" i="5" s="1"/>
  <c r="E224" i="5"/>
  <c r="M224" i="5" s="1"/>
  <c r="E244" i="5"/>
  <c r="M244" i="5" s="1"/>
  <c r="E323" i="5"/>
  <c r="M323" i="5" s="1"/>
  <c r="E219" i="5"/>
  <c r="M219" i="5" s="1"/>
  <c r="E259" i="5"/>
  <c r="E263" i="5"/>
  <c r="M263" i="5" s="1"/>
  <c r="E268" i="5"/>
  <c r="E272" i="5"/>
  <c r="E467" i="5"/>
  <c r="M467" i="5" s="1"/>
  <c r="E155" i="5"/>
  <c r="M155" i="5" s="1"/>
  <c r="E163" i="5"/>
  <c r="M163" i="5" s="1"/>
  <c r="E172" i="5"/>
  <c r="E465" i="5"/>
  <c r="E232" i="5"/>
  <c r="M232" i="5" s="1"/>
  <c r="E246" i="5"/>
  <c r="M246" i="5" s="1"/>
  <c r="E228" i="5"/>
  <c r="M228" i="5" s="1"/>
  <c r="E270" i="5"/>
  <c r="E593" i="5"/>
  <c r="M593" i="5" s="1"/>
  <c r="E531" i="5"/>
  <c r="M531" i="5" s="1"/>
  <c r="E564" i="5"/>
  <c r="M564" i="5" s="1"/>
  <c r="E296" i="5"/>
  <c r="E307" i="5"/>
  <c r="M307" i="5" s="1"/>
  <c r="E573" i="5"/>
  <c r="M573" i="5" s="1"/>
  <c r="E589" i="5"/>
  <c r="M589" i="5" s="1"/>
  <c r="E597" i="5"/>
  <c r="M597" i="5" s="1"/>
  <c r="E611" i="5"/>
  <c r="M611" i="5" s="1"/>
  <c r="E634" i="5"/>
  <c r="M634" i="5" s="1"/>
  <c r="E638" i="5"/>
  <c r="M638" i="5" s="1"/>
  <c r="E642" i="5"/>
  <c r="M642" i="5" s="1"/>
  <c r="E656" i="5"/>
  <c r="M656" i="5" s="1"/>
  <c r="E483" i="5"/>
  <c r="M483" i="5" s="1"/>
  <c r="E514" i="5"/>
  <c r="M514" i="5" s="1"/>
  <c r="E539" i="5"/>
  <c r="M539" i="5" s="1"/>
  <c r="E334" i="5"/>
  <c r="M334" i="5" s="1"/>
  <c r="E662" i="5"/>
  <c r="M662" i="5" s="1"/>
  <c r="E408" i="5"/>
  <c r="M408" i="5" s="1"/>
  <c r="E639" i="5"/>
  <c r="M639" i="5" s="1"/>
  <c r="E657" i="5"/>
  <c r="M657" i="5" s="1"/>
  <c r="E807" i="5"/>
  <c r="E822" i="5"/>
  <c r="M822" i="5" s="1"/>
  <c r="E820" i="5"/>
  <c r="M820" i="5" s="1"/>
  <c r="E844" i="5"/>
  <c r="M844" i="5" s="1"/>
  <c r="E887" i="5"/>
  <c r="M887" i="5" s="1"/>
  <c r="E904" i="5"/>
  <c r="E935" i="5"/>
  <c r="M935" i="5" s="1"/>
  <c r="E486" i="5"/>
  <c r="M486" i="5" s="1"/>
  <c r="E501" i="5"/>
  <c r="M501" i="5" s="1"/>
  <c r="E507" i="5"/>
  <c r="M507" i="5" s="1"/>
  <c r="E532" i="5"/>
  <c r="M532" i="5" s="1"/>
  <c r="E951" i="5"/>
  <c r="M951" i="5" s="1"/>
  <c r="E849" i="5"/>
  <c r="E855" i="5"/>
  <c r="M855" i="5" s="1"/>
  <c r="E888" i="5"/>
  <c r="M888" i="5" s="1"/>
  <c r="E899" i="5"/>
  <c r="M899" i="5" s="1"/>
  <c r="E907" i="5"/>
  <c r="M907" i="5" s="1"/>
  <c r="E915" i="5"/>
  <c r="M915" i="5" s="1"/>
  <c r="E923" i="5"/>
  <c r="M923" i="5" s="1"/>
  <c r="E24" i="5"/>
  <c r="M24" i="5" s="1"/>
  <c r="E136" i="5"/>
  <c r="M136" i="5" s="1"/>
  <c r="E146" i="5"/>
  <c r="M146" i="5" s="1"/>
  <c r="E139" i="5"/>
  <c r="M139" i="5" s="1"/>
  <c r="E147" i="5"/>
  <c r="M147" i="5" s="1"/>
  <c r="E98" i="5"/>
  <c r="M98" i="5" s="1"/>
  <c r="E125" i="5"/>
  <c r="M125" i="5" s="1"/>
  <c r="E79" i="5"/>
  <c r="M79" i="5" s="1"/>
  <c r="E87" i="5"/>
  <c r="M87" i="5" s="1"/>
  <c r="E108" i="5"/>
  <c r="M108" i="5" s="1"/>
  <c r="E304" i="5"/>
  <c r="M304" i="5" s="1"/>
  <c r="E320" i="5"/>
  <c r="M320" i="5" s="1"/>
  <c r="E158" i="5"/>
  <c r="M158" i="5" s="1"/>
  <c r="E166" i="5"/>
  <c r="M166" i="5" s="1"/>
  <c r="E175" i="5"/>
  <c r="E183" i="5"/>
  <c r="E191" i="5"/>
  <c r="E197" i="5"/>
  <c r="E207" i="5"/>
  <c r="M207" i="5" s="1"/>
  <c r="E248" i="5"/>
  <c r="M248" i="5" s="1"/>
  <c r="E277" i="5"/>
  <c r="E222" i="5"/>
  <c r="M222" i="5" s="1"/>
  <c r="E216" i="5"/>
  <c r="M216" i="5" s="1"/>
  <c r="E250" i="5"/>
  <c r="M250" i="5" s="1"/>
  <c r="E275" i="5"/>
  <c r="E237" i="5"/>
  <c r="M237" i="5" s="1"/>
  <c r="E415" i="5"/>
  <c r="M415" i="5" s="1"/>
  <c r="E537" i="5"/>
  <c r="M537" i="5" s="1"/>
  <c r="E578" i="5"/>
  <c r="M578" i="5" s="1"/>
  <c r="E588" i="5"/>
  <c r="M588" i="5" s="1"/>
  <c r="E599" i="5"/>
  <c r="M599" i="5" s="1"/>
  <c r="E292" i="5"/>
  <c r="E309" i="5"/>
  <c r="M309" i="5" s="1"/>
  <c r="E317" i="5"/>
  <c r="M317" i="5" s="1"/>
  <c r="E594" i="5"/>
  <c r="M594" i="5" s="1"/>
  <c r="E468" i="5"/>
  <c r="M468" i="5" s="1"/>
  <c r="E579" i="5"/>
  <c r="M579" i="5" s="1"/>
  <c r="E592" i="5"/>
  <c r="M592" i="5" s="1"/>
  <c r="E621" i="5"/>
  <c r="M621" i="5" s="1"/>
  <c r="E625" i="5"/>
  <c r="M625" i="5" s="1"/>
  <c r="E630" i="5"/>
  <c r="M630" i="5" s="1"/>
  <c r="E652" i="5"/>
  <c r="M652" i="5" s="1"/>
  <c r="E817" i="5"/>
  <c r="M817" i="5" s="1"/>
  <c r="E830" i="5"/>
  <c r="M830" i="5" s="1"/>
  <c r="E469" i="5"/>
  <c r="M469" i="5" s="1"/>
  <c r="E485" i="5"/>
  <c r="M485" i="5" s="1"/>
  <c r="E500" i="5"/>
  <c r="M500" i="5" s="1"/>
  <c r="E516" i="5"/>
  <c r="M516" i="5" s="1"/>
  <c r="E815" i="5"/>
  <c r="M815" i="5" s="1"/>
  <c r="E608" i="5"/>
  <c r="M608" i="5" s="1"/>
  <c r="E626" i="5"/>
  <c r="M626" i="5" s="1"/>
  <c r="E635" i="5"/>
  <c r="M635" i="5" s="1"/>
  <c r="E653" i="5"/>
  <c r="M653" i="5" s="1"/>
  <c r="E808" i="5"/>
  <c r="M808" i="5" s="1"/>
  <c r="E825" i="5"/>
  <c r="M825" i="5" s="1"/>
  <c r="E828" i="5"/>
  <c r="M828" i="5" s="1"/>
  <c r="E661" i="5"/>
  <c r="E840" i="5"/>
  <c r="M840" i="5" s="1"/>
  <c r="E858" i="5"/>
  <c r="M858" i="5" s="1"/>
  <c r="E871" i="5"/>
  <c r="M871" i="5" s="1"/>
  <c r="E898" i="5"/>
  <c r="M898" i="5" s="1"/>
  <c r="E910" i="5"/>
  <c r="M910" i="5" s="1"/>
  <c r="E916" i="5"/>
  <c r="M916" i="5" s="1"/>
  <c r="E482" i="5"/>
  <c r="M482" i="5" s="1"/>
  <c r="E496" i="5"/>
  <c r="M496" i="5" s="1"/>
  <c r="E521" i="5"/>
  <c r="M521" i="5" s="1"/>
  <c r="E527" i="5"/>
  <c r="M527" i="5" s="1"/>
  <c r="E841" i="5"/>
  <c r="M841" i="5" s="1"/>
  <c r="E845" i="5"/>
  <c r="E874" i="5"/>
  <c r="M874" i="5" s="1"/>
  <c r="E884" i="5"/>
  <c r="E930" i="5"/>
  <c r="M930" i="5" s="1"/>
  <c r="E28" i="5"/>
  <c r="M28" i="5" s="1"/>
  <c r="E138" i="5"/>
  <c r="M138" i="5" s="1"/>
  <c r="E137" i="5"/>
  <c r="M137" i="5" s="1"/>
  <c r="E62" i="5"/>
  <c r="M62" i="5" s="1"/>
  <c r="E140" i="5"/>
  <c r="M140" i="5" s="1"/>
  <c r="E148" i="5"/>
  <c r="M148" i="5" s="1"/>
  <c r="E167" i="5"/>
  <c r="M167" i="5" s="1"/>
  <c r="E69" i="5"/>
  <c r="M69" i="5" s="1"/>
  <c r="E142" i="5"/>
  <c r="M142" i="5" s="1"/>
  <c r="E145" i="5"/>
  <c r="M145" i="5" s="1"/>
  <c r="E73" i="5"/>
  <c r="M73" i="5" s="1"/>
  <c r="E107" i="5"/>
  <c r="M107" i="5" s="1"/>
  <c r="E97" i="5"/>
  <c r="M97" i="5" s="1"/>
  <c r="E225" i="5"/>
  <c r="M225" i="5" s="1"/>
  <c r="E287" i="5"/>
  <c r="E295" i="5"/>
  <c r="E306" i="5"/>
  <c r="M306" i="5" s="1"/>
  <c r="E322" i="5"/>
  <c r="M322" i="5" s="1"/>
  <c r="E252" i="5"/>
  <c r="M252" i="5" s="1"/>
  <c r="E235" i="5"/>
  <c r="M235" i="5" s="1"/>
  <c r="E218" i="5"/>
  <c r="M218" i="5" s="1"/>
  <c r="E157" i="5"/>
  <c r="M157" i="5" s="1"/>
  <c r="E165" i="5"/>
  <c r="M165" i="5" s="1"/>
  <c r="E254" i="5"/>
  <c r="M254" i="5" s="1"/>
  <c r="E285" i="5"/>
  <c r="E229" i="5"/>
  <c r="M229" i="5" s="1"/>
  <c r="E212" i="5"/>
  <c r="M212" i="5" s="1"/>
  <c r="E241" i="5"/>
  <c r="M241" i="5" s="1"/>
  <c r="E417" i="5"/>
  <c r="M417" i="5" s="1"/>
  <c r="E574" i="5"/>
  <c r="M574" i="5" s="1"/>
  <c r="E584" i="5"/>
  <c r="M584" i="5" s="1"/>
  <c r="E327" i="5"/>
  <c r="M327" i="5" s="1"/>
  <c r="E288" i="5"/>
  <c r="E311" i="5"/>
  <c r="M311" i="5" s="1"/>
  <c r="E569" i="5"/>
  <c r="M569" i="5" s="1"/>
  <c r="E585" i="5"/>
  <c r="M585" i="5" s="1"/>
  <c r="E617" i="5"/>
  <c r="M617" i="5" s="1"/>
  <c r="E648" i="5"/>
  <c r="M648" i="5" s="1"/>
  <c r="E803" i="5"/>
  <c r="E471" i="5"/>
  <c r="M471" i="5" s="1"/>
  <c r="E487" i="5"/>
  <c r="M487" i="5" s="1"/>
  <c r="E502" i="5"/>
  <c r="M502" i="5" s="1"/>
  <c r="E518" i="5"/>
  <c r="M518" i="5" s="1"/>
  <c r="E806" i="5"/>
  <c r="M806" i="5" s="1"/>
  <c r="E604" i="5"/>
  <c r="M604" i="5" s="1"/>
  <c r="E618" i="5"/>
  <c r="M618" i="5" s="1"/>
  <c r="E622" i="5"/>
  <c r="M622" i="5" s="1"/>
  <c r="E631" i="5"/>
  <c r="M631" i="5" s="1"/>
  <c r="E649" i="5"/>
  <c r="M649" i="5" s="1"/>
  <c r="E813" i="5"/>
  <c r="E943" i="5"/>
  <c r="M943" i="5" s="1"/>
  <c r="E959" i="5"/>
  <c r="M959" i="5" s="1"/>
  <c r="E664" i="5"/>
  <c r="M664" i="5" s="1"/>
  <c r="E836" i="5"/>
  <c r="M836" i="5" s="1"/>
  <c r="E850" i="5"/>
  <c r="M850" i="5" s="1"/>
  <c r="E854" i="5"/>
  <c r="M854" i="5" s="1"/>
  <c r="E883" i="5"/>
  <c r="M883" i="5" s="1"/>
  <c r="E894" i="5"/>
  <c r="E922" i="5"/>
  <c r="E478" i="5"/>
  <c r="M478" i="5" s="1"/>
  <c r="E492" i="5"/>
  <c r="M492" i="5" s="1"/>
  <c r="E509" i="5"/>
  <c r="M509" i="5" s="1"/>
  <c r="E515" i="5"/>
  <c r="M515" i="5" s="1"/>
  <c r="E833" i="5"/>
  <c r="M833" i="5" s="1"/>
  <c r="E837" i="5"/>
  <c r="M837" i="5" s="1"/>
  <c r="E870" i="5"/>
  <c r="E880" i="5"/>
  <c r="M880" i="5" s="1"/>
  <c r="E144" i="5"/>
  <c r="M144" i="5" s="1"/>
  <c r="E100" i="5"/>
  <c r="M100" i="5" s="1"/>
  <c r="E81" i="5"/>
  <c r="M81" i="5" s="1"/>
  <c r="E89" i="5"/>
  <c r="M89" i="5" s="1"/>
  <c r="E110" i="5"/>
  <c r="M110" i="5" s="1"/>
  <c r="E308" i="5"/>
  <c r="M308" i="5" s="1"/>
  <c r="E324" i="5"/>
  <c r="M324" i="5" s="1"/>
  <c r="E152" i="5"/>
  <c r="M152" i="5" s="1"/>
  <c r="E160" i="5"/>
  <c r="M160" i="5" s="1"/>
  <c r="E169" i="5"/>
  <c r="E177" i="5"/>
  <c r="E185" i="5"/>
  <c r="E193" i="5"/>
  <c r="E208" i="5"/>
  <c r="M208" i="5" s="1"/>
  <c r="E256" i="5"/>
  <c r="M256" i="5" s="1"/>
  <c r="E220" i="5"/>
  <c r="M220" i="5" s="1"/>
  <c r="E239" i="5"/>
  <c r="M239" i="5" s="1"/>
  <c r="E174" i="5"/>
  <c r="E178" i="5"/>
  <c r="E182" i="5"/>
  <c r="E186" i="5"/>
  <c r="E190" i="5"/>
  <c r="E194" i="5"/>
  <c r="E198" i="5"/>
  <c r="E233" i="5"/>
  <c r="M233" i="5" s="1"/>
  <c r="E258" i="5"/>
  <c r="M258" i="5" s="1"/>
  <c r="E271" i="5"/>
  <c r="E266" i="5"/>
  <c r="M266" i="5" s="1"/>
  <c r="E330" i="5"/>
  <c r="M330" i="5" s="1"/>
  <c r="E245" i="5"/>
  <c r="M245" i="5" s="1"/>
  <c r="E419" i="5"/>
  <c r="M419" i="5" s="1"/>
  <c r="E533" i="5"/>
  <c r="M533" i="5" s="1"/>
  <c r="E570" i="5"/>
  <c r="M570" i="5" s="1"/>
  <c r="E298" i="5"/>
  <c r="E319" i="5"/>
  <c r="M319" i="5" s="1"/>
  <c r="E331" i="5"/>
  <c r="M331" i="5" s="1"/>
  <c r="E575" i="5"/>
  <c r="M575" i="5" s="1"/>
  <c r="E613" i="5"/>
  <c r="M613" i="5" s="1"/>
  <c r="E644" i="5"/>
  <c r="M644" i="5" s="1"/>
  <c r="E799" i="5"/>
  <c r="M799" i="5" s="1"/>
  <c r="E473" i="5"/>
  <c r="M473" i="5" s="1"/>
  <c r="E489" i="5"/>
  <c r="M489" i="5" s="1"/>
  <c r="E504" i="5"/>
  <c r="M504" i="5" s="1"/>
  <c r="E520" i="5"/>
  <c r="M520" i="5" s="1"/>
  <c r="E600" i="5"/>
  <c r="M600" i="5" s="1"/>
  <c r="E645" i="5"/>
  <c r="M645" i="5" s="1"/>
  <c r="E659" i="5"/>
  <c r="M659" i="5" s="1"/>
  <c r="E796" i="5"/>
  <c r="E800" i="5"/>
  <c r="M800" i="5" s="1"/>
  <c r="E804" i="5"/>
  <c r="M804" i="5" s="1"/>
  <c r="E811" i="5"/>
  <c r="E821" i="5"/>
  <c r="M821" i="5" s="1"/>
  <c r="E818" i="5"/>
  <c r="M818" i="5" s="1"/>
  <c r="E832" i="5"/>
  <c r="M832" i="5" s="1"/>
  <c r="E846" i="5"/>
  <c r="M846" i="5" s="1"/>
  <c r="E900" i="5"/>
  <c r="M900" i="5" s="1"/>
  <c r="E906" i="5"/>
  <c r="M906" i="5" s="1"/>
  <c r="E912" i="5"/>
  <c r="M912" i="5" s="1"/>
  <c r="E931" i="5"/>
  <c r="M931" i="5" s="1"/>
  <c r="E939" i="5"/>
  <c r="E860" i="5"/>
  <c r="M860" i="5" s="1"/>
  <c r="E474" i="5"/>
  <c r="M474" i="5" s="1"/>
  <c r="E488" i="5"/>
  <c r="M488" i="5" s="1"/>
  <c r="E503" i="5"/>
  <c r="M503" i="5" s="1"/>
  <c r="E529" i="5"/>
  <c r="M529" i="5" s="1"/>
  <c r="E534" i="5"/>
  <c r="M534" i="5" s="1"/>
  <c r="E851" i="5"/>
  <c r="M851" i="5" s="1"/>
  <c r="E866" i="5"/>
  <c r="M866" i="5" s="1"/>
  <c r="E895" i="5"/>
  <c r="M895" i="5" s="1"/>
  <c r="E932" i="5"/>
  <c r="M932" i="5" s="1"/>
  <c r="E38" i="5"/>
  <c r="M38" i="5" s="1"/>
  <c r="E151" i="5"/>
  <c r="M151" i="5" s="1"/>
  <c r="E109" i="5"/>
  <c r="M109" i="5" s="1"/>
  <c r="E112" i="5"/>
  <c r="M112" i="5" s="1"/>
  <c r="E289" i="5"/>
  <c r="E297" i="5"/>
  <c r="E310" i="5"/>
  <c r="M310" i="5" s="1"/>
  <c r="E326" i="5"/>
  <c r="M326" i="5" s="1"/>
  <c r="E260" i="5"/>
  <c r="M260" i="5" s="1"/>
  <c r="E273" i="5"/>
  <c r="E205" i="5"/>
  <c r="M205" i="5" s="1"/>
  <c r="E321" i="5"/>
  <c r="M321" i="5" s="1"/>
  <c r="E325" i="5"/>
  <c r="M325" i="5" s="1"/>
  <c r="E243" i="5"/>
  <c r="M243" i="5" s="1"/>
  <c r="E280" i="5"/>
  <c r="E201" i="5"/>
  <c r="M201" i="5" s="1"/>
  <c r="E159" i="5"/>
  <c r="M159" i="5" s="1"/>
  <c r="E168" i="5"/>
  <c r="E262" i="5"/>
  <c r="M262" i="5" s="1"/>
  <c r="E267" i="5"/>
  <c r="E213" i="5"/>
  <c r="M213" i="5" s="1"/>
  <c r="E249" i="5"/>
  <c r="M249" i="5" s="1"/>
  <c r="E282" i="5"/>
  <c r="E425" i="5"/>
  <c r="M425" i="5" s="1"/>
  <c r="E541" i="5"/>
  <c r="M541" i="5" s="1"/>
  <c r="E566" i="5"/>
  <c r="M566" i="5" s="1"/>
  <c r="E580" i="5"/>
  <c r="M580" i="5" s="1"/>
  <c r="E530" i="5"/>
  <c r="M530" i="5" s="1"/>
  <c r="E294" i="5"/>
  <c r="E313" i="5"/>
  <c r="M313" i="5" s="1"/>
  <c r="E591" i="5"/>
  <c r="M591" i="5" s="1"/>
  <c r="E605" i="5"/>
  <c r="M605" i="5" s="1"/>
  <c r="E472" i="5"/>
  <c r="M472" i="5" s="1"/>
  <c r="E565" i="5"/>
  <c r="M565" i="5" s="1"/>
  <c r="E581" i="5"/>
  <c r="M581" i="5" s="1"/>
  <c r="E627" i="5"/>
  <c r="M627" i="5" s="1"/>
  <c r="E632" i="5"/>
  <c r="M632" i="5" s="1"/>
  <c r="E636" i="5"/>
  <c r="M636" i="5" s="1"/>
  <c r="E640" i="5"/>
  <c r="M640" i="5" s="1"/>
  <c r="E658" i="5"/>
  <c r="M658" i="5" s="1"/>
  <c r="E795" i="5"/>
  <c r="M795" i="5" s="1"/>
  <c r="E475" i="5"/>
  <c r="M475" i="5" s="1"/>
  <c r="E491" i="5"/>
  <c r="M491" i="5" s="1"/>
  <c r="E506" i="5"/>
  <c r="M506" i="5" s="1"/>
  <c r="E522" i="5"/>
  <c r="M522" i="5" s="1"/>
  <c r="E336" i="5"/>
  <c r="M336" i="5" s="1"/>
  <c r="E629" i="5"/>
  <c r="M629" i="5" s="1"/>
  <c r="E641" i="5"/>
  <c r="M641" i="5" s="1"/>
  <c r="E655" i="5"/>
  <c r="M655" i="5" s="1"/>
  <c r="E867" i="5"/>
  <c r="M867" i="5" s="1"/>
  <c r="E879" i="5"/>
  <c r="M879" i="5" s="1"/>
  <c r="E918" i="5"/>
  <c r="M918" i="5" s="1"/>
  <c r="E924" i="5"/>
  <c r="M924" i="5" s="1"/>
  <c r="E484" i="5"/>
  <c r="M484" i="5" s="1"/>
  <c r="E517" i="5"/>
  <c r="M517" i="5" s="1"/>
  <c r="E523" i="5"/>
  <c r="M523" i="5" s="1"/>
  <c r="E847" i="5"/>
  <c r="M847" i="5" s="1"/>
  <c r="E857" i="5"/>
  <c r="M857" i="5" s="1"/>
  <c r="E862" i="5"/>
  <c r="E876" i="5"/>
  <c r="E890" i="5"/>
  <c r="E903" i="5"/>
  <c r="M903" i="5" s="1"/>
  <c r="E911" i="5"/>
  <c r="M911" i="5" s="1"/>
  <c r="E919" i="5"/>
  <c r="M919" i="5" s="1"/>
  <c r="E54" i="5"/>
  <c r="M54" i="5" s="1"/>
  <c r="E58" i="5"/>
  <c r="M58" i="5" s="1"/>
  <c r="E200" i="5"/>
  <c r="E96" i="5"/>
  <c r="M96" i="5" s="1"/>
  <c r="E199" i="5"/>
  <c r="E75" i="5"/>
  <c r="M75" i="5" s="1"/>
  <c r="E83" i="5"/>
  <c r="M83" i="5" s="1"/>
  <c r="E91" i="5"/>
  <c r="M91" i="5" s="1"/>
  <c r="E102" i="5"/>
  <c r="M102" i="5" s="1"/>
  <c r="E209" i="5"/>
  <c r="M209" i="5" s="1"/>
  <c r="E226" i="5"/>
  <c r="M226" i="5" s="1"/>
  <c r="E312" i="5"/>
  <c r="M312" i="5" s="1"/>
  <c r="E333" i="5"/>
  <c r="M333" i="5" s="1"/>
  <c r="E154" i="5"/>
  <c r="M154" i="5" s="1"/>
  <c r="E162" i="5"/>
  <c r="M162" i="5" s="1"/>
  <c r="E171" i="5"/>
  <c r="E179" i="5"/>
  <c r="E187" i="5"/>
  <c r="E195" i="5"/>
  <c r="E223" i="5"/>
  <c r="M223" i="5" s="1"/>
  <c r="E264" i="5"/>
  <c r="M264" i="5" s="1"/>
  <c r="E269" i="5"/>
  <c r="E284" i="5"/>
  <c r="E203" i="5"/>
  <c r="M203" i="5" s="1"/>
  <c r="E247" i="5"/>
  <c r="M247" i="5" s="1"/>
  <c r="E276" i="5"/>
  <c r="E231" i="5"/>
  <c r="M231" i="5" s="1"/>
  <c r="E234" i="5"/>
  <c r="M234" i="5" s="1"/>
  <c r="E230" i="5"/>
  <c r="M230" i="5" s="1"/>
  <c r="E227" i="5"/>
  <c r="M227" i="5" s="1"/>
  <c r="E253" i="5"/>
  <c r="M253" i="5" s="1"/>
  <c r="E278" i="5"/>
  <c r="E576" i="5"/>
  <c r="M576" i="5" s="1"/>
  <c r="E590" i="5"/>
  <c r="M590" i="5" s="1"/>
  <c r="E497" i="5"/>
  <c r="M497" i="5" s="1"/>
  <c r="E290" i="5"/>
  <c r="E301" i="5"/>
  <c r="M301" i="5" s="1"/>
  <c r="E571" i="5"/>
  <c r="M571" i="5" s="1"/>
  <c r="E587" i="5"/>
  <c r="M587" i="5" s="1"/>
  <c r="E619" i="5"/>
  <c r="M619" i="5" s="1"/>
  <c r="E623" i="5"/>
  <c r="M623" i="5" s="1"/>
  <c r="E654" i="5"/>
  <c r="M654" i="5" s="1"/>
  <c r="E423" i="5"/>
  <c r="M423" i="5" s="1"/>
  <c r="E477" i="5"/>
  <c r="M477" i="5" s="1"/>
  <c r="E493" i="5"/>
  <c r="M493" i="5" s="1"/>
  <c r="E508" i="5"/>
  <c r="M508" i="5" s="1"/>
  <c r="E524" i="5"/>
  <c r="M524" i="5" s="1"/>
  <c r="E421" i="5"/>
  <c r="M421" i="5" s="1"/>
  <c r="E596" i="5"/>
  <c r="M596" i="5" s="1"/>
  <c r="E595" i="5"/>
  <c r="M595" i="5" s="1"/>
  <c r="E624" i="5"/>
  <c r="M624" i="5" s="1"/>
  <c r="E628" i="5"/>
  <c r="M628" i="5" s="1"/>
  <c r="E637" i="5"/>
  <c r="M637" i="5" s="1"/>
  <c r="E651" i="5"/>
  <c r="M651" i="5" s="1"/>
  <c r="E838" i="5"/>
  <c r="M838" i="5" s="1"/>
  <c r="E842" i="5"/>
  <c r="M842" i="5" s="1"/>
  <c r="E856" i="5"/>
  <c r="E896" i="5"/>
  <c r="M896" i="5" s="1"/>
  <c r="E955" i="5"/>
  <c r="E470" i="5"/>
  <c r="M470" i="5" s="1"/>
  <c r="E480" i="5"/>
  <c r="M480" i="5" s="1"/>
  <c r="E499" i="5"/>
  <c r="M499" i="5" s="1"/>
  <c r="E505" i="5"/>
  <c r="M505" i="5" s="1"/>
  <c r="E511" i="5"/>
  <c r="M511" i="5" s="1"/>
  <c r="E926" i="5"/>
  <c r="E536" i="5"/>
  <c r="M536" i="5" s="1"/>
  <c r="E839" i="5"/>
  <c r="M839" i="5" s="1"/>
  <c r="E843" i="5"/>
  <c r="E872" i="5"/>
  <c r="E886" i="5"/>
  <c r="M886" i="5" s="1"/>
  <c r="E538" i="5"/>
  <c r="M538" i="5" s="1"/>
  <c r="E979" i="5"/>
  <c r="M979" i="5" s="1"/>
  <c r="E66" i="5"/>
  <c r="M66" i="5" s="1"/>
  <c r="E56" i="5"/>
  <c r="M56" i="5" s="1"/>
  <c r="E103" i="5"/>
  <c r="M103" i="5" s="1"/>
  <c r="E111" i="5"/>
  <c r="M111" i="5" s="1"/>
  <c r="E134" i="5"/>
  <c r="M134" i="5" s="1"/>
  <c r="E104" i="5"/>
  <c r="M104" i="5" s="1"/>
  <c r="E291" i="5"/>
  <c r="E299" i="5"/>
  <c r="E314" i="5"/>
  <c r="M314" i="5" s="1"/>
  <c r="E335" i="5"/>
  <c r="M335" i="5" s="1"/>
  <c r="E236" i="5"/>
  <c r="M236" i="5" s="1"/>
  <c r="E206" i="5"/>
  <c r="M206" i="5" s="1"/>
  <c r="E221" i="5"/>
  <c r="M221" i="5" s="1"/>
  <c r="E251" i="5"/>
  <c r="M251" i="5" s="1"/>
  <c r="E202" i="5"/>
  <c r="M202" i="5" s="1"/>
  <c r="E153" i="5"/>
  <c r="M153" i="5" s="1"/>
  <c r="E161" i="5"/>
  <c r="M161" i="5" s="1"/>
  <c r="E170" i="5"/>
  <c r="E332" i="5"/>
  <c r="M332" i="5" s="1"/>
  <c r="E215" i="5"/>
  <c r="M215" i="5" s="1"/>
  <c r="E238" i="5"/>
  <c r="M238" i="5" s="1"/>
  <c r="E283" i="5"/>
  <c r="E257" i="5"/>
  <c r="M257" i="5" s="1"/>
  <c r="E274" i="5"/>
  <c r="E535" i="5"/>
  <c r="M535" i="5" s="1"/>
  <c r="E572" i="5"/>
  <c r="M572" i="5" s="1"/>
  <c r="E586" i="5"/>
  <c r="M586" i="5" s="1"/>
  <c r="E286" i="5"/>
  <c r="E303" i="5"/>
  <c r="M303" i="5" s="1"/>
  <c r="E315" i="5"/>
  <c r="M315" i="5" s="1"/>
  <c r="E577" i="5"/>
  <c r="M577" i="5" s="1"/>
  <c r="E329" i="5"/>
  <c r="M329" i="5" s="1"/>
  <c r="E615" i="5"/>
  <c r="M615" i="5" s="1"/>
  <c r="E650" i="5"/>
  <c r="M650" i="5" s="1"/>
  <c r="E801" i="5"/>
  <c r="M801" i="5" s="1"/>
  <c r="E462" i="5"/>
  <c r="M462" i="5" s="1"/>
  <c r="E479" i="5"/>
  <c r="M479" i="5" s="1"/>
  <c r="E495" i="5"/>
  <c r="M495" i="5" s="1"/>
  <c r="E510" i="5"/>
  <c r="M510" i="5" s="1"/>
  <c r="E526" i="5"/>
  <c r="M526" i="5" s="1"/>
  <c r="E829" i="5"/>
  <c r="E606" i="5"/>
  <c r="M606" i="5" s="1"/>
  <c r="E616" i="5"/>
  <c r="M616" i="5" s="1"/>
  <c r="E620" i="5"/>
  <c r="M620" i="5" s="1"/>
  <c r="E633" i="5"/>
  <c r="M633" i="5" s="1"/>
  <c r="E647" i="5"/>
  <c r="M647" i="5" s="1"/>
  <c r="E805" i="5"/>
  <c r="M805" i="5" s="1"/>
  <c r="E814" i="5"/>
  <c r="M814" i="5" s="1"/>
  <c r="E819" i="5"/>
  <c r="M819" i="5" s="1"/>
  <c r="E834" i="5"/>
  <c r="M834" i="5" s="1"/>
  <c r="E852" i="5"/>
  <c r="M852" i="5" s="1"/>
  <c r="E891" i="5"/>
  <c r="M891" i="5" s="1"/>
  <c r="E902" i="5"/>
  <c r="M902" i="5" s="1"/>
  <c r="E908" i="5"/>
  <c r="E914" i="5"/>
  <c r="M914" i="5" s="1"/>
  <c r="E476" i="5"/>
  <c r="M476" i="5" s="1"/>
  <c r="E494" i="5"/>
  <c r="M494" i="5" s="1"/>
  <c r="E525" i="5"/>
  <c r="M525" i="5" s="1"/>
  <c r="E936" i="5"/>
  <c r="E835" i="5"/>
  <c r="M835" i="5" s="1"/>
  <c r="E868" i="5"/>
  <c r="M868" i="5" s="1"/>
  <c r="E882" i="5"/>
  <c r="M882" i="5" s="1"/>
  <c r="E928" i="5"/>
  <c r="M928" i="5" s="1"/>
  <c r="E32" i="5"/>
  <c r="M32" i="5" s="1"/>
  <c r="E40" i="5"/>
  <c r="M40" i="5" s="1"/>
  <c r="E135" i="5"/>
  <c r="M135" i="5" s="1"/>
  <c r="E149" i="5"/>
  <c r="M149" i="5" s="1"/>
  <c r="E141" i="5"/>
  <c r="M141" i="5" s="1"/>
  <c r="E77" i="5"/>
  <c r="M77" i="5" s="1"/>
  <c r="E85" i="5"/>
  <c r="M85" i="5" s="1"/>
  <c r="E93" i="5"/>
  <c r="M93" i="5" s="1"/>
  <c r="E210" i="5"/>
  <c r="M210" i="5" s="1"/>
  <c r="E300" i="5"/>
  <c r="M300" i="5" s="1"/>
  <c r="E316" i="5"/>
  <c r="M316" i="5" s="1"/>
  <c r="E156" i="5"/>
  <c r="M156" i="5" s="1"/>
  <c r="E164" i="5"/>
  <c r="M164" i="5" s="1"/>
  <c r="E173" i="5"/>
  <c r="E181" i="5"/>
  <c r="E189" i="5"/>
  <c r="E240" i="5"/>
  <c r="M240" i="5" s="1"/>
  <c r="E281" i="5"/>
  <c r="E204" i="5"/>
  <c r="M204" i="5" s="1"/>
  <c r="E255" i="5"/>
  <c r="M255" i="5" s="1"/>
  <c r="E217" i="5"/>
  <c r="M217" i="5" s="1"/>
  <c r="E176" i="5"/>
  <c r="E180" i="5"/>
  <c r="E184" i="5"/>
  <c r="E188" i="5"/>
  <c r="E192" i="5"/>
  <c r="E196" i="5"/>
  <c r="E242" i="5"/>
  <c r="M242" i="5" s="1"/>
  <c r="E279" i="5"/>
  <c r="E214" i="5"/>
  <c r="M214" i="5" s="1"/>
  <c r="E328" i="5"/>
  <c r="M328" i="5" s="1"/>
  <c r="E211" i="5"/>
  <c r="M211" i="5" s="1"/>
  <c r="E261" i="5"/>
  <c r="M261" i="5" s="1"/>
  <c r="E265" i="5"/>
  <c r="M265" i="5" s="1"/>
  <c r="E568" i="5"/>
  <c r="M568" i="5" s="1"/>
  <c r="E582" i="5"/>
  <c r="M582" i="5" s="1"/>
  <c r="E607" i="5"/>
  <c r="M607" i="5" s="1"/>
  <c r="E305" i="5"/>
  <c r="M305" i="5" s="1"/>
  <c r="E567" i="5"/>
  <c r="M567" i="5" s="1"/>
  <c r="E583" i="5"/>
  <c r="M583" i="5" s="1"/>
  <c r="E646" i="5"/>
  <c r="M646" i="5" s="1"/>
  <c r="E660" i="5"/>
  <c r="M660" i="5" s="1"/>
  <c r="E797" i="5"/>
  <c r="E816" i="5"/>
  <c r="M816" i="5" s="1"/>
  <c r="E824" i="5"/>
  <c r="M824" i="5" s="1"/>
  <c r="E481" i="5"/>
  <c r="M481" i="5" s="1"/>
  <c r="E498" i="5"/>
  <c r="M498" i="5" s="1"/>
  <c r="E512" i="5"/>
  <c r="M512" i="5" s="1"/>
  <c r="E528" i="5"/>
  <c r="M528" i="5" s="1"/>
  <c r="E809" i="5"/>
  <c r="M809" i="5" s="1"/>
  <c r="E338" i="5"/>
  <c r="M338" i="5" s="1"/>
  <c r="E823" i="5"/>
  <c r="M823" i="5" s="1"/>
  <c r="E810" i="5"/>
  <c r="M810" i="5" s="1"/>
  <c r="E602" i="5"/>
  <c r="M602" i="5" s="1"/>
  <c r="E643" i="5"/>
  <c r="M643" i="5" s="1"/>
  <c r="E798" i="5"/>
  <c r="M798" i="5" s="1"/>
  <c r="E802" i="5"/>
  <c r="M802" i="5" s="1"/>
  <c r="E826" i="5"/>
  <c r="M826" i="5" s="1"/>
  <c r="E831" i="5"/>
  <c r="E812" i="5"/>
  <c r="M812" i="5" s="1"/>
  <c r="E848" i="5"/>
  <c r="M848" i="5" s="1"/>
  <c r="E863" i="5"/>
  <c r="M863" i="5" s="1"/>
  <c r="E875" i="5"/>
  <c r="M875" i="5" s="1"/>
  <c r="E920" i="5"/>
  <c r="M920" i="5" s="1"/>
  <c r="E927" i="5"/>
  <c r="M927" i="5" s="1"/>
  <c r="E827" i="5"/>
  <c r="E466" i="5"/>
  <c r="M466" i="5" s="1"/>
  <c r="E490" i="5"/>
  <c r="M490" i="5" s="1"/>
  <c r="E513" i="5"/>
  <c r="M513" i="5" s="1"/>
  <c r="E519" i="5"/>
  <c r="M519" i="5" s="1"/>
  <c r="E859" i="5"/>
  <c r="M859" i="5" s="1"/>
  <c r="E864" i="5"/>
  <c r="M864" i="5" s="1"/>
  <c r="E878" i="5"/>
  <c r="M878" i="5" s="1"/>
  <c r="E892" i="5"/>
  <c r="M892" i="5" s="1"/>
  <c r="E947" i="5"/>
  <c r="E983" i="5"/>
  <c r="M983" i="5" s="1"/>
  <c r="E560" i="5"/>
  <c r="M560" i="5" s="1"/>
  <c r="G947" i="5"/>
  <c r="F1929" i="5"/>
  <c r="E1927" i="5"/>
  <c r="M1927" i="5" s="1"/>
  <c r="E934" i="5"/>
  <c r="M934" i="5" s="1"/>
  <c r="M1957" i="5"/>
  <c r="M1923" i="5"/>
  <c r="M1911" i="5"/>
  <c r="M1903" i="5"/>
  <c r="M1840" i="5"/>
  <c r="M1852" i="5"/>
  <c r="M1813" i="5"/>
  <c r="M1873" i="5"/>
  <c r="M1836" i="5"/>
  <c r="M1821" i="5"/>
  <c r="M1831" i="5"/>
  <c r="M1751" i="5"/>
  <c r="M1779" i="5"/>
  <c r="M1742" i="5"/>
  <c r="M1749" i="5"/>
  <c r="M1709" i="5"/>
  <c r="M1715" i="5"/>
  <c r="M1634" i="5"/>
  <c r="M1661" i="5"/>
  <c r="M1637" i="5"/>
  <c r="M1626" i="5"/>
  <c r="M1569" i="5"/>
  <c r="M1335" i="5"/>
  <c r="M1346" i="5"/>
  <c r="M1345" i="5"/>
  <c r="M1275" i="5"/>
  <c r="M1310" i="5"/>
  <c r="M1305" i="5"/>
  <c r="M1292" i="5"/>
  <c r="M1237" i="5"/>
  <c r="M1205" i="5"/>
  <c r="M1311" i="5"/>
  <c r="M1314" i="5"/>
  <c r="M1256" i="5"/>
  <c r="M1224" i="5"/>
  <c r="M1263" i="5"/>
  <c r="M1231" i="5"/>
  <c r="M1191" i="5"/>
  <c r="M1146" i="5"/>
  <c r="M1082" i="5"/>
  <c r="M1149" i="5"/>
  <c r="M1117" i="5"/>
  <c r="M1195" i="5"/>
  <c r="M1148" i="5"/>
  <c r="M1116" i="5"/>
  <c r="M1084" i="5"/>
  <c r="M1045" i="5"/>
  <c r="M1013" i="5"/>
  <c r="M1048" i="5"/>
  <c r="M1016" i="5"/>
  <c r="M1202" i="5"/>
  <c r="M1065" i="5"/>
  <c r="M1047" i="5"/>
  <c r="M1015" i="5"/>
  <c r="M961" i="5"/>
  <c r="M988" i="5"/>
  <c r="M877" i="5"/>
  <c r="M921" i="5"/>
  <c r="M692" i="5"/>
  <c r="M933" i="5"/>
  <c r="M901" i="5"/>
  <c r="H917" i="5"/>
  <c r="M917" i="5" s="1"/>
  <c r="H969" i="5"/>
  <c r="M969" i="5" s="1"/>
  <c r="H958" i="5"/>
  <c r="M958" i="5" s="1"/>
  <c r="H922" i="5"/>
  <c r="G904" i="5"/>
  <c r="H890" i="5"/>
  <c r="G872" i="5"/>
  <c r="G965" i="5"/>
  <c r="M965" i="5" s="1"/>
  <c r="G948" i="5"/>
  <c r="M948" i="5" s="1"/>
  <c r="M937" i="5"/>
  <c r="G884" i="5"/>
  <c r="H870" i="5"/>
  <c r="H889" i="5"/>
  <c r="M889" i="5" s="1"/>
  <c r="G940" i="5"/>
  <c r="M940" i="5" s="1"/>
  <c r="M897" i="5"/>
  <c r="M865" i="5"/>
  <c r="G988" i="5"/>
  <c r="M1972" i="5"/>
  <c r="BF596" i="5"/>
  <c r="H952" i="5"/>
  <c r="M952" i="5" s="1"/>
  <c r="H944" i="5"/>
  <c r="M944" i="5" s="1"/>
  <c r="M976" i="5"/>
  <c r="AR596" i="5"/>
  <c r="M559" i="5"/>
  <c r="M547" i="5"/>
  <c r="H989" i="5"/>
  <c r="G1971" i="5"/>
  <c r="H975" i="5"/>
  <c r="G1957" i="5"/>
  <c r="E1944" i="5"/>
  <c r="M1944" i="5" s="1"/>
  <c r="E1938" i="5"/>
  <c r="M1938" i="5" s="1"/>
  <c r="E1928" i="5"/>
  <c r="M1928" i="5" s="1"/>
  <c r="H845" i="5"/>
  <c r="H829" i="5"/>
  <c r="H813" i="5"/>
  <c r="H797" i="5"/>
  <c r="M668" i="5"/>
  <c r="E938" i="5"/>
  <c r="M938" i="5" s="1"/>
  <c r="BE732" i="5"/>
  <c r="BF665" i="5"/>
  <c r="E1967" i="5"/>
  <c r="M1967" i="5" s="1"/>
  <c r="G1925" i="5"/>
  <c r="M1925" i="5" s="1"/>
  <c r="E670" i="5"/>
  <c r="M670" i="5" s="1"/>
  <c r="E609" i="5"/>
  <c r="M609" i="5" s="1"/>
  <c r="E989" i="5"/>
  <c r="E973" i="5"/>
  <c r="G955" i="5"/>
  <c r="E550" i="5"/>
  <c r="M550" i="5" s="1"/>
  <c r="G939" i="5"/>
  <c r="H661" i="5"/>
  <c r="F1868" i="5"/>
  <c r="M1868" i="5" s="1"/>
  <c r="F1843" i="5"/>
  <c r="M1945" i="5"/>
  <c r="M1953" i="5"/>
  <c r="M1883" i="5"/>
  <c r="M1879" i="5"/>
  <c r="M1859" i="5"/>
  <c r="M1837" i="5"/>
  <c r="M1862" i="5"/>
  <c r="M1861" i="5"/>
  <c r="M1738" i="5"/>
  <c r="M1745" i="5"/>
  <c r="M1769" i="5"/>
  <c r="M1662" i="5"/>
  <c r="M1630" i="5"/>
  <c r="M1703" i="5"/>
  <c r="M1625" i="5"/>
  <c r="M1622" i="5"/>
  <c r="M1618" i="5"/>
  <c r="M1565" i="5"/>
  <c r="M1371" i="5"/>
  <c r="M1342" i="5"/>
  <c r="M1341" i="5"/>
  <c r="M1299" i="5"/>
  <c r="M1270" i="5"/>
  <c r="M1265" i="5"/>
  <c r="M1233" i="5"/>
  <c r="M1201" i="5"/>
  <c r="M1271" i="5"/>
  <c r="M1274" i="5"/>
  <c r="M1252" i="5"/>
  <c r="M1220" i="5"/>
  <c r="M1285" i="5"/>
  <c r="M1288" i="5"/>
  <c r="M1259" i="5"/>
  <c r="M1227" i="5"/>
  <c r="M1171" i="5"/>
  <c r="M1196" i="5"/>
  <c r="M1174" i="5"/>
  <c r="M1142" i="5"/>
  <c r="M1145" i="5"/>
  <c r="M1192" i="5"/>
  <c r="M1144" i="5"/>
  <c r="M1112" i="5"/>
  <c r="AB1987" i="5"/>
  <c r="M1069" i="5"/>
  <c r="M1194" i="5"/>
  <c r="M1043" i="5"/>
  <c r="M1011" i="5"/>
  <c r="M986" i="5"/>
  <c r="M957" i="5"/>
  <c r="M909" i="5"/>
  <c r="M905" i="5"/>
  <c r="M984" i="5"/>
  <c r="G953" i="5"/>
  <c r="M953" i="5" s="1"/>
  <c r="H939" i="5"/>
  <c r="H926" i="5"/>
  <c r="G908" i="5"/>
  <c r="H894" i="5"/>
  <c r="G876" i="5"/>
  <c r="H862" i="5"/>
  <c r="G986" i="5"/>
  <c r="M1966" i="5"/>
  <c r="M1956" i="5"/>
  <c r="M1950" i="5"/>
  <c r="H936" i="5"/>
  <c r="M968" i="5"/>
  <c r="M960" i="5"/>
  <c r="G954" i="5"/>
  <c r="M954" i="5" s="1"/>
  <c r="M553" i="5"/>
  <c r="G942" i="5"/>
  <c r="M942" i="5" s="1"/>
  <c r="H981" i="5"/>
  <c r="H843" i="5"/>
  <c r="H827" i="5"/>
  <c r="H811" i="5"/>
  <c r="H796" i="5"/>
  <c r="G973" i="5"/>
  <c r="G856" i="5"/>
  <c r="E1782" i="5"/>
  <c r="M1782" i="5" s="1"/>
  <c r="E1774" i="5"/>
  <c r="M1774" i="5" s="1"/>
  <c r="E1770" i="5"/>
  <c r="M1770" i="5" s="1"/>
  <c r="E1766" i="5"/>
  <c r="M1766" i="5" s="1"/>
  <c r="E1762" i="5"/>
  <c r="M1762" i="5" s="1"/>
  <c r="E1761" i="5"/>
  <c r="M1761" i="5" s="1"/>
  <c r="E1776" i="5"/>
  <c r="M1776" i="5" s="1"/>
  <c r="E1781" i="5"/>
  <c r="M1781" i="5" s="1"/>
  <c r="E1777" i="5"/>
  <c r="M1777" i="5" s="1"/>
  <c r="E1772" i="5"/>
  <c r="M1772" i="5" s="1"/>
  <c r="E1784" i="5"/>
  <c r="M1784" i="5" s="1"/>
  <c r="E1765" i="5"/>
  <c r="M1765" i="5" s="1"/>
  <c r="E1760" i="5"/>
  <c r="M1760" i="5" s="1"/>
  <c r="E1756" i="5"/>
  <c r="M1756" i="5" s="1"/>
  <c r="E1752" i="5"/>
  <c r="M1752" i="5" s="1"/>
  <c r="E1748" i="5"/>
  <c r="M1748" i="5" s="1"/>
  <c r="E1744" i="5"/>
  <c r="M1744" i="5" s="1"/>
  <c r="E1740" i="5"/>
  <c r="M1740" i="5" s="1"/>
  <c r="E1736" i="5"/>
  <c r="M1736" i="5" s="1"/>
  <c r="E1732" i="5"/>
  <c r="M1732" i="5" s="1"/>
  <c r="E1728" i="5"/>
  <c r="M1728" i="5" s="1"/>
  <c r="E1724" i="5"/>
  <c r="M1724" i="5" s="1"/>
  <c r="E1720" i="5"/>
  <c r="M1720" i="5" s="1"/>
  <c r="E1716" i="5"/>
  <c r="M1716" i="5" s="1"/>
  <c r="E1712" i="5"/>
  <c r="M1712" i="5" s="1"/>
  <c r="E1708" i="5"/>
  <c r="M1708" i="5" s="1"/>
  <c r="E1704" i="5"/>
  <c r="M1704" i="5" s="1"/>
  <c r="E1700" i="5"/>
  <c r="M1700" i="5" s="1"/>
  <c r="E1696" i="5"/>
  <c r="M1696" i="5" s="1"/>
  <c r="E1692" i="5"/>
  <c r="M1692" i="5" s="1"/>
  <c r="E1688" i="5"/>
  <c r="M1688" i="5" s="1"/>
  <c r="E1684" i="5"/>
  <c r="M1684" i="5" s="1"/>
  <c r="E1680" i="5"/>
  <c r="M1680" i="5" s="1"/>
  <c r="E1676" i="5"/>
  <c r="M1676" i="5" s="1"/>
  <c r="E1698" i="5"/>
  <c r="M1698" i="5" s="1"/>
  <c r="E1690" i="5"/>
  <c r="M1690" i="5" s="1"/>
  <c r="E1682" i="5"/>
  <c r="M1682" i="5" s="1"/>
  <c r="E1674" i="5"/>
  <c r="M1674" i="5" s="1"/>
  <c r="E1671" i="5"/>
  <c r="M1671" i="5" s="1"/>
  <c r="E1667" i="5"/>
  <c r="M1667" i="5" s="1"/>
  <c r="E1663" i="5"/>
  <c r="M1663" i="5" s="1"/>
  <c r="E1659" i="5"/>
  <c r="M1659" i="5" s="1"/>
  <c r="E1655" i="5"/>
  <c r="M1655" i="5" s="1"/>
  <c r="E1672" i="5"/>
  <c r="M1672" i="5" s="1"/>
  <c r="E1668" i="5"/>
  <c r="M1668" i="5" s="1"/>
  <c r="E1664" i="5"/>
  <c r="M1664" i="5" s="1"/>
  <c r="E1660" i="5"/>
  <c r="M1660" i="5" s="1"/>
  <c r="E1656" i="5"/>
  <c r="M1656" i="5" s="1"/>
  <c r="E1454" i="5"/>
  <c r="M1454" i="5" s="1"/>
  <c r="E1446" i="5"/>
  <c r="M1446" i="5" s="1"/>
  <c r="E1438" i="5"/>
  <c r="M1438" i="5" s="1"/>
  <c r="E1430" i="5"/>
  <c r="M1430" i="5" s="1"/>
  <c r="E1422" i="5"/>
  <c r="M1422" i="5" s="1"/>
  <c r="E1416" i="5"/>
  <c r="M1416" i="5" s="1"/>
  <c r="E1412" i="5"/>
  <c r="M1412" i="5" s="1"/>
  <c r="E1408" i="5"/>
  <c r="M1408" i="5" s="1"/>
  <c r="E1404" i="5"/>
  <c r="M1404" i="5" s="1"/>
  <c r="E1400" i="5"/>
  <c r="M1400" i="5" s="1"/>
  <c r="E1449" i="5"/>
  <c r="M1449" i="5" s="1"/>
  <c r="E1441" i="5"/>
  <c r="M1441" i="5" s="1"/>
  <c r="E1433" i="5"/>
  <c r="M1433" i="5" s="1"/>
  <c r="E1425" i="5"/>
  <c r="M1425" i="5" s="1"/>
  <c r="E1452" i="5"/>
  <c r="M1452" i="5" s="1"/>
  <c r="E1444" i="5"/>
  <c r="M1444" i="5" s="1"/>
  <c r="E1436" i="5"/>
  <c r="M1436" i="5" s="1"/>
  <c r="E1428" i="5"/>
  <c r="M1428" i="5" s="1"/>
  <c r="E1420" i="5"/>
  <c r="M1420" i="5" s="1"/>
  <c r="E1415" i="5"/>
  <c r="M1415" i="5" s="1"/>
  <c r="E1411" i="5"/>
  <c r="M1411" i="5" s="1"/>
  <c r="E1447" i="5"/>
  <c r="M1447" i="5" s="1"/>
  <c r="E1439" i="5"/>
  <c r="M1439" i="5" s="1"/>
  <c r="E1431" i="5"/>
  <c r="M1431" i="5" s="1"/>
  <c r="E1423" i="5"/>
  <c r="M1423" i="5" s="1"/>
  <c r="E1450" i="5"/>
  <c r="M1450" i="5" s="1"/>
  <c r="E1442" i="5"/>
  <c r="M1442" i="5" s="1"/>
  <c r="E1434" i="5"/>
  <c r="M1434" i="5" s="1"/>
  <c r="E1426" i="5"/>
  <c r="M1426" i="5" s="1"/>
  <c r="E1418" i="5"/>
  <c r="M1418" i="5" s="1"/>
  <c r="E1414" i="5"/>
  <c r="M1414" i="5" s="1"/>
  <c r="E1410" i="5"/>
  <c r="M1410" i="5" s="1"/>
  <c r="E1406" i="5"/>
  <c r="M1406" i="5" s="1"/>
  <c r="E1453" i="5"/>
  <c r="M1453" i="5" s="1"/>
  <c r="E1445" i="5"/>
  <c r="M1445" i="5" s="1"/>
  <c r="E1437" i="5"/>
  <c r="M1437" i="5" s="1"/>
  <c r="E1429" i="5"/>
  <c r="M1429" i="5" s="1"/>
  <c r="E1421" i="5"/>
  <c r="M1421" i="5" s="1"/>
  <c r="E1448" i="5"/>
  <c r="M1448" i="5" s="1"/>
  <c r="E1440" i="5"/>
  <c r="M1440" i="5" s="1"/>
  <c r="E1432" i="5"/>
  <c r="M1432" i="5" s="1"/>
  <c r="E1424" i="5"/>
  <c r="M1424" i="5" s="1"/>
  <c r="E1417" i="5"/>
  <c r="M1417" i="5" s="1"/>
  <c r="E1413" i="5"/>
  <c r="M1413" i="5" s="1"/>
  <c r="E1409" i="5"/>
  <c r="M1409" i="5" s="1"/>
  <c r="E1405" i="5"/>
  <c r="M1405" i="5" s="1"/>
  <c r="E1401" i="5"/>
  <c r="M1401" i="5" s="1"/>
  <c r="E1397" i="5"/>
  <c r="M1397" i="5" s="1"/>
  <c r="E1393" i="5"/>
  <c r="M1393" i="5" s="1"/>
  <c r="E1389" i="5"/>
  <c r="M1389" i="5" s="1"/>
  <c r="E1385" i="5"/>
  <c r="M1385" i="5" s="1"/>
  <c r="E1381" i="5"/>
  <c r="M1381" i="5" s="1"/>
  <c r="E1377" i="5"/>
  <c r="M1377" i="5" s="1"/>
  <c r="E1451" i="5"/>
  <c r="M1451" i="5" s="1"/>
  <c r="E1443" i="5"/>
  <c r="M1443" i="5" s="1"/>
  <c r="E1435" i="5"/>
  <c r="M1435" i="5" s="1"/>
  <c r="E1427" i="5"/>
  <c r="M1427" i="5" s="1"/>
  <c r="E1419" i="5"/>
  <c r="M1419" i="5" s="1"/>
  <c r="E1382" i="5"/>
  <c r="M1382" i="5" s="1"/>
  <c r="E1392" i="5"/>
  <c r="M1392" i="5" s="1"/>
  <c r="E1390" i="5"/>
  <c r="M1390" i="5" s="1"/>
  <c r="E1373" i="5"/>
  <c r="M1373" i="5" s="1"/>
  <c r="E1396" i="5"/>
  <c r="M1396" i="5" s="1"/>
  <c r="E1394" i="5"/>
  <c r="M1394" i="5" s="1"/>
  <c r="E1388" i="5"/>
  <c r="M1388" i="5" s="1"/>
  <c r="E1380" i="5"/>
  <c r="M1380" i="5" s="1"/>
  <c r="E1365" i="5"/>
  <c r="M1365" i="5" s="1"/>
  <c r="E1364" i="5"/>
  <c r="M1364" i="5" s="1"/>
  <c r="E1363" i="5"/>
  <c r="M1363" i="5" s="1"/>
  <c r="E1398" i="5"/>
  <c r="M1398" i="5" s="1"/>
  <c r="E1374" i="5"/>
  <c r="M1374" i="5" s="1"/>
  <c r="E1366" i="5"/>
  <c r="M1366" i="5" s="1"/>
  <c r="E1386" i="5"/>
  <c r="M1386" i="5" s="1"/>
  <c r="E1378" i="5"/>
  <c r="M1378" i="5" s="1"/>
  <c r="E1369" i="5"/>
  <c r="M1369" i="5" s="1"/>
  <c r="E1368" i="5"/>
  <c r="M1368" i="5" s="1"/>
  <c r="E1367" i="5"/>
  <c r="M1367" i="5" s="1"/>
  <c r="E1370" i="5"/>
  <c r="M1370" i="5" s="1"/>
  <c r="E1384" i="5"/>
  <c r="M1384" i="5" s="1"/>
  <c r="E1402" i="5"/>
  <c r="M1402" i="5" s="1"/>
  <c r="E1376" i="5"/>
  <c r="M1376" i="5" s="1"/>
  <c r="E1095" i="5"/>
  <c r="M1095" i="5" s="1"/>
  <c r="E1059" i="5"/>
  <c r="M1059" i="5" s="1"/>
  <c r="E1107" i="5"/>
  <c r="M1107" i="5" s="1"/>
  <c r="E1119" i="5"/>
  <c r="M1119" i="5" s="1"/>
  <c r="E1087" i="5"/>
  <c r="M1087" i="5" s="1"/>
  <c r="E1075" i="5"/>
  <c r="M1075" i="5" s="1"/>
  <c r="E1067" i="5"/>
  <c r="M1067" i="5" s="1"/>
  <c r="E1099" i="5"/>
  <c r="M1099" i="5" s="1"/>
  <c r="E993" i="5"/>
  <c r="E1111" i="5"/>
  <c r="M1111" i="5" s="1"/>
  <c r="E1083" i="5"/>
  <c r="M1083" i="5" s="1"/>
  <c r="E1123" i="5"/>
  <c r="M1123" i="5" s="1"/>
  <c r="E1091" i="5"/>
  <c r="M1091" i="5" s="1"/>
  <c r="E1056" i="5"/>
  <c r="M1056" i="5" s="1"/>
  <c r="E1103" i="5"/>
  <c r="M1103" i="5" s="1"/>
  <c r="E1079" i="5"/>
  <c r="M1079" i="5" s="1"/>
  <c r="E1071" i="5"/>
  <c r="M1071" i="5" s="1"/>
  <c r="E1115" i="5"/>
  <c r="M1115" i="5" s="1"/>
  <c r="AW734" i="5"/>
  <c r="E1234" i="5"/>
  <c r="M1234" i="5" s="1"/>
  <c r="E1218" i="5"/>
  <c r="M1218" i="5" s="1"/>
  <c r="E1532" i="5"/>
  <c r="M1532" i="5" s="1"/>
  <c r="E1462" i="5"/>
  <c r="M1462" i="5" s="1"/>
  <c r="E1479" i="5"/>
  <c r="M1479" i="5" s="1"/>
  <c r="E1498" i="5"/>
  <c r="M1498" i="5" s="1"/>
  <c r="E1501" i="5"/>
  <c r="M1501" i="5" s="1"/>
  <c r="E1522" i="5"/>
  <c r="M1522" i="5" s="1"/>
  <c r="E1473" i="5"/>
  <c r="M1473" i="5" s="1"/>
  <c r="E1516" i="5"/>
  <c r="M1516" i="5" s="1"/>
  <c r="E1469" i="5"/>
  <c r="M1469" i="5" s="1"/>
  <c r="E1543" i="5"/>
  <c r="M1543" i="5" s="1"/>
  <c r="E1554" i="5"/>
  <c r="M1554" i="5" s="1"/>
  <c r="E1558" i="5"/>
  <c r="M1558" i="5" s="1"/>
  <c r="E1580" i="5"/>
  <c r="M1580" i="5" s="1"/>
  <c r="E1585" i="5"/>
  <c r="M1585" i="5" s="1"/>
  <c r="E1542" i="5"/>
  <c r="M1542" i="5" s="1"/>
  <c r="E1550" i="5"/>
  <c r="M1550" i="5" s="1"/>
  <c r="E1555" i="5"/>
  <c r="M1555" i="5" s="1"/>
  <c r="E1577" i="5"/>
  <c r="M1577" i="5" s="1"/>
  <c r="E1597" i="5"/>
  <c r="M1597" i="5" s="1"/>
  <c r="E1601" i="5"/>
  <c r="M1601" i="5" s="1"/>
  <c r="E1605" i="5"/>
  <c r="M1605" i="5" s="1"/>
  <c r="E1611" i="5"/>
  <c r="M1611" i="5" s="1"/>
  <c r="E1624" i="5"/>
  <c r="M1624" i="5" s="1"/>
  <c r="E1640" i="5"/>
  <c r="M1640" i="5" s="1"/>
  <c r="E1799" i="5"/>
  <c r="M1799" i="5" s="1"/>
  <c r="E1652" i="5"/>
  <c r="M1652" i="5" s="1"/>
  <c r="E1592" i="5"/>
  <c r="M1592" i="5" s="1"/>
  <c r="E1600" i="5"/>
  <c r="M1600" i="5" s="1"/>
  <c r="E1612" i="5"/>
  <c r="M1612" i="5" s="1"/>
  <c r="E1643" i="5"/>
  <c r="M1643" i="5" s="1"/>
  <c r="E1924" i="5"/>
  <c r="M1924" i="5" s="1"/>
  <c r="E1815" i="5"/>
  <c r="M1815" i="5" s="1"/>
  <c r="E1830" i="5"/>
  <c r="M1830" i="5" s="1"/>
  <c r="E1838" i="5"/>
  <c r="M1838" i="5" s="1"/>
  <c r="E1812" i="5"/>
  <c r="M1812" i="5" s="1"/>
  <c r="E1887" i="5"/>
  <c r="M1887" i="5" s="1"/>
  <c r="E1920" i="5"/>
  <c r="M1920" i="5" s="1"/>
  <c r="E1147" i="5"/>
  <c r="M1147" i="5" s="1"/>
  <c r="E1139" i="5"/>
  <c r="M1139" i="5" s="1"/>
  <c r="E1143" i="5"/>
  <c r="M1143" i="5" s="1"/>
  <c r="E1242" i="5"/>
  <c r="M1242" i="5" s="1"/>
  <c r="E1482" i="5"/>
  <c r="M1482" i="5" s="1"/>
  <c r="E1499" i="5"/>
  <c r="M1499" i="5" s="1"/>
  <c r="E1465" i="5"/>
  <c r="M1465" i="5" s="1"/>
  <c r="E1510" i="5"/>
  <c r="M1510" i="5" s="1"/>
  <c r="E1475" i="5"/>
  <c r="M1475" i="5" s="1"/>
  <c r="E1513" i="5"/>
  <c r="M1513" i="5" s="1"/>
  <c r="E1534" i="5"/>
  <c r="M1534" i="5" s="1"/>
  <c r="E1486" i="5"/>
  <c r="M1486" i="5" s="1"/>
  <c r="E1496" i="5"/>
  <c r="M1496" i="5" s="1"/>
  <c r="E1537" i="5"/>
  <c r="M1537" i="5" s="1"/>
  <c r="E1568" i="5"/>
  <c r="M1568" i="5" s="1"/>
  <c r="E1572" i="5"/>
  <c r="M1572" i="5" s="1"/>
  <c r="E1576" i="5"/>
  <c r="M1576" i="5" s="1"/>
  <c r="E1520" i="5"/>
  <c r="M1520" i="5" s="1"/>
  <c r="E1563" i="5"/>
  <c r="M1563" i="5" s="1"/>
  <c r="E1593" i="5"/>
  <c r="M1593" i="5" s="1"/>
  <c r="E1789" i="5"/>
  <c r="M1789" i="5" s="1"/>
  <c r="E1788" i="5"/>
  <c r="M1788" i="5" s="1"/>
  <c r="E1824" i="5"/>
  <c r="M1824" i="5" s="1"/>
  <c r="E1894" i="5"/>
  <c r="M1894" i="5" s="1"/>
  <c r="E1900" i="5"/>
  <c r="M1900" i="5" s="1"/>
  <c r="E1910" i="5"/>
  <c r="M1910" i="5" s="1"/>
  <c r="E1917" i="5"/>
  <c r="M1917" i="5" s="1"/>
  <c r="E1819" i="5"/>
  <c r="M1819" i="5" s="1"/>
  <c r="E1827" i="5"/>
  <c r="M1827" i="5" s="1"/>
  <c r="E1839" i="5"/>
  <c r="M1839" i="5" s="1"/>
  <c r="E1893" i="5"/>
  <c r="M1893" i="5" s="1"/>
  <c r="E1905" i="5"/>
  <c r="M1905" i="5" s="1"/>
  <c r="E1929" i="5"/>
  <c r="M1929" i="5" s="1"/>
  <c r="E1947" i="5"/>
  <c r="M1947" i="5" s="1"/>
  <c r="E1230" i="5"/>
  <c r="M1230" i="5" s="1"/>
  <c r="E1238" i="5"/>
  <c r="M1238" i="5" s="1"/>
  <c r="E1214" i="5"/>
  <c r="M1214" i="5" s="1"/>
  <c r="E1466" i="5"/>
  <c r="M1466" i="5" s="1"/>
  <c r="E1511" i="5"/>
  <c r="M1511" i="5" s="1"/>
  <c r="E1524" i="5"/>
  <c r="M1524" i="5" s="1"/>
  <c r="E1490" i="5"/>
  <c r="M1490" i="5" s="1"/>
  <c r="E1535" i="5"/>
  <c r="M1535" i="5" s="1"/>
  <c r="E1460" i="5"/>
  <c r="M1460" i="5" s="1"/>
  <c r="E1477" i="5"/>
  <c r="M1477" i="5" s="1"/>
  <c r="E1258" i="5"/>
  <c r="M1258" i="5" s="1"/>
  <c r="E1458" i="5"/>
  <c r="M1458" i="5" s="1"/>
  <c r="E1493" i="5"/>
  <c r="M1493" i="5" s="1"/>
  <c r="E1470" i="5"/>
  <c r="M1470" i="5" s="1"/>
  <c r="E1508" i="5"/>
  <c r="M1508" i="5" s="1"/>
  <c r="E1529" i="5"/>
  <c r="M1529" i="5" s="1"/>
  <c r="E1583" i="5"/>
  <c r="M1583" i="5" s="1"/>
  <c r="E1547" i="5"/>
  <c r="M1547" i="5" s="1"/>
  <c r="E1544" i="5"/>
  <c r="M1544" i="5" s="1"/>
  <c r="E1552" i="5"/>
  <c r="M1552" i="5" s="1"/>
  <c r="E1571" i="5"/>
  <c r="M1571" i="5" s="1"/>
  <c r="E1587" i="5"/>
  <c r="M1587" i="5" s="1"/>
  <c r="E1589" i="5"/>
  <c r="M1589" i="5" s="1"/>
  <c r="E1628" i="5"/>
  <c r="M1628" i="5" s="1"/>
  <c r="E1644" i="5"/>
  <c r="M1644" i="5" s="1"/>
  <c r="E1594" i="5"/>
  <c r="M1594" i="5" s="1"/>
  <c r="E1602" i="5"/>
  <c r="M1602" i="5" s="1"/>
  <c r="E1616" i="5"/>
  <c r="M1616" i="5" s="1"/>
  <c r="E1639" i="5"/>
  <c r="M1639" i="5" s="1"/>
  <c r="E1794" i="5"/>
  <c r="M1794" i="5" s="1"/>
  <c r="E1798" i="5"/>
  <c r="M1798" i="5" s="1"/>
  <c r="E1807" i="5"/>
  <c r="M1807" i="5" s="1"/>
  <c r="E1818" i="5"/>
  <c r="M1818" i="5" s="1"/>
  <c r="E1869" i="5"/>
  <c r="M1869" i="5" s="1"/>
  <c r="E1808" i="5"/>
  <c r="M1808" i="5" s="1"/>
  <c r="E1899" i="5"/>
  <c r="M1899" i="5" s="1"/>
  <c r="E1913" i="5"/>
  <c r="M1913" i="5" s="1"/>
  <c r="E1155" i="5"/>
  <c r="M1155" i="5" s="1"/>
  <c r="E1246" i="5"/>
  <c r="M1246" i="5" s="1"/>
  <c r="E1491" i="5"/>
  <c r="M1491" i="5" s="1"/>
  <c r="E1463" i="5"/>
  <c r="M1463" i="5" s="1"/>
  <c r="E1502" i="5"/>
  <c r="M1502" i="5" s="1"/>
  <c r="E1505" i="5"/>
  <c r="M1505" i="5" s="1"/>
  <c r="E1526" i="5"/>
  <c r="M1526" i="5" s="1"/>
  <c r="E1456" i="5"/>
  <c r="M1456" i="5" s="1"/>
  <c r="E1455" i="5"/>
  <c r="M1455" i="5" s="1"/>
  <c r="E1488" i="5"/>
  <c r="M1488" i="5" s="1"/>
  <c r="E1564" i="5"/>
  <c r="M1564" i="5" s="1"/>
  <c r="E1581" i="5"/>
  <c r="M1581" i="5" s="1"/>
  <c r="E1796" i="5"/>
  <c r="M1796" i="5" s="1"/>
  <c r="E1832" i="5"/>
  <c r="M1832" i="5" s="1"/>
  <c r="E1890" i="5"/>
  <c r="M1890" i="5" s="1"/>
  <c r="E1896" i="5"/>
  <c r="M1896" i="5" s="1"/>
  <c r="E1906" i="5"/>
  <c r="M1906" i="5" s="1"/>
  <c r="E1912" i="5"/>
  <c r="M1912" i="5" s="1"/>
  <c r="E1814" i="5"/>
  <c r="M1814" i="5" s="1"/>
  <c r="E1870" i="5"/>
  <c r="M1870" i="5" s="1"/>
  <c r="E1889" i="5"/>
  <c r="M1889" i="5" s="1"/>
  <c r="E1922" i="5"/>
  <c r="M1922" i="5" s="1"/>
  <c r="E1226" i="5"/>
  <c r="M1226" i="5" s="1"/>
  <c r="E1210" i="5"/>
  <c r="M1210" i="5" s="1"/>
  <c r="E1483" i="5"/>
  <c r="M1483" i="5" s="1"/>
  <c r="E1503" i="5"/>
  <c r="M1503" i="5" s="1"/>
  <c r="E1536" i="5"/>
  <c r="M1536" i="5" s="1"/>
  <c r="E1480" i="5"/>
  <c r="M1480" i="5" s="1"/>
  <c r="E1514" i="5"/>
  <c r="M1514" i="5" s="1"/>
  <c r="E1527" i="5"/>
  <c r="M1527" i="5" s="1"/>
  <c r="E1262" i="5"/>
  <c r="M1262" i="5" s="1"/>
  <c r="E1517" i="5"/>
  <c r="M1517" i="5" s="1"/>
  <c r="E1500" i="5"/>
  <c r="M1500" i="5" s="1"/>
  <c r="E1521" i="5"/>
  <c r="M1521" i="5" s="1"/>
  <c r="E1484" i="5"/>
  <c r="M1484" i="5" s="1"/>
  <c r="E1551" i="5"/>
  <c r="M1551" i="5" s="1"/>
  <c r="E1556" i="5"/>
  <c r="M1556" i="5" s="1"/>
  <c r="E1560" i="5"/>
  <c r="M1560" i="5" s="1"/>
  <c r="E1578" i="5"/>
  <c r="M1578" i="5" s="1"/>
  <c r="E1538" i="5"/>
  <c r="M1538" i="5" s="1"/>
  <c r="E1546" i="5"/>
  <c r="M1546" i="5" s="1"/>
  <c r="E1579" i="5"/>
  <c r="M1579" i="5" s="1"/>
  <c r="E1582" i="5"/>
  <c r="M1582" i="5" s="1"/>
  <c r="E1599" i="5"/>
  <c r="M1599" i="5" s="1"/>
  <c r="E1603" i="5"/>
  <c r="M1603" i="5" s="1"/>
  <c r="E1632" i="5"/>
  <c r="M1632" i="5" s="1"/>
  <c r="E1648" i="5"/>
  <c r="M1648" i="5" s="1"/>
  <c r="E1588" i="5"/>
  <c r="M1588" i="5" s="1"/>
  <c r="E1596" i="5"/>
  <c r="M1596" i="5" s="1"/>
  <c r="E1604" i="5"/>
  <c r="M1604" i="5" s="1"/>
  <c r="E1635" i="5"/>
  <c r="M1635" i="5" s="1"/>
  <c r="E1651" i="5"/>
  <c r="M1651" i="5" s="1"/>
  <c r="E1790" i="5"/>
  <c r="M1790" i="5" s="1"/>
  <c r="E1921" i="5"/>
  <c r="M1921" i="5" s="1"/>
  <c r="E1916" i="5"/>
  <c r="M1916" i="5" s="1"/>
  <c r="E1895" i="5"/>
  <c r="M1895" i="5" s="1"/>
  <c r="E1907" i="5"/>
  <c r="M1907" i="5" s="1"/>
  <c r="E1127" i="5"/>
  <c r="M1127" i="5" s="1"/>
  <c r="E1151" i="5"/>
  <c r="M1151" i="5" s="1"/>
  <c r="E1250" i="5"/>
  <c r="M1250" i="5" s="1"/>
  <c r="E1467" i="5"/>
  <c r="M1467" i="5" s="1"/>
  <c r="E1515" i="5"/>
  <c r="M1515" i="5" s="1"/>
  <c r="E1528" i="5"/>
  <c r="M1528" i="5" s="1"/>
  <c r="E1478" i="5"/>
  <c r="M1478" i="5" s="1"/>
  <c r="E1494" i="5"/>
  <c r="M1494" i="5" s="1"/>
  <c r="E1461" i="5"/>
  <c r="M1461" i="5" s="1"/>
  <c r="E1459" i="5"/>
  <c r="M1459" i="5" s="1"/>
  <c r="E1497" i="5"/>
  <c r="M1497" i="5" s="1"/>
  <c r="E1457" i="5"/>
  <c r="M1457" i="5" s="1"/>
  <c r="E1472" i="5"/>
  <c r="M1472" i="5" s="1"/>
  <c r="E1471" i="5"/>
  <c r="M1471" i="5" s="1"/>
  <c r="E1512" i="5"/>
  <c r="M1512" i="5" s="1"/>
  <c r="E1533" i="5"/>
  <c r="M1533" i="5" s="1"/>
  <c r="E1539" i="5"/>
  <c r="M1539" i="5" s="1"/>
  <c r="E1468" i="5"/>
  <c r="M1468" i="5" s="1"/>
  <c r="E1566" i="5"/>
  <c r="M1566" i="5" s="1"/>
  <c r="E1570" i="5"/>
  <c r="M1570" i="5" s="1"/>
  <c r="E1574" i="5"/>
  <c r="M1574" i="5" s="1"/>
  <c r="E1559" i="5"/>
  <c r="M1559" i="5" s="1"/>
  <c r="E1575" i="5"/>
  <c r="M1575" i="5" s="1"/>
  <c r="E1595" i="5"/>
  <c r="M1595" i="5" s="1"/>
  <c r="E1620" i="5"/>
  <c r="M1620" i="5" s="1"/>
  <c r="E1793" i="5"/>
  <c r="M1793" i="5" s="1"/>
  <c r="E1800" i="5"/>
  <c r="M1800" i="5" s="1"/>
  <c r="E1828" i="5"/>
  <c r="M1828" i="5" s="1"/>
  <c r="E1886" i="5"/>
  <c r="M1886" i="5" s="1"/>
  <c r="E1892" i="5"/>
  <c r="M1892" i="5" s="1"/>
  <c r="E1902" i="5"/>
  <c r="M1902" i="5" s="1"/>
  <c r="E1908" i="5"/>
  <c r="M1908" i="5" s="1"/>
  <c r="E1810" i="5"/>
  <c r="M1810" i="5" s="1"/>
  <c r="E1823" i="5"/>
  <c r="M1823" i="5" s="1"/>
  <c r="E1843" i="5"/>
  <c r="M1843" i="5" s="1"/>
  <c r="E1885" i="5"/>
  <c r="M1885" i="5" s="1"/>
  <c r="E1901" i="5"/>
  <c r="M1901" i="5" s="1"/>
  <c r="E1931" i="5"/>
  <c r="M1931" i="5" s="1"/>
  <c r="E1206" i="5"/>
  <c r="M1206" i="5" s="1"/>
  <c r="E1222" i="5"/>
  <c r="M1222" i="5" s="1"/>
  <c r="E1495" i="5"/>
  <c r="M1495" i="5" s="1"/>
  <c r="E1464" i="5"/>
  <c r="M1464" i="5" s="1"/>
  <c r="E1506" i="5"/>
  <c r="M1506" i="5" s="1"/>
  <c r="E1474" i="5"/>
  <c r="M1474" i="5" s="1"/>
  <c r="E1509" i="5"/>
  <c r="M1509" i="5" s="1"/>
  <c r="E1530" i="5"/>
  <c r="M1530" i="5" s="1"/>
  <c r="E1492" i="5"/>
  <c r="M1492" i="5" s="1"/>
  <c r="E1541" i="5"/>
  <c r="M1541" i="5" s="1"/>
  <c r="E1584" i="5"/>
  <c r="M1584" i="5" s="1"/>
  <c r="E1487" i="5"/>
  <c r="M1487" i="5" s="1"/>
  <c r="E1540" i="5"/>
  <c r="M1540" i="5" s="1"/>
  <c r="E1548" i="5"/>
  <c r="M1548" i="5" s="1"/>
  <c r="E1567" i="5"/>
  <c r="M1567" i="5" s="1"/>
  <c r="E1591" i="5"/>
  <c r="M1591" i="5" s="1"/>
  <c r="E1615" i="5"/>
  <c r="M1615" i="5" s="1"/>
  <c r="E1636" i="5"/>
  <c r="M1636" i="5" s="1"/>
  <c r="E1590" i="5"/>
  <c r="M1590" i="5" s="1"/>
  <c r="E1598" i="5"/>
  <c r="M1598" i="5" s="1"/>
  <c r="E1608" i="5"/>
  <c r="M1608" i="5" s="1"/>
  <c r="E1631" i="5"/>
  <c r="M1631" i="5" s="1"/>
  <c r="E1647" i="5"/>
  <c r="M1647" i="5" s="1"/>
  <c r="E1786" i="5"/>
  <c r="M1786" i="5" s="1"/>
  <c r="E1802" i="5"/>
  <c r="M1802" i="5" s="1"/>
  <c r="E1803" i="5"/>
  <c r="M1803" i="5" s="1"/>
  <c r="E1822" i="5"/>
  <c r="M1822" i="5" s="1"/>
  <c r="E1914" i="5"/>
  <c r="M1914" i="5" s="1"/>
  <c r="E1816" i="5"/>
  <c r="M1816" i="5" s="1"/>
  <c r="E1891" i="5"/>
  <c r="M1891" i="5" s="1"/>
  <c r="E1918" i="5"/>
  <c r="M1918" i="5" s="1"/>
  <c r="E1131" i="5"/>
  <c r="M1131" i="5" s="1"/>
  <c r="E1135" i="5"/>
  <c r="M1135" i="5" s="1"/>
  <c r="E1254" i="5"/>
  <c r="M1254" i="5" s="1"/>
  <c r="E1507" i="5"/>
  <c r="M1507" i="5" s="1"/>
  <c r="E1481" i="5"/>
  <c r="M1481" i="5" s="1"/>
  <c r="E1518" i="5"/>
  <c r="M1518" i="5" s="1"/>
  <c r="E1531" i="5"/>
  <c r="M1531" i="5" s="1"/>
  <c r="E1476" i="5"/>
  <c r="M1476" i="5" s="1"/>
  <c r="E1489" i="5"/>
  <c r="M1489" i="5" s="1"/>
  <c r="E1504" i="5"/>
  <c r="M1504" i="5" s="1"/>
  <c r="E1525" i="5"/>
  <c r="M1525" i="5" s="1"/>
  <c r="E1485" i="5"/>
  <c r="M1485" i="5" s="1"/>
  <c r="E1562" i="5"/>
  <c r="M1562" i="5" s="1"/>
  <c r="E1586" i="5"/>
  <c r="M1586" i="5" s="1"/>
  <c r="E1792" i="5"/>
  <c r="M1792" i="5" s="1"/>
  <c r="E1851" i="5"/>
  <c r="M1851" i="5" s="1"/>
  <c r="E1888" i="5"/>
  <c r="M1888" i="5" s="1"/>
  <c r="E1898" i="5"/>
  <c r="M1898" i="5" s="1"/>
  <c r="E1904" i="5"/>
  <c r="M1904" i="5" s="1"/>
  <c r="E1806" i="5"/>
  <c r="M1806" i="5" s="1"/>
  <c r="E1897" i="5"/>
  <c r="M1897" i="5" s="1"/>
  <c r="E1909" i="5"/>
  <c r="M1909" i="5" s="1"/>
  <c r="E603" i="5"/>
  <c r="M603" i="5" s="1"/>
  <c r="E977" i="5"/>
  <c r="M977" i="5" s="1"/>
  <c r="E558" i="5"/>
  <c r="M558" i="5" s="1"/>
  <c r="G1974" i="5"/>
  <c r="M1974" i="5" s="1"/>
  <c r="H964" i="5"/>
  <c r="M964" i="5" s="1"/>
  <c r="M274" i="5"/>
  <c r="M283" i="5"/>
  <c r="M292" i="5"/>
  <c r="M200" i="5"/>
  <c r="M192" i="5"/>
  <c r="M184" i="5"/>
  <c r="AB1989" i="5"/>
  <c r="AQ734" i="5"/>
  <c r="AC530" i="5"/>
  <c r="BF398" i="5"/>
  <c r="M299" i="5"/>
  <c r="M287" i="5"/>
  <c r="M278" i="5"/>
  <c r="AC266" i="5"/>
  <c r="M276" i="5"/>
  <c r="M284" i="5"/>
  <c r="M269" i="5"/>
  <c r="M191" i="5"/>
  <c r="M183" i="5"/>
  <c r="M175" i="5"/>
  <c r="AR68" i="5"/>
  <c r="I1990" i="5"/>
  <c r="AB1992" i="5"/>
  <c r="BU35" i="5"/>
  <c r="BT37" i="5"/>
  <c r="K1987" i="5"/>
  <c r="AR431" i="5"/>
  <c r="M291" i="5"/>
  <c r="M282" i="5"/>
  <c r="BF299" i="5"/>
  <c r="M267" i="5"/>
  <c r="AC299" i="5"/>
  <c r="AC233" i="5"/>
  <c r="M280" i="5"/>
  <c r="M273" i="5"/>
  <c r="M298" i="5"/>
  <c r="M290" i="5"/>
  <c r="M198" i="5"/>
  <c r="M190" i="5"/>
  <c r="M182" i="5"/>
  <c r="M174" i="5"/>
  <c r="J1986" i="5"/>
  <c r="H1990" i="5"/>
  <c r="AB1986" i="5"/>
  <c r="AB1984" i="5"/>
  <c r="AC35" i="5"/>
  <c r="M295" i="5"/>
  <c r="BF266" i="5"/>
  <c r="BF233" i="5"/>
  <c r="M271" i="5"/>
  <c r="M197" i="5"/>
  <c r="M189" i="5"/>
  <c r="M181" i="5"/>
  <c r="M173" i="5"/>
  <c r="M168" i="5"/>
  <c r="AB1990" i="5"/>
  <c r="BF35" i="5"/>
  <c r="I1987" i="5"/>
  <c r="H1987" i="5"/>
  <c r="BF464" i="5"/>
  <c r="AR530" i="5"/>
  <c r="BF365" i="5"/>
  <c r="AC365" i="5"/>
  <c r="M285" i="5"/>
  <c r="M296" i="5"/>
  <c r="M288" i="5"/>
  <c r="M196" i="5"/>
  <c r="M188" i="5"/>
  <c r="M180" i="5"/>
  <c r="M172" i="5"/>
  <c r="AC101" i="5"/>
  <c r="E1990" i="5"/>
  <c r="BF563" i="5"/>
  <c r="AR464" i="5"/>
  <c r="AR398" i="5"/>
  <c r="AC332" i="5"/>
  <c r="M289" i="5"/>
  <c r="M275" i="5"/>
  <c r="M277" i="5"/>
  <c r="M195" i="5"/>
  <c r="M187" i="5"/>
  <c r="M179" i="5"/>
  <c r="M171" i="5"/>
  <c r="F1986" i="5"/>
  <c r="K1990" i="5"/>
  <c r="J1987" i="5"/>
  <c r="G1987" i="5"/>
  <c r="AR365" i="5"/>
  <c r="BF332" i="5"/>
  <c r="AR332" i="5"/>
  <c r="AR299" i="5"/>
  <c r="M293" i="5"/>
  <c r="M270" i="5"/>
  <c r="AR233" i="5"/>
  <c r="M272" i="5"/>
  <c r="M268" i="5"/>
  <c r="M294" i="5"/>
  <c r="M194" i="5"/>
  <c r="M186" i="5"/>
  <c r="M178" i="5"/>
  <c r="M170" i="5"/>
  <c r="AB1993" i="5"/>
  <c r="CH37" i="5"/>
  <c r="CH36" i="5"/>
  <c r="I1986" i="5"/>
  <c r="AC68" i="5"/>
  <c r="BF497" i="5"/>
  <c r="F1987" i="5"/>
  <c r="AR563" i="5"/>
  <c r="BE734" i="5"/>
  <c r="M297" i="5"/>
  <c r="M279" i="5"/>
  <c r="M281" i="5"/>
  <c r="M286" i="5"/>
  <c r="BF167" i="5"/>
  <c r="M193" i="5"/>
  <c r="M185" i="5"/>
  <c r="M177" i="5"/>
  <c r="M169" i="5"/>
  <c r="L1990" i="5"/>
  <c r="L1986" i="5"/>
  <c r="V3678" i="3"/>
  <c r="M3815" i="3"/>
  <c r="Y3767" i="3"/>
  <c r="AA3766" i="3"/>
  <c r="M3753" i="3"/>
  <c r="M3757" i="3"/>
  <c r="M3761" i="3"/>
  <c r="M3762" i="3"/>
  <c r="M3765" i="3"/>
  <c r="M3766" i="3"/>
  <c r="M3769" i="3"/>
  <c r="M3770" i="3"/>
  <c r="M3773" i="3"/>
  <c r="M3774" i="3"/>
  <c r="M3785" i="3"/>
  <c r="M3719" i="3"/>
  <c r="M3723" i="3"/>
  <c r="M3727" i="3"/>
  <c r="Z3752" i="3"/>
  <c r="M3748" i="3"/>
  <c r="M3731" i="3"/>
  <c r="M3787" i="3"/>
  <c r="V3680" i="3"/>
  <c r="M3680" i="3"/>
  <c r="Y3780" i="3"/>
  <c r="M3747" i="3"/>
  <c r="M3752" i="3"/>
  <c r="M3756" i="3"/>
  <c r="M3679" i="3"/>
  <c r="V3720" i="3"/>
  <c r="M3716" i="3"/>
  <c r="M3720" i="3"/>
  <c r="M3724" i="3"/>
  <c r="M3728" i="3"/>
  <c r="AA3793" i="3"/>
  <c r="Z3826" i="3"/>
  <c r="AA3877" i="3"/>
  <c r="M3849" i="3"/>
  <c r="W3781" i="3"/>
  <c r="AA3848" i="3"/>
  <c r="AA3852" i="3"/>
  <c r="AA3860" i="3"/>
  <c r="AA3868" i="3"/>
  <c r="AA3876" i="3"/>
  <c r="M3780" i="3"/>
  <c r="W3811" i="3"/>
  <c r="W3851" i="3"/>
  <c r="Y3853" i="3"/>
  <c r="Y3861" i="3"/>
  <c r="Y3869" i="3"/>
  <c r="Y3877" i="3"/>
  <c r="M3851" i="3"/>
  <c r="N3881" i="3" s="1"/>
  <c r="AA3853" i="3"/>
  <c r="W3854" i="3"/>
  <c r="W3862" i="3"/>
  <c r="W3870" i="3"/>
  <c r="V3815" i="3"/>
  <c r="Y3849" i="3"/>
  <c r="V3840" i="3"/>
  <c r="W3879" i="3"/>
  <c r="Y3852" i="3"/>
  <c r="AA3856" i="3"/>
  <c r="AA3864" i="3"/>
  <c r="M3782" i="3"/>
  <c r="W3878" i="3"/>
  <c r="W3858" i="3"/>
  <c r="W3866" i="3"/>
  <c r="N3847" i="3"/>
  <c r="Y3784" i="3"/>
  <c r="V3811" i="3"/>
  <c r="AA3752" i="3"/>
  <c r="AA3746" i="3"/>
  <c r="Y3747" i="3"/>
  <c r="Y3753" i="3"/>
  <c r="W3752" i="3"/>
  <c r="W3754" i="3"/>
  <c r="W3768" i="3"/>
  <c r="Y3749" i="3"/>
  <c r="M3746" i="3"/>
  <c r="W3750" i="3"/>
  <c r="M3749" i="3"/>
  <c r="V3716" i="3"/>
  <c r="V3744" i="3"/>
  <c r="V3712" i="3"/>
  <c r="N3745" i="3"/>
  <c r="Z3714" i="3"/>
  <c r="Z3718" i="3"/>
  <c r="X3743" i="3"/>
  <c r="V3724" i="3"/>
  <c r="X3715" i="3"/>
  <c r="X3719" i="3"/>
  <c r="Z3720" i="3"/>
  <c r="Z3716" i="3"/>
  <c r="Z3726" i="3"/>
  <c r="Z3712" i="3"/>
  <c r="X3727" i="3"/>
  <c r="X3713" i="3"/>
  <c r="X3717" i="3"/>
  <c r="M3678" i="3"/>
  <c r="N3711" i="3" s="1"/>
  <c r="X3685" i="3"/>
  <c r="X3683" i="3"/>
  <c r="V3682" i="3"/>
  <c r="Z3678" i="3"/>
  <c r="Z3682" i="3"/>
  <c r="V3706" i="3"/>
  <c r="M3683" i="3"/>
  <c r="Z3680" i="3"/>
  <c r="X3681" i="3"/>
  <c r="Z3684" i="3"/>
  <c r="V3686" i="3"/>
  <c r="X3709" i="3"/>
  <c r="X3708" i="3"/>
  <c r="X3710" i="3"/>
  <c r="Y3681" i="3"/>
  <c r="U3683" i="3"/>
  <c r="Y3685" i="3"/>
  <c r="U3687" i="3"/>
  <c r="Y3689" i="3"/>
  <c r="U3691" i="3"/>
  <c r="Y3693" i="3"/>
  <c r="Y3707" i="3"/>
  <c r="Y3709" i="3"/>
  <c r="X3678" i="3"/>
  <c r="V3679" i="3"/>
  <c r="T3680" i="3"/>
  <c r="Z3681" i="3"/>
  <c r="X3682" i="3"/>
  <c r="V3683" i="3"/>
  <c r="T3684" i="3"/>
  <c r="Z3685" i="3"/>
  <c r="X3686" i="3"/>
  <c r="V3687" i="3"/>
  <c r="T3688" i="3"/>
  <c r="Z3689" i="3"/>
  <c r="X3690" i="3"/>
  <c r="V3691" i="3"/>
  <c r="T3692" i="3"/>
  <c r="Z3693" i="3"/>
  <c r="X3694" i="3"/>
  <c r="V3695" i="3"/>
  <c r="T3696" i="3"/>
  <c r="Z3697" i="3"/>
  <c r="X3698" i="3"/>
  <c r="V3699" i="3"/>
  <c r="T3700" i="3"/>
  <c r="Z3701" i="3"/>
  <c r="X3702" i="3"/>
  <c r="V3703" i="3"/>
  <c r="T3704" i="3"/>
  <c r="AA3705" i="3"/>
  <c r="U3708" i="3"/>
  <c r="W3678" i="3"/>
  <c r="Z3708" i="3"/>
  <c r="Z3710" i="3"/>
  <c r="Z3709" i="3"/>
  <c r="Y3678" i="3"/>
  <c r="W3679" i="3"/>
  <c r="U3680" i="3"/>
  <c r="AA3681" i="3"/>
  <c r="Y3682" i="3"/>
  <c r="W3683" i="3"/>
  <c r="U3684" i="3"/>
  <c r="AA3685" i="3"/>
  <c r="Y3686" i="3"/>
  <c r="W3687" i="3"/>
  <c r="U3688" i="3"/>
  <c r="AA3689" i="3"/>
  <c r="Y3690" i="3"/>
  <c r="W3691" i="3"/>
  <c r="U3692" i="3"/>
  <c r="AA3693" i="3"/>
  <c r="Y3694" i="3"/>
  <c r="W3695" i="3"/>
  <c r="U3696" i="3"/>
  <c r="AA3697" i="3"/>
  <c r="Y3698" i="3"/>
  <c r="W3699" i="3"/>
  <c r="U3700" i="3"/>
  <c r="AA3701" i="3"/>
  <c r="Y3702" i="3"/>
  <c r="W3703" i="3"/>
  <c r="U3704" i="3"/>
  <c r="V3708" i="3"/>
  <c r="Y3743" i="3"/>
  <c r="X3687" i="3"/>
  <c r="V3688" i="3"/>
  <c r="T3689" i="3"/>
  <c r="Z3690" i="3"/>
  <c r="X3691" i="3"/>
  <c r="V3692" i="3"/>
  <c r="T3693" i="3"/>
  <c r="Z3694" i="3"/>
  <c r="X3695" i="3"/>
  <c r="V3696" i="3"/>
  <c r="T3697" i="3"/>
  <c r="Z3698" i="3"/>
  <c r="X3699" i="3"/>
  <c r="V3700" i="3"/>
  <c r="T3701" i="3"/>
  <c r="Z3702" i="3"/>
  <c r="X3703" i="3"/>
  <c r="V3704" i="3"/>
  <c r="T3705" i="3"/>
  <c r="Y3708" i="3"/>
  <c r="E3884" i="3"/>
  <c r="T3707" i="3"/>
  <c r="T3710" i="3"/>
  <c r="T3709" i="3"/>
  <c r="T3708" i="3"/>
  <c r="AA3678" i="3"/>
  <c r="Y3679" i="3"/>
  <c r="W3680" i="3"/>
  <c r="Y3687" i="3"/>
  <c r="U3689" i="3"/>
  <c r="Y3691" i="3"/>
  <c r="W3692" i="3"/>
  <c r="AA3694" i="3"/>
  <c r="U3697" i="3"/>
  <c r="AA3698" i="3"/>
  <c r="Y3699" i="3"/>
  <c r="W3700" i="3"/>
  <c r="U3701" i="3"/>
  <c r="Y3703" i="3"/>
  <c r="W3704" i="3"/>
  <c r="V3705" i="3"/>
  <c r="V3707" i="3"/>
  <c r="AA3742" i="3"/>
  <c r="AA3738" i="3"/>
  <c r="AA3734" i="3"/>
  <c r="AA3730" i="3"/>
  <c r="AA3726" i="3"/>
  <c r="AA3722" i="3"/>
  <c r="AA3718" i="3"/>
  <c r="AA3714" i="3"/>
  <c r="AA3741" i="3"/>
  <c r="AA3737" i="3"/>
  <c r="AA3733" i="3"/>
  <c r="AA3729" i="3"/>
  <c r="AA3725" i="3"/>
  <c r="AA3721" i="3"/>
  <c r="AA3717" i="3"/>
  <c r="AA3713" i="3"/>
  <c r="AA3744" i="3"/>
  <c r="AA3740" i="3"/>
  <c r="AA3736" i="3"/>
  <c r="AA3732" i="3"/>
  <c r="AA3728" i="3"/>
  <c r="AA3724" i="3"/>
  <c r="AA3720" i="3"/>
  <c r="AA3716" i="3"/>
  <c r="AA3712" i="3"/>
  <c r="AA3743" i="3"/>
  <c r="AA3739" i="3"/>
  <c r="AA3735" i="3"/>
  <c r="AA3731" i="3"/>
  <c r="AA3727" i="3"/>
  <c r="AA3723" i="3"/>
  <c r="AA3719" i="3"/>
  <c r="AA3715" i="3"/>
  <c r="Y3715" i="3"/>
  <c r="Y3718" i="3"/>
  <c r="Y3714" i="3"/>
  <c r="Y3717" i="3"/>
  <c r="Y3713" i="3"/>
  <c r="Y3720" i="3"/>
  <c r="Y3716" i="3"/>
  <c r="Y3712" i="3"/>
  <c r="AA3710" i="3"/>
  <c r="AA3706" i="3"/>
  <c r="AA3708" i="3"/>
  <c r="AA3682" i="3"/>
  <c r="Y3683" i="3"/>
  <c r="W3688" i="3"/>
  <c r="AA3690" i="3"/>
  <c r="U3693" i="3"/>
  <c r="Y3695" i="3"/>
  <c r="W3696" i="3"/>
  <c r="F3884" i="3"/>
  <c r="U3709" i="3"/>
  <c r="U3705" i="3"/>
  <c r="U3707" i="3"/>
  <c r="T3678" i="3"/>
  <c r="Z3679" i="3"/>
  <c r="X3680" i="3"/>
  <c r="V3681" i="3"/>
  <c r="T3682" i="3"/>
  <c r="Z3683" i="3"/>
  <c r="X3684" i="3"/>
  <c r="V3685" i="3"/>
  <c r="T3686" i="3"/>
  <c r="Z3687" i="3"/>
  <c r="X3688" i="3"/>
  <c r="V3689" i="3"/>
  <c r="T3690" i="3"/>
  <c r="Z3691" i="3"/>
  <c r="X3692" i="3"/>
  <c r="V3693" i="3"/>
  <c r="T3694" i="3"/>
  <c r="Z3695" i="3"/>
  <c r="X3696" i="3"/>
  <c r="V3697" i="3"/>
  <c r="T3698" i="3"/>
  <c r="Z3699" i="3"/>
  <c r="X3700" i="3"/>
  <c r="V3701" i="3"/>
  <c r="T3702" i="3"/>
  <c r="Z3703" i="3"/>
  <c r="X3704" i="3"/>
  <c r="W3705" i="3"/>
  <c r="W3707" i="3"/>
  <c r="W3709" i="3"/>
  <c r="U3681" i="3"/>
  <c r="W3684" i="3"/>
  <c r="U3685" i="3"/>
  <c r="AA3686" i="3"/>
  <c r="V3710" i="3"/>
  <c r="V3709" i="3"/>
  <c r="U3678" i="3"/>
  <c r="AA3679" i="3"/>
  <c r="Y3680" i="3"/>
  <c r="W3681" i="3"/>
  <c r="U3682" i="3"/>
  <c r="AA3683" i="3"/>
  <c r="W3685" i="3"/>
  <c r="U3686" i="3"/>
  <c r="AA3687" i="3"/>
  <c r="Y3688" i="3"/>
  <c r="W3689" i="3"/>
  <c r="U3690" i="3"/>
  <c r="AA3691" i="3"/>
  <c r="Y3692" i="3"/>
  <c r="W3693" i="3"/>
  <c r="U3694" i="3"/>
  <c r="AA3695" i="3"/>
  <c r="Y3696" i="3"/>
  <c r="W3697" i="3"/>
  <c r="U3698" i="3"/>
  <c r="AA3699" i="3"/>
  <c r="Y3700" i="3"/>
  <c r="W3701" i="3"/>
  <c r="U3702" i="3"/>
  <c r="AA3703" i="3"/>
  <c r="Y3704" i="3"/>
  <c r="X3705" i="3"/>
  <c r="X3707" i="3"/>
  <c r="AA3709" i="3"/>
  <c r="U3741" i="3"/>
  <c r="T3683" i="3"/>
  <c r="Z3688" i="3"/>
  <c r="X3689" i="3"/>
  <c r="V3690" i="3"/>
  <c r="T3691" i="3"/>
  <c r="Z3692" i="3"/>
  <c r="X3693" i="3"/>
  <c r="V3694" i="3"/>
  <c r="T3695" i="3"/>
  <c r="Z3696" i="3"/>
  <c r="X3697" i="3"/>
  <c r="V3698" i="3"/>
  <c r="T3699" i="3"/>
  <c r="Z3700" i="3"/>
  <c r="X3701" i="3"/>
  <c r="V3702" i="3"/>
  <c r="T3703" i="3"/>
  <c r="Z3704" i="3"/>
  <c r="Y3705" i="3"/>
  <c r="X3706" i="3"/>
  <c r="Z3707" i="3"/>
  <c r="U3710" i="3"/>
  <c r="W3708" i="3"/>
  <c r="W3710" i="3"/>
  <c r="T3679" i="3"/>
  <c r="T3687" i="3"/>
  <c r="AA3680" i="3"/>
  <c r="W3682" i="3"/>
  <c r="AA3684" i="3"/>
  <c r="W3686" i="3"/>
  <c r="AA3688" i="3"/>
  <c r="W3690" i="3"/>
  <c r="AA3692" i="3"/>
  <c r="W3694" i="3"/>
  <c r="U3695" i="3"/>
  <c r="AA3696" i="3"/>
  <c r="Y3697" i="3"/>
  <c r="W3698" i="3"/>
  <c r="U3699" i="3"/>
  <c r="AA3700" i="3"/>
  <c r="Y3701" i="3"/>
  <c r="W3702" i="3"/>
  <c r="U3703" i="3"/>
  <c r="AA3704" i="3"/>
  <c r="Z3705" i="3"/>
  <c r="Y3706" i="3"/>
  <c r="AA3707" i="3"/>
  <c r="Y3710" i="3"/>
  <c r="W3744" i="3"/>
  <c r="W3740" i="3"/>
  <c r="W3736" i="3"/>
  <c r="W3732" i="3"/>
  <c r="W3728" i="3"/>
  <c r="W3724" i="3"/>
  <c r="W3720" i="3"/>
  <c r="W3716" i="3"/>
  <c r="W3712" i="3"/>
  <c r="W3743" i="3"/>
  <c r="W3739" i="3"/>
  <c r="W3735" i="3"/>
  <c r="W3731" i="3"/>
  <c r="W3727" i="3"/>
  <c r="W3723" i="3"/>
  <c r="W3719" i="3"/>
  <c r="W3715" i="3"/>
  <c r="W3742" i="3"/>
  <c r="W3738" i="3"/>
  <c r="W3734" i="3"/>
  <c r="W3730" i="3"/>
  <c r="W3726" i="3"/>
  <c r="W3722" i="3"/>
  <c r="W3718" i="3"/>
  <c r="W3714" i="3"/>
  <c r="W3741" i="3"/>
  <c r="W3737" i="3"/>
  <c r="W3733" i="3"/>
  <c r="W3729" i="3"/>
  <c r="W3725" i="3"/>
  <c r="W3721" i="3"/>
  <c r="W3717" i="3"/>
  <c r="W3713" i="3"/>
  <c r="U3717" i="3"/>
  <c r="U3713" i="3"/>
  <c r="U3716" i="3"/>
  <c r="U3712" i="3"/>
  <c r="U3719" i="3"/>
  <c r="U3715" i="3"/>
  <c r="U3718" i="3"/>
  <c r="U3714" i="3"/>
  <c r="X3712" i="3"/>
  <c r="V3713" i="3"/>
  <c r="T3714" i="3"/>
  <c r="Z3715" i="3"/>
  <c r="X3716" i="3"/>
  <c r="V3717" i="3"/>
  <c r="T3718" i="3"/>
  <c r="Z3719" i="3"/>
  <c r="X3720" i="3"/>
  <c r="V3721" i="3"/>
  <c r="T3722" i="3"/>
  <c r="Z3723" i="3"/>
  <c r="X3724" i="3"/>
  <c r="V3725" i="3"/>
  <c r="T3726" i="3"/>
  <c r="Z3727" i="3"/>
  <c r="X3728" i="3"/>
  <c r="V3729" i="3"/>
  <c r="T3730" i="3"/>
  <c r="Z3731" i="3"/>
  <c r="X3732" i="3"/>
  <c r="V3733" i="3"/>
  <c r="T3734" i="3"/>
  <c r="Z3735" i="3"/>
  <c r="X3736" i="3"/>
  <c r="V3737" i="3"/>
  <c r="T3738" i="3"/>
  <c r="Z3739" i="3"/>
  <c r="X3740" i="3"/>
  <c r="V3741" i="3"/>
  <c r="T3742" i="3"/>
  <c r="Z3743" i="3"/>
  <c r="X3744" i="3"/>
  <c r="Z3775" i="3"/>
  <c r="Z3778" i="3"/>
  <c r="Z3774" i="3"/>
  <c r="Z3777" i="3"/>
  <c r="Z3776" i="3"/>
  <c r="Y3746" i="3"/>
  <c r="W3747" i="3"/>
  <c r="U3748" i="3"/>
  <c r="AA3749" i="3"/>
  <c r="Y3750" i="3"/>
  <c r="W3751" i="3"/>
  <c r="U3752" i="3"/>
  <c r="AA3753" i="3"/>
  <c r="Y3754" i="3"/>
  <c r="W3755" i="3"/>
  <c r="U3756" i="3"/>
  <c r="AA3757" i="3"/>
  <c r="Y3758" i="3"/>
  <c r="W3759" i="3"/>
  <c r="U3760" i="3"/>
  <c r="AA3761" i="3"/>
  <c r="Y3762" i="3"/>
  <c r="W3763" i="3"/>
  <c r="U3764" i="3"/>
  <c r="AA3765" i="3"/>
  <c r="T3771" i="3"/>
  <c r="T3772" i="3"/>
  <c r="U3773" i="3"/>
  <c r="V3774" i="3"/>
  <c r="Y3775" i="3"/>
  <c r="U3722" i="3"/>
  <c r="Y3724" i="3"/>
  <c r="U3726" i="3"/>
  <c r="Y3728" i="3"/>
  <c r="U3730" i="3"/>
  <c r="Y3732" i="3"/>
  <c r="U3734" i="3"/>
  <c r="Y3736" i="3"/>
  <c r="U3738" i="3"/>
  <c r="Y3740" i="3"/>
  <c r="U3742" i="3"/>
  <c r="Y3744" i="3"/>
  <c r="AA3778" i="3"/>
  <c r="AA3777" i="3"/>
  <c r="AA3773" i="3"/>
  <c r="AA3769" i="3"/>
  <c r="AA3776" i="3"/>
  <c r="AA3775" i="3"/>
  <c r="AA3771" i="3"/>
  <c r="AA3767" i="3"/>
  <c r="Z3746" i="3"/>
  <c r="X3747" i="3"/>
  <c r="V3748" i="3"/>
  <c r="T3749" i="3"/>
  <c r="Z3750" i="3"/>
  <c r="X3751" i="3"/>
  <c r="V3752" i="3"/>
  <c r="T3753" i="3"/>
  <c r="Z3754" i="3"/>
  <c r="X3755" i="3"/>
  <c r="V3756" i="3"/>
  <c r="T3757" i="3"/>
  <c r="Z3758" i="3"/>
  <c r="X3759" i="3"/>
  <c r="V3760" i="3"/>
  <c r="T3761" i="3"/>
  <c r="Z3762" i="3"/>
  <c r="X3763" i="3"/>
  <c r="V3764" i="3"/>
  <c r="T3765" i="3"/>
  <c r="T3769" i="3"/>
  <c r="U3771" i="3"/>
  <c r="V3772" i="3"/>
  <c r="V3773" i="3"/>
  <c r="W3774" i="3"/>
  <c r="V3722" i="3"/>
  <c r="T3723" i="3"/>
  <c r="Z3724" i="3"/>
  <c r="X3725" i="3"/>
  <c r="V3726" i="3"/>
  <c r="T3727" i="3"/>
  <c r="Z3728" i="3"/>
  <c r="X3729" i="3"/>
  <c r="V3730" i="3"/>
  <c r="T3731" i="3"/>
  <c r="Z3732" i="3"/>
  <c r="X3733" i="3"/>
  <c r="V3734" i="3"/>
  <c r="T3735" i="3"/>
  <c r="Z3736" i="3"/>
  <c r="X3737" i="3"/>
  <c r="V3738" i="3"/>
  <c r="T3739" i="3"/>
  <c r="Z3740" i="3"/>
  <c r="X3741" i="3"/>
  <c r="V3742" i="3"/>
  <c r="T3743" i="3"/>
  <c r="Z3744" i="3"/>
  <c r="T3778" i="3"/>
  <c r="T3777" i="3"/>
  <c r="Y3751" i="3"/>
  <c r="AA3754" i="3"/>
  <c r="Y3755" i="3"/>
  <c r="W3756" i="3"/>
  <c r="U3757" i="3"/>
  <c r="AA3758" i="3"/>
  <c r="Y3759" i="3"/>
  <c r="W3760" i="3"/>
  <c r="U3761" i="3"/>
  <c r="AA3762" i="3"/>
  <c r="Y3763" i="3"/>
  <c r="W3764" i="3"/>
  <c r="U3765" i="3"/>
  <c r="T3767" i="3"/>
  <c r="T3768" i="3"/>
  <c r="V3770" i="3"/>
  <c r="V3771" i="3"/>
  <c r="W3772" i="3"/>
  <c r="X3773" i="3"/>
  <c r="X3774" i="3"/>
  <c r="T3776" i="3"/>
  <c r="Y3721" i="3"/>
  <c r="U3723" i="3"/>
  <c r="Y3725" i="3"/>
  <c r="U3727" i="3"/>
  <c r="Y3729" i="3"/>
  <c r="U3731" i="3"/>
  <c r="Y3733" i="3"/>
  <c r="U3735" i="3"/>
  <c r="Y3737" i="3"/>
  <c r="U3739" i="3"/>
  <c r="Y3741" i="3"/>
  <c r="U3743" i="3"/>
  <c r="U3777" i="3"/>
  <c r="U3776" i="3"/>
  <c r="U3772" i="3"/>
  <c r="U3768" i="3"/>
  <c r="U3778" i="3"/>
  <c r="U3774" i="3"/>
  <c r="U3770" i="3"/>
  <c r="U3766" i="3"/>
  <c r="T3746" i="3"/>
  <c r="Z3747" i="3"/>
  <c r="X3748" i="3"/>
  <c r="V3749" i="3"/>
  <c r="T3750" i="3"/>
  <c r="Z3751" i="3"/>
  <c r="X3752" i="3"/>
  <c r="V3753" i="3"/>
  <c r="T3754" i="3"/>
  <c r="Z3755" i="3"/>
  <c r="X3756" i="3"/>
  <c r="V3757" i="3"/>
  <c r="T3758" i="3"/>
  <c r="Z3759" i="3"/>
  <c r="X3760" i="3"/>
  <c r="V3761" i="3"/>
  <c r="T3762" i="3"/>
  <c r="Z3763" i="3"/>
  <c r="X3764" i="3"/>
  <c r="V3765" i="3"/>
  <c r="T3766" i="3"/>
  <c r="U3767" i="3"/>
  <c r="V3768" i="3"/>
  <c r="W3770" i="3"/>
  <c r="X3771" i="3"/>
  <c r="X3772" i="3"/>
  <c r="Y3773" i="3"/>
  <c r="AA3774" i="3"/>
  <c r="T3712" i="3"/>
  <c r="Z3713" i="3"/>
  <c r="X3714" i="3"/>
  <c r="V3715" i="3"/>
  <c r="T3716" i="3"/>
  <c r="Z3717" i="3"/>
  <c r="X3718" i="3"/>
  <c r="V3719" i="3"/>
  <c r="T3720" i="3"/>
  <c r="Z3721" i="3"/>
  <c r="X3722" i="3"/>
  <c r="V3723" i="3"/>
  <c r="T3724" i="3"/>
  <c r="Z3725" i="3"/>
  <c r="X3726" i="3"/>
  <c r="V3727" i="3"/>
  <c r="T3728" i="3"/>
  <c r="Z3729" i="3"/>
  <c r="X3730" i="3"/>
  <c r="V3731" i="3"/>
  <c r="T3732" i="3"/>
  <c r="Z3733" i="3"/>
  <c r="X3734" i="3"/>
  <c r="V3735" i="3"/>
  <c r="T3736" i="3"/>
  <c r="Z3737" i="3"/>
  <c r="X3738" i="3"/>
  <c r="V3739" i="3"/>
  <c r="T3740" i="3"/>
  <c r="Z3741" i="3"/>
  <c r="X3742" i="3"/>
  <c r="V3743" i="3"/>
  <c r="T3744" i="3"/>
  <c r="V3777" i="3"/>
  <c r="V3776" i="3"/>
  <c r="V3778" i="3"/>
  <c r="U3746" i="3"/>
  <c r="AA3747" i="3"/>
  <c r="Y3748" i="3"/>
  <c r="W3749" i="3"/>
  <c r="U3750" i="3"/>
  <c r="AA3751" i="3"/>
  <c r="Y3752" i="3"/>
  <c r="W3753" i="3"/>
  <c r="U3754" i="3"/>
  <c r="AA3755" i="3"/>
  <c r="Y3756" i="3"/>
  <c r="W3757" i="3"/>
  <c r="U3758" i="3"/>
  <c r="AA3759" i="3"/>
  <c r="Y3760" i="3"/>
  <c r="W3761" i="3"/>
  <c r="U3762" i="3"/>
  <c r="AA3763" i="3"/>
  <c r="Y3764" i="3"/>
  <c r="W3765" i="3"/>
  <c r="V3766" i="3"/>
  <c r="V3767" i="3"/>
  <c r="X3769" i="3"/>
  <c r="X3770" i="3"/>
  <c r="Y3771" i="3"/>
  <c r="Z3772" i="3"/>
  <c r="Z3773" i="3"/>
  <c r="U3720" i="3"/>
  <c r="Y3722" i="3"/>
  <c r="U3724" i="3"/>
  <c r="Y3726" i="3"/>
  <c r="U3728" i="3"/>
  <c r="Y3730" i="3"/>
  <c r="U3732" i="3"/>
  <c r="Y3734" i="3"/>
  <c r="U3736" i="3"/>
  <c r="Y3738" i="3"/>
  <c r="U3740" i="3"/>
  <c r="Y3742" i="3"/>
  <c r="U3744" i="3"/>
  <c r="W3776" i="3"/>
  <c r="W3775" i="3"/>
  <c r="W3771" i="3"/>
  <c r="W3767" i="3"/>
  <c r="W3778" i="3"/>
  <c r="W3777" i="3"/>
  <c r="W3773" i="3"/>
  <c r="W3769" i="3"/>
  <c r="V3746" i="3"/>
  <c r="T3747" i="3"/>
  <c r="AB3747" i="3" s="1"/>
  <c r="Z3748" i="3"/>
  <c r="X3749" i="3"/>
  <c r="V3750" i="3"/>
  <c r="T3751" i="3"/>
  <c r="X3753" i="3"/>
  <c r="V3754" i="3"/>
  <c r="T3755" i="3"/>
  <c r="Z3756" i="3"/>
  <c r="X3757" i="3"/>
  <c r="V3758" i="3"/>
  <c r="T3759" i="3"/>
  <c r="Z3760" i="3"/>
  <c r="X3761" i="3"/>
  <c r="V3762" i="3"/>
  <c r="T3763" i="3"/>
  <c r="Z3764" i="3"/>
  <c r="X3765" i="3"/>
  <c r="W3766" i="3"/>
  <c r="X3767" i="3"/>
  <c r="Y3769" i="3"/>
  <c r="Z3770" i="3"/>
  <c r="Z3771" i="3"/>
  <c r="AA3772" i="3"/>
  <c r="T3775" i="3"/>
  <c r="V3728" i="3"/>
  <c r="T3729" i="3"/>
  <c r="Z3730" i="3"/>
  <c r="X3731" i="3"/>
  <c r="V3732" i="3"/>
  <c r="T3733" i="3"/>
  <c r="Z3734" i="3"/>
  <c r="X3735" i="3"/>
  <c r="V3736" i="3"/>
  <c r="T3737" i="3"/>
  <c r="Z3738" i="3"/>
  <c r="X3739" i="3"/>
  <c r="V3740" i="3"/>
  <c r="X3776" i="3"/>
  <c r="X3775" i="3"/>
  <c r="X3778" i="3"/>
  <c r="X3777" i="3"/>
  <c r="AA3756" i="3"/>
  <c r="W3758" i="3"/>
  <c r="U3759" i="3"/>
  <c r="AA3760" i="3"/>
  <c r="Y3761" i="3"/>
  <c r="W3762" i="3"/>
  <c r="U3763" i="3"/>
  <c r="AA3764" i="3"/>
  <c r="Y3765" i="3"/>
  <c r="X3766" i="3"/>
  <c r="Z3768" i="3"/>
  <c r="Z3769" i="3"/>
  <c r="AA3770" i="3"/>
  <c r="U3775" i="3"/>
  <c r="Y3719" i="3"/>
  <c r="U3721" i="3"/>
  <c r="Y3723" i="3"/>
  <c r="U3725" i="3"/>
  <c r="Y3727" i="3"/>
  <c r="U3729" i="3"/>
  <c r="Y3731" i="3"/>
  <c r="U3733" i="3"/>
  <c r="Y3735" i="3"/>
  <c r="U3737" i="3"/>
  <c r="Y3739" i="3"/>
  <c r="Y3778" i="3"/>
  <c r="Y3774" i="3"/>
  <c r="Y3770" i="3"/>
  <c r="Y3766" i="3"/>
  <c r="Y3777" i="3"/>
  <c r="Y3776" i="3"/>
  <c r="Y3772" i="3"/>
  <c r="Y3768" i="3"/>
  <c r="X3746" i="3"/>
  <c r="T3748" i="3"/>
  <c r="Z3749" i="3"/>
  <c r="X3750" i="3"/>
  <c r="V3751" i="3"/>
  <c r="T3752" i="3"/>
  <c r="Z3753" i="3"/>
  <c r="X3754" i="3"/>
  <c r="V3755" i="3"/>
  <c r="T3756" i="3"/>
  <c r="Z3757" i="3"/>
  <c r="X3758" i="3"/>
  <c r="V3759" i="3"/>
  <c r="T3760" i="3"/>
  <c r="Z3761" i="3"/>
  <c r="X3762" i="3"/>
  <c r="V3763" i="3"/>
  <c r="T3764" i="3"/>
  <c r="Z3765" i="3"/>
  <c r="Z3766" i="3"/>
  <c r="Z3767" i="3"/>
  <c r="AA3768" i="3"/>
  <c r="T3773" i="3"/>
  <c r="T3774" i="3"/>
  <c r="AB3774" i="3" s="1"/>
  <c r="V3775" i="3"/>
  <c r="V3780" i="3"/>
  <c r="T3781" i="3"/>
  <c r="Z3782" i="3"/>
  <c r="X3783" i="3"/>
  <c r="V3784" i="3"/>
  <c r="T3785" i="3"/>
  <c r="Z3786" i="3"/>
  <c r="X3787" i="3"/>
  <c r="V3788" i="3"/>
  <c r="T3789" i="3"/>
  <c r="Z3790" i="3"/>
  <c r="X3791" i="3"/>
  <c r="V3792" i="3"/>
  <c r="T3793" i="3"/>
  <c r="Z3794" i="3"/>
  <c r="X3795" i="3"/>
  <c r="V3796" i="3"/>
  <c r="T3797" i="3"/>
  <c r="Z3798" i="3"/>
  <c r="X3799" i="3"/>
  <c r="V3800" i="3"/>
  <c r="T3801" i="3"/>
  <c r="Z3802" i="3"/>
  <c r="X3803" i="3"/>
  <c r="V3804" i="3"/>
  <c r="T3805" i="3"/>
  <c r="Z3806" i="3"/>
  <c r="X3807" i="3"/>
  <c r="V3808" i="3"/>
  <c r="T3809" i="3"/>
  <c r="Z3810" i="3"/>
  <c r="X3811" i="3"/>
  <c r="V3812" i="3"/>
  <c r="X3844" i="3"/>
  <c r="X3840" i="3"/>
  <c r="X3836" i="3"/>
  <c r="X3832" i="3"/>
  <c r="X3828" i="3"/>
  <c r="X3824" i="3"/>
  <c r="X3846" i="3"/>
  <c r="X3842" i="3"/>
  <c r="X3838" i="3"/>
  <c r="X3834" i="3"/>
  <c r="X3830" i="3"/>
  <c r="X3845" i="3"/>
  <c r="X3841" i="3"/>
  <c r="X3837" i="3"/>
  <c r="X3833" i="3"/>
  <c r="X3829" i="3"/>
  <c r="X3825" i="3"/>
  <c r="X3821" i="3"/>
  <c r="X3817" i="3"/>
  <c r="X3814" i="3"/>
  <c r="W3815" i="3"/>
  <c r="V3816" i="3"/>
  <c r="Y3817" i="3"/>
  <c r="AA3818" i="3"/>
  <c r="T3820" i="3"/>
  <c r="U3823" i="3"/>
  <c r="AA3824" i="3"/>
  <c r="X3826" i="3"/>
  <c r="T3829" i="3"/>
  <c r="V3832" i="3"/>
  <c r="X3835" i="3"/>
  <c r="Z3838" i="3"/>
  <c r="T3880" i="3"/>
  <c r="T3876" i="3"/>
  <c r="T3872" i="3"/>
  <c r="T3868" i="3"/>
  <c r="T3864" i="3"/>
  <c r="T3860" i="3"/>
  <c r="T3856" i="3"/>
  <c r="T3852" i="3"/>
  <c r="T3848" i="3"/>
  <c r="T3879" i="3"/>
  <c r="T3875" i="3"/>
  <c r="T3871" i="3"/>
  <c r="T3867" i="3"/>
  <c r="T3863" i="3"/>
  <c r="T3859" i="3"/>
  <c r="T3855" i="3"/>
  <c r="T3851" i="3"/>
  <c r="T3878" i="3"/>
  <c r="T3874" i="3"/>
  <c r="T3870" i="3"/>
  <c r="T3866" i="3"/>
  <c r="T3862" i="3"/>
  <c r="T3858" i="3"/>
  <c r="T3854" i="3"/>
  <c r="T3850" i="3"/>
  <c r="T3877" i="3"/>
  <c r="T3873" i="3"/>
  <c r="T3869" i="3"/>
  <c r="T3865" i="3"/>
  <c r="T3861" i="3"/>
  <c r="T3857" i="3"/>
  <c r="T3853" i="3"/>
  <c r="T3849" i="3"/>
  <c r="Z3873" i="3"/>
  <c r="Z3869" i="3"/>
  <c r="Z3865" i="3"/>
  <c r="Z3861" i="3"/>
  <c r="Z3857" i="3"/>
  <c r="Z3853" i="3"/>
  <c r="Z3849" i="3"/>
  <c r="U3781" i="3"/>
  <c r="AA3782" i="3"/>
  <c r="Y3783" i="3"/>
  <c r="W3784" i="3"/>
  <c r="U3785" i="3"/>
  <c r="AA3786" i="3"/>
  <c r="Y3787" i="3"/>
  <c r="W3788" i="3"/>
  <c r="U3789" i="3"/>
  <c r="AA3790" i="3"/>
  <c r="Y3791" i="3"/>
  <c r="W3792" i="3"/>
  <c r="U3793" i="3"/>
  <c r="AA3794" i="3"/>
  <c r="Y3795" i="3"/>
  <c r="W3796" i="3"/>
  <c r="U3797" i="3"/>
  <c r="AA3798" i="3"/>
  <c r="Y3799" i="3"/>
  <c r="W3800" i="3"/>
  <c r="U3801" i="3"/>
  <c r="AA3802" i="3"/>
  <c r="Y3803" i="3"/>
  <c r="W3804" i="3"/>
  <c r="U3805" i="3"/>
  <c r="AA3806" i="3"/>
  <c r="Y3807" i="3"/>
  <c r="W3808" i="3"/>
  <c r="U3809" i="3"/>
  <c r="AA3810" i="3"/>
  <c r="Y3811" i="3"/>
  <c r="W3812" i="3"/>
  <c r="Y3846" i="3"/>
  <c r="Y3842" i="3"/>
  <c r="Y3838" i="3"/>
  <c r="Y3834" i="3"/>
  <c r="Y3830" i="3"/>
  <c r="Y3826" i="3"/>
  <c r="Y3822" i="3"/>
  <c r="Y3818" i="3"/>
  <c r="Y3845" i="3"/>
  <c r="Y3841" i="3"/>
  <c r="Y3837" i="3"/>
  <c r="Y3833" i="3"/>
  <c r="Y3829" i="3"/>
  <c r="Y3844" i="3"/>
  <c r="Y3840" i="3"/>
  <c r="Y3836" i="3"/>
  <c r="Y3832" i="3"/>
  <c r="Y3828" i="3"/>
  <c r="Y3824" i="3"/>
  <c r="Y3820" i="3"/>
  <c r="Y3816" i="3"/>
  <c r="Y3814" i="3"/>
  <c r="X3815" i="3"/>
  <c r="W3816" i="3"/>
  <c r="Z3817" i="3"/>
  <c r="V3820" i="3"/>
  <c r="Z3821" i="3"/>
  <c r="V3823" i="3"/>
  <c r="U3829" i="3"/>
  <c r="W3832" i="3"/>
  <c r="Y3835" i="3"/>
  <c r="AA3838" i="3"/>
  <c r="U3845" i="3"/>
  <c r="X3780" i="3"/>
  <c r="V3781" i="3"/>
  <c r="T3782" i="3"/>
  <c r="Z3783" i="3"/>
  <c r="X3784" i="3"/>
  <c r="V3785" i="3"/>
  <c r="T3786" i="3"/>
  <c r="Z3787" i="3"/>
  <c r="X3788" i="3"/>
  <c r="V3789" i="3"/>
  <c r="T3790" i="3"/>
  <c r="Z3791" i="3"/>
  <c r="X3792" i="3"/>
  <c r="V3793" i="3"/>
  <c r="T3794" i="3"/>
  <c r="Z3795" i="3"/>
  <c r="X3796" i="3"/>
  <c r="V3797" i="3"/>
  <c r="T3798" i="3"/>
  <c r="Z3799" i="3"/>
  <c r="X3800" i="3"/>
  <c r="V3801" i="3"/>
  <c r="T3802" i="3"/>
  <c r="Z3803" i="3"/>
  <c r="X3804" i="3"/>
  <c r="V3805" i="3"/>
  <c r="T3806" i="3"/>
  <c r="Z3807" i="3"/>
  <c r="X3808" i="3"/>
  <c r="V3809" i="3"/>
  <c r="T3810" i="3"/>
  <c r="Z3811" i="3"/>
  <c r="X3812" i="3"/>
  <c r="Z3843" i="3"/>
  <c r="Z3839" i="3"/>
  <c r="Z3835" i="3"/>
  <c r="Z3831" i="3"/>
  <c r="Z3827" i="3"/>
  <c r="Z3823" i="3"/>
  <c r="Z3845" i="3"/>
  <c r="Z3841" i="3"/>
  <c r="Z3837" i="3"/>
  <c r="Z3833" i="3"/>
  <c r="Z3829" i="3"/>
  <c r="Z3844" i="3"/>
  <c r="Z3840" i="3"/>
  <c r="Z3836" i="3"/>
  <c r="Z3832" i="3"/>
  <c r="Z3828" i="3"/>
  <c r="Z3824" i="3"/>
  <c r="Z3820" i="3"/>
  <c r="Z3816" i="3"/>
  <c r="Z3814" i="3"/>
  <c r="Y3815" i="3"/>
  <c r="X3816" i="3"/>
  <c r="U3819" i="3"/>
  <c r="W3820" i="3"/>
  <c r="X3823" i="3"/>
  <c r="T3825" i="3"/>
  <c r="T3833" i="3"/>
  <c r="V3836" i="3"/>
  <c r="X3839" i="3"/>
  <c r="Z3842" i="3"/>
  <c r="V3879" i="3"/>
  <c r="U3782" i="3"/>
  <c r="AA3783" i="3"/>
  <c r="W3785" i="3"/>
  <c r="U3786" i="3"/>
  <c r="AA3787" i="3"/>
  <c r="Y3788" i="3"/>
  <c r="W3789" i="3"/>
  <c r="U3790" i="3"/>
  <c r="AA3791" i="3"/>
  <c r="Y3792" i="3"/>
  <c r="W3793" i="3"/>
  <c r="U3794" i="3"/>
  <c r="AA3795" i="3"/>
  <c r="Y3796" i="3"/>
  <c r="W3797" i="3"/>
  <c r="U3798" i="3"/>
  <c r="AA3799" i="3"/>
  <c r="Y3800" i="3"/>
  <c r="W3801" i="3"/>
  <c r="U3802" i="3"/>
  <c r="AA3803" i="3"/>
  <c r="Y3804" i="3"/>
  <c r="W3805" i="3"/>
  <c r="U3806" i="3"/>
  <c r="AA3807" i="3"/>
  <c r="Y3808" i="3"/>
  <c r="W3809" i="3"/>
  <c r="U3810" i="3"/>
  <c r="AA3811" i="3"/>
  <c r="Y3812" i="3"/>
  <c r="AA3845" i="3"/>
  <c r="AA3841" i="3"/>
  <c r="AA3837" i="3"/>
  <c r="AA3833" i="3"/>
  <c r="AA3829" i="3"/>
  <c r="AA3825" i="3"/>
  <c r="AA3821" i="3"/>
  <c r="AA3817" i="3"/>
  <c r="AA3844" i="3"/>
  <c r="AA3840" i="3"/>
  <c r="AA3836" i="3"/>
  <c r="AA3832" i="3"/>
  <c r="AA3828" i="3"/>
  <c r="AA3843" i="3"/>
  <c r="AA3839" i="3"/>
  <c r="AA3835" i="3"/>
  <c r="AA3831" i="3"/>
  <c r="AA3827" i="3"/>
  <c r="AA3823" i="3"/>
  <c r="AA3819" i="3"/>
  <c r="AA3814" i="3"/>
  <c r="AA3816" i="3"/>
  <c r="V3819" i="3"/>
  <c r="X3820" i="3"/>
  <c r="Y3823" i="3"/>
  <c r="U3825" i="3"/>
  <c r="V3827" i="3"/>
  <c r="W3836" i="3"/>
  <c r="Y3839" i="3"/>
  <c r="AA3842" i="3"/>
  <c r="Z3780" i="3"/>
  <c r="X3781" i="3"/>
  <c r="V3782" i="3"/>
  <c r="T3783" i="3"/>
  <c r="Z3784" i="3"/>
  <c r="X3785" i="3"/>
  <c r="V3786" i="3"/>
  <c r="T3787" i="3"/>
  <c r="Z3788" i="3"/>
  <c r="X3789" i="3"/>
  <c r="V3790" i="3"/>
  <c r="T3791" i="3"/>
  <c r="Z3792" i="3"/>
  <c r="X3793" i="3"/>
  <c r="V3794" i="3"/>
  <c r="T3795" i="3"/>
  <c r="Z3796" i="3"/>
  <c r="X3797" i="3"/>
  <c r="V3798" i="3"/>
  <c r="T3799" i="3"/>
  <c r="Z3800" i="3"/>
  <c r="X3801" i="3"/>
  <c r="V3802" i="3"/>
  <c r="T3803" i="3"/>
  <c r="Z3804" i="3"/>
  <c r="X3805" i="3"/>
  <c r="V3806" i="3"/>
  <c r="T3807" i="3"/>
  <c r="Z3808" i="3"/>
  <c r="X3809" i="3"/>
  <c r="V3810" i="3"/>
  <c r="T3811" i="3"/>
  <c r="Z3812" i="3"/>
  <c r="T3846" i="3"/>
  <c r="T3842" i="3"/>
  <c r="T3838" i="3"/>
  <c r="T3834" i="3"/>
  <c r="T3830" i="3"/>
  <c r="T3826" i="3"/>
  <c r="T3822" i="3"/>
  <c r="T3844" i="3"/>
  <c r="T3840" i="3"/>
  <c r="T3836" i="3"/>
  <c r="T3832" i="3"/>
  <c r="T3828" i="3"/>
  <c r="T3843" i="3"/>
  <c r="T3839" i="3"/>
  <c r="T3835" i="3"/>
  <c r="T3831" i="3"/>
  <c r="T3827" i="3"/>
  <c r="T3823" i="3"/>
  <c r="T3819" i="3"/>
  <c r="T3815" i="3"/>
  <c r="AA3815" i="3"/>
  <c r="T3818" i="3"/>
  <c r="X3819" i="3"/>
  <c r="AA3820" i="3"/>
  <c r="W3822" i="3"/>
  <c r="Y3825" i="3"/>
  <c r="X3827" i="3"/>
  <c r="Z3830" i="3"/>
  <c r="T3837" i="3"/>
  <c r="X3843" i="3"/>
  <c r="Z3846" i="3"/>
  <c r="X3878" i="3"/>
  <c r="AA3780" i="3"/>
  <c r="Y3781" i="3"/>
  <c r="W3782" i="3"/>
  <c r="U3783" i="3"/>
  <c r="AA3784" i="3"/>
  <c r="Y3785" i="3"/>
  <c r="W3786" i="3"/>
  <c r="U3787" i="3"/>
  <c r="AA3788" i="3"/>
  <c r="Y3789" i="3"/>
  <c r="W3790" i="3"/>
  <c r="U3791" i="3"/>
  <c r="AA3792" i="3"/>
  <c r="Y3793" i="3"/>
  <c r="W3794" i="3"/>
  <c r="U3795" i="3"/>
  <c r="AA3796" i="3"/>
  <c r="Y3797" i="3"/>
  <c r="W3798" i="3"/>
  <c r="U3799" i="3"/>
  <c r="AA3800" i="3"/>
  <c r="Y3801" i="3"/>
  <c r="W3802" i="3"/>
  <c r="U3803" i="3"/>
  <c r="AA3804" i="3"/>
  <c r="Y3805" i="3"/>
  <c r="W3806" i="3"/>
  <c r="U3807" i="3"/>
  <c r="AA3808" i="3"/>
  <c r="Y3809" i="3"/>
  <c r="W3810" i="3"/>
  <c r="U3811" i="3"/>
  <c r="AA3812" i="3"/>
  <c r="U3844" i="3"/>
  <c r="U3840" i="3"/>
  <c r="U3836" i="3"/>
  <c r="U3832" i="3"/>
  <c r="U3828" i="3"/>
  <c r="U3824" i="3"/>
  <c r="U3820" i="3"/>
  <c r="U3843" i="3"/>
  <c r="U3839" i="3"/>
  <c r="U3835" i="3"/>
  <c r="U3831" i="3"/>
  <c r="U3827" i="3"/>
  <c r="U3846" i="3"/>
  <c r="U3842" i="3"/>
  <c r="U3838" i="3"/>
  <c r="U3834" i="3"/>
  <c r="U3830" i="3"/>
  <c r="U3826" i="3"/>
  <c r="U3822" i="3"/>
  <c r="U3818" i="3"/>
  <c r="T3814" i="3"/>
  <c r="T3817" i="3"/>
  <c r="W3818" i="3"/>
  <c r="Y3819" i="3"/>
  <c r="X3822" i="3"/>
  <c r="T3824" i="3"/>
  <c r="Z3825" i="3"/>
  <c r="Y3827" i="3"/>
  <c r="AA3830" i="3"/>
  <c r="U3837" i="3"/>
  <c r="Y3843" i="3"/>
  <c r="AA3846" i="3"/>
  <c r="V3875" i="3"/>
  <c r="Z3781" i="3"/>
  <c r="X3782" i="3"/>
  <c r="V3783" i="3"/>
  <c r="T3784" i="3"/>
  <c r="Z3785" i="3"/>
  <c r="X3786" i="3"/>
  <c r="V3787" i="3"/>
  <c r="T3788" i="3"/>
  <c r="Z3789" i="3"/>
  <c r="X3790" i="3"/>
  <c r="V3791" i="3"/>
  <c r="T3792" i="3"/>
  <c r="Z3793" i="3"/>
  <c r="X3794" i="3"/>
  <c r="V3795" i="3"/>
  <c r="T3796" i="3"/>
  <c r="Z3797" i="3"/>
  <c r="X3798" i="3"/>
  <c r="V3799" i="3"/>
  <c r="T3800" i="3"/>
  <c r="Z3801" i="3"/>
  <c r="X3802" i="3"/>
  <c r="V3803" i="3"/>
  <c r="T3804" i="3"/>
  <c r="Z3805" i="3"/>
  <c r="X3806" i="3"/>
  <c r="V3807" i="3"/>
  <c r="T3808" i="3"/>
  <c r="V3845" i="3"/>
  <c r="V3841" i="3"/>
  <c r="V3837" i="3"/>
  <c r="V3833" i="3"/>
  <c r="V3829" i="3"/>
  <c r="V3825" i="3"/>
  <c r="V3821" i="3"/>
  <c r="V3843" i="3"/>
  <c r="V3839" i="3"/>
  <c r="V3835" i="3"/>
  <c r="V3831" i="3"/>
  <c r="V3846" i="3"/>
  <c r="V3842" i="3"/>
  <c r="V3838" i="3"/>
  <c r="V3834" i="3"/>
  <c r="V3830" i="3"/>
  <c r="V3826" i="3"/>
  <c r="V3822" i="3"/>
  <c r="V3818" i="3"/>
  <c r="V3814" i="3"/>
  <c r="T3816" i="3"/>
  <c r="X3818" i="3"/>
  <c r="Z3819" i="3"/>
  <c r="Z3822" i="3"/>
  <c r="V3824" i="3"/>
  <c r="V3828" i="3"/>
  <c r="Z3834" i="3"/>
  <c r="V3844" i="3"/>
  <c r="V3871" i="3"/>
  <c r="V3867" i="3"/>
  <c r="V3863" i="3"/>
  <c r="V3859" i="3"/>
  <c r="V3855" i="3"/>
  <c r="V3851" i="3"/>
  <c r="U3780" i="3"/>
  <c r="AA3781" i="3"/>
  <c r="Y3782" i="3"/>
  <c r="W3783" i="3"/>
  <c r="U3784" i="3"/>
  <c r="AA3785" i="3"/>
  <c r="Y3786" i="3"/>
  <c r="W3787" i="3"/>
  <c r="U3788" i="3"/>
  <c r="AA3789" i="3"/>
  <c r="Y3790" i="3"/>
  <c r="W3791" i="3"/>
  <c r="U3792" i="3"/>
  <c r="Y3794" i="3"/>
  <c r="U3796" i="3"/>
  <c r="AA3797" i="3"/>
  <c r="Y3798" i="3"/>
  <c r="W3799" i="3"/>
  <c r="U3800" i="3"/>
  <c r="AA3801" i="3"/>
  <c r="Y3802" i="3"/>
  <c r="W3803" i="3"/>
  <c r="U3804" i="3"/>
  <c r="AA3805" i="3"/>
  <c r="Y3806" i="3"/>
  <c r="W3807" i="3"/>
  <c r="U3808" i="3"/>
  <c r="W3843" i="3"/>
  <c r="W3839" i="3"/>
  <c r="W3835" i="3"/>
  <c r="W3831" i="3"/>
  <c r="W3827" i="3"/>
  <c r="W3823" i="3"/>
  <c r="W3819" i="3"/>
  <c r="W3846" i="3"/>
  <c r="W3842" i="3"/>
  <c r="W3838" i="3"/>
  <c r="W3834" i="3"/>
  <c r="W3830" i="3"/>
  <c r="W3826" i="3"/>
  <c r="W3845" i="3"/>
  <c r="W3841" i="3"/>
  <c r="W3837" i="3"/>
  <c r="W3833" i="3"/>
  <c r="W3829" i="3"/>
  <c r="W3825" i="3"/>
  <c r="W3821" i="3"/>
  <c r="W3817" i="3"/>
  <c r="W3814" i="3"/>
  <c r="V3817" i="3"/>
  <c r="Z3818" i="3"/>
  <c r="U3821" i="3"/>
  <c r="AA3822" i="3"/>
  <c r="W3824" i="3"/>
  <c r="W3828" i="3"/>
  <c r="Y3831" i="3"/>
  <c r="AA3834" i="3"/>
  <c r="U3841" i="3"/>
  <c r="W3844" i="3"/>
  <c r="X3874" i="3"/>
  <c r="X3870" i="3"/>
  <c r="X3866" i="3"/>
  <c r="X3862" i="3"/>
  <c r="X3858" i="3"/>
  <c r="X3854" i="3"/>
  <c r="X3850" i="3"/>
  <c r="V3848" i="3"/>
  <c r="Z3850" i="3"/>
  <c r="X3851" i="3"/>
  <c r="V3852" i="3"/>
  <c r="Z3854" i="3"/>
  <c r="X3855" i="3"/>
  <c r="V3856" i="3"/>
  <c r="Z3858" i="3"/>
  <c r="X3859" i="3"/>
  <c r="V3860" i="3"/>
  <c r="Z3862" i="3"/>
  <c r="X3863" i="3"/>
  <c r="V3864" i="3"/>
  <c r="Z3866" i="3"/>
  <c r="X3867" i="3"/>
  <c r="V3868" i="3"/>
  <c r="Z3870" i="3"/>
  <c r="X3871" i="3"/>
  <c r="V3872" i="3"/>
  <c r="Z3874" i="3"/>
  <c r="X3875" i="3"/>
  <c r="V3876" i="3"/>
  <c r="Z3878" i="3"/>
  <c r="X3879" i="3"/>
  <c r="V3880" i="3"/>
  <c r="W3848" i="3"/>
  <c r="U3849" i="3"/>
  <c r="AA3850" i="3"/>
  <c r="Y3851" i="3"/>
  <c r="W3852" i="3"/>
  <c r="U3853" i="3"/>
  <c r="AA3854" i="3"/>
  <c r="Y3855" i="3"/>
  <c r="W3856" i="3"/>
  <c r="U3857" i="3"/>
  <c r="AA3858" i="3"/>
  <c r="Y3859" i="3"/>
  <c r="W3860" i="3"/>
  <c r="U3861" i="3"/>
  <c r="AA3862" i="3"/>
  <c r="Y3863" i="3"/>
  <c r="W3864" i="3"/>
  <c r="U3865" i="3"/>
  <c r="AA3866" i="3"/>
  <c r="Y3867" i="3"/>
  <c r="W3868" i="3"/>
  <c r="U3869" i="3"/>
  <c r="AA3870" i="3"/>
  <c r="Y3871" i="3"/>
  <c r="W3872" i="3"/>
  <c r="U3873" i="3"/>
  <c r="AA3874" i="3"/>
  <c r="Y3875" i="3"/>
  <c r="W3876" i="3"/>
  <c r="U3877" i="3"/>
  <c r="AA3878" i="3"/>
  <c r="Y3879" i="3"/>
  <c r="W3880" i="3"/>
  <c r="X3848" i="3"/>
  <c r="V3849" i="3"/>
  <c r="Z3851" i="3"/>
  <c r="X3852" i="3"/>
  <c r="V3853" i="3"/>
  <c r="Z3855" i="3"/>
  <c r="X3856" i="3"/>
  <c r="V3857" i="3"/>
  <c r="Z3859" i="3"/>
  <c r="X3860" i="3"/>
  <c r="V3861" i="3"/>
  <c r="Z3863" i="3"/>
  <c r="X3864" i="3"/>
  <c r="V3865" i="3"/>
  <c r="Z3867" i="3"/>
  <c r="X3868" i="3"/>
  <c r="V3869" i="3"/>
  <c r="Z3871" i="3"/>
  <c r="X3872" i="3"/>
  <c r="V3873" i="3"/>
  <c r="Z3875" i="3"/>
  <c r="X3876" i="3"/>
  <c r="V3877" i="3"/>
  <c r="Z3879" i="3"/>
  <c r="X3880" i="3"/>
  <c r="Y3848" i="3"/>
  <c r="W3849" i="3"/>
  <c r="U3850" i="3"/>
  <c r="AA3851" i="3"/>
  <c r="W3853" i="3"/>
  <c r="U3854" i="3"/>
  <c r="AA3855" i="3"/>
  <c r="Y3856" i="3"/>
  <c r="W3857" i="3"/>
  <c r="U3858" i="3"/>
  <c r="AA3859" i="3"/>
  <c r="Y3860" i="3"/>
  <c r="W3861" i="3"/>
  <c r="U3862" i="3"/>
  <c r="AA3863" i="3"/>
  <c r="Y3864" i="3"/>
  <c r="W3865" i="3"/>
  <c r="U3866" i="3"/>
  <c r="AA3867" i="3"/>
  <c r="Y3868" i="3"/>
  <c r="W3869" i="3"/>
  <c r="U3870" i="3"/>
  <c r="AA3871" i="3"/>
  <c r="Y3872" i="3"/>
  <c r="W3873" i="3"/>
  <c r="U3874" i="3"/>
  <c r="AA3875" i="3"/>
  <c r="Y3876" i="3"/>
  <c r="W3877" i="3"/>
  <c r="U3878" i="3"/>
  <c r="AA3879" i="3"/>
  <c r="Y3880" i="3"/>
  <c r="Z3848" i="3"/>
  <c r="X3849" i="3"/>
  <c r="V3850" i="3"/>
  <c r="Z3852" i="3"/>
  <c r="X3853" i="3"/>
  <c r="V3854" i="3"/>
  <c r="Z3856" i="3"/>
  <c r="X3857" i="3"/>
  <c r="V3858" i="3"/>
  <c r="Z3860" i="3"/>
  <c r="X3861" i="3"/>
  <c r="V3862" i="3"/>
  <c r="Z3864" i="3"/>
  <c r="X3865" i="3"/>
  <c r="V3866" i="3"/>
  <c r="Z3868" i="3"/>
  <c r="X3869" i="3"/>
  <c r="V3870" i="3"/>
  <c r="Z3872" i="3"/>
  <c r="X3873" i="3"/>
  <c r="V3874" i="3"/>
  <c r="Z3876" i="3"/>
  <c r="X3877" i="3"/>
  <c r="V3878" i="3"/>
  <c r="Z3880" i="3"/>
  <c r="U3879" i="3"/>
  <c r="AA3880" i="3"/>
  <c r="U3848" i="3"/>
  <c r="AA3849" i="3"/>
  <c r="Y3850" i="3"/>
  <c r="U3852" i="3"/>
  <c r="Y3854" i="3"/>
  <c r="W3855" i="3"/>
  <c r="U3856" i="3"/>
  <c r="AA3857" i="3"/>
  <c r="Y3858" i="3"/>
  <c r="W3859" i="3"/>
  <c r="U3860" i="3"/>
  <c r="AA3861" i="3"/>
  <c r="Y3862" i="3"/>
  <c r="W3863" i="3"/>
  <c r="U3864" i="3"/>
  <c r="AA3865" i="3"/>
  <c r="Y3866" i="3"/>
  <c r="W3867" i="3"/>
  <c r="U3868" i="3"/>
  <c r="AA3869" i="3"/>
  <c r="Y3870" i="3"/>
  <c r="W3871" i="3"/>
  <c r="U3872" i="3"/>
  <c r="AA3873" i="3"/>
  <c r="Y3874" i="3"/>
  <c r="W3875" i="3"/>
  <c r="U3876" i="3"/>
  <c r="O3677" i="3"/>
  <c r="L3677" i="3"/>
  <c r="K3677" i="3"/>
  <c r="J3677" i="3"/>
  <c r="I3677" i="3"/>
  <c r="H3677" i="3"/>
  <c r="G3677" i="3"/>
  <c r="L3676" i="3"/>
  <c r="K3676" i="3"/>
  <c r="J3676" i="3"/>
  <c r="I3676" i="3"/>
  <c r="H3676" i="3"/>
  <c r="G3676" i="3"/>
  <c r="L3675" i="3"/>
  <c r="K3675" i="3"/>
  <c r="J3675" i="3"/>
  <c r="I3675" i="3"/>
  <c r="H3675" i="3"/>
  <c r="G3675" i="3"/>
  <c r="L3674" i="3"/>
  <c r="K3674" i="3"/>
  <c r="J3674" i="3"/>
  <c r="I3674" i="3"/>
  <c r="H3674" i="3"/>
  <c r="G3674" i="3"/>
  <c r="L3673" i="3"/>
  <c r="K3673" i="3"/>
  <c r="J3673" i="3"/>
  <c r="I3673" i="3"/>
  <c r="H3673" i="3"/>
  <c r="G3673" i="3"/>
  <c r="L3672" i="3"/>
  <c r="K3672" i="3"/>
  <c r="J3672" i="3"/>
  <c r="I3672" i="3"/>
  <c r="H3672" i="3"/>
  <c r="G3672" i="3"/>
  <c r="L3671" i="3"/>
  <c r="K3671" i="3"/>
  <c r="J3671" i="3"/>
  <c r="I3671" i="3"/>
  <c r="H3671" i="3"/>
  <c r="G3671" i="3"/>
  <c r="L3670" i="3"/>
  <c r="K3670" i="3"/>
  <c r="J3670" i="3"/>
  <c r="I3670" i="3"/>
  <c r="H3670" i="3"/>
  <c r="G3670" i="3"/>
  <c r="L3669" i="3"/>
  <c r="K3669" i="3"/>
  <c r="J3669" i="3"/>
  <c r="I3669" i="3"/>
  <c r="H3669" i="3"/>
  <c r="G3669" i="3"/>
  <c r="L3668" i="3"/>
  <c r="K3668" i="3"/>
  <c r="J3668" i="3"/>
  <c r="I3668" i="3"/>
  <c r="H3668" i="3"/>
  <c r="G3668" i="3"/>
  <c r="L3667" i="3"/>
  <c r="K3667" i="3"/>
  <c r="J3667" i="3"/>
  <c r="I3667" i="3"/>
  <c r="H3667" i="3"/>
  <c r="G3667" i="3"/>
  <c r="L3666" i="3"/>
  <c r="K3666" i="3"/>
  <c r="J3666" i="3"/>
  <c r="I3666" i="3"/>
  <c r="H3666" i="3"/>
  <c r="G3666" i="3"/>
  <c r="L3665" i="3"/>
  <c r="K3665" i="3"/>
  <c r="J3665" i="3"/>
  <c r="I3665" i="3"/>
  <c r="H3665" i="3"/>
  <c r="G3665" i="3"/>
  <c r="L3664" i="3"/>
  <c r="K3664" i="3"/>
  <c r="J3664" i="3"/>
  <c r="I3664" i="3"/>
  <c r="H3664" i="3"/>
  <c r="G3664" i="3"/>
  <c r="L3663" i="3"/>
  <c r="K3663" i="3"/>
  <c r="J3663" i="3"/>
  <c r="I3663" i="3"/>
  <c r="H3663" i="3"/>
  <c r="G3663" i="3"/>
  <c r="L3662" i="3"/>
  <c r="K3662" i="3"/>
  <c r="J3662" i="3"/>
  <c r="I3662" i="3"/>
  <c r="H3662" i="3"/>
  <c r="G3662" i="3"/>
  <c r="L3661" i="3"/>
  <c r="K3661" i="3"/>
  <c r="J3661" i="3"/>
  <c r="I3661" i="3"/>
  <c r="H3661" i="3"/>
  <c r="G3661" i="3"/>
  <c r="L3660" i="3"/>
  <c r="K3660" i="3"/>
  <c r="J3660" i="3"/>
  <c r="I3660" i="3"/>
  <c r="H3660" i="3"/>
  <c r="G3660" i="3"/>
  <c r="L3659" i="3"/>
  <c r="K3659" i="3"/>
  <c r="J3659" i="3"/>
  <c r="I3659" i="3"/>
  <c r="H3659" i="3"/>
  <c r="G3659" i="3"/>
  <c r="L3658" i="3"/>
  <c r="K3658" i="3"/>
  <c r="J3658" i="3"/>
  <c r="I3658" i="3"/>
  <c r="H3658" i="3"/>
  <c r="G3658" i="3"/>
  <c r="L3657" i="3"/>
  <c r="K3657" i="3"/>
  <c r="J3657" i="3"/>
  <c r="I3657" i="3"/>
  <c r="H3657" i="3"/>
  <c r="G3657" i="3"/>
  <c r="L3656" i="3"/>
  <c r="K3656" i="3"/>
  <c r="J3656" i="3"/>
  <c r="I3656" i="3"/>
  <c r="H3656" i="3"/>
  <c r="G3656" i="3"/>
  <c r="L3655" i="3"/>
  <c r="K3655" i="3"/>
  <c r="J3655" i="3"/>
  <c r="I3655" i="3"/>
  <c r="H3655" i="3"/>
  <c r="G3655" i="3"/>
  <c r="L3654" i="3"/>
  <c r="K3654" i="3"/>
  <c r="J3654" i="3"/>
  <c r="I3654" i="3"/>
  <c r="H3654" i="3"/>
  <c r="G3654" i="3"/>
  <c r="L3653" i="3"/>
  <c r="K3653" i="3"/>
  <c r="J3653" i="3"/>
  <c r="I3653" i="3"/>
  <c r="H3653" i="3"/>
  <c r="G3653" i="3"/>
  <c r="L3652" i="3"/>
  <c r="K3652" i="3"/>
  <c r="J3652" i="3"/>
  <c r="I3652" i="3"/>
  <c r="H3652" i="3"/>
  <c r="G3652" i="3"/>
  <c r="L3651" i="3"/>
  <c r="K3651" i="3"/>
  <c r="J3651" i="3"/>
  <c r="I3651" i="3"/>
  <c r="H3651" i="3"/>
  <c r="G3651" i="3"/>
  <c r="L3650" i="3"/>
  <c r="K3650" i="3"/>
  <c r="J3650" i="3"/>
  <c r="I3650" i="3"/>
  <c r="H3650" i="3"/>
  <c r="G3650" i="3"/>
  <c r="L3649" i="3"/>
  <c r="K3649" i="3"/>
  <c r="J3649" i="3"/>
  <c r="I3649" i="3"/>
  <c r="H3649" i="3"/>
  <c r="G3649" i="3"/>
  <c r="L3648" i="3"/>
  <c r="K3648" i="3"/>
  <c r="J3648" i="3"/>
  <c r="I3648" i="3"/>
  <c r="H3648" i="3"/>
  <c r="G3648" i="3"/>
  <c r="L3647" i="3"/>
  <c r="K3647" i="3"/>
  <c r="J3647" i="3"/>
  <c r="I3647" i="3"/>
  <c r="H3647" i="3"/>
  <c r="G3647" i="3"/>
  <c r="L3646" i="3"/>
  <c r="K3646" i="3"/>
  <c r="J3646" i="3"/>
  <c r="I3646" i="3"/>
  <c r="H3646" i="3"/>
  <c r="G3646" i="3"/>
  <c r="L3645" i="3"/>
  <c r="K3645" i="3"/>
  <c r="J3645" i="3"/>
  <c r="I3645" i="3"/>
  <c r="H3645" i="3"/>
  <c r="G3645" i="3"/>
  <c r="L3644" i="3"/>
  <c r="K3644" i="3"/>
  <c r="J3644" i="3"/>
  <c r="I3644" i="3"/>
  <c r="H3644" i="3"/>
  <c r="G3644" i="3"/>
  <c r="O3643" i="3"/>
  <c r="L3643" i="3"/>
  <c r="K3643" i="3"/>
  <c r="J3643" i="3"/>
  <c r="I3643" i="3"/>
  <c r="H3643" i="3"/>
  <c r="G3643" i="3"/>
  <c r="L3642" i="3"/>
  <c r="K3642" i="3"/>
  <c r="J3642" i="3"/>
  <c r="I3642" i="3"/>
  <c r="H3642" i="3"/>
  <c r="G3642" i="3"/>
  <c r="L3641" i="3"/>
  <c r="K3641" i="3"/>
  <c r="J3641" i="3"/>
  <c r="I3641" i="3"/>
  <c r="H3641" i="3"/>
  <c r="G3641" i="3"/>
  <c r="L3640" i="3"/>
  <c r="K3640" i="3"/>
  <c r="J3640" i="3"/>
  <c r="I3640" i="3"/>
  <c r="H3640" i="3"/>
  <c r="G3640" i="3"/>
  <c r="L3639" i="3"/>
  <c r="K3639" i="3"/>
  <c r="J3639" i="3"/>
  <c r="I3639" i="3"/>
  <c r="H3639" i="3"/>
  <c r="G3639" i="3"/>
  <c r="L3638" i="3"/>
  <c r="K3638" i="3"/>
  <c r="J3638" i="3"/>
  <c r="I3638" i="3"/>
  <c r="H3638" i="3"/>
  <c r="G3638" i="3"/>
  <c r="L3637" i="3"/>
  <c r="K3637" i="3"/>
  <c r="J3637" i="3"/>
  <c r="I3637" i="3"/>
  <c r="H3637" i="3"/>
  <c r="G3637" i="3"/>
  <c r="L3636" i="3"/>
  <c r="K3636" i="3"/>
  <c r="J3636" i="3"/>
  <c r="I3636" i="3"/>
  <c r="H3636" i="3"/>
  <c r="G3636" i="3"/>
  <c r="L3635" i="3"/>
  <c r="K3635" i="3"/>
  <c r="J3635" i="3"/>
  <c r="I3635" i="3"/>
  <c r="H3635" i="3"/>
  <c r="G3635" i="3"/>
  <c r="L3634" i="3"/>
  <c r="K3634" i="3"/>
  <c r="J3634" i="3"/>
  <c r="I3634" i="3"/>
  <c r="H3634" i="3"/>
  <c r="G3634" i="3"/>
  <c r="L3633" i="3"/>
  <c r="K3633" i="3"/>
  <c r="J3633" i="3"/>
  <c r="I3633" i="3"/>
  <c r="H3633" i="3"/>
  <c r="G3633" i="3"/>
  <c r="L3632" i="3"/>
  <c r="K3632" i="3"/>
  <c r="J3632" i="3"/>
  <c r="I3632" i="3"/>
  <c r="H3632" i="3"/>
  <c r="G3632" i="3"/>
  <c r="L3631" i="3"/>
  <c r="K3631" i="3"/>
  <c r="J3631" i="3"/>
  <c r="I3631" i="3"/>
  <c r="H3631" i="3"/>
  <c r="G3631" i="3"/>
  <c r="L3630" i="3"/>
  <c r="K3630" i="3"/>
  <c r="J3630" i="3"/>
  <c r="I3630" i="3"/>
  <c r="H3630" i="3"/>
  <c r="G3630" i="3"/>
  <c r="L3629" i="3"/>
  <c r="K3629" i="3"/>
  <c r="J3629" i="3"/>
  <c r="I3629" i="3"/>
  <c r="H3629" i="3"/>
  <c r="G3629" i="3"/>
  <c r="L3628" i="3"/>
  <c r="K3628" i="3"/>
  <c r="J3628" i="3"/>
  <c r="I3628" i="3"/>
  <c r="H3628" i="3"/>
  <c r="G3628" i="3"/>
  <c r="L3627" i="3"/>
  <c r="K3627" i="3"/>
  <c r="J3627" i="3"/>
  <c r="I3627" i="3"/>
  <c r="H3627" i="3"/>
  <c r="G3627" i="3"/>
  <c r="L3626" i="3"/>
  <c r="K3626" i="3"/>
  <c r="J3626" i="3"/>
  <c r="I3626" i="3"/>
  <c r="H3626" i="3"/>
  <c r="G3626" i="3"/>
  <c r="L3625" i="3"/>
  <c r="K3625" i="3"/>
  <c r="J3625" i="3"/>
  <c r="I3625" i="3"/>
  <c r="H3625" i="3"/>
  <c r="G3625" i="3"/>
  <c r="L3624" i="3"/>
  <c r="K3624" i="3"/>
  <c r="J3624" i="3"/>
  <c r="I3624" i="3"/>
  <c r="H3624" i="3"/>
  <c r="G3624" i="3"/>
  <c r="L3623" i="3"/>
  <c r="K3623" i="3"/>
  <c r="J3623" i="3"/>
  <c r="I3623" i="3"/>
  <c r="H3623" i="3"/>
  <c r="G3623" i="3"/>
  <c r="L3622" i="3"/>
  <c r="K3622" i="3"/>
  <c r="J3622" i="3"/>
  <c r="I3622" i="3"/>
  <c r="H3622" i="3"/>
  <c r="G3622" i="3"/>
  <c r="L3621" i="3"/>
  <c r="K3621" i="3"/>
  <c r="J3621" i="3"/>
  <c r="I3621" i="3"/>
  <c r="H3621" i="3"/>
  <c r="G3621" i="3"/>
  <c r="L3620" i="3"/>
  <c r="K3620" i="3"/>
  <c r="J3620" i="3"/>
  <c r="I3620" i="3"/>
  <c r="H3620" i="3"/>
  <c r="G3620" i="3"/>
  <c r="L3619" i="3"/>
  <c r="K3619" i="3"/>
  <c r="J3619" i="3"/>
  <c r="I3619" i="3"/>
  <c r="H3619" i="3"/>
  <c r="G3619" i="3"/>
  <c r="L3618" i="3"/>
  <c r="K3618" i="3"/>
  <c r="J3618" i="3"/>
  <c r="I3618" i="3"/>
  <c r="H3618" i="3"/>
  <c r="G3618" i="3"/>
  <c r="L3617" i="3"/>
  <c r="K3617" i="3"/>
  <c r="J3617" i="3"/>
  <c r="I3617" i="3"/>
  <c r="H3617" i="3"/>
  <c r="G3617" i="3"/>
  <c r="L3616" i="3"/>
  <c r="K3616" i="3"/>
  <c r="J3616" i="3"/>
  <c r="I3616" i="3"/>
  <c r="H3616" i="3"/>
  <c r="G3616" i="3"/>
  <c r="L3615" i="3"/>
  <c r="K3615" i="3"/>
  <c r="J3615" i="3"/>
  <c r="I3615" i="3"/>
  <c r="H3615" i="3"/>
  <c r="G3615" i="3"/>
  <c r="L3614" i="3"/>
  <c r="K3614" i="3"/>
  <c r="J3614" i="3"/>
  <c r="I3614" i="3"/>
  <c r="H3614" i="3"/>
  <c r="G3614" i="3"/>
  <c r="L3613" i="3"/>
  <c r="K3613" i="3"/>
  <c r="J3613" i="3"/>
  <c r="I3613" i="3"/>
  <c r="H3613" i="3"/>
  <c r="G3613" i="3"/>
  <c r="L3612" i="3"/>
  <c r="K3612" i="3"/>
  <c r="J3612" i="3"/>
  <c r="I3612" i="3"/>
  <c r="H3612" i="3"/>
  <c r="G3612" i="3"/>
  <c r="L3611" i="3"/>
  <c r="K3611" i="3"/>
  <c r="J3611" i="3"/>
  <c r="I3611" i="3"/>
  <c r="H3611" i="3"/>
  <c r="G3611" i="3"/>
  <c r="L3610" i="3"/>
  <c r="K3610" i="3"/>
  <c r="J3610" i="3"/>
  <c r="I3610" i="3"/>
  <c r="H3610" i="3"/>
  <c r="G3610" i="3"/>
  <c r="O3609" i="3"/>
  <c r="L3609" i="3"/>
  <c r="K3609" i="3"/>
  <c r="J3609" i="3"/>
  <c r="I3609" i="3"/>
  <c r="H3609" i="3"/>
  <c r="G3609" i="3"/>
  <c r="L3608" i="3"/>
  <c r="K3608" i="3"/>
  <c r="J3608" i="3"/>
  <c r="I3608" i="3"/>
  <c r="H3608" i="3"/>
  <c r="G3608" i="3"/>
  <c r="L3607" i="3"/>
  <c r="K3607" i="3"/>
  <c r="J3607" i="3"/>
  <c r="I3607" i="3"/>
  <c r="H3607" i="3"/>
  <c r="G3607" i="3"/>
  <c r="L3606" i="3"/>
  <c r="K3606" i="3"/>
  <c r="J3606" i="3"/>
  <c r="I3606" i="3"/>
  <c r="H3606" i="3"/>
  <c r="G3606" i="3"/>
  <c r="L3605" i="3"/>
  <c r="K3605" i="3"/>
  <c r="J3605" i="3"/>
  <c r="I3605" i="3"/>
  <c r="H3605" i="3"/>
  <c r="G3605" i="3"/>
  <c r="L3604" i="3"/>
  <c r="K3604" i="3"/>
  <c r="J3604" i="3"/>
  <c r="I3604" i="3"/>
  <c r="H3604" i="3"/>
  <c r="G3604" i="3"/>
  <c r="L3603" i="3"/>
  <c r="K3603" i="3"/>
  <c r="J3603" i="3"/>
  <c r="I3603" i="3"/>
  <c r="H3603" i="3"/>
  <c r="G3603" i="3"/>
  <c r="L3602" i="3"/>
  <c r="K3602" i="3"/>
  <c r="J3602" i="3"/>
  <c r="I3602" i="3"/>
  <c r="H3602" i="3"/>
  <c r="G3602" i="3"/>
  <c r="L3601" i="3"/>
  <c r="K3601" i="3"/>
  <c r="J3601" i="3"/>
  <c r="I3601" i="3"/>
  <c r="H3601" i="3"/>
  <c r="G3601" i="3"/>
  <c r="L3600" i="3"/>
  <c r="K3600" i="3"/>
  <c r="J3600" i="3"/>
  <c r="I3600" i="3"/>
  <c r="H3600" i="3"/>
  <c r="G3600" i="3"/>
  <c r="L3599" i="3"/>
  <c r="K3599" i="3"/>
  <c r="J3599" i="3"/>
  <c r="I3599" i="3"/>
  <c r="H3599" i="3"/>
  <c r="G3599" i="3"/>
  <c r="L3598" i="3"/>
  <c r="K3598" i="3"/>
  <c r="J3598" i="3"/>
  <c r="I3598" i="3"/>
  <c r="H3598" i="3"/>
  <c r="G3598" i="3"/>
  <c r="M3598" i="3" s="1"/>
  <c r="L3597" i="3"/>
  <c r="K3597" i="3"/>
  <c r="J3597" i="3"/>
  <c r="I3597" i="3"/>
  <c r="H3597" i="3"/>
  <c r="G3597" i="3"/>
  <c r="L3596" i="3"/>
  <c r="K3596" i="3"/>
  <c r="J3596" i="3"/>
  <c r="I3596" i="3"/>
  <c r="H3596" i="3"/>
  <c r="G3596" i="3"/>
  <c r="L3595" i="3"/>
  <c r="K3595" i="3"/>
  <c r="J3595" i="3"/>
  <c r="I3595" i="3"/>
  <c r="H3595" i="3"/>
  <c r="G3595" i="3"/>
  <c r="L3594" i="3"/>
  <c r="K3594" i="3"/>
  <c r="J3594" i="3"/>
  <c r="I3594" i="3"/>
  <c r="H3594" i="3"/>
  <c r="G3594" i="3"/>
  <c r="L3593" i="3"/>
  <c r="K3593" i="3"/>
  <c r="J3593" i="3"/>
  <c r="I3593" i="3"/>
  <c r="H3593" i="3"/>
  <c r="G3593" i="3"/>
  <c r="L3592" i="3"/>
  <c r="K3592" i="3"/>
  <c r="J3592" i="3"/>
  <c r="I3592" i="3"/>
  <c r="H3592" i="3"/>
  <c r="G3592" i="3"/>
  <c r="L3591" i="3"/>
  <c r="K3591" i="3"/>
  <c r="J3591" i="3"/>
  <c r="I3591" i="3"/>
  <c r="H3591" i="3"/>
  <c r="G3591" i="3"/>
  <c r="L3590" i="3"/>
  <c r="K3590" i="3"/>
  <c r="J3590" i="3"/>
  <c r="I3590" i="3"/>
  <c r="H3590" i="3"/>
  <c r="G3590" i="3"/>
  <c r="L3589" i="3"/>
  <c r="K3589" i="3"/>
  <c r="J3589" i="3"/>
  <c r="I3589" i="3"/>
  <c r="H3589" i="3"/>
  <c r="G3589" i="3"/>
  <c r="L3588" i="3"/>
  <c r="K3588" i="3"/>
  <c r="J3588" i="3"/>
  <c r="I3588" i="3"/>
  <c r="H3588" i="3"/>
  <c r="G3588" i="3"/>
  <c r="L3587" i="3"/>
  <c r="K3587" i="3"/>
  <c r="J3587" i="3"/>
  <c r="I3587" i="3"/>
  <c r="H3587" i="3"/>
  <c r="G3587" i="3"/>
  <c r="L3586" i="3"/>
  <c r="K3586" i="3"/>
  <c r="J3586" i="3"/>
  <c r="I3586" i="3"/>
  <c r="H3586" i="3"/>
  <c r="G3586" i="3"/>
  <c r="L3585" i="3"/>
  <c r="K3585" i="3"/>
  <c r="J3585" i="3"/>
  <c r="I3585" i="3"/>
  <c r="H3585" i="3"/>
  <c r="G3585" i="3"/>
  <c r="L3584" i="3"/>
  <c r="K3584" i="3"/>
  <c r="J3584" i="3"/>
  <c r="I3584" i="3"/>
  <c r="H3584" i="3"/>
  <c r="G3584" i="3"/>
  <c r="L3583" i="3"/>
  <c r="K3583" i="3"/>
  <c r="J3583" i="3"/>
  <c r="I3583" i="3"/>
  <c r="H3583" i="3"/>
  <c r="G3583" i="3"/>
  <c r="L3582" i="3"/>
  <c r="K3582" i="3"/>
  <c r="J3582" i="3"/>
  <c r="I3582" i="3"/>
  <c r="H3582" i="3"/>
  <c r="G3582" i="3"/>
  <c r="L3581" i="3"/>
  <c r="K3581" i="3"/>
  <c r="J3581" i="3"/>
  <c r="I3581" i="3"/>
  <c r="H3581" i="3"/>
  <c r="G3581" i="3"/>
  <c r="L3580" i="3"/>
  <c r="K3580" i="3"/>
  <c r="J3580" i="3"/>
  <c r="I3580" i="3"/>
  <c r="H3580" i="3"/>
  <c r="G3580" i="3"/>
  <c r="L3579" i="3"/>
  <c r="K3579" i="3"/>
  <c r="J3579" i="3"/>
  <c r="I3579" i="3"/>
  <c r="H3579" i="3"/>
  <c r="G3579" i="3"/>
  <c r="L3578" i="3"/>
  <c r="K3578" i="3"/>
  <c r="J3578" i="3"/>
  <c r="I3578" i="3"/>
  <c r="H3578" i="3"/>
  <c r="G3578" i="3"/>
  <c r="L3577" i="3"/>
  <c r="K3577" i="3"/>
  <c r="J3577" i="3"/>
  <c r="I3577" i="3"/>
  <c r="H3577" i="3"/>
  <c r="G3577" i="3"/>
  <c r="L3576" i="3"/>
  <c r="K3576" i="3"/>
  <c r="J3576" i="3"/>
  <c r="I3576" i="3"/>
  <c r="H3576" i="3"/>
  <c r="G3576" i="3"/>
  <c r="O3575" i="3"/>
  <c r="L3575" i="3"/>
  <c r="K3575" i="3"/>
  <c r="J3575" i="3"/>
  <c r="I3575" i="3"/>
  <c r="H3575" i="3"/>
  <c r="G3575" i="3"/>
  <c r="L3574" i="3"/>
  <c r="K3574" i="3"/>
  <c r="J3574" i="3"/>
  <c r="I3574" i="3"/>
  <c r="H3574" i="3"/>
  <c r="G3574" i="3"/>
  <c r="L3573" i="3"/>
  <c r="K3573" i="3"/>
  <c r="J3573" i="3"/>
  <c r="I3573" i="3"/>
  <c r="H3573" i="3"/>
  <c r="G3573" i="3"/>
  <c r="L3572" i="3"/>
  <c r="K3572" i="3"/>
  <c r="J3572" i="3"/>
  <c r="I3572" i="3"/>
  <c r="H3572" i="3"/>
  <c r="G3572" i="3"/>
  <c r="L3571" i="3"/>
  <c r="K3571" i="3"/>
  <c r="J3571" i="3"/>
  <c r="I3571" i="3"/>
  <c r="H3571" i="3"/>
  <c r="G3571" i="3"/>
  <c r="L3570" i="3"/>
  <c r="K3570" i="3"/>
  <c r="J3570" i="3"/>
  <c r="I3570" i="3"/>
  <c r="H3570" i="3"/>
  <c r="G3570" i="3"/>
  <c r="L3569" i="3"/>
  <c r="K3569" i="3"/>
  <c r="J3569" i="3"/>
  <c r="I3569" i="3"/>
  <c r="H3569" i="3"/>
  <c r="G3569" i="3"/>
  <c r="L3568" i="3"/>
  <c r="K3568" i="3"/>
  <c r="J3568" i="3"/>
  <c r="I3568" i="3"/>
  <c r="H3568" i="3"/>
  <c r="G3568" i="3"/>
  <c r="L3567" i="3"/>
  <c r="K3567" i="3"/>
  <c r="J3567" i="3"/>
  <c r="I3567" i="3"/>
  <c r="H3567" i="3"/>
  <c r="G3567" i="3"/>
  <c r="L3566" i="3"/>
  <c r="K3566" i="3"/>
  <c r="J3566" i="3"/>
  <c r="I3566" i="3"/>
  <c r="H3566" i="3"/>
  <c r="G3566" i="3"/>
  <c r="L3565" i="3"/>
  <c r="K3565" i="3"/>
  <c r="J3565" i="3"/>
  <c r="I3565" i="3"/>
  <c r="H3565" i="3"/>
  <c r="M3565" i="3" s="1"/>
  <c r="G3565" i="3"/>
  <c r="L3564" i="3"/>
  <c r="K3564" i="3"/>
  <c r="J3564" i="3"/>
  <c r="I3564" i="3"/>
  <c r="H3564" i="3"/>
  <c r="G3564" i="3"/>
  <c r="L3563" i="3"/>
  <c r="K3563" i="3"/>
  <c r="J3563" i="3"/>
  <c r="I3563" i="3"/>
  <c r="H3563" i="3"/>
  <c r="G3563" i="3"/>
  <c r="L3562" i="3"/>
  <c r="K3562" i="3"/>
  <c r="J3562" i="3"/>
  <c r="I3562" i="3"/>
  <c r="H3562" i="3"/>
  <c r="G3562" i="3"/>
  <c r="L3561" i="3"/>
  <c r="K3561" i="3"/>
  <c r="J3561" i="3"/>
  <c r="I3561" i="3"/>
  <c r="H3561" i="3"/>
  <c r="G3561" i="3"/>
  <c r="L3560" i="3"/>
  <c r="K3560" i="3"/>
  <c r="J3560" i="3"/>
  <c r="I3560" i="3"/>
  <c r="H3560" i="3"/>
  <c r="G3560" i="3"/>
  <c r="L3559" i="3"/>
  <c r="K3559" i="3"/>
  <c r="J3559" i="3"/>
  <c r="I3559" i="3"/>
  <c r="H3559" i="3"/>
  <c r="G3559" i="3"/>
  <c r="L3558" i="3"/>
  <c r="K3558" i="3"/>
  <c r="J3558" i="3"/>
  <c r="I3558" i="3"/>
  <c r="H3558" i="3"/>
  <c r="G3558" i="3"/>
  <c r="L3557" i="3"/>
  <c r="K3557" i="3"/>
  <c r="J3557" i="3"/>
  <c r="I3557" i="3"/>
  <c r="H3557" i="3"/>
  <c r="M3557" i="3" s="1"/>
  <c r="G3557" i="3"/>
  <c r="L3556" i="3"/>
  <c r="K3556" i="3"/>
  <c r="J3556" i="3"/>
  <c r="I3556" i="3"/>
  <c r="H3556" i="3"/>
  <c r="G3556" i="3"/>
  <c r="L3555" i="3"/>
  <c r="K3555" i="3"/>
  <c r="J3555" i="3"/>
  <c r="I3555" i="3"/>
  <c r="H3555" i="3"/>
  <c r="G3555" i="3"/>
  <c r="L3554" i="3"/>
  <c r="K3554" i="3"/>
  <c r="J3554" i="3"/>
  <c r="I3554" i="3"/>
  <c r="H3554" i="3"/>
  <c r="G3554" i="3"/>
  <c r="L3553" i="3"/>
  <c r="K3553" i="3"/>
  <c r="J3553" i="3"/>
  <c r="I3553" i="3"/>
  <c r="H3553" i="3"/>
  <c r="M3553" i="3" s="1"/>
  <c r="G3553" i="3"/>
  <c r="L3552" i="3"/>
  <c r="K3552" i="3"/>
  <c r="J3552" i="3"/>
  <c r="I3552" i="3"/>
  <c r="H3552" i="3"/>
  <c r="G3552" i="3"/>
  <c r="L3551" i="3"/>
  <c r="K3551" i="3"/>
  <c r="J3551" i="3"/>
  <c r="I3551" i="3"/>
  <c r="H3551" i="3"/>
  <c r="G3551" i="3"/>
  <c r="L3550" i="3"/>
  <c r="K3550" i="3"/>
  <c r="J3550" i="3"/>
  <c r="I3550" i="3"/>
  <c r="H3550" i="3"/>
  <c r="G3550" i="3"/>
  <c r="L3549" i="3"/>
  <c r="K3549" i="3"/>
  <c r="J3549" i="3"/>
  <c r="I3549" i="3"/>
  <c r="H3549" i="3"/>
  <c r="M3549" i="3" s="1"/>
  <c r="G3549" i="3"/>
  <c r="L3548" i="3"/>
  <c r="K3548" i="3"/>
  <c r="J3548" i="3"/>
  <c r="I3548" i="3"/>
  <c r="H3548" i="3"/>
  <c r="G3548" i="3"/>
  <c r="L3547" i="3"/>
  <c r="K3547" i="3"/>
  <c r="J3547" i="3"/>
  <c r="I3547" i="3"/>
  <c r="H3547" i="3"/>
  <c r="G3547" i="3"/>
  <c r="L3546" i="3"/>
  <c r="K3546" i="3"/>
  <c r="J3546" i="3"/>
  <c r="I3546" i="3"/>
  <c r="H3546" i="3"/>
  <c r="G3546" i="3"/>
  <c r="L3545" i="3"/>
  <c r="K3545" i="3"/>
  <c r="J3545" i="3"/>
  <c r="I3545" i="3"/>
  <c r="H3545" i="3"/>
  <c r="M3545" i="3" s="1"/>
  <c r="G3545" i="3"/>
  <c r="L3544" i="3"/>
  <c r="K3544" i="3"/>
  <c r="J3544" i="3"/>
  <c r="I3544" i="3"/>
  <c r="H3544" i="3"/>
  <c r="G3544" i="3"/>
  <c r="L3543" i="3"/>
  <c r="K3543" i="3"/>
  <c r="J3543" i="3"/>
  <c r="I3543" i="3"/>
  <c r="H3543" i="3"/>
  <c r="G3543" i="3"/>
  <c r="L3542" i="3"/>
  <c r="K3542" i="3"/>
  <c r="J3542" i="3"/>
  <c r="I3542" i="3"/>
  <c r="H3542" i="3"/>
  <c r="G3542" i="3"/>
  <c r="O3541" i="3"/>
  <c r="L3541" i="3"/>
  <c r="K3541" i="3"/>
  <c r="J3541" i="3"/>
  <c r="I3541" i="3"/>
  <c r="M3541" i="3" s="1"/>
  <c r="H3541" i="3"/>
  <c r="G3541" i="3"/>
  <c r="L3540" i="3"/>
  <c r="K3540" i="3"/>
  <c r="J3540" i="3"/>
  <c r="I3540" i="3"/>
  <c r="H3540" i="3"/>
  <c r="G3540" i="3"/>
  <c r="L3539" i="3"/>
  <c r="K3539" i="3"/>
  <c r="J3539" i="3"/>
  <c r="I3539" i="3"/>
  <c r="H3539" i="3"/>
  <c r="G3539" i="3"/>
  <c r="L3538" i="3"/>
  <c r="K3538" i="3"/>
  <c r="J3538" i="3"/>
  <c r="I3538" i="3"/>
  <c r="H3538" i="3"/>
  <c r="G3538" i="3"/>
  <c r="L3537" i="3"/>
  <c r="K3537" i="3"/>
  <c r="J3537" i="3"/>
  <c r="I3537" i="3"/>
  <c r="M3537" i="3" s="1"/>
  <c r="H3537" i="3"/>
  <c r="G3537" i="3"/>
  <c r="L3536" i="3"/>
  <c r="K3536" i="3"/>
  <c r="J3536" i="3"/>
  <c r="I3536" i="3"/>
  <c r="H3536" i="3"/>
  <c r="G3536" i="3"/>
  <c r="L3535" i="3"/>
  <c r="K3535" i="3"/>
  <c r="J3535" i="3"/>
  <c r="I3535" i="3"/>
  <c r="H3535" i="3"/>
  <c r="G3535" i="3"/>
  <c r="L3534" i="3"/>
  <c r="K3534" i="3"/>
  <c r="J3534" i="3"/>
  <c r="I3534" i="3"/>
  <c r="H3534" i="3"/>
  <c r="G3534" i="3"/>
  <c r="L3533" i="3"/>
  <c r="K3533" i="3"/>
  <c r="J3533" i="3"/>
  <c r="I3533" i="3"/>
  <c r="M3533" i="3" s="1"/>
  <c r="H3533" i="3"/>
  <c r="G3533" i="3"/>
  <c r="L3532" i="3"/>
  <c r="K3532" i="3"/>
  <c r="J3532" i="3"/>
  <c r="I3532" i="3"/>
  <c r="H3532" i="3"/>
  <c r="G3532" i="3"/>
  <c r="L3531" i="3"/>
  <c r="K3531" i="3"/>
  <c r="J3531" i="3"/>
  <c r="I3531" i="3"/>
  <c r="H3531" i="3"/>
  <c r="G3531" i="3"/>
  <c r="L3530" i="3"/>
  <c r="K3530" i="3"/>
  <c r="J3530" i="3"/>
  <c r="I3530" i="3"/>
  <c r="H3530" i="3"/>
  <c r="G3530" i="3"/>
  <c r="L3529" i="3"/>
  <c r="K3529" i="3"/>
  <c r="J3529" i="3"/>
  <c r="I3529" i="3"/>
  <c r="M3529" i="3" s="1"/>
  <c r="H3529" i="3"/>
  <c r="G3529" i="3"/>
  <c r="L3528" i="3"/>
  <c r="K3528" i="3"/>
  <c r="J3528" i="3"/>
  <c r="I3528" i="3"/>
  <c r="H3528" i="3"/>
  <c r="G3528" i="3"/>
  <c r="L3527" i="3"/>
  <c r="K3527" i="3"/>
  <c r="J3527" i="3"/>
  <c r="I3527" i="3"/>
  <c r="H3527" i="3"/>
  <c r="G3527" i="3"/>
  <c r="L3526" i="3"/>
  <c r="K3526" i="3"/>
  <c r="J3526" i="3"/>
  <c r="I3526" i="3"/>
  <c r="H3526" i="3"/>
  <c r="G3526" i="3"/>
  <c r="L3525" i="3"/>
  <c r="K3525" i="3"/>
  <c r="J3525" i="3"/>
  <c r="I3525" i="3"/>
  <c r="M3525" i="3" s="1"/>
  <c r="H3525" i="3"/>
  <c r="G3525" i="3"/>
  <c r="L3524" i="3"/>
  <c r="K3524" i="3"/>
  <c r="J3524" i="3"/>
  <c r="I3524" i="3"/>
  <c r="H3524" i="3"/>
  <c r="G3524" i="3"/>
  <c r="L3523" i="3"/>
  <c r="K3523" i="3"/>
  <c r="J3523" i="3"/>
  <c r="I3523" i="3"/>
  <c r="H3523" i="3"/>
  <c r="G3523" i="3"/>
  <c r="L3522" i="3"/>
  <c r="K3522" i="3"/>
  <c r="J3522" i="3"/>
  <c r="I3522" i="3"/>
  <c r="H3522" i="3"/>
  <c r="G3522" i="3"/>
  <c r="L3521" i="3"/>
  <c r="K3521" i="3"/>
  <c r="J3521" i="3"/>
  <c r="I3521" i="3"/>
  <c r="H3521" i="3"/>
  <c r="G3521" i="3"/>
  <c r="L3520" i="3"/>
  <c r="K3520" i="3"/>
  <c r="J3520" i="3"/>
  <c r="I3520" i="3"/>
  <c r="H3520" i="3"/>
  <c r="G3520" i="3"/>
  <c r="L3519" i="3"/>
  <c r="K3519" i="3"/>
  <c r="J3519" i="3"/>
  <c r="I3519" i="3"/>
  <c r="H3519" i="3"/>
  <c r="G3519" i="3"/>
  <c r="L3518" i="3"/>
  <c r="K3518" i="3"/>
  <c r="J3518" i="3"/>
  <c r="I3518" i="3"/>
  <c r="H3518" i="3"/>
  <c r="G3518" i="3"/>
  <c r="L3517" i="3"/>
  <c r="K3517" i="3"/>
  <c r="J3517" i="3"/>
  <c r="I3517" i="3"/>
  <c r="M3517" i="3" s="1"/>
  <c r="H3517" i="3"/>
  <c r="G3517" i="3"/>
  <c r="L3516" i="3"/>
  <c r="K3516" i="3"/>
  <c r="J3516" i="3"/>
  <c r="I3516" i="3"/>
  <c r="H3516" i="3"/>
  <c r="G3516" i="3"/>
  <c r="L3515" i="3"/>
  <c r="K3515" i="3"/>
  <c r="J3515" i="3"/>
  <c r="I3515" i="3"/>
  <c r="H3515" i="3"/>
  <c r="G3515" i="3"/>
  <c r="L3514" i="3"/>
  <c r="K3514" i="3"/>
  <c r="J3514" i="3"/>
  <c r="I3514" i="3"/>
  <c r="H3514" i="3"/>
  <c r="G3514" i="3"/>
  <c r="L3513" i="3"/>
  <c r="K3513" i="3"/>
  <c r="J3513" i="3"/>
  <c r="I3513" i="3"/>
  <c r="M3513" i="3" s="1"/>
  <c r="H3513" i="3"/>
  <c r="G3513" i="3"/>
  <c r="L3512" i="3"/>
  <c r="K3512" i="3"/>
  <c r="J3512" i="3"/>
  <c r="I3512" i="3"/>
  <c r="H3512" i="3"/>
  <c r="G3512" i="3"/>
  <c r="L3511" i="3"/>
  <c r="K3511" i="3"/>
  <c r="J3511" i="3"/>
  <c r="I3511" i="3"/>
  <c r="H3511" i="3"/>
  <c r="G3511" i="3"/>
  <c r="L3510" i="3"/>
  <c r="K3510" i="3"/>
  <c r="J3510" i="3"/>
  <c r="I3510" i="3"/>
  <c r="H3510" i="3"/>
  <c r="G3510" i="3"/>
  <c r="L3509" i="3"/>
  <c r="K3509" i="3"/>
  <c r="J3509" i="3"/>
  <c r="I3509" i="3"/>
  <c r="H3509" i="3"/>
  <c r="G3509" i="3"/>
  <c r="L3508" i="3"/>
  <c r="K3508" i="3"/>
  <c r="J3508" i="3"/>
  <c r="I3508" i="3"/>
  <c r="H3508" i="3"/>
  <c r="G3508" i="3"/>
  <c r="O3507" i="3"/>
  <c r="L3507" i="3"/>
  <c r="K3507" i="3"/>
  <c r="J3507" i="3"/>
  <c r="I3507" i="3"/>
  <c r="H3507" i="3"/>
  <c r="G3507" i="3"/>
  <c r="L3506" i="3"/>
  <c r="K3506" i="3"/>
  <c r="J3506" i="3"/>
  <c r="I3506" i="3"/>
  <c r="H3506" i="3"/>
  <c r="G3506" i="3"/>
  <c r="L3505" i="3"/>
  <c r="K3505" i="3"/>
  <c r="J3505" i="3"/>
  <c r="I3505" i="3"/>
  <c r="H3505" i="3"/>
  <c r="G3505" i="3"/>
  <c r="L3504" i="3"/>
  <c r="K3504" i="3"/>
  <c r="J3504" i="3"/>
  <c r="I3504" i="3"/>
  <c r="H3504" i="3"/>
  <c r="M3504" i="3" s="1"/>
  <c r="G3504" i="3"/>
  <c r="L3503" i="3"/>
  <c r="K3503" i="3"/>
  <c r="J3503" i="3"/>
  <c r="I3503" i="3"/>
  <c r="H3503" i="3"/>
  <c r="G3503" i="3"/>
  <c r="L3502" i="3"/>
  <c r="K3502" i="3"/>
  <c r="J3502" i="3"/>
  <c r="I3502" i="3"/>
  <c r="H3502" i="3"/>
  <c r="G3502" i="3"/>
  <c r="L3501" i="3"/>
  <c r="K3501" i="3"/>
  <c r="J3501" i="3"/>
  <c r="I3501" i="3"/>
  <c r="H3501" i="3"/>
  <c r="G3501" i="3"/>
  <c r="L3500" i="3"/>
  <c r="K3500" i="3"/>
  <c r="J3500" i="3"/>
  <c r="I3500" i="3"/>
  <c r="H3500" i="3"/>
  <c r="M3500" i="3" s="1"/>
  <c r="G3500" i="3"/>
  <c r="L3499" i="3"/>
  <c r="K3499" i="3"/>
  <c r="J3499" i="3"/>
  <c r="I3499" i="3"/>
  <c r="H3499" i="3"/>
  <c r="G3499" i="3"/>
  <c r="L3498" i="3"/>
  <c r="K3498" i="3"/>
  <c r="J3498" i="3"/>
  <c r="I3498" i="3"/>
  <c r="H3498" i="3"/>
  <c r="G3498" i="3"/>
  <c r="L3497" i="3"/>
  <c r="K3497" i="3"/>
  <c r="J3497" i="3"/>
  <c r="I3497" i="3"/>
  <c r="H3497" i="3"/>
  <c r="G3497" i="3"/>
  <c r="L3496" i="3"/>
  <c r="K3496" i="3"/>
  <c r="J3496" i="3"/>
  <c r="I3496" i="3"/>
  <c r="H3496" i="3"/>
  <c r="M3496" i="3" s="1"/>
  <c r="G3496" i="3"/>
  <c r="L3495" i="3"/>
  <c r="K3495" i="3"/>
  <c r="J3495" i="3"/>
  <c r="I3495" i="3"/>
  <c r="H3495" i="3"/>
  <c r="G3495" i="3"/>
  <c r="L3494" i="3"/>
  <c r="K3494" i="3"/>
  <c r="J3494" i="3"/>
  <c r="I3494" i="3"/>
  <c r="H3494" i="3"/>
  <c r="G3494" i="3"/>
  <c r="L3493" i="3"/>
  <c r="K3493" i="3"/>
  <c r="J3493" i="3"/>
  <c r="I3493" i="3"/>
  <c r="H3493" i="3"/>
  <c r="G3493" i="3"/>
  <c r="L3492" i="3"/>
  <c r="K3492" i="3"/>
  <c r="J3492" i="3"/>
  <c r="I3492" i="3"/>
  <c r="H3492" i="3"/>
  <c r="M3492" i="3" s="1"/>
  <c r="G3492" i="3"/>
  <c r="L3491" i="3"/>
  <c r="K3491" i="3"/>
  <c r="J3491" i="3"/>
  <c r="I3491" i="3"/>
  <c r="H3491" i="3"/>
  <c r="G3491" i="3"/>
  <c r="L3490" i="3"/>
  <c r="K3490" i="3"/>
  <c r="J3490" i="3"/>
  <c r="I3490" i="3"/>
  <c r="H3490" i="3"/>
  <c r="G3490" i="3"/>
  <c r="L3489" i="3"/>
  <c r="K3489" i="3"/>
  <c r="J3489" i="3"/>
  <c r="M3489" i="3" s="1"/>
  <c r="I3489" i="3"/>
  <c r="H3489" i="3"/>
  <c r="G3489" i="3"/>
  <c r="L3488" i="3"/>
  <c r="K3488" i="3"/>
  <c r="J3488" i="3"/>
  <c r="I3488" i="3"/>
  <c r="H3488" i="3"/>
  <c r="M3488" i="3" s="1"/>
  <c r="G3488" i="3"/>
  <c r="L3487" i="3"/>
  <c r="K3487" i="3"/>
  <c r="J3487" i="3"/>
  <c r="I3487" i="3"/>
  <c r="H3487" i="3"/>
  <c r="G3487" i="3"/>
  <c r="L3486" i="3"/>
  <c r="M3486" i="3" s="1"/>
  <c r="K3486" i="3"/>
  <c r="J3486" i="3"/>
  <c r="I3486" i="3"/>
  <c r="H3486" i="3"/>
  <c r="G3486" i="3"/>
  <c r="L3485" i="3"/>
  <c r="K3485" i="3"/>
  <c r="J3485" i="3"/>
  <c r="I3485" i="3"/>
  <c r="H3485" i="3"/>
  <c r="G3485" i="3"/>
  <c r="L3484" i="3"/>
  <c r="K3484" i="3"/>
  <c r="J3484" i="3"/>
  <c r="I3484" i="3"/>
  <c r="H3484" i="3"/>
  <c r="M3484" i="3" s="1"/>
  <c r="G3484" i="3"/>
  <c r="L3483" i="3"/>
  <c r="K3483" i="3"/>
  <c r="J3483" i="3"/>
  <c r="I3483" i="3"/>
  <c r="H3483" i="3"/>
  <c r="G3483" i="3"/>
  <c r="L3482" i="3"/>
  <c r="M3482" i="3" s="1"/>
  <c r="K3482" i="3"/>
  <c r="J3482" i="3"/>
  <c r="I3482" i="3"/>
  <c r="H3482" i="3"/>
  <c r="G3482" i="3"/>
  <c r="L3481" i="3"/>
  <c r="K3481" i="3"/>
  <c r="J3481" i="3"/>
  <c r="M3481" i="3" s="1"/>
  <c r="I3481" i="3"/>
  <c r="H3481" i="3"/>
  <c r="G3481" i="3"/>
  <c r="L3480" i="3"/>
  <c r="K3480" i="3"/>
  <c r="J3480" i="3"/>
  <c r="I3480" i="3"/>
  <c r="H3480" i="3"/>
  <c r="M3480" i="3" s="1"/>
  <c r="G3480" i="3"/>
  <c r="L3479" i="3"/>
  <c r="K3479" i="3"/>
  <c r="J3479" i="3"/>
  <c r="I3479" i="3"/>
  <c r="H3479" i="3"/>
  <c r="G3479" i="3"/>
  <c r="L3478" i="3"/>
  <c r="K3478" i="3"/>
  <c r="J3478" i="3"/>
  <c r="I3478" i="3"/>
  <c r="H3478" i="3"/>
  <c r="G3478" i="3"/>
  <c r="L3477" i="3"/>
  <c r="K3477" i="3"/>
  <c r="J3477" i="3"/>
  <c r="M3477" i="3" s="1"/>
  <c r="I3477" i="3"/>
  <c r="H3477" i="3"/>
  <c r="G3477" i="3"/>
  <c r="L3476" i="3"/>
  <c r="K3476" i="3"/>
  <c r="J3476" i="3"/>
  <c r="I3476" i="3"/>
  <c r="H3476" i="3"/>
  <c r="M3476" i="3" s="1"/>
  <c r="G3476" i="3"/>
  <c r="L3475" i="3"/>
  <c r="K3475" i="3"/>
  <c r="J3475" i="3"/>
  <c r="I3475" i="3"/>
  <c r="H3475" i="3"/>
  <c r="G3475" i="3"/>
  <c r="L3474" i="3"/>
  <c r="M3474" i="3" s="1"/>
  <c r="K3474" i="3"/>
  <c r="J3474" i="3"/>
  <c r="I3474" i="3"/>
  <c r="H3474" i="3"/>
  <c r="G3474" i="3"/>
  <c r="O3473" i="3"/>
  <c r="L3473" i="3"/>
  <c r="K3473" i="3"/>
  <c r="M3473" i="3" s="1"/>
  <c r="J3473" i="3"/>
  <c r="I3473" i="3"/>
  <c r="H3473" i="3"/>
  <c r="G3473" i="3"/>
  <c r="L3472" i="3"/>
  <c r="K3472" i="3"/>
  <c r="J3472" i="3"/>
  <c r="I3472" i="3"/>
  <c r="H3472" i="3"/>
  <c r="G3472" i="3"/>
  <c r="L3471" i="3"/>
  <c r="K3471" i="3"/>
  <c r="J3471" i="3"/>
  <c r="I3471" i="3"/>
  <c r="H3471" i="3"/>
  <c r="G3471" i="3"/>
  <c r="M3471" i="3" s="1"/>
  <c r="L3470" i="3"/>
  <c r="K3470" i="3"/>
  <c r="J3470" i="3"/>
  <c r="I3470" i="3"/>
  <c r="H3470" i="3"/>
  <c r="G3470" i="3"/>
  <c r="L3469" i="3"/>
  <c r="K3469" i="3"/>
  <c r="M3469" i="3" s="1"/>
  <c r="J3469" i="3"/>
  <c r="I3469" i="3"/>
  <c r="H3469" i="3"/>
  <c r="G3469" i="3"/>
  <c r="L3468" i="3"/>
  <c r="K3468" i="3"/>
  <c r="J3468" i="3"/>
  <c r="I3468" i="3"/>
  <c r="M3468" i="3" s="1"/>
  <c r="H3468" i="3"/>
  <c r="G3468" i="3"/>
  <c r="L3467" i="3"/>
  <c r="K3467" i="3"/>
  <c r="J3467" i="3"/>
  <c r="I3467" i="3"/>
  <c r="H3467" i="3"/>
  <c r="G3467" i="3"/>
  <c r="M3467" i="3" s="1"/>
  <c r="L3466" i="3"/>
  <c r="K3466" i="3"/>
  <c r="J3466" i="3"/>
  <c r="I3466" i="3"/>
  <c r="H3466" i="3"/>
  <c r="G3466" i="3"/>
  <c r="L3465" i="3"/>
  <c r="K3465" i="3"/>
  <c r="M3465" i="3" s="1"/>
  <c r="J3465" i="3"/>
  <c r="I3465" i="3"/>
  <c r="H3465" i="3"/>
  <c r="G3465" i="3"/>
  <c r="L3464" i="3"/>
  <c r="K3464" i="3"/>
  <c r="J3464" i="3"/>
  <c r="I3464" i="3"/>
  <c r="M3464" i="3" s="1"/>
  <c r="H3464" i="3"/>
  <c r="G3464" i="3"/>
  <c r="L3463" i="3"/>
  <c r="K3463" i="3"/>
  <c r="J3463" i="3"/>
  <c r="I3463" i="3"/>
  <c r="H3463" i="3"/>
  <c r="G3463" i="3"/>
  <c r="L3462" i="3"/>
  <c r="K3462" i="3"/>
  <c r="J3462" i="3"/>
  <c r="I3462" i="3"/>
  <c r="H3462" i="3"/>
  <c r="G3462" i="3"/>
  <c r="L3461" i="3"/>
  <c r="K3461" i="3"/>
  <c r="M3461" i="3" s="1"/>
  <c r="J3461" i="3"/>
  <c r="I3461" i="3"/>
  <c r="H3461" i="3"/>
  <c r="G3461" i="3"/>
  <c r="L3460" i="3"/>
  <c r="K3460" i="3"/>
  <c r="J3460" i="3"/>
  <c r="I3460" i="3"/>
  <c r="H3460" i="3"/>
  <c r="G3460" i="3"/>
  <c r="L3459" i="3"/>
  <c r="K3459" i="3"/>
  <c r="J3459" i="3"/>
  <c r="I3459" i="3"/>
  <c r="H3459" i="3"/>
  <c r="G3459" i="3"/>
  <c r="M3459" i="3" s="1"/>
  <c r="L3458" i="3"/>
  <c r="K3458" i="3"/>
  <c r="J3458" i="3"/>
  <c r="I3458" i="3"/>
  <c r="H3458" i="3"/>
  <c r="G3458" i="3"/>
  <c r="L3457" i="3"/>
  <c r="K3457" i="3"/>
  <c r="M3457" i="3" s="1"/>
  <c r="J3457" i="3"/>
  <c r="I3457" i="3"/>
  <c r="H3457" i="3"/>
  <c r="G3457" i="3"/>
  <c r="L3456" i="3"/>
  <c r="K3456" i="3"/>
  <c r="J3456" i="3"/>
  <c r="I3456" i="3"/>
  <c r="M3456" i="3" s="1"/>
  <c r="H3456" i="3"/>
  <c r="G3456" i="3"/>
  <c r="L3455" i="3"/>
  <c r="K3455" i="3"/>
  <c r="J3455" i="3"/>
  <c r="I3455" i="3"/>
  <c r="H3455" i="3"/>
  <c r="G3455" i="3"/>
  <c r="M3455" i="3" s="1"/>
  <c r="L3454" i="3"/>
  <c r="K3454" i="3"/>
  <c r="J3454" i="3"/>
  <c r="I3454" i="3"/>
  <c r="H3454" i="3"/>
  <c r="G3454" i="3"/>
  <c r="L3453" i="3"/>
  <c r="K3453" i="3"/>
  <c r="J3453" i="3"/>
  <c r="I3453" i="3"/>
  <c r="H3453" i="3"/>
  <c r="G3453" i="3"/>
  <c r="L3452" i="3"/>
  <c r="K3452" i="3"/>
  <c r="J3452" i="3"/>
  <c r="I3452" i="3"/>
  <c r="H3452" i="3"/>
  <c r="G3452" i="3"/>
  <c r="L3451" i="3"/>
  <c r="K3451" i="3"/>
  <c r="J3451" i="3"/>
  <c r="I3451" i="3"/>
  <c r="H3451" i="3"/>
  <c r="G3451" i="3"/>
  <c r="M3451" i="3" s="1"/>
  <c r="L3450" i="3"/>
  <c r="K3450" i="3"/>
  <c r="J3450" i="3"/>
  <c r="I3450" i="3"/>
  <c r="H3450" i="3"/>
  <c r="G3450" i="3"/>
  <c r="L3449" i="3"/>
  <c r="K3449" i="3"/>
  <c r="M3449" i="3" s="1"/>
  <c r="J3449" i="3"/>
  <c r="I3449" i="3"/>
  <c r="H3449" i="3"/>
  <c r="G3449" i="3"/>
  <c r="L3448" i="3"/>
  <c r="K3448" i="3"/>
  <c r="J3448" i="3"/>
  <c r="I3448" i="3"/>
  <c r="M3448" i="3" s="1"/>
  <c r="H3448" i="3"/>
  <c r="G3448" i="3"/>
  <c r="L3447" i="3"/>
  <c r="K3447" i="3"/>
  <c r="J3447" i="3"/>
  <c r="I3447" i="3"/>
  <c r="H3447" i="3"/>
  <c r="G3447" i="3"/>
  <c r="M3447" i="3" s="1"/>
  <c r="L3446" i="3"/>
  <c r="K3446" i="3"/>
  <c r="J3446" i="3"/>
  <c r="I3446" i="3"/>
  <c r="H3446" i="3"/>
  <c r="G3446" i="3"/>
  <c r="L3445" i="3"/>
  <c r="K3445" i="3"/>
  <c r="M3445" i="3" s="1"/>
  <c r="J3445" i="3"/>
  <c r="I3445" i="3"/>
  <c r="H3445" i="3"/>
  <c r="G3445" i="3"/>
  <c r="L3444" i="3"/>
  <c r="K3444" i="3"/>
  <c r="J3444" i="3"/>
  <c r="I3444" i="3"/>
  <c r="H3444" i="3"/>
  <c r="G3444" i="3"/>
  <c r="L3443" i="3"/>
  <c r="K3443" i="3"/>
  <c r="J3443" i="3"/>
  <c r="I3443" i="3"/>
  <c r="H3443" i="3"/>
  <c r="G3443" i="3"/>
  <c r="M3443" i="3" s="1"/>
  <c r="L3442" i="3"/>
  <c r="K3442" i="3"/>
  <c r="J3442" i="3"/>
  <c r="I3442" i="3"/>
  <c r="H3442" i="3"/>
  <c r="G3442" i="3"/>
  <c r="L3441" i="3"/>
  <c r="K3441" i="3"/>
  <c r="J3441" i="3"/>
  <c r="I3441" i="3"/>
  <c r="H3441" i="3"/>
  <c r="G3441" i="3"/>
  <c r="L3440" i="3"/>
  <c r="K3440" i="3"/>
  <c r="J3440" i="3"/>
  <c r="I3440" i="3"/>
  <c r="M3440" i="3" s="1"/>
  <c r="H3440" i="3"/>
  <c r="G3440" i="3"/>
  <c r="O3439" i="3"/>
  <c r="L3439" i="3"/>
  <c r="K3439" i="3"/>
  <c r="J3439" i="3"/>
  <c r="I3439" i="3"/>
  <c r="H3439" i="3"/>
  <c r="G3439" i="3"/>
  <c r="L3438" i="3"/>
  <c r="K3438" i="3"/>
  <c r="J3438" i="3"/>
  <c r="I3438" i="3"/>
  <c r="H3438" i="3"/>
  <c r="G3438" i="3"/>
  <c r="L3437" i="3"/>
  <c r="K3437" i="3"/>
  <c r="J3437" i="3"/>
  <c r="I3437" i="3"/>
  <c r="H3437" i="3"/>
  <c r="G3437" i="3"/>
  <c r="L3436" i="3"/>
  <c r="K3436" i="3"/>
  <c r="J3436" i="3"/>
  <c r="I3436" i="3"/>
  <c r="H3436" i="3"/>
  <c r="G3436" i="3"/>
  <c r="L3435" i="3"/>
  <c r="K3435" i="3"/>
  <c r="J3435" i="3"/>
  <c r="I3435" i="3"/>
  <c r="H3435" i="3"/>
  <c r="G3435" i="3"/>
  <c r="L3434" i="3"/>
  <c r="K3434" i="3"/>
  <c r="J3434" i="3"/>
  <c r="I3434" i="3"/>
  <c r="H3434" i="3"/>
  <c r="G3434" i="3"/>
  <c r="L3433" i="3"/>
  <c r="K3433" i="3"/>
  <c r="J3433" i="3"/>
  <c r="I3433" i="3"/>
  <c r="H3433" i="3"/>
  <c r="G3433" i="3"/>
  <c r="L3432" i="3"/>
  <c r="K3432" i="3"/>
  <c r="J3432" i="3"/>
  <c r="I3432" i="3"/>
  <c r="H3432" i="3"/>
  <c r="G3432" i="3"/>
  <c r="L3431" i="3"/>
  <c r="K3431" i="3"/>
  <c r="J3431" i="3"/>
  <c r="I3431" i="3"/>
  <c r="H3431" i="3"/>
  <c r="G3431" i="3"/>
  <c r="L3430" i="3"/>
  <c r="K3430" i="3"/>
  <c r="J3430" i="3"/>
  <c r="I3430" i="3"/>
  <c r="H3430" i="3"/>
  <c r="G3430" i="3"/>
  <c r="L3429" i="3"/>
  <c r="K3429" i="3"/>
  <c r="J3429" i="3"/>
  <c r="I3429" i="3"/>
  <c r="H3429" i="3"/>
  <c r="G3429" i="3"/>
  <c r="L3428" i="3"/>
  <c r="K3428" i="3"/>
  <c r="J3428" i="3"/>
  <c r="I3428" i="3"/>
  <c r="H3428" i="3"/>
  <c r="G3428" i="3"/>
  <c r="L3427" i="3"/>
  <c r="K3427" i="3"/>
  <c r="J3427" i="3"/>
  <c r="I3427" i="3"/>
  <c r="H3427" i="3"/>
  <c r="G3427" i="3"/>
  <c r="L3426" i="3"/>
  <c r="K3426" i="3"/>
  <c r="J3426" i="3"/>
  <c r="I3426" i="3"/>
  <c r="H3426" i="3"/>
  <c r="G3426" i="3"/>
  <c r="L3425" i="3"/>
  <c r="K3425" i="3"/>
  <c r="J3425" i="3"/>
  <c r="I3425" i="3"/>
  <c r="H3425" i="3"/>
  <c r="G3425" i="3"/>
  <c r="L3424" i="3"/>
  <c r="K3424" i="3"/>
  <c r="J3424" i="3"/>
  <c r="I3424" i="3"/>
  <c r="H3424" i="3"/>
  <c r="G3424" i="3"/>
  <c r="L3423" i="3"/>
  <c r="K3423" i="3"/>
  <c r="J3423" i="3"/>
  <c r="I3423" i="3"/>
  <c r="H3423" i="3"/>
  <c r="G3423" i="3"/>
  <c r="L3422" i="3"/>
  <c r="K3422" i="3"/>
  <c r="J3422" i="3"/>
  <c r="I3422" i="3"/>
  <c r="H3422" i="3"/>
  <c r="G3422" i="3"/>
  <c r="L3421" i="3"/>
  <c r="K3421" i="3"/>
  <c r="J3421" i="3"/>
  <c r="I3421" i="3"/>
  <c r="H3421" i="3"/>
  <c r="G3421" i="3"/>
  <c r="L3420" i="3"/>
  <c r="K3420" i="3"/>
  <c r="J3420" i="3"/>
  <c r="I3420" i="3"/>
  <c r="H3420" i="3"/>
  <c r="G3420" i="3"/>
  <c r="L3419" i="3"/>
  <c r="K3419" i="3"/>
  <c r="J3419" i="3"/>
  <c r="I3419" i="3"/>
  <c r="H3419" i="3"/>
  <c r="G3419" i="3"/>
  <c r="L3418" i="3"/>
  <c r="K3418" i="3"/>
  <c r="J3418" i="3"/>
  <c r="I3418" i="3"/>
  <c r="H3418" i="3"/>
  <c r="G3418" i="3"/>
  <c r="L3417" i="3"/>
  <c r="K3417" i="3"/>
  <c r="J3417" i="3"/>
  <c r="I3417" i="3"/>
  <c r="H3417" i="3"/>
  <c r="G3417" i="3"/>
  <c r="L3416" i="3"/>
  <c r="K3416" i="3"/>
  <c r="J3416" i="3"/>
  <c r="I3416" i="3"/>
  <c r="H3416" i="3"/>
  <c r="G3416" i="3"/>
  <c r="L3415" i="3"/>
  <c r="K3415" i="3"/>
  <c r="J3415" i="3"/>
  <c r="I3415" i="3"/>
  <c r="H3415" i="3"/>
  <c r="G3415" i="3"/>
  <c r="L3414" i="3"/>
  <c r="K3414" i="3"/>
  <c r="J3414" i="3"/>
  <c r="I3414" i="3"/>
  <c r="H3414" i="3"/>
  <c r="G3414" i="3"/>
  <c r="L3413" i="3"/>
  <c r="K3413" i="3"/>
  <c r="J3413" i="3"/>
  <c r="I3413" i="3"/>
  <c r="H3413" i="3"/>
  <c r="G3413" i="3"/>
  <c r="L3412" i="3"/>
  <c r="K3412" i="3"/>
  <c r="J3412" i="3"/>
  <c r="I3412" i="3"/>
  <c r="H3412" i="3"/>
  <c r="G3412" i="3"/>
  <c r="L3411" i="3"/>
  <c r="K3411" i="3"/>
  <c r="J3411" i="3"/>
  <c r="I3411" i="3"/>
  <c r="H3411" i="3"/>
  <c r="G3411" i="3"/>
  <c r="L3410" i="3"/>
  <c r="K3410" i="3"/>
  <c r="J3410" i="3"/>
  <c r="I3410" i="3"/>
  <c r="H3410" i="3"/>
  <c r="G3410" i="3"/>
  <c r="L3409" i="3"/>
  <c r="K3409" i="3"/>
  <c r="J3409" i="3"/>
  <c r="I3409" i="3"/>
  <c r="H3409" i="3"/>
  <c r="G3409" i="3"/>
  <c r="L3408" i="3"/>
  <c r="K3408" i="3"/>
  <c r="J3408" i="3"/>
  <c r="I3408" i="3"/>
  <c r="H3408" i="3"/>
  <c r="G3408" i="3"/>
  <c r="L3407" i="3"/>
  <c r="K3407" i="3"/>
  <c r="J3407" i="3"/>
  <c r="I3407" i="3"/>
  <c r="H3407" i="3"/>
  <c r="G3407" i="3"/>
  <c r="L3406" i="3"/>
  <c r="K3406" i="3"/>
  <c r="J3406" i="3"/>
  <c r="I3406" i="3"/>
  <c r="H3406" i="3"/>
  <c r="G3406" i="3"/>
  <c r="O3405" i="3"/>
  <c r="L3405" i="3"/>
  <c r="K3405" i="3"/>
  <c r="J3405" i="3"/>
  <c r="I3405" i="3"/>
  <c r="H3405" i="3"/>
  <c r="G3405" i="3"/>
  <c r="L3404" i="3"/>
  <c r="K3404" i="3"/>
  <c r="J3404" i="3"/>
  <c r="I3404" i="3"/>
  <c r="H3404" i="3"/>
  <c r="G3404" i="3"/>
  <c r="L3403" i="3"/>
  <c r="K3403" i="3"/>
  <c r="J3403" i="3"/>
  <c r="I3403" i="3"/>
  <c r="H3403" i="3"/>
  <c r="G3403" i="3"/>
  <c r="L3402" i="3"/>
  <c r="K3402" i="3"/>
  <c r="J3402" i="3"/>
  <c r="I3402" i="3"/>
  <c r="H3402" i="3"/>
  <c r="G3402" i="3"/>
  <c r="L3401" i="3"/>
  <c r="K3401" i="3"/>
  <c r="J3401" i="3"/>
  <c r="I3401" i="3"/>
  <c r="H3401" i="3"/>
  <c r="G3401" i="3"/>
  <c r="L3400" i="3"/>
  <c r="K3400" i="3"/>
  <c r="J3400" i="3"/>
  <c r="I3400" i="3"/>
  <c r="H3400" i="3"/>
  <c r="G3400" i="3"/>
  <c r="L3399" i="3"/>
  <c r="K3399" i="3"/>
  <c r="J3399" i="3"/>
  <c r="I3399" i="3"/>
  <c r="H3399" i="3"/>
  <c r="G3399" i="3"/>
  <c r="L3398" i="3"/>
  <c r="K3398" i="3"/>
  <c r="J3398" i="3"/>
  <c r="I3398" i="3"/>
  <c r="H3398" i="3"/>
  <c r="G3398" i="3"/>
  <c r="L3397" i="3"/>
  <c r="K3397" i="3"/>
  <c r="J3397" i="3"/>
  <c r="I3397" i="3"/>
  <c r="H3397" i="3"/>
  <c r="G3397" i="3"/>
  <c r="L3396" i="3"/>
  <c r="K3396" i="3"/>
  <c r="J3396" i="3"/>
  <c r="I3396" i="3"/>
  <c r="H3396" i="3"/>
  <c r="G3396" i="3"/>
  <c r="L3395" i="3"/>
  <c r="K3395" i="3"/>
  <c r="J3395" i="3"/>
  <c r="I3395" i="3"/>
  <c r="H3395" i="3"/>
  <c r="G3395" i="3"/>
  <c r="L3394" i="3"/>
  <c r="K3394" i="3"/>
  <c r="J3394" i="3"/>
  <c r="I3394" i="3"/>
  <c r="H3394" i="3"/>
  <c r="G3394" i="3"/>
  <c r="L3393" i="3"/>
  <c r="K3393" i="3"/>
  <c r="J3393" i="3"/>
  <c r="I3393" i="3"/>
  <c r="H3393" i="3"/>
  <c r="G3393" i="3"/>
  <c r="L3392" i="3"/>
  <c r="K3392" i="3"/>
  <c r="J3392" i="3"/>
  <c r="I3392" i="3"/>
  <c r="H3392" i="3"/>
  <c r="G3392" i="3"/>
  <c r="L3391" i="3"/>
  <c r="K3391" i="3"/>
  <c r="J3391" i="3"/>
  <c r="I3391" i="3"/>
  <c r="H3391" i="3"/>
  <c r="G3391" i="3"/>
  <c r="L3390" i="3"/>
  <c r="K3390" i="3"/>
  <c r="J3390" i="3"/>
  <c r="I3390" i="3"/>
  <c r="H3390" i="3"/>
  <c r="G3390" i="3"/>
  <c r="L3389" i="3"/>
  <c r="K3389" i="3"/>
  <c r="J3389" i="3"/>
  <c r="I3389" i="3"/>
  <c r="H3389" i="3"/>
  <c r="G3389" i="3"/>
  <c r="L3388" i="3"/>
  <c r="K3388" i="3"/>
  <c r="J3388" i="3"/>
  <c r="I3388" i="3"/>
  <c r="H3388" i="3"/>
  <c r="G3388" i="3"/>
  <c r="L3387" i="3"/>
  <c r="K3387" i="3"/>
  <c r="J3387" i="3"/>
  <c r="I3387" i="3"/>
  <c r="H3387" i="3"/>
  <c r="G3387" i="3"/>
  <c r="L3386" i="3"/>
  <c r="K3386" i="3"/>
  <c r="J3386" i="3"/>
  <c r="I3386" i="3"/>
  <c r="H3386" i="3"/>
  <c r="G3386" i="3"/>
  <c r="L3385" i="3"/>
  <c r="K3385" i="3"/>
  <c r="J3385" i="3"/>
  <c r="I3385" i="3"/>
  <c r="H3385" i="3"/>
  <c r="G3385" i="3"/>
  <c r="L3384" i="3"/>
  <c r="K3384" i="3"/>
  <c r="J3384" i="3"/>
  <c r="I3384" i="3"/>
  <c r="H3384" i="3"/>
  <c r="G3384" i="3"/>
  <c r="L3383" i="3"/>
  <c r="K3383" i="3"/>
  <c r="J3383" i="3"/>
  <c r="I3383" i="3"/>
  <c r="H3383" i="3"/>
  <c r="G3383" i="3"/>
  <c r="L3382" i="3"/>
  <c r="K3382" i="3"/>
  <c r="J3382" i="3"/>
  <c r="I3382" i="3"/>
  <c r="H3382" i="3"/>
  <c r="G3382" i="3"/>
  <c r="L3381" i="3"/>
  <c r="K3381" i="3"/>
  <c r="J3381" i="3"/>
  <c r="I3381" i="3"/>
  <c r="H3381" i="3"/>
  <c r="G3381" i="3"/>
  <c r="L3380" i="3"/>
  <c r="K3380" i="3"/>
  <c r="J3380" i="3"/>
  <c r="I3380" i="3"/>
  <c r="H3380" i="3"/>
  <c r="G3380" i="3"/>
  <c r="L3379" i="3"/>
  <c r="K3379" i="3"/>
  <c r="J3379" i="3"/>
  <c r="I3379" i="3"/>
  <c r="H3379" i="3"/>
  <c r="G3379" i="3"/>
  <c r="L3378" i="3"/>
  <c r="K3378" i="3"/>
  <c r="J3378" i="3"/>
  <c r="I3378" i="3"/>
  <c r="H3378" i="3"/>
  <c r="G3378" i="3"/>
  <c r="L3377" i="3"/>
  <c r="K3377" i="3"/>
  <c r="J3377" i="3"/>
  <c r="I3377" i="3"/>
  <c r="H3377" i="3"/>
  <c r="G3377" i="3"/>
  <c r="L3376" i="3"/>
  <c r="K3376" i="3"/>
  <c r="J3376" i="3"/>
  <c r="I3376" i="3"/>
  <c r="H3376" i="3"/>
  <c r="G3376" i="3"/>
  <c r="L3375" i="3"/>
  <c r="K3375" i="3"/>
  <c r="J3375" i="3"/>
  <c r="I3375" i="3"/>
  <c r="H3375" i="3"/>
  <c r="G3375" i="3"/>
  <c r="L3374" i="3"/>
  <c r="K3374" i="3"/>
  <c r="J3374" i="3"/>
  <c r="I3374" i="3"/>
  <c r="H3374" i="3"/>
  <c r="G3374" i="3"/>
  <c r="L3373" i="3"/>
  <c r="K3373" i="3"/>
  <c r="J3373" i="3"/>
  <c r="I3373" i="3"/>
  <c r="H3373" i="3"/>
  <c r="G3373" i="3"/>
  <c r="L3372" i="3"/>
  <c r="K3372" i="3"/>
  <c r="J3372" i="3"/>
  <c r="I3372" i="3"/>
  <c r="H3372" i="3"/>
  <c r="G3372" i="3"/>
  <c r="O3371" i="3"/>
  <c r="L3371" i="3"/>
  <c r="K3371" i="3"/>
  <c r="J3371" i="3"/>
  <c r="I3371" i="3"/>
  <c r="H3371" i="3"/>
  <c r="G3371" i="3"/>
  <c r="L3370" i="3"/>
  <c r="K3370" i="3"/>
  <c r="J3370" i="3"/>
  <c r="I3370" i="3"/>
  <c r="H3370" i="3"/>
  <c r="G3370" i="3"/>
  <c r="L3369" i="3"/>
  <c r="K3369" i="3"/>
  <c r="J3369" i="3"/>
  <c r="I3369" i="3"/>
  <c r="H3369" i="3"/>
  <c r="G3369" i="3"/>
  <c r="M3369" i="3" s="1"/>
  <c r="L3368" i="3"/>
  <c r="M3368" i="3" s="1"/>
  <c r="K3368" i="3"/>
  <c r="J3368" i="3"/>
  <c r="I3368" i="3"/>
  <c r="H3368" i="3"/>
  <c r="G3368" i="3"/>
  <c r="L3367" i="3"/>
  <c r="K3367" i="3"/>
  <c r="J3367" i="3"/>
  <c r="I3367" i="3"/>
  <c r="H3367" i="3"/>
  <c r="G3367" i="3"/>
  <c r="L3366" i="3"/>
  <c r="K3366" i="3"/>
  <c r="J3366" i="3"/>
  <c r="I3366" i="3"/>
  <c r="H3366" i="3"/>
  <c r="G3366" i="3"/>
  <c r="L3365" i="3"/>
  <c r="K3365" i="3"/>
  <c r="J3365" i="3"/>
  <c r="I3365" i="3"/>
  <c r="H3365" i="3"/>
  <c r="G3365" i="3"/>
  <c r="M3365" i="3" s="1"/>
  <c r="L3364" i="3"/>
  <c r="K3364" i="3"/>
  <c r="J3364" i="3"/>
  <c r="I3364" i="3"/>
  <c r="H3364" i="3"/>
  <c r="G3364" i="3"/>
  <c r="L3363" i="3"/>
  <c r="K3363" i="3"/>
  <c r="J3363" i="3"/>
  <c r="I3363" i="3"/>
  <c r="H3363" i="3"/>
  <c r="G3363" i="3"/>
  <c r="L3362" i="3"/>
  <c r="K3362" i="3"/>
  <c r="J3362" i="3"/>
  <c r="I3362" i="3"/>
  <c r="H3362" i="3"/>
  <c r="G3362" i="3"/>
  <c r="L3361" i="3"/>
  <c r="K3361" i="3"/>
  <c r="J3361" i="3"/>
  <c r="I3361" i="3"/>
  <c r="H3361" i="3"/>
  <c r="G3361" i="3"/>
  <c r="M3361" i="3" s="1"/>
  <c r="L3360" i="3"/>
  <c r="M3360" i="3" s="1"/>
  <c r="K3360" i="3"/>
  <c r="J3360" i="3"/>
  <c r="I3360" i="3"/>
  <c r="H3360" i="3"/>
  <c r="G3360" i="3"/>
  <c r="L3359" i="3"/>
  <c r="K3359" i="3"/>
  <c r="J3359" i="3"/>
  <c r="I3359" i="3"/>
  <c r="H3359" i="3"/>
  <c r="G3359" i="3"/>
  <c r="L3358" i="3"/>
  <c r="K3358" i="3"/>
  <c r="J3358" i="3"/>
  <c r="I3358" i="3"/>
  <c r="H3358" i="3"/>
  <c r="G3358" i="3"/>
  <c r="L3357" i="3"/>
  <c r="K3357" i="3"/>
  <c r="J3357" i="3"/>
  <c r="I3357" i="3"/>
  <c r="H3357" i="3"/>
  <c r="G3357" i="3"/>
  <c r="L3356" i="3"/>
  <c r="M3356" i="3" s="1"/>
  <c r="K3356" i="3"/>
  <c r="J3356" i="3"/>
  <c r="I3356" i="3"/>
  <c r="H3356" i="3"/>
  <c r="G3356" i="3"/>
  <c r="L3355" i="3"/>
  <c r="K3355" i="3"/>
  <c r="J3355" i="3"/>
  <c r="I3355" i="3"/>
  <c r="H3355" i="3"/>
  <c r="G3355" i="3"/>
  <c r="L3354" i="3"/>
  <c r="K3354" i="3"/>
  <c r="J3354" i="3"/>
  <c r="I3354" i="3"/>
  <c r="H3354" i="3"/>
  <c r="G3354" i="3"/>
  <c r="L3353" i="3"/>
  <c r="K3353" i="3"/>
  <c r="J3353" i="3"/>
  <c r="I3353" i="3"/>
  <c r="H3353" i="3"/>
  <c r="G3353" i="3"/>
  <c r="M3353" i="3" s="1"/>
  <c r="L3352" i="3"/>
  <c r="M3352" i="3" s="1"/>
  <c r="K3352" i="3"/>
  <c r="J3352" i="3"/>
  <c r="I3352" i="3"/>
  <c r="H3352" i="3"/>
  <c r="G3352" i="3"/>
  <c r="L3351" i="3"/>
  <c r="K3351" i="3"/>
  <c r="J3351" i="3"/>
  <c r="I3351" i="3"/>
  <c r="H3351" i="3"/>
  <c r="G3351" i="3"/>
  <c r="L3350" i="3"/>
  <c r="K3350" i="3"/>
  <c r="J3350" i="3"/>
  <c r="I3350" i="3"/>
  <c r="H3350" i="3"/>
  <c r="G3350" i="3"/>
  <c r="L3349" i="3"/>
  <c r="K3349" i="3"/>
  <c r="J3349" i="3"/>
  <c r="I3349" i="3"/>
  <c r="H3349" i="3"/>
  <c r="G3349" i="3"/>
  <c r="M3349" i="3" s="1"/>
  <c r="L3348" i="3"/>
  <c r="K3348" i="3"/>
  <c r="J3348" i="3"/>
  <c r="I3348" i="3"/>
  <c r="H3348" i="3"/>
  <c r="G3348" i="3"/>
  <c r="L3347" i="3"/>
  <c r="K3347" i="3"/>
  <c r="J3347" i="3"/>
  <c r="I3347" i="3"/>
  <c r="H3347" i="3"/>
  <c r="G3347" i="3"/>
  <c r="L3346" i="3"/>
  <c r="K3346" i="3"/>
  <c r="J3346" i="3"/>
  <c r="I3346" i="3"/>
  <c r="H3346" i="3"/>
  <c r="G3346" i="3"/>
  <c r="L3345" i="3"/>
  <c r="K3345" i="3"/>
  <c r="J3345" i="3"/>
  <c r="I3345" i="3"/>
  <c r="H3345" i="3"/>
  <c r="G3345" i="3"/>
  <c r="M3345" i="3" s="1"/>
  <c r="L3344" i="3"/>
  <c r="M3344" i="3" s="1"/>
  <c r="K3344" i="3"/>
  <c r="J3344" i="3"/>
  <c r="I3344" i="3"/>
  <c r="H3344" i="3"/>
  <c r="G3344" i="3"/>
  <c r="L3343" i="3"/>
  <c r="K3343" i="3"/>
  <c r="J3343" i="3"/>
  <c r="I3343" i="3"/>
  <c r="H3343" i="3"/>
  <c r="G3343" i="3"/>
  <c r="L3342" i="3"/>
  <c r="K3342" i="3"/>
  <c r="J3342" i="3"/>
  <c r="I3342" i="3"/>
  <c r="H3342" i="3"/>
  <c r="G3342" i="3"/>
  <c r="L3341" i="3"/>
  <c r="K3341" i="3"/>
  <c r="J3341" i="3"/>
  <c r="I3341" i="3"/>
  <c r="H3341" i="3"/>
  <c r="G3341" i="3"/>
  <c r="M3341" i="3" s="1"/>
  <c r="L3340" i="3"/>
  <c r="K3340" i="3"/>
  <c r="J3340" i="3"/>
  <c r="I3340" i="3"/>
  <c r="H3340" i="3"/>
  <c r="G3340" i="3"/>
  <c r="L3339" i="3"/>
  <c r="K3339" i="3"/>
  <c r="J3339" i="3"/>
  <c r="I3339" i="3"/>
  <c r="H3339" i="3"/>
  <c r="G3339" i="3"/>
  <c r="L3338" i="3"/>
  <c r="K3338" i="3"/>
  <c r="J3338" i="3"/>
  <c r="I3338" i="3"/>
  <c r="H3338" i="3"/>
  <c r="G3338" i="3"/>
  <c r="O3337" i="3"/>
  <c r="L3337" i="3"/>
  <c r="K3337" i="3"/>
  <c r="J3337" i="3"/>
  <c r="I3337" i="3"/>
  <c r="H3337" i="3"/>
  <c r="G3337" i="3"/>
  <c r="L3336" i="3"/>
  <c r="K3336" i="3"/>
  <c r="J3336" i="3"/>
  <c r="I3336" i="3"/>
  <c r="H3336" i="3"/>
  <c r="G3336" i="3"/>
  <c r="L3335" i="3"/>
  <c r="K3335" i="3"/>
  <c r="J3335" i="3"/>
  <c r="I3335" i="3"/>
  <c r="H3335" i="3"/>
  <c r="G3335" i="3"/>
  <c r="L3334" i="3"/>
  <c r="K3334" i="3"/>
  <c r="J3334" i="3"/>
  <c r="I3334" i="3"/>
  <c r="H3334" i="3"/>
  <c r="G3334" i="3"/>
  <c r="L3333" i="3"/>
  <c r="K3333" i="3"/>
  <c r="J3333" i="3"/>
  <c r="I3333" i="3"/>
  <c r="H3333" i="3"/>
  <c r="G3333" i="3"/>
  <c r="L3332" i="3"/>
  <c r="K3332" i="3"/>
  <c r="J3332" i="3"/>
  <c r="I3332" i="3"/>
  <c r="H3332" i="3"/>
  <c r="G3332" i="3"/>
  <c r="L3331" i="3"/>
  <c r="K3331" i="3"/>
  <c r="J3331" i="3"/>
  <c r="I3331" i="3"/>
  <c r="H3331" i="3"/>
  <c r="G3331" i="3"/>
  <c r="L3330" i="3"/>
  <c r="K3330" i="3"/>
  <c r="J3330" i="3"/>
  <c r="I3330" i="3"/>
  <c r="H3330" i="3"/>
  <c r="G3330" i="3"/>
  <c r="L3329" i="3"/>
  <c r="K3329" i="3"/>
  <c r="J3329" i="3"/>
  <c r="I3329" i="3"/>
  <c r="H3329" i="3"/>
  <c r="G3329" i="3"/>
  <c r="L3328" i="3"/>
  <c r="K3328" i="3"/>
  <c r="J3328" i="3"/>
  <c r="I3328" i="3"/>
  <c r="H3328" i="3"/>
  <c r="G3328" i="3"/>
  <c r="L3327" i="3"/>
  <c r="K3327" i="3"/>
  <c r="J3327" i="3"/>
  <c r="I3327" i="3"/>
  <c r="H3327" i="3"/>
  <c r="G3327" i="3"/>
  <c r="L3326" i="3"/>
  <c r="K3326" i="3"/>
  <c r="J3326" i="3"/>
  <c r="I3326" i="3"/>
  <c r="H3326" i="3"/>
  <c r="G3326" i="3"/>
  <c r="L3325" i="3"/>
  <c r="K3325" i="3"/>
  <c r="J3325" i="3"/>
  <c r="I3325" i="3"/>
  <c r="H3325" i="3"/>
  <c r="G3325" i="3"/>
  <c r="L3324" i="3"/>
  <c r="K3324" i="3"/>
  <c r="J3324" i="3"/>
  <c r="I3324" i="3"/>
  <c r="H3324" i="3"/>
  <c r="G3324" i="3"/>
  <c r="L3323" i="3"/>
  <c r="K3323" i="3"/>
  <c r="J3323" i="3"/>
  <c r="I3323" i="3"/>
  <c r="H3323" i="3"/>
  <c r="G3323" i="3"/>
  <c r="L3322" i="3"/>
  <c r="K3322" i="3"/>
  <c r="J3322" i="3"/>
  <c r="I3322" i="3"/>
  <c r="H3322" i="3"/>
  <c r="G3322" i="3"/>
  <c r="L3321" i="3"/>
  <c r="K3321" i="3"/>
  <c r="J3321" i="3"/>
  <c r="I3321" i="3"/>
  <c r="H3321" i="3"/>
  <c r="G3321" i="3"/>
  <c r="L3320" i="3"/>
  <c r="K3320" i="3"/>
  <c r="J3320" i="3"/>
  <c r="I3320" i="3"/>
  <c r="H3320" i="3"/>
  <c r="G3320" i="3"/>
  <c r="L3319" i="3"/>
  <c r="K3319" i="3"/>
  <c r="J3319" i="3"/>
  <c r="I3319" i="3"/>
  <c r="H3319" i="3"/>
  <c r="G3319" i="3"/>
  <c r="L3318" i="3"/>
  <c r="K3318" i="3"/>
  <c r="J3318" i="3"/>
  <c r="I3318" i="3"/>
  <c r="M3318" i="3" s="1"/>
  <c r="H3318" i="3"/>
  <c r="G3318" i="3"/>
  <c r="L3317" i="3"/>
  <c r="K3317" i="3"/>
  <c r="J3317" i="3"/>
  <c r="I3317" i="3"/>
  <c r="H3317" i="3"/>
  <c r="G3317" i="3"/>
  <c r="L3316" i="3"/>
  <c r="K3316" i="3"/>
  <c r="J3316" i="3"/>
  <c r="I3316" i="3"/>
  <c r="H3316" i="3"/>
  <c r="G3316" i="3"/>
  <c r="L3315" i="3"/>
  <c r="K3315" i="3"/>
  <c r="J3315" i="3"/>
  <c r="I3315" i="3"/>
  <c r="H3315" i="3"/>
  <c r="G3315" i="3"/>
  <c r="L3314" i="3"/>
  <c r="K3314" i="3"/>
  <c r="J3314" i="3"/>
  <c r="I3314" i="3"/>
  <c r="H3314" i="3"/>
  <c r="G3314" i="3"/>
  <c r="L3313" i="3"/>
  <c r="K3313" i="3"/>
  <c r="J3313" i="3"/>
  <c r="I3313" i="3"/>
  <c r="H3313" i="3"/>
  <c r="G3313" i="3"/>
  <c r="L3312" i="3"/>
  <c r="K3312" i="3"/>
  <c r="J3312" i="3"/>
  <c r="I3312" i="3"/>
  <c r="H3312" i="3"/>
  <c r="G3312" i="3"/>
  <c r="L3311" i="3"/>
  <c r="K3311" i="3"/>
  <c r="J3311" i="3"/>
  <c r="I3311" i="3"/>
  <c r="H3311" i="3"/>
  <c r="G3311" i="3"/>
  <c r="L3310" i="3"/>
  <c r="K3310" i="3"/>
  <c r="J3310" i="3"/>
  <c r="I3310" i="3"/>
  <c r="H3310" i="3"/>
  <c r="G3310" i="3"/>
  <c r="L3309" i="3"/>
  <c r="K3309" i="3"/>
  <c r="J3309" i="3"/>
  <c r="I3309" i="3"/>
  <c r="H3309" i="3"/>
  <c r="G3309" i="3"/>
  <c r="L3308" i="3"/>
  <c r="K3308" i="3"/>
  <c r="J3308" i="3"/>
  <c r="I3308" i="3"/>
  <c r="H3308" i="3"/>
  <c r="G3308" i="3"/>
  <c r="L3307" i="3"/>
  <c r="K3307" i="3"/>
  <c r="M3307" i="3" s="1"/>
  <c r="J3307" i="3"/>
  <c r="I3307" i="3"/>
  <c r="H3307" i="3"/>
  <c r="G3307" i="3"/>
  <c r="L3306" i="3"/>
  <c r="K3306" i="3"/>
  <c r="J3306" i="3"/>
  <c r="I3306" i="3"/>
  <c r="H3306" i="3"/>
  <c r="G3306" i="3"/>
  <c r="L3305" i="3"/>
  <c r="K3305" i="3"/>
  <c r="J3305" i="3"/>
  <c r="I3305" i="3"/>
  <c r="H3305" i="3"/>
  <c r="G3305" i="3"/>
  <c r="L3304" i="3"/>
  <c r="K3304" i="3"/>
  <c r="J3304" i="3"/>
  <c r="I3304" i="3"/>
  <c r="H3304" i="3"/>
  <c r="G3304" i="3"/>
  <c r="O3303" i="3"/>
  <c r="L3303" i="3"/>
  <c r="K3303" i="3"/>
  <c r="J3303" i="3"/>
  <c r="I3303" i="3"/>
  <c r="H3303" i="3"/>
  <c r="G3303" i="3"/>
  <c r="L3302" i="3"/>
  <c r="K3302" i="3"/>
  <c r="J3302" i="3"/>
  <c r="M3302" i="3" s="1"/>
  <c r="I3302" i="3"/>
  <c r="H3302" i="3"/>
  <c r="G3302" i="3"/>
  <c r="L3301" i="3"/>
  <c r="K3301" i="3"/>
  <c r="J3301" i="3"/>
  <c r="I3301" i="3"/>
  <c r="H3301" i="3"/>
  <c r="M3301" i="3" s="1"/>
  <c r="G3301" i="3"/>
  <c r="L3300" i="3"/>
  <c r="K3300" i="3"/>
  <c r="J3300" i="3"/>
  <c r="I3300" i="3"/>
  <c r="H3300" i="3"/>
  <c r="G3300" i="3"/>
  <c r="L3299" i="3"/>
  <c r="K3299" i="3"/>
  <c r="J3299" i="3"/>
  <c r="I3299" i="3"/>
  <c r="H3299" i="3"/>
  <c r="G3299" i="3"/>
  <c r="L3298" i="3"/>
  <c r="K3298" i="3"/>
  <c r="J3298" i="3"/>
  <c r="I3298" i="3"/>
  <c r="H3298" i="3"/>
  <c r="G3298" i="3"/>
  <c r="L3297" i="3"/>
  <c r="K3297" i="3"/>
  <c r="J3297" i="3"/>
  <c r="I3297" i="3"/>
  <c r="H3297" i="3"/>
  <c r="M3297" i="3" s="1"/>
  <c r="G3297" i="3"/>
  <c r="L3296" i="3"/>
  <c r="K3296" i="3"/>
  <c r="J3296" i="3"/>
  <c r="I3296" i="3"/>
  <c r="H3296" i="3"/>
  <c r="G3296" i="3"/>
  <c r="L3295" i="3"/>
  <c r="K3295" i="3"/>
  <c r="J3295" i="3"/>
  <c r="I3295" i="3"/>
  <c r="H3295" i="3"/>
  <c r="G3295" i="3"/>
  <c r="L3294" i="3"/>
  <c r="K3294" i="3"/>
  <c r="J3294" i="3"/>
  <c r="M3294" i="3" s="1"/>
  <c r="I3294" i="3"/>
  <c r="H3294" i="3"/>
  <c r="G3294" i="3"/>
  <c r="L3293" i="3"/>
  <c r="K3293" i="3"/>
  <c r="J3293" i="3"/>
  <c r="I3293" i="3"/>
  <c r="H3293" i="3"/>
  <c r="M3293" i="3" s="1"/>
  <c r="G3293" i="3"/>
  <c r="L3292" i="3"/>
  <c r="K3292" i="3"/>
  <c r="J3292" i="3"/>
  <c r="I3292" i="3"/>
  <c r="H3292" i="3"/>
  <c r="G3292" i="3"/>
  <c r="L3291" i="3"/>
  <c r="K3291" i="3"/>
  <c r="J3291" i="3"/>
  <c r="I3291" i="3"/>
  <c r="H3291" i="3"/>
  <c r="G3291" i="3"/>
  <c r="L3290" i="3"/>
  <c r="K3290" i="3"/>
  <c r="J3290" i="3"/>
  <c r="M3290" i="3" s="1"/>
  <c r="I3290" i="3"/>
  <c r="H3290" i="3"/>
  <c r="G3290" i="3"/>
  <c r="L3289" i="3"/>
  <c r="K3289" i="3"/>
  <c r="J3289" i="3"/>
  <c r="I3289" i="3"/>
  <c r="H3289" i="3"/>
  <c r="M3289" i="3" s="1"/>
  <c r="G3289" i="3"/>
  <c r="L3288" i="3"/>
  <c r="K3288" i="3"/>
  <c r="J3288" i="3"/>
  <c r="I3288" i="3"/>
  <c r="H3288" i="3"/>
  <c r="G3288" i="3"/>
  <c r="L3287" i="3"/>
  <c r="K3287" i="3"/>
  <c r="J3287" i="3"/>
  <c r="I3287" i="3"/>
  <c r="H3287" i="3"/>
  <c r="G3287" i="3"/>
  <c r="L3286" i="3"/>
  <c r="K3286" i="3"/>
  <c r="J3286" i="3"/>
  <c r="M3286" i="3" s="1"/>
  <c r="I3286" i="3"/>
  <c r="H3286" i="3"/>
  <c r="G3286" i="3"/>
  <c r="L3285" i="3"/>
  <c r="K3285" i="3"/>
  <c r="J3285" i="3"/>
  <c r="I3285" i="3"/>
  <c r="H3285" i="3"/>
  <c r="G3285" i="3"/>
  <c r="L3284" i="3"/>
  <c r="K3284" i="3"/>
  <c r="J3284" i="3"/>
  <c r="I3284" i="3"/>
  <c r="H3284" i="3"/>
  <c r="G3284" i="3"/>
  <c r="L3283" i="3"/>
  <c r="K3283" i="3"/>
  <c r="J3283" i="3"/>
  <c r="I3283" i="3"/>
  <c r="H3283" i="3"/>
  <c r="G3283" i="3"/>
  <c r="L3282" i="3"/>
  <c r="K3282" i="3"/>
  <c r="J3282" i="3"/>
  <c r="I3282" i="3"/>
  <c r="H3282" i="3"/>
  <c r="G3282" i="3"/>
  <c r="L3281" i="3"/>
  <c r="K3281" i="3"/>
  <c r="J3281" i="3"/>
  <c r="I3281" i="3"/>
  <c r="H3281" i="3"/>
  <c r="M3281" i="3" s="1"/>
  <c r="G3281" i="3"/>
  <c r="L3280" i="3"/>
  <c r="K3280" i="3"/>
  <c r="J3280" i="3"/>
  <c r="I3280" i="3"/>
  <c r="H3280" i="3"/>
  <c r="G3280" i="3"/>
  <c r="L3279" i="3"/>
  <c r="K3279" i="3"/>
  <c r="J3279" i="3"/>
  <c r="I3279" i="3"/>
  <c r="H3279" i="3"/>
  <c r="G3279" i="3"/>
  <c r="L3278" i="3"/>
  <c r="K3278" i="3"/>
  <c r="J3278" i="3"/>
  <c r="I3278" i="3"/>
  <c r="H3278" i="3"/>
  <c r="G3278" i="3"/>
  <c r="L3277" i="3"/>
  <c r="K3277" i="3"/>
  <c r="J3277" i="3"/>
  <c r="I3277" i="3"/>
  <c r="H3277" i="3"/>
  <c r="M3277" i="3" s="1"/>
  <c r="G3277" i="3"/>
  <c r="L3276" i="3"/>
  <c r="K3276" i="3"/>
  <c r="J3276" i="3"/>
  <c r="I3276" i="3"/>
  <c r="H3276" i="3"/>
  <c r="G3276" i="3"/>
  <c r="L3275" i="3"/>
  <c r="K3275" i="3"/>
  <c r="J3275" i="3"/>
  <c r="I3275" i="3"/>
  <c r="H3275" i="3"/>
  <c r="G3275" i="3"/>
  <c r="L3274" i="3"/>
  <c r="K3274" i="3"/>
  <c r="J3274" i="3"/>
  <c r="I3274" i="3"/>
  <c r="H3274" i="3"/>
  <c r="G3274" i="3"/>
  <c r="L3273" i="3"/>
  <c r="K3273" i="3"/>
  <c r="J3273" i="3"/>
  <c r="I3273" i="3"/>
  <c r="H3273" i="3"/>
  <c r="G3273" i="3"/>
  <c r="L3272" i="3"/>
  <c r="K3272" i="3"/>
  <c r="J3272" i="3"/>
  <c r="I3272" i="3"/>
  <c r="H3272" i="3"/>
  <c r="G3272" i="3"/>
  <c r="L3271" i="3"/>
  <c r="K3271" i="3"/>
  <c r="J3271" i="3"/>
  <c r="I3271" i="3"/>
  <c r="H3271" i="3"/>
  <c r="G3271" i="3"/>
  <c r="L3270" i="3"/>
  <c r="K3270" i="3"/>
  <c r="J3270" i="3"/>
  <c r="I3270" i="3"/>
  <c r="H3270" i="3"/>
  <c r="G3270" i="3"/>
  <c r="O3269" i="3"/>
  <c r="L3269" i="3"/>
  <c r="K3269" i="3"/>
  <c r="J3269" i="3"/>
  <c r="I3269" i="3"/>
  <c r="M3269" i="3" s="1"/>
  <c r="H3269" i="3"/>
  <c r="G3269" i="3"/>
  <c r="L3268" i="3"/>
  <c r="K3268" i="3"/>
  <c r="J3268" i="3"/>
  <c r="I3268" i="3"/>
  <c r="H3268" i="3"/>
  <c r="G3268" i="3"/>
  <c r="L3267" i="3"/>
  <c r="K3267" i="3"/>
  <c r="J3267" i="3"/>
  <c r="I3267" i="3"/>
  <c r="H3267" i="3"/>
  <c r="G3267" i="3"/>
  <c r="L3266" i="3"/>
  <c r="K3266" i="3"/>
  <c r="J3266" i="3"/>
  <c r="I3266" i="3"/>
  <c r="H3266" i="3"/>
  <c r="G3266" i="3"/>
  <c r="L3265" i="3"/>
  <c r="K3265" i="3"/>
  <c r="J3265" i="3"/>
  <c r="I3265" i="3"/>
  <c r="H3265" i="3"/>
  <c r="G3265" i="3"/>
  <c r="L3264" i="3"/>
  <c r="K3264" i="3"/>
  <c r="J3264" i="3"/>
  <c r="I3264" i="3"/>
  <c r="H3264" i="3"/>
  <c r="G3264" i="3"/>
  <c r="L3263" i="3"/>
  <c r="K3263" i="3"/>
  <c r="J3263" i="3"/>
  <c r="I3263" i="3"/>
  <c r="H3263" i="3"/>
  <c r="G3263" i="3"/>
  <c r="L3262" i="3"/>
  <c r="K3262" i="3"/>
  <c r="M3262" i="3" s="1"/>
  <c r="J3262" i="3"/>
  <c r="I3262" i="3"/>
  <c r="H3262" i="3"/>
  <c r="G3262" i="3"/>
  <c r="L3261" i="3"/>
  <c r="K3261" i="3"/>
  <c r="J3261" i="3"/>
  <c r="I3261" i="3"/>
  <c r="H3261" i="3"/>
  <c r="G3261" i="3"/>
  <c r="L3260" i="3"/>
  <c r="K3260" i="3"/>
  <c r="J3260" i="3"/>
  <c r="I3260" i="3"/>
  <c r="H3260" i="3"/>
  <c r="G3260" i="3"/>
  <c r="M3260" i="3" s="1"/>
  <c r="L3259" i="3"/>
  <c r="K3259" i="3"/>
  <c r="J3259" i="3"/>
  <c r="I3259" i="3"/>
  <c r="H3259" i="3"/>
  <c r="G3259" i="3"/>
  <c r="L3258" i="3"/>
  <c r="K3258" i="3"/>
  <c r="M3258" i="3" s="1"/>
  <c r="J3258" i="3"/>
  <c r="I3258" i="3"/>
  <c r="H3258" i="3"/>
  <c r="G3258" i="3"/>
  <c r="L3257" i="3"/>
  <c r="K3257" i="3"/>
  <c r="J3257" i="3"/>
  <c r="I3257" i="3"/>
  <c r="H3257" i="3"/>
  <c r="G3257" i="3"/>
  <c r="L3256" i="3"/>
  <c r="K3256" i="3"/>
  <c r="J3256" i="3"/>
  <c r="I3256" i="3"/>
  <c r="H3256" i="3"/>
  <c r="G3256" i="3"/>
  <c r="L3255" i="3"/>
  <c r="K3255" i="3"/>
  <c r="J3255" i="3"/>
  <c r="I3255" i="3"/>
  <c r="H3255" i="3"/>
  <c r="G3255" i="3"/>
  <c r="L3254" i="3"/>
  <c r="K3254" i="3"/>
  <c r="J3254" i="3"/>
  <c r="I3254" i="3"/>
  <c r="H3254" i="3"/>
  <c r="G3254" i="3"/>
  <c r="L3253" i="3"/>
  <c r="K3253" i="3"/>
  <c r="J3253" i="3"/>
  <c r="I3253" i="3"/>
  <c r="M3253" i="3" s="1"/>
  <c r="H3253" i="3"/>
  <c r="G3253" i="3"/>
  <c r="L3252" i="3"/>
  <c r="K3252" i="3"/>
  <c r="J3252" i="3"/>
  <c r="I3252" i="3"/>
  <c r="H3252" i="3"/>
  <c r="G3252" i="3"/>
  <c r="L3251" i="3"/>
  <c r="K3251" i="3"/>
  <c r="J3251" i="3"/>
  <c r="I3251" i="3"/>
  <c r="H3251" i="3"/>
  <c r="G3251" i="3"/>
  <c r="L3250" i="3"/>
  <c r="K3250" i="3"/>
  <c r="M3250" i="3" s="1"/>
  <c r="J3250" i="3"/>
  <c r="I3250" i="3"/>
  <c r="H3250" i="3"/>
  <c r="G3250" i="3"/>
  <c r="L3249" i="3"/>
  <c r="K3249" i="3"/>
  <c r="J3249" i="3"/>
  <c r="I3249" i="3"/>
  <c r="H3249" i="3"/>
  <c r="G3249" i="3"/>
  <c r="L3248" i="3"/>
  <c r="K3248" i="3"/>
  <c r="J3248" i="3"/>
  <c r="I3248" i="3"/>
  <c r="H3248" i="3"/>
  <c r="G3248" i="3"/>
  <c r="L3247" i="3"/>
  <c r="K3247" i="3"/>
  <c r="J3247" i="3"/>
  <c r="I3247" i="3"/>
  <c r="H3247" i="3"/>
  <c r="G3247" i="3"/>
  <c r="L3246" i="3"/>
  <c r="K3246" i="3"/>
  <c r="M3246" i="3" s="1"/>
  <c r="J3246" i="3"/>
  <c r="I3246" i="3"/>
  <c r="H3246" i="3"/>
  <c r="G3246" i="3"/>
  <c r="L3245" i="3"/>
  <c r="K3245" i="3"/>
  <c r="J3245" i="3"/>
  <c r="I3245" i="3"/>
  <c r="H3245" i="3"/>
  <c r="G3245" i="3"/>
  <c r="L3244" i="3"/>
  <c r="K3244" i="3"/>
  <c r="J3244" i="3"/>
  <c r="I3244" i="3"/>
  <c r="H3244" i="3"/>
  <c r="G3244" i="3"/>
  <c r="L3243" i="3"/>
  <c r="K3243" i="3"/>
  <c r="J3243" i="3"/>
  <c r="I3243" i="3"/>
  <c r="H3243" i="3"/>
  <c r="G3243" i="3"/>
  <c r="L3242" i="3"/>
  <c r="K3242" i="3"/>
  <c r="M3242" i="3" s="1"/>
  <c r="J3242" i="3"/>
  <c r="I3242" i="3"/>
  <c r="H3242" i="3"/>
  <c r="G3242" i="3"/>
  <c r="L3241" i="3"/>
  <c r="K3241" i="3"/>
  <c r="J3241" i="3"/>
  <c r="I3241" i="3"/>
  <c r="H3241" i="3"/>
  <c r="G3241" i="3"/>
  <c r="L3240" i="3"/>
  <c r="K3240" i="3"/>
  <c r="J3240" i="3"/>
  <c r="I3240" i="3"/>
  <c r="H3240" i="3"/>
  <c r="G3240" i="3"/>
  <c r="L3239" i="3"/>
  <c r="K3239" i="3"/>
  <c r="J3239" i="3"/>
  <c r="I3239" i="3"/>
  <c r="H3239" i="3"/>
  <c r="G3239" i="3"/>
  <c r="L3238" i="3"/>
  <c r="K3238" i="3"/>
  <c r="J3238" i="3"/>
  <c r="I3238" i="3"/>
  <c r="H3238" i="3"/>
  <c r="G3238" i="3"/>
  <c r="L3237" i="3"/>
  <c r="K3237" i="3"/>
  <c r="J3237" i="3"/>
  <c r="I3237" i="3"/>
  <c r="M3237" i="3" s="1"/>
  <c r="H3237" i="3"/>
  <c r="G3237" i="3"/>
  <c r="L3236" i="3"/>
  <c r="K3236" i="3"/>
  <c r="J3236" i="3"/>
  <c r="I3236" i="3"/>
  <c r="H3236" i="3"/>
  <c r="G3236" i="3"/>
  <c r="O3235" i="3"/>
  <c r="L3235" i="3"/>
  <c r="K3235" i="3"/>
  <c r="J3235" i="3"/>
  <c r="I3235" i="3"/>
  <c r="H3235" i="3"/>
  <c r="G3235" i="3"/>
  <c r="L3234" i="3"/>
  <c r="K3234" i="3"/>
  <c r="J3234" i="3"/>
  <c r="I3234" i="3"/>
  <c r="H3234" i="3"/>
  <c r="G3234" i="3"/>
  <c r="L3233" i="3"/>
  <c r="K3233" i="3"/>
  <c r="J3233" i="3"/>
  <c r="I3233" i="3"/>
  <c r="H3233" i="3"/>
  <c r="G3233" i="3"/>
  <c r="L3232" i="3"/>
  <c r="K3232" i="3"/>
  <c r="J3232" i="3"/>
  <c r="I3232" i="3"/>
  <c r="H3232" i="3"/>
  <c r="G3232" i="3"/>
  <c r="L3231" i="3"/>
  <c r="K3231" i="3"/>
  <c r="J3231" i="3"/>
  <c r="I3231" i="3"/>
  <c r="H3231" i="3"/>
  <c r="G3231" i="3"/>
  <c r="L3230" i="3"/>
  <c r="K3230" i="3"/>
  <c r="J3230" i="3"/>
  <c r="I3230" i="3"/>
  <c r="H3230" i="3"/>
  <c r="G3230" i="3"/>
  <c r="L3229" i="3"/>
  <c r="K3229" i="3"/>
  <c r="J3229" i="3"/>
  <c r="I3229" i="3"/>
  <c r="H3229" i="3"/>
  <c r="G3229" i="3"/>
  <c r="L3228" i="3"/>
  <c r="K3228" i="3"/>
  <c r="J3228" i="3"/>
  <c r="I3228" i="3"/>
  <c r="H3228" i="3"/>
  <c r="G3228" i="3"/>
  <c r="L3227" i="3"/>
  <c r="K3227" i="3"/>
  <c r="J3227" i="3"/>
  <c r="I3227" i="3"/>
  <c r="H3227" i="3"/>
  <c r="G3227" i="3"/>
  <c r="L3226" i="3"/>
  <c r="K3226" i="3"/>
  <c r="J3226" i="3"/>
  <c r="I3226" i="3"/>
  <c r="H3226" i="3"/>
  <c r="G3226" i="3"/>
  <c r="L3225" i="3"/>
  <c r="K3225" i="3"/>
  <c r="J3225" i="3"/>
  <c r="I3225" i="3"/>
  <c r="H3225" i="3"/>
  <c r="G3225" i="3"/>
  <c r="L3224" i="3"/>
  <c r="K3224" i="3"/>
  <c r="J3224" i="3"/>
  <c r="I3224" i="3"/>
  <c r="H3224" i="3"/>
  <c r="G3224" i="3"/>
  <c r="L3223" i="3"/>
  <c r="K3223" i="3"/>
  <c r="J3223" i="3"/>
  <c r="I3223" i="3"/>
  <c r="H3223" i="3"/>
  <c r="G3223" i="3"/>
  <c r="L3222" i="3"/>
  <c r="K3222" i="3"/>
  <c r="J3222" i="3"/>
  <c r="I3222" i="3"/>
  <c r="H3222" i="3"/>
  <c r="G3222" i="3"/>
  <c r="L3221" i="3"/>
  <c r="K3221" i="3"/>
  <c r="J3221" i="3"/>
  <c r="M3221" i="3" s="1"/>
  <c r="I3221" i="3"/>
  <c r="H3221" i="3"/>
  <c r="G3221" i="3"/>
  <c r="L3220" i="3"/>
  <c r="K3220" i="3"/>
  <c r="J3220" i="3"/>
  <c r="I3220" i="3"/>
  <c r="H3220" i="3"/>
  <c r="G3220" i="3"/>
  <c r="L3219" i="3"/>
  <c r="K3219" i="3"/>
  <c r="J3219" i="3"/>
  <c r="I3219" i="3"/>
  <c r="H3219" i="3"/>
  <c r="G3219" i="3"/>
  <c r="L3218" i="3"/>
  <c r="K3218" i="3"/>
  <c r="J3218" i="3"/>
  <c r="I3218" i="3"/>
  <c r="H3218" i="3"/>
  <c r="G3218" i="3"/>
  <c r="L3217" i="3"/>
  <c r="K3217" i="3"/>
  <c r="J3217" i="3"/>
  <c r="I3217" i="3"/>
  <c r="H3217" i="3"/>
  <c r="G3217" i="3"/>
  <c r="L3216" i="3"/>
  <c r="K3216" i="3"/>
  <c r="J3216" i="3"/>
  <c r="I3216" i="3"/>
  <c r="H3216" i="3"/>
  <c r="G3216" i="3"/>
  <c r="L3215" i="3"/>
  <c r="K3215" i="3"/>
  <c r="J3215" i="3"/>
  <c r="I3215" i="3"/>
  <c r="H3215" i="3"/>
  <c r="G3215" i="3"/>
  <c r="L3214" i="3"/>
  <c r="K3214" i="3"/>
  <c r="J3214" i="3"/>
  <c r="I3214" i="3"/>
  <c r="H3214" i="3"/>
  <c r="G3214" i="3"/>
  <c r="L3213" i="3"/>
  <c r="K3213" i="3"/>
  <c r="J3213" i="3"/>
  <c r="I3213" i="3"/>
  <c r="H3213" i="3"/>
  <c r="G3213" i="3"/>
  <c r="L3212" i="3"/>
  <c r="K3212" i="3"/>
  <c r="J3212" i="3"/>
  <c r="I3212" i="3"/>
  <c r="H3212" i="3"/>
  <c r="G3212" i="3"/>
  <c r="L3211" i="3"/>
  <c r="K3211" i="3"/>
  <c r="J3211" i="3"/>
  <c r="I3211" i="3"/>
  <c r="H3211" i="3"/>
  <c r="G3211" i="3"/>
  <c r="L3210" i="3"/>
  <c r="K3210" i="3"/>
  <c r="J3210" i="3"/>
  <c r="I3210" i="3"/>
  <c r="H3210" i="3"/>
  <c r="G3210" i="3"/>
  <c r="L3209" i="3"/>
  <c r="K3209" i="3"/>
  <c r="J3209" i="3"/>
  <c r="I3209" i="3"/>
  <c r="H3209" i="3"/>
  <c r="G3209" i="3"/>
  <c r="L3208" i="3"/>
  <c r="K3208" i="3"/>
  <c r="J3208" i="3"/>
  <c r="I3208" i="3"/>
  <c r="H3208" i="3"/>
  <c r="G3208" i="3"/>
  <c r="L3207" i="3"/>
  <c r="K3207" i="3"/>
  <c r="J3207" i="3"/>
  <c r="I3207" i="3"/>
  <c r="H3207" i="3"/>
  <c r="G3207" i="3"/>
  <c r="L3206" i="3"/>
  <c r="K3206" i="3"/>
  <c r="J3206" i="3"/>
  <c r="I3206" i="3"/>
  <c r="H3206" i="3"/>
  <c r="G3206" i="3"/>
  <c r="L3205" i="3"/>
  <c r="K3205" i="3"/>
  <c r="J3205" i="3"/>
  <c r="I3205" i="3"/>
  <c r="H3205" i="3"/>
  <c r="G3205" i="3"/>
  <c r="L3204" i="3"/>
  <c r="K3204" i="3"/>
  <c r="J3204" i="3"/>
  <c r="I3204" i="3"/>
  <c r="H3204" i="3"/>
  <c r="M3204" i="3" s="1"/>
  <c r="G3204" i="3"/>
  <c r="L3203" i="3"/>
  <c r="K3203" i="3"/>
  <c r="J3203" i="3"/>
  <c r="I3203" i="3"/>
  <c r="H3203" i="3"/>
  <c r="G3203" i="3"/>
  <c r="L3202" i="3"/>
  <c r="K3202" i="3"/>
  <c r="J3202" i="3"/>
  <c r="I3202" i="3"/>
  <c r="H3202" i="3"/>
  <c r="G3202" i="3"/>
  <c r="O3201" i="3"/>
  <c r="L3201" i="3"/>
  <c r="K3201" i="3"/>
  <c r="J3201" i="3"/>
  <c r="I3201" i="3"/>
  <c r="H3201" i="3"/>
  <c r="G3201" i="3"/>
  <c r="L3200" i="3"/>
  <c r="K3200" i="3"/>
  <c r="J3200" i="3"/>
  <c r="I3200" i="3"/>
  <c r="M3200" i="3" s="1"/>
  <c r="H3200" i="3"/>
  <c r="G3200" i="3"/>
  <c r="L3199" i="3"/>
  <c r="K3199" i="3"/>
  <c r="J3199" i="3"/>
  <c r="I3199" i="3"/>
  <c r="H3199" i="3"/>
  <c r="G3199" i="3"/>
  <c r="L3198" i="3"/>
  <c r="K3198" i="3"/>
  <c r="J3198" i="3"/>
  <c r="I3198" i="3"/>
  <c r="H3198" i="3"/>
  <c r="G3198" i="3"/>
  <c r="M3198" i="3" s="1"/>
  <c r="L3197" i="3"/>
  <c r="K3197" i="3"/>
  <c r="J3197" i="3"/>
  <c r="I3197" i="3"/>
  <c r="H3197" i="3"/>
  <c r="G3197" i="3"/>
  <c r="L3196" i="3"/>
  <c r="K3196" i="3"/>
  <c r="J3196" i="3"/>
  <c r="I3196" i="3"/>
  <c r="H3196" i="3"/>
  <c r="G3196" i="3"/>
  <c r="L3195" i="3"/>
  <c r="K3195" i="3"/>
  <c r="J3195" i="3"/>
  <c r="I3195" i="3"/>
  <c r="H3195" i="3"/>
  <c r="G3195" i="3"/>
  <c r="L3194" i="3"/>
  <c r="K3194" i="3"/>
  <c r="J3194" i="3"/>
  <c r="I3194" i="3"/>
  <c r="H3194" i="3"/>
  <c r="G3194" i="3"/>
  <c r="M3194" i="3" s="1"/>
  <c r="L3193" i="3"/>
  <c r="K3193" i="3"/>
  <c r="J3193" i="3"/>
  <c r="I3193" i="3"/>
  <c r="H3193" i="3"/>
  <c r="G3193" i="3"/>
  <c r="L3192" i="3"/>
  <c r="K3192" i="3"/>
  <c r="J3192" i="3"/>
  <c r="I3192" i="3"/>
  <c r="H3192" i="3"/>
  <c r="G3192" i="3"/>
  <c r="L3191" i="3"/>
  <c r="K3191" i="3"/>
  <c r="J3191" i="3"/>
  <c r="I3191" i="3"/>
  <c r="H3191" i="3"/>
  <c r="G3191" i="3"/>
  <c r="L3190" i="3"/>
  <c r="K3190" i="3"/>
  <c r="J3190" i="3"/>
  <c r="I3190" i="3"/>
  <c r="H3190" i="3"/>
  <c r="G3190" i="3"/>
  <c r="M3190" i="3" s="1"/>
  <c r="L3189" i="3"/>
  <c r="K3189" i="3"/>
  <c r="J3189" i="3"/>
  <c r="I3189" i="3"/>
  <c r="H3189" i="3"/>
  <c r="G3189" i="3"/>
  <c r="L3188" i="3"/>
  <c r="K3188" i="3"/>
  <c r="J3188" i="3"/>
  <c r="I3188" i="3"/>
  <c r="M3188" i="3" s="1"/>
  <c r="H3188" i="3"/>
  <c r="G3188" i="3"/>
  <c r="L3187" i="3"/>
  <c r="K3187" i="3"/>
  <c r="J3187" i="3"/>
  <c r="I3187" i="3"/>
  <c r="H3187" i="3"/>
  <c r="G3187" i="3"/>
  <c r="L3186" i="3"/>
  <c r="K3186" i="3"/>
  <c r="J3186" i="3"/>
  <c r="I3186" i="3"/>
  <c r="H3186" i="3"/>
  <c r="G3186" i="3"/>
  <c r="M3186" i="3" s="1"/>
  <c r="L3185" i="3"/>
  <c r="K3185" i="3"/>
  <c r="M3185" i="3" s="1"/>
  <c r="J3185" i="3"/>
  <c r="I3185" i="3"/>
  <c r="H3185" i="3"/>
  <c r="G3185" i="3"/>
  <c r="L3184" i="3"/>
  <c r="K3184" i="3"/>
  <c r="J3184" i="3"/>
  <c r="I3184" i="3"/>
  <c r="H3184" i="3"/>
  <c r="G3184" i="3"/>
  <c r="L3183" i="3"/>
  <c r="K3183" i="3"/>
  <c r="J3183" i="3"/>
  <c r="I3183" i="3"/>
  <c r="H3183" i="3"/>
  <c r="G3183" i="3"/>
  <c r="L3182" i="3"/>
  <c r="K3182" i="3"/>
  <c r="J3182" i="3"/>
  <c r="I3182" i="3"/>
  <c r="H3182" i="3"/>
  <c r="G3182" i="3"/>
  <c r="L3181" i="3"/>
  <c r="K3181" i="3"/>
  <c r="M3181" i="3" s="1"/>
  <c r="J3181" i="3"/>
  <c r="I3181" i="3"/>
  <c r="H3181" i="3"/>
  <c r="G3181" i="3"/>
  <c r="L3180" i="3"/>
  <c r="K3180" i="3"/>
  <c r="J3180" i="3"/>
  <c r="I3180" i="3"/>
  <c r="H3180" i="3"/>
  <c r="G3180" i="3"/>
  <c r="L3179" i="3"/>
  <c r="K3179" i="3"/>
  <c r="J3179" i="3"/>
  <c r="I3179" i="3"/>
  <c r="H3179" i="3"/>
  <c r="G3179" i="3"/>
  <c r="M3179" i="3" s="1"/>
  <c r="L3178" i="3"/>
  <c r="K3178" i="3"/>
  <c r="J3178" i="3"/>
  <c r="I3178" i="3"/>
  <c r="H3178" i="3"/>
  <c r="G3178" i="3"/>
  <c r="M3178" i="3" s="1"/>
  <c r="L3177" i="3"/>
  <c r="K3177" i="3"/>
  <c r="M3177" i="3" s="1"/>
  <c r="J3177" i="3"/>
  <c r="I3177" i="3"/>
  <c r="H3177" i="3"/>
  <c r="G3177" i="3"/>
  <c r="L3176" i="3"/>
  <c r="K3176" i="3"/>
  <c r="J3176" i="3"/>
  <c r="I3176" i="3"/>
  <c r="H3176" i="3"/>
  <c r="G3176" i="3"/>
  <c r="L3175" i="3"/>
  <c r="K3175" i="3"/>
  <c r="J3175" i="3"/>
  <c r="I3175" i="3"/>
  <c r="H3175" i="3"/>
  <c r="G3175" i="3"/>
  <c r="L3174" i="3"/>
  <c r="K3174" i="3"/>
  <c r="J3174" i="3"/>
  <c r="I3174" i="3"/>
  <c r="H3174" i="3"/>
  <c r="G3174" i="3"/>
  <c r="M3174" i="3" s="1"/>
  <c r="L3173" i="3"/>
  <c r="K3173" i="3"/>
  <c r="J3173" i="3"/>
  <c r="I3173" i="3"/>
  <c r="H3173" i="3"/>
  <c r="G3173" i="3"/>
  <c r="L3172" i="3"/>
  <c r="K3172" i="3"/>
  <c r="J3172" i="3"/>
  <c r="I3172" i="3"/>
  <c r="H3172" i="3"/>
  <c r="G3172" i="3"/>
  <c r="L3171" i="3"/>
  <c r="K3171" i="3"/>
  <c r="J3171" i="3"/>
  <c r="I3171" i="3"/>
  <c r="H3171" i="3"/>
  <c r="G3171" i="3"/>
  <c r="L3170" i="3"/>
  <c r="K3170" i="3"/>
  <c r="J3170" i="3"/>
  <c r="I3170" i="3"/>
  <c r="H3170" i="3"/>
  <c r="G3170" i="3"/>
  <c r="M3170" i="3" s="1"/>
  <c r="L3169" i="3"/>
  <c r="K3169" i="3"/>
  <c r="M3169" i="3" s="1"/>
  <c r="J3169" i="3"/>
  <c r="I3169" i="3"/>
  <c r="H3169" i="3"/>
  <c r="G3169" i="3"/>
  <c r="L3168" i="3"/>
  <c r="K3168" i="3"/>
  <c r="J3168" i="3"/>
  <c r="I3168" i="3"/>
  <c r="H3168" i="3"/>
  <c r="G3168" i="3"/>
  <c r="O3167" i="3"/>
  <c r="L3167" i="3"/>
  <c r="K3167" i="3"/>
  <c r="J3167" i="3"/>
  <c r="I3167" i="3"/>
  <c r="H3167" i="3"/>
  <c r="G3167" i="3"/>
  <c r="L3166" i="3"/>
  <c r="K3166" i="3"/>
  <c r="J3166" i="3"/>
  <c r="I3166" i="3"/>
  <c r="H3166" i="3"/>
  <c r="G3166" i="3"/>
  <c r="L3165" i="3"/>
  <c r="K3165" i="3"/>
  <c r="J3165" i="3"/>
  <c r="I3165" i="3"/>
  <c r="H3165" i="3"/>
  <c r="G3165" i="3"/>
  <c r="L3164" i="3"/>
  <c r="K3164" i="3"/>
  <c r="J3164" i="3"/>
  <c r="I3164" i="3"/>
  <c r="H3164" i="3"/>
  <c r="G3164" i="3"/>
  <c r="L3163" i="3"/>
  <c r="K3163" i="3"/>
  <c r="J3163" i="3"/>
  <c r="I3163" i="3"/>
  <c r="H3163" i="3"/>
  <c r="M3163" i="3" s="1"/>
  <c r="G3163" i="3"/>
  <c r="L3162" i="3"/>
  <c r="K3162" i="3"/>
  <c r="J3162" i="3"/>
  <c r="I3162" i="3"/>
  <c r="H3162" i="3"/>
  <c r="G3162" i="3"/>
  <c r="L3161" i="3"/>
  <c r="M3161" i="3" s="1"/>
  <c r="K3161" i="3"/>
  <c r="J3161" i="3"/>
  <c r="I3161" i="3"/>
  <c r="H3161" i="3"/>
  <c r="G3161" i="3"/>
  <c r="L3160" i="3"/>
  <c r="K3160" i="3"/>
  <c r="J3160" i="3"/>
  <c r="I3160" i="3"/>
  <c r="H3160" i="3"/>
  <c r="G3160" i="3"/>
  <c r="L3159" i="3"/>
  <c r="K3159" i="3"/>
  <c r="J3159" i="3"/>
  <c r="I3159" i="3"/>
  <c r="H3159" i="3"/>
  <c r="G3159" i="3"/>
  <c r="L3158" i="3"/>
  <c r="K3158" i="3"/>
  <c r="J3158" i="3"/>
  <c r="I3158" i="3"/>
  <c r="H3158" i="3"/>
  <c r="G3158" i="3"/>
  <c r="L3157" i="3"/>
  <c r="M3157" i="3" s="1"/>
  <c r="K3157" i="3"/>
  <c r="J3157" i="3"/>
  <c r="I3157" i="3"/>
  <c r="H3157" i="3"/>
  <c r="G3157" i="3"/>
  <c r="L3156" i="3"/>
  <c r="K3156" i="3"/>
  <c r="J3156" i="3"/>
  <c r="I3156" i="3"/>
  <c r="H3156" i="3"/>
  <c r="G3156" i="3"/>
  <c r="L3155" i="3"/>
  <c r="K3155" i="3"/>
  <c r="J3155" i="3"/>
  <c r="I3155" i="3"/>
  <c r="H3155" i="3"/>
  <c r="G3155" i="3"/>
  <c r="L3154" i="3"/>
  <c r="K3154" i="3"/>
  <c r="J3154" i="3"/>
  <c r="I3154" i="3"/>
  <c r="H3154" i="3"/>
  <c r="G3154" i="3"/>
  <c r="L3153" i="3"/>
  <c r="M3153" i="3" s="1"/>
  <c r="K3153" i="3"/>
  <c r="J3153" i="3"/>
  <c r="I3153" i="3"/>
  <c r="H3153" i="3"/>
  <c r="G3153" i="3"/>
  <c r="L3152" i="3"/>
  <c r="K3152" i="3"/>
  <c r="J3152" i="3"/>
  <c r="I3152" i="3"/>
  <c r="H3152" i="3"/>
  <c r="G3152" i="3"/>
  <c r="L3151" i="3"/>
  <c r="K3151" i="3"/>
  <c r="J3151" i="3"/>
  <c r="I3151" i="3"/>
  <c r="H3151" i="3"/>
  <c r="G3151" i="3"/>
  <c r="L3150" i="3"/>
  <c r="K3150" i="3"/>
  <c r="J3150" i="3"/>
  <c r="I3150" i="3"/>
  <c r="H3150" i="3"/>
  <c r="G3150" i="3"/>
  <c r="L3149" i="3"/>
  <c r="K3149" i="3"/>
  <c r="J3149" i="3"/>
  <c r="I3149" i="3"/>
  <c r="H3149" i="3"/>
  <c r="G3149" i="3"/>
  <c r="L3148" i="3"/>
  <c r="K3148" i="3"/>
  <c r="J3148" i="3"/>
  <c r="I3148" i="3"/>
  <c r="H3148" i="3"/>
  <c r="G3148" i="3"/>
  <c r="L3147" i="3"/>
  <c r="K3147" i="3"/>
  <c r="J3147" i="3"/>
  <c r="I3147" i="3"/>
  <c r="H3147" i="3"/>
  <c r="G3147" i="3"/>
  <c r="L3146" i="3"/>
  <c r="K3146" i="3"/>
  <c r="J3146" i="3"/>
  <c r="I3146" i="3"/>
  <c r="H3146" i="3"/>
  <c r="G3146" i="3"/>
  <c r="L3145" i="3"/>
  <c r="K3145" i="3"/>
  <c r="J3145" i="3"/>
  <c r="I3145" i="3"/>
  <c r="H3145" i="3"/>
  <c r="G3145" i="3"/>
  <c r="L3144" i="3"/>
  <c r="K3144" i="3"/>
  <c r="J3144" i="3"/>
  <c r="I3144" i="3"/>
  <c r="H3144" i="3"/>
  <c r="G3144" i="3"/>
  <c r="L3143" i="3"/>
  <c r="K3143" i="3"/>
  <c r="J3143" i="3"/>
  <c r="I3143" i="3"/>
  <c r="H3143" i="3"/>
  <c r="G3143" i="3"/>
  <c r="L3142" i="3"/>
  <c r="K3142" i="3"/>
  <c r="J3142" i="3"/>
  <c r="I3142" i="3"/>
  <c r="H3142" i="3"/>
  <c r="G3142" i="3"/>
  <c r="L3141" i="3"/>
  <c r="K3141" i="3"/>
  <c r="J3141" i="3"/>
  <c r="I3141" i="3"/>
  <c r="H3141" i="3"/>
  <c r="G3141" i="3"/>
  <c r="L3140" i="3"/>
  <c r="K3140" i="3"/>
  <c r="J3140" i="3"/>
  <c r="I3140" i="3"/>
  <c r="H3140" i="3"/>
  <c r="G3140" i="3"/>
  <c r="L3139" i="3"/>
  <c r="K3139" i="3"/>
  <c r="J3139" i="3"/>
  <c r="I3139" i="3"/>
  <c r="H3139" i="3"/>
  <c r="G3139" i="3"/>
  <c r="L3138" i="3"/>
  <c r="K3138" i="3"/>
  <c r="J3138" i="3"/>
  <c r="I3138" i="3"/>
  <c r="H3138" i="3"/>
  <c r="G3138" i="3"/>
  <c r="L3137" i="3"/>
  <c r="K3137" i="3"/>
  <c r="J3137" i="3"/>
  <c r="I3137" i="3"/>
  <c r="H3137" i="3"/>
  <c r="G3137" i="3"/>
  <c r="L3136" i="3"/>
  <c r="K3136" i="3"/>
  <c r="J3136" i="3"/>
  <c r="I3136" i="3"/>
  <c r="H3136" i="3"/>
  <c r="G3136" i="3"/>
  <c r="L3135" i="3"/>
  <c r="K3135" i="3"/>
  <c r="J3135" i="3"/>
  <c r="I3135" i="3"/>
  <c r="H3135" i="3"/>
  <c r="G3135" i="3"/>
  <c r="L3134" i="3"/>
  <c r="K3134" i="3"/>
  <c r="J3134" i="3"/>
  <c r="I3134" i="3"/>
  <c r="H3134" i="3"/>
  <c r="G3134" i="3"/>
  <c r="O3133" i="3"/>
  <c r="L3133" i="3"/>
  <c r="K3133" i="3"/>
  <c r="J3133" i="3"/>
  <c r="I3133" i="3"/>
  <c r="H3133" i="3"/>
  <c r="G3133" i="3"/>
  <c r="M3133" i="3" s="1"/>
  <c r="L3132" i="3"/>
  <c r="K3132" i="3"/>
  <c r="J3132" i="3"/>
  <c r="I3132" i="3"/>
  <c r="H3132" i="3"/>
  <c r="G3132" i="3"/>
  <c r="L3131" i="3"/>
  <c r="K3131" i="3"/>
  <c r="J3131" i="3"/>
  <c r="I3131" i="3"/>
  <c r="H3131" i="3"/>
  <c r="G3131" i="3"/>
  <c r="L3130" i="3"/>
  <c r="K3130" i="3"/>
  <c r="J3130" i="3"/>
  <c r="I3130" i="3"/>
  <c r="H3130" i="3"/>
  <c r="G3130" i="3"/>
  <c r="L3129" i="3"/>
  <c r="K3129" i="3"/>
  <c r="J3129" i="3"/>
  <c r="I3129" i="3"/>
  <c r="H3129" i="3"/>
  <c r="G3129" i="3"/>
  <c r="L3128" i="3"/>
  <c r="K3128" i="3"/>
  <c r="M3128" i="3" s="1"/>
  <c r="J3128" i="3"/>
  <c r="I3128" i="3"/>
  <c r="H3128" i="3"/>
  <c r="G3128" i="3"/>
  <c r="L3127" i="3"/>
  <c r="K3127" i="3"/>
  <c r="J3127" i="3"/>
  <c r="I3127" i="3"/>
  <c r="M3127" i="3" s="1"/>
  <c r="H3127" i="3"/>
  <c r="G3127" i="3"/>
  <c r="L3126" i="3"/>
  <c r="K3126" i="3"/>
  <c r="J3126" i="3"/>
  <c r="I3126" i="3"/>
  <c r="H3126" i="3"/>
  <c r="G3126" i="3"/>
  <c r="L3125" i="3"/>
  <c r="K3125" i="3"/>
  <c r="J3125" i="3"/>
  <c r="I3125" i="3"/>
  <c r="H3125" i="3"/>
  <c r="G3125" i="3"/>
  <c r="M3125" i="3" s="1"/>
  <c r="L3124" i="3"/>
  <c r="K3124" i="3"/>
  <c r="J3124" i="3"/>
  <c r="I3124" i="3"/>
  <c r="H3124" i="3"/>
  <c r="G3124" i="3"/>
  <c r="L3123" i="3"/>
  <c r="K3123" i="3"/>
  <c r="J3123" i="3"/>
  <c r="I3123" i="3"/>
  <c r="H3123" i="3"/>
  <c r="G3123" i="3"/>
  <c r="L3122" i="3"/>
  <c r="K3122" i="3"/>
  <c r="J3122" i="3"/>
  <c r="I3122" i="3"/>
  <c r="H3122" i="3"/>
  <c r="G3122" i="3"/>
  <c r="L3121" i="3"/>
  <c r="K3121" i="3"/>
  <c r="J3121" i="3"/>
  <c r="I3121" i="3"/>
  <c r="H3121" i="3"/>
  <c r="G3121" i="3"/>
  <c r="M3121" i="3" s="1"/>
  <c r="L3120" i="3"/>
  <c r="K3120" i="3"/>
  <c r="M3120" i="3" s="1"/>
  <c r="J3120" i="3"/>
  <c r="I3120" i="3"/>
  <c r="H3120" i="3"/>
  <c r="G3120" i="3"/>
  <c r="L3119" i="3"/>
  <c r="K3119" i="3"/>
  <c r="J3119" i="3"/>
  <c r="I3119" i="3"/>
  <c r="M3119" i="3" s="1"/>
  <c r="H3119" i="3"/>
  <c r="G3119" i="3"/>
  <c r="L3118" i="3"/>
  <c r="K3118" i="3"/>
  <c r="J3118" i="3"/>
  <c r="I3118" i="3"/>
  <c r="H3118" i="3"/>
  <c r="G3118" i="3"/>
  <c r="L3117" i="3"/>
  <c r="K3117" i="3"/>
  <c r="J3117" i="3"/>
  <c r="I3117" i="3"/>
  <c r="H3117" i="3"/>
  <c r="G3117" i="3"/>
  <c r="M3117" i="3" s="1"/>
  <c r="L3116" i="3"/>
  <c r="K3116" i="3"/>
  <c r="J3116" i="3"/>
  <c r="I3116" i="3"/>
  <c r="H3116" i="3"/>
  <c r="G3116" i="3"/>
  <c r="L3115" i="3"/>
  <c r="K3115" i="3"/>
  <c r="J3115" i="3"/>
  <c r="I3115" i="3"/>
  <c r="H3115" i="3"/>
  <c r="G3115" i="3"/>
  <c r="L3114" i="3"/>
  <c r="K3114" i="3"/>
  <c r="J3114" i="3"/>
  <c r="I3114" i="3"/>
  <c r="H3114" i="3"/>
  <c r="G3114" i="3"/>
  <c r="L3113" i="3"/>
  <c r="K3113" i="3"/>
  <c r="J3113" i="3"/>
  <c r="I3113" i="3"/>
  <c r="H3113" i="3"/>
  <c r="G3113" i="3"/>
  <c r="L3112" i="3"/>
  <c r="K3112" i="3"/>
  <c r="J3112" i="3"/>
  <c r="I3112" i="3"/>
  <c r="H3112" i="3"/>
  <c r="G3112" i="3"/>
  <c r="L3111" i="3"/>
  <c r="K3111" i="3"/>
  <c r="J3111" i="3"/>
  <c r="I3111" i="3"/>
  <c r="H3111" i="3"/>
  <c r="G3111" i="3"/>
  <c r="L3110" i="3"/>
  <c r="K3110" i="3"/>
  <c r="J3110" i="3"/>
  <c r="I3110" i="3"/>
  <c r="H3110" i="3"/>
  <c r="G3110" i="3"/>
  <c r="M3110" i="3" s="1"/>
  <c r="L3109" i="3"/>
  <c r="K3109" i="3"/>
  <c r="J3109" i="3"/>
  <c r="I3109" i="3"/>
  <c r="H3109" i="3"/>
  <c r="G3109" i="3"/>
  <c r="L3108" i="3"/>
  <c r="K3108" i="3"/>
  <c r="J3108" i="3"/>
  <c r="I3108" i="3"/>
  <c r="H3108" i="3"/>
  <c r="G3108" i="3"/>
  <c r="L3107" i="3"/>
  <c r="K3107" i="3"/>
  <c r="J3107" i="3"/>
  <c r="I3107" i="3"/>
  <c r="H3107" i="3"/>
  <c r="G3107" i="3"/>
  <c r="L3106" i="3"/>
  <c r="K3106" i="3"/>
  <c r="J3106" i="3"/>
  <c r="I3106" i="3"/>
  <c r="H3106" i="3"/>
  <c r="G3106" i="3"/>
  <c r="L3105" i="3"/>
  <c r="K3105" i="3"/>
  <c r="J3105" i="3"/>
  <c r="I3105" i="3"/>
  <c r="H3105" i="3"/>
  <c r="G3105" i="3"/>
  <c r="L3104" i="3"/>
  <c r="K3104" i="3"/>
  <c r="J3104" i="3"/>
  <c r="I3104" i="3"/>
  <c r="H3104" i="3"/>
  <c r="G3104" i="3"/>
  <c r="L3103" i="3"/>
  <c r="K3103" i="3"/>
  <c r="J3103" i="3"/>
  <c r="I3103" i="3"/>
  <c r="H3103" i="3"/>
  <c r="G3103" i="3"/>
  <c r="L3102" i="3"/>
  <c r="K3102" i="3"/>
  <c r="J3102" i="3"/>
  <c r="I3102" i="3"/>
  <c r="H3102" i="3"/>
  <c r="G3102" i="3"/>
  <c r="L3101" i="3"/>
  <c r="K3101" i="3"/>
  <c r="J3101" i="3"/>
  <c r="I3101" i="3"/>
  <c r="H3101" i="3"/>
  <c r="G3101" i="3"/>
  <c r="M3101" i="3" s="1"/>
  <c r="L3100" i="3"/>
  <c r="K3100" i="3"/>
  <c r="J3100" i="3"/>
  <c r="I3100" i="3"/>
  <c r="H3100" i="3"/>
  <c r="G3100" i="3"/>
  <c r="O3099" i="3"/>
  <c r="L3099" i="3"/>
  <c r="K3099" i="3"/>
  <c r="J3099" i="3"/>
  <c r="I3099" i="3"/>
  <c r="H3099" i="3"/>
  <c r="G3099" i="3"/>
  <c r="L3098" i="3"/>
  <c r="K3098" i="3"/>
  <c r="J3098" i="3"/>
  <c r="I3098" i="3"/>
  <c r="H3098" i="3"/>
  <c r="G3098" i="3"/>
  <c r="L3097" i="3"/>
  <c r="K3097" i="3"/>
  <c r="J3097" i="3"/>
  <c r="I3097" i="3"/>
  <c r="H3097" i="3"/>
  <c r="G3097" i="3"/>
  <c r="L3096" i="3"/>
  <c r="K3096" i="3"/>
  <c r="J3096" i="3"/>
  <c r="I3096" i="3"/>
  <c r="H3096" i="3"/>
  <c r="G3096" i="3"/>
  <c r="L3095" i="3"/>
  <c r="K3095" i="3"/>
  <c r="J3095" i="3"/>
  <c r="I3095" i="3"/>
  <c r="H3095" i="3"/>
  <c r="G3095" i="3"/>
  <c r="L3094" i="3"/>
  <c r="K3094" i="3"/>
  <c r="J3094" i="3"/>
  <c r="I3094" i="3"/>
  <c r="H3094" i="3"/>
  <c r="G3094" i="3"/>
  <c r="L3093" i="3"/>
  <c r="K3093" i="3"/>
  <c r="J3093" i="3"/>
  <c r="I3093" i="3"/>
  <c r="H3093" i="3"/>
  <c r="G3093" i="3"/>
  <c r="L3092" i="3"/>
  <c r="K3092" i="3"/>
  <c r="J3092" i="3"/>
  <c r="I3092" i="3"/>
  <c r="H3092" i="3"/>
  <c r="G3092" i="3"/>
  <c r="L3091" i="3"/>
  <c r="K3091" i="3"/>
  <c r="J3091" i="3"/>
  <c r="I3091" i="3"/>
  <c r="H3091" i="3"/>
  <c r="G3091" i="3"/>
  <c r="L3090" i="3"/>
  <c r="K3090" i="3"/>
  <c r="J3090" i="3"/>
  <c r="I3090" i="3"/>
  <c r="H3090" i="3"/>
  <c r="G3090" i="3"/>
  <c r="L3089" i="3"/>
  <c r="K3089" i="3"/>
  <c r="J3089" i="3"/>
  <c r="I3089" i="3"/>
  <c r="H3089" i="3"/>
  <c r="G3089" i="3"/>
  <c r="L3088" i="3"/>
  <c r="M3088" i="3" s="1"/>
  <c r="K3088" i="3"/>
  <c r="J3088" i="3"/>
  <c r="I3088" i="3"/>
  <c r="H3088" i="3"/>
  <c r="G3088" i="3"/>
  <c r="L3087" i="3"/>
  <c r="K3087" i="3"/>
  <c r="J3087" i="3"/>
  <c r="I3087" i="3"/>
  <c r="H3087" i="3"/>
  <c r="G3087" i="3"/>
  <c r="L3086" i="3"/>
  <c r="K3086" i="3"/>
  <c r="J3086" i="3"/>
  <c r="I3086" i="3"/>
  <c r="H3086" i="3"/>
  <c r="G3086" i="3"/>
  <c r="L3085" i="3"/>
  <c r="K3085" i="3"/>
  <c r="J3085" i="3"/>
  <c r="I3085" i="3"/>
  <c r="H3085" i="3"/>
  <c r="G3085" i="3"/>
  <c r="L3084" i="3"/>
  <c r="K3084" i="3"/>
  <c r="J3084" i="3"/>
  <c r="I3084" i="3"/>
  <c r="H3084" i="3"/>
  <c r="G3084" i="3"/>
  <c r="L3083" i="3"/>
  <c r="K3083" i="3"/>
  <c r="J3083" i="3"/>
  <c r="I3083" i="3"/>
  <c r="H3083" i="3"/>
  <c r="G3083" i="3"/>
  <c r="L3082" i="3"/>
  <c r="K3082" i="3"/>
  <c r="J3082" i="3"/>
  <c r="I3082" i="3"/>
  <c r="H3082" i="3"/>
  <c r="G3082" i="3"/>
  <c r="L3081" i="3"/>
  <c r="K3081" i="3"/>
  <c r="J3081" i="3"/>
  <c r="I3081" i="3"/>
  <c r="H3081" i="3"/>
  <c r="G3081" i="3"/>
  <c r="L3080" i="3"/>
  <c r="K3080" i="3"/>
  <c r="J3080" i="3"/>
  <c r="I3080" i="3"/>
  <c r="H3080" i="3"/>
  <c r="G3080" i="3"/>
  <c r="L3079" i="3"/>
  <c r="K3079" i="3"/>
  <c r="J3079" i="3"/>
  <c r="I3079" i="3"/>
  <c r="H3079" i="3"/>
  <c r="G3079" i="3"/>
  <c r="L3078" i="3"/>
  <c r="K3078" i="3"/>
  <c r="J3078" i="3"/>
  <c r="I3078" i="3"/>
  <c r="H3078" i="3"/>
  <c r="G3078" i="3"/>
  <c r="L3077" i="3"/>
  <c r="K3077" i="3"/>
  <c r="J3077" i="3"/>
  <c r="I3077" i="3"/>
  <c r="H3077" i="3"/>
  <c r="G3077" i="3"/>
  <c r="L3076" i="3"/>
  <c r="M3076" i="3" s="1"/>
  <c r="K3076" i="3"/>
  <c r="J3076" i="3"/>
  <c r="I3076" i="3"/>
  <c r="H3076" i="3"/>
  <c r="G3076" i="3"/>
  <c r="L3075" i="3"/>
  <c r="K3075" i="3"/>
  <c r="J3075" i="3"/>
  <c r="I3075" i="3"/>
  <c r="H3075" i="3"/>
  <c r="G3075" i="3"/>
  <c r="L3074" i="3"/>
  <c r="K3074" i="3"/>
  <c r="J3074" i="3"/>
  <c r="I3074" i="3"/>
  <c r="H3074" i="3"/>
  <c r="G3074" i="3"/>
  <c r="L3073" i="3"/>
  <c r="K3073" i="3"/>
  <c r="J3073" i="3"/>
  <c r="I3073" i="3"/>
  <c r="H3073" i="3"/>
  <c r="G3073" i="3"/>
  <c r="L3072" i="3"/>
  <c r="K3072" i="3"/>
  <c r="J3072" i="3"/>
  <c r="I3072" i="3"/>
  <c r="H3072" i="3"/>
  <c r="G3072" i="3"/>
  <c r="L3071" i="3"/>
  <c r="K3071" i="3"/>
  <c r="J3071" i="3"/>
  <c r="I3071" i="3"/>
  <c r="H3071" i="3"/>
  <c r="G3071" i="3"/>
  <c r="L3070" i="3"/>
  <c r="K3070" i="3"/>
  <c r="J3070" i="3"/>
  <c r="I3070" i="3"/>
  <c r="H3070" i="3"/>
  <c r="G3070" i="3"/>
  <c r="L3069" i="3"/>
  <c r="K3069" i="3"/>
  <c r="J3069" i="3"/>
  <c r="I3069" i="3"/>
  <c r="H3069" i="3"/>
  <c r="G3069" i="3"/>
  <c r="L3068" i="3"/>
  <c r="M3068" i="3" s="1"/>
  <c r="K3068" i="3"/>
  <c r="J3068" i="3"/>
  <c r="I3068" i="3"/>
  <c r="H3068" i="3"/>
  <c r="G3068" i="3"/>
  <c r="L3067" i="3"/>
  <c r="K3067" i="3"/>
  <c r="J3067" i="3"/>
  <c r="I3067" i="3"/>
  <c r="H3067" i="3"/>
  <c r="G3067" i="3"/>
  <c r="L3066" i="3"/>
  <c r="K3066" i="3"/>
  <c r="J3066" i="3"/>
  <c r="I3066" i="3"/>
  <c r="H3066" i="3"/>
  <c r="G3066" i="3"/>
  <c r="O3065" i="3"/>
  <c r="L3065" i="3"/>
  <c r="K3065" i="3"/>
  <c r="J3065" i="3"/>
  <c r="I3065" i="3"/>
  <c r="H3065" i="3"/>
  <c r="G3065" i="3"/>
  <c r="L3064" i="3"/>
  <c r="K3064" i="3"/>
  <c r="J3064" i="3"/>
  <c r="I3064" i="3"/>
  <c r="H3064" i="3"/>
  <c r="G3064" i="3"/>
  <c r="L3063" i="3"/>
  <c r="K3063" i="3"/>
  <c r="J3063" i="3"/>
  <c r="I3063" i="3"/>
  <c r="H3063" i="3"/>
  <c r="G3063" i="3"/>
  <c r="L3062" i="3"/>
  <c r="K3062" i="3"/>
  <c r="J3062" i="3"/>
  <c r="I3062" i="3"/>
  <c r="H3062" i="3"/>
  <c r="G3062" i="3"/>
  <c r="L3061" i="3"/>
  <c r="K3061" i="3"/>
  <c r="J3061" i="3"/>
  <c r="I3061" i="3"/>
  <c r="H3061" i="3"/>
  <c r="G3061" i="3"/>
  <c r="L3060" i="3"/>
  <c r="K3060" i="3"/>
  <c r="J3060" i="3"/>
  <c r="I3060" i="3"/>
  <c r="H3060" i="3"/>
  <c r="G3060" i="3"/>
  <c r="L3059" i="3"/>
  <c r="K3059" i="3"/>
  <c r="J3059" i="3"/>
  <c r="I3059" i="3"/>
  <c r="H3059" i="3"/>
  <c r="G3059" i="3"/>
  <c r="L3058" i="3"/>
  <c r="K3058" i="3"/>
  <c r="J3058" i="3"/>
  <c r="I3058" i="3"/>
  <c r="H3058" i="3"/>
  <c r="G3058" i="3"/>
  <c r="L3057" i="3"/>
  <c r="K3057" i="3"/>
  <c r="J3057" i="3"/>
  <c r="I3057" i="3"/>
  <c r="H3057" i="3"/>
  <c r="G3057" i="3"/>
  <c r="L3056" i="3"/>
  <c r="K3056" i="3"/>
  <c r="J3056" i="3"/>
  <c r="I3056" i="3"/>
  <c r="H3056" i="3"/>
  <c r="G3056" i="3"/>
  <c r="L3055" i="3"/>
  <c r="K3055" i="3"/>
  <c r="J3055" i="3"/>
  <c r="I3055" i="3"/>
  <c r="H3055" i="3"/>
  <c r="G3055" i="3"/>
  <c r="L3054" i="3"/>
  <c r="K3054" i="3"/>
  <c r="J3054" i="3"/>
  <c r="I3054" i="3"/>
  <c r="H3054" i="3"/>
  <c r="G3054" i="3"/>
  <c r="L3053" i="3"/>
  <c r="K3053" i="3"/>
  <c r="J3053" i="3"/>
  <c r="I3053" i="3"/>
  <c r="H3053" i="3"/>
  <c r="G3053" i="3"/>
  <c r="L3052" i="3"/>
  <c r="K3052" i="3"/>
  <c r="J3052" i="3"/>
  <c r="I3052" i="3"/>
  <c r="H3052" i="3"/>
  <c r="G3052" i="3"/>
  <c r="M3052" i="3" s="1"/>
  <c r="L3051" i="3"/>
  <c r="K3051" i="3"/>
  <c r="J3051" i="3"/>
  <c r="I3051" i="3"/>
  <c r="H3051" i="3"/>
  <c r="G3051" i="3"/>
  <c r="L3050" i="3"/>
  <c r="K3050" i="3"/>
  <c r="J3050" i="3"/>
  <c r="I3050" i="3"/>
  <c r="H3050" i="3"/>
  <c r="G3050" i="3"/>
  <c r="L3049" i="3"/>
  <c r="K3049" i="3"/>
  <c r="J3049" i="3"/>
  <c r="I3049" i="3"/>
  <c r="H3049" i="3"/>
  <c r="G3049" i="3"/>
  <c r="L3048" i="3"/>
  <c r="K3048" i="3"/>
  <c r="J3048" i="3"/>
  <c r="I3048" i="3"/>
  <c r="H3048" i="3"/>
  <c r="G3048" i="3"/>
  <c r="L3047" i="3"/>
  <c r="K3047" i="3"/>
  <c r="M3047" i="3" s="1"/>
  <c r="J3047" i="3"/>
  <c r="I3047" i="3"/>
  <c r="H3047" i="3"/>
  <c r="G3047" i="3"/>
  <c r="L3046" i="3"/>
  <c r="K3046" i="3"/>
  <c r="J3046" i="3"/>
  <c r="I3046" i="3"/>
  <c r="H3046" i="3"/>
  <c r="G3046" i="3"/>
  <c r="L3045" i="3"/>
  <c r="K3045" i="3"/>
  <c r="J3045" i="3"/>
  <c r="I3045" i="3"/>
  <c r="H3045" i="3"/>
  <c r="G3045" i="3"/>
  <c r="L3044" i="3"/>
  <c r="K3044" i="3"/>
  <c r="J3044" i="3"/>
  <c r="I3044" i="3"/>
  <c r="H3044" i="3"/>
  <c r="G3044" i="3"/>
  <c r="M3044" i="3" s="1"/>
  <c r="L3043" i="3"/>
  <c r="K3043" i="3"/>
  <c r="J3043" i="3"/>
  <c r="I3043" i="3"/>
  <c r="H3043" i="3"/>
  <c r="G3043" i="3"/>
  <c r="L3042" i="3"/>
  <c r="K3042" i="3"/>
  <c r="J3042" i="3"/>
  <c r="I3042" i="3"/>
  <c r="H3042" i="3"/>
  <c r="G3042" i="3"/>
  <c r="L3041" i="3"/>
  <c r="K3041" i="3"/>
  <c r="J3041" i="3"/>
  <c r="I3041" i="3"/>
  <c r="H3041" i="3"/>
  <c r="G3041" i="3"/>
  <c r="L3040" i="3"/>
  <c r="K3040" i="3"/>
  <c r="J3040" i="3"/>
  <c r="I3040" i="3"/>
  <c r="H3040" i="3"/>
  <c r="G3040" i="3"/>
  <c r="L3039" i="3"/>
  <c r="K3039" i="3"/>
  <c r="J3039" i="3"/>
  <c r="I3039" i="3"/>
  <c r="H3039" i="3"/>
  <c r="G3039" i="3"/>
  <c r="L3038" i="3"/>
  <c r="K3038" i="3"/>
  <c r="J3038" i="3"/>
  <c r="I3038" i="3"/>
  <c r="H3038" i="3"/>
  <c r="G3038" i="3"/>
  <c r="L3037" i="3"/>
  <c r="K3037" i="3"/>
  <c r="J3037" i="3"/>
  <c r="I3037" i="3"/>
  <c r="H3037" i="3"/>
  <c r="G3037" i="3"/>
  <c r="L3036" i="3"/>
  <c r="K3036" i="3"/>
  <c r="J3036" i="3"/>
  <c r="I3036" i="3"/>
  <c r="H3036" i="3"/>
  <c r="G3036" i="3"/>
  <c r="L3035" i="3"/>
  <c r="K3035" i="3"/>
  <c r="J3035" i="3"/>
  <c r="I3035" i="3"/>
  <c r="H3035" i="3"/>
  <c r="G3035" i="3"/>
  <c r="L3034" i="3"/>
  <c r="K3034" i="3"/>
  <c r="J3034" i="3"/>
  <c r="I3034" i="3"/>
  <c r="H3034" i="3"/>
  <c r="G3034" i="3"/>
  <c r="L3033" i="3"/>
  <c r="K3033" i="3"/>
  <c r="J3033" i="3"/>
  <c r="I3033" i="3"/>
  <c r="H3033" i="3"/>
  <c r="G3033" i="3"/>
  <c r="L3032" i="3"/>
  <c r="K3032" i="3"/>
  <c r="J3032" i="3"/>
  <c r="I3032" i="3"/>
  <c r="H3032" i="3"/>
  <c r="G3032" i="3"/>
  <c r="M3032" i="3" s="1"/>
  <c r="O3031" i="3"/>
  <c r="L3031" i="3"/>
  <c r="K3031" i="3"/>
  <c r="J3031" i="3"/>
  <c r="I3031" i="3"/>
  <c r="H3031" i="3"/>
  <c r="G3031" i="3"/>
  <c r="L3030" i="3"/>
  <c r="K3030" i="3"/>
  <c r="J3030" i="3"/>
  <c r="I3030" i="3"/>
  <c r="H3030" i="3"/>
  <c r="G3030" i="3"/>
  <c r="L3029" i="3"/>
  <c r="K3029" i="3"/>
  <c r="J3029" i="3"/>
  <c r="I3029" i="3"/>
  <c r="H3029" i="3"/>
  <c r="G3029" i="3"/>
  <c r="L3028" i="3"/>
  <c r="K3028" i="3"/>
  <c r="J3028" i="3"/>
  <c r="I3028" i="3"/>
  <c r="H3028" i="3"/>
  <c r="G3028" i="3"/>
  <c r="L3027" i="3"/>
  <c r="K3027" i="3"/>
  <c r="J3027" i="3"/>
  <c r="I3027" i="3"/>
  <c r="H3027" i="3"/>
  <c r="G3027" i="3"/>
  <c r="L3026" i="3"/>
  <c r="K3026" i="3"/>
  <c r="J3026" i="3"/>
  <c r="I3026" i="3"/>
  <c r="H3026" i="3"/>
  <c r="G3026" i="3"/>
  <c r="L3025" i="3"/>
  <c r="K3025" i="3"/>
  <c r="J3025" i="3"/>
  <c r="I3025" i="3"/>
  <c r="H3025" i="3"/>
  <c r="G3025" i="3"/>
  <c r="L3024" i="3"/>
  <c r="K3024" i="3"/>
  <c r="J3024" i="3"/>
  <c r="I3024" i="3"/>
  <c r="H3024" i="3"/>
  <c r="G3024" i="3"/>
  <c r="L3023" i="3"/>
  <c r="K3023" i="3"/>
  <c r="J3023" i="3"/>
  <c r="I3023" i="3"/>
  <c r="H3023" i="3"/>
  <c r="G3023" i="3"/>
  <c r="L3022" i="3"/>
  <c r="K3022" i="3"/>
  <c r="J3022" i="3"/>
  <c r="I3022" i="3"/>
  <c r="H3022" i="3"/>
  <c r="G3022" i="3"/>
  <c r="L3021" i="3"/>
  <c r="K3021" i="3"/>
  <c r="J3021" i="3"/>
  <c r="I3021" i="3"/>
  <c r="H3021" i="3"/>
  <c r="G3021" i="3"/>
  <c r="L3020" i="3"/>
  <c r="K3020" i="3"/>
  <c r="J3020" i="3"/>
  <c r="I3020" i="3"/>
  <c r="H3020" i="3"/>
  <c r="M3020" i="3" s="1"/>
  <c r="G3020" i="3"/>
  <c r="L3019" i="3"/>
  <c r="K3019" i="3"/>
  <c r="J3019" i="3"/>
  <c r="I3019" i="3"/>
  <c r="H3019" i="3"/>
  <c r="G3019" i="3"/>
  <c r="L3018" i="3"/>
  <c r="K3018" i="3"/>
  <c r="J3018" i="3"/>
  <c r="I3018" i="3"/>
  <c r="H3018" i="3"/>
  <c r="G3018" i="3"/>
  <c r="L3017" i="3"/>
  <c r="K3017" i="3"/>
  <c r="J3017" i="3"/>
  <c r="I3017" i="3"/>
  <c r="H3017" i="3"/>
  <c r="G3017" i="3"/>
  <c r="L3016" i="3"/>
  <c r="K3016" i="3"/>
  <c r="J3016" i="3"/>
  <c r="I3016" i="3"/>
  <c r="H3016" i="3"/>
  <c r="G3016" i="3"/>
  <c r="L3015" i="3"/>
  <c r="K3015" i="3"/>
  <c r="J3015" i="3"/>
  <c r="I3015" i="3"/>
  <c r="H3015" i="3"/>
  <c r="G3015" i="3"/>
  <c r="L3014" i="3"/>
  <c r="K3014" i="3"/>
  <c r="J3014" i="3"/>
  <c r="I3014" i="3"/>
  <c r="H3014" i="3"/>
  <c r="G3014" i="3"/>
  <c r="L3013" i="3"/>
  <c r="K3013" i="3"/>
  <c r="J3013" i="3"/>
  <c r="I3013" i="3"/>
  <c r="H3013" i="3"/>
  <c r="G3013" i="3"/>
  <c r="L3012" i="3"/>
  <c r="K3012" i="3"/>
  <c r="J3012" i="3"/>
  <c r="I3012" i="3"/>
  <c r="H3012" i="3"/>
  <c r="G3012" i="3"/>
  <c r="L3011" i="3"/>
  <c r="K3011" i="3"/>
  <c r="J3011" i="3"/>
  <c r="I3011" i="3"/>
  <c r="H3011" i="3"/>
  <c r="G3011" i="3"/>
  <c r="L3010" i="3"/>
  <c r="K3010" i="3"/>
  <c r="J3010" i="3"/>
  <c r="I3010" i="3"/>
  <c r="H3010" i="3"/>
  <c r="G3010" i="3"/>
  <c r="L3009" i="3"/>
  <c r="K3009" i="3"/>
  <c r="J3009" i="3"/>
  <c r="I3009" i="3"/>
  <c r="H3009" i="3"/>
  <c r="G3009" i="3"/>
  <c r="L3008" i="3"/>
  <c r="K3008" i="3"/>
  <c r="J3008" i="3"/>
  <c r="I3008" i="3"/>
  <c r="H3008" i="3"/>
  <c r="G3008" i="3"/>
  <c r="L3007" i="3"/>
  <c r="K3007" i="3"/>
  <c r="J3007" i="3"/>
  <c r="I3007" i="3"/>
  <c r="H3007" i="3"/>
  <c r="G3007" i="3"/>
  <c r="L3006" i="3"/>
  <c r="K3006" i="3"/>
  <c r="J3006" i="3"/>
  <c r="I3006" i="3"/>
  <c r="H3006" i="3"/>
  <c r="G3006" i="3"/>
  <c r="L3005" i="3"/>
  <c r="K3005" i="3"/>
  <c r="J3005" i="3"/>
  <c r="I3005" i="3"/>
  <c r="H3005" i="3"/>
  <c r="G3005" i="3"/>
  <c r="L3004" i="3"/>
  <c r="K3004" i="3"/>
  <c r="J3004" i="3"/>
  <c r="I3004" i="3"/>
  <c r="H3004" i="3"/>
  <c r="G3004" i="3"/>
  <c r="L3003" i="3"/>
  <c r="K3003" i="3"/>
  <c r="J3003" i="3"/>
  <c r="I3003" i="3"/>
  <c r="H3003" i="3"/>
  <c r="G3003" i="3"/>
  <c r="L3002" i="3"/>
  <c r="K3002" i="3"/>
  <c r="J3002" i="3"/>
  <c r="I3002" i="3"/>
  <c r="H3002" i="3"/>
  <c r="G3002" i="3"/>
  <c r="L3001" i="3"/>
  <c r="K3001" i="3"/>
  <c r="J3001" i="3"/>
  <c r="I3001" i="3"/>
  <c r="H3001" i="3"/>
  <c r="G3001" i="3"/>
  <c r="L3000" i="3"/>
  <c r="K3000" i="3"/>
  <c r="J3000" i="3"/>
  <c r="I3000" i="3"/>
  <c r="H3000" i="3"/>
  <c r="M3000" i="3" s="1"/>
  <c r="G3000" i="3"/>
  <c r="L2999" i="3"/>
  <c r="K2999" i="3"/>
  <c r="J2999" i="3"/>
  <c r="I2999" i="3"/>
  <c r="H2999" i="3"/>
  <c r="G2999" i="3"/>
  <c r="L2998" i="3"/>
  <c r="K2998" i="3"/>
  <c r="J2998" i="3"/>
  <c r="I2998" i="3"/>
  <c r="H2998" i="3"/>
  <c r="G2998" i="3"/>
  <c r="O2997" i="3"/>
  <c r="L2997" i="3"/>
  <c r="K2997" i="3"/>
  <c r="J2997" i="3"/>
  <c r="I2997" i="3"/>
  <c r="H2997" i="3"/>
  <c r="G2997" i="3"/>
  <c r="L2996" i="3"/>
  <c r="K2996" i="3"/>
  <c r="J2996" i="3"/>
  <c r="I2996" i="3"/>
  <c r="H2996" i="3"/>
  <c r="G2996" i="3"/>
  <c r="L2995" i="3"/>
  <c r="K2995" i="3"/>
  <c r="J2995" i="3"/>
  <c r="I2995" i="3"/>
  <c r="H2995" i="3"/>
  <c r="G2995" i="3"/>
  <c r="L2994" i="3"/>
  <c r="K2994" i="3"/>
  <c r="J2994" i="3"/>
  <c r="I2994" i="3"/>
  <c r="H2994" i="3"/>
  <c r="G2994" i="3"/>
  <c r="L2993" i="3"/>
  <c r="K2993" i="3"/>
  <c r="J2993" i="3"/>
  <c r="I2993" i="3"/>
  <c r="H2993" i="3"/>
  <c r="G2993" i="3"/>
  <c r="L2992" i="3"/>
  <c r="K2992" i="3"/>
  <c r="J2992" i="3"/>
  <c r="I2992" i="3"/>
  <c r="H2992" i="3"/>
  <c r="G2992" i="3"/>
  <c r="L2991" i="3"/>
  <c r="K2991" i="3"/>
  <c r="J2991" i="3"/>
  <c r="I2991" i="3"/>
  <c r="H2991" i="3"/>
  <c r="G2991" i="3"/>
  <c r="L2990" i="3"/>
  <c r="K2990" i="3"/>
  <c r="J2990" i="3"/>
  <c r="I2990" i="3"/>
  <c r="H2990" i="3"/>
  <c r="G2990" i="3"/>
  <c r="L2989" i="3"/>
  <c r="K2989" i="3"/>
  <c r="J2989" i="3"/>
  <c r="I2989" i="3"/>
  <c r="H2989" i="3"/>
  <c r="G2989" i="3"/>
  <c r="L2988" i="3"/>
  <c r="K2988" i="3"/>
  <c r="J2988" i="3"/>
  <c r="I2988" i="3"/>
  <c r="H2988" i="3"/>
  <c r="G2988" i="3"/>
  <c r="L2987" i="3"/>
  <c r="K2987" i="3"/>
  <c r="J2987" i="3"/>
  <c r="I2987" i="3"/>
  <c r="H2987" i="3"/>
  <c r="G2987" i="3"/>
  <c r="L2986" i="3"/>
  <c r="K2986" i="3"/>
  <c r="J2986" i="3"/>
  <c r="I2986" i="3"/>
  <c r="H2986" i="3"/>
  <c r="G2986" i="3"/>
  <c r="L2985" i="3"/>
  <c r="K2985" i="3"/>
  <c r="J2985" i="3"/>
  <c r="I2985" i="3"/>
  <c r="H2985" i="3"/>
  <c r="G2985" i="3"/>
  <c r="L2984" i="3"/>
  <c r="K2984" i="3"/>
  <c r="J2984" i="3"/>
  <c r="I2984" i="3"/>
  <c r="H2984" i="3"/>
  <c r="G2984" i="3"/>
  <c r="L2983" i="3"/>
  <c r="K2983" i="3"/>
  <c r="J2983" i="3"/>
  <c r="I2983" i="3"/>
  <c r="H2983" i="3"/>
  <c r="G2983" i="3"/>
  <c r="L2982" i="3"/>
  <c r="K2982" i="3"/>
  <c r="J2982" i="3"/>
  <c r="I2982" i="3"/>
  <c r="H2982" i="3"/>
  <c r="G2982" i="3"/>
  <c r="L2981" i="3"/>
  <c r="K2981" i="3"/>
  <c r="J2981" i="3"/>
  <c r="I2981" i="3"/>
  <c r="H2981" i="3"/>
  <c r="G2981" i="3"/>
  <c r="L2980" i="3"/>
  <c r="K2980" i="3"/>
  <c r="J2980" i="3"/>
  <c r="I2980" i="3"/>
  <c r="H2980" i="3"/>
  <c r="G2980" i="3"/>
  <c r="L2979" i="3"/>
  <c r="K2979" i="3"/>
  <c r="J2979" i="3"/>
  <c r="I2979" i="3"/>
  <c r="H2979" i="3"/>
  <c r="G2979" i="3"/>
  <c r="L2978" i="3"/>
  <c r="K2978" i="3"/>
  <c r="J2978" i="3"/>
  <c r="I2978" i="3"/>
  <c r="H2978" i="3"/>
  <c r="G2978" i="3"/>
  <c r="L2977" i="3"/>
  <c r="K2977" i="3"/>
  <c r="J2977" i="3"/>
  <c r="I2977" i="3"/>
  <c r="H2977" i="3"/>
  <c r="G2977" i="3"/>
  <c r="L2976" i="3"/>
  <c r="K2976" i="3"/>
  <c r="J2976" i="3"/>
  <c r="I2976" i="3"/>
  <c r="H2976" i="3"/>
  <c r="G2976" i="3"/>
  <c r="L2975" i="3"/>
  <c r="K2975" i="3"/>
  <c r="J2975" i="3"/>
  <c r="I2975" i="3"/>
  <c r="H2975" i="3"/>
  <c r="G2975" i="3"/>
  <c r="L2974" i="3"/>
  <c r="K2974" i="3"/>
  <c r="J2974" i="3"/>
  <c r="I2974" i="3"/>
  <c r="H2974" i="3"/>
  <c r="G2974" i="3"/>
  <c r="L2973" i="3"/>
  <c r="K2973" i="3"/>
  <c r="J2973" i="3"/>
  <c r="I2973" i="3"/>
  <c r="H2973" i="3"/>
  <c r="G2973" i="3"/>
  <c r="L2972" i="3"/>
  <c r="K2972" i="3"/>
  <c r="J2972" i="3"/>
  <c r="I2972" i="3"/>
  <c r="H2972" i="3"/>
  <c r="G2972" i="3"/>
  <c r="L2971" i="3"/>
  <c r="K2971" i="3"/>
  <c r="J2971" i="3"/>
  <c r="I2971" i="3"/>
  <c r="H2971" i="3"/>
  <c r="G2971" i="3"/>
  <c r="L2970" i="3"/>
  <c r="K2970" i="3"/>
  <c r="J2970" i="3"/>
  <c r="I2970" i="3"/>
  <c r="H2970" i="3"/>
  <c r="G2970" i="3"/>
  <c r="L2969" i="3"/>
  <c r="K2969" i="3"/>
  <c r="J2969" i="3"/>
  <c r="I2969" i="3"/>
  <c r="H2969" i="3"/>
  <c r="G2969" i="3"/>
  <c r="L2968" i="3"/>
  <c r="K2968" i="3"/>
  <c r="J2968" i="3"/>
  <c r="I2968" i="3"/>
  <c r="H2968" i="3"/>
  <c r="G2968" i="3"/>
  <c r="L2967" i="3"/>
  <c r="K2967" i="3"/>
  <c r="J2967" i="3"/>
  <c r="I2967" i="3"/>
  <c r="H2967" i="3"/>
  <c r="G2967" i="3"/>
  <c r="L2966" i="3"/>
  <c r="K2966" i="3"/>
  <c r="J2966" i="3"/>
  <c r="I2966" i="3"/>
  <c r="H2966" i="3"/>
  <c r="G2966" i="3"/>
  <c r="L2965" i="3"/>
  <c r="K2965" i="3"/>
  <c r="J2965" i="3"/>
  <c r="I2965" i="3"/>
  <c r="H2965" i="3"/>
  <c r="G2965" i="3"/>
  <c r="L2964" i="3"/>
  <c r="K2964" i="3"/>
  <c r="J2964" i="3"/>
  <c r="I2964" i="3"/>
  <c r="H2964" i="3"/>
  <c r="G2964" i="3"/>
  <c r="M3677" i="3"/>
  <c r="M3676" i="3"/>
  <c r="M3675" i="3"/>
  <c r="M3674" i="3"/>
  <c r="M3671" i="3"/>
  <c r="M3670" i="3"/>
  <c r="M3668" i="3"/>
  <c r="M3667" i="3"/>
  <c r="M3666" i="3"/>
  <c r="M3665" i="3"/>
  <c r="M3664" i="3"/>
  <c r="M3662" i="3"/>
  <c r="M3661" i="3"/>
  <c r="M3660" i="3"/>
  <c r="M3659" i="3"/>
  <c r="M3658" i="3"/>
  <c r="M3657" i="3"/>
  <c r="M3656" i="3"/>
  <c r="M3653" i="3"/>
  <c r="M3652" i="3"/>
  <c r="M3651" i="3"/>
  <c r="M3650" i="3"/>
  <c r="M3649" i="3"/>
  <c r="M3648" i="3"/>
  <c r="M3647" i="3"/>
  <c r="M3644" i="3"/>
  <c r="M3625" i="3"/>
  <c r="M3624" i="3"/>
  <c r="M3604" i="3"/>
  <c r="M3592" i="3"/>
  <c r="M3586" i="3"/>
  <c r="M3576" i="3"/>
  <c r="M3523" i="3"/>
  <c r="M3472" i="3"/>
  <c r="M3470" i="3"/>
  <c r="M3463" i="3"/>
  <c r="M3462" i="3"/>
  <c r="M3454" i="3"/>
  <c r="M3453" i="3"/>
  <c r="M3446" i="3"/>
  <c r="M3441" i="3"/>
  <c r="M3437" i="3"/>
  <c r="M3430" i="3"/>
  <c r="M3429" i="3"/>
  <c r="M3421" i="3"/>
  <c r="M3418" i="3"/>
  <c r="M3413" i="3"/>
  <c r="M3405" i="3"/>
  <c r="M3401" i="3"/>
  <c r="M3397" i="3"/>
  <c r="M3396" i="3"/>
  <c r="M3393" i="3"/>
  <c r="M3389" i="3"/>
  <c r="M3377" i="3"/>
  <c r="M3373" i="3"/>
  <c r="M3340" i="3"/>
  <c r="M3332" i="3"/>
  <c r="M3328" i="3"/>
  <c r="M3300" i="3"/>
  <c r="M3295" i="3"/>
  <c r="M3285" i="3"/>
  <c r="M3266" i="3"/>
  <c r="M3255" i="3"/>
  <c r="M3244" i="3"/>
  <c r="M3239" i="3"/>
  <c r="M3209" i="3"/>
  <c r="M3173" i="3"/>
  <c r="M3149" i="3"/>
  <c r="M3109" i="3"/>
  <c r="M3029" i="3"/>
  <c r="M3027" i="3"/>
  <c r="M2978" i="3"/>
  <c r="O2963" i="3"/>
  <c r="L2963" i="3"/>
  <c r="K2963" i="3"/>
  <c r="J2963" i="3"/>
  <c r="I2963" i="3"/>
  <c r="H2963" i="3"/>
  <c r="M2963" i="3" s="1"/>
  <c r="G2963" i="3"/>
  <c r="L2962" i="3"/>
  <c r="M2962" i="3" s="1"/>
  <c r="K2962" i="3"/>
  <c r="J2962" i="3"/>
  <c r="I2962" i="3"/>
  <c r="H2962" i="3"/>
  <c r="G2962" i="3"/>
  <c r="L2961" i="3"/>
  <c r="K2961" i="3"/>
  <c r="J2961" i="3"/>
  <c r="M2961" i="3" s="1"/>
  <c r="I2961" i="3"/>
  <c r="H2961" i="3"/>
  <c r="G2961" i="3"/>
  <c r="L2960" i="3"/>
  <c r="K2960" i="3"/>
  <c r="J2960" i="3"/>
  <c r="I2960" i="3"/>
  <c r="H2960" i="3"/>
  <c r="G2960" i="3"/>
  <c r="L2959" i="3"/>
  <c r="K2959" i="3"/>
  <c r="J2959" i="3"/>
  <c r="I2959" i="3"/>
  <c r="H2959" i="3"/>
  <c r="M2959" i="3" s="1"/>
  <c r="G2959" i="3"/>
  <c r="L2958" i="3"/>
  <c r="M2958" i="3" s="1"/>
  <c r="K2958" i="3"/>
  <c r="J2958" i="3"/>
  <c r="I2958" i="3"/>
  <c r="H2958" i="3"/>
  <c r="G2958" i="3"/>
  <c r="L2957" i="3"/>
  <c r="K2957" i="3"/>
  <c r="J2957" i="3"/>
  <c r="M2957" i="3" s="1"/>
  <c r="I2957" i="3"/>
  <c r="H2957" i="3"/>
  <c r="G2957" i="3"/>
  <c r="L2956" i="3"/>
  <c r="K2956" i="3"/>
  <c r="J2956" i="3"/>
  <c r="I2956" i="3"/>
  <c r="H2956" i="3"/>
  <c r="G2956" i="3"/>
  <c r="L2955" i="3"/>
  <c r="K2955" i="3"/>
  <c r="J2955" i="3"/>
  <c r="I2955" i="3"/>
  <c r="H2955" i="3"/>
  <c r="M2955" i="3" s="1"/>
  <c r="G2955" i="3"/>
  <c r="L2954" i="3"/>
  <c r="K2954" i="3"/>
  <c r="J2954" i="3"/>
  <c r="I2954" i="3"/>
  <c r="H2954" i="3"/>
  <c r="G2954" i="3"/>
  <c r="L2953" i="3"/>
  <c r="K2953" i="3"/>
  <c r="J2953" i="3"/>
  <c r="I2953" i="3"/>
  <c r="H2953" i="3"/>
  <c r="G2953" i="3"/>
  <c r="L2952" i="3"/>
  <c r="K2952" i="3"/>
  <c r="J2952" i="3"/>
  <c r="I2952" i="3"/>
  <c r="H2952" i="3"/>
  <c r="G2952" i="3"/>
  <c r="L2951" i="3"/>
  <c r="K2951" i="3"/>
  <c r="J2951" i="3"/>
  <c r="I2951" i="3"/>
  <c r="H2951" i="3"/>
  <c r="M2951" i="3" s="1"/>
  <c r="G2951" i="3"/>
  <c r="L2950" i="3"/>
  <c r="M2950" i="3" s="1"/>
  <c r="K2950" i="3"/>
  <c r="J2950" i="3"/>
  <c r="I2950" i="3"/>
  <c r="H2950" i="3"/>
  <c r="G2950" i="3"/>
  <c r="L2949" i="3"/>
  <c r="K2949" i="3"/>
  <c r="J2949" i="3"/>
  <c r="M2949" i="3" s="1"/>
  <c r="I2949" i="3"/>
  <c r="H2949" i="3"/>
  <c r="G2949" i="3"/>
  <c r="L2948" i="3"/>
  <c r="K2948" i="3"/>
  <c r="J2948" i="3"/>
  <c r="I2948" i="3"/>
  <c r="H2948" i="3"/>
  <c r="G2948" i="3"/>
  <c r="L2947" i="3"/>
  <c r="K2947" i="3"/>
  <c r="J2947" i="3"/>
  <c r="I2947" i="3"/>
  <c r="H2947" i="3"/>
  <c r="M2947" i="3" s="1"/>
  <c r="G2947" i="3"/>
  <c r="L2946" i="3"/>
  <c r="K2946" i="3"/>
  <c r="J2946" i="3"/>
  <c r="I2946" i="3"/>
  <c r="H2946" i="3"/>
  <c r="G2946" i="3"/>
  <c r="L2945" i="3"/>
  <c r="K2945" i="3"/>
  <c r="J2945" i="3"/>
  <c r="M2945" i="3" s="1"/>
  <c r="I2945" i="3"/>
  <c r="H2945" i="3"/>
  <c r="G2945" i="3"/>
  <c r="L2944" i="3"/>
  <c r="K2944" i="3"/>
  <c r="J2944" i="3"/>
  <c r="I2944" i="3"/>
  <c r="H2944" i="3"/>
  <c r="G2944" i="3"/>
  <c r="L2943" i="3"/>
  <c r="K2943" i="3"/>
  <c r="J2943" i="3"/>
  <c r="I2943" i="3"/>
  <c r="H2943" i="3"/>
  <c r="M2943" i="3" s="1"/>
  <c r="G2943" i="3"/>
  <c r="L2942" i="3"/>
  <c r="M2942" i="3" s="1"/>
  <c r="K2942" i="3"/>
  <c r="J2942" i="3"/>
  <c r="I2942" i="3"/>
  <c r="H2942" i="3"/>
  <c r="G2942" i="3"/>
  <c r="L2941" i="3"/>
  <c r="K2941" i="3"/>
  <c r="J2941" i="3"/>
  <c r="I2941" i="3"/>
  <c r="H2941" i="3"/>
  <c r="G2941" i="3"/>
  <c r="L2940" i="3"/>
  <c r="K2940" i="3"/>
  <c r="J2940" i="3"/>
  <c r="I2940" i="3"/>
  <c r="H2940" i="3"/>
  <c r="G2940" i="3"/>
  <c r="L2939" i="3"/>
  <c r="K2939" i="3"/>
  <c r="J2939" i="3"/>
  <c r="I2939" i="3"/>
  <c r="H2939" i="3"/>
  <c r="M2939" i="3" s="1"/>
  <c r="G2939" i="3"/>
  <c r="L2938" i="3"/>
  <c r="K2938" i="3"/>
  <c r="J2938" i="3"/>
  <c r="I2938" i="3"/>
  <c r="H2938" i="3"/>
  <c r="G2938" i="3"/>
  <c r="L2937" i="3"/>
  <c r="K2937" i="3"/>
  <c r="J2937" i="3"/>
  <c r="M2937" i="3" s="1"/>
  <c r="I2937" i="3"/>
  <c r="H2937" i="3"/>
  <c r="G2937" i="3"/>
  <c r="L2936" i="3"/>
  <c r="K2936" i="3"/>
  <c r="J2936" i="3"/>
  <c r="I2936" i="3"/>
  <c r="H2936" i="3"/>
  <c r="G2936" i="3"/>
  <c r="L2935" i="3"/>
  <c r="K2935" i="3"/>
  <c r="J2935" i="3"/>
  <c r="I2935" i="3"/>
  <c r="H2935" i="3"/>
  <c r="M2935" i="3" s="1"/>
  <c r="G2935" i="3"/>
  <c r="L2934" i="3"/>
  <c r="M2934" i="3" s="1"/>
  <c r="K2934" i="3"/>
  <c r="J2934" i="3"/>
  <c r="I2934" i="3"/>
  <c r="H2934" i="3"/>
  <c r="G2934" i="3"/>
  <c r="L2933" i="3"/>
  <c r="K2933" i="3"/>
  <c r="J2933" i="3"/>
  <c r="I2933" i="3"/>
  <c r="H2933" i="3"/>
  <c r="G2933" i="3"/>
  <c r="L2932" i="3"/>
  <c r="K2932" i="3"/>
  <c r="J2932" i="3"/>
  <c r="I2932" i="3"/>
  <c r="H2932" i="3"/>
  <c r="G2932" i="3"/>
  <c r="L2931" i="3"/>
  <c r="K2931" i="3"/>
  <c r="J2931" i="3"/>
  <c r="I2931" i="3"/>
  <c r="H2931" i="3"/>
  <c r="M2931" i="3" s="1"/>
  <c r="G2931" i="3"/>
  <c r="L2930" i="3"/>
  <c r="K2930" i="3"/>
  <c r="J2930" i="3"/>
  <c r="I2930" i="3"/>
  <c r="H2930" i="3"/>
  <c r="G2930" i="3"/>
  <c r="O2929" i="3"/>
  <c r="L2929" i="3"/>
  <c r="K2929" i="3"/>
  <c r="J2929" i="3"/>
  <c r="I2929" i="3"/>
  <c r="H2929" i="3"/>
  <c r="G2929" i="3"/>
  <c r="L2928" i="3"/>
  <c r="K2928" i="3"/>
  <c r="J2928" i="3"/>
  <c r="I2928" i="3"/>
  <c r="H2928" i="3"/>
  <c r="G2928" i="3"/>
  <c r="L2927" i="3"/>
  <c r="K2927" i="3"/>
  <c r="J2927" i="3"/>
  <c r="I2927" i="3"/>
  <c r="H2927" i="3"/>
  <c r="G2927" i="3"/>
  <c r="L2926" i="3"/>
  <c r="K2926" i="3"/>
  <c r="J2926" i="3"/>
  <c r="I2926" i="3"/>
  <c r="H2926" i="3"/>
  <c r="G2926" i="3"/>
  <c r="L2925" i="3"/>
  <c r="K2925" i="3"/>
  <c r="J2925" i="3"/>
  <c r="I2925" i="3"/>
  <c r="H2925" i="3"/>
  <c r="G2925" i="3"/>
  <c r="L2924" i="3"/>
  <c r="K2924" i="3"/>
  <c r="J2924" i="3"/>
  <c r="I2924" i="3"/>
  <c r="H2924" i="3"/>
  <c r="G2924" i="3"/>
  <c r="L2923" i="3"/>
  <c r="K2923" i="3"/>
  <c r="J2923" i="3"/>
  <c r="I2923" i="3"/>
  <c r="H2923" i="3"/>
  <c r="G2923" i="3"/>
  <c r="L2922" i="3"/>
  <c r="K2922" i="3"/>
  <c r="J2922" i="3"/>
  <c r="I2922" i="3"/>
  <c r="H2922" i="3"/>
  <c r="G2922" i="3"/>
  <c r="L2921" i="3"/>
  <c r="K2921" i="3"/>
  <c r="J2921" i="3"/>
  <c r="I2921" i="3"/>
  <c r="H2921" i="3"/>
  <c r="G2921" i="3"/>
  <c r="L2920" i="3"/>
  <c r="K2920" i="3"/>
  <c r="J2920" i="3"/>
  <c r="I2920" i="3"/>
  <c r="H2920" i="3"/>
  <c r="G2920" i="3"/>
  <c r="L2919" i="3"/>
  <c r="K2919" i="3"/>
  <c r="J2919" i="3"/>
  <c r="I2919" i="3"/>
  <c r="H2919" i="3"/>
  <c r="G2919" i="3"/>
  <c r="L2918" i="3"/>
  <c r="K2918" i="3"/>
  <c r="J2918" i="3"/>
  <c r="I2918" i="3"/>
  <c r="H2918" i="3"/>
  <c r="G2918" i="3"/>
  <c r="L2917" i="3"/>
  <c r="K2917" i="3"/>
  <c r="J2917" i="3"/>
  <c r="I2917" i="3"/>
  <c r="H2917" i="3"/>
  <c r="G2917" i="3"/>
  <c r="L2916" i="3"/>
  <c r="K2916" i="3"/>
  <c r="J2916" i="3"/>
  <c r="I2916" i="3"/>
  <c r="H2916" i="3"/>
  <c r="G2916" i="3"/>
  <c r="L2915" i="3"/>
  <c r="K2915" i="3"/>
  <c r="J2915" i="3"/>
  <c r="I2915" i="3"/>
  <c r="H2915" i="3"/>
  <c r="G2915" i="3"/>
  <c r="L2914" i="3"/>
  <c r="K2914" i="3"/>
  <c r="J2914" i="3"/>
  <c r="I2914" i="3"/>
  <c r="H2914" i="3"/>
  <c r="G2914" i="3"/>
  <c r="M2914" i="3" s="1"/>
  <c r="L2913" i="3"/>
  <c r="K2913" i="3"/>
  <c r="J2913" i="3"/>
  <c r="I2913" i="3"/>
  <c r="H2913" i="3"/>
  <c r="G2913" i="3"/>
  <c r="L2912" i="3"/>
  <c r="K2912" i="3"/>
  <c r="J2912" i="3"/>
  <c r="I2912" i="3"/>
  <c r="H2912" i="3"/>
  <c r="G2912" i="3"/>
  <c r="L2911" i="3"/>
  <c r="K2911" i="3"/>
  <c r="J2911" i="3"/>
  <c r="I2911" i="3"/>
  <c r="H2911" i="3"/>
  <c r="G2911" i="3"/>
  <c r="L2910" i="3"/>
  <c r="K2910" i="3"/>
  <c r="J2910" i="3"/>
  <c r="I2910" i="3"/>
  <c r="H2910" i="3"/>
  <c r="G2910" i="3"/>
  <c r="L2909" i="3"/>
  <c r="K2909" i="3"/>
  <c r="J2909" i="3"/>
  <c r="I2909" i="3"/>
  <c r="H2909" i="3"/>
  <c r="G2909" i="3"/>
  <c r="L2908" i="3"/>
  <c r="K2908" i="3"/>
  <c r="J2908" i="3"/>
  <c r="I2908" i="3"/>
  <c r="H2908" i="3"/>
  <c r="G2908" i="3"/>
  <c r="L2907" i="3"/>
  <c r="K2907" i="3"/>
  <c r="J2907" i="3"/>
  <c r="I2907" i="3"/>
  <c r="H2907" i="3"/>
  <c r="G2907" i="3"/>
  <c r="L2906" i="3"/>
  <c r="K2906" i="3"/>
  <c r="J2906" i="3"/>
  <c r="I2906" i="3"/>
  <c r="H2906" i="3"/>
  <c r="G2906" i="3"/>
  <c r="M2906" i="3" s="1"/>
  <c r="L2905" i="3"/>
  <c r="K2905" i="3"/>
  <c r="J2905" i="3"/>
  <c r="I2905" i="3"/>
  <c r="H2905" i="3"/>
  <c r="G2905" i="3"/>
  <c r="L2904" i="3"/>
  <c r="K2904" i="3"/>
  <c r="J2904" i="3"/>
  <c r="I2904" i="3"/>
  <c r="H2904" i="3"/>
  <c r="G2904" i="3"/>
  <c r="L2903" i="3"/>
  <c r="K2903" i="3"/>
  <c r="J2903" i="3"/>
  <c r="I2903" i="3"/>
  <c r="H2903" i="3"/>
  <c r="G2903" i="3"/>
  <c r="L2902" i="3"/>
  <c r="K2902" i="3"/>
  <c r="J2902" i="3"/>
  <c r="I2902" i="3"/>
  <c r="H2902" i="3"/>
  <c r="G2902" i="3"/>
  <c r="L2901" i="3"/>
  <c r="K2901" i="3"/>
  <c r="J2901" i="3"/>
  <c r="I2901" i="3"/>
  <c r="H2901" i="3"/>
  <c r="G2901" i="3"/>
  <c r="L2900" i="3"/>
  <c r="K2900" i="3"/>
  <c r="J2900" i="3"/>
  <c r="I2900" i="3"/>
  <c r="H2900" i="3"/>
  <c r="G2900" i="3"/>
  <c r="L2899" i="3"/>
  <c r="K2899" i="3"/>
  <c r="J2899" i="3"/>
  <c r="I2899" i="3"/>
  <c r="H2899" i="3"/>
  <c r="G2899" i="3"/>
  <c r="L2898" i="3"/>
  <c r="K2898" i="3"/>
  <c r="J2898" i="3"/>
  <c r="I2898" i="3"/>
  <c r="H2898" i="3"/>
  <c r="G2898" i="3"/>
  <c r="M2898" i="3" s="1"/>
  <c r="L2897" i="3"/>
  <c r="K2897" i="3"/>
  <c r="J2897" i="3"/>
  <c r="I2897" i="3"/>
  <c r="H2897" i="3"/>
  <c r="G2897" i="3"/>
  <c r="L2896" i="3"/>
  <c r="K2896" i="3"/>
  <c r="J2896" i="3"/>
  <c r="I2896" i="3"/>
  <c r="H2896" i="3"/>
  <c r="G2896" i="3"/>
  <c r="O2895" i="3"/>
  <c r="L2895" i="3"/>
  <c r="K2895" i="3"/>
  <c r="J2895" i="3"/>
  <c r="I2895" i="3"/>
  <c r="H2895" i="3"/>
  <c r="G2895" i="3"/>
  <c r="L2894" i="3"/>
  <c r="K2894" i="3"/>
  <c r="J2894" i="3"/>
  <c r="I2894" i="3"/>
  <c r="H2894" i="3"/>
  <c r="G2894" i="3"/>
  <c r="L2893" i="3"/>
  <c r="K2893" i="3"/>
  <c r="J2893" i="3"/>
  <c r="I2893" i="3"/>
  <c r="H2893" i="3"/>
  <c r="G2893" i="3"/>
  <c r="L2892" i="3"/>
  <c r="K2892" i="3"/>
  <c r="J2892" i="3"/>
  <c r="I2892" i="3"/>
  <c r="H2892" i="3"/>
  <c r="G2892" i="3"/>
  <c r="L2891" i="3"/>
  <c r="K2891" i="3"/>
  <c r="J2891" i="3"/>
  <c r="I2891" i="3"/>
  <c r="H2891" i="3"/>
  <c r="G2891" i="3"/>
  <c r="L2890" i="3"/>
  <c r="K2890" i="3"/>
  <c r="J2890" i="3"/>
  <c r="I2890" i="3"/>
  <c r="H2890" i="3"/>
  <c r="G2890" i="3"/>
  <c r="L2889" i="3"/>
  <c r="K2889" i="3"/>
  <c r="J2889" i="3"/>
  <c r="I2889" i="3"/>
  <c r="H2889" i="3"/>
  <c r="G2889" i="3"/>
  <c r="L2888" i="3"/>
  <c r="K2888" i="3"/>
  <c r="J2888" i="3"/>
  <c r="I2888" i="3"/>
  <c r="H2888" i="3"/>
  <c r="G2888" i="3"/>
  <c r="L2887" i="3"/>
  <c r="K2887" i="3"/>
  <c r="J2887" i="3"/>
  <c r="I2887" i="3"/>
  <c r="H2887" i="3"/>
  <c r="G2887" i="3"/>
  <c r="L2886" i="3"/>
  <c r="K2886" i="3"/>
  <c r="J2886" i="3"/>
  <c r="I2886" i="3"/>
  <c r="H2886" i="3"/>
  <c r="G2886" i="3"/>
  <c r="L2885" i="3"/>
  <c r="K2885" i="3"/>
  <c r="J2885" i="3"/>
  <c r="I2885" i="3"/>
  <c r="H2885" i="3"/>
  <c r="G2885" i="3"/>
  <c r="L2884" i="3"/>
  <c r="K2884" i="3"/>
  <c r="J2884" i="3"/>
  <c r="I2884" i="3"/>
  <c r="H2884" i="3"/>
  <c r="G2884" i="3"/>
  <c r="L2883" i="3"/>
  <c r="K2883" i="3"/>
  <c r="J2883" i="3"/>
  <c r="I2883" i="3"/>
  <c r="H2883" i="3"/>
  <c r="G2883" i="3"/>
  <c r="L2882" i="3"/>
  <c r="K2882" i="3"/>
  <c r="J2882" i="3"/>
  <c r="I2882" i="3"/>
  <c r="H2882" i="3"/>
  <c r="G2882" i="3"/>
  <c r="L2881" i="3"/>
  <c r="K2881" i="3"/>
  <c r="J2881" i="3"/>
  <c r="I2881" i="3"/>
  <c r="H2881" i="3"/>
  <c r="G2881" i="3"/>
  <c r="L2880" i="3"/>
  <c r="K2880" i="3"/>
  <c r="J2880" i="3"/>
  <c r="I2880" i="3"/>
  <c r="H2880" i="3"/>
  <c r="G2880" i="3"/>
  <c r="L2879" i="3"/>
  <c r="K2879" i="3"/>
  <c r="J2879" i="3"/>
  <c r="I2879" i="3"/>
  <c r="H2879" i="3"/>
  <c r="G2879" i="3"/>
  <c r="L2878" i="3"/>
  <c r="K2878" i="3"/>
  <c r="J2878" i="3"/>
  <c r="I2878" i="3"/>
  <c r="H2878" i="3"/>
  <c r="G2878" i="3"/>
  <c r="L2877" i="3"/>
  <c r="K2877" i="3"/>
  <c r="J2877" i="3"/>
  <c r="I2877" i="3"/>
  <c r="H2877" i="3"/>
  <c r="G2877" i="3"/>
  <c r="L2876" i="3"/>
  <c r="K2876" i="3"/>
  <c r="J2876" i="3"/>
  <c r="I2876" i="3"/>
  <c r="H2876" i="3"/>
  <c r="G2876" i="3"/>
  <c r="L2875" i="3"/>
  <c r="K2875" i="3"/>
  <c r="J2875" i="3"/>
  <c r="I2875" i="3"/>
  <c r="H2875" i="3"/>
  <c r="G2875" i="3"/>
  <c r="L2874" i="3"/>
  <c r="K2874" i="3"/>
  <c r="J2874" i="3"/>
  <c r="I2874" i="3"/>
  <c r="H2874" i="3"/>
  <c r="G2874" i="3"/>
  <c r="L2873" i="3"/>
  <c r="K2873" i="3"/>
  <c r="J2873" i="3"/>
  <c r="I2873" i="3"/>
  <c r="H2873" i="3"/>
  <c r="G2873" i="3"/>
  <c r="L2872" i="3"/>
  <c r="K2872" i="3"/>
  <c r="J2872" i="3"/>
  <c r="I2872" i="3"/>
  <c r="H2872" i="3"/>
  <c r="G2872" i="3"/>
  <c r="L2871" i="3"/>
  <c r="K2871" i="3"/>
  <c r="J2871" i="3"/>
  <c r="I2871" i="3"/>
  <c r="H2871" i="3"/>
  <c r="G2871" i="3"/>
  <c r="L2870" i="3"/>
  <c r="K2870" i="3"/>
  <c r="J2870" i="3"/>
  <c r="I2870" i="3"/>
  <c r="H2870" i="3"/>
  <c r="G2870" i="3"/>
  <c r="L2869" i="3"/>
  <c r="K2869" i="3"/>
  <c r="J2869" i="3"/>
  <c r="I2869" i="3"/>
  <c r="H2869" i="3"/>
  <c r="G2869" i="3"/>
  <c r="L2868" i="3"/>
  <c r="K2868" i="3"/>
  <c r="J2868" i="3"/>
  <c r="I2868" i="3"/>
  <c r="H2868" i="3"/>
  <c r="G2868" i="3"/>
  <c r="L2867" i="3"/>
  <c r="K2867" i="3"/>
  <c r="J2867" i="3"/>
  <c r="I2867" i="3"/>
  <c r="H2867" i="3"/>
  <c r="G2867" i="3"/>
  <c r="L2866" i="3"/>
  <c r="K2866" i="3"/>
  <c r="J2866" i="3"/>
  <c r="I2866" i="3"/>
  <c r="H2866" i="3"/>
  <c r="G2866" i="3"/>
  <c r="L2865" i="3"/>
  <c r="K2865" i="3"/>
  <c r="J2865" i="3"/>
  <c r="I2865" i="3"/>
  <c r="H2865" i="3"/>
  <c r="G2865" i="3"/>
  <c r="L2864" i="3"/>
  <c r="K2864" i="3"/>
  <c r="J2864" i="3"/>
  <c r="I2864" i="3"/>
  <c r="H2864" i="3"/>
  <c r="G2864" i="3"/>
  <c r="L2863" i="3"/>
  <c r="K2863" i="3"/>
  <c r="J2863" i="3"/>
  <c r="I2863" i="3"/>
  <c r="H2863" i="3"/>
  <c r="G2863" i="3"/>
  <c r="L2862" i="3"/>
  <c r="K2862" i="3"/>
  <c r="J2862" i="3"/>
  <c r="I2862" i="3"/>
  <c r="H2862" i="3"/>
  <c r="G2862" i="3"/>
  <c r="O2861" i="3"/>
  <c r="L2861" i="3"/>
  <c r="K2861" i="3"/>
  <c r="J2861" i="3"/>
  <c r="I2861" i="3"/>
  <c r="H2861" i="3"/>
  <c r="G2861" i="3"/>
  <c r="L2860" i="3"/>
  <c r="K2860" i="3"/>
  <c r="J2860" i="3"/>
  <c r="I2860" i="3"/>
  <c r="H2860" i="3"/>
  <c r="G2860" i="3"/>
  <c r="L2859" i="3"/>
  <c r="K2859" i="3"/>
  <c r="J2859" i="3"/>
  <c r="I2859" i="3"/>
  <c r="H2859" i="3"/>
  <c r="G2859" i="3"/>
  <c r="L2858" i="3"/>
  <c r="K2858" i="3"/>
  <c r="J2858" i="3"/>
  <c r="I2858" i="3"/>
  <c r="H2858" i="3"/>
  <c r="G2858" i="3"/>
  <c r="L2857" i="3"/>
  <c r="K2857" i="3"/>
  <c r="J2857" i="3"/>
  <c r="I2857" i="3"/>
  <c r="H2857" i="3"/>
  <c r="G2857" i="3"/>
  <c r="L2856" i="3"/>
  <c r="K2856" i="3"/>
  <c r="J2856" i="3"/>
  <c r="I2856" i="3"/>
  <c r="H2856" i="3"/>
  <c r="G2856" i="3"/>
  <c r="L2855" i="3"/>
  <c r="K2855" i="3"/>
  <c r="J2855" i="3"/>
  <c r="I2855" i="3"/>
  <c r="H2855" i="3"/>
  <c r="G2855" i="3"/>
  <c r="L2854" i="3"/>
  <c r="K2854" i="3"/>
  <c r="J2854" i="3"/>
  <c r="I2854" i="3"/>
  <c r="H2854" i="3"/>
  <c r="G2854" i="3"/>
  <c r="L2853" i="3"/>
  <c r="K2853" i="3"/>
  <c r="J2853" i="3"/>
  <c r="I2853" i="3"/>
  <c r="H2853" i="3"/>
  <c r="G2853" i="3"/>
  <c r="L2852" i="3"/>
  <c r="K2852" i="3"/>
  <c r="J2852" i="3"/>
  <c r="I2852" i="3"/>
  <c r="H2852" i="3"/>
  <c r="G2852" i="3"/>
  <c r="L2851" i="3"/>
  <c r="K2851" i="3"/>
  <c r="J2851" i="3"/>
  <c r="I2851" i="3"/>
  <c r="H2851" i="3"/>
  <c r="G2851" i="3"/>
  <c r="L2850" i="3"/>
  <c r="K2850" i="3"/>
  <c r="J2850" i="3"/>
  <c r="I2850" i="3"/>
  <c r="H2850" i="3"/>
  <c r="G2850" i="3"/>
  <c r="L2849" i="3"/>
  <c r="K2849" i="3"/>
  <c r="J2849" i="3"/>
  <c r="I2849" i="3"/>
  <c r="H2849" i="3"/>
  <c r="G2849" i="3"/>
  <c r="L2848" i="3"/>
  <c r="K2848" i="3"/>
  <c r="J2848" i="3"/>
  <c r="I2848" i="3"/>
  <c r="H2848" i="3"/>
  <c r="G2848" i="3"/>
  <c r="L2847" i="3"/>
  <c r="K2847" i="3"/>
  <c r="J2847" i="3"/>
  <c r="I2847" i="3"/>
  <c r="H2847" i="3"/>
  <c r="G2847" i="3"/>
  <c r="L2846" i="3"/>
  <c r="K2846" i="3"/>
  <c r="J2846" i="3"/>
  <c r="I2846" i="3"/>
  <c r="H2846" i="3"/>
  <c r="G2846" i="3"/>
  <c r="L2845" i="3"/>
  <c r="K2845" i="3"/>
  <c r="J2845" i="3"/>
  <c r="I2845" i="3"/>
  <c r="H2845" i="3"/>
  <c r="G2845" i="3"/>
  <c r="L2844" i="3"/>
  <c r="K2844" i="3"/>
  <c r="J2844" i="3"/>
  <c r="I2844" i="3"/>
  <c r="H2844" i="3"/>
  <c r="G2844" i="3"/>
  <c r="L2843" i="3"/>
  <c r="K2843" i="3"/>
  <c r="J2843" i="3"/>
  <c r="I2843" i="3"/>
  <c r="H2843" i="3"/>
  <c r="G2843" i="3"/>
  <c r="L2842" i="3"/>
  <c r="K2842" i="3"/>
  <c r="J2842" i="3"/>
  <c r="I2842" i="3"/>
  <c r="H2842" i="3"/>
  <c r="G2842" i="3"/>
  <c r="L2841" i="3"/>
  <c r="K2841" i="3"/>
  <c r="J2841" i="3"/>
  <c r="I2841" i="3"/>
  <c r="H2841" i="3"/>
  <c r="G2841" i="3"/>
  <c r="L2840" i="3"/>
  <c r="K2840" i="3"/>
  <c r="J2840" i="3"/>
  <c r="I2840" i="3"/>
  <c r="H2840" i="3"/>
  <c r="G2840" i="3"/>
  <c r="L2839" i="3"/>
  <c r="K2839" i="3"/>
  <c r="J2839" i="3"/>
  <c r="I2839" i="3"/>
  <c r="H2839" i="3"/>
  <c r="G2839" i="3"/>
  <c r="L2838" i="3"/>
  <c r="K2838" i="3"/>
  <c r="J2838" i="3"/>
  <c r="I2838" i="3"/>
  <c r="H2838" i="3"/>
  <c r="G2838" i="3"/>
  <c r="L2837" i="3"/>
  <c r="K2837" i="3"/>
  <c r="J2837" i="3"/>
  <c r="I2837" i="3"/>
  <c r="H2837" i="3"/>
  <c r="G2837" i="3"/>
  <c r="L2836" i="3"/>
  <c r="K2836" i="3"/>
  <c r="J2836" i="3"/>
  <c r="I2836" i="3"/>
  <c r="H2836" i="3"/>
  <c r="G2836" i="3"/>
  <c r="L2835" i="3"/>
  <c r="K2835" i="3"/>
  <c r="J2835" i="3"/>
  <c r="I2835" i="3"/>
  <c r="H2835" i="3"/>
  <c r="G2835" i="3"/>
  <c r="L2834" i="3"/>
  <c r="K2834" i="3"/>
  <c r="J2834" i="3"/>
  <c r="I2834" i="3"/>
  <c r="H2834" i="3"/>
  <c r="G2834" i="3"/>
  <c r="L2833" i="3"/>
  <c r="K2833" i="3"/>
  <c r="J2833" i="3"/>
  <c r="I2833" i="3"/>
  <c r="H2833" i="3"/>
  <c r="G2833" i="3"/>
  <c r="L2832" i="3"/>
  <c r="K2832" i="3"/>
  <c r="J2832" i="3"/>
  <c r="I2832" i="3"/>
  <c r="H2832" i="3"/>
  <c r="G2832" i="3"/>
  <c r="L2831" i="3"/>
  <c r="K2831" i="3"/>
  <c r="J2831" i="3"/>
  <c r="I2831" i="3"/>
  <c r="H2831" i="3"/>
  <c r="G2831" i="3"/>
  <c r="L2830" i="3"/>
  <c r="K2830" i="3"/>
  <c r="J2830" i="3"/>
  <c r="I2830" i="3"/>
  <c r="H2830" i="3"/>
  <c r="G2830" i="3"/>
  <c r="L2829" i="3"/>
  <c r="K2829" i="3"/>
  <c r="J2829" i="3"/>
  <c r="I2829" i="3"/>
  <c r="H2829" i="3"/>
  <c r="G2829" i="3"/>
  <c r="L2828" i="3"/>
  <c r="K2828" i="3"/>
  <c r="J2828" i="3"/>
  <c r="I2828" i="3"/>
  <c r="H2828" i="3"/>
  <c r="G2828" i="3"/>
  <c r="O2827" i="3"/>
  <c r="L2827" i="3"/>
  <c r="K2827" i="3"/>
  <c r="J2827" i="3"/>
  <c r="I2827" i="3"/>
  <c r="H2827" i="3"/>
  <c r="G2827" i="3"/>
  <c r="L2826" i="3"/>
  <c r="K2826" i="3"/>
  <c r="J2826" i="3"/>
  <c r="I2826" i="3"/>
  <c r="H2826" i="3"/>
  <c r="G2826" i="3"/>
  <c r="L2825" i="3"/>
  <c r="K2825" i="3"/>
  <c r="J2825" i="3"/>
  <c r="I2825" i="3"/>
  <c r="H2825" i="3"/>
  <c r="G2825" i="3"/>
  <c r="L2824" i="3"/>
  <c r="K2824" i="3"/>
  <c r="J2824" i="3"/>
  <c r="I2824" i="3"/>
  <c r="H2824" i="3"/>
  <c r="G2824" i="3"/>
  <c r="L2823" i="3"/>
  <c r="K2823" i="3"/>
  <c r="J2823" i="3"/>
  <c r="I2823" i="3"/>
  <c r="H2823" i="3"/>
  <c r="G2823" i="3"/>
  <c r="L2822" i="3"/>
  <c r="K2822" i="3"/>
  <c r="J2822" i="3"/>
  <c r="I2822" i="3"/>
  <c r="H2822" i="3"/>
  <c r="G2822" i="3"/>
  <c r="L2821" i="3"/>
  <c r="K2821" i="3"/>
  <c r="J2821" i="3"/>
  <c r="I2821" i="3"/>
  <c r="H2821" i="3"/>
  <c r="G2821" i="3"/>
  <c r="L2820" i="3"/>
  <c r="K2820" i="3"/>
  <c r="J2820" i="3"/>
  <c r="I2820" i="3"/>
  <c r="H2820" i="3"/>
  <c r="G2820" i="3"/>
  <c r="L2819" i="3"/>
  <c r="K2819" i="3"/>
  <c r="J2819" i="3"/>
  <c r="I2819" i="3"/>
  <c r="H2819" i="3"/>
  <c r="G2819" i="3"/>
  <c r="L2818" i="3"/>
  <c r="K2818" i="3"/>
  <c r="J2818" i="3"/>
  <c r="I2818" i="3"/>
  <c r="H2818" i="3"/>
  <c r="G2818" i="3"/>
  <c r="L2817" i="3"/>
  <c r="K2817" i="3"/>
  <c r="J2817" i="3"/>
  <c r="I2817" i="3"/>
  <c r="H2817" i="3"/>
  <c r="G2817" i="3"/>
  <c r="L2816" i="3"/>
  <c r="K2816" i="3"/>
  <c r="J2816" i="3"/>
  <c r="I2816" i="3"/>
  <c r="H2816" i="3"/>
  <c r="G2816" i="3"/>
  <c r="L2815" i="3"/>
  <c r="K2815" i="3"/>
  <c r="J2815" i="3"/>
  <c r="I2815" i="3"/>
  <c r="H2815" i="3"/>
  <c r="G2815" i="3"/>
  <c r="L2814" i="3"/>
  <c r="K2814" i="3"/>
  <c r="J2814" i="3"/>
  <c r="I2814" i="3"/>
  <c r="H2814" i="3"/>
  <c r="G2814" i="3"/>
  <c r="L2813" i="3"/>
  <c r="K2813" i="3"/>
  <c r="J2813" i="3"/>
  <c r="I2813" i="3"/>
  <c r="H2813" i="3"/>
  <c r="G2813" i="3"/>
  <c r="L2812" i="3"/>
  <c r="K2812" i="3"/>
  <c r="J2812" i="3"/>
  <c r="I2812" i="3"/>
  <c r="H2812" i="3"/>
  <c r="G2812" i="3"/>
  <c r="L2811" i="3"/>
  <c r="K2811" i="3"/>
  <c r="J2811" i="3"/>
  <c r="I2811" i="3"/>
  <c r="H2811" i="3"/>
  <c r="G2811" i="3"/>
  <c r="L2810" i="3"/>
  <c r="K2810" i="3"/>
  <c r="J2810" i="3"/>
  <c r="I2810" i="3"/>
  <c r="H2810" i="3"/>
  <c r="G2810" i="3"/>
  <c r="L2809" i="3"/>
  <c r="K2809" i="3"/>
  <c r="J2809" i="3"/>
  <c r="I2809" i="3"/>
  <c r="H2809" i="3"/>
  <c r="G2809" i="3"/>
  <c r="L2808" i="3"/>
  <c r="K2808" i="3"/>
  <c r="J2808" i="3"/>
  <c r="I2808" i="3"/>
  <c r="H2808" i="3"/>
  <c r="G2808" i="3"/>
  <c r="L2807" i="3"/>
  <c r="K2807" i="3"/>
  <c r="J2807" i="3"/>
  <c r="I2807" i="3"/>
  <c r="H2807" i="3"/>
  <c r="G2807" i="3"/>
  <c r="L2806" i="3"/>
  <c r="K2806" i="3"/>
  <c r="J2806" i="3"/>
  <c r="I2806" i="3"/>
  <c r="H2806" i="3"/>
  <c r="G2806" i="3"/>
  <c r="L2805" i="3"/>
  <c r="K2805" i="3"/>
  <c r="J2805" i="3"/>
  <c r="I2805" i="3"/>
  <c r="H2805" i="3"/>
  <c r="G2805" i="3"/>
  <c r="L2804" i="3"/>
  <c r="K2804" i="3"/>
  <c r="J2804" i="3"/>
  <c r="I2804" i="3"/>
  <c r="H2804" i="3"/>
  <c r="G2804" i="3"/>
  <c r="L2803" i="3"/>
  <c r="K2803" i="3"/>
  <c r="J2803" i="3"/>
  <c r="I2803" i="3"/>
  <c r="H2803" i="3"/>
  <c r="G2803" i="3"/>
  <c r="L2802" i="3"/>
  <c r="K2802" i="3"/>
  <c r="J2802" i="3"/>
  <c r="I2802" i="3"/>
  <c r="H2802" i="3"/>
  <c r="G2802" i="3"/>
  <c r="L2801" i="3"/>
  <c r="K2801" i="3"/>
  <c r="J2801" i="3"/>
  <c r="I2801" i="3"/>
  <c r="H2801" i="3"/>
  <c r="G2801" i="3"/>
  <c r="L2800" i="3"/>
  <c r="K2800" i="3"/>
  <c r="J2800" i="3"/>
  <c r="I2800" i="3"/>
  <c r="H2800" i="3"/>
  <c r="G2800" i="3"/>
  <c r="L2799" i="3"/>
  <c r="K2799" i="3"/>
  <c r="J2799" i="3"/>
  <c r="I2799" i="3"/>
  <c r="H2799" i="3"/>
  <c r="G2799" i="3"/>
  <c r="L2798" i="3"/>
  <c r="K2798" i="3"/>
  <c r="J2798" i="3"/>
  <c r="I2798" i="3"/>
  <c r="H2798" i="3"/>
  <c r="G2798" i="3"/>
  <c r="L2797" i="3"/>
  <c r="K2797" i="3"/>
  <c r="J2797" i="3"/>
  <c r="I2797" i="3"/>
  <c r="H2797" i="3"/>
  <c r="G2797" i="3"/>
  <c r="L2796" i="3"/>
  <c r="K2796" i="3"/>
  <c r="J2796" i="3"/>
  <c r="I2796" i="3"/>
  <c r="H2796" i="3"/>
  <c r="G2796" i="3"/>
  <c r="L2795" i="3"/>
  <c r="K2795" i="3"/>
  <c r="J2795" i="3"/>
  <c r="I2795" i="3"/>
  <c r="H2795" i="3"/>
  <c r="G2795" i="3"/>
  <c r="L2794" i="3"/>
  <c r="K2794" i="3"/>
  <c r="J2794" i="3"/>
  <c r="I2794" i="3"/>
  <c r="H2794" i="3"/>
  <c r="G2794" i="3"/>
  <c r="O2793" i="3"/>
  <c r="L2793" i="3"/>
  <c r="K2793" i="3"/>
  <c r="J2793" i="3"/>
  <c r="I2793" i="3"/>
  <c r="H2793" i="3"/>
  <c r="G2793" i="3"/>
  <c r="L2792" i="3"/>
  <c r="K2792" i="3"/>
  <c r="J2792" i="3"/>
  <c r="I2792" i="3"/>
  <c r="H2792" i="3"/>
  <c r="G2792" i="3"/>
  <c r="L2791" i="3"/>
  <c r="K2791" i="3"/>
  <c r="J2791" i="3"/>
  <c r="I2791" i="3"/>
  <c r="H2791" i="3"/>
  <c r="G2791" i="3"/>
  <c r="L2790" i="3"/>
  <c r="K2790" i="3"/>
  <c r="J2790" i="3"/>
  <c r="I2790" i="3"/>
  <c r="H2790" i="3"/>
  <c r="G2790" i="3"/>
  <c r="L2789" i="3"/>
  <c r="K2789" i="3"/>
  <c r="J2789" i="3"/>
  <c r="I2789" i="3"/>
  <c r="H2789" i="3"/>
  <c r="G2789" i="3"/>
  <c r="L2788" i="3"/>
  <c r="K2788" i="3"/>
  <c r="J2788" i="3"/>
  <c r="I2788" i="3"/>
  <c r="H2788" i="3"/>
  <c r="G2788" i="3"/>
  <c r="L2787" i="3"/>
  <c r="K2787" i="3"/>
  <c r="J2787" i="3"/>
  <c r="I2787" i="3"/>
  <c r="H2787" i="3"/>
  <c r="G2787" i="3"/>
  <c r="L2786" i="3"/>
  <c r="K2786" i="3"/>
  <c r="J2786" i="3"/>
  <c r="I2786" i="3"/>
  <c r="H2786" i="3"/>
  <c r="G2786" i="3"/>
  <c r="L2785" i="3"/>
  <c r="K2785" i="3"/>
  <c r="J2785" i="3"/>
  <c r="I2785" i="3"/>
  <c r="H2785" i="3"/>
  <c r="G2785" i="3"/>
  <c r="L2784" i="3"/>
  <c r="K2784" i="3"/>
  <c r="J2784" i="3"/>
  <c r="I2784" i="3"/>
  <c r="H2784" i="3"/>
  <c r="G2784" i="3"/>
  <c r="L2783" i="3"/>
  <c r="K2783" i="3"/>
  <c r="J2783" i="3"/>
  <c r="I2783" i="3"/>
  <c r="H2783" i="3"/>
  <c r="G2783" i="3"/>
  <c r="L2782" i="3"/>
  <c r="K2782" i="3"/>
  <c r="J2782" i="3"/>
  <c r="I2782" i="3"/>
  <c r="H2782" i="3"/>
  <c r="G2782" i="3"/>
  <c r="L2781" i="3"/>
  <c r="K2781" i="3"/>
  <c r="J2781" i="3"/>
  <c r="I2781" i="3"/>
  <c r="H2781" i="3"/>
  <c r="G2781" i="3"/>
  <c r="L2780" i="3"/>
  <c r="K2780" i="3"/>
  <c r="J2780" i="3"/>
  <c r="I2780" i="3"/>
  <c r="H2780" i="3"/>
  <c r="G2780" i="3"/>
  <c r="L2779" i="3"/>
  <c r="K2779" i="3"/>
  <c r="J2779" i="3"/>
  <c r="I2779" i="3"/>
  <c r="H2779" i="3"/>
  <c r="G2779" i="3"/>
  <c r="L2778" i="3"/>
  <c r="K2778" i="3"/>
  <c r="J2778" i="3"/>
  <c r="I2778" i="3"/>
  <c r="H2778" i="3"/>
  <c r="G2778" i="3"/>
  <c r="L2777" i="3"/>
  <c r="K2777" i="3"/>
  <c r="J2777" i="3"/>
  <c r="I2777" i="3"/>
  <c r="H2777" i="3"/>
  <c r="G2777" i="3"/>
  <c r="L2776" i="3"/>
  <c r="K2776" i="3"/>
  <c r="J2776" i="3"/>
  <c r="I2776" i="3"/>
  <c r="H2776" i="3"/>
  <c r="G2776" i="3"/>
  <c r="L2775" i="3"/>
  <c r="K2775" i="3"/>
  <c r="J2775" i="3"/>
  <c r="I2775" i="3"/>
  <c r="H2775" i="3"/>
  <c r="G2775" i="3"/>
  <c r="L2774" i="3"/>
  <c r="K2774" i="3"/>
  <c r="J2774" i="3"/>
  <c r="I2774" i="3"/>
  <c r="H2774" i="3"/>
  <c r="G2774" i="3"/>
  <c r="L2773" i="3"/>
  <c r="K2773" i="3"/>
  <c r="J2773" i="3"/>
  <c r="I2773" i="3"/>
  <c r="H2773" i="3"/>
  <c r="G2773" i="3"/>
  <c r="L2772" i="3"/>
  <c r="K2772" i="3"/>
  <c r="J2772" i="3"/>
  <c r="I2772" i="3"/>
  <c r="H2772" i="3"/>
  <c r="G2772" i="3"/>
  <c r="L2771" i="3"/>
  <c r="K2771" i="3"/>
  <c r="J2771" i="3"/>
  <c r="I2771" i="3"/>
  <c r="H2771" i="3"/>
  <c r="G2771" i="3"/>
  <c r="L2770" i="3"/>
  <c r="K2770" i="3"/>
  <c r="J2770" i="3"/>
  <c r="I2770" i="3"/>
  <c r="H2770" i="3"/>
  <c r="G2770" i="3"/>
  <c r="L2769" i="3"/>
  <c r="K2769" i="3"/>
  <c r="J2769" i="3"/>
  <c r="I2769" i="3"/>
  <c r="H2769" i="3"/>
  <c r="G2769" i="3"/>
  <c r="L2768" i="3"/>
  <c r="K2768" i="3"/>
  <c r="J2768" i="3"/>
  <c r="I2768" i="3"/>
  <c r="H2768" i="3"/>
  <c r="G2768" i="3"/>
  <c r="L2767" i="3"/>
  <c r="K2767" i="3"/>
  <c r="J2767" i="3"/>
  <c r="I2767" i="3"/>
  <c r="H2767" i="3"/>
  <c r="G2767" i="3"/>
  <c r="L2766" i="3"/>
  <c r="K2766" i="3"/>
  <c r="J2766" i="3"/>
  <c r="I2766" i="3"/>
  <c r="H2766" i="3"/>
  <c r="G2766" i="3"/>
  <c r="L2765" i="3"/>
  <c r="K2765" i="3"/>
  <c r="J2765" i="3"/>
  <c r="I2765" i="3"/>
  <c r="H2765" i="3"/>
  <c r="G2765" i="3"/>
  <c r="L2764" i="3"/>
  <c r="K2764" i="3"/>
  <c r="J2764" i="3"/>
  <c r="I2764" i="3"/>
  <c r="H2764" i="3"/>
  <c r="G2764" i="3"/>
  <c r="L2763" i="3"/>
  <c r="K2763" i="3"/>
  <c r="J2763" i="3"/>
  <c r="I2763" i="3"/>
  <c r="H2763" i="3"/>
  <c r="G2763" i="3"/>
  <c r="L2762" i="3"/>
  <c r="K2762" i="3"/>
  <c r="J2762" i="3"/>
  <c r="I2762" i="3"/>
  <c r="H2762" i="3"/>
  <c r="G2762" i="3"/>
  <c r="L2761" i="3"/>
  <c r="K2761" i="3"/>
  <c r="J2761" i="3"/>
  <c r="I2761" i="3"/>
  <c r="H2761" i="3"/>
  <c r="G2761" i="3"/>
  <c r="L2760" i="3"/>
  <c r="K2760" i="3"/>
  <c r="J2760" i="3"/>
  <c r="I2760" i="3"/>
  <c r="H2760" i="3"/>
  <c r="G2760" i="3"/>
  <c r="O2759" i="3"/>
  <c r="L2759" i="3"/>
  <c r="K2759" i="3"/>
  <c r="J2759" i="3"/>
  <c r="I2759" i="3"/>
  <c r="H2759" i="3"/>
  <c r="G2759" i="3"/>
  <c r="L2758" i="3"/>
  <c r="K2758" i="3"/>
  <c r="J2758" i="3"/>
  <c r="M2758" i="3" s="1"/>
  <c r="I2758" i="3"/>
  <c r="H2758" i="3"/>
  <c r="G2758" i="3"/>
  <c r="L2757" i="3"/>
  <c r="K2757" i="3"/>
  <c r="J2757" i="3"/>
  <c r="I2757" i="3"/>
  <c r="H2757" i="3"/>
  <c r="G2757" i="3"/>
  <c r="L2756" i="3"/>
  <c r="K2756" i="3"/>
  <c r="J2756" i="3"/>
  <c r="I2756" i="3"/>
  <c r="H2756" i="3"/>
  <c r="G2756" i="3"/>
  <c r="L2755" i="3"/>
  <c r="K2755" i="3"/>
  <c r="J2755" i="3"/>
  <c r="I2755" i="3"/>
  <c r="H2755" i="3"/>
  <c r="G2755" i="3"/>
  <c r="L2754" i="3"/>
  <c r="K2754" i="3"/>
  <c r="J2754" i="3"/>
  <c r="I2754" i="3"/>
  <c r="H2754" i="3"/>
  <c r="G2754" i="3"/>
  <c r="L2753" i="3"/>
  <c r="K2753" i="3"/>
  <c r="J2753" i="3"/>
  <c r="I2753" i="3"/>
  <c r="H2753" i="3"/>
  <c r="G2753" i="3"/>
  <c r="L2752" i="3"/>
  <c r="K2752" i="3"/>
  <c r="J2752" i="3"/>
  <c r="I2752" i="3"/>
  <c r="H2752" i="3"/>
  <c r="G2752" i="3"/>
  <c r="L2751" i="3"/>
  <c r="K2751" i="3"/>
  <c r="J2751" i="3"/>
  <c r="I2751" i="3"/>
  <c r="H2751" i="3"/>
  <c r="G2751" i="3"/>
  <c r="L2750" i="3"/>
  <c r="K2750" i="3"/>
  <c r="J2750" i="3"/>
  <c r="I2750" i="3"/>
  <c r="H2750" i="3"/>
  <c r="G2750" i="3"/>
  <c r="L2749" i="3"/>
  <c r="K2749" i="3"/>
  <c r="J2749" i="3"/>
  <c r="I2749" i="3"/>
  <c r="H2749" i="3"/>
  <c r="G2749" i="3"/>
  <c r="L2748" i="3"/>
  <c r="K2748" i="3"/>
  <c r="J2748" i="3"/>
  <c r="I2748" i="3"/>
  <c r="H2748" i="3"/>
  <c r="G2748" i="3"/>
  <c r="L2747" i="3"/>
  <c r="K2747" i="3"/>
  <c r="J2747" i="3"/>
  <c r="I2747" i="3"/>
  <c r="H2747" i="3"/>
  <c r="G2747" i="3"/>
  <c r="L2746" i="3"/>
  <c r="K2746" i="3"/>
  <c r="J2746" i="3"/>
  <c r="I2746" i="3"/>
  <c r="H2746" i="3"/>
  <c r="G2746" i="3"/>
  <c r="L2745" i="3"/>
  <c r="K2745" i="3"/>
  <c r="J2745" i="3"/>
  <c r="I2745" i="3"/>
  <c r="H2745" i="3"/>
  <c r="G2745" i="3"/>
  <c r="L2744" i="3"/>
  <c r="K2744" i="3"/>
  <c r="J2744" i="3"/>
  <c r="I2744" i="3"/>
  <c r="H2744" i="3"/>
  <c r="G2744" i="3"/>
  <c r="L2743" i="3"/>
  <c r="K2743" i="3"/>
  <c r="J2743" i="3"/>
  <c r="I2743" i="3"/>
  <c r="H2743" i="3"/>
  <c r="G2743" i="3"/>
  <c r="L2742" i="3"/>
  <c r="K2742" i="3"/>
  <c r="J2742" i="3"/>
  <c r="M2742" i="3" s="1"/>
  <c r="I2742" i="3"/>
  <c r="H2742" i="3"/>
  <c r="G2742" i="3"/>
  <c r="L2741" i="3"/>
  <c r="K2741" i="3"/>
  <c r="J2741" i="3"/>
  <c r="I2741" i="3"/>
  <c r="H2741" i="3"/>
  <c r="G2741" i="3"/>
  <c r="L2740" i="3"/>
  <c r="K2740" i="3"/>
  <c r="J2740" i="3"/>
  <c r="I2740" i="3"/>
  <c r="H2740" i="3"/>
  <c r="G2740" i="3"/>
  <c r="L2739" i="3"/>
  <c r="K2739" i="3"/>
  <c r="J2739" i="3"/>
  <c r="I2739" i="3"/>
  <c r="H2739" i="3"/>
  <c r="G2739" i="3"/>
  <c r="L2738" i="3"/>
  <c r="K2738" i="3"/>
  <c r="J2738" i="3"/>
  <c r="I2738" i="3"/>
  <c r="H2738" i="3"/>
  <c r="G2738" i="3"/>
  <c r="L2737" i="3"/>
  <c r="K2737" i="3"/>
  <c r="J2737" i="3"/>
  <c r="I2737" i="3"/>
  <c r="H2737" i="3"/>
  <c r="G2737" i="3"/>
  <c r="L2736" i="3"/>
  <c r="K2736" i="3"/>
  <c r="J2736" i="3"/>
  <c r="I2736" i="3"/>
  <c r="H2736" i="3"/>
  <c r="G2736" i="3"/>
  <c r="L2735" i="3"/>
  <c r="K2735" i="3"/>
  <c r="J2735" i="3"/>
  <c r="I2735" i="3"/>
  <c r="H2735" i="3"/>
  <c r="G2735" i="3"/>
  <c r="L2734" i="3"/>
  <c r="K2734" i="3"/>
  <c r="J2734" i="3"/>
  <c r="I2734" i="3"/>
  <c r="H2734" i="3"/>
  <c r="G2734" i="3"/>
  <c r="L2733" i="3"/>
  <c r="K2733" i="3"/>
  <c r="J2733" i="3"/>
  <c r="I2733" i="3"/>
  <c r="H2733" i="3"/>
  <c r="G2733" i="3"/>
  <c r="L2732" i="3"/>
  <c r="K2732" i="3"/>
  <c r="J2732" i="3"/>
  <c r="I2732" i="3"/>
  <c r="H2732" i="3"/>
  <c r="G2732" i="3"/>
  <c r="L2731" i="3"/>
  <c r="K2731" i="3"/>
  <c r="J2731" i="3"/>
  <c r="I2731" i="3"/>
  <c r="H2731" i="3"/>
  <c r="G2731" i="3"/>
  <c r="L2730" i="3"/>
  <c r="K2730" i="3"/>
  <c r="J2730" i="3"/>
  <c r="I2730" i="3"/>
  <c r="H2730" i="3"/>
  <c r="G2730" i="3"/>
  <c r="L2729" i="3"/>
  <c r="K2729" i="3"/>
  <c r="J2729" i="3"/>
  <c r="I2729" i="3"/>
  <c r="H2729" i="3"/>
  <c r="G2729" i="3"/>
  <c r="L2728" i="3"/>
  <c r="K2728" i="3"/>
  <c r="J2728" i="3"/>
  <c r="I2728" i="3"/>
  <c r="H2728" i="3"/>
  <c r="G2728" i="3"/>
  <c r="L2727" i="3"/>
  <c r="K2727" i="3"/>
  <c r="J2727" i="3"/>
  <c r="I2727" i="3"/>
  <c r="H2727" i="3"/>
  <c r="G2727" i="3"/>
  <c r="L2726" i="3"/>
  <c r="K2726" i="3"/>
  <c r="J2726" i="3"/>
  <c r="I2726" i="3"/>
  <c r="H2726" i="3"/>
  <c r="G2726" i="3"/>
  <c r="M2953" i="3"/>
  <c r="M2929" i="3"/>
  <c r="M2926" i="3"/>
  <c r="M2921" i="3"/>
  <c r="M2918" i="3"/>
  <c r="M2913" i="3"/>
  <c r="M2910" i="3"/>
  <c r="M2905" i="3"/>
  <c r="M2902" i="3"/>
  <c r="M2897" i="3"/>
  <c r="M2894" i="3"/>
  <c r="M2889" i="3"/>
  <c r="M2886" i="3"/>
  <c r="M2881" i="3"/>
  <c r="M2878" i="3"/>
  <c r="M2873" i="3"/>
  <c r="M2870" i="3"/>
  <c r="M2865" i="3"/>
  <c r="M2862" i="3"/>
  <c r="M2857" i="3"/>
  <c r="M2854" i="3"/>
  <c r="M2849" i="3"/>
  <c r="M2846" i="3"/>
  <c r="M2841" i="3"/>
  <c r="M2838" i="3"/>
  <c r="M2833" i="3"/>
  <c r="M2830" i="3"/>
  <c r="M2825" i="3"/>
  <c r="M2822" i="3"/>
  <c r="M2817" i="3"/>
  <c r="M2814" i="3"/>
  <c r="M2809" i="3"/>
  <c r="M2806" i="3"/>
  <c r="M2801" i="3"/>
  <c r="M2798" i="3"/>
  <c r="M2793" i="3"/>
  <c r="M2790" i="3"/>
  <c r="M2785" i="3"/>
  <c r="M2782" i="3"/>
  <c r="M2777" i="3"/>
  <c r="M2774" i="3"/>
  <c r="M2769" i="3"/>
  <c r="M2766" i="3"/>
  <c r="M2750" i="3"/>
  <c r="O2725" i="3"/>
  <c r="L2725" i="3"/>
  <c r="K2725" i="3"/>
  <c r="J2725" i="3"/>
  <c r="I2725" i="3"/>
  <c r="H2725" i="3"/>
  <c r="G2725" i="3"/>
  <c r="L2724" i="3"/>
  <c r="K2724" i="3"/>
  <c r="J2724" i="3"/>
  <c r="I2724" i="3"/>
  <c r="H2724" i="3"/>
  <c r="G2724" i="3"/>
  <c r="L2723" i="3"/>
  <c r="K2723" i="3"/>
  <c r="J2723" i="3"/>
  <c r="I2723" i="3"/>
  <c r="H2723" i="3"/>
  <c r="G2723" i="3"/>
  <c r="L2722" i="3"/>
  <c r="K2722" i="3"/>
  <c r="J2722" i="3"/>
  <c r="I2722" i="3"/>
  <c r="H2722" i="3"/>
  <c r="G2722" i="3"/>
  <c r="L2721" i="3"/>
  <c r="K2721" i="3"/>
  <c r="J2721" i="3"/>
  <c r="I2721" i="3"/>
  <c r="H2721" i="3"/>
  <c r="G2721" i="3"/>
  <c r="L2720" i="3"/>
  <c r="K2720" i="3"/>
  <c r="J2720" i="3"/>
  <c r="I2720" i="3"/>
  <c r="H2720" i="3"/>
  <c r="G2720" i="3"/>
  <c r="L2719" i="3"/>
  <c r="K2719" i="3"/>
  <c r="J2719" i="3"/>
  <c r="I2719" i="3"/>
  <c r="H2719" i="3"/>
  <c r="G2719" i="3"/>
  <c r="L2718" i="3"/>
  <c r="K2718" i="3"/>
  <c r="J2718" i="3"/>
  <c r="I2718" i="3"/>
  <c r="H2718" i="3"/>
  <c r="G2718" i="3"/>
  <c r="L2717" i="3"/>
  <c r="K2717" i="3"/>
  <c r="J2717" i="3"/>
  <c r="I2717" i="3"/>
  <c r="H2717" i="3"/>
  <c r="G2717" i="3"/>
  <c r="L2716" i="3"/>
  <c r="K2716" i="3"/>
  <c r="J2716" i="3"/>
  <c r="I2716" i="3"/>
  <c r="H2716" i="3"/>
  <c r="G2716" i="3"/>
  <c r="L2715" i="3"/>
  <c r="K2715" i="3"/>
  <c r="J2715" i="3"/>
  <c r="I2715" i="3"/>
  <c r="H2715" i="3"/>
  <c r="G2715" i="3"/>
  <c r="L2714" i="3"/>
  <c r="K2714" i="3"/>
  <c r="J2714" i="3"/>
  <c r="I2714" i="3"/>
  <c r="H2714" i="3"/>
  <c r="G2714" i="3"/>
  <c r="M2714" i="3" s="1"/>
  <c r="L2713" i="3"/>
  <c r="K2713" i="3"/>
  <c r="J2713" i="3"/>
  <c r="I2713" i="3"/>
  <c r="H2713" i="3"/>
  <c r="G2713" i="3"/>
  <c r="L2712" i="3"/>
  <c r="K2712" i="3"/>
  <c r="J2712" i="3"/>
  <c r="I2712" i="3"/>
  <c r="H2712" i="3"/>
  <c r="G2712" i="3"/>
  <c r="L2711" i="3"/>
  <c r="K2711" i="3"/>
  <c r="J2711" i="3"/>
  <c r="I2711" i="3"/>
  <c r="H2711" i="3"/>
  <c r="G2711" i="3"/>
  <c r="L2710" i="3"/>
  <c r="K2710" i="3"/>
  <c r="J2710" i="3"/>
  <c r="I2710" i="3"/>
  <c r="H2710" i="3"/>
  <c r="G2710" i="3"/>
  <c r="M2710" i="3" s="1"/>
  <c r="L2709" i="3"/>
  <c r="K2709" i="3"/>
  <c r="J2709" i="3"/>
  <c r="I2709" i="3"/>
  <c r="H2709" i="3"/>
  <c r="G2709" i="3"/>
  <c r="L2708" i="3"/>
  <c r="K2708" i="3"/>
  <c r="J2708" i="3"/>
  <c r="I2708" i="3"/>
  <c r="H2708" i="3"/>
  <c r="G2708" i="3"/>
  <c r="L2707" i="3"/>
  <c r="K2707" i="3"/>
  <c r="J2707" i="3"/>
  <c r="I2707" i="3"/>
  <c r="H2707" i="3"/>
  <c r="G2707" i="3"/>
  <c r="L2706" i="3"/>
  <c r="K2706" i="3"/>
  <c r="J2706" i="3"/>
  <c r="I2706" i="3"/>
  <c r="H2706" i="3"/>
  <c r="G2706" i="3"/>
  <c r="M2706" i="3" s="1"/>
  <c r="L2705" i="3"/>
  <c r="K2705" i="3"/>
  <c r="J2705" i="3"/>
  <c r="I2705" i="3"/>
  <c r="H2705" i="3"/>
  <c r="G2705" i="3"/>
  <c r="L2704" i="3"/>
  <c r="K2704" i="3"/>
  <c r="J2704" i="3"/>
  <c r="I2704" i="3"/>
  <c r="H2704" i="3"/>
  <c r="G2704" i="3"/>
  <c r="L2703" i="3"/>
  <c r="K2703" i="3"/>
  <c r="J2703" i="3"/>
  <c r="I2703" i="3"/>
  <c r="H2703" i="3"/>
  <c r="G2703" i="3"/>
  <c r="L2702" i="3"/>
  <c r="K2702" i="3"/>
  <c r="J2702" i="3"/>
  <c r="I2702" i="3"/>
  <c r="H2702" i="3"/>
  <c r="G2702" i="3"/>
  <c r="L2701" i="3"/>
  <c r="K2701" i="3"/>
  <c r="J2701" i="3"/>
  <c r="I2701" i="3"/>
  <c r="H2701" i="3"/>
  <c r="G2701" i="3"/>
  <c r="L2700" i="3"/>
  <c r="K2700" i="3"/>
  <c r="J2700" i="3"/>
  <c r="I2700" i="3"/>
  <c r="H2700" i="3"/>
  <c r="G2700" i="3"/>
  <c r="L2699" i="3"/>
  <c r="K2699" i="3"/>
  <c r="J2699" i="3"/>
  <c r="I2699" i="3"/>
  <c r="H2699" i="3"/>
  <c r="G2699" i="3"/>
  <c r="L2698" i="3"/>
  <c r="K2698" i="3"/>
  <c r="J2698" i="3"/>
  <c r="I2698" i="3"/>
  <c r="H2698" i="3"/>
  <c r="G2698" i="3"/>
  <c r="M2698" i="3" s="1"/>
  <c r="L2697" i="3"/>
  <c r="K2697" i="3"/>
  <c r="J2697" i="3"/>
  <c r="I2697" i="3"/>
  <c r="H2697" i="3"/>
  <c r="G2697" i="3"/>
  <c r="L2696" i="3"/>
  <c r="K2696" i="3"/>
  <c r="J2696" i="3"/>
  <c r="I2696" i="3"/>
  <c r="H2696" i="3"/>
  <c r="G2696" i="3"/>
  <c r="L2695" i="3"/>
  <c r="K2695" i="3"/>
  <c r="J2695" i="3"/>
  <c r="I2695" i="3"/>
  <c r="H2695" i="3"/>
  <c r="G2695" i="3"/>
  <c r="L2694" i="3"/>
  <c r="K2694" i="3"/>
  <c r="J2694" i="3"/>
  <c r="I2694" i="3"/>
  <c r="H2694" i="3"/>
  <c r="G2694" i="3"/>
  <c r="M2694" i="3" s="1"/>
  <c r="L2693" i="3"/>
  <c r="K2693" i="3"/>
  <c r="J2693" i="3"/>
  <c r="I2693" i="3"/>
  <c r="H2693" i="3"/>
  <c r="G2693" i="3"/>
  <c r="L2692" i="3"/>
  <c r="K2692" i="3"/>
  <c r="J2692" i="3"/>
  <c r="I2692" i="3"/>
  <c r="H2692" i="3"/>
  <c r="G2692" i="3"/>
  <c r="O2691" i="3"/>
  <c r="L2691" i="3"/>
  <c r="K2691" i="3"/>
  <c r="J2691" i="3"/>
  <c r="I2691" i="3"/>
  <c r="H2691" i="3"/>
  <c r="G2691" i="3"/>
  <c r="L2690" i="3"/>
  <c r="K2690" i="3"/>
  <c r="J2690" i="3"/>
  <c r="I2690" i="3"/>
  <c r="H2690" i="3"/>
  <c r="G2690" i="3"/>
  <c r="L2689" i="3"/>
  <c r="K2689" i="3"/>
  <c r="J2689" i="3"/>
  <c r="I2689" i="3"/>
  <c r="H2689" i="3"/>
  <c r="G2689" i="3"/>
  <c r="L2688" i="3"/>
  <c r="K2688" i="3"/>
  <c r="J2688" i="3"/>
  <c r="I2688" i="3"/>
  <c r="H2688" i="3"/>
  <c r="G2688" i="3"/>
  <c r="L2687" i="3"/>
  <c r="K2687" i="3"/>
  <c r="J2687" i="3"/>
  <c r="I2687" i="3"/>
  <c r="H2687" i="3"/>
  <c r="G2687" i="3"/>
  <c r="L2686" i="3"/>
  <c r="K2686" i="3"/>
  <c r="J2686" i="3"/>
  <c r="I2686" i="3"/>
  <c r="H2686" i="3"/>
  <c r="G2686" i="3"/>
  <c r="L2685" i="3"/>
  <c r="K2685" i="3"/>
  <c r="J2685" i="3"/>
  <c r="I2685" i="3"/>
  <c r="H2685" i="3"/>
  <c r="G2685" i="3"/>
  <c r="L2684" i="3"/>
  <c r="K2684" i="3"/>
  <c r="J2684" i="3"/>
  <c r="I2684" i="3"/>
  <c r="H2684" i="3"/>
  <c r="G2684" i="3"/>
  <c r="L2683" i="3"/>
  <c r="K2683" i="3"/>
  <c r="J2683" i="3"/>
  <c r="I2683" i="3"/>
  <c r="H2683" i="3"/>
  <c r="G2683" i="3"/>
  <c r="L2682" i="3"/>
  <c r="K2682" i="3"/>
  <c r="J2682" i="3"/>
  <c r="I2682" i="3"/>
  <c r="H2682" i="3"/>
  <c r="G2682" i="3"/>
  <c r="L2681" i="3"/>
  <c r="K2681" i="3"/>
  <c r="J2681" i="3"/>
  <c r="I2681" i="3"/>
  <c r="H2681" i="3"/>
  <c r="G2681" i="3"/>
  <c r="L2680" i="3"/>
  <c r="K2680" i="3"/>
  <c r="J2680" i="3"/>
  <c r="I2680" i="3"/>
  <c r="H2680" i="3"/>
  <c r="G2680" i="3"/>
  <c r="L2679" i="3"/>
  <c r="K2679" i="3"/>
  <c r="J2679" i="3"/>
  <c r="I2679" i="3"/>
  <c r="H2679" i="3"/>
  <c r="G2679" i="3"/>
  <c r="L2678" i="3"/>
  <c r="K2678" i="3"/>
  <c r="J2678" i="3"/>
  <c r="I2678" i="3"/>
  <c r="H2678" i="3"/>
  <c r="G2678" i="3"/>
  <c r="L2677" i="3"/>
  <c r="K2677" i="3"/>
  <c r="J2677" i="3"/>
  <c r="I2677" i="3"/>
  <c r="H2677" i="3"/>
  <c r="G2677" i="3"/>
  <c r="L2676" i="3"/>
  <c r="K2676" i="3"/>
  <c r="J2676" i="3"/>
  <c r="I2676" i="3"/>
  <c r="H2676" i="3"/>
  <c r="G2676" i="3"/>
  <c r="L2675" i="3"/>
  <c r="K2675" i="3"/>
  <c r="J2675" i="3"/>
  <c r="I2675" i="3"/>
  <c r="H2675" i="3"/>
  <c r="G2675" i="3"/>
  <c r="L2674" i="3"/>
  <c r="K2674" i="3"/>
  <c r="J2674" i="3"/>
  <c r="I2674" i="3"/>
  <c r="H2674" i="3"/>
  <c r="G2674" i="3"/>
  <c r="L2673" i="3"/>
  <c r="K2673" i="3"/>
  <c r="J2673" i="3"/>
  <c r="I2673" i="3"/>
  <c r="H2673" i="3"/>
  <c r="G2673" i="3"/>
  <c r="L2672" i="3"/>
  <c r="K2672" i="3"/>
  <c r="J2672" i="3"/>
  <c r="I2672" i="3"/>
  <c r="H2672" i="3"/>
  <c r="G2672" i="3"/>
  <c r="L2671" i="3"/>
  <c r="K2671" i="3"/>
  <c r="J2671" i="3"/>
  <c r="I2671" i="3"/>
  <c r="H2671" i="3"/>
  <c r="G2671" i="3"/>
  <c r="L2670" i="3"/>
  <c r="K2670" i="3"/>
  <c r="J2670" i="3"/>
  <c r="I2670" i="3"/>
  <c r="H2670" i="3"/>
  <c r="G2670" i="3"/>
  <c r="L2669" i="3"/>
  <c r="K2669" i="3"/>
  <c r="J2669" i="3"/>
  <c r="I2669" i="3"/>
  <c r="H2669" i="3"/>
  <c r="G2669" i="3"/>
  <c r="L2668" i="3"/>
  <c r="K2668" i="3"/>
  <c r="J2668" i="3"/>
  <c r="I2668" i="3"/>
  <c r="H2668" i="3"/>
  <c r="G2668" i="3"/>
  <c r="L2667" i="3"/>
  <c r="K2667" i="3"/>
  <c r="J2667" i="3"/>
  <c r="I2667" i="3"/>
  <c r="H2667" i="3"/>
  <c r="G2667" i="3"/>
  <c r="L2666" i="3"/>
  <c r="K2666" i="3"/>
  <c r="J2666" i="3"/>
  <c r="I2666" i="3"/>
  <c r="H2666" i="3"/>
  <c r="G2666" i="3"/>
  <c r="L2665" i="3"/>
  <c r="K2665" i="3"/>
  <c r="J2665" i="3"/>
  <c r="I2665" i="3"/>
  <c r="H2665" i="3"/>
  <c r="G2665" i="3"/>
  <c r="L2664" i="3"/>
  <c r="K2664" i="3"/>
  <c r="J2664" i="3"/>
  <c r="I2664" i="3"/>
  <c r="H2664" i="3"/>
  <c r="G2664" i="3"/>
  <c r="L2663" i="3"/>
  <c r="K2663" i="3"/>
  <c r="J2663" i="3"/>
  <c r="I2663" i="3"/>
  <c r="H2663" i="3"/>
  <c r="G2663" i="3"/>
  <c r="L2662" i="3"/>
  <c r="K2662" i="3"/>
  <c r="J2662" i="3"/>
  <c r="I2662" i="3"/>
  <c r="H2662" i="3"/>
  <c r="G2662" i="3"/>
  <c r="L2661" i="3"/>
  <c r="K2661" i="3"/>
  <c r="J2661" i="3"/>
  <c r="I2661" i="3"/>
  <c r="H2661" i="3"/>
  <c r="G2661" i="3"/>
  <c r="L2660" i="3"/>
  <c r="K2660" i="3"/>
  <c r="J2660" i="3"/>
  <c r="I2660" i="3"/>
  <c r="H2660" i="3"/>
  <c r="G2660" i="3"/>
  <c r="L2659" i="3"/>
  <c r="K2659" i="3"/>
  <c r="J2659" i="3"/>
  <c r="I2659" i="3"/>
  <c r="H2659" i="3"/>
  <c r="G2659" i="3"/>
  <c r="L2658" i="3"/>
  <c r="K2658" i="3"/>
  <c r="J2658" i="3"/>
  <c r="I2658" i="3"/>
  <c r="H2658" i="3"/>
  <c r="G2658" i="3"/>
  <c r="O2657" i="3"/>
  <c r="L2657" i="3"/>
  <c r="K2657" i="3"/>
  <c r="J2657" i="3"/>
  <c r="I2657" i="3"/>
  <c r="H2657" i="3"/>
  <c r="G2657" i="3"/>
  <c r="L2656" i="3"/>
  <c r="K2656" i="3"/>
  <c r="J2656" i="3"/>
  <c r="I2656" i="3"/>
  <c r="H2656" i="3"/>
  <c r="G2656" i="3"/>
  <c r="L2655" i="3"/>
  <c r="K2655" i="3"/>
  <c r="J2655" i="3"/>
  <c r="I2655" i="3"/>
  <c r="H2655" i="3"/>
  <c r="G2655" i="3"/>
  <c r="L2654" i="3"/>
  <c r="K2654" i="3"/>
  <c r="J2654" i="3"/>
  <c r="I2654" i="3"/>
  <c r="H2654" i="3"/>
  <c r="G2654" i="3"/>
  <c r="L2653" i="3"/>
  <c r="K2653" i="3"/>
  <c r="J2653" i="3"/>
  <c r="I2653" i="3"/>
  <c r="H2653" i="3"/>
  <c r="G2653" i="3"/>
  <c r="L2652" i="3"/>
  <c r="K2652" i="3"/>
  <c r="J2652" i="3"/>
  <c r="I2652" i="3"/>
  <c r="H2652" i="3"/>
  <c r="G2652" i="3"/>
  <c r="L2651" i="3"/>
  <c r="K2651" i="3"/>
  <c r="J2651" i="3"/>
  <c r="I2651" i="3"/>
  <c r="H2651" i="3"/>
  <c r="G2651" i="3"/>
  <c r="L2650" i="3"/>
  <c r="K2650" i="3"/>
  <c r="J2650" i="3"/>
  <c r="I2650" i="3"/>
  <c r="H2650" i="3"/>
  <c r="G2650" i="3"/>
  <c r="L2649" i="3"/>
  <c r="K2649" i="3"/>
  <c r="J2649" i="3"/>
  <c r="I2649" i="3"/>
  <c r="H2649" i="3"/>
  <c r="G2649" i="3"/>
  <c r="L2648" i="3"/>
  <c r="K2648" i="3"/>
  <c r="J2648" i="3"/>
  <c r="I2648" i="3"/>
  <c r="H2648" i="3"/>
  <c r="G2648" i="3"/>
  <c r="L2647" i="3"/>
  <c r="K2647" i="3"/>
  <c r="J2647" i="3"/>
  <c r="I2647" i="3"/>
  <c r="H2647" i="3"/>
  <c r="G2647" i="3"/>
  <c r="L2646" i="3"/>
  <c r="K2646" i="3"/>
  <c r="J2646" i="3"/>
  <c r="I2646" i="3"/>
  <c r="H2646" i="3"/>
  <c r="G2646" i="3"/>
  <c r="L2645" i="3"/>
  <c r="K2645" i="3"/>
  <c r="J2645" i="3"/>
  <c r="I2645" i="3"/>
  <c r="H2645" i="3"/>
  <c r="G2645" i="3"/>
  <c r="L2644" i="3"/>
  <c r="K2644" i="3"/>
  <c r="J2644" i="3"/>
  <c r="I2644" i="3"/>
  <c r="H2644" i="3"/>
  <c r="G2644" i="3"/>
  <c r="L2643" i="3"/>
  <c r="K2643" i="3"/>
  <c r="J2643" i="3"/>
  <c r="I2643" i="3"/>
  <c r="H2643" i="3"/>
  <c r="G2643" i="3"/>
  <c r="L2642" i="3"/>
  <c r="K2642" i="3"/>
  <c r="J2642" i="3"/>
  <c r="I2642" i="3"/>
  <c r="H2642" i="3"/>
  <c r="G2642" i="3"/>
  <c r="L2641" i="3"/>
  <c r="K2641" i="3"/>
  <c r="J2641" i="3"/>
  <c r="I2641" i="3"/>
  <c r="H2641" i="3"/>
  <c r="G2641" i="3"/>
  <c r="L2640" i="3"/>
  <c r="K2640" i="3"/>
  <c r="J2640" i="3"/>
  <c r="I2640" i="3"/>
  <c r="H2640" i="3"/>
  <c r="G2640" i="3"/>
  <c r="L2639" i="3"/>
  <c r="K2639" i="3"/>
  <c r="J2639" i="3"/>
  <c r="I2639" i="3"/>
  <c r="H2639" i="3"/>
  <c r="G2639" i="3"/>
  <c r="L2638" i="3"/>
  <c r="K2638" i="3"/>
  <c r="J2638" i="3"/>
  <c r="I2638" i="3"/>
  <c r="H2638" i="3"/>
  <c r="G2638" i="3"/>
  <c r="L2637" i="3"/>
  <c r="K2637" i="3"/>
  <c r="J2637" i="3"/>
  <c r="I2637" i="3"/>
  <c r="H2637" i="3"/>
  <c r="G2637" i="3"/>
  <c r="L2636" i="3"/>
  <c r="K2636" i="3"/>
  <c r="J2636" i="3"/>
  <c r="I2636" i="3"/>
  <c r="H2636" i="3"/>
  <c r="G2636" i="3"/>
  <c r="L2635" i="3"/>
  <c r="K2635" i="3"/>
  <c r="J2635" i="3"/>
  <c r="I2635" i="3"/>
  <c r="H2635" i="3"/>
  <c r="G2635" i="3"/>
  <c r="L2634" i="3"/>
  <c r="K2634" i="3"/>
  <c r="J2634" i="3"/>
  <c r="I2634" i="3"/>
  <c r="H2634" i="3"/>
  <c r="G2634" i="3"/>
  <c r="L2633" i="3"/>
  <c r="K2633" i="3"/>
  <c r="J2633" i="3"/>
  <c r="I2633" i="3"/>
  <c r="H2633" i="3"/>
  <c r="G2633" i="3"/>
  <c r="L2632" i="3"/>
  <c r="K2632" i="3"/>
  <c r="J2632" i="3"/>
  <c r="I2632" i="3"/>
  <c r="H2632" i="3"/>
  <c r="G2632" i="3"/>
  <c r="L2631" i="3"/>
  <c r="K2631" i="3"/>
  <c r="J2631" i="3"/>
  <c r="I2631" i="3"/>
  <c r="H2631" i="3"/>
  <c r="G2631" i="3"/>
  <c r="L2630" i="3"/>
  <c r="K2630" i="3"/>
  <c r="J2630" i="3"/>
  <c r="I2630" i="3"/>
  <c r="H2630" i="3"/>
  <c r="G2630" i="3"/>
  <c r="L2629" i="3"/>
  <c r="K2629" i="3"/>
  <c r="J2629" i="3"/>
  <c r="I2629" i="3"/>
  <c r="H2629" i="3"/>
  <c r="G2629" i="3"/>
  <c r="L2628" i="3"/>
  <c r="K2628" i="3"/>
  <c r="J2628" i="3"/>
  <c r="I2628" i="3"/>
  <c r="H2628" i="3"/>
  <c r="G2628" i="3"/>
  <c r="L2627" i="3"/>
  <c r="K2627" i="3"/>
  <c r="J2627" i="3"/>
  <c r="I2627" i="3"/>
  <c r="H2627" i="3"/>
  <c r="G2627" i="3"/>
  <c r="L2626" i="3"/>
  <c r="K2626" i="3"/>
  <c r="J2626" i="3"/>
  <c r="I2626" i="3"/>
  <c r="H2626" i="3"/>
  <c r="G2626" i="3"/>
  <c r="L2625" i="3"/>
  <c r="K2625" i="3"/>
  <c r="J2625" i="3"/>
  <c r="I2625" i="3"/>
  <c r="H2625" i="3"/>
  <c r="G2625" i="3"/>
  <c r="L2624" i="3"/>
  <c r="K2624" i="3"/>
  <c r="J2624" i="3"/>
  <c r="I2624" i="3"/>
  <c r="H2624" i="3"/>
  <c r="G2624" i="3"/>
  <c r="O2623" i="3"/>
  <c r="L2623" i="3"/>
  <c r="K2623" i="3"/>
  <c r="J2623" i="3"/>
  <c r="I2623" i="3"/>
  <c r="H2623" i="3"/>
  <c r="G2623" i="3"/>
  <c r="L2622" i="3"/>
  <c r="K2622" i="3"/>
  <c r="J2622" i="3"/>
  <c r="I2622" i="3"/>
  <c r="H2622" i="3"/>
  <c r="G2622" i="3"/>
  <c r="L2621" i="3"/>
  <c r="K2621" i="3"/>
  <c r="J2621" i="3"/>
  <c r="I2621" i="3"/>
  <c r="H2621" i="3"/>
  <c r="G2621" i="3"/>
  <c r="L2620" i="3"/>
  <c r="K2620" i="3"/>
  <c r="J2620" i="3"/>
  <c r="I2620" i="3"/>
  <c r="H2620" i="3"/>
  <c r="G2620" i="3"/>
  <c r="L2619" i="3"/>
  <c r="K2619" i="3"/>
  <c r="J2619" i="3"/>
  <c r="I2619" i="3"/>
  <c r="H2619" i="3"/>
  <c r="G2619" i="3"/>
  <c r="L2618" i="3"/>
  <c r="K2618" i="3"/>
  <c r="J2618" i="3"/>
  <c r="I2618" i="3"/>
  <c r="H2618" i="3"/>
  <c r="G2618" i="3"/>
  <c r="L2617" i="3"/>
  <c r="K2617" i="3"/>
  <c r="J2617" i="3"/>
  <c r="I2617" i="3"/>
  <c r="H2617" i="3"/>
  <c r="G2617" i="3"/>
  <c r="L2616" i="3"/>
  <c r="K2616" i="3"/>
  <c r="J2616" i="3"/>
  <c r="I2616" i="3"/>
  <c r="H2616" i="3"/>
  <c r="G2616" i="3"/>
  <c r="L2615" i="3"/>
  <c r="K2615" i="3"/>
  <c r="J2615" i="3"/>
  <c r="I2615" i="3"/>
  <c r="H2615" i="3"/>
  <c r="G2615" i="3"/>
  <c r="L2614" i="3"/>
  <c r="K2614" i="3"/>
  <c r="J2614" i="3"/>
  <c r="I2614" i="3"/>
  <c r="H2614" i="3"/>
  <c r="G2614" i="3"/>
  <c r="L2613" i="3"/>
  <c r="K2613" i="3"/>
  <c r="J2613" i="3"/>
  <c r="I2613" i="3"/>
  <c r="H2613" i="3"/>
  <c r="G2613" i="3"/>
  <c r="L2612" i="3"/>
  <c r="K2612" i="3"/>
  <c r="J2612" i="3"/>
  <c r="I2612" i="3"/>
  <c r="H2612" i="3"/>
  <c r="G2612" i="3"/>
  <c r="L2611" i="3"/>
  <c r="K2611" i="3"/>
  <c r="J2611" i="3"/>
  <c r="I2611" i="3"/>
  <c r="H2611" i="3"/>
  <c r="G2611" i="3"/>
  <c r="L2610" i="3"/>
  <c r="K2610" i="3"/>
  <c r="J2610" i="3"/>
  <c r="I2610" i="3"/>
  <c r="H2610" i="3"/>
  <c r="G2610" i="3"/>
  <c r="L2609" i="3"/>
  <c r="K2609" i="3"/>
  <c r="J2609" i="3"/>
  <c r="I2609" i="3"/>
  <c r="H2609" i="3"/>
  <c r="G2609" i="3"/>
  <c r="L2608" i="3"/>
  <c r="K2608" i="3"/>
  <c r="J2608" i="3"/>
  <c r="I2608" i="3"/>
  <c r="H2608" i="3"/>
  <c r="G2608" i="3"/>
  <c r="L2607" i="3"/>
  <c r="K2607" i="3"/>
  <c r="J2607" i="3"/>
  <c r="I2607" i="3"/>
  <c r="H2607" i="3"/>
  <c r="G2607" i="3"/>
  <c r="L2606" i="3"/>
  <c r="K2606" i="3"/>
  <c r="J2606" i="3"/>
  <c r="I2606" i="3"/>
  <c r="H2606" i="3"/>
  <c r="G2606" i="3"/>
  <c r="L2605" i="3"/>
  <c r="K2605" i="3"/>
  <c r="J2605" i="3"/>
  <c r="I2605" i="3"/>
  <c r="H2605" i="3"/>
  <c r="G2605" i="3"/>
  <c r="L2604" i="3"/>
  <c r="K2604" i="3"/>
  <c r="J2604" i="3"/>
  <c r="I2604" i="3"/>
  <c r="H2604" i="3"/>
  <c r="G2604" i="3"/>
  <c r="L2603" i="3"/>
  <c r="K2603" i="3"/>
  <c r="J2603" i="3"/>
  <c r="I2603" i="3"/>
  <c r="H2603" i="3"/>
  <c r="G2603" i="3"/>
  <c r="L2602" i="3"/>
  <c r="K2602" i="3"/>
  <c r="J2602" i="3"/>
  <c r="I2602" i="3"/>
  <c r="H2602" i="3"/>
  <c r="G2602" i="3"/>
  <c r="L2601" i="3"/>
  <c r="K2601" i="3"/>
  <c r="J2601" i="3"/>
  <c r="I2601" i="3"/>
  <c r="H2601" i="3"/>
  <c r="G2601" i="3"/>
  <c r="L2600" i="3"/>
  <c r="K2600" i="3"/>
  <c r="J2600" i="3"/>
  <c r="I2600" i="3"/>
  <c r="H2600" i="3"/>
  <c r="G2600" i="3"/>
  <c r="L2599" i="3"/>
  <c r="K2599" i="3"/>
  <c r="J2599" i="3"/>
  <c r="I2599" i="3"/>
  <c r="H2599" i="3"/>
  <c r="G2599" i="3"/>
  <c r="L2598" i="3"/>
  <c r="K2598" i="3"/>
  <c r="J2598" i="3"/>
  <c r="I2598" i="3"/>
  <c r="H2598" i="3"/>
  <c r="G2598" i="3"/>
  <c r="L2597" i="3"/>
  <c r="K2597" i="3"/>
  <c r="J2597" i="3"/>
  <c r="I2597" i="3"/>
  <c r="H2597" i="3"/>
  <c r="G2597" i="3"/>
  <c r="L2596" i="3"/>
  <c r="K2596" i="3"/>
  <c r="J2596" i="3"/>
  <c r="I2596" i="3"/>
  <c r="H2596" i="3"/>
  <c r="G2596" i="3"/>
  <c r="L2595" i="3"/>
  <c r="K2595" i="3"/>
  <c r="J2595" i="3"/>
  <c r="I2595" i="3"/>
  <c r="H2595" i="3"/>
  <c r="G2595" i="3"/>
  <c r="L2594" i="3"/>
  <c r="K2594" i="3"/>
  <c r="J2594" i="3"/>
  <c r="I2594" i="3"/>
  <c r="H2594" i="3"/>
  <c r="G2594" i="3"/>
  <c r="L2593" i="3"/>
  <c r="K2593" i="3"/>
  <c r="J2593" i="3"/>
  <c r="I2593" i="3"/>
  <c r="H2593" i="3"/>
  <c r="G2593" i="3"/>
  <c r="L2592" i="3"/>
  <c r="K2592" i="3"/>
  <c r="J2592" i="3"/>
  <c r="I2592" i="3"/>
  <c r="H2592" i="3"/>
  <c r="G2592" i="3"/>
  <c r="L2591" i="3"/>
  <c r="K2591" i="3"/>
  <c r="J2591" i="3"/>
  <c r="I2591" i="3"/>
  <c r="H2591" i="3"/>
  <c r="G2591" i="3"/>
  <c r="L2590" i="3"/>
  <c r="K2590" i="3"/>
  <c r="J2590" i="3"/>
  <c r="I2590" i="3"/>
  <c r="H2590" i="3"/>
  <c r="G2590" i="3"/>
  <c r="O2589" i="3"/>
  <c r="L2589" i="3"/>
  <c r="K2589" i="3"/>
  <c r="J2589" i="3"/>
  <c r="I2589" i="3"/>
  <c r="H2589" i="3"/>
  <c r="G2589" i="3"/>
  <c r="L2588" i="3"/>
  <c r="K2588" i="3"/>
  <c r="J2588" i="3"/>
  <c r="I2588" i="3"/>
  <c r="H2588" i="3"/>
  <c r="G2588" i="3"/>
  <c r="L2587" i="3"/>
  <c r="K2587" i="3"/>
  <c r="J2587" i="3"/>
  <c r="I2587" i="3"/>
  <c r="H2587" i="3"/>
  <c r="G2587" i="3"/>
  <c r="L2586" i="3"/>
  <c r="K2586" i="3"/>
  <c r="J2586" i="3"/>
  <c r="I2586" i="3"/>
  <c r="H2586" i="3"/>
  <c r="G2586" i="3"/>
  <c r="L2585" i="3"/>
  <c r="K2585" i="3"/>
  <c r="J2585" i="3"/>
  <c r="I2585" i="3"/>
  <c r="H2585" i="3"/>
  <c r="G2585" i="3"/>
  <c r="L2584" i="3"/>
  <c r="K2584" i="3"/>
  <c r="J2584" i="3"/>
  <c r="I2584" i="3"/>
  <c r="H2584" i="3"/>
  <c r="G2584" i="3"/>
  <c r="L2583" i="3"/>
  <c r="K2583" i="3"/>
  <c r="J2583" i="3"/>
  <c r="I2583" i="3"/>
  <c r="H2583" i="3"/>
  <c r="G2583" i="3"/>
  <c r="L2582" i="3"/>
  <c r="K2582" i="3"/>
  <c r="J2582" i="3"/>
  <c r="I2582" i="3"/>
  <c r="H2582" i="3"/>
  <c r="G2582" i="3"/>
  <c r="L2581" i="3"/>
  <c r="K2581" i="3"/>
  <c r="J2581" i="3"/>
  <c r="I2581" i="3"/>
  <c r="H2581" i="3"/>
  <c r="G2581" i="3"/>
  <c r="L2580" i="3"/>
  <c r="K2580" i="3"/>
  <c r="J2580" i="3"/>
  <c r="I2580" i="3"/>
  <c r="H2580" i="3"/>
  <c r="G2580" i="3"/>
  <c r="L2579" i="3"/>
  <c r="K2579" i="3"/>
  <c r="J2579" i="3"/>
  <c r="I2579" i="3"/>
  <c r="H2579" i="3"/>
  <c r="G2579" i="3"/>
  <c r="L2578" i="3"/>
  <c r="K2578" i="3"/>
  <c r="J2578" i="3"/>
  <c r="I2578" i="3"/>
  <c r="H2578" i="3"/>
  <c r="G2578" i="3"/>
  <c r="L2577" i="3"/>
  <c r="K2577" i="3"/>
  <c r="J2577" i="3"/>
  <c r="I2577" i="3"/>
  <c r="H2577" i="3"/>
  <c r="G2577" i="3"/>
  <c r="L2576" i="3"/>
  <c r="K2576" i="3"/>
  <c r="J2576" i="3"/>
  <c r="I2576" i="3"/>
  <c r="H2576" i="3"/>
  <c r="G2576" i="3"/>
  <c r="L2575" i="3"/>
  <c r="K2575" i="3"/>
  <c r="J2575" i="3"/>
  <c r="I2575" i="3"/>
  <c r="H2575" i="3"/>
  <c r="G2575" i="3"/>
  <c r="L2574" i="3"/>
  <c r="K2574" i="3"/>
  <c r="J2574" i="3"/>
  <c r="I2574" i="3"/>
  <c r="H2574" i="3"/>
  <c r="G2574" i="3"/>
  <c r="L2573" i="3"/>
  <c r="K2573" i="3"/>
  <c r="J2573" i="3"/>
  <c r="I2573" i="3"/>
  <c r="H2573" i="3"/>
  <c r="G2573" i="3"/>
  <c r="L2572" i="3"/>
  <c r="K2572" i="3"/>
  <c r="J2572" i="3"/>
  <c r="I2572" i="3"/>
  <c r="H2572" i="3"/>
  <c r="G2572" i="3"/>
  <c r="L2571" i="3"/>
  <c r="K2571" i="3"/>
  <c r="J2571" i="3"/>
  <c r="I2571" i="3"/>
  <c r="H2571" i="3"/>
  <c r="G2571" i="3"/>
  <c r="L2570" i="3"/>
  <c r="K2570" i="3"/>
  <c r="J2570" i="3"/>
  <c r="I2570" i="3"/>
  <c r="H2570" i="3"/>
  <c r="G2570" i="3"/>
  <c r="L2569" i="3"/>
  <c r="K2569" i="3"/>
  <c r="J2569" i="3"/>
  <c r="I2569" i="3"/>
  <c r="H2569" i="3"/>
  <c r="G2569" i="3"/>
  <c r="L2568" i="3"/>
  <c r="K2568" i="3"/>
  <c r="J2568" i="3"/>
  <c r="I2568" i="3"/>
  <c r="H2568" i="3"/>
  <c r="G2568" i="3"/>
  <c r="L2567" i="3"/>
  <c r="K2567" i="3"/>
  <c r="J2567" i="3"/>
  <c r="I2567" i="3"/>
  <c r="H2567" i="3"/>
  <c r="G2567" i="3"/>
  <c r="L2566" i="3"/>
  <c r="K2566" i="3"/>
  <c r="J2566" i="3"/>
  <c r="I2566" i="3"/>
  <c r="H2566" i="3"/>
  <c r="G2566" i="3"/>
  <c r="L2565" i="3"/>
  <c r="K2565" i="3"/>
  <c r="J2565" i="3"/>
  <c r="I2565" i="3"/>
  <c r="H2565" i="3"/>
  <c r="G2565" i="3"/>
  <c r="L2564" i="3"/>
  <c r="K2564" i="3"/>
  <c r="J2564" i="3"/>
  <c r="I2564" i="3"/>
  <c r="H2564" i="3"/>
  <c r="G2564" i="3"/>
  <c r="L2563" i="3"/>
  <c r="K2563" i="3"/>
  <c r="J2563" i="3"/>
  <c r="I2563" i="3"/>
  <c r="H2563" i="3"/>
  <c r="G2563" i="3"/>
  <c r="L2562" i="3"/>
  <c r="K2562" i="3"/>
  <c r="J2562" i="3"/>
  <c r="I2562" i="3"/>
  <c r="H2562" i="3"/>
  <c r="G2562" i="3"/>
  <c r="L2561" i="3"/>
  <c r="K2561" i="3"/>
  <c r="J2561" i="3"/>
  <c r="I2561" i="3"/>
  <c r="H2561" i="3"/>
  <c r="G2561" i="3"/>
  <c r="L2560" i="3"/>
  <c r="K2560" i="3"/>
  <c r="J2560" i="3"/>
  <c r="I2560" i="3"/>
  <c r="H2560" i="3"/>
  <c r="G2560" i="3"/>
  <c r="L2559" i="3"/>
  <c r="K2559" i="3"/>
  <c r="J2559" i="3"/>
  <c r="I2559" i="3"/>
  <c r="H2559" i="3"/>
  <c r="G2559" i="3"/>
  <c r="L2558" i="3"/>
  <c r="K2558" i="3"/>
  <c r="J2558" i="3"/>
  <c r="I2558" i="3"/>
  <c r="H2558" i="3"/>
  <c r="G2558" i="3"/>
  <c r="L2557" i="3"/>
  <c r="K2557" i="3"/>
  <c r="J2557" i="3"/>
  <c r="I2557" i="3"/>
  <c r="H2557" i="3"/>
  <c r="G2557" i="3"/>
  <c r="L2556" i="3"/>
  <c r="K2556" i="3"/>
  <c r="J2556" i="3"/>
  <c r="I2556" i="3"/>
  <c r="H2556" i="3"/>
  <c r="G2556" i="3"/>
  <c r="O2555" i="3"/>
  <c r="L2555" i="3"/>
  <c r="K2555" i="3"/>
  <c r="J2555" i="3"/>
  <c r="I2555" i="3"/>
  <c r="H2555" i="3"/>
  <c r="G2555" i="3"/>
  <c r="L2554" i="3"/>
  <c r="K2554" i="3"/>
  <c r="J2554" i="3"/>
  <c r="I2554" i="3"/>
  <c r="H2554" i="3"/>
  <c r="G2554" i="3"/>
  <c r="L2553" i="3"/>
  <c r="K2553" i="3"/>
  <c r="J2553" i="3"/>
  <c r="I2553" i="3"/>
  <c r="H2553" i="3"/>
  <c r="G2553" i="3"/>
  <c r="L2552" i="3"/>
  <c r="K2552" i="3"/>
  <c r="J2552" i="3"/>
  <c r="I2552" i="3"/>
  <c r="H2552" i="3"/>
  <c r="G2552" i="3"/>
  <c r="L2551" i="3"/>
  <c r="K2551" i="3"/>
  <c r="J2551" i="3"/>
  <c r="I2551" i="3"/>
  <c r="H2551" i="3"/>
  <c r="G2551" i="3"/>
  <c r="L2550" i="3"/>
  <c r="K2550" i="3"/>
  <c r="J2550" i="3"/>
  <c r="I2550" i="3"/>
  <c r="H2550" i="3"/>
  <c r="G2550" i="3"/>
  <c r="L2549" i="3"/>
  <c r="K2549" i="3"/>
  <c r="J2549" i="3"/>
  <c r="I2549" i="3"/>
  <c r="H2549" i="3"/>
  <c r="G2549" i="3"/>
  <c r="L2548" i="3"/>
  <c r="K2548" i="3"/>
  <c r="J2548" i="3"/>
  <c r="I2548" i="3"/>
  <c r="H2548" i="3"/>
  <c r="G2548" i="3"/>
  <c r="L2547" i="3"/>
  <c r="K2547" i="3"/>
  <c r="J2547" i="3"/>
  <c r="I2547" i="3"/>
  <c r="H2547" i="3"/>
  <c r="G2547" i="3"/>
  <c r="L2546" i="3"/>
  <c r="K2546" i="3"/>
  <c r="J2546" i="3"/>
  <c r="I2546" i="3"/>
  <c r="H2546" i="3"/>
  <c r="G2546" i="3"/>
  <c r="L2545" i="3"/>
  <c r="K2545" i="3"/>
  <c r="J2545" i="3"/>
  <c r="I2545" i="3"/>
  <c r="H2545" i="3"/>
  <c r="G2545" i="3"/>
  <c r="L2544" i="3"/>
  <c r="K2544" i="3"/>
  <c r="J2544" i="3"/>
  <c r="I2544" i="3"/>
  <c r="H2544" i="3"/>
  <c r="G2544" i="3"/>
  <c r="L2543" i="3"/>
  <c r="K2543" i="3"/>
  <c r="J2543" i="3"/>
  <c r="I2543" i="3"/>
  <c r="H2543" i="3"/>
  <c r="G2543" i="3"/>
  <c r="L2542" i="3"/>
  <c r="K2542" i="3"/>
  <c r="J2542" i="3"/>
  <c r="I2542" i="3"/>
  <c r="H2542" i="3"/>
  <c r="G2542" i="3"/>
  <c r="L2541" i="3"/>
  <c r="K2541" i="3"/>
  <c r="J2541" i="3"/>
  <c r="I2541" i="3"/>
  <c r="H2541" i="3"/>
  <c r="G2541" i="3"/>
  <c r="L2540" i="3"/>
  <c r="K2540" i="3"/>
  <c r="J2540" i="3"/>
  <c r="I2540" i="3"/>
  <c r="H2540" i="3"/>
  <c r="G2540" i="3"/>
  <c r="L2539" i="3"/>
  <c r="K2539" i="3"/>
  <c r="J2539" i="3"/>
  <c r="I2539" i="3"/>
  <c r="H2539" i="3"/>
  <c r="G2539" i="3"/>
  <c r="L2538" i="3"/>
  <c r="K2538" i="3"/>
  <c r="J2538" i="3"/>
  <c r="I2538" i="3"/>
  <c r="H2538" i="3"/>
  <c r="G2538" i="3"/>
  <c r="L2537" i="3"/>
  <c r="K2537" i="3"/>
  <c r="J2537" i="3"/>
  <c r="I2537" i="3"/>
  <c r="H2537" i="3"/>
  <c r="G2537" i="3"/>
  <c r="L2536" i="3"/>
  <c r="K2536" i="3"/>
  <c r="J2536" i="3"/>
  <c r="I2536" i="3"/>
  <c r="H2536" i="3"/>
  <c r="G2536" i="3"/>
  <c r="L2535" i="3"/>
  <c r="K2535" i="3"/>
  <c r="J2535" i="3"/>
  <c r="I2535" i="3"/>
  <c r="H2535" i="3"/>
  <c r="G2535" i="3"/>
  <c r="L2534" i="3"/>
  <c r="K2534" i="3"/>
  <c r="J2534" i="3"/>
  <c r="I2534" i="3"/>
  <c r="H2534" i="3"/>
  <c r="G2534" i="3"/>
  <c r="L2533" i="3"/>
  <c r="K2533" i="3"/>
  <c r="J2533" i="3"/>
  <c r="I2533" i="3"/>
  <c r="H2533" i="3"/>
  <c r="G2533" i="3"/>
  <c r="L2532" i="3"/>
  <c r="K2532" i="3"/>
  <c r="J2532" i="3"/>
  <c r="I2532" i="3"/>
  <c r="H2532" i="3"/>
  <c r="G2532" i="3"/>
  <c r="L2531" i="3"/>
  <c r="K2531" i="3"/>
  <c r="J2531" i="3"/>
  <c r="I2531" i="3"/>
  <c r="H2531" i="3"/>
  <c r="G2531" i="3"/>
  <c r="L2530" i="3"/>
  <c r="K2530" i="3"/>
  <c r="J2530" i="3"/>
  <c r="I2530" i="3"/>
  <c r="H2530" i="3"/>
  <c r="G2530" i="3"/>
  <c r="L2529" i="3"/>
  <c r="K2529" i="3"/>
  <c r="J2529" i="3"/>
  <c r="I2529" i="3"/>
  <c r="H2529" i="3"/>
  <c r="G2529" i="3"/>
  <c r="L2528" i="3"/>
  <c r="K2528" i="3"/>
  <c r="J2528" i="3"/>
  <c r="I2528" i="3"/>
  <c r="H2528" i="3"/>
  <c r="G2528" i="3"/>
  <c r="L2527" i="3"/>
  <c r="K2527" i="3"/>
  <c r="J2527" i="3"/>
  <c r="I2527" i="3"/>
  <c r="H2527" i="3"/>
  <c r="G2527" i="3"/>
  <c r="L2526" i="3"/>
  <c r="K2526" i="3"/>
  <c r="J2526" i="3"/>
  <c r="I2526" i="3"/>
  <c r="H2526" i="3"/>
  <c r="G2526" i="3"/>
  <c r="L2525" i="3"/>
  <c r="K2525" i="3"/>
  <c r="J2525" i="3"/>
  <c r="I2525" i="3"/>
  <c r="H2525" i="3"/>
  <c r="G2525" i="3"/>
  <c r="L2524" i="3"/>
  <c r="K2524" i="3"/>
  <c r="J2524" i="3"/>
  <c r="I2524" i="3"/>
  <c r="H2524" i="3"/>
  <c r="G2524" i="3"/>
  <c r="L2523" i="3"/>
  <c r="K2523" i="3"/>
  <c r="J2523" i="3"/>
  <c r="I2523" i="3"/>
  <c r="H2523" i="3"/>
  <c r="G2523" i="3"/>
  <c r="L2522" i="3"/>
  <c r="K2522" i="3"/>
  <c r="J2522" i="3"/>
  <c r="I2522" i="3"/>
  <c r="H2522" i="3"/>
  <c r="G2522" i="3"/>
  <c r="O2521" i="3"/>
  <c r="L2521" i="3"/>
  <c r="K2521" i="3"/>
  <c r="J2521" i="3"/>
  <c r="I2521" i="3"/>
  <c r="H2521" i="3"/>
  <c r="G2521" i="3"/>
  <c r="L2520" i="3"/>
  <c r="K2520" i="3"/>
  <c r="J2520" i="3"/>
  <c r="I2520" i="3"/>
  <c r="H2520" i="3"/>
  <c r="G2520" i="3"/>
  <c r="L2519" i="3"/>
  <c r="K2519" i="3"/>
  <c r="J2519" i="3"/>
  <c r="I2519" i="3"/>
  <c r="H2519" i="3"/>
  <c r="G2519" i="3"/>
  <c r="L2518" i="3"/>
  <c r="K2518" i="3"/>
  <c r="J2518" i="3"/>
  <c r="I2518" i="3"/>
  <c r="H2518" i="3"/>
  <c r="G2518" i="3"/>
  <c r="L2517" i="3"/>
  <c r="K2517" i="3"/>
  <c r="J2517" i="3"/>
  <c r="I2517" i="3"/>
  <c r="H2517" i="3"/>
  <c r="G2517" i="3"/>
  <c r="L2516" i="3"/>
  <c r="K2516" i="3"/>
  <c r="J2516" i="3"/>
  <c r="I2516" i="3"/>
  <c r="H2516" i="3"/>
  <c r="G2516" i="3"/>
  <c r="L2515" i="3"/>
  <c r="K2515" i="3"/>
  <c r="J2515" i="3"/>
  <c r="I2515" i="3"/>
  <c r="H2515" i="3"/>
  <c r="G2515" i="3"/>
  <c r="L2514" i="3"/>
  <c r="K2514" i="3"/>
  <c r="J2514" i="3"/>
  <c r="I2514" i="3"/>
  <c r="H2514" i="3"/>
  <c r="G2514" i="3"/>
  <c r="L2513" i="3"/>
  <c r="K2513" i="3"/>
  <c r="J2513" i="3"/>
  <c r="I2513" i="3"/>
  <c r="H2513" i="3"/>
  <c r="G2513" i="3"/>
  <c r="L2512" i="3"/>
  <c r="K2512" i="3"/>
  <c r="J2512" i="3"/>
  <c r="I2512" i="3"/>
  <c r="H2512" i="3"/>
  <c r="G2512" i="3"/>
  <c r="L2511" i="3"/>
  <c r="K2511" i="3"/>
  <c r="J2511" i="3"/>
  <c r="I2511" i="3"/>
  <c r="H2511" i="3"/>
  <c r="G2511" i="3"/>
  <c r="L2510" i="3"/>
  <c r="K2510" i="3"/>
  <c r="J2510" i="3"/>
  <c r="I2510" i="3"/>
  <c r="H2510" i="3"/>
  <c r="G2510" i="3"/>
  <c r="L2509" i="3"/>
  <c r="K2509" i="3"/>
  <c r="J2509" i="3"/>
  <c r="I2509" i="3"/>
  <c r="H2509" i="3"/>
  <c r="G2509" i="3"/>
  <c r="L2508" i="3"/>
  <c r="K2508" i="3"/>
  <c r="J2508" i="3"/>
  <c r="I2508" i="3"/>
  <c r="H2508" i="3"/>
  <c r="G2508" i="3"/>
  <c r="L2507" i="3"/>
  <c r="K2507" i="3"/>
  <c r="J2507" i="3"/>
  <c r="I2507" i="3"/>
  <c r="H2507" i="3"/>
  <c r="G2507" i="3"/>
  <c r="L2506" i="3"/>
  <c r="K2506" i="3"/>
  <c r="J2506" i="3"/>
  <c r="I2506" i="3"/>
  <c r="H2506" i="3"/>
  <c r="G2506" i="3"/>
  <c r="L2505" i="3"/>
  <c r="K2505" i="3"/>
  <c r="J2505" i="3"/>
  <c r="I2505" i="3"/>
  <c r="H2505" i="3"/>
  <c r="G2505" i="3"/>
  <c r="L2504" i="3"/>
  <c r="K2504" i="3"/>
  <c r="J2504" i="3"/>
  <c r="I2504" i="3"/>
  <c r="H2504" i="3"/>
  <c r="G2504" i="3"/>
  <c r="L2503" i="3"/>
  <c r="K2503" i="3"/>
  <c r="J2503" i="3"/>
  <c r="I2503" i="3"/>
  <c r="H2503" i="3"/>
  <c r="G2503" i="3"/>
  <c r="L2502" i="3"/>
  <c r="K2502" i="3"/>
  <c r="J2502" i="3"/>
  <c r="I2502" i="3"/>
  <c r="H2502" i="3"/>
  <c r="G2502" i="3"/>
  <c r="L2501" i="3"/>
  <c r="K2501" i="3"/>
  <c r="J2501" i="3"/>
  <c r="I2501" i="3"/>
  <c r="H2501" i="3"/>
  <c r="G2501" i="3"/>
  <c r="L2500" i="3"/>
  <c r="K2500" i="3"/>
  <c r="J2500" i="3"/>
  <c r="I2500" i="3"/>
  <c r="H2500" i="3"/>
  <c r="G2500" i="3"/>
  <c r="L2499" i="3"/>
  <c r="K2499" i="3"/>
  <c r="J2499" i="3"/>
  <c r="I2499" i="3"/>
  <c r="H2499" i="3"/>
  <c r="G2499" i="3"/>
  <c r="L2498" i="3"/>
  <c r="K2498" i="3"/>
  <c r="J2498" i="3"/>
  <c r="I2498" i="3"/>
  <c r="H2498" i="3"/>
  <c r="G2498" i="3"/>
  <c r="L2497" i="3"/>
  <c r="K2497" i="3"/>
  <c r="J2497" i="3"/>
  <c r="I2497" i="3"/>
  <c r="H2497" i="3"/>
  <c r="G2497" i="3"/>
  <c r="L2496" i="3"/>
  <c r="K2496" i="3"/>
  <c r="J2496" i="3"/>
  <c r="I2496" i="3"/>
  <c r="H2496" i="3"/>
  <c r="G2496" i="3"/>
  <c r="L2495" i="3"/>
  <c r="K2495" i="3"/>
  <c r="J2495" i="3"/>
  <c r="I2495" i="3"/>
  <c r="H2495" i="3"/>
  <c r="G2495" i="3"/>
  <c r="L2494" i="3"/>
  <c r="K2494" i="3"/>
  <c r="J2494" i="3"/>
  <c r="I2494" i="3"/>
  <c r="H2494" i="3"/>
  <c r="G2494" i="3"/>
  <c r="L2493" i="3"/>
  <c r="K2493" i="3"/>
  <c r="J2493" i="3"/>
  <c r="I2493" i="3"/>
  <c r="H2493" i="3"/>
  <c r="G2493" i="3"/>
  <c r="L2492" i="3"/>
  <c r="K2492" i="3"/>
  <c r="J2492" i="3"/>
  <c r="I2492" i="3"/>
  <c r="H2492" i="3"/>
  <c r="G2492" i="3"/>
  <c r="L2491" i="3"/>
  <c r="K2491" i="3"/>
  <c r="J2491" i="3"/>
  <c r="I2491" i="3"/>
  <c r="H2491" i="3"/>
  <c r="G2491" i="3"/>
  <c r="L2490" i="3"/>
  <c r="K2490" i="3"/>
  <c r="J2490" i="3"/>
  <c r="I2490" i="3"/>
  <c r="H2490" i="3"/>
  <c r="G2490" i="3"/>
  <c r="L2489" i="3"/>
  <c r="K2489" i="3"/>
  <c r="J2489" i="3"/>
  <c r="I2489" i="3"/>
  <c r="H2489" i="3"/>
  <c r="G2489" i="3"/>
  <c r="L2488" i="3"/>
  <c r="K2488" i="3"/>
  <c r="J2488" i="3"/>
  <c r="I2488" i="3"/>
  <c r="H2488" i="3"/>
  <c r="G2488" i="3"/>
  <c r="M2702" i="3"/>
  <c r="M2662" i="3"/>
  <c r="O2487" i="3"/>
  <c r="L2487" i="3"/>
  <c r="K2487" i="3"/>
  <c r="J2487" i="3"/>
  <c r="I2487" i="3"/>
  <c r="H2487" i="3"/>
  <c r="G2487" i="3"/>
  <c r="L2486" i="3"/>
  <c r="K2486" i="3"/>
  <c r="J2486" i="3"/>
  <c r="I2486" i="3"/>
  <c r="H2486" i="3"/>
  <c r="G2486" i="3"/>
  <c r="L2485" i="3"/>
  <c r="K2485" i="3"/>
  <c r="J2485" i="3"/>
  <c r="I2485" i="3"/>
  <c r="H2485" i="3"/>
  <c r="G2485" i="3"/>
  <c r="L2484" i="3"/>
  <c r="K2484" i="3"/>
  <c r="J2484" i="3"/>
  <c r="I2484" i="3"/>
  <c r="H2484" i="3"/>
  <c r="G2484" i="3"/>
  <c r="L2483" i="3"/>
  <c r="K2483" i="3"/>
  <c r="J2483" i="3"/>
  <c r="I2483" i="3"/>
  <c r="H2483" i="3"/>
  <c r="G2483" i="3"/>
  <c r="L2482" i="3"/>
  <c r="K2482" i="3"/>
  <c r="J2482" i="3"/>
  <c r="I2482" i="3"/>
  <c r="H2482" i="3"/>
  <c r="G2482" i="3"/>
  <c r="L2481" i="3"/>
  <c r="K2481" i="3"/>
  <c r="J2481" i="3"/>
  <c r="I2481" i="3"/>
  <c r="H2481" i="3"/>
  <c r="G2481" i="3"/>
  <c r="L2480" i="3"/>
  <c r="K2480" i="3"/>
  <c r="J2480" i="3"/>
  <c r="I2480" i="3"/>
  <c r="H2480" i="3"/>
  <c r="G2480" i="3"/>
  <c r="L2479" i="3"/>
  <c r="K2479" i="3"/>
  <c r="J2479" i="3"/>
  <c r="I2479" i="3"/>
  <c r="H2479" i="3"/>
  <c r="G2479" i="3"/>
  <c r="L2478" i="3"/>
  <c r="K2478" i="3"/>
  <c r="J2478" i="3"/>
  <c r="I2478" i="3"/>
  <c r="H2478" i="3"/>
  <c r="G2478" i="3"/>
  <c r="L2477" i="3"/>
  <c r="K2477" i="3"/>
  <c r="J2477" i="3"/>
  <c r="I2477" i="3"/>
  <c r="H2477" i="3"/>
  <c r="G2477" i="3"/>
  <c r="L2476" i="3"/>
  <c r="K2476" i="3"/>
  <c r="J2476" i="3"/>
  <c r="I2476" i="3"/>
  <c r="H2476" i="3"/>
  <c r="G2476" i="3"/>
  <c r="L2475" i="3"/>
  <c r="K2475" i="3"/>
  <c r="J2475" i="3"/>
  <c r="I2475" i="3"/>
  <c r="H2475" i="3"/>
  <c r="G2475" i="3"/>
  <c r="L2474" i="3"/>
  <c r="K2474" i="3"/>
  <c r="J2474" i="3"/>
  <c r="I2474" i="3"/>
  <c r="H2474" i="3"/>
  <c r="G2474" i="3"/>
  <c r="L2473" i="3"/>
  <c r="K2473" i="3"/>
  <c r="J2473" i="3"/>
  <c r="I2473" i="3"/>
  <c r="H2473" i="3"/>
  <c r="G2473" i="3"/>
  <c r="L2472" i="3"/>
  <c r="K2472" i="3"/>
  <c r="J2472" i="3"/>
  <c r="I2472" i="3"/>
  <c r="H2472" i="3"/>
  <c r="G2472" i="3"/>
  <c r="L2471" i="3"/>
  <c r="K2471" i="3"/>
  <c r="J2471" i="3"/>
  <c r="I2471" i="3"/>
  <c r="H2471" i="3"/>
  <c r="G2471" i="3"/>
  <c r="L2470" i="3"/>
  <c r="K2470" i="3"/>
  <c r="J2470" i="3"/>
  <c r="I2470" i="3"/>
  <c r="H2470" i="3"/>
  <c r="G2470" i="3"/>
  <c r="L2469" i="3"/>
  <c r="K2469" i="3"/>
  <c r="J2469" i="3"/>
  <c r="I2469" i="3"/>
  <c r="H2469" i="3"/>
  <c r="G2469" i="3"/>
  <c r="L2468" i="3"/>
  <c r="K2468" i="3"/>
  <c r="J2468" i="3"/>
  <c r="I2468" i="3"/>
  <c r="H2468" i="3"/>
  <c r="G2468" i="3"/>
  <c r="L2467" i="3"/>
  <c r="K2467" i="3"/>
  <c r="J2467" i="3"/>
  <c r="I2467" i="3"/>
  <c r="H2467" i="3"/>
  <c r="G2467" i="3"/>
  <c r="L2466" i="3"/>
  <c r="K2466" i="3"/>
  <c r="J2466" i="3"/>
  <c r="I2466" i="3"/>
  <c r="H2466" i="3"/>
  <c r="G2466" i="3"/>
  <c r="L2465" i="3"/>
  <c r="K2465" i="3"/>
  <c r="J2465" i="3"/>
  <c r="I2465" i="3"/>
  <c r="H2465" i="3"/>
  <c r="G2465" i="3"/>
  <c r="L2464" i="3"/>
  <c r="K2464" i="3"/>
  <c r="J2464" i="3"/>
  <c r="I2464" i="3"/>
  <c r="H2464" i="3"/>
  <c r="G2464" i="3"/>
  <c r="L2463" i="3"/>
  <c r="K2463" i="3"/>
  <c r="J2463" i="3"/>
  <c r="I2463" i="3"/>
  <c r="H2463" i="3"/>
  <c r="G2463" i="3"/>
  <c r="L2462" i="3"/>
  <c r="K2462" i="3"/>
  <c r="J2462" i="3"/>
  <c r="I2462" i="3"/>
  <c r="H2462" i="3"/>
  <c r="G2462" i="3"/>
  <c r="L2461" i="3"/>
  <c r="K2461" i="3"/>
  <c r="J2461" i="3"/>
  <c r="I2461" i="3"/>
  <c r="H2461" i="3"/>
  <c r="G2461" i="3"/>
  <c r="L2460" i="3"/>
  <c r="K2460" i="3"/>
  <c r="J2460" i="3"/>
  <c r="I2460" i="3"/>
  <c r="H2460" i="3"/>
  <c r="G2460" i="3"/>
  <c r="L2459" i="3"/>
  <c r="K2459" i="3"/>
  <c r="J2459" i="3"/>
  <c r="I2459" i="3"/>
  <c r="H2459" i="3"/>
  <c r="G2459" i="3"/>
  <c r="L2458" i="3"/>
  <c r="K2458" i="3"/>
  <c r="J2458" i="3"/>
  <c r="I2458" i="3"/>
  <c r="H2458" i="3"/>
  <c r="G2458" i="3"/>
  <c r="L2457" i="3"/>
  <c r="K2457" i="3"/>
  <c r="J2457" i="3"/>
  <c r="I2457" i="3"/>
  <c r="H2457" i="3"/>
  <c r="G2457" i="3"/>
  <c r="L2456" i="3"/>
  <c r="K2456" i="3"/>
  <c r="J2456" i="3"/>
  <c r="I2456" i="3"/>
  <c r="H2456" i="3"/>
  <c r="G2456" i="3"/>
  <c r="L2455" i="3"/>
  <c r="K2455" i="3"/>
  <c r="J2455" i="3"/>
  <c r="I2455" i="3"/>
  <c r="H2455" i="3"/>
  <c r="G2455" i="3"/>
  <c r="L2454" i="3"/>
  <c r="K2454" i="3"/>
  <c r="J2454" i="3"/>
  <c r="I2454" i="3"/>
  <c r="H2454" i="3"/>
  <c r="G2454" i="3"/>
  <c r="O2453" i="3"/>
  <c r="L2453" i="3"/>
  <c r="K2453" i="3"/>
  <c r="J2453" i="3"/>
  <c r="I2453" i="3"/>
  <c r="H2453" i="3"/>
  <c r="G2453" i="3"/>
  <c r="L2452" i="3"/>
  <c r="K2452" i="3"/>
  <c r="J2452" i="3"/>
  <c r="I2452" i="3"/>
  <c r="H2452" i="3"/>
  <c r="G2452" i="3"/>
  <c r="L2451" i="3"/>
  <c r="K2451" i="3"/>
  <c r="J2451" i="3"/>
  <c r="I2451" i="3"/>
  <c r="H2451" i="3"/>
  <c r="G2451" i="3"/>
  <c r="L2450" i="3"/>
  <c r="K2450" i="3"/>
  <c r="J2450" i="3"/>
  <c r="I2450" i="3"/>
  <c r="H2450" i="3"/>
  <c r="G2450" i="3"/>
  <c r="L2449" i="3"/>
  <c r="K2449" i="3"/>
  <c r="J2449" i="3"/>
  <c r="I2449" i="3"/>
  <c r="H2449" i="3"/>
  <c r="G2449" i="3"/>
  <c r="L2448" i="3"/>
  <c r="K2448" i="3"/>
  <c r="J2448" i="3"/>
  <c r="I2448" i="3"/>
  <c r="H2448" i="3"/>
  <c r="G2448" i="3"/>
  <c r="L2447" i="3"/>
  <c r="K2447" i="3"/>
  <c r="J2447" i="3"/>
  <c r="I2447" i="3"/>
  <c r="H2447" i="3"/>
  <c r="G2447" i="3"/>
  <c r="L2446" i="3"/>
  <c r="K2446" i="3"/>
  <c r="J2446" i="3"/>
  <c r="I2446" i="3"/>
  <c r="M2446" i="3" s="1"/>
  <c r="H2446" i="3"/>
  <c r="G2446" i="3"/>
  <c r="L2445" i="3"/>
  <c r="K2445" i="3"/>
  <c r="J2445" i="3"/>
  <c r="I2445" i="3"/>
  <c r="H2445" i="3"/>
  <c r="G2445" i="3"/>
  <c r="L2444" i="3"/>
  <c r="K2444" i="3"/>
  <c r="J2444" i="3"/>
  <c r="I2444" i="3"/>
  <c r="H2444" i="3"/>
  <c r="G2444" i="3"/>
  <c r="L2443" i="3"/>
  <c r="K2443" i="3"/>
  <c r="J2443" i="3"/>
  <c r="I2443" i="3"/>
  <c r="H2443" i="3"/>
  <c r="G2443" i="3"/>
  <c r="L2442" i="3"/>
  <c r="K2442" i="3"/>
  <c r="J2442" i="3"/>
  <c r="I2442" i="3"/>
  <c r="H2442" i="3"/>
  <c r="G2442" i="3"/>
  <c r="L2441" i="3"/>
  <c r="K2441" i="3"/>
  <c r="J2441" i="3"/>
  <c r="I2441" i="3"/>
  <c r="H2441" i="3"/>
  <c r="G2441" i="3"/>
  <c r="L2440" i="3"/>
  <c r="K2440" i="3"/>
  <c r="J2440" i="3"/>
  <c r="I2440" i="3"/>
  <c r="H2440" i="3"/>
  <c r="G2440" i="3"/>
  <c r="L2439" i="3"/>
  <c r="K2439" i="3"/>
  <c r="J2439" i="3"/>
  <c r="I2439" i="3"/>
  <c r="H2439" i="3"/>
  <c r="G2439" i="3"/>
  <c r="L2438" i="3"/>
  <c r="K2438" i="3"/>
  <c r="J2438" i="3"/>
  <c r="I2438" i="3"/>
  <c r="H2438" i="3"/>
  <c r="G2438" i="3"/>
  <c r="L2437" i="3"/>
  <c r="K2437" i="3"/>
  <c r="J2437" i="3"/>
  <c r="I2437" i="3"/>
  <c r="H2437" i="3"/>
  <c r="G2437" i="3"/>
  <c r="L2436" i="3"/>
  <c r="K2436" i="3"/>
  <c r="J2436" i="3"/>
  <c r="I2436" i="3"/>
  <c r="H2436" i="3"/>
  <c r="G2436" i="3"/>
  <c r="L2435" i="3"/>
  <c r="K2435" i="3"/>
  <c r="J2435" i="3"/>
  <c r="I2435" i="3"/>
  <c r="H2435" i="3"/>
  <c r="G2435" i="3"/>
  <c r="L2434" i="3"/>
  <c r="K2434" i="3"/>
  <c r="J2434" i="3"/>
  <c r="I2434" i="3"/>
  <c r="H2434" i="3"/>
  <c r="G2434" i="3"/>
  <c r="L2433" i="3"/>
  <c r="K2433" i="3"/>
  <c r="J2433" i="3"/>
  <c r="I2433" i="3"/>
  <c r="H2433" i="3"/>
  <c r="G2433" i="3"/>
  <c r="L2432" i="3"/>
  <c r="K2432" i="3"/>
  <c r="J2432" i="3"/>
  <c r="I2432" i="3"/>
  <c r="H2432" i="3"/>
  <c r="G2432" i="3"/>
  <c r="L2431" i="3"/>
  <c r="K2431" i="3"/>
  <c r="J2431" i="3"/>
  <c r="I2431" i="3"/>
  <c r="H2431" i="3"/>
  <c r="G2431" i="3"/>
  <c r="L2430" i="3"/>
  <c r="K2430" i="3"/>
  <c r="J2430" i="3"/>
  <c r="I2430" i="3"/>
  <c r="H2430" i="3"/>
  <c r="G2430" i="3"/>
  <c r="L2429" i="3"/>
  <c r="K2429" i="3"/>
  <c r="J2429" i="3"/>
  <c r="I2429" i="3"/>
  <c r="H2429" i="3"/>
  <c r="G2429" i="3"/>
  <c r="L2428" i="3"/>
  <c r="K2428" i="3"/>
  <c r="J2428" i="3"/>
  <c r="I2428" i="3"/>
  <c r="H2428" i="3"/>
  <c r="G2428" i="3"/>
  <c r="L2427" i="3"/>
  <c r="K2427" i="3"/>
  <c r="J2427" i="3"/>
  <c r="I2427" i="3"/>
  <c r="H2427" i="3"/>
  <c r="G2427" i="3"/>
  <c r="L2426" i="3"/>
  <c r="K2426" i="3"/>
  <c r="J2426" i="3"/>
  <c r="I2426" i="3"/>
  <c r="H2426" i="3"/>
  <c r="G2426" i="3"/>
  <c r="L2425" i="3"/>
  <c r="K2425" i="3"/>
  <c r="J2425" i="3"/>
  <c r="I2425" i="3"/>
  <c r="H2425" i="3"/>
  <c r="G2425" i="3"/>
  <c r="L2424" i="3"/>
  <c r="K2424" i="3"/>
  <c r="J2424" i="3"/>
  <c r="I2424" i="3"/>
  <c r="H2424" i="3"/>
  <c r="G2424" i="3"/>
  <c r="L2423" i="3"/>
  <c r="K2423" i="3"/>
  <c r="J2423" i="3"/>
  <c r="I2423" i="3"/>
  <c r="H2423" i="3"/>
  <c r="G2423" i="3"/>
  <c r="L2422" i="3"/>
  <c r="K2422" i="3"/>
  <c r="J2422" i="3"/>
  <c r="I2422" i="3"/>
  <c r="H2422" i="3"/>
  <c r="G2422" i="3"/>
  <c r="L2421" i="3"/>
  <c r="K2421" i="3"/>
  <c r="J2421" i="3"/>
  <c r="I2421" i="3"/>
  <c r="H2421" i="3"/>
  <c r="G2421" i="3"/>
  <c r="L2420" i="3"/>
  <c r="K2420" i="3"/>
  <c r="J2420" i="3"/>
  <c r="I2420" i="3"/>
  <c r="H2420" i="3"/>
  <c r="G2420" i="3"/>
  <c r="O2419" i="3"/>
  <c r="L2419" i="3"/>
  <c r="K2419" i="3"/>
  <c r="J2419" i="3"/>
  <c r="I2419" i="3"/>
  <c r="H2419" i="3"/>
  <c r="G2419" i="3"/>
  <c r="L2418" i="3"/>
  <c r="K2418" i="3"/>
  <c r="J2418" i="3"/>
  <c r="I2418" i="3"/>
  <c r="H2418" i="3"/>
  <c r="G2418" i="3"/>
  <c r="L2417" i="3"/>
  <c r="K2417" i="3"/>
  <c r="J2417" i="3"/>
  <c r="I2417" i="3"/>
  <c r="H2417" i="3"/>
  <c r="G2417" i="3"/>
  <c r="L2416" i="3"/>
  <c r="K2416" i="3"/>
  <c r="J2416" i="3"/>
  <c r="I2416" i="3"/>
  <c r="H2416" i="3"/>
  <c r="G2416" i="3"/>
  <c r="L2415" i="3"/>
  <c r="K2415" i="3"/>
  <c r="J2415" i="3"/>
  <c r="I2415" i="3"/>
  <c r="H2415" i="3"/>
  <c r="G2415" i="3"/>
  <c r="L2414" i="3"/>
  <c r="K2414" i="3"/>
  <c r="J2414" i="3"/>
  <c r="I2414" i="3"/>
  <c r="H2414" i="3"/>
  <c r="G2414" i="3"/>
  <c r="L2413" i="3"/>
  <c r="K2413" i="3"/>
  <c r="J2413" i="3"/>
  <c r="I2413" i="3"/>
  <c r="H2413" i="3"/>
  <c r="G2413" i="3"/>
  <c r="L2412" i="3"/>
  <c r="K2412" i="3"/>
  <c r="J2412" i="3"/>
  <c r="I2412" i="3"/>
  <c r="H2412" i="3"/>
  <c r="G2412" i="3"/>
  <c r="L2411" i="3"/>
  <c r="K2411" i="3"/>
  <c r="J2411" i="3"/>
  <c r="I2411" i="3"/>
  <c r="H2411" i="3"/>
  <c r="G2411" i="3"/>
  <c r="L2410" i="3"/>
  <c r="K2410" i="3"/>
  <c r="J2410" i="3"/>
  <c r="I2410" i="3"/>
  <c r="H2410" i="3"/>
  <c r="G2410" i="3"/>
  <c r="L2409" i="3"/>
  <c r="K2409" i="3"/>
  <c r="J2409" i="3"/>
  <c r="I2409" i="3"/>
  <c r="H2409" i="3"/>
  <c r="G2409" i="3"/>
  <c r="L2408" i="3"/>
  <c r="K2408" i="3"/>
  <c r="J2408" i="3"/>
  <c r="I2408" i="3"/>
  <c r="H2408" i="3"/>
  <c r="G2408" i="3"/>
  <c r="L2407" i="3"/>
  <c r="K2407" i="3"/>
  <c r="J2407" i="3"/>
  <c r="I2407" i="3"/>
  <c r="H2407" i="3"/>
  <c r="G2407" i="3"/>
  <c r="L2406" i="3"/>
  <c r="K2406" i="3"/>
  <c r="J2406" i="3"/>
  <c r="I2406" i="3"/>
  <c r="H2406" i="3"/>
  <c r="G2406" i="3"/>
  <c r="L2405" i="3"/>
  <c r="K2405" i="3"/>
  <c r="J2405" i="3"/>
  <c r="I2405" i="3"/>
  <c r="H2405" i="3"/>
  <c r="G2405" i="3"/>
  <c r="L2404" i="3"/>
  <c r="K2404" i="3"/>
  <c r="J2404" i="3"/>
  <c r="I2404" i="3"/>
  <c r="H2404" i="3"/>
  <c r="G2404" i="3"/>
  <c r="L2403" i="3"/>
  <c r="K2403" i="3"/>
  <c r="J2403" i="3"/>
  <c r="I2403" i="3"/>
  <c r="H2403" i="3"/>
  <c r="G2403" i="3"/>
  <c r="L2402" i="3"/>
  <c r="K2402" i="3"/>
  <c r="J2402" i="3"/>
  <c r="I2402" i="3"/>
  <c r="H2402" i="3"/>
  <c r="G2402" i="3"/>
  <c r="L2401" i="3"/>
  <c r="K2401" i="3"/>
  <c r="J2401" i="3"/>
  <c r="I2401" i="3"/>
  <c r="H2401" i="3"/>
  <c r="G2401" i="3"/>
  <c r="L2400" i="3"/>
  <c r="K2400" i="3"/>
  <c r="J2400" i="3"/>
  <c r="I2400" i="3"/>
  <c r="H2400" i="3"/>
  <c r="G2400" i="3"/>
  <c r="L2399" i="3"/>
  <c r="K2399" i="3"/>
  <c r="J2399" i="3"/>
  <c r="I2399" i="3"/>
  <c r="H2399" i="3"/>
  <c r="G2399" i="3"/>
  <c r="L2398" i="3"/>
  <c r="K2398" i="3"/>
  <c r="J2398" i="3"/>
  <c r="I2398" i="3"/>
  <c r="H2398" i="3"/>
  <c r="G2398" i="3"/>
  <c r="L2397" i="3"/>
  <c r="K2397" i="3"/>
  <c r="J2397" i="3"/>
  <c r="I2397" i="3"/>
  <c r="H2397" i="3"/>
  <c r="G2397" i="3"/>
  <c r="L2396" i="3"/>
  <c r="K2396" i="3"/>
  <c r="J2396" i="3"/>
  <c r="I2396" i="3"/>
  <c r="H2396" i="3"/>
  <c r="G2396" i="3"/>
  <c r="L2395" i="3"/>
  <c r="K2395" i="3"/>
  <c r="J2395" i="3"/>
  <c r="I2395" i="3"/>
  <c r="H2395" i="3"/>
  <c r="G2395" i="3"/>
  <c r="L2394" i="3"/>
  <c r="K2394" i="3"/>
  <c r="J2394" i="3"/>
  <c r="I2394" i="3"/>
  <c r="H2394" i="3"/>
  <c r="G2394" i="3"/>
  <c r="L2393" i="3"/>
  <c r="K2393" i="3"/>
  <c r="J2393" i="3"/>
  <c r="I2393" i="3"/>
  <c r="H2393" i="3"/>
  <c r="G2393" i="3"/>
  <c r="L2392" i="3"/>
  <c r="K2392" i="3"/>
  <c r="J2392" i="3"/>
  <c r="I2392" i="3"/>
  <c r="H2392" i="3"/>
  <c r="G2392" i="3"/>
  <c r="L2391" i="3"/>
  <c r="K2391" i="3"/>
  <c r="J2391" i="3"/>
  <c r="I2391" i="3"/>
  <c r="H2391" i="3"/>
  <c r="G2391" i="3"/>
  <c r="L2390" i="3"/>
  <c r="K2390" i="3"/>
  <c r="J2390" i="3"/>
  <c r="I2390" i="3"/>
  <c r="H2390" i="3"/>
  <c r="G2390" i="3"/>
  <c r="L2389" i="3"/>
  <c r="K2389" i="3"/>
  <c r="J2389" i="3"/>
  <c r="I2389" i="3"/>
  <c r="H2389" i="3"/>
  <c r="G2389" i="3"/>
  <c r="L2388" i="3"/>
  <c r="K2388" i="3"/>
  <c r="J2388" i="3"/>
  <c r="I2388" i="3"/>
  <c r="H2388" i="3"/>
  <c r="G2388" i="3"/>
  <c r="L2387" i="3"/>
  <c r="K2387" i="3"/>
  <c r="J2387" i="3"/>
  <c r="I2387" i="3"/>
  <c r="H2387" i="3"/>
  <c r="G2387" i="3"/>
  <c r="L2386" i="3"/>
  <c r="K2386" i="3"/>
  <c r="J2386" i="3"/>
  <c r="I2386" i="3"/>
  <c r="H2386" i="3"/>
  <c r="G2386" i="3"/>
  <c r="O2385" i="3"/>
  <c r="L2385" i="3"/>
  <c r="K2385" i="3"/>
  <c r="J2385" i="3"/>
  <c r="I2385" i="3"/>
  <c r="H2385" i="3"/>
  <c r="G2385" i="3"/>
  <c r="L2384" i="3"/>
  <c r="K2384" i="3"/>
  <c r="J2384" i="3"/>
  <c r="I2384" i="3"/>
  <c r="H2384" i="3"/>
  <c r="G2384" i="3"/>
  <c r="L2383" i="3"/>
  <c r="K2383" i="3"/>
  <c r="J2383" i="3"/>
  <c r="I2383" i="3"/>
  <c r="H2383" i="3"/>
  <c r="G2383" i="3"/>
  <c r="L2382" i="3"/>
  <c r="K2382" i="3"/>
  <c r="J2382" i="3"/>
  <c r="I2382" i="3"/>
  <c r="H2382" i="3"/>
  <c r="G2382" i="3"/>
  <c r="L2381" i="3"/>
  <c r="K2381" i="3"/>
  <c r="J2381" i="3"/>
  <c r="I2381" i="3"/>
  <c r="H2381" i="3"/>
  <c r="G2381" i="3"/>
  <c r="L2380" i="3"/>
  <c r="K2380" i="3"/>
  <c r="J2380" i="3"/>
  <c r="I2380" i="3"/>
  <c r="H2380" i="3"/>
  <c r="G2380" i="3"/>
  <c r="L2379" i="3"/>
  <c r="K2379" i="3"/>
  <c r="J2379" i="3"/>
  <c r="I2379" i="3"/>
  <c r="H2379" i="3"/>
  <c r="G2379" i="3"/>
  <c r="L2378" i="3"/>
  <c r="K2378" i="3"/>
  <c r="J2378" i="3"/>
  <c r="I2378" i="3"/>
  <c r="H2378" i="3"/>
  <c r="G2378" i="3"/>
  <c r="L2377" i="3"/>
  <c r="K2377" i="3"/>
  <c r="J2377" i="3"/>
  <c r="I2377" i="3"/>
  <c r="H2377" i="3"/>
  <c r="G2377" i="3"/>
  <c r="L2376" i="3"/>
  <c r="K2376" i="3"/>
  <c r="J2376" i="3"/>
  <c r="I2376" i="3"/>
  <c r="H2376" i="3"/>
  <c r="G2376" i="3"/>
  <c r="L2375" i="3"/>
  <c r="K2375" i="3"/>
  <c r="J2375" i="3"/>
  <c r="I2375" i="3"/>
  <c r="H2375" i="3"/>
  <c r="G2375" i="3"/>
  <c r="L2374" i="3"/>
  <c r="K2374" i="3"/>
  <c r="J2374" i="3"/>
  <c r="I2374" i="3"/>
  <c r="H2374" i="3"/>
  <c r="G2374" i="3"/>
  <c r="L2373" i="3"/>
  <c r="K2373" i="3"/>
  <c r="J2373" i="3"/>
  <c r="I2373" i="3"/>
  <c r="H2373" i="3"/>
  <c r="G2373" i="3"/>
  <c r="L2372" i="3"/>
  <c r="K2372" i="3"/>
  <c r="J2372" i="3"/>
  <c r="I2372" i="3"/>
  <c r="H2372" i="3"/>
  <c r="G2372" i="3"/>
  <c r="L2371" i="3"/>
  <c r="K2371" i="3"/>
  <c r="J2371" i="3"/>
  <c r="I2371" i="3"/>
  <c r="H2371" i="3"/>
  <c r="G2371" i="3"/>
  <c r="L2370" i="3"/>
  <c r="K2370" i="3"/>
  <c r="J2370" i="3"/>
  <c r="I2370" i="3"/>
  <c r="H2370" i="3"/>
  <c r="G2370" i="3"/>
  <c r="L2369" i="3"/>
  <c r="K2369" i="3"/>
  <c r="J2369" i="3"/>
  <c r="I2369" i="3"/>
  <c r="H2369" i="3"/>
  <c r="G2369" i="3"/>
  <c r="L2368" i="3"/>
  <c r="K2368" i="3"/>
  <c r="J2368" i="3"/>
  <c r="I2368" i="3"/>
  <c r="H2368" i="3"/>
  <c r="G2368" i="3"/>
  <c r="L2367" i="3"/>
  <c r="K2367" i="3"/>
  <c r="J2367" i="3"/>
  <c r="I2367" i="3"/>
  <c r="H2367" i="3"/>
  <c r="G2367" i="3"/>
  <c r="L2366" i="3"/>
  <c r="K2366" i="3"/>
  <c r="J2366" i="3"/>
  <c r="I2366" i="3"/>
  <c r="H2366" i="3"/>
  <c r="G2366" i="3"/>
  <c r="L2365" i="3"/>
  <c r="K2365" i="3"/>
  <c r="J2365" i="3"/>
  <c r="I2365" i="3"/>
  <c r="H2365" i="3"/>
  <c r="G2365" i="3"/>
  <c r="L2364" i="3"/>
  <c r="K2364" i="3"/>
  <c r="J2364" i="3"/>
  <c r="I2364" i="3"/>
  <c r="H2364" i="3"/>
  <c r="G2364" i="3"/>
  <c r="L2363" i="3"/>
  <c r="K2363" i="3"/>
  <c r="J2363" i="3"/>
  <c r="I2363" i="3"/>
  <c r="H2363" i="3"/>
  <c r="G2363" i="3"/>
  <c r="L2362" i="3"/>
  <c r="K2362" i="3"/>
  <c r="J2362" i="3"/>
  <c r="I2362" i="3"/>
  <c r="H2362" i="3"/>
  <c r="G2362" i="3"/>
  <c r="L2361" i="3"/>
  <c r="K2361" i="3"/>
  <c r="J2361" i="3"/>
  <c r="I2361" i="3"/>
  <c r="H2361" i="3"/>
  <c r="G2361" i="3"/>
  <c r="L2360" i="3"/>
  <c r="K2360" i="3"/>
  <c r="J2360" i="3"/>
  <c r="I2360" i="3"/>
  <c r="H2360" i="3"/>
  <c r="G2360" i="3"/>
  <c r="L2359" i="3"/>
  <c r="K2359" i="3"/>
  <c r="J2359" i="3"/>
  <c r="I2359" i="3"/>
  <c r="H2359" i="3"/>
  <c r="G2359" i="3"/>
  <c r="L2358" i="3"/>
  <c r="K2358" i="3"/>
  <c r="J2358" i="3"/>
  <c r="I2358" i="3"/>
  <c r="H2358" i="3"/>
  <c r="G2358" i="3"/>
  <c r="L2357" i="3"/>
  <c r="K2357" i="3"/>
  <c r="J2357" i="3"/>
  <c r="I2357" i="3"/>
  <c r="H2357" i="3"/>
  <c r="G2357" i="3"/>
  <c r="L2356" i="3"/>
  <c r="K2356" i="3"/>
  <c r="J2356" i="3"/>
  <c r="I2356" i="3"/>
  <c r="H2356" i="3"/>
  <c r="G2356" i="3"/>
  <c r="L2355" i="3"/>
  <c r="K2355" i="3"/>
  <c r="J2355" i="3"/>
  <c r="I2355" i="3"/>
  <c r="H2355" i="3"/>
  <c r="G2355" i="3"/>
  <c r="L2354" i="3"/>
  <c r="K2354" i="3"/>
  <c r="J2354" i="3"/>
  <c r="I2354" i="3"/>
  <c r="H2354" i="3"/>
  <c r="G2354" i="3"/>
  <c r="L2353" i="3"/>
  <c r="K2353" i="3"/>
  <c r="J2353" i="3"/>
  <c r="I2353" i="3"/>
  <c r="H2353" i="3"/>
  <c r="G2353" i="3"/>
  <c r="L2352" i="3"/>
  <c r="K2352" i="3"/>
  <c r="J2352" i="3"/>
  <c r="I2352" i="3"/>
  <c r="H2352" i="3"/>
  <c r="G2352" i="3"/>
  <c r="O2351" i="3"/>
  <c r="L2351" i="3"/>
  <c r="K2351" i="3"/>
  <c r="J2351" i="3"/>
  <c r="I2351" i="3"/>
  <c r="H2351" i="3"/>
  <c r="G2351" i="3"/>
  <c r="L2350" i="3"/>
  <c r="K2350" i="3"/>
  <c r="J2350" i="3"/>
  <c r="I2350" i="3"/>
  <c r="H2350" i="3"/>
  <c r="G2350" i="3"/>
  <c r="L2349" i="3"/>
  <c r="K2349" i="3"/>
  <c r="J2349" i="3"/>
  <c r="I2349" i="3"/>
  <c r="H2349" i="3"/>
  <c r="G2349" i="3"/>
  <c r="L2348" i="3"/>
  <c r="K2348" i="3"/>
  <c r="J2348" i="3"/>
  <c r="I2348" i="3"/>
  <c r="H2348" i="3"/>
  <c r="G2348" i="3"/>
  <c r="L2347" i="3"/>
  <c r="K2347" i="3"/>
  <c r="J2347" i="3"/>
  <c r="I2347" i="3"/>
  <c r="H2347" i="3"/>
  <c r="G2347" i="3"/>
  <c r="L2346" i="3"/>
  <c r="K2346" i="3"/>
  <c r="J2346" i="3"/>
  <c r="I2346" i="3"/>
  <c r="H2346" i="3"/>
  <c r="G2346" i="3"/>
  <c r="L2345" i="3"/>
  <c r="K2345" i="3"/>
  <c r="J2345" i="3"/>
  <c r="I2345" i="3"/>
  <c r="H2345" i="3"/>
  <c r="G2345" i="3"/>
  <c r="L2344" i="3"/>
  <c r="K2344" i="3"/>
  <c r="J2344" i="3"/>
  <c r="I2344" i="3"/>
  <c r="H2344" i="3"/>
  <c r="G2344" i="3"/>
  <c r="L2343" i="3"/>
  <c r="K2343" i="3"/>
  <c r="J2343" i="3"/>
  <c r="I2343" i="3"/>
  <c r="H2343" i="3"/>
  <c r="G2343" i="3"/>
  <c r="L2342" i="3"/>
  <c r="K2342" i="3"/>
  <c r="J2342" i="3"/>
  <c r="I2342" i="3"/>
  <c r="H2342" i="3"/>
  <c r="G2342" i="3"/>
  <c r="L2341" i="3"/>
  <c r="K2341" i="3"/>
  <c r="J2341" i="3"/>
  <c r="I2341" i="3"/>
  <c r="H2341" i="3"/>
  <c r="G2341" i="3"/>
  <c r="L2340" i="3"/>
  <c r="K2340" i="3"/>
  <c r="J2340" i="3"/>
  <c r="I2340" i="3"/>
  <c r="H2340" i="3"/>
  <c r="G2340" i="3"/>
  <c r="L2339" i="3"/>
  <c r="K2339" i="3"/>
  <c r="J2339" i="3"/>
  <c r="I2339" i="3"/>
  <c r="H2339" i="3"/>
  <c r="G2339" i="3"/>
  <c r="L2338" i="3"/>
  <c r="K2338" i="3"/>
  <c r="J2338" i="3"/>
  <c r="I2338" i="3"/>
  <c r="H2338" i="3"/>
  <c r="G2338" i="3"/>
  <c r="L2337" i="3"/>
  <c r="K2337" i="3"/>
  <c r="J2337" i="3"/>
  <c r="I2337" i="3"/>
  <c r="H2337" i="3"/>
  <c r="G2337" i="3"/>
  <c r="L2336" i="3"/>
  <c r="K2336" i="3"/>
  <c r="J2336" i="3"/>
  <c r="I2336" i="3"/>
  <c r="H2336" i="3"/>
  <c r="G2336" i="3"/>
  <c r="L2335" i="3"/>
  <c r="K2335" i="3"/>
  <c r="J2335" i="3"/>
  <c r="I2335" i="3"/>
  <c r="H2335" i="3"/>
  <c r="G2335" i="3"/>
  <c r="L2334" i="3"/>
  <c r="K2334" i="3"/>
  <c r="J2334" i="3"/>
  <c r="I2334" i="3"/>
  <c r="H2334" i="3"/>
  <c r="G2334" i="3"/>
  <c r="L2333" i="3"/>
  <c r="K2333" i="3"/>
  <c r="J2333" i="3"/>
  <c r="I2333" i="3"/>
  <c r="H2333" i="3"/>
  <c r="G2333" i="3"/>
  <c r="L2332" i="3"/>
  <c r="K2332" i="3"/>
  <c r="J2332" i="3"/>
  <c r="I2332" i="3"/>
  <c r="H2332" i="3"/>
  <c r="M2332" i="3" s="1"/>
  <c r="G2332" i="3"/>
  <c r="L2331" i="3"/>
  <c r="K2331" i="3"/>
  <c r="J2331" i="3"/>
  <c r="I2331" i="3"/>
  <c r="H2331" i="3"/>
  <c r="G2331" i="3"/>
  <c r="L2330" i="3"/>
  <c r="K2330" i="3"/>
  <c r="J2330" i="3"/>
  <c r="I2330" i="3"/>
  <c r="H2330" i="3"/>
  <c r="G2330" i="3"/>
  <c r="L2329" i="3"/>
  <c r="K2329" i="3"/>
  <c r="J2329" i="3"/>
  <c r="I2329" i="3"/>
  <c r="H2329" i="3"/>
  <c r="G2329" i="3"/>
  <c r="L2328" i="3"/>
  <c r="K2328" i="3"/>
  <c r="J2328" i="3"/>
  <c r="I2328" i="3"/>
  <c r="H2328" i="3"/>
  <c r="G2328" i="3"/>
  <c r="L2327" i="3"/>
  <c r="K2327" i="3"/>
  <c r="J2327" i="3"/>
  <c r="I2327" i="3"/>
  <c r="H2327" i="3"/>
  <c r="G2327" i="3"/>
  <c r="L2326" i="3"/>
  <c r="K2326" i="3"/>
  <c r="J2326" i="3"/>
  <c r="I2326" i="3"/>
  <c r="H2326" i="3"/>
  <c r="G2326" i="3"/>
  <c r="L2325" i="3"/>
  <c r="K2325" i="3"/>
  <c r="J2325" i="3"/>
  <c r="I2325" i="3"/>
  <c r="H2325" i="3"/>
  <c r="G2325" i="3"/>
  <c r="L2324" i="3"/>
  <c r="K2324" i="3"/>
  <c r="J2324" i="3"/>
  <c r="I2324" i="3"/>
  <c r="H2324" i="3"/>
  <c r="G2324" i="3"/>
  <c r="L2323" i="3"/>
  <c r="K2323" i="3"/>
  <c r="J2323" i="3"/>
  <c r="I2323" i="3"/>
  <c r="H2323" i="3"/>
  <c r="G2323" i="3"/>
  <c r="L2322" i="3"/>
  <c r="K2322" i="3"/>
  <c r="J2322" i="3"/>
  <c r="I2322" i="3"/>
  <c r="H2322" i="3"/>
  <c r="G2322" i="3"/>
  <c r="L2321" i="3"/>
  <c r="K2321" i="3"/>
  <c r="J2321" i="3"/>
  <c r="I2321" i="3"/>
  <c r="H2321" i="3"/>
  <c r="G2321" i="3"/>
  <c r="L2320" i="3"/>
  <c r="K2320" i="3"/>
  <c r="J2320" i="3"/>
  <c r="I2320" i="3"/>
  <c r="H2320" i="3"/>
  <c r="G2320" i="3"/>
  <c r="L2319" i="3"/>
  <c r="K2319" i="3"/>
  <c r="J2319" i="3"/>
  <c r="I2319" i="3"/>
  <c r="H2319" i="3"/>
  <c r="G2319" i="3"/>
  <c r="L2318" i="3"/>
  <c r="K2318" i="3"/>
  <c r="J2318" i="3"/>
  <c r="I2318" i="3"/>
  <c r="H2318" i="3"/>
  <c r="G2318" i="3"/>
  <c r="O2317" i="3"/>
  <c r="L2317" i="3"/>
  <c r="K2317" i="3"/>
  <c r="J2317" i="3"/>
  <c r="I2317" i="3"/>
  <c r="H2317" i="3"/>
  <c r="G2317" i="3"/>
  <c r="L2316" i="3"/>
  <c r="K2316" i="3"/>
  <c r="J2316" i="3"/>
  <c r="I2316" i="3"/>
  <c r="H2316" i="3"/>
  <c r="G2316" i="3"/>
  <c r="L2315" i="3"/>
  <c r="K2315" i="3"/>
  <c r="J2315" i="3"/>
  <c r="I2315" i="3"/>
  <c r="H2315" i="3"/>
  <c r="G2315" i="3"/>
  <c r="L2314" i="3"/>
  <c r="K2314" i="3"/>
  <c r="J2314" i="3"/>
  <c r="I2314" i="3"/>
  <c r="H2314" i="3"/>
  <c r="G2314" i="3"/>
  <c r="L2313" i="3"/>
  <c r="K2313" i="3"/>
  <c r="J2313" i="3"/>
  <c r="I2313" i="3"/>
  <c r="H2313" i="3"/>
  <c r="G2313" i="3"/>
  <c r="L2312" i="3"/>
  <c r="K2312" i="3"/>
  <c r="J2312" i="3"/>
  <c r="I2312" i="3"/>
  <c r="H2312" i="3"/>
  <c r="G2312" i="3"/>
  <c r="L2311" i="3"/>
  <c r="K2311" i="3"/>
  <c r="J2311" i="3"/>
  <c r="I2311" i="3"/>
  <c r="H2311" i="3"/>
  <c r="G2311" i="3"/>
  <c r="L2310" i="3"/>
  <c r="K2310" i="3"/>
  <c r="J2310" i="3"/>
  <c r="I2310" i="3"/>
  <c r="H2310" i="3"/>
  <c r="G2310" i="3"/>
  <c r="L2309" i="3"/>
  <c r="K2309" i="3"/>
  <c r="J2309" i="3"/>
  <c r="I2309" i="3"/>
  <c r="H2309" i="3"/>
  <c r="G2309" i="3"/>
  <c r="L2308" i="3"/>
  <c r="K2308" i="3"/>
  <c r="J2308" i="3"/>
  <c r="I2308" i="3"/>
  <c r="H2308" i="3"/>
  <c r="G2308" i="3"/>
  <c r="L2307" i="3"/>
  <c r="K2307" i="3"/>
  <c r="J2307" i="3"/>
  <c r="I2307" i="3"/>
  <c r="H2307" i="3"/>
  <c r="G2307" i="3"/>
  <c r="L2306" i="3"/>
  <c r="K2306" i="3"/>
  <c r="J2306" i="3"/>
  <c r="I2306" i="3"/>
  <c r="H2306" i="3"/>
  <c r="G2306" i="3"/>
  <c r="L2305" i="3"/>
  <c r="K2305" i="3"/>
  <c r="J2305" i="3"/>
  <c r="I2305" i="3"/>
  <c r="H2305" i="3"/>
  <c r="G2305" i="3"/>
  <c r="L2304" i="3"/>
  <c r="K2304" i="3"/>
  <c r="J2304" i="3"/>
  <c r="I2304" i="3"/>
  <c r="H2304" i="3"/>
  <c r="G2304" i="3"/>
  <c r="L2303" i="3"/>
  <c r="K2303" i="3"/>
  <c r="J2303" i="3"/>
  <c r="I2303" i="3"/>
  <c r="H2303" i="3"/>
  <c r="G2303" i="3"/>
  <c r="L2302" i="3"/>
  <c r="K2302" i="3"/>
  <c r="J2302" i="3"/>
  <c r="I2302" i="3"/>
  <c r="H2302" i="3"/>
  <c r="G2302" i="3"/>
  <c r="L2301" i="3"/>
  <c r="K2301" i="3"/>
  <c r="J2301" i="3"/>
  <c r="I2301" i="3"/>
  <c r="H2301" i="3"/>
  <c r="G2301" i="3"/>
  <c r="L2300" i="3"/>
  <c r="K2300" i="3"/>
  <c r="J2300" i="3"/>
  <c r="I2300" i="3"/>
  <c r="H2300" i="3"/>
  <c r="G2300" i="3"/>
  <c r="L2299" i="3"/>
  <c r="K2299" i="3"/>
  <c r="J2299" i="3"/>
  <c r="I2299" i="3"/>
  <c r="H2299" i="3"/>
  <c r="G2299" i="3"/>
  <c r="L2298" i="3"/>
  <c r="K2298" i="3"/>
  <c r="J2298" i="3"/>
  <c r="I2298" i="3"/>
  <c r="H2298" i="3"/>
  <c r="G2298" i="3"/>
  <c r="L2297" i="3"/>
  <c r="K2297" i="3"/>
  <c r="J2297" i="3"/>
  <c r="I2297" i="3"/>
  <c r="H2297" i="3"/>
  <c r="G2297" i="3"/>
  <c r="L2296" i="3"/>
  <c r="K2296" i="3"/>
  <c r="J2296" i="3"/>
  <c r="I2296" i="3"/>
  <c r="H2296" i="3"/>
  <c r="G2296" i="3"/>
  <c r="L2295" i="3"/>
  <c r="K2295" i="3"/>
  <c r="J2295" i="3"/>
  <c r="I2295" i="3"/>
  <c r="H2295" i="3"/>
  <c r="G2295" i="3"/>
  <c r="L2294" i="3"/>
  <c r="K2294" i="3"/>
  <c r="J2294" i="3"/>
  <c r="I2294" i="3"/>
  <c r="H2294" i="3"/>
  <c r="G2294" i="3"/>
  <c r="L2293" i="3"/>
  <c r="K2293" i="3"/>
  <c r="J2293" i="3"/>
  <c r="I2293" i="3"/>
  <c r="H2293" i="3"/>
  <c r="G2293" i="3"/>
  <c r="L2292" i="3"/>
  <c r="K2292" i="3"/>
  <c r="J2292" i="3"/>
  <c r="I2292" i="3"/>
  <c r="H2292" i="3"/>
  <c r="G2292" i="3"/>
  <c r="L2291" i="3"/>
  <c r="K2291" i="3"/>
  <c r="J2291" i="3"/>
  <c r="I2291" i="3"/>
  <c r="H2291" i="3"/>
  <c r="G2291" i="3"/>
  <c r="L2290" i="3"/>
  <c r="K2290" i="3"/>
  <c r="J2290" i="3"/>
  <c r="I2290" i="3"/>
  <c r="H2290" i="3"/>
  <c r="G2290" i="3"/>
  <c r="L2289" i="3"/>
  <c r="K2289" i="3"/>
  <c r="J2289" i="3"/>
  <c r="I2289" i="3"/>
  <c r="H2289" i="3"/>
  <c r="G2289" i="3"/>
  <c r="L2288" i="3"/>
  <c r="K2288" i="3"/>
  <c r="J2288" i="3"/>
  <c r="I2288" i="3"/>
  <c r="H2288" i="3"/>
  <c r="G2288" i="3"/>
  <c r="L2287" i="3"/>
  <c r="K2287" i="3"/>
  <c r="J2287" i="3"/>
  <c r="I2287" i="3"/>
  <c r="H2287" i="3"/>
  <c r="G2287" i="3"/>
  <c r="L2286" i="3"/>
  <c r="K2286" i="3"/>
  <c r="J2286" i="3"/>
  <c r="I2286" i="3"/>
  <c r="H2286" i="3"/>
  <c r="G2286" i="3"/>
  <c r="L2285" i="3"/>
  <c r="K2285" i="3"/>
  <c r="J2285" i="3"/>
  <c r="I2285" i="3"/>
  <c r="H2285" i="3"/>
  <c r="G2285" i="3"/>
  <c r="L2284" i="3"/>
  <c r="K2284" i="3"/>
  <c r="J2284" i="3"/>
  <c r="I2284" i="3"/>
  <c r="H2284" i="3"/>
  <c r="G2284" i="3"/>
  <c r="M2314" i="3"/>
  <c r="G2250" i="3"/>
  <c r="O2283" i="3"/>
  <c r="L2283" i="3"/>
  <c r="K2283" i="3"/>
  <c r="J2283" i="3"/>
  <c r="I2283" i="3"/>
  <c r="H2283" i="3"/>
  <c r="G2283" i="3"/>
  <c r="L2282" i="3"/>
  <c r="K2282" i="3"/>
  <c r="J2282" i="3"/>
  <c r="I2282" i="3"/>
  <c r="H2282" i="3"/>
  <c r="G2282" i="3"/>
  <c r="L2281" i="3"/>
  <c r="K2281" i="3"/>
  <c r="J2281" i="3"/>
  <c r="I2281" i="3"/>
  <c r="H2281" i="3"/>
  <c r="G2281" i="3"/>
  <c r="L2280" i="3"/>
  <c r="K2280" i="3"/>
  <c r="J2280" i="3"/>
  <c r="I2280" i="3"/>
  <c r="H2280" i="3"/>
  <c r="G2280" i="3"/>
  <c r="L2279" i="3"/>
  <c r="K2279" i="3"/>
  <c r="J2279" i="3"/>
  <c r="I2279" i="3"/>
  <c r="H2279" i="3"/>
  <c r="G2279" i="3"/>
  <c r="L2278" i="3"/>
  <c r="K2278" i="3"/>
  <c r="J2278" i="3"/>
  <c r="I2278" i="3"/>
  <c r="H2278" i="3"/>
  <c r="G2278" i="3"/>
  <c r="L2277" i="3"/>
  <c r="K2277" i="3"/>
  <c r="J2277" i="3"/>
  <c r="I2277" i="3"/>
  <c r="H2277" i="3"/>
  <c r="G2277" i="3"/>
  <c r="L2276" i="3"/>
  <c r="K2276" i="3"/>
  <c r="J2276" i="3"/>
  <c r="I2276" i="3"/>
  <c r="H2276" i="3"/>
  <c r="G2276" i="3"/>
  <c r="L2275" i="3"/>
  <c r="K2275" i="3"/>
  <c r="J2275" i="3"/>
  <c r="I2275" i="3"/>
  <c r="H2275" i="3"/>
  <c r="G2275" i="3"/>
  <c r="L2274" i="3"/>
  <c r="K2274" i="3"/>
  <c r="J2274" i="3"/>
  <c r="I2274" i="3"/>
  <c r="H2274" i="3"/>
  <c r="G2274" i="3"/>
  <c r="L2273" i="3"/>
  <c r="K2273" i="3"/>
  <c r="J2273" i="3"/>
  <c r="I2273" i="3"/>
  <c r="H2273" i="3"/>
  <c r="G2273" i="3"/>
  <c r="L2272" i="3"/>
  <c r="K2272" i="3"/>
  <c r="J2272" i="3"/>
  <c r="I2272" i="3"/>
  <c r="H2272" i="3"/>
  <c r="M2272" i="3" s="1"/>
  <c r="G2272" i="3"/>
  <c r="L2271" i="3"/>
  <c r="K2271" i="3"/>
  <c r="J2271" i="3"/>
  <c r="I2271" i="3"/>
  <c r="H2271" i="3"/>
  <c r="G2271" i="3"/>
  <c r="L2270" i="3"/>
  <c r="K2270" i="3"/>
  <c r="J2270" i="3"/>
  <c r="I2270" i="3"/>
  <c r="H2270" i="3"/>
  <c r="G2270" i="3"/>
  <c r="L2269" i="3"/>
  <c r="K2269" i="3"/>
  <c r="J2269" i="3"/>
  <c r="I2269" i="3"/>
  <c r="H2269" i="3"/>
  <c r="G2269" i="3"/>
  <c r="L2268" i="3"/>
  <c r="K2268" i="3"/>
  <c r="J2268" i="3"/>
  <c r="I2268" i="3"/>
  <c r="H2268" i="3"/>
  <c r="G2268" i="3"/>
  <c r="L2267" i="3"/>
  <c r="K2267" i="3"/>
  <c r="J2267" i="3"/>
  <c r="I2267" i="3"/>
  <c r="H2267" i="3"/>
  <c r="G2267" i="3"/>
  <c r="L2266" i="3"/>
  <c r="K2266" i="3"/>
  <c r="J2266" i="3"/>
  <c r="I2266" i="3"/>
  <c r="H2266" i="3"/>
  <c r="G2266" i="3"/>
  <c r="L2265" i="3"/>
  <c r="K2265" i="3"/>
  <c r="J2265" i="3"/>
  <c r="I2265" i="3"/>
  <c r="H2265" i="3"/>
  <c r="G2265" i="3"/>
  <c r="L2264" i="3"/>
  <c r="K2264" i="3"/>
  <c r="J2264" i="3"/>
  <c r="I2264" i="3"/>
  <c r="H2264" i="3"/>
  <c r="G2264" i="3"/>
  <c r="L2263" i="3"/>
  <c r="K2263" i="3"/>
  <c r="J2263" i="3"/>
  <c r="I2263" i="3"/>
  <c r="H2263" i="3"/>
  <c r="G2263" i="3"/>
  <c r="L2262" i="3"/>
  <c r="K2262" i="3"/>
  <c r="J2262" i="3"/>
  <c r="I2262" i="3"/>
  <c r="H2262" i="3"/>
  <c r="G2262" i="3"/>
  <c r="L2261" i="3"/>
  <c r="K2261" i="3"/>
  <c r="J2261" i="3"/>
  <c r="I2261" i="3"/>
  <c r="H2261" i="3"/>
  <c r="G2261" i="3"/>
  <c r="L2260" i="3"/>
  <c r="K2260" i="3"/>
  <c r="J2260" i="3"/>
  <c r="I2260" i="3"/>
  <c r="H2260" i="3"/>
  <c r="G2260" i="3"/>
  <c r="L2259" i="3"/>
  <c r="K2259" i="3"/>
  <c r="J2259" i="3"/>
  <c r="I2259" i="3"/>
  <c r="H2259" i="3"/>
  <c r="G2259" i="3"/>
  <c r="L2258" i="3"/>
  <c r="K2258" i="3"/>
  <c r="J2258" i="3"/>
  <c r="I2258" i="3"/>
  <c r="H2258" i="3"/>
  <c r="G2258" i="3"/>
  <c r="L2257" i="3"/>
  <c r="K2257" i="3"/>
  <c r="J2257" i="3"/>
  <c r="I2257" i="3"/>
  <c r="H2257" i="3"/>
  <c r="G2257" i="3"/>
  <c r="L2256" i="3"/>
  <c r="K2256" i="3"/>
  <c r="J2256" i="3"/>
  <c r="I2256" i="3"/>
  <c r="H2256" i="3"/>
  <c r="G2256" i="3"/>
  <c r="L2255" i="3"/>
  <c r="K2255" i="3"/>
  <c r="J2255" i="3"/>
  <c r="I2255" i="3"/>
  <c r="H2255" i="3"/>
  <c r="G2255" i="3"/>
  <c r="M2255" i="3" s="1"/>
  <c r="L2254" i="3"/>
  <c r="K2254" i="3"/>
  <c r="J2254" i="3"/>
  <c r="I2254" i="3"/>
  <c r="H2254" i="3"/>
  <c r="G2254" i="3"/>
  <c r="L2253" i="3"/>
  <c r="K2253" i="3"/>
  <c r="J2253" i="3"/>
  <c r="I2253" i="3"/>
  <c r="H2253" i="3"/>
  <c r="G2253" i="3"/>
  <c r="L2252" i="3"/>
  <c r="K2252" i="3"/>
  <c r="J2252" i="3"/>
  <c r="I2252" i="3"/>
  <c r="H2252" i="3"/>
  <c r="G2252" i="3"/>
  <c r="L2251" i="3"/>
  <c r="K2251" i="3"/>
  <c r="J2251" i="3"/>
  <c r="I2251" i="3"/>
  <c r="H2251" i="3"/>
  <c r="G2251" i="3"/>
  <c r="L2250" i="3"/>
  <c r="K2250" i="3"/>
  <c r="J2250" i="3"/>
  <c r="I2250" i="3"/>
  <c r="H2250" i="3"/>
  <c r="G3" i="3"/>
  <c r="O2246" i="3"/>
  <c r="L2246" i="3"/>
  <c r="K2246" i="3"/>
  <c r="J2246" i="3"/>
  <c r="I2246" i="3"/>
  <c r="H2246" i="3"/>
  <c r="G2246" i="3"/>
  <c r="L2245" i="3"/>
  <c r="K2245" i="3"/>
  <c r="J2245" i="3"/>
  <c r="I2245" i="3"/>
  <c r="H2245" i="3"/>
  <c r="G2245" i="3"/>
  <c r="L2244" i="3"/>
  <c r="K2244" i="3"/>
  <c r="J2244" i="3"/>
  <c r="I2244" i="3"/>
  <c r="H2244" i="3"/>
  <c r="G2244" i="3"/>
  <c r="L2243" i="3"/>
  <c r="K2243" i="3"/>
  <c r="J2243" i="3"/>
  <c r="I2243" i="3"/>
  <c r="H2243" i="3"/>
  <c r="G2243" i="3"/>
  <c r="L2242" i="3"/>
  <c r="K2242" i="3"/>
  <c r="J2242" i="3"/>
  <c r="I2242" i="3"/>
  <c r="H2242" i="3"/>
  <c r="G2242" i="3"/>
  <c r="L2241" i="3"/>
  <c r="K2241" i="3"/>
  <c r="J2241" i="3"/>
  <c r="I2241" i="3"/>
  <c r="H2241" i="3"/>
  <c r="G2241" i="3"/>
  <c r="L2240" i="3"/>
  <c r="K2240" i="3"/>
  <c r="J2240" i="3"/>
  <c r="I2240" i="3"/>
  <c r="H2240" i="3"/>
  <c r="G2240" i="3"/>
  <c r="L2239" i="3"/>
  <c r="K2239" i="3"/>
  <c r="J2239" i="3"/>
  <c r="I2239" i="3"/>
  <c r="H2239" i="3"/>
  <c r="G2239" i="3"/>
  <c r="L2238" i="3"/>
  <c r="K2238" i="3"/>
  <c r="J2238" i="3"/>
  <c r="I2238" i="3"/>
  <c r="H2238" i="3"/>
  <c r="G2238" i="3"/>
  <c r="L2237" i="3"/>
  <c r="K2237" i="3"/>
  <c r="J2237" i="3"/>
  <c r="I2237" i="3"/>
  <c r="H2237" i="3"/>
  <c r="G2237" i="3"/>
  <c r="L2236" i="3"/>
  <c r="K2236" i="3"/>
  <c r="J2236" i="3"/>
  <c r="I2236" i="3"/>
  <c r="H2236" i="3"/>
  <c r="G2236" i="3"/>
  <c r="L2235" i="3"/>
  <c r="K2235" i="3"/>
  <c r="J2235" i="3"/>
  <c r="I2235" i="3"/>
  <c r="H2235" i="3"/>
  <c r="G2235" i="3"/>
  <c r="L2234" i="3"/>
  <c r="K2234" i="3"/>
  <c r="J2234" i="3"/>
  <c r="I2234" i="3"/>
  <c r="H2234" i="3"/>
  <c r="G2234" i="3"/>
  <c r="L2233" i="3"/>
  <c r="K2233" i="3"/>
  <c r="J2233" i="3"/>
  <c r="I2233" i="3"/>
  <c r="H2233" i="3"/>
  <c r="G2233" i="3"/>
  <c r="L2232" i="3"/>
  <c r="K2232" i="3"/>
  <c r="J2232" i="3"/>
  <c r="I2232" i="3"/>
  <c r="H2232" i="3"/>
  <c r="G2232" i="3"/>
  <c r="L2231" i="3"/>
  <c r="K2231" i="3"/>
  <c r="J2231" i="3"/>
  <c r="I2231" i="3"/>
  <c r="H2231" i="3"/>
  <c r="G2231" i="3"/>
  <c r="L2230" i="3"/>
  <c r="K2230" i="3"/>
  <c r="J2230" i="3"/>
  <c r="I2230" i="3"/>
  <c r="H2230" i="3"/>
  <c r="G2230" i="3"/>
  <c r="L2229" i="3"/>
  <c r="K2229" i="3"/>
  <c r="J2229" i="3"/>
  <c r="I2229" i="3"/>
  <c r="H2229" i="3"/>
  <c r="G2229" i="3"/>
  <c r="L2228" i="3"/>
  <c r="K2228" i="3"/>
  <c r="J2228" i="3"/>
  <c r="I2228" i="3"/>
  <c r="H2228" i="3"/>
  <c r="G2228" i="3"/>
  <c r="L2227" i="3"/>
  <c r="K2227" i="3"/>
  <c r="J2227" i="3"/>
  <c r="I2227" i="3"/>
  <c r="H2227" i="3"/>
  <c r="G2227" i="3"/>
  <c r="L2226" i="3"/>
  <c r="K2226" i="3"/>
  <c r="J2226" i="3"/>
  <c r="I2226" i="3"/>
  <c r="H2226" i="3"/>
  <c r="G2226" i="3"/>
  <c r="L2225" i="3"/>
  <c r="K2225" i="3"/>
  <c r="J2225" i="3"/>
  <c r="I2225" i="3"/>
  <c r="H2225" i="3"/>
  <c r="G2225" i="3"/>
  <c r="L2224" i="3"/>
  <c r="K2224" i="3"/>
  <c r="J2224" i="3"/>
  <c r="I2224" i="3"/>
  <c r="H2224" i="3"/>
  <c r="G2224" i="3"/>
  <c r="L2223" i="3"/>
  <c r="K2223" i="3"/>
  <c r="J2223" i="3"/>
  <c r="I2223" i="3"/>
  <c r="H2223" i="3"/>
  <c r="G2223" i="3"/>
  <c r="L2222" i="3"/>
  <c r="K2222" i="3"/>
  <c r="J2222" i="3"/>
  <c r="I2222" i="3"/>
  <c r="H2222" i="3"/>
  <c r="G2222" i="3"/>
  <c r="L2221" i="3"/>
  <c r="K2221" i="3"/>
  <c r="J2221" i="3"/>
  <c r="I2221" i="3"/>
  <c r="H2221" i="3"/>
  <c r="G2221" i="3"/>
  <c r="L2220" i="3"/>
  <c r="K2220" i="3"/>
  <c r="J2220" i="3"/>
  <c r="I2220" i="3"/>
  <c r="H2220" i="3"/>
  <c r="G2220" i="3"/>
  <c r="L2219" i="3"/>
  <c r="K2219" i="3"/>
  <c r="J2219" i="3"/>
  <c r="I2219" i="3"/>
  <c r="H2219" i="3"/>
  <c r="G2219" i="3"/>
  <c r="L2218" i="3"/>
  <c r="K2218" i="3"/>
  <c r="J2218" i="3"/>
  <c r="I2218" i="3"/>
  <c r="H2218" i="3"/>
  <c r="G2218" i="3"/>
  <c r="L2217" i="3"/>
  <c r="K2217" i="3"/>
  <c r="J2217" i="3"/>
  <c r="I2217" i="3"/>
  <c r="H2217" i="3"/>
  <c r="G2217" i="3"/>
  <c r="L2216" i="3"/>
  <c r="K2216" i="3"/>
  <c r="J2216" i="3"/>
  <c r="I2216" i="3"/>
  <c r="H2216" i="3"/>
  <c r="G2216" i="3"/>
  <c r="L2215" i="3"/>
  <c r="K2215" i="3"/>
  <c r="J2215" i="3"/>
  <c r="I2215" i="3"/>
  <c r="H2215" i="3"/>
  <c r="G2215" i="3"/>
  <c r="L2214" i="3"/>
  <c r="K2214" i="3"/>
  <c r="J2214" i="3"/>
  <c r="I2214" i="3"/>
  <c r="H2214" i="3"/>
  <c r="G2214" i="3"/>
  <c r="L2213" i="3"/>
  <c r="K2213" i="3"/>
  <c r="J2213" i="3"/>
  <c r="I2213" i="3"/>
  <c r="H2213" i="3"/>
  <c r="G2213" i="3"/>
  <c r="O2212" i="3"/>
  <c r="L2212" i="3"/>
  <c r="K2212" i="3"/>
  <c r="J2212" i="3"/>
  <c r="I2212" i="3"/>
  <c r="H2212" i="3"/>
  <c r="G2212" i="3"/>
  <c r="L2211" i="3"/>
  <c r="K2211" i="3"/>
  <c r="J2211" i="3"/>
  <c r="I2211" i="3"/>
  <c r="H2211" i="3"/>
  <c r="G2211" i="3"/>
  <c r="L2210" i="3"/>
  <c r="K2210" i="3"/>
  <c r="J2210" i="3"/>
  <c r="I2210" i="3"/>
  <c r="H2210" i="3"/>
  <c r="G2210" i="3"/>
  <c r="L2209" i="3"/>
  <c r="K2209" i="3"/>
  <c r="J2209" i="3"/>
  <c r="I2209" i="3"/>
  <c r="H2209" i="3"/>
  <c r="G2209" i="3"/>
  <c r="L2208" i="3"/>
  <c r="K2208" i="3"/>
  <c r="J2208" i="3"/>
  <c r="I2208" i="3"/>
  <c r="H2208" i="3"/>
  <c r="G2208" i="3"/>
  <c r="L2207" i="3"/>
  <c r="K2207" i="3"/>
  <c r="J2207" i="3"/>
  <c r="I2207" i="3"/>
  <c r="H2207" i="3"/>
  <c r="G2207" i="3"/>
  <c r="L2206" i="3"/>
  <c r="K2206" i="3"/>
  <c r="J2206" i="3"/>
  <c r="I2206" i="3"/>
  <c r="H2206" i="3"/>
  <c r="G2206" i="3"/>
  <c r="L2205" i="3"/>
  <c r="K2205" i="3"/>
  <c r="J2205" i="3"/>
  <c r="I2205" i="3"/>
  <c r="H2205" i="3"/>
  <c r="G2205" i="3"/>
  <c r="L2204" i="3"/>
  <c r="K2204" i="3"/>
  <c r="J2204" i="3"/>
  <c r="I2204" i="3"/>
  <c r="H2204" i="3"/>
  <c r="G2204" i="3"/>
  <c r="L2203" i="3"/>
  <c r="K2203" i="3"/>
  <c r="J2203" i="3"/>
  <c r="I2203" i="3"/>
  <c r="H2203" i="3"/>
  <c r="G2203" i="3"/>
  <c r="L2202" i="3"/>
  <c r="K2202" i="3"/>
  <c r="J2202" i="3"/>
  <c r="I2202" i="3"/>
  <c r="H2202" i="3"/>
  <c r="G2202" i="3"/>
  <c r="L2201" i="3"/>
  <c r="K2201" i="3"/>
  <c r="J2201" i="3"/>
  <c r="I2201" i="3"/>
  <c r="H2201" i="3"/>
  <c r="G2201" i="3"/>
  <c r="L2200" i="3"/>
  <c r="K2200" i="3"/>
  <c r="J2200" i="3"/>
  <c r="I2200" i="3"/>
  <c r="H2200" i="3"/>
  <c r="G2200" i="3"/>
  <c r="L2199" i="3"/>
  <c r="K2199" i="3"/>
  <c r="J2199" i="3"/>
  <c r="I2199" i="3"/>
  <c r="H2199" i="3"/>
  <c r="G2199" i="3"/>
  <c r="L2198" i="3"/>
  <c r="K2198" i="3"/>
  <c r="J2198" i="3"/>
  <c r="I2198" i="3"/>
  <c r="H2198" i="3"/>
  <c r="G2198" i="3"/>
  <c r="L2197" i="3"/>
  <c r="K2197" i="3"/>
  <c r="J2197" i="3"/>
  <c r="I2197" i="3"/>
  <c r="H2197" i="3"/>
  <c r="G2197" i="3"/>
  <c r="L2196" i="3"/>
  <c r="K2196" i="3"/>
  <c r="J2196" i="3"/>
  <c r="I2196" i="3"/>
  <c r="H2196" i="3"/>
  <c r="G2196" i="3"/>
  <c r="L2195" i="3"/>
  <c r="K2195" i="3"/>
  <c r="J2195" i="3"/>
  <c r="I2195" i="3"/>
  <c r="H2195" i="3"/>
  <c r="G2195" i="3"/>
  <c r="L2194" i="3"/>
  <c r="K2194" i="3"/>
  <c r="J2194" i="3"/>
  <c r="I2194" i="3"/>
  <c r="H2194" i="3"/>
  <c r="G2194" i="3"/>
  <c r="L2193" i="3"/>
  <c r="K2193" i="3"/>
  <c r="J2193" i="3"/>
  <c r="I2193" i="3"/>
  <c r="H2193" i="3"/>
  <c r="G2193" i="3"/>
  <c r="L2192" i="3"/>
  <c r="K2192" i="3"/>
  <c r="J2192" i="3"/>
  <c r="I2192" i="3"/>
  <c r="H2192" i="3"/>
  <c r="G2192" i="3"/>
  <c r="L2191" i="3"/>
  <c r="K2191" i="3"/>
  <c r="J2191" i="3"/>
  <c r="I2191" i="3"/>
  <c r="H2191" i="3"/>
  <c r="G2191" i="3"/>
  <c r="L2190" i="3"/>
  <c r="K2190" i="3"/>
  <c r="J2190" i="3"/>
  <c r="I2190" i="3"/>
  <c r="H2190" i="3"/>
  <c r="G2190" i="3"/>
  <c r="L2189" i="3"/>
  <c r="K2189" i="3"/>
  <c r="J2189" i="3"/>
  <c r="I2189" i="3"/>
  <c r="H2189" i="3"/>
  <c r="G2189" i="3"/>
  <c r="L2188" i="3"/>
  <c r="K2188" i="3"/>
  <c r="J2188" i="3"/>
  <c r="I2188" i="3"/>
  <c r="H2188" i="3"/>
  <c r="G2188" i="3"/>
  <c r="L2187" i="3"/>
  <c r="K2187" i="3"/>
  <c r="J2187" i="3"/>
  <c r="I2187" i="3"/>
  <c r="H2187" i="3"/>
  <c r="G2187" i="3"/>
  <c r="L2186" i="3"/>
  <c r="K2186" i="3"/>
  <c r="J2186" i="3"/>
  <c r="I2186" i="3"/>
  <c r="H2186" i="3"/>
  <c r="G2186" i="3"/>
  <c r="L2185" i="3"/>
  <c r="K2185" i="3"/>
  <c r="J2185" i="3"/>
  <c r="I2185" i="3"/>
  <c r="H2185" i="3"/>
  <c r="G2185" i="3"/>
  <c r="L2184" i="3"/>
  <c r="K2184" i="3"/>
  <c r="J2184" i="3"/>
  <c r="I2184" i="3"/>
  <c r="H2184" i="3"/>
  <c r="G2184" i="3"/>
  <c r="L2183" i="3"/>
  <c r="K2183" i="3"/>
  <c r="J2183" i="3"/>
  <c r="I2183" i="3"/>
  <c r="H2183" i="3"/>
  <c r="G2183" i="3"/>
  <c r="L2182" i="3"/>
  <c r="K2182" i="3"/>
  <c r="J2182" i="3"/>
  <c r="I2182" i="3"/>
  <c r="H2182" i="3"/>
  <c r="G2182" i="3"/>
  <c r="L2181" i="3"/>
  <c r="K2181" i="3"/>
  <c r="J2181" i="3"/>
  <c r="I2181" i="3"/>
  <c r="H2181" i="3"/>
  <c r="G2181" i="3"/>
  <c r="L2180" i="3"/>
  <c r="K2180" i="3"/>
  <c r="J2180" i="3"/>
  <c r="I2180" i="3"/>
  <c r="H2180" i="3"/>
  <c r="G2180" i="3"/>
  <c r="L2179" i="3"/>
  <c r="K2179" i="3"/>
  <c r="J2179" i="3"/>
  <c r="I2179" i="3"/>
  <c r="H2179" i="3"/>
  <c r="G2179" i="3"/>
  <c r="O2178" i="3"/>
  <c r="L2178" i="3"/>
  <c r="K2178" i="3"/>
  <c r="J2178" i="3"/>
  <c r="I2178" i="3"/>
  <c r="H2178" i="3"/>
  <c r="G2178" i="3"/>
  <c r="L2177" i="3"/>
  <c r="K2177" i="3"/>
  <c r="J2177" i="3"/>
  <c r="I2177" i="3"/>
  <c r="H2177" i="3"/>
  <c r="G2177" i="3"/>
  <c r="L2176" i="3"/>
  <c r="K2176" i="3"/>
  <c r="J2176" i="3"/>
  <c r="I2176" i="3"/>
  <c r="H2176" i="3"/>
  <c r="G2176" i="3"/>
  <c r="L2175" i="3"/>
  <c r="K2175" i="3"/>
  <c r="J2175" i="3"/>
  <c r="I2175" i="3"/>
  <c r="H2175" i="3"/>
  <c r="G2175" i="3"/>
  <c r="L2174" i="3"/>
  <c r="K2174" i="3"/>
  <c r="J2174" i="3"/>
  <c r="I2174" i="3"/>
  <c r="H2174" i="3"/>
  <c r="G2174" i="3"/>
  <c r="L2173" i="3"/>
  <c r="K2173" i="3"/>
  <c r="J2173" i="3"/>
  <c r="I2173" i="3"/>
  <c r="H2173" i="3"/>
  <c r="G2173" i="3"/>
  <c r="L2172" i="3"/>
  <c r="K2172" i="3"/>
  <c r="J2172" i="3"/>
  <c r="I2172" i="3"/>
  <c r="H2172" i="3"/>
  <c r="G2172" i="3"/>
  <c r="L2171" i="3"/>
  <c r="K2171" i="3"/>
  <c r="J2171" i="3"/>
  <c r="I2171" i="3"/>
  <c r="H2171" i="3"/>
  <c r="G2171" i="3"/>
  <c r="L2170" i="3"/>
  <c r="K2170" i="3"/>
  <c r="J2170" i="3"/>
  <c r="I2170" i="3"/>
  <c r="H2170" i="3"/>
  <c r="G2170" i="3"/>
  <c r="L2169" i="3"/>
  <c r="K2169" i="3"/>
  <c r="J2169" i="3"/>
  <c r="I2169" i="3"/>
  <c r="H2169" i="3"/>
  <c r="G2169" i="3"/>
  <c r="L2168" i="3"/>
  <c r="K2168" i="3"/>
  <c r="J2168" i="3"/>
  <c r="I2168" i="3"/>
  <c r="H2168" i="3"/>
  <c r="G2168" i="3"/>
  <c r="L2167" i="3"/>
  <c r="K2167" i="3"/>
  <c r="J2167" i="3"/>
  <c r="I2167" i="3"/>
  <c r="H2167" i="3"/>
  <c r="G2167" i="3"/>
  <c r="L2166" i="3"/>
  <c r="K2166" i="3"/>
  <c r="J2166" i="3"/>
  <c r="I2166" i="3"/>
  <c r="H2166" i="3"/>
  <c r="G2166" i="3"/>
  <c r="L2165" i="3"/>
  <c r="K2165" i="3"/>
  <c r="J2165" i="3"/>
  <c r="I2165" i="3"/>
  <c r="H2165" i="3"/>
  <c r="G2165" i="3"/>
  <c r="L2164" i="3"/>
  <c r="K2164" i="3"/>
  <c r="J2164" i="3"/>
  <c r="I2164" i="3"/>
  <c r="H2164" i="3"/>
  <c r="G2164" i="3"/>
  <c r="L2163" i="3"/>
  <c r="K2163" i="3"/>
  <c r="J2163" i="3"/>
  <c r="I2163" i="3"/>
  <c r="H2163" i="3"/>
  <c r="G2163" i="3"/>
  <c r="L2162" i="3"/>
  <c r="K2162" i="3"/>
  <c r="J2162" i="3"/>
  <c r="I2162" i="3"/>
  <c r="H2162" i="3"/>
  <c r="G2162" i="3"/>
  <c r="L2161" i="3"/>
  <c r="K2161" i="3"/>
  <c r="J2161" i="3"/>
  <c r="I2161" i="3"/>
  <c r="H2161" i="3"/>
  <c r="G2161" i="3"/>
  <c r="L2160" i="3"/>
  <c r="K2160" i="3"/>
  <c r="J2160" i="3"/>
  <c r="I2160" i="3"/>
  <c r="H2160" i="3"/>
  <c r="G2160" i="3"/>
  <c r="L2159" i="3"/>
  <c r="K2159" i="3"/>
  <c r="J2159" i="3"/>
  <c r="I2159" i="3"/>
  <c r="H2159" i="3"/>
  <c r="G2159" i="3"/>
  <c r="L2158" i="3"/>
  <c r="K2158" i="3"/>
  <c r="J2158" i="3"/>
  <c r="I2158" i="3"/>
  <c r="H2158" i="3"/>
  <c r="G2158" i="3"/>
  <c r="L2157" i="3"/>
  <c r="K2157" i="3"/>
  <c r="J2157" i="3"/>
  <c r="I2157" i="3"/>
  <c r="H2157" i="3"/>
  <c r="G2157" i="3"/>
  <c r="L2156" i="3"/>
  <c r="K2156" i="3"/>
  <c r="J2156" i="3"/>
  <c r="I2156" i="3"/>
  <c r="H2156" i="3"/>
  <c r="G2156" i="3"/>
  <c r="L2155" i="3"/>
  <c r="K2155" i="3"/>
  <c r="J2155" i="3"/>
  <c r="I2155" i="3"/>
  <c r="H2155" i="3"/>
  <c r="G2155" i="3"/>
  <c r="L2154" i="3"/>
  <c r="K2154" i="3"/>
  <c r="J2154" i="3"/>
  <c r="I2154" i="3"/>
  <c r="H2154" i="3"/>
  <c r="G2154" i="3"/>
  <c r="L2153" i="3"/>
  <c r="K2153" i="3"/>
  <c r="J2153" i="3"/>
  <c r="I2153" i="3"/>
  <c r="H2153" i="3"/>
  <c r="G2153" i="3"/>
  <c r="L2152" i="3"/>
  <c r="K2152" i="3"/>
  <c r="J2152" i="3"/>
  <c r="I2152" i="3"/>
  <c r="H2152" i="3"/>
  <c r="G2152" i="3"/>
  <c r="L2151" i="3"/>
  <c r="K2151" i="3"/>
  <c r="J2151" i="3"/>
  <c r="I2151" i="3"/>
  <c r="H2151" i="3"/>
  <c r="G2151" i="3"/>
  <c r="L2150" i="3"/>
  <c r="K2150" i="3"/>
  <c r="J2150" i="3"/>
  <c r="I2150" i="3"/>
  <c r="H2150" i="3"/>
  <c r="G2150" i="3"/>
  <c r="L2149" i="3"/>
  <c r="K2149" i="3"/>
  <c r="J2149" i="3"/>
  <c r="I2149" i="3"/>
  <c r="H2149" i="3"/>
  <c r="G2149" i="3"/>
  <c r="L2148" i="3"/>
  <c r="K2148" i="3"/>
  <c r="J2148" i="3"/>
  <c r="I2148" i="3"/>
  <c r="H2148" i="3"/>
  <c r="G2148" i="3"/>
  <c r="L2147" i="3"/>
  <c r="K2147" i="3"/>
  <c r="J2147" i="3"/>
  <c r="I2147" i="3"/>
  <c r="H2147" i="3"/>
  <c r="G2147" i="3"/>
  <c r="L2146" i="3"/>
  <c r="K2146" i="3"/>
  <c r="J2146" i="3"/>
  <c r="I2146" i="3"/>
  <c r="H2146" i="3"/>
  <c r="G2146" i="3"/>
  <c r="L2145" i="3"/>
  <c r="K2145" i="3"/>
  <c r="J2145" i="3"/>
  <c r="I2145" i="3"/>
  <c r="H2145" i="3"/>
  <c r="G2145" i="3"/>
  <c r="O2144" i="3"/>
  <c r="L2144" i="3"/>
  <c r="K2144" i="3"/>
  <c r="J2144" i="3"/>
  <c r="I2144" i="3"/>
  <c r="H2144" i="3"/>
  <c r="G2144" i="3"/>
  <c r="L2143" i="3"/>
  <c r="K2143" i="3"/>
  <c r="J2143" i="3"/>
  <c r="I2143" i="3"/>
  <c r="H2143" i="3"/>
  <c r="G2143" i="3"/>
  <c r="L2142" i="3"/>
  <c r="K2142" i="3"/>
  <c r="J2142" i="3"/>
  <c r="I2142" i="3"/>
  <c r="H2142" i="3"/>
  <c r="G2142" i="3"/>
  <c r="L2141" i="3"/>
  <c r="K2141" i="3"/>
  <c r="J2141" i="3"/>
  <c r="I2141" i="3"/>
  <c r="H2141" i="3"/>
  <c r="G2141" i="3"/>
  <c r="L2140" i="3"/>
  <c r="K2140" i="3"/>
  <c r="J2140" i="3"/>
  <c r="I2140" i="3"/>
  <c r="H2140" i="3"/>
  <c r="G2140" i="3"/>
  <c r="L2139" i="3"/>
  <c r="K2139" i="3"/>
  <c r="J2139" i="3"/>
  <c r="I2139" i="3"/>
  <c r="H2139" i="3"/>
  <c r="G2139" i="3"/>
  <c r="L2138" i="3"/>
  <c r="K2138" i="3"/>
  <c r="J2138" i="3"/>
  <c r="I2138" i="3"/>
  <c r="H2138" i="3"/>
  <c r="G2138" i="3"/>
  <c r="L2137" i="3"/>
  <c r="K2137" i="3"/>
  <c r="J2137" i="3"/>
  <c r="I2137" i="3"/>
  <c r="H2137" i="3"/>
  <c r="G2137" i="3"/>
  <c r="L2136" i="3"/>
  <c r="K2136" i="3"/>
  <c r="J2136" i="3"/>
  <c r="I2136" i="3"/>
  <c r="H2136" i="3"/>
  <c r="G2136" i="3"/>
  <c r="L2135" i="3"/>
  <c r="K2135" i="3"/>
  <c r="J2135" i="3"/>
  <c r="I2135" i="3"/>
  <c r="H2135" i="3"/>
  <c r="G2135" i="3"/>
  <c r="L2134" i="3"/>
  <c r="K2134" i="3"/>
  <c r="J2134" i="3"/>
  <c r="I2134" i="3"/>
  <c r="H2134" i="3"/>
  <c r="G2134" i="3"/>
  <c r="L2133" i="3"/>
  <c r="K2133" i="3"/>
  <c r="J2133" i="3"/>
  <c r="I2133" i="3"/>
  <c r="H2133" i="3"/>
  <c r="G2133" i="3"/>
  <c r="L2132" i="3"/>
  <c r="K2132" i="3"/>
  <c r="J2132" i="3"/>
  <c r="I2132" i="3"/>
  <c r="H2132" i="3"/>
  <c r="G2132" i="3"/>
  <c r="L2131" i="3"/>
  <c r="K2131" i="3"/>
  <c r="J2131" i="3"/>
  <c r="I2131" i="3"/>
  <c r="H2131" i="3"/>
  <c r="G2131" i="3"/>
  <c r="L2130" i="3"/>
  <c r="K2130" i="3"/>
  <c r="J2130" i="3"/>
  <c r="I2130" i="3"/>
  <c r="H2130" i="3"/>
  <c r="G2130" i="3"/>
  <c r="L2129" i="3"/>
  <c r="K2129" i="3"/>
  <c r="J2129" i="3"/>
  <c r="I2129" i="3"/>
  <c r="H2129" i="3"/>
  <c r="G2129" i="3"/>
  <c r="L2128" i="3"/>
  <c r="K2128" i="3"/>
  <c r="J2128" i="3"/>
  <c r="I2128" i="3"/>
  <c r="H2128" i="3"/>
  <c r="G2128" i="3"/>
  <c r="L2127" i="3"/>
  <c r="K2127" i="3"/>
  <c r="J2127" i="3"/>
  <c r="I2127" i="3"/>
  <c r="H2127" i="3"/>
  <c r="G2127" i="3"/>
  <c r="L2126" i="3"/>
  <c r="K2126" i="3"/>
  <c r="J2126" i="3"/>
  <c r="I2126" i="3"/>
  <c r="H2126" i="3"/>
  <c r="G2126" i="3"/>
  <c r="L2125" i="3"/>
  <c r="K2125" i="3"/>
  <c r="J2125" i="3"/>
  <c r="I2125" i="3"/>
  <c r="H2125" i="3"/>
  <c r="G2125" i="3"/>
  <c r="L2124" i="3"/>
  <c r="K2124" i="3"/>
  <c r="J2124" i="3"/>
  <c r="I2124" i="3"/>
  <c r="H2124" i="3"/>
  <c r="G2124" i="3"/>
  <c r="L2123" i="3"/>
  <c r="K2123" i="3"/>
  <c r="J2123" i="3"/>
  <c r="I2123" i="3"/>
  <c r="H2123" i="3"/>
  <c r="G2123" i="3"/>
  <c r="L2122" i="3"/>
  <c r="K2122" i="3"/>
  <c r="J2122" i="3"/>
  <c r="I2122" i="3"/>
  <c r="H2122" i="3"/>
  <c r="G2122" i="3"/>
  <c r="L2121" i="3"/>
  <c r="K2121" i="3"/>
  <c r="J2121" i="3"/>
  <c r="I2121" i="3"/>
  <c r="H2121" i="3"/>
  <c r="G2121" i="3"/>
  <c r="L2120" i="3"/>
  <c r="K2120" i="3"/>
  <c r="J2120" i="3"/>
  <c r="I2120" i="3"/>
  <c r="H2120" i="3"/>
  <c r="G2120" i="3"/>
  <c r="L2119" i="3"/>
  <c r="K2119" i="3"/>
  <c r="J2119" i="3"/>
  <c r="I2119" i="3"/>
  <c r="H2119" i="3"/>
  <c r="G2119" i="3"/>
  <c r="L2118" i="3"/>
  <c r="K2118" i="3"/>
  <c r="J2118" i="3"/>
  <c r="I2118" i="3"/>
  <c r="H2118" i="3"/>
  <c r="G2118" i="3"/>
  <c r="L2117" i="3"/>
  <c r="K2117" i="3"/>
  <c r="J2117" i="3"/>
  <c r="I2117" i="3"/>
  <c r="H2117" i="3"/>
  <c r="G2117" i="3"/>
  <c r="L2116" i="3"/>
  <c r="K2116" i="3"/>
  <c r="J2116" i="3"/>
  <c r="I2116" i="3"/>
  <c r="H2116" i="3"/>
  <c r="G2116" i="3"/>
  <c r="L2115" i="3"/>
  <c r="K2115" i="3"/>
  <c r="J2115" i="3"/>
  <c r="I2115" i="3"/>
  <c r="H2115" i="3"/>
  <c r="G2115" i="3"/>
  <c r="L2114" i="3"/>
  <c r="K2114" i="3"/>
  <c r="J2114" i="3"/>
  <c r="I2114" i="3"/>
  <c r="H2114" i="3"/>
  <c r="G2114" i="3"/>
  <c r="L2113" i="3"/>
  <c r="K2113" i="3"/>
  <c r="J2113" i="3"/>
  <c r="I2113" i="3"/>
  <c r="H2113" i="3"/>
  <c r="G2113" i="3"/>
  <c r="L2112" i="3"/>
  <c r="K2112" i="3"/>
  <c r="J2112" i="3"/>
  <c r="I2112" i="3"/>
  <c r="H2112" i="3"/>
  <c r="G2112" i="3"/>
  <c r="L2111" i="3"/>
  <c r="K2111" i="3"/>
  <c r="J2111" i="3"/>
  <c r="I2111" i="3"/>
  <c r="H2111" i="3"/>
  <c r="G2111" i="3"/>
  <c r="O2110" i="3"/>
  <c r="L2110" i="3"/>
  <c r="K2110" i="3"/>
  <c r="J2110" i="3"/>
  <c r="I2110" i="3"/>
  <c r="H2110" i="3"/>
  <c r="G2110" i="3"/>
  <c r="L2109" i="3"/>
  <c r="K2109" i="3"/>
  <c r="J2109" i="3"/>
  <c r="I2109" i="3"/>
  <c r="H2109" i="3"/>
  <c r="G2109" i="3"/>
  <c r="L2108" i="3"/>
  <c r="K2108" i="3"/>
  <c r="J2108" i="3"/>
  <c r="I2108" i="3"/>
  <c r="H2108" i="3"/>
  <c r="G2108" i="3"/>
  <c r="L2107" i="3"/>
  <c r="K2107" i="3"/>
  <c r="J2107" i="3"/>
  <c r="I2107" i="3"/>
  <c r="H2107" i="3"/>
  <c r="G2107" i="3"/>
  <c r="L2106" i="3"/>
  <c r="K2106" i="3"/>
  <c r="J2106" i="3"/>
  <c r="I2106" i="3"/>
  <c r="H2106" i="3"/>
  <c r="G2106" i="3"/>
  <c r="L2105" i="3"/>
  <c r="K2105" i="3"/>
  <c r="J2105" i="3"/>
  <c r="I2105" i="3"/>
  <c r="H2105" i="3"/>
  <c r="G2105" i="3"/>
  <c r="L2104" i="3"/>
  <c r="K2104" i="3"/>
  <c r="J2104" i="3"/>
  <c r="I2104" i="3"/>
  <c r="H2104" i="3"/>
  <c r="G2104" i="3"/>
  <c r="L2103" i="3"/>
  <c r="K2103" i="3"/>
  <c r="J2103" i="3"/>
  <c r="I2103" i="3"/>
  <c r="H2103" i="3"/>
  <c r="G2103" i="3"/>
  <c r="L2102" i="3"/>
  <c r="K2102" i="3"/>
  <c r="J2102" i="3"/>
  <c r="I2102" i="3"/>
  <c r="H2102" i="3"/>
  <c r="G2102" i="3"/>
  <c r="L2101" i="3"/>
  <c r="K2101" i="3"/>
  <c r="J2101" i="3"/>
  <c r="I2101" i="3"/>
  <c r="H2101" i="3"/>
  <c r="G2101" i="3"/>
  <c r="L2100" i="3"/>
  <c r="K2100" i="3"/>
  <c r="J2100" i="3"/>
  <c r="I2100" i="3"/>
  <c r="H2100" i="3"/>
  <c r="G2100" i="3"/>
  <c r="L2099" i="3"/>
  <c r="K2099" i="3"/>
  <c r="J2099" i="3"/>
  <c r="I2099" i="3"/>
  <c r="H2099" i="3"/>
  <c r="G2099" i="3"/>
  <c r="L2098" i="3"/>
  <c r="K2098" i="3"/>
  <c r="J2098" i="3"/>
  <c r="I2098" i="3"/>
  <c r="H2098" i="3"/>
  <c r="G2098" i="3"/>
  <c r="L2097" i="3"/>
  <c r="K2097" i="3"/>
  <c r="J2097" i="3"/>
  <c r="I2097" i="3"/>
  <c r="H2097" i="3"/>
  <c r="G2097" i="3"/>
  <c r="L2096" i="3"/>
  <c r="K2096" i="3"/>
  <c r="J2096" i="3"/>
  <c r="I2096" i="3"/>
  <c r="H2096" i="3"/>
  <c r="G2096" i="3"/>
  <c r="L2095" i="3"/>
  <c r="K2095" i="3"/>
  <c r="J2095" i="3"/>
  <c r="I2095" i="3"/>
  <c r="H2095" i="3"/>
  <c r="G2095" i="3"/>
  <c r="L2094" i="3"/>
  <c r="K2094" i="3"/>
  <c r="J2094" i="3"/>
  <c r="I2094" i="3"/>
  <c r="H2094" i="3"/>
  <c r="G2094" i="3"/>
  <c r="L2093" i="3"/>
  <c r="K2093" i="3"/>
  <c r="J2093" i="3"/>
  <c r="I2093" i="3"/>
  <c r="H2093" i="3"/>
  <c r="G2093" i="3"/>
  <c r="L2092" i="3"/>
  <c r="K2092" i="3"/>
  <c r="J2092" i="3"/>
  <c r="I2092" i="3"/>
  <c r="H2092" i="3"/>
  <c r="G2092" i="3"/>
  <c r="L2091" i="3"/>
  <c r="K2091" i="3"/>
  <c r="J2091" i="3"/>
  <c r="I2091" i="3"/>
  <c r="H2091" i="3"/>
  <c r="G2091" i="3"/>
  <c r="L2090" i="3"/>
  <c r="K2090" i="3"/>
  <c r="J2090" i="3"/>
  <c r="I2090" i="3"/>
  <c r="H2090" i="3"/>
  <c r="G2090" i="3"/>
  <c r="L2089" i="3"/>
  <c r="K2089" i="3"/>
  <c r="J2089" i="3"/>
  <c r="I2089" i="3"/>
  <c r="H2089" i="3"/>
  <c r="G2089" i="3"/>
  <c r="L2088" i="3"/>
  <c r="K2088" i="3"/>
  <c r="J2088" i="3"/>
  <c r="I2088" i="3"/>
  <c r="H2088" i="3"/>
  <c r="G2088" i="3"/>
  <c r="L2087" i="3"/>
  <c r="K2087" i="3"/>
  <c r="J2087" i="3"/>
  <c r="I2087" i="3"/>
  <c r="H2087" i="3"/>
  <c r="G2087" i="3"/>
  <c r="L2086" i="3"/>
  <c r="K2086" i="3"/>
  <c r="J2086" i="3"/>
  <c r="I2086" i="3"/>
  <c r="H2086" i="3"/>
  <c r="G2086" i="3"/>
  <c r="L2085" i="3"/>
  <c r="K2085" i="3"/>
  <c r="J2085" i="3"/>
  <c r="I2085" i="3"/>
  <c r="H2085" i="3"/>
  <c r="G2085" i="3"/>
  <c r="L2084" i="3"/>
  <c r="K2084" i="3"/>
  <c r="J2084" i="3"/>
  <c r="I2084" i="3"/>
  <c r="H2084" i="3"/>
  <c r="G2084" i="3"/>
  <c r="L2083" i="3"/>
  <c r="K2083" i="3"/>
  <c r="J2083" i="3"/>
  <c r="I2083" i="3"/>
  <c r="H2083" i="3"/>
  <c r="G2083" i="3"/>
  <c r="L2082" i="3"/>
  <c r="K2082" i="3"/>
  <c r="J2082" i="3"/>
  <c r="I2082" i="3"/>
  <c r="H2082" i="3"/>
  <c r="G2082" i="3"/>
  <c r="L2081" i="3"/>
  <c r="K2081" i="3"/>
  <c r="J2081" i="3"/>
  <c r="I2081" i="3"/>
  <c r="H2081" i="3"/>
  <c r="G2081" i="3"/>
  <c r="L2080" i="3"/>
  <c r="K2080" i="3"/>
  <c r="J2080" i="3"/>
  <c r="I2080" i="3"/>
  <c r="H2080" i="3"/>
  <c r="G2080" i="3"/>
  <c r="L2079" i="3"/>
  <c r="K2079" i="3"/>
  <c r="J2079" i="3"/>
  <c r="I2079" i="3"/>
  <c r="H2079" i="3"/>
  <c r="G2079" i="3"/>
  <c r="L2078" i="3"/>
  <c r="K2078" i="3"/>
  <c r="J2078" i="3"/>
  <c r="I2078" i="3"/>
  <c r="H2078" i="3"/>
  <c r="G2078" i="3"/>
  <c r="L2077" i="3"/>
  <c r="K2077" i="3"/>
  <c r="J2077" i="3"/>
  <c r="I2077" i="3"/>
  <c r="H2077" i="3"/>
  <c r="G2077" i="3"/>
  <c r="O2076" i="3"/>
  <c r="L2076" i="3"/>
  <c r="K2076" i="3"/>
  <c r="J2076" i="3"/>
  <c r="I2076" i="3"/>
  <c r="H2076" i="3"/>
  <c r="G2076" i="3"/>
  <c r="L2075" i="3"/>
  <c r="K2075" i="3"/>
  <c r="J2075" i="3"/>
  <c r="I2075" i="3"/>
  <c r="H2075" i="3"/>
  <c r="G2075" i="3"/>
  <c r="L2074" i="3"/>
  <c r="K2074" i="3"/>
  <c r="J2074" i="3"/>
  <c r="I2074" i="3"/>
  <c r="H2074" i="3"/>
  <c r="G2074" i="3"/>
  <c r="L2073" i="3"/>
  <c r="K2073" i="3"/>
  <c r="J2073" i="3"/>
  <c r="I2073" i="3"/>
  <c r="H2073" i="3"/>
  <c r="G2073" i="3"/>
  <c r="L2072" i="3"/>
  <c r="K2072" i="3"/>
  <c r="J2072" i="3"/>
  <c r="I2072" i="3"/>
  <c r="H2072" i="3"/>
  <c r="G2072" i="3"/>
  <c r="L2071" i="3"/>
  <c r="K2071" i="3"/>
  <c r="J2071" i="3"/>
  <c r="I2071" i="3"/>
  <c r="H2071" i="3"/>
  <c r="G2071" i="3"/>
  <c r="L2070" i="3"/>
  <c r="K2070" i="3"/>
  <c r="J2070" i="3"/>
  <c r="I2070" i="3"/>
  <c r="H2070" i="3"/>
  <c r="G2070" i="3"/>
  <c r="L2069" i="3"/>
  <c r="K2069" i="3"/>
  <c r="J2069" i="3"/>
  <c r="I2069" i="3"/>
  <c r="H2069" i="3"/>
  <c r="G2069" i="3"/>
  <c r="L2068" i="3"/>
  <c r="K2068" i="3"/>
  <c r="J2068" i="3"/>
  <c r="I2068" i="3"/>
  <c r="H2068" i="3"/>
  <c r="G2068" i="3"/>
  <c r="L2067" i="3"/>
  <c r="K2067" i="3"/>
  <c r="J2067" i="3"/>
  <c r="I2067" i="3"/>
  <c r="H2067" i="3"/>
  <c r="G2067" i="3"/>
  <c r="L2066" i="3"/>
  <c r="K2066" i="3"/>
  <c r="J2066" i="3"/>
  <c r="I2066" i="3"/>
  <c r="H2066" i="3"/>
  <c r="G2066" i="3"/>
  <c r="L2065" i="3"/>
  <c r="K2065" i="3"/>
  <c r="J2065" i="3"/>
  <c r="I2065" i="3"/>
  <c r="H2065" i="3"/>
  <c r="G2065" i="3"/>
  <c r="L2064" i="3"/>
  <c r="K2064" i="3"/>
  <c r="J2064" i="3"/>
  <c r="I2064" i="3"/>
  <c r="H2064" i="3"/>
  <c r="G2064" i="3"/>
  <c r="L2063" i="3"/>
  <c r="K2063" i="3"/>
  <c r="J2063" i="3"/>
  <c r="I2063" i="3"/>
  <c r="H2063" i="3"/>
  <c r="G2063" i="3"/>
  <c r="L2062" i="3"/>
  <c r="K2062" i="3"/>
  <c r="J2062" i="3"/>
  <c r="I2062" i="3"/>
  <c r="H2062" i="3"/>
  <c r="G2062" i="3"/>
  <c r="L2061" i="3"/>
  <c r="K2061" i="3"/>
  <c r="J2061" i="3"/>
  <c r="I2061" i="3"/>
  <c r="H2061" i="3"/>
  <c r="G2061" i="3"/>
  <c r="L2060" i="3"/>
  <c r="K2060" i="3"/>
  <c r="J2060" i="3"/>
  <c r="I2060" i="3"/>
  <c r="H2060" i="3"/>
  <c r="G2060" i="3"/>
  <c r="L2059" i="3"/>
  <c r="K2059" i="3"/>
  <c r="J2059" i="3"/>
  <c r="I2059" i="3"/>
  <c r="H2059" i="3"/>
  <c r="G2059" i="3"/>
  <c r="L2058" i="3"/>
  <c r="K2058" i="3"/>
  <c r="J2058" i="3"/>
  <c r="I2058" i="3"/>
  <c r="H2058" i="3"/>
  <c r="G2058" i="3"/>
  <c r="L2057" i="3"/>
  <c r="K2057" i="3"/>
  <c r="J2057" i="3"/>
  <c r="I2057" i="3"/>
  <c r="H2057" i="3"/>
  <c r="G2057" i="3"/>
  <c r="L2056" i="3"/>
  <c r="K2056" i="3"/>
  <c r="J2056" i="3"/>
  <c r="I2056" i="3"/>
  <c r="H2056" i="3"/>
  <c r="G2056" i="3"/>
  <c r="L2055" i="3"/>
  <c r="K2055" i="3"/>
  <c r="J2055" i="3"/>
  <c r="I2055" i="3"/>
  <c r="H2055" i="3"/>
  <c r="G2055" i="3"/>
  <c r="L2054" i="3"/>
  <c r="K2054" i="3"/>
  <c r="J2054" i="3"/>
  <c r="I2054" i="3"/>
  <c r="H2054" i="3"/>
  <c r="G2054" i="3"/>
  <c r="L2053" i="3"/>
  <c r="K2053" i="3"/>
  <c r="J2053" i="3"/>
  <c r="I2053" i="3"/>
  <c r="H2053" i="3"/>
  <c r="G2053" i="3"/>
  <c r="L2052" i="3"/>
  <c r="K2052" i="3"/>
  <c r="J2052" i="3"/>
  <c r="I2052" i="3"/>
  <c r="H2052" i="3"/>
  <c r="G2052" i="3"/>
  <c r="L2051" i="3"/>
  <c r="K2051" i="3"/>
  <c r="J2051" i="3"/>
  <c r="I2051" i="3"/>
  <c r="H2051" i="3"/>
  <c r="G2051" i="3"/>
  <c r="L2050" i="3"/>
  <c r="K2050" i="3"/>
  <c r="J2050" i="3"/>
  <c r="I2050" i="3"/>
  <c r="H2050" i="3"/>
  <c r="G2050" i="3"/>
  <c r="L2049" i="3"/>
  <c r="K2049" i="3"/>
  <c r="J2049" i="3"/>
  <c r="I2049" i="3"/>
  <c r="H2049" i="3"/>
  <c r="G2049" i="3"/>
  <c r="L2048" i="3"/>
  <c r="K2048" i="3"/>
  <c r="J2048" i="3"/>
  <c r="I2048" i="3"/>
  <c r="H2048" i="3"/>
  <c r="G2048" i="3"/>
  <c r="L2047" i="3"/>
  <c r="K2047" i="3"/>
  <c r="J2047" i="3"/>
  <c r="I2047" i="3"/>
  <c r="H2047" i="3"/>
  <c r="G2047" i="3"/>
  <c r="L2046" i="3"/>
  <c r="K2046" i="3"/>
  <c r="J2046" i="3"/>
  <c r="I2046" i="3"/>
  <c r="H2046" i="3"/>
  <c r="G2046" i="3"/>
  <c r="L2045" i="3"/>
  <c r="K2045" i="3"/>
  <c r="J2045" i="3"/>
  <c r="I2045" i="3"/>
  <c r="H2045" i="3"/>
  <c r="G2045" i="3"/>
  <c r="L2044" i="3"/>
  <c r="K2044" i="3"/>
  <c r="J2044" i="3"/>
  <c r="I2044" i="3"/>
  <c r="H2044" i="3"/>
  <c r="G2044" i="3"/>
  <c r="L2043" i="3"/>
  <c r="K2043" i="3"/>
  <c r="J2043" i="3"/>
  <c r="I2043" i="3"/>
  <c r="H2043" i="3"/>
  <c r="G2043" i="3"/>
  <c r="O2042" i="3"/>
  <c r="L2042" i="3"/>
  <c r="K2042" i="3"/>
  <c r="J2042" i="3"/>
  <c r="I2042" i="3"/>
  <c r="H2042" i="3"/>
  <c r="G2042" i="3"/>
  <c r="L2041" i="3"/>
  <c r="K2041" i="3"/>
  <c r="J2041" i="3"/>
  <c r="I2041" i="3"/>
  <c r="H2041" i="3"/>
  <c r="G2041" i="3"/>
  <c r="L2040" i="3"/>
  <c r="K2040" i="3"/>
  <c r="J2040" i="3"/>
  <c r="I2040" i="3"/>
  <c r="H2040" i="3"/>
  <c r="G2040" i="3"/>
  <c r="L2039" i="3"/>
  <c r="K2039" i="3"/>
  <c r="J2039" i="3"/>
  <c r="I2039" i="3"/>
  <c r="H2039" i="3"/>
  <c r="G2039" i="3"/>
  <c r="L2038" i="3"/>
  <c r="K2038" i="3"/>
  <c r="J2038" i="3"/>
  <c r="I2038" i="3"/>
  <c r="H2038" i="3"/>
  <c r="G2038" i="3"/>
  <c r="L2037" i="3"/>
  <c r="K2037" i="3"/>
  <c r="J2037" i="3"/>
  <c r="I2037" i="3"/>
  <c r="H2037" i="3"/>
  <c r="G2037" i="3"/>
  <c r="L2036" i="3"/>
  <c r="K2036" i="3"/>
  <c r="J2036" i="3"/>
  <c r="I2036" i="3"/>
  <c r="H2036" i="3"/>
  <c r="G2036" i="3"/>
  <c r="L2035" i="3"/>
  <c r="K2035" i="3"/>
  <c r="J2035" i="3"/>
  <c r="I2035" i="3"/>
  <c r="H2035" i="3"/>
  <c r="G2035" i="3"/>
  <c r="L2034" i="3"/>
  <c r="K2034" i="3"/>
  <c r="J2034" i="3"/>
  <c r="I2034" i="3"/>
  <c r="H2034" i="3"/>
  <c r="G2034" i="3"/>
  <c r="L2033" i="3"/>
  <c r="K2033" i="3"/>
  <c r="J2033" i="3"/>
  <c r="I2033" i="3"/>
  <c r="H2033" i="3"/>
  <c r="G2033" i="3"/>
  <c r="L2032" i="3"/>
  <c r="K2032" i="3"/>
  <c r="J2032" i="3"/>
  <c r="I2032" i="3"/>
  <c r="H2032" i="3"/>
  <c r="G2032" i="3"/>
  <c r="L2031" i="3"/>
  <c r="K2031" i="3"/>
  <c r="J2031" i="3"/>
  <c r="I2031" i="3"/>
  <c r="H2031" i="3"/>
  <c r="G2031" i="3"/>
  <c r="L2030" i="3"/>
  <c r="K2030" i="3"/>
  <c r="J2030" i="3"/>
  <c r="I2030" i="3"/>
  <c r="H2030" i="3"/>
  <c r="G2030" i="3"/>
  <c r="L2029" i="3"/>
  <c r="K2029" i="3"/>
  <c r="J2029" i="3"/>
  <c r="I2029" i="3"/>
  <c r="H2029" i="3"/>
  <c r="G2029" i="3"/>
  <c r="L2028" i="3"/>
  <c r="K2028" i="3"/>
  <c r="J2028" i="3"/>
  <c r="I2028" i="3"/>
  <c r="H2028" i="3"/>
  <c r="G2028" i="3"/>
  <c r="L2027" i="3"/>
  <c r="K2027" i="3"/>
  <c r="J2027" i="3"/>
  <c r="I2027" i="3"/>
  <c r="H2027" i="3"/>
  <c r="G2027" i="3"/>
  <c r="L2026" i="3"/>
  <c r="K2026" i="3"/>
  <c r="J2026" i="3"/>
  <c r="I2026" i="3"/>
  <c r="H2026" i="3"/>
  <c r="G2026" i="3"/>
  <c r="L2025" i="3"/>
  <c r="K2025" i="3"/>
  <c r="J2025" i="3"/>
  <c r="I2025" i="3"/>
  <c r="H2025" i="3"/>
  <c r="G2025" i="3"/>
  <c r="L2024" i="3"/>
  <c r="K2024" i="3"/>
  <c r="J2024" i="3"/>
  <c r="I2024" i="3"/>
  <c r="H2024" i="3"/>
  <c r="G2024" i="3"/>
  <c r="L2023" i="3"/>
  <c r="K2023" i="3"/>
  <c r="J2023" i="3"/>
  <c r="I2023" i="3"/>
  <c r="H2023" i="3"/>
  <c r="G2023" i="3"/>
  <c r="L2022" i="3"/>
  <c r="K2022" i="3"/>
  <c r="J2022" i="3"/>
  <c r="I2022" i="3"/>
  <c r="H2022" i="3"/>
  <c r="G2022" i="3"/>
  <c r="L2021" i="3"/>
  <c r="K2021" i="3"/>
  <c r="J2021" i="3"/>
  <c r="I2021" i="3"/>
  <c r="H2021" i="3"/>
  <c r="G2021" i="3"/>
  <c r="L2020" i="3"/>
  <c r="K2020" i="3"/>
  <c r="J2020" i="3"/>
  <c r="I2020" i="3"/>
  <c r="H2020" i="3"/>
  <c r="G2020" i="3"/>
  <c r="L2019" i="3"/>
  <c r="K2019" i="3"/>
  <c r="J2019" i="3"/>
  <c r="I2019" i="3"/>
  <c r="H2019" i="3"/>
  <c r="G2019" i="3"/>
  <c r="L2018" i="3"/>
  <c r="K2018" i="3"/>
  <c r="J2018" i="3"/>
  <c r="I2018" i="3"/>
  <c r="H2018" i="3"/>
  <c r="G2018" i="3"/>
  <c r="L2017" i="3"/>
  <c r="K2017" i="3"/>
  <c r="J2017" i="3"/>
  <c r="I2017" i="3"/>
  <c r="H2017" i="3"/>
  <c r="G2017" i="3"/>
  <c r="L2016" i="3"/>
  <c r="K2016" i="3"/>
  <c r="J2016" i="3"/>
  <c r="I2016" i="3"/>
  <c r="H2016" i="3"/>
  <c r="G2016" i="3"/>
  <c r="L2015" i="3"/>
  <c r="K2015" i="3"/>
  <c r="J2015" i="3"/>
  <c r="I2015" i="3"/>
  <c r="H2015" i="3"/>
  <c r="G2015" i="3"/>
  <c r="L2014" i="3"/>
  <c r="K2014" i="3"/>
  <c r="J2014" i="3"/>
  <c r="I2014" i="3"/>
  <c r="H2014" i="3"/>
  <c r="G2014" i="3"/>
  <c r="L2013" i="3"/>
  <c r="K2013" i="3"/>
  <c r="J2013" i="3"/>
  <c r="I2013" i="3"/>
  <c r="H2013" i="3"/>
  <c r="G2013" i="3"/>
  <c r="L2012" i="3"/>
  <c r="K2012" i="3"/>
  <c r="J2012" i="3"/>
  <c r="I2012" i="3"/>
  <c r="H2012" i="3"/>
  <c r="G2012" i="3"/>
  <c r="L2011" i="3"/>
  <c r="K2011" i="3"/>
  <c r="J2011" i="3"/>
  <c r="I2011" i="3"/>
  <c r="H2011" i="3"/>
  <c r="G2011" i="3"/>
  <c r="L2010" i="3"/>
  <c r="K2010" i="3"/>
  <c r="J2010" i="3"/>
  <c r="I2010" i="3"/>
  <c r="H2010" i="3"/>
  <c r="G2010" i="3"/>
  <c r="L2009" i="3"/>
  <c r="K2009" i="3"/>
  <c r="J2009" i="3"/>
  <c r="I2009" i="3"/>
  <c r="H2009" i="3"/>
  <c r="G2009" i="3"/>
  <c r="O2008" i="3"/>
  <c r="L2008" i="3"/>
  <c r="K2008" i="3"/>
  <c r="J2008" i="3"/>
  <c r="I2008" i="3"/>
  <c r="H2008" i="3"/>
  <c r="G2008" i="3"/>
  <c r="L2007" i="3"/>
  <c r="K2007" i="3"/>
  <c r="J2007" i="3"/>
  <c r="I2007" i="3"/>
  <c r="H2007" i="3"/>
  <c r="G2007" i="3"/>
  <c r="L2006" i="3"/>
  <c r="K2006" i="3"/>
  <c r="J2006" i="3"/>
  <c r="I2006" i="3"/>
  <c r="H2006" i="3"/>
  <c r="G2006" i="3"/>
  <c r="L2005" i="3"/>
  <c r="K2005" i="3"/>
  <c r="J2005" i="3"/>
  <c r="I2005" i="3"/>
  <c r="H2005" i="3"/>
  <c r="G2005" i="3"/>
  <c r="L2004" i="3"/>
  <c r="K2004" i="3"/>
  <c r="J2004" i="3"/>
  <c r="I2004" i="3"/>
  <c r="H2004" i="3"/>
  <c r="G2004" i="3"/>
  <c r="L2003" i="3"/>
  <c r="K2003" i="3"/>
  <c r="J2003" i="3"/>
  <c r="I2003" i="3"/>
  <c r="H2003" i="3"/>
  <c r="G2003" i="3"/>
  <c r="L2002" i="3"/>
  <c r="K2002" i="3"/>
  <c r="J2002" i="3"/>
  <c r="I2002" i="3"/>
  <c r="H2002" i="3"/>
  <c r="G2002" i="3"/>
  <c r="L2001" i="3"/>
  <c r="K2001" i="3"/>
  <c r="J2001" i="3"/>
  <c r="I2001" i="3"/>
  <c r="H2001" i="3"/>
  <c r="G2001" i="3"/>
  <c r="L2000" i="3"/>
  <c r="K2000" i="3"/>
  <c r="J2000" i="3"/>
  <c r="I2000" i="3"/>
  <c r="H2000" i="3"/>
  <c r="G2000" i="3"/>
  <c r="L1999" i="3"/>
  <c r="K1999" i="3"/>
  <c r="J1999" i="3"/>
  <c r="I1999" i="3"/>
  <c r="H1999" i="3"/>
  <c r="G1999" i="3"/>
  <c r="L1998" i="3"/>
  <c r="K1998" i="3"/>
  <c r="J1998" i="3"/>
  <c r="I1998" i="3"/>
  <c r="H1998" i="3"/>
  <c r="G1998" i="3"/>
  <c r="L1997" i="3"/>
  <c r="K1997" i="3"/>
  <c r="J1997" i="3"/>
  <c r="I1997" i="3"/>
  <c r="H1997" i="3"/>
  <c r="G1997" i="3"/>
  <c r="L1996" i="3"/>
  <c r="K1996" i="3"/>
  <c r="J1996" i="3"/>
  <c r="I1996" i="3"/>
  <c r="H1996" i="3"/>
  <c r="G1996" i="3"/>
  <c r="L1995" i="3"/>
  <c r="K1995" i="3"/>
  <c r="J1995" i="3"/>
  <c r="I1995" i="3"/>
  <c r="H1995" i="3"/>
  <c r="G1995" i="3"/>
  <c r="L1994" i="3"/>
  <c r="K1994" i="3"/>
  <c r="J1994" i="3"/>
  <c r="I1994" i="3"/>
  <c r="H1994" i="3"/>
  <c r="G1994" i="3"/>
  <c r="L1993" i="3"/>
  <c r="K1993" i="3"/>
  <c r="J1993" i="3"/>
  <c r="I1993" i="3"/>
  <c r="H1993" i="3"/>
  <c r="G1993" i="3"/>
  <c r="L1992" i="3"/>
  <c r="K1992" i="3"/>
  <c r="J1992" i="3"/>
  <c r="I1992" i="3"/>
  <c r="H1992" i="3"/>
  <c r="G1992" i="3"/>
  <c r="L1991" i="3"/>
  <c r="K1991" i="3"/>
  <c r="J1991" i="3"/>
  <c r="I1991" i="3"/>
  <c r="H1991" i="3"/>
  <c r="G1991" i="3"/>
  <c r="L1990" i="3"/>
  <c r="K1990" i="3"/>
  <c r="J1990" i="3"/>
  <c r="I1990" i="3"/>
  <c r="H1990" i="3"/>
  <c r="G1990" i="3"/>
  <c r="L1989" i="3"/>
  <c r="K1989" i="3"/>
  <c r="J1989" i="3"/>
  <c r="I1989" i="3"/>
  <c r="H1989" i="3"/>
  <c r="G1989" i="3"/>
  <c r="L1988" i="3"/>
  <c r="K1988" i="3"/>
  <c r="J1988" i="3"/>
  <c r="I1988" i="3"/>
  <c r="H1988" i="3"/>
  <c r="G1988" i="3"/>
  <c r="L1987" i="3"/>
  <c r="K1987" i="3"/>
  <c r="J1987" i="3"/>
  <c r="I1987" i="3"/>
  <c r="H1987" i="3"/>
  <c r="G1987" i="3"/>
  <c r="L1986" i="3"/>
  <c r="K1986" i="3"/>
  <c r="J1986" i="3"/>
  <c r="I1986" i="3"/>
  <c r="H1986" i="3"/>
  <c r="G1986" i="3"/>
  <c r="L1985" i="3"/>
  <c r="K1985" i="3"/>
  <c r="J1985" i="3"/>
  <c r="I1985" i="3"/>
  <c r="H1985" i="3"/>
  <c r="G1985" i="3"/>
  <c r="L1984" i="3"/>
  <c r="K1984" i="3"/>
  <c r="J1984" i="3"/>
  <c r="I1984" i="3"/>
  <c r="H1984" i="3"/>
  <c r="G1984" i="3"/>
  <c r="L1983" i="3"/>
  <c r="K1983" i="3"/>
  <c r="J1983" i="3"/>
  <c r="I1983" i="3"/>
  <c r="H1983" i="3"/>
  <c r="G1983" i="3"/>
  <c r="L1982" i="3"/>
  <c r="K1982" i="3"/>
  <c r="J1982" i="3"/>
  <c r="I1982" i="3"/>
  <c r="H1982" i="3"/>
  <c r="G1982" i="3"/>
  <c r="L1981" i="3"/>
  <c r="K1981" i="3"/>
  <c r="J1981" i="3"/>
  <c r="I1981" i="3"/>
  <c r="H1981" i="3"/>
  <c r="G1981" i="3"/>
  <c r="L1980" i="3"/>
  <c r="K1980" i="3"/>
  <c r="J1980" i="3"/>
  <c r="I1980" i="3"/>
  <c r="H1980" i="3"/>
  <c r="G1980" i="3"/>
  <c r="L1979" i="3"/>
  <c r="K1979" i="3"/>
  <c r="J1979" i="3"/>
  <c r="I1979" i="3"/>
  <c r="H1979" i="3"/>
  <c r="G1979" i="3"/>
  <c r="L1978" i="3"/>
  <c r="K1978" i="3"/>
  <c r="J1978" i="3"/>
  <c r="I1978" i="3"/>
  <c r="H1978" i="3"/>
  <c r="G1978" i="3"/>
  <c r="L1977" i="3"/>
  <c r="K1977" i="3"/>
  <c r="J1977" i="3"/>
  <c r="I1977" i="3"/>
  <c r="H1977" i="3"/>
  <c r="G1977" i="3"/>
  <c r="L1976" i="3"/>
  <c r="K1976" i="3"/>
  <c r="J1976" i="3"/>
  <c r="I1976" i="3"/>
  <c r="H1976" i="3"/>
  <c r="G1976" i="3"/>
  <c r="L1975" i="3"/>
  <c r="K1975" i="3"/>
  <c r="J1975" i="3"/>
  <c r="I1975" i="3"/>
  <c r="H1975" i="3"/>
  <c r="G1975" i="3"/>
  <c r="O1974" i="3"/>
  <c r="L1974" i="3"/>
  <c r="K1974" i="3"/>
  <c r="J1974" i="3"/>
  <c r="I1974" i="3"/>
  <c r="H1974" i="3"/>
  <c r="G1974" i="3"/>
  <c r="L1973" i="3"/>
  <c r="K1973" i="3"/>
  <c r="J1973" i="3"/>
  <c r="I1973" i="3"/>
  <c r="H1973" i="3"/>
  <c r="G1973" i="3"/>
  <c r="L1972" i="3"/>
  <c r="K1972" i="3"/>
  <c r="J1972" i="3"/>
  <c r="I1972" i="3"/>
  <c r="H1972" i="3"/>
  <c r="G1972" i="3"/>
  <c r="L1971" i="3"/>
  <c r="K1971" i="3"/>
  <c r="J1971" i="3"/>
  <c r="I1971" i="3"/>
  <c r="H1971" i="3"/>
  <c r="G1971" i="3"/>
  <c r="L1970" i="3"/>
  <c r="K1970" i="3"/>
  <c r="J1970" i="3"/>
  <c r="I1970" i="3"/>
  <c r="H1970" i="3"/>
  <c r="G1970" i="3"/>
  <c r="L1969" i="3"/>
  <c r="K1969" i="3"/>
  <c r="J1969" i="3"/>
  <c r="I1969" i="3"/>
  <c r="H1969" i="3"/>
  <c r="G1969" i="3"/>
  <c r="L1968" i="3"/>
  <c r="K1968" i="3"/>
  <c r="J1968" i="3"/>
  <c r="I1968" i="3"/>
  <c r="H1968" i="3"/>
  <c r="G1968" i="3"/>
  <c r="L1967" i="3"/>
  <c r="K1967" i="3"/>
  <c r="J1967" i="3"/>
  <c r="I1967" i="3"/>
  <c r="H1967" i="3"/>
  <c r="G1967" i="3"/>
  <c r="L1966" i="3"/>
  <c r="K1966" i="3"/>
  <c r="J1966" i="3"/>
  <c r="I1966" i="3"/>
  <c r="H1966" i="3"/>
  <c r="G1966" i="3"/>
  <c r="L1965" i="3"/>
  <c r="K1965" i="3"/>
  <c r="J1965" i="3"/>
  <c r="I1965" i="3"/>
  <c r="H1965" i="3"/>
  <c r="G1965" i="3"/>
  <c r="L1964" i="3"/>
  <c r="K1964" i="3"/>
  <c r="J1964" i="3"/>
  <c r="I1964" i="3"/>
  <c r="H1964" i="3"/>
  <c r="G1964" i="3"/>
  <c r="L1963" i="3"/>
  <c r="K1963" i="3"/>
  <c r="J1963" i="3"/>
  <c r="I1963" i="3"/>
  <c r="H1963" i="3"/>
  <c r="G1963" i="3"/>
  <c r="L1962" i="3"/>
  <c r="K1962" i="3"/>
  <c r="J1962" i="3"/>
  <c r="I1962" i="3"/>
  <c r="H1962" i="3"/>
  <c r="G1962" i="3"/>
  <c r="L1961" i="3"/>
  <c r="K1961" i="3"/>
  <c r="J1961" i="3"/>
  <c r="I1961" i="3"/>
  <c r="H1961" i="3"/>
  <c r="G1961" i="3"/>
  <c r="L1960" i="3"/>
  <c r="K1960" i="3"/>
  <c r="J1960" i="3"/>
  <c r="I1960" i="3"/>
  <c r="H1960" i="3"/>
  <c r="G1960" i="3"/>
  <c r="L1959" i="3"/>
  <c r="K1959" i="3"/>
  <c r="J1959" i="3"/>
  <c r="I1959" i="3"/>
  <c r="H1959" i="3"/>
  <c r="G1959" i="3"/>
  <c r="L1958" i="3"/>
  <c r="K1958" i="3"/>
  <c r="J1958" i="3"/>
  <c r="I1958" i="3"/>
  <c r="H1958" i="3"/>
  <c r="G1958" i="3"/>
  <c r="L1957" i="3"/>
  <c r="K1957" i="3"/>
  <c r="J1957" i="3"/>
  <c r="I1957" i="3"/>
  <c r="H1957" i="3"/>
  <c r="G1957" i="3"/>
  <c r="L1956" i="3"/>
  <c r="K1956" i="3"/>
  <c r="J1956" i="3"/>
  <c r="I1956" i="3"/>
  <c r="H1956" i="3"/>
  <c r="G1956" i="3"/>
  <c r="L1955" i="3"/>
  <c r="K1955" i="3"/>
  <c r="J1955" i="3"/>
  <c r="I1955" i="3"/>
  <c r="H1955" i="3"/>
  <c r="G1955" i="3"/>
  <c r="L1954" i="3"/>
  <c r="K1954" i="3"/>
  <c r="J1954" i="3"/>
  <c r="I1954" i="3"/>
  <c r="H1954" i="3"/>
  <c r="G1954" i="3"/>
  <c r="L1953" i="3"/>
  <c r="K1953" i="3"/>
  <c r="J1953" i="3"/>
  <c r="I1953" i="3"/>
  <c r="H1953" i="3"/>
  <c r="G1953" i="3"/>
  <c r="L1952" i="3"/>
  <c r="K1952" i="3"/>
  <c r="J1952" i="3"/>
  <c r="I1952" i="3"/>
  <c r="H1952" i="3"/>
  <c r="G1952" i="3"/>
  <c r="L1951" i="3"/>
  <c r="K1951" i="3"/>
  <c r="J1951" i="3"/>
  <c r="I1951" i="3"/>
  <c r="H1951" i="3"/>
  <c r="G1951" i="3"/>
  <c r="L1950" i="3"/>
  <c r="K1950" i="3"/>
  <c r="J1950" i="3"/>
  <c r="I1950" i="3"/>
  <c r="H1950" i="3"/>
  <c r="G1950" i="3"/>
  <c r="L1949" i="3"/>
  <c r="K1949" i="3"/>
  <c r="J1949" i="3"/>
  <c r="I1949" i="3"/>
  <c r="H1949" i="3"/>
  <c r="G1949" i="3"/>
  <c r="L1948" i="3"/>
  <c r="K1948" i="3"/>
  <c r="J1948" i="3"/>
  <c r="I1948" i="3"/>
  <c r="H1948" i="3"/>
  <c r="G1948" i="3"/>
  <c r="L1947" i="3"/>
  <c r="K1947" i="3"/>
  <c r="J1947" i="3"/>
  <c r="I1947" i="3"/>
  <c r="H1947" i="3"/>
  <c r="G1947" i="3"/>
  <c r="L1946" i="3"/>
  <c r="K1946" i="3"/>
  <c r="J1946" i="3"/>
  <c r="I1946" i="3"/>
  <c r="H1946" i="3"/>
  <c r="G1946" i="3"/>
  <c r="L1945" i="3"/>
  <c r="K1945" i="3"/>
  <c r="J1945" i="3"/>
  <c r="I1945" i="3"/>
  <c r="H1945" i="3"/>
  <c r="G1945" i="3"/>
  <c r="L1944" i="3"/>
  <c r="K1944" i="3"/>
  <c r="J1944" i="3"/>
  <c r="I1944" i="3"/>
  <c r="H1944" i="3"/>
  <c r="G1944" i="3"/>
  <c r="L1943" i="3"/>
  <c r="K1943" i="3"/>
  <c r="J1943" i="3"/>
  <c r="I1943" i="3"/>
  <c r="H1943" i="3"/>
  <c r="G1943" i="3"/>
  <c r="L1942" i="3"/>
  <c r="K1942" i="3"/>
  <c r="J1942" i="3"/>
  <c r="I1942" i="3"/>
  <c r="H1942" i="3"/>
  <c r="G1942" i="3"/>
  <c r="L1941" i="3"/>
  <c r="K1941" i="3"/>
  <c r="J1941" i="3"/>
  <c r="I1941" i="3"/>
  <c r="H1941" i="3"/>
  <c r="G1941" i="3"/>
  <c r="O1940" i="3"/>
  <c r="L1940" i="3"/>
  <c r="K1940" i="3"/>
  <c r="J1940" i="3"/>
  <c r="I1940" i="3"/>
  <c r="H1940" i="3"/>
  <c r="G1940" i="3"/>
  <c r="L1939" i="3"/>
  <c r="K1939" i="3"/>
  <c r="J1939" i="3"/>
  <c r="I1939" i="3"/>
  <c r="H1939" i="3"/>
  <c r="G1939" i="3"/>
  <c r="L1938" i="3"/>
  <c r="K1938" i="3"/>
  <c r="J1938" i="3"/>
  <c r="I1938" i="3"/>
  <c r="H1938" i="3"/>
  <c r="G1938" i="3"/>
  <c r="L1937" i="3"/>
  <c r="K1937" i="3"/>
  <c r="J1937" i="3"/>
  <c r="I1937" i="3"/>
  <c r="H1937" i="3"/>
  <c r="G1937" i="3"/>
  <c r="L1936" i="3"/>
  <c r="K1936" i="3"/>
  <c r="J1936" i="3"/>
  <c r="I1936" i="3"/>
  <c r="H1936" i="3"/>
  <c r="G1936" i="3"/>
  <c r="L1935" i="3"/>
  <c r="K1935" i="3"/>
  <c r="J1935" i="3"/>
  <c r="I1935" i="3"/>
  <c r="H1935" i="3"/>
  <c r="G1935" i="3"/>
  <c r="L1934" i="3"/>
  <c r="K1934" i="3"/>
  <c r="J1934" i="3"/>
  <c r="I1934" i="3"/>
  <c r="H1934" i="3"/>
  <c r="G1934" i="3"/>
  <c r="L1933" i="3"/>
  <c r="K1933" i="3"/>
  <c r="J1933" i="3"/>
  <c r="I1933" i="3"/>
  <c r="H1933" i="3"/>
  <c r="G1933" i="3"/>
  <c r="L1932" i="3"/>
  <c r="K1932" i="3"/>
  <c r="J1932" i="3"/>
  <c r="I1932" i="3"/>
  <c r="H1932" i="3"/>
  <c r="G1932" i="3"/>
  <c r="L1931" i="3"/>
  <c r="K1931" i="3"/>
  <c r="J1931" i="3"/>
  <c r="I1931" i="3"/>
  <c r="H1931" i="3"/>
  <c r="G1931" i="3"/>
  <c r="L1930" i="3"/>
  <c r="K1930" i="3"/>
  <c r="J1930" i="3"/>
  <c r="I1930" i="3"/>
  <c r="H1930" i="3"/>
  <c r="G1930" i="3"/>
  <c r="L1929" i="3"/>
  <c r="K1929" i="3"/>
  <c r="J1929" i="3"/>
  <c r="I1929" i="3"/>
  <c r="H1929" i="3"/>
  <c r="G1929" i="3"/>
  <c r="L1928" i="3"/>
  <c r="K1928" i="3"/>
  <c r="J1928" i="3"/>
  <c r="I1928" i="3"/>
  <c r="H1928" i="3"/>
  <c r="G1928" i="3"/>
  <c r="L1927" i="3"/>
  <c r="K1927" i="3"/>
  <c r="J1927" i="3"/>
  <c r="I1927" i="3"/>
  <c r="H1927" i="3"/>
  <c r="G1927" i="3"/>
  <c r="L1926" i="3"/>
  <c r="K1926" i="3"/>
  <c r="J1926" i="3"/>
  <c r="I1926" i="3"/>
  <c r="H1926" i="3"/>
  <c r="G1926" i="3"/>
  <c r="L1925" i="3"/>
  <c r="K1925" i="3"/>
  <c r="J1925" i="3"/>
  <c r="I1925" i="3"/>
  <c r="H1925" i="3"/>
  <c r="G1925" i="3"/>
  <c r="L1924" i="3"/>
  <c r="K1924" i="3"/>
  <c r="J1924" i="3"/>
  <c r="I1924" i="3"/>
  <c r="H1924" i="3"/>
  <c r="G1924" i="3"/>
  <c r="L1923" i="3"/>
  <c r="K1923" i="3"/>
  <c r="J1923" i="3"/>
  <c r="I1923" i="3"/>
  <c r="H1923" i="3"/>
  <c r="G1923" i="3"/>
  <c r="L1922" i="3"/>
  <c r="K1922" i="3"/>
  <c r="J1922" i="3"/>
  <c r="I1922" i="3"/>
  <c r="H1922" i="3"/>
  <c r="G1922" i="3"/>
  <c r="L1921" i="3"/>
  <c r="K1921" i="3"/>
  <c r="J1921" i="3"/>
  <c r="I1921" i="3"/>
  <c r="H1921" i="3"/>
  <c r="G1921" i="3"/>
  <c r="L1920" i="3"/>
  <c r="K1920" i="3"/>
  <c r="J1920" i="3"/>
  <c r="I1920" i="3"/>
  <c r="H1920" i="3"/>
  <c r="G1920" i="3"/>
  <c r="L1919" i="3"/>
  <c r="K1919" i="3"/>
  <c r="J1919" i="3"/>
  <c r="I1919" i="3"/>
  <c r="H1919" i="3"/>
  <c r="G1919" i="3"/>
  <c r="L1918" i="3"/>
  <c r="K1918" i="3"/>
  <c r="J1918" i="3"/>
  <c r="I1918" i="3"/>
  <c r="H1918" i="3"/>
  <c r="G1918" i="3"/>
  <c r="L1917" i="3"/>
  <c r="K1917" i="3"/>
  <c r="J1917" i="3"/>
  <c r="I1917" i="3"/>
  <c r="H1917" i="3"/>
  <c r="G1917" i="3"/>
  <c r="L1916" i="3"/>
  <c r="K1916" i="3"/>
  <c r="J1916" i="3"/>
  <c r="I1916" i="3"/>
  <c r="H1916" i="3"/>
  <c r="G1916" i="3"/>
  <c r="L1915" i="3"/>
  <c r="K1915" i="3"/>
  <c r="J1915" i="3"/>
  <c r="I1915" i="3"/>
  <c r="H1915" i="3"/>
  <c r="G1915" i="3"/>
  <c r="L1914" i="3"/>
  <c r="K1914" i="3"/>
  <c r="J1914" i="3"/>
  <c r="I1914" i="3"/>
  <c r="H1914" i="3"/>
  <c r="G1914" i="3"/>
  <c r="L1913" i="3"/>
  <c r="K1913" i="3"/>
  <c r="J1913" i="3"/>
  <c r="I1913" i="3"/>
  <c r="H1913" i="3"/>
  <c r="G1913" i="3"/>
  <c r="L1912" i="3"/>
  <c r="K1912" i="3"/>
  <c r="J1912" i="3"/>
  <c r="I1912" i="3"/>
  <c r="H1912" i="3"/>
  <c r="G1912" i="3"/>
  <c r="L1911" i="3"/>
  <c r="K1911" i="3"/>
  <c r="J1911" i="3"/>
  <c r="I1911" i="3"/>
  <c r="H1911" i="3"/>
  <c r="G1911" i="3"/>
  <c r="L1910" i="3"/>
  <c r="K1910" i="3"/>
  <c r="J1910" i="3"/>
  <c r="I1910" i="3"/>
  <c r="H1910" i="3"/>
  <c r="G1910" i="3"/>
  <c r="L1909" i="3"/>
  <c r="K1909" i="3"/>
  <c r="J1909" i="3"/>
  <c r="I1909" i="3"/>
  <c r="H1909" i="3"/>
  <c r="G1909" i="3"/>
  <c r="L1908" i="3"/>
  <c r="K1908" i="3"/>
  <c r="J1908" i="3"/>
  <c r="I1908" i="3"/>
  <c r="H1908" i="3"/>
  <c r="G1908" i="3"/>
  <c r="L1907" i="3"/>
  <c r="K1907" i="3"/>
  <c r="J1907" i="3"/>
  <c r="I1907" i="3"/>
  <c r="H1907" i="3"/>
  <c r="G1907" i="3"/>
  <c r="O1906" i="3"/>
  <c r="L1906" i="3"/>
  <c r="K1906" i="3"/>
  <c r="J1906" i="3"/>
  <c r="I1906" i="3"/>
  <c r="H1906" i="3"/>
  <c r="G1906" i="3"/>
  <c r="L1905" i="3"/>
  <c r="K1905" i="3"/>
  <c r="J1905" i="3"/>
  <c r="I1905" i="3"/>
  <c r="H1905" i="3"/>
  <c r="G1905" i="3"/>
  <c r="L1904" i="3"/>
  <c r="K1904" i="3"/>
  <c r="J1904" i="3"/>
  <c r="I1904" i="3"/>
  <c r="H1904" i="3"/>
  <c r="G1904" i="3"/>
  <c r="L1903" i="3"/>
  <c r="K1903" i="3"/>
  <c r="J1903" i="3"/>
  <c r="I1903" i="3"/>
  <c r="H1903" i="3"/>
  <c r="G1903" i="3"/>
  <c r="L1902" i="3"/>
  <c r="K1902" i="3"/>
  <c r="J1902" i="3"/>
  <c r="I1902" i="3"/>
  <c r="H1902" i="3"/>
  <c r="G1902" i="3"/>
  <c r="L1901" i="3"/>
  <c r="K1901" i="3"/>
  <c r="J1901" i="3"/>
  <c r="I1901" i="3"/>
  <c r="H1901" i="3"/>
  <c r="G1901" i="3"/>
  <c r="L1900" i="3"/>
  <c r="K1900" i="3"/>
  <c r="J1900" i="3"/>
  <c r="I1900" i="3"/>
  <c r="H1900" i="3"/>
  <c r="G1900" i="3"/>
  <c r="L1899" i="3"/>
  <c r="K1899" i="3"/>
  <c r="J1899" i="3"/>
  <c r="I1899" i="3"/>
  <c r="H1899" i="3"/>
  <c r="G1899" i="3"/>
  <c r="L1898" i="3"/>
  <c r="K1898" i="3"/>
  <c r="J1898" i="3"/>
  <c r="I1898" i="3"/>
  <c r="H1898" i="3"/>
  <c r="G1898" i="3"/>
  <c r="L1897" i="3"/>
  <c r="K1897" i="3"/>
  <c r="J1897" i="3"/>
  <c r="I1897" i="3"/>
  <c r="H1897" i="3"/>
  <c r="G1897" i="3"/>
  <c r="L1896" i="3"/>
  <c r="K1896" i="3"/>
  <c r="J1896" i="3"/>
  <c r="I1896" i="3"/>
  <c r="H1896" i="3"/>
  <c r="G1896" i="3"/>
  <c r="L1895" i="3"/>
  <c r="K1895" i="3"/>
  <c r="J1895" i="3"/>
  <c r="I1895" i="3"/>
  <c r="H1895" i="3"/>
  <c r="G1895" i="3"/>
  <c r="L1894" i="3"/>
  <c r="K1894" i="3"/>
  <c r="J1894" i="3"/>
  <c r="I1894" i="3"/>
  <c r="H1894" i="3"/>
  <c r="G1894" i="3"/>
  <c r="L1893" i="3"/>
  <c r="K1893" i="3"/>
  <c r="J1893" i="3"/>
  <c r="I1893" i="3"/>
  <c r="H1893" i="3"/>
  <c r="G1893" i="3"/>
  <c r="L1892" i="3"/>
  <c r="K1892" i="3"/>
  <c r="J1892" i="3"/>
  <c r="I1892" i="3"/>
  <c r="H1892" i="3"/>
  <c r="G1892" i="3"/>
  <c r="L1891" i="3"/>
  <c r="K1891" i="3"/>
  <c r="J1891" i="3"/>
  <c r="I1891" i="3"/>
  <c r="H1891" i="3"/>
  <c r="G1891" i="3"/>
  <c r="L1890" i="3"/>
  <c r="K1890" i="3"/>
  <c r="J1890" i="3"/>
  <c r="I1890" i="3"/>
  <c r="H1890" i="3"/>
  <c r="G1890" i="3"/>
  <c r="L1889" i="3"/>
  <c r="K1889" i="3"/>
  <c r="J1889" i="3"/>
  <c r="I1889" i="3"/>
  <c r="H1889" i="3"/>
  <c r="G1889" i="3"/>
  <c r="L1888" i="3"/>
  <c r="K1888" i="3"/>
  <c r="J1888" i="3"/>
  <c r="I1888" i="3"/>
  <c r="H1888" i="3"/>
  <c r="G1888" i="3"/>
  <c r="L1887" i="3"/>
  <c r="K1887" i="3"/>
  <c r="J1887" i="3"/>
  <c r="I1887" i="3"/>
  <c r="H1887" i="3"/>
  <c r="G1887" i="3"/>
  <c r="L1886" i="3"/>
  <c r="K1886" i="3"/>
  <c r="J1886" i="3"/>
  <c r="I1886" i="3"/>
  <c r="H1886" i="3"/>
  <c r="G1886" i="3"/>
  <c r="L1885" i="3"/>
  <c r="K1885" i="3"/>
  <c r="J1885" i="3"/>
  <c r="I1885" i="3"/>
  <c r="H1885" i="3"/>
  <c r="G1885" i="3"/>
  <c r="L1884" i="3"/>
  <c r="K1884" i="3"/>
  <c r="J1884" i="3"/>
  <c r="I1884" i="3"/>
  <c r="H1884" i="3"/>
  <c r="G1884" i="3"/>
  <c r="L1883" i="3"/>
  <c r="K1883" i="3"/>
  <c r="J1883" i="3"/>
  <c r="I1883" i="3"/>
  <c r="H1883" i="3"/>
  <c r="G1883" i="3"/>
  <c r="L1882" i="3"/>
  <c r="K1882" i="3"/>
  <c r="J1882" i="3"/>
  <c r="I1882" i="3"/>
  <c r="H1882" i="3"/>
  <c r="G1882" i="3"/>
  <c r="L1881" i="3"/>
  <c r="K1881" i="3"/>
  <c r="J1881" i="3"/>
  <c r="I1881" i="3"/>
  <c r="H1881" i="3"/>
  <c r="G1881" i="3"/>
  <c r="L1880" i="3"/>
  <c r="K1880" i="3"/>
  <c r="J1880" i="3"/>
  <c r="I1880" i="3"/>
  <c r="H1880" i="3"/>
  <c r="G1880" i="3"/>
  <c r="L1879" i="3"/>
  <c r="K1879" i="3"/>
  <c r="J1879" i="3"/>
  <c r="I1879" i="3"/>
  <c r="H1879" i="3"/>
  <c r="G1879" i="3"/>
  <c r="L1878" i="3"/>
  <c r="K1878" i="3"/>
  <c r="J1878" i="3"/>
  <c r="I1878" i="3"/>
  <c r="H1878" i="3"/>
  <c r="G1878" i="3"/>
  <c r="L1877" i="3"/>
  <c r="K1877" i="3"/>
  <c r="J1877" i="3"/>
  <c r="I1877" i="3"/>
  <c r="H1877" i="3"/>
  <c r="G1877" i="3"/>
  <c r="L1876" i="3"/>
  <c r="K1876" i="3"/>
  <c r="J1876" i="3"/>
  <c r="I1876" i="3"/>
  <c r="H1876" i="3"/>
  <c r="G1876" i="3"/>
  <c r="L1875" i="3"/>
  <c r="K1875" i="3"/>
  <c r="J1875" i="3"/>
  <c r="I1875" i="3"/>
  <c r="H1875" i="3"/>
  <c r="G1875" i="3"/>
  <c r="L1874" i="3"/>
  <c r="K1874" i="3"/>
  <c r="J1874" i="3"/>
  <c r="I1874" i="3"/>
  <c r="H1874" i="3"/>
  <c r="G1874" i="3"/>
  <c r="L1873" i="3"/>
  <c r="K1873" i="3"/>
  <c r="J1873" i="3"/>
  <c r="I1873" i="3"/>
  <c r="H1873" i="3"/>
  <c r="G1873" i="3"/>
  <c r="O1872" i="3"/>
  <c r="L1872" i="3"/>
  <c r="K1872" i="3"/>
  <c r="J1872" i="3"/>
  <c r="I1872" i="3"/>
  <c r="H1872" i="3"/>
  <c r="G1872" i="3"/>
  <c r="L1871" i="3"/>
  <c r="K1871" i="3"/>
  <c r="J1871" i="3"/>
  <c r="I1871" i="3"/>
  <c r="H1871" i="3"/>
  <c r="G1871" i="3"/>
  <c r="L1870" i="3"/>
  <c r="K1870" i="3"/>
  <c r="J1870" i="3"/>
  <c r="I1870" i="3"/>
  <c r="H1870" i="3"/>
  <c r="G1870" i="3"/>
  <c r="L1869" i="3"/>
  <c r="K1869" i="3"/>
  <c r="J1869" i="3"/>
  <c r="I1869" i="3"/>
  <c r="H1869" i="3"/>
  <c r="G1869" i="3"/>
  <c r="L1868" i="3"/>
  <c r="K1868" i="3"/>
  <c r="J1868" i="3"/>
  <c r="I1868" i="3"/>
  <c r="H1868" i="3"/>
  <c r="G1868" i="3"/>
  <c r="L1867" i="3"/>
  <c r="K1867" i="3"/>
  <c r="J1867" i="3"/>
  <c r="I1867" i="3"/>
  <c r="H1867" i="3"/>
  <c r="G1867" i="3"/>
  <c r="L1866" i="3"/>
  <c r="K1866" i="3"/>
  <c r="J1866" i="3"/>
  <c r="I1866" i="3"/>
  <c r="H1866" i="3"/>
  <c r="G1866" i="3"/>
  <c r="L1865" i="3"/>
  <c r="K1865" i="3"/>
  <c r="J1865" i="3"/>
  <c r="I1865" i="3"/>
  <c r="H1865" i="3"/>
  <c r="G1865" i="3"/>
  <c r="L1864" i="3"/>
  <c r="K1864" i="3"/>
  <c r="J1864" i="3"/>
  <c r="I1864" i="3"/>
  <c r="H1864" i="3"/>
  <c r="G1864" i="3"/>
  <c r="L1863" i="3"/>
  <c r="K1863" i="3"/>
  <c r="J1863" i="3"/>
  <c r="I1863" i="3"/>
  <c r="H1863" i="3"/>
  <c r="G1863" i="3"/>
  <c r="L1862" i="3"/>
  <c r="K1862" i="3"/>
  <c r="J1862" i="3"/>
  <c r="I1862" i="3"/>
  <c r="H1862" i="3"/>
  <c r="G1862" i="3"/>
  <c r="L1861" i="3"/>
  <c r="K1861" i="3"/>
  <c r="J1861" i="3"/>
  <c r="I1861" i="3"/>
  <c r="H1861" i="3"/>
  <c r="G1861" i="3"/>
  <c r="L1860" i="3"/>
  <c r="K1860" i="3"/>
  <c r="J1860" i="3"/>
  <c r="I1860" i="3"/>
  <c r="H1860" i="3"/>
  <c r="G1860" i="3"/>
  <c r="L1859" i="3"/>
  <c r="K1859" i="3"/>
  <c r="J1859" i="3"/>
  <c r="I1859" i="3"/>
  <c r="H1859" i="3"/>
  <c r="G1859" i="3"/>
  <c r="L1858" i="3"/>
  <c r="K1858" i="3"/>
  <c r="J1858" i="3"/>
  <c r="I1858" i="3"/>
  <c r="H1858" i="3"/>
  <c r="G1858" i="3"/>
  <c r="L1857" i="3"/>
  <c r="K1857" i="3"/>
  <c r="J1857" i="3"/>
  <c r="I1857" i="3"/>
  <c r="H1857" i="3"/>
  <c r="G1857" i="3"/>
  <c r="L1856" i="3"/>
  <c r="K1856" i="3"/>
  <c r="J1856" i="3"/>
  <c r="I1856" i="3"/>
  <c r="H1856" i="3"/>
  <c r="G1856" i="3"/>
  <c r="L1855" i="3"/>
  <c r="K1855" i="3"/>
  <c r="J1855" i="3"/>
  <c r="I1855" i="3"/>
  <c r="H1855" i="3"/>
  <c r="G1855" i="3"/>
  <c r="L1854" i="3"/>
  <c r="K1854" i="3"/>
  <c r="J1854" i="3"/>
  <c r="I1854" i="3"/>
  <c r="H1854" i="3"/>
  <c r="G1854" i="3"/>
  <c r="L1853" i="3"/>
  <c r="K1853" i="3"/>
  <c r="J1853" i="3"/>
  <c r="I1853" i="3"/>
  <c r="H1853" i="3"/>
  <c r="G1853" i="3"/>
  <c r="L1852" i="3"/>
  <c r="K1852" i="3"/>
  <c r="J1852" i="3"/>
  <c r="I1852" i="3"/>
  <c r="H1852" i="3"/>
  <c r="G1852" i="3"/>
  <c r="L1851" i="3"/>
  <c r="K1851" i="3"/>
  <c r="J1851" i="3"/>
  <c r="I1851" i="3"/>
  <c r="H1851" i="3"/>
  <c r="G1851" i="3"/>
  <c r="L1850" i="3"/>
  <c r="K1850" i="3"/>
  <c r="J1850" i="3"/>
  <c r="I1850" i="3"/>
  <c r="H1850" i="3"/>
  <c r="G1850" i="3"/>
  <c r="L1849" i="3"/>
  <c r="K1849" i="3"/>
  <c r="J1849" i="3"/>
  <c r="I1849" i="3"/>
  <c r="H1849" i="3"/>
  <c r="G1849" i="3"/>
  <c r="L1848" i="3"/>
  <c r="K1848" i="3"/>
  <c r="J1848" i="3"/>
  <c r="I1848" i="3"/>
  <c r="H1848" i="3"/>
  <c r="G1848" i="3"/>
  <c r="L1847" i="3"/>
  <c r="K1847" i="3"/>
  <c r="J1847" i="3"/>
  <c r="I1847" i="3"/>
  <c r="H1847" i="3"/>
  <c r="G1847" i="3"/>
  <c r="L1846" i="3"/>
  <c r="K1846" i="3"/>
  <c r="J1846" i="3"/>
  <c r="I1846" i="3"/>
  <c r="H1846" i="3"/>
  <c r="G1846" i="3"/>
  <c r="L1845" i="3"/>
  <c r="K1845" i="3"/>
  <c r="J1845" i="3"/>
  <c r="I1845" i="3"/>
  <c r="H1845" i="3"/>
  <c r="G1845" i="3"/>
  <c r="L1844" i="3"/>
  <c r="K1844" i="3"/>
  <c r="J1844" i="3"/>
  <c r="I1844" i="3"/>
  <c r="H1844" i="3"/>
  <c r="G1844" i="3"/>
  <c r="L1843" i="3"/>
  <c r="K1843" i="3"/>
  <c r="J1843" i="3"/>
  <c r="I1843" i="3"/>
  <c r="H1843" i="3"/>
  <c r="G1843" i="3"/>
  <c r="L1842" i="3"/>
  <c r="K1842" i="3"/>
  <c r="J1842" i="3"/>
  <c r="I1842" i="3"/>
  <c r="H1842" i="3"/>
  <c r="G1842" i="3"/>
  <c r="L1841" i="3"/>
  <c r="K1841" i="3"/>
  <c r="J1841" i="3"/>
  <c r="I1841" i="3"/>
  <c r="H1841" i="3"/>
  <c r="G1841" i="3"/>
  <c r="L1840" i="3"/>
  <c r="K1840" i="3"/>
  <c r="J1840" i="3"/>
  <c r="I1840" i="3"/>
  <c r="H1840" i="3"/>
  <c r="G1840" i="3"/>
  <c r="L1839" i="3"/>
  <c r="K1839" i="3"/>
  <c r="J1839" i="3"/>
  <c r="I1839" i="3"/>
  <c r="H1839" i="3"/>
  <c r="G1839" i="3"/>
  <c r="O1838" i="3"/>
  <c r="L1838" i="3"/>
  <c r="K1838" i="3"/>
  <c r="J1838" i="3"/>
  <c r="I1838" i="3"/>
  <c r="H1838" i="3"/>
  <c r="G1838" i="3"/>
  <c r="L1837" i="3"/>
  <c r="K1837" i="3"/>
  <c r="J1837" i="3"/>
  <c r="I1837" i="3"/>
  <c r="H1837" i="3"/>
  <c r="G1837" i="3"/>
  <c r="L1836" i="3"/>
  <c r="K1836" i="3"/>
  <c r="J1836" i="3"/>
  <c r="I1836" i="3"/>
  <c r="H1836" i="3"/>
  <c r="G1836" i="3"/>
  <c r="L1835" i="3"/>
  <c r="K1835" i="3"/>
  <c r="J1835" i="3"/>
  <c r="I1835" i="3"/>
  <c r="H1835" i="3"/>
  <c r="G1835" i="3"/>
  <c r="L1834" i="3"/>
  <c r="K1834" i="3"/>
  <c r="J1834" i="3"/>
  <c r="I1834" i="3"/>
  <c r="H1834" i="3"/>
  <c r="G1834" i="3"/>
  <c r="L1833" i="3"/>
  <c r="K1833" i="3"/>
  <c r="J1833" i="3"/>
  <c r="I1833" i="3"/>
  <c r="H1833" i="3"/>
  <c r="G1833" i="3"/>
  <c r="L1832" i="3"/>
  <c r="K1832" i="3"/>
  <c r="J1832" i="3"/>
  <c r="I1832" i="3"/>
  <c r="H1832" i="3"/>
  <c r="G1832" i="3"/>
  <c r="L1831" i="3"/>
  <c r="K1831" i="3"/>
  <c r="J1831" i="3"/>
  <c r="I1831" i="3"/>
  <c r="H1831" i="3"/>
  <c r="G1831" i="3"/>
  <c r="L1830" i="3"/>
  <c r="K1830" i="3"/>
  <c r="J1830" i="3"/>
  <c r="I1830" i="3"/>
  <c r="H1830" i="3"/>
  <c r="G1830" i="3"/>
  <c r="L1829" i="3"/>
  <c r="K1829" i="3"/>
  <c r="J1829" i="3"/>
  <c r="I1829" i="3"/>
  <c r="H1829" i="3"/>
  <c r="G1829" i="3"/>
  <c r="L1828" i="3"/>
  <c r="K1828" i="3"/>
  <c r="J1828" i="3"/>
  <c r="I1828" i="3"/>
  <c r="H1828" i="3"/>
  <c r="G1828" i="3"/>
  <c r="L1827" i="3"/>
  <c r="K1827" i="3"/>
  <c r="J1827" i="3"/>
  <c r="I1827" i="3"/>
  <c r="H1827" i="3"/>
  <c r="G1827" i="3"/>
  <c r="L1826" i="3"/>
  <c r="K1826" i="3"/>
  <c r="J1826" i="3"/>
  <c r="I1826" i="3"/>
  <c r="H1826" i="3"/>
  <c r="G1826" i="3"/>
  <c r="L1825" i="3"/>
  <c r="K1825" i="3"/>
  <c r="J1825" i="3"/>
  <c r="I1825" i="3"/>
  <c r="H1825" i="3"/>
  <c r="G1825" i="3"/>
  <c r="L1824" i="3"/>
  <c r="K1824" i="3"/>
  <c r="J1824" i="3"/>
  <c r="I1824" i="3"/>
  <c r="H1824" i="3"/>
  <c r="G1824" i="3"/>
  <c r="L1823" i="3"/>
  <c r="K1823" i="3"/>
  <c r="J1823" i="3"/>
  <c r="I1823" i="3"/>
  <c r="H1823" i="3"/>
  <c r="G1823" i="3"/>
  <c r="L1822" i="3"/>
  <c r="K1822" i="3"/>
  <c r="J1822" i="3"/>
  <c r="I1822" i="3"/>
  <c r="H1822" i="3"/>
  <c r="G1822" i="3"/>
  <c r="L1821" i="3"/>
  <c r="K1821" i="3"/>
  <c r="J1821" i="3"/>
  <c r="I1821" i="3"/>
  <c r="H1821" i="3"/>
  <c r="G1821" i="3"/>
  <c r="L1820" i="3"/>
  <c r="K1820" i="3"/>
  <c r="J1820" i="3"/>
  <c r="I1820" i="3"/>
  <c r="H1820" i="3"/>
  <c r="G1820" i="3"/>
  <c r="L1819" i="3"/>
  <c r="K1819" i="3"/>
  <c r="J1819" i="3"/>
  <c r="I1819" i="3"/>
  <c r="H1819" i="3"/>
  <c r="G1819" i="3"/>
  <c r="L1818" i="3"/>
  <c r="K1818" i="3"/>
  <c r="J1818" i="3"/>
  <c r="I1818" i="3"/>
  <c r="H1818" i="3"/>
  <c r="G1818" i="3"/>
  <c r="L1817" i="3"/>
  <c r="K1817" i="3"/>
  <c r="J1817" i="3"/>
  <c r="I1817" i="3"/>
  <c r="H1817" i="3"/>
  <c r="G1817" i="3"/>
  <c r="L1816" i="3"/>
  <c r="K1816" i="3"/>
  <c r="J1816" i="3"/>
  <c r="I1816" i="3"/>
  <c r="H1816" i="3"/>
  <c r="G1816" i="3"/>
  <c r="L1815" i="3"/>
  <c r="K1815" i="3"/>
  <c r="J1815" i="3"/>
  <c r="I1815" i="3"/>
  <c r="H1815" i="3"/>
  <c r="G1815" i="3"/>
  <c r="L1814" i="3"/>
  <c r="K1814" i="3"/>
  <c r="J1814" i="3"/>
  <c r="I1814" i="3"/>
  <c r="H1814" i="3"/>
  <c r="G1814" i="3"/>
  <c r="L1813" i="3"/>
  <c r="K1813" i="3"/>
  <c r="J1813" i="3"/>
  <c r="I1813" i="3"/>
  <c r="H1813" i="3"/>
  <c r="G1813" i="3"/>
  <c r="L1812" i="3"/>
  <c r="K1812" i="3"/>
  <c r="J1812" i="3"/>
  <c r="I1812" i="3"/>
  <c r="H1812" i="3"/>
  <c r="G1812" i="3"/>
  <c r="L1811" i="3"/>
  <c r="K1811" i="3"/>
  <c r="J1811" i="3"/>
  <c r="I1811" i="3"/>
  <c r="H1811" i="3"/>
  <c r="G1811" i="3"/>
  <c r="L1810" i="3"/>
  <c r="K1810" i="3"/>
  <c r="J1810" i="3"/>
  <c r="I1810" i="3"/>
  <c r="H1810" i="3"/>
  <c r="G1810" i="3"/>
  <c r="L1809" i="3"/>
  <c r="K1809" i="3"/>
  <c r="J1809" i="3"/>
  <c r="I1809" i="3"/>
  <c r="H1809" i="3"/>
  <c r="G1809" i="3"/>
  <c r="L1808" i="3"/>
  <c r="K1808" i="3"/>
  <c r="J1808" i="3"/>
  <c r="I1808" i="3"/>
  <c r="H1808" i="3"/>
  <c r="G1808" i="3"/>
  <c r="L1807" i="3"/>
  <c r="K1807" i="3"/>
  <c r="J1807" i="3"/>
  <c r="I1807" i="3"/>
  <c r="H1807" i="3"/>
  <c r="G1807" i="3"/>
  <c r="L1806" i="3"/>
  <c r="K1806" i="3"/>
  <c r="J1806" i="3"/>
  <c r="I1806" i="3"/>
  <c r="H1806" i="3"/>
  <c r="G1806" i="3"/>
  <c r="L1805" i="3"/>
  <c r="K1805" i="3"/>
  <c r="J1805" i="3"/>
  <c r="I1805" i="3"/>
  <c r="H1805" i="3"/>
  <c r="G1805" i="3"/>
  <c r="O1804" i="3"/>
  <c r="L1804" i="3"/>
  <c r="K1804" i="3"/>
  <c r="J1804" i="3"/>
  <c r="I1804" i="3"/>
  <c r="H1804" i="3"/>
  <c r="G1804" i="3"/>
  <c r="L1803" i="3"/>
  <c r="K1803" i="3"/>
  <c r="J1803" i="3"/>
  <c r="I1803" i="3"/>
  <c r="H1803" i="3"/>
  <c r="G1803" i="3"/>
  <c r="L1802" i="3"/>
  <c r="K1802" i="3"/>
  <c r="J1802" i="3"/>
  <c r="I1802" i="3"/>
  <c r="H1802" i="3"/>
  <c r="G1802" i="3"/>
  <c r="L1801" i="3"/>
  <c r="K1801" i="3"/>
  <c r="J1801" i="3"/>
  <c r="I1801" i="3"/>
  <c r="H1801" i="3"/>
  <c r="G1801" i="3"/>
  <c r="L1800" i="3"/>
  <c r="K1800" i="3"/>
  <c r="J1800" i="3"/>
  <c r="I1800" i="3"/>
  <c r="H1800" i="3"/>
  <c r="G1800" i="3"/>
  <c r="L1799" i="3"/>
  <c r="K1799" i="3"/>
  <c r="J1799" i="3"/>
  <c r="I1799" i="3"/>
  <c r="H1799" i="3"/>
  <c r="G1799" i="3"/>
  <c r="L1798" i="3"/>
  <c r="K1798" i="3"/>
  <c r="J1798" i="3"/>
  <c r="I1798" i="3"/>
  <c r="H1798" i="3"/>
  <c r="G1798" i="3"/>
  <c r="L1797" i="3"/>
  <c r="K1797" i="3"/>
  <c r="J1797" i="3"/>
  <c r="I1797" i="3"/>
  <c r="H1797" i="3"/>
  <c r="G1797" i="3"/>
  <c r="L1796" i="3"/>
  <c r="K1796" i="3"/>
  <c r="J1796" i="3"/>
  <c r="I1796" i="3"/>
  <c r="H1796" i="3"/>
  <c r="G1796" i="3"/>
  <c r="L1795" i="3"/>
  <c r="K1795" i="3"/>
  <c r="J1795" i="3"/>
  <c r="I1795" i="3"/>
  <c r="H1795" i="3"/>
  <c r="G1795" i="3"/>
  <c r="L1794" i="3"/>
  <c r="K1794" i="3"/>
  <c r="J1794" i="3"/>
  <c r="I1794" i="3"/>
  <c r="H1794" i="3"/>
  <c r="G1794" i="3"/>
  <c r="L1793" i="3"/>
  <c r="K1793" i="3"/>
  <c r="J1793" i="3"/>
  <c r="I1793" i="3"/>
  <c r="H1793" i="3"/>
  <c r="G1793" i="3"/>
  <c r="L1792" i="3"/>
  <c r="K1792" i="3"/>
  <c r="J1792" i="3"/>
  <c r="I1792" i="3"/>
  <c r="H1792" i="3"/>
  <c r="G1792" i="3"/>
  <c r="L1791" i="3"/>
  <c r="K1791" i="3"/>
  <c r="J1791" i="3"/>
  <c r="I1791" i="3"/>
  <c r="H1791" i="3"/>
  <c r="G1791" i="3"/>
  <c r="L1790" i="3"/>
  <c r="K1790" i="3"/>
  <c r="J1790" i="3"/>
  <c r="I1790" i="3"/>
  <c r="H1790" i="3"/>
  <c r="G1790" i="3"/>
  <c r="L1789" i="3"/>
  <c r="K1789" i="3"/>
  <c r="J1789" i="3"/>
  <c r="I1789" i="3"/>
  <c r="H1789" i="3"/>
  <c r="G1789" i="3"/>
  <c r="L1788" i="3"/>
  <c r="K1788" i="3"/>
  <c r="J1788" i="3"/>
  <c r="I1788" i="3"/>
  <c r="H1788" i="3"/>
  <c r="G1788" i="3"/>
  <c r="L1787" i="3"/>
  <c r="K1787" i="3"/>
  <c r="J1787" i="3"/>
  <c r="I1787" i="3"/>
  <c r="H1787" i="3"/>
  <c r="G1787" i="3"/>
  <c r="L1786" i="3"/>
  <c r="K1786" i="3"/>
  <c r="J1786" i="3"/>
  <c r="I1786" i="3"/>
  <c r="H1786" i="3"/>
  <c r="G1786" i="3"/>
  <c r="L1785" i="3"/>
  <c r="K1785" i="3"/>
  <c r="J1785" i="3"/>
  <c r="I1785" i="3"/>
  <c r="H1785" i="3"/>
  <c r="G1785" i="3"/>
  <c r="L1784" i="3"/>
  <c r="K1784" i="3"/>
  <c r="J1784" i="3"/>
  <c r="I1784" i="3"/>
  <c r="H1784" i="3"/>
  <c r="G1784" i="3"/>
  <c r="L1783" i="3"/>
  <c r="K1783" i="3"/>
  <c r="J1783" i="3"/>
  <c r="I1783" i="3"/>
  <c r="H1783" i="3"/>
  <c r="G1783" i="3"/>
  <c r="L1782" i="3"/>
  <c r="K1782" i="3"/>
  <c r="J1782" i="3"/>
  <c r="I1782" i="3"/>
  <c r="H1782" i="3"/>
  <c r="G1782" i="3"/>
  <c r="L1781" i="3"/>
  <c r="K1781" i="3"/>
  <c r="J1781" i="3"/>
  <c r="I1781" i="3"/>
  <c r="H1781" i="3"/>
  <c r="G1781" i="3"/>
  <c r="L1780" i="3"/>
  <c r="K1780" i="3"/>
  <c r="J1780" i="3"/>
  <c r="I1780" i="3"/>
  <c r="H1780" i="3"/>
  <c r="G1780" i="3"/>
  <c r="L1779" i="3"/>
  <c r="K1779" i="3"/>
  <c r="J1779" i="3"/>
  <c r="I1779" i="3"/>
  <c r="H1779" i="3"/>
  <c r="G1779" i="3"/>
  <c r="L1778" i="3"/>
  <c r="K1778" i="3"/>
  <c r="J1778" i="3"/>
  <c r="I1778" i="3"/>
  <c r="H1778" i="3"/>
  <c r="G1778" i="3"/>
  <c r="L1777" i="3"/>
  <c r="K1777" i="3"/>
  <c r="J1777" i="3"/>
  <c r="I1777" i="3"/>
  <c r="H1777" i="3"/>
  <c r="G1777" i="3"/>
  <c r="L1776" i="3"/>
  <c r="K1776" i="3"/>
  <c r="J1776" i="3"/>
  <c r="I1776" i="3"/>
  <c r="H1776" i="3"/>
  <c r="G1776" i="3"/>
  <c r="L1775" i="3"/>
  <c r="K1775" i="3"/>
  <c r="J1775" i="3"/>
  <c r="I1775" i="3"/>
  <c r="H1775" i="3"/>
  <c r="G1775" i="3"/>
  <c r="L1774" i="3"/>
  <c r="K1774" i="3"/>
  <c r="J1774" i="3"/>
  <c r="I1774" i="3"/>
  <c r="H1774" i="3"/>
  <c r="G1774" i="3"/>
  <c r="L1773" i="3"/>
  <c r="K1773" i="3"/>
  <c r="J1773" i="3"/>
  <c r="I1773" i="3"/>
  <c r="H1773" i="3"/>
  <c r="G1773" i="3"/>
  <c r="L1772" i="3"/>
  <c r="K1772" i="3"/>
  <c r="J1772" i="3"/>
  <c r="I1772" i="3"/>
  <c r="H1772" i="3"/>
  <c r="G1772" i="3"/>
  <c r="L1771" i="3"/>
  <c r="K1771" i="3"/>
  <c r="J1771" i="3"/>
  <c r="I1771" i="3"/>
  <c r="H1771" i="3"/>
  <c r="G1771" i="3"/>
  <c r="O1770" i="3"/>
  <c r="L1770" i="3"/>
  <c r="K1770" i="3"/>
  <c r="J1770" i="3"/>
  <c r="I1770" i="3"/>
  <c r="H1770" i="3"/>
  <c r="G1770" i="3"/>
  <c r="L1769" i="3"/>
  <c r="K1769" i="3"/>
  <c r="J1769" i="3"/>
  <c r="I1769" i="3"/>
  <c r="H1769" i="3"/>
  <c r="G1769" i="3"/>
  <c r="L1768" i="3"/>
  <c r="K1768" i="3"/>
  <c r="J1768" i="3"/>
  <c r="I1768" i="3"/>
  <c r="H1768" i="3"/>
  <c r="G1768" i="3"/>
  <c r="L1767" i="3"/>
  <c r="K1767" i="3"/>
  <c r="J1767" i="3"/>
  <c r="I1767" i="3"/>
  <c r="H1767" i="3"/>
  <c r="G1767" i="3"/>
  <c r="L1766" i="3"/>
  <c r="K1766" i="3"/>
  <c r="J1766" i="3"/>
  <c r="I1766" i="3"/>
  <c r="H1766" i="3"/>
  <c r="G1766" i="3"/>
  <c r="L1765" i="3"/>
  <c r="K1765" i="3"/>
  <c r="J1765" i="3"/>
  <c r="I1765" i="3"/>
  <c r="H1765" i="3"/>
  <c r="G1765" i="3"/>
  <c r="L1764" i="3"/>
  <c r="K1764" i="3"/>
  <c r="J1764" i="3"/>
  <c r="I1764" i="3"/>
  <c r="H1764" i="3"/>
  <c r="G1764" i="3"/>
  <c r="L1763" i="3"/>
  <c r="K1763" i="3"/>
  <c r="J1763" i="3"/>
  <c r="I1763" i="3"/>
  <c r="H1763" i="3"/>
  <c r="G1763" i="3"/>
  <c r="L1762" i="3"/>
  <c r="K1762" i="3"/>
  <c r="J1762" i="3"/>
  <c r="I1762" i="3"/>
  <c r="H1762" i="3"/>
  <c r="G1762" i="3"/>
  <c r="L1761" i="3"/>
  <c r="K1761" i="3"/>
  <c r="J1761" i="3"/>
  <c r="I1761" i="3"/>
  <c r="H1761" i="3"/>
  <c r="G1761" i="3"/>
  <c r="L1760" i="3"/>
  <c r="K1760" i="3"/>
  <c r="J1760" i="3"/>
  <c r="I1760" i="3"/>
  <c r="H1760" i="3"/>
  <c r="G1760" i="3"/>
  <c r="L1759" i="3"/>
  <c r="K1759" i="3"/>
  <c r="J1759" i="3"/>
  <c r="I1759" i="3"/>
  <c r="H1759" i="3"/>
  <c r="G1759" i="3"/>
  <c r="L1758" i="3"/>
  <c r="K1758" i="3"/>
  <c r="J1758" i="3"/>
  <c r="I1758" i="3"/>
  <c r="H1758" i="3"/>
  <c r="G1758" i="3"/>
  <c r="L1757" i="3"/>
  <c r="K1757" i="3"/>
  <c r="J1757" i="3"/>
  <c r="I1757" i="3"/>
  <c r="H1757" i="3"/>
  <c r="G1757" i="3"/>
  <c r="L1756" i="3"/>
  <c r="K1756" i="3"/>
  <c r="J1756" i="3"/>
  <c r="I1756" i="3"/>
  <c r="H1756" i="3"/>
  <c r="G1756" i="3"/>
  <c r="L1755" i="3"/>
  <c r="K1755" i="3"/>
  <c r="J1755" i="3"/>
  <c r="I1755" i="3"/>
  <c r="H1755" i="3"/>
  <c r="G1755" i="3"/>
  <c r="L1754" i="3"/>
  <c r="K1754" i="3"/>
  <c r="J1754" i="3"/>
  <c r="I1754" i="3"/>
  <c r="H1754" i="3"/>
  <c r="G1754" i="3"/>
  <c r="L1753" i="3"/>
  <c r="K1753" i="3"/>
  <c r="J1753" i="3"/>
  <c r="I1753" i="3"/>
  <c r="H1753" i="3"/>
  <c r="G1753" i="3"/>
  <c r="L1752" i="3"/>
  <c r="K1752" i="3"/>
  <c r="J1752" i="3"/>
  <c r="I1752" i="3"/>
  <c r="H1752" i="3"/>
  <c r="G1752" i="3"/>
  <c r="L1751" i="3"/>
  <c r="K1751" i="3"/>
  <c r="J1751" i="3"/>
  <c r="I1751" i="3"/>
  <c r="H1751" i="3"/>
  <c r="G1751" i="3"/>
  <c r="L1750" i="3"/>
  <c r="K1750" i="3"/>
  <c r="J1750" i="3"/>
  <c r="I1750" i="3"/>
  <c r="H1750" i="3"/>
  <c r="G1750" i="3"/>
  <c r="L1749" i="3"/>
  <c r="K1749" i="3"/>
  <c r="J1749" i="3"/>
  <c r="I1749" i="3"/>
  <c r="H1749" i="3"/>
  <c r="G1749" i="3"/>
  <c r="L1748" i="3"/>
  <c r="K1748" i="3"/>
  <c r="J1748" i="3"/>
  <c r="I1748" i="3"/>
  <c r="H1748" i="3"/>
  <c r="G1748" i="3"/>
  <c r="L1747" i="3"/>
  <c r="K1747" i="3"/>
  <c r="J1747" i="3"/>
  <c r="I1747" i="3"/>
  <c r="H1747" i="3"/>
  <c r="G1747" i="3"/>
  <c r="L1746" i="3"/>
  <c r="K1746" i="3"/>
  <c r="J1746" i="3"/>
  <c r="I1746" i="3"/>
  <c r="H1746" i="3"/>
  <c r="G1746" i="3"/>
  <c r="L1745" i="3"/>
  <c r="K1745" i="3"/>
  <c r="J1745" i="3"/>
  <c r="I1745" i="3"/>
  <c r="H1745" i="3"/>
  <c r="G1745" i="3"/>
  <c r="L1744" i="3"/>
  <c r="K1744" i="3"/>
  <c r="J1744" i="3"/>
  <c r="I1744" i="3"/>
  <c r="H1744" i="3"/>
  <c r="G1744" i="3"/>
  <c r="L1743" i="3"/>
  <c r="K1743" i="3"/>
  <c r="J1743" i="3"/>
  <c r="I1743" i="3"/>
  <c r="H1743" i="3"/>
  <c r="G1743" i="3"/>
  <c r="L1742" i="3"/>
  <c r="K1742" i="3"/>
  <c r="J1742" i="3"/>
  <c r="I1742" i="3"/>
  <c r="H1742" i="3"/>
  <c r="G1742" i="3"/>
  <c r="L1741" i="3"/>
  <c r="K1741" i="3"/>
  <c r="J1741" i="3"/>
  <c r="I1741" i="3"/>
  <c r="H1741" i="3"/>
  <c r="G1741" i="3"/>
  <c r="L1740" i="3"/>
  <c r="K1740" i="3"/>
  <c r="J1740" i="3"/>
  <c r="I1740" i="3"/>
  <c r="H1740" i="3"/>
  <c r="G1740" i="3"/>
  <c r="L1739" i="3"/>
  <c r="K1739" i="3"/>
  <c r="J1739" i="3"/>
  <c r="I1739" i="3"/>
  <c r="H1739" i="3"/>
  <c r="G1739" i="3"/>
  <c r="L1738" i="3"/>
  <c r="K1738" i="3"/>
  <c r="J1738" i="3"/>
  <c r="I1738" i="3"/>
  <c r="H1738" i="3"/>
  <c r="G1738" i="3"/>
  <c r="L1737" i="3"/>
  <c r="K1737" i="3"/>
  <c r="J1737" i="3"/>
  <c r="I1737" i="3"/>
  <c r="H1737" i="3"/>
  <c r="G1737" i="3"/>
  <c r="O1736" i="3"/>
  <c r="L1736" i="3"/>
  <c r="K1736" i="3"/>
  <c r="J1736" i="3"/>
  <c r="I1736" i="3"/>
  <c r="H1736" i="3"/>
  <c r="G1736" i="3"/>
  <c r="L1735" i="3"/>
  <c r="K1735" i="3"/>
  <c r="J1735" i="3"/>
  <c r="I1735" i="3"/>
  <c r="H1735" i="3"/>
  <c r="G1735" i="3"/>
  <c r="L1734" i="3"/>
  <c r="K1734" i="3"/>
  <c r="J1734" i="3"/>
  <c r="I1734" i="3"/>
  <c r="H1734" i="3"/>
  <c r="G1734" i="3"/>
  <c r="L1733" i="3"/>
  <c r="K1733" i="3"/>
  <c r="J1733" i="3"/>
  <c r="I1733" i="3"/>
  <c r="H1733" i="3"/>
  <c r="G1733" i="3"/>
  <c r="L1732" i="3"/>
  <c r="K1732" i="3"/>
  <c r="J1732" i="3"/>
  <c r="I1732" i="3"/>
  <c r="H1732" i="3"/>
  <c r="G1732" i="3"/>
  <c r="L1731" i="3"/>
  <c r="K1731" i="3"/>
  <c r="J1731" i="3"/>
  <c r="I1731" i="3"/>
  <c r="H1731" i="3"/>
  <c r="G1731" i="3"/>
  <c r="L1730" i="3"/>
  <c r="K1730" i="3"/>
  <c r="J1730" i="3"/>
  <c r="I1730" i="3"/>
  <c r="H1730" i="3"/>
  <c r="G1730" i="3"/>
  <c r="L1729" i="3"/>
  <c r="K1729" i="3"/>
  <c r="J1729" i="3"/>
  <c r="I1729" i="3"/>
  <c r="H1729" i="3"/>
  <c r="G1729" i="3"/>
  <c r="L1728" i="3"/>
  <c r="K1728" i="3"/>
  <c r="J1728" i="3"/>
  <c r="I1728" i="3"/>
  <c r="H1728" i="3"/>
  <c r="G1728" i="3"/>
  <c r="L1727" i="3"/>
  <c r="K1727" i="3"/>
  <c r="J1727" i="3"/>
  <c r="I1727" i="3"/>
  <c r="H1727" i="3"/>
  <c r="G1727" i="3"/>
  <c r="L1726" i="3"/>
  <c r="K1726" i="3"/>
  <c r="J1726" i="3"/>
  <c r="I1726" i="3"/>
  <c r="H1726" i="3"/>
  <c r="G1726" i="3"/>
  <c r="L1725" i="3"/>
  <c r="K1725" i="3"/>
  <c r="J1725" i="3"/>
  <c r="I1725" i="3"/>
  <c r="H1725" i="3"/>
  <c r="G1725" i="3"/>
  <c r="L1724" i="3"/>
  <c r="K1724" i="3"/>
  <c r="J1724" i="3"/>
  <c r="I1724" i="3"/>
  <c r="H1724" i="3"/>
  <c r="G1724" i="3"/>
  <c r="L1723" i="3"/>
  <c r="K1723" i="3"/>
  <c r="J1723" i="3"/>
  <c r="I1723" i="3"/>
  <c r="H1723" i="3"/>
  <c r="G1723" i="3"/>
  <c r="L1722" i="3"/>
  <c r="K1722" i="3"/>
  <c r="J1722" i="3"/>
  <c r="I1722" i="3"/>
  <c r="H1722" i="3"/>
  <c r="G1722" i="3"/>
  <c r="L1721" i="3"/>
  <c r="K1721" i="3"/>
  <c r="J1721" i="3"/>
  <c r="I1721" i="3"/>
  <c r="H1721" i="3"/>
  <c r="G1721" i="3"/>
  <c r="L1720" i="3"/>
  <c r="K1720" i="3"/>
  <c r="J1720" i="3"/>
  <c r="I1720" i="3"/>
  <c r="H1720" i="3"/>
  <c r="G1720" i="3"/>
  <c r="L1719" i="3"/>
  <c r="K1719" i="3"/>
  <c r="J1719" i="3"/>
  <c r="I1719" i="3"/>
  <c r="H1719" i="3"/>
  <c r="G1719" i="3"/>
  <c r="L1718" i="3"/>
  <c r="K1718" i="3"/>
  <c r="J1718" i="3"/>
  <c r="I1718" i="3"/>
  <c r="H1718" i="3"/>
  <c r="G1718" i="3"/>
  <c r="L1717" i="3"/>
  <c r="K1717" i="3"/>
  <c r="J1717" i="3"/>
  <c r="I1717" i="3"/>
  <c r="H1717" i="3"/>
  <c r="G1717" i="3"/>
  <c r="L1716" i="3"/>
  <c r="K1716" i="3"/>
  <c r="J1716" i="3"/>
  <c r="I1716" i="3"/>
  <c r="H1716" i="3"/>
  <c r="G1716" i="3"/>
  <c r="L1715" i="3"/>
  <c r="K1715" i="3"/>
  <c r="J1715" i="3"/>
  <c r="I1715" i="3"/>
  <c r="H1715" i="3"/>
  <c r="G1715" i="3"/>
  <c r="L1714" i="3"/>
  <c r="K1714" i="3"/>
  <c r="J1714" i="3"/>
  <c r="I1714" i="3"/>
  <c r="H1714" i="3"/>
  <c r="G1714" i="3"/>
  <c r="L1713" i="3"/>
  <c r="K1713" i="3"/>
  <c r="J1713" i="3"/>
  <c r="I1713" i="3"/>
  <c r="H1713" i="3"/>
  <c r="G1713" i="3"/>
  <c r="L1712" i="3"/>
  <c r="K1712" i="3"/>
  <c r="J1712" i="3"/>
  <c r="I1712" i="3"/>
  <c r="H1712" i="3"/>
  <c r="G1712" i="3"/>
  <c r="L1711" i="3"/>
  <c r="K1711" i="3"/>
  <c r="J1711" i="3"/>
  <c r="I1711" i="3"/>
  <c r="H1711" i="3"/>
  <c r="G1711" i="3"/>
  <c r="L1710" i="3"/>
  <c r="K1710" i="3"/>
  <c r="J1710" i="3"/>
  <c r="I1710" i="3"/>
  <c r="H1710" i="3"/>
  <c r="G1710" i="3"/>
  <c r="L1709" i="3"/>
  <c r="K1709" i="3"/>
  <c r="J1709" i="3"/>
  <c r="I1709" i="3"/>
  <c r="H1709" i="3"/>
  <c r="G1709" i="3"/>
  <c r="L1708" i="3"/>
  <c r="K1708" i="3"/>
  <c r="J1708" i="3"/>
  <c r="I1708" i="3"/>
  <c r="H1708" i="3"/>
  <c r="G1708" i="3"/>
  <c r="L1707" i="3"/>
  <c r="K1707" i="3"/>
  <c r="J1707" i="3"/>
  <c r="I1707" i="3"/>
  <c r="H1707" i="3"/>
  <c r="G1707" i="3"/>
  <c r="L1706" i="3"/>
  <c r="K1706" i="3"/>
  <c r="J1706" i="3"/>
  <c r="I1706" i="3"/>
  <c r="H1706" i="3"/>
  <c r="G1706" i="3"/>
  <c r="L1705" i="3"/>
  <c r="K1705" i="3"/>
  <c r="J1705" i="3"/>
  <c r="I1705" i="3"/>
  <c r="H1705" i="3"/>
  <c r="G1705" i="3"/>
  <c r="L1704" i="3"/>
  <c r="K1704" i="3"/>
  <c r="J1704" i="3"/>
  <c r="I1704" i="3"/>
  <c r="H1704" i="3"/>
  <c r="G1704" i="3"/>
  <c r="L1703" i="3"/>
  <c r="K1703" i="3"/>
  <c r="J1703" i="3"/>
  <c r="I1703" i="3"/>
  <c r="H1703" i="3"/>
  <c r="G1703" i="3"/>
  <c r="O1702" i="3"/>
  <c r="L1702" i="3"/>
  <c r="K1702" i="3"/>
  <c r="J1702" i="3"/>
  <c r="I1702" i="3"/>
  <c r="H1702" i="3"/>
  <c r="G1702" i="3"/>
  <c r="L1701" i="3"/>
  <c r="K1701" i="3"/>
  <c r="J1701" i="3"/>
  <c r="I1701" i="3"/>
  <c r="H1701" i="3"/>
  <c r="G1701" i="3"/>
  <c r="L1700" i="3"/>
  <c r="K1700" i="3"/>
  <c r="J1700" i="3"/>
  <c r="I1700" i="3"/>
  <c r="H1700" i="3"/>
  <c r="G1700" i="3"/>
  <c r="L1699" i="3"/>
  <c r="K1699" i="3"/>
  <c r="J1699" i="3"/>
  <c r="I1699" i="3"/>
  <c r="H1699" i="3"/>
  <c r="G1699" i="3"/>
  <c r="L1698" i="3"/>
  <c r="K1698" i="3"/>
  <c r="J1698" i="3"/>
  <c r="I1698" i="3"/>
  <c r="H1698" i="3"/>
  <c r="G1698" i="3"/>
  <c r="L1697" i="3"/>
  <c r="K1697" i="3"/>
  <c r="J1697" i="3"/>
  <c r="I1697" i="3"/>
  <c r="H1697" i="3"/>
  <c r="G1697" i="3"/>
  <c r="L1696" i="3"/>
  <c r="K1696" i="3"/>
  <c r="J1696" i="3"/>
  <c r="I1696" i="3"/>
  <c r="H1696" i="3"/>
  <c r="G1696" i="3"/>
  <c r="L1695" i="3"/>
  <c r="K1695" i="3"/>
  <c r="J1695" i="3"/>
  <c r="I1695" i="3"/>
  <c r="H1695" i="3"/>
  <c r="G1695" i="3"/>
  <c r="L1694" i="3"/>
  <c r="K1694" i="3"/>
  <c r="J1694" i="3"/>
  <c r="I1694" i="3"/>
  <c r="H1694" i="3"/>
  <c r="G1694" i="3"/>
  <c r="L1693" i="3"/>
  <c r="K1693" i="3"/>
  <c r="J1693" i="3"/>
  <c r="I1693" i="3"/>
  <c r="H1693" i="3"/>
  <c r="G1693" i="3"/>
  <c r="L1692" i="3"/>
  <c r="K1692" i="3"/>
  <c r="J1692" i="3"/>
  <c r="I1692" i="3"/>
  <c r="H1692" i="3"/>
  <c r="G1692" i="3"/>
  <c r="L1691" i="3"/>
  <c r="K1691" i="3"/>
  <c r="J1691" i="3"/>
  <c r="I1691" i="3"/>
  <c r="H1691" i="3"/>
  <c r="G1691" i="3"/>
  <c r="L1690" i="3"/>
  <c r="K1690" i="3"/>
  <c r="J1690" i="3"/>
  <c r="I1690" i="3"/>
  <c r="H1690" i="3"/>
  <c r="G1690" i="3"/>
  <c r="L1689" i="3"/>
  <c r="K1689" i="3"/>
  <c r="J1689" i="3"/>
  <c r="I1689" i="3"/>
  <c r="H1689" i="3"/>
  <c r="G1689" i="3"/>
  <c r="L1688" i="3"/>
  <c r="K1688" i="3"/>
  <c r="J1688" i="3"/>
  <c r="I1688" i="3"/>
  <c r="H1688" i="3"/>
  <c r="G1688" i="3"/>
  <c r="L1687" i="3"/>
  <c r="K1687" i="3"/>
  <c r="J1687" i="3"/>
  <c r="I1687" i="3"/>
  <c r="H1687" i="3"/>
  <c r="G1687" i="3"/>
  <c r="L1686" i="3"/>
  <c r="K1686" i="3"/>
  <c r="J1686" i="3"/>
  <c r="I1686" i="3"/>
  <c r="H1686" i="3"/>
  <c r="G1686" i="3"/>
  <c r="L1685" i="3"/>
  <c r="K1685" i="3"/>
  <c r="J1685" i="3"/>
  <c r="I1685" i="3"/>
  <c r="H1685" i="3"/>
  <c r="G1685" i="3"/>
  <c r="L1684" i="3"/>
  <c r="K1684" i="3"/>
  <c r="J1684" i="3"/>
  <c r="I1684" i="3"/>
  <c r="H1684" i="3"/>
  <c r="G1684" i="3"/>
  <c r="L1683" i="3"/>
  <c r="K1683" i="3"/>
  <c r="J1683" i="3"/>
  <c r="I1683" i="3"/>
  <c r="H1683" i="3"/>
  <c r="G1683" i="3"/>
  <c r="L1682" i="3"/>
  <c r="K1682" i="3"/>
  <c r="J1682" i="3"/>
  <c r="I1682" i="3"/>
  <c r="H1682" i="3"/>
  <c r="G1682" i="3"/>
  <c r="L1681" i="3"/>
  <c r="K1681" i="3"/>
  <c r="J1681" i="3"/>
  <c r="I1681" i="3"/>
  <c r="H1681" i="3"/>
  <c r="G1681" i="3"/>
  <c r="L1680" i="3"/>
  <c r="K1680" i="3"/>
  <c r="J1680" i="3"/>
  <c r="I1680" i="3"/>
  <c r="H1680" i="3"/>
  <c r="G1680" i="3"/>
  <c r="L1679" i="3"/>
  <c r="K1679" i="3"/>
  <c r="J1679" i="3"/>
  <c r="I1679" i="3"/>
  <c r="H1679" i="3"/>
  <c r="G1679" i="3"/>
  <c r="L1678" i="3"/>
  <c r="K1678" i="3"/>
  <c r="J1678" i="3"/>
  <c r="I1678" i="3"/>
  <c r="H1678" i="3"/>
  <c r="G1678" i="3"/>
  <c r="L1677" i="3"/>
  <c r="K1677" i="3"/>
  <c r="J1677" i="3"/>
  <c r="I1677" i="3"/>
  <c r="H1677" i="3"/>
  <c r="G1677" i="3"/>
  <c r="L1676" i="3"/>
  <c r="K1676" i="3"/>
  <c r="J1676" i="3"/>
  <c r="I1676" i="3"/>
  <c r="H1676" i="3"/>
  <c r="G1676" i="3"/>
  <c r="L1675" i="3"/>
  <c r="K1675" i="3"/>
  <c r="J1675" i="3"/>
  <c r="I1675" i="3"/>
  <c r="H1675" i="3"/>
  <c r="G1675" i="3"/>
  <c r="L1674" i="3"/>
  <c r="K1674" i="3"/>
  <c r="J1674" i="3"/>
  <c r="I1674" i="3"/>
  <c r="H1674" i="3"/>
  <c r="G1674" i="3"/>
  <c r="L1673" i="3"/>
  <c r="K1673" i="3"/>
  <c r="J1673" i="3"/>
  <c r="I1673" i="3"/>
  <c r="H1673" i="3"/>
  <c r="G1673" i="3"/>
  <c r="L1672" i="3"/>
  <c r="K1672" i="3"/>
  <c r="J1672" i="3"/>
  <c r="I1672" i="3"/>
  <c r="H1672" i="3"/>
  <c r="G1672" i="3"/>
  <c r="L1671" i="3"/>
  <c r="K1671" i="3"/>
  <c r="J1671" i="3"/>
  <c r="I1671" i="3"/>
  <c r="H1671" i="3"/>
  <c r="G1671" i="3"/>
  <c r="L1670" i="3"/>
  <c r="K1670" i="3"/>
  <c r="J1670" i="3"/>
  <c r="I1670" i="3"/>
  <c r="H1670" i="3"/>
  <c r="G1670" i="3"/>
  <c r="L1669" i="3"/>
  <c r="K1669" i="3"/>
  <c r="J1669" i="3"/>
  <c r="I1669" i="3"/>
  <c r="H1669" i="3"/>
  <c r="G1669" i="3"/>
  <c r="O1668" i="3"/>
  <c r="L1668" i="3"/>
  <c r="K1668" i="3"/>
  <c r="J1668" i="3"/>
  <c r="I1668" i="3"/>
  <c r="H1668" i="3"/>
  <c r="G1668" i="3"/>
  <c r="L1667" i="3"/>
  <c r="K1667" i="3"/>
  <c r="J1667" i="3"/>
  <c r="I1667" i="3"/>
  <c r="H1667" i="3"/>
  <c r="G1667" i="3"/>
  <c r="L1666" i="3"/>
  <c r="K1666" i="3"/>
  <c r="J1666" i="3"/>
  <c r="I1666" i="3"/>
  <c r="H1666" i="3"/>
  <c r="G1666" i="3"/>
  <c r="L1665" i="3"/>
  <c r="K1665" i="3"/>
  <c r="J1665" i="3"/>
  <c r="I1665" i="3"/>
  <c r="H1665" i="3"/>
  <c r="G1665" i="3"/>
  <c r="L1664" i="3"/>
  <c r="K1664" i="3"/>
  <c r="J1664" i="3"/>
  <c r="I1664" i="3"/>
  <c r="H1664" i="3"/>
  <c r="G1664" i="3"/>
  <c r="L1663" i="3"/>
  <c r="K1663" i="3"/>
  <c r="J1663" i="3"/>
  <c r="I1663" i="3"/>
  <c r="H1663" i="3"/>
  <c r="G1663" i="3"/>
  <c r="L1662" i="3"/>
  <c r="K1662" i="3"/>
  <c r="J1662" i="3"/>
  <c r="I1662" i="3"/>
  <c r="H1662" i="3"/>
  <c r="G1662" i="3"/>
  <c r="L1661" i="3"/>
  <c r="K1661" i="3"/>
  <c r="J1661" i="3"/>
  <c r="I1661" i="3"/>
  <c r="H1661" i="3"/>
  <c r="G1661" i="3"/>
  <c r="L1660" i="3"/>
  <c r="K1660" i="3"/>
  <c r="J1660" i="3"/>
  <c r="I1660" i="3"/>
  <c r="H1660" i="3"/>
  <c r="G1660" i="3"/>
  <c r="L1659" i="3"/>
  <c r="K1659" i="3"/>
  <c r="J1659" i="3"/>
  <c r="I1659" i="3"/>
  <c r="H1659" i="3"/>
  <c r="G1659" i="3"/>
  <c r="L1658" i="3"/>
  <c r="K1658" i="3"/>
  <c r="J1658" i="3"/>
  <c r="I1658" i="3"/>
  <c r="H1658" i="3"/>
  <c r="G1658" i="3"/>
  <c r="L1657" i="3"/>
  <c r="K1657" i="3"/>
  <c r="J1657" i="3"/>
  <c r="I1657" i="3"/>
  <c r="H1657" i="3"/>
  <c r="G1657" i="3"/>
  <c r="L1656" i="3"/>
  <c r="K1656" i="3"/>
  <c r="J1656" i="3"/>
  <c r="I1656" i="3"/>
  <c r="H1656" i="3"/>
  <c r="G1656" i="3"/>
  <c r="L1655" i="3"/>
  <c r="K1655" i="3"/>
  <c r="J1655" i="3"/>
  <c r="I1655" i="3"/>
  <c r="H1655" i="3"/>
  <c r="G1655" i="3"/>
  <c r="L1654" i="3"/>
  <c r="K1654" i="3"/>
  <c r="J1654" i="3"/>
  <c r="I1654" i="3"/>
  <c r="H1654" i="3"/>
  <c r="G1654" i="3"/>
  <c r="L1653" i="3"/>
  <c r="K1653" i="3"/>
  <c r="J1653" i="3"/>
  <c r="I1653" i="3"/>
  <c r="H1653" i="3"/>
  <c r="G1653" i="3"/>
  <c r="L1652" i="3"/>
  <c r="K1652" i="3"/>
  <c r="J1652" i="3"/>
  <c r="I1652" i="3"/>
  <c r="H1652" i="3"/>
  <c r="G1652" i="3"/>
  <c r="L1651" i="3"/>
  <c r="K1651" i="3"/>
  <c r="J1651" i="3"/>
  <c r="I1651" i="3"/>
  <c r="H1651" i="3"/>
  <c r="G1651" i="3"/>
  <c r="L1650" i="3"/>
  <c r="K1650" i="3"/>
  <c r="J1650" i="3"/>
  <c r="I1650" i="3"/>
  <c r="H1650" i="3"/>
  <c r="G1650" i="3"/>
  <c r="L1649" i="3"/>
  <c r="K1649" i="3"/>
  <c r="J1649" i="3"/>
  <c r="I1649" i="3"/>
  <c r="H1649" i="3"/>
  <c r="G1649" i="3"/>
  <c r="L1648" i="3"/>
  <c r="K1648" i="3"/>
  <c r="J1648" i="3"/>
  <c r="I1648" i="3"/>
  <c r="H1648" i="3"/>
  <c r="G1648" i="3"/>
  <c r="L1647" i="3"/>
  <c r="K1647" i="3"/>
  <c r="J1647" i="3"/>
  <c r="I1647" i="3"/>
  <c r="H1647" i="3"/>
  <c r="G1647" i="3"/>
  <c r="L1646" i="3"/>
  <c r="K1646" i="3"/>
  <c r="J1646" i="3"/>
  <c r="I1646" i="3"/>
  <c r="H1646" i="3"/>
  <c r="G1646" i="3"/>
  <c r="L1645" i="3"/>
  <c r="K1645" i="3"/>
  <c r="J1645" i="3"/>
  <c r="I1645" i="3"/>
  <c r="H1645" i="3"/>
  <c r="G1645" i="3"/>
  <c r="L1644" i="3"/>
  <c r="K1644" i="3"/>
  <c r="J1644" i="3"/>
  <c r="I1644" i="3"/>
  <c r="H1644" i="3"/>
  <c r="G1644" i="3"/>
  <c r="L1643" i="3"/>
  <c r="K1643" i="3"/>
  <c r="J1643" i="3"/>
  <c r="I1643" i="3"/>
  <c r="H1643" i="3"/>
  <c r="G1643" i="3"/>
  <c r="L1642" i="3"/>
  <c r="K1642" i="3"/>
  <c r="J1642" i="3"/>
  <c r="I1642" i="3"/>
  <c r="H1642" i="3"/>
  <c r="G1642" i="3"/>
  <c r="L1641" i="3"/>
  <c r="K1641" i="3"/>
  <c r="J1641" i="3"/>
  <c r="I1641" i="3"/>
  <c r="H1641" i="3"/>
  <c r="G1641" i="3"/>
  <c r="L1640" i="3"/>
  <c r="K1640" i="3"/>
  <c r="J1640" i="3"/>
  <c r="I1640" i="3"/>
  <c r="H1640" i="3"/>
  <c r="G1640" i="3"/>
  <c r="L1639" i="3"/>
  <c r="K1639" i="3"/>
  <c r="J1639" i="3"/>
  <c r="I1639" i="3"/>
  <c r="H1639" i="3"/>
  <c r="G1639" i="3"/>
  <c r="L1638" i="3"/>
  <c r="K1638" i="3"/>
  <c r="J1638" i="3"/>
  <c r="I1638" i="3"/>
  <c r="H1638" i="3"/>
  <c r="G1638" i="3"/>
  <c r="L1637" i="3"/>
  <c r="K1637" i="3"/>
  <c r="J1637" i="3"/>
  <c r="I1637" i="3"/>
  <c r="H1637" i="3"/>
  <c r="G1637" i="3"/>
  <c r="L1636" i="3"/>
  <c r="K1636" i="3"/>
  <c r="J1636" i="3"/>
  <c r="I1636" i="3"/>
  <c r="H1636" i="3"/>
  <c r="G1636" i="3"/>
  <c r="L1635" i="3"/>
  <c r="K1635" i="3"/>
  <c r="J1635" i="3"/>
  <c r="I1635" i="3"/>
  <c r="H1635" i="3"/>
  <c r="G1635" i="3"/>
  <c r="O1634" i="3"/>
  <c r="L1634" i="3"/>
  <c r="K1634" i="3"/>
  <c r="J1634" i="3"/>
  <c r="I1634" i="3"/>
  <c r="H1634" i="3"/>
  <c r="G1634" i="3"/>
  <c r="L1633" i="3"/>
  <c r="K1633" i="3"/>
  <c r="J1633" i="3"/>
  <c r="I1633" i="3"/>
  <c r="H1633" i="3"/>
  <c r="G1633" i="3"/>
  <c r="L1632" i="3"/>
  <c r="K1632" i="3"/>
  <c r="J1632" i="3"/>
  <c r="I1632" i="3"/>
  <c r="H1632" i="3"/>
  <c r="G1632" i="3"/>
  <c r="L1631" i="3"/>
  <c r="K1631" i="3"/>
  <c r="J1631" i="3"/>
  <c r="I1631" i="3"/>
  <c r="H1631" i="3"/>
  <c r="G1631" i="3"/>
  <c r="L1630" i="3"/>
  <c r="K1630" i="3"/>
  <c r="J1630" i="3"/>
  <c r="I1630" i="3"/>
  <c r="H1630" i="3"/>
  <c r="G1630" i="3"/>
  <c r="L1629" i="3"/>
  <c r="K1629" i="3"/>
  <c r="J1629" i="3"/>
  <c r="I1629" i="3"/>
  <c r="H1629" i="3"/>
  <c r="G1629" i="3"/>
  <c r="L1628" i="3"/>
  <c r="K1628" i="3"/>
  <c r="J1628" i="3"/>
  <c r="I1628" i="3"/>
  <c r="H1628" i="3"/>
  <c r="G1628" i="3"/>
  <c r="L1627" i="3"/>
  <c r="K1627" i="3"/>
  <c r="J1627" i="3"/>
  <c r="I1627" i="3"/>
  <c r="H1627" i="3"/>
  <c r="G1627" i="3"/>
  <c r="L1626" i="3"/>
  <c r="K1626" i="3"/>
  <c r="J1626" i="3"/>
  <c r="I1626" i="3"/>
  <c r="H1626" i="3"/>
  <c r="G1626" i="3"/>
  <c r="L1625" i="3"/>
  <c r="K1625" i="3"/>
  <c r="J1625" i="3"/>
  <c r="I1625" i="3"/>
  <c r="H1625" i="3"/>
  <c r="G1625" i="3"/>
  <c r="L1624" i="3"/>
  <c r="K1624" i="3"/>
  <c r="J1624" i="3"/>
  <c r="I1624" i="3"/>
  <c r="H1624" i="3"/>
  <c r="G1624" i="3"/>
  <c r="L1623" i="3"/>
  <c r="K1623" i="3"/>
  <c r="J1623" i="3"/>
  <c r="I1623" i="3"/>
  <c r="H1623" i="3"/>
  <c r="G1623" i="3"/>
  <c r="L1622" i="3"/>
  <c r="K1622" i="3"/>
  <c r="J1622" i="3"/>
  <c r="I1622" i="3"/>
  <c r="H1622" i="3"/>
  <c r="G1622" i="3"/>
  <c r="L1621" i="3"/>
  <c r="K1621" i="3"/>
  <c r="J1621" i="3"/>
  <c r="I1621" i="3"/>
  <c r="H1621" i="3"/>
  <c r="G1621" i="3"/>
  <c r="L1620" i="3"/>
  <c r="K1620" i="3"/>
  <c r="J1620" i="3"/>
  <c r="I1620" i="3"/>
  <c r="H1620" i="3"/>
  <c r="G1620" i="3"/>
  <c r="L1619" i="3"/>
  <c r="K1619" i="3"/>
  <c r="J1619" i="3"/>
  <c r="I1619" i="3"/>
  <c r="H1619" i="3"/>
  <c r="G1619" i="3"/>
  <c r="L1618" i="3"/>
  <c r="K1618" i="3"/>
  <c r="J1618" i="3"/>
  <c r="I1618" i="3"/>
  <c r="H1618" i="3"/>
  <c r="G1618" i="3"/>
  <c r="L1617" i="3"/>
  <c r="K1617" i="3"/>
  <c r="J1617" i="3"/>
  <c r="I1617" i="3"/>
  <c r="H1617" i="3"/>
  <c r="G1617" i="3"/>
  <c r="L1616" i="3"/>
  <c r="K1616" i="3"/>
  <c r="J1616" i="3"/>
  <c r="I1616" i="3"/>
  <c r="H1616" i="3"/>
  <c r="G1616" i="3"/>
  <c r="L1615" i="3"/>
  <c r="K1615" i="3"/>
  <c r="J1615" i="3"/>
  <c r="I1615" i="3"/>
  <c r="H1615" i="3"/>
  <c r="G1615" i="3"/>
  <c r="L1614" i="3"/>
  <c r="K1614" i="3"/>
  <c r="J1614" i="3"/>
  <c r="I1614" i="3"/>
  <c r="H1614" i="3"/>
  <c r="G1614" i="3"/>
  <c r="L1613" i="3"/>
  <c r="K1613" i="3"/>
  <c r="J1613" i="3"/>
  <c r="I1613" i="3"/>
  <c r="H1613" i="3"/>
  <c r="G1613" i="3"/>
  <c r="L1612" i="3"/>
  <c r="K1612" i="3"/>
  <c r="J1612" i="3"/>
  <c r="I1612" i="3"/>
  <c r="H1612" i="3"/>
  <c r="G1612" i="3"/>
  <c r="L1611" i="3"/>
  <c r="K1611" i="3"/>
  <c r="J1611" i="3"/>
  <c r="I1611" i="3"/>
  <c r="H1611" i="3"/>
  <c r="G1611" i="3"/>
  <c r="L1610" i="3"/>
  <c r="K1610" i="3"/>
  <c r="J1610" i="3"/>
  <c r="I1610" i="3"/>
  <c r="H1610" i="3"/>
  <c r="G1610" i="3"/>
  <c r="L1609" i="3"/>
  <c r="K1609" i="3"/>
  <c r="J1609" i="3"/>
  <c r="I1609" i="3"/>
  <c r="H1609" i="3"/>
  <c r="G1609" i="3"/>
  <c r="L1608" i="3"/>
  <c r="K1608" i="3"/>
  <c r="J1608" i="3"/>
  <c r="I1608" i="3"/>
  <c r="H1608" i="3"/>
  <c r="G1608" i="3"/>
  <c r="L1607" i="3"/>
  <c r="K1607" i="3"/>
  <c r="J1607" i="3"/>
  <c r="I1607" i="3"/>
  <c r="H1607" i="3"/>
  <c r="G1607" i="3"/>
  <c r="L1606" i="3"/>
  <c r="K1606" i="3"/>
  <c r="J1606" i="3"/>
  <c r="I1606" i="3"/>
  <c r="H1606" i="3"/>
  <c r="G1606" i="3"/>
  <c r="L1605" i="3"/>
  <c r="K1605" i="3"/>
  <c r="J1605" i="3"/>
  <c r="I1605" i="3"/>
  <c r="H1605" i="3"/>
  <c r="G1605" i="3"/>
  <c r="L1604" i="3"/>
  <c r="K1604" i="3"/>
  <c r="J1604" i="3"/>
  <c r="I1604" i="3"/>
  <c r="H1604" i="3"/>
  <c r="G1604" i="3"/>
  <c r="L1603" i="3"/>
  <c r="K1603" i="3"/>
  <c r="J1603" i="3"/>
  <c r="I1603" i="3"/>
  <c r="H1603" i="3"/>
  <c r="G1603" i="3"/>
  <c r="L1602" i="3"/>
  <c r="K1602" i="3"/>
  <c r="J1602" i="3"/>
  <c r="I1602" i="3"/>
  <c r="H1602" i="3"/>
  <c r="G1602" i="3"/>
  <c r="L1601" i="3"/>
  <c r="K1601" i="3"/>
  <c r="J1601" i="3"/>
  <c r="I1601" i="3"/>
  <c r="H1601" i="3"/>
  <c r="G1601" i="3"/>
  <c r="O1600" i="3"/>
  <c r="L1600" i="3"/>
  <c r="K1600" i="3"/>
  <c r="J1600" i="3"/>
  <c r="I1600" i="3"/>
  <c r="H1600" i="3"/>
  <c r="G1600" i="3"/>
  <c r="L1599" i="3"/>
  <c r="K1599" i="3"/>
  <c r="J1599" i="3"/>
  <c r="I1599" i="3"/>
  <c r="H1599" i="3"/>
  <c r="G1599" i="3"/>
  <c r="L1598" i="3"/>
  <c r="K1598" i="3"/>
  <c r="J1598" i="3"/>
  <c r="I1598" i="3"/>
  <c r="H1598" i="3"/>
  <c r="G1598" i="3"/>
  <c r="L1597" i="3"/>
  <c r="K1597" i="3"/>
  <c r="J1597" i="3"/>
  <c r="I1597" i="3"/>
  <c r="H1597" i="3"/>
  <c r="G1597" i="3"/>
  <c r="L1596" i="3"/>
  <c r="K1596" i="3"/>
  <c r="J1596" i="3"/>
  <c r="I1596" i="3"/>
  <c r="H1596" i="3"/>
  <c r="G1596" i="3"/>
  <c r="L1595" i="3"/>
  <c r="K1595" i="3"/>
  <c r="J1595" i="3"/>
  <c r="I1595" i="3"/>
  <c r="H1595" i="3"/>
  <c r="G1595" i="3"/>
  <c r="L1594" i="3"/>
  <c r="K1594" i="3"/>
  <c r="J1594" i="3"/>
  <c r="I1594" i="3"/>
  <c r="H1594" i="3"/>
  <c r="G1594" i="3"/>
  <c r="L1593" i="3"/>
  <c r="K1593" i="3"/>
  <c r="J1593" i="3"/>
  <c r="I1593" i="3"/>
  <c r="H1593" i="3"/>
  <c r="G1593" i="3"/>
  <c r="L1592" i="3"/>
  <c r="K1592" i="3"/>
  <c r="J1592" i="3"/>
  <c r="I1592" i="3"/>
  <c r="H1592" i="3"/>
  <c r="G1592" i="3"/>
  <c r="L1591" i="3"/>
  <c r="K1591" i="3"/>
  <c r="J1591" i="3"/>
  <c r="I1591" i="3"/>
  <c r="H1591" i="3"/>
  <c r="G1591" i="3"/>
  <c r="L1590" i="3"/>
  <c r="K1590" i="3"/>
  <c r="J1590" i="3"/>
  <c r="I1590" i="3"/>
  <c r="H1590" i="3"/>
  <c r="G1590" i="3"/>
  <c r="L1589" i="3"/>
  <c r="K1589" i="3"/>
  <c r="J1589" i="3"/>
  <c r="I1589" i="3"/>
  <c r="H1589" i="3"/>
  <c r="G1589" i="3"/>
  <c r="L1588" i="3"/>
  <c r="K1588" i="3"/>
  <c r="J1588" i="3"/>
  <c r="I1588" i="3"/>
  <c r="H1588" i="3"/>
  <c r="G1588" i="3"/>
  <c r="L1587" i="3"/>
  <c r="K1587" i="3"/>
  <c r="J1587" i="3"/>
  <c r="I1587" i="3"/>
  <c r="H1587" i="3"/>
  <c r="G1587" i="3"/>
  <c r="L1586" i="3"/>
  <c r="K1586" i="3"/>
  <c r="J1586" i="3"/>
  <c r="I1586" i="3"/>
  <c r="H1586" i="3"/>
  <c r="G1586" i="3"/>
  <c r="L1585" i="3"/>
  <c r="K1585" i="3"/>
  <c r="J1585" i="3"/>
  <c r="I1585" i="3"/>
  <c r="H1585" i="3"/>
  <c r="G1585" i="3"/>
  <c r="L1584" i="3"/>
  <c r="K1584" i="3"/>
  <c r="J1584" i="3"/>
  <c r="I1584" i="3"/>
  <c r="H1584" i="3"/>
  <c r="G1584" i="3"/>
  <c r="L1583" i="3"/>
  <c r="K1583" i="3"/>
  <c r="J1583" i="3"/>
  <c r="I1583" i="3"/>
  <c r="H1583" i="3"/>
  <c r="G1583" i="3"/>
  <c r="L1582" i="3"/>
  <c r="K1582" i="3"/>
  <c r="J1582" i="3"/>
  <c r="I1582" i="3"/>
  <c r="H1582" i="3"/>
  <c r="G1582" i="3"/>
  <c r="L1581" i="3"/>
  <c r="K1581" i="3"/>
  <c r="J1581" i="3"/>
  <c r="I1581" i="3"/>
  <c r="H1581" i="3"/>
  <c r="G1581" i="3"/>
  <c r="L1580" i="3"/>
  <c r="K1580" i="3"/>
  <c r="J1580" i="3"/>
  <c r="I1580" i="3"/>
  <c r="H1580" i="3"/>
  <c r="G1580" i="3"/>
  <c r="L1579" i="3"/>
  <c r="K1579" i="3"/>
  <c r="J1579" i="3"/>
  <c r="I1579" i="3"/>
  <c r="H1579" i="3"/>
  <c r="G1579" i="3"/>
  <c r="L1578" i="3"/>
  <c r="K1578" i="3"/>
  <c r="J1578" i="3"/>
  <c r="I1578" i="3"/>
  <c r="H1578" i="3"/>
  <c r="G1578" i="3"/>
  <c r="L1577" i="3"/>
  <c r="K1577" i="3"/>
  <c r="J1577" i="3"/>
  <c r="I1577" i="3"/>
  <c r="H1577" i="3"/>
  <c r="G1577" i="3"/>
  <c r="L1576" i="3"/>
  <c r="K1576" i="3"/>
  <c r="J1576" i="3"/>
  <c r="I1576" i="3"/>
  <c r="H1576" i="3"/>
  <c r="G1576" i="3"/>
  <c r="L1575" i="3"/>
  <c r="K1575" i="3"/>
  <c r="J1575" i="3"/>
  <c r="I1575" i="3"/>
  <c r="H1575" i="3"/>
  <c r="G1575" i="3"/>
  <c r="L1574" i="3"/>
  <c r="K1574" i="3"/>
  <c r="J1574" i="3"/>
  <c r="I1574" i="3"/>
  <c r="H1574" i="3"/>
  <c r="G1574" i="3"/>
  <c r="L1573" i="3"/>
  <c r="K1573" i="3"/>
  <c r="J1573" i="3"/>
  <c r="I1573" i="3"/>
  <c r="H1573" i="3"/>
  <c r="G1573" i="3"/>
  <c r="L1572" i="3"/>
  <c r="K1572" i="3"/>
  <c r="J1572" i="3"/>
  <c r="I1572" i="3"/>
  <c r="H1572" i="3"/>
  <c r="G1572" i="3"/>
  <c r="L1571" i="3"/>
  <c r="K1571" i="3"/>
  <c r="J1571" i="3"/>
  <c r="I1571" i="3"/>
  <c r="H1571" i="3"/>
  <c r="G1571" i="3"/>
  <c r="L1570" i="3"/>
  <c r="K1570" i="3"/>
  <c r="J1570" i="3"/>
  <c r="I1570" i="3"/>
  <c r="H1570" i="3"/>
  <c r="G1570" i="3"/>
  <c r="L1569" i="3"/>
  <c r="K1569" i="3"/>
  <c r="J1569" i="3"/>
  <c r="I1569" i="3"/>
  <c r="H1569" i="3"/>
  <c r="G1569" i="3"/>
  <c r="L1568" i="3"/>
  <c r="K1568" i="3"/>
  <c r="J1568" i="3"/>
  <c r="I1568" i="3"/>
  <c r="H1568" i="3"/>
  <c r="G1568" i="3"/>
  <c r="L1567" i="3"/>
  <c r="K1567" i="3"/>
  <c r="J1567" i="3"/>
  <c r="I1567" i="3"/>
  <c r="H1567" i="3"/>
  <c r="G1567" i="3"/>
  <c r="O1566" i="3"/>
  <c r="L1566" i="3"/>
  <c r="K1566" i="3"/>
  <c r="J1566" i="3"/>
  <c r="I1566" i="3"/>
  <c r="H1566" i="3"/>
  <c r="G1566" i="3"/>
  <c r="L1565" i="3"/>
  <c r="K1565" i="3"/>
  <c r="J1565" i="3"/>
  <c r="I1565" i="3"/>
  <c r="H1565" i="3"/>
  <c r="G1565" i="3"/>
  <c r="L1564" i="3"/>
  <c r="K1564" i="3"/>
  <c r="J1564" i="3"/>
  <c r="I1564" i="3"/>
  <c r="H1564" i="3"/>
  <c r="G1564" i="3"/>
  <c r="L1563" i="3"/>
  <c r="K1563" i="3"/>
  <c r="J1563" i="3"/>
  <c r="I1563" i="3"/>
  <c r="H1563" i="3"/>
  <c r="G1563" i="3"/>
  <c r="L1562" i="3"/>
  <c r="K1562" i="3"/>
  <c r="J1562" i="3"/>
  <c r="I1562" i="3"/>
  <c r="H1562" i="3"/>
  <c r="G1562" i="3"/>
  <c r="L1561" i="3"/>
  <c r="K1561" i="3"/>
  <c r="J1561" i="3"/>
  <c r="I1561" i="3"/>
  <c r="H1561" i="3"/>
  <c r="G1561" i="3"/>
  <c r="L1560" i="3"/>
  <c r="K1560" i="3"/>
  <c r="J1560" i="3"/>
  <c r="I1560" i="3"/>
  <c r="H1560" i="3"/>
  <c r="G1560" i="3"/>
  <c r="L1559" i="3"/>
  <c r="K1559" i="3"/>
  <c r="J1559" i="3"/>
  <c r="I1559" i="3"/>
  <c r="H1559" i="3"/>
  <c r="G1559" i="3"/>
  <c r="L1558" i="3"/>
  <c r="K1558" i="3"/>
  <c r="J1558" i="3"/>
  <c r="I1558" i="3"/>
  <c r="H1558" i="3"/>
  <c r="G1558" i="3"/>
  <c r="L1557" i="3"/>
  <c r="K1557" i="3"/>
  <c r="J1557" i="3"/>
  <c r="I1557" i="3"/>
  <c r="H1557" i="3"/>
  <c r="G1557" i="3"/>
  <c r="L1556" i="3"/>
  <c r="K1556" i="3"/>
  <c r="J1556" i="3"/>
  <c r="I1556" i="3"/>
  <c r="H1556" i="3"/>
  <c r="G1556" i="3"/>
  <c r="L1555" i="3"/>
  <c r="K1555" i="3"/>
  <c r="J1555" i="3"/>
  <c r="I1555" i="3"/>
  <c r="H1555" i="3"/>
  <c r="G1555" i="3"/>
  <c r="L1554" i="3"/>
  <c r="K1554" i="3"/>
  <c r="J1554" i="3"/>
  <c r="I1554" i="3"/>
  <c r="H1554" i="3"/>
  <c r="G1554" i="3"/>
  <c r="L1553" i="3"/>
  <c r="K1553" i="3"/>
  <c r="J1553" i="3"/>
  <c r="I1553" i="3"/>
  <c r="H1553" i="3"/>
  <c r="G1553" i="3"/>
  <c r="L1552" i="3"/>
  <c r="K1552" i="3"/>
  <c r="J1552" i="3"/>
  <c r="I1552" i="3"/>
  <c r="H1552" i="3"/>
  <c r="G1552" i="3"/>
  <c r="L1551" i="3"/>
  <c r="K1551" i="3"/>
  <c r="J1551" i="3"/>
  <c r="I1551" i="3"/>
  <c r="H1551" i="3"/>
  <c r="G1551" i="3"/>
  <c r="L1550" i="3"/>
  <c r="K1550" i="3"/>
  <c r="J1550" i="3"/>
  <c r="I1550" i="3"/>
  <c r="H1550" i="3"/>
  <c r="G1550" i="3"/>
  <c r="L1549" i="3"/>
  <c r="K1549" i="3"/>
  <c r="J1549" i="3"/>
  <c r="I1549" i="3"/>
  <c r="H1549" i="3"/>
  <c r="G1549" i="3"/>
  <c r="L1548" i="3"/>
  <c r="K1548" i="3"/>
  <c r="J1548" i="3"/>
  <c r="I1548" i="3"/>
  <c r="H1548" i="3"/>
  <c r="G1548" i="3"/>
  <c r="L1547" i="3"/>
  <c r="K1547" i="3"/>
  <c r="J1547" i="3"/>
  <c r="I1547" i="3"/>
  <c r="H1547" i="3"/>
  <c r="G1547" i="3"/>
  <c r="L1546" i="3"/>
  <c r="K1546" i="3"/>
  <c r="J1546" i="3"/>
  <c r="I1546" i="3"/>
  <c r="H1546" i="3"/>
  <c r="G1546" i="3"/>
  <c r="L1545" i="3"/>
  <c r="K1545" i="3"/>
  <c r="J1545" i="3"/>
  <c r="I1545" i="3"/>
  <c r="H1545" i="3"/>
  <c r="G1545" i="3"/>
  <c r="L1544" i="3"/>
  <c r="K1544" i="3"/>
  <c r="J1544" i="3"/>
  <c r="I1544" i="3"/>
  <c r="H1544" i="3"/>
  <c r="G1544" i="3"/>
  <c r="L1543" i="3"/>
  <c r="K1543" i="3"/>
  <c r="J1543" i="3"/>
  <c r="I1543" i="3"/>
  <c r="H1543" i="3"/>
  <c r="G1543" i="3"/>
  <c r="L1542" i="3"/>
  <c r="K1542" i="3"/>
  <c r="J1542" i="3"/>
  <c r="I1542" i="3"/>
  <c r="H1542" i="3"/>
  <c r="G1542" i="3"/>
  <c r="L1541" i="3"/>
  <c r="K1541" i="3"/>
  <c r="J1541" i="3"/>
  <c r="I1541" i="3"/>
  <c r="H1541" i="3"/>
  <c r="G1541" i="3"/>
  <c r="L1540" i="3"/>
  <c r="K1540" i="3"/>
  <c r="J1540" i="3"/>
  <c r="I1540" i="3"/>
  <c r="H1540" i="3"/>
  <c r="G1540" i="3"/>
  <c r="L1539" i="3"/>
  <c r="K1539" i="3"/>
  <c r="J1539" i="3"/>
  <c r="I1539" i="3"/>
  <c r="H1539" i="3"/>
  <c r="G1539" i="3"/>
  <c r="L1538" i="3"/>
  <c r="K1538" i="3"/>
  <c r="J1538" i="3"/>
  <c r="I1538" i="3"/>
  <c r="H1538" i="3"/>
  <c r="G1538" i="3"/>
  <c r="L1537" i="3"/>
  <c r="K1537" i="3"/>
  <c r="J1537" i="3"/>
  <c r="I1537" i="3"/>
  <c r="H1537" i="3"/>
  <c r="G1537" i="3"/>
  <c r="L1536" i="3"/>
  <c r="K1536" i="3"/>
  <c r="J1536" i="3"/>
  <c r="I1536" i="3"/>
  <c r="H1536" i="3"/>
  <c r="G1536" i="3"/>
  <c r="L1535" i="3"/>
  <c r="K1535" i="3"/>
  <c r="J1535" i="3"/>
  <c r="I1535" i="3"/>
  <c r="H1535" i="3"/>
  <c r="G1535" i="3"/>
  <c r="L1534" i="3"/>
  <c r="K1534" i="3"/>
  <c r="J1534" i="3"/>
  <c r="I1534" i="3"/>
  <c r="H1534" i="3"/>
  <c r="G1534" i="3"/>
  <c r="L1533" i="3"/>
  <c r="K1533" i="3"/>
  <c r="J1533" i="3"/>
  <c r="I1533" i="3"/>
  <c r="H1533" i="3"/>
  <c r="G1533" i="3"/>
  <c r="O1532" i="3"/>
  <c r="L1532" i="3"/>
  <c r="K1532" i="3"/>
  <c r="J1532" i="3"/>
  <c r="I1532" i="3"/>
  <c r="H1532" i="3"/>
  <c r="G1532" i="3"/>
  <c r="L1531" i="3"/>
  <c r="K1531" i="3"/>
  <c r="J1531" i="3"/>
  <c r="I1531" i="3"/>
  <c r="H1531" i="3"/>
  <c r="G1531" i="3"/>
  <c r="L1530" i="3"/>
  <c r="K1530" i="3"/>
  <c r="J1530" i="3"/>
  <c r="I1530" i="3"/>
  <c r="H1530" i="3"/>
  <c r="G1530" i="3"/>
  <c r="L1529" i="3"/>
  <c r="K1529" i="3"/>
  <c r="J1529" i="3"/>
  <c r="I1529" i="3"/>
  <c r="H1529" i="3"/>
  <c r="G1529" i="3"/>
  <c r="L1528" i="3"/>
  <c r="K1528" i="3"/>
  <c r="J1528" i="3"/>
  <c r="I1528" i="3"/>
  <c r="H1528" i="3"/>
  <c r="G1528" i="3"/>
  <c r="L1527" i="3"/>
  <c r="K1527" i="3"/>
  <c r="J1527" i="3"/>
  <c r="I1527" i="3"/>
  <c r="H1527" i="3"/>
  <c r="G1527" i="3"/>
  <c r="L1526" i="3"/>
  <c r="K1526" i="3"/>
  <c r="J1526" i="3"/>
  <c r="I1526" i="3"/>
  <c r="H1526" i="3"/>
  <c r="G1526" i="3"/>
  <c r="L1525" i="3"/>
  <c r="K1525" i="3"/>
  <c r="J1525" i="3"/>
  <c r="I1525" i="3"/>
  <c r="H1525" i="3"/>
  <c r="G1525" i="3"/>
  <c r="L1524" i="3"/>
  <c r="K1524" i="3"/>
  <c r="J1524" i="3"/>
  <c r="I1524" i="3"/>
  <c r="H1524" i="3"/>
  <c r="G1524" i="3"/>
  <c r="L1523" i="3"/>
  <c r="K1523" i="3"/>
  <c r="J1523" i="3"/>
  <c r="I1523" i="3"/>
  <c r="H1523" i="3"/>
  <c r="G1523" i="3"/>
  <c r="L1522" i="3"/>
  <c r="K1522" i="3"/>
  <c r="J1522" i="3"/>
  <c r="I1522" i="3"/>
  <c r="H1522" i="3"/>
  <c r="G1522" i="3"/>
  <c r="L1521" i="3"/>
  <c r="K1521" i="3"/>
  <c r="J1521" i="3"/>
  <c r="I1521" i="3"/>
  <c r="H1521" i="3"/>
  <c r="G1521" i="3"/>
  <c r="L1520" i="3"/>
  <c r="K1520" i="3"/>
  <c r="J1520" i="3"/>
  <c r="I1520" i="3"/>
  <c r="H1520" i="3"/>
  <c r="G1520" i="3"/>
  <c r="L1519" i="3"/>
  <c r="K1519" i="3"/>
  <c r="J1519" i="3"/>
  <c r="I1519" i="3"/>
  <c r="H1519" i="3"/>
  <c r="G1519" i="3"/>
  <c r="L1518" i="3"/>
  <c r="K1518" i="3"/>
  <c r="J1518" i="3"/>
  <c r="I1518" i="3"/>
  <c r="H1518" i="3"/>
  <c r="G1518" i="3"/>
  <c r="L1517" i="3"/>
  <c r="K1517" i="3"/>
  <c r="J1517" i="3"/>
  <c r="I1517" i="3"/>
  <c r="H1517" i="3"/>
  <c r="G1517" i="3"/>
  <c r="L1516" i="3"/>
  <c r="K1516" i="3"/>
  <c r="J1516" i="3"/>
  <c r="I1516" i="3"/>
  <c r="H1516" i="3"/>
  <c r="G1516" i="3"/>
  <c r="L1515" i="3"/>
  <c r="K1515" i="3"/>
  <c r="J1515" i="3"/>
  <c r="I1515" i="3"/>
  <c r="H1515" i="3"/>
  <c r="G1515" i="3"/>
  <c r="L1514" i="3"/>
  <c r="K1514" i="3"/>
  <c r="J1514" i="3"/>
  <c r="I1514" i="3"/>
  <c r="H1514" i="3"/>
  <c r="G1514" i="3"/>
  <c r="L1513" i="3"/>
  <c r="K1513" i="3"/>
  <c r="J1513" i="3"/>
  <c r="I1513" i="3"/>
  <c r="H1513" i="3"/>
  <c r="G1513" i="3"/>
  <c r="L1512" i="3"/>
  <c r="K1512" i="3"/>
  <c r="J1512" i="3"/>
  <c r="I1512" i="3"/>
  <c r="H1512" i="3"/>
  <c r="G1512" i="3"/>
  <c r="L1511" i="3"/>
  <c r="K1511" i="3"/>
  <c r="J1511" i="3"/>
  <c r="I1511" i="3"/>
  <c r="H1511" i="3"/>
  <c r="G1511" i="3"/>
  <c r="L1510" i="3"/>
  <c r="K1510" i="3"/>
  <c r="J1510" i="3"/>
  <c r="I1510" i="3"/>
  <c r="H1510" i="3"/>
  <c r="G1510" i="3"/>
  <c r="L1509" i="3"/>
  <c r="K1509" i="3"/>
  <c r="J1509" i="3"/>
  <c r="I1509" i="3"/>
  <c r="H1509" i="3"/>
  <c r="G1509" i="3"/>
  <c r="L1508" i="3"/>
  <c r="K1508" i="3"/>
  <c r="J1508" i="3"/>
  <c r="I1508" i="3"/>
  <c r="H1508" i="3"/>
  <c r="G1508" i="3"/>
  <c r="L1507" i="3"/>
  <c r="K1507" i="3"/>
  <c r="J1507" i="3"/>
  <c r="I1507" i="3"/>
  <c r="H1507" i="3"/>
  <c r="G1507" i="3"/>
  <c r="L1506" i="3"/>
  <c r="K1506" i="3"/>
  <c r="J1506" i="3"/>
  <c r="I1506" i="3"/>
  <c r="H1506" i="3"/>
  <c r="G1506" i="3"/>
  <c r="L1505" i="3"/>
  <c r="K1505" i="3"/>
  <c r="J1505" i="3"/>
  <c r="I1505" i="3"/>
  <c r="H1505" i="3"/>
  <c r="G1505" i="3"/>
  <c r="L1504" i="3"/>
  <c r="K1504" i="3"/>
  <c r="J1504" i="3"/>
  <c r="I1504" i="3"/>
  <c r="H1504" i="3"/>
  <c r="G1504" i="3"/>
  <c r="L1503" i="3"/>
  <c r="K1503" i="3"/>
  <c r="J1503" i="3"/>
  <c r="I1503" i="3"/>
  <c r="H1503" i="3"/>
  <c r="G1503" i="3"/>
  <c r="L1502" i="3"/>
  <c r="K1502" i="3"/>
  <c r="J1502" i="3"/>
  <c r="I1502" i="3"/>
  <c r="H1502" i="3"/>
  <c r="G1502" i="3"/>
  <c r="L1501" i="3"/>
  <c r="K1501" i="3"/>
  <c r="J1501" i="3"/>
  <c r="I1501" i="3"/>
  <c r="H1501" i="3"/>
  <c r="G1501" i="3"/>
  <c r="L1500" i="3"/>
  <c r="K1500" i="3"/>
  <c r="J1500" i="3"/>
  <c r="I1500" i="3"/>
  <c r="H1500" i="3"/>
  <c r="G1500" i="3"/>
  <c r="L1499" i="3"/>
  <c r="K1499" i="3"/>
  <c r="J1499" i="3"/>
  <c r="I1499" i="3"/>
  <c r="H1499" i="3"/>
  <c r="G1499" i="3"/>
  <c r="O1498" i="3"/>
  <c r="L1498" i="3"/>
  <c r="K1498" i="3"/>
  <c r="J1498" i="3"/>
  <c r="I1498" i="3"/>
  <c r="H1498" i="3"/>
  <c r="G1498" i="3"/>
  <c r="L1497" i="3"/>
  <c r="K1497" i="3"/>
  <c r="J1497" i="3"/>
  <c r="I1497" i="3"/>
  <c r="H1497" i="3"/>
  <c r="G1497" i="3"/>
  <c r="L1496" i="3"/>
  <c r="K1496" i="3"/>
  <c r="J1496" i="3"/>
  <c r="I1496" i="3"/>
  <c r="H1496" i="3"/>
  <c r="G1496" i="3"/>
  <c r="L1495" i="3"/>
  <c r="K1495" i="3"/>
  <c r="J1495" i="3"/>
  <c r="I1495" i="3"/>
  <c r="H1495" i="3"/>
  <c r="G1495" i="3"/>
  <c r="L1494" i="3"/>
  <c r="K1494" i="3"/>
  <c r="J1494" i="3"/>
  <c r="I1494" i="3"/>
  <c r="H1494" i="3"/>
  <c r="G1494" i="3"/>
  <c r="L1493" i="3"/>
  <c r="K1493" i="3"/>
  <c r="J1493" i="3"/>
  <c r="I1493" i="3"/>
  <c r="H1493" i="3"/>
  <c r="G1493" i="3"/>
  <c r="L1492" i="3"/>
  <c r="K1492" i="3"/>
  <c r="J1492" i="3"/>
  <c r="I1492" i="3"/>
  <c r="H1492" i="3"/>
  <c r="G1492" i="3"/>
  <c r="L1491" i="3"/>
  <c r="K1491" i="3"/>
  <c r="J1491" i="3"/>
  <c r="I1491" i="3"/>
  <c r="H1491" i="3"/>
  <c r="G1491" i="3"/>
  <c r="L1490" i="3"/>
  <c r="K1490" i="3"/>
  <c r="J1490" i="3"/>
  <c r="I1490" i="3"/>
  <c r="H1490" i="3"/>
  <c r="G1490" i="3"/>
  <c r="L1489" i="3"/>
  <c r="K1489" i="3"/>
  <c r="J1489" i="3"/>
  <c r="I1489" i="3"/>
  <c r="H1489" i="3"/>
  <c r="G1489" i="3"/>
  <c r="L1488" i="3"/>
  <c r="K1488" i="3"/>
  <c r="J1488" i="3"/>
  <c r="I1488" i="3"/>
  <c r="H1488" i="3"/>
  <c r="G1488" i="3"/>
  <c r="L1487" i="3"/>
  <c r="K1487" i="3"/>
  <c r="J1487" i="3"/>
  <c r="I1487" i="3"/>
  <c r="H1487" i="3"/>
  <c r="G1487" i="3"/>
  <c r="L1486" i="3"/>
  <c r="K1486" i="3"/>
  <c r="J1486" i="3"/>
  <c r="I1486" i="3"/>
  <c r="H1486" i="3"/>
  <c r="G1486" i="3"/>
  <c r="L1485" i="3"/>
  <c r="K1485" i="3"/>
  <c r="J1485" i="3"/>
  <c r="I1485" i="3"/>
  <c r="H1485" i="3"/>
  <c r="G1485" i="3"/>
  <c r="L1484" i="3"/>
  <c r="K1484" i="3"/>
  <c r="J1484" i="3"/>
  <c r="I1484" i="3"/>
  <c r="H1484" i="3"/>
  <c r="G1484" i="3"/>
  <c r="L1483" i="3"/>
  <c r="K1483" i="3"/>
  <c r="J1483" i="3"/>
  <c r="I1483" i="3"/>
  <c r="H1483" i="3"/>
  <c r="G1483" i="3"/>
  <c r="L1482" i="3"/>
  <c r="K1482" i="3"/>
  <c r="J1482" i="3"/>
  <c r="I1482" i="3"/>
  <c r="H1482" i="3"/>
  <c r="G1482" i="3"/>
  <c r="L1481" i="3"/>
  <c r="K1481" i="3"/>
  <c r="J1481" i="3"/>
  <c r="I1481" i="3"/>
  <c r="H1481" i="3"/>
  <c r="G1481" i="3"/>
  <c r="L1480" i="3"/>
  <c r="K1480" i="3"/>
  <c r="J1480" i="3"/>
  <c r="I1480" i="3"/>
  <c r="H1480" i="3"/>
  <c r="G1480" i="3"/>
  <c r="L1479" i="3"/>
  <c r="K1479" i="3"/>
  <c r="J1479" i="3"/>
  <c r="I1479" i="3"/>
  <c r="H1479" i="3"/>
  <c r="G1479" i="3"/>
  <c r="L1478" i="3"/>
  <c r="K1478" i="3"/>
  <c r="J1478" i="3"/>
  <c r="I1478" i="3"/>
  <c r="H1478" i="3"/>
  <c r="G1478" i="3"/>
  <c r="L1477" i="3"/>
  <c r="K1477" i="3"/>
  <c r="J1477" i="3"/>
  <c r="I1477" i="3"/>
  <c r="H1477" i="3"/>
  <c r="G1477" i="3"/>
  <c r="L1476" i="3"/>
  <c r="K1476" i="3"/>
  <c r="J1476" i="3"/>
  <c r="I1476" i="3"/>
  <c r="H1476" i="3"/>
  <c r="G1476" i="3"/>
  <c r="L1475" i="3"/>
  <c r="K1475" i="3"/>
  <c r="J1475" i="3"/>
  <c r="I1475" i="3"/>
  <c r="H1475" i="3"/>
  <c r="G1475" i="3"/>
  <c r="L1474" i="3"/>
  <c r="K1474" i="3"/>
  <c r="J1474" i="3"/>
  <c r="I1474" i="3"/>
  <c r="H1474" i="3"/>
  <c r="G1474" i="3"/>
  <c r="L1473" i="3"/>
  <c r="K1473" i="3"/>
  <c r="J1473" i="3"/>
  <c r="I1473" i="3"/>
  <c r="H1473" i="3"/>
  <c r="G1473" i="3"/>
  <c r="L1472" i="3"/>
  <c r="K1472" i="3"/>
  <c r="J1472" i="3"/>
  <c r="I1472" i="3"/>
  <c r="H1472" i="3"/>
  <c r="G1472" i="3"/>
  <c r="L1471" i="3"/>
  <c r="K1471" i="3"/>
  <c r="J1471" i="3"/>
  <c r="I1471" i="3"/>
  <c r="H1471" i="3"/>
  <c r="G1471" i="3"/>
  <c r="L1470" i="3"/>
  <c r="K1470" i="3"/>
  <c r="J1470" i="3"/>
  <c r="I1470" i="3"/>
  <c r="H1470" i="3"/>
  <c r="G1470" i="3"/>
  <c r="L1469" i="3"/>
  <c r="K1469" i="3"/>
  <c r="J1469" i="3"/>
  <c r="I1469" i="3"/>
  <c r="H1469" i="3"/>
  <c r="G1469" i="3"/>
  <c r="L1468" i="3"/>
  <c r="K1468" i="3"/>
  <c r="J1468" i="3"/>
  <c r="I1468" i="3"/>
  <c r="H1468" i="3"/>
  <c r="G1468" i="3"/>
  <c r="L1467" i="3"/>
  <c r="K1467" i="3"/>
  <c r="J1467" i="3"/>
  <c r="I1467" i="3"/>
  <c r="H1467" i="3"/>
  <c r="G1467" i="3"/>
  <c r="L1466" i="3"/>
  <c r="K1466" i="3"/>
  <c r="J1466" i="3"/>
  <c r="I1466" i="3"/>
  <c r="H1466" i="3"/>
  <c r="G1466" i="3"/>
  <c r="L1465" i="3"/>
  <c r="K1465" i="3"/>
  <c r="J1465" i="3"/>
  <c r="I1465" i="3"/>
  <c r="H1465" i="3"/>
  <c r="G1465" i="3"/>
  <c r="O1464" i="3"/>
  <c r="L1464" i="3"/>
  <c r="K1464" i="3"/>
  <c r="J1464" i="3"/>
  <c r="I1464" i="3"/>
  <c r="H1464" i="3"/>
  <c r="G1464" i="3"/>
  <c r="L1463" i="3"/>
  <c r="K1463" i="3"/>
  <c r="J1463" i="3"/>
  <c r="I1463" i="3"/>
  <c r="H1463" i="3"/>
  <c r="G1463" i="3"/>
  <c r="L1462" i="3"/>
  <c r="K1462" i="3"/>
  <c r="J1462" i="3"/>
  <c r="I1462" i="3"/>
  <c r="H1462" i="3"/>
  <c r="G1462" i="3"/>
  <c r="L1461" i="3"/>
  <c r="K1461" i="3"/>
  <c r="J1461" i="3"/>
  <c r="I1461" i="3"/>
  <c r="H1461" i="3"/>
  <c r="G1461" i="3"/>
  <c r="L1460" i="3"/>
  <c r="K1460" i="3"/>
  <c r="J1460" i="3"/>
  <c r="I1460" i="3"/>
  <c r="H1460" i="3"/>
  <c r="G1460" i="3"/>
  <c r="L1459" i="3"/>
  <c r="K1459" i="3"/>
  <c r="J1459" i="3"/>
  <c r="I1459" i="3"/>
  <c r="H1459" i="3"/>
  <c r="G1459" i="3"/>
  <c r="L1458" i="3"/>
  <c r="K1458" i="3"/>
  <c r="J1458" i="3"/>
  <c r="I1458" i="3"/>
  <c r="H1458" i="3"/>
  <c r="G1458" i="3"/>
  <c r="L1457" i="3"/>
  <c r="K1457" i="3"/>
  <c r="J1457" i="3"/>
  <c r="I1457" i="3"/>
  <c r="H1457" i="3"/>
  <c r="G1457" i="3"/>
  <c r="L1456" i="3"/>
  <c r="K1456" i="3"/>
  <c r="J1456" i="3"/>
  <c r="I1456" i="3"/>
  <c r="H1456" i="3"/>
  <c r="G1456" i="3"/>
  <c r="L1455" i="3"/>
  <c r="K1455" i="3"/>
  <c r="J1455" i="3"/>
  <c r="I1455" i="3"/>
  <c r="H1455" i="3"/>
  <c r="G1455" i="3"/>
  <c r="L1454" i="3"/>
  <c r="K1454" i="3"/>
  <c r="J1454" i="3"/>
  <c r="I1454" i="3"/>
  <c r="H1454" i="3"/>
  <c r="G1454" i="3"/>
  <c r="L1453" i="3"/>
  <c r="K1453" i="3"/>
  <c r="J1453" i="3"/>
  <c r="I1453" i="3"/>
  <c r="H1453" i="3"/>
  <c r="G1453" i="3"/>
  <c r="L1452" i="3"/>
  <c r="K1452" i="3"/>
  <c r="J1452" i="3"/>
  <c r="I1452" i="3"/>
  <c r="H1452" i="3"/>
  <c r="G1452" i="3"/>
  <c r="L1451" i="3"/>
  <c r="K1451" i="3"/>
  <c r="J1451" i="3"/>
  <c r="I1451" i="3"/>
  <c r="H1451" i="3"/>
  <c r="G1451" i="3"/>
  <c r="L1450" i="3"/>
  <c r="K1450" i="3"/>
  <c r="J1450" i="3"/>
  <c r="I1450" i="3"/>
  <c r="H1450" i="3"/>
  <c r="G1450" i="3"/>
  <c r="L1449" i="3"/>
  <c r="K1449" i="3"/>
  <c r="J1449" i="3"/>
  <c r="I1449" i="3"/>
  <c r="H1449" i="3"/>
  <c r="G1449" i="3"/>
  <c r="L1448" i="3"/>
  <c r="K1448" i="3"/>
  <c r="J1448" i="3"/>
  <c r="I1448" i="3"/>
  <c r="H1448" i="3"/>
  <c r="G1448" i="3"/>
  <c r="L1447" i="3"/>
  <c r="K1447" i="3"/>
  <c r="J1447" i="3"/>
  <c r="I1447" i="3"/>
  <c r="H1447" i="3"/>
  <c r="G1447" i="3"/>
  <c r="L1446" i="3"/>
  <c r="K1446" i="3"/>
  <c r="J1446" i="3"/>
  <c r="I1446" i="3"/>
  <c r="H1446" i="3"/>
  <c r="G1446" i="3"/>
  <c r="L1445" i="3"/>
  <c r="K1445" i="3"/>
  <c r="J1445" i="3"/>
  <c r="I1445" i="3"/>
  <c r="H1445" i="3"/>
  <c r="G1445" i="3"/>
  <c r="L1444" i="3"/>
  <c r="K1444" i="3"/>
  <c r="J1444" i="3"/>
  <c r="I1444" i="3"/>
  <c r="H1444" i="3"/>
  <c r="G1444" i="3"/>
  <c r="L1443" i="3"/>
  <c r="K1443" i="3"/>
  <c r="J1443" i="3"/>
  <c r="I1443" i="3"/>
  <c r="H1443" i="3"/>
  <c r="G1443" i="3"/>
  <c r="L1442" i="3"/>
  <c r="K1442" i="3"/>
  <c r="J1442" i="3"/>
  <c r="I1442" i="3"/>
  <c r="H1442" i="3"/>
  <c r="G1442" i="3"/>
  <c r="L1441" i="3"/>
  <c r="K1441" i="3"/>
  <c r="J1441" i="3"/>
  <c r="I1441" i="3"/>
  <c r="H1441" i="3"/>
  <c r="G1441" i="3"/>
  <c r="L1440" i="3"/>
  <c r="K1440" i="3"/>
  <c r="J1440" i="3"/>
  <c r="I1440" i="3"/>
  <c r="H1440" i="3"/>
  <c r="G1440" i="3"/>
  <c r="L1439" i="3"/>
  <c r="K1439" i="3"/>
  <c r="J1439" i="3"/>
  <c r="I1439" i="3"/>
  <c r="H1439" i="3"/>
  <c r="G1439" i="3"/>
  <c r="L1438" i="3"/>
  <c r="K1438" i="3"/>
  <c r="J1438" i="3"/>
  <c r="I1438" i="3"/>
  <c r="H1438" i="3"/>
  <c r="G1438" i="3"/>
  <c r="L1437" i="3"/>
  <c r="K1437" i="3"/>
  <c r="J1437" i="3"/>
  <c r="I1437" i="3"/>
  <c r="H1437" i="3"/>
  <c r="G1437" i="3"/>
  <c r="L1436" i="3"/>
  <c r="K1436" i="3"/>
  <c r="J1436" i="3"/>
  <c r="I1436" i="3"/>
  <c r="H1436" i="3"/>
  <c r="G1436" i="3"/>
  <c r="L1435" i="3"/>
  <c r="K1435" i="3"/>
  <c r="J1435" i="3"/>
  <c r="I1435" i="3"/>
  <c r="H1435" i="3"/>
  <c r="G1435" i="3"/>
  <c r="L1434" i="3"/>
  <c r="K1434" i="3"/>
  <c r="J1434" i="3"/>
  <c r="I1434" i="3"/>
  <c r="H1434" i="3"/>
  <c r="G1434" i="3"/>
  <c r="L1433" i="3"/>
  <c r="K1433" i="3"/>
  <c r="J1433" i="3"/>
  <c r="I1433" i="3"/>
  <c r="H1433" i="3"/>
  <c r="G1433" i="3"/>
  <c r="L1432" i="3"/>
  <c r="K1432" i="3"/>
  <c r="J1432" i="3"/>
  <c r="I1432" i="3"/>
  <c r="H1432" i="3"/>
  <c r="G1432" i="3"/>
  <c r="L1431" i="3"/>
  <c r="K1431" i="3"/>
  <c r="J1431" i="3"/>
  <c r="I1431" i="3"/>
  <c r="H1431" i="3"/>
  <c r="G1431" i="3"/>
  <c r="O1430" i="3"/>
  <c r="L1430" i="3"/>
  <c r="K1430" i="3"/>
  <c r="J1430" i="3"/>
  <c r="I1430" i="3"/>
  <c r="H1430" i="3"/>
  <c r="G1430" i="3"/>
  <c r="L1429" i="3"/>
  <c r="K1429" i="3"/>
  <c r="J1429" i="3"/>
  <c r="I1429" i="3"/>
  <c r="H1429" i="3"/>
  <c r="G1429" i="3"/>
  <c r="L1428" i="3"/>
  <c r="K1428" i="3"/>
  <c r="J1428" i="3"/>
  <c r="I1428" i="3"/>
  <c r="H1428" i="3"/>
  <c r="G1428" i="3"/>
  <c r="L1427" i="3"/>
  <c r="K1427" i="3"/>
  <c r="J1427" i="3"/>
  <c r="I1427" i="3"/>
  <c r="H1427" i="3"/>
  <c r="G1427" i="3"/>
  <c r="L1426" i="3"/>
  <c r="K1426" i="3"/>
  <c r="J1426" i="3"/>
  <c r="I1426" i="3"/>
  <c r="H1426" i="3"/>
  <c r="G1426" i="3"/>
  <c r="L1425" i="3"/>
  <c r="K1425" i="3"/>
  <c r="J1425" i="3"/>
  <c r="I1425" i="3"/>
  <c r="H1425" i="3"/>
  <c r="G1425" i="3"/>
  <c r="L1424" i="3"/>
  <c r="K1424" i="3"/>
  <c r="J1424" i="3"/>
  <c r="I1424" i="3"/>
  <c r="H1424" i="3"/>
  <c r="G1424" i="3"/>
  <c r="L1423" i="3"/>
  <c r="K1423" i="3"/>
  <c r="J1423" i="3"/>
  <c r="I1423" i="3"/>
  <c r="H1423" i="3"/>
  <c r="G1423" i="3"/>
  <c r="L1422" i="3"/>
  <c r="K1422" i="3"/>
  <c r="J1422" i="3"/>
  <c r="I1422" i="3"/>
  <c r="H1422" i="3"/>
  <c r="G1422" i="3"/>
  <c r="L1421" i="3"/>
  <c r="K1421" i="3"/>
  <c r="J1421" i="3"/>
  <c r="I1421" i="3"/>
  <c r="H1421" i="3"/>
  <c r="G1421" i="3"/>
  <c r="L1420" i="3"/>
  <c r="K1420" i="3"/>
  <c r="J1420" i="3"/>
  <c r="I1420" i="3"/>
  <c r="H1420" i="3"/>
  <c r="G1420" i="3"/>
  <c r="L1419" i="3"/>
  <c r="K1419" i="3"/>
  <c r="J1419" i="3"/>
  <c r="I1419" i="3"/>
  <c r="H1419" i="3"/>
  <c r="G1419" i="3"/>
  <c r="L1418" i="3"/>
  <c r="K1418" i="3"/>
  <c r="J1418" i="3"/>
  <c r="I1418" i="3"/>
  <c r="H1418" i="3"/>
  <c r="G1418" i="3"/>
  <c r="L1417" i="3"/>
  <c r="K1417" i="3"/>
  <c r="J1417" i="3"/>
  <c r="I1417" i="3"/>
  <c r="H1417" i="3"/>
  <c r="G1417" i="3"/>
  <c r="L1416" i="3"/>
  <c r="K1416" i="3"/>
  <c r="J1416" i="3"/>
  <c r="I1416" i="3"/>
  <c r="H1416" i="3"/>
  <c r="G1416" i="3"/>
  <c r="L1415" i="3"/>
  <c r="K1415" i="3"/>
  <c r="J1415" i="3"/>
  <c r="I1415" i="3"/>
  <c r="H1415" i="3"/>
  <c r="G1415" i="3"/>
  <c r="L1414" i="3"/>
  <c r="K1414" i="3"/>
  <c r="J1414" i="3"/>
  <c r="I1414" i="3"/>
  <c r="H1414" i="3"/>
  <c r="G1414" i="3"/>
  <c r="L1413" i="3"/>
  <c r="K1413" i="3"/>
  <c r="J1413" i="3"/>
  <c r="I1413" i="3"/>
  <c r="H1413" i="3"/>
  <c r="G1413" i="3"/>
  <c r="L1412" i="3"/>
  <c r="K1412" i="3"/>
  <c r="J1412" i="3"/>
  <c r="I1412" i="3"/>
  <c r="H1412" i="3"/>
  <c r="G1412" i="3"/>
  <c r="L1411" i="3"/>
  <c r="K1411" i="3"/>
  <c r="J1411" i="3"/>
  <c r="I1411" i="3"/>
  <c r="H1411" i="3"/>
  <c r="G1411" i="3"/>
  <c r="L1410" i="3"/>
  <c r="K1410" i="3"/>
  <c r="J1410" i="3"/>
  <c r="I1410" i="3"/>
  <c r="H1410" i="3"/>
  <c r="G1410" i="3"/>
  <c r="L1409" i="3"/>
  <c r="K1409" i="3"/>
  <c r="J1409" i="3"/>
  <c r="I1409" i="3"/>
  <c r="H1409" i="3"/>
  <c r="G1409" i="3"/>
  <c r="L1408" i="3"/>
  <c r="K1408" i="3"/>
  <c r="J1408" i="3"/>
  <c r="I1408" i="3"/>
  <c r="H1408" i="3"/>
  <c r="G1408" i="3"/>
  <c r="L1407" i="3"/>
  <c r="K1407" i="3"/>
  <c r="J1407" i="3"/>
  <c r="I1407" i="3"/>
  <c r="H1407" i="3"/>
  <c r="G1407" i="3"/>
  <c r="L1406" i="3"/>
  <c r="K1406" i="3"/>
  <c r="J1406" i="3"/>
  <c r="I1406" i="3"/>
  <c r="H1406" i="3"/>
  <c r="G1406" i="3"/>
  <c r="L1405" i="3"/>
  <c r="K1405" i="3"/>
  <c r="J1405" i="3"/>
  <c r="I1405" i="3"/>
  <c r="H1405" i="3"/>
  <c r="G1405" i="3"/>
  <c r="L1404" i="3"/>
  <c r="K1404" i="3"/>
  <c r="J1404" i="3"/>
  <c r="I1404" i="3"/>
  <c r="H1404" i="3"/>
  <c r="G1404" i="3"/>
  <c r="L1403" i="3"/>
  <c r="K1403" i="3"/>
  <c r="J1403" i="3"/>
  <c r="I1403" i="3"/>
  <c r="H1403" i="3"/>
  <c r="G1403" i="3"/>
  <c r="L1402" i="3"/>
  <c r="K1402" i="3"/>
  <c r="J1402" i="3"/>
  <c r="I1402" i="3"/>
  <c r="H1402" i="3"/>
  <c r="G1402" i="3"/>
  <c r="L1401" i="3"/>
  <c r="K1401" i="3"/>
  <c r="J1401" i="3"/>
  <c r="I1401" i="3"/>
  <c r="H1401" i="3"/>
  <c r="G1401" i="3"/>
  <c r="L1400" i="3"/>
  <c r="K1400" i="3"/>
  <c r="J1400" i="3"/>
  <c r="I1400" i="3"/>
  <c r="H1400" i="3"/>
  <c r="G1400" i="3"/>
  <c r="L1399" i="3"/>
  <c r="K1399" i="3"/>
  <c r="J1399" i="3"/>
  <c r="I1399" i="3"/>
  <c r="H1399" i="3"/>
  <c r="G1399" i="3"/>
  <c r="L1398" i="3"/>
  <c r="K1398" i="3"/>
  <c r="J1398" i="3"/>
  <c r="I1398" i="3"/>
  <c r="H1398" i="3"/>
  <c r="G1398" i="3"/>
  <c r="L1397" i="3"/>
  <c r="K1397" i="3"/>
  <c r="J1397" i="3"/>
  <c r="I1397" i="3"/>
  <c r="H1397" i="3"/>
  <c r="G1397" i="3"/>
  <c r="O1396" i="3"/>
  <c r="L1396" i="3"/>
  <c r="K1396" i="3"/>
  <c r="J1396" i="3"/>
  <c r="I1396" i="3"/>
  <c r="H1396" i="3"/>
  <c r="G1396" i="3"/>
  <c r="L1395" i="3"/>
  <c r="K1395" i="3"/>
  <c r="J1395" i="3"/>
  <c r="I1395" i="3"/>
  <c r="H1395" i="3"/>
  <c r="G1395" i="3"/>
  <c r="L1394" i="3"/>
  <c r="K1394" i="3"/>
  <c r="J1394" i="3"/>
  <c r="I1394" i="3"/>
  <c r="H1394" i="3"/>
  <c r="G1394" i="3"/>
  <c r="L1393" i="3"/>
  <c r="K1393" i="3"/>
  <c r="J1393" i="3"/>
  <c r="I1393" i="3"/>
  <c r="H1393" i="3"/>
  <c r="G1393" i="3"/>
  <c r="L1392" i="3"/>
  <c r="K1392" i="3"/>
  <c r="J1392" i="3"/>
  <c r="I1392" i="3"/>
  <c r="H1392" i="3"/>
  <c r="G1392" i="3"/>
  <c r="L1391" i="3"/>
  <c r="K1391" i="3"/>
  <c r="J1391" i="3"/>
  <c r="I1391" i="3"/>
  <c r="H1391" i="3"/>
  <c r="G1391" i="3"/>
  <c r="L1390" i="3"/>
  <c r="K1390" i="3"/>
  <c r="J1390" i="3"/>
  <c r="I1390" i="3"/>
  <c r="H1390" i="3"/>
  <c r="G1390" i="3"/>
  <c r="L1389" i="3"/>
  <c r="K1389" i="3"/>
  <c r="J1389" i="3"/>
  <c r="I1389" i="3"/>
  <c r="H1389" i="3"/>
  <c r="G1389" i="3"/>
  <c r="L1388" i="3"/>
  <c r="K1388" i="3"/>
  <c r="J1388" i="3"/>
  <c r="I1388" i="3"/>
  <c r="H1388" i="3"/>
  <c r="G1388" i="3"/>
  <c r="L1387" i="3"/>
  <c r="K1387" i="3"/>
  <c r="J1387" i="3"/>
  <c r="I1387" i="3"/>
  <c r="H1387" i="3"/>
  <c r="G1387" i="3"/>
  <c r="L1386" i="3"/>
  <c r="K1386" i="3"/>
  <c r="J1386" i="3"/>
  <c r="I1386" i="3"/>
  <c r="H1386" i="3"/>
  <c r="G1386" i="3"/>
  <c r="L1385" i="3"/>
  <c r="K1385" i="3"/>
  <c r="J1385" i="3"/>
  <c r="I1385" i="3"/>
  <c r="H1385" i="3"/>
  <c r="G1385" i="3"/>
  <c r="L1384" i="3"/>
  <c r="K1384" i="3"/>
  <c r="J1384" i="3"/>
  <c r="I1384" i="3"/>
  <c r="H1384" i="3"/>
  <c r="G1384" i="3"/>
  <c r="L1383" i="3"/>
  <c r="K1383" i="3"/>
  <c r="J1383" i="3"/>
  <c r="I1383" i="3"/>
  <c r="H1383" i="3"/>
  <c r="G1383" i="3"/>
  <c r="L1382" i="3"/>
  <c r="K1382" i="3"/>
  <c r="J1382" i="3"/>
  <c r="I1382" i="3"/>
  <c r="H1382" i="3"/>
  <c r="G1382" i="3"/>
  <c r="L1381" i="3"/>
  <c r="K1381" i="3"/>
  <c r="J1381" i="3"/>
  <c r="I1381" i="3"/>
  <c r="H1381" i="3"/>
  <c r="G1381" i="3"/>
  <c r="L1380" i="3"/>
  <c r="K1380" i="3"/>
  <c r="J1380" i="3"/>
  <c r="I1380" i="3"/>
  <c r="H1380" i="3"/>
  <c r="G1380" i="3"/>
  <c r="L1379" i="3"/>
  <c r="K1379" i="3"/>
  <c r="J1379" i="3"/>
  <c r="I1379" i="3"/>
  <c r="H1379" i="3"/>
  <c r="G1379" i="3"/>
  <c r="L1378" i="3"/>
  <c r="K1378" i="3"/>
  <c r="J1378" i="3"/>
  <c r="I1378" i="3"/>
  <c r="H1378" i="3"/>
  <c r="G1378" i="3"/>
  <c r="L1377" i="3"/>
  <c r="K1377" i="3"/>
  <c r="J1377" i="3"/>
  <c r="I1377" i="3"/>
  <c r="H1377" i="3"/>
  <c r="G1377" i="3"/>
  <c r="L1376" i="3"/>
  <c r="K1376" i="3"/>
  <c r="J1376" i="3"/>
  <c r="I1376" i="3"/>
  <c r="H1376" i="3"/>
  <c r="G1376" i="3"/>
  <c r="L1375" i="3"/>
  <c r="K1375" i="3"/>
  <c r="J1375" i="3"/>
  <c r="I1375" i="3"/>
  <c r="H1375" i="3"/>
  <c r="G1375" i="3"/>
  <c r="L1374" i="3"/>
  <c r="K1374" i="3"/>
  <c r="J1374" i="3"/>
  <c r="I1374" i="3"/>
  <c r="H1374" i="3"/>
  <c r="G1374" i="3"/>
  <c r="L1373" i="3"/>
  <c r="K1373" i="3"/>
  <c r="J1373" i="3"/>
  <c r="I1373" i="3"/>
  <c r="H1373" i="3"/>
  <c r="G1373" i="3"/>
  <c r="L1372" i="3"/>
  <c r="K1372" i="3"/>
  <c r="J1372" i="3"/>
  <c r="I1372" i="3"/>
  <c r="H1372" i="3"/>
  <c r="G1372" i="3"/>
  <c r="L1371" i="3"/>
  <c r="K1371" i="3"/>
  <c r="J1371" i="3"/>
  <c r="I1371" i="3"/>
  <c r="H1371" i="3"/>
  <c r="G1371" i="3"/>
  <c r="L1370" i="3"/>
  <c r="K1370" i="3"/>
  <c r="J1370" i="3"/>
  <c r="I1370" i="3"/>
  <c r="H1370" i="3"/>
  <c r="G1370" i="3"/>
  <c r="L1369" i="3"/>
  <c r="K1369" i="3"/>
  <c r="J1369" i="3"/>
  <c r="I1369" i="3"/>
  <c r="H1369" i="3"/>
  <c r="G1369" i="3"/>
  <c r="L1368" i="3"/>
  <c r="K1368" i="3"/>
  <c r="J1368" i="3"/>
  <c r="I1368" i="3"/>
  <c r="H1368" i="3"/>
  <c r="G1368" i="3"/>
  <c r="L1367" i="3"/>
  <c r="K1367" i="3"/>
  <c r="J1367" i="3"/>
  <c r="I1367" i="3"/>
  <c r="H1367" i="3"/>
  <c r="G1367" i="3"/>
  <c r="L1366" i="3"/>
  <c r="K1366" i="3"/>
  <c r="J1366" i="3"/>
  <c r="I1366" i="3"/>
  <c r="H1366" i="3"/>
  <c r="G1366" i="3"/>
  <c r="L1365" i="3"/>
  <c r="K1365" i="3"/>
  <c r="J1365" i="3"/>
  <c r="I1365" i="3"/>
  <c r="H1365" i="3"/>
  <c r="G1365" i="3"/>
  <c r="L1364" i="3"/>
  <c r="K1364" i="3"/>
  <c r="J1364" i="3"/>
  <c r="I1364" i="3"/>
  <c r="H1364" i="3"/>
  <c r="G1364" i="3"/>
  <c r="L1363" i="3"/>
  <c r="K1363" i="3"/>
  <c r="J1363" i="3"/>
  <c r="I1363" i="3"/>
  <c r="H1363" i="3"/>
  <c r="G1363" i="3"/>
  <c r="O1362" i="3"/>
  <c r="L1362" i="3"/>
  <c r="K1362" i="3"/>
  <c r="J1362" i="3"/>
  <c r="I1362" i="3"/>
  <c r="H1362" i="3"/>
  <c r="G1362" i="3"/>
  <c r="L1361" i="3"/>
  <c r="K1361" i="3"/>
  <c r="J1361" i="3"/>
  <c r="I1361" i="3"/>
  <c r="H1361" i="3"/>
  <c r="G1361" i="3"/>
  <c r="L1360" i="3"/>
  <c r="K1360" i="3"/>
  <c r="J1360" i="3"/>
  <c r="I1360" i="3"/>
  <c r="H1360" i="3"/>
  <c r="G1360" i="3"/>
  <c r="L1359" i="3"/>
  <c r="K1359" i="3"/>
  <c r="J1359" i="3"/>
  <c r="I1359" i="3"/>
  <c r="H1359" i="3"/>
  <c r="G1359" i="3"/>
  <c r="L1358" i="3"/>
  <c r="K1358" i="3"/>
  <c r="J1358" i="3"/>
  <c r="I1358" i="3"/>
  <c r="H1358" i="3"/>
  <c r="G1358" i="3"/>
  <c r="L1357" i="3"/>
  <c r="K1357" i="3"/>
  <c r="J1357" i="3"/>
  <c r="I1357" i="3"/>
  <c r="H1357" i="3"/>
  <c r="G1357" i="3"/>
  <c r="L1356" i="3"/>
  <c r="K1356" i="3"/>
  <c r="J1356" i="3"/>
  <c r="I1356" i="3"/>
  <c r="H1356" i="3"/>
  <c r="G1356" i="3"/>
  <c r="L1355" i="3"/>
  <c r="K1355" i="3"/>
  <c r="J1355" i="3"/>
  <c r="I1355" i="3"/>
  <c r="H1355" i="3"/>
  <c r="G1355" i="3"/>
  <c r="L1354" i="3"/>
  <c r="K1354" i="3"/>
  <c r="J1354" i="3"/>
  <c r="I1354" i="3"/>
  <c r="H1354" i="3"/>
  <c r="G1354" i="3"/>
  <c r="L1353" i="3"/>
  <c r="K1353" i="3"/>
  <c r="J1353" i="3"/>
  <c r="I1353" i="3"/>
  <c r="H1353" i="3"/>
  <c r="G1353" i="3"/>
  <c r="L1352" i="3"/>
  <c r="K1352" i="3"/>
  <c r="J1352" i="3"/>
  <c r="I1352" i="3"/>
  <c r="H1352" i="3"/>
  <c r="G1352" i="3"/>
  <c r="L1351" i="3"/>
  <c r="K1351" i="3"/>
  <c r="J1351" i="3"/>
  <c r="I1351" i="3"/>
  <c r="H1351" i="3"/>
  <c r="G1351" i="3"/>
  <c r="L1350" i="3"/>
  <c r="K1350" i="3"/>
  <c r="J1350" i="3"/>
  <c r="I1350" i="3"/>
  <c r="H1350" i="3"/>
  <c r="G1350" i="3"/>
  <c r="L1349" i="3"/>
  <c r="K1349" i="3"/>
  <c r="J1349" i="3"/>
  <c r="I1349" i="3"/>
  <c r="H1349" i="3"/>
  <c r="G1349" i="3"/>
  <c r="L1348" i="3"/>
  <c r="K1348" i="3"/>
  <c r="J1348" i="3"/>
  <c r="I1348" i="3"/>
  <c r="H1348" i="3"/>
  <c r="G1348" i="3"/>
  <c r="L1347" i="3"/>
  <c r="K1347" i="3"/>
  <c r="J1347" i="3"/>
  <c r="I1347" i="3"/>
  <c r="H1347" i="3"/>
  <c r="G1347" i="3"/>
  <c r="L1346" i="3"/>
  <c r="K1346" i="3"/>
  <c r="J1346" i="3"/>
  <c r="I1346" i="3"/>
  <c r="H1346" i="3"/>
  <c r="G1346" i="3"/>
  <c r="L1345" i="3"/>
  <c r="K1345" i="3"/>
  <c r="J1345" i="3"/>
  <c r="I1345" i="3"/>
  <c r="H1345" i="3"/>
  <c r="G1345" i="3"/>
  <c r="L1344" i="3"/>
  <c r="K1344" i="3"/>
  <c r="J1344" i="3"/>
  <c r="I1344" i="3"/>
  <c r="H1344" i="3"/>
  <c r="G1344" i="3"/>
  <c r="L1343" i="3"/>
  <c r="K1343" i="3"/>
  <c r="J1343" i="3"/>
  <c r="I1343" i="3"/>
  <c r="H1343" i="3"/>
  <c r="G1343" i="3"/>
  <c r="L1342" i="3"/>
  <c r="K1342" i="3"/>
  <c r="J1342" i="3"/>
  <c r="I1342" i="3"/>
  <c r="H1342" i="3"/>
  <c r="G1342" i="3"/>
  <c r="L1341" i="3"/>
  <c r="K1341" i="3"/>
  <c r="J1341" i="3"/>
  <c r="I1341" i="3"/>
  <c r="H1341" i="3"/>
  <c r="G1341" i="3"/>
  <c r="L1340" i="3"/>
  <c r="K1340" i="3"/>
  <c r="J1340" i="3"/>
  <c r="I1340" i="3"/>
  <c r="H1340" i="3"/>
  <c r="G1340" i="3"/>
  <c r="L1339" i="3"/>
  <c r="K1339" i="3"/>
  <c r="J1339" i="3"/>
  <c r="I1339" i="3"/>
  <c r="H1339" i="3"/>
  <c r="G1339" i="3"/>
  <c r="L1338" i="3"/>
  <c r="K1338" i="3"/>
  <c r="J1338" i="3"/>
  <c r="I1338" i="3"/>
  <c r="H1338" i="3"/>
  <c r="G1338" i="3"/>
  <c r="L1337" i="3"/>
  <c r="K1337" i="3"/>
  <c r="J1337" i="3"/>
  <c r="I1337" i="3"/>
  <c r="H1337" i="3"/>
  <c r="G1337" i="3"/>
  <c r="L1336" i="3"/>
  <c r="K1336" i="3"/>
  <c r="J1336" i="3"/>
  <c r="I1336" i="3"/>
  <c r="H1336" i="3"/>
  <c r="G1336" i="3"/>
  <c r="L1335" i="3"/>
  <c r="K1335" i="3"/>
  <c r="J1335" i="3"/>
  <c r="I1335" i="3"/>
  <c r="H1335" i="3"/>
  <c r="G1335" i="3"/>
  <c r="L1334" i="3"/>
  <c r="K1334" i="3"/>
  <c r="J1334" i="3"/>
  <c r="I1334" i="3"/>
  <c r="H1334" i="3"/>
  <c r="G1334" i="3"/>
  <c r="L1333" i="3"/>
  <c r="K1333" i="3"/>
  <c r="J1333" i="3"/>
  <c r="I1333" i="3"/>
  <c r="H1333" i="3"/>
  <c r="G1333" i="3"/>
  <c r="L1332" i="3"/>
  <c r="K1332" i="3"/>
  <c r="J1332" i="3"/>
  <c r="I1332" i="3"/>
  <c r="H1332" i="3"/>
  <c r="G1332" i="3"/>
  <c r="L1331" i="3"/>
  <c r="K1331" i="3"/>
  <c r="J1331" i="3"/>
  <c r="I1331" i="3"/>
  <c r="H1331" i="3"/>
  <c r="G1331" i="3"/>
  <c r="L1330" i="3"/>
  <c r="K1330" i="3"/>
  <c r="J1330" i="3"/>
  <c r="I1330" i="3"/>
  <c r="H1330" i="3"/>
  <c r="G1330" i="3"/>
  <c r="L1329" i="3"/>
  <c r="K1329" i="3"/>
  <c r="J1329" i="3"/>
  <c r="I1329" i="3"/>
  <c r="H1329" i="3"/>
  <c r="G1329" i="3"/>
  <c r="O1328" i="3"/>
  <c r="L1328" i="3"/>
  <c r="K1328" i="3"/>
  <c r="J1328" i="3"/>
  <c r="I1328" i="3"/>
  <c r="H1328" i="3"/>
  <c r="G1328" i="3"/>
  <c r="L1327" i="3"/>
  <c r="K1327" i="3"/>
  <c r="J1327" i="3"/>
  <c r="I1327" i="3"/>
  <c r="H1327" i="3"/>
  <c r="G1327" i="3"/>
  <c r="L1326" i="3"/>
  <c r="K1326" i="3"/>
  <c r="J1326" i="3"/>
  <c r="I1326" i="3"/>
  <c r="H1326" i="3"/>
  <c r="G1326" i="3"/>
  <c r="L1325" i="3"/>
  <c r="K1325" i="3"/>
  <c r="J1325" i="3"/>
  <c r="I1325" i="3"/>
  <c r="H1325" i="3"/>
  <c r="G1325" i="3"/>
  <c r="L1324" i="3"/>
  <c r="K1324" i="3"/>
  <c r="J1324" i="3"/>
  <c r="I1324" i="3"/>
  <c r="H1324" i="3"/>
  <c r="G1324" i="3"/>
  <c r="L1323" i="3"/>
  <c r="K1323" i="3"/>
  <c r="J1323" i="3"/>
  <c r="I1323" i="3"/>
  <c r="H1323" i="3"/>
  <c r="G1323" i="3"/>
  <c r="L1322" i="3"/>
  <c r="K1322" i="3"/>
  <c r="J1322" i="3"/>
  <c r="I1322" i="3"/>
  <c r="H1322" i="3"/>
  <c r="G1322" i="3"/>
  <c r="L1321" i="3"/>
  <c r="K1321" i="3"/>
  <c r="J1321" i="3"/>
  <c r="I1321" i="3"/>
  <c r="H1321" i="3"/>
  <c r="G1321" i="3"/>
  <c r="L1320" i="3"/>
  <c r="K1320" i="3"/>
  <c r="J1320" i="3"/>
  <c r="I1320" i="3"/>
  <c r="H1320" i="3"/>
  <c r="G1320" i="3"/>
  <c r="L1319" i="3"/>
  <c r="K1319" i="3"/>
  <c r="J1319" i="3"/>
  <c r="I1319" i="3"/>
  <c r="H1319" i="3"/>
  <c r="G1319" i="3"/>
  <c r="L1318" i="3"/>
  <c r="K1318" i="3"/>
  <c r="J1318" i="3"/>
  <c r="I1318" i="3"/>
  <c r="H1318" i="3"/>
  <c r="G1318" i="3"/>
  <c r="L1317" i="3"/>
  <c r="K1317" i="3"/>
  <c r="J1317" i="3"/>
  <c r="I1317" i="3"/>
  <c r="H1317" i="3"/>
  <c r="G1317" i="3"/>
  <c r="L1316" i="3"/>
  <c r="K1316" i="3"/>
  <c r="J1316" i="3"/>
  <c r="I1316" i="3"/>
  <c r="H1316" i="3"/>
  <c r="G1316" i="3"/>
  <c r="L1315" i="3"/>
  <c r="K1315" i="3"/>
  <c r="J1315" i="3"/>
  <c r="I1315" i="3"/>
  <c r="H1315" i="3"/>
  <c r="G1315" i="3"/>
  <c r="L1314" i="3"/>
  <c r="K1314" i="3"/>
  <c r="J1314" i="3"/>
  <c r="I1314" i="3"/>
  <c r="H1314" i="3"/>
  <c r="G1314" i="3"/>
  <c r="L1313" i="3"/>
  <c r="K1313" i="3"/>
  <c r="J1313" i="3"/>
  <c r="I1313" i="3"/>
  <c r="H1313" i="3"/>
  <c r="G1313" i="3"/>
  <c r="L1312" i="3"/>
  <c r="K1312" i="3"/>
  <c r="J1312" i="3"/>
  <c r="I1312" i="3"/>
  <c r="H1312" i="3"/>
  <c r="G1312" i="3"/>
  <c r="L1311" i="3"/>
  <c r="K1311" i="3"/>
  <c r="J1311" i="3"/>
  <c r="I1311" i="3"/>
  <c r="H1311" i="3"/>
  <c r="G1311" i="3"/>
  <c r="L1310" i="3"/>
  <c r="K1310" i="3"/>
  <c r="J1310" i="3"/>
  <c r="I1310" i="3"/>
  <c r="H1310" i="3"/>
  <c r="G1310" i="3"/>
  <c r="L1309" i="3"/>
  <c r="K1309" i="3"/>
  <c r="J1309" i="3"/>
  <c r="I1309" i="3"/>
  <c r="H1309" i="3"/>
  <c r="G1309" i="3"/>
  <c r="L1308" i="3"/>
  <c r="K1308" i="3"/>
  <c r="J1308" i="3"/>
  <c r="I1308" i="3"/>
  <c r="H1308" i="3"/>
  <c r="G1308" i="3"/>
  <c r="L1307" i="3"/>
  <c r="K1307" i="3"/>
  <c r="J1307" i="3"/>
  <c r="I1307" i="3"/>
  <c r="H1307" i="3"/>
  <c r="G1307" i="3"/>
  <c r="L1306" i="3"/>
  <c r="K1306" i="3"/>
  <c r="J1306" i="3"/>
  <c r="I1306" i="3"/>
  <c r="H1306" i="3"/>
  <c r="G1306" i="3"/>
  <c r="L1305" i="3"/>
  <c r="K1305" i="3"/>
  <c r="J1305" i="3"/>
  <c r="I1305" i="3"/>
  <c r="H1305" i="3"/>
  <c r="G1305" i="3"/>
  <c r="L1304" i="3"/>
  <c r="K1304" i="3"/>
  <c r="J1304" i="3"/>
  <c r="I1304" i="3"/>
  <c r="H1304" i="3"/>
  <c r="G1304" i="3"/>
  <c r="L1303" i="3"/>
  <c r="K1303" i="3"/>
  <c r="J1303" i="3"/>
  <c r="I1303" i="3"/>
  <c r="H1303" i="3"/>
  <c r="G1303" i="3"/>
  <c r="L1302" i="3"/>
  <c r="K1302" i="3"/>
  <c r="J1302" i="3"/>
  <c r="I1302" i="3"/>
  <c r="H1302" i="3"/>
  <c r="G1302" i="3"/>
  <c r="L1301" i="3"/>
  <c r="K1301" i="3"/>
  <c r="J1301" i="3"/>
  <c r="I1301" i="3"/>
  <c r="H1301" i="3"/>
  <c r="G1301" i="3"/>
  <c r="L1300" i="3"/>
  <c r="K1300" i="3"/>
  <c r="J1300" i="3"/>
  <c r="I1300" i="3"/>
  <c r="H1300" i="3"/>
  <c r="G1300" i="3"/>
  <c r="L1299" i="3"/>
  <c r="K1299" i="3"/>
  <c r="J1299" i="3"/>
  <c r="I1299" i="3"/>
  <c r="H1299" i="3"/>
  <c r="G1299" i="3"/>
  <c r="L1298" i="3"/>
  <c r="K1298" i="3"/>
  <c r="J1298" i="3"/>
  <c r="I1298" i="3"/>
  <c r="H1298" i="3"/>
  <c r="G1298" i="3"/>
  <c r="L1297" i="3"/>
  <c r="K1297" i="3"/>
  <c r="J1297" i="3"/>
  <c r="I1297" i="3"/>
  <c r="H1297" i="3"/>
  <c r="G1297" i="3"/>
  <c r="L1296" i="3"/>
  <c r="K1296" i="3"/>
  <c r="J1296" i="3"/>
  <c r="I1296" i="3"/>
  <c r="H1296" i="3"/>
  <c r="G1296" i="3"/>
  <c r="L1295" i="3"/>
  <c r="K1295" i="3"/>
  <c r="J1295" i="3"/>
  <c r="I1295" i="3"/>
  <c r="H1295" i="3"/>
  <c r="G1295" i="3"/>
  <c r="O1294" i="3"/>
  <c r="L1294" i="3"/>
  <c r="K1294" i="3"/>
  <c r="J1294" i="3"/>
  <c r="I1294" i="3"/>
  <c r="H1294" i="3"/>
  <c r="G1294" i="3"/>
  <c r="L1293" i="3"/>
  <c r="K1293" i="3"/>
  <c r="J1293" i="3"/>
  <c r="I1293" i="3"/>
  <c r="H1293" i="3"/>
  <c r="G1293" i="3"/>
  <c r="L1292" i="3"/>
  <c r="K1292" i="3"/>
  <c r="J1292" i="3"/>
  <c r="I1292" i="3"/>
  <c r="H1292" i="3"/>
  <c r="G1292" i="3"/>
  <c r="L1291" i="3"/>
  <c r="K1291" i="3"/>
  <c r="J1291" i="3"/>
  <c r="I1291" i="3"/>
  <c r="H1291" i="3"/>
  <c r="G1291" i="3"/>
  <c r="L1290" i="3"/>
  <c r="K1290" i="3"/>
  <c r="J1290" i="3"/>
  <c r="I1290" i="3"/>
  <c r="H1290" i="3"/>
  <c r="G1290" i="3"/>
  <c r="L1289" i="3"/>
  <c r="K1289" i="3"/>
  <c r="J1289" i="3"/>
  <c r="I1289" i="3"/>
  <c r="H1289" i="3"/>
  <c r="G1289" i="3"/>
  <c r="L1288" i="3"/>
  <c r="K1288" i="3"/>
  <c r="J1288" i="3"/>
  <c r="I1288" i="3"/>
  <c r="H1288" i="3"/>
  <c r="G1288" i="3"/>
  <c r="L1287" i="3"/>
  <c r="K1287" i="3"/>
  <c r="J1287" i="3"/>
  <c r="I1287" i="3"/>
  <c r="H1287" i="3"/>
  <c r="G1287" i="3"/>
  <c r="L1286" i="3"/>
  <c r="K1286" i="3"/>
  <c r="J1286" i="3"/>
  <c r="I1286" i="3"/>
  <c r="H1286" i="3"/>
  <c r="G1286" i="3"/>
  <c r="L1285" i="3"/>
  <c r="K1285" i="3"/>
  <c r="J1285" i="3"/>
  <c r="I1285" i="3"/>
  <c r="H1285" i="3"/>
  <c r="G1285" i="3"/>
  <c r="L1284" i="3"/>
  <c r="K1284" i="3"/>
  <c r="J1284" i="3"/>
  <c r="I1284" i="3"/>
  <c r="H1284" i="3"/>
  <c r="G1284" i="3"/>
  <c r="L1283" i="3"/>
  <c r="K1283" i="3"/>
  <c r="J1283" i="3"/>
  <c r="I1283" i="3"/>
  <c r="H1283" i="3"/>
  <c r="G1283" i="3"/>
  <c r="L1282" i="3"/>
  <c r="K1282" i="3"/>
  <c r="J1282" i="3"/>
  <c r="I1282" i="3"/>
  <c r="H1282" i="3"/>
  <c r="G1282" i="3"/>
  <c r="L1281" i="3"/>
  <c r="K1281" i="3"/>
  <c r="J1281" i="3"/>
  <c r="I1281" i="3"/>
  <c r="H1281" i="3"/>
  <c r="G1281" i="3"/>
  <c r="L1280" i="3"/>
  <c r="K1280" i="3"/>
  <c r="J1280" i="3"/>
  <c r="I1280" i="3"/>
  <c r="H1280" i="3"/>
  <c r="G1280" i="3"/>
  <c r="L1279" i="3"/>
  <c r="K1279" i="3"/>
  <c r="J1279" i="3"/>
  <c r="I1279" i="3"/>
  <c r="H1279" i="3"/>
  <c r="G1279" i="3"/>
  <c r="L1278" i="3"/>
  <c r="K1278" i="3"/>
  <c r="J1278" i="3"/>
  <c r="I1278" i="3"/>
  <c r="H1278" i="3"/>
  <c r="G1278" i="3"/>
  <c r="L1277" i="3"/>
  <c r="K1277" i="3"/>
  <c r="J1277" i="3"/>
  <c r="I1277" i="3"/>
  <c r="H1277" i="3"/>
  <c r="G1277" i="3"/>
  <c r="L1276" i="3"/>
  <c r="K1276" i="3"/>
  <c r="J1276" i="3"/>
  <c r="I1276" i="3"/>
  <c r="H1276" i="3"/>
  <c r="G1276" i="3"/>
  <c r="L1275" i="3"/>
  <c r="K1275" i="3"/>
  <c r="J1275" i="3"/>
  <c r="I1275" i="3"/>
  <c r="H1275" i="3"/>
  <c r="G1275" i="3"/>
  <c r="L1274" i="3"/>
  <c r="K1274" i="3"/>
  <c r="J1274" i="3"/>
  <c r="I1274" i="3"/>
  <c r="H1274" i="3"/>
  <c r="G1274" i="3"/>
  <c r="L1273" i="3"/>
  <c r="K1273" i="3"/>
  <c r="J1273" i="3"/>
  <c r="I1273" i="3"/>
  <c r="H1273" i="3"/>
  <c r="G1273" i="3"/>
  <c r="L1272" i="3"/>
  <c r="K1272" i="3"/>
  <c r="J1272" i="3"/>
  <c r="I1272" i="3"/>
  <c r="H1272" i="3"/>
  <c r="G1272" i="3"/>
  <c r="L1271" i="3"/>
  <c r="K1271" i="3"/>
  <c r="J1271" i="3"/>
  <c r="I1271" i="3"/>
  <c r="H1271" i="3"/>
  <c r="G1271" i="3"/>
  <c r="L1270" i="3"/>
  <c r="K1270" i="3"/>
  <c r="J1270" i="3"/>
  <c r="I1270" i="3"/>
  <c r="H1270" i="3"/>
  <c r="G1270" i="3"/>
  <c r="L1269" i="3"/>
  <c r="K1269" i="3"/>
  <c r="J1269" i="3"/>
  <c r="I1269" i="3"/>
  <c r="H1269" i="3"/>
  <c r="G1269" i="3"/>
  <c r="L1268" i="3"/>
  <c r="K1268" i="3"/>
  <c r="J1268" i="3"/>
  <c r="I1268" i="3"/>
  <c r="H1268" i="3"/>
  <c r="G1268" i="3"/>
  <c r="L1267" i="3"/>
  <c r="K1267" i="3"/>
  <c r="J1267" i="3"/>
  <c r="I1267" i="3"/>
  <c r="H1267" i="3"/>
  <c r="G1267" i="3"/>
  <c r="L1266" i="3"/>
  <c r="K1266" i="3"/>
  <c r="J1266" i="3"/>
  <c r="I1266" i="3"/>
  <c r="H1266" i="3"/>
  <c r="G1266" i="3"/>
  <c r="L1265" i="3"/>
  <c r="K1265" i="3"/>
  <c r="J1265" i="3"/>
  <c r="I1265" i="3"/>
  <c r="H1265" i="3"/>
  <c r="G1265" i="3"/>
  <c r="L1264" i="3"/>
  <c r="K1264" i="3"/>
  <c r="J1264" i="3"/>
  <c r="I1264" i="3"/>
  <c r="H1264" i="3"/>
  <c r="G1264" i="3"/>
  <c r="L1263" i="3"/>
  <c r="K1263" i="3"/>
  <c r="J1263" i="3"/>
  <c r="I1263" i="3"/>
  <c r="H1263" i="3"/>
  <c r="G1263" i="3"/>
  <c r="L1262" i="3"/>
  <c r="K1262" i="3"/>
  <c r="J1262" i="3"/>
  <c r="I1262" i="3"/>
  <c r="H1262" i="3"/>
  <c r="G1262" i="3"/>
  <c r="L1261" i="3"/>
  <c r="K1261" i="3"/>
  <c r="J1261" i="3"/>
  <c r="I1261" i="3"/>
  <c r="H1261" i="3"/>
  <c r="G1261" i="3"/>
  <c r="O1260" i="3"/>
  <c r="L1260" i="3"/>
  <c r="K1260" i="3"/>
  <c r="J1260" i="3"/>
  <c r="I1260" i="3"/>
  <c r="H1260" i="3"/>
  <c r="G1260" i="3"/>
  <c r="L1259" i="3"/>
  <c r="K1259" i="3"/>
  <c r="J1259" i="3"/>
  <c r="I1259" i="3"/>
  <c r="H1259" i="3"/>
  <c r="G1259" i="3"/>
  <c r="L1258" i="3"/>
  <c r="K1258" i="3"/>
  <c r="J1258" i="3"/>
  <c r="I1258" i="3"/>
  <c r="H1258" i="3"/>
  <c r="G1258" i="3"/>
  <c r="L1257" i="3"/>
  <c r="K1257" i="3"/>
  <c r="J1257" i="3"/>
  <c r="I1257" i="3"/>
  <c r="H1257" i="3"/>
  <c r="G1257" i="3"/>
  <c r="L1256" i="3"/>
  <c r="K1256" i="3"/>
  <c r="J1256" i="3"/>
  <c r="I1256" i="3"/>
  <c r="H1256" i="3"/>
  <c r="G1256" i="3"/>
  <c r="L1255" i="3"/>
  <c r="K1255" i="3"/>
  <c r="J1255" i="3"/>
  <c r="I1255" i="3"/>
  <c r="H1255" i="3"/>
  <c r="G1255" i="3"/>
  <c r="L1254" i="3"/>
  <c r="K1254" i="3"/>
  <c r="J1254" i="3"/>
  <c r="I1254" i="3"/>
  <c r="H1254" i="3"/>
  <c r="G1254" i="3"/>
  <c r="L1253" i="3"/>
  <c r="K1253" i="3"/>
  <c r="J1253" i="3"/>
  <c r="I1253" i="3"/>
  <c r="H1253" i="3"/>
  <c r="G1253" i="3"/>
  <c r="L1252" i="3"/>
  <c r="K1252" i="3"/>
  <c r="J1252" i="3"/>
  <c r="I1252" i="3"/>
  <c r="H1252" i="3"/>
  <c r="G1252" i="3"/>
  <c r="L1251" i="3"/>
  <c r="K1251" i="3"/>
  <c r="J1251" i="3"/>
  <c r="I1251" i="3"/>
  <c r="H1251" i="3"/>
  <c r="G1251" i="3"/>
  <c r="L1250" i="3"/>
  <c r="K1250" i="3"/>
  <c r="J1250" i="3"/>
  <c r="I1250" i="3"/>
  <c r="H1250" i="3"/>
  <c r="G1250" i="3"/>
  <c r="L1249" i="3"/>
  <c r="K1249" i="3"/>
  <c r="J1249" i="3"/>
  <c r="I1249" i="3"/>
  <c r="H1249" i="3"/>
  <c r="G1249" i="3"/>
  <c r="L1248" i="3"/>
  <c r="K1248" i="3"/>
  <c r="J1248" i="3"/>
  <c r="I1248" i="3"/>
  <c r="H1248" i="3"/>
  <c r="G1248" i="3"/>
  <c r="L1247" i="3"/>
  <c r="K1247" i="3"/>
  <c r="J1247" i="3"/>
  <c r="I1247" i="3"/>
  <c r="H1247" i="3"/>
  <c r="G1247" i="3"/>
  <c r="L1246" i="3"/>
  <c r="K1246" i="3"/>
  <c r="J1246" i="3"/>
  <c r="I1246" i="3"/>
  <c r="H1246" i="3"/>
  <c r="G1246" i="3"/>
  <c r="L1245" i="3"/>
  <c r="K1245" i="3"/>
  <c r="J1245" i="3"/>
  <c r="I1245" i="3"/>
  <c r="H1245" i="3"/>
  <c r="G1245" i="3"/>
  <c r="L1244" i="3"/>
  <c r="K1244" i="3"/>
  <c r="J1244" i="3"/>
  <c r="I1244" i="3"/>
  <c r="H1244" i="3"/>
  <c r="G1244" i="3"/>
  <c r="L1243" i="3"/>
  <c r="K1243" i="3"/>
  <c r="J1243" i="3"/>
  <c r="I1243" i="3"/>
  <c r="H1243" i="3"/>
  <c r="G1243" i="3"/>
  <c r="L1242" i="3"/>
  <c r="K1242" i="3"/>
  <c r="J1242" i="3"/>
  <c r="I1242" i="3"/>
  <c r="H1242" i="3"/>
  <c r="G1242" i="3"/>
  <c r="L1241" i="3"/>
  <c r="K1241" i="3"/>
  <c r="J1241" i="3"/>
  <c r="I1241" i="3"/>
  <c r="H1241" i="3"/>
  <c r="G1241" i="3"/>
  <c r="L1240" i="3"/>
  <c r="K1240" i="3"/>
  <c r="J1240" i="3"/>
  <c r="I1240" i="3"/>
  <c r="H1240" i="3"/>
  <c r="G1240" i="3"/>
  <c r="L1239" i="3"/>
  <c r="K1239" i="3"/>
  <c r="J1239" i="3"/>
  <c r="I1239" i="3"/>
  <c r="H1239" i="3"/>
  <c r="G1239" i="3"/>
  <c r="L1238" i="3"/>
  <c r="K1238" i="3"/>
  <c r="J1238" i="3"/>
  <c r="I1238" i="3"/>
  <c r="H1238" i="3"/>
  <c r="G1238" i="3"/>
  <c r="L1237" i="3"/>
  <c r="K1237" i="3"/>
  <c r="J1237" i="3"/>
  <c r="I1237" i="3"/>
  <c r="H1237" i="3"/>
  <c r="G1237" i="3"/>
  <c r="L1236" i="3"/>
  <c r="K1236" i="3"/>
  <c r="J1236" i="3"/>
  <c r="I1236" i="3"/>
  <c r="H1236" i="3"/>
  <c r="G1236" i="3"/>
  <c r="L1235" i="3"/>
  <c r="K1235" i="3"/>
  <c r="J1235" i="3"/>
  <c r="I1235" i="3"/>
  <c r="H1235" i="3"/>
  <c r="G1235" i="3"/>
  <c r="L1234" i="3"/>
  <c r="K1234" i="3"/>
  <c r="J1234" i="3"/>
  <c r="I1234" i="3"/>
  <c r="H1234" i="3"/>
  <c r="G1234" i="3"/>
  <c r="L1233" i="3"/>
  <c r="K1233" i="3"/>
  <c r="J1233" i="3"/>
  <c r="I1233" i="3"/>
  <c r="H1233" i="3"/>
  <c r="G1233" i="3"/>
  <c r="L1232" i="3"/>
  <c r="K1232" i="3"/>
  <c r="J1232" i="3"/>
  <c r="I1232" i="3"/>
  <c r="H1232" i="3"/>
  <c r="G1232" i="3"/>
  <c r="L1231" i="3"/>
  <c r="K1231" i="3"/>
  <c r="J1231" i="3"/>
  <c r="I1231" i="3"/>
  <c r="H1231" i="3"/>
  <c r="G1231" i="3"/>
  <c r="L1230" i="3"/>
  <c r="K1230" i="3"/>
  <c r="J1230" i="3"/>
  <c r="I1230" i="3"/>
  <c r="H1230" i="3"/>
  <c r="G1230" i="3"/>
  <c r="L1229" i="3"/>
  <c r="K1229" i="3"/>
  <c r="J1229" i="3"/>
  <c r="I1229" i="3"/>
  <c r="H1229" i="3"/>
  <c r="G1229" i="3"/>
  <c r="L1228" i="3"/>
  <c r="K1228" i="3"/>
  <c r="J1228" i="3"/>
  <c r="I1228" i="3"/>
  <c r="H1228" i="3"/>
  <c r="G1228" i="3"/>
  <c r="L1227" i="3"/>
  <c r="K1227" i="3"/>
  <c r="J1227" i="3"/>
  <c r="I1227" i="3"/>
  <c r="H1227" i="3"/>
  <c r="G1227" i="3"/>
  <c r="O1226" i="3"/>
  <c r="L1226" i="3"/>
  <c r="K1226" i="3"/>
  <c r="J1226" i="3"/>
  <c r="I1226" i="3"/>
  <c r="H1226" i="3"/>
  <c r="G1226" i="3"/>
  <c r="L1225" i="3"/>
  <c r="K1225" i="3"/>
  <c r="J1225" i="3"/>
  <c r="I1225" i="3"/>
  <c r="H1225" i="3"/>
  <c r="G1225" i="3"/>
  <c r="L1224" i="3"/>
  <c r="K1224" i="3"/>
  <c r="J1224" i="3"/>
  <c r="I1224" i="3"/>
  <c r="H1224" i="3"/>
  <c r="G1224" i="3"/>
  <c r="L1223" i="3"/>
  <c r="K1223" i="3"/>
  <c r="J1223" i="3"/>
  <c r="I1223" i="3"/>
  <c r="H1223" i="3"/>
  <c r="G1223" i="3"/>
  <c r="L1222" i="3"/>
  <c r="K1222" i="3"/>
  <c r="J1222" i="3"/>
  <c r="I1222" i="3"/>
  <c r="H1222" i="3"/>
  <c r="G1222" i="3"/>
  <c r="L1221" i="3"/>
  <c r="K1221" i="3"/>
  <c r="J1221" i="3"/>
  <c r="I1221" i="3"/>
  <c r="H1221" i="3"/>
  <c r="G1221" i="3"/>
  <c r="L1220" i="3"/>
  <c r="K1220" i="3"/>
  <c r="J1220" i="3"/>
  <c r="I1220" i="3"/>
  <c r="H1220" i="3"/>
  <c r="G1220" i="3"/>
  <c r="M1220" i="3" s="1"/>
  <c r="L1219" i="3"/>
  <c r="K1219" i="3"/>
  <c r="J1219" i="3"/>
  <c r="I1219" i="3"/>
  <c r="H1219" i="3"/>
  <c r="G1219" i="3"/>
  <c r="L1218" i="3"/>
  <c r="K1218" i="3"/>
  <c r="J1218" i="3"/>
  <c r="I1218" i="3"/>
  <c r="H1218" i="3"/>
  <c r="G1218" i="3"/>
  <c r="L1217" i="3"/>
  <c r="K1217" i="3"/>
  <c r="J1217" i="3"/>
  <c r="I1217" i="3"/>
  <c r="H1217" i="3"/>
  <c r="G1217" i="3"/>
  <c r="L1216" i="3"/>
  <c r="K1216" i="3"/>
  <c r="J1216" i="3"/>
  <c r="I1216" i="3"/>
  <c r="H1216" i="3"/>
  <c r="G1216" i="3"/>
  <c r="L1215" i="3"/>
  <c r="K1215" i="3"/>
  <c r="J1215" i="3"/>
  <c r="I1215" i="3"/>
  <c r="H1215" i="3"/>
  <c r="G1215" i="3"/>
  <c r="L1214" i="3"/>
  <c r="K1214" i="3"/>
  <c r="J1214" i="3"/>
  <c r="I1214" i="3"/>
  <c r="H1214" i="3"/>
  <c r="G1214" i="3"/>
  <c r="L1213" i="3"/>
  <c r="K1213" i="3"/>
  <c r="J1213" i="3"/>
  <c r="I1213" i="3"/>
  <c r="H1213" i="3"/>
  <c r="G1213" i="3"/>
  <c r="L1212" i="3"/>
  <c r="K1212" i="3"/>
  <c r="J1212" i="3"/>
  <c r="I1212" i="3"/>
  <c r="H1212" i="3"/>
  <c r="G1212" i="3"/>
  <c r="M1212" i="3" s="1"/>
  <c r="L1211" i="3"/>
  <c r="K1211" i="3"/>
  <c r="J1211" i="3"/>
  <c r="I1211" i="3"/>
  <c r="H1211" i="3"/>
  <c r="G1211" i="3"/>
  <c r="L1210" i="3"/>
  <c r="K1210" i="3"/>
  <c r="J1210" i="3"/>
  <c r="I1210" i="3"/>
  <c r="H1210" i="3"/>
  <c r="G1210" i="3"/>
  <c r="L1209" i="3"/>
  <c r="K1209" i="3"/>
  <c r="J1209" i="3"/>
  <c r="I1209" i="3"/>
  <c r="H1209" i="3"/>
  <c r="G1209" i="3"/>
  <c r="L1208" i="3"/>
  <c r="K1208" i="3"/>
  <c r="J1208" i="3"/>
  <c r="I1208" i="3"/>
  <c r="H1208" i="3"/>
  <c r="G1208" i="3"/>
  <c r="L1207" i="3"/>
  <c r="K1207" i="3"/>
  <c r="J1207" i="3"/>
  <c r="I1207" i="3"/>
  <c r="H1207" i="3"/>
  <c r="G1207" i="3"/>
  <c r="L1206" i="3"/>
  <c r="K1206" i="3"/>
  <c r="J1206" i="3"/>
  <c r="I1206" i="3"/>
  <c r="H1206" i="3"/>
  <c r="G1206" i="3"/>
  <c r="L1205" i="3"/>
  <c r="K1205" i="3"/>
  <c r="J1205" i="3"/>
  <c r="I1205" i="3"/>
  <c r="H1205" i="3"/>
  <c r="G1205" i="3"/>
  <c r="L1204" i="3"/>
  <c r="K1204" i="3"/>
  <c r="J1204" i="3"/>
  <c r="I1204" i="3"/>
  <c r="H1204" i="3"/>
  <c r="G1204" i="3"/>
  <c r="M1204" i="3" s="1"/>
  <c r="L1203" i="3"/>
  <c r="K1203" i="3"/>
  <c r="J1203" i="3"/>
  <c r="I1203" i="3"/>
  <c r="H1203" i="3"/>
  <c r="G1203" i="3"/>
  <c r="L1202" i="3"/>
  <c r="K1202" i="3"/>
  <c r="J1202" i="3"/>
  <c r="I1202" i="3"/>
  <c r="H1202" i="3"/>
  <c r="G1202" i="3"/>
  <c r="L1201" i="3"/>
  <c r="K1201" i="3"/>
  <c r="J1201" i="3"/>
  <c r="I1201" i="3"/>
  <c r="H1201" i="3"/>
  <c r="G1201" i="3"/>
  <c r="L1200" i="3"/>
  <c r="K1200" i="3"/>
  <c r="J1200" i="3"/>
  <c r="I1200" i="3"/>
  <c r="H1200" i="3"/>
  <c r="G1200" i="3"/>
  <c r="L1199" i="3"/>
  <c r="K1199" i="3"/>
  <c r="J1199" i="3"/>
  <c r="I1199" i="3"/>
  <c r="H1199" i="3"/>
  <c r="G1199" i="3"/>
  <c r="L1198" i="3"/>
  <c r="K1198" i="3"/>
  <c r="J1198" i="3"/>
  <c r="I1198" i="3"/>
  <c r="H1198" i="3"/>
  <c r="G1198" i="3"/>
  <c r="L1197" i="3"/>
  <c r="K1197" i="3"/>
  <c r="J1197" i="3"/>
  <c r="I1197" i="3"/>
  <c r="H1197" i="3"/>
  <c r="G1197" i="3"/>
  <c r="L1196" i="3"/>
  <c r="K1196" i="3"/>
  <c r="J1196" i="3"/>
  <c r="I1196" i="3"/>
  <c r="H1196" i="3"/>
  <c r="G1196" i="3"/>
  <c r="L1195" i="3"/>
  <c r="K1195" i="3"/>
  <c r="J1195" i="3"/>
  <c r="I1195" i="3"/>
  <c r="H1195" i="3"/>
  <c r="G1195" i="3"/>
  <c r="L1194" i="3"/>
  <c r="K1194" i="3"/>
  <c r="J1194" i="3"/>
  <c r="I1194" i="3"/>
  <c r="H1194" i="3"/>
  <c r="G1194" i="3"/>
  <c r="L1193" i="3"/>
  <c r="K1193" i="3"/>
  <c r="J1193" i="3"/>
  <c r="I1193" i="3"/>
  <c r="H1193" i="3"/>
  <c r="G1193" i="3"/>
  <c r="O1192" i="3"/>
  <c r="L1192" i="3"/>
  <c r="K1192" i="3"/>
  <c r="J1192" i="3"/>
  <c r="I1192" i="3"/>
  <c r="H1192" i="3"/>
  <c r="G1192" i="3"/>
  <c r="L1191" i="3"/>
  <c r="K1191" i="3"/>
  <c r="J1191" i="3"/>
  <c r="I1191" i="3"/>
  <c r="H1191" i="3"/>
  <c r="G1191" i="3"/>
  <c r="L1190" i="3"/>
  <c r="K1190" i="3"/>
  <c r="J1190" i="3"/>
  <c r="I1190" i="3"/>
  <c r="H1190" i="3"/>
  <c r="G1190" i="3"/>
  <c r="L1189" i="3"/>
  <c r="K1189" i="3"/>
  <c r="J1189" i="3"/>
  <c r="I1189" i="3"/>
  <c r="H1189" i="3"/>
  <c r="G1189" i="3"/>
  <c r="L1188" i="3"/>
  <c r="K1188" i="3"/>
  <c r="J1188" i="3"/>
  <c r="I1188" i="3"/>
  <c r="H1188" i="3"/>
  <c r="G1188" i="3"/>
  <c r="L1187" i="3"/>
  <c r="K1187" i="3"/>
  <c r="J1187" i="3"/>
  <c r="I1187" i="3"/>
  <c r="H1187" i="3"/>
  <c r="G1187" i="3"/>
  <c r="L1186" i="3"/>
  <c r="K1186" i="3"/>
  <c r="J1186" i="3"/>
  <c r="I1186" i="3"/>
  <c r="H1186" i="3"/>
  <c r="G1186" i="3"/>
  <c r="L1185" i="3"/>
  <c r="K1185" i="3"/>
  <c r="J1185" i="3"/>
  <c r="I1185" i="3"/>
  <c r="H1185" i="3"/>
  <c r="G1185" i="3"/>
  <c r="L1184" i="3"/>
  <c r="K1184" i="3"/>
  <c r="J1184" i="3"/>
  <c r="I1184" i="3"/>
  <c r="H1184" i="3"/>
  <c r="M1184" i="3" s="1"/>
  <c r="G1184" i="3"/>
  <c r="L1183" i="3"/>
  <c r="K1183" i="3"/>
  <c r="J1183" i="3"/>
  <c r="I1183" i="3"/>
  <c r="H1183" i="3"/>
  <c r="G1183" i="3"/>
  <c r="L1182" i="3"/>
  <c r="K1182" i="3"/>
  <c r="J1182" i="3"/>
  <c r="I1182" i="3"/>
  <c r="H1182" i="3"/>
  <c r="G1182" i="3"/>
  <c r="L1181" i="3"/>
  <c r="K1181" i="3"/>
  <c r="J1181" i="3"/>
  <c r="I1181" i="3"/>
  <c r="H1181" i="3"/>
  <c r="G1181" i="3"/>
  <c r="L1180" i="3"/>
  <c r="K1180" i="3"/>
  <c r="J1180" i="3"/>
  <c r="I1180" i="3"/>
  <c r="H1180" i="3"/>
  <c r="G1180" i="3"/>
  <c r="L1179" i="3"/>
  <c r="K1179" i="3"/>
  <c r="J1179" i="3"/>
  <c r="I1179" i="3"/>
  <c r="H1179" i="3"/>
  <c r="G1179" i="3"/>
  <c r="L1178" i="3"/>
  <c r="K1178" i="3"/>
  <c r="J1178" i="3"/>
  <c r="I1178" i="3"/>
  <c r="H1178" i="3"/>
  <c r="G1178" i="3"/>
  <c r="L1177" i="3"/>
  <c r="K1177" i="3"/>
  <c r="J1177" i="3"/>
  <c r="I1177" i="3"/>
  <c r="H1177" i="3"/>
  <c r="G1177" i="3"/>
  <c r="L1176" i="3"/>
  <c r="K1176" i="3"/>
  <c r="J1176" i="3"/>
  <c r="I1176" i="3"/>
  <c r="H1176" i="3"/>
  <c r="G1176" i="3"/>
  <c r="L1175" i="3"/>
  <c r="K1175" i="3"/>
  <c r="J1175" i="3"/>
  <c r="I1175" i="3"/>
  <c r="H1175" i="3"/>
  <c r="G1175" i="3"/>
  <c r="L1174" i="3"/>
  <c r="K1174" i="3"/>
  <c r="J1174" i="3"/>
  <c r="I1174" i="3"/>
  <c r="H1174" i="3"/>
  <c r="G1174" i="3"/>
  <c r="L1173" i="3"/>
  <c r="K1173" i="3"/>
  <c r="J1173" i="3"/>
  <c r="I1173" i="3"/>
  <c r="H1173" i="3"/>
  <c r="G1173" i="3"/>
  <c r="L1172" i="3"/>
  <c r="K1172" i="3"/>
  <c r="J1172" i="3"/>
  <c r="I1172" i="3"/>
  <c r="H1172" i="3"/>
  <c r="G1172" i="3"/>
  <c r="L1171" i="3"/>
  <c r="K1171" i="3"/>
  <c r="J1171" i="3"/>
  <c r="I1171" i="3"/>
  <c r="H1171" i="3"/>
  <c r="G1171" i="3"/>
  <c r="L1170" i="3"/>
  <c r="K1170" i="3"/>
  <c r="J1170" i="3"/>
  <c r="I1170" i="3"/>
  <c r="H1170" i="3"/>
  <c r="G1170" i="3"/>
  <c r="L1169" i="3"/>
  <c r="K1169" i="3"/>
  <c r="J1169" i="3"/>
  <c r="I1169" i="3"/>
  <c r="H1169" i="3"/>
  <c r="G1169" i="3"/>
  <c r="L1168" i="3"/>
  <c r="K1168" i="3"/>
  <c r="J1168" i="3"/>
  <c r="I1168" i="3"/>
  <c r="H1168" i="3"/>
  <c r="G1168" i="3"/>
  <c r="L1167" i="3"/>
  <c r="K1167" i="3"/>
  <c r="J1167" i="3"/>
  <c r="I1167" i="3"/>
  <c r="H1167" i="3"/>
  <c r="G1167" i="3"/>
  <c r="L1166" i="3"/>
  <c r="K1166" i="3"/>
  <c r="J1166" i="3"/>
  <c r="I1166" i="3"/>
  <c r="H1166" i="3"/>
  <c r="G1166" i="3"/>
  <c r="L1165" i="3"/>
  <c r="K1165" i="3"/>
  <c r="J1165" i="3"/>
  <c r="I1165" i="3"/>
  <c r="H1165" i="3"/>
  <c r="G1165" i="3"/>
  <c r="L1164" i="3"/>
  <c r="K1164" i="3"/>
  <c r="J1164" i="3"/>
  <c r="I1164" i="3"/>
  <c r="H1164" i="3"/>
  <c r="G1164" i="3"/>
  <c r="L1163" i="3"/>
  <c r="K1163" i="3"/>
  <c r="J1163" i="3"/>
  <c r="I1163" i="3"/>
  <c r="H1163" i="3"/>
  <c r="G1163" i="3"/>
  <c r="L1162" i="3"/>
  <c r="K1162" i="3"/>
  <c r="J1162" i="3"/>
  <c r="I1162" i="3"/>
  <c r="H1162" i="3"/>
  <c r="G1162" i="3"/>
  <c r="L1161" i="3"/>
  <c r="K1161" i="3"/>
  <c r="J1161" i="3"/>
  <c r="I1161" i="3"/>
  <c r="H1161" i="3"/>
  <c r="G1161" i="3"/>
  <c r="L1160" i="3"/>
  <c r="K1160" i="3"/>
  <c r="J1160" i="3"/>
  <c r="I1160" i="3"/>
  <c r="H1160" i="3"/>
  <c r="G1160" i="3"/>
  <c r="L1159" i="3"/>
  <c r="K1159" i="3"/>
  <c r="J1159" i="3"/>
  <c r="I1159" i="3"/>
  <c r="H1159" i="3"/>
  <c r="G1159" i="3"/>
  <c r="O1158" i="3"/>
  <c r="L1158" i="3"/>
  <c r="K1158" i="3"/>
  <c r="J1158" i="3"/>
  <c r="I1158" i="3"/>
  <c r="H1158" i="3"/>
  <c r="G1158" i="3"/>
  <c r="L1157" i="3"/>
  <c r="K1157" i="3"/>
  <c r="J1157" i="3"/>
  <c r="I1157" i="3"/>
  <c r="H1157" i="3"/>
  <c r="G1157" i="3"/>
  <c r="L1156" i="3"/>
  <c r="K1156" i="3"/>
  <c r="J1156" i="3"/>
  <c r="I1156" i="3"/>
  <c r="H1156" i="3"/>
  <c r="G1156" i="3"/>
  <c r="L1155" i="3"/>
  <c r="K1155" i="3"/>
  <c r="J1155" i="3"/>
  <c r="I1155" i="3"/>
  <c r="H1155" i="3"/>
  <c r="G1155" i="3"/>
  <c r="M1155" i="3" s="1"/>
  <c r="L1154" i="3"/>
  <c r="K1154" i="3"/>
  <c r="J1154" i="3"/>
  <c r="I1154" i="3"/>
  <c r="H1154" i="3"/>
  <c r="G1154" i="3"/>
  <c r="L1153" i="3"/>
  <c r="K1153" i="3"/>
  <c r="J1153" i="3"/>
  <c r="I1153" i="3"/>
  <c r="H1153" i="3"/>
  <c r="G1153" i="3"/>
  <c r="L1152" i="3"/>
  <c r="K1152" i="3"/>
  <c r="J1152" i="3"/>
  <c r="I1152" i="3"/>
  <c r="H1152" i="3"/>
  <c r="G1152" i="3"/>
  <c r="L1151" i="3"/>
  <c r="K1151" i="3"/>
  <c r="J1151" i="3"/>
  <c r="I1151" i="3"/>
  <c r="H1151" i="3"/>
  <c r="G1151" i="3"/>
  <c r="M1151" i="3" s="1"/>
  <c r="L1150" i="3"/>
  <c r="K1150" i="3"/>
  <c r="J1150" i="3"/>
  <c r="I1150" i="3"/>
  <c r="H1150" i="3"/>
  <c r="G1150" i="3"/>
  <c r="L1149" i="3"/>
  <c r="K1149" i="3"/>
  <c r="J1149" i="3"/>
  <c r="I1149" i="3"/>
  <c r="H1149" i="3"/>
  <c r="G1149" i="3"/>
  <c r="L1148" i="3"/>
  <c r="K1148" i="3"/>
  <c r="J1148" i="3"/>
  <c r="I1148" i="3"/>
  <c r="H1148" i="3"/>
  <c r="G1148" i="3"/>
  <c r="L1147" i="3"/>
  <c r="K1147" i="3"/>
  <c r="J1147" i="3"/>
  <c r="I1147" i="3"/>
  <c r="H1147" i="3"/>
  <c r="G1147" i="3"/>
  <c r="M1147" i="3" s="1"/>
  <c r="L1146" i="3"/>
  <c r="K1146" i="3"/>
  <c r="J1146" i="3"/>
  <c r="I1146" i="3"/>
  <c r="H1146" i="3"/>
  <c r="G1146" i="3"/>
  <c r="L1145" i="3"/>
  <c r="K1145" i="3"/>
  <c r="J1145" i="3"/>
  <c r="I1145" i="3"/>
  <c r="H1145" i="3"/>
  <c r="G1145" i="3"/>
  <c r="L1144" i="3"/>
  <c r="K1144" i="3"/>
  <c r="J1144" i="3"/>
  <c r="I1144" i="3"/>
  <c r="M1144" i="3" s="1"/>
  <c r="H1144" i="3"/>
  <c r="G1144" i="3"/>
  <c r="L1143" i="3"/>
  <c r="K1143" i="3"/>
  <c r="J1143" i="3"/>
  <c r="I1143" i="3"/>
  <c r="H1143" i="3"/>
  <c r="G1143" i="3"/>
  <c r="M1143" i="3" s="1"/>
  <c r="L1142" i="3"/>
  <c r="K1142" i="3"/>
  <c r="J1142" i="3"/>
  <c r="I1142" i="3"/>
  <c r="H1142" i="3"/>
  <c r="G1142" i="3"/>
  <c r="L1141" i="3"/>
  <c r="K1141" i="3"/>
  <c r="J1141" i="3"/>
  <c r="I1141" i="3"/>
  <c r="H1141" i="3"/>
  <c r="G1141" i="3"/>
  <c r="L1140" i="3"/>
  <c r="K1140" i="3"/>
  <c r="J1140" i="3"/>
  <c r="I1140" i="3"/>
  <c r="H1140" i="3"/>
  <c r="G1140" i="3"/>
  <c r="L1139" i="3"/>
  <c r="K1139" i="3"/>
  <c r="J1139" i="3"/>
  <c r="I1139" i="3"/>
  <c r="H1139" i="3"/>
  <c r="G1139" i="3"/>
  <c r="M1139" i="3" s="1"/>
  <c r="L1138" i="3"/>
  <c r="K1138" i="3"/>
  <c r="J1138" i="3"/>
  <c r="I1138" i="3"/>
  <c r="H1138" i="3"/>
  <c r="G1138" i="3"/>
  <c r="L1137" i="3"/>
  <c r="K1137" i="3"/>
  <c r="J1137" i="3"/>
  <c r="I1137" i="3"/>
  <c r="H1137" i="3"/>
  <c r="G1137" i="3"/>
  <c r="L1136" i="3"/>
  <c r="K1136" i="3"/>
  <c r="J1136" i="3"/>
  <c r="I1136" i="3"/>
  <c r="H1136" i="3"/>
  <c r="G1136" i="3"/>
  <c r="L1135" i="3"/>
  <c r="K1135" i="3"/>
  <c r="J1135" i="3"/>
  <c r="I1135" i="3"/>
  <c r="H1135" i="3"/>
  <c r="G1135" i="3"/>
  <c r="L1134" i="3"/>
  <c r="K1134" i="3"/>
  <c r="J1134" i="3"/>
  <c r="I1134" i="3"/>
  <c r="H1134" i="3"/>
  <c r="G1134" i="3"/>
  <c r="L1133" i="3"/>
  <c r="K1133" i="3"/>
  <c r="J1133" i="3"/>
  <c r="I1133" i="3"/>
  <c r="H1133" i="3"/>
  <c r="G1133" i="3"/>
  <c r="L1132" i="3"/>
  <c r="K1132" i="3"/>
  <c r="J1132" i="3"/>
  <c r="I1132" i="3"/>
  <c r="H1132" i="3"/>
  <c r="G1132" i="3"/>
  <c r="L1131" i="3"/>
  <c r="K1131" i="3"/>
  <c r="J1131" i="3"/>
  <c r="I1131" i="3"/>
  <c r="H1131" i="3"/>
  <c r="G1131" i="3"/>
  <c r="M1131" i="3" s="1"/>
  <c r="L1130" i="3"/>
  <c r="K1130" i="3"/>
  <c r="J1130" i="3"/>
  <c r="I1130" i="3"/>
  <c r="H1130" i="3"/>
  <c r="G1130" i="3"/>
  <c r="L1129" i="3"/>
  <c r="K1129" i="3"/>
  <c r="J1129" i="3"/>
  <c r="I1129" i="3"/>
  <c r="H1129" i="3"/>
  <c r="G1129" i="3"/>
  <c r="L1128" i="3"/>
  <c r="K1128" i="3"/>
  <c r="J1128" i="3"/>
  <c r="I1128" i="3"/>
  <c r="M1128" i="3" s="1"/>
  <c r="H1128" i="3"/>
  <c r="G1128" i="3"/>
  <c r="L1127" i="3"/>
  <c r="K1127" i="3"/>
  <c r="J1127" i="3"/>
  <c r="I1127" i="3"/>
  <c r="H1127" i="3"/>
  <c r="G1127" i="3"/>
  <c r="M1127" i="3" s="1"/>
  <c r="L1126" i="3"/>
  <c r="K1126" i="3"/>
  <c r="J1126" i="3"/>
  <c r="I1126" i="3"/>
  <c r="H1126" i="3"/>
  <c r="G1126" i="3"/>
  <c r="L1125" i="3"/>
  <c r="K1125" i="3"/>
  <c r="J1125" i="3"/>
  <c r="I1125" i="3"/>
  <c r="H1125" i="3"/>
  <c r="G1125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2" i="3"/>
  <c r="M1781" i="3"/>
  <c r="M1780" i="3"/>
  <c r="M1779" i="3"/>
  <c r="M1778" i="3"/>
  <c r="M1776" i="3"/>
  <c r="M1774" i="3"/>
  <c r="M1771" i="3"/>
  <c r="M1769" i="3"/>
  <c r="M1768" i="3"/>
  <c r="M1764" i="3"/>
  <c r="M1763" i="3"/>
  <c r="M1762" i="3"/>
  <c r="M1761" i="3"/>
  <c r="M1760" i="3"/>
  <c r="M1758" i="3"/>
  <c r="M1757" i="3"/>
  <c r="M1756" i="3"/>
  <c r="M1755" i="3"/>
  <c r="M1754" i="3"/>
  <c r="M1753" i="3"/>
  <c r="M1752" i="3"/>
  <c r="M1751" i="3"/>
  <c r="M1749" i="3"/>
  <c r="M1748" i="3"/>
  <c r="M1747" i="3"/>
  <c r="M1746" i="3"/>
  <c r="M1745" i="3"/>
  <c r="M1744" i="3"/>
  <c r="M1742" i="3"/>
  <c r="M1741" i="3"/>
  <c r="M1740" i="3"/>
  <c r="M1739" i="3"/>
  <c r="M1738" i="3"/>
  <c r="M1737" i="3"/>
  <c r="M1736" i="3"/>
  <c r="M1735" i="3"/>
  <c r="M1734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0" i="3"/>
  <c r="M1328" i="3"/>
  <c r="M1324" i="3"/>
  <c r="M1323" i="3"/>
  <c r="M1322" i="3"/>
  <c r="M1320" i="3"/>
  <c r="M1316" i="3"/>
  <c r="M1315" i="3"/>
  <c r="M1314" i="3"/>
  <c r="M1312" i="3"/>
  <c r="M1308" i="3"/>
  <c r="M1307" i="3"/>
  <c r="M1302" i="3"/>
  <c r="M1301" i="3"/>
  <c r="M1300" i="3"/>
  <c r="M1299" i="3"/>
  <c r="M1298" i="3"/>
  <c r="M1297" i="3"/>
  <c r="M1292" i="3"/>
  <c r="M1290" i="3"/>
  <c r="M1289" i="3"/>
  <c r="M1288" i="3"/>
  <c r="M1287" i="3"/>
  <c r="M1286" i="3"/>
  <c r="M1282" i="3"/>
  <c r="M1281" i="3"/>
  <c r="M1280" i="3"/>
  <c r="M1279" i="3"/>
  <c r="M1278" i="3"/>
  <c r="M1277" i="3"/>
  <c r="M1274" i="3"/>
  <c r="M1273" i="3"/>
  <c r="M1272" i="3"/>
  <c r="M1271" i="3"/>
  <c r="M1270" i="3"/>
  <c r="M1269" i="3"/>
  <c r="M1266" i="3"/>
  <c r="M1265" i="3"/>
  <c r="M1264" i="3"/>
  <c r="M1262" i="3"/>
  <c r="M1261" i="3"/>
  <c r="M1258" i="3"/>
  <c r="M1257" i="3"/>
  <c r="M1256" i="3"/>
  <c r="M1254" i="3"/>
  <c r="M1253" i="3"/>
  <c r="M1250" i="3"/>
  <c r="M1249" i="3"/>
  <c r="M1248" i="3"/>
  <c r="M1246" i="3"/>
  <c r="M1245" i="3"/>
  <c r="M1242" i="3"/>
  <c r="M1241" i="3"/>
  <c r="M1240" i="3"/>
  <c r="M1237" i="3"/>
  <c r="M1234" i="3"/>
  <c r="M1233" i="3"/>
  <c r="M1232" i="3"/>
  <c r="M1229" i="3"/>
  <c r="M1226" i="3"/>
  <c r="M1225" i="3"/>
  <c r="M1224" i="3"/>
  <c r="M1221" i="3"/>
  <c r="M1218" i="3"/>
  <c r="M1217" i="3"/>
  <c r="M1216" i="3"/>
  <c r="M1213" i="3"/>
  <c r="M1210" i="3"/>
  <c r="M1209" i="3"/>
  <c r="M1208" i="3"/>
  <c r="M1205" i="3"/>
  <c r="M1202" i="3"/>
  <c r="M1201" i="3"/>
  <c r="M1200" i="3"/>
  <c r="M1192" i="3"/>
  <c r="M1185" i="3"/>
  <c r="M1183" i="3"/>
  <c r="M1176" i="3"/>
  <c r="M1169" i="3"/>
  <c r="M1168" i="3"/>
  <c r="M1167" i="3"/>
  <c r="M1160" i="3"/>
  <c r="M1152" i="3"/>
  <c r="M1136" i="3"/>
  <c r="M1135" i="3"/>
  <c r="O1124" i="3"/>
  <c r="L1124" i="3"/>
  <c r="K1124" i="3"/>
  <c r="J1124" i="3"/>
  <c r="I1124" i="3"/>
  <c r="H1124" i="3"/>
  <c r="G1124" i="3"/>
  <c r="L1123" i="3"/>
  <c r="K1123" i="3"/>
  <c r="J1123" i="3"/>
  <c r="I1123" i="3"/>
  <c r="H1123" i="3"/>
  <c r="G1123" i="3"/>
  <c r="L1122" i="3"/>
  <c r="K1122" i="3"/>
  <c r="J1122" i="3"/>
  <c r="I1122" i="3"/>
  <c r="H1122" i="3"/>
  <c r="G1122" i="3"/>
  <c r="L1121" i="3"/>
  <c r="K1121" i="3"/>
  <c r="J1121" i="3"/>
  <c r="I1121" i="3"/>
  <c r="H1121" i="3"/>
  <c r="G1121" i="3"/>
  <c r="L1120" i="3"/>
  <c r="K1120" i="3"/>
  <c r="J1120" i="3"/>
  <c r="I1120" i="3"/>
  <c r="H1120" i="3"/>
  <c r="G1120" i="3"/>
  <c r="L1119" i="3"/>
  <c r="K1119" i="3"/>
  <c r="J1119" i="3"/>
  <c r="I1119" i="3"/>
  <c r="H1119" i="3"/>
  <c r="G1119" i="3"/>
  <c r="L1118" i="3"/>
  <c r="K1118" i="3"/>
  <c r="J1118" i="3"/>
  <c r="I1118" i="3"/>
  <c r="H1118" i="3"/>
  <c r="G1118" i="3"/>
  <c r="L1117" i="3"/>
  <c r="K1117" i="3"/>
  <c r="J1117" i="3"/>
  <c r="I1117" i="3"/>
  <c r="H1117" i="3"/>
  <c r="G1117" i="3"/>
  <c r="L1116" i="3"/>
  <c r="K1116" i="3"/>
  <c r="J1116" i="3"/>
  <c r="I1116" i="3"/>
  <c r="H1116" i="3"/>
  <c r="G1116" i="3"/>
  <c r="L1115" i="3"/>
  <c r="K1115" i="3"/>
  <c r="J1115" i="3"/>
  <c r="I1115" i="3"/>
  <c r="H1115" i="3"/>
  <c r="G1115" i="3"/>
  <c r="L1114" i="3"/>
  <c r="K1114" i="3"/>
  <c r="J1114" i="3"/>
  <c r="I1114" i="3"/>
  <c r="H1114" i="3"/>
  <c r="G1114" i="3"/>
  <c r="L1113" i="3"/>
  <c r="K1113" i="3"/>
  <c r="J1113" i="3"/>
  <c r="I1113" i="3"/>
  <c r="H1113" i="3"/>
  <c r="G1113" i="3"/>
  <c r="L1112" i="3"/>
  <c r="K1112" i="3"/>
  <c r="J1112" i="3"/>
  <c r="I1112" i="3"/>
  <c r="H1112" i="3"/>
  <c r="G1112" i="3"/>
  <c r="L1111" i="3"/>
  <c r="K1111" i="3"/>
  <c r="J1111" i="3"/>
  <c r="I1111" i="3"/>
  <c r="H1111" i="3"/>
  <c r="G1111" i="3"/>
  <c r="L1110" i="3"/>
  <c r="K1110" i="3"/>
  <c r="J1110" i="3"/>
  <c r="I1110" i="3"/>
  <c r="H1110" i="3"/>
  <c r="G1110" i="3"/>
  <c r="L1109" i="3"/>
  <c r="K1109" i="3"/>
  <c r="J1109" i="3"/>
  <c r="I1109" i="3"/>
  <c r="H1109" i="3"/>
  <c r="G1109" i="3"/>
  <c r="L1108" i="3"/>
  <c r="K1108" i="3"/>
  <c r="J1108" i="3"/>
  <c r="I1108" i="3"/>
  <c r="H1108" i="3"/>
  <c r="G1108" i="3"/>
  <c r="L1107" i="3"/>
  <c r="K1107" i="3"/>
  <c r="J1107" i="3"/>
  <c r="I1107" i="3"/>
  <c r="H1107" i="3"/>
  <c r="G1107" i="3"/>
  <c r="L1106" i="3"/>
  <c r="K1106" i="3"/>
  <c r="J1106" i="3"/>
  <c r="I1106" i="3"/>
  <c r="H1106" i="3"/>
  <c r="G1106" i="3"/>
  <c r="L1105" i="3"/>
  <c r="K1105" i="3"/>
  <c r="J1105" i="3"/>
  <c r="I1105" i="3"/>
  <c r="H1105" i="3"/>
  <c r="G1105" i="3"/>
  <c r="L1104" i="3"/>
  <c r="K1104" i="3"/>
  <c r="J1104" i="3"/>
  <c r="I1104" i="3"/>
  <c r="H1104" i="3"/>
  <c r="G1104" i="3"/>
  <c r="L1103" i="3"/>
  <c r="K1103" i="3"/>
  <c r="J1103" i="3"/>
  <c r="I1103" i="3"/>
  <c r="H1103" i="3"/>
  <c r="G1103" i="3"/>
  <c r="L1102" i="3"/>
  <c r="K1102" i="3"/>
  <c r="J1102" i="3"/>
  <c r="I1102" i="3"/>
  <c r="H1102" i="3"/>
  <c r="G1102" i="3"/>
  <c r="L1101" i="3"/>
  <c r="K1101" i="3"/>
  <c r="J1101" i="3"/>
  <c r="I1101" i="3"/>
  <c r="H1101" i="3"/>
  <c r="G1101" i="3"/>
  <c r="L1100" i="3"/>
  <c r="K1100" i="3"/>
  <c r="J1100" i="3"/>
  <c r="I1100" i="3"/>
  <c r="H1100" i="3"/>
  <c r="G1100" i="3"/>
  <c r="L1099" i="3"/>
  <c r="K1099" i="3"/>
  <c r="J1099" i="3"/>
  <c r="I1099" i="3"/>
  <c r="H1099" i="3"/>
  <c r="G1099" i="3"/>
  <c r="L1098" i="3"/>
  <c r="K1098" i="3"/>
  <c r="J1098" i="3"/>
  <c r="I1098" i="3"/>
  <c r="H1098" i="3"/>
  <c r="G1098" i="3"/>
  <c r="L1097" i="3"/>
  <c r="K1097" i="3"/>
  <c r="J1097" i="3"/>
  <c r="I1097" i="3"/>
  <c r="H1097" i="3"/>
  <c r="G1097" i="3"/>
  <c r="L1096" i="3"/>
  <c r="K1096" i="3"/>
  <c r="J1096" i="3"/>
  <c r="I1096" i="3"/>
  <c r="H1096" i="3"/>
  <c r="G1096" i="3"/>
  <c r="L1095" i="3"/>
  <c r="K1095" i="3"/>
  <c r="J1095" i="3"/>
  <c r="I1095" i="3"/>
  <c r="H1095" i="3"/>
  <c r="G1095" i="3"/>
  <c r="L1094" i="3"/>
  <c r="K1094" i="3"/>
  <c r="J1094" i="3"/>
  <c r="I1094" i="3"/>
  <c r="H1094" i="3"/>
  <c r="G1094" i="3"/>
  <c r="L1093" i="3"/>
  <c r="K1093" i="3"/>
  <c r="J1093" i="3"/>
  <c r="I1093" i="3"/>
  <c r="H1093" i="3"/>
  <c r="G1093" i="3"/>
  <c r="L1092" i="3"/>
  <c r="K1092" i="3"/>
  <c r="J1092" i="3"/>
  <c r="I1092" i="3"/>
  <c r="H1092" i="3"/>
  <c r="G1092" i="3"/>
  <c r="L1091" i="3"/>
  <c r="K1091" i="3"/>
  <c r="J1091" i="3"/>
  <c r="I1091" i="3"/>
  <c r="H1091" i="3"/>
  <c r="G1091" i="3"/>
  <c r="O1090" i="3"/>
  <c r="L1090" i="3"/>
  <c r="K1090" i="3"/>
  <c r="J1090" i="3"/>
  <c r="I1090" i="3"/>
  <c r="H1090" i="3"/>
  <c r="G1090" i="3"/>
  <c r="L1089" i="3"/>
  <c r="K1089" i="3"/>
  <c r="J1089" i="3"/>
  <c r="I1089" i="3"/>
  <c r="H1089" i="3"/>
  <c r="G1089" i="3"/>
  <c r="L1088" i="3"/>
  <c r="K1088" i="3"/>
  <c r="J1088" i="3"/>
  <c r="I1088" i="3"/>
  <c r="H1088" i="3"/>
  <c r="G1088" i="3"/>
  <c r="L1087" i="3"/>
  <c r="K1087" i="3"/>
  <c r="J1087" i="3"/>
  <c r="I1087" i="3"/>
  <c r="H1087" i="3"/>
  <c r="G1087" i="3"/>
  <c r="L1086" i="3"/>
  <c r="K1086" i="3"/>
  <c r="J1086" i="3"/>
  <c r="I1086" i="3"/>
  <c r="H1086" i="3"/>
  <c r="G1086" i="3"/>
  <c r="L1085" i="3"/>
  <c r="K1085" i="3"/>
  <c r="J1085" i="3"/>
  <c r="I1085" i="3"/>
  <c r="H1085" i="3"/>
  <c r="G1085" i="3"/>
  <c r="L1084" i="3"/>
  <c r="K1084" i="3"/>
  <c r="J1084" i="3"/>
  <c r="I1084" i="3"/>
  <c r="H1084" i="3"/>
  <c r="G1084" i="3"/>
  <c r="L1083" i="3"/>
  <c r="K1083" i="3"/>
  <c r="J1083" i="3"/>
  <c r="I1083" i="3"/>
  <c r="H1083" i="3"/>
  <c r="G1083" i="3"/>
  <c r="L1082" i="3"/>
  <c r="K1082" i="3"/>
  <c r="J1082" i="3"/>
  <c r="I1082" i="3"/>
  <c r="H1082" i="3"/>
  <c r="G1082" i="3"/>
  <c r="L1081" i="3"/>
  <c r="K1081" i="3"/>
  <c r="J1081" i="3"/>
  <c r="I1081" i="3"/>
  <c r="H1081" i="3"/>
  <c r="G1081" i="3"/>
  <c r="L1080" i="3"/>
  <c r="K1080" i="3"/>
  <c r="J1080" i="3"/>
  <c r="I1080" i="3"/>
  <c r="H1080" i="3"/>
  <c r="G1080" i="3"/>
  <c r="L1079" i="3"/>
  <c r="K1079" i="3"/>
  <c r="J1079" i="3"/>
  <c r="I1079" i="3"/>
  <c r="H1079" i="3"/>
  <c r="G1079" i="3"/>
  <c r="L1078" i="3"/>
  <c r="K1078" i="3"/>
  <c r="J1078" i="3"/>
  <c r="I1078" i="3"/>
  <c r="H1078" i="3"/>
  <c r="G1078" i="3"/>
  <c r="L1077" i="3"/>
  <c r="K1077" i="3"/>
  <c r="J1077" i="3"/>
  <c r="I1077" i="3"/>
  <c r="H1077" i="3"/>
  <c r="G1077" i="3"/>
  <c r="L1076" i="3"/>
  <c r="K1076" i="3"/>
  <c r="J1076" i="3"/>
  <c r="I1076" i="3"/>
  <c r="H1076" i="3"/>
  <c r="G1076" i="3"/>
  <c r="L1075" i="3"/>
  <c r="K1075" i="3"/>
  <c r="J1075" i="3"/>
  <c r="I1075" i="3"/>
  <c r="H1075" i="3"/>
  <c r="G1075" i="3"/>
  <c r="L1074" i="3"/>
  <c r="K1074" i="3"/>
  <c r="J1074" i="3"/>
  <c r="I1074" i="3"/>
  <c r="H1074" i="3"/>
  <c r="G1074" i="3"/>
  <c r="L1073" i="3"/>
  <c r="K1073" i="3"/>
  <c r="J1073" i="3"/>
  <c r="I1073" i="3"/>
  <c r="H1073" i="3"/>
  <c r="G1073" i="3"/>
  <c r="L1072" i="3"/>
  <c r="K1072" i="3"/>
  <c r="J1072" i="3"/>
  <c r="I1072" i="3"/>
  <c r="H1072" i="3"/>
  <c r="G1072" i="3"/>
  <c r="L1071" i="3"/>
  <c r="K1071" i="3"/>
  <c r="J1071" i="3"/>
  <c r="I1071" i="3"/>
  <c r="H1071" i="3"/>
  <c r="G1071" i="3"/>
  <c r="L1070" i="3"/>
  <c r="K1070" i="3"/>
  <c r="J1070" i="3"/>
  <c r="I1070" i="3"/>
  <c r="H1070" i="3"/>
  <c r="G1070" i="3"/>
  <c r="L1069" i="3"/>
  <c r="K1069" i="3"/>
  <c r="J1069" i="3"/>
  <c r="I1069" i="3"/>
  <c r="H1069" i="3"/>
  <c r="G1069" i="3"/>
  <c r="L1068" i="3"/>
  <c r="K1068" i="3"/>
  <c r="J1068" i="3"/>
  <c r="I1068" i="3"/>
  <c r="H1068" i="3"/>
  <c r="G1068" i="3"/>
  <c r="L1067" i="3"/>
  <c r="K1067" i="3"/>
  <c r="J1067" i="3"/>
  <c r="I1067" i="3"/>
  <c r="H1067" i="3"/>
  <c r="G1067" i="3"/>
  <c r="L1066" i="3"/>
  <c r="K1066" i="3"/>
  <c r="J1066" i="3"/>
  <c r="I1066" i="3"/>
  <c r="H1066" i="3"/>
  <c r="G1066" i="3"/>
  <c r="L1065" i="3"/>
  <c r="K1065" i="3"/>
  <c r="J1065" i="3"/>
  <c r="I1065" i="3"/>
  <c r="H1065" i="3"/>
  <c r="G1065" i="3"/>
  <c r="L1064" i="3"/>
  <c r="K1064" i="3"/>
  <c r="J1064" i="3"/>
  <c r="I1064" i="3"/>
  <c r="H1064" i="3"/>
  <c r="G1064" i="3"/>
  <c r="L1063" i="3"/>
  <c r="K1063" i="3"/>
  <c r="J1063" i="3"/>
  <c r="I1063" i="3"/>
  <c r="H1063" i="3"/>
  <c r="G1063" i="3"/>
  <c r="L1062" i="3"/>
  <c r="K1062" i="3"/>
  <c r="J1062" i="3"/>
  <c r="I1062" i="3"/>
  <c r="H1062" i="3"/>
  <c r="G1062" i="3"/>
  <c r="L1061" i="3"/>
  <c r="K1061" i="3"/>
  <c r="J1061" i="3"/>
  <c r="I1061" i="3"/>
  <c r="H1061" i="3"/>
  <c r="G1061" i="3"/>
  <c r="L1060" i="3"/>
  <c r="K1060" i="3"/>
  <c r="J1060" i="3"/>
  <c r="I1060" i="3"/>
  <c r="H1060" i="3"/>
  <c r="G1060" i="3"/>
  <c r="L1059" i="3"/>
  <c r="K1059" i="3"/>
  <c r="J1059" i="3"/>
  <c r="I1059" i="3"/>
  <c r="H1059" i="3"/>
  <c r="G1059" i="3"/>
  <c r="L1058" i="3"/>
  <c r="K1058" i="3"/>
  <c r="J1058" i="3"/>
  <c r="I1058" i="3"/>
  <c r="H1058" i="3"/>
  <c r="G1058" i="3"/>
  <c r="L1057" i="3"/>
  <c r="K1057" i="3"/>
  <c r="J1057" i="3"/>
  <c r="I1057" i="3"/>
  <c r="H1057" i="3"/>
  <c r="G1057" i="3"/>
  <c r="O1056" i="3"/>
  <c r="L1056" i="3"/>
  <c r="K1056" i="3"/>
  <c r="J1056" i="3"/>
  <c r="I1056" i="3"/>
  <c r="H1056" i="3"/>
  <c r="G1056" i="3"/>
  <c r="L1055" i="3"/>
  <c r="K1055" i="3"/>
  <c r="J1055" i="3"/>
  <c r="I1055" i="3"/>
  <c r="H1055" i="3"/>
  <c r="G1055" i="3"/>
  <c r="L1054" i="3"/>
  <c r="K1054" i="3"/>
  <c r="J1054" i="3"/>
  <c r="I1054" i="3"/>
  <c r="H1054" i="3"/>
  <c r="G1054" i="3"/>
  <c r="L1053" i="3"/>
  <c r="K1053" i="3"/>
  <c r="J1053" i="3"/>
  <c r="I1053" i="3"/>
  <c r="H1053" i="3"/>
  <c r="G1053" i="3"/>
  <c r="L1052" i="3"/>
  <c r="K1052" i="3"/>
  <c r="J1052" i="3"/>
  <c r="I1052" i="3"/>
  <c r="H1052" i="3"/>
  <c r="G1052" i="3"/>
  <c r="L1051" i="3"/>
  <c r="K1051" i="3"/>
  <c r="J1051" i="3"/>
  <c r="I1051" i="3"/>
  <c r="H1051" i="3"/>
  <c r="G1051" i="3"/>
  <c r="L1050" i="3"/>
  <c r="K1050" i="3"/>
  <c r="J1050" i="3"/>
  <c r="I1050" i="3"/>
  <c r="H1050" i="3"/>
  <c r="G1050" i="3"/>
  <c r="L1049" i="3"/>
  <c r="K1049" i="3"/>
  <c r="J1049" i="3"/>
  <c r="I1049" i="3"/>
  <c r="H1049" i="3"/>
  <c r="G1049" i="3"/>
  <c r="L1048" i="3"/>
  <c r="K1048" i="3"/>
  <c r="J1048" i="3"/>
  <c r="I1048" i="3"/>
  <c r="H1048" i="3"/>
  <c r="G1048" i="3"/>
  <c r="L1047" i="3"/>
  <c r="K1047" i="3"/>
  <c r="J1047" i="3"/>
  <c r="I1047" i="3"/>
  <c r="H1047" i="3"/>
  <c r="G1047" i="3"/>
  <c r="L1046" i="3"/>
  <c r="K1046" i="3"/>
  <c r="J1046" i="3"/>
  <c r="I1046" i="3"/>
  <c r="H1046" i="3"/>
  <c r="G1046" i="3"/>
  <c r="L1045" i="3"/>
  <c r="K1045" i="3"/>
  <c r="J1045" i="3"/>
  <c r="I1045" i="3"/>
  <c r="H1045" i="3"/>
  <c r="G1045" i="3"/>
  <c r="L1044" i="3"/>
  <c r="K1044" i="3"/>
  <c r="J1044" i="3"/>
  <c r="I1044" i="3"/>
  <c r="H1044" i="3"/>
  <c r="G1044" i="3"/>
  <c r="L1043" i="3"/>
  <c r="K1043" i="3"/>
  <c r="J1043" i="3"/>
  <c r="I1043" i="3"/>
  <c r="H1043" i="3"/>
  <c r="G1043" i="3"/>
  <c r="L1042" i="3"/>
  <c r="K1042" i="3"/>
  <c r="J1042" i="3"/>
  <c r="I1042" i="3"/>
  <c r="H1042" i="3"/>
  <c r="G1042" i="3"/>
  <c r="L1041" i="3"/>
  <c r="K1041" i="3"/>
  <c r="J1041" i="3"/>
  <c r="I1041" i="3"/>
  <c r="H1041" i="3"/>
  <c r="G1041" i="3"/>
  <c r="L1040" i="3"/>
  <c r="K1040" i="3"/>
  <c r="J1040" i="3"/>
  <c r="I1040" i="3"/>
  <c r="H1040" i="3"/>
  <c r="G1040" i="3"/>
  <c r="L1039" i="3"/>
  <c r="K1039" i="3"/>
  <c r="J1039" i="3"/>
  <c r="I1039" i="3"/>
  <c r="H1039" i="3"/>
  <c r="G1039" i="3"/>
  <c r="L1038" i="3"/>
  <c r="K1038" i="3"/>
  <c r="J1038" i="3"/>
  <c r="I1038" i="3"/>
  <c r="H1038" i="3"/>
  <c r="G1038" i="3"/>
  <c r="L1037" i="3"/>
  <c r="K1037" i="3"/>
  <c r="J1037" i="3"/>
  <c r="I1037" i="3"/>
  <c r="H1037" i="3"/>
  <c r="G1037" i="3"/>
  <c r="L1036" i="3"/>
  <c r="K1036" i="3"/>
  <c r="J1036" i="3"/>
  <c r="I1036" i="3"/>
  <c r="H1036" i="3"/>
  <c r="G1036" i="3"/>
  <c r="L1035" i="3"/>
  <c r="K1035" i="3"/>
  <c r="J1035" i="3"/>
  <c r="I1035" i="3"/>
  <c r="H1035" i="3"/>
  <c r="G1035" i="3"/>
  <c r="L1034" i="3"/>
  <c r="K1034" i="3"/>
  <c r="J1034" i="3"/>
  <c r="I1034" i="3"/>
  <c r="H1034" i="3"/>
  <c r="G1034" i="3"/>
  <c r="L1033" i="3"/>
  <c r="K1033" i="3"/>
  <c r="J1033" i="3"/>
  <c r="I1033" i="3"/>
  <c r="H1033" i="3"/>
  <c r="G1033" i="3"/>
  <c r="L1032" i="3"/>
  <c r="K1032" i="3"/>
  <c r="J1032" i="3"/>
  <c r="I1032" i="3"/>
  <c r="H1032" i="3"/>
  <c r="G1032" i="3"/>
  <c r="L1031" i="3"/>
  <c r="K1031" i="3"/>
  <c r="J1031" i="3"/>
  <c r="I1031" i="3"/>
  <c r="H1031" i="3"/>
  <c r="G1031" i="3"/>
  <c r="L1030" i="3"/>
  <c r="K1030" i="3"/>
  <c r="J1030" i="3"/>
  <c r="I1030" i="3"/>
  <c r="H1030" i="3"/>
  <c r="G1030" i="3"/>
  <c r="L1029" i="3"/>
  <c r="K1029" i="3"/>
  <c r="J1029" i="3"/>
  <c r="I1029" i="3"/>
  <c r="H1029" i="3"/>
  <c r="G1029" i="3"/>
  <c r="L1028" i="3"/>
  <c r="K1028" i="3"/>
  <c r="J1028" i="3"/>
  <c r="I1028" i="3"/>
  <c r="H1028" i="3"/>
  <c r="G1028" i="3"/>
  <c r="L1027" i="3"/>
  <c r="K1027" i="3"/>
  <c r="J1027" i="3"/>
  <c r="I1027" i="3"/>
  <c r="H1027" i="3"/>
  <c r="G1027" i="3"/>
  <c r="L1026" i="3"/>
  <c r="K1026" i="3"/>
  <c r="J1026" i="3"/>
  <c r="I1026" i="3"/>
  <c r="H1026" i="3"/>
  <c r="G1026" i="3"/>
  <c r="L1025" i="3"/>
  <c r="K1025" i="3"/>
  <c r="J1025" i="3"/>
  <c r="I1025" i="3"/>
  <c r="H1025" i="3"/>
  <c r="G1025" i="3"/>
  <c r="L1024" i="3"/>
  <c r="K1024" i="3"/>
  <c r="J1024" i="3"/>
  <c r="I1024" i="3"/>
  <c r="H1024" i="3"/>
  <c r="G1024" i="3"/>
  <c r="L1023" i="3"/>
  <c r="K1023" i="3"/>
  <c r="J1023" i="3"/>
  <c r="I1023" i="3"/>
  <c r="H1023" i="3"/>
  <c r="G1023" i="3"/>
  <c r="O1022" i="3"/>
  <c r="L1022" i="3"/>
  <c r="K1022" i="3"/>
  <c r="J1022" i="3"/>
  <c r="I1022" i="3"/>
  <c r="H1022" i="3"/>
  <c r="G1022" i="3"/>
  <c r="L1021" i="3"/>
  <c r="K1021" i="3"/>
  <c r="J1021" i="3"/>
  <c r="I1021" i="3"/>
  <c r="H1021" i="3"/>
  <c r="G1021" i="3"/>
  <c r="L1020" i="3"/>
  <c r="K1020" i="3"/>
  <c r="J1020" i="3"/>
  <c r="I1020" i="3"/>
  <c r="H1020" i="3"/>
  <c r="G1020" i="3"/>
  <c r="L1019" i="3"/>
  <c r="K1019" i="3"/>
  <c r="J1019" i="3"/>
  <c r="I1019" i="3"/>
  <c r="H1019" i="3"/>
  <c r="G1019" i="3"/>
  <c r="L1018" i="3"/>
  <c r="K1018" i="3"/>
  <c r="J1018" i="3"/>
  <c r="I1018" i="3"/>
  <c r="H1018" i="3"/>
  <c r="G1018" i="3"/>
  <c r="L1017" i="3"/>
  <c r="K1017" i="3"/>
  <c r="J1017" i="3"/>
  <c r="I1017" i="3"/>
  <c r="H1017" i="3"/>
  <c r="G1017" i="3"/>
  <c r="L1016" i="3"/>
  <c r="K1016" i="3"/>
  <c r="J1016" i="3"/>
  <c r="I1016" i="3"/>
  <c r="H1016" i="3"/>
  <c r="G1016" i="3"/>
  <c r="L1015" i="3"/>
  <c r="K1015" i="3"/>
  <c r="J1015" i="3"/>
  <c r="I1015" i="3"/>
  <c r="H1015" i="3"/>
  <c r="G1015" i="3"/>
  <c r="L1014" i="3"/>
  <c r="K1014" i="3"/>
  <c r="J1014" i="3"/>
  <c r="I1014" i="3"/>
  <c r="H1014" i="3"/>
  <c r="G1014" i="3"/>
  <c r="L1013" i="3"/>
  <c r="K1013" i="3"/>
  <c r="J1013" i="3"/>
  <c r="I1013" i="3"/>
  <c r="H1013" i="3"/>
  <c r="G1013" i="3"/>
  <c r="L1012" i="3"/>
  <c r="K1012" i="3"/>
  <c r="J1012" i="3"/>
  <c r="I1012" i="3"/>
  <c r="H1012" i="3"/>
  <c r="G1012" i="3"/>
  <c r="L1011" i="3"/>
  <c r="K1011" i="3"/>
  <c r="J1011" i="3"/>
  <c r="I1011" i="3"/>
  <c r="H1011" i="3"/>
  <c r="G1011" i="3"/>
  <c r="L1010" i="3"/>
  <c r="K1010" i="3"/>
  <c r="J1010" i="3"/>
  <c r="I1010" i="3"/>
  <c r="H1010" i="3"/>
  <c r="G1010" i="3"/>
  <c r="L1009" i="3"/>
  <c r="K1009" i="3"/>
  <c r="J1009" i="3"/>
  <c r="I1009" i="3"/>
  <c r="H1009" i="3"/>
  <c r="G1009" i="3"/>
  <c r="L1008" i="3"/>
  <c r="K1008" i="3"/>
  <c r="J1008" i="3"/>
  <c r="I1008" i="3"/>
  <c r="H1008" i="3"/>
  <c r="G1008" i="3"/>
  <c r="L1007" i="3"/>
  <c r="K1007" i="3"/>
  <c r="J1007" i="3"/>
  <c r="I1007" i="3"/>
  <c r="H1007" i="3"/>
  <c r="G1007" i="3"/>
  <c r="L1006" i="3"/>
  <c r="K1006" i="3"/>
  <c r="J1006" i="3"/>
  <c r="I1006" i="3"/>
  <c r="H1006" i="3"/>
  <c r="G1006" i="3"/>
  <c r="L1005" i="3"/>
  <c r="K1005" i="3"/>
  <c r="J1005" i="3"/>
  <c r="I1005" i="3"/>
  <c r="H1005" i="3"/>
  <c r="G1005" i="3"/>
  <c r="L1004" i="3"/>
  <c r="K1004" i="3"/>
  <c r="J1004" i="3"/>
  <c r="I1004" i="3"/>
  <c r="H1004" i="3"/>
  <c r="G1004" i="3"/>
  <c r="L1003" i="3"/>
  <c r="K1003" i="3"/>
  <c r="J1003" i="3"/>
  <c r="I1003" i="3"/>
  <c r="H1003" i="3"/>
  <c r="G1003" i="3"/>
  <c r="L1002" i="3"/>
  <c r="K1002" i="3"/>
  <c r="J1002" i="3"/>
  <c r="I1002" i="3"/>
  <c r="H1002" i="3"/>
  <c r="G1002" i="3"/>
  <c r="L1001" i="3"/>
  <c r="K1001" i="3"/>
  <c r="J1001" i="3"/>
  <c r="I1001" i="3"/>
  <c r="H1001" i="3"/>
  <c r="G1001" i="3"/>
  <c r="L1000" i="3"/>
  <c r="K1000" i="3"/>
  <c r="J1000" i="3"/>
  <c r="I1000" i="3"/>
  <c r="H1000" i="3"/>
  <c r="G1000" i="3"/>
  <c r="L999" i="3"/>
  <c r="K999" i="3"/>
  <c r="J999" i="3"/>
  <c r="I999" i="3"/>
  <c r="H999" i="3"/>
  <c r="G999" i="3"/>
  <c r="L998" i="3"/>
  <c r="K998" i="3"/>
  <c r="J998" i="3"/>
  <c r="I998" i="3"/>
  <c r="H998" i="3"/>
  <c r="G998" i="3"/>
  <c r="L997" i="3"/>
  <c r="K997" i="3"/>
  <c r="J997" i="3"/>
  <c r="I997" i="3"/>
  <c r="H997" i="3"/>
  <c r="G997" i="3"/>
  <c r="L996" i="3"/>
  <c r="K996" i="3"/>
  <c r="J996" i="3"/>
  <c r="I996" i="3"/>
  <c r="H996" i="3"/>
  <c r="G996" i="3"/>
  <c r="L995" i="3"/>
  <c r="K995" i="3"/>
  <c r="J995" i="3"/>
  <c r="I995" i="3"/>
  <c r="H995" i="3"/>
  <c r="G995" i="3"/>
  <c r="L994" i="3"/>
  <c r="K994" i="3"/>
  <c r="J994" i="3"/>
  <c r="I994" i="3"/>
  <c r="H994" i="3"/>
  <c r="G994" i="3"/>
  <c r="L993" i="3"/>
  <c r="K993" i="3"/>
  <c r="J993" i="3"/>
  <c r="I993" i="3"/>
  <c r="H993" i="3"/>
  <c r="G993" i="3"/>
  <c r="L992" i="3"/>
  <c r="K992" i="3"/>
  <c r="J992" i="3"/>
  <c r="I992" i="3"/>
  <c r="H992" i="3"/>
  <c r="G992" i="3"/>
  <c r="L991" i="3"/>
  <c r="K991" i="3"/>
  <c r="J991" i="3"/>
  <c r="I991" i="3"/>
  <c r="H991" i="3"/>
  <c r="G991" i="3"/>
  <c r="L990" i="3"/>
  <c r="K990" i="3"/>
  <c r="J990" i="3"/>
  <c r="I990" i="3"/>
  <c r="H990" i="3"/>
  <c r="G990" i="3"/>
  <c r="L989" i="3"/>
  <c r="K989" i="3"/>
  <c r="J989" i="3"/>
  <c r="I989" i="3"/>
  <c r="H989" i="3"/>
  <c r="G989" i="3"/>
  <c r="O988" i="3"/>
  <c r="L988" i="3"/>
  <c r="K988" i="3"/>
  <c r="J988" i="3"/>
  <c r="I988" i="3"/>
  <c r="H988" i="3"/>
  <c r="G988" i="3"/>
  <c r="L987" i="3"/>
  <c r="K987" i="3"/>
  <c r="J987" i="3"/>
  <c r="I987" i="3"/>
  <c r="H987" i="3"/>
  <c r="G987" i="3"/>
  <c r="L986" i="3"/>
  <c r="K986" i="3"/>
  <c r="J986" i="3"/>
  <c r="I986" i="3"/>
  <c r="H986" i="3"/>
  <c r="G986" i="3"/>
  <c r="L985" i="3"/>
  <c r="K985" i="3"/>
  <c r="J985" i="3"/>
  <c r="I985" i="3"/>
  <c r="H985" i="3"/>
  <c r="G985" i="3"/>
  <c r="L984" i="3"/>
  <c r="K984" i="3"/>
  <c r="J984" i="3"/>
  <c r="I984" i="3"/>
  <c r="H984" i="3"/>
  <c r="G984" i="3"/>
  <c r="L983" i="3"/>
  <c r="K983" i="3"/>
  <c r="J983" i="3"/>
  <c r="I983" i="3"/>
  <c r="H983" i="3"/>
  <c r="G983" i="3"/>
  <c r="L982" i="3"/>
  <c r="K982" i="3"/>
  <c r="J982" i="3"/>
  <c r="I982" i="3"/>
  <c r="H982" i="3"/>
  <c r="G982" i="3"/>
  <c r="L981" i="3"/>
  <c r="K981" i="3"/>
  <c r="J981" i="3"/>
  <c r="I981" i="3"/>
  <c r="H981" i="3"/>
  <c r="G981" i="3"/>
  <c r="L980" i="3"/>
  <c r="K980" i="3"/>
  <c r="J980" i="3"/>
  <c r="I980" i="3"/>
  <c r="H980" i="3"/>
  <c r="G980" i="3"/>
  <c r="L979" i="3"/>
  <c r="K979" i="3"/>
  <c r="J979" i="3"/>
  <c r="I979" i="3"/>
  <c r="H979" i="3"/>
  <c r="G979" i="3"/>
  <c r="L978" i="3"/>
  <c r="K978" i="3"/>
  <c r="J978" i="3"/>
  <c r="I978" i="3"/>
  <c r="H978" i="3"/>
  <c r="G978" i="3"/>
  <c r="L977" i="3"/>
  <c r="K977" i="3"/>
  <c r="J977" i="3"/>
  <c r="I977" i="3"/>
  <c r="H977" i="3"/>
  <c r="G977" i="3"/>
  <c r="L976" i="3"/>
  <c r="K976" i="3"/>
  <c r="J976" i="3"/>
  <c r="I976" i="3"/>
  <c r="H976" i="3"/>
  <c r="G976" i="3"/>
  <c r="L975" i="3"/>
  <c r="K975" i="3"/>
  <c r="J975" i="3"/>
  <c r="I975" i="3"/>
  <c r="H975" i="3"/>
  <c r="G975" i="3"/>
  <c r="L974" i="3"/>
  <c r="K974" i="3"/>
  <c r="J974" i="3"/>
  <c r="I974" i="3"/>
  <c r="H974" i="3"/>
  <c r="G974" i="3"/>
  <c r="L973" i="3"/>
  <c r="K973" i="3"/>
  <c r="J973" i="3"/>
  <c r="I973" i="3"/>
  <c r="H973" i="3"/>
  <c r="G973" i="3"/>
  <c r="L972" i="3"/>
  <c r="K972" i="3"/>
  <c r="M972" i="3" s="1"/>
  <c r="J972" i="3"/>
  <c r="I972" i="3"/>
  <c r="H972" i="3"/>
  <c r="G972" i="3"/>
  <c r="L971" i="3"/>
  <c r="K971" i="3"/>
  <c r="J971" i="3"/>
  <c r="I971" i="3"/>
  <c r="M971" i="3" s="1"/>
  <c r="H971" i="3"/>
  <c r="G971" i="3"/>
  <c r="L970" i="3"/>
  <c r="K970" i="3"/>
  <c r="J970" i="3"/>
  <c r="I970" i="3"/>
  <c r="H970" i="3"/>
  <c r="G970" i="3"/>
  <c r="L969" i="3"/>
  <c r="K969" i="3"/>
  <c r="J969" i="3"/>
  <c r="I969" i="3"/>
  <c r="H969" i="3"/>
  <c r="G969" i="3"/>
  <c r="L968" i="3"/>
  <c r="K968" i="3"/>
  <c r="J968" i="3"/>
  <c r="I968" i="3"/>
  <c r="H968" i="3"/>
  <c r="G968" i="3"/>
  <c r="L967" i="3"/>
  <c r="K967" i="3"/>
  <c r="J967" i="3"/>
  <c r="I967" i="3"/>
  <c r="H967" i="3"/>
  <c r="G967" i="3"/>
  <c r="L966" i="3"/>
  <c r="K966" i="3"/>
  <c r="J966" i="3"/>
  <c r="I966" i="3"/>
  <c r="H966" i="3"/>
  <c r="G966" i="3"/>
  <c r="L965" i="3"/>
  <c r="K965" i="3"/>
  <c r="J965" i="3"/>
  <c r="I965" i="3"/>
  <c r="H965" i="3"/>
  <c r="G965" i="3"/>
  <c r="L964" i="3"/>
  <c r="K964" i="3"/>
  <c r="M964" i="3" s="1"/>
  <c r="J964" i="3"/>
  <c r="I964" i="3"/>
  <c r="H964" i="3"/>
  <c r="G964" i="3"/>
  <c r="L963" i="3"/>
  <c r="K963" i="3"/>
  <c r="J963" i="3"/>
  <c r="I963" i="3"/>
  <c r="M963" i="3" s="1"/>
  <c r="H963" i="3"/>
  <c r="G963" i="3"/>
  <c r="L962" i="3"/>
  <c r="K962" i="3"/>
  <c r="J962" i="3"/>
  <c r="I962" i="3"/>
  <c r="H962" i="3"/>
  <c r="G962" i="3"/>
  <c r="L961" i="3"/>
  <c r="K961" i="3"/>
  <c r="J961" i="3"/>
  <c r="I961" i="3"/>
  <c r="H961" i="3"/>
  <c r="G961" i="3"/>
  <c r="L960" i="3"/>
  <c r="K960" i="3"/>
  <c r="J960" i="3"/>
  <c r="I960" i="3"/>
  <c r="H960" i="3"/>
  <c r="G960" i="3"/>
  <c r="L959" i="3"/>
  <c r="K959" i="3"/>
  <c r="J959" i="3"/>
  <c r="I959" i="3"/>
  <c r="H959" i="3"/>
  <c r="G959" i="3"/>
  <c r="L958" i="3"/>
  <c r="K958" i="3"/>
  <c r="J958" i="3"/>
  <c r="I958" i="3"/>
  <c r="H958" i="3"/>
  <c r="G958" i="3"/>
  <c r="L957" i="3"/>
  <c r="K957" i="3"/>
  <c r="J957" i="3"/>
  <c r="I957" i="3"/>
  <c r="H957" i="3"/>
  <c r="G957" i="3"/>
  <c r="L956" i="3"/>
  <c r="K956" i="3"/>
  <c r="M956" i="3" s="1"/>
  <c r="J956" i="3"/>
  <c r="I956" i="3"/>
  <c r="H956" i="3"/>
  <c r="G956" i="3"/>
  <c r="L955" i="3"/>
  <c r="K955" i="3"/>
  <c r="J955" i="3"/>
  <c r="I955" i="3"/>
  <c r="M955" i="3" s="1"/>
  <c r="H955" i="3"/>
  <c r="G955" i="3"/>
  <c r="O954" i="3"/>
  <c r="L954" i="3"/>
  <c r="K954" i="3"/>
  <c r="J954" i="3"/>
  <c r="I954" i="3"/>
  <c r="H954" i="3"/>
  <c r="G954" i="3"/>
  <c r="L953" i="3"/>
  <c r="K953" i="3"/>
  <c r="J953" i="3"/>
  <c r="I953" i="3"/>
  <c r="H953" i="3"/>
  <c r="G953" i="3"/>
  <c r="L952" i="3"/>
  <c r="K952" i="3"/>
  <c r="J952" i="3"/>
  <c r="I952" i="3"/>
  <c r="H952" i="3"/>
  <c r="G952" i="3"/>
  <c r="L951" i="3"/>
  <c r="K951" i="3"/>
  <c r="J951" i="3"/>
  <c r="I951" i="3"/>
  <c r="H951" i="3"/>
  <c r="G951" i="3"/>
  <c r="L950" i="3"/>
  <c r="K950" i="3"/>
  <c r="J950" i="3"/>
  <c r="I950" i="3"/>
  <c r="H950" i="3"/>
  <c r="G950" i="3"/>
  <c r="L949" i="3"/>
  <c r="K949" i="3"/>
  <c r="J949" i="3"/>
  <c r="I949" i="3"/>
  <c r="H949" i="3"/>
  <c r="G949" i="3"/>
  <c r="L948" i="3"/>
  <c r="K948" i="3"/>
  <c r="J948" i="3"/>
  <c r="I948" i="3"/>
  <c r="H948" i="3"/>
  <c r="G948" i="3"/>
  <c r="L947" i="3"/>
  <c r="K947" i="3"/>
  <c r="J947" i="3"/>
  <c r="M947" i="3" s="1"/>
  <c r="I947" i="3"/>
  <c r="H947" i="3"/>
  <c r="G947" i="3"/>
  <c r="L946" i="3"/>
  <c r="K946" i="3"/>
  <c r="J946" i="3"/>
  <c r="I946" i="3"/>
  <c r="H946" i="3"/>
  <c r="G946" i="3"/>
  <c r="L945" i="3"/>
  <c r="K945" i="3"/>
  <c r="J945" i="3"/>
  <c r="I945" i="3"/>
  <c r="H945" i="3"/>
  <c r="G945" i="3"/>
  <c r="L944" i="3"/>
  <c r="K944" i="3"/>
  <c r="J944" i="3"/>
  <c r="I944" i="3"/>
  <c r="H944" i="3"/>
  <c r="G944" i="3"/>
  <c r="L943" i="3"/>
  <c r="K943" i="3"/>
  <c r="J943" i="3"/>
  <c r="I943" i="3"/>
  <c r="H943" i="3"/>
  <c r="G943" i="3"/>
  <c r="L942" i="3"/>
  <c r="K942" i="3"/>
  <c r="J942" i="3"/>
  <c r="I942" i="3"/>
  <c r="H942" i="3"/>
  <c r="G942" i="3"/>
  <c r="L941" i="3"/>
  <c r="K941" i="3"/>
  <c r="J941" i="3"/>
  <c r="I941" i="3"/>
  <c r="H941" i="3"/>
  <c r="G941" i="3"/>
  <c r="L940" i="3"/>
  <c r="K940" i="3"/>
  <c r="J940" i="3"/>
  <c r="I940" i="3"/>
  <c r="H940" i="3"/>
  <c r="G940" i="3"/>
  <c r="L939" i="3"/>
  <c r="K939" i="3"/>
  <c r="J939" i="3"/>
  <c r="M939" i="3" s="1"/>
  <c r="I939" i="3"/>
  <c r="H939" i="3"/>
  <c r="G939" i="3"/>
  <c r="L938" i="3"/>
  <c r="K938" i="3"/>
  <c r="J938" i="3"/>
  <c r="I938" i="3"/>
  <c r="H938" i="3"/>
  <c r="G938" i="3"/>
  <c r="L937" i="3"/>
  <c r="K937" i="3"/>
  <c r="J937" i="3"/>
  <c r="I937" i="3"/>
  <c r="H937" i="3"/>
  <c r="G937" i="3"/>
  <c r="L936" i="3"/>
  <c r="K936" i="3"/>
  <c r="J936" i="3"/>
  <c r="I936" i="3"/>
  <c r="H936" i="3"/>
  <c r="G936" i="3"/>
  <c r="L935" i="3"/>
  <c r="K935" i="3"/>
  <c r="J935" i="3"/>
  <c r="I935" i="3"/>
  <c r="H935" i="3"/>
  <c r="G935" i="3"/>
  <c r="L934" i="3"/>
  <c r="K934" i="3"/>
  <c r="J934" i="3"/>
  <c r="I934" i="3"/>
  <c r="H934" i="3"/>
  <c r="G934" i="3"/>
  <c r="L933" i="3"/>
  <c r="K933" i="3"/>
  <c r="J933" i="3"/>
  <c r="I933" i="3"/>
  <c r="H933" i="3"/>
  <c r="G933" i="3"/>
  <c r="L932" i="3"/>
  <c r="K932" i="3"/>
  <c r="J932" i="3"/>
  <c r="I932" i="3"/>
  <c r="H932" i="3"/>
  <c r="G932" i="3"/>
  <c r="L931" i="3"/>
  <c r="K931" i="3"/>
  <c r="J931" i="3"/>
  <c r="M931" i="3" s="1"/>
  <c r="I931" i="3"/>
  <c r="H931" i="3"/>
  <c r="G931" i="3"/>
  <c r="L930" i="3"/>
  <c r="K930" i="3"/>
  <c r="J930" i="3"/>
  <c r="I930" i="3"/>
  <c r="H930" i="3"/>
  <c r="G930" i="3"/>
  <c r="L929" i="3"/>
  <c r="K929" i="3"/>
  <c r="J929" i="3"/>
  <c r="I929" i="3"/>
  <c r="H929" i="3"/>
  <c r="G929" i="3"/>
  <c r="L928" i="3"/>
  <c r="K928" i="3"/>
  <c r="J928" i="3"/>
  <c r="I928" i="3"/>
  <c r="H928" i="3"/>
  <c r="G928" i="3"/>
  <c r="L927" i="3"/>
  <c r="K927" i="3"/>
  <c r="J927" i="3"/>
  <c r="I927" i="3"/>
  <c r="H927" i="3"/>
  <c r="G927" i="3"/>
  <c r="L926" i="3"/>
  <c r="K926" i="3"/>
  <c r="J926" i="3"/>
  <c r="I926" i="3"/>
  <c r="H926" i="3"/>
  <c r="G926" i="3"/>
  <c r="L925" i="3"/>
  <c r="K925" i="3"/>
  <c r="J925" i="3"/>
  <c r="I925" i="3"/>
  <c r="H925" i="3"/>
  <c r="G925" i="3"/>
  <c r="L924" i="3"/>
  <c r="K924" i="3"/>
  <c r="J924" i="3"/>
  <c r="I924" i="3"/>
  <c r="H924" i="3"/>
  <c r="G924" i="3"/>
  <c r="L923" i="3"/>
  <c r="K923" i="3"/>
  <c r="J923" i="3"/>
  <c r="M923" i="3" s="1"/>
  <c r="I923" i="3"/>
  <c r="H923" i="3"/>
  <c r="G923" i="3"/>
  <c r="L922" i="3"/>
  <c r="K922" i="3"/>
  <c r="J922" i="3"/>
  <c r="I922" i="3"/>
  <c r="H922" i="3"/>
  <c r="G922" i="3"/>
  <c r="L921" i="3"/>
  <c r="K921" i="3"/>
  <c r="J921" i="3"/>
  <c r="I921" i="3"/>
  <c r="H921" i="3"/>
  <c r="G921" i="3"/>
  <c r="O920" i="3"/>
  <c r="L920" i="3"/>
  <c r="K920" i="3"/>
  <c r="J920" i="3"/>
  <c r="I920" i="3"/>
  <c r="H920" i="3"/>
  <c r="G920" i="3"/>
  <c r="L919" i="3"/>
  <c r="K919" i="3"/>
  <c r="M919" i="3" s="1"/>
  <c r="J919" i="3"/>
  <c r="I919" i="3"/>
  <c r="H919" i="3"/>
  <c r="G919" i="3"/>
  <c r="L918" i="3"/>
  <c r="K918" i="3"/>
  <c r="J918" i="3"/>
  <c r="I918" i="3"/>
  <c r="M918" i="3" s="1"/>
  <c r="H918" i="3"/>
  <c r="G918" i="3"/>
  <c r="L917" i="3"/>
  <c r="K917" i="3"/>
  <c r="J917" i="3"/>
  <c r="I917" i="3"/>
  <c r="H917" i="3"/>
  <c r="G917" i="3"/>
  <c r="L916" i="3"/>
  <c r="K916" i="3"/>
  <c r="J916" i="3"/>
  <c r="I916" i="3"/>
  <c r="H916" i="3"/>
  <c r="G916" i="3"/>
  <c r="L915" i="3"/>
  <c r="K915" i="3"/>
  <c r="J915" i="3"/>
  <c r="I915" i="3"/>
  <c r="H915" i="3"/>
  <c r="G915" i="3"/>
  <c r="L914" i="3"/>
  <c r="K914" i="3"/>
  <c r="J914" i="3"/>
  <c r="I914" i="3"/>
  <c r="H914" i="3"/>
  <c r="G914" i="3"/>
  <c r="L913" i="3"/>
  <c r="K913" i="3"/>
  <c r="J913" i="3"/>
  <c r="I913" i="3"/>
  <c r="H913" i="3"/>
  <c r="G913" i="3"/>
  <c r="L912" i="3"/>
  <c r="K912" i="3"/>
  <c r="J912" i="3"/>
  <c r="I912" i="3"/>
  <c r="H912" i="3"/>
  <c r="G912" i="3"/>
  <c r="L911" i="3"/>
  <c r="K911" i="3"/>
  <c r="M911" i="3" s="1"/>
  <c r="J911" i="3"/>
  <c r="I911" i="3"/>
  <c r="H911" i="3"/>
  <c r="G911" i="3"/>
  <c r="L910" i="3"/>
  <c r="K910" i="3"/>
  <c r="J910" i="3"/>
  <c r="I910" i="3"/>
  <c r="M910" i="3" s="1"/>
  <c r="H910" i="3"/>
  <c r="G910" i="3"/>
  <c r="L909" i="3"/>
  <c r="K909" i="3"/>
  <c r="J909" i="3"/>
  <c r="I909" i="3"/>
  <c r="H909" i="3"/>
  <c r="G909" i="3"/>
  <c r="L908" i="3"/>
  <c r="K908" i="3"/>
  <c r="J908" i="3"/>
  <c r="I908" i="3"/>
  <c r="H908" i="3"/>
  <c r="G908" i="3"/>
  <c r="L907" i="3"/>
  <c r="K907" i="3"/>
  <c r="J907" i="3"/>
  <c r="I907" i="3"/>
  <c r="H907" i="3"/>
  <c r="G907" i="3"/>
  <c r="L906" i="3"/>
  <c r="K906" i="3"/>
  <c r="J906" i="3"/>
  <c r="I906" i="3"/>
  <c r="M906" i="3" s="1"/>
  <c r="H906" i="3"/>
  <c r="G906" i="3"/>
  <c r="L905" i="3"/>
  <c r="K905" i="3"/>
  <c r="J905" i="3"/>
  <c r="I905" i="3"/>
  <c r="H905" i="3"/>
  <c r="G905" i="3"/>
  <c r="M905" i="3" s="1"/>
  <c r="L904" i="3"/>
  <c r="K904" i="3"/>
  <c r="J904" i="3"/>
  <c r="I904" i="3"/>
  <c r="H904" i="3"/>
  <c r="G904" i="3"/>
  <c r="L903" i="3"/>
  <c r="K903" i="3"/>
  <c r="M903" i="3" s="1"/>
  <c r="J903" i="3"/>
  <c r="I903" i="3"/>
  <c r="H903" i="3"/>
  <c r="G903" i="3"/>
  <c r="L902" i="3"/>
  <c r="K902" i="3"/>
  <c r="J902" i="3"/>
  <c r="I902" i="3"/>
  <c r="M902" i="3" s="1"/>
  <c r="H902" i="3"/>
  <c r="G902" i="3"/>
  <c r="L901" i="3"/>
  <c r="K901" i="3"/>
  <c r="J901" i="3"/>
  <c r="I901" i="3"/>
  <c r="H901" i="3"/>
  <c r="G901" i="3"/>
  <c r="L900" i="3"/>
  <c r="K900" i="3"/>
  <c r="J900" i="3"/>
  <c r="I900" i="3"/>
  <c r="H900" i="3"/>
  <c r="G900" i="3"/>
  <c r="L899" i="3"/>
  <c r="K899" i="3"/>
  <c r="J899" i="3"/>
  <c r="I899" i="3"/>
  <c r="H899" i="3"/>
  <c r="G899" i="3"/>
  <c r="L898" i="3"/>
  <c r="K898" i="3"/>
  <c r="J898" i="3"/>
  <c r="I898" i="3"/>
  <c r="H898" i="3"/>
  <c r="G898" i="3"/>
  <c r="L897" i="3"/>
  <c r="K897" i="3"/>
  <c r="J897" i="3"/>
  <c r="I897" i="3"/>
  <c r="H897" i="3"/>
  <c r="G897" i="3"/>
  <c r="L896" i="3"/>
  <c r="K896" i="3"/>
  <c r="J896" i="3"/>
  <c r="I896" i="3"/>
  <c r="H896" i="3"/>
  <c r="G896" i="3"/>
  <c r="L895" i="3"/>
  <c r="K895" i="3"/>
  <c r="M895" i="3" s="1"/>
  <c r="J895" i="3"/>
  <c r="I895" i="3"/>
  <c r="H895" i="3"/>
  <c r="G895" i="3"/>
  <c r="L894" i="3"/>
  <c r="K894" i="3"/>
  <c r="J894" i="3"/>
  <c r="I894" i="3"/>
  <c r="M894" i="3" s="1"/>
  <c r="H894" i="3"/>
  <c r="G894" i="3"/>
  <c r="L893" i="3"/>
  <c r="K893" i="3"/>
  <c r="J893" i="3"/>
  <c r="I893" i="3"/>
  <c r="H893" i="3"/>
  <c r="G893" i="3"/>
  <c r="L892" i="3"/>
  <c r="K892" i="3"/>
  <c r="J892" i="3"/>
  <c r="I892" i="3"/>
  <c r="H892" i="3"/>
  <c r="G892" i="3"/>
  <c r="L891" i="3"/>
  <c r="K891" i="3"/>
  <c r="J891" i="3"/>
  <c r="I891" i="3"/>
  <c r="H891" i="3"/>
  <c r="G891" i="3"/>
  <c r="L890" i="3"/>
  <c r="K890" i="3"/>
  <c r="J890" i="3"/>
  <c r="I890" i="3"/>
  <c r="M890" i="3" s="1"/>
  <c r="H890" i="3"/>
  <c r="G890" i="3"/>
  <c r="L889" i="3"/>
  <c r="K889" i="3"/>
  <c r="J889" i="3"/>
  <c r="I889" i="3"/>
  <c r="H889" i="3"/>
  <c r="G889" i="3"/>
  <c r="M889" i="3" s="1"/>
  <c r="L888" i="3"/>
  <c r="K888" i="3"/>
  <c r="J888" i="3"/>
  <c r="I888" i="3"/>
  <c r="H888" i="3"/>
  <c r="G888" i="3"/>
  <c r="L887" i="3"/>
  <c r="K887" i="3"/>
  <c r="M887" i="3" s="1"/>
  <c r="J887" i="3"/>
  <c r="I887" i="3"/>
  <c r="H887" i="3"/>
  <c r="G887" i="3"/>
  <c r="O886" i="3"/>
  <c r="L886" i="3"/>
  <c r="K886" i="3"/>
  <c r="J886" i="3"/>
  <c r="M886" i="3" s="1"/>
  <c r="I886" i="3"/>
  <c r="H886" i="3"/>
  <c r="G886" i="3"/>
  <c r="L885" i="3"/>
  <c r="K885" i="3"/>
  <c r="J885" i="3"/>
  <c r="I885" i="3"/>
  <c r="H885" i="3"/>
  <c r="G885" i="3"/>
  <c r="L884" i="3"/>
  <c r="K884" i="3"/>
  <c r="J884" i="3"/>
  <c r="I884" i="3"/>
  <c r="H884" i="3"/>
  <c r="G884" i="3"/>
  <c r="L883" i="3"/>
  <c r="K883" i="3"/>
  <c r="J883" i="3"/>
  <c r="I883" i="3"/>
  <c r="H883" i="3"/>
  <c r="G883" i="3"/>
  <c r="L882" i="3"/>
  <c r="K882" i="3"/>
  <c r="J882" i="3"/>
  <c r="I882" i="3"/>
  <c r="H882" i="3"/>
  <c r="G882" i="3"/>
  <c r="L881" i="3"/>
  <c r="K881" i="3"/>
  <c r="J881" i="3"/>
  <c r="I881" i="3"/>
  <c r="H881" i="3"/>
  <c r="G881" i="3"/>
  <c r="L880" i="3"/>
  <c r="K880" i="3"/>
  <c r="J880" i="3"/>
  <c r="I880" i="3"/>
  <c r="H880" i="3"/>
  <c r="G880" i="3"/>
  <c r="L879" i="3"/>
  <c r="K879" i="3"/>
  <c r="J879" i="3"/>
  <c r="I879" i="3"/>
  <c r="H879" i="3"/>
  <c r="G879" i="3"/>
  <c r="L878" i="3"/>
  <c r="K878" i="3"/>
  <c r="J878" i="3"/>
  <c r="M878" i="3" s="1"/>
  <c r="I878" i="3"/>
  <c r="H878" i="3"/>
  <c r="G878" i="3"/>
  <c r="L877" i="3"/>
  <c r="K877" i="3"/>
  <c r="J877" i="3"/>
  <c r="I877" i="3"/>
  <c r="H877" i="3"/>
  <c r="G877" i="3"/>
  <c r="L876" i="3"/>
  <c r="K876" i="3"/>
  <c r="J876" i="3"/>
  <c r="I876" i="3"/>
  <c r="H876" i="3"/>
  <c r="G876" i="3"/>
  <c r="L875" i="3"/>
  <c r="K875" i="3"/>
  <c r="J875" i="3"/>
  <c r="I875" i="3"/>
  <c r="H875" i="3"/>
  <c r="G875" i="3"/>
  <c r="L874" i="3"/>
  <c r="K874" i="3"/>
  <c r="J874" i="3"/>
  <c r="I874" i="3"/>
  <c r="H874" i="3"/>
  <c r="G874" i="3"/>
  <c r="M874" i="3" s="1"/>
  <c r="L873" i="3"/>
  <c r="K873" i="3"/>
  <c r="J873" i="3"/>
  <c r="I873" i="3"/>
  <c r="H873" i="3"/>
  <c r="M873" i="3" s="1"/>
  <c r="G873" i="3"/>
  <c r="L872" i="3"/>
  <c r="K872" i="3"/>
  <c r="J872" i="3"/>
  <c r="I872" i="3"/>
  <c r="H872" i="3"/>
  <c r="G872" i="3"/>
  <c r="L871" i="3"/>
  <c r="K871" i="3"/>
  <c r="J871" i="3"/>
  <c r="I871" i="3"/>
  <c r="H871" i="3"/>
  <c r="G871" i="3"/>
  <c r="L870" i="3"/>
  <c r="K870" i="3"/>
  <c r="J870" i="3"/>
  <c r="M870" i="3" s="1"/>
  <c r="I870" i="3"/>
  <c r="H870" i="3"/>
  <c r="G870" i="3"/>
  <c r="L869" i="3"/>
  <c r="K869" i="3"/>
  <c r="J869" i="3"/>
  <c r="I869" i="3"/>
  <c r="H869" i="3"/>
  <c r="G869" i="3"/>
  <c r="L868" i="3"/>
  <c r="K868" i="3"/>
  <c r="J868" i="3"/>
  <c r="I868" i="3"/>
  <c r="H868" i="3"/>
  <c r="G868" i="3"/>
  <c r="L867" i="3"/>
  <c r="K867" i="3"/>
  <c r="J867" i="3"/>
  <c r="I867" i="3"/>
  <c r="H867" i="3"/>
  <c r="G867" i="3"/>
  <c r="L866" i="3"/>
  <c r="K866" i="3"/>
  <c r="J866" i="3"/>
  <c r="I866" i="3"/>
  <c r="H866" i="3"/>
  <c r="G866" i="3"/>
  <c r="L865" i="3"/>
  <c r="K865" i="3"/>
  <c r="J865" i="3"/>
  <c r="I865" i="3"/>
  <c r="H865" i="3"/>
  <c r="G865" i="3"/>
  <c r="L864" i="3"/>
  <c r="K864" i="3"/>
  <c r="J864" i="3"/>
  <c r="I864" i="3"/>
  <c r="H864" i="3"/>
  <c r="G864" i="3"/>
  <c r="L863" i="3"/>
  <c r="K863" i="3"/>
  <c r="J863" i="3"/>
  <c r="I863" i="3"/>
  <c r="H863" i="3"/>
  <c r="G863" i="3"/>
  <c r="L862" i="3"/>
  <c r="K862" i="3"/>
  <c r="J862" i="3"/>
  <c r="M862" i="3" s="1"/>
  <c r="I862" i="3"/>
  <c r="H862" i="3"/>
  <c r="G862" i="3"/>
  <c r="L861" i="3"/>
  <c r="K861" i="3"/>
  <c r="J861" i="3"/>
  <c r="I861" i="3"/>
  <c r="H861" i="3"/>
  <c r="G861" i="3"/>
  <c r="L860" i="3"/>
  <c r="K860" i="3"/>
  <c r="J860" i="3"/>
  <c r="I860" i="3"/>
  <c r="H860" i="3"/>
  <c r="G860" i="3"/>
  <c r="L859" i="3"/>
  <c r="K859" i="3"/>
  <c r="J859" i="3"/>
  <c r="I859" i="3"/>
  <c r="H859" i="3"/>
  <c r="G859" i="3"/>
  <c r="L858" i="3"/>
  <c r="K858" i="3"/>
  <c r="J858" i="3"/>
  <c r="I858" i="3"/>
  <c r="H858" i="3"/>
  <c r="G858" i="3"/>
  <c r="M858" i="3" s="1"/>
  <c r="L857" i="3"/>
  <c r="K857" i="3"/>
  <c r="J857" i="3"/>
  <c r="I857" i="3"/>
  <c r="H857" i="3"/>
  <c r="M857" i="3" s="1"/>
  <c r="G857" i="3"/>
  <c r="L856" i="3"/>
  <c r="K856" i="3"/>
  <c r="J856" i="3"/>
  <c r="I856" i="3"/>
  <c r="H856" i="3"/>
  <c r="G856" i="3"/>
  <c r="L855" i="3"/>
  <c r="K855" i="3"/>
  <c r="J855" i="3"/>
  <c r="I855" i="3"/>
  <c r="H855" i="3"/>
  <c r="G855" i="3"/>
  <c r="L854" i="3"/>
  <c r="K854" i="3"/>
  <c r="J854" i="3"/>
  <c r="M854" i="3" s="1"/>
  <c r="I854" i="3"/>
  <c r="H854" i="3"/>
  <c r="G854" i="3"/>
  <c r="L853" i="3"/>
  <c r="K853" i="3"/>
  <c r="J853" i="3"/>
  <c r="I853" i="3"/>
  <c r="H853" i="3"/>
  <c r="G853" i="3"/>
  <c r="O852" i="3"/>
  <c r="L852" i="3"/>
  <c r="K852" i="3"/>
  <c r="J852" i="3"/>
  <c r="I852" i="3"/>
  <c r="H852" i="3"/>
  <c r="G852" i="3"/>
  <c r="M852" i="3" s="1"/>
  <c r="L851" i="3"/>
  <c r="K851" i="3"/>
  <c r="J851" i="3"/>
  <c r="I851" i="3"/>
  <c r="H851" i="3"/>
  <c r="G851" i="3"/>
  <c r="L850" i="3"/>
  <c r="K850" i="3"/>
  <c r="J850" i="3"/>
  <c r="I850" i="3"/>
  <c r="H850" i="3"/>
  <c r="G850" i="3"/>
  <c r="L849" i="3"/>
  <c r="K849" i="3"/>
  <c r="J849" i="3"/>
  <c r="I849" i="3"/>
  <c r="H849" i="3"/>
  <c r="G849" i="3"/>
  <c r="L848" i="3"/>
  <c r="K848" i="3"/>
  <c r="J848" i="3"/>
  <c r="I848" i="3"/>
  <c r="H848" i="3"/>
  <c r="G848" i="3"/>
  <c r="L847" i="3"/>
  <c r="K847" i="3"/>
  <c r="J847" i="3"/>
  <c r="I847" i="3"/>
  <c r="H847" i="3"/>
  <c r="G847" i="3"/>
  <c r="L846" i="3"/>
  <c r="K846" i="3"/>
  <c r="M846" i="3" s="1"/>
  <c r="J846" i="3"/>
  <c r="I846" i="3"/>
  <c r="H846" i="3"/>
  <c r="G846" i="3"/>
  <c r="L845" i="3"/>
  <c r="K845" i="3"/>
  <c r="J845" i="3"/>
  <c r="I845" i="3"/>
  <c r="H845" i="3"/>
  <c r="G845" i="3"/>
  <c r="L844" i="3"/>
  <c r="K844" i="3"/>
  <c r="J844" i="3"/>
  <c r="I844" i="3"/>
  <c r="H844" i="3"/>
  <c r="G844" i="3"/>
  <c r="M844" i="3" s="1"/>
  <c r="L843" i="3"/>
  <c r="K843" i="3"/>
  <c r="J843" i="3"/>
  <c r="I843" i="3"/>
  <c r="H843" i="3"/>
  <c r="G843" i="3"/>
  <c r="L842" i="3"/>
  <c r="K842" i="3"/>
  <c r="M842" i="3" s="1"/>
  <c r="J842" i="3"/>
  <c r="I842" i="3"/>
  <c r="H842" i="3"/>
  <c r="G842" i="3"/>
  <c r="L841" i="3"/>
  <c r="K841" i="3"/>
  <c r="J841" i="3"/>
  <c r="I841" i="3"/>
  <c r="M841" i="3" s="1"/>
  <c r="H841" i="3"/>
  <c r="G841" i="3"/>
  <c r="L840" i="3"/>
  <c r="K840" i="3"/>
  <c r="J840" i="3"/>
  <c r="I840" i="3"/>
  <c r="H840" i="3"/>
  <c r="G840" i="3"/>
  <c r="M840" i="3" s="1"/>
  <c r="L839" i="3"/>
  <c r="K839" i="3"/>
  <c r="J839" i="3"/>
  <c r="I839" i="3"/>
  <c r="H839" i="3"/>
  <c r="G839" i="3"/>
  <c r="L838" i="3"/>
  <c r="K838" i="3"/>
  <c r="J838" i="3"/>
  <c r="I838" i="3"/>
  <c r="H838" i="3"/>
  <c r="G838" i="3"/>
  <c r="L837" i="3"/>
  <c r="K837" i="3"/>
  <c r="J837" i="3"/>
  <c r="I837" i="3"/>
  <c r="H837" i="3"/>
  <c r="G837" i="3"/>
  <c r="L836" i="3"/>
  <c r="K836" i="3"/>
  <c r="J836" i="3"/>
  <c r="I836" i="3"/>
  <c r="H836" i="3"/>
  <c r="G836" i="3"/>
  <c r="M836" i="3" s="1"/>
  <c r="L835" i="3"/>
  <c r="K835" i="3"/>
  <c r="J835" i="3"/>
  <c r="I835" i="3"/>
  <c r="H835" i="3"/>
  <c r="G835" i="3"/>
  <c r="L834" i="3"/>
  <c r="K834" i="3"/>
  <c r="M834" i="3" s="1"/>
  <c r="J834" i="3"/>
  <c r="I834" i="3"/>
  <c r="H834" i="3"/>
  <c r="G834" i="3"/>
  <c r="L833" i="3"/>
  <c r="K833" i="3"/>
  <c r="J833" i="3"/>
  <c r="I833" i="3"/>
  <c r="H833" i="3"/>
  <c r="G833" i="3"/>
  <c r="L832" i="3"/>
  <c r="K832" i="3"/>
  <c r="J832" i="3"/>
  <c r="I832" i="3"/>
  <c r="H832" i="3"/>
  <c r="G832" i="3"/>
  <c r="M832" i="3" s="1"/>
  <c r="L831" i="3"/>
  <c r="K831" i="3"/>
  <c r="J831" i="3"/>
  <c r="I831" i="3"/>
  <c r="H831" i="3"/>
  <c r="G831" i="3"/>
  <c r="L830" i="3"/>
  <c r="K830" i="3"/>
  <c r="J830" i="3"/>
  <c r="I830" i="3"/>
  <c r="H830" i="3"/>
  <c r="G830" i="3"/>
  <c r="L829" i="3"/>
  <c r="K829" i="3"/>
  <c r="J829" i="3"/>
  <c r="I829" i="3"/>
  <c r="M829" i="3" s="1"/>
  <c r="H829" i="3"/>
  <c r="G829" i="3"/>
  <c r="L828" i="3"/>
  <c r="K828" i="3"/>
  <c r="J828" i="3"/>
  <c r="I828" i="3"/>
  <c r="H828" i="3"/>
  <c r="G828" i="3"/>
  <c r="M828" i="3" s="1"/>
  <c r="L827" i="3"/>
  <c r="K827" i="3"/>
  <c r="J827" i="3"/>
  <c r="I827" i="3"/>
  <c r="H827" i="3"/>
  <c r="G827" i="3"/>
  <c r="L826" i="3"/>
  <c r="K826" i="3"/>
  <c r="M826" i="3" s="1"/>
  <c r="J826" i="3"/>
  <c r="I826" i="3"/>
  <c r="H826" i="3"/>
  <c r="G826" i="3"/>
  <c r="L825" i="3"/>
  <c r="K825" i="3"/>
  <c r="J825" i="3"/>
  <c r="I825" i="3"/>
  <c r="H825" i="3"/>
  <c r="G825" i="3"/>
  <c r="L824" i="3"/>
  <c r="K824" i="3"/>
  <c r="J824" i="3"/>
  <c r="I824" i="3"/>
  <c r="H824" i="3"/>
  <c r="G824" i="3"/>
  <c r="L823" i="3"/>
  <c r="K823" i="3"/>
  <c r="J823" i="3"/>
  <c r="I823" i="3"/>
  <c r="H823" i="3"/>
  <c r="G823" i="3"/>
  <c r="L822" i="3"/>
  <c r="K822" i="3"/>
  <c r="J822" i="3"/>
  <c r="I822" i="3"/>
  <c r="H822" i="3"/>
  <c r="G822" i="3"/>
  <c r="L821" i="3"/>
  <c r="K821" i="3"/>
  <c r="J821" i="3"/>
  <c r="I821" i="3"/>
  <c r="H821" i="3"/>
  <c r="G821" i="3"/>
  <c r="M821" i="3" s="1"/>
  <c r="L820" i="3"/>
  <c r="K820" i="3"/>
  <c r="J820" i="3"/>
  <c r="I820" i="3"/>
  <c r="H820" i="3"/>
  <c r="G820" i="3"/>
  <c r="M820" i="3" s="1"/>
  <c r="L819" i="3"/>
  <c r="K819" i="3"/>
  <c r="J819" i="3"/>
  <c r="I819" i="3"/>
  <c r="H819" i="3"/>
  <c r="G819" i="3"/>
  <c r="O818" i="3"/>
  <c r="L818" i="3"/>
  <c r="K818" i="3"/>
  <c r="J818" i="3"/>
  <c r="I818" i="3"/>
  <c r="H818" i="3"/>
  <c r="G818" i="3"/>
  <c r="L817" i="3"/>
  <c r="K817" i="3"/>
  <c r="J817" i="3"/>
  <c r="I817" i="3"/>
  <c r="H817" i="3"/>
  <c r="G817" i="3"/>
  <c r="M817" i="3" s="1"/>
  <c r="L816" i="3"/>
  <c r="K816" i="3"/>
  <c r="J816" i="3"/>
  <c r="I816" i="3"/>
  <c r="H816" i="3"/>
  <c r="G816" i="3"/>
  <c r="L815" i="3"/>
  <c r="K815" i="3"/>
  <c r="J815" i="3"/>
  <c r="I815" i="3"/>
  <c r="H815" i="3"/>
  <c r="G815" i="3"/>
  <c r="L814" i="3"/>
  <c r="K814" i="3"/>
  <c r="J814" i="3"/>
  <c r="I814" i="3"/>
  <c r="H814" i="3"/>
  <c r="G814" i="3"/>
  <c r="L813" i="3"/>
  <c r="K813" i="3"/>
  <c r="J813" i="3"/>
  <c r="I813" i="3"/>
  <c r="H813" i="3"/>
  <c r="G813" i="3"/>
  <c r="L812" i="3"/>
  <c r="K812" i="3"/>
  <c r="J812" i="3"/>
  <c r="I812" i="3"/>
  <c r="H812" i="3"/>
  <c r="M812" i="3" s="1"/>
  <c r="G812" i="3"/>
  <c r="L811" i="3"/>
  <c r="K811" i="3"/>
  <c r="J811" i="3"/>
  <c r="I811" i="3"/>
  <c r="H811" i="3"/>
  <c r="G811" i="3"/>
  <c r="L810" i="3"/>
  <c r="K810" i="3"/>
  <c r="J810" i="3"/>
  <c r="I810" i="3"/>
  <c r="H810" i="3"/>
  <c r="G810" i="3"/>
  <c r="L809" i="3"/>
  <c r="K809" i="3"/>
  <c r="J809" i="3"/>
  <c r="M809" i="3" s="1"/>
  <c r="I809" i="3"/>
  <c r="H809" i="3"/>
  <c r="G809" i="3"/>
  <c r="L808" i="3"/>
  <c r="K808" i="3"/>
  <c r="J808" i="3"/>
  <c r="I808" i="3"/>
  <c r="H808" i="3"/>
  <c r="M808" i="3" s="1"/>
  <c r="G808" i="3"/>
  <c r="L807" i="3"/>
  <c r="K807" i="3"/>
  <c r="J807" i="3"/>
  <c r="I807" i="3"/>
  <c r="H807" i="3"/>
  <c r="G807" i="3"/>
  <c r="L806" i="3"/>
  <c r="K806" i="3"/>
  <c r="J806" i="3"/>
  <c r="I806" i="3"/>
  <c r="H806" i="3"/>
  <c r="G806" i="3"/>
  <c r="L805" i="3"/>
  <c r="K805" i="3"/>
  <c r="J805" i="3"/>
  <c r="I805" i="3"/>
  <c r="H805" i="3"/>
  <c r="G805" i="3"/>
  <c r="L804" i="3"/>
  <c r="K804" i="3"/>
  <c r="J804" i="3"/>
  <c r="I804" i="3"/>
  <c r="H804" i="3"/>
  <c r="M804" i="3" s="1"/>
  <c r="G804" i="3"/>
  <c r="L803" i="3"/>
  <c r="K803" i="3"/>
  <c r="J803" i="3"/>
  <c r="I803" i="3"/>
  <c r="H803" i="3"/>
  <c r="G803" i="3"/>
  <c r="L802" i="3"/>
  <c r="K802" i="3"/>
  <c r="J802" i="3"/>
  <c r="I802" i="3"/>
  <c r="H802" i="3"/>
  <c r="G802" i="3"/>
  <c r="L801" i="3"/>
  <c r="K801" i="3"/>
  <c r="J801" i="3"/>
  <c r="I801" i="3"/>
  <c r="H801" i="3"/>
  <c r="G801" i="3"/>
  <c r="L800" i="3"/>
  <c r="K800" i="3"/>
  <c r="J800" i="3"/>
  <c r="I800" i="3"/>
  <c r="H800" i="3"/>
  <c r="G800" i="3"/>
  <c r="M800" i="3" s="1"/>
  <c r="L799" i="3"/>
  <c r="K799" i="3"/>
  <c r="J799" i="3"/>
  <c r="I799" i="3"/>
  <c r="H799" i="3"/>
  <c r="G799" i="3"/>
  <c r="L798" i="3"/>
  <c r="K798" i="3"/>
  <c r="J798" i="3"/>
  <c r="I798" i="3"/>
  <c r="H798" i="3"/>
  <c r="G798" i="3"/>
  <c r="L797" i="3"/>
  <c r="K797" i="3"/>
  <c r="J797" i="3"/>
  <c r="I797" i="3"/>
  <c r="H797" i="3"/>
  <c r="G797" i="3"/>
  <c r="M797" i="3" s="1"/>
  <c r="L796" i="3"/>
  <c r="K796" i="3"/>
  <c r="J796" i="3"/>
  <c r="I796" i="3"/>
  <c r="H796" i="3"/>
  <c r="M796" i="3" s="1"/>
  <c r="G796" i="3"/>
  <c r="L795" i="3"/>
  <c r="K795" i="3"/>
  <c r="J795" i="3"/>
  <c r="I795" i="3"/>
  <c r="H795" i="3"/>
  <c r="G795" i="3"/>
  <c r="L794" i="3"/>
  <c r="K794" i="3"/>
  <c r="J794" i="3"/>
  <c r="I794" i="3"/>
  <c r="H794" i="3"/>
  <c r="G794" i="3"/>
  <c r="L793" i="3"/>
  <c r="K793" i="3"/>
  <c r="J793" i="3"/>
  <c r="M793" i="3" s="1"/>
  <c r="I793" i="3"/>
  <c r="H793" i="3"/>
  <c r="G793" i="3"/>
  <c r="L792" i="3"/>
  <c r="K792" i="3"/>
  <c r="J792" i="3"/>
  <c r="I792" i="3"/>
  <c r="H792" i="3"/>
  <c r="G792" i="3"/>
  <c r="L791" i="3"/>
  <c r="K791" i="3"/>
  <c r="J791" i="3"/>
  <c r="I791" i="3"/>
  <c r="H791" i="3"/>
  <c r="G791" i="3"/>
  <c r="L790" i="3"/>
  <c r="K790" i="3"/>
  <c r="J790" i="3"/>
  <c r="I790" i="3"/>
  <c r="H790" i="3"/>
  <c r="G790" i="3"/>
  <c r="L789" i="3"/>
  <c r="K789" i="3"/>
  <c r="J789" i="3"/>
  <c r="I789" i="3"/>
  <c r="H789" i="3"/>
  <c r="G789" i="3"/>
  <c r="L788" i="3"/>
  <c r="K788" i="3"/>
  <c r="J788" i="3"/>
  <c r="I788" i="3"/>
  <c r="H788" i="3"/>
  <c r="M788" i="3" s="1"/>
  <c r="G788" i="3"/>
  <c r="L787" i="3"/>
  <c r="K787" i="3"/>
  <c r="J787" i="3"/>
  <c r="I787" i="3"/>
  <c r="H787" i="3"/>
  <c r="G787" i="3"/>
  <c r="L786" i="3"/>
  <c r="K786" i="3"/>
  <c r="J786" i="3"/>
  <c r="I786" i="3"/>
  <c r="H786" i="3"/>
  <c r="G786" i="3"/>
  <c r="L785" i="3"/>
  <c r="K785" i="3"/>
  <c r="J785" i="3"/>
  <c r="M785" i="3" s="1"/>
  <c r="I785" i="3"/>
  <c r="H785" i="3"/>
  <c r="G785" i="3"/>
  <c r="O784" i="3"/>
  <c r="L784" i="3"/>
  <c r="K784" i="3"/>
  <c r="J784" i="3"/>
  <c r="I784" i="3"/>
  <c r="M784" i="3" s="1"/>
  <c r="H784" i="3"/>
  <c r="G784" i="3"/>
  <c r="L783" i="3"/>
  <c r="K783" i="3"/>
  <c r="J783" i="3"/>
  <c r="I783" i="3"/>
  <c r="H783" i="3"/>
  <c r="G783" i="3"/>
  <c r="M783" i="3" s="1"/>
  <c r="L782" i="3"/>
  <c r="K782" i="3"/>
  <c r="J782" i="3"/>
  <c r="I782" i="3"/>
  <c r="H782" i="3"/>
  <c r="G782" i="3"/>
  <c r="L781" i="3"/>
  <c r="K781" i="3"/>
  <c r="J781" i="3"/>
  <c r="I781" i="3"/>
  <c r="H781" i="3"/>
  <c r="G781" i="3"/>
  <c r="M781" i="3" s="1"/>
  <c r="L780" i="3"/>
  <c r="K780" i="3"/>
  <c r="J780" i="3"/>
  <c r="I780" i="3"/>
  <c r="M780" i="3" s="1"/>
  <c r="H780" i="3"/>
  <c r="G780" i="3"/>
  <c r="L779" i="3"/>
  <c r="K779" i="3"/>
  <c r="J779" i="3"/>
  <c r="I779" i="3"/>
  <c r="H779" i="3"/>
  <c r="G779" i="3"/>
  <c r="M779" i="3" s="1"/>
  <c r="L778" i="3"/>
  <c r="K778" i="3"/>
  <c r="J778" i="3"/>
  <c r="I778" i="3"/>
  <c r="H778" i="3"/>
  <c r="G778" i="3"/>
  <c r="L777" i="3"/>
  <c r="K777" i="3"/>
  <c r="M777" i="3" s="1"/>
  <c r="J777" i="3"/>
  <c r="I777" i="3"/>
  <c r="H777" i="3"/>
  <c r="G777" i="3"/>
  <c r="L776" i="3"/>
  <c r="K776" i="3"/>
  <c r="J776" i="3"/>
  <c r="I776" i="3"/>
  <c r="M776" i="3" s="1"/>
  <c r="H776" i="3"/>
  <c r="G776" i="3"/>
  <c r="L775" i="3"/>
  <c r="K775" i="3"/>
  <c r="J775" i="3"/>
  <c r="I775" i="3"/>
  <c r="H775" i="3"/>
  <c r="G775" i="3"/>
  <c r="M775" i="3" s="1"/>
  <c r="L774" i="3"/>
  <c r="K774" i="3"/>
  <c r="J774" i="3"/>
  <c r="I774" i="3"/>
  <c r="H774" i="3"/>
  <c r="G774" i="3"/>
  <c r="L773" i="3"/>
  <c r="K773" i="3"/>
  <c r="M773" i="3" s="1"/>
  <c r="J773" i="3"/>
  <c r="I773" i="3"/>
  <c r="H773" i="3"/>
  <c r="G773" i="3"/>
  <c r="L772" i="3"/>
  <c r="K772" i="3"/>
  <c r="J772" i="3"/>
  <c r="I772" i="3"/>
  <c r="M772" i="3" s="1"/>
  <c r="H772" i="3"/>
  <c r="G772" i="3"/>
  <c r="L771" i="3"/>
  <c r="K771" i="3"/>
  <c r="J771" i="3"/>
  <c r="I771" i="3"/>
  <c r="H771" i="3"/>
  <c r="G771" i="3"/>
  <c r="M771" i="3" s="1"/>
  <c r="L770" i="3"/>
  <c r="K770" i="3"/>
  <c r="J770" i="3"/>
  <c r="I770" i="3"/>
  <c r="H770" i="3"/>
  <c r="G770" i="3"/>
  <c r="L769" i="3"/>
  <c r="K769" i="3"/>
  <c r="M769" i="3" s="1"/>
  <c r="J769" i="3"/>
  <c r="I769" i="3"/>
  <c r="H769" i="3"/>
  <c r="G769" i="3"/>
  <c r="L768" i="3"/>
  <c r="K768" i="3"/>
  <c r="J768" i="3"/>
  <c r="I768" i="3"/>
  <c r="H768" i="3"/>
  <c r="G768" i="3"/>
  <c r="M768" i="3" s="1"/>
  <c r="L767" i="3"/>
  <c r="K767" i="3"/>
  <c r="J767" i="3"/>
  <c r="I767" i="3"/>
  <c r="H767" i="3"/>
  <c r="G767" i="3"/>
  <c r="M767" i="3" s="1"/>
  <c r="L766" i="3"/>
  <c r="K766" i="3"/>
  <c r="J766" i="3"/>
  <c r="I766" i="3"/>
  <c r="H766" i="3"/>
  <c r="G766" i="3"/>
  <c r="L765" i="3"/>
  <c r="K765" i="3"/>
  <c r="J765" i="3"/>
  <c r="I765" i="3"/>
  <c r="H765" i="3"/>
  <c r="G765" i="3"/>
  <c r="M765" i="3" s="1"/>
  <c r="L764" i="3"/>
  <c r="K764" i="3"/>
  <c r="J764" i="3"/>
  <c r="I764" i="3"/>
  <c r="M764" i="3" s="1"/>
  <c r="H764" i="3"/>
  <c r="G764" i="3"/>
  <c r="L763" i="3"/>
  <c r="K763" i="3"/>
  <c r="J763" i="3"/>
  <c r="I763" i="3"/>
  <c r="H763" i="3"/>
  <c r="G763" i="3"/>
  <c r="M763" i="3" s="1"/>
  <c r="L762" i="3"/>
  <c r="K762" i="3"/>
  <c r="J762" i="3"/>
  <c r="I762" i="3"/>
  <c r="H762" i="3"/>
  <c r="G762" i="3"/>
  <c r="L761" i="3"/>
  <c r="K761" i="3"/>
  <c r="M761" i="3" s="1"/>
  <c r="J761" i="3"/>
  <c r="I761" i="3"/>
  <c r="H761" i="3"/>
  <c r="G761" i="3"/>
  <c r="L760" i="3"/>
  <c r="K760" i="3"/>
  <c r="J760" i="3"/>
  <c r="I760" i="3"/>
  <c r="M760" i="3" s="1"/>
  <c r="H760" i="3"/>
  <c r="G760" i="3"/>
  <c r="L759" i="3"/>
  <c r="K759" i="3"/>
  <c r="J759" i="3"/>
  <c r="I759" i="3"/>
  <c r="H759" i="3"/>
  <c r="G759" i="3"/>
  <c r="M759" i="3" s="1"/>
  <c r="L758" i="3"/>
  <c r="K758" i="3"/>
  <c r="J758" i="3"/>
  <c r="I758" i="3"/>
  <c r="H758" i="3"/>
  <c r="G758" i="3"/>
  <c r="L757" i="3"/>
  <c r="K757" i="3"/>
  <c r="M757" i="3" s="1"/>
  <c r="J757" i="3"/>
  <c r="I757" i="3"/>
  <c r="H757" i="3"/>
  <c r="G757" i="3"/>
  <c r="L756" i="3"/>
  <c r="K756" i="3"/>
  <c r="J756" i="3"/>
  <c r="I756" i="3"/>
  <c r="M756" i="3" s="1"/>
  <c r="H756" i="3"/>
  <c r="G756" i="3"/>
  <c r="L755" i="3"/>
  <c r="K755" i="3"/>
  <c r="J755" i="3"/>
  <c r="I755" i="3"/>
  <c r="H755" i="3"/>
  <c r="G755" i="3"/>
  <c r="M755" i="3" s="1"/>
  <c r="L754" i="3"/>
  <c r="K754" i="3"/>
  <c r="J754" i="3"/>
  <c r="I754" i="3"/>
  <c r="H754" i="3"/>
  <c r="G754" i="3"/>
  <c r="L753" i="3"/>
  <c r="K753" i="3"/>
  <c r="M753" i="3" s="1"/>
  <c r="J753" i="3"/>
  <c r="I753" i="3"/>
  <c r="H753" i="3"/>
  <c r="G753" i="3"/>
  <c r="L752" i="3"/>
  <c r="K752" i="3"/>
  <c r="J752" i="3"/>
  <c r="I752" i="3"/>
  <c r="M752" i="3" s="1"/>
  <c r="H752" i="3"/>
  <c r="G752" i="3"/>
  <c r="L751" i="3"/>
  <c r="K751" i="3"/>
  <c r="J751" i="3"/>
  <c r="I751" i="3"/>
  <c r="H751" i="3"/>
  <c r="G751" i="3"/>
  <c r="M751" i="3" s="1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0" i="3"/>
  <c r="M969" i="3"/>
  <c r="M968" i="3"/>
  <c r="M967" i="3"/>
  <c r="M966" i="3"/>
  <c r="M965" i="3"/>
  <c r="M962" i="3"/>
  <c r="M961" i="3"/>
  <c r="M960" i="3"/>
  <c r="M959" i="3"/>
  <c r="M958" i="3"/>
  <c r="M957" i="3"/>
  <c r="M954" i="3"/>
  <c r="M953" i="3"/>
  <c r="M952" i="3"/>
  <c r="M951" i="3"/>
  <c r="M950" i="3"/>
  <c r="M949" i="3"/>
  <c r="M946" i="3"/>
  <c r="M945" i="3"/>
  <c r="M944" i="3"/>
  <c r="M943" i="3"/>
  <c r="M942" i="3"/>
  <c r="M941" i="3"/>
  <c r="M938" i="3"/>
  <c r="M937" i="3"/>
  <c r="M936" i="3"/>
  <c r="M935" i="3"/>
  <c r="M934" i="3"/>
  <c r="M933" i="3"/>
  <c r="M930" i="3"/>
  <c r="M929" i="3"/>
  <c r="M928" i="3"/>
  <c r="M927" i="3"/>
  <c r="M926" i="3"/>
  <c r="M925" i="3"/>
  <c r="M922" i="3"/>
  <c r="M921" i="3"/>
  <c r="M920" i="3"/>
  <c r="M917" i="3"/>
  <c r="M914" i="3"/>
  <c r="M913" i="3"/>
  <c r="M912" i="3"/>
  <c r="M909" i="3"/>
  <c r="M904" i="3"/>
  <c r="M901" i="3"/>
  <c r="M898" i="3"/>
  <c r="M897" i="3"/>
  <c r="M896" i="3"/>
  <c r="M893" i="3"/>
  <c r="M888" i="3"/>
  <c r="M885" i="3"/>
  <c r="M882" i="3"/>
  <c r="M881" i="3"/>
  <c r="M880" i="3"/>
  <c r="M877" i="3"/>
  <c r="M872" i="3"/>
  <c r="M869" i="3"/>
  <c r="M866" i="3"/>
  <c r="M865" i="3"/>
  <c r="M864" i="3"/>
  <c r="M861" i="3"/>
  <c r="M856" i="3"/>
  <c r="M853" i="3"/>
  <c r="M850" i="3"/>
  <c r="M849" i="3"/>
  <c r="M848" i="3"/>
  <c r="M845" i="3"/>
  <c r="M837" i="3"/>
  <c r="M833" i="3"/>
  <c r="M825" i="3"/>
  <c r="M824" i="3"/>
  <c r="M816" i="3"/>
  <c r="M813" i="3"/>
  <c r="M805" i="3"/>
  <c r="M801" i="3"/>
  <c r="M792" i="3"/>
  <c r="M789" i="3"/>
  <c r="M754" i="3"/>
  <c r="L376" i="3"/>
  <c r="K376" i="3"/>
  <c r="J376" i="3"/>
  <c r="I376" i="3"/>
  <c r="H376" i="3"/>
  <c r="G376" i="3"/>
  <c r="L375" i="3"/>
  <c r="K375" i="3"/>
  <c r="J375" i="3"/>
  <c r="I375" i="3"/>
  <c r="H375" i="3"/>
  <c r="G375" i="3"/>
  <c r="L374" i="3"/>
  <c r="K374" i="3"/>
  <c r="J374" i="3"/>
  <c r="I374" i="3"/>
  <c r="H374" i="3"/>
  <c r="G374" i="3"/>
  <c r="L373" i="3"/>
  <c r="K373" i="3"/>
  <c r="J373" i="3"/>
  <c r="I373" i="3"/>
  <c r="H373" i="3"/>
  <c r="G373" i="3"/>
  <c r="L372" i="3"/>
  <c r="K372" i="3"/>
  <c r="J372" i="3"/>
  <c r="I372" i="3"/>
  <c r="H372" i="3"/>
  <c r="G372" i="3"/>
  <c r="L371" i="3"/>
  <c r="K371" i="3"/>
  <c r="J371" i="3"/>
  <c r="I371" i="3"/>
  <c r="H371" i="3"/>
  <c r="G371" i="3"/>
  <c r="L370" i="3"/>
  <c r="K370" i="3"/>
  <c r="J370" i="3"/>
  <c r="I370" i="3"/>
  <c r="H370" i="3"/>
  <c r="G370" i="3"/>
  <c r="L369" i="3"/>
  <c r="K369" i="3"/>
  <c r="J369" i="3"/>
  <c r="I369" i="3"/>
  <c r="H369" i="3"/>
  <c r="G369" i="3"/>
  <c r="L368" i="3"/>
  <c r="K368" i="3"/>
  <c r="J368" i="3"/>
  <c r="I368" i="3"/>
  <c r="H368" i="3"/>
  <c r="G368" i="3"/>
  <c r="L367" i="3"/>
  <c r="K367" i="3"/>
  <c r="J367" i="3"/>
  <c r="I367" i="3"/>
  <c r="H367" i="3"/>
  <c r="G367" i="3"/>
  <c r="L366" i="3"/>
  <c r="K366" i="3"/>
  <c r="J366" i="3"/>
  <c r="I366" i="3"/>
  <c r="H366" i="3"/>
  <c r="G366" i="3"/>
  <c r="L365" i="3"/>
  <c r="K365" i="3"/>
  <c r="J365" i="3"/>
  <c r="I365" i="3"/>
  <c r="H365" i="3"/>
  <c r="G365" i="3"/>
  <c r="L364" i="3"/>
  <c r="K364" i="3"/>
  <c r="J364" i="3"/>
  <c r="I364" i="3"/>
  <c r="H364" i="3"/>
  <c r="G364" i="3"/>
  <c r="L363" i="3"/>
  <c r="K363" i="3"/>
  <c r="J363" i="3"/>
  <c r="I363" i="3"/>
  <c r="H363" i="3"/>
  <c r="G363" i="3"/>
  <c r="L362" i="3"/>
  <c r="K362" i="3"/>
  <c r="J362" i="3"/>
  <c r="I362" i="3"/>
  <c r="H362" i="3"/>
  <c r="G362" i="3"/>
  <c r="L361" i="3"/>
  <c r="K361" i="3"/>
  <c r="J361" i="3"/>
  <c r="I361" i="3"/>
  <c r="H361" i="3"/>
  <c r="G361" i="3"/>
  <c r="L360" i="3"/>
  <c r="K360" i="3"/>
  <c r="J360" i="3"/>
  <c r="I360" i="3"/>
  <c r="H360" i="3"/>
  <c r="G360" i="3"/>
  <c r="L359" i="3"/>
  <c r="K359" i="3"/>
  <c r="J359" i="3"/>
  <c r="I359" i="3"/>
  <c r="H359" i="3"/>
  <c r="G359" i="3"/>
  <c r="L358" i="3"/>
  <c r="K358" i="3"/>
  <c r="J358" i="3"/>
  <c r="I358" i="3"/>
  <c r="H358" i="3"/>
  <c r="G358" i="3"/>
  <c r="L357" i="3"/>
  <c r="K357" i="3"/>
  <c r="J357" i="3"/>
  <c r="I357" i="3"/>
  <c r="H357" i="3"/>
  <c r="G357" i="3"/>
  <c r="L356" i="3"/>
  <c r="K356" i="3"/>
  <c r="J356" i="3"/>
  <c r="I356" i="3"/>
  <c r="H356" i="3"/>
  <c r="G356" i="3"/>
  <c r="L355" i="3"/>
  <c r="K355" i="3"/>
  <c r="J355" i="3"/>
  <c r="I355" i="3"/>
  <c r="H355" i="3"/>
  <c r="G355" i="3"/>
  <c r="L354" i="3"/>
  <c r="K354" i="3"/>
  <c r="J354" i="3"/>
  <c r="I354" i="3"/>
  <c r="H354" i="3"/>
  <c r="G354" i="3"/>
  <c r="L353" i="3"/>
  <c r="K353" i="3"/>
  <c r="J353" i="3"/>
  <c r="I353" i="3"/>
  <c r="H353" i="3"/>
  <c r="G353" i="3"/>
  <c r="L352" i="3"/>
  <c r="K352" i="3"/>
  <c r="J352" i="3"/>
  <c r="I352" i="3"/>
  <c r="H352" i="3"/>
  <c r="G352" i="3"/>
  <c r="L351" i="3"/>
  <c r="K351" i="3"/>
  <c r="J351" i="3"/>
  <c r="I351" i="3"/>
  <c r="H351" i="3"/>
  <c r="G351" i="3"/>
  <c r="L350" i="3"/>
  <c r="K350" i="3"/>
  <c r="J350" i="3"/>
  <c r="I350" i="3"/>
  <c r="H350" i="3"/>
  <c r="G350" i="3"/>
  <c r="L349" i="3"/>
  <c r="K349" i="3"/>
  <c r="J349" i="3"/>
  <c r="I349" i="3"/>
  <c r="H349" i="3"/>
  <c r="G349" i="3"/>
  <c r="L348" i="3"/>
  <c r="K348" i="3"/>
  <c r="J348" i="3"/>
  <c r="I348" i="3"/>
  <c r="H348" i="3"/>
  <c r="G348" i="3"/>
  <c r="L347" i="3"/>
  <c r="K347" i="3"/>
  <c r="J347" i="3"/>
  <c r="I347" i="3"/>
  <c r="H347" i="3"/>
  <c r="G347" i="3"/>
  <c r="L346" i="3"/>
  <c r="K346" i="3"/>
  <c r="J346" i="3"/>
  <c r="I346" i="3"/>
  <c r="H346" i="3"/>
  <c r="G346" i="3"/>
  <c r="L345" i="3"/>
  <c r="K345" i="3"/>
  <c r="J345" i="3"/>
  <c r="I345" i="3"/>
  <c r="H345" i="3"/>
  <c r="G345" i="3"/>
  <c r="L344" i="3"/>
  <c r="K344" i="3"/>
  <c r="J344" i="3"/>
  <c r="I344" i="3"/>
  <c r="H344" i="3"/>
  <c r="G344" i="3"/>
  <c r="L343" i="3"/>
  <c r="K343" i="3"/>
  <c r="J343" i="3"/>
  <c r="I343" i="3"/>
  <c r="H343" i="3"/>
  <c r="G343" i="3"/>
  <c r="L342" i="3"/>
  <c r="K342" i="3"/>
  <c r="J342" i="3"/>
  <c r="I342" i="3"/>
  <c r="H342" i="3"/>
  <c r="G342" i="3"/>
  <c r="L341" i="3"/>
  <c r="K341" i="3"/>
  <c r="J341" i="3"/>
  <c r="I341" i="3"/>
  <c r="H341" i="3"/>
  <c r="G341" i="3"/>
  <c r="L340" i="3"/>
  <c r="K340" i="3"/>
  <c r="J340" i="3"/>
  <c r="I340" i="3"/>
  <c r="H340" i="3"/>
  <c r="G340" i="3"/>
  <c r="L339" i="3"/>
  <c r="K339" i="3"/>
  <c r="J339" i="3"/>
  <c r="I339" i="3"/>
  <c r="H339" i="3"/>
  <c r="G339" i="3"/>
  <c r="L338" i="3"/>
  <c r="K338" i="3"/>
  <c r="J338" i="3"/>
  <c r="I338" i="3"/>
  <c r="H338" i="3"/>
  <c r="G338" i="3"/>
  <c r="L337" i="3"/>
  <c r="K337" i="3"/>
  <c r="J337" i="3"/>
  <c r="I337" i="3"/>
  <c r="H337" i="3"/>
  <c r="G337" i="3"/>
  <c r="L336" i="3"/>
  <c r="K336" i="3"/>
  <c r="J336" i="3"/>
  <c r="I336" i="3"/>
  <c r="H336" i="3"/>
  <c r="G336" i="3"/>
  <c r="L335" i="3"/>
  <c r="K335" i="3"/>
  <c r="J335" i="3"/>
  <c r="I335" i="3"/>
  <c r="H335" i="3"/>
  <c r="G335" i="3"/>
  <c r="L334" i="3"/>
  <c r="K334" i="3"/>
  <c r="J334" i="3"/>
  <c r="I334" i="3"/>
  <c r="H334" i="3"/>
  <c r="G334" i="3"/>
  <c r="L333" i="3"/>
  <c r="K333" i="3"/>
  <c r="J333" i="3"/>
  <c r="I333" i="3"/>
  <c r="H333" i="3"/>
  <c r="G333" i="3"/>
  <c r="L332" i="3"/>
  <c r="K332" i="3"/>
  <c r="J332" i="3"/>
  <c r="I332" i="3"/>
  <c r="H332" i="3"/>
  <c r="G332" i="3"/>
  <c r="L331" i="3"/>
  <c r="K331" i="3"/>
  <c r="J331" i="3"/>
  <c r="I331" i="3"/>
  <c r="H331" i="3"/>
  <c r="G331" i="3"/>
  <c r="L330" i="3"/>
  <c r="K330" i="3"/>
  <c r="J330" i="3"/>
  <c r="I330" i="3"/>
  <c r="H330" i="3"/>
  <c r="G330" i="3"/>
  <c r="L329" i="3"/>
  <c r="K329" i="3"/>
  <c r="J329" i="3"/>
  <c r="I329" i="3"/>
  <c r="H329" i="3"/>
  <c r="G329" i="3"/>
  <c r="L328" i="3"/>
  <c r="K328" i="3"/>
  <c r="J328" i="3"/>
  <c r="I328" i="3"/>
  <c r="H328" i="3"/>
  <c r="G328" i="3"/>
  <c r="L327" i="3"/>
  <c r="K327" i="3"/>
  <c r="J327" i="3"/>
  <c r="I327" i="3"/>
  <c r="H327" i="3"/>
  <c r="G327" i="3"/>
  <c r="L326" i="3"/>
  <c r="K326" i="3"/>
  <c r="J326" i="3"/>
  <c r="I326" i="3"/>
  <c r="H326" i="3"/>
  <c r="G326" i="3"/>
  <c r="L325" i="3"/>
  <c r="K325" i="3"/>
  <c r="J325" i="3"/>
  <c r="I325" i="3"/>
  <c r="H325" i="3"/>
  <c r="G325" i="3"/>
  <c r="L324" i="3"/>
  <c r="K324" i="3"/>
  <c r="J324" i="3"/>
  <c r="I324" i="3"/>
  <c r="H324" i="3"/>
  <c r="G324" i="3"/>
  <c r="L323" i="3"/>
  <c r="K323" i="3"/>
  <c r="J323" i="3"/>
  <c r="I323" i="3"/>
  <c r="H323" i="3"/>
  <c r="G323" i="3"/>
  <c r="L322" i="3"/>
  <c r="K322" i="3"/>
  <c r="J322" i="3"/>
  <c r="I322" i="3"/>
  <c r="H322" i="3"/>
  <c r="G322" i="3"/>
  <c r="L321" i="3"/>
  <c r="K321" i="3"/>
  <c r="J321" i="3"/>
  <c r="I321" i="3"/>
  <c r="H321" i="3"/>
  <c r="G321" i="3"/>
  <c r="L320" i="3"/>
  <c r="K320" i="3"/>
  <c r="J320" i="3"/>
  <c r="I320" i="3"/>
  <c r="H320" i="3"/>
  <c r="G320" i="3"/>
  <c r="L319" i="3"/>
  <c r="K319" i="3"/>
  <c r="J319" i="3"/>
  <c r="I319" i="3"/>
  <c r="H319" i="3"/>
  <c r="G319" i="3"/>
  <c r="L318" i="3"/>
  <c r="K318" i="3"/>
  <c r="J318" i="3"/>
  <c r="I318" i="3"/>
  <c r="H318" i="3"/>
  <c r="G318" i="3"/>
  <c r="L317" i="3"/>
  <c r="K317" i="3"/>
  <c r="J317" i="3"/>
  <c r="I317" i="3"/>
  <c r="H317" i="3"/>
  <c r="G317" i="3"/>
  <c r="L316" i="3"/>
  <c r="K316" i="3"/>
  <c r="J316" i="3"/>
  <c r="I316" i="3"/>
  <c r="H316" i="3"/>
  <c r="G316" i="3"/>
  <c r="L315" i="3"/>
  <c r="K315" i="3"/>
  <c r="J315" i="3"/>
  <c r="I315" i="3"/>
  <c r="H315" i="3"/>
  <c r="G315" i="3"/>
  <c r="L314" i="3"/>
  <c r="K314" i="3"/>
  <c r="J314" i="3"/>
  <c r="I314" i="3"/>
  <c r="H314" i="3"/>
  <c r="G314" i="3"/>
  <c r="L313" i="3"/>
  <c r="K313" i="3"/>
  <c r="J313" i="3"/>
  <c r="I313" i="3"/>
  <c r="H313" i="3"/>
  <c r="G313" i="3"/>
  <c r="L312" i="3"/>
  <c r="K312" i="3"/>
  <c r="J312" i="3"/>
  <c r="I312" i="3"/>
  <c r="H312" i="3"/>
  <c r="G312" i="3"/>
  <c r="L311" i="3"/>
  <c r="K311" i="3"/>
  <c r="J311" i="3"/>
  <c r="I311" i="3"/>
  <c r="H311" i="3"/>
  <c r="G311" i="3"/>
  <c r="L310" i="3"/>
  <c r="K310" i="3"/>
  <c r="J310" i="3"/>
  <c r="I310" i="3"/>
  <c r="H310" i="3"/>
  <c r="G310" i="3"/>
  <c r="L309" i="3"/>
  <c r="K309" i="3"/>
  <c r="J309" i="3"/>
  <c r="I309" i="3"/>
  <c r="H309" i="3"/>
  <c r="G309" i="3"/>
  <c r="L308" i="3"/>
  <c r="K308" i="3"/>
  <c r="J308" i="3"/>
  <c r="I308" i="3"/>
  <c r="H308" i="3"/>
  <c r="G308" i="3"/>
  <c r="L307" i="3"/>
  <c r="K307" i="3"/>
  <c r="J307" i="3"/>
  <c r="I307" i="3"/>
  <c r="H307" i="3"/>
  <c r="G307" i="3"/>
  <c r="L306" i="3"/>
  <c r="K306" i="3"/>
  <c r="J306" i="3"/>
  <c r="I306" i="3"/>
  <c r="H306" i="3"/>
  <c r="G306" i="3"/>
  <c r="L305" i="3"/>
  <c r="K305" i="3"/>
  <c r="J305" i="3"/>
  <c r="I305" i="3"/>
  <c r="H305" i="3"/>
  <c r="G305" i="3"/>
  <c r="L304" i="3"/>
  <c r="K304" i="3"/>
  <c r="J304" i="3"/>
  <c r="I304" i="3"/>
  <c r="H304" i="3"/>
  <c r="G304" i="3"/>
  <c r="L303" i="3"/>
  <c r="K303" i="3"/>
  <c r="J303" i="3"/>
  <c r="I303" i="3"/>
  <c r="H303" i="3"/>
  <c r="G303" i="3"/>
  <c r="L302" i="3"/>
  <c r="K302" i="3"/>
  <c r="J302" i="3"/>
  <c r="I302" i="3"/>
  <c r="H302" i="3"/>
  <c r="G302" i="3"/>
  <c r="L301" i="3"/>
  <c r="K301" i="3"/>
  <c r="J301" i="3"/>
  <c r="I301" i="3"/>
  <c r="H301" i="3"/>
  <c r="G301" i="3"/>
  <c r="L300" i="3"/>
  <c r="K300" i="3"/>
  <c r="J300" i="3"/>
  <c r="I300" i="3"/>
  <c r="H300" i="3"/>
  <c r="G300" i="3"/>
  <c r="L299" i="3"/>
  <c r="K299" i="3"/>
  <c r="J299" i="3"/>
  <c r="I299" i="3"/>
  <c r="H299" i="3"/>
  <c r="G299" i="3"/>
  <c r="L298" i="3"/>
  <c r="K298" i="3"/>
  <c r="J298" i="3"/>
  <c r="I298" i="3"/>
  <c r="H298" i="3"/>
  <c r="G298" i="3"/>
  <c r="L297" i="3"/>
  <c r="K297" i="3"/>
  <c r="J297" i="3"/>
  <c r="I297" i="3"/>
  <c r="H297" i="3"/>
  <c r="G297" i="3"/>
  <c r="L296" i="3"/>
  <c r="K296" i="3"/>
  <c r="J296" i="3"/>
  <c r="I296" i="3"/>
  <c r="H296" i="3"/>
  <c r="G296" i="3"/>
  <c r="L295" i="3"/>
  <c r="K295" i="3"/>
  <c r="J295" i="3"/>
  <c r="I295" i="3"/>
  <c r="H295" i="3"/>
  <c r="G295" i="3"/>
  <c r="L294" i="3"/>
  <c r="K294" i="3"/>
  <c r="J294" i="3"/>
  <c r="I294" i="3"/>
  <c r="H294" i="3"/>
  <c r="G294" i="3"/>
  <c r="L293" i="3"/>
  <c r="K293" i="3"/>
  <c r="J293" i="3"/>
  <c r="I293" i="3"/>
  <c r="H293" i="3"/>
  <c r="G293" i="3"/>
  <c r="L292" i="3"/>
  <c r="K292" i="3"/>
  <c r="J292" i="3"/>
  <c r="I292" i="3"/>
  <c r="H292" i="3"/>
  <c r="G292" i="3"/>
  <c r="L291" i="3"/>
  <c r="K291" i="3"/>
  <c r="J291" i="3"/>
  <c r="I291" i="3"/>
  <c r="H291" i="3"/>
  <c r="G291" i="3"/>
  <c r="L290" i="3"/>
  <c r="K290" i="3"/>
  <c r="J290" i="3"/>
  <c r="I290" i="3"/>
  <c r="H290" i="3"/>
  <c r="G290" i="3"/>
  <c r="L289" i="3"/>
  <c r="K289" i="3"/>
  <c r="J289" i="3"/>
  <c r="I289" i="3"/>
  <c r="H289" i="3"/>
  <c r="G289" i="3"/>
  <c r="L288" i="3"/>
  <c r="K288" i="3"/>
  <c r="J288" i="3"/>
  <c r="I288" i="3"/>
  <c r="H288" i="3"/>
  <c r="G288" i="3"/>
  <c r="L287" i="3"/>
  <c r="K287" i="3"/>
  <c r="J287" i="3"/>
  <c r="I287" i="3"/>
  <c r="H287" i="3"/>
  <c r="G287" i="3"/>
  <c r="L286" i="3"/>
  <c r="K286" i="3"/>
  <c r="J286" i="3"/>
  <c r="I286" i="3"/>
  <c r="H286" i="3"/>
  <c r="G286" i="3"/>
  <c r="L285" i="3"/>
  <c r="K285" i="3"/>
  <c r="J285" i="3"/>
  <c r="I285" i="3"/>
  <c r="H285" i="3"/>
  <c r="G285" i="3"/>
  <c r="L284" i="3"/>
  <c r="K284" i="3"/>
  <c r="J284" i="3"/>
  <c r="I284" i="3"/>
  <c r="H284" i="3"/>
  <c r="G284" i="3"/>
  <c r="L283" i="3"/>
  <c r="K283" i="3"/>
  <c r="J283" i="3"/>
  <c r="I283" i="3"/>
  <c r="H283" i="3"/>
  <c r="G283" i="3"/>
  <c r="L282" i="3"/>
  <c r="K282" i="3"/>
  <c r="J282" i="3"/>
  <c r="I282" i="3"/>
  <c r="H282" i="3"/>
  <c r="G282" i="3"/>
  <c r="L281" i="3"/>
  <c r="K281" i="3"/>
  <c r="J281" i="3"/>
  <c r="I281" i="3"/>
  <c r="H281" i="3"/>
  <c r="G281" i="3"/>
  <c r="L280" i="3"/>
  <c r="K280" i="3"/>
  <c r="J280" i="3"/>
  <c r="I280" i="3"/>
  <c r="H280" i="3"/>
  <c r="G280" i="3"/>
  <c r="L279" i="3"/>
  <c r="K279" i="3"/>
  <c r="J279" i="3"/>
  <c r="I279" i="3"/>
  <c r="H279" i="3"/>
  <c r="G279" i="3"/>
  <c r="L278" i="3"/>
  <c r="K278" i="3"/>
  <c r="J278" i="3"/>
  <c r="I278" i="3"/>
  <c r="H278" i="3"/>
  <c r="G278" i="3"/>
  <c r="L277" i="3"/>
  <c r="K277" i="3"/>
  <c r="J277" i="3"/>
  <c r="I277" i="3"/>
  <c r="H277" i="3"/>
  <c r="G277" i="3"/>
  <c r="L276" i="3"/>
  <c r="K276" i="3"/>
  <c r="J276" i="3"/>
  <c r="I276" i="3"/>
  <c r="H276" i="3"/>
  <c r="G276" i="3"/>
  <c r="L275" i="3"/>
  <c r="K275" i="3"/>
  <c r="J275" i="3"/>
  <c r="I275" i="3"/>
  <c r="H275" i="3"/>
  <c r="G275" i="3"/>
  <c r="L274" i="3"/>
  <c r="K274" i="3"/>
  <c r="J274" i="3"/>
  <c r="I274" i="3"/>
  <c r="H274" i="3"/>
  <c r="G274" i="3"/>
  <c r="L273" i="3"/>
  <c r="K273" i="3"/>
  <c r="J273" i="3"/>
  <c r="I273" i="3"/>
  <c r="H273" i="3"/>
  <c r="G273" i="3"/>
  <c r="L272" i="3"/>
  <c r="K272" i="3"/>
  <c r="J272" i="3"/>
  <c r="I272" i="3"/>
  <c r="H272" i="3"/>
  <c r="G272" i="3"/>
  <c r="L271" i="3"/>
  <c r="K271" i="3"/>
  <c r="J271" i="3"/>
  <c r="I271" i="3"/>
  <c r="H271" i="3"/>
  <c r="G271" i="3"/>
  <c r="L270" i="3"/>
  <c r="K270" i="3"/>
  <c r="J270" i="3"/>
  <c r="I270" i="3"/>
  <c r="H270" i="3"/>
  <c r="G270" i="3"/>
  <c r="L269" i="3"/>
  <c r="K269" i="3"/>
  <c r="J269" i="3"/>
  <c r="I269" i="3"/>
  <c r="H269" i="3"/>
  <c r="G269" i="3"/>
  <c r="L268" i="3"/>
  <c r="K268" i="3"/>
  <c r="J268" i="3"/>
  <c r="I268" i="3"/>
  <c r="H268" i="3"/>
  <c r="G268" i="3"/>
  <c r="L267" i="3"/>
  <c r="K267" i="3"/>
  <c r="J267" i="3"/>
  <c r="I267" i="3"/>
  <c r="H267" i="3"/>
  <c r="G267" i="3"/>
  <c r="L266" i="3"/>
  <c r="K266" i="3"/>
  <c r="J266" i="3"/>
  <c r="I266" i="3"/>
  <c r="H266" i="3"/>
  <c r="G266" i="3"/>
  <c r="L265" i="3"/>
  <c r="K265" i="3"/>
  <c r="J265" i="3"/>
  <c r="I265" i="3"/>
  <c r="H265" i="3"/>
  <c r="G265" i="3"/>
  <c r="L264" i="3"/>
  <c r="K264" i="3"/>
  <c r="J264" i="3"/>
  <c r="I264" i="3"/>
  <c r="H264" i="3"/>
  <c r="G264" i="3"/>
  <c r="L263" i="3"/>
  <c r="K263" i="3"/>
  <c r="J263" i="3"/>
  <c r="I263" i="3"/>
  <c r="H263" i="3"/>
  <c r="G263" i="3"/>
  <c r="L262" i="3"/>
  <c r="K262" i="3"/>
  <c r="J262" i="3"/>
  <c r="I262" i="3"/>
  <c r="H262" i="3"/>
  <c r="G262" i="3"/>
  <c r="L261" i="3"/>
  <c r="K261" i="3"/>
  <c r="J261" i="3"/>
  <c r="I261" i="3"/>
  <c r="H261" i="3"/>
  <c r="G261" i="3"/>
  <c r="L260" i="3"/>
  <c r="K260" i="3"/>
  <c r="J260" i="3"/>
  <c r="I260" i="3"/>
  <c r="H260" i="3"/>
  <c r="G260" i="3"/>
  <c r="L259" i="3"/>
  <c r="K259" i="3"/>
  <c r="J259" i="3"/>
  <c r="I259" i="3"/>
  <c r="H259" i="3"/>
  <c r="G259" i="3"/>
  <c r="L258" i="3"/>
  <c r="K258" i="3"/>
  <c r="J258" i="3"/>
  <c r="I258" i="3"/>
  <c r="H258" i="3"/>
  <c r="G258" i="3"/>
  <c r="L257" i="3"/>
  <c r="K257" i="3"/>
  <c r="J257" i="3"/>
  <c r="I257" i="3"/>
  <c r="H257" i="3"/>
  <c r="G257" i="3"/>
  <c r="L256" i="3"/>
  <c r="K256" i="3"/>
  <c r="J256" i="3"/>
  <c r="I256" i="3"/>
  <c r="H256" i="3"/>
  <c r="G256" i="3"/>
  <c r="L255" i="3"/>
  <c r="K255" i="3"/>
  <c r="J255" i="3"/>
  <c r="I255" i="3"/>
  <c r="H255" i="3"/>
  <c r="G255" i="3"/>
  <c r="L254" i="3"/>
  <c r="K254" i="3"/>
  <c r="J254" i="3"/>
  <c r="I254" i="3"/>
  <c r="H254" i="3"/>
  <c r="G254" i="3"/>
  <c r="L253" i="3"/>
  <c r="K253" i="3"/>
  <c r="J253" i="3"/>
  <c r="I253" i="3"/>
  <c r="H253" i="3"/>
  <c r="G253" i="3"/>
  <c r="L252" i="3"/>
  <c r="K252" i="3"/>
  <c r="J252" i="3"/>
  <c r="I252" i="3"/>
  <c r="H252" i="3"/>
  <c r="G252" i="3"/>
  <c r="L251" i="3"/>
  <c r="K251" i="3"/>
  <c r="J251" i="3"/>
  <c r="I251" i="3"/>
  <c r="H251" i="3"/>
  <c r="G251" i="3"/>
  <c r="L250" i="3"/>
  <c r="K250" i="3"/>
  <c r="J250" i="3"/>
  <c r="I250" i="3"/>
  <c r="H250" i="3"/>
  <c r="G250" i="3"/>
  <c r="L249" i="3"/>
  <c r="K249" i="3"/>
  <c r="J249" i="3"/>
  <c r="I249" i="3"/>
  <c r="H249" i="3"/>
  <c r="G249" i="3"/>
  <c r="L248" i="3"/>
  <c r="K248" i="3"/>
  <c r="J248" i="3"/>
  <c r="I248" i="3"/>
  <c r="H248" i="3"/>
  <c r="G248" i="3"/>
  <c r="L247" i="3"/>
  <c r="K247" i="3"/>
  <c r="J247" i="3"/>
  <c r="I247" i="3"/>
  <c r="H247" i="3"/>
  <c r="G247" i="3"/>
  <c r="L246" i="3"/>
  <c r="K246" i="3"/>
  <c r="J246" i="3"/>
  <c r="I246" i="3"/>
  <c r="H246" i="3"/>
  <c r="G246" i="3"/>
  <c r="L245" i="3"/>
  <c r="K245" i="3"/>
  <c r="J245" i="3"/>
  <c r="I245" i="3"/>
  <c r="H245" i="3"/>
  <c r="G245" i="3"/>
  <c r="L244" i="3"/>
  <c r="K244" i="3"/>
  <c r="J244" i="3"/>
  <c r="I244" i="3"/>
  <c r="H244" i="3"/>
  <c r="G244" i="3"/>
  <c r="L243" i="3"/>
  <c r="K243" i="3"/>
  <c r="J243" i="3"/>
  <c r="I243" i="3"/>
  <c r="H243" i="3"/>
  <c r="G243" i="3"/>
  <c r="L242" i="3"/>
  <c r="K242" i="3"/>
  <c r="J242" i="3"/>
  <c r="I242" i="3"/>
  <c r="H242" i="3"/>
  <c r="G242" i="3"/>
  <c r="L241" i="3"/>
  <c r="K241" i="3"/>
  <c r="J241" i="3"/>
  <c r="I241" i="3"/>
  <c r="H241" i="3"/>
  <c r="G241" i="3"/>
  <c r="L240" i="3"/>
  <c r="K240" i="3"/>
  <c r="J240" i="3"/>
  <c r="I240" i="3"/>
  <c r="H240" i="3"/>
  <c r="G240" i="3"/>
  <c r="L239" i="3"/>
  <c r="K239" i="3"/>
  <c r="J239" i="3"/>
  <c r="I239" i="3"/>
  <c r="H239" i="3"/>
  <c r="G239" i="3"/>
  <c r="L238" i="3"/>
  <c r="K238" i="3"/>
  <c r="J238" i="3"/>
  <c r="I238" i="3"/>
  <c r="H238" i="3"/>
  <c r="G238" i="3"/>
  <c r="L237" i="3"/>
  <c r="K237" i="3"/>
  <c r="J237" i="3"/>
  <c r="I237" i="3"/>
  <c r="H237" i="3"/>
  <c r="G237" i="3"/>
  <c r="L236" i="3"/>
  <c r="K236" i="3"/>
  <c r="J236" i="3"/>
  <c r="I236" i="3"/>
  <c r="H236" i="3"/>
  <c r="G236" i="3"/>
  <c r="L235" i="3"/>
  <c r="K235" i="3"/>
  <c r="J235" i="3"/>
  <c r="I235" i="3"/>
  <c r="H235" i="3"/>
  <c r="G235" i="3"/>
  <c r="L234" i="3"/>
  <c r="K234" i="3"/>
  <c r="J234" i="3"/>
  <c r="I234" i="3"/>
  <c r="H234" i="3"/>
  <c r="G234" i="3"/>
  <c r="L233" i="3"/>
  <c r="K233" i="3"/>
  <c r="J233" i="3"/>
  <c r="I233" i="3"/>
  <c r="H233" i="3"/>
  <c r="G233" i="3"/>
  <c r="L232" i="3"/>
  <c r="K232" i="3"/>
  <c r="J232" i="3"/>
  <c r="I232" i="3"/>
  <c r="H232" i="3"/>
  <c r="G232" i="3"/>
  <c r="L231" i="3"/>
  <c r="K231" i="3"/>
  <c r="J231" i="3"/>
  <c r="I231" i="3"/>
  <c r="H231" i="3"/>
  <c r="G231" i="3"/>
  <c r="L230" i="3"/>
  <c r="K230" i="3"/>
  <c r="J230" i="3"/>
  <c r="I230" i="3"/>
  <c r="H230" i="3"/>
  <c r="G230" i="3"/>
  <c r="L229" i="3"/>
  <c r="K229" i="3"/>
  <c r="J229" i="3"/>
  <c r="I229" i="3"/>
  <c r="H229" i="3"/>
  <c r="G229" i="3"/>
  <c r="L228" i="3"/>
  <c r="K228" i="3"/>
  <c r="J228" i="3"/>
  <c r="I228" i="3"/>
  <c r="H228" i="3"/>
  <c r="G228" i="3"/>
  <c r="L227" i="3"/>
  <c r="K227" i="3"/>
  <c r="J227" i="3"/>
  <c r="I227" i="3"/>
  <c r="H227" i="3"/>
  <c r="G227" i="3"/>
  <c r="L226" i="3"/>
  <c r="K226" i="3"/>
  <c r="J226" i="3"/>
  <c r="I226" i="3"/>
  <c r="H226" i="3"/>
  <c r="G226" i="3"/>
  <c r="L225" i="3"/>
  <c r="K225" i="3"/>
  <c r="J225" i="3"/>
  <c r="I225" i="3"/>
  <c r="H225" i="3"/>
  <c r="G225" i="3"/>
  <c r="L224" i="3"/>
  <c r="K224" i="3"/>
  <c r="J224" i="3"/>
  <c r="I224" i="3"/>
  <c r="H224" i="3"/>
  <c r="G224" i="3"/>
  <c r="L223" i="3"/>
  <c r="K223" i="3"/>
  <c r="J223" i="3"/>
  <c r="I223" i="3"/>
  <c r="H223" i="3"/>
  <c r="G223" i="3"/>
  <c r="L222" i="3"/>
  <c r="K222" i="3"/>
  <c r="J222" i="3"/>
  <c r="I222" i="3"/>
  <c r="H222" i="3"/>
  <c r="G222" i="3"/>
  <c r="L221" i="3"/>
  <c r="K221" i="3"/>
  <c r="J221" i="3"/>
  <c r="I221" i="3"/>
  <c r="H221" i="3"/>
  <c r="G221" i="3"/>
  <c r="L220" i="3"/>
  <c r="K220" i="3"/>
  <c r="J220" i="3"/>
  <c r="I220" i="3"/>
  <c r="H220" i="3"/>
  <c r="G220" i="3"/>
  <c r="L219" i="3"/>
  <c r="K219" i="3"/>
  <c r="J219" i="3"/>
  <c r="I219" i="3"/>
  <c r="H219" i="3"/>
  <c r="G219" i="3"/>
  <c r="L218" i="3"/>
  <c r="K218" i="3"/>
  <c r="J218" i="3"/>
  <c r="I218" i="3"/>
  <c r="H218" i="3"/>
  <c r="G218" i="3"/>
  <c r="L217" i="3"/>
  <c r="K217" i="3"/>
  <c r="J217" i="3"/>
  <c r="I217" i="3"/>
  <c r="H217" i="3"/>
  <c r="G217" i="3"/>
  <c r="L216" i="3"/>
  <c r="K216" i="3"/>
  <c r="J216" i="3"/>
  <c r="I216" i="3"/>
  <c r="H216" i="3"/>
  <c r="G216" i="3"/>
  <c r="L215" i="3"/>
  <c r="K215" i="3"/>
  <c r="J215" i="3"/>
  <c r="I215" i="3"/>
  <c r="H215" i="3"/>
  <c r="G215" i="3"/>
  <c r="L214" i="3"/>
  <c r="K214" i="3"/>
  <c r="J214" i="3"/>
  <c r="I214" i="3"/>
  <c r="H214" i="3"/>
  <c r="G214" i="3"/>
  <c r="L213" i="3"/>
  <c r="K213" i="3"/>
  <c r="J213" i="3"/>
  <c r="I213" i="3"/>
  <c r="H213" i="3"/>
  <c r="G213" i="3"/>
  <c r="L212" i="3"/>
  <c r="K212" i="3"/>
  <c r="J212" i="3"/>
  <c r="I212" i="3"/>
  <c r="H212" i="3"/>
  <c r="G212" i="3"/>
  <c r="L211" i="3"/>
  <c r="K211" i="3"/>
  <c r="J211" i="3"/>
  <c r="I211" i="3"/>
  <c r="H211" i="3"/>
  <c r="G211" i="3"/>
  <c r="L210" i="3"/>
  <c r="K210" i="3"/>
  <c r="J210" i="3"/>
  <c r="I210" i="3"/>
  <c r="H210" i="3"/>
  <c r="G210" i="3"/>
  <c r="L209" i="3"/>
  <c r="K209" i="3"/>
  <c r="J209" i="3"/>
  <c r="I209" i="3"/>
  <c r="H209" i="3"/>
  <c r="G209" i="3"/>
  <c r="L208" i="3"/>
  <c r="K208" i="3"/>
  <c r="J208" i="3"/>
  <c r="I208" i="3"/>
  <c r="H208" i="3"/>
  <c r="G208" i="3"/>
  <c r="L207" i="3"/>
  <c r="K207" i="3"/>
  <c r="J207" i="3"/>
  <c r="I207" i="3"/>
  <c r="H207" i="3"/>
  <c r="G207" i="3"/>
  <c r="L206" i="3"/>
  <c r="K206" i="3"/>
  <c r="J206" i="3"/>
  <c r="I206" i="3"/>
  <c r="H206" i="3"/>
  <c r="G206" i="3"/>
  <c r="L205" i="3"/>
  <c r="K205" i="3"/>
  <c r="J205" i="3"/>
  <c r="I205" i="3"/>
  <c r="H205" i="3"/>
  <c r="G205" i="3"/>
  <c r="L204" i="3"/>
  <c r="K204" i="3"/>
  <c r="J204" i="3"/>
  <c r="I204" i="3"/>
  <c r="H204" i="3"/>
  <c r="G204" i="3"/>
  <c r="L203" i="3"/>
  <c r="K203" i="3"/>
  <c r="J203" i="3"/>
  <c r="I203" i="3"/>
  <c r="H203" i="3"/>
  <c r="G203" i="3"/>
  <c r="L202" i="3"/>
  <c r="K202" i="3"/>
  <c r="J202" i="3"/>
  <c r="I202" i="3"/>
  <c r="H202" i="3"/>
  <c r="G202" i="3"/>
  <c r="L201" i="3"/>
  <c r="K201" i="3"/>
  <c r="J201" i="3"/>
  <c r="I201" i="3"/>
  <c r="H201" i="3"/>
  <c r="G201" i="3"/>
  <c r="L200" i="3"/>
  <c r="K200" i="3"/>
  <c r="J200" i="3"/>
  <c r="I200" i="3"/>
  <c r="H200" i="3"/>
  <c r="G200" i="3"/>
  <c r="L199" i="3"/>
  <c r="K199" i="3"/>
  <c r="J199" i="3"/>
  <c r="I199" i="3"/>
  <c r="H199" i="3"/>
  <c r="G199" i="3"/>
  <c r="L198" i="3"/>
  <c r="K198" i="3"/>
  <c r="J198" i="3"/>
  <c r="I198" i="3"/>
  <c r="H198" i="3"/>
  <c r="G198" i="3"/>
  <c r="L197" i="3"/>
  <c r="K197" i="3"/>
  <c r="J197" i="3"/>
  <c r="I197" i="3"/>
  <c r="H197" i="3"/>
  <c r="G197" i="3"/>
  <c r="L196" i="3"/>
  <c r="K196" i="3"/>
  <c r="J196" i="3"/>
  <c r="I196" i="3"/>
  <c r="H196" i="3"/>
  <c r="G196" i="3"/>
  <c r="L195" i="3"/>
  <c r="K195" i="3"/>
  <c r="J195" i="3"/>
  <c r="I195" i="3"/>
  <c r="H195" i="3"/>
  <c r="G195" i="3"/>
  <c r="L194" i="3"/>
  <c r="K194" i="3"/>
  <c r="J194" i="3"/>
  <c r="I194" i="3"/>
  <c r="H194" i="3"/>
  <c r="G194" i="3"/>
  <c r="L193" i="3"/>
  <c r="K193" i="3"/>
  <c r="J193" i="3"/>
  <c r="I193" i="3"/>
  <c r="H193" i="3"/>
  <c r="G193" i="3"/>
  <c r="L192" i="3"/>
  <c r="K192" i="3"/>
  <c r="J192" i="3"/>
  <c r="I192" i="3"/>
  <c r="H192" i="3"/>
  <c r="G192" i="3"/>
  <c r="L191" i="3"/>
  <c r="K191" i="3"/>
  <c r="J191" i="3"/>
  <c r="I191" i="3"/>
  <c r="H191" i="3"/>
  <c r="G191" i="3"/>
  <c r="L190" i="3"/>
  <c r="K190" i="3"/>
  <c r="J190" i="3"/>
  <c r="I190" i="3"/>
  <c r="H190" i="3"/>
  <c r="G190" i="3"/>
  <c r="L189" i="3"/>
  <c r="K189" i="3"/>
  <c r="J189" i="3"/>
  <c r="I189" i="3"/>
  <c r="H189" i="3"/>
  <c r="G189" i="3"/>
  <c r="L188" i="3"/>
  <c r="K188" i="3"/>
  <c r="J188" i="3"/>
  <c r="I188" i="3"/>
  <c r="H188" i="3"/>
  <c r="G188" i="3"/>
  <c r="L187" i="3"/>
  <c r="K187" i="3"/>
  <c r="J187" i="3"/>
  <c r="I187" i="3"/>
  <c r="H187" i="3"/>
  <c r="G187" i="3"/>
  <c r="L186" i="3"/>
  <c r="K186" i="3"/>
  <c r="J186" i="3"/>
  <c r="I186" i="3"/>
  <c r="H186" i="3"/>
  <c r="G186" i="3"/>
  <c r="L185" i="3"/>
  <c r="K185" i="3"/>
  <c r="J185" i="3"/>
  <c r="I185" i="3"/>
  <c r="H185" i="3"/>
  <c r="G185" i="3"/>
  <c r="L184" i="3"/>
  <c r="K184" i="3"/>
  <c r="J184" i="3"/>
  <c r="I184" i="3"/>
  <c r="H184" i="3"/>
  <c r="G184" i="3"/>
  <c r="L183" i="3"/>
  <c r="K183" i="3"/>
  <c r="J183" i="3"/>
  <c r="I183" i="3"/>
  <c r="H183" i="3"/>
  <c r="G183" i="3"/>
  <c r="L182" i="3"/>
  <c r="K182" i="3"/>
  <c r="J182" i="3"/>
  <c r="I182" i="3"/>
  <c r="H182" i="3"/>
  <c r="G182" i="3"/>
  <c r="L181" i="3"/>
  <c r="K181" i="3"/>
  <c r="J181" i="3"/>
  <c r="I181" i="3"/>
  <c r="H181" i="3"/>
  <c r="G181" i="3"/>
  <c r="L180" i="3"/>
  <c r="K180" i="3"/>
  <c r="J180" i="3"/>
  <c r="I180" i="3"/>
  <c r="H180" i="3"/>
  <c r="G180" i="3"/>
  <c r="L179" i="3"/>
  <c r="K179" i="3"/>
  <c r="J179" i="3"/>
  <c r="I179" i="3"/>
  <c r="H179" i="3"/>
  <c r="G179" i="3"/>
  <c r="L178" i="3"/>
  <c r="K178" i="3"/>
  <c r="J178" i="3"/>
  <c r="I178" i="3"/>
  <c r="H178" i="3"/>
  <c r="G178" i="3"/>
  <c r="L177" i="3"/>
  <c r="K177" i="3"/>
  <c r="J177" i="3"/>
  <c r="I177" i="3"/>
  <c r="H177" i="3"/>
  <c r="G177" i="3"/>
  <c r="L176" i="3"/>
  <c r="K176" i="3"/>
  <c r="J176" i="3"/>
  <c r="I176" i="3"/>
  <c r="H176" i="3"/>
  <c r="G176" i="3"/>
  <c r="L175" i="3"/>
  <c r="K175" i="3"/>
  <c r="J175" i="3"/>
  <c r="I175" i="3"/>
  <c r="H175" i="3"/>
  <c r="G175" i="3"/>
  <c r="L174" i="3"/>
  <c r="K174" i="3"/>
  <c r="J174" i="3"/>
  <c r="I174" i="3"/>
  <c r="H174" i="3"/>
  <c r="G174" i="3"/>
  <c r="L173" i="3"/>
  <c r="K173" i="3"/>
  <c r="J173" i="3"/>
  <c r="I173" i="3"/>
  <c r="H173" i="3"/>
  <c r="G173" i="3"/>
  <c r="L172" i="3"/>
  <c r="K172" i="3"/>
  <c r="J172" i="3"/>
  <c r="I172" i="3"/>
  <c r="H172" i="3"/>
  <c r="G172" i="3"/>
  <c r="L171" i="3"/>
  <c r="K171" i="3"/>
  <c r="J171" i="3"/>
  <c r="I171" i="3"/>
  <c r="H171" i="3"/>
  <c r="G171" i="3"/>
  <c r="L170" i="3"/>
  <c r="K170" i="3"/>
  <c r="J170" i="3"/>
  <c r="I170" i="3"/>
  <c r="H170" i="3"/>
  <c r="G170" i="3"/>
  <c r="L169" i="3"/>
  <c r="K169" i="3"/>
  <c r="J169" i="3"/>
  <c r="I169" i="3"/>
  <c r="H169" i="3"/>
  <c r="G169" i="3"/>
  <c r="L168" i="3"/>
  <c r="K168" i="3"/>
  <c r="J168" i="3"/>
  <c r="I168" i="3"/>
  <c r="H168" i="3"/>
  <c r="G168" i="3"/>
  <c r="L167" i="3"/>
  <c r="K167" i="3"/>
  <c r="J167" i="3"/>
  <c r="I167" i="3"/>
  <c r="H167" i="3"/>
  <c r="G167" i="3"/>
  <c r="L166" i="3"/>
  <c r="K166" i="3"/>
  <c r="J166" i="3"/>
  <c r="I166" i="3"/>
  <c r="H166" i="3"/>
  <c r="G166" i="3"/>
  <c r="L165" i="3"/>
  <c r="K165" i="3"/>
  <c r="J165" i="3"/>
  <c r="I165" i="3"/>
  <c r="H165" i="3"/>
  <c r="G165" i="3"/>
  <c r="L164" i="3"/>
  <c r="K164" i="3"/>
  <c r="J164" i="3"/>
  <c r="I164" i="3"/>
  <c r="H164" i="3"/>
  <c r="G164" i="3"/>
  <c r="L163" i="3"/>
  <c r="K163" i="3"/>
  <c r="J163" i="3"/>
  <c r="I163" i="3"/>
  <c r="H163" i="3"/>
  <c r="G163" i="3"/>
  <c r="L162" i="3"/>
  <c r="K162" i="3"/>
  <c r="J162" i="3"/>
  <c r="I162" i="3"/>
  <c r="H162" i="3"/>
  <c r="G162" i="3"/>
  <c r="L161" i="3"/>
  <c r="K161" i="3"/>
  <c r="J161" i="3"/>
  <c r="I161" i="3"/>
  <c r="H161" i="3"/>
  <c r="G161" i="3"/>
  <c r="L160" i="3"/>
  <c r="K160" i="3"/>
  <c r="J160" i="3"/>
  <c r="I160" i="3"/>
  <c r="H160" i="3"/>
  <c r="G160" i="3"/>
  <c r="L159" i="3"/>
  <c r="K159" i="3"/>
  <c r="J159" i="3"/>
  <c r="I159" i="3"/>
  <c r="H159" i="3"/>
  <c r="G159" i="3"/>
  <c r="L158" i="3"/>
  <c r="K158" i="3"/>
  <c r="J158" i="3"/>
  <c r="I158" i="3"/>
  <c r="H158" i="3"/>
  <c r="G158" i="3"/>
  <c r="L157" i="3"/>
  <c r="K157" i="3"/>
  <c r="J157" i="3"/>
  <c r="I157" i="3"/>
  <c r="H157" i="3"/>
  <c r="G157" i="3"/>
  <c r="L156" i="3"/>
  <c r="K156" i="3"/>
  <c r="J156" i="3"/>
  <c r="I156" i="3"/>
  <c r="H156" i="3"/>
  <c r="G156" i="3"/>
  <c r="L155" i="3"/>
  <c r="K155" i="3"/>
  <c r="J155" i="3"/>
  <c r="I155" i="3"/>
  <c r="H155" i="3"/>
  <c r="G155" i="3"/>
  <c r="L154" i="3"/>
  <c r="K154" i="3"/>
  <c r="J154" i="3"/>
  <c r="I154" i="3"/>
  <c r="H154" i="3"/>
  <c r="G154" i="3"/>
  <c r="L153" i="3"/>
  <c r="K153" i="3"/>
  <c r="J153" i="3"/>
  <c r="I153" i="3"/>
  <c r="H153" i="3"/>
  <c r="G153" i="3"/>
  <c r="L152" i="3"/>
  <c r="K152" i="3"/>
  <c r="J152" i="3"/>
  <c r="I152" i="3"/>
  <c r="H152" i="3"/>
  <c r="G152" i="3"/>
  <c r="L151" i="3"/>
  <c r="K151" i="3"/>
  <c r="J151" i="3"/>
  <c r="I151" i="3"/>
  <c r="H151" i="3"/>
  <c r="G151" i="3"/>
  <c r="L150" i="3"/>
  <c r="K150" i="3"/>
  <c r="J150" i="3"/>
  <c r="I150" i="3"/>
  <c r="H150" i="3"/>
  <c r="G150" i="3"/>
  <c r="L149" i="3"/>
  <c r="K149" i="3"/>
  <c r="J149" i="3"/>
  <c r="I149" i="3"/>
  <c r="H149" i="3"/>
  <c r="G149" i="3"/>
  <c r="L148" i="3"/>
  <c r="K148" i="3"/>
  <c r="J148" i="3"/>
  <c r="I148" i="3"/>
  <c r="H148" i="3"/>
  <c r="G148" i="3"/>
  <c r="L147" i="3"/>
  <c r="K147" i="3"/>
  <c r="J147" i="3"/>
  <c r="I147" i="3"/>
  <c r="H147" i="3"/>
  <c r="G147" i="3"/>
  <c r="L146" i="3"/>
  <c r="K146" i="3"/>
  <c r="J146" i="3"/>
  <c r="I146" i="3"/>
  <c r="H146" i="3"/>
  <c r="G146" i="3"/>
  <c r="L145" i="3"/>
  <c r="K145" i="3"/>
  <c r="J145" i="3"/>
  <c r="I145" i="3"/>
  <c r="H145" i="3"/>
  <c r="G145" i="3"/>
  <c r="L144" i="3"/>
  <c r="K144" i="3"/>
  <c r="J144" i="3"/>
  <c r="I144" i="3"/>
  <c r="H144" i="3"/>
  <c r="G144" i="3"/>
  <c r="L143" i="3"/>
  <c r="K143" i="3"/>
  <c r="J143" i="3"/>
  <c r="I143" i="3"/>
  <c r="H143" i="3"/>
  <c r="G143" i="3"/>
  <c r="L142" i="3"/>
  <c r="K142" i="3"/>
  <c r="J142" i="3"/>
  <c r="I142" i="3"/>
  <c r="H142" i="3"/>
  <c r="G142" i="3"/>
  <c r="L141" i="3"/>
  <c r="K141" i="3"/>
  <c r="J141" i="3"/>
  <c r="I141" i="3"/>
  <c r="H141" i="3"/>
  <c r="G141" i="3"/>
  <c r="L140" i="3"/>
  <c r="K140" i="3"/>
  <c r="J140" i="3"/>
  <c r="I140" i="3"/>
  <c r="H140" i="3"/>
  <c r="G140" i="3"/>
  <c r="L139" i="3"/>
  <c r="K139" i="3"/>
  <c r="J139" i="3"/>
  <c r="I139" i="3"/>
  <c r="H139" i="3"/>
  <c r="G139" i="3"/>
  <c r="L138" i="3"/>
  <c r="K138" i="3"/>
  <c r="J138" i="3"/>
  <c r="I138" i="3"/>
  <c r="H138" i="3"/>
  <c r="G138" i="3"/>
  <c r="L137" i="3"/>
  <c r="K137" i="3"/>
  <c r="J137" i="3"/>
  <c r="I137" i="3"/>
  <c r="H137" i="3"/>
  <c r="G137" i="3"/>
  <c r="L136" i="3"/>
  <c r="K136" i="3"/>
  <c r="J136" i="3"/>
  <c r="I136" i="3"/>
  <c r="H136" i="3"/>
  <c r="G136" i="3"/>
  <c r="L135" i="3"/>
  <c r="K135" i="3"/>
  <c r="J135" i="3"/>
  <c r="I135" i="3"/>
  <c r="H135" i="3"/>
  <c r="G135" i="3"/>
  <c r="L134" i="3"/>
  <c r="K134" i="3"/>
  <c r="J134" i="3"/>
  <c r="I134" i="3"/>
  <c r="H134" i="3"/>
  <c r="G134" i="3"/>
  <c r="L133" i="3"/>
  <c r="K133" i="3"/>
  <c r="J133" i="3"/>
  <c r="I133" i="3"/>
  <c r="H133" i="3"/>
  <c r="G133" i="3"/>
  <c r="L132" i="3"/>
  <c r="K132" i="3"/>
  <c r="J132" i="3"/>
  <c r="I132" i="3"/>
  <c r="H132" i="3"/>
  <c r="G132" i="3"/>
  <c r="L131" i="3"/>
  <c r="K131" i="3"/>
  <c r="J131" i="3"/>
  <c r="I131" i="3"/>
  <c r="H131" i="3"/>
  <c r="G131" i="3"/>
  <c r="L130" i="3"/>
  <c r="K130" i="3"/>
  <c r="J130" i="3"/>
  <c r="I130" i="3"/>
  <c r="H130" i="3"/>
  <c r="G130" i="3"/>
  <c r="L129" i="3"/>
  <c r="K129" i="3"/>
  <c r="J129" i="3"/>
  <c r="I129" i="3"/>
  <c r="H129" i="3"/>
  <c r="G129" i="3"/>
  <c r="L128" i="3"/>
  <c r="K128" i="3"/>
  <c r="J128" i="3"/>
  <c r="I128" i="3"/>
  <c r="H128" i="3"/>
  <c r="G128" i="3"/>
  <c r="L127" i="3"/>
  <c r="K127" i="3"/>
  <c r="J127" i="3"/>
  <c r="I127" i="3"/>
  <c r="H127" i="3"/>
  <c r="G127" i="3"/>
  <c r="L126" i="3"/>
  <c r="K126" i="3"/>
  <c r="J126" i="3"/>
  <c r="I126" i="3"/>
  <c r="H126" i="3"/>
  <c r="G126" i="3"/>
  <c r="L125" i="3"/>
  <c r="K125" i="3"/>
  <c r="J125" i="3"/>
  <c r="I125" i="3"/>
  <c r="H125" i="3"/>
  <c r="G125" i="3"/>
  <c r="L124" i="3"/>
  <c r="K124" i="3"/>
  <c r="J124" i="3"/>
  <c r="I124" i="3"/>
  <c r="H124" i="3"/>
  <c r="G124" i="3"/>
  <c r="L123" i="3"/>
  <c r="K123" i="3"/>
  <c r="J123" i="3"/>
  <c r="I123" i="3"/>
  <c r="H123" i="3"/>
  <c r="G123" i="3"/>
  <c r="L122" i="3"/>
  <c r="K122" i="3"/>
  <c r="J122" i="3"/>
  <c r="I122" i="3"/>
  <c r="H122" i="3"/>
  <c r="G122" i="3"/>
  <c r="L121" i="3"/>
  <c r="K121" i="3"/>
  <c r="J121" i="3"/>
  <c r="I121" i="3"/>
  <c r="H121" i="3"/>
  <c r="G121" i="3"/>
  <c r="L120" i="3"/>
  <c r="K120" i="3"/>
  <c r="J120" i="3"/>
  <c r="I120" i="3"/>
  <c r="H120" i="3"/>
  <c r="G120" i="3"/>
  <c r="L119" i="3"/>
  <c r="K119" i="3"/>
  <c r="J119" i="3"/>
  <c r="I119" i="3"/>
  <c r="H119" i="3"/>
  <c r="G119" i="3"/>
  <c r="L118" i="3"/>
  <c r="K118" i="3"/>
  <c r="J118" i="3"/>
  <c r="I118" i="3"/>
  <c r="H118" i="3"/>
  <c r="G118" i="3"/>
  <c r="L117" i="3"/>
  <c r="K117" i="3"/>
  <c r="J117" i="3"/>
  <c r="I117" i="3"/>
  <c r="H117" i="3"/>
  <c r="G117" i="3"/>
  <c r="L116" i="3"/>
  <c r="K116" i="3"/>
  <c r="J116" i="3"/>
  <c r="I116" i="3"/>
  <c r="H116" i="3"/>
  <c r="G116" i="3"/>
  <c r="L115" i="3"/>
  <c r="K115" i="3"/>
  <c r="J115" i="3"/>
  <c r="I115" i="3"/>
  <c r="H115" i="3"/>
  <c r="G115" i="3"/>
  <c r="L114" i="3"/>
  <c r="K114" i="3"/>
  <c r="J114" i="3"/>
  <c r="I114" i="3"/>
  <c r="H114" i="3"/>
  <c r="G114" i="3"/>
  <c r="L113" i="3"/>
  <c r="K113" i="3"/>
  <c r="J113" i="3"/>
  <c r="I113" i="3"/>
  <c r="H113" i="3"/>
  <c r="G113" i="3"/>
  <c r="L112" i="3"/>
  <c r="K112" i="3"/>
  <c r="J112" i="3"/>
  <c r="I112" i="3"/>
  <c r="H112" i="3"/>
  <c r="G112" i="3"/>
  <c r="L111" i="3"/>
  <c r="K111" i="3"/>
  <c r="J111" i="3"/>
  <c r="I111" i="3"/>
  <c r="H111" i="3"/>
  <c r="G111" i="3"/>
  <c r="L110" i="3"/>
  <c r="K110" i="3"/>
  <c r="J110" i="3"/>
  <c r="I110" i="3"/>
  <c r="H110" i="3"/>
  <c r="G110" i="3"/>
  <c r="L109" i="3"/>
  <c r="K109" i="3"/>
  <c r="J109" i="3"/>
  <c r="I109" i="3"/>
  <c r="H109" i="3"/>
  <c r="G109" i="3"/>
  <c r="L108" i="3"/>
  <c r="K108" i="3"/>
  <c r="J108" i="3"/>
  <c r="I108" i="3"/>
  <c r="H108" i="3"/>
  <c r="G108" i="3"/>
  <c r="L107" i="3"/>
  <c r="K107" i="3"/>
  <c r="J107" i="3"/>
  <c r="I107" i="3"/>
  <c r="H107" i="3"/>
  <c r="G107" i="3"/>
  <c r="L106" i="3"/>
  <c r="K106" i="3"/>
  <c r="J106" i="3"/>
  <c r="I106" i="3"/>
  <c r="H106" i="3"/>
  <c r="G106" i="3"/>
  <c r="L105" i="3"/>
  <c r="K105" i="3"/>
  <c r="J105" i="3"/>
  <c r="I105" i="3"/>
  <c r="H105" i="3"/>
  <c r="G105" i="3"/>
  <c r="L104" i="3"/>
  <c r="K104" i="3"/>
  <c r="J104" i="3"/>
  <c r="I104" i="3"/>
  <c r="H104" i="3"/>
  <c r="G104" i="3"/>
  <c r="L103" i="3"/>
  <c r="K103" i="3"/>
  <c r="J103" i="3"/>
  <c r="I103" i="3"/>
  <c r="H103" i="3"/>
  <c r="G103" i="3"/>
  <c r="L102" i="3"/>
  <c r="K102" i="3"/>
  <c r="J102" i="3"/>
  <c r="I102" i="3"/>
  <c r="H102" i="3"/>
  <c r="G102" i="3"/>
  <c r="L101" i="3"/>
  <c r="K101" i="3"/>
  <c r="J101" i="3"/>
  <c r="I101" i="3"/>
  <c r="H101" i="3"/>
  <c r="G101" i="3"/>
  <c r="L100" i="3"/>
  <c r="K100" i="3"/>
  <c r="J100" i="3"/>
  <c r="I100" i="3"/>
  <c r="H100" i="3"/>
  <c r="G100" i="3"/>
  <c r="L99" i="3"/>
  <c r="K99" i="3"/>
  <c r="J99" i="3"/>
  <c r="I99" i="3"/>
  <c r="H99" i="3"/>
  <c r="G99" i="3"/>
  <c r="L98" i="3"/>
  <c r="K98" i="3"/>
  <c r="J98" i="3"/>
  <c r="I98" i="3"/>
  <c r="H98" i="3"/>
  <c r="G98" i="3"/>
  <c r="L97" i="3"/>
  <c r="K97" i="3"/>
  <c r="J97" i="3"/>
  <c r="I97" i="3"/>
  <c r="H97" i="3"/>
  <c r="G97" i="3"/>
  <c r="L96" i="3"/>
  <c r="K96" i="3"/>
  <c r="J96" i="3"/>
  <c r="I96" i="3"/>
  <c r="H96" i="3"/>
  <c r="G96" i="3"/>
  <c r="L95" i="3"/>
  <c r="K95" i="3"/>
  <c r="J95" i="3"/>
  <c r="I95" i="3"/>
  <c r="H95" i="3"/>
  <c r="G95" i="3"/>
  <c r="L94" i="3"/>
  <c r="K94" i="3"/>
  <c r="J94" i="3"/>
  <c r="I94" i="3"/>
  <c r="H94" i="3"/>
  <c r="G94" i="3"/>
  <c r="L93" i="3"/>
  <c r="K93" i="3"/>
  <c r="J93" i="3"/>
  <c r="I93" i="3"/>
  <c r="H93" i="3"/>
  <c r="G93" i="3"/>
  <c r="L92" i="3"/>
  <c r="K92" i="3"/>
  <c r="J92" i="3"/>
  <c r="I92" i="3"/>
  <c r="H92" i="3"/>
  <c r="G92" i="3"/>
  <c r="L91" i="3"/>
  <c r="K91" i="3"/>
  <c r="J91" i="3"/>
  <c r="I91" i="3"/>
  <c r="H91" i="3"/>
  <c r="G91" i="3"/>
  <c r="L90" i="3"/>
  <c r="K90" i="3"/>
  <c r="J90" i="3"/>
  <c r="I90" i="3"/>
  <c r="H90" i="3"/>
  <c r="G90" i="3"/>
  <c r="L89" i="3"/>
  <c r="K89" i="3"/>
  <c r="J89" i="3"/>
  <c r="I89" i="3"/>
  <c r="H89" i="3"/>
  <c r="G89" i="3"/>
  <c r="L88" i="3"/>
  <c r="K88" i="3"/>
  <c r="J88" i="3"/>
  <c r="I88" i="3"/>
  <c r="H88" i="3"/>
  <c r="G88" i="3"/>
  <c r="L87" i="3"/>
  <c r="K87" i="3"/>
  <c r="J87" i="3"/>
  <c r="I87" i="3"/>
  <c r="H87" i="3"/>
  <c r="G87" i="3"/>
  <c r="L86" i="3"/>
  <c r="K86" i="3"/>
  <c r="J86" i="3"/>
  <c r="I86" i="3"/>
  <c r="H86" i="3"/>
  <c r="G86" i="3"/>
  <c r="L85" i="3"/>
  <c r="K85" i="3"/>
  <c r="J85" i="3"/>
  <c r="I85" i="3"/>
  <c r="H85" i="3"/>
  <c r="G85" i="3"/>
  <c r="L84" i="3"/>
  <c r="K84" i="3"/>
  <c r="J84" i="3"/>
  <c r="I84" i="3"/>
  <c r="H84" i="3"/>
  <c r="G84" i="3"/>
  <c r="L83" i="3"/>
  <c r="K83" i="3"/>
  <c r="J83" i="3"/>
  <c r="I83" i="3"/>
  <c r="H83" i="3"/>
  <c r="G83" i="3"/>
  <c r="L82" i="3"/>
  <c r="K82" i="3"/>
  <c r="J82" i="3"/>
  <c r="I82" i="3"/>
  <c r="H82" i="3"/>
  <c r="G82" i="3"/>
  <c r="L81" i="3"/>
  <c r="K81" i="3"/>
  <c r="J81" i="3"/>
  <c r="I81" i="3"/>
  <c r="H81" i="3"/>
  <c r="G81" i="3"/>
  <c r="L80" i="3"/>
  <c r="K80" i="3"/>
  <c r="J80" i="3"/>
  <c r="I80" i="3"/>
  <c r="H80" i="3"/>
  <c r="G80" i="3"/>
  <c r="L79" i="3"/>
  <c r="K79" i="3"/>
  <c r="J79" i="3"/>
  <c r="I79" i="3"/>
  <c r="H79" i="3"/>
  <c r="G79" i="3"/>
  <c r="L78" i="3"/>
  <c r="K78" i="3"/>
  <c r="J78" i="3"/>
  <c r="I78" i="3"/>
  <c r="H78" i="3"/>
  <c r="G78" i="3"/>
  <c r="L77" i="3"/>
  <c r="K77" i="3"/>
  <c r="J77" i="3"/>
  <c r="I77" i="3"/>
  <c r="H77" i="3"/>
  <c r="G77" i="3"/>
  <c r="L76" i="3"/>
  <c r="K76" i="3"/>
  <c r="J76" i="3"/>
  <c r="I76" i="3"/>
  <c r="H76" i="3"/>
  <c r="G76" i="3"/>
  <c r="L75" i="3"/>
  <c r="K75" i="3"/>
  <c r="J75" i="3"/>
  <c r="I75" i="3"/>
  <c r="H75" i="3"/>
  <c r="G75" i="3"/>
  <c r="L74" i="3"/>
  <c r="K74" i="3"/>
  <c r="J74" i="3"/>
  <c r="I74" i="3"/>
  <c r="H74" i="3"/>
  <c r="G74" i="3"/>
  <c r="L73" i="3"/>
  <c r="K73" i="3"/>
  <c r="J73" i="3"/>
  <c r="I73" i="3"/>
  <c r="H73" i="3"/>
  <c r="G73" i="3"/>
  <c r="L72" i="3"/>
  <c r="K72" i="3"/>
  <c r="J72" i="3"/>
  <c r="I72" i="3"/>
  <c r="H72" i="3"/>
  <c r="G72" i="3"/>
  <c r="L71" i="3"/>
  <c r="K71" i="3"/>
  <c r="J71" i="3"/>
  <c r="I71" i="3"/>
  <c r="H71" i="3"/>
  <c r="G71" i="3"/>
  <c r="L70" i="3"/>
  <c r="K70" i="3"/>
  <c r="J70" i="3"/>
  <c r="I70" i="3"/>
  <c r="H70" i="3"/>
  <c r="G70" i="3"/>
  <c r="L69" i="3"/>
  <c r="K69" i="3"/>
  <c r="J69" i="3"/>
  <c r="I69" i="3"/>
  <c r="H69" i="3"/>
  <c r="G69" i="3"/>
  <c r="L68" i="3"/>
  <c r="K68" i="3"/>
  <c r="J68" i="3"/>
  <c r="I68" i="3"/>
  <c r="H68" i="3"/>
  <c r="G68" i="3"/>
  <c r="L67" i="3"/>
  <c r="K67" i="3"/>
  <c r="J67" i="3"/>
  <c r="I67" i="3"/>
  <c r="H67" i="3"/>
  <c r="G67" i="3"/>
  <c r="L66" i="3"/>
  <c r="K66" i="3"/>
  <c r="J66" i="3"/>
  <c r="I66" i="3"/>
  <c r="H66" i="3"/>
  <c r="G66" i="3"/>
  <c r="L65" i="3"/>
  <c r="K65" i="3"/>
  <c r="J65" i="3"/>
  <c r="I65" i="3"/>
  <c r="H65" i="3"/>
  <c r="G65" i="3"/>
  <c r="L64" i="3"/>
  <c r="K64" i="3"/>
  <c r="J64" i="3"/>
  <c r="I64" i="3"/>
  <c r="H64" i="3"/>
  <c r="G64" i="3"/>
  <c r="L63" i="3"/>
  <c r="K63" i="3"/>
  <c r="J63" i="3"/>
  <c r="I63" i="3"/>
  <c r="H63" i="3"/>
  <c r="G63" i="3"/>
  <c r="L62" i="3"/>
  <c r="K62" i="3"/>
  <c r="J62" i="3"/>
  <c r="I62" i="3"/>
  <c r="H62" i="3"/>
  <c r="G62" i="3"/>
  <c r="L61" i="3"/>
  <c r="K61" i="3"/>
  <c r="J61" i="3"/>
  <c r="I61" i="3"/>
  <c r="H61" i="3"/>
  <c r="G61" i="3"/>
  <c r="L60" i="3"/>
  <c r="K60" i="3"/>
  <c r="J60" i="3"/>
  <c r="I60" i="3"/>
  <c r="H60" i="3"/>
  <c r="G60" i="3"/>
  <c r="L59" i="3"/>
  <c r="K59" i="3"/>
  <c r="J59" i="3"/>
  <c r="I59" i="3"/>
  <c r="H59" i="3"/>
  <c r="G59" i="3"/>
  <c r="L58" i="3"/>
  <c r="K58" i="3"/>
  <c r="J58" i="3"/>
  <c r="I58" i="3"/>
  <c r="H58" i="3"/>
  <c r="G58" i="3"/>
  <c r="L57" i="3"/>
  <c r="K57" i="3"/>
  <c r="J57" i="3"/>
  <c r="I57" i="3"/>
  <c r="H57" i="3"/>
  <c r="G57" i="3"/>
  <c r="L56" i="3"/>
  <c r="K56" i="3"/>
  <c r="J56" i="3"/>
  <c r="I56" i="3"/>
  <c r="H56" i="3"/>
  <c r="G56" i="3"/>
  <c r="L55" i="3"/>
  <c r="K55" i="3"/>
  <c r="J55" i="3"/>
  <c r="I55" i="3"/>
  <c r="H55" i="3"/>
  <c r="G55" i="3"/>
  <c r="L54" i="3"/>
  <c r="K54" i="3"/>
  <c r="J54" i="3"/>
  <c r="I54" i="3"/>
  <c r="H54" i="3"/>
  <c r="G54" i="3"/>
  <c r="L53" i="3"/>
  <c r="K53" i="3"/>
  <c r="J53" i="3"/>
  <c r="I53" i="3"/>
  <c r="H53" i="3"/>
  <c r="G53" i="3"/>
  <c r="L52" i="3"/>
  <c r="K52" i="3"/>
  <c r="J52" i="3"/>
  <c r="I52" i="3"/>
  <c r="H52" i="3"/>
  <c r="G52" i="3"/>
  <c r="L51" i="3"/>
  <c r="K51" i="3"/>
  <c r="J51" i="3"/>
  <c r="I51" i="3"/>
  <c r="H51" i="3"/>
  <c r="G51" i="3"/>
  <c r="L50" i="3"/>
  <c r="K50" i="3"/>
  <c r="J50" i="3"/>
  <c r="I50" i="3"/>
  <c r="H50" i="3"/>
  <c r="G50" i="3"/>
  <c r="L49" i="3"/>
  <c r="K49" i="3"/>
  <c r="J49" i="3"/>
  <c r="I49" i="3"/>
  <c r="H49" i="3"/>
  <c r="G49" i="3"/>
  <c r="L48" i="3"/>
  <c r="K48" i="3"/>
  <c r="J48" i="3"/>
  <c r="I48" i="3"/>
  <c r="H48" i="3"/>
  <c r="G48" i="3"/>
  <c r="L47" i="3"/>
  <c r="K47" i="3"/>
  <c r="J47" i="3"/>
  <c r="I47" i="3"/>
  <c r="H47" i="3"/>
  <c r="G47" i="3"/>
  <c r="L46" i="3"/>
  <c r="K46" i="3"/>
  <c r="J46" i="3"/>
  <c r="I46" i="3"/>
  <c r="H46" i="3"/>
  <c r="G46" i="3"/>
  <c r="L45" i="3"/>
  <c r="K45" i="3"/>
  <c r="J45" i="3"/>
  <c r="I45" i="3"/>
  <c r="H45" i="3"/>
  <c r="G45" i="3"/>
  <c r="L44" i="3"/>
  <c r="K44" i="3"/>
  <c r="J44" i="3"/>
  <c r="I44" i="3"/>
  <c r="H44" i="3"/>
  <c r="G44" i="3"/>
  <c r="L43" i="3"/>
  <c r="K43" i="3"/>
  <c r="J43" i="3"/>
  <c r="I43" i="3"/>
  <c r="H43" i="3"/>
  <c r="G43" i="3"/>
  <c r="L42" i="3"/>
  <c r="K42" i="3"/>
  <c r="J42" i="3"/>
  <c r="I42" i="3"/>
  <c r="H42" i="3"/>
  <c r="G42" i="3"/>
  <c r="L41" i="3"/>
  <c r="K41" i="3"/>
  <c r="J41" i="3"/>
  <c r="I41" i="3"/>
  <c r="H41" i="3"/>
  <c r="G41" i="3"/>
  <c r="L40" i="3"/>
  <c r="K40" i="3"/>
  <c r="J40" i="3"/>
  <c r="I40" i="3"/>
  <c r="H40" i="3"/>
  <c r="G40" i="3"/>
  <c r="L39" i="3"/>
  <c r="K39" i="3"/>
  <c r="J39" i="3"/>
  <c r="I39" i="3"/>
  <c r="H39" i="3"/>
  <c r="G39" i="3"/>
  <c r="L38" i="3"/>
  <c r="K38" i="3"/>
  <c r="J38" i="3"/>
  <c r="I38" i="3"/>
  <c r="H38" i="3"/>
  <c r="G38" i="3"/>
  <c r="L37" i="3"/>
  <c r="K37" i="3"/>
  <c r="J37" i="3"/>
  <c r="I37" i="3"/>
  <c r="H37" i="3"/>
  <c r="G37" i="3"/>
  <c r="L36" i="3"/>
  <c r="K36" i="3"/>
  <c r="J36" i="3"/>
  <c r="I36" i="3"/>
  <c r="H36" i="3"/>
  <c r="G36" i="3"/>
  <c r="L35" i="3"/>
  <c r="K35" i="3"/>
  <c r="J35" i="3"/>
  <c r="I35" i="3"/>
  <c r="H35" i="3"/>
  <c r="G35" i="3"/>
  <c r="L34" i="3"/>
  <c r="K34" i="3"/>
  <c r="J34" i="3"/>
  <c r="I34" i="3"/>
  <c r="H34" i="3"/>
  <c r="G34" i="3"/>
  <c r="L33" i="3"/>
  <c r="K33" i="3"/>
  <c r="J33" i="3"/>
  <c r="I33" i="3"/>
  <c r="H33" i="3"/>
  <c r="G33" i="3"/>
  <c r="L32" i="3"/>
  <c r="K32" i="3"/>
  <c r="J32" i="3"/>
  <c r="I32" i="3"/>
  <c r="H32" i="3"/>
  <c r="G32" i="3"/>
  <c r="L31" i="3"/>
  <c r="K31" i="3"/>
  <c r="J31" i="3"/>
  <c r="I31" i="3"/>
  <c r="H31" i="3"/>
  <c r="G31" i="3"/>
  <c r="L30" i="3"/>
  <c r="K30" i="3"/>
  <c r="J30" i="3"/>
  <c r="I30" i="3"/>
  <c r="H30" i="3"/>
  <c r="G30" i="3"/>
  <c r="L29" i="3"/>
  <c r="K29" i="3"/>
  <c r="J29" i="3"/>
  <c r="I29" i="3"/>
  <c r="H29" i="3"/>
  <c r="G29" i="3"/>
  <c r="L28" i="3"/>
  <c r="K28" i="3"/>
  <c r="J28" i="3"/>
  <c r="I28" i="3"/>
  <c r="H28" i="3"/>
  <c r="G28" i="3"/>
  <c r="L27" i="3"/>
  <c r="K27" i="3"/>
  <c r="J27" i="3"/>
  <c r="I27" i="3"/>
  <c r="H27" i="3"/>
  <c r="G27" i="3"/>
  <c r="L26" i="3"/>
  <c r="K26" i="3"/>
  <c r="J26" i="3"/>
  <c r="I26" i="3"/>
  <c r="H26" i="3"/>
  <c r="G26" i="3"/>
  <c r="L25" i="3"/>
  <c r="K25" i="3"/>
  <c r="J25" i="3"/>
  <c r="I25" i="3"/>
  <c r="H25" i="3"/>
  <c r="G25" i="3"/>
  <c r="L24" i="3"/>
  <c r="K24" i="3"/>
  <c r="J24" i="3"/>
  <c r="I24" i="3"/>
  <c r="H24" i="3"/>
  <c r="G24" i="3"/>
  <c r="L23" i="3"/>
  <c r="K23" i="3"/>
  <c r="J23" i="3"/>
  <c r="I23" i="3"/>
  <c r="H23" i="3"/>
  <c r="G23" i="3"/>
  <c r="L22" i="3"/>
  <c r="K22" i="3"/>
  <c r="J22" i="3"/>
  <c r="I22" i="3"/>
  <c r="H22" i="3"/>
  <c r="G22" i="3"/>
  <c r="L21" i="3"/>
  <c r="K21" i="3"/>
  <c r="J21" i="3"/>
  <c r="I21" i="3"/>
  <c r="H21" i="3"/>
  <c r="G21" i="3"/>
  <c r="L20" i="3"/>
  <c r="K20" i="3"/>
  <c r="J20" i="3"/>
  <c r="I20" i="3"/>
  <c r="H20" i="3"/>
  <c r="G20" i="3"/>
  <c r="L19" i="3"/>
  <c r="K19" i="3"/>
  <c r="J19" i="3"/>
  <c r="I19" i="3"/>
  <c r="H19" i="3"/>
  <c r="G19" i="3"/>
  <c r="L18" i="3"/>
  <c r="K18" i="3"/>
  <c r="J18" i="3"/>
  <c r="I18" i="3"/>
  <c r="H18" i="3"/>
  <c r="G18" i="3"/>
  <c r="L17" i="3"/>
  <c r="K17" i="3"/>
  <c r="J17" i="3"/>
  <c r="I17" i="3"/>
  <c r="H17" i="3"/>
  <c r="G17" i="3"/>
  <c r="L16" i="3"/>
  <c r="K16" i="3"/>
  <c r="J16" i="3"/>
  <c r="I16" i="3"/>
  <c r="H16" i="3"/>
  <c r="G16" i="3"/>
  <c r="L15" i="3"/>
  <c r="K15" i="3"/>
  <c r="J15" i="3"/>
  <c r="I15" i="3"/>
  <c r="H15" i="3"/>
  <c r="G15" i="3"/>
  <c r="L14" i="3"/>
  <c r="K14" i="3"/>
  <c r="J14" i="3"/>
  <c r="I14" i="3"/>
  <c r="H14" i="3"/>
  <c r="G14" i="3"/>
  <c r="L13" i="3"/>
  <c r="K13" i="3"/>
  <c r="J13" i="3"/>
  <c r="I13" i="3"/>
  <c r="H13" i="3"/>
  <c r="G13" i="3"/>
  <c r="L12" i="3"/>
  <c r="K12" i="3"/>
  <c r="J12" i="3"/>
  <c r="I12" i="3"/>
  <c r="H12" i="3"/>
  <c r="G12" i="3"/>
  <c r="L11" i="3"/>
  <c r="K11" i="3"/>
  <c r="J11" i="3"/>
  <c r="I11" i="3"/>
  <c r="H11" i="3"/>
  <c r="G11" i="3"/>
  <c r="L10" i="3"/>
  <c r="K10" i="3"/>
  <c r="J10" i="3"/>
  <c r="I10" i="3"/>
  <c r="H10" i="3"/>
  <c r="G10" i="3"/>
  <c r="L9" i="3"/>
  <c r="K9" i="3"/>
  <c r="J9" i="3"/>
  <c r="I9" i="3"/>
  <c r="H9" i="3"/>
  <c r="G9" i="3"/>
  <c r="L8" i="3"/>
  <c r="K8" i="3"/>
  <c r="J8" i="3"/>
  <c r="I8" i="3"/>
  <c r="H8" i="3"/>
  <c r="G8" i="3"/>
  <c r="L7" i="3"/>
  <c r="K7" i="3"/>
  <c r="J7" i="3"/>
  <c r="I7" i="3"/>
  <c r="H7" i="3"/>
  <c r="G7" i="3"/>
  <c r="L6" i="3"/>
  <c r="K6" i="3"/>
  <c r="J6" i="3"/>
  <c r="I6" i="3"/>
  <c r="H6" i="3"/>
  <c r="G6" i="3"/>
  <c r="L5" i="3"/>
  <c r="K5" i="3"/>
  <c r="J5" i="3"/>
  <c r="I5" i="3"/>
  <c r="H5" i="3"/>
  <c r="G5" i="3"/>
  <c r="L4" i="3"/>
  <c r="K4" i="3"/>
  <c r="J4" i="3"/>
  <c r="I4" i="3"/>
  <c r="H4" i="3"/>
  <c r="G4" i="3"/>
  <c r="L3" i="3"/>
  <c r="K3" i="3"/>
  <c r="J3" i="3"/>
  <c r="I3" i="3"/>
  <c r="H3" i="3"/>
  <c r="O750" i="3"/>
  <c r="L750" i="3"/>
  <c r="K750" i="3"/>
  <c r="J750" i="3"/>
  <c r="I750" i="3"/>
  <c r="H750" i="3"/>
  <c r="G750" i="3"/>
  <c r="L749" i="3"/>
  <c r="K749" i="3"/>
  <c r="J749" i="3"/>
  <c r="I749" i="3"/>
  <c r="H749" i="3"/>
  <c r="G749" i="3"/>
  <c r="L748" i="3"/>
  <c r="K748" i="3"/>
  <c r="J748" i="3"/>
  <c r="I748" i="3"/>
  <c r="H748" i="3"/>
  <c r="G748" i="3"/>
  <c r="L747" i="3"/>
  <c r="K747" i="3"/>
  <c r="J747" i="3"/>
  <c r="I747" i="3"/>
  <c r="H747" i="3"/>
  <c r="G747" i="3"/>
  <c r="L746" i="3"/>
  <c r="K746" i="3"/>
  <c r="J746" i="3"/>
  <c r="I746" i="3"/>
  <c r="H746" i="3"/>
  <c r="G746" i="3"/>
  <c r="L745" i="3"/>
  <c r="K745" i="3"/>
  <c r="J745" i="3"/>
  <c r="I745" i="3"/>
  <c r="H745" i="3"/>
  <c r="G745" i="3"/>
  <c r="L744" i="3"/>
  <c r="K744" i="3"/>
  <c r="J744" i="3"/>
  <c r="I744" i="3"/>
  <c r="H744" i="3"/>
  <c r="G744" i="3"/>
  <c r="L743" i="3"/>
  <c r="K743" i="3"/>
  <c r="J743" i="3"/>
  <c r="I743" i="3"/>
  <c r="H743" i="3"/>
  <c r="G743" i="3"/>
  <c r="L742" i="3"/>
  <c r="K742" i="3"/>
  <c r="J742" i="3"/>
  <c r="I742" i="3"/>
  <c r="H742" i="3"/>
  <c r="G742" i="3"/>
  <c r="L741" i="3"/>
  <c r="K741" i="3"/>
  <c r="J741" i="3"/>
  <c r="I741" i="3"/>
  <c r="H741" i="3"/>
  <c r="G741" i="3"/>
  <c r="L740" i="3"/>
  <c r="K740" i="3"/>
  <c r="J740" i="3"/>
  <c r="I740" i="3"/>
  <c r="H740" i="3"/>
  <c r="G740" i="3"/>
  <c r="L739" i="3"/>
  <c r="K739" i="3"/>
  <c r="J739" i="3"/>
  <c r="I739" i="3"/>
  <c r="H739" i="3"/>
  <c r="G739" i="3"/>
  <c r="L738" i="3"/>
  <c r="K738" i="3"/>
  <c r="J738" i="3"/>
  <c r="I738" i="3"/>
  <c r="H738" i="3"/>
  <c r="G738" i="3"/>
  <c r="L737" i="3"/>
  <c r="K737" i="3"/>
  <c r="J737" i="3"/>
  <c r="I737" i="3"/>
  <c r="H737" i="3"/>
  <c r="G737" i="3"/>
  <c r="L736" i="3"/>
  <c r="K736" i="3"/>
  <c r="J736" i="3"/>
  <c r="I736" i="3"/>
  <c r="H736" i="3"/>
  <c r="G736" i="3"/>
  <c r="L735" i="3"/>
  <c r="K735" i="3"/>
  <c r="J735" i="3"/>
  <c r="I735" i="3"/>
  <c r="H735" i="3"/>
  <c r="G735" i="3"/>
  <c r="L734" i="3"/>
  <c r="K734" i="3"/>
  <c r="J734" i="3"/>
  <c r="I734" i="3"/>
  <c r="H734" i="3"/>
  <c r="G734" i="3"/>
  <c r="L733" i="3"/>
  <c r="K733" i="3"/>
  <c r="J733" i="3"/>
  <c r="I733" i="3"/>
  <c r="H733" i="3"/>
  <c r="G733" i="3"/>
  <c r="L732" i="3"/>
  <c r="K732" i="3"/>
  <c r="J732" i="3"/>
  <c r="I732" i="3"/>
  <c r="H732" i="3"/>
  <c r="G732" i="3"/>
  <c r="L731" i="3"/>
  <c r="K731" i="3"/>
  <c r="J731" i="3"/>
  <c r="I731" i="3"/>
  <c r="H731" i="3"/>
  <c r="G731" i="3"/>
  <c r="L730" i="3"/>
  <c r="K730" i="3"/>
  <c r="J730" i="3"/>
  <c r="I730" i="3"/>
  <c r="H730" i="3"/>
  <c r="G730" i="3"/>
  <c r="L729" i="3"/>
  <c r="K729" i="3"/>
  <c r="J729" i="3"/>
  <c r="I729" i="3"/>
  <c r="H729" i="3"/>
  <c r="G729" i="3"/>
  <c r="L728" i="3"/>
  <c r="K728" i="3"/>
  <c r="J728" i="3"/>
  <c r="I728" i="3"/>
  <c r="H728" i="3"/>
  <c r="G728" i="3"/>
  <c r="L727" i="3"/>
  <c r="K727" i="3"/>
  <c r="J727" i="3"/>
  <c r="I727" i="3"/>
  <c r="H727" i="3"/>
  <c r="G727" i="3"/>
  <c r="L726" i="3"/>
  <c r="K726" i="3"/>
  <c r="J726" i="3"/>
  <c r="I726" i="3"/>
  <c r="H726" i="3"/>
  <c r="M726" i="3" s="1"/>
  <c r="G726" i="3"/>
  <c r="L725" i="3"/>
  <c r="K725" i="3"/>
  <c r="J725" i="3"/>
  <c r="I725" i="3"/>
  <c r="H725" i="3"/>
  <c r="G725" i="3"/>
  <c r="L724" i="3"/>
  <c r="K724" i="3"/>
  <c r="J724" i="3"/>
  <c r="I724" i="3"/>
  <c r="H724" i="3"/>
  <c r="G724" i="3"/>
  <c r="L723" i="3"/>
  <c r="K723" i="3"/>
  <c r="J723" i="3"/>
  <c r="I723" i="3"/>
  <c r="H723" i="3"/>
  <c r="G723" i="3"/>
  <c r="L722" i="3"/>
  <c r="K722" i="3"/>
  <c r="J722" i="3"/>
  <c r="I722" i="3"/>
  <c r="H722" i="3"/>
  <c r="G722" i="3"/>
  <c r="L721" i="3"/>
  <c r="K721" i="3"/>
  <c r="J721" i="3"/>
  <c r="I721" i="3"/>
  <c r="H721" i="3"/>
  <c r="G721" i="3"/>
  <c r="L720" i="3"/>
  <c r="K720" i="3"/>
  <c r="J720" i="3"/>
  <c r="I720" i="3"/>
  <c r="H720" i="3"/>
  <c r="G720" i="3"/>
  <c r="L719" i="3"/>
  <c r="K719" i="3"/>
  <c r="J719" i="3"/>
  <c r="I719" i="3"/>
  <c r="H719" i="3"/>
  <c r="G719" i="3"/>
  <c r="L718" i="3"/>
  <c r="K718" i="3"/>
  <c r="J718" i="3"/>
  <c r="I718" i="3"/>
  <c r="H718" i="3"/>
  <c r="G718" i="3"/>
  <c r="L717" i="3"/>
  <c r="K717" i="3"/>
  <c r="J717" i="3"/>
  <c r="I717" i="3"/>
  <c r="H717" i="3"/>
  <c r="G717" i="3"/>
  <c r="M743" i="3"/>
  <c r="G683" i="3"/>
  <c r="O716" i="3"/>
  <c r="L716" i="3"/>
  <c r="K716" i="3"/>
  <c r="J716" i="3"/>
  <c r="I716" i="3"/>
  <c r="H716" i="3"/>
  <c r="G716" i="3"/>
  <c r="L715" i="3"/>
  <c r="K715" i="3"/>
  <c r="J715" i="3"/>
  <c r="I715" i="3"/>
  <c r="H715" i="3"/>
  <c r="G715" i="3"/>
  <c r="L714" i="3"/>
  <c r="K714" i="3"/>
  <c r="J714" i="3"/>
  <c r="I714" i="3"/>
  <c r="H714" i="3"/>
  <c r="G714" i="3"/>
  <c r="L713" i="3"/>
  <c r="K713" i="3"/>
  <c r="J713" i="3"/>
  <c r="I713" i="3"/>
  <c r="H713" i="3"/>
  <c r="G713" i="3"/>
  <c r="L712" i="3"/>
  <c r="K712" i="3"/>
  <c r="J712" i="3"/>
  <c r="I712" i="3"/>
  <c r="H712" i="3"/>
  <c r="M712" i="3" s="1"/>
  <c r="G712" i="3"/>
  <c r="L711" i="3"/>
  <c r="K711" i="3"/>
  <c r="J711" i="3"/>
  <c r="I711" i="3"/>
  <c r="H711" i="3"/>
  <c r="G711" i="3"/>
  <c r="L710" i="3"/>
  <c r="K710" i="3"/>
  <c r="J710" i="3"/>
  <c r="I710" i="3"/>
  <c r="H710" i="3"/>
  <c r="G710" i="3"/>
  <c r="L709" i="3"/>
  <c r="K709" i="3"/>
  <c r="J709" i="3"/>
  <c r="I709" i="3"/>
  <c r="H709" i="3"/>
  <c r="G709" i="3"/>
  <c r="L708" i="3"/>
  <c r="K708" i="3"/>
  <c r="J708" i="3"/>
  <c r="I708" i="3"/>
  <c r="H708" i="3"/>
  <c r="G708" i="3"/>
  <c r="L707" i="3"/>
  <c r="K707" i="3"/>
  <c r="J707" i="3"/>
  <c r="I707" i="3"/>
  <c r="H707" i="3"/>
  <c r="G707" i="3"/>
  <c r="L706" i="3"/>
  <c r="K706" i="3"/>
  <c r="J706" i="3"/>
  <c r="I706" i="3"/>
  <c r="H706" i="3"/>
  <c r="G706" i="3"/>
  <c r="L705" i="3"/>
  <c r="K705" i="3"/>
  <c r="J705" i="3"/>
  <c r="I705" i="3"/>
  <c r="H705" i="3"/>
  <c r="G705" i="3"/>
  <c r="L704" i="3"/>
  <c r="K704" i="3"/>
  <c r="J704" i="3"/>
  <c r="I704" i="3"/>
  <c r="H704" i="3"/>
  <c r="G704" i="3"/>
  <c r="L703" i="3"/>
  <c r="K703" i="3"/>
  <c r="J703" i="3"/>
  <c r="I703" i="3"/>
  <c r="H703" i="3"/>
  <c r="G703" i="3"/>
  <c r="L702" i="3"/>
  <c r="K702" i="3"/>
  <c r="J702" i="3"/>
  <c r="I702" i="3"/>
  <c r="H702" i="3"/>
  <c r="G702" i="3"/>
  <c r="L701" i="3"/>
  <c r="K701" i="3"/>
  <c r="J701" i="3"/>
  <c r="I701" i="3"/>
  <c r="H701" i="3"/>
  <c r="G701" i="3"/>
  <c r="L700" i="3"/>
  <c r="K700" i="3"/>
  <c r="J700" i="3"/>
  <c r="I700" i="3"/>
  <c r="H700" i="3"/>
  <c r="G700" i="3"/>
  <c r="L699" i="3"/>
  <c r="K699" i="3"/>
  <c r="J699" i="3"/>
  <c r="I699" i="3"/>
  <c r="H699" i="3"/>
  <c r="G699" i="3"/>
  <c r="L698" i="3"/>
  <c r="K698" i="3"/>
  <c r="J698" i="3"/>
  <c r="I698" i="3"/>
  <c r="H698" i="3"/>
  <c r="G698" i="3"/>
  <c r="L697" i="3"/>
  <c r="K697" i="3"/>
  <c r="J697" i="3"/>
  <c r="I697" i="3"/>
  <c r="H697" i="3"/>
  <c r="G697" i="3"/>
  <c r="L696" i="3"/>
  <c r="K696" i="3"/>
  <c r="J696" i="3"/>
  <c r="I696" i="3"/>
  <c r="H696" i="3"/>
  <c r="G696" i="3"/>
  <c r="L695" i="3"/>
  <c r="K695" i="3"/>
  <c r="J695" i="3"/>
  <c r="I695" i="3"/>
  <c r="H695" i="3"/>
  <c r="G695" i="3"/>
  <c r="L694" i="3"/>
  <c r="K694" i="3"/>
  <c r="J694" i="3"/>
  <c r="I694" i="3"/>
  <c r="H694" i="3"/>
  <c r="G694" i="3"/>
  <c r="L693" i="3"/>
  <c r="K693" i="3"/>
  <c r="J693" i="3"/>
  <c r="I693" i="3"/>
  <c r="H693" i="3"/>
  <c r="G693" i="3"/>
  <c r="L692" i="3"/>
  <c r="K692" i="3"/>
  <c r="J692" i="3"/>
  <c r="I692" i="3"/>
  <c r="H692" i="3"/>
  <c r="M692" i="3" s="1"/>
  <c r="G692" i="3"/>
  <c r="L691" i="3"/>
  <c r="K691" i="3"/>
  <c r="J691" i="3"/>
  <c r="I691" i="3"/>
  <c r="H691" i="3"/>
  <c r="G691" i="3"/>
  <c r="L690" i="3"/>
  <c r="K690" i="3"/>
  <c r="J690" i="3"/>
  <c r="I690" i="3"/>
  <c r="H690" i="3"/>
  <c r="G690" i="3"/>
  <c r="L689" i="3"/>
  <c r="K689" i="3"/>
  <c r="J689" i="3"/>
  <c r="I689" i="3"/>
  <c r="H689" i="3"/>
  <c r="G689" i="3"/>
  <c r="L688" i="3"/>
  <c r="K688" i="3"/>
  <c r="J688" i="3"/>
  <c r="I688" i="3"/>
  <c r="H688" i="3"/>
  <c r="G688" i="3"/>
  <c r="L687" i="3"/>
  <c r="K687" i="3"/>
  <c r="J687" i="3"/>
  <c r="I687" i="3"/>
  <c r="H687" i="3"/>
  <c r="G687" i="3"/>
  <c r="L686" i="3"/>
  <c r="K686" i="3"/>
  <c r="J686" i="3"/>
  <c r="I686" i="3"/>
  <c r="H686" i="3"/>
  <c r="G686" i="3"/>
  <c r="L685" i="3"/>
  <c r="K685" i="3"/>
  <c r="J685" i="3"/>
  <c r="I685" i="3"/>
  <c r="H685" i="3"/>
  <c r="G685" i="3"/>
  <c r="L684" i="3"/>
  <c r="K684" i="3"/>
  <c r="J684" i="3"/>
  <c r="I684" i="3"/>
  <c r="H684" i="3"/>
  <c r="G684" i="3"/>
  <c r="L683" i="3"/>
  <c r="K683" i="3"/>
  <c r="J683" i="3"/>
  <c r="I683" i="3"/>
  <c r="H683" i="3"/>
  <c r="O682" i="3"/>
  <c r="L682" i="3"/>
  <c r="K682" i="3"/>
  <c r="J682" i="3"/>
  <c r="I682" i="3"/>
  <c r="H682" i="3"/>
  <c r="G682" i="3"/>
  <c r="L681" i="3"/>
  <c r="K681" i="3"/>
  <c r="J681" i="3"/>
  <c r="I681" i="3"/>
  <c r="H681" i="3"/>
  <c r="G681" i="3"/>
  <c r="L680" i="3"/>
  <c r="K680" i="3"/>
  <c r="J680" i="3"/>
  <c r="I680" i="3"/>
  <c r="H680" i="3"/>
  <c r="G680" i="3"/>
  <c r="L679" i="3"/>
  <c r="K679" i="3"/>
  <c r="J679" i="3"/>
  <c r="I679" i="3"/>
  <c r="H679" i="3"/>
  <c r="G679" i="3"/>
  <c r="L678" i="3"/>
  <c r="K678" i="3"/>
  <c r="J678" i="3"/>
  <c r="I678" i="3"/>
  <c r="H678" i="3"/>
  <c r="G678" i="3"/>
  <c r="L677" i="3"/>
  <c r="K677" i="3"/>
  <c r="J677" i="3"/>
  <c r="I677" i="3"/>
  <c r="H677" i="3"/>
  <c r="G677" i="3"/>
  <c r="L676" i="3"/>
  <c r="K676" i="3"/>
  <c r="J676" i="3"/>
  <c r="I676" i="3"/>
  <c r="H676" i="3"/>
  <c r="G676" i="3"/>
  <c r="L675" i="3"/>
  <c r="K675" i="3"/>
  <c r="J675" i="3"/>
  <c r="I675" i="3"/>
  <c r="H675" i="3"/>
  <c r="G675" i="3"/>
  <c r="L674" i="3"/>
  <c r="K674" i="3"/>
  <c r="J674" i="3"/>
  <c r="I674" i="3"/>
  <c r="H674" i="3"/>
  <c r="G674" i="3"/>
  <c r="L673" i="3"/>
  <c r="K673" i="3"/>
  <c r="J673" i="3"/>
  <c r="I673" i="3"/>
  <c r="H673" i="3"/>
  <c r="G673" i="3"/>
  <c r="L672" i="3"/>
  <c r="K672" i="3"/>
  <c r="J672" i="3"/>
  <c r="I672" i="3"/>
  <c r="H672" i="3"/>
  <c r="G672" i="3"/>
  <c r="L671" i="3"/>
  <c r="K671" i="3"/>
  <c r="J671" i="3"/>
  <c r="I671" i="3"/>
  <c r="H671" i="3"/>
  <c r="G671" i="3"/>
  <c r="L670" i="3"/>
  <c r="K670" i="3"/>
  <c r="M670" i="3" s="1"/>
  <c r="J670" i="3"/>
  <c r="I670" i="3"/>
  <c r="H670" i="3"/>
  <c r="G670" i="3"/>
  <c r="L669" i="3"/>
  <c r="K669" i="3"/>
  <c r="J669" i="3"/>
  <c r="I669" i="3"/>
  <c r="H669" i="3"/>
  <c r="G669" i="3"/>
  <c r="L668" i="3"/>
  <c r="K668" i="3"/>
  <c r="J668" i="3"/>
  <c r="I668" i="3"/>
  <c r="H668" i="3"/>
  <c r="G668" i="3"/>
  <c r="L667" i="3"/>
  <c r="K667" i="3"/>
  <c r="J667" i="3"/>
  <c r="I667" i="3"/>
  <c r="H667" i="3"/>
  <c r="M667" i="3" s="1"/>
  <c r="G667" i="3"/>
  <c r="L666" i="3"/>
  <c r="K666" i="3"/>
  <c r="J666" i="3"/>
  <c r="I666" i="3"/>
  <c r="H666" i="3"/>
  <c r="G666" i="3"/>
  <c r="L665" i="3"/>
  <c r="K665" i="3"/>
  <c r="J665" i="3"/>
  <c r="I665" i="3"/>
  <c r="H665" i="3"/>
  <c r="G665" i="3"/>
  <c r="L664" i="3"/>
  <c r="K664" i="3"/>
  <c r="J664" i="3"/>
  <c r="I664" i="3"/>
  <c r="H664" i="3"/>
  <c r="G664" i="3"/>
  <c r="L663" i="3"/>
  <c r="K663" i="3"/>
  <c r="J663" i="3"/>
  <c r="I663" i="3"/>
  <c r="H663" i="3"/>
  <c r="M663" i="3" s="1"/>
  <c r="G663" i="3"/>
  <c r="L662" i="3"/>
  <c r="K662" i="3"/>
  <c r="J662" i="3"/>
  <c r="I662" i="3"/>
  <c r="H662" i="3"/>
  <c r="G662" i="3"/>
  <c r="L661" i="3"/>
  <c r="K661" i="3"/>
  <c r="J661" i="3"/>
  <c r="I661" i="3"/>
  <c r="H661" i="3"/>
  <c r="G661" i="3"/>
  <c r="L660" i="3"/>
  <c r="K660" i="3"/>
  <c r="J660" i="3"/>
  <c r="I660" i="3"/>
  <c r="H660" i="3"/>
  <c r="G660" i="3"/>
  <c r="L659" i="3"/>
  <c r="K659" i="3"/>
  <c r="J659" i="3"/>
  <c r="I659" i="3"/>
  <c r="H659" i="3"/>
  <c r="G659" i="3"/>
  <c r="L658" i="3"/>
  <c r="K658" i="3"/>
  <c r="J658" i="3"/>
  <c r="I658" i="3"/>
  <c r="H658" i="3"/>
  <c r="G658" i="3"/>
  <c r="L657" i="3"/>
  <c r="K657" i="3"/>
  <c r="J657" i="3"/>
  <c r="I657" i="3"/>
  <c r="H657" i="3"/>
  <c r="G657" i="3"/>
  <c r="L656" i="3"/>
  <c r="K656" i="3"/>
  <c r="J656" i="3"/>
  <c r="I656" i="3"/>
  <c r="H656" i="3"/>
  <c r="G656" i="3"/>
  <c r="L655" i="3"/>
  <c r="K655" i="3"/>
  <c r="J655" i="3"/>
  <c r="I655" i="3"/>
  <c r="H655" i="3"/>
  <c r="G655" i="3"/>
  <c r="L654" i="3"/>
  <c r="K654" i="3"/>
  <c r="J654" i="3"/>
  <c r="I654" i="3"/>
  <c r="H654" i="3"/>
  <c r="G654" i="3"/>
  <c r="M654" i="3" s="1"/>
  <c r="L653" i="3"/>
  <c r="K653" i="3"/>
  <c r="J653" i="3"/>
  <c r="I653" i="3"/>
  <c r="H653" i="3"/>
  <c r="G653" i="3"/>
  <c r="L652" i="3"/>
  <c r="K652" i="3"/>
  <c r="J652" i="3"/>
  <c r="I652" i="3"/>
  <c r="H652" i="3"/>
  <c r="G652" i="3"/>
  <c r="L651" i="3"/>
  <c r="K651" i="3"/>
  <c r="J651" i="3"/>
  <c r="I651" i="3"/>
  <c r="H651" i="3"/>
  <c r="G651" i="3"/>
  <c r="L650" i="3"/>
  <c r="K650" i="3"/>
  <c r="J650" i="3"/>
  <c r="I650" i="3"/>
  <c r="H650" i="3"/>
  <c r="G650" i="3"/>
  <c r="L649" i="3"/>
  <c r="K649" i="3"/>
  <c r="J649" i="3"/>
  <c r="I649" i="3"/>
  <c r="H649" i="3"/>
  <c r="G649" i="3"/>
  <c r="O648" i="3"/>
  <c r="L648" i="3"/>
  <c r="K648" i="3"/>
  <c r="J648" i="3"/>
  <c r="I648" i="3"/>
  <c r="H648" i="3"/>
  <c r="G648" i="3"/>
  <c r="M648" i="3" s="1"/>
  <c r="L647" i="3"/>
  <c r="K647" i="3"/>
  <c r="J647" i="3"/>
  <c r="I647" i="3"/>
  <c r="H647" i="3"/>
  <c r="G647" i="3"/>
  <c r="L646" i="3"/>
  <c r="K646" i="3"/>
  <c r="J646" i="3"/>
  <c r="I646" i="3"/>
  <c r="H646" i="3"/>
  <c r="G646" i="3"/>
  <c r="L645" i="3"/>
  <c r="K645" i="3"/>
  <c r="J645" i="3"/>
  <c r="I645" i="3"/>
  <c r="H645" i="3"/>
  <c r="G645" i="3"/>
  <c r="L644" i="3"/>
  <c r="K644" i="3"/>
  <c r="J644" i="3"/>
  <c r="I644" i="3"/>
  <c r="H644" i="3"/>
  <c r="G644" i="3"/>
  <c r="M644" i="3" s="1"/>
  <c r="L643" i="3"/>
  <c r="K643" i="3"/>
  <c r="J643" i="3"/>
  <c r="I643" i="3"/>
  <c r="H643" i="3"/>
  <c r="G643" i="3"/>
  <c r="L642" i="3"/>
  <c r="K642" i="3"/>
  <c r="J642" i="3"/>
  <c r="I642" i="3"/>
  <c r="H642" i="3"/>
  <c r="G642" i="3"/>
  <c r="L641" i="3"/>
  <c r="K641" i="3"/>
  <c r="J641" i="3"/>
  <c r="I641" i="3"/>
  <c r="M641" i="3" s="1"/>
  <c r="H641" i="3"/>
  <c r="G641" i="3"/>
  <c r="L640" i="3"/>
  <c r="K640" i="3"/>
  <c r="J640" i="3"/>
  <c r="I640" i="3"/>
  <c r="H640" i="3"/>
  <c r="G640" i="3"/>
  <c r="L639" i="3"/>
  <c r="K639" i="3"/>
  <c r="J639" i="3"/>
  <c r="M639" i="3" s="1"/>
  <c r="I639" i="3"/>
  <c r="H639" i="3"/>
  <c r="G639" i="3"/>
  <c r="L638" i="3"/>
  <c r="K638" i="3"/>
  <c r="J638" i="3"/>
  <c r="I638" i="3"/>
  <c r="H638" i="3"/>
  <c r="G638" i="3"/>
  <c r="L637" i="3"/>
  <c r="K637" i="3"/>
  <c r="J637" i="3"/>
  <c r="I637" i="3"/>
  <c r="H637" i="3"/>
  <c r="G637" i="3"/>
  <c r="L636" i="3"/>
  <c r="K636" i="3"/>
  <c r="J636" i="3"/>
  <c r="I636" i="3"/>
  <c r="H636" i="3"/>
  <c r="G636" i="3"/>
  <c r="L635" i="3"/>
  <c r="K635" i="3"/>
  <c r="J635" i="3"/>
  <c r="I635" i="3"/>
  <c r="H635" i="3"/>
  <c r="G635" i="3"/>
  <c r="L634" i="3"/>
  <c r="K634" i="3"/>
  <c r="J634" i="3"/>
  <c r="I634" i="3"/>
  <c r="H634" i="3"/>
  <c r="G634" i="3"/>
  <c r="L633" i="3"/>
  <c r="K633" i="3"/>
  <c r="J633" i="3"/>
  <c r="I633" i="3"/>
  <c r="M633" i="3" s="1"/>
  <c r="H633" i="3"/>
  <c r="G633" i="3"/>
  <c r="L632" i="3"/>
  <c r="K632" i="3"/>
  <c r="J632" i="3"/>
  <c r="I632" i="3"/>
  <c r="H632" i="3"/>
  <c r="G632" i="3"/>
  <c r="L631" i="3"/>
  <c r="K631" i="3"/>
  <c r="J631" i="3"/>
  <c r="I631" i="3"/>
  <c r="H631" i="3"/>
  <c r="G631" i="3"/>
  <c r="L630" i="3"/>
  <c r="K630" i="3"/>
  <c r="J630" i="3"/>
  <c r="I630" i="3"/>
  <c r="H630" i="3"/>
  <c r="G630" i="3"/>
  <c r="L629" i="3"/>
  <c r="K629" i="3"/>
  <c r="J629" i="3"/>
  <c r="I629" i="3"/>
  <c r="H629" i="3"/>
  <c r="G629" i="3"/>
  <c r="L628" i="3"/>
  <c r="K628" i="3"/>
  <c r="J628" i="3"/>
  <c r="I628" i="3"/>
  <c r="H628" i="3"/>
  <c r="G628" i="3"/>
  <c r="L627" i="3"/>
  <c r="K627" i="3"/>
  <c r="J627" i="3"/>
  <c r="I627" i="3"/>
  <c r="H627" i="3"/>
  <c r="G627" i="3"/>
  <c r="L626" i="3"/>
  <c r="K626" i="3"/>
  <c r="J626" i="3"/>
  <c r="I626" i="3"/>
  <c r="H626" i="3"/>
  <c r="G626" i="3"/>
  <c r="L625" i="3"/>
  <c r="K625" i="3"/>
  <c r="J625" i="3"/>
  <c r="I625" i="3"/>
  <c r="H625" i="3"/>
  <c r="G625" i="3"/>
  <c r="L624" i="3"/>
  <c r="K624" i="3"/>
  <c r="J624" i="3"/>
  <c r="I624" i="3"/>
  <c r="H624" i="3"/>
  <c r="G624" i="3"/>
  <c r="L623" i="3"/>
  <c r="K623" i="3"/>
  <c r="J623" i="3"/>
  <c r="I623" i="3"/>
  <c r="H623" i="3"/>
  <c r="G623" i="3"/>
  <c r="L622" i="3"/>
  <c r="K622" i="3"/>
  <c r="J622" i="3"/>
  <c r="I622" i="3"/>
  <c r="H622" i="3"/>
  <c r="G622" i="3"/>
  <c r="L621" i="3"/>
  <c r="K621" i="3"/>
  <c r="J621" i="3"/>
  <c r="I621" i="3"/>
  <c r="M621" i="3" s="1"/>
  <c r="H621" i="3"/>
  <c r="G621" i="3"/>
  <c r="L620" i="3"/>
  <c r="K620" i="3"/>
  <c r="J620" i="3"/>
  <c r="I620" i="3"/>
  <c r="H620" i="3"/>
  <c r="G620" i="3"/>
  <c r="L619" i="3"/>
  <c r="K619" i="3"/>
  <c r="J619" i="3"/>
  <c r="I619" i="3"/>
  <c r="H619" i="3"/>
  <c r="G619" i="3"/>
  <c r="L618" i="3"/>
  <c r="K618" i="3"/>
  <c r="J618" i="3"/>
  <c r="I618" i="3"/>
  <c r="H618" i="3"/>
  <c r="G618" i="3"/>
  <c r="L617" i="3"/>
  <c r="K617" i="3"/>
  <c r="J617" i="3"/>
  <c r="I617" i="3"/>
  <c r="H617" i="3"/>
  <c r="G617" i="3"/>
  <c r="L616" i="3"/>
  <c r="K616" i="3"/>
  <c r="J616" i="3"/>
  <c r="I616" i="3"/>
  <c r="H616" i="3"/>
  <c r="G616" i="3"/>
  <c r="L615" i="3"/>
  <c r="K615" i="3"/>
  <c r="J615" i="3"/>
  <c r="I615" i="3"/>
  <c r="H615" i="3"/>
  <c r="G615" i="3"/>
  <c r="M647" i="3"/>
  <c r="O614" i="3"/>
  <c r="L614" i="3"/>
  <c r="K614" i="3"/>
  <c r="J614" i="3"/>
  <c r="I614" i="3"/>
  <c r="H614" i="3"/>
  <c r="G614" i="3"/>
  <c r="L613" i="3"/>
  <c r="K613" i="3"/>
  <c r="J613" i="3"/>
  <c r="M613" i="3" s="1"/>
  <c r="I613" i="3"/>
  <c r="H613" i="3"/>
  <c r="G613" i="3"/>
  <c r="L612" i="3"/>
  <c r="K612" i="3"/>
  <c r="J612" i="3"/>
  <c r="I612" i="3"/>
  <c r="H612" i="3"/>
  <c r="G612" i="3"/>
  <c r="L611" i="3"/>
  <c r="K611" i="3"/>
  <c r="J611" i="3"/>
  <c r="I611" i="3"/>
  <c r="H611" i="3"/>
  <c r="G611" i="3"/>
  <c r="L610" i="3"/>
  <c r="K610" i="3"/>
  <c r="J610" i="3"/>
  <c r="I610" i="3"/>
  <c r="H610" i="3"/>
  <c r="G610" i="3"/>
  <c r="L609" i="3"/>
  <c r="K609" i="3"/>
  <c r="J609" i="3"/>
  <c r="I609" i="3"/>
  <c r="H609" i="3"/>
  <c r="G609" i="3"/>
  <c r="L608" i="3"/>
  <c r="K608" i="3"/>
  <c r="J608" i="3"/>
  <c r="I608" i="3"/>
  <c r="H608" i="3"/>
  <c r="G608" i="3"/>
  <c r="L607" i="3"/>
  <c r="K607" i="3"/>
  <c r="J607" i="3"/>
  <c r="I607" i="3"/>
  <c r="H607" i="3"/>
  <c r="G607" i="3"/>
  <c r="L606" i="3"/>
  <c r="K606" i="3"/>
  <c r="J606" i="3"/>
  <c r="I606" i="3"/>
  <c r="H606" i="3"/>
  <c r="G606" i="3"/>
  <c r="L605" i="3"/>
  <c r="K605" i="3"/>
  <c r="J605" i="3"/>
  <c r="I605" i="3"/>
  <c r="M605" i="3" s="1"/>
  <c r="H605" i="3"/>
  <c r="G605" i="3"/>
  <c r="L604" i="3"/>
  <c r="K604" i="3"/>
  <c r="J604" i="3"/>
  <c r="I604" i="3"/>
  <c r="H604" i="3"/>
  <c r="G604" i="3"/>
  <c r="L603" i="3"/>
  <c r="K603" i="3"/>
  <c r="J603" i="3"/>
  <c r="I603" i="3"/>
  <c r="H603" i="3"/>
  <c r="G603" i="3"/>
  <c r="L602" i="3"/>
  <c r="K602" i="3"/>
  <c r="J602" i="3"/>
  <c r="I602" i="3"/>
  <c r="H602" i="3"/>
  <c r="G602" i="3"/>
  <c r="L601" i="3"/>
  <c r="K601" i="3"/>
  <c r="J601" i="3"/>
  <c r="I601" i="3"/>
  <c r="H601" i="3"/>
  <c r="G601" i="3"/>
  <c r="L600" i="3"/>
  <c r="K600" i="3"/>
  <c r="J600" i="3"/>
  <c r="I600" i="3"/>
  <c r="H600" i="3"/>
  <c r="G600" i="3"/>
  <c r="L599" i="3"/>
  <c r="K599" i="3"/>
  <c r="J599" i="3"/>
  <c r="I599" i="3"/>
  <c r="H599" i="3"/>
  <c r="G599" i="3"/>
  <c r="L598" i="3"/>
  <c r="K598" i="3"/>
  <c r="J598" i="3"/>
  <c r="I598" i="3"/>
  <c r="H598" i="3"/>
  <c r="G598" i="3"/>
  <c r="L597" i="3"/>
  <c r="K597" i="3"/>
  <c r="J597" i="3"/>
  <c r="I597" i="3"/>
  <c r="H597" i="3"/>
  <c r="G597" i="3"/>
  <c r="L596" i="3"/>
  <c r="K596" i="3"/>
  <c r="J596" i="3"/>
  <c r="I596" i="3"/>
  <c r="H596" i="3"/>
  <c r="G596" i="3"/>
  <c r="L595" i="3"/>
  <c r="K595" i="3"/>
  <c r="J595" i="3"/>
  <c r="I595" i="3"/>
  <c r="H595" i="3"/>
  <c r="G595" i="3"/>
  <c r="L594" i="3"/>
  <c r="K594" i="3"/>
  <c r="J594" i="3"/>
  <c r="I594" i="3"/>
  <c r="H594" i="3"/>
  <c r="G594" i="3"/>
  <c r="L593" i="3"/>
  <c r="K593" i="3"/>
  <c r="J593" i="3"/>
  <c r="I593" i="3"/>
  <c r="H593" i="3"/>
  <c r="G593" i="3"/>
  <c r="L592" i="3"/>
  <c r="K592" i="3"/>
  <c r="J592" i="3"/>
  <c r="I592" i="3"/>
  <c r="H592" i="3"/>
  <c r="G592" i="3"/>
  <c r="L591" i="3"/>
  <c r="K591" i="3"/>
  <c r="J591" i="3"/>
  <c r="I591" i="3"/>
  <c r="H591" i="3"/>
  <c r="G591" i="3"/>
  <c r="L590" i="3"/>
  <c r="K590" i="3"/>
  <c r="J590" i="3"/>
  <c r="I590" i="3"/>
  <c r="H590" i="3"/>
  <c r="G590" i="3"/>
  <c r="L589" i="3"/>
  <c r="K589" i="3"/>
  <c r="J589" i="3"/>
  <c r="I589" i="3"/>
  <c r="H589" i="3"/>
  <c r="G589" i="3"/>
  <c r="L588" i="3"/>
  <c r="K588" i="3"/>
  <c r="J588" i="3"/>
  <c r="I588" i="3"/>
  <c r="H588" i="3"/>
  <c r="G588" i="3"/>
  <c r="L587" i="3"/>
  <c r="K587" i="3"/>
  <c r="J587" i="3"/>
  <c r="I587" i="3"/>
  <c r="H587" i="3"/>
  <c r="G587" i="3"/>
  <c r="L586" i="3"/>
  <c r="K586" i="3"/>
  <c r="J586" i="3"/>
  <c r="I586" i="3"/>
  <c r="H586" i="3"/>
  <c r="G586" i="3"/>
  <c r="L585" i="3"/>
  <c r="K585" i="3"/>
  <c r="J585" i="3"/>
  <c r="I585" i="3"/>
  <c r="H585" i="3"/>
  <c r="G585" i="3"/>
  <c r="L584" i="3"/>
  <c r="K584" i="3"/>
  <c r="J584" i="3"/>
  <c r="I584" i="3"/>
  <c r="H584" i="3"/>
  <c r="G584" i="3"/>
  <c r="L583" i="3"/>
  <c r="K583" i="3"/>
  <c r="J583" i="3"/>
  <c r="I583" i="3"/>
  <c r="H583" i="3"/>
  <c r="G583" i="3"/>
  <c r="L582" i="3"/>
  <c r="K582" i="3"/>
  <c r="J582" i="3"/>
  <c r="I582" i="3"/>
  <c r="H582" i="3"/>
  <c r="G582" i="3"/>
  <c r="L581" i="3"/>
  <c r="K581" i="3"/>
  <c r="J581" i="3"/>
  <c r="I581" i="3"/>
  <c r="H581" i="3"/>
  <c r="G581" i="3"/>
  <c r="M614" i="3"/>
  <c r="M594" i="3"/>
  <c r="O580" i="3"/>
  <c r="L580" i="3"/>
  <c r="K580" i="3"/>
  <c r="J580" i="3"/>
  <c r="I580" i="3"/>
  <c r="H580" i="3"/>
  <c r="G580" i="3"/>
  <c r="L579" i="3"/>
  <c r="K579" i="3"/>
  <c r="J579" i="3"/>
  <c r="I579" i="3"/>
  <c r="H579" i="3"/>
  <c r="G579" i="3"/>
  <c r="L578" i="3"/>
  <c r="K578" i="3"/>
  <c r="J578" i="3"/>
  <c r="I578" i="3"/>
  <c r="H578" i="3"/>
  <c r="G578" i="3"/>
  <c r="L577" i="3"/>
  <c r="K577" i="3"/>
  <c r="J577" i="3"/>
  <c r="I577" i="3"/>
  <c r="H577" i="3"/>
  <c r="G577" i="3"/>
  <c r="L576" i="3"/>
  <c r="K576" i="3"/>
  <c r="J576" i="3"/>
  <c r="I576" i="3"/>
  <c r="H576" i="3"/>
  <c r="G576" i="3"/>
  <c r="L575" i="3"/>
  <c r="K575" i="3"/>
  <c r="J575" i="3"/>
  <c r="I575" i="3"/>
  <c r="H575" i="3"/>
  <c r="G575" i="3"/>
  <c r="L574" i="3"/>
  <c r="K574" i="3"/>
  <c r="J574" i="3"/>
  <c r="I574" i="3"/>
  <c r="H574" i="3"/>
  <c r="G574" i="3"/>
  <c r="L573" i="3"/>
  <c r="K573" i="3"/>
  <c r="J573" i="3"/>
  <c r="I573" i="3"/>
  <c r="H573" i="3"/>
  <c r="G573" i="3"/>
  <c r="L572" i="3"/>
  <c r="M572" i="3" s="1"/>
  <c r="K572" i="3"/>
  <c r="J572" i="3"/>
  <c r="I572" i="3"/>
  <c r="H572" i="3"/>
  <c r="G572" i="3"/>
  <c r="L571" i="3"/>
  <c r="K571" i="3"/>
  <c r="J571" i="3"/>
  <c r="I571" i="3"/>
  <c r="H571" i="3"/>
  <c r="G571" i="3"/>
  <c r="L570" i="3"/>
  <c r="K570" i="3"/>
  <c r="J570" i="3"/>
  <c r="I570" i="3"/>
  <c r="H570" i="3"/>
  <c r="G570" i="3"/>
  <c r="L569" i="3"/>
  <c r="K569" i="3"/>
  <c r="J569" i="3"/>
  <c r="I569" i="3"/>
  <c r="H569" i="3"/>
  <c r="G569" i="3"/>
  <c r="L568" i="3"/>
  <c r="K568" i="3"/>
  <c r="J568" i="3"/>
  <c r="I568" i="3"/>
  <c r="H568" i="3"/>
  <c r="M568" i="3" s="1"/>
  <c r="G568" i="3"/>
  <c r="L567" i="3"/>
  <c r="K567" i="3"/>
  <c r="J567" i="3"/>
  <c r="I567" i="3"/>
  <c r="H567" i="3"/>
  <c r="G567" i="3"/>
  <c r="L566" i="3"/>
  <c r="K566" i="3"/>
  <c r="J566" i="3"/>
  <c r="I566" i="3"/>
  <c r="H566" i="3"/>
  <c r="G566" i="3"/>
  <c r="L565" i="3"/>
  <c r="K565" i="3"/>
  <c r="J565" i="3"/>
  <c r="I565" i="3"/>
  <c r="H565" i="3"/>
  <c r="G565" i="3"/>
  <c r="L564" i="3"/>
  <c r="K564" i="3"/>
  <c r="J564" i="3"/>
  <c r="I564" i="3"/>
  <c r="H564" i="3"/>
  <c r="G564" i="3"/>
  <c r="L563" i="3"/>
  <c r="K563" i="3"/>
  <c r="J563" i="3"/>
  <c r="I563" i="3"/>
  <c r="H563" i="3"/>
  <c r="G563" i="3"/>
  <c r="L562" i="3"/>
  <c r="K562" i="3"/>
  <c r="J562" i="3"/>
  <c r="I562" i="3"/>
  <c r="H562" i="3"/>
  <c r="G562" i="3"/>
  <c r="L561" i="3"/>
  <c r="K561" i="3"/>
  <c r="J561" i="3"/>
  <c r="I561" i="3"/>
  <c r="H561" i="3"/>
  <c r="G561" i="3"/>
  <c r="L560" i="3"/>
  <c r="M560" i="3" s="1"/>
  <c r="K560" i="3"/>
  <c r="J560" i="3"/>
  <c r="I560" i="3"/>
  <c r="H560" i="3"/>
  <c r="G560" i="3"/>
  <c r="L559" i="3"/>
  <c r="K559" i="3"/>
  <c r="J559" i="3"/>
  <c r="I559" i="3"/>
  <c r="H559" i="3"/>
  <c r="G559" i="3"/>
  <c r="L558" i="3"/>
  <c r="K558" i="3"/>
  <c r="J558" i="3"/>
  <c r="I558" i="3"/>
  <c r="H558" i="3"/>
  <c r="G558" i="3"/>
  <c r="L557" i="3"/>
  <c r="K557" i="3"/>
  <c r="J557" i="3"/>
  <c r="I557" i="3"/>
  <c r="H557" i="3"/>
  <c r="G557" i="3"/>
  <c r="L556" i="3"/>
  <c r="K556" i="3"/>
  <c r="J556" i="3"/>
  <c r="I556" i="3"/>
  <c r="H556" i="3"/>
  <c r="G556" i="3"/>
  <c r="L555" i="3"/>
  <c r="K555" i="3"/>
  <c r="J555" i="3"/>
  <c r="I555" i="3"/>
  <c r="H555" i="3"/>
  <c r="G555" i="3"/>
  <c r="L554" i="3"/>
  <c r="K554" i="3"/>
  <c r="J554" i="3"/>
  <c r="I554" i="3"/>
  <c r="H554" i="3"/>
  <c r="G554" i="3"/>
  <c r="L553" i="3"/>
  <c r="K553" i="3"/>
  <c r="J553" i="3"/>
  <c r="I553" i="3"/>
  <c r="H553" i="3"/>
  <c r="G553" i="3"/>
  <c r="L552" i="3"/>
  <c r="M552" i="3" s="1"/>
  <c r="K552" i="3"/>
  <c r="J552" i="3"/>
  <c r="I552" i="3"/>
  <c r="H552" i="3"/>
  <c r="G552" i="3"/>
  <c r="L551" i="3"/>
  <c r="K551" i="3"/>
  <c r="J551" i="3"/>
  <c r="I551" i="3"/>
  <c r="H551" i="3"/>
  <c r="G551" i="3"/>
  <c r="L550" i="3"/>
  <c r="K550" i="3"/>
  <c r="J550" i="3"/>
  <c r="I550" i="3"/>
  <c r="H550" i="3"/>
  <c r="G550" i="3"/>
  <c r="L549" i="3"/>
  <c r="K549" i="3"/>
  <c r="J549" i="3"/>
  <c r="I549" i="3"/>
  <c r="H549" i="3"/>
  <c r="G549" i="3"/>
  <c r="M549" i="3" s="1"/>
  <c r="L548" i="3"/>
  <c r="M548" i="3" s="1"/>
  <c r="K548" i="3"/>
  <c r="J548" i="3"/>
  <c r="I548" i="3"/>
  <c r="H548" i="3"/>
  <c r="G548" i="3"/>
  <c r="L547" i="3"/>
  <c r="K547" i="3"/>
  <c r="J547" i="3"/>
  <c r="I547" i="3"/>
  <c r="H547" i="3"/>
  <c r="G547" i="3"/>
  <c r="M580" i="3"/>
  <c r="M564" i="3"/>
  <c r="O546" i="3"/>
  <c r="L546" i="3"/>
  <c r="K546" i="3"/>
  <c r="J546" i="3"/>
  <c r="I546" i="3"/>
  <c r="H546" i="3"/>
  <c r="G546" i="3"/>
  <c r="L545" i="3"/>
  <c r="K545" i="3"/>
  <c r="J545" i="3"/>
  <c r="I545" i="3"/>
  <c r="H545" i="3"/>
  <c r="G545" i="3"/>
  <c r="L544" i="3"/>
  <c r="K544" i="3"/>
  <c r="J544" i="3"/>
  <c r="I544" i="3"/>
  <c r="H544" i="3"/>
  <c r="G544" i="3"/>
  <c r="L543" i="3"/>
  <c r="K543" i="3"/>
  <c r="J543" i="3"/>
  <c r="I543" i="3"/>
  <c r="H543" i="3"/>
  <c r="G543" i="3"/>
  <c r="M543" i="3" s="1"/>
  <c r="L542" i="3"/>
  <c r="K542" i="3"/>
  <c r="J542" i="3"/>
  <c r="I542" i="3"/>
  <c r="H542" i="3"/>
  <c r="G542" i="3"/>
  <c r="L541" i="3"/>
  <c r="K541" i="3"/>
  <c r="J541" i="3"/>
  <c r="I541" i="3"/>
  <c r="H541" i="3"/>
  <c r="G541" i="3"/>
  <c r="L540" i="3"/>
  <c r="K540" i="3"/>
  <c r="J540" i="3"/>
  <c r="I540" i="3"/>
  <c r="H540" i="3"/>
  <c r="G540" i="3"/>
  <c r="L539" i="3"/>
  <c r="K539" i="3"/>
  <c r="J539" i="3"/>
  <c r="I539" i="3"/>
  <c r="H539" i="3"/>
  <c r="G539" i="3"/>
  <c r="M539" i="3" s="1"/>
  <c r="L538" i="3"/>
  <c r="K538" i="3"/>
  <c r="J538" i="3"/>
  <c r="I538" i="3"/>
  <c r="H538" i="3"/>
  <c r="M538" i="3" s="1"/>
  <c r="G538" i="3"/>
  <c r="L537" i="3"/>
  <c r="K537" i="3"/>
  <c r="J537" i="3"/>
  <c r="I537" i="3"/>
  <c r="H537" i="3"/>
  <c r="G537" i="3"/>
  <c r="L536" i="3"/>
  <c r="K536" i="3"/>
  <c r="J536" i="3"/>
  <c r="I536" i="3"/>
  <c r="H536" i="3"/>
  <c r="G536" i="3"/>
  <c r="L535" i="3"/>
  <c r="K535" i="3"/>
  <c r="J535" i="3"/>
  <c r="I535" i="3"/>
  <c r="H535" i="3"/>
  <c r="G535" i="3"/>
  <c r="M535" i="3" s="1"/>
  <c r="L534" i="3"/>
  <c r="K534" i="3"/>
  <c r="J534" i="3"/>
  <c r="I534" i="3"/>
  <c r="H534" i="3"/>
  <c r="G534" i="3"/>
  <c r="L533" i="3"/>
  <c r="K533" i="3"/>
  <c r="J533" i="3"/>
  <c r="I533" i="3"/>
  <c r="H533" i="3"/>
  <c r="G533" i="3"/>
  <c r="L532" i="3"/>
  <c r="K532" i="3"/>
  <c r="J532" i="3"/>
  <c r="I532" i="3"/>
  <c r="H532" i="3"/>
  <c r="G532" i="3"/>
  <c r="L531" i="3"/>
  <c r="K531" i="3"/>
  <c r="J531" i="3"/>
  <c r="I531" i="3"/>
  <c r="H531" i="3"/>
  <c r="G531" i="3"/>
  <c r="L530" i="3"/>
  <c r="K530" i="3"/>
  <c r="J530" i="3"/>
  <c r="I530" i="3"/>
  <c r="H530" i="3"/>
  <c r="G530" i="3"/>
  <c r="L529" i="3"/>
  <c r="K529" i="3"/>
  <c r="J529" i="3"/>
  <c r="I529" i="3"/>
  <c r="H529" i="3"/>
  <c r="G529" i="3"/>
  <c r="L528" i="3"/>
  <c r="K528" i="3"/>
  <c r="J528" i="3"/>
  <c r="I528" i="3"/>
  <c r="H528" i="3"/>
  <c r="G528" i="3"/>
  <c r="L527" i="3"/>
  <c r="K527" i="3"/>
  <c r="J527" i="3"/>
  <c r="I527" i="3"/>
  <c r="H527" i="3"/>
  <c r="G527" i="3"/>
  <c r="M527" i="3" s="1"/>
  <c r="L526" i="3"/>
  <c r="K526" i="3"/>
  <c r="J526" i="3"/>
  <c r="I526" i="3"/>
  <c r="H526" i="3"/>
  <c r="M526" i="3" s="1"/>
  <c r="G526" i="3"/>
  <c r="L525" i="3"/>
  <c r="K525" i="3"/>
  <c r="J525" i="3"/>
  <c r="I525" i="3"/>
  <c r="H525" i="3"/>
  <c r="G525" i="3"/>
  <c r="L524" i="3"/>
  <c r="K524" i="3"/>
  <c r="J524" i="3"/>
  <c r="I524" i="3"/>
  <c r="H524" i="3"/>
  <c r="G524" i="3"/>
  <c r="L523" i="3"/>
  <c r="K523" i="3"/>
  <c r="J523" i="3"/>
  <c r="I523" i="3"/>
  <c r="H523" i="3"/>
  <c r="G523" i="3"/>
  <c r="L522" i="3"/>
  <c r="K522" i="3"/>
  <c r="J522" i="3"/>
  <c r="I522" i="3"/>
  <c r="H522" i="3"/>
  <c r="G522" i="3"/>
  <c r="L521" i="3"/>
  <c r="K521" i="3"/>
  <c r="J521" i="3"/>
  <c r="I521" i="3"/>
  <c r="H521" i="3"/>
  <c r="G521" i="3"/>
  <c r="L520" i="3"/>
  <c r="K520" i="3"/>
  <c r="J520" i="3"/>
  <c r="I520" i="3"/>
  <c r="H520" i="3"/>
  <c r="G520" i="3"/>
  <c r="L519" i="3"/>
  <c r="K519" i="3"/>
  <c r="J519" i="3"/>
  <c r="I519" i="3"/>
  <c r="H519" i="3"/>
  <c r="G519" i="3"/>
  <c r="L518" i="3"/>
  <c r="K518" i="3"/>
  <c r="J518" i="3"/>
  <c r="I518" i="3"/>
  <c r="H518" i="3"/>
  <c r="G518" i="3"/>
  <c r="L517" i="3"/>
  <c r="K517" i="3"/>
  <c r="J517" i="3"/>
  <c r="M517" i="3" s="1"/>
  <c r="I517" i="3"/>
  <c r="H517" i="3"/>
  <c r="G517" i="3"/>
  <c r="L516" i="3"/>
  <c r="K516" i="3"/>
  <c r="J516" i="3"/>
  <c r="I516" i="3"/>
  <c r="H516" i="3"/>
  <c r="M516" i="3" s="1"/>
  <c r="G516" i="3"/>
  <c r="L515" i="3"/>
  <c r="K515" i="3"/>
  <c r="J515" i="3"/>
  <c r="I515" i="3"/>
  <c r="H515" i="3"/>
  <c r="G515" i="3"/>
  <c r="M515" i="3" s="1"/>
  <c r="L514" i="3"/>
  <c r="K514" i="3"/>
  <c r="J514" i="3"/>
  <c r="I514" i="3"/>
  <c r="H514" i="3"/>
  <c r="G514" i="3"/>
  <c r="L513" i="3"/>
  <c r="K513" i="3"/>
  <c r="J513" i="3"/>
  <c r="I513" i="3"/>
  <c r="H513" i="3"/>
  <c r="G513" i="3"/>
  <c r="M546" i="3"/>
  <c r="M542" i="3"/>
  <c r="M541" i="3"/>
  <c r="O512" i="3"/>
  <c r="L512" i="3"/>
  <c r="M512" i="3" s="1"/>
  <c r="K512" i="3"/>
  <c r="J512" i="3"/>
  <c r="I512" i="3"/>
  <c r="H512" i="3"/>
  <c r="G512" i="3"/>
  <c r="L511" i="3"/>
  <c r="K511" i="3"/>
  <c r="J511" i="3"/>
  <c r="I511" i="3"/>
  <c r="H511" i="3"/>
  <c r="G511" i="3"/>
  <c r="L510" i="3"/>
  <c r="K510" i="3"/>
  <c r="J510" i="3"/>
  <c r="I510" i="3"/>
  <c r="H510" i="3"/>
  <c r="M510" i="3" s="1"/>
  <c r="G510" i="3"/>
  <c r="L509" i="3"/>
  <c r="K509" i="3"/>
  <c r="J509" i="3"/>
  <c r="I509" i="3"/>
  <c r="H509" i="3"/>
  <c r="G509" i="3"/>
  <c r="M509" i="3" s="1"/>
  <c r="L508" i="3"/>
  <c r="K508" i="3"/>
  <c r="J508" i="3"/>
  <c r="I508" i="3"/>
  <c r="H508" i="3"/>
  <c r="G508" i="3"/>
  <c r="L507" i="3"/>
  <c r="K507" i="3"/>
  <c r="J507" i="3"/>
  <c r="I507" i="3"/>
  <c r="H507" i="3"/>
  <c r="G507" i="3"/>
  <c r="L506" i="3"/>
  <c r="K506" i="3"/>
  <c r="J506" i="3"/>
  <c r="I506" i="3"/>
  <c r="H506" i="3"/>
  <c r="G506" i="3"/>
  <c r="L505" i="3"/>
  <c r="K505" i="3"/>
  <c r="J505" i="3"/>
  <c r="I505" i="3"/>
  <c r="H505" i="3"/>
  <c r="G505" i="3"/>
  <c r="M505" i="3" s="1"/>
  <c r="L504" i="3"/>
  <c r="K504" i="3"/>
  <c r="J504" i="3"/>
  <c r="I504" i="3"/>
  <c r="H504" i="3"/>
  <c r="G504" i="3"/>
  <c r="M504" i="3" s="1"/>
  <c r="L503" i="3"/>
  <c r="K503" i="3"/>
  <c r="J503" i="3"/>
  <c r="I503" i="3"/>
  <c r="H503" i="3"/>
  <c r="G503" i="3"/>
  <c r="L502" i="3"/>
  <c r="K502" i="3"/>
  <c r="J502" i="3"/>
  <c r="I502" i="3"/>
  <c r="H502" i="3"/>
  <c r="G502" i="3"/>
  <c r="L501" i="3"/>
  <c r="K501" i="3"/>
  <c r="J501" i="3"/>
  <c r="I501" i="3"/>
  <c r="H501" i="3"/>
  <c r="G501" i="3"/>
  <c r="M501" i="3" s="1"/>
  <c r="L500" i="3"/>
  <c r="K500" i="3"/>
  <c r="J500" i="3"/>
  <c r="I500" i="3"/>
  <c r="H500" i="3"/>
  <c r="G500" i="3"/>
  <c r="L499" i="3"/>
  <c r="K499" i="3"/>
  <c r="J499" i="3"/>
  <c r="M499" i="3" s="1"/>
  <c r="I499" i="3"/>
  <c r="H499" i="3"/>
  <c r="G499" i="3"/>
  <c r="L498" i="3"/>
  <c r="K498" i="3"/>
  <c r="J498" i="3"/>
  <c r="I498" i="3"/>
  <c r="H498" i="3"/>
  <c r="M498" i="3" s="1"/>
  <c r="G498" i="3"/>
  <c r="L497" i="3"/>
  <c r="K497" i="3"/>
  <c r="J497" i="3"/>
  <c r="I497" i="3"/>
  <c r="H497" i="3"/>
  <c r="G497" i="3"/>
  <c r="M497" i="3" s="1"/>
  <c r="L496" i="3"/>
  <c r="K496" i="3"/>
  <c r="J496" i="3"/>
  <c r="I496" i="3"/>
  <c r="H496" i="3"/>
  <c r="G496" i="3"/>
  <c r="L495" i="3"/>
  <c r="K495" i="3"/>
  <c r="J495" i="3"/>
  <c r="I495" i="3"/>
  <c r="H495" i="3"/>
  <c r="G495" i="3"/>
  <c r="L494" i="3"/>
  <c r="K494" i="3"/>
  <c r="J494" i="3"/>
  <c r="I494" i="3"/>
  <c r="H494" i="3"/>
  <c r="G494" i="3"/>
  <c r="L493" i="3"/>
  <c r="K493" i="3"/>
  <c r="J493" i="3"/>
  <c r="I493" i="3"/>
  <c r="H493" i="3"/>
  <c r="G493" i="3"/>
  <c r="M493" i="3" s="1"/>
  <c r="L492" i="3"/>
  <c r="K492" i="3"/>
  <c r="J492" i="3"/>
  <c r="I492" i="3"/>
  <c r="H492" i="3"/>
  <c r="G492" i="3"/>
  <c r="M492" i="3" s="1"/>
  <c r="L491" i="3"/>
  <c r="K491" i="3"/>
  <c r="J491" i="3"/>
  <c r="I491" i="3"/>
  <c r="H491" i="3"/>
  <c r="G491" i="3"/>
  <c r="L490" i="3"/>
  <c r="K490" i="3"/>
  <c r="J490" i="3"/>
  <c r="I490" i="3"/>
  <c r="H490" i="3"/>
  <c r="M490" i="3" s="1"/>
  <c r="G490" i="3"/>
  <c r="L489" i="3"/>
  <c r="K489" i="3"/>
  <c r="J489" i="3"/>
  <c r="I489" i="3"/>
  <c r="H489" i="3"/>
  <c r="G489" i="3"/>
  <c r="L488" i="3"/>
  <c r="K488" i="3"/>
  <c r="J488" i="3"/>
  <c r="I488" i="3"/>
  <c r="H488" i="3"/>
  <c r="G488" i="3"/>
  <c r="L487" i="3"/>
  <c r="K487" i="3"/>
  <c r="J487" i="3"/>
  <c r="I487" i="3"/>
  <c r="H487" i="3"/>
  <c r="G487" i="3"/>
  <c r="L486" i="3"/>
  <c r="K486" i="3"/>
  <c r="J486" i="3"/>
  <c r="I486" i="3"/>
  <c r="H486" i="3"/>
  <c r="G486" i="3"/>
  <c r="L485" i="3"/>
  <c r="K485" i="3"/>
  <c r="J485" i="3"/>
  <c r="I485" i="3"/>
  <c r="H485" i="3"/>
  <c r="G485" i="3"/>
  <c r="L484" i="3"/>
  <c r="K484" i="3"/>
  <c r="J484" i="3"/>
  <c r="I484" i="3"/>
  <c r="H484" i="3"/>
  <c r="G484" i="3"/>
  <c r="L483" i="3"/>
  <c r="K483" i="3"/>
  <c r="J483" i="3"/>
  <c r="I483" i="3"/>
  <c r="H483" i="3"/>
  <c r="G483" i="3"/>
  <c r="L482" i="3"/>
  <c r="K482" i="3"/>
  <c r="J482" i="3"/>
  <c r="I482" i="3"/>
  <c r="H482" i="3"/>
  <c r="G482" i="3"/>
  <c r="L481" i="3"/>
  <c r="K481" i="3"/>
  <c r="J481" i="3"/>
  <c r="I481" i="3"/>
  <c r="H481" i="3"/>
  <c r="G481" i="3"/>
  <c r="L480" i="3"/>
  <c r="K480" i="3"/>
  <c r="J480" i="3"/>
  <c r="I480" i="3"/>
  <c r="H480" i="3"/>
  <c r="G480" i="3"/>
  <c r="L479" i="3"/>
  <c r="K479" i="3"/>
  <c r="J479" i="3"/>
  <c r="I479" i="3"/>
  <c r="H479" i="3"/>
  <c r="G479" i="3"/>
  <c r="M508" i="3"/>
  <c r="M507" i="3"/>
  <c r="M488" i="3"/>
  <c r="M480" i="3"/>
  <c r="O478" i="3"/>
  <c r="L478" i="3"/>
  <c r="K478" i="3"/>
  <c r="J478" i="3"/>
  <c r="I478" i="3"/>
  <c r="H478" i="3"/>
  <c r="G478" i="3"/>
  <c r="M478" i="3" s="1"/>
  <c r="L477" i="3"/>
  <c r="K477" i="3"/>
  <c r="J477" i="3"/>
  <c r="I477" i="3"/>
  <c r="H477" i="3"/>
  <c r="G477" i="3"/>
  <c r="L476" i="3"/>
  <c r="K476" i="3"/>
  <c r="J476" i="3"/>
  <c r="I476" i="3"/>
  <c r="H476" i="3"/>
  <c r="G476" i="3"/>
  <c r="L475" i="3"/>
  <c r="K475" i="3"/>
  <c r="J475" i="3"/>
  <c r="I475" i="3"/>
  <c r="H475" i="3"/>
  <c r="G475" i="3"/>
  <c r="L474" i="3"/>
  <c r="K474" i="3"/>
  <c r="J474" i="3"/>
  <c r="I474" i="3"/>
  <c r="H474" i="3"/>
  <c r="G474" i="3"/>
  <c r="L473" i="3"/>
  <c r="K473" i="3"/>
  <c r="J473" i="3"/>
  <c r="I473" i="3"/>
  <c r="H473" i="3"/>
  <c r="G473" i="3"/>
  <c r="L472" i="3"/>
  <c r="K472" i="3"/>
  <c r="J472" i="3"/>
  <c r="M472" i="3" s="1"/>
  <c r="I472" i="3"/>
  <c r="H472" i="3"/>
  <c r="G472" i="3"/>
  <c r="L471" i="3"/>
  <c r="K471" i="3"/>
  <c r="J471" i="3"/>
  <c r="I471" i="3"/>
  <c r="H471" i="3"/>
  <c r="G471" i="3"/>
  <c r="M471" i="3" s="1"/>
  <c r="L470" i="3"/>
  <c r="K470" i="3"/>
  <c r="J470" i="3"/>
  <c r="I470" i="3"/>
  <c r="H470" i="3"/>
  <c r="G470" i="3"/>
  <c r="M470" i="3" s="1"/>
  <c r="L469" i="3"/>
  <c r="K469" i="3"/>
  <c r="J469" i="3"/>
  <c r="I469" i="3"/>
  <c r="H469" i="3"/>
  <c r="G469" i="3"/>
  <c r="L468" i="3"/>
  <c r="K468" i="3"/>
  <c r="J468" i="3"/>
  <c r="M468" i="3" s="1"/>
  <c r="I468" i="3"/>
  <c r="H468" i="3"/>
  <c r="G468" i="3"/>
  <c r="L467" i="3"/>
  <c r="K467" i="3"/>
  <c r="J467" i="3"/>
  <c r="I467" i="3"/>
  <c r="H467" i="3"/>
  <c r="M467" i="3" s="1"/>
  <c r="G467" i="3"/>
  <c r="L466" i="3"/>
  <c r="K466" i="3"/>
  <c r="J466" i="3"/>
  <c r="I466" i="3"/>
  <c r="H466" i="3"/>
  <c r="G466" i="3"/>
  <c r="L465" i="3"/>
  <c r="K465" i="3"/>
  <c r="J465" i="3"/>
  <c r="I465" i="3"/>
  <c r="H465" i="3"/>
  <c r="G465" i="3"/>
  <c r="L464" i="3"/>
  <c r="K464" i="3"/>
  <c r="J464" i="3"/>
  <c r="M464" i="3" s="1"/>
  <c r="I464" i="3"/>
  <c r="H464" i="3"/>
  <c r="G464" i="3"/>
  <c r="L463" i="3"/>
  <c r="K463" i="3"/>
  <c r="J463" i="3"/>
  <c r="I463" i="3"/>
  <c r="H463" i="3"/>
  <c r="G463" i="3"/>
  <c r="L462" i="3"/>
  <c r="K462" i="3"/>
  <c r="J462" i="3"/>
  <c r="I462" i="3"/>
  <c r="H462" i="3"/>
  <c r="G462" i="3"/>
  <c r="L461" i="3"/>
  <c r="K461" i="3"/>
  <c r="J461" i="3"/>
  <c r="I461" i="3"/>
  <c r="H461" i="3"/>
  <c r="G461" i="3"/>
  <c r="L460" i="3"/>
  <c r="K460" i="3"/>
  <c r="J460" i="3"/>
  <c r="I460" i="3"/>
  <c r="H460" i="3"/>
  <c r="G460" i="3"/>
  <c r="L459" i="3"/>
  <c r="K459" i="3"/>
  <c r="J459" i="3"/>
  <c r="I459" i="3"/>
  <c r="H459" i="3"/>
  <c r="M459" i="3" s="1"/>
  <c r="G459" i="3"/>
  <c r="L458" i="3"/>
  <c r="K458" i="3"/>
  <c r="J458" i="3"/>
  <c r="I458" i="3"/>
  <c r="H458" i="3"/>
  <c r="G458" i="3"/>
  <c r="L457" i="3"/>
  <c r="K457" i="3"/>
  <c r="J457" i="3"/>
  <c r="I457" i="3"/>
  <c r="H457" i="3"/>
  <c r="G457" i="3"/>
  <c r="L456" i="3"/>
  <c r="K456" i="3"/>
  <c r="J456" i="3"/>
  <c r="I456" i="3"/>
  <c r="M456" i="3" s="1"/>
  <c r="H456" i="3"/>
  <c r="G456" i="3"/>
  <c r="L455" i="3"/>
  <c r="K455" i="3"/>
  <c r="J455" i="3"/>
  <c r="I455" i="3"/>
  <c r="H455" i="3"/>
  <c r="G455" i="3"/>
  <c r="L454" i="3"/>
  <c r="K454" i="3"/>
  <c r="J454" i="3"/>
  <c r="I454" i="3"/>
  <c r="H454" i="3"/>
  <c r="G454" i="3"/>
  <c r="L453" i="3"/>
  <c r="K453" i="3"/>
  <c r="J453" i="3"/>
  <c r="I453" i="3"/>
  <c r="H453" i="3"/>
  <c r="G453" i="3"/>
  <c r="L452" i="3"/>
  <c r="K452" i="3"/>
  <c r="J452" i="3"/>
  <c r="I452" i="3"/>
  <c r="H452" i="3"/>
  <c r="M452" i="3" s="1"/>
  <c r="G452" i="3"/>
  <c r="L451" i="3"/>
  <c r="K451" i="3"/>
  <c r="J451" i="3"/>
  <c r="I451" i="3"/>
  <c r="H451" i="3"/>
  <c r="G451" i="3"/>
  <c r="M451" i="3" s="1"/>
  <c r="L450" i="3"/>
  <c r="K450" i="3"/>
  <c r="J450" i="3"/>
  <c r="I450" i="3"/>
  <c r="H450" i="3"/>
  <c r="G450" i="3"/>
  <c r="L449" i="3"/>
  <c r="K449" i="3"/>
  <c r="J449" i="3"/>
  <c r="I449" i="3"/>
  <c r="H449" i="3"/>
  <c r="G449" i="3"/>
  <c r="L448" i="3"/>
  <c r="K448" i="3"/>
  <c r="J448" i="3"/>
  <c r="I448" i="3"/>
  <c r="H448" i="3"/>
  <c r="G448" i="3"/>
  <c r="L447" i="3"/>
  <c r="K447" i="3"/>
  <c r="J447" i="3"/>
  <c r="I447" i="3"/>
  <c r="H447" i="3"/>
  <c r="G447" i="3"/>
  <c r="L446" i="3"/>
  <c r="K446" i="3"/>
  <c r="J446" i="3"/>
  <c r="I446" i="3"/>
  <c r="H446" i="3"/>
  <c r="G446" i="3"/>
  <c r="L445" i="3"/>
  <c r="K445" i="3"/>
  <c r="J445" i="3"/>
  <c r="I445" i="3"/>
  <c r="H445" i="3"/>
  <c r="G445" i="3"/>
  <c r="M476" i="3"/>
  <c r="M475" i="3"/>
  <c r="M462" i="3"/>
  <c r="M460" i="3"/>
  <c r="O410" i="3"/>
  <c r="L410" i="3"/>
  <c r="K410" i="3"/>
  <c r="J410" i="3"/>
  <c r="I410" i="3"/>
  <c r="M410" i="3" s="1"/>
  <c r="H410" i="3"/>
  <c r="G410" i="3"/>
  <c r="L409" i="3"/>
  <c r="K409" i="3"/>
  <c r="J409" i="3"/>
  <c r="I409" i="3"/>
  <c r="H409" i="3"/>
  <c r="G409" i="3"/>
  <c r="L408" i="3"/>
  <c r="K408" i="3"/>
  <c r="J408" i="3"/>
  <c r="I408" i="3"/>
  <c r="H408" i="3"/>
  <c r="G408" i="3"/>
  <c r="L407" i="3"/>
  <c r="K407" i="3"/>
  <c r="J407" i="3"/>
  <c r="I407" i="3"/>
  <c r="H407" i="3"/>
  <c r="G407" i="3"/>
  <c r="L406" i="3"/>
  <c r="K406" i="3"/>
  <c r="J406" i="3"/>
  <c r="I406" i="3"/>
  <c r="H406" i="3"/>
  <c r="M406" i="3" s="1"/>
  <c r="G406" i="3"/>
  <c r="L405" i="3"/>
  <c r="K405" i="3"/>
  <c r="J405" i="3"/>
  <c r="I405" i="3"/>
  <c r="H405" i="3"/>
  <c r="M405" i="3" s="1"/>
  <c r="G405" i="3"/>
  <c r="L404" i="3"/>
  <c r="K404" i="3"/>
  <c r="J404" i="3"/>
  <c r="I404" i="3"/>
  <c r="H404" i="3"/>
  <c r="G404" i="3"/>
  <c r="L403" i="3"/>
  <c r="K403" i="3"/>
  <c r="J403" i="3"/>
  <c r="I403" i="3"/>
  <c r="H403" i="3"/>
  <c r="G403" i="3"/>
  <c r="L402" i="3"/>
  <c r="K402" i="3"/>
  <c r="J402" i="3"/>
  <c r="I402" i="3"/>
  <c r="H402" i="3"/>
  <c r="G402" i="3"/>
  <c r="L401" i="3"/>
  <c r="K401" i="3"/>
  <c r="J401" i="3"/>
  <c r="I401" i="3"/>
  <c r="H401" i="3"/>
  <c r="M401" i="3" s="1"/>
  <c r="G401" i="3"/>
  <c r="L400" i="3"/>
  <c r="K400" i="3"/>
  <c r="J400" i="3"/>
  <c r="I400" i="3"/>
  <c r="H400" i="3"/>
  <c r="G400" i="3"/>
  <c r="L399" i="3"/>
  <c r="K399" i="3"/>
  <c r="J399" i="3"/>
  <c r="I399" i="3"/>
  <c r="H399" i="3"/>
  <c r="G399" i="3"/>
  <c r="M399" i="3" s="1"/>
  <c r="L398" i="3"/>
  <c r="K398" i="3"/>
  <c r="J398" i="3"/>
  <c r="I398" i="3"/>
  <c r="H398" i="3"/>
  <c r="G398" i="3"/>
  <c r="L397" i="3"/>
  <c r="K397" i="3"/>
  <c r="J397" i="3"/>
  <c r="I397" i="3"/>
  <c r="H397" i="3"/>
  <c r="G397" i="3"/>
  <c r="L396" i="3"/>
  <c r="K396" i="3"/>
  <c r="J396" i="3"/>
  <c r="I396" i="3"/>
  <c r="H396" i="3"/>
  <c r="G396" i="3"/>
  <c r="L395" i="3"/>
  <c r="K395" i="3"/>
  <c r="J395" i="3"/>
  <c r="I395" i="3"/>
  <c r="H395" i="3"/>
  <c r="G395" i="3"/>
  <c r="L394" i="3"/>
  <c r="K394" i="3"/>
  <c r="J394" i="3"/>
  <c r="I394" i="3"/>
  <c r="H394" i="3"/>
  <c r="G394" i="3"/>
  <c r="L393" i="3"/>
  <c r="K393" i="3"/>
  <c r="J393" i="3"/>
  <c r="I393" i="3"/>
  <c r="H393" i="3"/>
  <c r="G393" i="3"/>
  <c r="L392" i="3"/>
  <c r="K392" i="3"/>
  <c r="J392" i="3"/>
  <c r="I392" i="3"/>
  <c r="H392" i="3"/>
  <c r="G392" i="3"/>
  <c r="L391" i="3"/>
  <c r="K391" i="3"/>
  <c r="J391" i="3"/>
  <c r="I391" i="3"/>
  <c r="H391" i="3"/>
  <c r="G391" i="3"/>
  <c r="L390" i="3"/>
  <c r="K390" i="3"/>
  <c r="J390" i="3"/>
  <c r="M390" i="3" s="1"/>
  <c r="I390" i="3"/>
  <c r="H390" i="3"/>
  <c r="G390" i="3"/>
  <c r="L389" i="3"/>
  <c r="K389" i="3"/>
  <c r="J389" i="3"/>
  <c r="I389" i="3"/>
  <c r="H389" i="3"/>
  <c r="G389" i="3"/>
  <c r="L388" i="3"/>
  <c r="K388" i="3"/>
  <c r="J388" i="3"/>
  <c r="I388" i="3"/>
  <c r="H388" i="3"/>
  <c r="G388" i="3"/>
  <c r="L387" i="3"/>
  <c r="K387" i="3"/>
  <c r="J387" i="3"/>
  <c r="I387" i="3"/>
  <c r="H387" i="3"/>
  <c r="G387" i="3"/>
  <c r="L386" i="3"/>
  <c r="K386" i="3"/>
  <c r="J386" i="3"/>
  <c r="I386" i="3"/>
  <c r="H386" i="3"/>
  <c r="G386" i="3"/>
  <c r="L385" i="3"/>
  <c r="K385" i="3"/>
  <c r="J385" i="3"/>
  <c r="I385" i="3"/>
  <c r="H385" i="3"/>
  <c r="G385" i="3"/>
  <c r="L384" i="3"/>
  <c r="K384" i="3"/>
  <c r="J384" i="3"/>
  <c r="I384" i="3"/>
  <c r="H384" i="3"/>
  <c r="G384" i="3"/>
  <c r="L383" i="3"/>
  <c r="K383" i="3"/>
  <c r="J383" i="3"/>
  <c r="I383" i="3"/>
  <c r="H383" i="3"/>
  <c r="G383" i="3"/>
  <c r="M383" i="3" s="1"/>
  <c r="L382" i="3"/>
  <c r="K382" i="3"/>
  <c r="J382" i="3"/>
  <c r="I382" i="3"/>
  <c r="H382" i="3"/>
  <c r="G382" i="3"/>
  <c r="L381" i="3"/>
  <c r="K381" i="3"/>
  <c r="J381" i="3"/>
  <c r="I381" i="3"/>
  <c r="H381" i="3"/>
  <c r="G381" i="3"/>
  <c r="L380" i="3"/>
  <c r="K380" i="3"/>
  <c r="J380" i="3"/>
  <c r="I380" i="3"/>
  <c r="H380" i="3"/>
  <c r="G380" i="3"/>
  <c r="L379" i="3"/>
  <c r="K379" i="3"/>
  <c r="J379" i="3"/>
  <c r="I379" i="3"/>
  <c r="H379" i="3"/>
  <c r="G379" i="3"/>
  <c r="M379" i="3" s="1"/>
  <c r="L378" i="3"/>
  <c r="K378" i="3"/>
  <c r="J378" i="3"/>
  <c r="I378" i="3"/>
  <c r="H378" i="3"/>
  <c r="G378" i="3"/>
  <c r="L377" i="3"/>
  <c r="K377" i="3"/>
  <c r="J377" i="3"/>
  <c r="I377" i="3"/>
  <c r="H377" i="3"/>
  <c r="G377" i="3"/>
  <c r="M395" i="3"/>
  <c r="M394" i="3"/>
  <c r="H411" i="3"/>
  <c r="I411" i="3"/>
  <c r="J411" i="3"/>
  <c r="K411" i="3"/>
  <c r="L411" i="3"/>
  <c r="H412" i="3"/>
  <c r="I412" i="3"/>
  <c r="J412" i="3"/>
  <c r="K412" i="3"/>
  <c r="L412" i="3"/>
  <c r="H413" i="3"/>
  <c r="I413" i="3"/>
  <c r="J413" i="3"/>
  <c r="K413" i="3"/>
  <c r="L413" i="3"/>
  <c r="H414" i="3"/>
  <c r="I414" i="3"/>
  <c r="J414" i="3"/>
  <c r="K414" i="3"/>
  <c r="L414" i="3"/>
  <c r="H415" i="3"/>
  <c r="I415" i="3"/>
  <c r="J415" i="3"/>
  <c r="K415" i="3"/>
  <c r="L415" i="3"/>
  <c r="H416" i="3"/>
  <c r="I416" i="3"/>
  <c r="J416" i="3"/>
  <c r="K416" i="3"/>
  <c r="L416" i="3"/>
  <c r="H417" i="3"/>
  <c r="I417" i="3"/>
  <c r="J417" i="3"/>
  <c r="K417" i="3"/>
  <c r="L417" i="3"/>
  <c r="H418" i="3"/>
  <c r="I418" i="3"/>
  <c r="J418" i="3"/>
  <c r="K418" i="3"/>
  <c r="L418" i="3"/>
  <c r="H419" i="3"/>
  <c r="I419" i="3"/>
  <c r="J419" i="3"/>
  <c r="K419" i="3"/>
  <c r="L419" i="3"/>
  <c r="H420" i="3"/>
  <c r="I420" i="3"/>
  <c r="J420" i="3"/>
  <c r="K420" i="3"/>
  <c r="L420" i="3"/>
  <c r="H421" i="3"/>
  <c r="I421" i="3"/>
  <c r="J421" i="3"/>
  <c r="K421" i="3"/>
  <c r="L421" i="3"/>
  <c r="H422" i="3"/>
  <c r="I422" i="3"/>
  <c r="J422" i="3"/>
  <c r="K422" i="3"/>
  <c r="L422" i="3"/>
  <c r="H423" i="3"/>
  <c r="I423" i="3"/>
  <c r="J423" i="3"/>
  <c r="K423" i="3"/>
  <c r="L423" i="3"/>
  <c r="H424" i="3"/>
  <c r="I424" i="3"/>
  <c r="J424" i="3"/>
  <c r="K424" i="3"/>
  <c r="L424" i="3"/>
  <c r="H425" i="3"/>
  <c r="I425" i="3"/>
  <c r="J425" i="3"/>
  <c r="K425" i="3"/>
  <c r="L425" i="3"/>
  <c r="H426" i="3"/>
  <c r="I426" i="3"/>
  <c r="J426" i="3"/>
  <c r="K426" i="3"/>
  <c r="L426" i="3"/>
  <c r="H427" i="3"/>
  <c r="I427" i="3"/>
  <c r="J427" i="3"/>
  <c r="K427" i="3"/>
  <c r="L427" i="3"/>
  <c r="H428" i="3"/>
  <c r="I428" i="3"/>
  <c r="J428" i="3"/>
  <c r="K428" i="3"/>
  <c r="L428" i="3"/>
  <c r="H429" i="3"/>
  <c r="I429" i="3"/>
  <c r="J429" i="3"/>
  <c r="K429" i="3"/>
  <c r="L429" i="3"/>
  <c r="H430" i="3"/>
  <c r="I430" i="3"/>
  <c r="J430" i="3"/>
  <c r="K430" i="3"/>
  <c r="L430" i="3"/>
  <c r="H431" i="3"/>
  <c r="I431" i="3"/>
  <c r="J431" i="3"/>
  <c r="K431" i="3"/>
  <c r="L431" i="3"/>
  <c r="H432" i="3"/>
  <c r="I432" i="3"/>
  <c r="J432" i="3"/>
  <c r="K432" i="3"/>
  <c r="L432" i="3"/>
  <c r="H433" i="3"/>
  <c r="I433" i="3"/>
  <c r="J433" i="3"/>
  <c r="K433" i="3"/>
  <c r="L433" i="3"/>
  <c r="H434" i="3"/>
  <c r="I434" i="3"/>
  <c r="J434" i="3"/>
  <c r="K434" i="3"/>
  <c r="L434" i="3"/>
  <c r="H435" i="3"/>
  <c r="I435" i="3"/>
  <c r="J435" i="3"/>
  <c r="K435" i="3"/>
  <c r="L435" i="3"/>
  <c r="H436" i="3"/>
  <c r="I436" i="3"/>
  <c r="J436" i="3"/>
  <c r="K436" i="3"/>
  <c r="L436" i="3"/>
  <c r="H437" i="3"/>
  <c r="I437" i="3"/>
  <c r="J437" i="3"/>
  <c r="K437" i="3"/>
  <c r="L437" i="3"/>
  <c r="H438" i="3"/>
  <c r="I438" i="3"/>
  <c r="J438" i="3"/>
  <c r="K438" i="3"/>
  <c r="L438" i="3"/>
  <c r="H439" i="3"/>
  <c r="I439" i="3"/>
  <c r="J439" i="3"/>
  <c r="K439" i="3"/>
  <c r="L439" i="3"/>
  <c r="H440" i="3"/>
  <c r="I440" i="3"/>
  <c r="J440" i="3"/>
  <c r="K440" i="3"/>
  <c r="L440" i="3"/>
  <c r="H441" i="3"/>
  <c r="I441" i="3"/>
  <c r="J441" i="3"/>
  <c r="K441" i="3"/>
  <c r="L441" i="3"/>
  <c r="H442" i="3"/>
  <c r="I442" i="3"/>
  <c r="J442" i="3"/>
  <c r="K442" i="3"/>
  <c r="L442" i="3"/>
  <c r="H443" i="3"/>
  <c r="I443" i="3"/>
  <c r="J443" i="3"/>
  <c r="K443" i="3"/>
  <c r="L443" i="3"/>
  <c r="H444" i="3"/>
  <c r="I444" i="3"/>
  <c r="J444" i="3"/>
  <c r="K444" i="3"/>
  <c r="L444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M417" i="3" s="1"/>
  <c r="G416" i="3"/>
  <c r="G415" i="3"/>
  <c r="G414" i="3"/>
  <c r="G413" i="3"/>
  <c r="G412" i="3"/>
  <c r="M412" i="3" s="1"/>
  <c r="O444" i="3"/>
  <c r="G411" i="3"/>
  <c r="M411" i="3" s="1"/>
  <c r="O376" i="3"/>
  <c r="M367" i="3"/>
  <c r="M366" i="3"/>
  <c r="M359" i="3"/>
  <c r="M358" i="3"/>
  <c r="M351" i="3"/>
  <c r="M350" i="3"/>
  <c r="M348" i="3"/>
  <c r="M344" i="3"/>
  <c r="M343" i="3"/>
  <c r="M376" i="3"/>
  <c r="M375" i="3"/>
  <c r="M374" i="3"/>
  <c r="M373" i="3"/>
  <c r="M372" i="3"/>
  <c r="M371" i="3"/>
  <c r="M370" i="3"/>
  <c r="M369" i="3"/>
  <c r="M368" i="3"/>
  <c r="M365" i="3"/>
  <c r="M364" i="3"/>
  <c r="M363" i="3"/>
  <c r="M362" i="3"/>
  <c r="M361" i="3"/>
  <c r="M360" i="3"/>
  <c r="M357" i="3"/>
  <c r="M356" i="3"/>
  <c r="M355" i="3"/>
  <c r="M354" i="3"/>
  <c r="M353" i="3"/>
  <c r="M352" i="3"/>
  <c r="M349" i="3"/>
  <c r="M347" i="3"/>
  <c r="M346" i="3"/>
  <c r="M345" i="3"/>
  <c r="O342" i="3"/>
  <c r="M325" i="3"/>
  <c r="M324" i="3"/>
  <c r="M317" i="3"/>
  <c r="M316" i="3"/>
  <c r="M314" i="3"/>
  <c r="M310" i="3"/>
  <c r="M309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3" i="3"/>
  <c r="M322" i="3"/>
  <c r="M321" i="3"/>
  <c r="M320" i="3"/>
  <c r="M319" i="3"/>
  <c r="M318" i="3"/>
  <c r="M315" i="3"/>
  <c r="M313" i="3"/>
  <c r="M312" i="3"/>
  <c r="M311" i="3"/>
  <c r="O308" i="3"/>
  <c r="M291" i="3"/>
  <c r="M290" i="3"/>
  <c r="M287" i="3"/>
  <c r="M286" i="3"/>
  <c r="M283" i="3"/>
  <c r="M282" i="3"/>
  <c r="M279" i="3"/>
  <c r="M278" i="3"/>
  <c r="M275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89" i="3"/>
  <c r="M288" i="3"/>
  <c r="M285" i="3"/>
  <c r="M284" i="3"/>
  <c r="M281" i="3"/>
  <c r="M280" i="3"/>
  <c r="M277" i="3"/>
  <c r="M276" i="3"/>
  <c r="O274" i="3"/>
  <c r="M249" i="3"/>
  <c r="M248" i="3"/>
  <c r="M242" i="3"/>
  <c r="M241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7" i="3"/>
  <c r="M246" i="3"/>
  <c r="M245" i="3"/>
  <c r="M244" i="3"/>
  <c r="M243" i="3"/>
  <c r="O240" i="3"/>
  <c r="M230" i="3"/>
  <c r="M226" i="3"/>
  <c r="M222" i="3"/>
  <c r="M218" i="3"/>
  <c r="M214" i="3"/>
  <c r="M212" i="3"/>
  <c r="M210" i="3"/>
  <c r="M209" i="3"/>
  <c r="M208" i="3"/>
  <c r="M240" i="3"/>
  <c r="M239" i="3"/>
  <c r="M238" i="3"/>
  <c r="M237" i="3"/>
  <c r="M236" i="3"/>
  <c r="M235" i="3"/>
  <c r="M234" i="3"/>
  <c r="M233" i="3"/>
  <c r="M232" i="3"/>
  <c r="M231" i="3"/>
  <c r="M229" i="3"/>
  <c r="M228" i="3"/>
  <c r="M227" i="3"/>
  <c r="M225" i="3"/>
  <c r="M224" i="3"/>
  <c r="M223" i="3"/>
  <c r="M221" i="3"/>
  <c r="M220" i="3"/>
  <c r="M219" i="3"/>
  <c r="M217" i="3"/>
  <c r="M216" i="3"/>
  <c r="M215" i="3"/>
  <c r="M213" i="3"/>
  <c r="M211" i="3"/>
  <c r="O206" i="3"/>
  <c r="M182" i="3"/>
  <c r="M181" i="3"/>
  <c r="M178" i="3"/>
  <c r="M177" i="3"/>
  <c r="M174" i="3"/>
  <c r="M173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0" i="3"/>
  <c r="M179" i="3"/>
  <c r="M176" i="3"/>
  <c r="M175" i="3"/>
  <c r="O172" i="3"/>
  <c r="M158" i="3"/>
  <c r="M155" i="3"/>
  <c r="M154" i="3"/>
  <c r="M151" i="3"/>
  <c r="M150" i="3"/>
  <c r="M147" i="3"/>
  <c r="M146" i="3"/>
  <c r="M143" i="3"/>
  <c r="M142" i="3"/>
  <c r="M139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7" i="3"/>
  <c r="M156" i="3"/>
  <c r="M153" i="3"/>
  <c r="M152" i="3"/>
  <c r="M149" i="3"/>
  <c r="M148" i="3"/>
  <c r="M145" i="3"/>
  <c r="M144" i="3"/>
  <c r="M141" i="3"/>
  <c r="M140" i="3"/>
  <c r="O138" i="3"/>
  <c r="M121" i="3"/>
  <c r="M120" i="3"/>
  <c r="M113" i="3"/>
  <c r="M112" i="3"/>
  <c r="M111" i="3"/>
  <c r="M107" i="3"/>
  <c r="M105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19" i="3"/>
  <c r="M118" i="3"/>
  <c r="M117" i="3"/>
  <c r="M116" i="3"/>
  <c r="M115" i="3"/>
  <c r="M114" i="3"/>
  <c r="M110" i="3"/>
  <c r="M109" i="3"/>
  <c r="M108" i="3"/>
  <c r="M106" i="3"/>
  <c r="O104" i="3"/>
  <c r="M83" i="3"/>
  <c r="M80" i="3"/>
  <c r="M79" i="3"/>
  <c r="M78" i="3"/>
  <c r="M77" i="3"/>
  <c r="M75" i="3"/>
  <c r="M74" i="3"/>
  <c r="M72" i="3"/>
  <c r="M71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2" i="3"/>
  <c r="M81" i="3"/>
  <c r="M76" i="3"/>
  <c r="M73" i="3"/>
  <c r="O70" i="3"/>
  <c r="M1309" i="5" l="1"/>
  <c r="M1248" i="5"/>
  <c r="M1289" i="5"/>
  <c r="M1203" i="5"/>
  <c r="M1167" i="5"/>
  <c r="M1261" i="5"/>
  <c r="M1841" i="5"/>
  <c r="M987" i="5"/>
  <c r="M1619" i="5"/>
  <c r="M803" i="5"/>
  <c r="M1255" i="5"/>
  <c r="M1298" i="5"/>
  <c r="M1141" i="5"/>
  <c r="M1138" i="5"/>
  <c r="M807" i="5"/>
  <c r="M1875" i="5"/>
  <c r="M1140" i="5"/>
  <c r="M1170" i="5"/>
  <c r="M1229" i="5"/>
  <c r="M1846" i="5"/>
  <c r="J1988" i="5"/>
  <c r="M973" i="5"/>
  <c r="L1987" i="5"/>
  <c r="M614" i="5"/>
  <c r="M1876" i="5"/>
  <c r="M1216" i="5"/>
  <c r="M465" i="5"/>
  <c r="M259" i="5"/>
  <c r="M981" i="5"/>
  <c r="M991" i="5"/>
  <c r="M1864" i="5"/>
  <c r="M1312" i="5"/>
  <c r="M831" i="5"/>
  <c r="M1829" i="5"/>
  <c r="M1276" i="5"/>
  <c r="M1294" i="5"/>
  <c r="M1295" i="5"/>
  <c r="M1172" i="5"/>
  <c r="M849" i="5"/>
  <c r="M552" i="5"/>
  <c r="G1986" i="5"/>
  <c r="G1988" i="5" s="1"/>
  <c r="H1986" i="5"/>
  <c r="H1988" i="5" s="1"/>
  <c r="M1833" i="5"/>
  <c r="M1849" i="5"/>
  <c r="M1173" i="5"/>
  <c r="M1177" i="5"/>
  <c r="M1223" i="5"/>
  <c r="M872" i="5"/>
  <c r="N365" i="5"/>
  <c r="M890" i="5"/>
  <c r="M811" i="5"/>
  <c r="M967" i="5"/>
  <c r="M1951" i="5"/>
  <c r="M601" i="5"/>
  <c r="L1988" i="5"/>
  <c r="I1988" i="5"/>
  <c r="M989" i="5"/>
  <c r="M843" i="5"/>
  <c r="N266" i="5"/>
  <c r="M876" i="5"/>
  <c r="M845" i="5"/>
  <c r="M1935" i="5"/>
  <c r="M1975" i="5"/>
  <c r="M1990" i="5"/>
  <c r="AQ736" i="5"/>
  <c r="M936" i="5"/>
  <c r="M955" i="5"/>
  <c r="M862" i="5"/>
  <c r="N497" i="5"/>
  <c r="N398" i="5"/>
  <c r="N200" i="5"/>
  <c r="N299" i="5"/>
  <c r="E1987" i="5"/>
  <c r="M1987" i="5" s="1"/>
  <c r="M993" i="5"/>
  <c r="M947" i="5"/>
  <c r="M797" i="5"/>
  <c r="N167" i="5"/>
  <c r="M796" i="5"/>
  <c r="M922" i="5"/>
  <c r="M904" i="5"/>
  <c r="N431" i="5"/>
  <c r="K1988" i="5"/>
  <c r="M975" i="5"/>
  <c r="M827" i="5"/>
  <c r="N332" i="5"/>
  <c r="M829" i="5"/>
  <c r="M926" i="5"/>
  <c r="M856" i="5"/>
  <c r="N134" i="5"/>
  <c r="M870" i="5"/>
  <c r="M894" i="5"/>
  <c r="M813" i="5"/>
  <c r="N68" i="5"/>
  <c r="M548" i="5"/>
  <c r="M1959" i="5"/>
  <c r="N233" i="5"/>
  <c r="M661" i="5"/>
  <c r="M963" i="5"/>
  <c r="M1971" i="5"/>
  <c r="F1988" i="5"/>
  <c r="AC1996" i="5"/>
  <c r="AB1995" i="5"/>
  <c r="N101" i="5"/>
  <c r="M971" i="5"/>
  <c r="M1991" i="5"/>
  <c r="N530" i="5"/>
  <c r="M908" i="5"/>
  <c r="M939" i="5"/>
  <c r="M884" i="5"/>
  <c r="E1986" i="5"/>
  <c r="M3" i="5"/>
  <c r="N35" i="5" s="1"/>
  <c r="N464" i="5"/>
  <c r="M425" i="3"/>
  <c r="M378" i="3"/>
  <c r="M381" i="3"/>
  <c r="M393" i="3"/>
  <c r="M397" i="3"/>
  <c r="M398" i="3"/>
  <c r="M447" i="3"/>
  <c r="M448" i="3"/>
  <c r="M455" i="3"/>
  <c r="M463" i="3"/>
  <c r="M465" i="3"/>
  <c r="M473" i="3"/>
  <c r="M562" i="3"/>
  <c r="M589" i="3"/>
  <c r="M609" i="3"/>
  <c r="M626" i="3"/>
  <c r="M642" i="3"/>
  <c r="M519" i="3"/>
  <c r="M420" i="3"/>
  <c r="M428" i="3"/>
  <c r="M385" i="3"/>
  <c r="M389" i="3"/>
  <c r="M402" i="3"/>
  <c r="M409" i="3"/>
  <c r="M450" i="3"/>
  <c r="M458" i="3"/>
  <c r="M466" i="3"/>
  <c r="M474" i="3"/>
  <c r="M514" i="3"/>
  <c r="M518" i="3"/>
  <c r="M530" i="3"/>
  <c r="M387" i="3"/>
  <c r="M391" i="3"/>
  <c r="M403" i="3"/>
  <c r="M407" i="3"/>
  <c r="M445" i="3"/>
  <c r="M446" i="3"/>
  <c r="M449" i="3"/>
  <c r="M453" i="3"/>
  <c r="M461" i="3"/>
  <c r="M469" i="3"/>
  <c r="M477" i="3"/>
  <c r="M496" i="3"/>
  <c r="M590" i="3"/>
  <c r="M598" i="3"/>
  <c r="M606" i="3"/>
  <c r="M610" i="3"/>
  <c r="M414" i="3"/>
  <c r="M454" i="3"/>
  <c r="M457" i="3"/>
  <c r="M481" i="3"/>
  <c r="M484" i="3"/>
  <c r="M485" i="3"/>
  <c r="M500" i="3"/>
  <c r="M620" i="3"/>
  <c r="M427" i="3"/>
  <c r="M382" i="3"/>
  <c r="M386" i="3"/>
  <c r="M479" i="3"/>
  <c r="M483" i="3"/>
  <c r="M487" i="3"/>
  <c r="M491" i="3"/>
  <c r="M511" i="3"/>
  <c r="M416" i="3"/>
  <c r="M424" i="3"/>
  <c r="M520" i="3"/>
  <c r="M524" i="3"/>
  <c r="M528" i="3"/>
  <c r="M532" i="3"/>
  <c r="M533" i="3"/>
  <c r="M536" i="3"/>
  <c r="M540" i="3"/>
  <c r="M544" i="3"/>
  <c r="M570" i="3"/>
  <c r="M676" i="3"/>
  <c r="M627" i="3"/>
  <c r="M631" i="3"/>
  <c r="M655" i="3"/>
  <c r="M675" i="3"/>
  <c r="M701" i="3"/>
  <c r="M762" i="3"/>
  <c r="M2343" i="3"/>
  <c r="M2403" i="3"/>
  <c r="M2410" i="3"/>
  <c r="M3206" i="3"/>
  <c r="M3215" i="3"/>
  <c r="M3218" i="3"/>
  <c r="M3222" i="3"/>
  <c r="M3276" i="3"/>
  <c r="M3279" i="3"/>
  <c r="M3283" i="3"/>
  <c r="M3284" i="3"/>
  <c r="M3288" i="3"/>
  <c r="M3292" i="3"/>
  <c r="M3299" i="3"/>
  <c r="M3511" i="3"/>
  <c r="M3515" i="3"/>
  <c r="M3531" i="3"/>
  <c r="M3535" i="3"/>
  <c r="M3539" i="3"/>
  <c r="M482" i="3"/>
  <c r="M506" i="3"/>
  <c r="M522" i="3"/>
  <c r="M523" i="3"/>
  <c r="M525" i="3"/>
  <c r="M531" i="3"/>
  <c r="M534" i="3"/>
  <c r="M593" i="3"/>
  <c r="M597" i="3"/>
  <c r="M617" i="3"/>
  <c r="M628" i="3"/>
  <c r="M629" i="3"/>
  <c r="M636" i="3"/>
  <c r="M637" i="3"/>
  <c r="M640" i="3"/>
  <c r="M669" i="3"/>
  <c r="M758" i="3"/>
  <c r="M766" i="3"/>
  <c r="M770" i="3"/>
  <c r="M774" i="3"/>
  <c r="M778" i="3"/>
  <c r="M782" i="3"/>
  <c r="M786" i="3"/>
  <c r="M790" i="3"/>
  <c r="M791" i="3"/>
  <c r="M794" i="3"/>
  <c r="M798" i="3"/>
  <c r="M799" i="3"/>
  <c r="M802" i="3"/>
  <c r="M803" i="3"/>
  <c r="M806" i="3"/>
  <c r="M807" i="3"/>
  <c r="M810" i="3"/>
  <c r="M811" i="3"/>
  <c r="M814" i="3"/>
  <c r="M815" i="3"/>
  <c r="M818" i="3"/>
  <c r="M819" i="3"/>
  <c r="M823" i="3"/>
  <c r="M827" i="3"/>
  <c r="M831" i="3"/>
  <c r="M835" i="3"/>
  <c r="M839" i="3"/>
  <c r="M843" i="3"/>
  <c r="M847" i="3"/>
  <c r="M851" i="3"/>
  <c r="M855" i="3"/>
  <c r="M859" i="3"/>
  <c r="M860" i="3"/>
  <c r="M863" i="3"/>
  <c r="M867" i="3"/>
  <c r="M868" i="3"/>
  <c r="M871" i="3"/>
  <c r="M875" i="3"/>
  <c r="M876" i="3"/>
  <c r="M879" i="3"/>
  <c r="M883" i="3"/>
  <c r="M884" i="3"/>
  <c r="M892" i="3"/>
  <c r="M900" i="3"/>
  <c r="M908" i="3"/>
  <c r="M916" i="3"/>
  <c r="M924" i="3"/>
  <c r="M932" i="3"/>
  <c r="M940" i="3"/>
  <c r="M948" i="3"/>
  <c r="M2438" i="3"/>
  <c r="M2442" i="3"/>
  <c r="M2450" i="3"/>
  <c r="M2506" i="3"/>
  <c r="M2513" i="3"/>
  <c r="M2521" i="3"/>
  <c r="M822" i="3"/>
  <c r="M830" i="3"/>
  <c r="M838" i="3"/>
  <c r="M891" i="3"/>
  <c r="M899" i="3"/>
  <c r="M907" i="3"/>
  <c r="M915" i="3"/>
  <c r="M1129" i="3"/>
  <c r="M1137" i="3"/>
  <c r="M1145" i="3"/>
  <c r="M1153" i="3"/>
  <c r="M1163" i="3"/>
  <c r="M1179" i="3"/>
  <c r="M1196" i="3"/>
  <c r="M1203" i="3"/>
  <c r="M1206" i="3"/>
  <c r="M1207" i="3"/>
  <c r="M1211" i="3"/>
  <c r="M1214" i="3"/>
  <c r="M1215" i="3"/>
  <c r="M1219" i="3"/>
  <c r="M1222" i="3"/>
  <c r="M1223" i="3"/>
  <c r="M1227" i="3"/>
  <c r="M1228" i="3"/>
  <c r="M1231" i="3"/>
  <c r="M1235" i="3"/>
  <c r="M1236" i="3"/>
  <c r="M1239" i="3"/>
  <c r="M1243" i="3"/>
  <c r="M1244" i="3"/>
  <c r="M1247" i="3"/>
  <c r="M1251" i="3"/>
  <c r="M1252" i="3"/>
  <c r="M1255" i="3"/>
  <c r="M1259" i="3"/>
  <c r="M1260" i="3"/>
  <c r="M1263" i="3"/>
  <c r="M1267" i="3"/>
  <c r="M1268" i="3"/>
  <c r="M1275" i="3"/>
  <c r="M1276" i="3"/>
  <c r="M1283" i="3"/>
  <c r="M1284" i="3"/>
  <c r="M1296" i="3"/>
  <c r="M1304" i="3"/>
  <c r="M1306" i="3"/>
  <c r="M2289" i="3"/>
  <c r="M2293" i="3"/>
  <c r="M2304" i="3"/>
  <c r="M2357" i="3"/>
  <c r="M2362" i="3"/>
  <c r="M2369" i="3"/>
  <c r="M2373" i="3"/>
  <c r="M2380" i="3"/>
  <c r="M2385" i="3"/>
  <c r="M2570" i="3"/>
  <c r="M2578" i="3"/>
  <c r="M2590" i="3"/>
  <c r="M2598" i="3"/>
  <c r="M2610" i="3"/>
  <c r="M2611" i="3"/>
  <c r="M2619" i="3"/>
  <c r="M2634" i="3"/>
  <c r="M2642" i="3"/>
  <c r="M2651" i="3"/>
  <c r="M2654" i="3"/>
  <c r="M2674" i="3"/>
  <c r="M652" i="3"/>
  <c r="M653" i="3"/>
  <c r="M656" i="3"/>
  <c r="M660" i="3"/>
  <c r="M664" i="3"/>
  <c r="M665" i="3"/>
  <c r="M668" i="3"/>
  <c r="M672" i="3"/>
  <c r="M673" i="3"/>
  <c r="M677" i="3"/>
  <c r="M680" i="3"/>
  <c r="M681" i="3"/>
  <c r="M2718" i="3"/>
  <c r="M2722" i="3"/>
  <c r="M2730" i="3"/>
  <c r="M2762" i="3"/>
  <c r="M2763" i="3"/>
  <c r="M2767" i="3"/>
  <c r="M2770" i="3"/>
  <c r="M2771" i="3"/>
  <c r="M2775" i="3"/>
  <c r="M2778" i="3"/>
  <c r="M2779" i="3"/>
  <c r="M2783" i="3"/>
  <c r="M2787" i="3"/>
  <c r="M2791" i="3"/>
  <c r="M2795" i="3"/>
  <c r="M2799" i="3"/>
  <c r="M2803" i="3"/>
  <c r="M2804" i="3"/>
  <c r="M2807" i="3"/>
  <c r="M2811" i="3"/>
  <c r="M2812" i="3"/>
  <c r="M2815" i="3"/>
  <c r="M2819" i="3"/>
  <c r="M2820" i="3"/>
  <c r="M2823" i="3"/>
  <c r="M2824" i="3"/>
  <c r="M2827" i="3"/>
  <c r="M2828" i="3"/>
  <c r="M2831" i="3"/>
  <c r="M2832" i="3"/>
  <c r="M2835" i="3"/>
  <c r="M2836" i="3"/>
  <c r="M2839" i="3"/>
  <c r="M2840" i="3"/>
  <c r="M2843" i="3"/>
  <c r="M2844" i="3"/>
  <c r="M2847" i="3"/>
  <c r="M2848" i="3"/>
  <c r="M2851" i="3"/>
  <c r="M2852" i="3"/>
  <c r="M2855" i="3"/>
  <c r="M2888" i="3"/>
  <c r="M2928" i="3"/>
  <c r="M3011" i="3"/>
  <c r="M3580" i="3"/>
  <c r="M3584" i="3"/>
  <c r="M3588" i="3"/>
  <c r="M3600" i="3"/>
  <c r="M3608" i="3"/>
  <c r="N3813" i="3"/>
  <c r="M634" i="3"/>
  <c r="M645" i="3"/>
  <c r="M646" i="3"/>
  <c r="M720" i="3"/>
  <c r="M723" i="3"/>
  <c r="M727" i="3"/>
  <c r="M731" i="3"/>
  <c r="M735" i="3"/>
  <c r="M736" i="3"/>
  <c r="M739" i="3"/>
  <c r="M740" i="3"/>
  <c r="M744" i="3"/>
  <c r="M747" i="3"/>
  <c r="M748" i="3"/>
  <c r="M2802" i="3"/>
  <c r="M2810" i="3"/>
  <c r="M2818" i="3"/>
  <c r="M2863" i="3"/>
  <c r="M2867" i="3"/>
  <c r="M2869" i="3"/>
  <c r="M2871" i="3"/>
  <c r="M2875" i="3"/>
  <c r="M2877" i="3"/>
  <c r="M2879" i="3"/>
  <c r="M2883" i="3"/>
  <c r="M2885" i="3"/>
  <c r="M2887" i="3"/>
  <c r="M2891" i="3"/>
  <c r="M2901" i="3"/>
  <c r="M2909" i="3"/>
  <c r="M2916" i="3"/>
  <c r="M2917" i="3"/>
  <c r="M704" i="3"/>
  <c r="M1132" i="3"/>
  <c r="M1140" i="3"/>
  <c r="M1148" i="3"/>
  <c r="M1156" i="3"/>
  <c r="M1161" i="3"/>
  <c r="M1165" i="3"/>
  <c r="M1173" i="3"/>
  <c r="M1177" i="3"/>
  <c r="M1181" i="3"/>
  <c r="M1189" i="3"/>
  <c r="M1193" i="3"/>
  <c r="M1197" i="3"/>
  <c r="M1230" i="3"/>
  <c r="M1238" i="3"/>
  <c r="M1294" i="3"/>
  <c r="M2266" i="3"/>
  <c r="M2276" i="3"/>
  <c r="M2463" i="3"/>
  <c r="M3490" i="3"/>
  <c r="M3494" i="3"/>
  <c r="M3497" i="3"/>
  <c r="M3498" i="3"/>
  <c r="M3502" i="3"/>
  <c r="M3505" i="3"/>
  <c r="M3506" i="3"/>
  <c r="M3508" i="3"/>
  <c r="M3514" i="3"/>
  <c r="M3516" i="3"/>
  <c r="M3520" i="3"/>
  <c r="M3522" i="3"/>
  <c r="M3524" i="3"/>
  <c r="M3528" i="3"/>
  <c r="M3530" i="3"/>
  <c r="M3532" i="3"/>
  <c r="M3536" i="3"/>
  <c r="M3538" i="3"/>
  <c r="M3540" i="3"/>
  <c r="M3542" i="3"/>
  <c r="M3550" i="3"/>
  <c r="M3554" i="3"/>
  <c r="M3558" i="3"/>
  <c r="M3562" i="3"/>
  <c r="M3566" i="3"/>
  <c r="M3569" i="3"/>
  <c r="M3573" i="3"/>
  <c r="M3574" i="3"/>
  <c r="M3612" i="3"/>
  <c r="M3616" i="3"/>
  <c r="M3628" i="3"/>
  <c r="M3632" i="3"/>
  <c r="M3638" i="3"/>
  <c r="M3640" i="3"/>
  <c r="M2328" i="3"/>
  <c r="M3097" i="3"/>
  <c r="M3138" i="3"/>
  <c r="M3146" i="3"/>
  <c r="M3338" i="3"/>
  <c r="M3351" i="3"/>
  <c r="M3362" i="3"/>
  <c r="M3372" i="3"/>
  <c r="M3375" i="3"/>
  <c r="M3378" i="3"/>
  <c r="M3379" i="3"/>
  <c r="M3380" i="3"/>
  <c r="M3382" i="3"/>
  <c r="M3384" i="3"/>
  <c r="M3386" i="3"/>
  <c r="M3387" i="3"/>
  <c r="M3388" i="3"/>
  <c r="M3391" i="3"/>
  <c r="M3394" i="3"/>
  <c r="M3395" i="3"/>
  <c r="M3399" i="3"/>
  <c r="M3402" i="3"/>
  <c r="M3403" i="3"/>
  <c r="M3404" i="3"/>
  <c r="M3406" i="3"/>
  <c r="M3408" i="3"/>
  <c r="M3410" i="3"/>
  <c r="M3412" i="3"/>
  <c r="M3414" i="3"/>
  <c r="M3416" i="3"/>
  <c r="M3420" i="3"/>
  <c r="M3422" i="3"/>
  <c r="M3424" i="3"/>
  <c r="M3426" i="3"/>
  <c r="M3428" i="3"/>
  <c r="M3432" i="3"/>
  <c r="M3434" i="3"/>
  <c r="M3436" i="3"/>
  <c r="M3438" i="3"/>
  <c r="M3548" i="3"/>
  <c r="M3617" i="3"/>
  <c r="M3621" i="3"/>
  <c r="M3633" i="3"/>
  <c r="M3641" i="3"/>
  <c r="M722" i="3"/>
  <c r="M730" i="3"/>
  <c r="M734" i="3"/>
  <c r="M742" i="3"/>
  <c r="M750" i="3"/>
  <c r="M787" i="3"/>
  <c r="M795" i="3"/>
  <c r="M1159" i="3"/>
  <c r="M1171" i="3"/>
  <c r="M1175" i="3"/>
  <c r="M1187" i="3"/>
  <c r="M1191" i="3"/>
  <c r="M2761" i="3"/>
  <c r="M2765" i="3"/>
  <c r="M2773" i="3"/>
  <c r="M2781" i="3"/>
  <c r="M2789" i="3"/>
  <c r="M2834" i="3"/>
  <c r="M2842" i="3"/>
  <c r="M2850" i="3"/>
  <c r="M2858" i="3"/>
  <c r="M2899" i="3"/>
  <c r="M2903" i="3"/>
  <c r="M2907" i="3"/>
  <c r="M2911" i="3"/>
  <c r="M2915" i="3"/>
  <c r="M2919" i="3"/>
  <c r="M2923" i="3"/>
  <c r="M2927" i="3"/>
  <c r="M3021" i="3"/>
  <c r="AB3773" i="3"/>
  <c r="N3779" i="3"/>
  <c r="AB3716" i="3"/>
  <c r="AB3725" i="3"/>
  <c r="AB3691" i="3"/>
  <c r="AB3679" i="3"/>
  <c r="AB3699" i="3"/>
  <c r="AB3698" i="3"/>
  <c r="AB3690" i="3"/>
  <c r="AB3687" i="3"/>
  <c r="M2924" i="3"/>
  <c r="M2922" i="3"/>
  <c r="M2896" i="3"/>
  <c r="M2900" i="3"/>
  <c r="M2904" i="3"/>
  <c r="M2908" i="3"/>
  <c r="M2912" i="3"/>
  <c r="M2920" i="3"/>
  <c r="M2893" i="3"/>
  <c r="M2895" i="3"/>
  <c r="M2925" i="3"/>
  <c r="M2861" i="3"/>
  <c r="M2866" i="3"/>
  <c r="M2874" i="3"/>
  <c r="M2882" i="3"/>
  <c r="M2890" i="3"/>
  <c r="M2856" i="3"/>
  <c r="M2859" i="3"/>
  <c r="N2861" i="3" s="1"/>
  <c r="M2860" i="3"/>
  <c r="M2864" i="3"/>
  <c r="M2868" i="3"/>
  <c r="M2872" i="3"/>
  <c r="M2876" i="3"/>
  <c r="M2880" i="3"/>
  <c r="M2884" i="3"/>
  <c r="M2892" i="3"/>
  <c r="M2829" i="3"/>
  <c r="M2837" i="3"/>
  <c r="M2845" i="3"/>
  <c r="M2853" i="3"/>
  <c r="M2826" i="3"/>
  <c r="M2760" i="3"/>
  <c r="M2764" i="3"/>
  <c r="M2768" i="3"/>
  <c r="M2772" i="3"/>
  <c r="M2776" i="3"/>
  <c r="M2780" i="3"/>
  <c r="M2784" i="3"/>
  <c r="M2788" i="3"/>
  <c r="M2792" i="3"/>
  <c r="M2797" i="3"/>
  <c r="M2805" i="3"/>
  <c r="M2813" i="3"/>
  <c r="M2821" i="3"/>
  <c r="M2796" i="3"/>
  <c r="M2800" i="3"/>
  <c r="M2808" i="3"/>
  <c r="M2816" i="3"/>
  <c r="M2794" i="3"/>
  <c r="M2739" i="3"/>
  <c r="M2743" i="3"/>
  <c r="M2747" i="3"/>
  <c r="M2751" i="3"/>
  <c r="M2755" i="3"/>
  <c r="M2759" i="3"/>
  <c r="M2786" i="3"/>
  <c r="M2729" i="3"/>
  <c r="M2733" i="3"/>
  <c r="M2728" i="3"/>
  <c r="M2740" i="3"/>
  <c r="M2744" i="3"/>
  <c r="M2748" i="3"/>
  <c r="M2752" i="3"/>
  <c r="M2756" i="3"/>
  <c r="M2734" i="3"/>
  <c r="M2726" i="3"/>
  <c r="M2738" i="3"/>
  <c r="M2746" i="3"/>
  <c r="M2754" i="3"/>
  <c r="M2737" i="3"/>
  <c r="M2741" i="3"/>
  <c r="M2745" i="3"/>
  <c r="M2749" i="3"/>
  <c r="M2753" i="3"/>
  <c r="M2757" i="3"/>
  <c r="M2659" i="3"/>
  <c r="M2667" i="3"/>
  <c r="M2675" i="3"/>
  <c r="M2683" i="3"/>
  <c r="M2691" i="3"/>
  <c r="M2960" i="3"/>
  <c r="M2930" i="3"/>
  <c r="M2932" i="3"/>
  <c r="M2933" i="3"/>
  <c r="M2936" i="3"/>
  <c r="M2938" i="3"/>
  <c r="M2940" i="3"/>
  <c r="M2941" i="3"/>
  <c r="M2944" i="3"/>
  <c r="M2946" i="3"/>
  <c r="M2948" i="3"/>
  <c r="M2952" i="3"/>
  <c r="M2954" i="3"/>
  <c r="M2956" i="3"/>
  <c r="M2663" i="3"/>
  <c r="M2671" i="3"/>
  <c r="M2679" i="3"/>
  <c r="M2687" i="3"/>
  <c r="M2658" i="3"/>
  <c r="M2660" i="3"/>
  <c r="M2664" i="3"/>
  <c r="M2666" i="3"/>
  <c r="M2668" i="3"/>
  <c r="M2670" i="3"/>
  <c r="M2672" i="3"/>
  <c r="M2676" i="3"/>
  <c r="M2678" i="3"/>
  <c r="M2680" i="3"/>
  <c r="M2682" i="3"/>
  <c r="M2684" i="3"/>
  <c r="M2686" i="3"/>
  <c r="M2688" i="3"/>
  <c r="M2690" i="3"/>
  <c r="M2627" i="3"/>
  <c r="M2631" i="3"/>
  <c r="M2635" i="3"/>
  <c r="M2639" i="3"/>
  <c r="M2643" i="3"/>
  <c r="M2647" i="3"/>
  <c r="M2655" i="3"/>
  <c r="M2626" i="3"/>
  <c r="M2630" i="3"/>
  <c r="M2638" i="3"/>
  <c r="M2646" i="3"/>
  <c r="M2650" i="3"/>
  <c r="M2594" i="3"/>
  <c r="M2602" i="3"/>
  <c r="M2606" i="3"/>
  <c r="M2614" i="3"/>
  <c r="M2618" i="3"/>
  <c r="M2622" i="3"/>
  <c r="M2591" i="3"/>
  <c r="M2595" i="3"/>
  <c r="M2599" i="3"/>
  <c r="M2603" i="3"/>
  <c r="M2607" i="3"/>
  <c r="M2615" i="3"/>
  <c r="M2623" i="3"/>
  <c r="M2525" i="3"/>
  <c r="M2526" i="3"/>
  <c r="M2529" i="3"/>
  <c r="M2533" i="3"/>
  <c r="M2537" i="3"/>
  <c r="M2541" i="3"/>
  <c r="M2545" i="3"/>
  <c r="M2547" i="3"/>
  <c r="M2549" i="3"/>
  <c r="M2553" i="3"/>
  <c r="M2558" i="3"/>
  <c r="M2562" i="3"/>
  <c r="M2566" i="3"/>
  <c r="M2574" i="3"/>
  <c r="M2582" i="3"/>
  <c r="M2586" i="3"/>
  <c r="M2555" i="3"/>
  <c r="M2563" i="3"/>
  <c r="M2567" i="3"/>
  <c r="M2571" i="3"/>
  <c r="M2575" i="3"/>
  <c r="M2579" i="3"/>
  <c r="M2583" i="3"/>
  <c r="M2587" i="3"/>
  <c r="M2491" i="3"/>
  <c r="M2522" i="3"/>
  <c r="M2523" i="3"/>
  <c r="M2530" i="3"/>
  <c r="M2531" i="3"/>
  <c r="M2534" i="3"/>
  <c r="M2538" i="3"/>
  <c r="M2539" i="3"/>
  <c r="M2542" i="3"/>
  <c r="M2546" i="3"/>
  <c r="M2550" i="3"/>
  <c r="M2554" i="3"/>
  <c r="M2490" i="3"/>
  <c r="M2494" i="3"/>
  <c r="M2498" i="3"/>
  <c r="M2499" i="3"/>
  <c r="M2507" i="3"/>
  <c r="M2510" i="3"/>
  <c r="M2515" i="3"/>
  <c r="M2502" i="3"/>
  <c r="M2514" i="3"/>
  <c r="M2518" i="3"/>
  <c r="M2715" i="3"/>
  <c r="M2723" i="3"/>
  <c r="M2432" i="3"/>
  <c r="M2448" i="3"/>
  <c r="M2453" i="3"/>
  <c r="M2692" i="3"/>
  <c r="M2696" i="3"/>
  <c r="M2700" i="3"/>
  <c r="M2704" i="3"/>
  <c r="M2708" i="3"/>
  <c r="M2712" i="3"/>
  <c r="M2716" i="3"/>
  <c r="M2720" i="3"/>
  <c r="M2724" i="3"/>
  <c r="M2697" i="3"/>
  <c r="M2699" i="3"/>
  <c r="M2705" i="3"/>
  <c r="M2707" i="3"/>
  <c r="M2713" i="3"/>
  <c r="M2717" i="3"/>
  <c r="M2721" i="3"/>
  <c r="M2725" i="3"/>
  <c r="M2440" i="3"/>
  <c r="M2452" i="3"/>
  <c r="M2430" i="3"/>
  <c r="M2441" i="3"/>
  <c r="M2398" i="3"/>
  <c r="M2404" i="3"/>
  <c r="M2408" i="3"/>
  <c r="M2412" i="3"/>
  <c r="M2416" i="3"/>
  <c r="M2387" i="3"/>
  <c r="M2415" i="3"/>
  <c r="M2390" i="3"/>
  <c r="M2395" i="3"/>
  <c r="M2414" i="3"/>
  <c r="M2419" i="3"/>
  <c r="M2319" i="3"/>
  <c r="M2364" i="3"/>
  <c r="M2368" i="3"/>
  <c r="M2384" i="3"/>
  <c r="M2352" i="3"/>
  <c r="M2354" i="3"/>
  <c r="M2358" i="3"/>
  <c r="M2360" i="3"/>
  <c r="M2366" i="3"/>
  <c r="M2370" i="3"/>
  <c r="M2374" i="3"/>
  <c r="M2378" i="3"/>
  <c r="M2382" i="3"/>
  <c r="M2348" i="3"/>
  <c r="M2381" i="3"/>
  <c r="M2324" i="3"/>
  <c r="M2340" i="3"/>
  <c r="M2344" i="3"/>
  <c r="M2336" i="3"/>
  <c r="M2323" i="3"/>
  <c r="M2327" i="3"/>
  <c r="M2331" i="3"/>
  <c r="M2335" i="3"/>
  <c r="M2330" i="3"/>
  <c r="M2334" i="3"/>
  <c r="M2346" i="3"/>
  <c r="M2351" i="3"/>
  <c r="M2326" i="3"/>
  <c r="M2338" i="3"/>
  <c r="M2339" i="3"/>
  <c r="M2342" i="3"/>
  <c r="M2347" i="3"/>
  <c r="M2350" i="3"/>
  <c r="M2290" i="3"/>
  <c r="M2294" i="3"/>
  <c r="M2306" i="3"/>
  <c r="M2286" i="3"/>
  <c r="M2298" i="3"/>
  <c r="M2300" i="3"/>
  <c r="M2302" i="3"/>
  <c r="M2310" i="3"/>
  <c r="M2271" i="3"/>
  <c r="M2296" i="3"/>
  <c r="M2301" i="3"/>
  <c r="M2305" i="3"/>
  <c r="M2312" i="3"/>
  <c r="M2316" i="3"/>
  <c r="M2317" i="3"/>
  <c r="M2283" i="3"/>
  <c r="M2285" i="3"/>
  <c r="M2292" i="3"/>
  <c r="M2297" i="3"/>
  <c r="M2308" i="3"/>
  <c r="M2309" i="3"/>
  <c r="M2313" i="3"/>
  <c r="M2256" i="3"/>
  <c r="M2263" i="3"/>
  <c r="M2267" i="3"/>
  <c r="M2268" i="3"/>
  <c r="M2279" i="3"/>
  <c r="M2259" i="3"/>
  <c r="M2264" i="3"/>
  <c r="M2275" i="3"/>
  <c r="M2280" i="3"/>
  <c r="M2254" i="3"/>
  <c r="M2258" i="3"/>
  <c r="M2260" i="3"/>
  <c r="M2270" i="3"/>
  <c r="M2274" i="3"/>
  <c r="M2278" i="3"/>
  <c r="M2282" i="3"/>
  <c r="M2262" i="3"/>
  <c r="M2252" i="3"/>
  <c r="M2456" i="3"/>
  <c r="M2460" i="3"/>
  <c r="M2464" i="3"/>
  <c r="M2468" i="3"/>
  <c r="M2472" i="3"/>
  <c r="M2476" i="3"/>
  <c r="M2480" i="3"/>
  <c r="M2474" i="3"/>
  <c r="M2478" i="3"/>
  <c r="M2486" i="3"/>
  <c r="M3610" i="3"/>
  <c r="M3618" i="3"/>
  <c r="M3619" i="3"/>
  <c r="M3623" i="3"/>
  <c r="M3626" i="3"/>
  <c r="M3630" i="3"/>
  <c r="M3634" i="3"/>
  <c r="M3635" i="3"/>
  <c r="M3639" i="3"/>
  <c r="M3642" i="3"/>
  <c r="M2455" i="3"/>
  <c r="M2459" i="3"/>
  <c r="M2467" i="3"/>
  <c r="M2471" i="3"/>
  <c r="M2475" i="3"/>
  <c r="M2479" i="3"/>
  <c r="M2483" i="3"/>
  <c r="M2484" i="3"/>
  <c r="M2487" i="3"/>
  <c r="M2466" i="3"/>
  <c r="M2470" i="3"/>
  <c r="M2482" i="3"/>
  <c r="M3577" i="3"/>
  <c r="M3579" i="3"/>
  <c r="M3581" i="3"/>
  <c r="M3582" i="3"/>
  <c r="M3583" i="3"/>
  <c r="M3590" i="3"/>
  <c r="M3591" i="3"/>
  <c r="M3593" i="3"/>
  <c r="M3595" i="3"/>
  <c r="M3597" i="3"/>
  <c r="M3599" i="3"/>
  <c r="M3602" i="3"/>
  <c r="M3606" i="3"/>
  <c r="M3607" i="3"/>
  <c r="M3544" i="3"/>
  <c r="M3551" i="3"/>
  <c r="M3555" i="3"/>
  <c r="M3556" i="3"/>
  <c r="M3560" i="3"/>
  <c r="M3564" i="3"/>
  <c r="M3567" i="3"/>
  <c r="M3571" i="3"/>
  <c r="M3572" i="3"/>
  <c r="M3342" i="3"/>
  <c r="M3346" i="3"/>
  <c r="M3347" i="3"/>
  <c r="M3354" i="3"/>
  <c r="M3358" i="3"/>
  <c r="M3363" i="3"/>
  <c r="M3367" i="3"/>
  <c r="M3370" i="3"/>
  <c r="M3305" i="3"/>
  <c r="M3309" i="3"/>
  <c r="M3310" i="3"/>
  <c r="M3311" i="3"/>
  <c r="M3314" i="3"/>
  <c r="M3315" i="3"/>
  <c r="M3319" i="3"/>
  <c r="M3321" i="3"/>
  <c r="M3323" i="3"/>
  <c r="M3325" i="3"/>
  <c r="M3326" i="3"/>
  <c r="M3327" i="3"/>
  <c r="M3330" i="3"/>
  <c r="M3331" i="3"/>
  <c r="M3334" i="3"/>
  <c r="M3335" i="3"/>
  <c r="M3337" i="3"/>
  <c r="M3304" i="3"/>
  <c r="M3312" i="3"/>
  <c r="M3316" i="3"/>
  <c r="M3320" i="3"/>
  <c r="M3336" i="3"/>
  <c r="M3270" i="3"/>
  <c r="M3272" i="3"/>
  <c r="M3273" i="3"/>
  <c r="M3278" i="3"/>
  <c r="M3231" i="3"/>
  <c r="M3236" i="3"/>
  <c r="M3241" i="3"/>
  <c r="M3243" i="3"/>
  <c r="M3247" i="3"/>
  <c r="M3248" i="3"/>
  <c r="M3251" i="3"/>
  <c r="M3252" i="3"/>
  <c r="M3257" i="3"/>
  <c r="M3259" i="3"/>
  <c r="M3263" i="3"/>
  <c r="M3264" i="3"/>
  <c r="M3267" i="3"/>
  <c r="M3268" i="3"/>
  <c r="M3205" i="3"/>
  <c r="M3208" i="3"/>
  <c r="M3212" i="3"/>
  <c r="M3213" i="3"/>
  <c r="M3216" i="3"/>
  <c r="M3217" i="3"/>
  <c r="M3225" i="3"/>
  <c r="M3229" i="3"/>
  <c r="M3232" i="3"/>
  <c r="M3233" i="3"/>
  <c r="M3165" i="3"/>
  <c r="M3134" i="3"/>
  <c r="M3135" i="3"/>
  <c r="M3139" i="3"/>
  <c r="M3142" i="3"/>
  <c r="M3143" i="3"/>
  <c r="M3151" i="3"/>
  <c r="M3152" i="3"/>
  <c r="M3154" i="3"/>
  <c r="M3155" i="3"/>
  <c r="M3156" i="3"/>
  <c r="M3159" i="3"/>
  <c r="M3160" i="3"/>
  <c r="M3162" i="3"/>
  <c r="M3167" i="3"/>
  <c r="M3137" i="3"/>
  <c r="M3141" i="3"/>
  <c r="M3145" i="3"/>
  <c r="M3069" i="3"/>
  <c r="M3073" i="3"/>
  <c r="M3077" i="3"/>
  <c r="M3081" i="3"/>
  <c r="M3085" i="3"/>
  <c r="M3089" i="3"/>
  <c r="M3093" i="3"/>
  <c r="M3102" i="3"/>
  <c r="M3106" i="3"/>
  <c r="M3118" i="3"/>
  <c r="M3122" i="3"/>
  <c r="M3126" i="3"/>
  <c r="M3103" i="3"/>
  <c r="M3104" i="3"/>
  <c r="M3112" i="3"/>
  <c r="M3115" i="3"/>
  <c r="M3116" i="3"/>
  <c r="M3123" i="3"/>
  <c r="M3124" i="3"/>
  <c r="M3033" i="3"/>
  <c r="M3037" i="3"/>
  <c r="M3041" i="3"/>
  <c r="M3070" i="3"/>
  <c r="M3074" i="3"/>
  <c r="M3078" i="3"/>
  <c r="M3086" i="3"/>
  <c r="M3090" i="3"/>
  <c r="M3094" i="3"/>
  <c r="M3099" i="3"/>
  <c r="M3072" i="3"/>
  <c r="M3083" i="3"/>
  <c r="M3084" i="3"/>
  <c r="M3091" i="3"/>
  <c r="M3092" i="3"/>
  <c r="M3045" i="3"/>
  <c r="M3049" i="3"/>
  <c r="M3057" i="3"/>
  <c r="M3061" i="3"/>
  <c r="M3065" i="3"/>
  <c r="M3058" i="3"/>
  <c r="M3063" i="3"/>
  <c r="M2968" i="3"/>
  <c r="M2972" i="3"/>
  <c r="M2976" i="3"/>
  <c r="M2984" i="3"/>
  <c r="M2992" i="3"/>
  <c r="M2970" i="3"/>
  <c r="M3171" i="3"/>
  <c r="M3172" i="3"/>
  <c r="M3175" i="3"/>
  <c r="M3180" i="3"/>
  <c r="M3183" i="3"/>
  <c r="M3187" i="3"/>
  <c r="M3191" i="3"/>
  <c r="M3192" i="3"/>
  <c r="M3195" i="3"/>
  <c r="M3199" i="3"/>
  <c r="AB3821" i="3"/>
  <c r="AB3815" i="3"/>
  <c r="AB3828" i="3"/>
  <c r="AB3834" i="3"/>
  <c r="AB3715" i="3"/>
  <c r="AB3685" i="3"/>
  <c r="AB3824" i="3"/>
  <c r="AB3845" i="3"/>
  <c r="AB3770" i="3"/>
  <c r="AB3719" i="3"/>
  <c r="AB3841" i="3"/>
  <c r="AB3812" i="3"/>
  <c r="AB3764" i="3"/>
  <c r="AB3756" i="3"/>
  <c r="AB3748" i="3"/>
  <c r="AB3681" i="3"/>
  <c r="AB3780" i="3"/>
  <c r="AB3712" i="3"/>
  <c r="AB3706" i="3"/>
  <c r="AB3713" i="3"/>
  <c r="AB3741" i="3"/>
  <c r="M625" i="3"/>
  <c r="M413" i="3"/>
  <c r="M421" i="3"/>
  <c r="M429" i="3"/>
  <c r="M437" i="3"/>
  <c r="M489" i="3"/>
  <c r="M495" i="3"/>
  <c r="M503" i="3"/>
  <c r="M651" i="3"/>
  <c r="M659" i="3"/>
  <c r="M671" i="3"/>
  <c r="M679" i="3"/>
  <c r="M422" i="3"/>
  <c r="M430" i="3"/>
  <c r="M438" i="3"/>
  <c r="M435" i="3"/>
  <c r="M486" i="3"/>
  <c r="M494" i="3"/>
  <c r="M502" i="3"/>
  <c r="M616" i="3"/>
  <c r="M624" i="3"/>
  <c r="H3884" i="3"/>
  <c r="M556" i="3"/>
  <c r="M576" i="3"/>
  <c r="M582" i="3"/>
  <c r="M583" i="3"/>
  <c r="M586" i="3"/>
  <c r="M587" i="3"/>
  <c r="M591" i="3"/>
  <c r="M595" i="3"/>
  <c r="M599" i="3"/>
  <c r="M602" i="3"/>
  <c r="M603" i="3"/>
  <c r="M607" i="3"/>
  <c r="M611" i="3"/>
  <c r="M684" i="3"/>
  <c r="M688" i="3"/>
  <c r="M696" i="3"/>
  <c r="M700" i="3"/>
  <c r="M705" i="3"/>
  <c r="M708" i="3"/>
  <c r="M709" i="3"/>
  <c r="M713" i="3"/>
  <c r="M716" i="3"/>
  <c r="M738" i="3"/>
  <c r="M746" i="3"/>
  <c r="M547" i="3"/>
  <c r="M615" i="3"/>
  <c r="M619" i="3"/>
  <c r="M623" i="3"/>
  <c r="M632" i="3"/>
  <c r="M635" i="3"/>
  <c r="M643" i="3"/>
  <c r="M662" i="3"/>
  <c r="M678" i="3"/>
  <c r="M441" i="3"/>
  <c r="M377" i="3"/>
  <c r="M551" i="3"/>
  <c r="M555" i="3"/>
  <c r="M559" i="3"/>
  <c r="M563" i="3"/>
  <c r="M657" i="3"/>
  <c r="M717" i="3"/>
  <c r="M721" i="3"/>
  <c r="M725" i="3"/>
  <c r="M729" i="3"/>
  <c r="M737" i="3"/>
  <c r="M741" i="3"/>
  <c r="M745" i="3"/>
  <c r="M749" i="3"/>
  <c r="K3884" i="3"/>
  <c r="M433" i="3"/>
  <c r="M418" i="3"/>
  <c r="M426" i="3"/>
  <c r="M434" i="3"/>
  <c r="M442" i="3"/>
  <c r="M439" i="3"/>
  <c r="M380" i="3"/>
  <c r="M384" i="3"/>
  <c r="M388" i="3"/>
  <c r="M392" i="3"/>
  <c r="M396" i="3"/>
  <c r="M400" i="3"/>
  <c r="M404" i="3"/>
  <c r="M408" i="3"/>
  <c r="M513" i="3"/>
  <c r="M521" i="3"/>
  <c r="M529" i="3"/>
  <c r="M537" i="3"/>
  <c r="M554" i="3"/>
  <c r="M578" i="3"/>
  <c r="M649" i="3"/>
  <c r="M661" i="3"/>
  <c r="M718" i="3"/>
  <c r="M719" i="3"/>
  <c r="M733" i="3"/>
  <c r="M581" i="3"/>
  <c r="M584" i="3"/>
  <c r="M585" i="3"/>
  <c r="M588" i="3"/>
  <c r="M592" i="3"/>
  <c r="M596" i="3"/>
  <c r="M600" i="3"/>
  <c r="M601" i="3"/>
  <c r="M604" i="3"/>
  <c r="M608" i="3"/>
  <c r="M612" i="3"/>
  <c r="M728" i="3"/>
  <c r="M550" i="3"/>
  <c r="M553" i="3"/>
  <c r="N580" i="3" s="1"/>
  <c r="M557" i="3"/>
  <c r="M558" i="3"/>
  <c r="M561" i="3"/>
  <c r="M565" i="3"/>
  <c r="M566" i="3"/>
  <c r="M567" i="3"/>
  <c r="M569" i="3"/>
  <c r="M571" i="3"/>
  <c r="M573" i="3"/>
  <c r="M574" i="3"/>
  <c r="M575" i="3"/>
  <c r="M577" i="3"/>
  <c r="M579" i="3"/>
  <c r="M622" i="3"/>
  <c r="M2284" i="3"/>
  <c r="M2288" i="3"/>
  <c r="M2315" i="3"/>
  <c r="M2320" i="3"/>
  <c r="M2355" i="3"/>
  <c r="M2356" i="3"/>
  <c r="M2359" i="3"/>
  <c r="M2363" i="3"/>
  <c r="M2367" i="3"/>
  <c r="M2371" i="3"/>
  <c r="M2375" i="3"/>
  <c r="M2376" i="3"/>
  <c r="M2379" i="3"/>
  <c r="M2383" i="3"/>
  <c r="M2493" i="3"/>
  <c r="M2497" i="3"/>
  <c r="M2501" i="3"/>
  <c r="M2505" i="3"/>
  <c r="M2509" i="3"/>
  <c r="M2517" i="3"/>
  <c r="M545" i="3"/>
  <c r="M618" i="3"/>
  <c r="M630" i="3"/>
  <c r="M638" i="3"/>
  <c r="M650" i="3"/>
  <c r="M658" i="3"/>
  <c r="M666" i="3"/>
  <c r="M674" i="3"/>
  <c r="M682" i="3"/>
  <c r="M683" i="3"/>
  <c r="M2253" i="3"/>
  <c r="M2257" i="3"/>
  <c r="M2261" i="3"/>
  <c r="M2265" i="3"/>
  <c r="M2269" i="3"/>
  <c r="M2273" i="3"/>
  <c r="M2277" i="3"/>
  <c r="M2281" i="3"/>
  <c r="M2421" i="3"/>
  <c r="M2422" i="3"/>
  <c r="M2434" i="3"/>
  <c r="M2449" i="3"/>
  <c r="N886" i="3"/>
  <c r="M2488" i="3"/>
  <c r="M2492" i="3"/>
  <c r="M2496" i="3"/>
  <c r="M2500" i="3"/>
  <c r="M2504" i="3"/>
  <c r="M2508" i="3"/>
  <c r="M2512" i="3"/>
  <c r="M2516" i="3"/>
  <c r="M2520" i="3"/>
  <c r="M2557" i="3"/>
  <c r="M2561" i="3"/>
  <c r="M2565" i="3"/>
  <c r="M2569" i="3"/>
  <c r="M2573" i="3"/>
  <c r="M2577" i="3"/>
  <c r="M2581" i="3"/>
  <c r="M2585" i="3"/>
  <c r="M2589" i="3"/>
  <c r="M2695" i="3"/>
  <c r="M2703" i="3"/>
  <c r="M2711" i="3"/>
  <c r="M2719" i="3"/>
  <c r="M685" i="3"/>
  <c r="M689" i="3"/>
  <c r="M693" i="3"/>
  <c r="M697" i="3"/>
  <c r="I3884" i="3"/>
  <c r="M2321" i="3"/>
  <c r="M2325" i="3"/>
  <c r="M2329" i="3"/>
  <c r="M2333" i="3"/>
  <c r="M2337" i="3"/>
  <c r="M2524" i="3"/>
  <c r="M2528" i="3"/>
  <c r="M2532" i="3"/>
  <c r="M2536" i="3"/>
  <c r="M2540" i="3"/>
  <c r="M2544" i="3"/>
  <c r="M2548" i="3"/>
  <c r="M2552" i="3"/>
  <c r="M687" i="3"/>
  <c r="M691" i="3"/>
  <c r="M695" i="3"/>
  <c r="M699" i="3"/>
  <c r="M703" i="3"/>
  <c r="M707" i="3"/>
  <c r="M711" i="3"/>
  <c r="M715" i="3"/>
  <c r="J3884" i="3"/>
  <c r="M2250" i="3"/>
  <c r="M2318" i="3"/>
  <c r="M2322" i="3"/>
  <c r="M2353" i="3"/>
  <c r="M2361" i="3"/>
  <c r="M2365" i="3"/>
  <c r="M2377" i="3"/>
  <c r="M2391" i="3"/>
  <c r="M2424" i="3"/>
  <c r="M2458" i="3"/>
  <c r="M1125" i="3"/>
  <c r="M1126" i="3"/>
  <c r="M1130" i="3"/>
  <c r="M1133" i="3"/>
  <c r="N1158" i="3" s="1"/>
  <c r="M1134" i="3"/>
  <c r="M1138" i="3"/>
  <c r="M1141" i="3"/>
  <c r="M1142" i="3"/>
  <c r="M1146" i="3"/>
  <c r="M1149" i="3"/>
  <c r="M1150" i="3"/>
  <c r="M1154" i="3"/>
  <c r="M1157" i="3"/>
  <c r="M1158" i="3"/>
  <c r="M1162" i="3"/>
  <c r="M1164" i="3"/>
  <c r="M1166" i="3"/>
  <c r="M1170" i="3"/>
  <c r="M1172" i="3"/>
  <c r="M1174" i="3"/>
  <c r="N1192" i="3" s="1"/>
  <c r="M1178" i="3"/>
  <c r="M1180" i="3"/>
  <c r="M1182" i="3"/>
  <c r="M1186" i="3"/>
  <c r="M1188" i="3"/>
  <c r="M1190" i="3"/>
  <c r="M1194" i="3"/>
  <c r="M1195" i="3"/>
  <c r="M1198" i="3"/>
  <c r="M1199" i="3"/>
  <c r="M2399" i="3"/>
  <c r="M2400" i="3"/>
  <c r="M2407" i="3"/>
  <c r="M2411" i="3"/>
  <c r="M2420" i="3"/>
  <c r="M2423" i="3"/>
  <c r="M2425" i="3"/>
  <c r="M2427" i="3"/>
  <c r="M2428" i="3"/>
  <c r="M2429" i="3"/>
  <c r="M2431" i="3"/>
  <c r="M2433" i="3"/>
  <c r="M2435" i="3"/>
  <c r="M2436" i="3"/>
  <c r="M2437" i="3"/>
  <c r="M2439" i="3"/>
  <c r="M2443" i="3"/>
  <c r="M2444" i="3"/>
  <c r="M2445" i="3"/>
  <c r="M2447" i="3"/>
  <c r="M2451" i="3"/>
  <c r="L3884" i="3"/>
  <c r="M2386" i="3"/>
  <c r="M2394" i="3"/>
  <c r="M2402" i="3"/>
  <c r="M2406" i="3"/>
  <c r="M2418" i="3"/>
  <c r="M2457" i="3"/>
  <c r="M2461" i="3"/>
  <c r="M2465" i="3"/>
  <c r="M2469" i="3"/>
  <c r="M2473" i="3"/>
  <c r="M2477" i="3"/>
  <c r="M2481" i="3"/>
  <c r="M2485" i="3"/>
  <c r="M2495" i="3"/>
  <c r="M2503" i="3"/>
  <c r="M2511" i="3"/>
  <c r="M2519" i="3"/>
  <c r="M2527" i="3"/>
  <c r="M2535" i="3"/>
  <c r="M2543" i="3"/>
  <c r="M2551" i="3"/>
  <c r="M2556" i="3"/>
  <c r="M2559" i="3"/>
  <c r="M2560" i="3"/>
  <c r="M2564" i="3"/>
  <c r="M2568" i="3"/>
  <c r="M2572" i="3"/>
  <c r="M2576" i="3"/>
  <c r="M2580" i="3"/>
  <c r="M2584" i="3"/>
  <c r="M2588" i="3"/>
  <c r="M2592" i="3"/>
  <c r="M2593" i="3"/>
  <c r="M2596" i="3"/>
  <c r="M2597" i="3"/>
  <c r="M2600" i="3"/>
  <c r="M2601" i="3"/>
  <c r="M2604" i="3"/>
  <c r="M2605" i="3"/>
  <c r="M2608" i="3"/>
  <c r="M2609" i="3"/>
  <c r="M2612" i="3"/>
  <c r="M2613" i="3"/>
  <c r="M2616" i="3"/>
  <c r="M2617" i="3"/>
  <c r="M2620" i="3"/>
  <c r="M2621" i="3"/>
  <c r="M2624" i="3"/>
  <c r="M2625" i="3"/>
  <c r="M2628" i="3"/>
  <c r="M2629" i="3"/>
  <c r="M2632" i="3"/>
  <c r="M2633" i="3"/>
  <c r="M2636" i="3"/>
  <c r="M2637" i="3"/>
  <c r="M2640" i="3"/>
  <c r="M2641" i="3"/>
  <c r="M2644" i="3"/>
  <c r="M2645" i="3"/>
  <c r="M2648" i="3"/>
  <c r="M2649" i="3"/>
  <c r="M2652" i="3"/>
  <c r="M2653" i="3"/>
  <c r="M2656" i="3"/>
  <c r="M2657" i="3"/>
  <c r="M2661" i="3"/>
  <c r="M2665" i="3"/>
  <c r="M2669" i="3"/>
  <c r="M2673" i="3"/>
  <c r="M2677" i="3"/>
  <c r="M2681" i="3"/>
  <c r="M2685" i="3"/>
  <c r="M2689" i="3"/>
  <c r="M2693" i="3"/>
  <c r="M2701" i="3"/>
  <c r="M2709" i="3"/>
  <c r="M686" i="3"/>
  <c r="M690" i="3"/>
  <c r="M694" i="3"/>
  <c r="M698" i="3"/>
  <c r="M702" i="3"/>
  <c r="M706" i="3"/>
  <c r="M710" i="3"/>
  <c r="M714" i="3"/>
  <c r="M724" i="3"/>
  <c r="M732" i="3"/>
  <c r="G3884" i="3"/>
  <c r="M2251" i="3"/>
  <c r="M2287" i="3"/>
  <c r="M2291" i="3"/>
  <c r="M2295" i="3"/>
  <c r="M2299" i="3"/>
  <c r="M2303" i="3"/>
  <c r="M2307" i="3"/>
  <c r="M2311" i="3"/>
  <c r="M2372" i="3"/>
  <c r="M2426" i="3"/>
  <c r="M2454" i="3"/>
  <c r="M2462" i="3"/>
  <c r="M2489" i="3"/>
  <c r="M2964" i="3"/>
  <c r="M2341" i="3"/>
  <c r="M2345" i="3"/>
  <c r="M2349" i="3"/>
  <c r="M2389" i="3"/>
  <c r="M2393" i="3"/>
  <c r="M2397" i="3"/>
  <c r="M2401" i="3"/>
  <c r="M2405" i="3"/>
  <c r="M2409" i="3"/>
  <c r="M2413" i="3"/>
  <c r="M2417" i="3"/>
  <c r="M2388" i="3"/>
  <c r="M2392" i="3"/>
  <c r="M2396" i="3"/>
  <c r="M2727" i="3"/>
  <c r="M2731" i="3"/>
  <c r="M2732" i="3"/>
  <c r="M2735" i="3"/>
  <c r="M2736" i="3"/>
  <c r="M2989" i="3"/>
  <c r="M3054" i="3"/>
  <c r="M3075" i="3"/>
  <c r="M3079" i="3"/>
  <c r="M3107" i="3"/>
  <c r="M3111" i="3"/>
  <c r="M3131" i="3"/>
  <c r="M3136" i="3"/>
  <c r="M3140" i="3"/>
  <c r="M3144" i="3"/>
  <c r="AB3808" i="3"/>
  <c r="AB3800" i="3"/>
  <c r="AB3792" i="3"/>
  <c r="AB3784" i="3"/>
  <c r="AB3827" i="3"/>
  <c r="AB3840" i="3"/>
  <c r="AB3846" i="3"/>
  <c r="AB3833" i="3"/>
  <c r="AB3861" i="3"/>
  <c r="AB3862" i="3"/>
  <c r="AB3863" i="3"/>
  <c r="AB3860" i="3"/>
  <c r="AB3760" i="3"/>
  <c r="AB3752" i="3"/>
  <c r="AB3751" i="3"/>
  <c r="AB3769" i="3"/>
  <c r="AB3708" i="3"/>
  <c r="AB3704" i="3"/>
  <c r="AB3696" i="3"/>
  <c r="AB3688" i="3"/>
  <c r="AB3680" i="3"/>
  <c r="AB3817" i="3"/>
  <c r="AB3831" i="3"/>
  <c r="AB3844" i="3"/>
  <c r="AB3825" i="3"/>
  <c r="AB3865" i="3"/>
  <c r="AB3866" i="3"/>
  <c r="AB3867" i="3"/>
  <c r="AB3864" i="3"/>
  <c r="AB3759" i="3"/>
  <c r="AB3682" i="3"/>
  <c r="AB3709" i="3"/>
  <c r="M2965" i="3"/>
  <c r="M2966" i="3"/>
  <c r="M2967" i="3"/>
  <c r="M2969" i="3"/>
  <c r="M2971" i="3"/>
  <c r="M2973" i="3"/>
  <c r="M2974" i="3"/>
  <c r="M2975" i="3"/>
  <c r="M2977" i="3"/>
  <c r="M2979" i="3"/>
  <c r="M2981" i="3"/>
  <c r="M2982" i="3"/>
  <c r="M2983" i="3"/>
  <c r="M2985" i="3"/>
  <c r="M2987" i="3"/>
  <c r="M2990" i="3"/>
  <c r="M2991" i="3"/>
  <c r="M2993" i="3"/>
  <c r="M2995" i="3"/>
  <c r="M2997" i="3"/>
  <c r="M2999" i="3"/>
  <c r="M3001" i="3"/>
  <c r="M3002" i="3"/>
  <c r="M3003" i="3"/>
  <c r="M3005" i="3"/>
  <c r="M3007" i="3"/>
  <c r="M3009" i="3"/>
  <c r="M3010" i="3"/>
  <c r="M3013" i="3"/>
  <c r="M3014" i="3"/>
  <c r="M3015" i="3"/>
  <c r="M3017" i="3"/>
  <c r="M3018" i="3"/>
  <c r="M3019" i="3"/>
  <c r="M3023" i="3"/>
  <c r="M3025" i="3"/>
  <c r="M3026" i="3"/>
  <c r="M3030" i="3"/>
  <c r="M3031" i="3"/>
  <c r="M3034" i="3"/>
  <c r="M3035" i="3"/>
  <c r="M3036" i="3"/>
  <c r="M3038" i="3"/>
  <c r="M3039" i="3"/>
  <c r="M3046" i="3"/>
  <c r="M3050" i="3"/>
  <c r="M3051" i="3"/>
  <c r="M3055" i="3"/>
  <c r="M3056" i="3"/>
  <c r="M3059" i="3"/>
  <c r="M3060" i="3"/>
  <c r="M3067" i="3"/>
  <c r="AB3837" i="3"/>
  <c r="AB3818" i="3"/>
  <c r="AB3835" i="3"/>
  <c r="AB3822" i="3"/>
  <c r="AB3811" i="3"/>
  <c r="AB3803" i="3"/>
  <c r="AB3795" i="3"/>
  <c r="AB3787" i="3"/>
  <c r="AB3869" i="3"/>
  <c r="AB3870" i="3"/>
  <c r="AB3871" i="3"/>
  <c r="AB3868" i="3"/>
  <c r="AB3820" i="3"/>
  <c r="AB3805" i="3"/>
  <c r="AB3797" i="3"/>
  <c r="AB3789" i="3"/>
  <c r="AB3781" i="3"/>
  <c r="AB3744" i="3"/>
  <c r="AB3736" i="3"/>
  <c r="AB3728" i="3"/>
  <c r="AB3720" i="3"/>
  <c r="AB3739" i="3"/>
  <c r="AB3731" i="3"/>
  <c r="AB3723" i="3"/>
  <c r="AB3765" i="3"/>
  <c r="AB3757" i="3"/>
  <c r="AB3749" i="3"/>
  <c r="AB3710" i="3"/>
  <c r="AB3816" i="3"/>
  <c r="AB3839" i="3"/>
  <c r="AB3826" i="3"/>
  <c r="AB3806" i="3"/>
  <c r="AB3798" i="3"/>
  <c r="AB3790" i="3"/>
  <c r="AB3782" i="3"/>
  <c r="AB3873" i="3"/>
  <c r="AB3874" i="3"/>
  <c r="AB3875" i="3"/>
  <c r="AB3872" i="3"/>
  <c r="AB3733" i="3"/>
  <c r="AB3775" i="3"/>
  <c r="AB3766" i="3"/>
  <c r="AB3758" i="3"/>
  <c r="AB3750" i="3"/>
  <c r="AB3768" i="3"/>
  <c r="AB3777" i="3"/>
  <c r="AB3742" i="3"/>
  <c r="AB3734" i="3"/>
  <c r="AB3726" i="3"/>
  <c r="AB3718" i="3"/>
  <c r="AB3717" i="3"/>
  <c r="AB3707" i="3"/>
  <c r="AB3701" i="3"/>
  <c r="AB3693" i="3"/>
  <c r="AB3804" i="3"/>
  <c r="AB3796" i="3"/>
  <c r="AB3788" i="3"/>
  <c r="AB3814" i="3"/>
  <c r="AB3843" i="3"/>
  <c r="AB3830" i="3"/>
  <c r="AB3877" i="3"/>
  <c r="AB3878" i="3"/>
  <c r="AB3879" i="3"/>
  <c r="AB3876" i="3"/>
  <c r="AB3829" i="3"/>
  <c r="AB3767" i="3"/>
  <c r="AB3778" i="3"/>
  <c r="AB3700" i="3"/>
  <c r="AB3692" i="3"/>
  <c r="AB3684" i="3"/>
  <c r="AB3849" i="3"/>
  <c r="AB3850" i="3"/>
  <c r="AB3851" i="3"/>
  <c r="AB3848" i="3"/>
  <c r="AB3880" i="3"/>
  <c r="AB3763" i="3"/>
  <c r="AB3755" i="3"/>
  <c r="AB3776" i="3"/>
  <c r="AB3772" i="3"/>
  <c r="AB3703" i="3"/>
  <c r="AB3695" i="3"/>
  <c r="AB3683" i="3"/>
  <c r="AB3702" i="3"/>
  <c r="AB3694" i="3"/>
  <c r="AB3686" i="3"/>
  <c r="AB3678" i="3"/>
  <c r="AB3819" i="3"/>
  <c r="AB3832" i="3"/>
  <c r="AB3838" i="3"/>
  <c r="AB3807" i="3"/>
  <c r="AB3799" i="3"/>
  <c r="AB3791" i="3"/>
  <c r="AB3783" i="3"/>
  <c r="AB3853" i="3"/>
  <c r="AB3854" i="3"/>
  <c r="AB3855" i="3"/>
  <c r="AB3852" i="3"/>
  <c r="AB3809" i="3"/>
  <c r="AB3801" i="3"/>
  <c r="AB3793" i="3"/>
  <c r="AB3785" i="3"/>
  <c r="AB3740" i="3"/>
  <c r="AB3732" i="3"/>
  <c r="AB3724" i="3"/>
  <c r="AB3743" i="3"/>
  <c r="AB3735" i="3"/>
  <c r="AB3727" i="3"/>
  <c r="AB3761" i="3"/>
  <c r="AB3753" i="3"/>
  <c r="AB3771" i="3"/>
  <c r="AB3823" i="3"/>
  <c r="AB3836" i="3"/>
  <c r="AB3842" i="3"/>
  <c r="AB3810" i="3"/>
  <c r="AB3802" i="3"/>
  <c r="AB3794" i="3"/>
  <c r="AB3786" i="3"/>
  <c r="AB3857" i="3"/>
  <c r="AB3858" i="3"/>
  <c r="AB3859" i="3"/>
  <c r="AB3856" i="3"/>
  <c r="AB3721" i="3"/>
  <c r="AB3737" i="3"/>
  <c r="AB3729" i="3"/>
  <c r="AB3762" i="3"/>
  <c r="AB3754" i="3"/>
  <c r="AB3746" i="3"/>
  <c r="AB3738" i="3"/>
  <c r="AB3730" i="3"/>
  <c r="AB3722" i="3"/>
  <c r="AB3714" i="3"/>
  <c r="AB3705" i="3"/>
  <c r="AB3697" i="3"/>
  <c r="AB3689" i="3"/>
  <c r="M2996" i="3"/>
  <c r="M3064" i="3"/>
  <c r="M3082" i="3"/>
  <c r="M3095" i="3"/>
  <c r="M3100" i="3"/>
  <c r="M3113" i="3"/>
  <c r="M3130" i="3"/>
  <c r="M3148" i="3"/>
  <c r="M3196" i="3"/>
  <c r="M2988" i="3"/>
  <c r="M3008" i="3"/>
  <c r="M3042" i="3"/>
  <c r="M3098" i="3"/>
  <c r="M3108" i="3"/>
  <c r="M3129" i="3"/>
  <c r="M3147" i="3"/>
  <c r="M3164" i="3"/>
  <c r="M3182" i="3"/>
  <c r="M2994" i="3"/>
  <c r="M2980" i="3"/>
  <c r="M3006" i="3"/>
  <c r="M3012" i="3"/>
  <c r="M3024" i="3"/>
  <c r="M3040" i="3"/>
  <c r="M3062" i="3"/>
  <c r="M3080" i="3"/>
  <c r="M2986" i="3"/>
  <c r="M3053" i="3"/>
  <c r="M3071" i="3"/>
  <c r="M3132" i="3"/>
  <c r="M3150" i="3"/>
  <c r="M3168" i="3"/>
  <c r="M2998" i="3"/>
  <c r="M3022" i="3"/>
  <c r="M3028" i="3"/>
  <c r="M3048" i="3"/>
  <c r="M3066" i="3"/>
  <c r="M3096" i="3"/>
  <c r="M3114" i="3"/>
  <c r="M3158" i="3"/>
  <c r="M3176" i="3"/>
  <c r="M3004" i="3"/>
  <c r="M3016" i="3"/>
  <c r="M3043" i="3"/>
  <c r="M3087" i="3"/>
  <c r="M3105" i="3"/>
  <c r="M3166" i="3"/>
  <c r="M3184" i="3"/>
  <c r="M3224" i="3"/>
  <c r="M3201" i="3"/>
  <c r="M3207" i="3"/>
  <c r="M3214" i="3"/>
  <c r="M3227" i="3"/>
  <c r="M3245" i="3"/>
  <c r="M3249" i="3"/>
  <c r="M3254" i="3"/>
  <c r="M3271" i="3"/>
  <c r="M3275" i="3"/>
  <c r="M3280" i="3"/>
  <c r="M3298" i="3"/>
  <c r="M3306" i="3"/>
  <c r="M3324" i="3"/>
  <c r="M3350" i="3"/>
  <c r="M3376" i="3"/>
  <c r="M3415" i="3"/>
  <c r="M3419" i="3"/>
  <c r="M3425" i="3"/>
  <c r="M3444" i="3"/>
  <c r="M3466" i="3"/>
  <c r="M3475" i="3"/>
  <c r="M3479" i="3"/>
  <c r="M3485" i="3"/>
  <c r="M3507" i="3"/>
  <c r="M3534" i="3"/>
  <c r="M3543" i="3"/>
  <c r="M3547" i="3"/>
  <c r="M3552" i="3"/>
  <c r="M3561" i="3"/>
  <c r="M3578" i="3"/>
  <c r="M3587" i="3"/>
  <c r="M3613" i="3"/>
  <c r="M3643" i="3"/>
  <c r="M3669" i="3"/>
  <c r="M3673" i="3"/>
  <c r="M3193" i="3"/>
  <c r="M3211" i="3"/>
  <c r="M3226" i="3"/>
  <c r="M3235" i="3"/>
  <c r="M3261" i="3"/>
  <c r="M3265" i="3"/>
  <c r="M3287" i="3"/>
  <c r="M3291" i="3"/>
  <c r="M3296" i="3"/>
  <c r="M3313" i="3"/>
  <c r="M3317" i="3"/>
  <c r="M3322" i="3"/>
  <c r="M3339" i="3"/>
  <c r="M3343" i="3"/>
  <c r="M3348" i="3"/>
  <c r="M3357" i="3"/>
  <c r="M3366" i="3"/>
  <c r="M3374" i="3"/>
  <c r="M3383" i="3"/>
  <c r="M3392" i="3"/>
  <c r="M3423" i="3"/>
  <c r="M3427" i="3"/>
  <c r="M3433" i="3"/>
  <c r="M3442" i="3"/>
  <c r="M3452" i="3"/>
  <c r="M3483" i="3"/>
  <c r="M3487" i="3"/>
  <c r="M3493" i="3"/>
  <c r="M3512" i="3"/>
  <c r="M3546" i="3"/>
  <c r="M3559" i="3"/>
  <c r="M3563" i="3"/>
  <c r="M3568" i="3"/>
  <c r="M3585" i="3"/>
  <c r="M3589" i="3"/>
  <c r="M3594" i="3"/>
  <c r="M3603" i="3"/>
  <c r="M3611" i="3"/>
  <c r="M3615" i="3"/>
  <c r="M3620" i="3"/>
  <c r="M3629" i="3"/>
  <c r="M3672" i="3"/>
  <c r="M3646" i="3"/>
  <c r="M3210" i="3"/>
  <c r="M3220" i="3"/>
  <c r="M3234" i="3"/>
  <c r="M3240" i="3"/>
  <c r="M3303" i="3"/>
  <c r="M3329" i="3"/>
  <c r="M3333" i="3"/>
  <c r="M3355" i="3"/>
  <c r="M3359" i="3"/>
  <c r="M3364" i="3"/>
  <c r="M3381" i="3"/>
  <c r="M3385" i="3"/>
  <c r="M3390" i="3"/>
  <c r="M3400" i="3"/>
  <c r="M3409" i="3"/>
  <c r="M3431" i="3"/>
  <c r="M3435" i="3"/>
  <c r="M3450" i="3"/>
  <c r="M3460" i="3"/>
  <c r="M3491" i="3"/>
  <c r="M3495" i="3"/>
  <c r="M3501" i="3"/>
  <c r="M3510" i="3"/>
  <c r="M3519" i="3"/>
  <c r="M3575" i="3"/>
  <c r="M3601" i="3"/>
  <c r="M3605" i="3"/>
  <c r="M3614" i="3"/>
  <c r="M3627" i="3"/>
  <c r="M3631" i="3"/>
  <c r="M3637" i="3"/>
  <c r="M3654" i="3"/>
  <c r="M3655" i="3"/>
  <c r="M3197" i="3"/>
  <c r="M3203" i="3"/>
  <c r="M3219" i="3"/>
  <c r="M3274" i="3"/>
  <c r="M3478" i="3"/>
  <c r="M3509" i="3"/>
  <c r="M3518" i="3"/>
  <c r="M3527" i="3"/>
  <c r="M3570" i="3"/>
  <c r="M3596" i="3"/>
  <c r="M3609" i="3"/>
  <c r="M3622" i="3"/>
  <c r="M3636" i="3"/>
  <c r="M3645" i="3"/>
  <c r="M3663" i="3"/>
  <c r="M3223" i="3"/>
  <c r="M3230" i="3"/>
  <c r="M3238" i="3"/>
  <c r="M3256" i="3"/>
  <c r="M3282" i="3"/>
  <c r="M3308" i="3"/>
  <c r="M3371" i="3"/>
  <c r="M3398" i="3"/>
  <c r="M3407" i="3"/>
  <c r="M3411" i="3"/>
  <c r="M3417" i="3"/>
  <c r="M3439" i="3"/>
  <c r="M3458" i="3"/>
  <c r="M3499" i="3"/>
  <c r="M3503" i="3"/>
  <c r="M3521" i="3"/>
  <c r="M3526" i="3"/>
  <c r="M3189" i="3"/>
  <c r="M3202" i="3"/>
  <c r="M3228" i="3"/>
  <c r="N2793" i="3"/>
  <c r="N2827" i="3"/>
  <c r="N2385" i="3"/>
  <c r="N2008" i="3"/>
  <c r="N1260" i="3"/>
  <c r="M1285" i="3"/>
  <c r="M1305" i="3"/>
  <c r="M1310" i="3"/>
  <c r="M1321" i="3"/>
  <c r="M1326" i="3"/>
  <c r="N1498" i="3"/>
  <c r="M1291" i="3"/>
  <c r="M1331" i="3"/>
  <c r="N1532" i="3"/>
  <c r="M1303" i="3"/>
  <c r="M1309" i="3"/>
  <c r="M1319" i="3"/>
  <c r="M1325" i="3"/>
  <c r="N1566" i="3"/>
  <c r="N1600" i="3"/>
  <c r="M1295" i="3"/>
  <c r="M1313" i="3"/>
  <c r="M1318" i="3"/>
  <c r="M1329" i="3"/>
  <c r="N1634" i="3"/>
  <c r="N1396" i="3"/>
  <c r="N1668" i="3"/>
  <c r="M1293" i="3"/>
  <c r="M1311" i="3"/>
  <c r="M1317" i="3"/>
  <c r="M1327" i="3"/>
  <c r="N1430" i="3"/>
  <c r="N1702" i="3"/>
  <c r="N1464" i="3"/>
  <c r="M1783" i="3"/>
  <c r="N2042" i="3"/>
  <c r="M1743" i="3"/>
  <c r="M1750" i="3"/>
  <c r="M1773" i="3"/>
  <c r="N2076" i="3"/>
  <c r="M1767" i="3"/>
  <c r="M1777" i="3"/>
  <c r="N2110" i="3"/>
  <c r="M1733" i="3"/>
  <c r="M1772" i="3"/>
  <c r="N1838" i="3"/>
  <c r="N2144" i="3"/>
  <c r="M1766" i="3"/>
  <c r="N1872" i="3"/>
  <c r="N2178" i="3"/>
  <c r="N2246" i="3"/>
  <c r="M1732" i="3"/>
  <c r="N1736" i="3" s="1"/>
  <c r="M1759" i="3"/>
  <c r="N1906" i="3"/>
  <c r="N1940" i="3"/>
  <c r="N2212" i="3"/>
  <c r="M1765" i="3"/>
  <c r="M1770" i="3"/>
  <c r="M1775" i="3"/>
  <c r="M1784" i="3"/>
  <c r="N1974" i="3"/>
  <c r="N852" i="3"/>
  <c r="N1056" i="3"/>
  <c r="N818" i="3"/>
  <c r="N1090" i="3"/>
  <c r="N784" i="3"/>
  <c r="N920" i="3"/>
  <c r="N1124" i="3"/>
  <c r="N954" i="3"/>
  <c r="N988" i="3"/>
  <c r="N1022" i="3"/>
  <c r="N716" i="3"/>
  <c r="N682" i="3"/>
  <c r="N648" i="3"/>
  <c r="N512" i="3"/>
  <c r="N478" i="3"/>
  <c r="M415" i="3"/>
  <c r="M423" i="3"/>
  <c r="M431" i="3"/>
  <c r="M432" i="3"/>
  <c r="M440" i="3"/>
  <c r="M419" i="3"/>
  <c r="M443" i="3"/>
  <c r="M436" i="3"/>
  <c r="M444" i="3"/>
  <c r="N376" i="3"/>
  <c r="N342" i="3"/>
  <c r="N308" i="3"/>
  <c r="N274" i="3"/>
  <c r="M207" i="3"/>
  <c r="N240" i="3" s="1"/>
  <c r="N206" i="3"/>
  <c r="N172" i="3"/>
  <c r="N138" i="3"/>
  <c r="N104" i="3"/>
  <c r="O36" i="3"/>
  <c r="O3884" i="3" s="1"/>
  <c r="E1988" i="5" l="1"/>
  <c r="M1986" i="5"/>
  <c r="M1988" i="5" s="1"/>
  <c r="M1992" i="5"/>
  <c r="N444" i="3"/>
  <c r="N2759" i="3"/>
  <c r="N1226" i="3"/>
  <c r="N750" i="3"/>
  <c r="N546" i="3"/>
  <c r="N410" i="3"/>
  <c r="N614" i="3"/>
  <c r="N2929" i="3"/>
  <c r="N2895" i="3"/>
  <c r="N2963" i="3"/>
  <c r="N2657" i="3"/>
  <c r="N2691" i="3"/>
  <c r="N2623" i="3"/>
  <c r="N2555" i="3"/>
  <c r="N2521" i="3"/>
  <c r="N2725" i="3"/>
  <c r="N2419" i="3"/>
  <c r="N2351" i="3"/>
  <c r="N2317" i="3"/>
  <c r="N2283" i="3"/>
  <c r="AC3745" i="3"/>
  <c r="AC3813" i="3"/>
  <c r="AC3779" i="3"/>
  <c r="N2487" i="3"/>
  <c r="AC3711" i="3"/>
  <c r="N2453" i="3"/>
  <c r="N3405" i="3"/>
  <c r="N2589" i="3"/>
  <c r="N3643" i="3"/>
  <c r="AC3881" i="3"/>
  <c r="AC3847" i="3"/>
  <c r="N3439" i="3"/>
  <c r="N3303" i="3"/>
  <c r="N3065" i="3"/>
  <c r="N3167" i="3"/>
  <c r="N3337" i="3"/>
  <c r="N3269" i="3"/>
  <c r="N3575" i="3"/>
  <c r="N2997" i="3"/>
  <c r="N3473" i="3"/>
  <c r="N3677" i="3"/>
  <c r="N3541" i="3"/>
  <c r="N3609" i="3"/>
  <c r="N3371" i="3"/>
  <c r="N3507" i="3"/>
  <c r="N3133" i="3"/>
  <c r="N3235" i="3"/>
  <c r="N3099" i="3"/>
  <c r="N3031" i="3"/>
  <c r="N3201" i="3"/>
  <c r="N1804" i="3"/>
  <c r="N1770" i="3"/>
  <c r="N1294" i="3"/>
  <c r="N1362" i="3"/>
  <c r="N1328" i="3"/>
  <c r="C669" i="7"/>
  <c r="C670" i="7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T3645" i="3"/>
  <c r="U3645" i="3"/>
  <c r="V3645" i="3"/>
  <c r="W3645" i="3"/>
  <c r="X3645" i="3"/>
  <c r="Y3645" i="3"/>
  <c r="Z3645" i="3"/>
  <c r="AA3645" i="3"/>
  <c r="T3646" i="3"/>
  <c r="U3646" i="3"/>
  <c r="V3646" i="3"/>
  <c r="W3646" i="3"/>
  <c r="X3646" i="3"/>
  <c r="Y3646" i="3"/>
  <c r="Z3646" i="3"/>
  <c r="AA3646" i="3"/>
  <c r="T3647" i="3"/>
  <c r="U3647" i="3"/>
  <c r="V3647" i="3"/>
  <c r="W3647" i="3"/>
  <c r="X3647" i="3"/>
  <c r="Y3647" i="3"/>
  <c r="Z3647" i="3"/>
  <c r="AA3647" i="3"/>
  <c r="T3648" i="3"/>
  <c r="U3648" i="3"/>
  <c r="V3648" i="3"/>
  <c r="W3648" i="3"/>
  <c r="X3648" i="3"/>
  <c r="Y3648" i="3"/>
  <c r="Z3648" i="3"/>
  <c r="AA3648" i="3"/>
  <c r="T3649" i="3"/>
  <c r="U3649" i="3"/>
  <c r="V3649" i="3"/>
  <c r="W3649" i="3"/>
  <c r="X3649" i="3"/>
  <c r="Y3649" i="3"/>
  <c r="Z3649" i="3"/>
  <c r="AA3649" i="3"/>
  <c r="T3650" i="3"/>
  <c r="U3650" i="3"/>
  <c r="V3650" i="3"/>
  <c r="W3650" i="3"/>
  <c r="X3650" i="3"/>
  <c r="Y3650" i="3"/>
  <c r="Z3650" i="3"/>
  <c r="AA3650" i="3"/>
  <c r="T3651" i="3"/>
  <c r="U3651" i="3"/>
  <c r="V3651" i="3"/>
  <c r="W3651" i="3"/>
  <c r="X3651" i="3"/>
  <c r="Y3651" i="3"/>
  <c r="Z3651" i="3"/>
  <c r="AA3651" i="3"/>
  <c r="T3652" i="3"/>
  <c r="U3652" i="3"/>
  <c r="V3652" i="3"/>
  <c r="W3652" i="3"/>
  <c r="X3652" i="3"/>
  <c r="Y3652" i="3"/>
  <c r="Z3652" i="3"/>
  <c r="AA3652" i="3"/>
  <c r="T3653" i="3"/>
  <c r="U3653" i="3"/>
  <c r="V3653" i="3"/>
  <c r="W3653" i="3"/>
  <c r="X3653" i="3"/>
  <c r="Y3653" i="3"/>
  <c r="Z3653" i="3"/>
  <c r="AA3653" i="3"/>
  <c r="T3654" i="3"/>
  <c r="U3654" i="3"/>
  <c r="V3654" i="3"/>
  <c r="W3654" i="3"/>
  <c r="X3654" i="3"/>
  <c r="Y3654" i="3"/>
  <c r="Z3654" i="3"/>
  <c r="AA3654" i="3"/>
  <c r="T3655" i="3"/>
  <c r="U3655" i="3"/>
  <c r="V3655" i="3"/>
  <c r="W3655" i="3"/>
  <c r="X3655" i="3"/>
  <c r="Y3655" i="3"/>
  <c r="Z3655" i="3"/>
  <c r="AA3655" i="3"/>
  <c r="T3656" i="3"/>
  <c r="U3656" i="3"/>
  <c r="V3656" i="3"/>
  <c r="W3656" i="3"/>
  <c r="X3656" i="3"/>
  <c r="Y3656" i="3"/>
  <c r="Z3656" i="3"/>
  <c r="AA3656" i="3"/>
  <c r="T3657" i="3"/>
  <c r="U3657" i="3"/>
  <c r="V3657" i="3"/>
  <c r="W3657" i="3"/>
  <c r="X3657" i="3"/>
  <c r="Y3657" i="3"/>
  <c r="Z3657" i="3"/>
  <c r="AA3657" i="3"/>
  <c r="T3658" i="3"/>
  <c r="U3658" i="3"/>
  <c r="V3658" i="3"/>
  <c r="W3658" i="3"/>
  <c r="X3658" i="3"/>
  <c r="Y3658" i="3"/>
  <c r="Z3658" i="3"/>
  <c r="AA3658" i="3"/>
  <c r="T3659" i="3"/>
  <c r="U3659" i="3"/>
  <c r="V3659" i="3"/>
  <c r="W3659" i="3"/>
  <c r="X3659" i="3"/>
  <c r="Y3659" i="3"/>
  <c r="Z3659" i="3"/>
  <c r="AA3659" i="3"/>
  <c r="T3660" i="3"/>
  <c r="U3660" i="3"/>
  <c r="V3660" i="3"/>
  <c r="W3660" i="3"/>
  <c r="X3660" i="3"/>
  <c r="Y3660" i="3"/>
  <c r="Z3660" i="3"/>
  <c r="AA3660" i="3"/>
  <c r="T3661" i="3"/>
  <c r="U3661" i="3"/>
  <c r="V3661" i="3"/>
  <c r="W3661" i="3"/>
  <c r="X3661" i="3"/>
  <c r="Y3661" i="3"/>
  <c r="Z3661" i="3"/>
  <c r="AA3661" i="3"/>
  <c r="T3662" i="3"/>
  <c r="U3662" i="3"/>
  <c r="V3662" i="3"/>
  <c r="W3662" i="3"/>
  <c r="X3662" i="3"/>
  <c r="Y3662" i="3"/>
  <c r="Z3662" i="3"/>
  <c r="AA3662" i="3"/>
  <c r="T3663" i="3"/>
  <c r="U3663" i="3"/>
  <c r="V3663" i="3"/>
  <c r="W3663" i="3"/>
  <c r="X3663" i="3"/>
  <c r="Y3663" i="3"/>
  <c r="Z3663" i="3"/>
  <c r="AA3663" i="3"/>
  <c r="T3664" i="3"/>
  <c r="U3664" i="3"/>
  <c r="V3664" i="3"/>
  <c r="W3664" i="3"/>
  <c r="X3664" i="3"/>
  <c r="Y3664" i="3"/>
  <c r="Z3664" i="3"/>
  <c r="AA3664" i="3"/>
  <c r="T3665" i="3"/>
  <c r="U3665" i="3"/>
  <c r="V3665" i="3"/>
  <c r="W3665" i="3"/>
  <c r="X3665" i="3"/>
  <c r="Y3665" i="3"/>
  <c r="Z3665" i="3"/>
  <c r="AA3665" i="3"/>
  <c r="T3666" i="3"/>
  <c r="U3666" i="3"/>
  <c r="V3666" i="3"/>
  <c r="W3666" i="3"/>
  <c r="X3666" i="3"/>
  <c r="Y3666" i="3"/>
  <c r="Z3666" i="3"/>
  <c r="AA3666" i="3"/>
  <c r="T3667" i="3"/>
  <c r="U3667" i="3"/>
  <c r="V3667" i="3"/>
  <c r="W3667" i="3"/>
  <c r="X3667" i="3"/>
  <c r="Y3667" i="3"/>
  <c r="Z3667" i="3"/>
  <c r="AA3667" i="3"/>
  <c r="T3668" i="3"/>
  <c r="U3668" i="3"/>
  <c r="V3668" i="3"/>
  <c r="W3668" i="3"/>
  <c r="X3668" i="3"/>
  <c r="Y3668" i="3"/>
  <c r="Z3668" i="3"/>
  <c r="AA3668" i="3"/>
  <c r="T3669" i="3"/>
  <c r="U3669" i="3"/>
  <c r="V3669" i="3"/>
  <c r="W3669" i="3"/>
  <c r="X3669" i="3"/>
  <c r="Y3669" i="3"/>
  <c r="Z3669" i="3"/>
  <c r="AA3669" i="3"/>
  <c r="T3670" i="3"/>
  <c r="U3670" i="3"/>
  <c r="V3670" i="3"/>
  <c r="W3670" i="3"/>
  <c r="X3670" i="3"/>
  <c r="Y3670" i="3"/>
  <c r="Z3670" i="3"/>
  <c r="AA3670" i="3"/>
  <c r="T3671" i="3"/>
  <c r="U3671" i="3"/>
  <c r="V3671" i="3"/>
  <c r="W3671" i="3"/>
  <c r="X3671" i="3"/>
  <c r="Y3671" i="3"/>
  <c r="Z3671" i="3"/>
  <c r="AA3671" i="3"/>
  <c r="T3672" i="3"/>
  <c r="U3672" i="3"/>
  <c r="V3672" i="3"/>
  <c r="W3672" i="3"/>
  <c r="X3672" i="3"/>
  <c r="Y3672" i="3"/>
  <c r="Z3672" i="3"/>
  <c r="AA3672" i="3"/>
  <c r="T3673" i="3"/>
  <c r="U3673" i="3"/>
  <c r="V3673" i="3"/>
  <c r="W3673" i="3"/>
  <c r="X3673" i="3"/>
  <c r="Y3673" i="3"/>
  <c r="Z3673" i="3"/>
  <c r="AA3673" i="3"/>
  <c r="T3674" i="3"/>
  <c r="U3674" i="3"/>
  <c r="V3674" i="3"/>
  <c r="W3674" i="3"/>
  <c r="X3674" i="3"/>
  <c r="Y3674" i="3"/>
  <c r="Z3674" i="3"/>
  <c r="AA3674" i="3"/>
  <c r="T3675" i="3"/>
  <c r="U3675" i="3"/>
  <c r="V3675" i="3"/>
  <c r="W3675" i="3"/>
  <c r="X3675" i="3"/>
  <c r="Y3675" i="3"/>
  <c r="Z3675" i="3"/>
  <c r="AA3675" i="3"/>
  <c r="T3676" i="3"/>
  <c r="U3676" i="3"/>
  <c r="V3676" i="3"/>
  <c r="W3676" i="3"/>
  <c r="X3676" i="3"/>
  <c r="Y3676" i="3"/>
  <c r="Z3676" i="3"/>
  <c r="AA3676" i="3"/>
  <c r="U3644" i="3"/>
  <c r="V3644" i="3"/>
  <c r="W3644" i="3"/>
  <c r="X3644" i="3"/>
  <c r="Y3644" i="3"/>
  <c r="Z3644" i="3"/>
  <c r="AA3644" i="3"/>
  <c r="T3644" i="3"/>
  <c r="T3611" i="3"/>
  <c r="U3611" i="3"/>
  <c r="V3611" i="3"/>
  <c r="W3611" i="3"/>
  <c r="X3611" i="3"/>
  <c r="Y3611" i="3"/>
  <c r="Z3611" i="3"/>
  <c r="AA3611" i="3"/>
  <c r="T3612" i="3"/>
  <c r="U3612" i="3"/>
  <c r="V3612" i="3"/>
  <c r="W3612" i="3"/>
  <c r="X3612" i="3"/>
  <c r="Y3612" i="3"/>
  <c r="Z3612" i="3"/>
  <c r="AA3612" i="3"/>
  <c r="T3613" i="3"/>
  <c r="U3613" i="3"/>
  <c r="V3613" i="3"/>
  <c r="W3613" i="3"/>
  <c r="X3613" i="3"/>
  <c r="Y3613" i="3"/>
  <c r="Z3613" i="3"/>
  <c r="AA3613" i="3"/>
  <c r="T3614" i="3"/>
  <c r="U3614" i="3"/>
  <c r="V3614" i="3"/>
  <c r="W3614" i="3"/>
  <c r="X3614" i="3"/>
  <c r="Y3614" i="3"/>
  <c r="Z3614" i="3"/>
  <c r="AA3614" i="3"/>
  <c r="T3615" i="3"/>
  <c r="U3615" i="3"/>
  <c r="V3615" i="3"/>
  <c r="W3615" i="3"/>
  <c r="X3615" i="3"/>
  <c r="Y3615" i="3"/>
  <c r="Z3615" i="3"/>
  <c r="AA3615" i="3"/>
  <c r="T3616" i="3"/>
  <c r="U3616" i="3"/>
  <c r="V3616" i="3"/>
  <c r="W3616" i="3"/>
  <c r="X3616" i="3"/>
  <c r="Y3616" i="3"/>
  <c r="Z3616" i="3"/>
  <c r="AA3616" i="3"/>
  <c r="T3617" i="3"/>
  <c r="U3617" i="3"/>
  <c r="V3617" i="3"/>
  <c r="W3617" i="3"/>
  <c r="X3617" i="3"/>
  <c r="Y3617" i="3"/>
  <c r="Z3617" i="3"/>
  <c r="AA3617" i="3"/>
  <c r="T3618" i="3"/>
  <c r="U3618" i="3"/>
  <c r="V3618" i="3"/>
  <c r="W3618" i="3"/>
  <c r="X3618" i="3"/>
  <c r="Y3618" i="3"/>
  <c r="Z3618" i="3"/>
  <c r="AA3618" i="3"/>
  <c r="T3619" i="3"/>
  <c r="U3619" i="3"/>
  <c r="V3619" i="3"/>
  <c r="W3619" i="3"/>
  <c r="X3619" i="3"/>
  <c r="Y3619" i="3"/>
  <c r="Z3619" i="3"/>
  <c r="AA3619" i="3"/>
  <c r="T3620" i="3"/>
  <c r="U3620" i="3"/>
  <c r="V3620" i="3"/>
  <c r="W3620" i="3"/>
  <c r="X3620" i="3"/>
  <c r="Y3620" i="3"/>
  <c r="Z3620" i="3"/>
  <c r="AA3620" i="3"/>
  <c r="T3621" i="3"/>
  <c r="U3621" i="3"/>
  <c r="V3621" i="3"/>
  <c r="W3621" i="3"/>
  <c r="X3621" i="3"/>
  <c r="Y3621" i="3"/>
  <c r="Z3621" i="3"/>
  <c r="AA3621" i="3"/>
  <c r="T3622" i="3"/>
  <c r="U3622" i="3"/>
  <c r="V3622" i="3"/>
  <c r="W3622" i="3"/>
  <c r="X3622" i="3"/>
  <c r="Y3622" i="3"/>
  <c r="Z3622" i="3"/>
  <c r="AA3622" i="3"/>
  <c r="T3623" i="3"/>
  <c r="U3623" i="3"/>
  <c r="V3623" i="3"/>
  <c r="W3623" i="3"/>
  <c r="X3623" i="3"/>
  <c r="Y3623" i="3"/>
  <c r="Z3623" i="3"/>
  <c r="AA3623" i="3"/>
  <c r="T3624" i="3"/>
  <c r="U3624" i="3"/>
  <c r="V3624" i="3"/>
  <c r="W3624" i="3"/>
  <c r="X3624" i="3"/>
  <c r="Y3624" i="3"/>
  <c r="Z3624" i="3"/>
  <c r="AA3624" i="3"/>
  <c r="T3625" i="3"/>
  <c r="U3625" i="3"/>
  <c r="V3625" i="3"/>
  <c r="W3625" i="3"/>
  <c r="X3625" i="3"/>
  <c r="Y3625" i="3"/>
  <c r="Z3625" i="3"/>
  <c r="AA3625" i="3"/>
  <c r="T3626" i="3"/>
  <c r="U3626" i="3"/>
  <c r="V3626" i="3"/>
  <c r="W3626" i="3"/>
  <c r="X3626" i="3"/>
  <c r="Y3626" i="3"/>
  <c r="Z3626" i="3"/>
  <c r="AA3626" i="3"/>
  <c r="T3627" i="3"/>
  <c r="U3627" i="3"/>
  <c r="V3627" i="3"/>
  <c r="W3627" i="3"/>
  <c r="X3627" i="3"/>
  <c r="Y3627" i="3"/>
  <c r="Z3627" i="3"/>
  <c r="AA3627" i="3"/>
  <c r="T3628" i="3"/>
  <c r="U3628" i="3"/>
  <c r="V3628" i="3"/>
  <c r="W3628" i="3"/>
  <c r="X3628" i="3"/>
  <c r="Y3628" i="3"/>
  <c r="Z3628" i="3"/>
  <c r="AA3628" i="3"/>
  <c r="T3629" i="3"/>
  <c r="U3629" i="3"/>
  <c r="V3629" i="3"/>
  <c r="W3629" i="3"/>
  <c r="X3629" i="3"/>
  <c r="Y3629" i="3"/>
  <c r="Z3629" i="3"/>
  <c r="AA3629" i="3"/>
  <c r="T3630" i="3"/>
  <c r="U3630" i="3"/>
  <c r="V3630" i="3"/>
  <c r="W3630" i="3"/>
  <c r="X3630" i="3"/>
  <c r="Y3630" i="3"/>
  <c r="Z3630" i="3"/>
  <c r="AA3630" i="3"/>
  <c r="T3631" i="3"/>
  <c r="U3631" i="3"/>
  <c r="V3631" i="3"/>
  <c r="W3631" i="3"/>
  <c r="X3631" i="3"/>
  <c r="Y3631" i="3"/>
  <c r="Z3631" i="3"/>
  <c r="AA3631" i="3"/>
  <c r="T3632" i="3"/>
  <c r="U3632" i="3"/>
  <c r="V3632" i="3"/>
  <c r="W3632" i="3"/>
  <c r="X3632" i="3"/>
  <c r="Y3632" i="3"/>
  <c r="Z3632" i="3"/>
  <c r="AA3632" i="3"/>
  <c r="T3633" i="3"/>
  <c r="U3633" i="3"/>
  <c r="V3633" i="3"/>
  <c r="W3633" i="3"/>
  <c r="X3633" i="3"/>
  <c r="Y3633" i="3"/>
  <c r="Z3633" i="3"/>
  <c r="AA3633" i="3"/>
  <c r="T3634" i="3"/>
  <c r="U3634" i="3"/>
  <c r="V3634" i="3"/>
  <c r="W3634" i="3"/>
  <c r="X3634" i="3"/>
  <c r="Y3634" i="3"/>
  <c r="Z3634" i="3"/>
  <c r="AA3634" i="3"/>
  <c r="T3635" i="3"/>
  <c r="U3635" i="3"/>
  <c r="V3635" i="3"/>
  <c r="W3635" i="3"/>
  <c r="X3635" i="3"/>
  <c r="Y3635" i="3"/>
  <c r="Z3635" i="3"/>
  <c r="AA3635" i="3"/>
  <c r="T3636" i="3"/>
  <c r="U3636" i="3"/>
  <c r="V3636" i="3"/>
  <c r="W3636" i="3"/>
  <c r="X3636" i="3"/>
  <c r="Y3636" i="3"/>
  <c r="Z3636" i="3"/>
  <c r="AA3636" i="3"/>
  <c r="T3637" i="3"/>
  <c r="U3637" i="3"/>
  <c r="V3637" i="3"/>
  <c r="W3637" i="3"/>
  <c r="X3637" i="3"/>
  <c r="Y3637" i="3"/>
  <c r="Z3637" i="3"/>
  <c r="AA3637" i="3"/>
  <c r="T3638" i="3"/>
  <c r="U3638" i="3"/>
  <c r="V3638" i="3"/>
  <c r="W3638" i="3"/>
  <c r="X3638" i="3"/>
  <c r="Y3638" i="3"/>
  <c r="Z3638" i="3"/>
  <c r="AA3638" i="3"/>
  <c r="T3639" i="3"/>
  <c r="U3639" i="3"/>
  <c r="V3639" i="3"/>
  <c r="W3639" i="3"/>
  <c r="X3639" i="3"/>
  <c r="Y3639" i="3"/>
  <c r="Z3639" i="3"/>
  <c r="AA3639" i="3"/>
  <c r="T3640" i="3"/>
  <c r="U3640" i="3"/>
  <c r="V3640" i="3"/>
  <c r="W3640" i="3"/>
  <c r="X3640" i="3"/>
  <c r="Y3640" i="3"/>
  <c r="Z3640" i="3"/>
  <c r="AA3640" i="3"/>
  <c r="T3641" i="3"/>
  <c r="U3641" i="3"/>
  <c r="V3641" i="3"/>
  <c r="W3641" i="3"/>
  <c r="X3641" i="3"/>
  <c r="Y3641" i="3"/>
  <c r="Z3641" i="3"/>
  <c r="AA3641" i="3"/>
  <c r="T3642" i="3"/>
  <c r="U3642" i="3"/>
  <c r="V3642" i="3"/>
  <c r="W3642" i="3"/>
  <c r="X3642" i="3"/>
  <c r="Y3642" i="3"/>
  <c r="Z3642" i="3"/>
  <c r="AA3642" i="3"/>
  <c r="U3610" i="3"/>
  <c r="V3610" i="3"/>
  <c r="W3610" i="3"/>
  <c r="X3610" i="3"/>
  <c r="Y3610" i="3"/>
  <c r="Z3610" i="3"/>
  <c r="AA3610" i="3"/>
  <c r="T3610" i="3"/>
  <c r="T3577" i="3"/>
  <c r="U3577" i="3"/>
  <c r="V3577" i="3"/>
  <c r="W3577" i="3"/>
  <c r="X3577" i="3"/>
  <c r="Y3577" i="3"/>
  <c r="Z3577" i="3"/>
  <c r="AA3577" i="3"/>
  <c r="T3578" i="3"/>
  <c r="U3578" i="3"/>
  <c r="V3578" i="3"/>
  <c r="W3578" i="3"/>
  <c r="X3578" i="3"/>
  <c r="Y3578" i="3"/>
  <c r="Z3578" i="3"/>
  <c r="AA3578" i="3"/>
  <c r="T3579" i="3"/>
  <c r="U3579" i="3"/>
  <c r="V3579" i="3"/>
  <c r="W3579" i="3"/>
  <c r="X3579" i="3"/>
  <c r="Y3579" i="3"/>
  <c r="Z3579" i="3"/>
  <c r="AA3579" i="3"/>
  <c r="T3580" i="3"/>
  <c r="U3580" i="3"/>
  <c r="V3580" i="3"/>
  <c r="W3580" i="3"/>
  <c r="X3580" i="3"/>
  <c r="Y3580" i="3"/>
  <c r="Z3580" i="3"/>
  <c r="AA3580" i="3"/>
  <c r="T3581" i="3"/>
  <c r="U3581" i="3"/>
  <c r="V3581" i="3"/>
  <c r="W3581" i="3"/>
  <c r="X3581" i="3"/>
  <c r="Y3581" i="3"/>
  <c r="Z3581" i="3"/>
  <c r="AA3581" i="3"/>
  <c r="T3582" i="3"/>
  <c r="U3582" i="3"/>
  <c r="V3582" i="3"/>
  <c r="W3582" i="3"/>
  <c r="X3582" i="3"/>
  <c r="Y3582" i="3"/>
  <c r="Z3582" i="3"/>
  <c r="AA3582" i="3"/>
  <c r="T3583" i="3"/>
  <c r="U3583" i="3"/>
  <c r="V3583" i="3"/>
  <c r="W3583" i="3"/>
  <c r="X3583" i="3"/>
  <c r="Y3583" i="3"/>
  <c r="Z3583" i="3"/>
  <c r="AA3583" i="3"/>
  <c r="T3584" i="3"/>
  <c r="U3584" i="3"/>
  <c r="V3584" i="3"/>
  <c r="W3584" i="3"/>
  <c r="X3584" i="3"/>
  <c r="Y3584" i="3"/>
  <c r="Z3584" i="3"/>
  <c r="AA3584" i="3"/>
  <c r="T3585" i="3"/>
  <c r="U3585" i="3"/>
  <c r="V3585" i="3"/>
  <c r="W3585" i="3"/>
  <c r="X3585" i="3"/>
  <c r="Y3585" i="3"/>
  <c r="Z3585" i="3"/>
  <c r="AA3585" i="3"/>
  <c r="T3586" i="3"/>
  <c r="U3586" i="3"/>
  <c r="V3586" i="3"/>
  <c r="W3586" i="3"/>
  <c r="X3586" i="3"/>
  <c r="Y3586" i="3"/>
  <c r="Z3586" i="3"/>
  <c r="AA3586" i="3"/>
  <c r="T3587" i="3"/>
  <c r="U3587" i="3"/>
  <c r="V3587" i="3"/>
  <c r="W3587" i="3"/>
  <c r="X3587" i="3"/>
  <c r="Y3587" i="3"/>
  <c r="Z3587" i="3"/>
  <c r="AA3587" i="3"/>
  <c r="T3588" i="3"/>
  <c r="U3588" i="3"/>
  <c r="V3588" i="3"/>
  <c r="W3588" i="3"/>
  <c r="X3588" i="3"/>
  <c r="Y3588" i="3"/>
  <c r="Z3588" i="3"/>
  <c r="AA3588" i="3"/>
  <c r="T3589" i="3"/>
  <c r="U3589" i="3"/>
  <c r="V3589" i="3"/>
  <c r="W3589" i="3"/>
  <c r="X3589" i="3"/>
  <c r="Y3589" i="3"/>
  <c r="Z3589" i="3"/>
  <c r="AA3589" i="3"/>
  <c r="T3590" i="3"/>
  <c r="U3590" i="3"/>
  <c r="V3590" i="3"/>
  <c r="W3590" i="3"/>
  <c r="X3590" i="3"/>
  <c r="Y3590" i="3"/>
  <c r="Z3590" i="3"/>
  <c r="AA3590" i="3"/>
  <c r="T3591" i="3"/>
  <c r="U3591" i="3"/>
  <c r="V3591" i="3"/>
  <c r="W3591" i="3"/>
  <c r="X3591" i="3"/>
  <c r="Y3591" i="3"/>
  <c r="Z3591" i="3"/>
  <c r="AA3591" i="3"/>
  <c r="T3592" i="3"/>
  <c r="U3592" i="3"/>
  <c r="V3592" i="3"/>
  <c r="W3592" i="3"/>
  <c r="X3592" i="3"/>
  <c r="Y3592" i="3"/>
  <c r="Z3592" i="3"/>
  <c r="AA3592" i="3"/>
  <c r="T3593" i="3"/>
  <c r="U3593" i="3"/>
  <c r="V3593" i="3"/>
  <c r="W3593" i="3"/>
  <c r="X3593" i="3"/>
  <c r="Y3593" i="3"/>
  <c r="Z3593" i="3"/>
  <c r="AA3593" i="3"/>
  <c r="T3594" i="3"/>
  <c r="U3594" i="3"/>
  <c r="V3594" i="3"/>
  <c r="W3594" i="3"/>
  <c r="X3594" i="3"/>
  <c r="Y3594" i="3"/>
  <c r="Z3594" i="3"/>
  <c r="AA3594" i="3"/>
  <c r="T3595" i="3"/>
  <c r="U3595" i="3"/>
  <c r="V3595" i="3"/>
  <c r="W3595" i="3"/>
  <c r="X3595" i="3"/>
  <c r="Y3595" i="3"/>
  <c r="Z3595" i="3"/>
  <c r="AA3595" i="3"/>
  <c r="T3596" i="3"/>
  <c r="U3596" i="3"/>
  <c r="V3596" i="3"/>
  <c r="W3596" i="3"/>
  <c r="X3596" i="3"/>
  <c r="Y3596" i="3"/>
  <c r="Z3596" i="3"/>
  <c r="AA3596" i="3"/>
  <c r="T3597" i="3"/>
  <c r="U3597" i="3"/>
  <c r="V3597" i="3"/>
  <c r="W3597" i="3"/>
  <c r="X3597" i="3"/>
  <c r="Y3597" i="3"/>
  <c r="Z3597" i="3"/>
  <c r="AA3597" i="3"/>
  <c r="T3598" i="3"/>
  <c r="U3598" i="3"/>
  <c r="V3598" i="3"/>
  <c r="W3598" i="3"/>
  <c r="X3598" i="3"/>
  <c r="Y3598" i="3"/>
  <c r="Z3598" i="3"/>
  <c r="AA3598" i="3"/>
  <c r="T3599" i="3"/>
  <c r="U3599" i="3"/>
  <c r="V3599" i="3"/>
  <c r="W3599" i="3"/>
  <c r="X3599" i="3"/>
  <c r="Y3599" i="3"/>
  <c r="Z3599" i="3"/>
  <c r="AA3599" i="3"/>
  <c r="T3600" i="3"/>
  <c r="U3600" i="3"/>
  <c r="V3600" i="3"/>
  <c r="W3600" i="3"/>
  <c r="X3600" i="3"/>
  <c r="Y3600" i="3"/>
  <c r="Z3600" i="3"/>
  <c r="AA3600" i="3"/>
  <c r="T3601" i="3"/>
  <c r="U3601" i="3"/>
  <c r="V3601" i="3"/>
  <c r="W3601" i="3"/>
  <c r="X3601" i="3"/>
  <c r="Y3601" i="3"/>
  <c r="Z3601" i="3"/>
  <c r="AA3601" i="3"/>
  <c r="T3602" i="3"/>
  <c r="U3602" i="3"/>
  <c r="V3602" i="3"/>
  <c r="W3602" i="3"/>
  <c r="X3602" i="3"/>
  <c r="Y3602" i="3"/>
  <c r="Z3602" i="3"/>
  <c r="AA3602" i="3"/>
  <c r="T3603" i="3"/>
  <c r="U3603" i="3"/>
  <c r="V3603" i="3"/>
  <c r="W3603" i="3"/>
  <c r="X3603" i="3"/>
  <c r="Y3603" i="3"/>
  <c r="Z3603" i="3"/>
  <c r="AA3603" i="3"/>
  <c r="T3604" i="3"/>
  <c r="U3604" i="3"/>
  <c r="V3604" i="3"/>
  <c r="W3604" i="3"/>
  <c r="X3604" i="3"/>
  <c r="Y3604" i="3"/>
  <c r="Z3604" i="3"/>
  <c r="AA3604" i="3"/>
  <c r="T3605" i="3"/>
  <c r="U3605" i="3"/>
  <c r="V3605" i="3"/>
  <c r="W3605" i="3"/>
  <c r="X3605" i="3"/>
  <c r="Y3605" i="3"/>
  <c r="Z3605" i="3"/>
  <c r="AA3605" i="3"/>
  <c r="T3606" i="3"/>
  <c r="U3606" i="3"/>
  <c r="V3606" i="3"/>
  <c r="W3606" i="3"/>
  <c r="X3606" i="3"/>
  <c r="Y3606" i="3"/>
  <c r="Z3606" i="3"/>
  <c r="AA3606" i="3"/>
  <c r="T3607" i="3"/>
  <c r="U3607" i="3"/>
  <c r="V3607" i="3"/>
  <c r="W3607" i="3"/>
  <c r="X3607" i="3"/>
  <c r="Y3607" i="3"/>
  <c r="Z3607" i="3"/>
  <c r="AA3607" i="3"/>
  <c r="T3608" i="3"/>
  <c r="U3608" i="3"/>
  <c r="V3608" i="3"/>
  <c r="W3608" i="3"/>
  <c r="X3608" i="3"/>
  <c r="Y3608" i="3"/>
  <c r="Z3608" i="3"/>
  <c r="AA3608" i="3"/>
  <c r="U3576" i="3"/>
  <c r="V3576" i="3"/>
  <c r="W3576" i="3"/>
  <c r="X3576" i="3"/>
  <c r="Y3576" i="3"/>
  <c r="Z3576" i="3"/>
  <c r="AA3576" i="3"/>
  <c r="T3576" i="3"/>
  <c r="T3543" i="3"/>
  <c r="U3543" i="3"/>
  <c r="V3543" i="3"/>
  <c r="W3543" i="3"/>
  <c r="X3543" i="3"/>
  <c r="Y3543" i="3"/>
  <c r="Z3543" i="3"/>
  <c r="AA3543" i="3"/>
  <c r="T3544" i="3"/>
  <c r="U3544" i="3"/>
  <c r="V3544" i="3"/>
  <c r="W3544" i="3"/>
  <c r="X3544" i="3"/>
  <c r="Y3544" i="3"/>
  <c r="Z3544" i="3"/>
  <c r="AA3544" i="3"/>
  <c r="T3545" i="3"/>
  <c r="U3545" i="3"/>
  <c r="V3545" i="3"/>
  <c r="W3545" i="3"/>
  <c r="X3545" i="3"/>
  <c r="Y3545" i="3"/>
  <c r="Z3545" i="3"/>
  <c r="AA3545" i="3"/>
  <c r="T3546" i="3"/>
  <c r="U3546" i="3"/>
  <c r="V3546" i="3"/>
  <c r="W3546" i="3"/>
  <c r="X3546" i="3"/>
  <c r="Y3546" i="3"/>
  <c r="Z3546" i="3"/>
  <c r="AA3546" i="3"/>
  <c r="T3547" i="3"/>
  <c r="U3547" i="3"/>
  <c r="V3547" i="3"/>
  <c r="W3547" i="3"/>
  <c r="X3547" i="3"/>
  <c r="Y3547" i="3"/>
  <c r="Z3547" i="3"/>
  <c r="AA3547" i="3"/>
  <c r="T3548" i="3"/>
  <c r="U3548" i="3"/>
  <c r="V3548" i="3"/>
  <c r="W3548" i="3"/>
  <c r="X3548" i="3"/>
  <c r="Y3548" i="3"/>
  <c r="Z3548" i="3"/>
  <c r="AA3548" i="3"/>
  <c r="T3549" i="3"/>
  <c r="U3549" i="3"/>
  <c r="V3549" i="3"/>
  <c r="W3549" i="3"/>
  <c r="X3549" i="3"/>
  <c r="Y3549" i="3"/>
  <c r="Z3549" i="3"/>
  <c r="AA3549" i="3"/>
  <c r="T3550" i="3"/>
  <c r="U3550" i="3"/>
  <c r="V3550" i="3"/>
  <c r="W3550" i="3"/>
  <c r="X3550" i="3"/>
  <c r="Y3550" i="3"/>
  <c r="Z3550" i="3"/>
  <c r="AA3550" i="3"/>
  <c r="T3551" i="3"/>
  <c r="U3551" i="3"/>
  <c r="V3551" i="3"/>
  <c r="W3551" i="3"/>
  <c r="X3551" i="3"/>
  <c r="Y3551" i="3"/>
  <c r="Z3551" i="3"/>
  <c r="AA3551" i="3"/>
  <c r="T3552" i="3"/>
  <c r="U3552" i="3"/>
  <c r="V3552" i="3"/>
  <c r="W3552" i="3"/>
  <c r="X3552" i="3"/>
  <c r="Y3552" i="3"/>
  <c r="Z3552" i="3"/>
  <c r="AA3552" i="3"/>
  <c r="T3553" i="3"/>
  <c r="U3553" i="3"/>
  <c r="V3553" i="3"/>
  <c r="W3553" i="3"/>
  <c r="X3553" i="3"/>
  <c r="Y3553" i="3"/>
  <c r="Z3553" i="3"/>
  <c r="AA3553" i="3"/>
  <c r="T3554" i="3"/>
  <c r="U3554" i="3"/>
  <c r="V3554" i="3"/>
  <c r="W3554" i="3"/>
  <c r="X3554" i="3"/>
  <c r="Y3554" i="3"/>
  <c r="Z3554" i="3"/>
  <c r="AA3554" i="3"/>
  <c r="T3555" i="3"/>
  <c r="U3555" i="3"/>
  <c r="V3555" i="3"/>
  <c r="W3555" i="3"/>
  <c r="X3555" i="3"/>
  <c r="Y3555" i="3"/>
  <c r="Z3555" i="3"/>
  <c r="AA3555" i="3"/>
  <c r="T3556" i="3"/>
  <c r="U3556" i="3"/>
  <c r="V3556" i="3"/>
  <c r="W3556" i="3"/>
  <c r="X3556" i="3"/>
  <c r="Y3556" i="3"/>
  <c r="Z3556" i="3"/>
  <c r="AA3556" i="3"/>
  <c r="T3557" i="3"/>
  <c r="U3557" i="3"/>
  <c r="V3557" i="3"/>
  <c r="W3557" i="3"/>
  <c r="X3557" i="3"/>
  <c r="Y3557" i="3"/>
  <c r="Z3557" i="3"/>
  <c r="AA3557" i="3"/>
  <c r="T3558" i="3"/>
  <c r="U3558" i="3"/>
  <c r="V3558" i="3"/>
  <c r="W3558" i="3"/>
  <c r="X3558" i="3"/>
  <c r="Y3558" i="3"/>
  <c r="Z3558" i="3"/>
  <c r="AA3558" i="3"/>
  <c r="T3559" i="3"/>
  <c r="U3559" i="3"/>
  <c r="V3559" i="3"/>
  <c r="W3559" i="3"/>
  <c r="X3559" i="3"/>
  <c r="Y3559" i="3"/>
  <c r="Z3559" i="3"/>
  <c r="AA3559" i="3"/>
  <c r="T3560" i="3"/>
  <c r="U3560" i="3"/>
  <c r="V3560" i="3"/>
  <c r="W3560" i="3"/>
  <c r="X3560" i="3"/>
  <c r="Y3560" i="3"/>
  <c r="Z3560" i="3"/>
  <c r="AA3560" i="3"/>
  <c r="T3561" i="3"/>
  <c r="U3561" i="3"/>
  <c r="V3561" i="3"/>
  <c r="W3561" i="3"/>
  <c r="X3561" i="3"/>
  <c r="Y3561" i="3"/>
  <c r="Z3561" i="3"/>
  <c r="AA3561" i="3"/>
  <c r="T3562" i="3"/>
  <c r="U3562" i="3"/>
  <c r="V3562" i="3"/>
  <c r="W3562" i="3"/>
  <c r="X3562" i="3"/>
  <c r="Y3562" i="3"/>
  <c r="Z3562" i="3"/>
  <c r="AA3562" i="3"/>
  <c r="T3563" i="3"/>
  <c r="U3563" i="3"/>
  <c r="V3563" i="3"/>
  <c r="W3563" i="3"/>
  <c r="X3563" i="3"/>
  <c r="Y3563" i="3"/>
  <c r="Z3563" i="3"/>
  <c r="AA3563" i="3"/>
  <c r="T3564" i="3"/>
  <c r="U3564" i="3"/>
  <c r="V3564" i="3"/>
  <c r="W3564" i="3"/>
  <c r="X3564" i="3"/>
  <c r="Y3564" i="3"/>
  <c r="Z3564" i="3"/>
  <c r="AA3564" i="3"/>
  <c r="T3565" i="3"/>
  <c r="U3565" i="3"/>
  <c r="V3565" i="3"/>
  <c r="W3565" i="3"/>
  <c r="X3565" i="3"/>
  <c r="Y3565" i="3"/>
  <c r="Z3565" i="3"/>
  <c r="AA3565" i="3"/>
  <c r="T3566" i="3"/>
  <c r="U3566" i="3"/>
  <c r="V3566" i="3"/>
  <c r="W3566" i="3"/>
  <c r="X3566" i="3"/>
  <c r="Y3566" i="3"/>
  <c r="Z3566" i="3"/>
  <c r="AA3566" i="3"/>
  <c r="T3567" i="3"/>
  <c r="U3567" i="3"/>
  <c r="V3567" i="3"/>
  <c r="W3567" i="3"/>
  <c r="X3567" i="3"/>
  <c r="Y3567" i="3"/>
  <c r="Z3567" i="3"/>
  <c r="AA3567" i="3"/>
  <c r="T3568" i="3"/>
  <c r="U3568" i="3"/>
  <c r="V3568" i="3"/>
  <c r="W3568" i="3"/>
  <c r="X3568" i="3"/>
  <c r="Y3568" i="3"/>
  <c r="Z3568" i="3"/>
  <c r="AA3568" i="3"/>
  <c r="T3569" i="3"/>
  <c r="U3569" i="3"/>
  <c r="V3569" i="3"/>
  <c r="W3569" i="3"/>
  <c r="X3569" i="3"/>
  <c r="Y3569" i="3"/>
  <c r="Z3569" i="3"/>
  <c r="AA3569" i="3"/>
  <c r="T3570" i="3"/>
  <c r="U3570" i="3"/>
  <c r="V3570" i="3"/>
  <c r="W3570" i="3"/>
  <c r="X3570" i="3"/>
  <c r="Y3570" i="3"/>
  <c r="Z3570" i="3"/>
  <c r="AA3570" i="3"/>
  <c r="T3571" i="3"/>
  <c r="U3571" i="3"/>
  <c r="V3571" i="3"/>
  <c r="W3571" i="3"/>
  <c r="X3571" i="3"/>
  <c r="Y3571" i="3"/>
  <c r="Z3571" i="3"/>
  <c r="AA3571" i="3"/>
  <c r="T3572" i="3"/>
  <c r="U3572" i="3"/>
  <c r="V3572" i="3"/>
  <c r="W3572" i="3"/>
  <c r="X3572" i="3"/>
  <c r="Y3572" i="3"/>
  <c r="Z3572" i="3"/>
  <c r="AA3572" i="3"/>
  <c r="T3573" i="3"/>
  <c r="U3573" i="3"/>
  <c r="V3573" i="3"/>
  <c r="W3573" i="3"/>
  <c r="X3573" i="3"/>
  <c r="Y3573" i="3"/>
  <c r="Z3573" i="3"/>
  <c r="AA3573" i="3"/>
  <c r="T3574" i="3"/>
  <c r="U3574" i="3"/>
  <c r="V3574" i="3"/>
  <c r="W3574" i="3"/>
  <c r="X3574" i="3"/>
  <c r="Y3574" i="3"/>
  <c r="Z3574" i="3"/>
  <c r="AA3574" i="3"/>
  <c r="U3542" i="3"/>
  <c r="V3542" i="3"/>
  <c r="W3542" i="3"/>
  <c r="X3542" i="3"/>
  <c r="Y3542" i="3"/>
  <c r="Z3542" i="3"/>
  <c r="AA3542" i="3"/>
  <c r="T3542" i="3"/>
  <c r="T3509" i="3"/>
  <c r="U3509" i="3"/>
  <c r="V3509" i="3"/>
  <c r="W3509" i="3"/>
  <c r="X3509" i="3"/>
  <c r="Y3509" i="3"/>
  <c r="Z3509" i="3"/>
  <c r="AA3509" i="3"/>
  <c r="T3510" i="3"/>
  <c r="U3510" i="3"/>
  <c r="V3510" i="3"/>
  <c r="W3510" i="3"/>
  <c r="X3510" i="3"/>
  <c r="Y3510" i="3"/>
  <c r="Z3510" i="3"/>
  <c r="AA3510" i="3"/>
  <c r="T3511" i="3"/>
  <c r="U3511" i="3"/>
  <c r="V3511" i="3"/>
  <c r="W3511" i="3"/>
  <c r="X3511" i="3"/>
  <c r="Y3511" i="3"/>
  <c r="Z3511" i="3"/>
  <c r="AA3511" i="3"/>
  <c r="T3512" i="3"/>
  <c r="U3512" i="3"/>
  <c r="V3512" i="3"/>
  <c r="W3512" i="3"/>
  <c r="X3512" i="3"/>
  <c r="Y3512" i="3"/>
  <c r="Z3512" i="3"/>
  <c r="AA3512" i="3"/>
  <c r="T3513" i="3"/>
  <c r="U3513" i="3"/>
  <c r="V3513" i="3"/>
  <c r="W3513" i="3"/>
  <c r="X3513" i="3"/>
  <c r="Y3513" i="3"/>
  <c r="Z3513" i="3"/>
  <c r="AA3513" i="3"/>
  <c r="T3514" i="3"/>
  <c r="U3514" i="3"/>
  <c r="V3514" i="3"/>
  <c r="W3514" i="3"/>
  <c r="X3514" i="3"/>
  <c r="Y3514" i="3"/>
  <c r="Z3514" i="3"/>
  <c r="AA3514" i="3"/>
  <c r="T3515" i="3"/>
  <c r="U3515" i="3"/>
  <c r="V3515" i="3"/>
  <c r="W3515" i="3"/>
  <c r="X3515" i="3"/>
  <c r="Y3515" i="3"/>
  <c r="Z3515" i="3"/>
  <c r="AA3515" i="3"/>
  <c r="T3516" i="3"/>
  <c r="U3516" i="3"/>
  <c r="V3516" i="3"/>
  <c r="W3516" i="3"/>
  <c r="X3516" i="3"/>
  <c r="Y3516" i="3"/>
  <c r="Z3516" i="3"/>
  <c r="AA3516" i="3"/>
  <c r="T3517" i="3"/>
  <c r="U3517" i="3"/>
  <c r="V3517" i="3"/>
  <c r="W3517" i="3"/>
  <c r="X3517" i="3"/>
  <c r="Y3517" i="3"/>
  <c r="Z3517" i="3"/>
  <c r="AA3517" i="3"/>
  <c r="T3518" i="3"/>
  <c r="U3518" i="3"/>
  <c r="V3518" i="3"/>
  <c r="W3518" i="3"/>
  <c r="X3518" i="3"/>
  <c r="Y3518" i="3"/>
  <c r="Z3518" i="3"/>
  <c r="AA3518" i="3"/>
  <c r="T3519" i="3"/>
  <c r="U3519" i="3"/>
  <c r="V3519" i="3"/>
  <c r="W3519" i="3"/>
  <c r="X3519" i="3"/>
  <c r="Y3519" i="3"/>
  <c r="Z3519" i="3"/>
  <c r="AA3519" i="3"/>
  <c r="T3520" i="3"/>
  <c r="U3520" i="3"/>
  <c r="V3520" i="3"/>
  <c r="W3520" i="3"/>
  <c r="X3520" i="3"/>
  <c r="Y3520" i="3"/>
  <c r="Z3520" i="3"/>
  <c r="AA3520" i="3"/>
  <c r="T3521" i="3"/>
  <c r="U3521" i="3"/>
  <c r="V3521" i="3"/>
  <c r="W3521" i="3"/>
  <c r="X3521" i="3"/>
  <c r="Y3521" i="3"/>
  <c r="Z3521" i="3"/>
  <c r="AA3521" i="3"/>
  <c r="T3522" i="3"/>
  <c r="U3522" i="3"/>
  <c r="V3522" i="3"/>
  <c r="W3522" i="3"/>
  <c r="X3522" i="3"/>
  <c r="Y3522" i="3"/>
  <c r="Z3522" i="3"/>
  <c r="AA3522" i="3"/>
  <c r="T3523" i="3"/>
  <c r="U3523" i="3"/>
  <c r="V3523" i="3"/>
  <c r="W3523" i="3"/>
  <c r="X3523" i="3"/>
  <c r="Y3523" i="3"/>
  <c r="Z3523" i="3"/>
  <c r="AA3523" i="3"/>
  <c r="T3524" i="3"/>
  <c r="U3524" i="3"/>
  <c r="V3524" i="3"/>
  <c r="W3524" i="3"/>
  <c r="X3524" i="3"/>
  <c r="Y3524" i="3"/>
  <c r="Z3524" i="3"/>
  <c r="AA3524" i="3"/>
  <c r="T3525" i="3"/>
  <c r="U3525" i="3"/>
  <c r="V3525" i="3"/>
  <c r="W3525" i="3"/>
  <c r="X3525" i="3"/>
  <c r="Y3525" i="3"/>
  <c r="Z3525" i="3"/>
  <c r="AA3525" i="3"/>
  <c r="T3526" i="3"/>
  <c r="U3526" i="3"/>
  <c r="V3526" i="3"/>
  <c r="W3526" i="3"/>
  <c r="X3526" i="3"/>
  <c r="Y3526" i="3"/>
  <c r="Z3526" i="3"/>
  <c r="AA3526" i="3"/>
  <c r="T3527" i="3"/>
  <c r="U3527" i="3"/>
  <c r="V3527" i="3"/>
  <c r="W3527" i="3"/>
  <c r="X3527" i="3"/>
  <c r="Y3527" i="3"/>
  <c r="Z3527" i="3"/>
  <c r="AA3527" i="3"/>
  <c r="T3528" i="3"/>
  <c r="U3528" i="3"/>
  <c r="V3528" i="3"/>
  <c r="W3528" i="3"/>
  <c r="X3528" i="3"/>
  <c r="Y3528" i="3"/>
  <c r="Z3528" i="3"/>
  <c r="AA3528" i="3"/>
  <c r="T3529" i="3"/>
  <c r="U3529" i="3"/>
  <c r="V3529" i="3"/>
  <c r="W3529" i="3"/>
  <c r="X3529" i="3"/>
  <c r="Y3529" i="3"/>
  <c r="Z3529" i="3"/>
  <c r="AA3529" i="3"/>
  <c r="T3530" i="3"/>
  <c r="U3530" i="3"/>
  <c r="V3530" i="3"/>
  <c r="W3530" i="3"/>
  <c r="X3530" i="3"/>
  <c r="Y3530" i="3"/>
  <c r="Z3530" i="3"/>
  <c r="AA3530" i="3"/>
  <c r="T3531" i="3"/>
  <c r="U3531" i="3"/>
  <c r="V3531" i="3"/>
  <c r="W3531" i="3"/>
  <c r="X3531" i="3"/>
  <c r="Y3531" i="3"/>
  <c r="Z3531" i="3"/>
  <c r="AA3531" i="3"/>
  <c r="T3532" i="3"/>
  <c r="U3532" i="3"/>
  <c r="V3532" i="3"/>
  <c r="W3532" i="3"/>
  <c r="X3532" i="3"/>
  <c r="Y3532" i="3"/>
  <c r="Z3532" i="3"/>
  <c r="AA3532" i="3"/>
  <c r="T3533" i="3"/>
  <c r="U3533" i="3"/>
  <c r="V3533" i="3"/>
  <c r="W3533" i="3"/>
  <c r="X3533" i="3"/>
  <c r="Y3533" i="3"/>
  <c r="Z3533" i="3"/>
  <c r="AA3533" i="3"/>
  <c r="T3534" i="3"/>
  <c r="U3534" i="3"/>
  <c r="V3534" i="3"/>
  <c r="W3534" i="3"/>
  <c r="X3534" i="3"/>
  <c r="Y3534" i="3"/>
  <c r="Z3534" i="3"/>
  <c r="AA3534" i="3"/>
  <c r="T3535" i="3"/>
  <c r="U3535" i="3"/>
  <c r="V3535" i="3"/>
  <c r="W3535" i="3"/>
  <c r="X3535" i="3"/>
  <c r="Y3535" i="3"/>
  <c r="Z3535" i="3"/>
  <c r="AA3535" i="3"/>
  <c r="T3536" i="3"/>
  <c r="U3536" i="3"/>
  <c r="V3536" i="3"/>
  <c r="W3536" i="3"/>
  <c r="X3536" i="3"/>
  <c r="Y3536" i="3"/>
  <c r="Z3536" i="3"/>
  <c r="AA3536" i="3"/>
  <c r="T3537" i="3"/>
  <c r="U3537" i="3"/>
  <c r="V3537" i="3"/>
  <c r="W3537" i="3"/>
  <c r="X3537" i="3"/>
  <c r="Y3537" i="3"/>
  <c r="Z3537" i="3"/>
  <c r="AA3537" i="3"/>
  <c r="T3538" i="3"/>
  <c r="U3538" i="3"/>
  <c r="V3538" i="3"/>
  <c r="W3538" i="3"/>
  <c r="X3538" i="3"/>
  <c r="Y3538" i="3"/>
  <c r="Z3538" i="3"/>
  <c r="AA3538" i="3"/>
  <c r="T3539" i="3"/>
  <c r="U3539" i="3"/>
  <c r="V3539" i="3"/>
  <c r="W3539" i="3"/>
  <c r="X3539" i="3"/>
  <c r="Y3539" i="3"/>
  <c r="Z3539" i="3"/>
  <c r="AA3539" i="3"/>
  <c r="T3540" i="3"/>
  <c r="U3540" i="3"/>
  <c r="V3540" i="3"/>
  <c r="W3540" i="3"/>
  <c r="X3540" i="3"/>
  <c r="Y3540" i="3"/>
  <c r="Z3540" i="3"/>
  <c r="AA3540" i="3"/>
  <c r="U3508" i="3"/>
  <c r="V3508" i="3"/>
  <c r="W3508" i="3"/>
  <c r="X3508" i="3"/>
  <c r="Y3508" i="3"/>
  <c r="Z3508" i="3"/>
  <c r="AA3508" i="3"/>
  <c r="T3508" i="3"/>
  <c r="T3475" i="3"/>
  <c r="U3475" i="3"/>
  <c r="V3475" i="3"/>
  <c r="W3475" i="3"/>
  <c r="X3475" i="3"/>
  <c r="Y3475" i="3"/>
  <c r="Z3475" i="3"/>
  <c r="AA3475" i="3"/>
  <c r="T3476" i="3"/>
  <c r="U3476" i="3"/>
  <c r="V3476" i="3"/>
  <c r="W3476" i="3"/>
  <c r="X3476" i="3"/>
  <c r="Y3476" i="3"/>
  <c r="Z3476" i="3"/>
  <c r="AA3476" i="3"/>
  <c r="T3477" i="3"/>
  <c r="U3477" i="3"/>
  <c r="V3477" i="3"/>
  <c r="W3477" i="3"/>
  <c r="X3477" i="3"/>
  <c r="Y3477" i="3"/>
  <c r="Z3477" i="3"/>
  <c r="AA3477" i="3"/>
  <c r="T3478" i="3"/>
  <c r="U3478" i="3"/>
  <c r="V3478" i="3"/>
  <c r="W3478" i="3"/>
  <c r="X3478" i="3"/>
  <c r="Y3478" i="3"/>
  <c r="Z3478" i="3"/>
  <c r="AA3478" i="3"/>
  <c r="T3479" i="3"/>
  <c r="U3479" i="3"/>
  <c r="V3479" i="3"/>
  <c r="W3479" i="3"/>
  <c r="X3479" i="3"/>
  <c r="Y3479" i="3"/>
  <c r="Z3479" i="3"/>
  <c r="AA3479" i="3"/>
  <c r="T3480" i="3"/>
  <c r="U3480" i="3"/>
  <c r="V3480" i="3"/>
  <c r="W3480" i="3"/>
  <c r="X3480" i="3"/>
  <c r="Y3480" i="3"/>
  <c r="Z3480" i="3"/>
  <c r="AA3480" i="3"/>
  <c r="T3481" i="3"/>
  <c r="U3481" i="3"/>
  <c r="V3481" i="3"/>
  <c r="W3481" i="3"/>
  <c r="X3481" i="3"/>
  <c r="Y3481" i="3"/>
  <c r="Z3481" i="3"/>
  <c r="AA3481" i="3"/>
  <c r="T3482" i="3"/>
  <c r="U3482" i="3"/>
  <c r="V3482" i="3"/>
  <c r="W3482" i="3"/>
  <c r="X3482" i="3"/>
  <c r="Y3482" i="3"/>
  <c r="Z3482" i="3"/>
  <c r="AA3482" i="3"/>
  <c r="T3483" i="3"/>
  <c r="U3483" i="3"/>
  <c r="V3483" i="3"/>
  <c r="W3483" i="3"/>
  <c r="X3483" i="3"/>
  <c r="Y3483" i="3"/>
  <c r="Z3483" i="3"/>
  <c r="AA3483" i="3"/>
  <c r="T3484" i="3"/>
  <c r="U3484" i="3"/>
  <c r="V3484" i="3"/>
  <c r="W3484" i="3"/>
  <c r="X3484" i="3"/>
  <c r="Y3484" i="3"/>
  <c r="Z3484" i="3"/>
  <c r="AA3484" i="3"/>
  <c r="T3485" i="3"/>
  <c r="U3485" i="3"/>
  <c r="V3485" i="3"/>
  <c r="W3485" i="3"/>
  <c r="X3485" i="3"/>
  <c r="Y3485" i="3"/>
  <c r="Z3485" i="3"/>
  <c r="AA3485" i="3"/>
  <c r="T3486" i="3"/>
  <c r="U3486" i="3"/>
  <c r="V3486" i="3"/>
  <c r="W3486" i="3"/>
  <c r="X3486" i="3"/>
  <c r="Y3486" i="3"/>
  <c r="Z3486" i="3"/>
  <c r="AA3486" i="3"/>
  <c r="T3487" i="3"/>
  <c r="U3487" i="3"/>
  <c r="V3487" i="3"/>
  <c r="W3487" i="3"/>
  <c r="X3487" i="3"/>
  <c r="Y3487" i="3"/>
  <c r="Z3487" i="3"/>
  <c r="AA3487" i="3"/>
  <c r="T3488" i="3"/>
  <c r="U3488" i="3"/>
  <c r="V3488" i="3"/>
  <c r="W3488" i="3"/>
  <c r="X3488" i="3"/>
  <c r="Y3488" i="3"/>
  <c r="Z3488" i="3"/>
  <c r="AA3488" i="3"/>
  <c r="T3489" i="3"/>
  <c r="U3489" i="3"/>
  <c r="V3489" i="3"/>
  <c r="W3489" i="3"/>
  <c r="X3489" i="3"/>
  <c r="Y3489" i="3"/>
  <c r="Z3489" i="3"/>
  <c r="AA3489" i="3"/>
  <c r="T3490" i="3"/>
  <c r="U3490" i="3"/>
  <c r="V3490" i="3"/>
  <c r="W3490" i="3"/>
  <c r="X3490" i="3"/>
  <c r="Y3490" i="3"/>
  <c r="Z3490" i="3"/>
  <c r="AA3490" i="3"/>
  <c r="T3491" i="3"/>
  <c r="U3491" i="3"/>
  <c r="V3491" i="3"/>
  <c r="W3491" i="3"/>
  <c r="X3491" i="3"/>
  <c r="Y3491" i="3"/>
  <c r="Z3491" i="3"/>
  <c r="AA3491" i="3"/>
  <c r="T3492" i="3"/>
  <c r="U3492" i="3"/>
  <c r="V3492" i="3"/>
  <c r="W3492" i="3"/>
  <c r="X3492" i="3"/>
  <c r="Y3492" i="3"/>
  <c r="Z3492" i="3"/>
  <c r="AA3492" i="3"/>
  <c r="T3493" i="3"/>
  <c r="U3493" i="3"/>
  <c r="V3493" i="3"/>
  <c r="W3493" i="3"/>
  <c r="X3493" i="3"/>
  <c r="Y3493" i="3"/>
  <c r="Z3493" i="3"/>
  <c r="AA3493" i="3"/>
  <c r="T3494" i="3"/>
  <c r="U3494" i="3"/>
  <c r="V3494" i="3"/>
  <c r="W3494" i="3"/>
  <c r="X3494" i="3"/>
  <c r="Y3494" i="3"/>
  <c r="Z3494" i="3"/>
  <c r="AA3494" i="3"/>
  <c r="T3495" i="3"/>
  <c r="U3495" i="3"/>
  <c r="V3495" i="3"/>
  <c r="W3495" i="3"/>
  <c r="X3495" i="3"/>
  <c r="Y3495" i="3"/>
  <c r="Z3495" i="3"/>
  <c r="AA3495" i="3"/>
  <c r="T3496" i="3"/>
  <c r="U3496" i="3"/>
  <c r="V3496" i="3"/>
  <c r="W3496" i="3"/>
  <c r="X3496" i="3"/>
  <c r="Y3496" i="3"/>
  <c r="Z3496" i="3"/>
  <c r="AA3496" i="3"/>
  <c r="T3497" i="3"/>
  <c r="U3497" i="3"/>
  <c r="V3497" i="3"/>
  <c r="W3497" i="3"/>
  <c r="X3497" i="3"/>
  <c r="Y3497" i="3"/>
  <c r="Z3497" i="3"/>
  <c r="AA3497" i="3"/>
  <c r="T3498" i="3"/>
  <c r="U3498" i="3"/>
  <c r="V3498" i="3"/>
  <c r="W3498" i="3"/>
  <c r="X3498" i="3"/>
  <c r="Y3498" i="3"/>
  <c r="Z3498" i="3"/>
  <c r="AA3498" i="3"/>
  <c r="T3499" i="3"/>
  <c r="U3499" i="3"/>
  <c r="V3499" i="3"/>
  <c r="W3499" i="3"/>
  <c r="X3499" i="3"/>
  <c r="Y3499" i="3"/>
  <c r="Z3499" i="3"/>
  <c r="AA3499" i="3"/>
  <c r="T3500" i="3"/>
  <c r="U3500" i="3"/>
  <c r="V3500" i="3"/>
  <c r="W3500" i="3"/>
  <c r="X3500" i="3"/>
  <c r="Y3500" i="3"/>
  <c r="Z3500" i="3"/>
  <c r="AA3500" i="3"/>
  <c r="T3501" i="3"/>
  <c r="U3501" i="3"/>
  <c r="V3501" i="3"/>
  <c r="W3501" i="3"/>
  <c r="X3501" i="3"/>
  <c r="Y3501" i="3"/>
  <c r="Z3501" i="3"/>
  <c r="AA3501" i="3"/>
  <c r="T3502" i="3"/>
  <c r="U3502" i="3"/>
  <c r="V3502" i="3"/>
  <c r="W3502" i="3"/>
  <c r="X3502" i="3"/>
  <c r="Y3502" i="3"/>
  <c r="Z3502" i="3"/>
  <c r="AA3502" i="3"/>
  <c r="T3503" i="3"/>
  <c r="U3503" i="3"/>
  <c r="V3503" i="3"/>
  <c r="W3503" i="3"/>
  <c r="X3503" i="3"/>
  <c r="Y3503" i="3"/>
  <c r="Z3503" i="3"/>
  <c r="AA3503" i="3"/>
  <c r="T3504" i="3"/>
  <c r="U3504" i="3"/>
  <c r="V3504" i="3"/>
  <c r="W3504" i="3"/>
  <c r="X3504" i="3"/>
  <c r="Y3504" i="3"/>
  <c r="Z3504" i="3"/>
  <c r="AA3504" i="3"/>
  <c r="T3505" i="3"/>
  <c r="U3505" i="3"/>
  <c r="V3505" i="3"/>
  <c r="W3505" i="3"/>
  <c r="X3505" i="3"/>
  <c r="Y3505" i="3"/>
  <c r="Z3505" i="3"/>
  <c r="AA3505" i="3"/>
  <c r="T3506" i="3"/>
  <c r="U3506" i="3"/>
  <c r="V3506" i="3"/>
  <c r="W3506" i="3"/>
  <c r="X3506" i="3"/>
  <c r="Y3506" i="3"/>
  <c r="Z3506" i="3"/>
  <c r="AA3506" i="3"/>
  <c r="U3474" i="3"/>
  <c r="V3474" i="3"/>
  <c r="W3474" i="3"/>
  <c r="X3474" i="3"/>
  <c r="Y3474" i="3"/>
  <c r="Z3474" i="3"/>
  <c r="AA3474" i="3"/>
  <c r="T3474" i="3"/>
  <c r="T3441" i="3"/>
  <c r="U3441" i="3"/>
  <c r="V3441" i="3"/>
  <c r="W3441" i="3"/>
  <c r="X3441" i="3"/>
  <c r="Y3441" i="3"/>
  <c r="Z3441" i="3"/>
  <c r="AA3441" i="3"/>
  <c r="T3442" i="3"/>
  <c r="U3442" i="3"/>
  <c r="V3442" i="3"/>
  <c r="W3442" i="3"/>
  <c r="X3442" i="3"/>
  <c r="Y3442" i="3"/>
  <c r="Z3442" i="3"/>
  <c r="AA3442" i="3"/>
  <c r="T3443" i="3"/>
  <c r="U3443" i="3"/>
  <c r="V3443" i="3"/>
  <c r="W3443" i="3"/>
  <c r="X3443" i="3"/>
  <c r="Y3443" i="3"/>
  <c r="Z3443" i="3"/>
  <c r="AA3443" i="3"/>
  <c r="T3444" i="3"/>
  <c r="U3444" i="3"/>
  <c r="V3444" i="3"/>
  <c r="W3444" i="3"/>
  <c r="X3444" i="3"/>
  <c r="Y3444" i="3"/>
  <c r="Z3444" i="3"/>
  <c r="AA3444" i="3"/>
  <c r="T3445" i="3"/>
  <c r="U3445" i="3"/>
  <c r="V3445" i="3"/>
  <c r="W3445" i="3"/>
  <c r="X3445" i="3"/>
  <c r="Y3445" i="3"/>
  <c r="Z3445" i="3"/>
  <c r="AA3445" i="3"/>
  <c r="T3446" i="3"/>
  <c r="U3446" i="3"/>
  <c r="V3446" i="3"/>
  <c r="W3446" i="3"/>
  <c r="X3446" i="3"/>
  <c r="Y3446" i="3"/>
  <c r="Z3446" i="3"/>
  <c r="AA3446" i="3"/>
  <c r="T3447" i="3"/>
  <c r="U3447" i="3"/>
  <c r="V3447" i="3"/>
  <c r="W3447" i="3"/>
  <c r="X3447" i="3"/>
  <c r="Y3447" i="3"/>
  <c r="Z3447" i="3"/>
  <c r="AA3447" i="3"/>
  <c r="T3448" i="3"/>
  <c r="U3448" i="3"/>
  <c r="V3448" i="3"/>
  <c r="W3448" i="3"/>
  <c r="X3448" i="3"/>
  <c r="Y3448" i="3"/>
  <c r="Z3448" i="3"/>
  <c r="AA3448" i="3"/>
  <c r="T3449" i="3"/>
  <c r="U3449" i="3"/>
  <c r="V3449" i="3"/>
  <c r="W3449" i="3"/>
  <c r="X3449" i="3"/>
  <c r="Y3449" i="3"/>
  <c r="Z3449" i="3"/>
  <c r="AA3449" i="3"/>
  <c r="T3450" i="3"/>
  <c r="U3450" i="3"/>
  <c r="V3450" i="3"/>
  <c r="W3450" i="3"/>
  <c r="X3450" i="3"/>
  <c r="Y3450" i="3"/>
  <c r="Z3450" i="3"/>
  <c r="AA3450" i="3"/>
  <c r="T3451" i="3"/>
  <c r="U3451" i="3"/>
  <c r="V3451" i="3"/>
  <c r="W3451" i="3"/>
  <c r="X3451" i="3"/>
  <c r="Y3451" i="3"/>
  <c r="Z3451" i="3"/>
  <c r="AA3451" i="3"/>
  <c r="T3452" i="3"/>
  <c r="U3452" i="3"/>
  <c r="V3452" i="3"/>
  <c r="W3452" i="3"/>
  <c r="X3452" i="3"/>
  <c r="Y3452" i="3"/>
  <c r="Z3452" i="3"/>
  <c r="AA3452" i="3"/>
  <c r="T3453" i="3"/>
  <c r="U3453" i="3"/>
  <c r="V3453" i="3"/>
  <c r="W3453" i="3"/>
  <c r="X3453" i="3"/>
  <c r="Y3453" i="3"/>
  <c r="Z3453" i="3"/>
  <c r="AA3453" i="3"/>
  <c r="T3454" i="3"/>
  <c r="U3454" i="3"/>
  <c r="V3454" i="3"/>
  <c r="W3454" i="3"/>
  <c r="X3454" i="3"/>
  <c r="Y3454" i="3"/>
  <c r="Z3454" i="3"/>
  <c r="AA3454" i="3"/>
  <c r="T3455" i="3"/>
  <c r="U3455" i="3"/>
  <c r="V3455" i="3"/>
  <c r="W3455" i="3"/>
  <c r="X3455" i="3"/>
  <c r="Y3455" i="3"/>
  <c r="Z3455" i="3"/>
  <c r="AA3455" i="3"/>
  <c r="T3456" i="3"/>
  <c r="U3456" i="3"/>
  <c r="V3456" i="3"/>
  <c r="W3456" i="3"/>
  <c r="X3456" i="3"/>
  <c r="Y3456" i="3"/>
  <c r="Z3456" i="3"/>
  <c r="AA3456" i="3"/>
  <c r="T3457" i="3"/>
  <c r="U3457" i="3"/>
  <c r="V3457" i="3"/>
  <c r="W3457" i="3"/>
  <c r="X3457" i="3"/>
  <c r="Y3457" i="3"/>
  <c r="Z3457" i="3"/>
  <c r="AA3457" i="3"/>
  <c r="T3458" i="3"/>
  <c r="U3458" i="3"/>
  <c r="V3458" i="3"/>
  <c r="W3458" i="3"/>
  <c r="X3458" i="3"/>
  <c r="Y3458" i="3"/>
  <c r="Z3458" i="3"/>
  <c r="AA3458" i="3"/>
  <c r="T3459" i="3"/>
  <c r="U3459" i="3"/>
  <c r="V3459" i="3"/>
  <c r="W3459" i="3"/>
  <c r="X3459" i="3"/>
  <c r="Y3459" i="3"/>
  <c r="Z3459" i="3"/>
  <c r="AA3459" i="3"/>
  <c r="T3460" i="3"/>
  <c r="U3460" i="3"/>
  <c r="V3460" i="3"/>
  <c r="W3460" i="3"/>
  <c r="X3460" i="3"/>
  <c r="Y3460" i="3"/>
  <c r="Z3460" i="3"/>
  <c r="AA3460" i="3"/>
  <c r="T3461" i="3"/>
  <c r="U3461" i="3"/>
  <c r="V3461" i="3"/>
  <c r="W3461" i="3"/>
  <c r="X3461" i="3"/>
  <c r="Y3461" i="3"/>
  <c r="Z3461" i="3"/>
  <c r="AA3461" i="3"/>
  <c r="T3462" i="3"/>
  <c r="U3462" i="3"/>
  <c r="V3462" i="3"/>
  <c r="W3462" i="3"/>
  <c r="X3462" i="3"/>
  <c r="Y3462" i="3"/>
  <c r="Z3462" i="3"/>
  <c r="AA3462" i="3"/>
  <c r="T3463" i="3"/>
  <c r="U3463" i="3"/>
  <c r="V3463" i="3"/>
  <c r="W3463" i="3"/>
  <c r="X3463" i="3"/>
  <c r="Y3463" i="3"/>
  <c r="Z3463" i="3"/>
  <c r="AA3463" i="3"/>
  <c r="T3464" i="3"/>
  <c r="U3464" i="3"/>
  <c r="V3464" i="3"/>
  <c r="W3464" i="3"/>
  <c r="X3464" i="3"/>
  <c r="Y3464" i="3"/>
  <c r="Z3464" i="3"/>
  <c r="AA3464" i="3"/>
  <c r="T3465" i="3"/>
  <c r="U3465" i="3"/>
  <c r="V3465" i="3"/>
  <c r="W3465" i="3"/>
  <c r="X3465" i="3"/>
  <c r="Y3465" i="3"/>
  <c r="Z3465" i="3"/>
  <c r="AA3465" i="3"/>
  <c r="T3466" i="3"/>
  <c r="U3466" i="3"/>
  <c r="V3466" i="3"/>
  <c r="W3466" i="3"/>
  <c r="X3466" i="3"/>
  <c r="Y3466" i="3"/>
  <c r="Z3466" i="3"/>
  <c r="AA3466" i="3"/>
  <c r="T3467" i="3"/>
  <c r="U3467" i="3"/>
  <c r="V3467" i="3"/>
  <c r="W3467" i="3"/>
  <c r="X3467" i="3"/>
  <c r="Y3467" i="3"/>
  <c r="Z3467" i="3"/>
  <c r="AA3467" i="3"/>
  <c r="T3468" i="3"/>
  <c r="U3468" i="3"/>
  <c r="V3468" i="3"/>
  <c r="W3468" i="3"/>
  <c r="X3468" i="3"/>
  <c r="Y3468" i="3"/>
  <c r="Z3468" i="3"/>
  <c r="AA3468" i="3"/>
  <c r="T3469" i="3"/>
  <c r="U3469" i="3"/>
  <c r="V3469" i="3"/>
  <c r="W3469" i="3"/>
  <c r="X3469" i="3"/>
  <c r="Y3469" i="3"/>
  <c r="Z3469" i="3"/>
  <c r="AA3469" i="3"/>
  <c r="T3470" i="3"/>
  <c r="U3470" i="3"/>
  <c r="V3470" i="3"/>
  <c r="W3470" i="3"/>
  <c r="X3470" i="3"/>
  <c r="Y3470" i="3"/>
  <c r="Z3470" i="3"/>
  <c r="AA3470" i="3"/>
  <c r="T3471" i="3"/>
  <c r="U3471" i="3"/>
  <c r="V3471" i="3"/>
  <c r="W3471" i="3"/>
  <c r="X3471" i="3"/>
  <c r="Y3471" i="3"/>
  <c r="Z3471" i="3"/>
  <c r="AA3471" i="3"/>
  <c r="T3472" i="3"/>
  <c r="U3472" i="3"/>
  <c r="V3472" i="3"/>
  <c r="W3472" i="3"/>
  <c r="X3472" i="3"/>
  <c r="Y3472" i="3"/>
  <c r="Z3472" i="3"/>
  <c r="AA3472" i="3"/>
  <c r="U3440" i="3"/>
  <c r="V3440" i="3"/>
  <c r="W3440" i="3"/>
  <c r="X3440" i="3"/>
  <c r="Y3440" i="3"/>
  <c r="Z3440" i="3"/>
  <c r="AA3440" i="3"/>
  <c r="T3440" i="3"/>
  <c r="T3407" i="3"/>
  <c r="U3407" i="3"/>
  <c r="V3407" i="3"/>
  <c r="W3407" i="3"/>
  <c r="X3407" i="3"/>
  <c r="Y3407" i="3"/>
  <c r="Z3407" i="3"/>
  <c r="AA3407" i="3"/>
  <c r="T3408" i="3"/>
  <c r="U3408" i="3"/>
  <c r="V3408" i="3"/>
  <c r="W3408" i="3"/>
  <c r="X3408" i="3"/>
  <c r="Y3408" i="3"/>
  <c r="Z3408" i="3"/>
  <c r="AA3408" i="3"/>
  <c r="T3409" i="3"/>
  <c r="U3409" i="3"/>
  <c r="V3409" i="3"/>
  <c r="W3409" i="3"/>
  <c r="X3409" i="3"/>
  <c r="Y3409" i="3"/>
  <c r="Z3409" i="3"/>
  <c r="AA3409" i="3"/>
  <c r="T3410" i="3"/>
  <c r="U3410" i="3"/>
  <c r="V3410" i="3"/>
  <c r="W3410" i="3"/>
  <c r="X3410" i="3"/>
  <c r="Y3410" i="3"/>
  <c r="Z3410" i="3"/>
  <c r="AA3410" i="3"/>
  <c r="T3411" i="3"/>
  <c r="U3411" i="3"/>
  <c r="V3411" i="3"/>
  <c r="W3411" i="3"/>
  <c r="X3411" i="3"/>
  <c r="Y3411" i="3"/>
  <c r="Z3411" i="3"/>
  <c r="AA3411" i="3"/>
  <c r="T3412" i="3"/>
  <c r="U3412" i="3"/>
  <c r="V3412" i="3"/>
  <c r="W3412" i="3"/>
  <c r="X3412" i="3"/>
  <c r="Y3412" i="3"/>
  <c r="Z3412" i="3"/>
  <c r="AA3412" i="3"/>
  <c r="T3413" i="3"/>
  <c r="U3413" i="3"/>
  <c r="V3413" i="3"/>
  <c r="W3413" i="3"/>
  <c r="X3413" i="3"/>
  <c r="Y3413" i="3"/>
  <c r="Z3413" i="3"/>
  <c r="AA3413" i="3"/>
  <c r="T3414" i="3"/>
  <c r="U3414" i="3"/>
  <c r="V3414" i="3"/>
  <c r="AB3414" i="3" s="1"/>
  <c r="W3414" i="3"/>
  <c r="X3414" i="3"/>
  <c r="Y3414" i="3"/>
  <c r="Z3414" i="3"/>
  <c r="AA3414" i="3"/>
  <c r="T3415" i="3"/>
  <c r="U3415" i="3"/>
  <c r="V3415" i="3"/>
  <c r="W3415" i="3"/>
  <c r="X3415" i="3"/>
  <c r="Y3415" i="3"/>
  <c r="Z3415" i="3"/>
  <c r="AA3415" i="3"/>
  <c r="T3416" i="3"/>
  <c r="U3416" i="3"/>
  <c r="V3416" i="3"/>
  <c r="AB3416" i="3" s="1"/>
  <c r="W3416" i="3"/>
  <c r="X3416" i="3"/>
  <c r="Y3416" i="3"/>
  <c r="Z3416" i="3"/>
  <c r="AA3416" i="3"/>
  <c r="T3417" i="3"/>
  <c r="U3417" i="3"/>
  <c r="V3417" i="3"/>
  <c r="W3417" i="3"/>
  <c r="X3417" i="3"/>
  <c r="Y3417" i="3"/>
  <c r="Z3417" i="3"/>
  <c r="AA3417" i="3"/>
  <c r="T3418" i="3"/>
  <c r="U3418" i="3"/>
  <c r="V3418" i="3"/>
  <c r="W3418" i="3"/>
  <c r="X3418" i="3"/>
  <c r="Y3418" i="3"/>
  <c r="Z3418" i="3"/>
  <c r="AA3418" i="3"/>
  <c r="T3419" i="3"/>
  <c r="U3419" i="3"/>
  <c r="V3419" i="3"/>
  <c r="W3419" i="3"/>
  <c r="X3419" i="3"/>
  <c r="Y3419" i="3"/>
  <c r="Z3419" i="3"/>
  <c r="AA3419" i="3"/>
  <c r="T3420" i="3"/>
  <c r="U3420" i="3"/>
  <c r="V3420" i="3"/>
  <c r="W3420" i="3"/>
  <c r="X3420" i="3"/>
  <c r="Y3420" i="3"/>
  <c r="Z3420" i="3"/>
  <c r="AA3420" i="3"/>
  <c r="T3421" i="3"/>
  <c r="U3421" i="3"/>
  <c r="V3421" i="3"/>
  <c r="W3421" i="3"/>
  <c r="X3421" i="3"/>
  <c r="Y3421" i="3"/>
  <c r="Z3421" i="3"/>
  <c r="AA3421" i="3"/>
  <c r="T3422" i="3"/>
  <c r="U3422" i="3"/>
  <c r="V3422" i="3"/>
  <c r="W3422" i="3"/>
  <c r="X3422" i="3"/>
  <c r="Y3422" i="3"/>
  <c r="Z3422" i="3"/>
  <c r="AA3422" i="3"/>
  <c r="T3423" i="3"/>
  <c r="U3423" i="3"/>
  <c r="V3423" i="3"/>
  <c r="W3423" i="3"/>
  <c r="X3423" i="3"/>
  <c r="Y3423" i="3"/>
  <c r="Z3423" i="3"/>
  <c r="AA3423" i="3"/>
  <c r="T3424" i="3"/>
  <c r="U3424" i="3"/>
  <c r="V3424" i="3"/>
  <c r="W3424" i="3"/>
  <c r="X3424" i="3"/>
  <c r="Y3424" i="3"/>
  <c r="Z3424" i="3"/>
  <c r="AA3424" i="3"/>
  <c r="T3425" i="3"/>
  <c r="U3425" i="3"/>
  <c r="V3425" i="3"/>
  <c r="W3425" i="3"/>
  <c r="X3425" i="3"/>
  <c r="Y3425" i="3"/>
  <c r="Z3425" i="3"/>
  <c r="AA3425" i="3"/>
  <c r="T3426" i="3"/>
  <c r="U3426" i="3"/>
  <c r="V3426" i="3"/>
  <c r="W3426" i="3"/>
  <c r="X3426" i="3"/>
  <c r="Y3426" i="3"/>
  <c r="Z3426" i="3"/>
  <c r="AA3426" i="3"/>
  <c r="T3427" i="3"/>
  <c r="U3427" i="3"/>
  <c r="V3427" i="3"/>
  <c r="W3427" i="3"/>
  <c r="X3427" i="3"/>
  <c r="Y3427" i="3"/>
  <c r="Z3427" i="3"/>
  <c r="AA3427" i="3"/>
  <c r="T3428" i="3"/>
  <c r="U3428" i="3"/>
  <c r="V3428" i="3"/>
  <c r="W3428" i="3"/>
  <c r="X3428" i="3"/>
  <c r="Y3428" i="3"/>
  <c r="Z3428" i="3"/>
  <c r="AA3428" i="3"/>
  <c r="T3429" i="3"/>
  <c r="U3429" i="3"/>
  <c r="V3429" i="3"/>
  <c r="W3429" i="3"/>
  <c r="X3429" i="3"/>
  <c r="Y3429" i="3"/>
  <c r="Z3429" i="3"/>
  <c r="AA3429" i="3"/>
  <c r="T3430" i="3"/>
  <c r="U3430" i="3"/>
  <c r="V3430" i="3"/>
  <c r="AB3430" i="3" s="1"/>
  <c r="W3430" i="3"/>
  <c r="X3430" i="3"/>
  <c r="Y3430" i="3"/>
  <c r="Z3430" i="3"/>
  <c r="AA3430" i="3"/>
  <c r="T3431" i="3"/>
  <c r="U3431" i="3"/>
  <c r="V3431" i="3"/>
  <c r="W3431" i="3"/>
  <c r="X3431" i="3"/>
  <c r="Y3431" i="3"/>
  <c r="Z3431" i="3"/>
  <c r="AA3431" i="3"/>
  <c r="T3432" i="3"/>
  <c r="U3432" i="3"/>
  <c r="V3432" i="3"/>
  <c r="AB3432" i="3" s="1"/>
  <c r="W3432" i="3"/>
  <c r="X3432" i="3"/>
  <c r="Y3432" i="3"/>
  <c r="Z3432" i="3"/>
  <c r="AA3432" i="3"/>
  <c r="T3433" i="3"/>
  <c r="U3433" i="3"/>
  <c r="V3433" i="3"/>
  <c r="W3433" i="3"/>
  <c r="X3433" i="3"/>
  <c r="Y3433" i="3"/>
  <c r="Z3433" i="3"/>
  <c r="AA3433" i="3"/>
  <c r="T3434" i="3"/>
  <c r="U3434" i="3"/>
  <c r="V3434" i="3"/>
  <c r="W3434" i="3"/>
  <c r="X3434" i="3"/>
  <c r="Y3434" i="3"/>
  <c r="Z3434" i="3"/>
  <c r="AA3434" i="3"/>
  <c r="T3435" i="3"/>
  <c r="U3435" i="3"/>
  <c r="V3435" i="3"/>
  <c r="W3435" i="3"/>
  <c r="X3435" i="3"/>
  <c r="Y3435" i="3"/>
  <c r="Z3435" i="3"/>
  <c r="AA3435" i="3"/>
  <c r="T3436" i="3"/>
  <c r="U3436" i="3"/>
  <c r="V3436" i="3"/>
  <c r="W3436" i="3"/>
  <c r="X3436" i="3"/>
  <c r="Y3436" i="3"/>
  <c r="Z3436" i="3"/>
  <c r="AA3436" i="3"/>
  <c r="T3437" i="3"/>
  <c r="U3437" i="3"/>
  <c r="V3437" i="3"/>
  <c r="W3437" i="3"/>
  <c r="X3437" i="3"/>
  <c r="Y3437" i="3"/>
  <c r="Z3437" i="3"/>
  <c r="AA3437" i="3"/>
  <c r="T3438" i="3"/>
  <c r="U3438" i="3"/>
  <c r="V3438" i="3"/>
  <c r="W3438" i="3"/>
  <c r="X3438" i="3"/>
  <c r="Y3438" i="3"/>
  <c r="Z3438" i="3"/>
  <c r="AA3438" i="3"/>
  <c r="U3406" i="3"/>
  <c r="V3406" i="3"/>
  <c r="W3406" i="3"/>
  <c r="X3406" i="3"/>
  <c r="Y3406" i="3"/>
  <c r="Z3406" i="3"/>
  <c r="AA3406" i="3"/>
  <c r="T3406" i="3"/>
  <c r="T3373" i="3"/>
  <c r="U3373" i="3"/>
  <c r="V3373" i="3"/>
  <c r="W3373" i="3"/>
  <c r="X3373" i="3"/>
  <c r="Y3373" i="3"/>
  <c r="Z3373" i="3"/>
  <c r="AA3373" i="3"/>
  <c r="T3374" i="3"/>
  <c r="U3374" i="3"/>
  <c r="V3374" i="3"/>
  <c r="W3374" i="3"/>
  <c r="X3374" i="3"/>
  <c r="Y3374" i="3"/>
  <c r="Z3374" i="3"/>
  <c r="AA3374" i="3"/>
  <c r="T3375" i="3"/>
  <c r="U3375" i="3"/>
  <c r="V3375" i="3"/>
  <c r="W3375" i="3"/>
  <c r="X3375" i="3"/>
  <c r="Y3375" i="3"/>
  <c r="Z3375" i="3"/>
  <c r="AA3375" i="3"/>
  <c r="T3376" i="3"/>
  <c r="U3376" i="3"/>
  <c r="V3376" i="3"/>
  <c r="W3376" i="3"/>
  <c r="X3376" i="3"/>
  <c r="Y3376" i="3"/>
  <c r="Z3376" i="3"/>
  <c r="AA3376" i="3"/>
  <c r="T3377" i="3"/>
  <c r="U3377" i="3"/>
  <c r="V3377" i="3"/>
  <c r="W3377" i="3"/>
  <c r="X3377" i="3"/>
  <c r="Y3377" i="3"/>
  <c r="Z3377" i="3"/>
  <c r="AA3377" i="3"/>
  <c r="T3378" i="3"/>
  <c r="U3378" i="3"/>
  <c r="V3378" i="3"/>
  <c r="W3378" i="3"/>
  <c r="X3378" i="3"/>
  <c r="Y3378" i="3"/>
  <c r="Z3378" i="3"/>
  <c r="AA3378" i="3"/>
  <c r="T3379" i="3"/>
  <c r="U3379" i="3"/>
  <c r="V3379" i="3"/>
  <c r="W3379" i="3"/>
  <c r="X3379" i="3"/>
  <c r="Y3379" i="3"/>
  <c r="Z3379" i="3"/>
  <c r="AA3379" i="3"/>
  <c r="T3380" i="3"/>
  <c r="U3380" i="3"/>
  <c r="V3380" i="3"/>
  <c r="W3380" i="3"/>
  <c r="X3380" i="3"/>
  <c r="Y3380" i="3"/>
  <c r="Z3380" i="3"/>
  <c r="AA3380" i="3"/>
  <c r="T3381" i="3"/>
  <c r="U3381" i="3"/>
  <c r="V3381" i="3"/>
  <c r="W3381" i="3"/>
  <c r="X3381" i="3"/>
  <c r="Y3381" i="3"/>
  <c r="Z3381" i="3"/>
  <c r="AA3381" i="3"/>
  <c r="T3382" i="3"/>
  <c r="U3382" i="3"/>
  <c r="V3382" i="3"/>
  <c r="W3382" i="3"/>
  <c r="X3382" i="3"/>
  <c r="Y3382" i="3"/>
  <c r="Z3382" i="3"/>
  <c r="AA3382" i="3"/>
  <c r="T3383" i="3"/>
  <c r="U3383" i="3"/>
  <c r="V3383" i="3"/>
  <c r="W3383" i="3"/>
  <c r="X3383" i="3"/>
  <c r="Y3383" i="3"/>
  <c r="Z3383" i="3"/>
  <c r="AA3383" i="3"/>
  <c r="T3384" i="3"/>
  <c r="U3384" i="3"/>
  <c r="V3384" i="3"/>
  <c r="W3384" i="3"/>
  <c r="X3384" i="3"/>
  <c r="Y3384" i="3"/>
  <c r="Z3384" i="3"/>
  <c r="AA3384" i="3"/>
  <c r="T3385" i="3"/>
  <c r="U3385" i="3"/>
  <c r="V3385" i="3"/>
  <c r="W3385" i="3"/>
  <c r="X3385" i="3"/>
  <c r="Y3385" i="3"/>
  <c r="Z3385" i="3"/>
  <c r="AA3385" i="3"/>
  <c r="T3386" i="3"/>
  <c r="U3386" i="3"/>
  <c r="V3386" i="3"/>
  <c r="W3386" i="3"/>
  <c r="X3386" i="3"/>
  <c r="Y3386" i="3"/>
  <c r="Z3386" i="3"/>
  <c r="AA3386" i="3"/>
  <c r="T3387" i="3"/>
  <c r="U3387" i="3"/>
  <c r="V3387" i="3"/>
  <c r="W3387" i="3"/>
  <c r="X3387" i="3"/>
  <c r="Y3387" i="3"/>
  <c r="Z3387" i="3"/>
  <c r="AA3387" i="3"/>
  <c r="T3388" i="3"/>
  <c r="U3388" i="3"/>
  <c r="V3388" i="3"/>
  <c r="W3388" i="3"/>
  <c r="X3388" i="3"/>
  <c r="Y3388" i="3"/>
  <c r="Z3388" i="3"/>
  <c r="AA3388" i="3"/>
  <c r="T3389" i="3"/>
  <c r="U3389" i="3"/>
  <c r="V3389" i="3"/>
  <c r="W3389" i="3"/>
  <c r="X3389" i="3"/>
  <c r="Y3389" i="3"/>
  <c r="Z3389" i="3"/>
  <c r="AA3389" i="3"/>
  <c r="T3390" i="3"/>
  <c r="U3390" i="3"/>
  <c r="V3390" i="3"/>
  <c r="W3390" i="3"/>
  <c r="X3390" i="3"/>
  <c r="Y3390" i="3"/>
  <c r="Z3390" i="3"/>
  <c r="AA3390" i="3"/>
  <c r="T3391" i="3"/>
  <c r="U3391" i="3"/>
  <c r="V3391" i="3"/>
  <c r="W3391" i="3"/>
  <c r="X3391" i="3"/>
  <c r="Y3391" i="3"/>
  <c r="Z3391" i="3"/>
  <c r="AA3391" i="3"/>
  <c r="T3392" i="3"/>
  <c r="U3392" i="3"/>
  <c r="V3392" i="3"/>
  <c r="W3392" i="3"/>
  <c r="X3392" i="3"/>
  <c r="Y3392" i="3"/>
  <c r="Z3392" i="3"/>
  <c r="AA3392" i="3"/>
  <c r="T3393" i="3"/>
  <c r="U3393" i="3"/>
  <c r="V3393" i="3"/>
  <c r="W3393" i="3"/>
  <c r="X3393" i="3"/>
  <c r="Y3393" i="3"/>
  <c r="Z3393" i="3"/>
  <c r="AA3393" i="3"/>
  <c r="T3394" i="3"/>
  <c r="U3394" i="3"/>
  <c r="V3394" i="3"/>
  <c r="W3394" i="3"/>
  <c r="X3394" i="3"/>
  <c r="Y3394" i="3"/>
  <c r="Z3394" i="3"/>
  <c r="AA3394" i="3"/>
  <c r="T3395" i="3"/>
  <c r="U3395" i="3"/>
  <c r="V3395" i="3"/>
  <c r="W3395" i="3"/>
  <c r="X3395" i="3"/>
  <c r="Y3395" i="3"/>
  <c r="Z3395" i="3"/>
  <c r="AA3395" i="3"/>
  <c r="T3396" i="3"/>
  <c r="U3396" i="3"/>
  <c r="V3396" i="3"/>
  <c r="W3396" i="3"/>
  <c r="X3396" i="3"/>
  <c r="Y3396" i="3"/>
  <c r="Z3396" i="3"/>
  <c r="AA3396" i="3"/>
  <c r="T3397" i="3"/>
  <c r="U3397" i="3"/>
  <c r="V3397" i="3"/>
  <c r="W3397" i="3"/>
  <c r="X3397" i="3"/>
  <c r="Y3397" i="3"/>
  <c r="Z3397" i="3"/>
  <c r="AA3397" i="3"/>
  <c r="T3398" i="3"/>
  <c r="U3398" i="3"/>
  <c r="V3398" i="3"/>
  <c r="W3398" i="3"/>
  <c r="X3398" i="3"/>
  <c r="Y3398" i="3"/>
  <c r="Z3398" i="3"/>
  <c r="AA3398" i="3"/>
  <c r="T3399" i="3"/>
  <c r="U3399" i="3"/>
  <c r="V3399" i="3"/>
  <c r="W3399" i="3"/>
  <c r="X3399" i="3"/>
  <c r="Y3399" i="3"/>
  <c r="Z3399" i="3"/>
  <c r="AA3399" i="3"/>
  <c r="T3400" i="3"/>
  <c r="U3400" i="3"/>
  <c r="V3400" i="3"/>
  <c r="W3400" i="3"/>
  <c r="X3400" i="3"/>
  <c r="Y3400" i="3"/>
  <c r="Z3400" i="3"/>
  <c r="AA3400" i="3"/>
  <c r="T3401" i="3"/>
  <c r="U3401" i="3"/>
  <c r="V3401" i="3"/>
  <c r="W3401" i="3"/>
  <c r="X3401" i="3"/>
  <c r="Y3401" i="3"/>
  <c r="Z3401" i="3"/>
  <c r="AA3401" i="3"/>
  <c r="T3402" i="3"/>
  <c r="U3402" i="3"/>
  <c r="V3402" i="3"/>
  <c r="W3402" i="3"/>
  <c r="X3402" i="3"/>
  <c r="Y3402" i="3"/>
  <c r="Z3402" i="3"/>
  <c r="AA3402" i="3"/>
  <c r="T3403" i="3"/>
  <c r="U3403" i="3"/>
  <c r="V3403" i="3"/>
  <c r="W3403" i="3"/>
  <c r="X3403" i="3"/>
  <c r="Y3403" i="3"/>
  <c r="Z3403" i="3"/>
  <c r="AA3403" i="3"/>
  <c r="T3404" i="3"/>
  <c r="U3404" i="3"/>
  <c r="V3404" i="3"/>
  <c r="W3404" i="3"/>
  <c r="X3404" i="3"/>
  <c r="Y3404" i="3"/>
  <c r="Z3404" i="3"/>
  <c r="AA3404" i="3"/>
  <c r="U3372" i="3"/>
  <c r="V3372" i="3"/>
  <c r="W3372" i="3"/>
  <c r="X3372" i="3"/>
  <c r="Y3372" i="3"/>
  <c r="Z3372" i="3"/>
  <c r="AA3372" i="3"/>
  <c r="T3372" i="3"/>
  <c r="T3339" i="3"/>
  <c r="U3339" i="3"/>
  <c r="V3339" i="3"/>
  <c r="W3339" i="3"/>
  <c r="X3339" i="3"/>
  <c r="Y3339" i="3"/>
  <c r="Z3339" i="3"/>
  <c r="AA3339" i="3"/>
  <c r="T3340" i="3"/>
  <c r="U3340" i="3"/>
  <c r="V3340" i="3"/>
  <c r="W3340" i="3"/>
  <c r="X3340" i="3"/>
  <c r="Y3340" i="3"/>
  <c r="Z3340" i="3"/>
  <c r="AA3340" i="3"/>
  <c r="T3341" i="3"/>
  <c r="U3341" i="3"/>
  <c r="V3341" i="3"/>
  <c r="W3341" i="3"/>
  <c r="X3341" i="3"/>
  <c r="Y3341" i="3"/>
  <c r="Z3341" i="3"/>
  <c r="AA3341" i="3"/>
  <c r="T3342" i="3"/>
  <c r="U3342" i="3"/>
  <c r="V3342" i="3"/>
  <c r="W3342" i="3"/>
  <c r="X3342" i="3"/>
  <c r="Y3342" i="3"/>
  <c r="Z3342" i="3"/>
  <c r="AA3342" i="3"/>
  <c r="T3343" i="3"/>
  <c r="U3343" i="3"/>
  <c r="V3343" i="3"/>
  <c r="W3343" i="3"/>
  <c r="X3343" i="3"/>
  <c r="Y3343" i="3"/>
  <c r="Z3343" i="3"/>
  <c r="AA3343" i="3"/>
  <c r="T3344" i="3"/>
  <c r="U3344" i="3"/>
  <c r="V3344" i="3"/>
  <c r="W3344" i="3"/>
  <c r="X3344" i="3"/>
  <c r="Y3344" i="3"/>
  <c r="Z3344" i="3"/>
  <c r="AA3344" i="3"/>
  <c r="T3345" i="3"/>
  <c r="U3345" i="3"/>
  <c r="V3345" i="3"/>
  <c r="W3345" i="3"/>
  <c r="X3345" i="3"/>
  <c r="Y3345" i="3"/>
  <c r="Z3345" i="3"/>
  <c r="AA3345" i="3"/>
  <c r="T3346" i="3"/>
  <c r="U3346" i="3"/>
  <c r="V3346" i="3"/>
  <c r="W3346" i="3"/>
  <c r="X3346" i="3"/>
  <c r="Y3346" i="3"/>
  <c r="Z3346" i="3"/>
  <c r="AA3346" i="3"/>
  <c r="T3347" i="3"/>
  <c r="U3347" i="3"/>
  <c r="V3347" i="3"/>
  <c r="W3347" i="3"/>
  <c r="X3347" i="3"/>
  <c r="Y3347" i="3"/>
  <c r="Z3347" i="3"/>
  <c r="AA3347" i="3"/>
  <c r="T3348" i="3"/>
  <c r="U3348" i="3"/>
  <c r="V3348" i="3"/>
  <c r="W3348" i="3"/>
  <c r="X3348" i="3"/>
  <c r="Y3348" i="3"/>
  <c r="Z3348" i="3"/>
  <c r="AA3348" i="3"/>
  <c r="T3349" i="3"/>
  <c r="U3349" i="3"/>
  <c r="V3349" i="3"/>
  <c r="W3349" i="3"/>
  <c r="X3349" i="3"/>
  <c r="Y3349" i="3"/>
  <c r="Z3349" i="3"/>
  <c r="AA3349" i="3"/>
  <c r="T3350" i="3"/>
  <c r="U3350" i="3"/>
  <c r="V3350" i="3"/>
  <c r="W3350" i="3"/>
  <c r="X3350" i="3"/>
  <c r="Y3350" i="3"/>
  <c r="Z3350" i="3"/>
  <c r="AA3350" i="3"/>
  <c r="T3351" i="3"/>
  <c r="U3351" i="3"/>
  <c r="V3351" i="3"/>
  <c r="W3351" i="3"/>
  <c r="X3351" i="3"/>
  <c r="Y3351" i="3"/>
  <c r="Z3351" i="3"/>
  <c r="AA3351" i="3"/>
  <c r="T3352" i="3"/>
  <c r="U3352" i="3"/>
  <c r="V3352" i="3"/>
  <c r="W3352" i="3"/>
  <c r="X3352" i="3"/>
  <c r="Y3352" i="3"/>
  <c r="Z3352" i="3"/>
  <c r="AA3352" i="3"/>
  <c r="T3353" i="3"/>
  <c r="U3353" i="3"/>
  <c r="V3353" i="3"/>
  <c r="W3353" i="3"/>
  <c r="X3353" i="3"/>
  <c r="Y3353" i="3"/>
  <c r="Z3353" i="3"/>
  <c r="AA3353" i="3"/>
  <c r="T3354" i="3"/>
  <c r="U3354" i="3"/>
  <c r="V3354" i="3"/>
  <c r="W3354" i="3"/>
  <c r="X3354" i="3"/>
  <c r="Y3354" i="3"/>
  <c r="Z3354" i="3"/>
  <c r="AA3354" i="3"/>
  <c r="T3355" i="3"/>
  <c r="U3355" i="3"/>
  <c r="V3355" i="3"/>
  <c r="W3355" i="3"/>
  <c r="X3355" i="3"/>
  <c r="Y3355" i="3"/>
  <c r="Z3355" i="3"/>
  <c r="AA3355" i="3"/>
  <c r="T3356" i="3"/>
  <c r="U3356" i="3"/>
  <c r="V3356" i="3"/>
  <c r="W3356" i="3"/>
  <c r="X3356" i="3"/>
  <c r="Y3356" i="3"/>
  <c r="Z3356" i="3"/>
  <c r="AA3356" i="3"/>
  <c r="T3357" i="3"/>
  <c r="U3357" i="3"/>
  <c r="V3357" i="3"/>
  <c r="W3357" i="3"/>
  <c r="X3357" i="3"/>
  <c r="Y3357" i="3"/>
  <c r="Z3357" i="3"/>
  <c r="AA3357" i="3"/>
  <c r="T3358" i="3"/>
  <c r="U3358" i="3"/>
  <c r="V3358" i="3"/>
  <c r="W3358" i="3"/>
  <c r="X3358" i="3"/>
  <c r="Y3358" i="3"/>
  <c r="Z3358" i="3"/>
  <c r="AA3358" i="3"/>
  <c r="T3359" i="3"/>
  <c r="U3359" i="3"/>
  <c r="V3359" i="3"/>
  <c r="W3359" i="3"/>
  <c r="X3359" i="3"/>
  <c r="Y3359" i="3"/>
  <c r="Z3359" i="3"/>
  <c r="AA3359" i="3"/>
  <c r="T3360" i="3"/>
  <c r="U3360" i="3"/>
  <c r="V3360" i="3"/>
  <c r="W3360" i="3"/>
  <c r="X3360" i="3"/>
  <c r="Y3360" i="3"/>
  <c r="Z3360" i="3"/>
  <c r="AA3360" i="3"/>
  <c r="T3361" i="3"/>
  <c r="U3361" i="3"/>
  <c r="V3361" i="3"/>
  <c r="W3361" i="3"/>
  <c r="X3361" i="3"/>
  <c r="Y3361" i="3"/>
  <c r="Z3361" i="3"/>
  <c r="AA3361" i="3"/>
  <c r="T3362" i="3"/>
  <c r="U3362" i="3"/>
  <c r="V3362" i="3"/>
  <c r="W3362" i="3"/>
  <c r="X3362" i="3"/>
  <c r="Y3362" i="3"/>
  <c r="Z3362" i="3"/>
  <c r="AA3362" i="3"/>
  <c r="T3363" i="3"/>
  <c r="U3363" i="3"/>
  <c r="V3363" i="3"/>
  <c r="W3363" i="3"/>
  <c r="X3363" i="3"/>
  <c r="Y3363" i="3"/>
  <c r="Z3363" i="3"/>
  <c r="AA3363" i="3"/>
  <c r="T3364" i="3"/>
  <c r="U3364" i="3"/>
  <c r="V3364" i="3"/>
  <c r="W3364" i="3"/>
  <c r="X3364" i="3"/>
  <c r="Y3364" i="3"/>
  <c r="Z3364" i="3"/>
  <c r="AA3364" i="3"/>
  <c r="T3365" i="3"/>
  <c r="U3365" i="3"/>
  <c r="V3365" i="3"/>
  <c r="W3365" i="3"/>
  <c r="X3365" i="3"/>
  <c r="Y3365" i="3"/>
  <c r="Z3365" i="3"/>
  <c r="AA3365" i="3"/>
  <c r="T3366" i="3"/>
  <c r="U3366" i="3"/>
  <c r="V3366" i="3"/>
  <c r="W3366" i="3"/>
  <c r="X3366" i="3"/>
  <c r="Y3366" i="3"/>
  <c r="Z3366" i="3"/>
  <c r="AA3366" i="3"/>
  <c r="T3367" i="3"/>
  <c r="U3367" i="3"/>
  <c r="V3367" i="3"/>
  <c r="W3367" i="3"/>
  <c r="X3367" i="3"/>
  <c r="Y3367" i="3"/>
  <c r="Z3367" i="3"/>
  <c r="AA3367" i="3"/>
  <c r="T3368" i="3"/>
  <c r="U3368" i="3"/>
  <c r="V3368" i="3"/>
  <c r="W3368" i="3"/>
  <c r="X3368" i="3"/>
  <c r="Y3368" i="3"/>
  <c r="Z3368" i="3"/>
  <c r="AA3368" i="3"/>
  <c r="T3369" i="3"/>
  <c r="U3369" i="3"/>
  <c r="V3369" i="3"/>
  <c r="W3369" i="3"/>
  <c r="X3369" i="3"/>
  <c r="Y3369" i="3"/>
  <c r="Z3369" i="3"/>
  <c r="AA3369" i="3"/>
  <c r="T3370" i="3"/>
  <c r="U3370" i="3"/>
  <c r="V3370" i="3"/>
  <c r="W3370" i="3"/>
  <c r="X3370" i="3"/>
  <c r="Y3370" i="3"/>
  <c r="Z3370" i="3"/>
  <c r="AA3370" i="3"/>
  <c r="U3338" i="3"/>
  <c r="V3338" i="3"/>
  <c r="W3338" i="3"/>
  <c r="X3338" i="3"/>
  <c r="Y3338" i="3"/>
  <c r="Z3338" i="3"/>
  <c r="AA3338" i="3"/>
  <c r="T3338" i="3"/>
  <c r="T3305" i="3"/>
  <c r="U3305" i="3"/>
  <c r="V3305" i="3"/>
  <c r="W3305" i="3"/>
  <c r="X3305" i="3"/>
  <c r="Y3305" i="3"/>
  <c r="Z3305" i="3"/>
  <c r="AA3305" i="3"/>
  <c r="T3306" i="3"/>
  <c r="U3306" i="3"/>
  <c r="V3306" i="3"/>
  <c r="W3306" i="3"/>
  <c r="X3306" i="3"/>
  <c r="Y3306" i="3"/>
  <c r="Z3306" i="3"/>
  <c r="AA3306" i="3"/>
  <c r="T3307" i="3"/>
  <c r="U3307" i="3"/>
  <c r="V3307" i="3"/>
  <c r="W3307" i="3"/>
  <c r="X3307" i="3"/>
  <c r="Y3307" i="3"/>
  <c r="Z3307" i="3"/>
  <c r="AA3307" i="3"/>
  <c r="T3308" i="3"/>
  <c r="U3308" i="3"/>
  <c r="V3308" i="3"/>
  <c r="W3308" i="3"/>
  <c r="X3308" i="3"/>
  <c r="Y3308" i="3"/>
  <c r="Z3308" i="3"/>
  <c r="AA3308" i="3"/>
  <c r="T3309" i="3"/>
  <c r="U3309" i="3"/>
  <c r="V3309" i="3"/>
  <c r="W3309" i="3"/>
  <c r="X3309" i="3"/>
  <c r="Y3309" i="3"/>
  <c r="Z3309" i="3"/>
  <c r="AA3309" i="3"/>
  <c r="T3310" i="3"/>
  <c r="U3310" i="3"/>
  <c r="V3310" i="3"/>
  <c r="W3310" i="3"/>
  <c r="X3310" i="3"/>
  <c r="Y3310" i="3"/>
  <c r="Z3310" i="3"/>
  <c r="AA3310" i="3"/>
  <c r="T3311" i="3"/>
  <c r="U3311" i="3"/>
  <c r="V3311" i="3"/>
  <c r="W3311" i="3"/>
  <c r="X3311" i="3"/>
  <c r="Y3311" i="3"/>
  <c r="Z3311" i="3"/>
  <c r="AA3311" i="3"/>
  <c r="T3312" i="3"/>
  <c r="U3312" i="3"/>
  <c r="V3312" i="3"/>
  <c r="W3312" i="3"/>
  <c r="X3312" i="3"/>
  <c r="Y3312" i="3"/>
  <c r="Z3312" i="3"/>
  <c r="AA3312" i="3"/>
  <c r="T3313" i="3"/>
  <c r="U3313" i="3"/>
  <c r="V3313" i="3"/>
  <c r="W3313" i="3"/>
  <c r="X3313" i="3"/>
  <c r="Y3313" i="3"/>
  <c r="Z3313" i="3"/>
  <c r="AA3313" i="3"/>
  <c r="T3314" i="3"/>
  <c r="U3314" i="3"/>
  <c r="V3314" i="3"/>
  <c r="W3314" i="3"/>
  <c r="X3314" i="3"/>
  <c r="Y3314" i="3"/>
  <c r="Z3314" i="3"/>
  <c r="AA3314" i="3"/>
  <c r="T3315" i="3"/>
  <c r="U3315" i="3"/>
  <c r="V3315" i="3"/>
  <c r="W3315" i="3"/>
  <c r="X3315" i="3"/>
  <c r="Y3315" i="3"/>
  <c r="Z3315" i="3"/>
  <c r="AA3315" i="3"/>
  <c r="T3316" i="3"/>
  <c r="U3316" i="3"/>
  <c r="V3316" i="3"/>
  <c r="W3316" i="3"/>
  <c r="X3316" i="3"/>
  <c r="Y3316" i="3"/>
  <c r="Z3316" i="3"/>
  <c r="AA3316" i="3"/>
  <c r="T3317" i="3"/>
  <c r="U3317" i="3"/>
  <c r="V3317" i="3"/>
  <c r="W3317" i="3"/>
  <c r="X3317" i="3"/>
  <c r="Y3317" i="3"/>
  <c r="Z3317" i="3"/>
  <c r="AA3317" i="3"/>
  <c r="T3318" i="3"/>
  <c r="U3318" i="3"/>
  <c r="V3318" i="3"/>
  <c r="W3318" i="3"/>
  <c r="X3318" i="3"/>
  <c r="Y3318" i="3"/>
  <c r="Z3318" i="3"/>
  <c r="AA3318" i="3"/>
  <c r="T3319" i="3"/>
  <c r="U3319" i="3"/>
  <c r="V3319" i="3"/>
  <c r="W3319" i="3"/>
  <c r="X3319" i="3"/>
  <c r="Y3319" i="3"/>
  <c r="Z3319" i="3"/>
  <c r="AA3319" i="3"/>
  <c r="T3320" i="3"/>
  <c r="U3320" i="3"/>
  <c r="V3320" i="3"/>
  <c r="W3320" i="3"/>
  <c r="X3320" i="3"/>
  <c r="Y3320" i="3"/>
  <c r="Z3320" i="3"/>
  <c r="AA3320" i="3"/>
  <c r="T3321" i="3"/>
  <c r="U3321" i="3"/>
  <c r="V3321" i="3"/>
  <c r="W3321" i="3"/>
  <c r="X3321" i="3"/>
  <c r="Y3321" i="3"/>
  <c r="Z3321" i="3"/>
  <c r="AA3321" i="3"/>
  <c r="T3322" i="3"/>
  <c r="U3322" i="3"/>
  <c r="V3322" i="3"/>
  <c r="W3322" i="3"/>
  <c r="X3322" i="3"/>
  <c r="Y3322" i="3"/>
  <c r="Z3322" i="3"/>
  <c r="AA3322" i="3"/>
  <c r="T3323" i="3"/>
  <c r="U3323" i="3"/>
  <c r="V3323" i="3"/>
  <c r="W3323" i="3"/>
  <c r="X3323" i="3"/>
  <c r="Y3323" i="3"/>
  <c r="Z3323" i="3"/>
  <c r="AA3323" i="3"/>
  <c r="T3324" i="3"/>
  <c r="U3324" i="3"/>
  <c r="V3324" i="3"/>
  <c r="W3324" i="3"/>
  <c r="X3324" i="3"/>
  <c r="Y3324" i="3"/>
  <c r="Z3324" i="3"/>
  <c r="AA3324" i="3"/>
  <c r="T3325" i="3"/>
  <c r="U3325" i="3"/>
  <c r="V3325" i="3"/>
  <c r="W3325" i="3"/>
  <c r="X3325" i="3"/>
  <c r="Y3325" i="3"/>
  <c r="Z3325" i="3"/>
  <c r="AA3325" i="3"/>
  <c r="T3326" i="3"/>
  <c r="U3326" i="3"/>
  <c r="V3326" i="3"/>
  <c r="W3326" i="3"/>
  <c r="X3326" i="3"/>
  <c r="Y3326" i="3"/>
  <c r="Z3326" i="3"/>
  <c r="AA3326" i="3"/>
  <c r="T3327" i="3"/>
  <c r="U3327" i="3"/>
  <c r="V3327" i="3"/>
  <c r="W3327" i="3"/>
  <c r="X3327" i="3"/>
  <c r="Y3327" i="3"/>
  <c r="Z3327" i="3"/>
  <c r="AA3327" i="3"/>
  <c r="T3328" i="3"/>
  <c r="U3328" i="3"/>
  <c r="V3328" i="3"/>
  <c r="W3328" i="3"/>
  <c r="X3328" i="3"/>
  <c r="Y3328" i="3"/>
  <c r="Z3328" i="3"/>
  <c r="AA3328" i="3"/>
  <c r="T3329" i="3"/>
  <c r="U3329" i="3"/>
  <c r="V3329" i="3"/>
  <c r="W3329" i="3"/>
  <c r="X3329" i="3"/>
  <c r="Y3329" i="3"/>
  <c r="Z3329" i="3"/>
  <c r="AA3329" i="3"/>
  <c r="T3330" i="3"/>
  <c r="U3330" i="3"/>
  <c r="V3330" i="3"/>
  <c r="W3330" i="3"/>
  <c r="X3330" i="3"/>
  <c r="Y3330" i="3"/>
  <c r="Z3330" i="3"/>
  <c r="AA3330" i="3"/>
  <c r="T3331" i="3"/>
  <c r="U3331" i="3"/>
  <c r="V3331" i="3"/>
  <c r="W3331" i="3"/>
  <c r="X3331" i="3"/>
  <c r="Y3331" i="3"/>
  <c r="Z3331" i="3"/>
  <c r="AA3331" i="3"/>
  <c r="T3332" i="3"/>
  <c r="U3332" i="3"/>
  <c r="V3332" i="3"/>
  <c r="W3332" i="3"/>
  <c r="X3332" i="3"/>
  <c r="Y3332" i="3"/>
  <c r="Z3332" i="3"/>
  <c r="AA3332" i="3"/>
  <c r="T3333" i="3"/>
  <c r="U3333" i="3"/>
  <c r="V3333" i="3"/>
  <c r="W3333" i="3"/>
  <c r="X3333" i="3"/>
  <c r="Y3333" i="3"/>
  <c r="Z3333" i="3"/>
  <c r="AA3333" i="3"/>
  <c r="T3334" i="3"/>
  <c r="U3334" i="3"/>
  <c r="V3334" i="3"/>
  <c r="W3334" i="3"/>
  <c r="X3334" i="3"/>
  <c r="Y3334" i="3"/>
  <c r="Z3334" i="3"/>
  <c r="AA3334" i="3"/>
  <c r="T3335" i="3"/>
  <c r="U3335" i="3"/>
  <c r="V3335" i="3"/>
  <c r="W3335" i="3"/>
  <c r="X3335" i="3"/>
  <c r="Y3335" i="3"/>
  <c r="Z3335" i="3"/>
  <c r="AA3335" i="3"/>
  <c r="T3336" i="3"/>
  <c r="U3336" i="3"/>
  <c r="V3336" i="3"/>
  <c r="W3336" i="3"/>
  <c r="X3336" i="3"/>
  <c r="Y3336" i="3"/>
  <c r="Z3336" i="3"/>
  <c r="AA3336" i="3"/>
  <c r="U3304" i="3"/>
  <c r="V3304" i="3"/>
  <c r="W3304" i="3"/>
  <c r="X3304" i="3"/>
  <c r="Y3304" i="3"/>
  <c r="Z3304" i="3"/>
  <c r="AA3304" i="3"/>
  <c r="T3304" i="3"/>
  <c r="T3271" i="3"/>
  <c r="U3271" i="3"/>
  <c r="V3271" i="3"/>
  <c r="W3271" i="3"/>
  <c r="X3271" i="3"/>
  <c r="Y3271" i="3"/>
  <c r="Z3271" i="3"/>
  <c r="AA3271" i="3"/>
  <c r="T3272" i="3"/>
  <c r="U3272" i="3"/>
  <c r="V3272" i="3"/>
  <c r="W3272" i="3"/>
  <c r="X3272" i="3"/>
  <c r="Y3272" i="3"/>
  <c r="Z3272" i="3"/>
  <c r="AA3272" i="3"/>
  <c r="T3273" i="3"/>
  <c r="U3273" i="3"/>
  <c r="V3273" i="3"/>
  <c r="W3273" i="3"/>
  <c r="X3273" i="3"/>
  <c r="Y3273" i="3"/>
  <c r="Z3273" i="3"/>
  <c r="AA3273" i="3"/>
  <c r="T3274" i="3"/>
  <c r="U3274" i="3"/>
  <c r="V3274" i="3"/>
  <c r="W3274" i="3"/>
  <c r="X3274" i="3"/>
  <c r="Y3274" i="3"/>
  <c r="Z3274" i="3"/>
  <c r="AA3274" i="3"/>
  <c r="T3275" i="3"/>
  <c r="U3275" i="3"/>
  <c r="V3275" i="3"/>
  <c r="W3275" i="3"/>
  <c r="X3275" i="3"/>
  <c r="Y3275" i="3"/>
  <c r="Z3275" i="3"/>
  <c r="AA3275" i="3"/>
  <c r="T3276" i="3"/>
  <c r="U3276" i="3"/>
  <c r="V3276" i="3"/>
  <c r="W3276" i="3"/>
  <c r="X3276" i="3"/>
  <c r="Y3276" i="3"/>
  <c r="Z3276" i="3"/>
  <c r="AA3276" i="3"/>
  <c r="T3277" i="3"/>
  <c r="U3277" i="3"/>
  <c r="V3277" i="3"/>
  <c r="W3277" i="3"/>
  <c r="X3277" i="3"/>
  <c r="Y3277" i="3"/>
  <c r="Z3277" i="3"/>
  <c r="AA3277" i="3"/>
  <c r="T3278" i="3"/>
  <c r="U3278" i="3"/>
  <c r="V3278" i="3"/>
  <c r="W3278" i="3"/>
  <c r="X3278" i="3"/>
  <c r="Y3278" i="3"/>
  <c r="Z3278" i="3"/>
  <c r="AA3278" i="3"/>
  <c r="T3279" i="3"/>
  <c r="U3279" i="3"/>
  <c r="V3279" i="3"/>
  <c r="W3279" i="3"/>
  <c r="X3279" i="3"/>
  <c r="Y3279" i="3"/>
  <c r="Z3279" i="3"/>
  <c r="AA3279" i="3"/>
  <c r="T3280" i="3"/>
  <c r="U3280" i="3"/>
  <c r="V3280" i="3"/>
  <c r="W3280" i="3"/>
  <c r="X3280" i="3"/>
  <c r="Y3280" i="3"/>
  <c r="Z3280" i="3"/>
  <c r="AA3280" i="3"/>
  <c r="T3281" i="3"/>
  <c r="U3281" i="3"/>
  <c r="V3281" i="3"/>
  <c r="W3281" i="3"/>
  <c r="X3281" i="3"/>
  <c r="Y3281" i="3"/>
  <c r="Z3281" i="3"/>
  <c r="AA3281" i="3"/>
  <c r="T3282" i="3"/>
  <c r="U3282" i="3"/>
  <c r="V3282" i="3"/>
  <c r="W3282" i="3"/>
  <c r="X3282" i="3"/>
  <c r="Y3282" i="3"/>
  <c r="Z3282" i="3"/>
  <c r="AA3282" i="3"/>
  <c r="T3283" i="3"/>
  <c r="U3283" i="3"/>
  <c r="V3283" i="3"/>
  <c r="W3283" i="3"/>
  <c r="X3283" i="3"/>
  <c r="Y3283" i="3"/>
  <c r="Z3283" i="3"/>
  <c r="AA3283" i="3"/>
  <c r="T3284" i="3"/>
  <c r="U3284" i="3"/>
  <c r="V3284" i="3"/>
  <c r="W3284" i="3"/>
  <c r="X3284" i="3"/>
  <c r="Y3284" i="3"/>
  <c r="Z3284" i="3"/>
  <c r="AA3284" i="3"/>
  <c r="T3285" i="3"/>
  <c r="U3285" i="3"/>
  <c r="V3285" i="3"/>
  <c r="W3285" i="3"/>
  <c r="X3285" i="3"/>
  <c r="Y3285" i="3"/>
  <c r="Z3285" i="3"/>
  <c r="AA3285" i="3"/>
  <c r="T3286" i="3"/>
  <c r="U3286" i="3"/>
  <c r="V3286" i="3"/>
  <c r="W3286" i="3"/>
  <c r="X3286" i="3"/>
  <c r="Y3286" i="3"/>
  <c r="Z3286" i="3"/>
  <c r="AA3286" i="3"/>
  <c r="T3287" i="3"/>
  <c r="U3287" i="3"/>
  <c r="V3287" i="3"/>
  <c r="W3287" i="3"/>
  <c r="X3287" i="3"/>
  <c r="Y3287" i="3"/>
  <c r="Z3287" i="3"/>
  <c r="AA3287" i="3"/>
  <c r="T3288" i="3"/>
  <c r="U3288" i="3"/>
  <c r="V3288" i="3"/>
  <c r="W3288" i="3"/>
  <c r="X3288" i="3"/>
  <c r="Y3288" i="3"/>
  <c r="Z3288" i="3"/>
  <c r="AA3288" i="3"/>
  <c r="T3289" i="3"/>
  <c r="U3289" i="3"/>
  <c r="V3289" i="3"/>
  <c r="W3289" i="3"/>
  <c r="X3289" i="3"/>
  <c r="Y3289" i="3"/>
  <c r="Z3289" i="3"/>
  <c r="AA3289" i="3"/>
  <c r="T3290" i="3"/>
  <c r="U3290" i="3"/>
  <c r="V3290" i="3"/>
  <c r="W3290" i="3"/>
  <c r="X3290" i="3"/>
  <c r="Y3290" i="3"/>
  <c r="Z3290" i="3"/>
  <c r="AA3290" i="3"/>
  <c r="T3291" i="3"/>
  <c r="U3291" i="3"/>
  <c r="V3291" i="3"/>
  <c r="W3291" i="3"/>
  <c r="X3291" i="3"/>
  <c r="Y3291" i="3"/>
  <c r="Z3291" i="3"/>
  <c r="AA3291" i="3"/>
  <c r="T3292" i="3"/>
  <c r="U3292" i="3"/>
  <c r="V3292" i="3"/>
  <c r="W3292" i="3"/>
  <c r="X3292" i="3"/>
  <c r="Y3292" i="3"/>
  <c r="Z3292" i="3"/>
  <c r="AA3292" i="3"/>
  <c r="T3293" i="3"/>
  <c r="U3293" i="3"/>
  <c r="V3293" i="3"/>
  <c r="W3293" i="3"/>
  <c r="X3293" i="3"/>
  <c r="Y3293" i="3"/>
  <c r="Z3293" i="3"/>
  <c r="AA3293" i="3"/>
  <c r="T3294" i="3"/>
  <c r="U3294" i="3"/>
  <c r="V3294" i="3"/>
  <c r="W3294" i="3"/>
  <c r="X3294" i="3"/>
  <c r="Y3294" i="3"/>
  <c r="Z3294" i="3"/>
  <c r="AA3294" i="3"/>
  <c r="T3295" i="3"/>
  <c r="U3295" i="3"/>
  <c r="V3295" i="3"/>
  <c r="W3295" i="3"/>
  <c r="X3295" i="3"/>
  <c r="Y3295" i="3"/>
  <c r="Z3295" i="3"/>
  <c r="AA3295" i="3"/>
  <c r="T3296" i="3"/>
  <c r="U3296" i="3"/>
  <c r="V3296" i="3"/>
  <c r="W3296" i="3"/>
  <c r="X3296" i="3"/>
  <c r="Y3296" i="3"/>
  <c r="Z3296" i="3"/>
  <c r="AA3296" i="3"/>
  <c r="T3297" i="3"/>
  <c r="U3297" i="3"/>
  <c r="V3297" i="3"/>
  <c r="W3297" i="3"/>
  <c r="X3297" i="3"/>
  <c r="Y3297" i="3"/>
  <c r="Z3297" i="3"/>
  <c r="AA3297" i="3"/>
  <c r="T3298" i="3"/>
  <c r="U3298" i="3"/>
  <c r="V3298" i="3"/>
  <c r="W3298" i="3"/>
  <c r="X3298" i="3"/>
  <c r="Y3298" i="3"/>
  <c r="Z3298" i="3"/>
  <c r="AA3298" i="3"/>
  <c r="T3299" i="3"/>
  <c r="U3299" i="3"/>
  <c r="V3299" i="3"/>
  <c r="W3299" i="3"/>
  <c r="X3299" i="3"/>
  <c r="Y3299" i="3"/>
  <c r="Z3299" i="3"/>
  <c r="AA3299" i="3"/>
  <c r="T3300" i="3"/>
  <c r="U3300" i="3"/>
  <c r="V3300" i="3"/>
  <c r="W3300" i="3"/>
  <c r="X3300" i="3"/>
  <c r="Y3300" i="3"/>
  <c r="Z3300" i="3"/>
  <c r="AA3300" i="3"/>
  <c r="T3301" i="3"/>
  <c r="U3301" i="3"/>
  <c r="V3301" i="3"/>
  <c r="W3301" i="3"/>
  <c r="X3301" i="3"/>
  <c r="Y3301" i="3"/>
  <c r="Z3301" i="3"/>
  <c r="AA3301" i="3"/>
  <c r="T3302" i="3"/>
  <c r="U3302" i="3"/>
  <c r="V3302" i="3"/>
  <c r="W3302" i="3"/>
  <c r="X3302" i="3"/>
  <c r="Y3302" i="3"/>
  <c r="Z3302" i="3"/>
  <c r="AA3302" i="3"/>
  <c r="U3270" i="3"/>
  <c r="V3270" i="3"/>
  <c r="W3270" i="3"/>
  <c r="X3270" i="3"/>
  <c r="Y3270" i="3"/>
  <c r="Z3270" i="3"/>
  <c r="AA3270" i="3"/>
  <c r="T3270" i="3"/>
  <c r="T3237" i="3"/>
  <c r="U3237" i="3"/>
  <c r="V3237" i="3"/>
  <c r="W3237" i="3"/>
  <c r="X3237" i="3"/>
  <c r="Y3237" i="3"/>
  <c r="Z3237" i="3"/>
  <c r="AA3237" i="3"/>
  <c r="T3238" i="3"/>
  <c r="U3238" i="3"/>
  <c r="V3238" i="3"/>
  <c r="W3238" i="3"/>
  <c r="X3238" i="3"/>
  <c r="Y3238" i="3"/>
  <c r="Z3238" i="3"/>
  <c r="AA3238" i="3"/>
  <c r="T3239" i="3"/>
  <c r="U3239" i="3"/>
  <c r="V3239" i="3"/>
  <c r="W3239" i="3"/>
  <c r="X3239" i="3"/>
  <c r="Y3239" i="3"/>
  <c r="Z3239" i="3"/>
  <c r="AA3239" i="3"/>
  <c r="T3240" i="3"/>
  <c r="U3240" i="3"/>
  <c r="V3240" i="3"/>
  <c r="W3240" i="3"/>
  <c r="X3240" i="3"/>
  <c r="Y3240" i="3"/>
  <c r="Z3240" i="3"/>
  <c r="AA3240" i="3"/>
  <c r="T3241" i="3"/>
  <c r="U3241" i="3"/>
  <c r="V3241" i="3"/>
  <c r="W3241" i="3"/>
  <c r="X3241" i="3"/>
  <c r="Y3241" i="3"/>
  <c r="Z3241" i="3"/>
  <c r="AA3241" i="3"/>
  <c r="T3242" i="3"/>
  <c r="U3242" i="3"/>
  <c r="V3242" i="3"/>
  <c r="W3242" i="3"/>
  <c r="X3242" i="3"/>
  <c r="Y3242" i="3"/>
  <c r="Z3242" i="3"/>
  <c r="AA3242" i="3"/>
  <c r="T3243" i="3"/>
  <c r="U3243" i="3"/>
  <c r="V3243" i="3"/>
  <c r="W3243" i="3"/>
  <c r="X3243" i="3"/>
  <c r="Y3243" i="3"/>
  <c r="Z3243" i="3"/>
  <c r="AA3243" i="3"/>
  <c r="T3244" i="3"/>
  <c r="U3244" i="3"/>
  <c r="V3244" i="3"/>
  <c r="W3244" i="3"/>
  <c r="X3244" i="3"/>
  <c r="Y3244" i="3"/>
  <c r="Z3244" i="3"/>
  <c r="AA3244" i="3"/>
  <c r="T3245" i="3"/>
  <c r="U3245" i="3"/>
  <c r="V3245" i="3"/>
  <c r="W3245" i="3"/>
  <c r="X3245" i="3"/>
  <c r="Y3245" i="3"/>
  <c r="Z3245" i="3"/>
  <c r="AA3245" i="3"/>
  <c r="T3246" i="3"/>
  <c r="U3246" i="3"/>
  <c r="V3246" i="3"/>
  <c r="W3246" i="3"/>
  <c r="X3246" i="3"/>
  <c r="Y3246" i="3"/>
  <c r="Z3246" i="3"/>
  <c r="AA3246" i="3"/>
  <c r="T3247" i="3"/>
  <c r="U3247" i="3"/>
  <c r="V3247" i="3"/>
  <c r="W3247" i="3"/>
  <c r="X3247" i="3"/>
  <c r="Y3247" i="3"/>
  <c r="Z3247" i="3"/>
  <c r="AA3247" i="3"/>
  <c r="T3248" i="3"/>
  <c r="U3248" i="3"/>
  <c r="V3248" i="3"/>
  <c r="W3248" i="3"/>
  <c r="X3248" i="3"/>
  <c r="Y3248" i="3"/>
  <c r="Z3248" i="3"/>
  <c r="AA3248" i="3"/>
  <c r="T3249" i="3"/>
  <c r="U3249" i="3"/>
  <c r="V3249" i="3"/>
  <c r="W3249" i="3"/>
  <c r="X3249" i="3"/>
  <c r="Y3249" i="3"/>
  <c r="Z3249" i="3"/>
  <c r="AA3249" i="3"/>
  <c r="T3250" i="3"/>
  <c r="U3250" i="3"/>
  <c r="V3250" i="3"/>
  <c r="W3250" i="3"/>
  <c r="X3250" i="3"/>
  <c r="Y3250" i="3"/>
  <c r="Z3250" i="3"/>
  <c r="AA3250" i="3"/>
  <c r="T3251" i="3"/>
  <c r="U3251" i="3"/>
  <c r="V3251" i="3"/>
  <c r="W3251" i="3"/>
  <c r="X3251" i="3"/>
  <c r="Y3251" i="3"/>
  <c r="Z3251" i="3"/>
  <c r="AA3251" i="3"/>
  <c r="T3252" i="3"/>
  <c r="U3252" i="3"/>
  <c r="V3252" i="3"/>
  <c r="W3252" i="3"/>
  <c r="X3252" i="3"/>
  <c r="Y3252" i="3"/>
  <c r="Z3252" i="3"/>
  <c r="AA3252" i="3"/>
  <c r="T3253" i="3"/>
  <c r="U3253" i="3"/>
  <c r="V3253" i="3"/>
  <c r="W3253" i="3"/>
  <c r="X3253" i="3"/>
  <c r="Y3253" i="3"/>
  <c r="Z3253" i="3"/>
  <c r="AA3253" i="3"/>
  <c r="T3254" i="3"/>
  <c r="U3254" i="3"/>
  <c r="V3254" i="3"/>
  <c r="W3254" i="3"/>
  <c r="X3254" i="3"/>
  <c r="Y3254" i="3"/>
  <c r="Z3254" i="3"/>
  <c r="AA3254" i="3"/>
  <c r="T3255" i="3"/>
  <c r="U3255" i="3"/>
  <c r="V3255" i="3"/>
  <c r="W3255" i="3"/>
  <c r="X3255" i="3"/>
  <c r="Y3255" i="3"/>
  <c r="Z3255" i="3"/>
  <c r="AA3255" i="3"/>
  <c r="T3256" i="3"/>
  <c r="U3256" i="3"/>
  <c r="V3256" i="3"/>
  <c r="W3256" i="3"/>
  <c r="X3256" i="3"/>
  <c r="Y3256" i="3"/>
  <c r="Z3256" i="3"/>
  <c r="AA3256" i="3"/>
  <c r="T3257" i="3"/>
  <c r="U3257" i="3"/>
  <c r="V3257" i="3"/>
  <c r="W3257" i="3"/>
  <c r="X3257" i="3"/>
  <c r="Y3257" i="3"/>
  <c r="Z3257" i="3"/>
  <c r="AA3257" i="3"/>
  <c r="T3258" i="3"/>
  <c r="U3258" i="3"/>
  <c r="V3258" i="3"/>
  <c r="W3258" i="3"/>
  <c r="X3258" i="3"/>
  <c r="Y3258" i="3"/>
  <c r="Z3258" i="3"/>
  <c r="AA3258" i="3"/>
  <c r="T3259" i="3"/>
  <c r="U3259" i="3"/>
  <c r="V3259" i="3"/>
  <c r="W3259" i="3"/>
  <c r="X3259" i="3"/>
  <c r="Y3259" i="3"/>
  <c r="Z3259" i="3"/>
  <c r="AA3259" i="3"/>
  <c r="T3260" i="3"/>
  <c r="U3260" i="3"/>
  <c r="V3260" i="3"/>
  <c r="W3260" i="3"/>
  <c r="X3260" i="3"/>
  <c r="Y3260" i="3"/>
  <c r="Z3260" i="3"/>
  <c r="AA3260" i="3"/>
  <c r="T3261" i="3"/>
  <c r="U3261" i="3"/>
  <c r="V3261" i="3"/>
  <c r="W3261" i="3"/>
  <c r="X3261" i="3"/>
  <c r="Y3261" i="3"/>
  <c r="Z3261" i="3"/>
  <c r="AA3261" i="3"/>
  <c r="T3262" i="3"/>
  <c r="U3262" i="3"/>
  <c r="V3262" i="3"/>
  <c r="W3262" i="3"/>
  <c r="X3262" i="3"/>
  <c r="Y3262" i="3"/>
  <c r="Z3262" i="3"/>
  <c r="AA3262" i="3"/>
  <c r="T3263" i="3"/>
  <c r="U3263" i="3"/>
  <c r="V3263" i="3"/>
  <c r="W3263" i="3"/>
  <c r="X3263" i="3"/>
  <c r="Y3263" i="3"/>
  <c r="Z3263" i="3"/>
  <c r="AA3263" i="3"/>
  <c r="T3264" i="3"/>
  <c r="U3264" i="3"/>
  <c r="V3264" i="3"/>
  <c r="W3264" i="3"/>
  <c r="X3264" i="3"/>
  <c r="Y3264" i="3"/>
  <c r="Z3264" i="3"/>
  <c r="AA3264" i="3"/>
  <c r="T3265" i="3"/>
  <c r="U3265" i="3"/>
  <c r="V3265" i="3"/>
  <c r="W3265" i="3"/>
  <c r="X3265" i="3"/>
  <c r="Y3265" i="3"/>
  <c r="Z3265" i="3"/>
  <c r="AA3265" i="3"/>
  <c r="T3266" i="3"/>
  <c r="U3266" i="3"/>
  <c r="V3266" i="3"/>
  <c r="W3266" i="3"/>
  <c r="X3266" i="3"/>
  <c r="Y3266" i="3"/>
  <c r="Z3266" i="3"/>
  <c r="AA3266" i="3"/>
  <c r="T3267" i="3"/>
  <c r="U3267" i="3"/>
  <c r="V3267" i="3"/>
  <c r="W3267" i="3"/>
  <c r="X3267" i="3"/>
  <c r="Y3267" i="3"/>
  <c r="Z3267" i="3"/>
  <c r="AA3267" i="3"/>
  <c r="T3268" i="3"/>
  <c r="U3268" i="3"/>
  <c r="V3268" i="3"/>
  <c r="W3268" i="3"/>
  <c r="X3268" i="3"/>
  <c r="Y3268" i="3"/>
  <c r="Z3268" i="3"/>
  <c r="AA3268" i="3"/>
  <c r="U3236" i="3"/>
  <c r="V3236" i="3"/>
  <c r="W3236" i="3"/>
  <c r="X3236" i="3"/>
  <c r="Y3236" i="3"/>
  <c r="Z3236" i="3"/>
  <c r="AA3236" i="3"/>
  <c r="T3236" i="3"/>
  <c r="T3203" i="3"/>
  <c r="U3203" i="3"/>
  <c r="V3203" i="3"/>
  <c r="W3203" i="3"/>
  <c r="X3203" i="3"/>
  <c r="Y3203" i="3"/>
  <c r="Z3203" i="3"/>
  <c r="AA3203" i="3"/>
  <c r="T3204" i="3"/>
  <c r="U3204" i="3"/>
  <c r="V3204" i="3"/>
  <c r="W3204" i="3"/>
  <c r="X3204" i="3"/>
  <c r="Y3204" i="3"/>
  <c r="Z3204" i="3"/>
  <c r="AA3204" i="3"/>
  <c r="T3205" i="3"/>
  <c r="U3205" i="3"/>
  <c r="V3205" i="3"/>
  <c r="W3205" i="3"/>
  <c r="X3205" i="3"/>
  <c r="Y3205" i="3"/>
  <c r="Z3205" i="3"/>
  <c r="AA3205" i="3"/>
  <c r="T3206" i="3"/>
  <c r="U3206" i="3"/>
  <c r="V3206" i="3"/>
  <c r="W3206" i="3"/>
  <c r="X3206" i="3"/>
  <c r="Y3206" i="3"/>
  <c r="Z3206" i="3"/>
  <c r="AA3206" i="3"/>
  <c r="T3207" i="3"/>
  <c r="U3207" i="3"/>
  <c r="V3207" i="3"/>
  <c r="W3207" i="3"/>
  <c r="X3207" i="3"/>
  <c r="Y3207" i="3"/>
  <c r="Z3207" i="3"/>
  <c r="AA3207" i="3"/>
  <c r="T3208" i="3"/>
  <c r="U3208" i="3"/>
  <c r="V3208" i="3"/>
  <c r="W3208" i="3"/>
  <c r="X3208" i="3"/>
  <c r="Y3208" i="3"/>
  <c r="Z3208" i="3"/>
  <c r="AA3208" i="3"/>
  <c r="T3209" i="3"/>
  <c r="U3209" i="3"/>
  <c r="V3209" i="3"/>
  <c r="W3209" i="3"/>
  <c r="X3209" i="3"/>
  <c r="Y3209" i="3"/>
  <c r="Z3209" i="3"/>
  <c r="AA3209" i="3"/>
  <c r="T3210" i="3"/>
  <c r="U3210" i="3"/>
  <c r="V3210" i="3"/>
  <c r="W3210" i="3"/>
  <c r="X3210" i="3"/>
  <c r="Y3210" i="3"/>
  <c r="Z3210" i="3"/>
  <c r="AA3210" i="3"/>
  <c r="T3211" i="3"/>
  <c r="U3211" i="3"/>
  <c r="V3211" i="3"/>
  <c r="W3211" i="3"/>
  <c r="X3211" i="3"/>
  <c r="Y3211" i="3"/>
  <c r="Z3211" i="3"/>
  <c r="AA3211" i="3"/>
  <c r="T3212" i="3"/>
  <c r="U3212" i="3"/>
  <c r="V3212" i="3"/>
  <c r="W3212" i="3"/>
  <c r="X3212" i="3"/>
  <c r="Y3212" i="3"/>
  <c r="Z3212" i="3"/>
  <c r="AA3212" i="3"/>
  <c r="T3213" i="3"/>
  <c r="U3213" i="3"/>
  <c r="V3213" i="3"/>
  <c r="W3213" i="3"/>
  <c r="X3213" i="3"/>
  <c r="Y3213" i="3"/>
  <c r="Z3213" i="3"/>
  <c r="AA3213" i="3"/>
  <c r="T3214" i="3"/>
  <c r="U3214" i="3"/>
  <c r="V3214" i="3"/>
  <c r="W3214" i="3"/>
  <c r="X3214" i="3"/>
  <c r="Y3214" i="3"/>
  <c r="Z3214" i="3"/>
  <c r="AA3214" i="3"/>
  <c r="T3215" i="3"/>
  <c r="U3215" i="3"/>
  <c r="V3215" i="3"/>
  <c r="W3215" i="3"/>
  <c r="X3215" i="3"/>
  <c r="Y3215" i="3"/>
  <c r="Z3215" i="3"/>
  <c r="AA3215" i="3"/>
  <c r="T3216" i="3"/>
  <c r="U3216" i="3"/>
  <c r="V3216" i="3"/>
  <c r="W3216" i="3"/>
  <c r="X3216" i="3"/>
  <c r="Y3216" i="3"/>
  <c r="Z3216" i="3"/>
  <c r="AA3216" i="3"/>
  <c r="T3217" i="3"/>
  <c r="U3217" i="3"/>
  <c r="V3217" i="3"/>
  <c r="W3217" i="3"/>
  <c r="X3217" i="3"/>
  <c r="Y3217" i="3"/>
  <c r="Z3217" i="3"/>
  <c r="AA3217" i="3"/>
  <c r="T3218" i="3"/>
  <c r="U3218" i="3"/>
  <c r="V3218" i="3"/>
  <c r="W3218" i="3"/>
  <c r="X3218" i="3"/>
  <c r="Y3218" i="3"/>
  <c r="Z3218" i="3"/>
  <c r="AA3218" i="3"/>
  <c r="T3219" i="3"/>
  <c r="U3219" i="3"/>
  <c r="V3219" i="3"/>
  <c r="W3219" i="3"/>
  <c r="X3219" i="3"/>
  <c r="Y3219" i="3"/>
  <c r="Z3219" i="3"/>
  <c r="AA3219" i="3"/>
  <c r="T3220" i="3"/>
  <c r="U3220" i="3"/>
  <c r="V3220" i="3"/>
  <c r="W3220" i="3"/>
  <c r="X3220" i="3"/>
  <c r="Y3220" i="3"/>
  <c r="Z3220" i="3"/>
  <c r="AA3220" i="3"/>
  <c r="T3221" i="3"/>
  <c r="U3221" i="3"/>
  <c r="V3221" i="3"/>
  <c r="W3221" i="3"/>
  <c r="X3221" i="3"/>
  <c r="Y3221" i="3"/>
  <c r="Z3221" i="3"/>
  <c r="AA3221" i="3"/>
  <c r="T3222" i="3"/>
  <c r="U3222" i="3"/>
  <c r="V3222" i="3"/>
  <c r="W3222" i="3"/>
  <c r="X3222" i="3"/>
  <c r="Y3222" i="3"/>
  <c r="Z3222" i="3"/>
  <c r="AA3222" i="3"/>
  <c r="T3223" i="3"/>
  <c r="U3223" i="3"/>
  <c r="V3223" i="3"/>
  <c r="W3223" i="3"/>
  <c r="X3223" i="3"/>
  <c r="Y3223" i="3"/>
  <c r="Z3223" i="3"/>
  <c r="AA3223" i="3"/>
  <c r="T3224" i="3"/>
  <c r="U3224" i="3"/>
  <c r="V3224" i="3"/>
  <c r="W3224" i="3"/>
  <c r="X3224" i="3"/>
  <c r="Y3224" i="3"/>
  <c r="Z3224" i="3"/>
  <c r="AA3224" i="3"/>
  <c r="T3225" i="3"/>
  <c r="U3225" i="3"/>
  <c r="V3225" i="3"/>
  <c r="W3225" i="3"/>
  <c r="X3225" i="3"/>
  <c r="Y3225" i="3"/>
  <c r="Z3225" i="3"/>
  <c r="AA3225" i="3"/>
  <c r="T3226" i="3"/>
  <c r="U3226" i="3"/>
  <c r="V3226" i="3"/>
  <c r="W3226" i="3"/>
  <c r="X3226" i="3"/>
  <c r="Y3226" i="3"/>
  <c r="Z3226" i="3"/>
  <c r="AA3226" i="3"/>
  <c r="T3227" i="3"/>
  <c r="U3227" i="3"/>
  <c r="V3227" i="3"/>
  <c r="W3227" i="3"/>
  <c r="X3227" i="3"/>
  <c r="Y3227" i="3"/>
  <c r="Z3227" i="3"/>
  <c r="AA3227" i="3"/>
  <c r="T3228" i="3"/>
  <c r="U3228" i="3"/>
  <c r="V3228" i="3"/>
  <c r="W3228" i="3"/>
  <c r="X3228" i="3"/>
  <c r="Y3228" i="3"/>
  <c r="Z3228" i="3"/>
  <c r="AA3228" i="3"/>
  <c r="T3229" i="3"/>
  <c r="U3229" i="3"/>
  <c r="V3229" i="3"/>
  <c r="W3229" i="3"/>
  <c r="X3229" i="3"/>
  <c r="Y3229" i="3"/>
  <c r="Z3229" i="3"/>
  <c r="AA3229" i="3"/>
  <c r="T3230" i="3"/>
  <c r="U3230" i="3"/>
  <c r="V3230" i="3"/>
  <c r="W3230" i="3"/>
  <c r="X3230" i="3"/>
  <c r="Y3230" i="3"/>
  <c r="Z3230" i="3"/>
  <c r="AA3230" i="3"/>
  <c r="T3231" i="3"/>
  <c r="U3231" i="3"/>
  <c r="V3231" i="3"/>
  <c r="W3231" i="3"/>
  <c r="X3231" i="3"/>
  <c r="Y3231" i="3"/>
  <c r="Z3231" i="3"/>
  <c r="AA3231" i="3"/>
  <c r="T3232" i="3"/>
  <c r="U3232" i="3"/>
  <c r="V3232" i="3"/>
  <c r="W3232" i="3"/>
  <c r="X3232" i="3"/>
  <c r="Y3232" i="3"/>
  <c r="Z3232" i="3"/>
  <c r="AA3232" i="3"/>
  <c r="T3233" i="3"/>
  <c r="U3233" i="3"/>
  <c r="V3233" i="3"/>
  <c r="W3233" i="3"/>
  <c r="X3233" i="3"/>
  <c r="Y3233" i="3"/>
  <c r="Z3233" i="3"/>
  <c r="AA3233" i="3"/>
  <c r="T3234" i="3"/>
  <c r="U3234" i="3"/>
  <c r="V3234" i="3"/>
  <c r="W3234" i="3"/>
  <c r="X3234" i="3"/>
  <c r="Y3234" i="3"/>
  <c r="Z3234" i="3"/>
  <c r="AA3234" i="3"/>
  <c r="U3202" i="3"/>
  <c r="V3202" i="3"/>
  <c r="W3202" i="3"/>
  <c r="X3202" i="3"/>
  <c r="Y3202" i="3"/>
  <c r="Z3202" i="3"/>
  <c r="AA3202" i="3"/>
  <c r="T3202" i="3"/>
  <c r="T3169" i="3"/>
  <c r="U3169" i="3"/>
  <c r="V3169" i="3"/>
  <c r="W3169" i="3"/>
  <c r="X3169" i="3"/>
  <c r="Y3169" i="3"/>
  <c r="Z3169" i="3"/>
  <c r="AA3169" i="3"/>
  <c r="T3170" i="3"/>
  <c r="U3170" i="3"/>
  <c r="V3170" i="3"/>
  <c r="W3170" i="3"/>
  <c r="X3170" i="3"/>
  <c r="Y3170" i="3"/>
  <c r="Z3170" i="3"/>
  <c r="AA3170" i="3"/>
  <c r="T3171" i="3"/>
  <c r="U3171" i="3"/>
  <c r="V3171" i="3"/>
  <c r="W3171" i="3"/>
  <c r="X3171" i="3"/>
  <c r="Y3171" i="3"/>
  <c r="Z3171" i="3"/>
  <c r="AA3171" i="3"/>
  <c r="T3172" i="3"/>
  <c r="U3172" i="3"/>
  <c r="V3172" i="3"/>
  <c r="W3172" i="3"/>
  <c r="X3172" i="3"/>
  <c r="Y3172" i="3"/>
  <c r="Z3172" i="3"/>
  <c r="AA3172" i="3"/>
  <c r="T3173" i="3"/>
  <c r="U3173" i="3"/>
  <c r="V3173" i="3"/>
  <c r="W3173" i="3"/>
  <c r="X3173" i="3"/>
  <c r="Y3173" i="3"/>
  <c r="Z3173" i="3"/>
  <c r="AA3173" i="3"/>
  <c r="T3174" i="3"/>
  <c r="U3174" i="3"/>
  <c r="V3174" i="3"/>
  <c r="W3174" i="3"/>
  <c r="X3174" i="3"/>
  <c r="Y3174" i="3"/>
  <c r="Z3174" i="3"/>
  <c r="AA3174" i="3"/>
  <c r="T3175" i="3"/>
  <c r="U3175" i="3"/>
  <c r="V3175" i="3"/>
  <c r="W3175" i="3"/>
  <c r="X3175" i="3"/>
  <c r="Y3175" i="3"/>
  <c r="Z3175" i="3"/>
  <c r="AA3175" i="3"/>
  <c r="T3176" i="3"/>
  <c r="U3176" i="3"/>
  <c r="V3176" i="3"/>
  <c r="W3176" i="3"/>
  <c r="X3176" i="3"/>
  <c r="Y3176" i="3"/>
  <c r="Z3176" i="3"/>
  <c r="AA3176" i="3"/>
  <c r="T3177" i="3"/>
  <c r="U3177" i="3"/>
  <c r="V3177" i="3"/>
  <c r="W3177" i="3"/>
  <c r="X3177" i="3"/>
  <c r="Y3177" i="3"/>
  <c r="Z3177" i="3"/>
  <c r="AA3177" i="3"/>
  <c r="T3178" i="3"/>
  <c r="U3178" i="3"/>
  <c r="V3178" i="3"/>
  <c r="W3178" i="3"/>
  <c r="X3178" i="3"/>
  <c r="Y3178" i="3"/>
  <c r="Z3178" i="3"/>
  <c r="AA3178" i="3"/>
  <c r="T3179" i="3"/>
  <c r="U3179" i="3"/>
  <c r="V3179" i="3"/>
  <c r="W3179" i="3"/>
  <c r="X3179" i="3"/>
  <c r="Y3179" i="3"/>
  <c r="Z3179" i="3"/>
  <c r="AA3179" i="3"/>
  <c r="T3180" i="3"/>
  <c r="U3180" i="3"/>
  <c r="V3180" i="3"/>
  <c r="W3180" i="3"/>
  <c r="X3180" i="3"/>
  <c r="Y3180" i="3"/>
  <c r="Z3180" i="3"/>
  <c r="AA3180" i="3"/>
  <c r="T3181" i="3"/>
  <c r="U3181" i="3"/>
  <c r="V3181" i="3"/>
  <c r="W3181" i="3"/>
  <c r="X3181" i="3"/>
  <c r="Y3181" i="3"/>
  <c r="Z3181" i="3"/>
  <c r="AA3181" i="3"/>
  <c r="T3182" i="3"/>
  <c r="U3182" i="3"/>
  <c r="V3182" i="3"/>
  <c r="W3182" i="3"/>
  <c r="X3182" i="3"/>
  <c r="Y3182" i="3"/>
  <c r="Z3182" i="3"/>
  <c r="AA3182" i="3"/>
  <c r="T3183" i="3"/>
  <c r="U3183" i="3"/>
  <c r="V3183" i="3"/>
  <c r="W3183" i="3"/>
  <c r="X3183" i="3"/>
  <c r="Y3183" i="3"/>
  <c r="Z3183" i="3"/>
  <c r="AA3183" i="3"/>
  <c r="T3184" i="3"/>
  <c r="U3184" i="3"/>
  <c r="V3184" i="3"/>
  <c r="W3184" i="3"/>
  <c r="X3184" i="3"/>
  <c r="Y3184" i="3"/>
  <c r="Z3184" i="3"/>
  <c r="AA3184" i="3"/>
  <c r="T3185" i="3"/>
  <c r="U3185" i="3"/>
  <c r="V3185" i="3"/>
  <c r="W3185" i="3"/>
  <c r="X3185" i="3"/>
  <c r="Y3185" i="3"/>
  <c r="Z3185" i="3"/>
  <c r="AA3185" i="3"/>
  <c r="T3186" i="3"/>
  <c r="U3186" i="3"/>
  <c r="V3186" i="3"/>
  <c r="W3186" i="3"/>
  <c r="X3186" i="3"/>
  <c r="Y3186" i="3"/>
  <c r="Z3186" i="3"/>
  <c r="AA3186" i="3"/>
  <c r="T3187" i="3"/>
  <c r="U3187" i="3"/>
  <c r="V3187" i="3"/>
  <c r="W3187" i="3"/>
  <c r="X3187" i="3"/>
  <c r="Y3187" i="3"/>
  <c r="Z3187" i="3"/>
  <c r="AA3187" i="3"/>
  <c r="T3188" i="3"/>
  <c r="U3188" i="3"/>
  <c r="V3188" i="3"/>
  <c r="W3188" i="3"/>
  <c r="X3188" i="3"/>
  <c r="Y3188" i="3"/>
  <c r="Z3188" i="3"/>
  <c r="AA3188" i="3"/>
  <c r="T3189" i="3"/>
  <c r="U3189" i="3"/>
  <c r="V3189" i="3"/>
  <c r="W3189" i="3"/>
  <c r="X3189" i="3"/>
  <c r="Y3189" i="3"/>
  <c r="Z3189" i="3"/>
  <c r="AA3189" i="3"/>
  <c r="T3190" i="3"/>
  <c r="U3190" i="3"/>
  <c r="V3190" i="3"/>
  <c r="W3190" i="3"/>
  <c r="X3190" i="3"/>
  <c r="Y3190" i="3"/>
  <c r="Z3190" i="3"/>
  <c r="AA3190" i="3"/>
  <c r="T3191" i="3"/>
  <c r="U3191" i="3"/>
  <c r="V3191" i="3"/>
  <c r="W3191" i="3"/>
  <c r="X3191" i="3"/>
  <c r="Y3191" i="3"/>
  <c r="Z3191" i="3"/>
  <c r="AA3191" i="3"/>
  <c r="T3192" i="3"/>
  <c r="U3192" i="3"/>
  <c r="V3192" i="3"/>
  <c r="W3192" i="3"/>
  <c r="X3192" i="3"/>
  <c r="Y3192" i="3"/>
  <c r="Z3192" i="3"/>
  <c r="AA3192" i="3"/>
  <c r="T3193" i="3"/>
  <c r="U3193" i="3"/>
  <c r="V3193" i="3"/>
  <c r="W3193" i="3"/>
  <c r="X3193" i="3"/>
  <c r="Y3193" i="3"/>
  <c r="Z3193" i="3"/>
  <c r="AA3193" i="3"/>
  <c r="T3194" i="3"/>
  <c r="U3194" i="3"/>
  <c r="V3194" i="3"/>
  <c r="W3194" i="3"/>
  <c r="X3194" i="3"/>
  <c r="Y3194" i="3"/>
  <c r="Z3194" i="3"/>
  <c r="AA3194" i="3"/>
  <c r="T3195" i="3"/>
  <c r="U3195" i="3"/>
  <c r="V3195" i="3"/>
  <c r="W3195" i="3"/>
  <c r="X3195" i="3"/>
  <c r="Y3195" i="3"/>
  <c r="Z3195" i="3"/>
  <c r="AA3195" i="3"/>
  <c r="T3196" i="3"/>
  <c r="U3196" i="3"/>
  <c r="V3196" i="3"/>
  <c r="W3196" i="3"/>
  <c r="X3196" i="3"/>
  <c r="Y3196" i="3"/>
  <c r="Z3196" i="3"/>
  <c r="AA3196" i="3"/>
  <c r="T3197" i="3"/>
  <c r="U3197" i="3"/>
  <c r="V3197" i="3"/>
  <c r="W3197" i="3"/>
  <c r="X3197" i="3"/>
  <c r="Y3197" i="3"/>
  <c r="Z3197" i="3"/>
  <c r="AA3197" i="3"/>
  <c r="T3198" i="3"/>
  <c r="U3198" i="3"/>
  <c r="V3198" i="3"/>
  <c r="W3198" i="3"/>
  <c r="X3198" i="3"/>
  <c r="Y3198" i="3"/>
  <c r="Z3198" i="3"/>
  <c r="AA3198" i="3"/>
  <c r="T3199" i="3"/>
  <c r="U3199" i="3"/>
  <c r="V3199" i="3"/>
  <c r="W3199" i="3"/>
  <c r="X3199" i="3"/>
  <c r="Y3199" i="3"/>
  <c r="Z3199" i="3"/>
  <c r="AA3199" i="3"/>
  <c r="T3200" i="3"/>
  <c r="U3200" i="3"/>
  <c r="V3200" i="3"/>
  <c r="W3200" i="3"/>
  <c r="X3200" i="3"/>
  <c r="Y3200" i="3"/>
  <c r="Z3200" i="3"/>
  <c r="AA3200" i="3"/>
  <c r="U3168" i="3"/>
  <c r="V3168" i="3"/>
  <c r="W3168" i="3"/>
  <c r="X3168" i="3"/>
  <c r="Y3168" i="3"/>
  <c r="Z3168" i="3"/>
  <c r="AA3168" i="3"/>
  <c r="T3168" i="3"/>
  <c r="T3135" i="3"/>
  <c r="U3135" i="3"/>
  <c r="V3135" i="3"/>
  <c r="W3135" i="3"/>
  <c r="X3135" i="3"/>
  <c r="Y3135" i="3"/>
  <c r="Z3135" i="3"/>
  <c r="AA3135" i="3"/>
  <c r="T3136" i="3"/>
  <c r="U3136" i="3"/>
  <c r="V3136" i="3"/>
  <c r="W3136" i="3"/>
  <c r="X3136" i="3"/>
  <c r="Y3136" i="3"/>
  <c r="Z3136" i="3"/>
  <c r="AA3136" i="3"/>
  <c r="T3137" i="3"/>
  <c r="U3137" i="3"/>
  <c r="V3137" i="3"/>
  <c r="W3137" i="3"/>
  <c r="X3137" i="3"/>
  <c r="Y3137" i="3"/>
  <c r="Z3137" i="3"/>
  <c r="AA3137" i="3"/>
  <c r="T3138" i="3"/>
  <c r="U3138" i="3"/>
  <c r="V3138" i="3"/>
  <c r="W3138" i="3"/>
  <c r="X3138" i="3"/>
  <c r="Y3138" i="3"/>
  <c r="Z3138" i="3"/>
  <c r="AA3138" i="3"/>
  <c r="T3139" i="3"/>
  <c r="U3139" i="3"/>
  <c r="V3139" i="3"/>
  <c r="W3139" i="3"/>
  <c r="X3139" i="3"/>
  <c r="Y3139" i="3"/>
  <c r="Z3139" i="3"/>
  <c r="AA3139" i="3"/>
  <c r="T3140" i="3"/>
  <c r="U3140" i="3"/>
  <c r="V3140" i="3"/>
  <c r="W3140" i="3"/>
  <c r="X3140" i="3"/>
  <c r="Y3140" i="3"/>
  <c r="Z3140" i="3"/>
  <c r="AA3140" i="3"/>
  <c r="T3141" i="3"/>
  <c r="U3141" i="3"/>
  <c r="V3141" i="3"/>
  <c r="W3141" i="3"/>
  <c r="X3141" i="3"/>
  <c r="Y3141" i="3"/>
  <c r="Z3141" i="3"/>
  <c r="AA3141" i="3"/>
  <c r="T3142" i="3"/>
  <c r="U3142" i="3"/>
  <c r="V3142" i="3"/>
  <c r="W3142" i="3"/>
  <c r="X3142" i="3"/>
  <c r="Y3142" i="3"/>
  <c r="Z3142" i="3"/>
  <c r="AA3142" i="3"/>
  <c r="T3143" i="3"/>
  <c r="U3143" i="3"/>
  <c r="V3143" i="3"/>
  <c r="W3143" i="3"/>
  <c r="X3143" i="3"/>
  <c r="Y3143" i="3"/>
  <c r="Z3143" i="3"/>
  <c r="AA3143" i="3"/>
  <c r="T3144" i="3"/>
  <c r="U3144" i="3"/>
  <c r="V3144" i="3"/>
  <c r="W3144" i="3"/>
  <c r="X3144" i="3"/>
  <c r="Y3144" i="3"/>
  <c r="Z3144" i="3"/>
  <c r="AA3144" i="3"/>
  <c r="T3145" i="3"/>
  <c r="U3145" i="3"/>
  <c r="V3145" i="3"/>
  <c r="W3145" i="3"/>
  <c r="X3145" i="3"/>
  <c r="Y3145" i="3"/>
  <c r="Z3145" i="3"/>
  <c r="AA3145" i="3"/>
  <c r="T3146" i="3"/>
  <c r="U3146" i="3"/>
  <c r="V3146" i="3"/>
  <c r="W3146" i="3"/>
  <c r="X3146" i="3"/>
  <c r="Y3146" i="3"/>
  <c r="Z3146" i="3"/>
  <c r="AA3146" i="3"/>
  <c r="T3147" i="3"/>
  <c r="U3147" i="3"/>
  <c r="V3147" i="3"/>
  <c r="W3147" i="3"/>
  <c r="X3147" i="3"/>
  <c r="Y3147" i="3"/>
  <c r="Z3147" i="3"/>
  <c r="AA3147" i="3"/>
  <c r="T3148" i="3"/>
  <c r="U3148" i="3"/>
  <c r="V3148" i="3"/>
  <c r="W3148" i="3"/>
  <c r="X3148" i="3"/>
  <c r="Y3148" i="3"/>
  <c r="Z3148" i="3"/>
  <c r="AA3148" i="3"/>
  <c r="T3149" i="3"/>
  <c r="U3149" i="3"/>
  <c r="V3149" i="3"/>
  <c r="W3149" i="3"/>
  <c r="X3149" i="3"/>
  <c r="Y3149" i="3"/>
  <c r="Z3149" i="3"/>
  <c r="AA3149" i="3"/>
  <c r="T3150" i="3"/>
  <c r="U3150" i="3"/>
  <c r="V3150" i="3"/>
  <c r="W3150" i="3"/>
  <c r="X3150" i="3"/>
  <c r="Y3150" i="3"/>
  <c r="Z3150" i="3"/>
  <c r="AA3150" i="3"/>
  <c r="T3151" i="3"/>
  <c r="U3151" i="3"/>
  <c r="V3151" i="3"/>
  <c r="W3151" i="3"/>
  <c r="X3151" i="3"/>
  <c r="Y3151" i="3"/>
  <c r="Z3151" i="3"/>
  <c r="AA3151" i="3"/>
  <c r="T3152" i="3"/>
  <c r="U3152" i="3"/>
  <c r="V3152" i="3"/>
  <c r="W3152" i="3"/>
  <c r="X3152" i="3"/>
  <c r="Y3152" i="3"/>
  <c r="Z3152" i="3"/>
  <c r="AA3152" i="3"/>
  <c r="T3153" i="3"/>
  <c r="U3153" i="3"/>
  <c r="V3153" i="3"/>
  <c r="W3153" i="3"/>
  <c r="X3153" i="3"/>
  <c r="Y3153" i="3"/>
  <c r="Z3153" i="3"/>
  <c r="AA3153" i="3"/>
  <c r="T3154" i="3"/>
  <c r="U3154" i="3"/>
  <c r="V3154" i="3"/>
  <c r="W3154" i="3"/>
  <c r="X3154" i="3"/>
  <c r="Y3154" i="3"/>
  <c r="Z3154" i="3"/>
  <c r="AA3154" i="3"/>
  <c r="T3155" i="3"/>
  <c r="U3155" i="3"/>
  <c r="V3155" i="3"/>
  <c r="W3155" i="3"/>
  <c r="X3155" i="3"/>
  <c r="Y3155" i="3"/>
  <c r="Z3155" i="3"/>
  <c r="AA3155" i="3"/>
  <c r="T3156" i="3"/>
  <c r="U3156" i="3"/>
  <c r="V3156" i="3"/>
  <c r="W3156" i="3"/>
  <c r="X3156" i="3"/>
  <c r="Y3156" i="3"/>
  <c r="Z3156" i="3"/>
  <c r="AA3156" i="3"/>
  <c r="T3157" i="3"/>
  <c r="U3157" i="3"/>
  <c r="V3157" i="3"/>
  <c r="W3157" i="3"/>
  <c r="X3157" i="3"/>
  <c r="Y3157" i="3"/>
  <c r="Z3157" i="3"/>
  <c r="AA3157" i="3"/>
  <c r="T3158" i="3"/>
  <c r="U3158" i="3"/>
  <c r="V3158" i="3"/>
  <c r="W3158" i="3"/>
  <c r="X3158" i="3"/>
  <c r="Y3158" i="3"/>
  <c r="Z3158" i="3"/>
  <c r="AA3158" i="3"/>
  <c r="T3159" i="3"/>
  <c r="U3159" i="3"/>
  <c r="V3159" i="3"/>
  <c r="W3159" i="3"/>
  <c r="X3159" i="3"/>
  <c r="Y3159" i="3"/>
  <c r="Z3159" i="3"/>
  <c r="AA3159" i="3"/>
  <c r="T3160" i="3"/>
  <c r="U3160" i="3"/>
  <c r="V3160" i="3"/>
  <c r="W3160" i="3"/>
  <c r="X3160" i="3"/>
  <c r="Y3160" i="3"/>
  <c r="Z3160" i="3"/>
  <c r="AA3160" i="3"/>
  <c r="T3161" i="3"/>
  <c r="U3161" i="3"/>
  <c r="V3161" i="3"/>
  <c r="W3161" i="3"/>
  <c r="X3161" i="3"/>
  <c r="Y3161" i="3"/>
  <c r="Z3161" i="3"/>
  <c r="AA3161" i="3"/>
  <c r="T3162" i="3"/>
  <c r="U3162" i="3"/>
  <c r="V3162" i="3"/>
  <c r="W3162" i="3"/>
  <c r="X3162" i="3"/>
  <c r="Y3162" i="3"/>
  <c r="Z3162" i="3"/>
  <c r="AA3162" i="3"/>
  <c r="T3163" i="3"/>
  <c r="U3163" i="3"/>
  <c r="V3163" i="3"/>
  <c r="W3163" i="3"/>
  <c r="X3163" i="3"/>
  <c r="Y3163" i="3"/>
  <c r="Z3163" i="3"/>
  <c r="AA3163" i="3"/>
  <c r="T3164" i="3"/>
  <c r="U3164" i="3"/>
  <c r="V3164" i="3"/>
  <c r="W3164" i="3"/>
  <c r="X3164" i="3"/>
  <c r="Y3164" i="3"/>
  <c r="Z3164" i="3"/>
  <c r="AA3164" i="3"/>
  <c r="T3165" i="3"/>
  <c r="U3165" i="3"/>
  <c r="V3165" i="3"/>
  <c r="W3165" i="3"/>
  <c r="X3165" i="3"/>
  <c r="Y3165" i="3"/>
  <c r="Z3165" i="3"/>
  <c r="AA3165" i="3"/>
  <c r="T3166" i="3"/>
  <c r="U3166" i="3"/>
  <c r="V3166" i="3"/>
  <c r="W3166" i="3"/>
  <c r="X3166" i="3"/>
  <c r="Y3166" i="3"/>
  <c r="Z3166" i="3"/>
  <c r="AA3166" i="3"/>
  <c r="U3134" i="3"/>
  <c r="V3134" i="3"/>
  <c r="W3134" i="3"/>
  <c r="X3134" i="3"/>
  <c r="Y3134" i="3"/>
  <c r="Z3134" i="3"/>
  <c r="AA3134" i="3"/>
  <c r="T3134" i="3"/>
  <c r="T3101" i="3"/>
  <c r="U3101" i="3"/>
  <c r="V3101" i="3"/>
  <c r="W3101" i="3"/>
  <c r="X3101" i="3"/>
  <c r="Y3101" i="3"/>
  <c r="Z3101" i="3"/>
  <c r="AA3101" i="3"/>
  <c r="T3102" i="3"/>
  <c r="U3102" i="3"/>
  <c r="V3102" i="3"/>
  <c r="W3102" i="3"/>
  <c r="X3102" i="3"/>
  <c r="Y3102" i="3"/>
  <c r="Z3102" i="3"/>
  <c r="AA3102" i="3"/>
  <c r="T3103" i="3"/>
  <c r="U3103" i="3"/>
  <c r="V3103" i="3"/>
  <c r="W3103" i="3"/>
  <c r="X3103" i="3"/>
  <c r="Y3103" i="3"/>
  <c r="Z3103" i="3"/>
  <c r="AA3103" i="3"/>
  <c r="T3104" i="3"/>
  <c r="U3104" i="3"/>
  <c r="V3104" i="3"/>
  <c r="W3104" i="3"/>
  <c r="X3104" i="3"/>
  <c r="Y3104" i="3"/>
  <c r="Z3104" i="3"/>
  <c r="AA3104" i="3"/>
  <c r="T3105" i="3"/>
  <c r="U3105" i="3"/>
  <c r="V3105" i="3"/>
  <c r="W3105" i="3"/>
  <c r="X3105" i="3"/>
  <c r="Y3105" i="3"/>
  <c r="Z3105" i="3"/>
  <c r="AA3105" i="3"/>
  <c r="T3106" i="3"/>
  <c r="U3106" i="3"/>
  <c r="V3106" i="3"/>
  <c r="W3106" i="3"/>
  <c r="X3106" i="3"/>
  <c r="Y3106" i="3"/>
  <c r="Z3106" i="3"/>
  <c r="AA3106" i="3"/>
  <c r="T3107" i="3"/>
  <c r="U3107" i="3"/>
  <c r="V3107" i="3"/>
  <c r="W3107" i="3"/>
  <c r="X3107" i="3"/>
  <c r="Y3107" i="3"/>
  <c r="Z3107" i="3"/>
  <c r="AA3107" i="3"/>
  <c r="T3108" i="3"/>
  <c r="U3108" i="3"/>
  <c r="V3108" i="3"/>
  <c r="W3108" i="3"/>
  <c r="X3108" i="3"/>
  <c r="Y3108" i="3"/>
  <c r="Z3108" i="3"/>
  <c r="AA3108" i="3"/>
  <c r="T3109" i="3"/>
  <c r="U3109" i="3"/>
  <c r="V3109" i="3"/>
  <c r="W3109" i="3"/>
  <c r="X3109" i="3"/>
  <c r="Y3109" i="3"/>
  <c r="Z3109" i="3"/>
  <c r="AA3109" i="3"/>
  <c r="T3110" i="3"/>
  <c r="U3110" i="3"/>
  <c r="V3110" i="3"/>
  <c r="W3110" i="3"/>
  <c r="X3110" i="3"/>
  <c r="Y3110" i="3"/>
  <c r="Z3110" i="3"/>
  <c r="AA3110" i="3"/>
  <c r="T3111" i="3"/>
  <c r="U3111" i="3"/>
  <c r="V3111" i="3"/>
  <c r="W3111" i="3"/>
  <c r="X3111" i="3"/>
  <c r="Y3111" i="3"/>
  <c r="Z3111" i="3"/>
  <c r="AA3111" i="3"/>
  <c r="T3112" i="3"/>
  <c r="U3112" i="3"/>
  <c r="V3112" i="3"/>
  <c r="W3112" i="3"/>
  <c r="X3112" i="3"/>
  <c r="Y3112" i="3"/>
  <c r="Z3112" i="3"/>
  <c r="AA3112" i="3"/>
  <c r="T3113" i="3"/>
  <c r="U3113" i="3"/>
  <c r="V3113" i="3"/>
  <c r="W3113" i="3"/>
  <c r="X3113" i="3"/>
  <c r="Y3113" i="3"/>
  <c r="Z3113" i="3"/>
  <c r="AA3113" i="3"/>
  <c r="T3114" i="3"/>
  <c r="U3114" i="3"/>
  <c r="V3114" i="3"/>
  <c r="W3114" i="3"/>
  <c r="X3114" i="3"/>
  <c r="Y3114" i="3"/>
  <c r="Z3114" i="3"/>
  <c r="AA3114" i="3"/>
  <c r="T3115" i="3"/>
  <c r="U3115" i="3"/>
  <c r="V3115" i="3"/>
  <c r="W3115" i="3"/>
  <c r="X3115" i="3"/>
  <c r="Y3115" i="3"/>
  <c r="Z3115" i="3"/>
  <c r="AA3115" i="3"/>
  <c r="T3116" i="3"/>
  <c r="U3116" i="3"/>
  <c r="V3116" i="3"/>
  <c r="W3116" i="3"/>
  <c r="X3116" i="3"/>
  <c r="Y3116" i="3"/>
  <c r="Z3116" i="3"/>
  <c r="AA3116" i="3"/>
  <c r="T3117" i="3"/>
  <c r="U3117" i="3"/>
  <c r="V3117" i="3"/>
  <c r="W3117" i="3"/>
  <c r="X3117" i="3"/>
  <c r="Y3117" i="3"/>
  <c r="Z3117" i="3"/>
  <c r="AA3117" i="3"/>
  <c r="T3118" i="3"/>
  <c r="U3118" i="3"/>
  <c r="V3118" i="3"/>
  <c r="W3118" i="3"/>
  <c r="X3118" i="3"/>
  <c r="Y3118" i="3"/>
  <c r="Z3118" i="3"/>
  <c r="AA3118" i="3"/>
  <c r="T3119" i="3"/>
  <c r="U3119" i="3"/>
  <c r="V3119" i="3"/>
  <c r="W3119" i="3"/>
  <c r="X3119" i="3"/>
  <c r="Y3119" i="3"/>
  <c r="Z3119" i="3"/>
  <c r="AA3119" i="3"/>
  <c r="T3120" i="3"/>
  <c r="U3120" i="3"/>
  <c r="V3120" i="3"/>
  <c r="W3120" i="3"/>
  <c r="X3120" i="3"/>
  <c r="Y3120" i="3"/>
  <c r="Z3120" i="3"/>
  <c r="AA3120" i="3"/>
  <c r="T3121" i="3"/>
  <c r="U3121" i="3"/>
  <c r="V3121" i="3"/>
  <c r="W3121" i="3"/>
  <c r="X3121" i="3"/>
  <c r="Y3121" i="3"/>
  <c r="Z3121" i="3"/>
  <c r="AA3121" i="3"/>
  <c r="T3122" i="3"/>
  <c r="U3122" i="3"/>
  <c r="V3122" i="3"/>
  <c r="W3122" i="3"/>
  <c r="X3122" i="3"/>
  <c r="Y3122" i="3"/>
  <c r="Z3122" i="3"/>
  <c r="AA3122" i="3"/>
  <c r="T3123" i="3"/>
  <c r="U3123" i="3"/>
  <c r="V3123" i="3"/>
  <c r="W3123" i="3"/>
  <c r="X3123" i="3"/>
  <c r="Y3123" i="3"/>
  <c r="Z3123" i="3"/>
  <c r="AA3123" i="3"/>
  <c r="T3124" i="3"/>
  <c r="U3124" i="3"/>
  <c r="V3124" i="3"/>
  <c r="W3124" i="3"/>
  <c r="X3124" i="3"/>
  <c r="Y3124" i="3"/>
  <c r="Z3124" i="3"/>
  <c r="AA3124" i="3"/>
  <c r="T3125" i="3"/>
  <c r="U3125" i="3"/>
  <c r="V3125" i="3"/>
  <c r="W3125" i="3"/>
  <c r="X3125" i="3"/>
  <c r="Y3125" i="3"/>
  <c r="Z3125" i="3"/>
  <c r="AA3125" i="3"/>
  <c r="T3126" i="3"/>
  <c r="U3126" i="3"/>
  <c r="V3126" i="3"/>
  <c r="W3126" i="3"/>
  <c r="X3126" i="3"/>
  <c r="Y3126" i="3"/>
  <c r="Z3126" i="3"/>
  <c r="AA3126" i="3"/>
  <c r="T3127" i="3"/>
  <c r="U3127" i="3"/>
  <c r="V3127" i="3"/>
  <c r="W3127" i="3"/>
  <c r="X3127" i="3"/>
  <c r="Y3127" i="3"/>
  <c r="Z3127" i="3"/>
  <c r="AA3127" i="3"/>
  <c r="T3128" i="3"/>
  <c r="U3128" i="3"/>
  <c r="V3128" i="3"/>
  <c r="W3128" i="3"/>
  <c r="X3128" i="3"/>
  <c r="Y3128" i="3"/>
  <c r="Z3128" i="3"/>
  <c r="AA3128" i="3"/>
  <c r="T3129" i="3"/>
  <c r="U3129" i="3"/>
  <c r="V3129" i="3"/>
  <c r="W3129" i="3"/>
  <c r="X3129" i="3"/>
  <c r="Y3129" i="3"/>
  <c r="Z3129" i="3"/>
  <c r="AA3129" i="3"/>
  <c r="T3130" i="3"/>
  <c r="U3130" i="3"/>
  <c r="V3130" i="3"/>
  <c r="W3130" i="3"/>
  <c r="X3130" i="3"/>
  <c r="Y3130" i="3"/>
  <c r="Z3130" i="3"/>
  <c r="AA3130" i="3"/>
  <c r="T3131" i="3"/>
  <c r="U3131" i="3"/>
  <c r="V3131" i="3"/>
  <c r="W3131" i="3"/>
  <c r="X3131" i="3"/>
  <c r="Y3131" i="3"/>
  <c r="Z3131" i="3"/>
  <c r="AA3131" i="3"/>
  <c r="T3132" i="3"/>
  <c r="U3132" i="3"/>
  <c r="V3132" i="3"/>
  <c r="W3132" i="3"/>
  <c r="X3132" i="3"/>
  <c r="Y3132" i="3"/>
  <c r="Z3132" i="3"/>
  <c r="AA3132" i="3"/>
  <c r="U3100" i="3"/>
  <c r="V3100" i="3"/>
  <c r="W3100" i="3"/>
  <c r="X3100" i="3"/>
  <c r="Y3100" i="3"/>
  <c r="Z3100" i="3"/>
  <c r="AA3100" i="3"/>
  <c r="T3100" i="3"/>
  <c r="T3067" i="3"/>
  <c r="U3067" i="3"/>
  <c r="V3067" i="3"/>
  <c r="W3067" i="3"/>
  <c r="X3067" i="3"/>
  <c r="Y3067" i="3"/>
  <c r="Z3067" i="3"/>
  <c r="AA3067" i="3"/>
  <c r="T3068" i="3"/>
  <c r="U3068" i="3"/>
  <c r="V3068" i="3"/>
  <c r="W3068" i="3"/>
  <c r="X3068" i="3"/>
  <c r="Y3068" i="3"/>
  <c r="Z3068" i="3"/>
  <c r="AA3068" i="3"/>
  <c r="T3069" i="3"/>
  <c r="U3069" i="3"/>
  <c r="V3069" i="3"/>
  <c r="W3069" i="3"/>
  <c r="X3069" i="3"/>
  <c r="Y3069" i="3"/>
  <c r="Z3069" i="3"/>
  <c r="AA3069" i="3"/>
  <c r="T3070" i="3"/>
  <c r="U3070" i="3"/>
  <c r="V3070" i="3"/>
  <c r="W3070" i="3"/>
  <c r="X3070" i="3"/>
  <c r="Y3070" i="3"/>
  <c r="Z3070" i="3"/>
  <c r="AA3070" i="3"/>
  <c r="T3071" i="3"/>
  <c r="U3071" i="3"/>
  <c r="V3071" i="3"/>
  <c r="W3071" i="3"/>
  <c r="X3071" i="3"/>
  <c r="Y3071" i="3"/>
  <c r="Z3071" i="3"/>
  <c r="AA3071" i="3"/>
  <c r="T3072" i="3"/>
  <c r="U3072" i="3"/>
  <c r="V3072" i="3"/>
  <c r="W3072" i="3"/>
  <c r="X3072" i="3"/>
  <c r="Y3072" i="3"/>
  <c r="Z3072" i="3"/>
  <c r="AA3072" i="3"/>
  <c r="T3073" i="3"/>
  <c r="U3073" i="3"/>
  <c r="V3073" i="3"/>
  <c r="W3073" i="3"/>
  <c r="X3073" i="3"/>
  <c r="Y3073" i="3"/>
  <c r="Z3073" i="3"/>
  <c r="AA3073" i="3"/>
  <c r="T3074" i="3"/>
  <c r="U3074" i="3"/>
  <c r="V3074" i="3"/>
  <c r="W3074" i="3"/>
  <c r="X3074" i="3"/>
  <c r="Y3074" i="3"/>
  <c r="Z3074" i="3"/>
  <c r="AA3074" i="3"/>
  <c r="T3075" i="3"/>
  <c r="U3075" i="3"/>
  <c r="V3075" i="3"/>
  <c r="W3075" i="3"/>
  <c r="X3075" i="3"/>
  <c r="Y3075" i="3"/>
  <c r="Z3075" i="3"/>
  <c r="AA3075" i="3"/>
  <c r="T3076" i="3"/>
  <c r="U3076" i="3"/>
  <c r="V3076" i="3"/>
  <c r="W3076" i="3"/>
  <c r="X3076" i="3"/>
  <c r="Y3076" i="3"/>
  <c r="Z3076" i="3"/>
  <c r="AA3076" i="3"/>
  <c r="T3077" i="3"/>
  <c r="U3077" i="3"/>
  <c r="V3077" i="3"/>
  <c r="W3077" i="3"/>
  <c r="X3077" i="3"/>
  <c r="Y3077" i="3"/>
  <c r="Z3077" i="3"/>
  <c r="AA3077" i="3"/>
  <c r="T3078" i="3"/>
  <c r="U3078" i="3"/>
  <c r="V3078" i="3"/>
  <c r="W3078" i="3"/>
  <c r="X3078" i="3"/>
  <c r="Y3078" i="3"/>
  <c r="Z3078" i="3"/>
  <c r="AA3078" i="3"/>
  <c r="T3079" i="3"/>
  <c r="U3079" i="3"/>
  <c r="V3079" i="3"/>
  <c r="W3079" i="3"/>
  <c r="X3079" i="3"/>
  <c r="Y3079" i="3"/>
  <c r="Z3079" i="3"/>
  <c r="AA3079" i="3"/>
  <c r="T3080" i="3"/>
  <c r="U3080" i="3"/>
  <c r="V3080" i="3"/>
  <c r="W3080" i="3"/>
  <c r="X3080" i="3"/>
  <c r="Y3080" i="3"/>
  <c r="Z3080" i="3"/>
  <c r="AA3080" i="3"/>
  <c r="T3081" i="3"/>
  <c r="U3081" i="3"/>
  <c r="V3081" i="3"/>
  <c r="W3081" i="3"/>
  <c r="X3081" i="3"/>
  <c r="Y3081" i="3"/>
  <c r="Z3081" i="3"/>
  <c r="AA3081" i="3"/>
  <c r="T3082" i="3"/>
  <c r="U3082" i="3"/>
  <c r="V3082" i="3"/>
  <c r="W3082" i="3"/>
  <c r="X3082" i="3"/>
  <c r="Y3082" i="3"/>
  <c r="Z3082" i="3"/>
  <c r="AA3082" i="3"/>
  <c r="T3083" i="3"/>
  <c r="U3083" i="3"/>
  <c r="V3083" i="3"/>
  <c r="W3083" i="3"/>
  <c r="X3083" i="3"/>
  <c r="Y3083" i="3"/>
  <c r="Z3083" i="3"/>
  <c r="AA3083" i="3"/>
  <c r="T3084" i="3"/>
  <c r="U3084" i="3"/>
  <c r="V3084" i="3"/>
  <c r="W3084" i="3"/>
  <c r="X3084" i="3"/>
  <c r="Y3084" i="3"/>
  <c r="Z3084" i="3"/>
  <c r="AA3084" i="3"/>
  <c r="T3085" i="3"/>
  <c r="U3085" i="3"/>
  <c r="V3085" i="3"/>
  <c r="W3085" i="3"/>
  <c r="X3085" i="3"/>
  <c r="Y3085" i="3"/>
  <c r="Z3085" i="3"/>
  <c r="AA3085" i="3"/>
  <c r="T3086" i="3"/>
  <c r="U3086" i="3"/>
  <c r="V3086" i="3"/>
  <c r="W3086" i="3"/>
  <c r="X3086" i="3"/>
  <c r="Y3086" i="3"/>
  <c r="Z3086" i="3"/>
  <c r="AA3086" i="3"/>
  <c r="T3087" i="3"/>
  <c r="U3087" i="3"/>
  <c r="V3087" i="3"/>
  <c r="W3087" i="3"/>
  <c r="X3087" i="3"/>
  <c r="Y3087" i="3"/>
  <c r="Z3087" i="3"/>
  <c r="AA3087" i="3"/>
  <c r="T3088" i="3"/>
  <c r="U3088" i="3"/>
  <c r="V3088" i="3"/>
  <c r="W3088" i="3"/>
  <c r="X3088" i="3"/>
  <c r="Y3088" i="3"/>
  <c r="Z3088" i="3"/>
  <c r="AA3088" i="3"/>
  <c r="T3089" i="3"/>
  <c r="U3089" i="3"/>
  <c r="V3089" i="3"/>
  <c r="W3089" i="3"/>
  <c r="X3089" i="3"/>
  <c r="Y3089" i="3"/>
  <c r="Z3089" i="3"/>
  <c r="AA3089" i="3"/>
  <c r="T3090" i="3"/>
  <c r="U3090" i="3"/>
  <c r="V3090" i="3"/>
  <c r="W3090" i="3"/>
  <c r="X3090" i="3"/>
  <c r="Y3090" i="3"/>
  <c r="Z3090" i="3"/>
  <c r="AA3090" i="3"/>
  <c r="T3091" i="3"/>
  <c r="U3091" i="3"/>
  <c r="V3091" i="3"/>
  <c r="W3091" i="3"/>
  <c r="X3091" i="3"/>
  <c r="Y3091" i="3"/>
  <c r="Z3091" i="3"/>
  <c r="AA3091" i="3"/>
  <c r="T3092" i="3"/>
  <c r="U3092" i="3"/>
  <c r="V3092" i="3"/>
  <c r="W3092" i="3"/>
  <c r="X3092" i="3"/>
  <c r="Y3092" i="3"/>
  <c r="Z3092" i="3"/>
  <c r="AA3092" i="3"/>
  <c r="T3093" i="3"/>
  <c r="U3093" i="3"/>
  <c r="V3093" i="3"/>
  <c r="W3093" i="3"/>
  <c r="X3093" i="3"/>
  <c r="Y3093" i="3"/>
  <c r="Z3093" i="3"/>
  <c r="AA3093" i="3"/>
  <c r="T3094" i="3"/>
  <c r="U3094" i="3"/>
  <c r="V3094" i="3"/>
  <c r="W3094" i="3"/>
  <c r="X3094" i="3"/>
  <c r="Y3094" i="3"/>
  <c r="Z3094" i="3"/>
  <c r="AA3094" i="3"/>
  <c r="T3095" i="3"/>
  <c r="U3095" i="3"/>
  <c r="V3095" i="3"/>
  <c r="W3095" i="3"/>
  <c r="X3095" i="3"/>
  <c r="Y3095" i="3"/>
  <c r="Z3095" i="3"/>
  <c r="AA3095" i="3"/>
  <c r="T3096" i="3"/>
  <c r="U3096" i="3"/>
  <c r="V3096" i="3"/>
  <c r="W3096" i="3"/>
  <c r="X3096" i="3"/>
  <c r="Y3096" i="3"/>
  <c r="Z3096" i="3"/>
  <c r="AA3096" i="3"/>
  <c r="T3097" i="3"/>
  <c r="U3097" i="3"/>
  <c r="V3097" i="3"/>
  <c r="W3097" i="3"/>
  <c r="X3097" i="3"/>
  <c r="Y3097" i="3"/>
  <c r="Z3097" i="3"/>
  <c r="AA3097" i="3"/>
  <c r="T3098" i="3"/>
  <c r="U3098" i="3"/>
  <c r="V3098" i="3"/>
  <c r="W3098" i="3"/>
  <c r="X3098" i="3"/>
  <c r="Y3098" i="3"/>
  <c r="Z3098" i="3"/>
  <c r="AA3098" i="3"/>
  <c r="U3066" i="3"/>
  <c r="V3066" i="3"/>
  <c r="W3066" i="3"/>
  <c r="X3066" i="3"/>
  <c r="Y3066" i="3"/>
  <c r="Z3066" i="3"/>
  <c r="AA3066" i="3"/>
  <c r="T3066" i="3"/>
  <c r="T3033" i="3"/>
  <c r="U3033" i="3"/>
  <c r="V3033" i="3"/>
  <c r="W3033" i="3"/>
  <c r="X3033" i="3"/>
  <c r="Y3033" i="3"/>
  <c r="Z3033" i="3"/>
  <c r="AA3033" i="3"/>
  <c r="T3034" i="3"/>
  <c r="U3034" i="3"/>
  <c r="V3034" i="3"/>
  <c r="W3034" i="3"/>
  <c r="X3034" i="3"/>
  <c r="Y3034" i="3"/>
  <c r="Z3034" i="3"/>
  <c r="AA3034" i="3"/>
  <c r="T3035" i="3"/>
  <c r="U3035" i="3"/>
  <c r="V3035" i="3"/>
  <c r="W3035" i="3"/>
  <c r="X3035" i="3"/>
  <c r="Y3035" i="3"/>
  <c r="Z3035" i="3"/>
  <c r="AA3035" i="3"/>
  <c r="T3036" i="3"/>
  <c r="U3036" i="3"/>
  <c r="V3036" i="3"/>
  <c r="W3036" i="3"/>
  <c r="X3036" i="3"/>
  <c r="Y3036" i="3"/>
  <c r="Z3036" i="3"/>
  <c r="AA3036" i="3"/>
  <c r="T3037" i="3"/>
  <c r="U3037" i="3"/>
  <c r="V3037" i="3"/>
  <c r="W3037" i="3"/>
  <c r="X3037" i="3"/>
  <c r="Y3037" i="3"/>
  <c r="Z3037" i="3"/>
  <c r="AA3037" i="3"/>
  <c r="T3038" i="3"/>
  <c r="U3038" i="3"/>
  <c r="V3038" i="3"/>
  <c r="W3038" i="3"/>
  <c r="X3038" i="3"/>
  <c r="Y3038" i="3"/>
  <c r="Z3038" i="3"/>
  <c r="AA3038" i="3"/>
  <c r="T3039" i="3"/>
  <c r="U3039" i="3"/>
  <c r="V3039" i="3"/>
  <c r="W3039" i="3"/>
  <c r="X3039" i="3"/>
  <c r="Y3039" i="3"/>
  <c r="Z3039" i="3"/>
  <c r="AA3039" i="3"/>
  <c r="T3040" i="3"/>
  <c r="U3040" i="3"/>
  <c r="V3040" i="3"/>
  <c r="W3040" i="3"/>
  <c r="X3040" i="3"/>
  <c r="Y3040" i="3"/>
  <c r="Z3040" i="3"/>
  <c r="AA3040" i="3"/>
  <c r="T3041" i="3"/>
  <c r="U3041" i="3"/>
  <c r="V3041" i="3"/>
  <c r="W3041" i="3"/>
  <c r="X3041" i="3"/>
  <c r="Y3041" i="3"/>
  <c r="Z3041" i="3"/>
  <c r="AA3041" i="3"/>
  <c r="T3042" i="3"/>
  <c r="U3042" i="3"/>
  <c r="V3042" i="3"/>
  <c r="W3042" i="3"/>
  <c r="X3042" i="3"/>
  <c r="Y3042" i="3"/>
  <c r="Z3042" i="3"/>
  <c r="AA3042" i="3"/>
  <c r="T3043" i="3"/>
  <c r="U3043" i="3"/>
  <c r="V3043" i="3"/>
  <c r="W3043" i="3"/>
  <c r="X3043" i="3"/>
  <c r="Y3043" i="3"/>
  <c r="Z3043" i="3"/>
  <c r="AA3043" i="3"/>
  <c r="T3044" i="3"/>
  <c r="U3044" i="3"/>
  <c r="V3044" i="3"/>
  <c r="W3044" i="3"/>
  <c r="X3044" i="3"/>
  <c r="Y3044" i="3"/>
  <c r="Z3044" i="3"/>
  <c r="AA3044" i="3"/>
  <c r="T3045" i="3"/>
  <c r="U3045" i="3"/>
  <c r="V3045" i="3"/>
  <c r="W3045" i="3"/>
  <c r="X3045" i="3"/>
  <c r="Y3045" i="3"/>
  <c r="Z3045" i="3"/>
  <c r="AA3045" i="3"/>
  <c r="T3046" i="3"/>
  <c r="U3046" i="3"/>
  <c r="V3046" i="3"/>
  <c r="W3046" i="3"/>
  <c r="X3046" i="3"/>
  <c r="Y3046" i="3"/>
  <c r="Z3046" i="3"/>
  <c r="AA3046" i="3"/>
  <c r="T3047" i="3"/>
  <c r="U3047" i="3"/>
  <c r="V3047" i="3"/>
  <c r="W3047" i="3"/>
  <c r="X3047" i="3"/>
  <c r="Y3047" i="3"/>
  <c r="Z3047" i="3"/>
  <c r="AA3047" i="3"/>
  <c r="T3048" i="3"/>
  <c r="U3048" i="3"/>
  <c r="V3048" i="3"/>
  <c r="W3048" i="3"/>
  <c r="X3048" i="3"/>
  <c r="Y3048" i="3"/>
  <c r="Z3048" i="3"/>
  <c r="AA3048" i="3"/>
  <c r="T3049" i="3"/>
  <c r="U3049" i="3"/>
  <c r="V3049" i="3"/>
  <c r="W3049" i="3"/>
  <c r="X3049" i="3"/>
  <c r="Y3049" i="3"/>
  <c r="Z3049" i="3"/>
  <c r="AA3049" i="3"/>
  <c r="T3050" i="3"/>
  <c r="U3050" i="3"/>
  <c r="V3050" i="3"/>
  <c r="W3050" i="3"/>
  <c r="X3050" i="3"/>
  <c r="Y3050" i="3"/>
  <c r="Z3050" i="3"/>
  <c r="AA3050" i="3"/>
  <c r="T3051" i="3"/>
  <c r="U3051" i="3"/>
  <c r="V3051" i="3"/>
  <c r="W3051" i="3"/>
  <c r="X3051" i="3"/>
  <c r="Y3051" i="3"/>
  <c r="Z3051" i="3"/>
  <c r="AA3051" i="3"/>
  <c r="T3052" i="3"/>
  <c r="U3052" i="3"/>
  <c r="V3052" i="3"/>
  <c r="W3052" i="3"/>
  <c r="X3052" i="3"/>
  <c r="Y3052" i="3"/>
  <c r="Z3052" i="3"/>
  <c r="AA3052" i="3"/>
  <c r="T3053" i="3"/>
  <c r="U3053" i="3"/>
  <c r="V3053" i="3"/>
  <c r="W3053" i="3"/>
  <c r="X3053" i="3"/>
  <c r="Y3053" i="3"/>
  <c r="Z3053" i="3"/>
  <c r="AA3053" i="3"/>
  <c r="T3054" i="3"/>
  <c r="U3054" i="3"/>
  <c r="V3054" i="3"/>
  <c r="W3054" i="3"/>
  <c r="X3054" i="3"/>
  <c r="Y3054" i="3"/>
  <c r="Z3054" i="3"/>
  <c r="AA3054" i="3"/>
  <c r="T3055" i="3"/>
  <c r="U3055" i="3"/>
  <c r="V3055" i="3"/>
  <c r="W3055" i="3"/>
  <c r="X3055" i="3"/>
  <c r="Y3055" i="3"/>
  <c r="Z3055" i="3"/>
  <c r="AA3055" i="3"/>
  <c r="T3056" i="3"/>
  <c r="U3056" i="3"/>
  <c r="V3056" i="3"/>
  <c r="W3056" i="3"/>
  <c r="X3056" i="3"/>
  <c r="Y3056" i="3"/>
  <c r="Z3056" i="3"/>
  <c r="AA3056" i="3"/>
  <c r="T3057" i="3"/>
  <c r="U3057" i="3"/>
  <c r="V3057" i="3"/>
  <c r="W3057" i="3"/>
  <c r="X3057" i="3"/>
  <c r="Y3057" i="3"/>
  <c r="Z3057" i="3"/>
  <c r="AA3057" i="3"/>
  <c r="T3058" i="3"/>
  <c r="U3058" i="3"/>
  <c r="V3058" i="3"/>
  <c r="W3058" i="3"/>
  <c r="X3058" i="3"/>
  <c r="Y3058" i="3"/>
  <c r="Z3058" i="3"/>
  <c r="AA3058" i="3"/>
  <c r="T3059" i="3"/>
  <c r="U3059" i="3"/>
  <c r="V3059" i="3"/>
  <c r="W3059" i="3"/>
  <c r="X3059" i="3"/>
  <c r="Y3059" i="3"/>
  <c r="Z3059" i="3"/>
  <c r="AA3059" i="3"/>
  <c r="T3060" i="3"/>
  <c r="U3060" i="3"/>
  <c r="V3060" i="3"/>
  <c r="W3060" i="3"/>
  <c r="X3060" i="3"/>
  <c r="Y3060" i="3"/>
  <c r="Z3060" i="3"/>
  <c r="AA3060" i="3"/>
  <c r="T3061" i="3"/>
  <c r="U3061" i="3"/>
  <c r="V3061" i="3"/>
  <c r="W3061" i="3"/>
  <c r="X3061" i="3"/>
  <c r="Y3061" i="3"/>
  <c r="Z3061" i="3"/>
  <c r="AA3061" i="3"/>
  <c r="T3062" i="3"/>
  <c r="U3062" i="3"/>
  <c r="V3062" i="3"/>
  <c r="W3062" i="3"/>
  <c r="X3062" i="3"/>
  <c r="Y3062" i="3"/>
  <c r="Z3062" i="3"/>
  <c r="AA3062" i="3"/>
  <c r="T3063" i="3"/>
  <c r="U3063" i="3"/>
  <c r="V3063" i="3"/>
  <c r="W3063" i="3"/>
  <c r="X3063" i="3"/>
  <c r="Y3063" i="3"/>
  <c r="Z3063" i="3"/>
  <c r="AA3063" i="3"/>
  <c r="T3064" i="3"/>
  <c r="U3064" i="3"/>
  <c r="V3064" i="3"/>
  <c r="W3064" i="3"/>
  <c r="X3064" i="3"/>
  <c r="Y3064" i="3"/>
  <c r="Z3064" i="3"/>
  <c r="AA3064" i="3"/>
  <c r="U3032" i="3"/>
  <c r="V3032" i="3"/>
  <c r="W3032" i="3"/>
  <c r="X3032" i="3"/>
  <c r="Y3032" i="3"/>
  <c r="Z3032" i="3"/>
  <c r="AA3032" i="3"/>
  <c r="T3032" i="3"/>
  <c r="T2999" i="3"/>
  <c r="U2999" i="3"/>
  <c r="V2999" i="3"/>
  <c r="W2999" i="3"/>
  <c r="X2999" i="3"/>
  <c r="Y2999" i="3"/>
  <c r="Z2999" i="3"/>
  <c r="AA2999" i="3"/>
  <c r="T3000" i="3"/>
  <c r="U3000" i="3"/>
  <c r="V3000" i="3"/>
  <c r="W3000" i="3"/>
  <c r="X3000" i="3"/>
  <c r="Y3000" i="3"/>
  <c r="Z3000" i="3"/>
  <c r="AA3000" i="3"/>
  <c r="T3001" i="3"/>
  <c r="U3001" i="3"/>
  <c r="V3001" i="3"/>
  <c r="W3001" i="3"/>
  <c r="X3001" i="3"/>
  <c r="Y3001" i="3"/>
  <c r="Z3001" i="3"/>
  <c r="AA3001" i="3"/>
  <c r="T3002" i="3"/>
  <c r="U3002" i="3"/>
  <c r="V3002" i="3"/>
  <c r="W3002" i="3"/>
  <c r="X3002" i="3"/>
  <c r="Y3002" i="3"/>
  <c r="Z3002" i="3"/>
  <c r="AA3002" i="3"/>
  <c r="T3003" i="3"/>
  <c r="U3003" i="3"/>
  <c r="V3003" i="3"/>
  <c r="W3003" i="3"/>
  <c r="X3003" i="3"/>
  <c r="Y3003" i="3"/>
  <c r="Z3003" i="3"/>
  <c r="AA3003" i="3"/>
  <c r="T3004" i="3"/>
  <c r="U3004" i="3"/>
  <c r="V3004" i="3"/>
  <c r="W3004" i="3"/>
  <c r="X3004" i="3"/>
  <c r="Y3004" i="3"/>
  <c r="Z3004" i="3"/>
  <c r="AA3004" i="3"/>
  <c r="T3005" i="3"/>
  <c r="U3005" i="3"/>
  <c r="V3005" i="3"/>
  <c r="W3005" i="3"/>
  <c r="X3005" i="3"/>
  <c r="Y3005" i="3"/>
  <c r="Z3005" i="3"/>
  <c r="AA3005" i="3"/>
  <c r="T3006" i="3"/>
  <c r="U3006" i="3"/>
  <c r="V3006" i="3"/>
  <c r="W3006" i="3"/>
  <c r="X3006" i="3"/>
  <c r="Y3006" i="3"/>
  <c r="Z3006" i="3"/>
  <c r="AA3006" i="3"/>
  <c r="T3007" i="3"/>
  <c r="U3007" i="3"/>
  <c r="V3007" i="3"/>
  <c r="W3007" i="3"/>
  <c r="X3007" i="3"/>
  <c r="Y3007" i="3"/>
  <c r="Z3007" i="3"/>
  <c r="AA3007" i="3"/>
  <c r="T3008" i="3"/>
  <c r="U3008" i="3"/>
  <c r="V3008" i="3"/>
  <c r="W3008" i="3"/>
  <c r="X3008" i="3"/>
  <c r="Y3008" i="3"/>
  <c r="Z3008" i="3"/>
  <c r="AA3008" i="3"/>
  <c r="T3009" i="3"/>
  <c r="U3009" i="3"/>
  <c r="V3009" i="3"/>
  <c r="W3009" i="3"/>
  <c r="X3009" i="3"/>
  <c r="Y3009" i="3"/>
  <c r="Z3009" i="3"/>
  <c r="AA3009" i="3"/>
  <c r="T3010" i="3"/>
  <c r="U3010" i="3"/>
  <c r="V3010" i="3"/>
  <c r="W3010" i="3"/>
  <c r="X3010" i="3"/>
  <c r="Y3010" i="3"/>
  <c r="Z3010" i="3"/>
  <c r="AA3010" i="3"/>
  <c r="T3011" i="3"/>
  <c r="U3011" i="3"/>
  <c r="V3011" i="3"/>
  <c r="W3011" i="3"/>
  <c r="X3011" i="3"/>
  <c r="Y3011" i="3"/>
  <c r="Z3011" i="3"/>
  <c r="AA3011" i="3"/>
  <c r="T3012" i="3"/>
  <c r="U3012" i="3"/>
  <c r="V3012" i="3"/>
  <c r="W3012" i="3"/>
  <c r="X3012" i="3"/>
  <c r="Y3012" i="3"/>
  <c r="Z3012" i="3"/>
  <c r="AA3012" i="3"/>
  <c r="T3013" i="3"/>
  <c r="U3013" i="3"/>
  <c r="V3013" i="3"/>
  <c r="W3013" i="3"/>
  <c r="X3013" i="3"/>
  <c r="Y3013" i="3"/>
  <c r="Z3013" i="3"/>
  <c r="AA3013" i="3"/>
  <c r="T3014" i="3"/>
  <c r="U3014" i="3"/>
  <c r="V3014" i="3"/>
  <c r="W3014" i="3"/>
  <c r="X3014" i="3"/>
  <c r="Y3014" i="3"/>
  <c r="Z3014" i="3"/>
  <c r="AA3014" i="3"/>
  <c r="T3015" i="3"/>
  <c r="U3015" i="3"/>
  <c r="V3015" i="3"/>
  <c r="W3015" i="3"/>
  <c r="X3015" i="3"/>
  <c r="Y3015" i="3"/>
  <c r="Z3015" i="3"/>
  <c r="AA3015" i="3"/>
  <c r="T3016" i="3"/>
  <c r="U3016" i="3"/>
  <c r="V3016" i="3"/>
  <c r="W3016" i="3"/>
  <c r="X3016" i="3"/>
  <c r="Y3016" i="3"/>
  <c r="Z3016" i="3"/>
  <c r="AA3016" i="3"/>
  <c r="T3017" i="3"/>
  <c r="U3017" i="3"/>
  <c r="V3017" i="3"/>
  <c r="W3017" i="3"/>
  <c r="X3017" i="3"/>
  <c r="Y3017" i="3"/>
  <c r="Z3017" i="3"/>
  <c r="AA3017" i="3"/>
  <c r="T3018" i="3"/>
  <c r="U3018" i="3"/>
  <c r="V3018" i="3"/>
  <c r="W3018" i="3"/>
  <c r="X3018" i="3"/>
  <c r="Y3018" i="3"/>
  <c r="Z3018" i="3"/>
  <c r="AA3018" i="3"/>
  <c r="T3019" i="3"/>
  <c r="U3019" i="3"/>
  <c r="V3019" i="3"/>
  <c r="W3019" i="3"/>
  <c r="X3019" i="3"/>
  <c r="Y3019" i="3"/>
  <c r="Z3019" i="3"/>
  <c r="AA3019" i="3"/>
  <c r="T3020" i="3"/>
  <c r="U3020" i="3"/>
  <c r="V3020" i="3"/>
  <c r="W3020" i="3"/>
  <c r="X3020" i="3"/>
  <c r="Y3020" i="3"/>
  <c r="Z3020" i="3"/>
  <c r="AA3020" i="3"/>
  <c r="T3021" i="3"/>
  <c r="U3021" i="3"/>
  <c r="V3021" i="3"/>
  <c r="W3021" i="3"/>
  <c r="X3021" i="3"/>
  <c r="Y3021" i="3"/>
  <c r="Z3021" i="3"/>
  <c r="AA3021" i="3"/>
  <c r="T3022" i="3"/>
  <c r="U3022" i="3"/>
  <c r="V3022" i="3"/>
  <c r="W3022" i="3"/>
  <c r="X3022" i="3"/>
  <c r="Y3022" i="3"/>
  <c r="Z3022" i="3"/>
  <c r="AA3022" i="3"/>
  <c r="T3023" i="3"/>
  <c r="U3023" i="3"/>
  <c r="V3023" i="3"/>
  <c r="W3023" i="3"/>
  <c r="X3023" i="3"/>
  <c r="Y3023" i="3"/>
  <c r="Z3023" i="3"/>
  <c r="AA3023" i="3"/>
  <c r="T3024" i="3"/>
  <c r="U3024" i="3"/>
  <c r="V3024" i="3"/>
  <c r="W3024" i="3"/>
  <c r="X3024" i="3"/>
  <c r="Y3024" i="3"/>
  <c r="Z3024" i="3"/>
  <c r="AA3024" i="3"/>
  <c r="T3025" i="3"/>
  <c r="U3025" i="3"/>
  <c r="V3025" i="3"/>
  <c r="W3025" i="3"/>
  <c r="X3025" i="3"/>
  <c r="Y3025" i="3"/>
  <c r="Z3025" i="3"/>
  <c r="AA3025" i="3"/>
  <c r="T3026" i="3"/>
  <c r="U3026" i="3"/>
  <c r="V3026" i="3"/>
  <c r="W3026" i="3"/>
  <c r="X3026" i="3"/>
  <c r="Y3026" i="3"/>
  <c r="Z3026" i="3"/>
  <c r="AA3026" i="3"/>
  <c r="T3027" i="3"/>
  <c r="U3027" i="3"/>
  <c r="V3027" i="3"/>
  <c r="W3027" i="3"/>
  <c r="X3027" i="3"/>
  <c r="Y3027" i="3"/>
  <c r="Z3027" i="3"/>
  <c r="AA3027" i="3"/>
  <c r="T3028" i="3"/>
  <c r="U3028" i="3"/>
  <c r="V3028" i="3"/>
  <c r="W3028" i="3"/>
  <c r="X3028" i="3"/>
  <c r="Y3028" i="3"/>
  <c r="Z3028" i="3"/>
  <c r="AA3028" i="3"/>
  <c r="T3029" i="3"/>
  <c r="U3029" i="3"/>
  <c r="V3029" i="3"/>
  <c r="W3029" i="3"/>
  <c r="X3029" i="3"/>
  <c r="Y3029" i="3"/>
  <c r="Z3029" i="3"/>
  <c r="AA3029" i="3"/>
  <c r="T3030" i="3"/>
  <c r="U3030" i="3"/>
  <c r="V3030" i="3"/>
  <c r="W3030" i="3"/>
  <c r="X3030" i="3"/>
  <c r="Y3030" i="3"/>
  <c r="Z3030" i="3"/>
  <c r="AA3030" i="3"/>
  <c r="U2998" i="3"/>
  <c r="V2998" i="3"/>
  <c r="W2998" i="3"/>
  <c r="X2998" i="3"/>
  <c r="Y2998" i="3"/>
  <c r="Z2998" i="3"/>
  <c r="AA2998" i="3"/>
  <c r="T2998" i="3"/>
  <c r="T2965" i="3"/>
  <c r="U2965" i="3"/>
  <c r="V2965" i="3"/>
  <c r="W2965" i="3"/>
  <c r="X2965" i="3"/>
  <c r="Y2965" i="3"/>
  <c r="Z2965" i="3"/>
  <c r="AA2965" i="3"/>
  <c r="T2966" i="3"/>
  <c r="U2966" i="3"/>
  <c r="V2966" i="3"/>
  <c r="W2966" i="3"/>
  <c r="X2966" i="3"/>
  <c r="Y2966" i="3"/>
  <c r="Z2966" i="3"/>
  <c r="AA2966" i="3"/>
  <c r="T2967" i="3"/>
  <c r="U2967" i="3"/>
  <c r="V2967" i="3"/>
  <c r="W2967" i="3"/>
  <c r="X2967" i="3"/>
  <c r="Y2967" i="3"/>
  <c r="Z2967" i="3"/>
  <c r="AA2967" i="3"/>
  <c r="T2968" i="3"/>
  <c r="U2968" i="3"/>
  <c r="V2968" i="3"/>
  <c r="W2968" i="3"/>
  <c r="X2968" i="3"/>
  <c r="Y2968" i="3"/>
  <c r="Z2968" i="3"/>
  <c r="AA2968" i="3"/>
  <c r="T2969" i="3"/>
  <c r="U2969" i="3"/>
  <c r="V2969" i="3"/>
  <c r="W2969" i="3"/>
  <c r="X2969" i="3"/>
  <c r="Y2969" i="3"/>
  <c r="Z2969" i="3"/>
  <c r="AA2969" i="3"/>
  <c r="T2970" i="3"/>
  <c r="U2970" i="3"/>
  <c r="V2970" i="3"/>
  <c r="W2970" i="3"/>
  <c r="X2970" i="3"/>
  <c r="Y2970" i="3"/>
  <c r="Z2970" i="3"/>
  <c r="AA2970" i="3"/>
  <c r="T2971" i="3"/>
  <c r="U2971" i="3"/>
  <c r="V2971" i="3"/>
  <c r="W2971" i="3"/>
  <c r="X2971" i="3"/>
  <c r="Y2971" i="3"/>
  <c r="Z2971" i="3"/>
  <c r="AA2971" i="3"/>
  <c r="T2972" i="3"/>
  <c r="U2972" i="3"/>
  <c r="V2972" i="3"/>
  <c r="W2972" i="3"/>
  <c r="X2972" i="3"/>
  <c r="Y2972" i="3"/>
  <c r="Z2972" i="3"/>
  <c r="AA2972" i="3"/>
  <c r="T2973" i="3"/>
  <c r="U2973" i="3"/>
  <c r="V2973" i="3"/>
  <c r="W2973" i="3"/>
  <c r="X2973" i="3"/>
  <c r="Y2973" i="3"/>
  <c r="Z2973" i="3"/>
  <c r="AA2973" i="3"/>
  <c r="T2974" i="3"/>
  <c r="U2974" i="3"/>
  <c r="V2974" i="3"/>
  <c r="W2974" i="3"/>
  <c r="X2974" i="3"/>
  <c r="Y2974" i="3"/>
  <c r="Z2974" i="3"/>
  <c r="AA2974" i="3"/>
  <c r="T2975" i="3"/>
  <c r="U2975" i="3"/>
  <c r="V2975" i="3"/>
  <c r="W2975" i="3"/>
  <c r="X2975" i="3"/>
  <c r="Y2975" i="3"/>
  <c r="Z2975" i="3"/>
  <c r="AA2975" i="3"/>
  <c r="T2976" i="3"/>
  <c r="U2976" i="3"/>
  <c r="V2976" i="3"/>
  <c r="W2976" i="3"/>
  <c r="X2976" i="3"/>
  <c r="Y2976" i="3"/>
  <c r="Z2976" i="3"/>
  <c r="AA2976" i="3"/>
  <c r="T2977" i="3"/>
  <c r="U2977" i="3"/>
  <c r="V2977" i="3"/>
  <c r="W2977" i="3"/>
  <c r="X2977" i="3"/>
  <c r="Y2977" i="3"/>
  <c r="Z2977" i="3"/>
  <c r="AA2977" i="3"/>
  <c r="T2978" i="3"/>
  <c r="U2978" i="3"/>
  <c r="V2978" i="3"/>
  <c r="W2978" i="3"/>
  <c r="X2978" i="3"/>
  <c r="Y2978" i="3"/>
  <c r="Z2978" i="3"/>
  <c r="AA2978" i="3"/>
  <c r="T2979" i="3"/>
  <c r="U2979" i="3"/>
  <c r="V2979" i="3"/>
  <c r="W2979" i="3"/>
  <c r="X2979" i="3"/>
  <c r="Y2979" i="3"/>
  <c r="Z2979" i="3"/>
  <c r="AA2979" i="3"/>
  <c r="T2980" i="3"/>
  <c r="U2980" i="3"/>
  <c r="V2980" i="3"/>
  <c r="W2980" i="3"/>
  <c r="X2980" i="3"/>
  <c r="Y2980" i="3"/>
  <c r="Z2980" i="3"/>
  <c r="AA2980" i="3"/>
  <c r="T2981" i="3"/>
  <c r="U2981" i="3"/>
  <c r="V2981" i="3"/>
  <c r="W2981" i="3"/>
  <c r="X2981" i="3"/>
  <c r="Y2981" i="3"/>
  <c r="Z2981" i="3"/>
  <c r="AA2981" i="3"/>
  <c r="T2982" i="3"/>
  <c r="U2982" i="3"/>
  <c r="V2982" i="3"/>
  <c r="W2982" i="3"/>
  <c r="X2982" i="3"/>
  <c r="Y2982" i="3"/>
  <c r="Z2982" i="3"/>
  <c r="AA2982" i="3"/>
  <c r="T2983" i="3"/>
  <c r="U2983" i="3"/>
  <c r="V2983" i="3"/>
  <c r="W2983" i="3"/>
  <c r="X2983" i="3"/>
  <c r="Y2983" i="3"/>
  <c r="Z2983" i="3"/>
  <c r="AA2983" i="3"/>
  <c r="T2984" i="3"/>
  <c r="U2984" i="3"/>
  <c r="V2984" i="3"/>
  <c r="W2984" i="3"/>
  <c r="X2984" i="3"/>
  <c r="Y2984" i="3"/>
  <c r="Z2984" i="3"/>
  <c r="AA2984" i="3"/>
  <c r="T2985" i="3"/>
  <c r="U2985" i="3"/>
  <c r="V2985" i="3"/>
  <c r="W2985" i="3"/>
  <c r="X2985" i="3"/>
  <c r="Y2985" i="3"/>
  <c r="Z2985" i="3"/>
  <c r="AA2985" i="3"/>
  <c r="T2986" i="3"/>
  <c r="U2986" i="3"/>
  <c r="V2986" i="3"/>
  <c r="W2986" i="3"/>
  <c r="X2986" i="3"/>
  <c r="Y2986" i="3"/>
  <c r="Z2986" i="3"/>
  <c r="AA2986" i="3"/>
  <c r="T2987" i="3"/>
  <c r="U2987" i="3"/>
  <c r="V2987" i="3"/>
  <c r="W2987" i="3"/>
  <c r="X2987" i="3"/>
  <c r="Y2987" i="3"/>
  <c r="Z2987" i="3"/>
  <c r="AA2987" i="3"/>
  <c r="T2988" i="3"/>
  <c r="U2988" i="3"/>
  <c r="V2988" i="3"/>
  <c r="W2988" i="3"/>
  <c r="X2988" i="3"/>
  <c r="Y2988" i="3"/>
  <c r="Z2988" i="3"/>
  <c r="AA2988" i="3"/>
  <c r="T2989" i="3"/>
  <c r="U2989" i="3"/>
  <c r="V2989" i="3"/>
  <c r="W2989" i="3"/>
  <c r="X2989" i="3"/>
  <c r="Y2989" i="3"/>
  <c r="Z2989" i="3"/>
  <c r="AA2989" i="3"/>
  <c r="T2990" i="3"/>
  <c r="U2990" i="3"/>
  <c r="V2990" i="3"/>
  <c r="W2990" i="3"/>
  <c r="X2990" i="3"/>
  <c r="Y2990" i="3"/>
  <c r="Z2990" i="3"/>
  <c r="AA2990" i="3"/>
  <c r="T2991" i="3"/>
  <c r="U2991" i="3"/>
  <c r="V2991" i="3"/>
  <c r="W2991" i="3"/>
  <c r="X2991" i="3"/>
  <c r="Y2991" i="3"/>
  <c r="Z2991" i="3"/>
  <c r="AA2991" i="3"/>
  <c r="T2992" i="3"/>
  <c r="U2992" i="3"/>
  <c r="V2992" i="3"/>
  <c r="W2992" i="3"/>
  <c r="X2992" i="3"/>
  <c r="Y2992" i="3"/>
  <c r="Z2992" i="3"/>
  <c r="AA2992" i="3"/>
  <c r="T2993" i="3"/>
  <c r="U2993" i="3"/>
  <c r="V2993" i="3"/>
  <c r="W2993" i="3"/>
  <c r="X2993" i="3"/>
  <c r="Y2993" i="3"/>
  <c r="Z2993" i="3"/>
  <c r="AA2993" i="3"/>
  <c r="T2994" i="3"/>
  <c r="U2994" i="3"/>
  <c r="V2994" i="3"/>
  <c r="W2994" i="3"/>
  <c r="X2994" i="3"/>
  <c r="Y2994" i="3"/>
  <c r="Z2994" i="3"/>
  <c r="AA2994" i="3"/>
  <c r="T2995" i="3"/>
  <c r="U2995" i="3"/>
  <c r="V2995" i="3"/>
  <c r="W2995" i="3"/>
  <c r="X2995" i="3"/>
  <c r="Y2995" i="3"/>
  <c r="Z2995" i="3"/>
  <c r="AA2995" i="3"/>
  <c r="T2996" i="3"/>
  <c r="U2996" i="3"/>
  <c r="V2996" i="3"/>
  <c r="W2996" i="3"/>
  <c r="X2996" i="3"/>
  <c r="Y2996" i="3"/>
  <c r="Z2996" i="3"/>
  <c r="AA2996" i="3"/>
  <c r="U2964" i="3"/>
  <c r="V2964" i="3"/>
  <c r="W2964" i="3"/>
  <c r="X2964" i="3"/>
  <c r="Y2964" i="3"/>
  <c r="Z2964" i="3"/>
  <c r="AA2964" i="3"/>
  <c r="T2964" i="3"/>
  <c r="T2931" i="3"/>
  <c r="U2931" i="3"/>
  <c r="V2931" i="3"/>
  <c r="W2931" i="3"/>
  <c r="X2931" i="3"/>
  <c r="Y2931" i="3"/>
  <c r="Z2931" i="3"/>
  <c r="AA2931" i="3"/>
  <c r="T2932" i="3"/>
  <c r="U2932" i="3"/>
  <c r="V2932" i="3"/>
  <c r="W2932" i="3"/>
  <c r="X2932" i="3"/>
  <c r="Y2932" i="3"/>
  <c r="Z2932" i="3"/>
  <c r="AA2932" i="3"/>
  <c r="T2933" i="3"/>
  <c r="U2933" i="3"/>
  <c r="V2933" i="3"/>
  <c r="W2933" i="3"/>
  <c r="X2933" i="3"/>
  <c r="Y2933" i="3"/>
  <c r="Z2933" i="3"/>
  <c r="AA2933" i="3"/>
  <c r="T2934" i="3"/>
  <c r="U2934" i="3"/>
  <c r="V2934" i="3"/>
  <c r="W2934" i="3"/>
  <c r="X2934" i="3"/>
  <c r="Y2934" i="3"/>
  <c r="Z2934" i="3"/>
  <c r="AA2934" i="3"/>
  <c r="T2935" i="3"/>
  <c r="U2935" i="3"/>
  <c r="V2935" i="3"/>
  <c r="W2935" i="3"/>
  <c r="X2935" i="3"/>
  <c r="Y2935" i="3"/>
  <c r="Z2935" i="3"/>
  <c r="AA2935" i="3"/>
  <c r="T2936" i="3"/>
  <c r="U2936" i="3"/>
  <c r="V2936" i="3"/>
  <c r="W2936" i="3"/>
  <c r="X2936" i="3"/>
  <c r="Y2936" i="3"/>
  <c r="Z2936" i="3"/>
  <c r="AA2936" i="3"/>
  <c r="T2937" i="3"/>
  <c r="U2937" i="3"/>
  <c r="V2937" i="3"/>
  <c r="W2937" i="3"/>
  <c r="X2937" i="3"/>
  <c r="Y2937" i="3"/>
  <c r="Z2937" i="3"/>
  <c r="AA2937" i="3"/>
  <c r="T2938" i="3"/>
  <c r="U2938" i="3"/>
  <c r="V2938" i="3"/>
  <c r="AB2938" i="3" s="1"/>
  <c r="W2938" i="3"/>
  <c r="X2938" i="3"/>
  <c r="Y2938" i="3"/>
  <c r="Z2938" i="3"/>
  <c r="AA2938" i="3"/>
  <c r="T2939" i="3"/>
  <c r="U2939" i="3"/>
  <c r="V2939" i="3"/>
  <c r="W2939" i="3"/>
  <c r="X2939" i="3"/>
  <c r="Y2939" i="3"/>
  <c r="Z2939" i="3"/>
  <c r="AA2939" i="3"/>
  <c r="T2940" i="3"/>
  <c r="U2940" i="3"/>
  <c r="V2940" i="3"/>
  <c r="AB2940" i="3" s="1"/>
  <c r="W2940" i="3"/>
  <c r="X2940" i="3"/>
  <c r="Y2940" i="3"/>
  <c r="Z2940" i="3"/>
  <c r="AA2940" i="3"/>
  <c r="T2941" i="3"/>
  <c r="U2941" i="3"/>
  <c r="V2941" i="3"/>
  <c r="W2941" i="3"/>
  <c r="X2941" i="3"/>
  <c r="Y2941" i="3"/>
  <c r="Z2941" i="3"/>
  <c r="AA2941" i="3"/>
  <c r="T2942" i="3"/>
  <c r="U2942" i="3"/>
  <c r="V2942" i="3"/>
  <c r="W2942" i="3"/>
  <c r="X2942" i="3"/>
  <c r="Y2942" i="3"/>
  <c r="Z2942" i="3"/>
  <c r="AA2942" i="3"/>
  <c r="T2943" i="3"/>
  <c r="U2943" i="3"/>
  <c r="V2943" i="3"/>
  <c r="W2943" i="3"/>
  <c r="X2943" i="3"/>
  <c r="Y2943" i="3"/>
  <c r="Z2943" i="3"/>
  <c r="AA2943" i="3"/>
  <c r="T2944" i="3"/>
  <c r="U2944" i="3"/>
  <c r="V2944" i="3"/>
  <c r="W2944" i="3"/>
  <c r="X2944" i="3"/>
  <c r="Y2944" i="3"/>
  <c r="Z2944" i="3"/>
  <c r="AA2944" i="3"/>
  <c r="T2945" i="3"/>
  <c r="U2945" i="3"/>
  <c r="V2945" i="3"/>
  <c r="W2945" i="3"/>
  <c r="X2945" i="3"/>
  <c r="Y2945" i="3"/>
  <c r="Z2945" i="3"/>
  <c r="AA2945" i="3"/>
  <c r="T2946" i="3"/>
  <c r="U2946" i="3"/>
  <c r="V2946" i="3"/>
  <c r="W2946" i="3"/>
  <c r="X2946" i="3"/>
  <c r="Y2946" i="3"/>
  <c r="Z2946" i="3"/>
  <c r="AA2946" i="3"/>
  <c r="T2947" i="3"/>
  <c r="U2947" i="3"/>
  <c r="V2947" i="3"/>
  <c r="W2947" i="3"/>
  <c r="X2947" i="3"/>
  <c r="Y2947" i="3"/>
  <c r="Z2947" i="3"/>
  <c r="AA2947" i="3"/>
  <c r="T2948" i="3"/>
  <c r="U2948" i="3"/>
  <c r="V2948" i="3"/>
  <c r="W2948" i="3"/>
  <c r="X2948" i="3"/>
  <c r="Y2948" i="3"/>
  <c r="Z2948" i="3"/>
  <c r="AA2948" i="3"/>
  <c r="T2949" i="3"/>
  <c r="U2949" i="3"/>
  <c r="V2949" i="3"/>
  <c r="W2949" i="3"/>
  <c r="X2949" i="3"/>
  <c r="Y2949" i="3"/>
  <c r="Z2949" i="3"/>
  <c r="AA2949" i="3"/>
  <c r="T2950" i="3"/>
  <c r="U2950" i="3"/>
  <c r="V2950" i="3"/>
  <c r="W2950" i="3"/>
  <c r="X2950" i="3"/>
  <c r="Y2950" i="3"/>
  <c r="Z2950" i="3"/>
  <c r="AA2950" i="3"/>
  <c r="T2951" i="3"/>
  <c r="U2951" i="3"/>
  <c r="V2951" i="3"/>
  <c r="W2951" i="3"/>
  <c r="X2951" i="3"/>
  <c r="Y2951" i="3"/>
  <c r="Z2951" i="3"/>
  <c r="AA2951" i="3"/>
  <c r="T2952" i="3"/>
  <c r="U2952" i="3"/>
  <c r="V2952" i="3"/>
  <c r="W2952" i="3"/>
  <c r="X2952" i="3"/>
  <c r="Y2952" i="3"/>
  <c r="Z2952" i="3"/>
  <c r="AA2952" i="3"/>
  <c r="T2953" i="3"/>
  <c r="U2953" i="3"/>
  <c r="V2953" i="3"/>
  <c r="W2953" i="3"/>
  <c r="X2953" i="3"/>
  <c r="Y2953" i="3"/>
  <c r="Z2953" i="3"/>
  <c r="AA2953" i="3"/>
  <c r="T2954" i="3"/>
  <c r="U2954" i="3"/>
  <c r="V2954" i="3"/>
  <c r="AB2954" i="3" s="1"/>
  <c r="W2954" i="3"/>
  <c r="X2954" i="3"/>
  <c r="Y2954" i="3"/>
  <c r="Z2954" i="3"/>
  <c r="AA2954" i="3"/>
  <c r="T2955" i="3"/>
  <c r="U2955" i="3"/>
  <c r="V2955" i="3"/>
  <c r="W2955" i="3"/>
  <c r="X2955" i="3"/>
  <c r="Y2955" i="3"/>
  <c r="Z2955" i="3"/>
  <c r="AA2955" i="3"/>
  <c r="T2956" i="3"/>
  <c r="U2956" i="3"/>
  <c r="V2956" i="3"/>
  <c r="AB2956" i="3" s="1"/>
  <c r="W2956" i="3"/>
  <c r="X2956" i="3"/>
  <c r="Y2956" i="3"/>
  <c r="Z2956" i="3"/>
  <c r="AA2956" i="3"/>
  <c r="T2957" i="3"/>
  <c r="U2957" i="3"/>
  <c r="V2957" i="3"/>
  <c r="W2957" i="3"/>
  <c r="X2957" i="3"/>
  <c r="Y2957" i="3"/>
  <c r="Z2957" i="3"/>
  <c r="AA2957" i="3"/>
  <c r="T2958" i="3"/>
  <c r="U2958" i="3"/>
  <c r="V2958" i="3"/>
  <c r="W2958" i="3"/>
  <c r="X2958" i="3"/>
  <c r="Y2958" i="3"/>
  <c r="Z2958" i="3"/>
  <c r="AA2958" i="3"/>
  <c r="T2959" i="3"/>
  <c r="U2959" i="3"/>
  <c r="V2959" i="3"/>
  <c r="W2959" i="3"/>
  <c r="X2959" i="3"/>
  <c r="Y2959" i="3"/>
  <c r="Z2959" i="3"/>
  <c r="AA2959" i="3"/>
  <c r="T2960" i="3"/>
  <c r="U2960" i="3"/>
  <c r="V2960" i="3"/>
  <c r="W2960" i="3"/>
  <c r="X2960" i="3"/>
  <c r="Y2960" i="3"/>
  <c r="Z2960" i="3"/>
  <c r="AA2960" i="3"/>
  <c r="T2961" i="3"/>
  <c r="U2961" i="3"/>
  <c r="V2961" i="3"/>
  <c r="W2961" i="3"/>
  <c r="X2961" i="3"/>
  <c r="Y2961" i="3"/>
  <c r="Z2961" i="3"/>
  <c r="AA2961" i="3"/>
  <c r="T2962" i="3"/>
  <c r="U2962" i="3"/>
  <c r="V2962" i="3"/>
  <c r="W2962" i="3"/>
  <c r="X2962" i="3"/>
  <c r="Y2962" i="3"/>
  <c r="Z2962" i="3"/>
  <c r="AA2962" i="3"/>
  <c r="U2930" i="3"/>
  <c r="V2930" i="3"/>
  <c r="W2930" i="3"/>
  <c r="X2930" i="3"/>
  <c r="Y2930" i="3"/>
  <c r="Z2930" i="3"/>
  <c r="AA2930" i="3"/>
  <c r="T2930" i="3"/>
  <c r="T2897" i="3"/>
  <c r="U2897" i="3"/>
  <c r="V2897" i="3"/>
  <c r="W2897" i="3"/>
  <c r="X2897" i="3"/>
  <c r="Y2897" i="3"/>
  <c r="Z2897" i="3"/>
  <c r="AA2897" i="3"/>
  <c r="T2898" i="3"/>
  <c r="U2898" i="3"/>
  <c r="V2898" i="3"/>
  <c r="W2898" i="3"/>
  <c r="X2898" i="3"/>
  <c r="Y2898" i="3"/>
  <c r="Z2898" i="3"/>
  <c r="AA2898" i="3"/>
  <c r="T2899" i="3"/>
  <c r="U2899" i="3"/>
  <c r="V2899" i="3"/>
  <c r="W2899" i="3"/>
  <c r="X2899" i="3"/>
  <c r="Y2899" i="3"/>
  <c r="Z2899" i="3"/>
  <c r="AA2899" i="3"/>
  <c r="T2900" i="3"/>
  <c r="U2900" i="3"/>
  <c r="V2900" i="3"/>
  <c r="W2900" i="3"/>
  <c r="X2900" i="3"/>
  <c r="Y2900" i="3"/>
  <c r="Z2900" i="3"/>
  <c r="AA2900" i="3"/>
  <c r="T2901" i="3"/>
  <c r="U2901" i="3"/>
  <c r="V2901" i="3"/>
  <c r="W2901" i="3"/>
  <c r="X2901" i="3"/>
  <c r="Y2901" i="3"/>
  <c r="Z2901" i="3"/>
  <c r="AA2901" i="3"/>
  <c r="T2902" i="3"/>
  <c r="U2902" i="3"/>
  <c r="V2902" i="3"/>
  <c r="W2902" i="3"/>
  <c r="X2902" i="3"/>
  <c r="Y2902" i="3"/>
  <c r="Z2902" i="3"/>
  <c r="AA2902" i="3"/>
  <c r="T2903" i="3"/>
  <c r="U2903" i="3"/>
  <c r="V2903" i="3"/>
  <c r="W2903" i="3"/>
  <c r="X2903" i="3"/>
  <c r="Y2903" i="3"/>
  <c r="Z2903" i="3"/>
  <c r="AA2903" i="3"/>
  <c r="T2904" i="3"/>
  <c r="U2904" i="3"/>
  <c r="V2904" i="3"/>
  <c r="W2904" i="3"/>
  <c r="X2904" i="3"/>
  <c r="Y2904" i="3"/>
  <c r="Z2904" i="3"/>
  <c r="AA2904" i="3"/>
  <c r="T2905" i="3"/>
  <c r="U2905" i="3"/>
  <c r="V2905" i="3"/>
  <c r="W2905" i="3"/>
  <c r="X2905" i="3"/>
  <c r="Y2905" i="3"/>
  <c r="Z2905" i="3"/>
  <c r="AA2905" i="3"/>
  <c r="T2906" i="3"/>
  <c r="U2906" i="3"/>
  <c r="V2906" i="3"/>
  <c r="W2906" i="3"/>
  <c r="X2906" i="3"/>
  <c r="Y2906" i="3"/>
  <c r="Z2906" i="3"/>
  <c r="AA2906" i="3"/>
  <c r="T2907" i="3"/>
  <c r="U2907" i="3"/>
  <c r="V2907" i="3"/>
  <c r="W2907" i="3"/>
  <c r="X2907" i="3"/>
  <c r="Y2907" i="3"/>
  <c r="Z2907" i="3"/>
  <c r="AA2907" i="3"/>
  <c r="T2908" i="3"/>
  <c r="U2908" i="3"/>
  <c r="V2908" i="3"/>
  <c r="W2908" i="3"/>
  <c r="X2908" i="3"/>
  <c r="Y2908" i="3"/>
  <c r="Z2908" i="3"/>
  <c r="AA2908" i="3"/>
  <c r="T2909" i="3"/>
  <c r="U2909" i="3"/>
  <c r="V2909" i="3"/>
  <c r="W2909" i="3"/>
  <c r="X2909" i="3"/>
  <c r="Y2909" i="3"/>
  <c r="Z2909" i="3"/>
  <c r="AA2909" i="3"/>
  <c r="T2910" i="3"/>
  <c r="U2910" i="3"/>
  <c r="V2910" i="3"/>
  <c r="W2910" i="3"/>
  <c r="X2910" i="3"/>
  <c r="Y2910" i="3"/>
  <c r="Z2910" i="3"/>
  <c r="AA2910" i="3"/>
  <c r="T2911" i="3"/>
  <c r="U2911" i="3"/>
  <c r="V2911" i="3"/>
  <c r="W2911" i="3"/>
  <c r="X2911" i="3"/>
  <c r="Y2911" i="3"/>
  <c r="Z2911" i="3"/>
  <c r="AA2911" i="3"/>
  <c r="T2912" i="3"/>
  <c r="U2912" i="3"/>
  <c r="V2912" i="3"/>
  <c r="W2912" i="3"/>
  <c r="X2912" i="3"/>
  <c r="Y2912" i="3"/>
  <c r="Z2912" i="3"/>
  <c r="AA2912" i="3"/>
  <c r="T2913" i="3"/>
  <c r="U2913" i="3"/>
  <c r="V2913" i="3"/>
  <c r="W2913" i="3"/>
  <c r="X2913" i="3"/>
  <c r="Y2913" i="3"/>
  <c r="Z2913" i="3"/>
  <c r="AA2913" i="3"/>
  <c r="T2914" i="3"/>
  <c r="U2914" i="3"/>
  <c r="V2914" i="3"/>
  <c r="W2914" i="3"/>
  <c r="X2914" i="3"/>
  <c r="Y2914" i="3"/>
  <c r="Z2914" i="3"/>
  <c r="AA2914" i="3"/>
  <c r="T2915" i="3"/>
  <c r="U2915" i="3"/>
  <c r="V2915" i="3"/>
  <c r="W2915" i="3"/>
  <c r="X2915" i="3"/>
  <c r="Y2915" i="3"/>
  <c r="Z2915" i="3"/>
  <c r="AA2915" i="3"/>
  <c r="T2916" i="3"/>
  <c r="U2916" i="3"/>
  <c r="V2916" i="3"/>
  <c r="W2916" i="3"/>
  <c r="X2916" i="3"/>
  <c r="Y2916" i="3"/>
  <c r="Z2916" i="3"/>
  <c r="AA2916" i="3"/>
  <c r="T2917" i="3"/>
  <c r="U2917" i="3"/>
  <c r="V2917" i="3"/>
  <c r="W2917" i="3"/>
  <c r="X2917" i="3"/>
  <c r="Y2917" i="3"/>
  <c r="Z2917" i="3"/>
  <c r="AA2917" i="3"/>
  <c r="T2918" i="3"/>
  <c r="U2918" i="3"/>
  <c r="V2918" i="3"/>
  <c r="W2918" i="3"/>
  <c r="X2918" i="3"/>
  <c r="Y2918" i="3"/>
  <c r="Z2918" i="3"/>
  <c r="AA2918" i="3"/>
  <c r="T2919" i="3"/>
  <c r="U2919" i="3"/>
  <c r="V2919" i="3"/>
  <c r="W2919" i="3"/>
  <c r="X2919" i="3"/>
  <c r="Y2919" i="3"/>
  <c r="Z2919" i="3"/>
  <c r="AA2919" i="3"/>
  <c r="T2920" i="3"/>
  <c r="U2920" i="3"/>
  <c r="V2920" i="3"/>
  <c r="W2920" i="3"/>
  <c r="X2920" i="3"/>
  <c r="Y2920" i="3"/>
  <c r="Z2920" i="3"/>
  <c r="AA2920" i="3"/>
  <c r="T2921" i="3"/>
  <c r="U2921" i="3"/>
  <c r="V2921" i="3"/>
  <c r="W2921" i="3"/>
  <c r="X2921" i="3"/>
  <c r="Y2921" i="3"/>
  <c r="Z2921" i="3"/>
  <c r="AA2921" i="3"/>
  <c r="T2922" i="3"/>
  <c r="U2922" i="3"/>
  <c r="V2922" i="3"/>
  <c r="W2922" i="3"/>
  <c r="X2922" i="3"/>
  <c r="Y2922" i="3"/>
  <c r="Z2922" i="3"/>
  <c r="AA2922" i="3"/>
  <c r="T2923" i="3"/>
  <c r="U2923" i="3"/>
  <c r="V2923" i="3"/>
  <c r="W2923" i="3"/>
  <c r="X2923" i="3"/>
  <c r="Y2923" i="3"/>
  <c r="Z2923" i="3"/>
  <c r="AA2923" i="3"/>
  <c r="T2924" i="3"/>
  <c r="U2924" i="3"/>
  <c r="V2924" i="3"/>
  <c r="W2924" i="3"/>
  <c r="X2924" i="3"/>
  <c r="Y2924" i="3"/>
  <c r="Z2924" i="3"/>
  <c r="AA2924" i="3"/>
  <c r="T2925" i="3"/>
  <c r="U2925" i="3"/>
  <c r="V2925" i="3"/>
  <c r="W2925" i="3"/>
  <c r="X2925" i="3"/>
  <c r="Y2925" i="3"/>
  <c r="Z2925" i="3"/>
  <c r="AA2925" i="3"/>
  <c r="T2926" i="3"/>
  <c r="U2926" i="3"/>
  <c r="V2926" i="3"/>
  <c r="W2926" i="3"/>
  <c r="X2926" i="3"/>
  <c r="Y2926" i="3"/>
  <c r="Z2926" i="3"/>
  <c r="AA2926" i="3"/>
  <c r="T2927" i="3"/>
  <c r="U2927" i="3"/>
  <c r="V2927" i="3"/>
  <c r="W2927" i="3"/>
  <c r="X2927" i="3"/>
  <c r="Y2927" i="3"/>
  <c r="Z2927" i="3"/>
  <c r="AA2927" i="3"/>
  <c r="T2928" i="3"/>
  <c r="U2928" i="3"/>
  <c r="V2928" i="3"/>
  <c r="W2928" i="3"/>
  <c r="X2928" i="3"/>
  <c r="Y2928" i="3"/>
  <c r="Z2928" i="3"/>
  <c r="AA2928" i="3"/>
  <c r="U2896" i="3"/>
  <c r="V2896" i="3"/>
  <c r="W2896" i="3"/>
  <c r="X2896" i="3"/>
  <c r="Y2896" i="3"/>
  <c r="Z2896" i="3"/>
  <c r="AA2896" i="3"/>
  <c r="T2896" i="3"/>
  <c r="T2863" i="3"/>
  <c r="U2863" i="3"/>
  <c r="V2863" i="3"/>
  <c r="W2863" i="3"/>
  <c r="X2863" i="3"/>
  <c r="Y2863" i="3"/>
  <c r="Z2863" i="3"/>
  <c r="AA2863" i="3"/>
  <c r="T2864" i="3"/>
  <c r="U2864" i="3"/>
  <c r="V2864" i="3"/>
  <c r="W2864" i="3"/>
  <c r="X2864" i="3"/>
  <c r="Y2864" i="3"/>
  <c r="Z2864" i="3"/>
  <c r="AA2864" i="3"/>
  <c r="T2865" i="3"/>
  <c r="U2865" i="3"/>
  <c r="V2865" i="3"/>
  <c r="W2865" i="3"/>
  <c r="X2865" i="3"/>
  <c r="Y2865" i="3"/>
  <c r="Z2865" i="3"/>
  <c r="AA2865" i="3"/>
  <c r="T2866" i="3"/>
  <c r="U2866" i="3"/>
  <c r="V2866" i="3"/>
  <c r="W2866" i="3"/>
  <c r="X2866" i="3"/>
  <c r="Y2866" i="3"/>
  <c r="Z2866" i="3"/>
  <c r="AA2866" i="3"/>
  <c r="T2867" i="3"/>
  <c r="U2867" i="3"/>
  <c r="V2867" i="3"/>
  <c r="W2867" i="3"/>
  <c r="X2867" i="3"/>
  <c r="Y2867" i="3"/>
  <c r="Z2867" i="3"/>
  <c r="AA2867" i="3"/>
  <c r="T2868" i="3"/>
  <c r="U2868" i="3"/>
  <c r="V2868" i="3"/>
  <c r="W2868" i="3"/>
  <c r="X2868" i="3"/>
  <c r="Y2868" i="3"/>
  <c r="Z2868" i="3"/>
  <c r="AA2868" i="3"/>
  <c r="T2869" i="3"/>
  <c r="U2869" i="3"/>
  <c r="V2869" i="3"/>
  <c r="W2869" i="3"/>
  <c r="X2869" i="3"/>
  <c r="Y2869" i="3"/>
  <c r="Z2869" i="3"/>
  <c r="AA2869" i="3"/>
  <c r="T2870" i="3"/>
  <c r="U2870" i="3"/>
  <c r="V2870" i="3"/>
  <c r="W2870" i="3"/>
  <c r="X2870" i="3"/>
  <c r="Y2870" i="3"/>
  <c r="Z2870" i="3"/>
  <c r="AA2870" i="3"/>
  <c r="T2871" i="3"/>
  <c r="U2871" i="3"/>
  <c r="V2871" i="3"/>
  <c r="W2871" i="3"/>
  <c r="X2871" i="3"/>
  <c r="Y2871" i="3"/>
  <c r="Z2871" i="3"/>
  <c r="AA2871" i="3"/>
  <c r="T2872" i="3"/>
  <c r="U2872" i="3"/>
  <c r="V2872" i="3"/>
  <c r="W2872" i="3"/>
  <c r="X2872" i="3"/>
  <c r="Y2872" i="3"/>
  <c r="Z2872" i="3"/>
  <c r="AA2872" i="3"/>
  <c r="T2873" i="3"/>
  <c r="U2873" i="3"/>
  <c r="V2873" i="3"/>
  <c r="W2873" i="3"/>
  <c r="X2873" i="3"/>
  <c r="Y2873" i="3"/>
  <c r="Z2873" i="3"/>
  <c r="AA2873" i="3"/>
  <c r="T2874" i="3"/>
  <c r="U2874" i="3"/>
  <c r="V2874" i="3"/>
  <c r="W2874" i="3"/>
  <c r="X2874" i="3"/>
  <c r="Y2874" i="3"/>
  <c r="Z2874" i="3"/>
  <c r="AA2874" i="3"/>
  <c r="T2875" i="3"/>
  <c r="U2875" i="3"/>
  <c r="V2875" i="3"/>
  <c r="W2875" i="3"/>
  <c r="X2875" i="3"/>
  <c r="Y2875" i="3"/>
  <c r="Z2875" i="3"/>
  <c r="AA2875" i="3"/>
  <c r="T2876" i="3"/>
  <c r="U2876" i="3"/>
  <c r="V2876" i="3"/>
  <c r="W2876" i="3"/>
  <c r="X2876" i="3"/>
  <c r="Y2876" i="3"/>
  <c r="Z2876" i="3"/>
  <c r="AA2876" i="3"/>
  <c r="T2877" i="3"/>
  <c r="U2877" i="3"/>
  <c r="V2877" i="3"/>
  <c r="W2877" i="3"/>
  <c r="X2877" i="3"/>
  <c r="Y2877" i="3"/>
  <c r="Z2877" i="3"/>
  <c r="AA2877" i="3"/>
  <c r="T2878" i="3"/>
  <c r="U2878" i="3"/>
  <c r="V2878" i="3"/>
  <c r="W2878" i="3"/>
  <c r="X2878" i="3"/>
  <c r="Y2878" i="3"/>
  <c r="Z2878" i="3"/>
  <c r="AA2878" i="3"/>
  <c r="T2879" i="3"/>
  <c r="U2879" i="3"/>
  <c r="V2879" i="3"/>
  <c r="W2879" i="3"/>
  <c r="X2879" i="3"/>
  <c r="Y2879" i="3"/>
  <c r="Z2879" i="3"/>
  <c r="AA2879" i="3"/>
  <c r="T2880" i="3"/>
  <c r="U2880" i="3"/>
  <c r="V2880" i="3"/>
  <c r="W2880" i="3"/>
  <c r="X2880" i="3"/>
  <c r="Y2880" i="3"/>
  <c r="Z2880" i="3"/>
  <c r="AA2880" i="3"/>
  <c r="T2881" i="3"/>
  <c r="U2881" i="3"/>
  <c r="V2881" i="3"/>
  <c r="W2881" i="3"/>
  <c r="X2881" i="3"/>
  <c r="Y2881" i="3"/>
  <c r="Z2881" i="3"/>
  <c r="AA2881" i="3"/>
  <c r="T2882" i="3"/>
  <c r="U2882" i="3"/>
  <c r="V2882" i="3"/>
  <c r="W2882" i="3"/>
  <c r="X2882" i="3"/>
  <c r="Y2882" i="3"/>
  <c r="Z2882" i="3"/>
  <c r="AA2882" i="3"/>
  <c r="T2883" i="3"/>
  <c r="U2883" i="3"/>
  <c r="V2883" i="3"/>
  <c r="W2883" i="3"/>
  <c r="X2883" i="3"/>
  <c r="Y2883" i="3"/>
  <c r="Z2883" i="3"/>
  <c r="AA2883" i="3"/>
  <c r="T2884" i="3"/>
  <c r="U2884" i="3"/>
  <c r="V2884" i="3"/>
  <c r="W2884" i="3"/>
  <c r="X2884" i="3"/>
  <c r="Y2884" i="3"/>
  <c r="Z2884" i="3"/>
  <c r="AA2884" i="3"/>
  <c r="T2885" i="3"/>
  <c r="U2885" i="3"/>
  <c r="V2885" i="3"/>
  <c r="W2885" i="3"/>
  <c r="X2885" i="3"/>
  <c r="Y2885" i="3"/>
  <c r="Z2885" i="3"/>
  <c r="AA2885" i="3"/>
  <c r="T2886" i="3"/>
  <c r="U2886" i="3"/>
  <c r="V2886" i="3"/>
  <c r="W2886" i="3"/>
  <c r="X2886" i="3"/>
  <c r="Y2886" i="3"/>
  <c r="Z2886" i="3"/>
  <c r="AA2886" i="3"/>
  <c r="T2887" i="3"/>
  <c r="U2887" i="3"/>
  <c r="V2887" i="3"/>
  <c r="W2887" i="3"/>
  <c r="X2887" i="3"/>
  <c r="Y2887" i="3"/>
  <c r="Z2887" i="3"/>
  <c r="AA2887" i="3"/>
  <c r="T2888" i="3"/>
  <c r="U2888" i="3"/>
  <c r="V2888" i="3"/>
  <c r="W2888" i="3"/>
  <c r="X2888" i="3"/>
  <c r="Y2888" i="3"/>
  <c r="Z2888" i="3"/>
  <c r="AA2888" i="3"/>
  <c r="T2889" i="3"/>
  <c r="U2889" i="3"/>
  <c r="V2889" i="3"/>
  <c r="W2889" i="3"/>
  <c r="X2889" i="3"/>
  <c r="Y2889" i="3"/>
  <c r="Z2889" i="3"/>
  <c r="AA2889" i="3"/>
  <c r="T2890" i="3"/>
  <c r="U2890" i="3"/>
  <c r="V2890" i="3"/>
  <c r="W2890" i="3"/>
  <c r="X2890" i="3"/>
  <c r="Y2890" i="3"/>
  <c r="Z2890" i="3"/>
  <c r="AA2890" i="3"/>
  <c r="T2891" i="3"/>
  <c r="U2891" i="3"/>
  <c r="V2891" i="3"/>
  <c r="W2891" i="3"/>
  <c r="X2891" i="3"/>
  <c r="Y2891" i="3"/>
  <c r="Z2891" i="3"/>
  <c r="AA2891" i="3"/>
  <c r="T2892" i="3"/>
  <c r="U2892" i="3"/>
  <c r="V2892" i="3"/>
  <c r="W2892" i="3"/>
  <c r="X2892" i="3"/>
  <c r="Y2892" i="3"/>
  <c r="Z2892" i="3"/>
  <c r="AA2892" i="3"/>
  <c r="T2893" i="3"/>
  <c r="U2893" i="3"/>
  <c r="V2893" i="3"/>
  <c r="W2893" i="3"/>
  <c r="X2893" i="3"/>
  <c r="Y2893" i="3"/>
  <c r="Z2893" i="3"/>
  <c r="AA2893" i="3"/>
  <c r="T2894" i="3"/>
  <c r="U2894" i="3"/>
  <c r="V2894" i="3"/>
  <c r="W2894" i="3"/>
  <c r="X2894" i="3"/>
  <c r="Y2894" i="3"/>
  <c r="Z2894" i="3"/>
  <c r="AA2894" i="3"/>
  <c r="U2862" i="3"/>
  <c r="V2862" i="3"/>
  <c r="W2862" i="3"/>
  <c r="X2862" i="3"/>
  <c r="Y2862" i="3"/>
  <c r="Z2862" i="3"/>
  <c r="AA2862" i="3"/>
  <c r="T2862" i="3"/>
  <c r="T2829" i="3"/>
  <c r="U2829" i="3"/>
  <c r="V2829" i="3"/>
  <c r="W2829" i="3"/>
  <c r="X2829" i="3"/>
  <c r="Y2829" i="3"/>
  <c r="Z2829" i="3"/>
  <c r="AA2829" i="3"/>
  <c r="T2830" i="3"/>
  <c r="U2830" i="3"/>
  <c r="V2830" i="3"/>
  <c r="W2830" i="3"/>
  <c r="X2830" i="3"/>
  <c r="Y2830" i="3"/>
  <c r="Z2830" i="3"/>
  <c r="AA2830" i="3"/>
  <c r="T2831" i="3"/>
  <c r="U2831" i="3"/>
  <c r="V2831" i="3"/>
  <c r="W2831" i="3"/>
  <c r="X2831" i="3"/>
  <c r="Y2831" i="3"/>
  <c r="Z2831" i="3"/>
  <c r="AA2831" i="3"/>
  <c r="T2832" i="3"/>
  <c r="U2832" i="3"/>
  <c r="V2832" i="3"/>
  <c r="W2832" i="3"/>
  <c r="X2832" i="3"/>
  <c r="Y2832" i="3"/>
  <c r="Z2832" i="3"/>
  <c r="AA2832" i="3"/>
  <c r="T2833" i="3"/>
  <c r="U2833" i="3"/>
  <c r="V2833" i="3"/>
  <c r="W2833" i="3"/>
  <c r="X2833" i="3"/>
  <c r="Y2833" i="3"/>
  <c r="Z2833" i="3"/>
  <c r="AA2833" i="3"/>
  <c r="T2834" i="3"/>
  <c r="U2834" i="3"/>
  <c r="V2834" i="3"/>
  <c r="W2834" i="3"/>
  <c r="X2834" i="3"/>
  <c r="Y2834" i="3"/>
  <c r="Z2834" i="3"/>
  <c r="AA2834" i="3"/>
  <c r="T2835" i="3"/>
  <c r="U2835" i="3"/>
  <c r="V2835" i="3"/>
  <c r="W2835" i="3"/>
  <c r="X2835" i="3"/>
  <c r="Y2835" i="3"/>
  <c r="Z2835" i="3"/>
  <c r="AA2835" i="3"/>
  <c r="T2836" i="3"/>
  <c r="U2836" i="3"/>
  <c r="V2836" i="3"/>
  <c r="W2836" i="3"/>
  <c r="X2836" i="3"/>
  <c r="Y2836" i="3"/>
  <c r="Z2836" i="3"/>
  <c r="AA2836" i="3"/>
  <c r="T2837" i="3"/>
  <c r="U2837" i="3"/>
  <c r="V2837" i="3"/>
  <c r="W2837" i="3"/>
  <c r="X2837" i="3"/>
  <c r="Y2837" i="3"/>
  <c r="Z2837" i="3"/>
  <c r="AA2837" i="3"/>
  <c r="T2838" i="3"/>
  <c r="U2838" i="3"/>
  <c r="V2838" i="3"/>
  <c r="W2838" i="3"/>
  <c r="X2838" i="3"/>
  <c r="Y2838" i="3"/>
  <c r="Z2838" i="3"/>
  <c r="AA2838" i="3"/>
  <c r="T2839" i="3"/>
  <c r="U2839" i="3"/>
  <c r="V2839" i="3"/>
  <c r="W2839" i="3"/>
  <c r="X2839" i="3"/>
  <c r="Y2839" i="3"/>
  <c r="Z2839" i="3"/>
  <c r="AA2839" i="3"/>
  <c r="T2840" i="3"/>
  <c r="U2840" i="3"/>
  <c r="V2840" i="3"/>
  <c r="W2840" i="3"/>
  <c r="X2840" i="3"/>
  <c r="Y2840" i="3"/>
  <c r="Z2840" i="3"/>
  <c r="AA2840" i="3"/>
  <c r="T2841" i="3"/>
  <c r="U2841" i="3"/>
  <c r="V2841" i="3"/>
  <c r="W2841" i="3"/>
  <c r="X2841" i="3"/>
  <c r="Y2841" i="3"/>
  <c r="Z2841" i="3"/>
  <c r="AA2841" i="3"/>
  <c r="T2842" i="3"/>
  <c r="U2842" i="3"/>
  <c r="V2842" i="3"/>
  <c r="W2842" i="3"/>
  <c r="X2842" i="3"/>
  <c r="Y2842" i="3"/>
  <c r="Z2842" i="3"/>
  <c r="AA2842" i="3"/>
  <c r="T2843" i="3"/>
  <c r="U2843" i="3"/>
  <c r="V2843" i="3"/>
  <c r="W2843" i="3"/>
  <c r="X2843" i="3"/>
  <c r="Y2843" i="3"/>
  <c r="Z2843" i="3"/>
  <c r="AA2843" i="3"/>
  <c r="T2844" i="3"/>
  <c r="U2844" i="3"/>
  <c r="V2844" i="3"/>
  <c r="W2844" i="3"/>
  <c r="X2844" i="3"/>
  <c r="Y2844" i="3"/>
  <c r="Z2844" i="3"/>
  <c r="AA2844" i="3"/>
  <c r="T2845" i="3"/>
  <c r="U2845" i="3"/>
  <c r="V2845" i="3"/>
  <c r="W2845" i="3"/>
  <c r="X2845" i="3"/>
  <c r="Y2845" i="3"/>
  <c r="Z2845" i="3"/>
  <c r="AA2845" i="3"/>
  <c r="T2846" i="3"/>
  <c r="U2846" i="3"/>
  <c r="V2846" i="3"/>
  <c r="W2846" i="3"/>
  <c r="X2846" i="3"/>
  <c r="Y2846" i="3"/>
  <c r="Z2846" i="3"/>
  <c r="AA2846" i="3"/>
  <c r="T2847" i="3"/>
  <c r="U2847" i="3"/>
  <c r="V2847" i="3"/>
  <c r="W2847" i="3"/>
  <c r="X2847" i="3"/>
  <c r="Y2847" i="3"/>
  <c r="Z2847" i="3"/>
  <c r="AA2847" i="3"/>
  <c r="T2848" i="3"/>
  <c r="U2848" i="3"/>
  <c r="V2848" i="3"/>
  <c r="W2848" i="3"/>
  <c r="X2848" i="3"/>
  <c r="Y2848" i="3"/>
  <c r="Z2848" i="3"/>
  <c r="AA2848" i="3"/>
  <c r="T2849" i="3"/>
  <c r="U2849" i="3"/>
  <c r="V2849" i="3"/>
  <c r="W2849" i="3"/>
  <c r="X2849" i="3"/>
  <c r="Y2849" i="3"/>
  <c r="Z2849" i="3"/>
  <c r="AA2849" i="3"/>
  <c r="T2850" i="3"/>
  <c r="U2850" i="3"/>
  <c r="V2850" i="3"/>
  <c r="W2850" i="3"/>
  <c r="X2850" i="3"/>
  <c r="Y2850" i="3"/>
  <c r="Z2850" i="3"/>
  <c r="AA2850" i="3"/>
  <c r="T2851" i="3"/>
  <c r="U2851" i="3"/>
  <c r="V2851" i="3"/>
  <c r="W2851" i="3"/>
  <c r="X2851" i="3"/>
  <c r="Y2851" i="3"/>
  <c r="Z2851" i="3"/>
  <c r="AA2851" i="3"/>
  <c r="T2852" i="3"/>
  <c r="U2852" i="3"/>
  <c r="V2852" i="3"/>
  <c r="W2852" i="3"/>
  <c r="X2852" i="3"/>
  <c r="Y2852" i="3"/>
  <c r="Z2852" i="3"/>
  <c r="AA2852" i="3"/>
  <c r="T2853" i="3"/>
  <c r="U2853" i="3"/>
  <c r="V2853" i="3"/>
  <c r="W2853" i="3"/>
  <c r="X2853" i="3"/>
  <c r="Y2853" i="3"/>
  <c r="Z2853" i="3"/>
  <c r="AA2853" i="3"/>
  <c r="T2854" i="3"/>
  <c r="U2854" i="3"/>
  <c r="V2854" i="3"/>
  <c r="W2854" i="3"/>
  <c r="X2854" i="3"/>
  <c r="Y2854" i="3"/>
  <c r="Z2854" i="3"/>
  <c r="AA2854" i="3"/>
  <c r="T2855" i="3"/>
  <c r="U2855" i="3"/>
  <c r="V2855" i="3"/>
  <c r="W2855" i="3"/>
  <c r="X2855" i="3"/>
  <c r="Y2855" i="3"/>
  <c r="Z2855" i="3"/>
  <c r="AA2855" i="3"/>
  <c r="T2856" i="3"/>
  <c r="U2856" i="3"/>
  <c r="V2856" i="3"/>
  <c r="W2856" i="3"/>
  <c r="X2856" i="3"/>
  <c r="Y2856" i="3"/>
  <c r="Z2856" i="3"/>
  <c r="AA2856" i="3"/>
  <c r="T2857" i="3"/>
  <c r="U2857" i="3"/>
  <c r="V2857" i="3"/>
  <c r="W2857" i="3"/>
  <c r="X2857" i="3"/>
  <c r="Y2857" i="3"/>
  <c r="Z2857" i="3"/>
  <c r="AA2857" i="3"/>
  <c r="T2858" i="3"/>
  <c r="U2858" i="3"/>
  <c r="V2858" i="3"/>
  <c r="W2858" i="3"/>
  <c r="X2858" i="3"/>
  <c r="Y2858" i="3"/>
  <c r="Z2858" i="3"/>
  <c r="AA2858" i="3"/>
  <c r="T2859" i="3"/>
  <c r="U2859" i="3"/>
  <c r="V2859" i="3"/>
  <c r="W2859" i="3"/>
  <c r="X2859" i="3"/>
  <c r="Y2859" i="3"/>
  <c r="Z2859" i="3"/>
  <c r="AA2859" i="3"/>
  <c r="T2860" i="3"/>
  <c r="U2860" i="3"/>
  <c r="V2860" i="3"/>
  <c r="W2860" i="3"/>
  <c r="X2860" i="3"/>
  <c r="Y2860" i="3"/>
  <c r="Z2860" i="3"/>
  <c r="AA2860" i="3"/>
  <c r="U2828" i="3"/>
  <c r="V2828" i="3"/>
  <c r="W2828" i="3"/>
  <c r="X2828" i="3"/>
  <c r="Y2828" i="3"/>
  <c r="Z2828" i="3"/>
  <c r="AA2828" i="3"/>
  <c r="T2828" i="3"/>
  <c r="T2795" i="3"/>
  <c r="U2795" i="3"/>
  <c r="V2795" i="3"/>
  <c r="W2795" i="3"/>
  <c r="X2795" i="3"/>
  <c r="Y2795" i="3"/>
  <c r="Z2795" i="3"/>
  <c r="AA2795" i="3"/>
  <c r="T2796" i="3"/>
  <c r="U2796" i="3"/>
  <c r="V2796" i="3"/>
  <c r="W2796" i="3"/>
  <c r="X2796" i="3"/>
  <c r="Y2796" i="3"/>
  <c r="Z2796" i="3"/>
  <c r="AA2796" i="3"/>
  <c r="T2797" i="3"/>
  <c r="U2797" i="3"/>
  <c r="V2797" i="3"/>
  <c r="W2797" i="3"/>
  <c r="X2797" i="3"/>
  <c r="Y2797" i="3"/>
  <c r="Z2797" i="3"/>
  <c r="AA2797" i="3"/>
  <c r="T2798" i="3"/>
  <c r="U2798" i="3"/>
  <c r="V2798" i="3"/>
  <c r="W2798" i="3"/>
  <c r="X2798" i="3"/>
  <c r="Y2798" i="3"/>
  <c r="Z2798" i="3"/>
  <c r="AA2798" i="3"/>
  <c r="T2799" i="3"/>
  <c r="U2799" i="3"/>
  <c r="V2799" i="3"/>
  <c r="W2799" i="3"/>
  <c r="X2799" i="3"/>
  <c r="Y2799" i="3"/>
  <c r="Z2799" i="3"/>
  <c r="AA2799" i="3"/>
  <c r="T2800" i="3"/>
  <c r="U2800" i="3"/>
  <c r="V2800" i="3"/>
  <c r="W2800" i="3"/>
  <c r="X2800" i="3"/>
  <c r="Y2800" i="3"/>
  <c r="Z2800" i="3"/>
  <c r="AA2800" i="3"/>
  <c r="T2801" i="3"/>
  <c r="U2801" i="3"/>
  <c r="V2801" i="3"/>
  <c r="W2801" i="3"/>
  <c r="X2801" i="3"/>
  <c r="Y2801" i="3"/>
  <c r="Z2801" i="3"/>
  <c r="AA2801" i="3"/>
  <c r="T2802" i="3"/>
  <c r="U2802" i="3"/>
  <c r="V2802" i="3"/>
  <c r="W2802" i="3"/>
  <c r="X2802" i="3"/>
  <c r="Y2802" i="3"/>
  <c r="Z2802" i="3"/>
  <c r="AA2802" i="3"/>
  <c r="T2803" i="3"/>
  <c r="U2803" i="3"/>
  <c r="V2803" i="3"/>
  <c r="W2803" i="3"/>
  <c r="X2803" i="3"/>
  <c r="Y2803" i="3"/>
  <c r="Z2803" i="3"/>
  <c r="AA2803" i="3"/>
  <c r="T2804" i="3"/>
  <c r="U2804" i="3"/>
  <c r="V2804" i="3"/>
  <c r="W2804" i="3"/>
  <c r="X2804" i="3"/>
  <c r="Y2804" i="3"/>
  <c r="Z2804" i="3"/>
  <c r="AA2804" i="3"/>
  <c r="T2805" i="3"/>
  <c r="U2805" i="3"/>
  <c r="V2805" i="3"/>
  <c r="W2805" i="3"/>
  <c r="X2805" i="3"/>
  <c r="Y2805" i="3"/>
  <c r="Z2805" i="3"/>
  <c r="AA2805" i="3"/>
  <c r="T2806" i="3"/>
  <c r="U2806" i="3"/>
  <c r="V2806" i="3"/>
  <c r="W2806" i="3"/>
  <c r="X2806" i="3"/>
  <c r="Y2806" i="3"/>
  <c r="Z2806" i="3"/>
  <c r="AA2806" i="3"/>
  <c r="T2807" i="3"/>
  <c r="U2807" i="3"/>
  <c r="V2807" i="3"/>
  <c r="W2807" i="3"/>
  <c r="X2807" i="3"/>
  <c r="Y2807" i="3"/>
  <c r="Z2807" i="3"/>
  <c r="AA2807" i="3"/>
  <c r="T2808" i="3"/>
  <c r="U2808" i="3"/>
  <c r="V2808" i="3"/>
  <c r="W2808" i="3"/>
  <c r="X2808" i="3"/>
  <c r="Y2808" i="3"/>
  <c r="Z2808" i="3"/>
  <c r="AA2808" i="3"/>
  <c r="T2809" i="3"/>
  <c r="U2809" i="3"/>
  <c r="V2809" i="3"/>
  <c r="W2809" i="3"/>
  <c r="X2809" i="3"/>
  <c r="Y2809" i="3"/>
  <c r="Z2809" i="3"/>
  <c r="AA2809" i="3"/>
  <c r="T2810" i="3"/>
  <c r="U2810" i="3"/>
  <c r="V2810" i="3"/>
  <c r="W2810" i="3"/>
  <c r="X2810" i="3"/>
  <c r="Y2810" i="3"/>
  <c r="Z2810" i="3"/>
  <c r="AA2810" i="3"/>
  <c r="T2811" i="3"/>
  <c r="U2811" i="3"/>
  <c r="V2811" i="3"/>
  <c r="W2811" i="3"/>
  <c r="X2811" i="3"/>
  <c r="Y2811" i="3"/>
  <c r="Z2811" i="3"/>
  <c r="AA2811" i="3"/>
  <c r="T2812" i="3"/>
  <c r="U2812" i="3"/>
  <c r="V2812" i="3"/>
  <c r="W2812" i="3"/>
  <c r="X2812" i="3"/>
  <c r="Y2812" i="3"/>
  <c r="Z2812" i="3"/>
  <c r="AA2812" i="3"/>
  <c r="T2813" i="3"/>
  <c r="U2813" i="3"/>
  <c r="V2813" i="3"/>
  <c r="W2813" i="3"/>
  <c r="X2813" i="3"/>
  <c r="Y2813" i="3"/>
  <c r="Z2813" i="3"/>
  <c r="AA2813" i="3"/>
  <c r="T2814" i="3"/>
  <c r="U2814" i="3"/>
  <c r="V2814" i="3"/>
  <c r="W2814" i="3"/>
  <c r="X2814" i="3"/>
  <c r="Y2814" i="3"/>
  <c r="Z2814" i="3"/>
  <c r="AA2814" i="3"/>
  <c r="T2815" i="3"/>
  <c r="U2815" i="3"/>
  <c r="V2815" i="3"/>
  <c r="W2815" i="3"/>
  <c r="X2815" i="3"/>
  <c r="Y2815" i="3"/>
  <c r="Z2815" i="3"/>
  <c r="AA2815" i="3"/>
  <c r="T2816" i="3"/>
  <c r="U2816" i="3"/>
  <c r="V2816" i="3"/>
  <c r="W2816" i="3"/>
  <c r="X2816" i="3"/>
  <c r="Y2816" i="3"/>
  <c r="Z2816" i="3"/>
  <c r="AA2816" i="3"/>
  <c r="T2817" i="3"/>
  <c r="U2817" i="3"/>
  <c r="V2817" i="3"/>
  <c r="W2817" i="3"/>
  <c r="X2817" i="3"/>
  <c r="Y2817" i="3"/>
  <c r="Z2817" i="3"/>
  <c r="AA2817" i="3"/>
  <c r="T2818" i="3"/>
  <c r="U2818" i="3"/>
  <c r="V2818" i="3"/>
  <c r="W2818" i="3"/>
  <c r="X2818" i="3"/>
  <c r="Y2818" i="3"/>
  <c r="Z2818" i="3"/>
  <c r="AA2818" i="3"/>
  <c r="T2819" i="3"/>
  <c r="U2819" i="3"/>
  <c r="V2819" i="3"/>
  <c r="W2819" i="3"/>
  <c r="X2819" i="3"/>
  <c r="Y2819" i="3"/>
  <c r="Z2819" i="3"/>
  <c r="AA2819" i="3"/>
  <c r="T2820" i="3"/>
  <c r="U2820" i="3"/>
  <c r="V2820" i="3"/>
  <c r="W2820" i="3"/>
  <c r="X2820" i="3"/>
  <c r="Y2820" i="3"/>
  <c r="Z2820" i="3"/>
  <c r="AA2820" i="3"/>
  <c r="T2821" i="3"/>
  <c r="U2821" i="3"/>
  <c r="V2821" i="3"/>
  <c r="W2821" i="3"/>
  <c r="X2821" i="3"/>
  <c r="Y2821" i="3"/>
  <c r="Z2821" i="3"/>
  <c r="AA2821" i="3"/>
  <c r="T2822" i="3"/>
  <c r="U2822" i="3"/>
  <c r="V2822" i="3"/>
  <c r="W2822" i="3"/>
  <c r="X2822" i="3"/>
  <c r="Y2822" i="3"/>
  <c r="Z2822" i="3"/>
  <c r="AA2822" i="3"/>
  <c r="T2823" i="3"/>
  <c r="U2823" i="3"/>
  <c r="V2823" i="3"/>
  <c r="W2823" i="3"/>
  <c r="X2823" i="3"/>
  <c r="Y2823" i="3"/>
  <c r="Z2823" i="3"/>
  <c r="AA2823" i="3"/>
  <c r="T2824" i="3"/>
  <c r="U2824" i="3"/>
  <c r="V2824" i="3"/>
  <c r="W2824" i="3"/>
  <c r="X2824" i="3"/>
  <c r="Y2824" i="3"/>
  <c r="Z2824" i="3"/>
  <c r="AA2824" i="3"/>
  <c r="T2825" i="3"/>
  <c r="U2825" i="3"/>
  <c r="V2825" i="3"/>
  <c r="W2825" i="3"/>
  <c r="X2825" i="3"/>
  <c r="Y2825" i="3"/>
  <c r="Z2825" i="3"/>
  <c r="AA2825" i="3"/>
  <c r="T2826" i="3"/>
  <c r="U2826" i="3"/>
  <c r="V2826" i="3"/>
  <c r="W2826" i="3"/>
  <c r="X2826" i="3"/>
  <c r="Y2826" i="3"/>
  <c r="Z2826" i="3"/>
  <c r="AA2826" i="3"/>
  <c r="U2794" i="3"/>
  <c r="V2794" i="3"/>
  <c r="W2794" i="3"/>
  <c r="X2794" i="3"/>
  <c r="Y2794" i="3"/>
  <c r="Z2794" i="3"/>
  <c r="AA2794" i="3"/>
  <c r="T2794" i="3"/>
  <c r="T2761" i="3"/>
  <c r="U2761" i="3"/>
  <c r="V2761" i="3"/>
  <c r="W2761" i="3"/>
  <c r="X2761" i="3"/>
  <c r="Y2761" i="3"/>
  <c r="Z2761" i="3"/>
  <c r="AA2761" i="3"/>
  <c r="T2762" i="3"/>
  <c r="U2762" i="3"/>
  <c r="V2762" i="3"/>
  <c r="W2762" i="3"/>
  <c r="X2762" i="3"/>
  <c r="Y2762" i="3"/>
  <c r="Z2762" i="3"/>
  <c r="AA2762" i="3"/>
  <c r="T2763" i="3"/>
  <c r="U2763" i="3"/>
  <c r="V2763" i="3"/>
  <c r="W2763" i="3"/>
  <c r="X2763" i="3"/>
  <c r="Y2763" i="3"/>
  <c r="Z2763" i="3"/>
  <c r="AA2763" i="3"/>
  <c r="T2764" i="3"/>
  <c r="U2764" i="3"/>
  <c r="V2764" i="3"/>
  <c r="W2764" i="3"/>
  <c r="X2764" i="3"/>
  <c r="Y2764" i="3"/>
  <c r="Z2764" i="3"/>
  <c r="AA2764" i="3"/>
  <c r="T2765" i="3"/>
  <c r="U2765" i="3"/>
  <c r="V2765" i="3"/>
  <c r="W2765" i="3"/>
  <c r="X2765" i="3"/>
  <c r="Y2765" i="3"/>
  <c r="Z2765" i="3"/>
  <c r="AA2765" i="3"/>
  <c r="T2766" i="3"/>
  <c r="U2766" i="3"/>
  <c r="V2766" i="3"/>
  <c r="W2766" i="3"/>
  <c r="X2766" i="3"/>
  <c r="Y2766" i="3"/>
  <c r="Z2766" i="3"/>
  <c r="AA2766" i="3"/>
  <c r="T2767" i="3"/>
  <c r="U2767" i="3"/>
  <c r="V2767" i="3"/>
  <c r="W2767" i="3"/>
  <c r="X2767" i="3"/>
  <c r="Y2767" i="3"/>
  <c r="Z2767" i="3"/>
  <c r="AA2767" i="3"/>
  <c r="T2768" i="3"/>
  <c r="U2768" i="3"/>
  <c r="V2768" i="3"/>
  <c r="W2768" i="3"/>
  <c r="X2768" i="3"/>
  <c r="Y2768" i="3"/>
  <c r="Z2768" i="3"/>
  <c r="AA2768" i="3"/>
  <c r="T2769" i="3"/>
  <c r="U2769" i="3"/>
  <c r="V2769" i="3"/>
  <c r="W2769" i="3"/>
  <c r="X2769" i="3"/>
  <c r="Y2769" i="3"/>
  <c r="Z2769" i="3"/>
  <c r="AA2769" i="3"/>
  <c r="T2770" i="3"/>
  <c r="U2770" i="3"/>
  <c r="V2770" i="3"/>
  <c r="W2770" i="3"/>
  <c r="X2770" i="3"/>
  <c r="Y2770" i="3"/>
  <c r="Z2770" i="3"/>
  <c r="AA2770" i="3"/>
  <c r="T2771" i="3"/>
  <c r="U2771" i="3"/>
  <c r="V2771" i="3"/>
  <c r="W2771" i="3"/>
  <c r="X2771" i="3"/>
  <c r="Y2771" i="3"/>
  <c r="Z2771" i="3"/>
  <c r="AA2771" i="3"/>
  <c r="T2772" i="3"/>
  <c r="U2772" i="3"/>
  <c r="V2772" i="3"/>
  <c r="W2772" i="3"/>
  <c r="X2772" i="3"/>
  <c r="Y2772" i="3"/>
  <c r="Z2772" i="3"/>
  <c r="AA2772" i="3"/>
  <c r="T2773" i="3"/>
  <c r="U2773" i="3"/>
  <c r="V2773" i="3"/>
  <c r="W2773" i="3"/>
  <c r="X2773" i="3"/>
  <c r="Y2773" i="3"/>
  <c r="Z2773" i="3"/>
  <c r="AA2773" i="3"/>
  <c r="T2774" i="3"/>
  <c r="U2774" i="3"/>
  <c r="V2774" i="3"/>
  <c r="W2774" i="3"/>
  <c r="X2774" i="3"/>
  <c r="Y2774" i="3"/>
  <c r="Z2774" i="3"/>
  <c r="AA2774" i="3"/>
  <c r="T2775" i="3"/>
  <c r="U2775" i="3"/>
  <c r="V2775" i="3"/>
  <c r="W2775" i="3"/>
  <c r="X2775" i="3"/>
  <c r="Y2775" i="3"/>
  <c r="Z2775" i="3"/>
  <c r="AA2775" i="3"/>
  <c r="T2776" i="3"/>
  <c r="U2776" i="3"/>
  <c r="V2776" i="3"/>
  <c r="W2776" i="3"/>
  <c r="X2776" i="3"/>
  <c r="Y2776" i="3"/>
  <c r="Z2776" i="3"/>
  <c r="AA2776" i="3"/>
  <c r="T2777" i="3"/>
  <c r="U2777" i="3"/>
  <c r="V2777" i="3"/>
  <c r="W2777" i="3"/>
  <c r="X2777" i="3"/>
  <c r="Y2777" i="3"/>
  <c r="Z2777" i="3"/>
  <c r="AA2777" i="3"/>
  <c r="T2778" i="3"/>
  <c r="U2778" i="3"/>
  <c r="V2778" i="3"/>
  <c r="W2778" i="3"/>
  <c r="X2778" i="3"/>
  <c r="Y2778" i="3"/>
  <c r="Z2778" i="3"/>
  <c r="AA2778" i="3"/>
  <c r="T2779" i="3"/>
  <c r="U2779" i="3"/>
  <c r="V2779" i="3"/>
  <c r="W2779" i="3"/>
  <c r="X2779" i="3"/>
  <c r="Y2779" i="3"/>
  <c r="Z2779" i="3"/>
  <c r="AA2779" i="3"/>
  <c r="T2780" i="3"/>
  <c r="U2780" i="3"/>
  <c r="V2780" i="3"/>
  <c r="W2780" i="3"/>
  <c r="X2780" i="3"/>
  <c r="Y2780" i="3"/>
  <c r="Z2780" i="3"/>
  <c r="AA2780" i="3"/>
  <c r="T2781" i="3"/>
  <c r="U2781" i="3"/>
  <c r="V2781" i="3"/>
  <c r="W2781" i="3"/>
  <c r="X2781" i="3"/>
  <c r="Y2781" i="3"/>
  <c r="Z2781" i="3"/>
  <c r="AA2781" i="3"/>
  <c r="T2782" i="3"/>
  <c r="U2782" i="3"/>
  <c r="V2782" i="3"/>
  <c r="W2782" i="3"/>
  <c r="X2782" i="3"/>
  <c r="Y2782" i="3"/>
  <c r="Z2782" i="3"/>
  <c r="AA2782" i="3"/>
  <c r="T2783" i="3"/>
  <c r="U2783" i="3"/>
  <c r="V2783" i="3"/>
  <c r="W2783" i="3"/>
  <c r="X2783" i="3"/>
  <c r="Y2783" i="3"/>
  <c r="Z2783" i="3"/>
  <c r="AA2783" i="3"/>
  <c r="T2784" i="3"/>
  <c r="U2784" i="3"/>
  <c r="V2784" i="3"/>
  <c r="W2784" i="3"/>
  <c r="X2784" i="3"/>
  <c r="Y2784" i="3"/>
  <c r="Z2784" i="3"/>
  <c r="AA2784" i="3"/>
  <c r="T2785" i="3"/>
  <c r="U2785" i="3"/>
  <c r="V2785" i="3"/>
  <c r="W2785" i="3"/>
  <c r="X2785" i="3"/>
  <c r="Y2785" i="3"/>
  <c r="Z2785" i="3"/>
  <c r="AA2785" i="3"/>
  <c r="T2786" i="3"/>
  <c r="U2786" i="3"/>
  <c r="V2786" i="3"/>
  <c r="W2786" i="3"/>
  <c r="X2786" i="3"/>
  <c r="Y2786" i="3"/>
  <c r="Z2786" i="3"/>
  <c r="AA2786" i="3"/>
  <c r="T2787" i="3"/>
  <c r="U2787" i="3"/>
  <c r="V2787" i="3"/>
  <c r="W2787" i="3"/>
  <c r="X2787" i="3"/>
  <c r="Y2787" i="3"/>
  <c r="Z2787" i="3"/>
  <c r="AA2787" i="3"/>
  <c r="T2788" i="3"/>
  <c r="U2788" i="3"/>
  <c r="V2788" i="3"/>
  <c r="W2788" i="3"/>
  <c r="X2788" i="3"/>
  <c r="Y2788" i="3"/>
  <c r="Z2788" i="3"/>
  <c r="AA2788" i="3"/>
  <c r="T2789" i="3"/>
  <c r="U2789" i="3"/>
  <c r="V2789" i="3"/>
  <c r="W2789" i="3"/>
  <c r="X2789" i="3"/>
  <c r="Y2789" i="3"/>
  <c r="Z2789" i="3"/>
  <c r="AA2789" i="3"/>
  <c r="T2790" i="3"/>
  <c r="U2790" i="3"/>
  <c r="V2790" i="3"/>
  <c r="W2790" i="3"/>
  <c r="X2790" i="3"/>
  <c r="Y2790" i="3"/>
  <c r="Z2790" i="3"/>
  <c r="AA2790" i="3"/>
  <c r="T2791" i="3"/>
  <c r="U2791" i="3"/>
  <c r="V2791" i="3"/>
  <c r="W2791" i="3"/>
  <c r="X2791" i="3"/>
  <c r="Y2791" i="3"/>
  <c r="Z2791" i="3"/>
  <c r="AA2791" i="3"/>
  <c r="T2792" i="3"/>
  <c r="U2792" i="3"/>
  <c r="V2792" i="3"/>
  <c r="W2792" i="3"/>
  <c r="X2792" i="3"/>
  <c r="Y2792" i="3"/>
  <c r="Z2792" i="3"/>
  <c r="AA2792" i="3"/>
  <c r="U2760" i="3"/>
  <c r="V2760" i="3"/>
  <c r="W2760" i="3"/>
  <c r="X2760" i="3"/>
  <c r="Y2760" i="3"/>
  <c r="Z2760" i="3"/>
  <c r="AA2760" i="3"/>
  <c r="T2760" i="3"/>
  <c r="T2727" i="3"/>
  <c r="U2727" i="3"/>
  <c r="V2727" i="3"/>
  <c r="W2727" i="3"/>
  <c r="X2727" i="3"/>
  <c r="Y2727" i="3"/>
  <c r="Z2727" i="3"/>
  <c r="AA2727" i="3"/>
  <c r="T2728" i="3"/>
  <c r="U2728" i="3"/>
  <c r="V2728" i="3"/>
  <c r="W2728" i="3"/>
  <c r="X2728" i="3"/>
  <c r="Y2728" i="3"/>
  <c r="Z2728" i="3"/>
  <c r="AA2728" i="3"/>
  <c r="T2729" i="3"/>
  <c r="U2729" i="3"/>
  <c r="V2729" i="3"/>
  <c r="W2729" i="3"/>
  <c r="X2729" i="3"/>
  <c r="Y2729" i="3"/>
  <c r="Z2729" i="3"/>
  <c r="AA2729" i="3"/>
  <c r="T2730" i="3"/>
  <c r="U2730" i="3"/>
  <c r="V2730" i="3"/>
  <c r="W2730" i="3"/>
  <c r="X2730" i="3"/>
  <c r="Y2730" i="3"/>
  <c r="Z2730" i="3"/>
  <c r="AA2730" i="3"/>
  <c r="T2731" i="3"/>
  <c r="U2731" i="3"/>
  <c r="V2731" i="3"/>
  <c r="W2731" i="3"/>
  <c r="X2731" i="3"/>
  <c r="Y2731" i="3"/>
  <c r="Z2731" i="3"/>
  <c r="AA2731" i="3"/>
  <c r="T2732" i="3"/>
  <c r="U2732" i="3"/>
  <c r="V2732" i="3"/>
  <c r="W2732" i="3"/>
  <c r="X2732" i="3"/>
  <c r="Y2732" i="3"/>
  <c r="Z2732" i="3"/>
  <c r="AA2732" i="3"/>
  <c r="T2733" i="3"/>
  <c r="U2733" i="3"/>
  <c r="V2733" i="3"/>
  <c r="W2733" i="3"/>
  <c r="X2733" i="3"/>
  <c r="Y2733" i="3"/>
  <c r="Z2733" i="3"/>
  <c r="AA2733" i="3"/>
  <c r="T2734" i="3"/>
  <c r="U2734" i="3"/>
  <c r="V2734" i="3"/>
  <c r="W2734" i="3"/>
  <c r="X2734" i="3"/>
  <c r="Y2734" i="3"/>
  <c r="Z2734" i="3"/>
  <c r="AA2734" i="3"/>
  <c r="T2735" i="3"/>
  <c r="U2735" i="3"/>
  <c r="V2735" i="3"/>
  <c r="W2735" i="3"/>
  <c r="X2735" i="3"/>
  <c r="Y2735" i="3"/>
  <c r="Z2735" i="3"/>
  <c r="AA2735" i="3"/>
  <c r="T2736" i="3"/>
  <c r="U2736" i="3"/>
  <c r="V2736" i="3"/>
  <c r="W2736" i="3"/>
  <c r="X2736" i="3"/>
  <c r="Y2736" i="3"/>
  <c r="Z2736" i="3"/>
  <c r="AA2736" i="3"/>
  <c r="T2737" i="3"/>
  <c r="U2737" i="3"/>
  <c r="V2737" i="3"/>
  <c r="W2737" i="3"/>
  <c r="X2737" i="3"/>
  <c r="Y2737" i="3"/>
  <c r="Z2737" i="3"/>
  <c r="AA2737" i="3"/>
  <c r="T2738" i="3"/>
  <c r="U2738" i="3"/>
  <c r="V2738" i="3"/>
  <c r="W2738" i="3"/>
  <c r="X2738" i="3"/>
  <c r="Y2738" i="3"/>
  <c r="Z2738" i="3"/>
  <c r="AA2738" i="3"/>
  <c r="T2739" i="3"/>
  <c r="U2739" i="3"/>
  <c r="V2739" i="3"/>
  <c r="W2739" i="3"/>
  <c r="X2739" i="3"/>
  <c r="Y2739" i="3"/>
  <c r="Z2739" i="3"/>
  <c r="AA2739" i="3"/>
  <c r="T2740" i="3"/>
  <c r="U2740" i="3"/>
  <c r="V2740" i="3"/>
  <c r="W2740" i="3"/>
  <c r="X2740" i="3"/>
  <c r="Y2740" i="3"/>
  <c r="Z2740" i="3"/>
  <c r="AA2740" i="3"/>
  <c r="T2741" i="3"/>
  <c r="U2741" i="3"/>
  <c r="V2741" i="3"/>
  <c r="W2741" i="3"/>
  <c r="X2741" i="3"/>
  <c r="Y2741" i="3"/>
  <c r="Z2741" i="3"/>
  <c r="AA2741" i="3"/>
  <c r="T2742" i="3"/>
  <c r="U2742" i="3"/>
  <c r="V2742" i="3"/>
  <c r="W2742" i="3"/>
  <c r="X2742" i="3"/>
  <c r="Y2742" i="3"/>
  <c r="Z2742" i="3"/>
  <c r="AA2742" i="3"/>
  <c r="T2743" i="3"/>
  <c r="U2743" i="3"/>
  <c r="V2743" i="3"/>
  <c r="W2743" i="3"/>
  <c r="X2743" i="3"/>
  <c r="Y2743" i="3"/>
  <c r="Z2743" i="3"/>
  <c r="AA2743" i="3"/>
  <c r="T2744" i="3"/>
  <c r="U2744" i="3"/>
  <c r="V2744" i="3"/>
  <c r="W2744" i="3"/>
  <c r="X2744" i="3"/>
  <c r="Y2744" i="3"/>
  <c r="Z2744" i="3"/>
  <c r="AA2744" i="3"/>
  <c r="T2745" i="3"/>
  <c r="U2745" i="3"/>
  <c r="V2745" i="3"/>
  <c r="W2745" i="3"/>
  <c r="X2745" i="3"/>
  <c r="Y2745" i="3"/>
  <c r="Z2745" i="3"/>
  <c r="AA2745" i="3"/>
  <c r="T2746" i="3"/>
  <c r="U2746" i="3"/>
  <c r="V2746" i="3"/>
  <c r="W2746" i="3"/>
  <c r="X2746" i="3"/>
  <c r="Y2746" i="3"/>
  <c r="Z2746" i="3"/>
  <c r="AA2746" i="3"/>
  <c r="T2747" i="3"/>
  <c r="U2747" i="3"/>
  <c r="V2747" i="3"/>
  <c r="W2747" i="3"/>
  <c r="X2747" i="3"/>
  <c r="Y2747" i="3"/>
  <c r="Z2747" i="3"/>
  <c r="AA2747" i="3"/>
  <c r="T2748" i="3"/>
  <c r="U2748" i="3"/>
  <c r="V2748" i="3"/>
  <c r="W2748" i="3"/>
  <c r="X2748" i="3"/>
  <c r="Y2748" i="3"/>
  <c r="Z2748" i="3"/>
  <c r="AA2748" i="3"/>
  <c r="T2749" i="3"/>
  <c r="U2749" i="3"/>
  <c r="V2749" i="3"/>
  <c r="W2749" i="3"/>
  <c r="X2749" i="3"/>
  <c r="Y2749" i="3"/>
  <c r="Z2749" i="3"/>
  <c r="AA2749" i="3"/>
  <c r="T2750" i="3"/>
  <c r="U2750" i="3"/>
  <c r="V2750" i="3"/>
  <c r="W2750" i="3"/>
  <c r="X2750" i="3"/>
  <c r="Y2750" i="3"/>
  <c r="Z2750" i="3"/>
  <c r="AA2750" i="3"/>
  <c r="T2751" i="3"/>
  <c r="U2751" i="3"/>
  <c r="V2751" i="3"/>
  <c r="W2751" i="3"/>
  <c r="X2751" i="3"/>
  <c r="Y2751" i="3"/>
  <c r="Z2751" i="3"/>
  <c r="AA2751" i="3"/>
  <c r="T2752" i="3"/>
  <c r="U2752" i="3"/>
  <c r="V2752" i="3"/>
  <c r="W2752" i="3"/>
  <c r="X2752" i="3"/>
  <c r="Y2752" i="3"/>
  <c r="Z2752" i="3"/>
  <c r="AA2752" i="3"/>
  <c r="T2753" i="3"/>
  <c r="U2753" i="3"/>
  <c r="V2753" i="3"/>
  <c r="W2753" i="3"/>
  <c r="X2753" i="3"/>
  <c r="Y2753" i="3"/>
  <c r="Z2753" i="3"/>
  <c r="AA2753" i="3"/>
  <c r="T2754" i="3"/>
  <c r="U2754" i="3"/>
  <c r="V2754" i="3"/>
  <c r="W2754" i="3"/>
  <c r="X2754" i="3"/>
  <c r="Y2754" i="3"/>
  <c r="Z2754" i="3"/>
  <c r="AA2754" i="3"/>
  <c r="T2755" i="3"/>
  <c r="U2755" i="3"/>
  <c r="V2755" i="3"/>
  <c r="W2755" i="3"/>
  <c r="X2755" i="3"/>
  <c r="Y2755" i="3"/>
  <c r="Z2755" i="3"/>
  <c r="AA2755" i="3"/>
  <c r="T2756" i="3"/>
  <c r="U2756" i="3"/>
  <c r="V2756" i="3"/>
  <c r="W2756" i="3"/>
  <c r="X2756" i="3"/>
  <c r="Y2756" i="3"/>
  <c r="Z2756" i="3"/>
  <c r="AA2756" i="3"/>
  <c r="T2757" i="3"/>
  <c r="U2757" i="3"/>
  <c r="V2757" i="3"/>
  <c r="W2757" i="3"/>
  <c r="X2757" i="3"/>
  <c r="Y2757" i="3"/>
  <c r="Z2757" i="3"/>
  <c r="AA2757" i="3"/>
  <c r="T2758" i="3"/>
  <c r="U2758" i="3"/>
  <c r="V2758" i="3"/>
  <c r="W2758" i="3"/>
  <c r="X2758" i="3"/>
  <c r="Y2758" i="3"/>
  <c r="Z2758" i="3"/>
  <c r="AA2758" i="3"/>
  <c r="U2726" i="3"/>
  <c r="V2726" i="3"/>
  <c r="W2726" i="3"/>
  <c r="X2726" i="3"/>
  <c r="Y2726" i="3"/>
  <c r="Z2726" i="3"/>
  <c r="AA2726" i="3"/>
  <c r="T2726" i="3"/>
  <c r="T2693" i="3"/>
  <c r="U2693" i="3"/>
  <c r="V2693" i="3"/>
  <c r="W2693" i="3"/>
  <c r="X2693" i="3"/>
  <c r="Y2693" i="3"/>
  <c r="Z2693" i="3"/>
  <c r="AA2693" i="3"/>
  <c r="T2694" i="3"/>
  <c r="U2694" i="3"/>
  <c r="V2694" i="3"/>
  <c r="W2694" i="3"/>
  <c r="X2694" i="3"/>
  <c r="Y2694" i="3"/>
  <c r="Z2694" i="3"/>
  <c r="AA2694" i="3"/>
  <c r="T2695" i="3"/>
  <c r="U2695" i="3"/>
  <c r="V2695" i="3"/>
  <c r="W2695" i="3"/>
  <c r="X2695" i="3"/>
  <c r="Y2695" i="3"/>
  <c r="Z2695" i="3"/>
  <c r="AA2695" i="3"/>
  <c r="T2696" i="3"/>
  <c r="U2696" i="3"/>
  <c r="V2696" i="3"/>
  <c r="W2696" i="3"/>
  <c r="X2696" i="3"/>
  <c r="Y2696" i="3"/>
  <c r="Z2696" i="3"/>
  <c r="AA2696" i="3"/>
  <c r="T2697" i="3"/>
  <c r="U2697" i="3"/>
  <c r="V2697" i="3"/>
  <c r="W2697" i="3"/>
  <c r="X2697" i="3"/>
  <c r="Y2697" i="3"/>
  <c r="Z2697" i="3"/>
  <c r="AA2697" i="3"/>
  <c r="T2698" i="3"/>
  <c r="U2698" i="3"/>
  <c r="V2698" i="3"/>
  <c r="W2698" i="3"/>
  <c r="X2698" i="3"/>
  <c r="Y2698" i="3"/>
  <c r="Z2698" i="3"/>
  <c r="AA2698" i="3"/>
  <c r="T2699" i="3"/>
  <c r="U2699" i="3"/>
  <c r="V2699" i="3"/>
  <c r="W2699" i="3"/>
  <c r="X2699" i="3"/>
  <c r="Y2699" i="3"/>
  <c r="Z2699" i="3"/>
  <c r="AA2699" i="3"/>
  <c r="T2700" i="3"/>
  <c r="U2700" i="3"/>
  <c r="V2700" i="3"/>
  <c r="W2700" i="3"/>
  <c r="X2700" i="3"/>
  <c r="Y2700" i="3"/>
  <c r="Z2700" i="3"/>
  <c r="AA2700" i="3"/>
  <c r="T2701" i="3"/>
  <c r="U2701" i="3"/>
  <c r="V2701" i="3"/>
  <c r="W2701" i="3"/>
  <c r="X2701" i="3"/>
  <c r="Y2701" i="3"/>
  <c r="Z2701" i="3"/>
  <c r="AA2701" i="3"/>
  <c r="T2702" i="3"/>
  <c r="U2702" i="3"/>
  <c r="V2702" i="3"/>
  <c r="W2702" i="3"/>
  <c r="X2702" i="3"/>
  <c r="Y2702" i="3"/>
  <c r="Z2702" i="3"/>
  <c r="AA2702" i="3"/>
  <c r="T2703" i="3"/>
  <c r="U2703" i="3"/>
  <c r="V2703" i="3"/>
  <c r="W2703" i="3"/>
  <c r="X2703" i="3"/>
  <c r="Y2703" i="3"/>
  <c r="Z2703" i="3"/>
  <c r="AA2703" i="3"/>
  <c r="T2704" i="3"/>
  <c r="U2704" i="3"/>
  <c r="V2704" i="3"/>
  <c r="W2704" i="3"/>
  <c r="X2704" i="3"/>
  <c r="Y2704" i="3"/>
  <c r="Z2704" i="3"/>
  <c r="AA2704" i="3"/>
  <c r="T2705" i="3"/>
  <c r="U2705" i="3"/>
  <c r="V2705" i="3"/>
  <c r="W2705" i="3"/>
  <c r="X2705" i="3"/>
  <c r="Y2705" i="3"/>
  <c r="Z2705" i="3"/>
  <c r="AA2705" i="3"/>
  <c r="T2706" i="3"/>
  <c r="U2706" i="3"/>
  <c r="V2706" i="3"/>
  <c r="W2706" i="3"/>
  <c r="X2706" i="3"/>
  <c r="Y2706" i="3"/>
  <c r="Z2706" i="3"/>
  <c r="AA2706" i="3"/>
  <c r="T2707" i="3"/>
  <c r="U2707" i="3"/>
  <c r="V2707" i="3"/>
  <c r="W2707" i="3"/>
  <c r="X2707" i="3"/>
  <c r="Y2707" i="3"/>
  <c r="Z2707" i="3"/>
  <c r="AA2707" i="3"/>
  <c r="T2708" i="3"/>
  <c r="U2708" i="3"/>
  <c r="V2708" i="3"/>
  <c r="W2708" i="3"/>
  <c r="X2708" i="3"/>
  <c r="Y2708" i="3"/>
  <c r="Z2708" i="3"/>
  <c r="AA2708" i="3"/>
  <c r="T2709" i="3"/>
  <c r="U2709" i="3"/>
  <c r="V2709" i="3"/>
  <c r="W2709" i="3"/>
  <c r="X2709" i="3"/>
  <c r="Y2709" i="3"/>
  <c r="Z2709" i="3"/>
  <c r="AA2709" i="3"/>
  <c r="T2710" i="3"/>
  <c r="U2710" i="3"/>
  <c r="V2710" i="3"/>
  <c r="W2710" i="3"/>
  <c r="X2710" i="3"/>
  <c r="Y2710" i="3"/>
  <c r="Z2710" i="3"/>
  <c r="AA2710" i="3"/>
  <c r="T2711" i="3"/>
  <c r="U2711" i="3"/>
  <c r="V2711" i="3"/>
  <c r="W2711" i="3"/>
  <c r="X2711" i="3"/>
  <c r="Y2711" i="3"/>
  <c r="Z2711" i="3"/>
  <c r="AA2711" i="3"/>
  <c r="T2712" i="3"/>
  <c r="U2712" i="3"/>
  <c r="V2712" i="3"/>
  <c r="W2712" i="3"/>
  <c r="X2712" i="3"/>
  <c r="Y2712" i="3"/>
  <c r="Z2712" i="3"/>
  <c r="AA2712" i="3"/>
  <c r="T2713" i="3"/>
  <c r="U2713" i="3"/>
  <c r="V2713" i="3"/>
  <c r="W2713" i="3"/>
  <c r="X2713" i="3"/>
  <c r="Y2713" i="3"/>
  <c r="Z2713" i="3"/>
  <c r="AA2713" i="3"/>
  <c r="T2714" i="3"/>
  <c r="U2714" i="3"/>
  <c r="V2714" i="3"/>
  <c r="W2714" i="3"/>
  <c r="X2714" i="3"/>
  <c r="Y2714" i="3"/>
  <c r="Z2714" i="3"/>
  <c r="AA2714" i="3"/>
  <c r="T2715" i="3"/>
  <c r="U2715" i="3"/>
  <c r="V2715" i="3"/>
  <c r="W2715" i="3"/>
  <c r="X2715" i="3"/>
  <c r="Y2715" i="3"/>
  <c r="Z2715" i="3"/>
  <c r="AA2715" i="3"/>
  <c r="T2716" i="3"/>
  <c r="U2716" i="3"/>
  <c r="V2716" i="3"/>
  <c r="W2716" i="3"/>
  <c r="X2716" i="3"/>
  <c r="Y2716" i="3"/>
  <c r="Z2716" i="3"/>
  <c r="AA2716" i="3"/>
  <c r="T2717" i="3"/>
  <c r="U2717" i="3"/>
  <c r="V2717" i="3"/>
  <c r="W2717" i="3"/>
  <c r="X2717" i="3"/>
  <c r="Y2717" i="3"/>
  <c r="Z2717" i="3"/>
  <c r="AA2717" i="3"/>
  <c r="T2718" i="3"/>
  <c r="U2718" i="3"/>
  <c r="V2718" i="3"/>
  <c r="W2718" i="3"/>
  <c r="X2718" i="3"/>
  <c r="Y2718" i="3"/>
  <c r="Z2718" i="3"/>
  <c r="AA2718" i="3"/>
  <c r="T2719" i="3"/>
  <c r="U2719" i="3"/>
  <c r="V2719" i="3"/>
  <c r="W2719" i="3"/>
  <c r="X2719" i="3"/>
  <c r="Y2719" i="3"/>
  <c r="Z2719" i="3"/>
  <c r="AA2719" i="3"/>
  <c r="T2720" i="3"/>
  <c r="U2720" i="3"/>
  <c r="V2720" i="3"/>
  <c r="W2720" i="3"/>
  <c r="X2720" i="3"/>
  <c r="Y2720" i="3"/>
  <c r="Z2720" i="3"/>
  <c r="AA2720" i="3"/>
  <c r="T2721" i="3"/>
  <c r="U2721" i="3"/>
  <c r="V2721" i="3"/>
  <c r="W2721" i="3"/>
  <c r="X2721" i="3"/>
  <c r="Y2721" i="3"/>
  <c r="Z2721" i="3"/>
  <c r="AA2721" i="3"/>
  <c r="T2722" i="3"/>
  <c r="U2722" i="3"/>
  <c r="V2722" i="3"/>
  <c r="W2722" i="3"/>
  <c r="X2722" i="3"/>
  <c r="Y2722" i="3"/>
  <c r="Z2722" i="3"/>
  <c r="AA2722" i="3"/>
  <c r="T2723" i="3"/>
  <c r="U2723" i="3"/>
  <c r="V2723" i="3"/>
  <c r="W2723" i="3"/>
  <c r="X2723" i="3"/>
  <c r="Y2723" i="3"/>
  <c r="Z2723" i="3"/>
  <c r="AA2723" i="3"/>
  <c r="T2724" i="3"/>
  <c r="U2724" i="3"/>
  <c r="V2724" i="3"/>
  <c r="W2724" i="3"/>
  <c r="X2724" i="3"/>
  <c r="Y2724" i="3"/>
  <c r="Z2724" i="3"/>
  <c r="AA2724" i="3"/>
  <c r="U2692" i="3"/>
  <c r="V2692" i="3"/>
  <c r="W2692" i="3"/>
  <c r="X2692" i="3"/>
  <c r="Y2692" i="3"/>
  <c r="Z2692" i="3"/>
  <c r="AA2692" i="3"/>
  <c r="T2692" i="3"/>
  <c r="T2659" i="3"/>
  <c r="U2659" i="3"/>
  <c r="V2659" i="3"/>
  <c r="W2659" i="3"/>
  <c r="X2659" i="3"/>
  <c r="Y2659" i="3"/>
  <c r="Z2659" i="3"/>
  <c r="AA2659" i="3"/>
  <c r="T2660" i="3"/>
  <c r="U2660" i="3"/>
  <c r="V2660" i="3"/>
  <c r="W2660" i="3"/>
  <c r="X2660" i="3"/>
  <c r="Y2660" i="3"/>
  <c r="Z2660" i="3"/>
  <c r="AA2660" i="3"/>
  <c r="T2661" i="3"/>
  <c r="U2661" i="3"/>
  <c r="V2661" i="3"/>
  <c r="W2661" i="3"/>
  <c r="X2661" i="3"/>
  <c r="Y2661" i="3"/>
  <c r="Z2661" i="3"/>
  <c r="AA2661" i="3"/>
  <c r="T2662" i="3"/>
  <c r="U2662" i="3"/>
  <c r="V2662" i="3"/>
  <c r="W2662" i="3"/>
  <c r="X2662" i="3"/>
  <c r="Y2662" i="3"/>
  <c r="Z2662" i="3"/>
  <c r="AA2662" i="3"/>
  <c r="T2663" i="3"/>
  <c r="U2663" i="3"/>
  <c r="V2663" i="3"/>
  <c r="W2663" i="3"/>
  <c r="X2663" i="3"/>
  <c r="Y2663" i="3"/>
  <c r="Z2663" i="3"/>
  <c r="AA2663" i="3"/>
  <c r="T2664" i="3"/>
  <c r="U2664" i="3"/>
  <c r="V2664" i="3"/>
  <c r="W2664" i="3"/>
  <c r="X2664" i="3"/>
  <c r="Y2664" i="3"/>
  <c r="Z2664" i="3"/>
  <c r="AA2664" i="3"/>
  <c r="T2665" i="3"/>
  <c r="U2665" i="3"/>
  <c r="V2665" i="3"/>
  <c r="W2665" i="3"/>
  <c r="X2665" i="3"/>
  <c r="Y2665" i="3"/>
  <c r="Z2665" i="3"/>
  <c r="AA2665" i="3"/>
  <c r="T2666" i="3"/>
  <c r="U2666" i="3"/>
  <c r="V2666" i="3"/>
  <c r="W2666" i="3"/>
  <c r="X2666" i="3"/>
  <c r="Y2666" i="3"/>
  <c r="Z2666" i="3"/>
  <c r="AA2666" i="3"/>
  <c r="T2667" i="3"/>
  <c r="U2667" i="3"/>
  <c r="V2667" i="3"/>
  <c r="W2667" i="3"/>
  <c r="X2667" i="3"/>
  <c r="Y2667" i="3"/>
  <c r="Z2667" i="3"/>
  <c r="AA2667" i="3"/>
  <c r="T2668" i="3"/>
  <c r="U2668" i="3"/>
  <c r="V2668" i="3"/>
  <c r="W2668" i="3"/>
  <c r="X2668" i="3"/>
  <c r="Y2668" i="3"/>
  <c r="Z2668" i="3"/>
  <c r="AA2668" i="3"/>
  <c r="T2669" i="3"/>
  <c r="U2669" i="3"/>
  <c r="V2669" i="3"/>
  <c r="W2669" i="3"/>
  <c r="X2669" i="3"/>
  <c r="Y2669" i="3"/>
  <c r="Z2669" i="3"/>
  <c r="AA2669" i="3"/>
  <c r="T2670" i="3"/>
  <c r="U2670" i="3"/>
  <c r="V2670" i="3"/>
  <c r="W2670" i="3"/>
  <c r="X2670" i="3"/>
  <c r="Y2670" i="3"/>
  <c r="Z2670" i="3"/>
  <c r="AA2670" i="3"/>
  <c r="T2671" i="3"/>
  <c r="U2671" i="3"/>
  <c r="V2671" i="3"/>
  <c r="W2671" i="3"/>
  <c r="X2671" i="3"/>
  <c r="Y2671" i="3"/>
  <c r="Z2671" i="3"/>
  <c r="AA2671" i="3"/>
  <c r="T2672" i="3"/>
  <c r="U2672" i="3"/>
  <c r="V2672" i="3"/>
  <c r="W2672" i="3"/>
  <c r="X2672" i="3"/>
  <c r="Y2672" i="3"/>
  <c r="Z2672" i="3"/>
  <c r="AA2672" i="3"/>
  <c r="T2673" i="3"/>
  <c r="U2673" i="3"/>
  <c r="V2673" i="3"/>
  <c r="W2673" i="3"/>
  <c r="X2673" i="3"/>
  <c r="Y2673" i="3"/>
  <c r="Z2673" i="3"/>
  <c r="AA2673" i="3"/>
  <c r="T2674" i="3"/>
  <c r="U2674" i="3"/>
  <c r="V2674" i="3"/>
  <c r="W2674" i="3"/>
  <c r="X2674" i="3"/>
  <c r="Y2674" i="3"/>
  <c r="Z2674" i="3"/>
  <c r="AA2674" i="3"/>
  <c r="T2675" i="3"/>
  <c r="U2675" i="3"/>
  <c r="V2675" i="3"/>
  <c r="W2675" i="3"/>
  <c r="X2675" i="3"/>
  <c r="Y2675" i="3"/>
  <c r="Z2675" i="3"/>
  <c r="AA2675" i="3"/>
  <c r="T2676" i="3"/>
  <c r="U2676" i="3"/>
  <c r="V2676" i="3"/>
  <c r="W2676" i="3"/>
  <c r="X2676" i="3"/>
  <c r="Y2676" i="3"/>
  <c r="Z2676" i="3"/>
  <c r="AA2676" i="3"/>
  <c r="T2677" i="3"/>
  <c r="U2677" i="3"/>
  <c r="V2677" i="3"/>
  <c r="W2677" i="3"/>
  <c r="X2677" i="3"/>
  <c r="Y2677" i="3"/>
  <c r="Z2677" i="3"/>
  <c r="AA2677" i="3"/>
  <c r="T2678" i="3"/>
  <c r="U2678" i="3"/>
  <c r="V2678" i="3"/>
  <c r="W2678" i="3"/>
  <c r="X2678" i="3"/>
  <c r="Y2678" i="3"/>
  <c r="Z2678" i="3"/>
  <c r="AA2678" i="3"/>
  <c r="T2679" i="3"/>
  <c r="U2679" i="3"/>
  <c r="V2679" i="3"/>
  <c r="W2679" i="3"/>
  <c r="X2679" i="3"/>
  <c r="Y2679" i="3"/>
  <c r="Z2679" i="3"/>
  <c r="AA2679" i="3"/>
  <c r="T2680" i="3"/>
  <c r="U2680" i="3"/>
  <c r="V2680" i="3"/>
  <c r="W2680" i="3"/>
  <c r="X2680" i="3"/>
  <c r="Y2680" i="3"/>
  <c r="Z2680" i="3"/>
  <c r="AA2680" i="3"/>
  <c r="T2681" i="3"/>
  <c r="U2681" i="3"/>
  <c r="V2681" i="3"/>
  <c r="W2681" i="3"/>
  <c r="X2681" i="3"/>
  <c r="Y2681" i="3"/>
  <c r="Z2681" i="3"/>
  <c r="AA2681" i="3"/>
  <c r="T2682" i="3"/>
  <c r="U2682" i="3"/>
  <c r="V2682" i="3"/>
  <c r="W2682" i="3"/>
  <c r="X2682" i="3"/>
  <c r="Y2682" i="3"/>
  <c r="Z2682" i="3"/>
  <c r="AA2682" i="3"/>
  <c r="T2683" i="3"/>
  <c r="U2683" i="3"/>
  <c r="V2683" i="3"/>
  <c r="W2683" i="3"/>
  <c r="X2683" i="3"/>
  <c r="Y2683" i="3"/>
  <c r="Z2683" i="3"/>
  <c r="AA2683" i="3"/>
  <c r="T2684" i="3"/>
  <c r="U2684" i="3"/>
  <c r="V2684" i="3"/>
  <c r="W2684" i="3"/>
  <c r="X2684" i="3"/>
  <c r="Y2684" i="3"/>
  <c r="Z2684" i="3"/>
  <c r="AA2684" i="3"/>
  <c r="T2685" i="3"/>
  <c r="U2685" i="3"/>
  <c r="V2685" i="3"/>
  <c r="W2685" i="3"/>
  <c r="X2685" i="3"/>
  <c r="Y2685" i="3"/>
  <c r="Z2685" i="3"/>
  <c r="AA2685" i="3"/>
  <c r="T2686" i="3"/>
  <c r="U2686" i="3"/>
  <c r="V2686" i="3"/>
  <c r="W2686" i="3"/>
  <c r="X2686" i="3"/>
  <c r="Y2686" i="3"/>
  <c r="Z2686" i="3"/>
  <c r="AA2686" i="3"/>
  <c r="T2687" i="3"/>
  <c r="U2687" i="3"/>
  <c r="V2687" i="3"/>
  <c r="W2687" i="3"/>
  <c r="X2687" i="3"/>
  <c r="Y2687" i="3"/>
  <c r="Z2687" i="3"/>
  <c r="AA2687" i="3"/>
  <c r="T2688" i="3"/>
  <c r="U2688" i="3"/>
  <c r="V2688" i="3"/>
  <c r="W2688" i="3"/>
  <c r="X2688" i="3"/>
  <c r="Y2688" i="3"/>
  <c r="Z2688" i="3"/>
  <c r="AA2688" i="3"/>
  <c r="T2689" i="3"/>
  <c r="U2689" i="3"/>
  <c r="V2689" i="3"/>
  <c r="W2689" i="3"/>
  <c r="X2689" i="3"/>
  <c r="Y2689" i="3"/>
  <c r="Z2689" i="3"/>
  <c r="AA2689" i="3"/>
  <c r="T2690" i="3"/>
  <c r="U2690" i="3"/>
  <c r="V2690" i="3"/>
  <c r="W2690" i="3"/>
  <c r="X2690" i="3"/>
  <c r="Y2690" i="3"/>
  <c r="Z2690" i="3"/>
  <c r="AA2690" i="3"/>
  <c r="U2658" i="3"/>
  <c r="V2658" i="3"/>
  <c r="W2658" i="3"/>
  <c r="X2658" i="3"/>
  <c r="Y2658" i="3"/>
  <c r="Z2658" i="3"/>
  <c r="AA2658" i="3"/>
  <c r="T2658" i="3"/>
  <c r="T2625" i="3"/>
  <c r="U2625" i="3"/>
  <c r="V2625" i="3"/>
  <c r="W2625" i="3"/>
  <c r="X2625" i="3"/>
  <c r="Y2625" i="3"/>
  <c r="Z2625" i="3"/>
  <c r="AA2625" i="3"/>
  <c r="T2626" i="3"/>
  <c r="U2626" i="3"/>
  <c r="V2626" i="3"/>
  <c r="W2626" i="3"/>
  <c r="X2626" i="3"/>
  <c r="Y2626" i="3"/>
  <c r="Z2626" i="3"/>
  <c r="AA2626" i="3"/>
  <c r="T2627" i="3"/>
  <c r="U2627" i="3"/>
  <c r="V2627" i="3"/>
  <c r="W2627" i="3"/>
  <c r="X2627" i="3"/>
  <c r="Y2627" i="3"/>
  <c r="Z2627" i="3"/>
  <c r="AA2627" i="3"/>
  <c r="T2628" i="3"/>
  <c r="U2628" i="3"/>
  <c r="V2628" i="3"/>
  <c r="W2628" i="3"/>
  <c r="X2628" i="3"/>
  <c r="Y2628" i="3"/>
  <c r="Z2628" i="3"/>
  <c r="AA2628" i="3"/>
  <c r="T2629" i="3"/>
  <c r="U2629" i="3"/>
  <c r="V2629" i="3"/>
  <c r="W2629" i="3"/>
  <c r="X2629" i="3"/>
  <c r="Y2629" i="3"/>
  <c r="Z2629" i="3"/>
  <c r="AA2629" i="3"/>
  <c r="T2630" i="3"/>
  <c r="U2630" i="3"/>
  <c r="V2630" i="3"/>
  <c r="W2630" i="3"/>
  <c r="X2630" i="3"/>
  <c r="Y2630" i="3"/>
  <c r="Z2630" i="3"/>
  <c r="AA2630" i="3"/>
  <c r="T2631" i="3"/>
  <c r="U2631" i="3"/>
  <c r="V2631" i="3"/>
  <c r="W2631" i="3"/>
  <c r="X2631" i="3"/>
  <c r="Y2631" i="3"/>
  <c r="Z2631" i="3"/>
  <c r="AA2631" i="3"/>
  <c r="T2632" i="3"/>
  <c r="U2632" i="3"/>
  <c r="V2632" i="3"/>
  <c r="W2632" i="3"/>
  <c r="X2632" i="3"/>
  <c r="Y2632" i="3"/>
  <c r="Z2632" i="3"/>
  <c r="AA2632" i="3"/>
  <c r="T2633" i="3"/>
  <c r="U2633" i="3"/>
  <c r="V2633" i="3"/>
  <c r="W2633" i="3"/>
  <c r="X2633" i="3"/>
  <c r="Y2633" i="3"/>
  <c r="Z2633" i="3"/>
  <c r="AA2633" i="3"/>
  <c r="T2634" i="3"/>
  <c r="U2634" i="3"/>
  <c r="V2634" i="3"/>
  <c r="W2634" i="3"/>
  <c r="X2634" i="3"/>
  <c r="Y2634" i="3"/>
  <c r="Z2634" i="3"/>
  <c r="AA2634" i="3"/>
  <c r="T2635" i="3"/>
  <c r="U2635" i="3"/>
  <c r="V2635" i="3"/>
  <c r="W2635" i="3"/>
  <c r="X2635" i="3"/>
  <c r="Y2635" i="3"/>
  <c r="Z2635" i="3"/>
  <c r="AA2635" i="3"/>
  <c r="T2636" i="3"/>
  <c r="U2636" i="3"/>
  <c r="V2636" i="3"/>
  <c r="W2636" i="3"/>
  <c r="X2636" i="3"/>
  <c r="Y2636" i="3"/>
  <c r="Z2636" i="3"/>
  <c r="AA2636" i="3"/>
  <c r="T2637" i="3"/>
  <c r="U2637" i="3"/>
  <c r="V2637" i="3"/>
  <c r="W2637" i="3"/>
  <c r="X2637" i="3"/>
  <c r="Y2637" i="3"/>
  <c r="Z2637" i="3"/>
  <c r="AA2637" i="3"/>
  <c r="T2638" i="3"/>
  <c r="U2638" i="3"/>
  <c r="V2638" i="3"/>
  <c r="W2638" i="3"/>
  <c r="X2638" i="3"/>
  <c r="Y2638" i="3"/>
  <c r="Z2638" i="3"/>
  <c r="AA2638" i="3"/>
  <c r="T2639" i="3"/>
  <c r="U2639" i="3"/>
  <c r="V2639" i="3"/>
  <c r="W2639" i="3"/>
  <c r="X2639" i="3"/>
  <c r="Y2639" i="3"/>
  <c r="Z2639" i="3"/>
  <c r="AA2639" i="3"/>
  <c r="T2640" i="3"/>
  <c r="U2640" i="3"/>
  <c r="V2640" i="3"/>
  <c r="W2640" i="3"/>
  <c r="X2640" i="3"/>
  <c r="Y2640" i="3"/>
  <c r="Z2640" i="3"/>
  <c r="AA2640" i="3"/>
  <c r="T2641" i="3"/>
  <c r="U2641" i="3"/>
  <c r="V2641" i="3"/>
  <c r="W2641" i="3"/>
  <c r="X2641" i="3"/>
  <c r="Y2641" i="3"/>
  <c r="Z2641" i="3"/>
  <c r="AA2641" i="3"/>
  <c r="T2642" i="3"/>
  <c r="U2642" i="3"/>
  <c r="V2642" i="3"/>
  <c r="W2642" i="3"/>
  <c r="X2642" i="3"/>
  <c r="Y2642" i="3"/>
  <c r="Z2642" i="3"/>
  <c r="AA2642" i="3"/>
  <c r="T2643" i="3"/>
  <c r="U2643" i="3"/>
  <c r="V2643" i="3"/>
  <c r="W2643" i="3"/>
  <c r="X2643" i="3"/>
  <c r="Y2643" i="3"/>
  <c r="Z2643" i="3"/>
  <c r="AA2643" i="3"/>
  <c r="T2644" i="3"/>
  <c r="U2644" i="3"/>
  <c r="V2644" i="3"/>
  <c r="W2644" i="3"/>
  <c r="X2644" i="3"/>
  <c r="Y2644" i="3"/>
  <c r="Z2644" i="3"/>
  <c r="AA2644" i="3"/>
  <c r="T2645" i="3"/>
  <c r="U2645" i="3"/>
  <c r="V2645" i="3"/>
  <c r="W2645" i="3"/>
  <c r="X2645" i="3"/>
  <c r="Y2645" i="3"/>
  <c r="Z2645" i="3"/>
  <c r="AA2645" i="3"/>
  <c r="T2646" i="3"/>
  <c r="U2646" i="3"/>
  <c r="V2646" i="3"/>
  <c r="W2646" i="3"/>
  <c r="X2646" i="3"/>
  <c r="Y2646" i="3"/>
  <c r="Z2646" i="3"/>
  <c r="AA2646" i="3"/>
  <c r="T2647" i="3"/>
  <c r="U2647" i="3"/>
  <c r="V2647" i="3"/>
  <c r="W2647" i="3"/>
  <c r="X2647" i="3"/>
  <c r="Y2647" i="3"/>
  <c r="Z2647" i="3"/>
  <c r="AA2647" i="3"/>
  <c r="T2648" i="3"/>
  <c r="U2648" i="3"/>
  <c r="V2648" i="3"/>
  <c r="W2648" i="3"/>
  <c r="X2648" i="3"/>
  <c r="Y2648" i="3"/>
  <c r="Z2648" i="3"/>
  <c r="AA2648" i="3"/>
  <c r="T2649" i="3"/>
  <c r="U2649" i="3"/>
  <c r="V2649" i="3"/>
  <c r="W2649" i="3"/>
  <c r="X2649" i="3"/>
  <c r="Y2649" i="3"/>
  <c r="Z2649" i="3"/>
  <c r="AA2649" i="3"/>
  <c r="T2650" i="3"/>
  <c r="U2650" i="3"/>
  <c r="V2650" i="3"/>
  <c r="W2650" i="3"/>
  <c r="X2650" i="3"/>
  <c r="Y2650" i="3"/>
  <c r="Z2650" i="3"/>
  <c r="AA2650" i="3"/>
  <c r="T2651" i="3"/>
  <c r="U2651" i="3"/>
  <c r="V2651" i="3"/>
  <c r="W2651" i="3"/>
  <c r="X2651" i="3"/>
  <c r="Y2651" i="3"/>
  <c r="Z2651" i="3"/>
  <c r="AA2651" i="3"/>
  <c r="T2652" i="3"/>
  <c r="U2652" i="3"/>
  <c r="V2652" i="3"/>
  <c r="W2652" i="3"/>
  <c r="X2652" i="3"/>
  <c r="Y2652" i="3"/>
  <c r="Z2652" i="3"/>
  <c r="AA2652" i="3"/>
  <c r="T2653" i="3"/>
  <c r="U2653" i="3"/>
  <c r="V2653" i="3"/>
  <c r="W2653" i="3"/>
  <c r="X2653" i="3"/>
  <c r="Y2653" i="3"/>
  <c r="Z2653" i="3"/>
  <c r="AA2653" i="3"/>
  <c r="T2654" i="3"/>
  <c r="U2654" i="3"/>
  <c r="V2654" i="3"/>
  <c r="W2654" i="3"/>
  <c r="X2654" i="3"/>
  <c r="Y2654" i="3"/>
  <c r="Z2654" i="3"/>
  <c r="AA2654" i="3"/>
  <c r="T2655" i="3"/>
  <c r="U2655" i="3"/>
  <c r="V2655" i="3"/>
  <c r="W2655" i="3"/>
  <c r="X2655" i="3"/>
  <c r="Y2655" i="3"/>
  <c r="Z2655" i="3"/>
  <c r="AA2655" i="3"/>
  <c r="T2656" i="3"/>
  <c r="U2656" i="3"/>
  <c r="V2656" i="3"/>
  <c r="W2656" i="3"/>
  <c r="X2656" i="3"/>
  <c r="Y2656" i="3"/>
  <c r="Z2656" i="3"/>
  <c r="AA2656" i="3"/>
  <c r="U2624" i="3"/>
  <c r="V2624" i="3"/>
  <c r="W2624" i="3"/>
  <c r="X2624" i="3"/>
  <c r="Y2624" i="3"/>
  <c r="Z2624" i="3"/>
  <c r="AA2624" i="3"/>
  <c r="T2624" i="3"/>
  <c r="T2591" i="3"/>
  <c r="U2591" i="3"/>
  <c r="V2591" i="3"/>
  <c r="W2591" i="3"/>
  <c r="X2591" i="3"/>
  <c r="Y2591" i="3"/>
  <c r="Z2591" i="3"/>
  <c r="AA2591" i="3"/>
  <c r="T2592" i="3"/>
  <c r="U2592" i="3"/>
  <c r="V2592" i="3"/>
  <c r="W2592" i="3"/>
  <c r="X2592" i="3"/>
  <c r="Y2592" i="3"/>
  <c r="Z2592" i="3"/>
  <c r="AA2592" i="3"/>
  <c r="T2593" i="3"/>
  <c r="U2593" i="3"/>
  <c r="V2593" i="3"/>
  <c r="W2593" i="3"/>
  <c r="X2593" i="3"/>
  <c r="Y2593" i="3"/>
  <c r="Z2593" i="3"/>
  <c r="AA2593" i="3"/>
  <c r="T2594" i="3"/>
  <c r="U2594" i="3"/>
  <c r="V2594" i="3"/>
  <c r="W2594" i="3"/>
  <c r="X2594" i="3"/>
  <c r="Y2594" i="3"/>
  <c r="Z2594" i="3"/>
  <c r="AA2594" i="3"/>
  <c r="T2595" i="3"/>
  <c r="U2595" i="3"/>
  <c r="V2595" i="3"/>
  <c r="W2595" i="3"/>
  <c r="X2595" i="3"/>
  <c r="Y2595" i="3"/>
  <c r="Z2595" i="3"/>
  <c r="AA2595" i="3"/>
  <c r="T2596" i="3"/>
  <c r="U2596" i="3"/>
  <c r="V2596" i="3"/>
  <c r="W2596" i="3"/>
  <c r="X2596" i="3"/>
  <c r="Y2596" i="3"/>
  <c r="Z2596" i="3"/>
  <c r="AA2596" i="3"/>
  <c r="T2597" i="3"/>
  <c r="U2597" i="3"/>
  <c r="V2597" i="3"/>
  <c r="W2597" i="3"/>
  <c r="X2597" i="3"/>
  <c r="Y2597" i="3"/>
  <c r="Z2597" i="3"/>
  <c r="AA2597" i="3"/>
  <c r="T2598" i="3"/>
  <c r="U2598" i="3"/>
  <c r="V2598" i="3"/>
  <c r="W2598" i="3"/>
  <c r="X2598" i="3"/>
  <c r="Y2598" i="3"/>
  <c r="Z2598" i="3"/>
  <c r="AA2598" i="3"/>
  <c r="T2599" i="3"/>
  <c r="U2599" i="3"/>
  <c r="V2599" i="3"/>
  <c r="W2599" i="3"/>
  <c r="X2599" i="3"/>
  <c r="Y2599" i="3"/>
  <c r="Z2599" i="3"/>
  <c r="AA2599" i="3"/>
  <c r="T2600" i="3"/>
  <c r="U2600" i="3"/>
  <c r="V2600" i="3"/>
  <c r="W2600" i="3"/>
  <c r="X2600" i="3"/>
  <c r="Y2600" i="3"/>
  <c r="Z2600" i="3"/>
  <c r="AA2600" i="3"/>
  <c r="T2601" i="3"/>
  <c r="U2601" i="3"/>
  <c r="V2601" i="3"/>
  <c r="W2601" i="3"/>
  <c r="X2601" i="3"/>
  <c r="Y2601" i="3"/>
  <c r="Z2601" i="3"/>
  <c r="AA2601" i="3"/>
  <c r="T2602" i="3"/>
  <c r="U2602" i="3"/>
  <c r="V2602" i="3"/>
  <c r="W2602" i="3"/>
  <c r="X2602" i="3"/>
  <c r="Y2602" i="3"/>
  <c r="Z2602" i="3"/>
  <c r="AA2602" i="3"/>
  <c r="T2603" i="3"/>
  <c r="U2603" i="3"/>
  <c r="V2603" i="3"/>
  <c r="W2603" i="3"/>
  <c r="X2603" i="3"/>
  <c r="Y2603" i="3"/>
  <c r="Z2603" i="3"/>
  <c r="AA2603" i="3"/>
  <c r="T2604" i="3"/>
  <c r="U2604" i="3"/>
  <c r="V2604" i="3"/>
  <c r="W2604" i="3"/>
  <c r="X2604" i="3"/>
  <c r="Y2604" i="3"/>
  <c r="Z2604" i="3"/>
  <c r="AA2604" i="3"/>
  <c r="T2605" i="3"/>
  <c r="U2605" i="3"/>
  <c r="V2605" i="3"/>
  <c r="W2605" i="3"/>
  <c r="X2605" i="3"/>
  <c r="Y2605" i="3"/>
  <c r="Z2605" i="3"/>
  <c r="AA2605" i="3"/>
  <c r="T2606" i="3"/>
  <c r="U2606" i="3"/>
  <c r="V2606" i="3"/>
  <c r="W2606" i="3"/>
  <c r="X2606" i="3"/>
  <c r="Y2606" i="3"/>
  <c r="Z2606" i="3"/>
  <c r="AA2606" i="3"/>
  <c r="T2607" i="3"/>
  <c r="U2607" i="3"/>
  <c r="V2607" i="3"/>
  <c r="W2607" i="3"/>
  <c r="X2607" i="3"/>
  <c r="Y2607" i="3"/>
  <c r="Z2607" i="3"/>
  <c r="AA2607" i="3"/>
  <c r="T2608" i="3"/>
  <c r="U2608" i="3"/>
  <c r="V2608" i="3"/>
  <c r="W2608" i="3"/>
  <c r="X2608" i="3"/>
  <c r="Y2608" i="3"/>
  <c r="Z2608" i="3"/>
  <c r="AA2608" i="3"/>
  <c r="T2609" i="3"/>
  <c r="U2609" i="3"/>
  <c r="V2609" i="3"/>
  <c r="W2609" i="3"/>
  <c r="X2609" i="3"/>
  <c r="Y2609" i="3"/>
  <c r="Z2609" i="3"/>
  <c r="AA2609" i="3"/>
  <c r="T2610" i="3"/>
  <c r="U2610" i="3"/>
  <c r="V2610" i="3"/>
  <c r="W2610" i="3"/>
  <c r="X2610" i="3"/>
  <c r="Y2610" i="3"/>
  <c r="Z2610" i="3"/>
  <c r="AA2610" i="3"/>
  <c r="T2611" i="3"/>
  <c r="U2611" i="3"/>
  <c r="V2611" i="3"/>
  <c r="W2611" i="3"/>
  <c r="X2611" i="3"/>
  <c r="Y2611" i="3"/>
  <c r="Z2611" i="3"/>
  <c r="AA2611" i="3"/>
  <c r="T2612" i="3"/>
  <c r="U2612" i="3"/>
  <c r="V2612" i="3"/>
  <c r="W2612" i="3"/>
  <c r="X2612" i="3"/>
  <c r="Y2612" i="3"/>
  <c r="Z2612" i="3"/>
  <c r="AA2612" i="3"/>
  <c r="T2613" i="3"/>
  <c r="U2613" i="3"/>
  <c r="V2613" i="3"/>
  <c r="W2613" i="3"/>
  <c r="X2613" i="3"/>
  <c r="Y2613" i="3"/>
  <c r="Z2613" i="3"/>
  <c r="AA2613" i="3"/>
  <c r="T2614" i="3"/>
  <c r="U2614" i="3"/>
  <c r="V2614" i="3"/>
  <c r="W2614" i="3"/>
  <c r="X2614" i="3"/>
  <c r="Y2614" i="3"/>
  <c r="Z2614" i="3"/>
  <c r="AA2614" i="3"/>
  <c r="T2615" i="3"/>
  <c r="U2615" i="3"/>
  <c r="V2615" i="3"/>
  <c r="W2615" i="3"/>
  <c r="X2615" i="3"/>
  <c r="Y2615" i="3"/>
  <c r="Z2615" i="3"/>
  <c r="AA2615" i="3"/>
  <c r="T2616" i="3"/>
  <c r="U2616" i="3"/>
  <c r="V2616" i="3"/>
  <c r="W2616" i="3"/>
  <c r="X2616" i="3"/>
  <c r="Y2616" i="3"/>
  <c r="Z2616" i="3"/>
  <c r="AA2616" i="3"/>
  <c r="T2617" i="3"/>
  <c r="U2617" i="3"/>
  <c r="V2617" i="3"/>
  <c r="W2617" i="3"/>
  <c r="X2617" i="3"/>
  <c r="Y2617" i="3"/>
  <c r="Z2617" i="3"/>
  <c r="AA2617" i="3"/>
  <c r="T2618" i="3"/>
  <c r="U2618" i="3"/>
  <c r="V2618" i="3"/>
  <c r="W2618" i="3"/>
  <c r="X2618" i="3"/>
  <c r="Y2618" i="3"/>
  <c r="Z2618" i="3"/>
  <c r="AA2618" i="3"/>
  <c r="T2619" i="3"/>
  <c r="U2619" i="3"/>
  <c r="V2619" i="3"/>
  <c r="W2619" i="3"/>
  <c r="X2619" i="3"/>
  <c r="Y2619" i="3"/>
  <c r="Z2619" i="3"/>
  <c r="AA2619" i="3"/>
  <c r="T2620" i="3"/>
  <c r="U2620" i="3"/>
  <c r="V2620" i="3"/>
  <c r="W2620" i="3"/>
  <c r="X2620" i="3"/>
  <c r="Y2620" i="3"/>
  <c r="Z2620" i="3"/>
  <c r="AA2620" i="3"/>
  <c r="T2621" i="3"/>
  <c r="U2621" i="3"/>
  <c r="V2621" i="3"/>
  <c r="W2621" i="3"/>
  <c r="X2621" i="3"/>
  <c r="Y2621" i="3"/>
  <c r="Z2621" i="3"/>
  <c r="AA2621" i="3"/>
  <c r="T2622" i="3"/>
  <c r="U2622" i="3"/>
  <c r="V2622" i="3"/>
  <c r="W2622" i="3"/>
  <c r="X2622" i="3"/>
  <c r="Y2622" i="3"/>
  <c r="Z2622" i="3"/>
  <c r="AA2622" i="3"/>
  <c r="U2590" i="3"/>
  <c r="V2590" i="3"/>
  <c r="W2590" i="3"/>
  <c r="X2590" i="3"/>
  <c r="Y2590" i="3"/>
  <c r="Z2590" i="3"/>
  <c r="AA2590" i="3"/>
  <c r="T2590" i="3"/>
  <c r="T2557" i="3"/>
  <c r="U2557" i="3"/>
  <c r="V2557" i="3"/>
  <c r="W2557" i="3"/>
  <c r="X2557" i="3"/>
  <c r="Y2557" i="3"/>
  <c r="Z2557" i="3"/>
  <c r="AA2557" i="3"/>
  <c r="T2558" i="3"/>
  <c r="U2558" i="3"/>
  <c r="V2558" i="3"/>
  <c r="W2558" i="3"/>
  <c r="X2558" i="3"/>
  <c r="Y2558" i="3"/>
  <c r="Z2558" i="3"/>
  <c r="AA2558" i="3"/>
  <c r="T2559" i="3"/>
  <c r="U2559" i="3"/>
  <c r="V2559" i="3"/>
  <c r="W2559" i="3"/>
  <c r="X2559" i="3"/>
  <c r="Y2559" i="3"/>
  <c r="Z2559" i="3"/>
  <c r="AA2559" i="3"/>
  <c r="T2560" i="3"/>
  <c r="U2560" i="3"/>
  <c r="V2560" i="3"/>
  <c r="W2560" i="3"/>
  <c r="X2560" i="3"/>
  <c r="Y2560" i="3"/>
  <c r="Z2560" i="3"/>
  <c r="AA2560" i="3"/>
  <c r="T2561" i="3"/>
  <c r="U2561" i="3"/>
  <c r="V2561" i="3"/>
  <c r="W2561" i="3"/>
  <c r="X2561" i="3"/>
  <c r="Y2561" i="3"/>
  <c r="Z2561" i="3"/>
  <c r="AA2561" i="3"/>
  <c r="T2562" i="3"/>
  <c r="U2562" i="3"/>
  <c r="V2562" i="3"/>
  <c r="W2562" i="3"/>
  <c r="X2562" i="3"/>
  <c r="Y2562" i="3"/>
  <c r="Z2562" i="3"/>
  <c r="AA2562" i="3"/>
  <c r="T2563" i="3"/>
  <c r="U2563" i="3"/>
  <c r="V2563" i="3"/>
  <c r="W2563" i="3"/>
  <c r="X2563" i="3"/>
  <c r="Y2563" i="3"/>
  <c r="Z2563" i="3"/>
  <c r="AA2563" i="3"/>
  <c r="T2564" i="3"/>
  <c r="U2564" i="3"/>
  <c r="V2564" i="3"/>
  <c r="W2564" i="3"/>
  <c r="X2564" i="3"/>
  <c r="Y2564" i="3"/>
  <c r="Z2564" i="3"/>
  <c r="AA2564" i="3"/>
  <c r="T2565" i="3"/>
  <c r="U2565" i="3"/>
  <c r="V2565" i="3"/>
  <c r="W2565" i="3"/>
  <c r="X2565" i="3"/>
  <c r="Y2565" i="3"/>
  <c r="Z2565" i="3"/>
  <c r="AA2565" i="3"/>
  <c r="T2566" i="3"/>
  <c r="U2566" i="3"/>
  <c r="V2566" i="3"/>
  <c r="W2566" i="3"/>
  <c r="X2566" i="3"/>
  <c r="Y2566" i="3"/>
  <c r="Z2566" i="3"/>
  <c r="AA2566" i="3"/>
  <c r="T2567" i="3"/>
  <c r="U2567" i="3"/>
  <c r="V2567" i="3"/>
  <c r="W2567" i="3"/>
  <c r="X2567" i="3"/>
  <c r="Y2567" i="3"/>
  <c r="Z2567" i="3"/>
  <c r="AA2567" i="3"/>
  <c r="T2568" i="3"/>
  <c r="U2568" i="3"/>
  <c r="V2568" i="3"/>
  <c r="W2568" i="3"/>
  <c r="X2568" i="3"/>
  <c r="Y2568" i="3"/>
  <c r="Z2568" i="3"/>
  <c r="AA2568" i="3"/>
  <c r="T2569" i="3"/>
  <c r="U2569" i="3"/>
  <c r="V2569" i="3"/>
  <c r="W2569" i="3"/>
  <c r="X2569" i="3"/>
  <c r="Y2569" i="3"/>
  <c r="Z2569" i="3"/>
  <c r="AA2569" i="3"/>
  <c r="T2570" i="3"/>
  <c r="U2570" i="3"/>
  <c r="V2570" i="3"/>
  <c r="W2570" i="3"/>
  <c r="X2570" i="3"/>
  <c r="Y2570" i="3"/>
  <c r="Z2570" i="3"/>
  <c r="AA2570" i="3"/>
  <c r="T2571" i="3"/>
  <c r="U2571" i="3"/>
  <c r="V2571" i="3"/>
  <c r="W2571" i="3"/>
  <c r="X2571" i="3"/>
  <c r="Y2571" i="3"/>
  <c r="Z2571" i="3"/>
  <c r="AA2571" i="3"/>
  <c r="T2572" i="3"/>
  <c r="U2572" i="3"/>
  <c r="V2572" i="3"/>
  <c r="W2572" i="3"/>
  <c r="X2572" i="3"/>
  <c r="Y2572" i="3"/>
  <c r="Z2572" i="3"/>
  <c r="AA2572" i="3"/>
  <c r="T2573" i="3"/>
  <c r="U2573" i="3"/>
  <c r="V2573" i="3"/>
  <c r="W2573" i="3"/>
  <c r="X2573" i="3"/>
  <c r="Y2573" i="3"/>
  <c r="Z2573" i="3"/>
  <c r="AA2573" i="3"/>
  <c r="T2574" i="3"/>
  <c r="U2574" i="3"/>
  <c r="V2574" i="3"/>
  <c r="W2574" i="3"/>
  <c r="X2574" i="3"/>
  <c r="Y2574" i="3"/>
  <c r="Z2574" i="3"/>
  <c r="AA2574" i="3"/>
  <c r="T2575" i="3"/>
  <c r="U2575" i="3"/>
  <c r="V2575" i="3"/>
  <c r="W2575" i="3"/>
  <c r="X2575" i="3"/>
  <c r="Y2575" i="3"/>
  <c r="Z2575" i="3"/>
  <c r="AA2575" i="3"/>
  <c r="T2576" i="3"/>
  <c r="U2576" i="3"/>
  <c r="V2576" i="3"/>
  <c r="W2576" i="3"/>
  <c r="X2576" i="3"/>
  <c r="Y2576" i="3"/>
  <c r="Z2576" i="3"/>
  <c r="AA2576" i="3"/>
  <c r="T2577" i="3"/>
  <c r="U2577" i="3"/>
  <c r="V2577" i="3"/>
  <c r="W2577" i="3"/>
  <c r="X2577" i="3"/>
  <c r="Y2577" i="3"/>
  <c r="Z2577" i="3"/>
  <c r="AA2577" i="3"/>
  <c r="T2578" i="3"/>
  <c r="U2578" i="3"/>
  <c r="V2578" i="3"/>
  <c r="W2578" i="3"/>
  <c r="X2578" i="3"/>
  <c r="Y2578" i="3"/>
  <c r="Z2578" i="3"/>
  <c r="AA2578" i="3"/>
  <c r="T2579" i="3"/>
  <c r="U2579" i="3"/>
  <c r="V2579" i="3"/>
  <c r="W2579" i="3"/>
  <c r="X2579" i="3"/>
  <c r="Y2579" i="3"/>
  <c r="Z2579" i="3"/>
  <c r="AA2579" i="3"/>
  <c r="T2580" i="3"/>
  <c r="U2580" i="3"/>
  <c r="V2580" i="3"/>
  <c r="W2580" i="3"/>
  <c r="X2580" i="3"/>
  <c r="Y2580" i="3"/>
  <c r="Z2580" i="3"/>
  <c r="AA2580" i="3"/>
  <c r="T2581" i="3"/>
  <c r="U2581" i="3"/>
  <c r="V2581" i="3"/>
  <c r="W2581" i="3"/>
  <c r="X2581" i="3"/>
  <c r="Y2581" i="3"/>
  <c r="Z2581" i="3"/>
  <c r="AA2581" i="3"/>
  <c r="T2582" i="3"/>
  <c r="U2582" i="3"/>
  <c r="V2582" i="3"/>
  <c r="W2582" i="3"/>
  <c r="X2582" i="3"/>
  <c r="Y2582" i="3"/>
  <c r="Z2582" i="3"/>
  <c r="AA2582" i="3"/>
  <c r="T2583" i="3"/>
  <c r="U2583" i="3"/>
  <c r="V2583" i="3"/>
  <c r="W2583" i="3"/>
  <c r="X2583" i="3"/>
  <c r="Y2583" i="3"/>
  <c r="Z2583" i="3"/>
  <c r="AA2583" i="3"/>
  <c r="T2584" i="3"/>
  <c r="U2584" i="3"/>
  <c r="V2584" i="3"/>
  <c r="W2584" i="3"/>
  <c r="X2584" i="3"/>
  <c r="Y2584" i="3"/>
  <c r="Z2584" i="3"/>
  <c r="AA2584" i="3"/>
  <c r="T2585" i="3"/>
  <c r="U2585" i="3"/>
  <c r="V2585" i="3"/>
  <c r="W2585" i="3"/>
  <c r="X2585" i="3"/>
  <c r="Y2585" i="3"/>
  <c r="Z2585" i="3"/>
  <c r="AA2585" i="3"/>
  <c r="T2586" i="3"/>
  <c r="U2586" i="3"/>
  <c r="V2586" i="3"/>
  <c r="W2586" i="3"/>
  <c r="X2586" i="3"/>
  <c r="Y2586" i="3"/>
  <c r="Z2586" i="3"/>
  <c r="AA2586" i="3"/>
  <c r="T2587" i="3"/>
  <c r="U2587" i="3"/>
  <c r="V2587" i="3"/>
  <c r="W2587" i="3"/>
  <c r="X2587" i="3"/>
  <c r="Y2587" i="3"/>
  <c r="Z2587" i="3"/>
  <c r="AA2587" i="3"/>
  <c r="T2588" i="3"/>
  <c r="U2588" i="3"/>
  <c r="V2588" i="3"/>
  <c r="W2588" i="3"/>
  <c r="X2588" i="3"/>
  <c r="Y2588" i="3"/>
  <c r="Z2588" i="3"/>
  <c r="AA2588" i="3"/>
  <c r="U2556" i="3"/>
  <c r="V2556" i="3"/>
  <c r="W2556" i="3"/>
  <c r="X2556" i="3"/>
  <c r="Y2556" i="3"/>
  <c r="Z2556" i="3"/>
  <c r="AA2556" i="3"/>
  <c r="T2556" i="3"/>
  <c r="T2523" i="3"/>
  <c r="U2523" i="3"/>
  <c r="V2523" i="3"/>
  <c r="W2523" i="3"/>
  <c r="X2523" i="3"/>
  <c r="Y2523" i="3"/>
  <c r="Z2523" i="3"/>
  <c r="AA2523" i="3"/>
  <c r="T2524" i="3"/>
  <c r="U2524" i="3"/>
  <c r="V2524" i="3"/>
  <c r="W2524" i="3"/>
  <c r="X2524" i="3"/>
  <c r="Y2524" i="3"/>
  <c r="Z2524" i="3"/>
  <c r="AA2524" i="3"/>
  <c r="T2525" i="3"/>
  <c r="U2525" i="3"/>
  <c r="V2525" i="3"/>
  <c r="W2525" i="3"/>
  <c r="X2525" i="3"/>
  <c r="Y2525" i="3"/>
  <c r="Z2525" i="3"/>
  <c r="AA2525" i="3"/>
  <c r="T2526" i="3"/>
  <c r="U2526" i="3"/>
  <c r="V2526" i="3"/>
  <c r="W2526" i="3"/>
  <c r="X2526" i="3"/>
  <c r="Y2526" i="3"/>
  <c r="Z2526" i="3"/>
  <c r="AA2526" i="3"/>
  <c r="T2527" i="3"/>
  <c r="U2527" i="3"/>
  <c r="V2527" i="3"/>
  <c r="W2527" i="3"/>
  <c r="X2527" i="3"/>
  <c r="Y2527" i="3"/>
  <c r="Z2527" i="3"/>
  <c r="AA2527" i="3"/>
  <c r="T2528" i="3"/>
  <c r="U2528" i="3"/>
  <c r="V2528" i="3"/>
  <c r="W2528" i="3"/>
  <c r="X2528" i="3"/>
  <c r="Y2528" i="3"/>
  <c r="Z2528" i="3"/>
  <c r="AA2528" i="3"/>
  <c r="T2529" i="3"/>
  <c r="U2529" i="3"/>
  <c r="V2529" i="3"/>
  <c r="W2529" i="3"/>
  <c r="X2529" i="3"/>
  <c r="Y2529" i="3"/>
  <c r="Z2529" i="3"/>
  <c r="AA2529" i="3"/>
  <c r="T2530" i="3"/>
  <c r="U2530" i="3"/>
  <c r="V2530" i="3"/>
  <c r="W2530" i="3"/>
  <c r="X2530" i="3"/>
  <c r="Y2530" i="3"/>
  <c r="Z2530" i="3"/>
  <c r="AA2530" i="3"/>
  <c r="T2531" i="3"/>
  <c r="U2531" i="3"/>
  <c r="V2531" i="3"/>
  <c r="W2531" i="3"/>
  <c r="X2531" i="3"/>
  <c r="Y2531" i="3"/>
  <c r="Z2531" i="3"/>
  <c r="AA2531" i="3"/>
  <c r="T2532" i="3"/>
  <c r="U2532" i="3"/>
  <c r="V2532" i="3"/>
  <c r="W2532" i="3"/>
  <c r="X2532" i="3"/>
  <c r="Y2532" i="3"/>
  <c r="Z2532" i="3"/>
  <c r="AA2532" i="3"/>
  <c r="T2533" i="3"/>
  <c r="U2533" i="3"/>
  <c r="V2533" i="3"/>
  <c r="W2533" i="3"/>
  <c r="X2533" i="3"/>
  <c r="Y2533" i="3"/>
  <c r="Z2533" i="3"/>
  <c r="AA2533" i="3"/>
  <c r="T2534" i="3"/>
  <c r="U2534" i="3"/>
  <c r="V2534" i="3"/>
  <c r="W2534" i="3"/>
  <c r="X2534" i="3"/>
  <c r="Y2534" i="3"/>
  <c r="Z2534" i="3"/>
  <c r="AA2534" i="3"/>
  <c r="T2535" i="3"/>
  <c r="U2535" i="3"/>
  <c r="V2535" i="3"/>
  <c r="W2535" i="3"/>
  <c r="X2535" i="3"/>
  <c r="Y2535" i="3"/>
  <c r="Z2535" i="3"/>
  <c r="AA2535" i="3"/>
  <c r="T2536" i="3"/>
  <c r="U2536" i="3"/>
  <c r="V2536" i="3"/>
  <c r="W2536" i="3"/>
  <c r="X2536" i="3"/>
  <c r="Y2536" i="3"/>
  <c r="Z2536" i="3"/>
  <c r="AA2536" i="3"/>
  <c r="T2537" i="3"/>
  <c r="U2537" i="3"/>
  <c r="V2537" i="3"/>
  <c r="W2537" i="3"/>
  <c r="X2537" i="3"/>
  <c r="Y2537" i="3"/>
  <c r="Z2537" i="3"/>
  <c r="AA2537" i="3"/>
  <c r="T2538" i="3"/>
  <c r="U2538" i="3"/>
  <c r="V2538" i="3"/>
  <c r="W2538" i="3"/>
  <c r="X2538" i="3"/>
  <c r="Y2538" i="3"/>
  <c r="Z2538" i="3"/>
  <c r="AA2538" i="3"/>
  <c r="T2539" i="3"/>
  <c r="U2539" i="3"/>
  <c r="V2539" i="3"/>
  <c r="W2539" i="3"/>
  <c r="X2539" i="3"/>
  <c r="Y2539" i="3"/>
  <c r="Z2539" i="3"/>
  <c r="AA2539" i="3"/>
  <c r="T2540" i="3"/>
  <c r="U2540" i="3"/>
  <c r="V2540" i="3"/>
  <c r="W2540" i="3"/>
  <c r="X2540" i="3"/>
  <c r="Y2540" i="3"/>
  <c r="Z2540" i="3"/>
  <c r="AA2540" i="3"/>
  <c r="T2541" i="3"/>
  <c r="U2541" i="3"/>
  <c r="V2541" i="3"/>
  <c r="W2541" i="3"/>
  <c r="X2541" i="3"/>
  <c r="Y2541" i="3"/>
  <c r="Z2541" i="3"/>
  <c r="AA2541" i="3"/>
  <c r="T2542" i="3"/>
  <c r="U2542" i="3"/>
  <c r="V2542" i="3"/>
  <c r="W2542" i="3"/>
  <c r="X2542" i="3"/>
  <c r="Y2542" i="3"/>
  <c r="Z2542" i="3"/>
  <c r="AA2542" i="3"/>
  <c r="T2543" i="3"/>
  <c r="U2543" i="3"/>
  <c r="V2543" i="3"/>
  <c r="W2543" i="3"/>
  <c r="X2543" i="3"/>
  <c r="Y2543" i="3"/>
  <c r="Z2543" i="3"/>
  <c r="AA2543" i="3"/>
  <c r="T2544" i="3"/>
  <c r="U2544" i="3"/>
  <c r="V2544" i="3"/>
  <c r="W2544" i="3"/>
  <c r="X2544" i="3"/>
  <c r="Y2544" i="3"/>
  <c r="Z2544" i="3"/>
  <c r="AA2544" i="3"/>
  <c r="T2545" i="3"/>
  <c r="U2545" i="3"/>
  <c r="V2545" i="3"/>
  <c r="W2545" i="3"/>
  <c r="X2545" i="3"/>
  <c r="Y2545" i="3"/>
  <c r="Z2545" i="3"/>
  <c r="AA2545" i="3"/>
  <c r="T2546" i="3"/>
  <c r="U2546" i="3"/>
  <c r="V2546" i="3"/>
  <c r="W2546" i="3"/>
  <c r="X2546" i="3"/>
  <c r="Y2546" i="3"/>
  <c r="Z2546" i="3"/>
  <c r="AA2546" i="3"/>
  <c r="T2547" i="3"/>
  <c r="U2547" i="3"/>
  <c r="V2547" i="3"/>
  <c r="W2547" i="3"/>
  <c r="X2547" i="3"/>
  <c r="Y2547" i="3"/>
  <c r="Z2547" i="3"/>
  <c r="AA2547" i="3"/>
  <c r="T2548" i="3"/>
  <c r="U2548" i="3"/>
  <c r="V2548" i="3"/>
  <c r="W2548" i="3"/>
  <c r="X2548" i="3"/>
  <c r="Y2548" i="3"/>
  <c r="Z2548" i="3"/>
  <c r="AA2548" i="3"/>
  <c r="T2549" i="3"/>
  <c r="U2549" i="3"/>
  <c r="V2549" i="3"/>
  <c r="W2549" i="3"/>
  <c r="X2549" i="3"/>
  <c r="Y2549" i="3"/>
  <c r="Z2549" i="3"/>
  <c r="AA2549" i="3"/>
  <c r="T2550" i="3"/>
  <c r="U2550" i="3"/>
  <c r="V2550" i="3"/>
  <c r="W2550" i="3"/>
  <c r="X2550" i="3"/>
  <c r="Y2550" i="3"/>
  <c r="Z2550" i="3"/>
  <c r="AA2550" i="3"/>
  <c r="T2551" i="3"/>
  <c r="U2551" i="3"/>
  <c r="V2551" i="3"/>
  <c r="W2551" i="3"/>
  <c r="X2551" i="3"/>
  <c r="Y2551" i="3"/>
  <c r="Z2551" i="3"/>
  <c r="AA2551" i="3"/>
  <c r="T2552" i="3"/>
  <c r="U2552" i="3"/>
  <c r="V2552" i="3"/>
  <c r="W2552" i="3"/>
  <c r="X2552" i="3"/>
  <c r="Y2552" i="3"/>
  <c r="Z2552" i="3"/>
  <c r="AA2552" i="3"/>
  <c r="T2553" i="3"/>
  <c r="U2553" i="3"/>
  <c r="V2553" i="3"/>
  <c r="W2553" i="3"/>
  <c r="X2553" i="3"/>
  <c r="Y2553" i="3"/>
  <c r="Z2553" i="3"/>
  <c r="AA2553" i="3"/>
  <c r="T2554" i="3"/>
  <c r="U2554" i="3"/>
  <c r="V2554" i="3"/>
  <c r="W2554" i="3"/>
  <c r="X2554" i="3"/>
  <c r="Y2554" i="3"/>
  <c r="Z2554" i="3"/>
  <c r="AA2554" i="3"/>
  <c r="U2522" i="3"/>
  <c r="V2522" i="3"/>
  <c r="W2522" i="3"/>
  <c r="X2522" i="3"/>
  <c r="Y2522" i="3"/>
  <c r="Z2522" i="3"/>
  <c r="AA2522" i="3"/>
  <c r="T2522" i="3"/>
  <c r="T2489" i="3"/>
  <c r="U2489" i="3"/>
  <c r="V2489" i="3"/>
  <c r="W2489" i="3"/>
  <c r="X2489" i="3"/>
  <c r="Y2489" i="3"/>
  <c r="Z2489" i="3"/>
  <c r="AA2489" i="3"/>
  <c r="T2490" i="3"/>
  <c r="U2490" i="3"/>
  <c r="V2490" i="3"/>
  <c r="W2490" i="3"/>
  <c r="X2490" i="3"/>
  <c r="Y2490" i="3"/>
  <c r="Z2490" i="3"/>
  <c r="AA2490" i="3"/>
  <c r="T2491" i="3"/>
  <c r="U2491" i="3"/>
  <c r="V2491" i="3"/>
  <c r="W2491" i="3"/>
  <c r="X2491" i="3"/>
  <c r="Y2491" i="3"/>
  <c r="Z2491" i="3"/>
  <c r="AA2491" i="3"/>
  <c r="T2492" i="3"/>
  <c r="U2492" i="3"/>
  <c r="V2492" i="3"/>
  <c r="W2492" i="3"/>
  <c r="X2492" i="3"/>
  <c r="Y2492" i="3"/>
  <c r="Z2492" i="3"/>
  <c r="AA2492" i="3"/>
  <c r="T2493" i="3"/>
  <c r="U2493" i="3"/>
  <c r="V2493" i="3"/>
  <c r="W2493" i="3"/>
  <c r="X2493" i="3"/>
  <c r="Y2493" i="3"/>
  <c r="Z2493" i="3"/>
  <c r="AA2493" i="3"/>
  <c r="T2494" i="3"/>
  <c r="U2494" i="3"/>
  <c r="V2494" i="3"/>
  <c r="W2494" i="3"/>
  <c r="X2494" i="3"/>
  <c r="Y2494" i="3"/>
  <c r="Z2494" i="3"/>
  <c r="AA2494" i="3"/>
  <c r="T2495" i="3"/>
  <c r="U2495" i="3"/>
  <c r="V2495" i="3"/>
  <c r="W2495" i="3"/>
  <c r="X2495" i="3"/>
  <c r="Y2495" i="3"/>
  <c r="Z2495" i="3"/>
  <c r="AA2495" i="3"/>
  <c r="T2496" i="3"/>
  <c r="U2496" i="3"/>
  <c r="V2496" i="3"/>
  <c r="W2496" i="3"/>
  <c r="X2496" i="3"/>
  <c r="Y2496" i="3"/>
  <c r="Z2496" i="3"/>
  <c r="AA2496" i="3"/>
  <c r="T2497" i="3"/>
  <c r="U2497" i="3"/>
  <c r="V2497" i="3"/>
  <c r="W2497" i="3"/>
  <c r="X2497" i="3"/>
  <c r="Y2497" i="3"/>
  <c r="Z2497" i="3"/>
  <c r="AA2497" i="3"/>
  <c r="T2498" i="3"/>
  <c r="U2498" i="3"/>
  <c r="V2498" i="3"/>
  <c r="W2498" i="3"/>
  <c r="X2498" i="3"/>
  <c r="Y2498" i="3"/>
  <c r="Z2498" i="3"/>
  <c r="AA2498" i="3"/>
  <c r="T2499" i="3"/>
  <c r="U2499" i="3"/>
  <c r="V2499" i="3"/>
  <c r="W2499" i="3"/>
  <c r="X2499" i="3"/>
  <c r="Y2499" i="3"/>
  <c r="Z2499" i="3"/>
  <c r="AA2499" i="3"/>
  <c r="T2500" i="3"/>
  <c r="U2500" i="3"/>
  <c r="V2500" i="3"/>
  <c r="W2500" i="3"/>
  <c r="X2500" i="3"/>
  <c r="Y2500" i="3"/>
  <c r="Z2500" i="3"/>
  <c r="AA2500" i="3"/>
  <c r="T2501" i="3"/>
  <c r="U2501" i="3"/>
  <c r="V2501" i="3"/>
  <c r="W2501" i="3"/>
  <c r="X2501" i="3"/>
  <c r="Y2501" i="3"/>
  <c r="Z2501" i="3"/>
  <c r="AA2501" i="3"/>
  <c r="T2502" i="3"/>
  <c r="U2502" i="3"/>
  <c r="V2502" i="3"/>
  <c r="W2502" i="3"/>
  <c r="X2502" i="3"/>
  <c r="Y2502" i="3"/>
  <c r="Z2502" i="3"/>
  <c r="AA2502" i="3"/>
  <c r="T2503" i="3"/>
  <c r="U2503" i="3"/>
  <c r="V2503" i="3"/>
  <c r="W2503" i="3"/>
  <c r="X2503" i="3"/>
  <c r="Y2503" i="3"/>
  <c r="Z2503" i="3"/>
  <c r="AA2503" i="3"/>
  <c r="T2504" i="3"/>
  <c r="U2504" i="3"/>
  <c r="V2504" i="3"/>
  <c r="W2504" i="3"/>
  <c r="X2504" i="3"/>
  <c r="Y2504" i="3"/>
  <c r="Z2504" i="3"/>
  <c r="AA2504" i="3"/>
  <c r="T2505" i="3"/>
  <c r="U2505" i="3"/>
  <c r="V2505" i="3"/>
  <c r="W2505" i="3"/>
  <c r="X2505" i="3"/>
  <c r="Y2505" i="3"/>
  <c r="Z2505" i="3"/>
  <c r="AA2505" i="3"/>
  <c r="T2506" i="3"/>
  <c r="U2506" i="3"/>
  <c r="V2506" i="3"/>
  <c r="W2506" i="3"/>
  <c r="X2506" i="3"/>
  <c r="Y2506" i="3"/>
  <c r="Z2506" i="3"/>
  <c r="AA2506" i="3"/>
  <c r="T2507" i="3"/>
  <c r="U2507" i="3"/>
  <c r="V2507" i="3"/>
  <c r="W2507" i="3"/>
  <c r="X2507" i="3"/>
  <c r="Y2507" i="3"/>
  <c r="Z2507" i="3"/>
  <c r="AA2507" i="3"/>
  <c r="T2508" i="3"/>
  <c r="U2508" i="3"/>
  <c r="V2508" i="3"/>
  <c r="W2508" i="3"/>
  <c r="X2508" i="3"/>
  <c r="Y2508" i="3"/>
  <c r="Z2508" i="3"/>
  <c r="AA2508" i="3"/>
  <c r="T2509" i="3"/>
  <c r="U2509" i="3"/>
  <c r="V2509" i="3"/>
  <c r="W2509" i="3"/>
  <c r="X2509" i="3"/>
  <c r="Y2509" i="3"/>
  <c r="Z2509" i="3"/>
  <c r="AA2509" i="3"/>
  <c r="T2510" i="3"/>
  <c r="U2510" i="3"/>
  <c r="V2510" i="3"/>
  <c r="W2510" i="3"/>
  <c r="X2510" i="3"/>
  <c r="Y2510" i="3"/>
  <c r="Z2510" i="3"/>
  <c r="AA2510" i="3"/>
  <c r="T2511" i="3"/>
  <c r="U2511" i="3"/>
  <c r="V2511" i="3"/>
  <c r="W2511" i="3"/>
  <c r="X2511" i="3"/>
  <c r="Y2511" i="3"/>
  <c r="Z2511" i="3"/>
  <c r="AA2511" i="3"/>
  <c r="T2512" i="3"/>
  <c r="U2512" i="3"/>
  <c r="V2512" i="3"/>
  <c r="W2512" i="3"/>
  <c r="X2512" i="3"/>
  <c r="Y2512" i="3"/>
  <c r="Z2512" i="3"/>
  <c r="AA2512" i="3"/>
  <c r="T2513" i="3"/>
  <c r="U2513" i="3"/>
  <c r="V2513" i="3"/>
  <c r="W2513" i="3"/>
  <c r="X2513" i="3"/>
  <c r="Y2513" i="3"/>
  <c r="Z2513" i="3"/>
  <c r="AA2513" i="3"/>
  <c r="T2514" i="3"/>
  <c r="U2514" i="3"/>
  <c r="V2514" i="3"/>
  <c r="W2514" i="3"/>
  <c r="X2514" i="3"/>
  <c r="Y2514" i="3"/>
  <c r="Z2514" i="3"/>
  <c r="AA2514" i="3"/>
  <c r="T2515" i="3"/>
  <c r="U2515" i="3"/>
  <c r="V2515" i="3"/>
  <c r="W2515" i="3"/>
  <c r="X2515" i="3"/>
  <c r="Y2515" i="3"/>
  <c r="Z2515" i="3"/>
  <c r="AA2515" i="3"/>
  <c r="T2516" i="3"/>
  <c r="U2516" i="3"/>
  <c r="V2516" i="3"/>
  <c r="W2516" i="3"/>
  <c r="X2516" i="3"/>
  <c r="Y2516" i="3"/>
  <c r="Z2516" i="3"/>
  <c r="AA2516" i="3"/>
  <c r="T2517" i="3"/>
  <c r="U2517" i="3"/>
  <c r="V2517" i="3"/>
  <c r="W2517" i="3"/>
  <c r="X2517" i="3"/>
  <c r="Y2517" i="3"/>
  <c r="Z2517" i="3"/>
  <c r="AA2517" i="3"/>
  <c r="T2518" i="3"/>
  <c r="U2518" i="3"/>
  <c r="V2518" i="3"/>
  <c r="W2518" i="3"/>
  <c r="X2518" i="3"/>
  <c r="Y2518" i="3"/>
  <c r="Z2518" i="3"/>
  <c r="AA2518" i="3"/>
  <c r="T2519" i="3"/>
  <c r="U2519" i="3"/>
  <c r="V2519" i="3"/>
  <c r="W2519" i="3"/>
  <c r="X2519" i="3"/>
  <c r="Y2519" i="3"/>
  <c r="Z2519" i="3"/>
  <c r="AA2519" i="3"/>
  <c r="T2520" i="3"/>
  <c r="U2520" i="3"/>
  <c r="V2520" i="3"/>
  <c r="W2520" i="3"/>
  <c r="X2520" i="3"/>
  <c r="Y2520" i="3"/>
  <c r="Z2520" i="3"/>
  <c r="AA2520" i="3"/>
  <c r="U2488" i="3"/>
  <c r="V2488" i="3"/>
  <c r="W2488" i="3"/>
  <c r="X2488" i="3"/>
  <c r="Y2488" i="3"/>
  <c r="Z2488" i="3"/>
  <c r="AA2488" i="3"/>
  <c r="T2488" i="3"/>
  <c r="T2455" i="3"/>
  <c r="U2455" i="3"/>
  <c r="V2455" i="3"/>
  <c r="W2455" i="3"/>
  <c r="X2455" i="3"/>
  <c r="Y2455" i="3"/>
  <c r="Z2455" i="3"/>
  <c r="AA2455" i="3"/>
  <c r="T2456" i="3"/>
  <c r="U2456" i="3"/>
  <c r="V2456" i="3"/>
  <c r="W2456" i="3"/>
  <c r="X2456" i="3"/>
  <c r="Y2456" i="3"/>
  <c r="Z2456" i="3"/>
  <c r="AA2456" i="3"/>
  <c r="T2457" i="3"/>
  <c r="U2457" i="3"/>
  <c r="V2457" i="3"/>
  <c r="W2457" i="3"/>
  <c r="X2457" i="3"/>
  <c r="Y2457" i="3"/>
  <c r="Z2457" i="3"/>
  <c r="AA2457" i="3"/>
  <c r="T2458" i="3"/>
  <c r="U2458" i="3"/>
  <c r="V2458" i="3"/>
  <c r="W2458" i="3"/>
  <c r="X2458" i="3"/>
  <c r="Y2458" i="3"/>
  <c r="Z2458" i="3"/>
  <c r="AA2458" i="3"/>
  <c r="T2459" i="3"/>
  <c r="U2459" i="3"/>
  <c r="V2459" i="3"/>
  <c r="W2459" i="3"/>
  <c r="X2459" i="3"/>
  <c r="Y2459" i="3"/>
  <c r="Z2459" i="3"/>
  <c r="AA2459" i="3"/>
  <c r="T2460" i="3"/>
  <c r="U2460" i="3"/>
  <c r="V2460" i="3"/>
  <c r="W2460" i="3"/>
  <c r="X2460" i="3"/>
  <c r="Y2460" i="3"/>
  <c r="Z2460" i="3"/>
  <c r="AA2460" i="3"/>
  <c r="T2461" i="3"/>
  <c r="U2461" i="3"/>
  <c r="V2461" i="3"/>
  <c r="W2461" i="3"/>
  <c r="X2461" i="3"/>
  <c r="Y2461" i="3"/>
  <c r="Z2461" i="3"/>
  <c r="AA2461" i="3"/>
  <c r="T2462" i="3"/>
  <c r="U2462" i="3"/>
  <c r="V2462" i="3"/>
  <c r="W2462" i="3"/>
  <c r="X2462" i="3"/>
  <c r="Y2462" i="3"/>
  <c r="Z2462" i="3"/>
  <c r="AA2462" i="3"/>
  <c r="T2463" i="3"/>
  <c r="U2463" i="3"/>
  <c r="V2463" i="3"/>
  <c r="W2463" i="3"/>
  <c r="X2463" i="3"/>
  <c r="Y2463" i="3"/>
  <c r="Z2463" i="3"/>
  <c r="AA2463" i="3"/>
  <c r="T2464" i="3"/>
  <c r="U2464" i="3"/>
  <c r="V2464" i="3"/>
  <c r="W2464" i="3"/>
  <c r="X2464" i="3"/>
  <c r="Y2464" i="3"/>
  <c r="Z2464" i="3"/>
  <c r="AA2464" i="3"/>
  <c r="T2465" i="3"/>
  <c r="U2465" i="3"/>
  <c r="V2465" i="3"/>
  <c r="W2465" i="3"/>
  <c r="X2465" i="3"/>
  <c r="Y2465" i="3"/>
  <c r="Z2465" i="3"/>
  <c r="AA2465" i="3"/>
  <c r="T2466" i="3"/>
  <c r="U2466" i="3"/>
  <c r="V2466" i="3"/>
  <c r="W2466" i="3"/>
  <c r="X2466" i="3"/>
  <c r="Y2466" i="3"/>
  <c r="Z2466" i="3"/>
  <c r="AA2466" i="3"/>
  <c r="T2467" i="3"/>
  <c r="U2467" i="3"/>
  <c r="V2467" i="3"/>
  <c r="W2467" i="3"/>
  <c r="X2467" i="3"/>
  <c r="Y2467" i="3"/>
  <c r="Z2467" i="3"/>
  <c r="AA2467" i="3"/>
  <c r="T2468" i="3"/>
  <c r="U2468" i="3"/>
  <c r="V2468" i="3"/>
  <c r="W2468" i="3"/>
  <c r="X2468" i="3"/>
  <c r="Y2468" i="3"/>
  <c r="Z2468" i="3"/>
  <c r="AA2468" i="3"/>
  <c r="T2469" i="3"/>
  <c r="U2469" i="3"/>
  <c r="V2469" i="3"/>
  <c r="W2469" i="3"/>
  <c r="X2469" i="3"/>
  <c r="Y2469" i="3"/>
  <c r="Z2469" i="3"/>
  <c r="AA2469" i="3"/>
  <c r="T2470" i="3"/>
  <c r="U2470" i="3"/>
  <c r="V2470" i="3"/>
  <c r="W2470" i="3"/>
  <c r="X2470" i="3"/>
  <c r="Y2470" i="3"/>
  <c r="Z2470" i="3"/>
  <c r="AA2470" i="3"/>
  <c r="T2471" i="3"/>
  <c r="U2471" i="3"/>
  <c r="V2471" i="3"/>
  <c r="W2471" i="3"/>
  <c r="X2471" i="3"/>
  <c r="Y2471" i="3"/>
  <c r="Z2471" i="3"/>
  <c r="AA2471" i="3"/>
  <c r="T2472" i="3"/>
  <c r="U2472" i="3"/>
  <c r="V2472" i="3"/>
  <c r="W2472" i="3"/>
  <c r="X2472" i="3"/>
  <c r="Y2472" i="3"/>
  <c r="Z2472" i="3"/>
  <c r="AA2472" i="3"/>
  <c r="T2473" i="3"/>
  <c r="U2473" i="3"/>
  <c r="V2473" i="3"/>
  <c r="W2473" i="3"/>
  <c r="X2473" i="3"/>
  <c r="Y2473" i="3"/>
  <c r="Z2473" i="3"/>
  <c r="AA2473" i="3"/>
  <c r="T2474" i="3"/>
  <c r="U2474" i="3"/>
  <c r="V2474" i="3"/>
  <c r="W2474" i="3"/>
  <c r="X2474" i="3"/>
  <c r="Y2474" i="3"/>
  <c r="Z2474" i="3"/>
  <c r="AA2474" i="3"/>
  <c r="T2475" i="3"/>
  <c r="U2475" i="3"/>
  <c r="V2475" i="3"/>
  <c r="W2475" i="3"/>
  <c r="X2475" i="3"/>
  <c r="Y2475" i="3"/>
  <c r="Z2475" i="3"/>
  <c r="AA2475" i="3"/>
  <c r="T2476" i="3"/>
  <c r="U2476" i="3"/>
  <c r="V2476" i="3"/>
  <c r="W2476" i="3"/>
  <c r="X2476" i="3"/>
  <c r="Y2476" i="3"/>
  <c r="Z2476" i="3"/>
  <c r="AA2476" i="3"/>
  <c r="T2477" i="3"/>
  <c r="U2477" i="3"/>
  <c r="V2477" i="3"/>
  <c r="W2477" i="3"/>
  <c r="X2477" i="3"/>
  <c r="Y2477" i="3"/>
  <c r="Z2477" i="3"/>
  <c r="AA2477" i="3"/>
  <c r="T2478" i="3"/>
  <c r="U2478" i="3"/>
  <c r="V2478" i="3"/>
  <c r="W2478" i="3"/>
  <c r="X2478" i="3"/>
  <c r="Y2478" i="3"/>
  <c r="Z2478" i="3"/>
  <c r="AA2478" i="3"/>
  <c r="T2479" i="3"/>
  <c r="U2479" i="3"/>
  <c r="V2479" i="3"/>
  <c r="W2479" i="3"/>
  <c r="X2479" i="3"/>
  <c r="Y2479" i="3"/>
  <c r="Z2479" i="3"/>
  <c r="AA2479" i="3"/>
  <c r="T2480" i="3"/>
  <c r="U2480" i="3"/>
  <c r="V2480" i="3"/>
  <c r="W2480" i="3"/>
  <c r="X2480" i="3"/>
  <c r="Y2480" i="3"/>
  <c r="Z2480" i="3"/>
  <c r="AA2480" i="3"/>
  <c r="T2481" i="3"/>
  <c r="U2481" i="3"/>
  <c r="V2481" i="3"/>
  <c r="W2481" i="3"/>
  <c r="X2481" i="3"/>
  <c r="Y2481" i="3"/>
  <c r="Z2481" i="3"/>
  <c r="AA2481" i="3"/>
  <c r="T2482" i="3"/>
  <c r="U2482" i="3"/>
  <c r="V2482" i="3"/>
  <c r="W2482" i="3"/>
  <c r="X2482" i="3"/>
  <c r="Y2482" i="3"/>
  <c r="Z2482" i="3"/>
  <c r="AA2482" i="3"/>
  <c r="T2483" i="3"/>
  <c r="U2483" i="3"/>
  <c r="V2483" i="3"/>
  <c r="W2483" i="3"/>
  <c r="X2483" i="3"/>
  <c r="Y2483" i="3"/>
  <c r="Z2483" i="3"/>
  <c r="AA2483" i="3"/>
  <c r="T2484" i="3"/>
  <c r="U2484" i="3"/>
  <c r="V2484" i="3"/>
  <c r="W2484" i="3"/>
  <c r="X2484" i="3"/>
  <c r="Y2484" i="3"/>
  <c r="Z2484" i="3"/>
  <c r="AA2484" i="3"/>
  <c r="T2485" i="3"/>
  <c r="U2485" i="3"/>
  <c r="V2485" i="3"/>
  <c r="W2485" i="3"/>
  <c r="X2485" i="3"/>
  <c r="Y2485" i="3"/>
  <c r="Z2485" i="3"/>
  <c r="AA2485" i="3"/>
  <c r="T2486" i="3"/>
  <c r="U2486" i="3"/>
  <c r="V2486" i="3"/>
  <c r="W2486" i="3"/>
  <c r="X2486" i="3"/>
  <c r="Y2486" i="3"/>
  <c r="Z2486" i="3"/>
  <c r="AA2486" i="3"/>
  <c r="U2454" i="3"/>
  <c r="V2454" i="3"/>
  <c r="W2454" i="3"/>
  <c r="X2454" i="3"/>
  <c r="Y2454" i="3"/>
  <c r="Z2454" i="3"/>
  <c r="AA2454" i="3"/>
  <c r="T2454" i="3"/>
  <c r="T2421" i="3"/>
  <c r="U2421" i="3"/>
  <c r="V2421" i="3"/>
  <c r="W2421" i="3"/>
  <c r="X2421" i="3"/>
  <c r="Y2421" i="3"/>
  <c r="Z2421" i="3"/>
  <c r="AA2421" i="3"/>
  <c r="T2422" i="3"/>
  <c r="U2422" i="3"/>
  <c r="V2422" i="3"/>
  <c r="W2422" i="3"/>
  <c r="X2422" i="3"/>
  <c r="Y2422" i="3"/>
  <c r="Z2422" i="3"/>
  <c r="AA2422" i="3"/>
  <c r="T2423" i="3"/>
  <c r="U2423" i="3"/>
  <c r="V2423" i="3"/>
  <c r="W2423" i="3"/>
  <c r="X2423" i="3"/>
  <c r="Y2423" i="3"/>
  <c r="Z2423" i="3"/>
  <c r="AA2423" i="3"/>
  <c r="T2424" i="3"/>
  <c r="U2424" i="3"/>
  <c r="V2424" i="3"/>
  <c r="W2424" i="3"/>
  <c r="X2424" i="3"/>
  <c r="Y2424" i="3"/>
  <c r="Z2424" i="3"/>
  <c r="AA2424" i="3"/>
  <c r="T2425" i="3"/>
  <c r="U2425" i="3"/>
  <c r="V2425" i="3"/>
  <c r="W2425" i="3"/>
  <c r="X2425" i="3"/>
  <c r="Y2425" i="3"/>
  <c r="Z2425" i="3"/>
  <c r="AA2425" i="3"/>
  <c r="T2426" i="3"/>
  <c r="U2426" i="3"/>
  <c r="V2426" i="3"/>
  <c r="W2426" i="3"/>
  <c r="X2426" i="3"/>
  <c r="Y2426" i="3"/>
  <c r="Z2426" i="3"/>
  <c r="AA2426" i="3"/>
  <c r="T2427" i="3"/>
  <c r="U2427" i="3"/>
  <c r="V2427" i="3"/>
  <c r="W2427" i="3"/>
  <c r="X2427" i="3"/>
  <c r="Y2427" i="3"/>
  <c r="Z2427" i="3"/>
  <c r="AA2427" i="3"/>
  <c r="T2428" i="3"/>
  <c r="U2428" i="3"/>
  <c r="V2428" i="3"/>
  <c r="W2428" i="3"/>
  <c r="X2428" i="3"/>
  <c r="Y2428" i="3"/>
  <c r="Z2428" i="3"/>
  <c r="AA2428" i="3"/>
  <c r="T2429" i="3"/>
  <c r="U2429" i="3"/>
  <c r="V2429" i="3"/>
  <c r="W2429" i="3"/>
  <c r="X2429" i="3"/>
  <c r="Y2429" i="3"/>
  <c r="Z2429" i="3"/>
  <c r="AA2429" i="3"/>
  <c r="T2430" i="3"/>
  <c r="U2430" i="3"/>
  <c r="V2430" i="3"/>
  <c r="W2430" i="3"/>
  <c r="X2430" i="3"/>
  <c r="Y2430" i="3"/>
  <c r="Z2430" i="3"/>
  <c r="AA2430" i="3"/>
  <c r="T2431" i="3"/>
  <c r="U2431" i="3"/>
  <c r="V2431" i="3"/>
  <c r="W2431" i="3"/>
  <c r="X2431" i="3"/>
  <c r="Y2431" i="3"/>
  <c r="Z2431" i="3"/>
  <c r="AA2431" i="3"/>
  <c r="T2432" i="3"/>
  <c r="U2432" i="3"/>
  <c r="V2432" i="3"/>
  <c r="W2432" i="3"/>
  <c r="X2432" i="3"/>
  <c r="Y2432" i="3"/>
  <c r="Z2432" i="3"/>
  <c r="AA2432" i="3"/>
  <c r="T2433" i="3"/>
  <c r="U2433" i="3"/>
  <c r="V2433" i="3"/>
  <c r="W2433" i="3"/>
  <c r="X2433" i="3"/>
  <c r="Y2433" i="3"/>
  <c r="Z2433" i="3"/>
  <c r="AA2433" i="3"/>
  <c r="T2434" i="3"/>
  <c r="U2434" i="3"/>
  <c r="V2434" i="3"/>
  <c r="W2434" i="3"/>
  <c r="X2434" i="3"/>
  <c r="Y2434" i="3"/>
  <c r="Z2434" i="3"/>
  <c r="AA2434" i="3"/>
  <c r="T2435" i="3"/>
  <c r="U2435" i="3"/>
  <c r="V2435" i="3"/>
  <c r="W2435" i="3"/>
  <c r="X2435" i="3"/>
  <c r="Y2435" i="3"/>
  <c r="Z2435" i="3"/>
  <c r="AA2435" i="3"/>
  <c r="T2436" i="3"/>
  <c r="U2436" i="3"/>
  <c r="V2436" i="3"/>
  <c r="W2436" i="3"/>
  <c r="X2436" i="3"/>
  <c r="Y2436" i="3"/>
  <c r="Z2436" i="3"/>
  <c r="AA2436" i="3"/>
  <c r="T2437" i="3"/>
  <c r="U2437" i="3"/>
  <c r="V2437" i="3"/>
  <c r="W2437" i="3"/>
  <c r="X2437" i="3"/>
  <c r="Y2437" i="3"/>
  <c r="Z2437" i="3"/>
  <c r="AA2437" i="3"/>
  <c r="T2438" i="3"/>
  <c r="U2438" i="3"/>
  <c r="V2438" i="3"/>
  <c r="W2438" i="3"/>
  <c r="X2438" i="3"/>
  <c r="Y2438" i="3"/>
  <c r="Z2438" i="3"/>
  <c r="AA2438" i="3"/>
  <c r="T2439" i="3"/>
  <c r="U2439" i="3"/>
  <c r="V2439" i="3"/>
  <c r="W2439" i="3"/>
  <c r="X2439" i="3"/>
  <c r="Y2439" i="3"/>
  <c r="Z2439" i="3"/>
  <c r="AA2439" i="3"/>
  <c r="T2440" i="3"/>
  <c r="U2440" i="3"/>
  <c r="V2440" i="3"/>
  <c r="W2440" i="3"/>
  <c r="X2440" i="3"/>
  <c r="Y2440" i="3"/>
  <c r="Z2440" i="3"/>
  <c r="AA2440" i="3"/>
  <c r="T2441" i="3"/>
  <c r="U2441" i="3"/>
  <c r="V2441" i="3"/>
  <c r="W2441" i="3"/>
  <c r="X2441" i="3"/>
  <c r="Y2441" i="3"/>
  <c r="Z2441" i="3"/>
  <c r="AA2441" i="3"/>
  <c r="T2442" i="3"/>
  <c r="U2442" i="3"/>
  <c r="V2442" i="3"/>
  <c r="W2442" i="3"/>
  <c r="X2442" i="3"/>
  <c r="Y2442" i="3"/>
  <c r="Z2442" i="3"/>
  <c r="AA2442" i="3"/>
  <c r="T2443" i="3"/>
  <c r="U2443" i="3"/>
  <c r="V2443" i="3"/>
  <c r="W2443" i="3"/>
  <c r="X2443" i="3"/>
  <c r="Y2443" i="3"/>
  <c r="Z2443" i="3"/>
  <c r="AA2443" i="3"/>
  <c r="T2444" i="3"/>
  <c r="U2444" i="3"/>
  <c r="V2444" i="3"/>
  <c r="W2444" i="3"/>
  <c r="X2444" i="3"/>
  <c r="Y2444" i="3"/>
  <c r="Z2444" i="3"/>
  <c r="AA2444" i="3"/>
  <c r="T2445" i="3"/>
  <c r="U2445" i="3"/>
  <c r="V2445" i="3"/>
  <c r="W2445" i="3"/>
  <c r="X2445" i="3"/>
  <c r="Y2445" i="3"/>
  <c r="Z2445" i="3"/>
  <c r="AA2445" i="3"/>
  <c r="T2446" i="3"/>
  <c r="U2446" i="3"/>
  <c r="V2446" i="3"/>
  <c r="W2446" i="3"/>
  <c r="X2446" i="3"/>
  <c r="Y2446" i="3"/>
  <c r="Z2446" i="3"/>
  <c r="AA2446" i="3"/>
  <c r="T2447" i="3"/>
  <c r="U2447" i="3"/>
  <c r="V2447" i="3"/>
  <c r="W2447" i="3"/>
  <c r="X2447" i="3"/>
  <c r="Y2447" i="3"/>
  <c r="Z2447" i="3"/>
  <c r="AA2447" i="3"/>
  <c r="T2448" i="3"/>
  <c r="U2448" i="3"/>
  <c r="V2448" i="3"/>
  <c r="W2448" i="3"/>
  <c r="X2448" i="3"/>
  <c r="Y2448" i="3"/>
  <c r="Z2448" i="3"/>
  <c r="AA2448" i="3"/>
  <c r="T2449" i="3"/>
  <c r="U2449" i="3"/>
  <c r="V2449" i="3"/>
  <c r="W2449" i="3"/>
  <c r="X2449" i="3"/>
  <c r="Y2449" i="3"/>
  <c r="Z2449" i="3"/>
  <c r="AA2449" i="3"/>
  <c r="T2450" i="3"/>
  <c r="U2450" i="3"/>
  <c r="V2450" i="3"/>
  <c r="W2450" i="3"/>
  <c r="X2450" i="3"/>
  <c r="Y2450" i="3"/>
  <c r="Z2450" i="3"/>
  <c r="AA2450" i="3"/>
  <c r="T2451" i="3"/>
  <c r="U2451" i="3"/>
  <c r="V2451" i="3"/>
  <c r="W2451" i="3"/>
  <c r="X2451" i="3"/>
  <c r="Y2451" i="3"/>
  <c r="Z2451" i="3"/>
  <c r="AA2451" i="3"/>
  <c r="T2452" i="3"/>
  <c r="U2452" i="3"/>
  <c r="V2452" i="3"/>
  <c r="W2452" i="3"/>
  <c r="X2452" i="3"/>
  <c r="Y2452" i="3"/>
  <c r="Z2452" i="3"/>
  <c r="AA2452" i="3"/>
  <c r="U2420" i="3"/>
  <c r="V2420" i="3"/>
  <c r="W2420" i="3"/>
  <c r="X2420" i="3"/>
  <c r="Y2420" i="3"/>
  <c r="Z2420" i="3"/>
  <c r="AA2420" i="3"/>
  <c r="T2420" i="3"/>
  <c r="T2387" i="3"/>
  <c r="U2387" i="3"/>
  <c r="V2387" i="3"/>
  <c r="W2387" i="3"/>
  <c r="X2387" i="3"/>
  <c r="Y2387" i="3"/>
  <c r="Z2387" i="3"/>
  <c r="AA2387" i="3"/>
  <c r="T2388" i="3"/>
  <c r="U2388" i="3"/>
  <c r="V2388" i="3"/>
  <c r="W2388" i="3"/>
  <c r="X2388" i="3"/>
  <c r="Y2388" i="3"/>
  <c r="Z2388" i="3"/>
  <c r="AA2388" i="3"/>
  <c r="T2389" i="3"/>
  <c r="U2389" i="3"/>
  <c r="V2389" i="3"/>
  <c r="W2389" i="3"/>
  <c r="X2389" i="3"/>
  <c r="Y2389" i="3"/>
  <c r="Z2389" i="3"/>
  <c r="AA2389" i="3"/>
  <c r="T2390" i="3"/>
  <c r="U2390" i="3"/>
  <c r="V2390" i="3"/>
  <c r="W2390" i="3"/>
  <c r="X2390" i="3"/>
  <c r="Y2390" i="3"/>
  <c r="Z2390" i="3"/>
  <c r="AA2390" i="3"/>
  <c r="T2391" i="3"/>
  <c r="U2391" i="3"/>
  <c r="V2391" i="3"/>
  <c r="W2391" i="3"/>
  <c r="X2391" i="3"/>
  <c r="Y2391" i="3"/>
  <c r="Z2391" i="3"/>
  <c r="AA2391" i="3"/>
  <c r="T2392" i="3"/>
  <c r="U2392" i="3"/>
  <c r="V2392" i="3"/>
  <c r="W2392" i="3"/>
  <c r="X2392" i="3"/>
  <c r="Y2392" i="3"/>
  <c r="Z2392" i="3"/>
  <c r="AA2392" i="3"/>
  <c r="T2393" i="3"/>
  <c r="U2393" i="3"/>
  <c r="V2393" i="3"/>
  <c r="W2393" i="3"/>
  <c r="X2393" i="3"/>
  <c r="Y2393" i="3"/>
  <c r="Z2393" i="3"/>
  <c r="AA2393" i="3"/>
  <c r="T2394" i="3"/>
  <c r="U2394" i="3"/>
  <c r="V2394" i="3"/>
  <c r="W2394" i="3"/>
  <c r="X2394" i="3"/>
  <c r="Y2394" i="3"/>
  <c r="Z2394" i="3"/>
  <c r="AA2394" i="3"/>
  <c r="T2395" i="3"/>
  <c r="U2395" i="3"/>
  <c r="V2395" i="3"/>
  <c r="W2395" i="3"/>
  <c r="X2395" i="3"/>
  <c r="Y2395" i="3"/>
  <c r="Z2395" i="3"/>
  <c r="AA2395" i="3"/>
  <c r="T2396" i="3"/>
  <c r="U2396" i="3"/>
  <c r="V2396" i="3"/>
  <c r="W2396" i="3"/>
  <c r="X2396" i="3"/>
  <c r="Y2396" i="3"/>
  <c r="Z2396" i="3"/>
  <c r="AA2396" i="3"/>
  <c r="T2397" i="3"/>
  <c r="U2397" i="3"/>
  <c r="V2397" i="3"/>
  <c r="W2397" i="3"/>
  <c r="X2397" i="3"/>
  <c r="Y2397" i="3"/>
  <c r="Z2397" i="3"/>
  <c r="AA2397" i="3"/>
  <c r="T2398" i="3"/>
  <c r="U2398" i="3"/>
  <c r="V2398" i="3"/>
  <c r="W2398" i="3"/>
  <c r="X2398" i="3"/>
  <c r="Y2398" i="3"/>
  <c r="Z2398" i="3"/>
  <c r="AA2398" i="3"/>
  <c r="T2399" i="3"/>
  <c r="U2399" i="3"/>
  <c r="V2399" i="3"/>
  <c r="W2399" i="3"/>
  <c r="X2399" i="3"/>
  <c r="Y2399" i="3"/>
  <c r="Z2399" i="3"/>
  <c r="AA2399" i="3"/>
  <c r="T2400" i="3"/>
  <c r="U2400" i="3"/>
  <c r="V2400" i="3"/>
  <c r="W2400" i="3"/>
  <c r="X2400" i="3"/>
  <c r="Y2400" i="3"/>
  <c r="Z2400" i="3"/>
  <c r="AA2400" i="3"/>
  <c r="T2401" i="3"/>
  <c r="U2401" i="3"/>
  <c r="V2401" i="3"/>
  <c r="W2401" i="3"/>
  <c r="X2401" i="3"/>
  <c r="Y2401" i="3"/>
  <c r="Z2401" i="3"/>
  <c r="AA2401" i="3"/>
  <c r="T2402" i="3"/>
  <c r="U2402" i="3"/>
  <c r="V2402" i="3"/>
  <c r="W2402" i="3"/>
  <c r="X2402" i="3"/>
  <c r="Y2402" i="3"/>
  <c r="Z2402" i="3"/>
  <c r="AA2402" i="3"/>
  <c r="T2403" i="3"/>
  <c r="U2403" i="3"/>
  <c r="V2403" i="3"/>
  <c r="W2403" i="3"/>
  <c r="X2403" i="3"/>
  <c r="Y2403" i="3"/>
  <c r="Z2403" i="3"/>
  <c r="AA2403" i="3"/>
  <c r="T2404" i="3"/>
  <c r="U2404" i="3"/>
  <c r="V2404" i="3"/>
  <c r="W2404" i="3"/>
  <c r="X2404" i="3"/>
  <c r="Y2404" i="3"/>
  <c r="Z2404" i="3"/>
  <c r="AA2404" i="3"/>
  <c r="T2405" i="3"/>
  <c r="U2405" i="3"/>
  <c r="V2405" i="3"/>
  <c r="W2405" i="3"/>
  <c r="X2405" i="3"/>
  <c r="Y2405" i="3"/>
  <c r="Z2405" i="3"/>
  <c r="AA2405" i="3"/>
  <c r="T2406" i="3"/>
  <c r="U2406" i="3"/>
  <c r="V2406" i="3"/>
  <c r="W2406" i="3"/>
  <c r="X2406" i="3"/>
  <c r="Y2406" i="3"/>
  <c r="Z2406" i="3"/>
  <c r="AA2406" i="3"/>
  <c r="T2407" i="3"/>
  <c r="U2407" i="3"/>
  <c r="V2407" i="3"/>
  <c r="W2407" i="3"/>
  <c r="X2407" i="3"/>
  <c r="Y2407" i="3"/>
  <c r="Z2407" i="3"/>
  <c r="AA2407" i="3"/>
  <c r="T2408" i="3"/>
  <c r="U2408" i="3"/>
  <c r="V2408" i="3"/>
  <c r="W2408" i="3"/>
  <c r="X2408" i="3"/>
  <c r="Y2408" i="3"/>
  <c r="Z2408" i="3"/>
  <c r="AA2408" i="3"/>
  <c r="T2409" i="3"/>
  <c r="U2409" i="3"/>
  <c r="V2409" i="3"/>
  <c r="W2409" i="3"/>
  <c r="X2409" i="3"/>
  <c r="Y2409" i="3"/>
  <c r="Z2409" i="3"/>
  <c r="AA2409" i="3"/>
  <c r="T2410" i="3"/>
  <c r="U2410" i="3"/>
  <c r="V2410" i="3"/>
  <c r="W2410" i="3"/>
  <c r="X2410" i="3"/>
  <c r="Y2410" i="3"/>
  <c r="Z2410" i="3"/>
  <c r="AA2410" i="3"/>
  <c r="T2411" i="3"/>
  <c r="U2411" i="3"/>
  <c r="V2411" i="3"/>
  <c r="W2411" i="3"/>
  <c r="X2411" i="3"/>
  <c r="Y2411" i="3"/>
  <c r="Z2411" i="3"/>
  <c r="AA2411" i="3"/>
  <c r="T2412" i="3"/>
  <c r="U2412" i="3"/>
  <c r="V2412" i="3"/>
  <c r="W2412" i="3"/>
  <c r="X2412" i="3"/>
  <c r="Y2412" i="3"/>
  <c r="Z2412" i="3"/>
  <c r="AA2412" i="3"/>
  <c r="T2413" i="3"/>
  <c r="U2413" i="3"/>
  <c r="V2413" i="3"/>
  <c r="W2413" i="3"/>
  <c r="X2413" i="3"/>
  <c r="Y2413" i="3"/>
  <c r="Z2413" i="3"/>
  <c r="AA2413" i="3"/>
  <c r="T2414" i="3"/>
  <c r="U2414" i="3"/>
  <c r="V2414" i="3"/>
  <c r="W2414" i="3"/>
  <c r="X2414" i="3"/>
  <c r="Y2414" i="3"/>
  <c r="Z2414" i="3"/>
  <c r="AA2414" i="3"/>
  <c r="T2415" i="3"/>
  <c r="U2415" i="3"/>
  <c r="V2415" i="3"/>
  <c r="W2415" i="3"/>
  <c r="X2415" i="3"/>
  <c r="Y2415" i="3"/>
  <c r="Z2415" i="3"/>
  <c r="AA2415" i="3"/>
  <c r="T2416" i="3"/>
  <c r="U2416" i="3"/>
  <c r="V2416" i="3"/>
  <c r="W2416" i="3"/>
  <c r="X2416" i="3"/>
  <c r="Y2416" i="3"/>
  <c r="Z2416" i="3"/>
  <c r="AA2416" i="3"/>
  <c r="T2417" i="3"/>
  <c r="U2417" i="3"/>
  <c r="V2417" i="3"/>
  <c r="W2417" i="3"/>
  <c r="X2417" i="3"/>
  <c r="Y2417" i="3"/>
  <c r="Z2417" i="3"/>
  <c r="AA2417" i="3"/>
  <c r="T2418" i="3"/>
  <c r="U2418" i="3"/>
  <c r="V2418" i="3"/>
  <c r="W2418" i="3"/>
  <c r="X2418" i="3"/>
  <c r="Y2418" i="3"/>
  <c r="Z2418" i="3"/>
  <c r="AA2418" i="3"/>
  <c r="U2386" i="3"/>
  <c r="V2386" i="3"/>
  <c r="W2386" i="3"/>
  <c r="X2386" i="3"/>
  <c r="Y2386" i="3"/>
  <c r="Z2386" i="3"/>
  <c r="AA2386" i="3"/>
  <c r="T2386" i="3"/>
  <c r="AB3643" i="3"/>
  <c r="AB3609" i="3"/>
  <c r="AB3575" i="3"/>
  <c r="AB3541" i="3"/>
  <c r="AB3507" i="3"/>
  <c r="AB3473" i="3"/>
  <c r="AB3439" i="3"/>
  <c r="AB3405" i="3"/>
  <c r="AB3371" i="3"/>
  <c r="AB3337" i="3"/>
  <c r="AB3303" i="3"/>
  <c r="AB3269" i="3"/>
  <c r="AB3235" i="3"/>
  <c r="AB3201" i="3"/>
  <c r="AB3167" i="3"/>
  <c r="AB3133" i="3"/>
  <c r="AB3099" i="3"/>
  <c r="AB3065" i="3"/>
  <c r="AB3031" i="3"/>
  <c r="AB2997" i="3"/>
  <c r="AB2963" i="3"/>
  <c r="AB2929" i="3"/>
  <c r="AB2895" i="3"/>
  <c r="AB2861" i="3"/>
  <c r="AB2827" i="3"/>
  <c r="AB2793" i="3"/>
  <c r="AB2759" i="3"/>
  <c r="AB2725" i="3"/>
  <c r="AB2691" i="3"/>
  <c r="AB2657" i="3"/>
  <c r="AB2623" i="3"/>
  <c r="AB2589" i="3"/>
  <c r="AB2555" i="3"/>
  <c r="AB2521" i="3"/>
  <c r="AB2487" i="3"/>
  <c r="AB2453" i="3"/>
  <c r="AB2419" i="3"/>
  <c r="AB2317" i="3"/>
  <c r="AB2351" i="3"/>
  <c r="AB2385" i="3"/>
  <c r="AB2852" i="3"/>
  <c r="AB2854" i="3"/>
  <c r="AB2856" i="3"/>
  <c r="AB2866" i="3"/>
  <c r="AB2882" i="3"/>
  <c r="AB2886" i="3"/>
  <c r="AB2898" i="3"/>
  <c r="AB2900" i="3"/>
  <c r="AB2902" i="3"/>
  <c r="AB2910" i="3"/>
  <c r="AB2912" i="3"/>
  <c r="AB2914" i="3"/>
  <c r="AB2916" i="3"/>
  <c r="AB2918" i="3"/>
  <c r="AB2932" i="3"/>
  <c r="AB2934" i="3"/>
  <c r="AB2936" i="3"/>
  <c r="AB2944" i="3"/>
  <c r="AB2946" i="3"/>
  <c r="AB2948" i="3"/>
  <c r="AB2950" i="3"/>
  <c r="AB2952" i="3"/>
  <c r="AB2960" i="3"/>
  <c r="AB2962" i="3"/>
  <c r="AB3006" i="3"/>
  <c r="AB3102" i="3"/>
  <c r="AB3112" i="3"/>
  <c r="AB3132" i="3"/>
  <c r="AB3136" i="3"/>
  <c r="AB3160" i="3"/>
  <c r="AB3164" i="3"/>
  <c r="AB3204" i="3"/>
  <c r="AB3214" i="3"/>
  <c r="AB3216" i="3"/>
  <c r="AB3232" i="3"/>
  <c r="AB3234" i="3"/>
  <c r="AB3238" i="3"/>
  <c r="AB3248" i="3"/>
  <c r="AB3258" i="3"/>
  <c r="AB3268" i="3"/>
  <c r="AB3274" i="3"/>
  <c r="AB3278" i="3"/>
  <c r="AB3282" i="3"/>
  <c r="AB3306" i="3"/>
  <c r="AB3312" i="3"/>
  <c r="AB3314" i="3"/>
  <c r="AB3316" i="3"/>
  <c r="AB3326" i="3"/>
  <c r="AB3328" i="3"/>
  <c r="AB3330" i="3"/>
  <c r="AB3342" i="3"/>
  <c r="AB3348" i="3"/>
  <c r="AB3350" i="3"/>
  <c r="AB3360" i="3"/>
  <c r="AB3364" i="3"/>
  <c r="AB3378" i="3"/>
  <c r="AB3382" i="3"/>
  <c r="AB3384" i="3"/>
  <c r="AB3386" i="3"/>
  <c r="AB3388" i="3"/>
  <c r="AB3390" i="3"/>
  <c r="AB3400" i="3"/>
  <c r="AB3408" i="3"/>
  <c r="AB3410" i="3"/>
  <c r="AB3412" i="3"/>
  <c r="AB3418" i="3"/>
  <c r="AB3420" i="3"/>
  <c r="AB3422" i="3"/>
  <c r="AB3424" i="3"/>
  <c r="AB3426" i="3"/>
  <c r="AB3428" i="3"/>
  <c r="AB3434" i="3"/>
  <c r="AB3436" i="3"/>
  <c r="AB3438" i="3"/>
  <c r="AB3468" i="3"/>
  <c r="AB3504" i="3"/>
  <c r="AB3510" i="3"/>
  <c r="AB3514" i="3"/>
  <c r="AB3516" i="3"/>
  <c r="AB3518" i="3"/>
  <c r="AB3520" i="3"/>
  <c r="AB3522" i="3"/>
  <c r="AB3524" i="3"/>
  <c r="AB3526" i="3"/>
  <c r="AB3530" i="3"/>
  <c r="AB3540" i="3"/>
  <c r="AB3544" i="3"/>
  <c r="AB3546" i="3"/>
  <c r="AB3548" i="3"/>
  <c r="AB3550" i="3"/>
  <c r="AB3552" i="3"/>
  <c r="AB3554" i="3"/>
  <c r="AB3556" i="3"/>
  <c r="AB3558" i="3"/>
  <c r="AB3560" i="3"/>
  <c r="AB3564" i="3"/>
  <c r="AB3568" i="3"/>
  <c r="AB3572" i="3"/>
  <c r="AB3578" i="3"/>
  <c r="AB3580" i="3"/>
  <c r="AB3582" i="3"/>
  <c r="AB3584" i="3"/>
  <c r="AB3586" i="3"/>
  <c r="AB3588" i="3"/>
  <c r="AB3590" i="3"/>
  <c r="AB3592" i="3"/>
  <c r="AB3594" i="3"/>
  <c r="AB3596" i="3"/>
  <c r="AB3598" i="3"/>
  <c r="AB3602" i="3"/>
  <c r="AB3606" i="3"/>
  <c r="AB3610" i="3"/>
  <c r="AB3612" i="3"/>
  <c r="AB3616" i="3"/>
  <c r="AB3620" i="3"/>
  <c r="AB3624" i="3"/>
  <c r="AB3628" i="3"/>
  <c r="AB3632" i="3"/>
  <c r="AB3636" i="3"/>
  <c r="AB3640" i="3"/>
  <c r="AB3646" i="3"/>
  <c r="AB3648" i="3"/>
  <c r="AB3650" i="3"/>
  <c r="AB3652" i="3"/>
  <c r="AB3654" i="3"/>
  <c r="AB3656" i="3"/>
  <c r="AB3658" i="3"/>
  <c r="AB3660" i="3"/>
  <c r="AB3662" i="3"/>
  <c r="AB3664" i="3"/>
  <c r="AB3666" i="3"/>
  <c r="AB3668" i="3"/>
  <c r="AB3670" i="3"/>
  <c r="AB3672" i="3"/>
  <c r="AB3674" i="3"/>
  <c r="AB3676" i="3"/>
  <c r="AB3677" i="3"/>
  <c r="AB2724" i="3" l="1"/>
  <c r="AB2720" i="3"/>
  <c r="AB2716" i="3"/>
  <c r="AB2708" i="3"/>
  <c r="AB2696" i="3"/>
  <c r="AB2830" i="3"/>
  <c r="AB2594" i="3"/>
  <c r="AB2928" i="3"/>
  <c r="AB2926" i="3"/>
  <c r="AB2824" i="3"/>
  <c r="AB2826" i="3"/>
  <c r="AB2822" i="3"/>
  <c r="AB2804" i="3"/>
  <c r="AB2796" i="3"/>
  <c r="AB2802" i="3"/>
  <c r="AB2786" i="3"/>
  <c r="AB2770" i="3"/>
  <c r="AB2958" i="3"/>
  <c r="AB2942" i="3"/>
  <c r="AB2684" i="3"/>
  <c r="AB2676" i="3"/>
  <c r="AB2672" i="3"/>
  <c r="AB2634" i="3"/>
  <c r="AB2646" i="3"/>
  <c r="AB2630" i="3"/>
  <c r="AB2596" i="3"/>
  <c r="AB2564" i="3"/>
  <c r="AB2712" i="3"/>
  <c r="AB2704" i="3"/>
  <c r="AB2700" i="3"/>
  <c r="AB3528" i="3"/>
  <c r="AB3512" i="3"/>
  <c r="AB3538" i="3"/>
  <c r="AB3494" i="3"/>
  <c r="AB3536" i="3"/>
  <c r="AB3488" i="3"/>
  <c r="AB3534" i="3"/>
  <c r="AB3478" i="3"/>
  <c r="AB3532" i="3"/>
  <c r="AB3492" i="3"/>
  <c r="AB3476" i="3"/>
  <c r="AB3506" i="3"/>
  <c r="AB3490" i="3"/>
  <c r="AB3472" i="3"/>
  <c r="AB3502" i="3"/>
  <c r="AB3486" i="3"/>
  <c r="AB3464" i="3"/>
  <c r="AB3500" i="3"/>
  <c r="AB3484" i="3"/>
  <c r="AB3452" i="3"/>
  <c r="AB3498" i="3"/>
  <c r="AB3482" i="3"/>
  <c r="AB3448" i="3"/>
  <c r="AB3496" i="3"/>
  <c r="AB3480" i="3"/>
  <c r="AB3444" i="3"/>
  <c r="AB3368" i="3"/>
  <c r="AB2968" i="3"/>
  <c r="AB2626" i="3"/>
  <c r="AB2820" i="3"/>
  <c r="AB2668" i="3"/>
  <c r="AB2778" i="3"/>
  <c r="AB2532" i="3"/>
  <c r="AB2908" i="3"/>
  <c r="AB2810" i="3"/>
  <c r="AB2664" i="3"/>
  <c r="AB2560" i="3"/>
  <c r="AB2846" i="3"/>
  <c r="AB2844" i="3"/>
  <c r="AB2528" i="3"/>
  <c r="AB3404" i="3"/>
  <c r="AB3340" i="3"/>
  <c r="AB3310" i="3"/>
  <c r="AB3256" i="3"/>
  <c r="AB3208" i="3"/>
  <c r="AB3106" i="3"/>
  <c r="AB2922" i="3"/>
  <c r="AB2906" i="3"/>
  <c r="AB2874" i="3"/>
  <c r="AB2842" i="3"/>
  <c r="AB2808" i="3"/>
  <c r="AB2774" i="3"/>
  <c r="AB2660" i="3"/>
  <c r="AB2602" i="3"/>
  <c r="AB2458" i="3"/>
  <c r="AB2608" i="3"/>
  <c r="AB2924" i="3"/>
  <c r="AB2878" i="3"/>
  <c r="AB2776" i="3"/>
  <c r="AB2604" i="3"/>
  <c r="AB3402" i="3"/>
  <c r="AB3372" i="3"/>
  <c r="AB3332" i="3"/>
  <c r="AB3308" i="3"/>
  <c r="AB3250" i="3"/>
  <c r="AB3206" i="3"/>
  <c r="AB3104" i="3"/>
  <c r="AB2920" i="3"/>
  <c r="AB2904" i="3"/>
  <c r="AB2870" i="3"/>
  <c r="AB2836" i="3"/>
  <c r="AB2806" i="3"/>
  <c r="AB2772" i="3"/>
  <c r="AB2650" i="3"/>
  <c r="AB2600" i="3"/>
  <c r="AB2390" i="3"/>
  <c r="AB3130" i="3"/>
  <c r="AB3460" i="3"/>
  <c r="AB3398" i="3"/>
  <c r="AB3376" i="3"/>
  <c r="AB3346" i="3"/>
  <c r="AB3324" i="3"/>
  <c r="AB3294" i="3"/>
  <c r="AB3254" i="3"/>
  <c r="AB3224" i="3"/>
  <c r="AB3176" i="3"/>
  <c r="AB3122" i="3"/>
  <c r="AB3060" i="3"/>
  <c r="AB3084" i="3"/>
  <c r="AB3230" i="3"/>
  <c r="AB3180" i="3"/>
  <c r="AB3128" i="3"/>
  <c r="AB3082" i="3"/>
  <c r="AB3456" i="3"/>
  <c r="AB3392" i="3"/>
  <c r="AB3374" i="3"/>
  <c r="AB3344" i="3"/>
  <c r="AB3322" i="3"/>
  <c r="AB3286" i="3"/>
  <c r="AB3252" i="3"/>
  <c r="AB3222" i="3"/>
  <c r="AB3172" i="3"/>
  <c r="AB3114" i="3"/>
  <c r="AB3056" i="3"/>
  <c r="AB3010" i="3"/>
  <c r="AB3080" i="3"/>
  <c r="AB3156" i="3"/>
  <c r="AB3040" i="3"/>
  <c r="AB2980" i="3"/>
  <c r="AB3014" i="3"/>
  <c r="AB3048" i="3"/>
  <c r="AB3076" i="3"/>
  <c r="AB3148" i="3"/>
  <c r="AB3228" i="3"/>
  <c r="AB3262" i="3"/>
  <c r="AB3246" i="3"/>
  <c r="AB3244" i="3"/>
  <c r="AB3002" i="3"/>
  <c r="AB3120" i="3"/>
  <c r="AB3078" i="3"/>
  <c r="AB3052" i="3"/>
  <c r="AB3092" i="3"/>
  <c r="AB3090" i="3"/>
  <c r="AB3074" i="3"/>
  <c r="AB3124" i="3"/>
  <c r="AB3110" i="3"/>
  <c r="AB3188" i="3"/>
  <c r="AB3396" i="3"/>
  <c r="AB3380" i="3"/>
  <c r="AB3356" i="3"/>
  <c r="AB3336" i="3"/>
  <c r="AB3320" i="3"/>
  <c r="AB3302" i="3"/>
  <c r="AB3266" i="3"/>
  <c r="AB3242" i="3"/>
  <c r="AB3220" i="3"/>
  <c r="AB3196" i="3"/>
  <c r="AB3144" i="3"/>
  <c r="AB3118" i="3"/>
  <c r="AB3096" i="3"/>
  <c r="AB3072" i="3"/>
  <c r="AB3036" i="3"/>
  <c r="AB2992" i="3"/>
  <c r="AB3044" i="3"/>
  <c r="AB3200" i="3"/>
  <c r="AB3098" i="3"/>
  <c r="AB2996" i="3"/>
  <c r="AB2984" i="3"/>
  <c r="AB3018" i="3"/>
  <c r="AB3126" i="3"/>
  <c r="AB3108" i="3"/>
  <c r="AB3152" i="3"/>
  <c r="AB3184" i="3"/>
  <c r="AB3226" i="3"/>
  <c r="AB3212" i="3"/>
  <c r="AB3210" i="3"/>
  <c r="AB3260" i="3"/>
  <c r="AB3290" i="3"/>
  <c r="AB3394" i="3"/>
  <c r="AB3352" i="3"/>
  <c r="AB3334" i="3"/>
  <c r="AB3318" i="3"/>
  <c r="AB3298" i="3"/>
  <c r="AB3264" i="3"/>
  <c r="AB3240" i="3"/>
  <c r="AB3218" i="3"/>
  <c r="AB3192" i="3"/>
  <c r="AB3140" i="3"/>
  <c r="AB3116" i="3"/>
  <c r="AB3094" i="3"/>
  <c r="AB3070" i="3"/>
  <c r="AB3030" i="3"/>
  <c r="AB2988" i="3"/>
  <c r="AB3088" i="3"/>
  <c r="AB3068" i="3"/>
  <c r="AB3026" i="3"/>
  <c r="AB2976" i="3"/>
  <c r="AB3086" i="3"/>
  <c r="AB3064" i="3"/>
  <c r="AB3022" i="3"/>
  <c r="AB2972" i="3"/>
  <c r="AB3644" i="3"/>
  <c r="AB3675" i="3"/>
  <c r="AB3673" i="3"/>
  <c r="AB3671" i="3"/>
  <c r="AB3669" i="3"/>
  <c r="AB3667" i="3"/>
  <c r="AB3665" i="3"/>
  <c r="AB3663" i="3"/>
  <c r="AB3661" i="3"/>
  <c r="AB3659" i="3"/>
  <c r="AB3657" i="3"/>
  <c r="AB3655" i="3"/>
  <c r="AB3653" i="3"/>
  <c r="AB3651" i="3"/>
  <c r="AB3649" i="3"/>
  <c r="AB3647" i="3"/>
  <c r="AB3645" i="3"/>
  <c r="AB2738" i="3"/>
  <c r="AB2894" i="3"/>
  <c r="AB2860" i="3"/>
  <c r="AB2840" i="3"/>
  <c r="AB2818" i="3"/>
  <c r="AB2790" i="3"/>
  <c r="AB2762" i="3"/>
  <c r="AB2890" i="3"/>
  <c r="AB2858" i="3"/>
  <c r="AB2838" i="3"/>
  <c r="AB2812" i="3"/>
  <c r="AB2788" i="3"/>
  <c r="AB2754" i="3"/>
  <c r="AB2744" i="3"/>
  <c r="AB2728" i="3"/>
  <c r="AB2792" i="3"/>
  <c r="AB2758" i="3"/>
  <c r="AB2742" i="3"/>
  <c r="AB2756" i="3"/>
  <c r="AB2740" i="3"/>
  <c r="AB2736" i="3"/>
  <c r="AB2768" i="3"/>
  <c r="AB2750" i="3"/>
  <c r="AB2850" i="3"/>
  <c r="AB2834" i="3"/>
  <c r="AB2816" i="3"/>
  <c r="AB2800" i="3"/>
  <c r="AB2782" i="3"/>
  <c r="AB2766" i="3"/>
  <c r="AB2748" i="3"/>
  <c r="AB2732" i="3"/>
  <c r="AB2752" i="3"/>
  <c r="AB2784" i="3"/>
  <c r="AB2734" i="3"/>
  <c r="AB2848" i="3"/>
  <c r="AB2832" i="3"/>
  <c r="AB2814" i="3"/>
  <c r="AB2798" i="3"/>
  <c r="AB2780" i="3"/>
  <c r="AB2764" i="3"/>
  <c r="AB2746" i="3"/>
  <c r="AB2730" i="3"/>
  <c r="AB2526" i="3"/>
  <c r="AB2620" i="3"/>
  <c r="AB2524" i="3"/>
  <c r="AB2618" i="3"/>
  <c r="AB2576" i="3"/>
  <c r="AB2616" i="3"/>
  <c r="AB2568" i="3"/>
  <c r="AB2508" i="3"/>
  <c r="AB2548" i="3"/>
  <c r="AB2544" i="3"/>
  <c r="AB2680" i="3"/>
  <c r="AB2642" i="3"/>
  <c r="AB2612" i="3"/>
  <c r="AB2592" i="3"/>
  <c r="AB2540" i="3"/>
  <c r="AB2492" i="3"/>
  <c r="AB2638" i="3"/>
  <c r="AB2610" i="3"/>
  <c r="AB2580" i="3"/>
  <c r="AB2534" i="3"/>
  <c r="AB2424" i="3"/>
  <c r="AB2553" i="3"/>
  <c r="AB2655" i="3"/>
  <c r="AB2688" i="3"/>
  <c r="AB2654" i="3"/>
  <c r="AB2622" i="3"/>
  <c r="AB2606" i="3"/>
  <c r="AB2588" i="3"/>
  <c r="AB2554" i="3"/>
  <c r="AB2538" i="3"/>
  <c r="AB2520" i="3"/>
  <c r="AB2486" i="3"/>
  <c r="AB2452" i="3"/>
  <c r="AB2418" i="3"/>
  <c r="AB2584" i="3"/>
  <c r="AB2552" i="3"/>
  <c r="AB2536" i="3"/>
  <c r="AB2516" i="3"/>
  <c r="AB2482" i="3"/>
  <c r="AB2448" i="3"/>
  <c r="AB2414" i="3"/>
  <c r="AB2550" i="3"/>
  <c r="AB2512" i="3"/>
  <c r="AB2478" i="3"/>
  <c r="AB2444" i="3"/>
  <c r="AB2410" i="3"/>
  <c r="AB2474" i="3"/>
  <c r="AB2440" i="3"/>
  <c r="AB2406" i="3"/>
  <c r="AB2614" i="3"/>
  <c r="AB2598" i="3"/>
  <c r="AB2572" i="3"/>
  <c r="AB2546" i="3"/>
  <c r="AB2530" i="3"/>
  <c r="AB2504" i="3"/>
  <c r="AB2470" i="3"/>
  <c r="AB2436" i="3"/>
  <c r="AB2402" i="3"/>
  <c r="AB2417" i="3"/>
  <c r="AB2413" i="3"/>
  <c r="AB2409" i="3"/>
  <c r="AB2405" i="3"/>
  <c r="AB2401" i="3"/>
  <c r="AB2397" i="3"/>
  <c r="AB2393" i="3"/>
  <c r="AB2389" i="3"/>
  <c r="AB2451" i="3"/>
  <c r="AB2447" i="3"/>
  <c r="AB2443" i="3"/>
  <c r="AB2439" i="3"/>
  <c r="AB2435" i="3"/>
  <c r="AB2431" i="3"/>
  <c r="AB2427" i="3"/>
  <c r="AB2423" i="3"/>
  <c r="AB2485" i="3"/>
  <c r="AB2481" i="3"/>
  <c r="AB2477" i="3"/>
  <c r="AB2473" i="3"/>
  <c r="AB2469" i="3"/>
  <c r="AB2465" i="3"/>
  <c r="AB2461" i="3"/>
  <c r="AB2457" i="3"/>
  <c r="AB2488" i="3"/>
  <c r="AB2519" i="3"/>
  <c r="AB2515" i="3"/>
  <c r="AB2511" i="3"/>
  <c r="AB2507" i="3"/>
  <c r="AB2503" i="3"/>
  <c r="AB2499" i="3"/>
  <c r="AB2495" i="3"/>
  <c r="AB2491" i="3"/>
  <c r="AB2522" i="3"/>
  <c r="AB2587" i="3"/>
  <c r="AB2583" i="3"/>
  <c r="AB2579" i="3"/>
  <c r="AB2575" i="3"/>
  <c r="AB2571" i="3"/>
  <c r="AB2567" i="3"/>
  <c r="AB2563" i="3"/>
  <c r="AB2559" i="3"/>
  <c r="AB2723" i="3"/>
  <c r="AB2719" i="3"/>
  <c r="AB2715" i="3"/>
  <c r="AB2711" i="3"/>
  <c r="AB2707" i="3"/>
  <c r="AB2703" i="3"/>
  <c r="AB2699" i="3"/>
  <c r="AB2695" i="3"/>
  <c r="AB2893" i="3"/>
  <c r="AB2889" i="3"/>
  <c r="AB2885" i="3"/>
  <c r="AB2881" i="3"/>
  <c r="AB2877" i="3"/>
  <c r="AB2873" i="3"/>
  <c r="AB2869" i="3"/>
  <c r="AB2865" i="3"/>
  <c r="AB2964" i="3"/>
  <c r="AB2994" i="3"/>
  <c r="AB2990" i="3"/>
  <c r="AB2986" i="3"/>
  <c r="AB2982" i="3"/>
  <c r="AB2978" i="3"/>
  <c r="AB2974" i="3"/>
  <c r="AB2970" i="3"/>
  <c r="AB2966" i="3"/>
  <c r="AB3029" i="3"/>
  <c r="AB3025" i="3"/>
  <c r="AB3021" i="3"/>
  <c r="AB3017" i="3"/>
  <c r="AB3013" i="3"/>
  <c r="AB3009" i="3"/>
  <c r="AB3005" i="3"/>
  <c r="AB3001" i="3"/>
  <c r="AB3063" i="3"/>
  <c r="AB3059" i="3"/>
  <c r="AB3055" i="3"/>
  <c r="AB3051" i="3"/>
  <c r="AB3047" i="3"/>
  <c r="AB3043" i="3"/>
  <c r="AB3039" i="3"/>
  <c r="AB3035" i="3"/>
  <c r="AB3199" i="3"/>
  <c r="AB3195" i="3"/>
  <c r="AB3191" i="3"/>
  <c r="AB3187" i="3"/>
  <c r="AB3183" i="3"/>
  <c r="AB3179" i="3"/>
  <c r="AB3175" i="3"/>
  <c r="AB3171" i="3"/>
  <c r="AB3301" i="3"/>
  <c r="AB3297" i="3"/>
  <c r="AB3293" i="3"/>
  <c r="AB3289" i="3"/>
  <c r="AB3285" i="3"/>
  <c r="AB3281" i="3"/>
  <c r="AB3277" i="3"/>
  <c r="AB3273" i="3"/>
  <c r="AB3471" i="3"/>
  <c r="AB3470" i="3"/>
  <c r="AB3469" i="3"/>
  <c r="AB3467" i="3"/>
  <c r="AB3466" i="3"/>
  <c r="AB3465" i="3"/>
  <c r="AB3463" i="3"/>
  <c r="AB3462" i="3"/>
  <c r="AB3461" i="3"/>
  <c r="AB3459" i="3"/>
  <c r="AB3458" i="3"/>
  <c r="AB3457" i="3"/>
  <c r="AB3455" i="3"/>
  <c r="AB3454" i="3"/>
  <c r="AB3453" i="3"/>
  <c r="AB3451" i="3"/>
  <c r="AB3450" i="3"/>
  <c r="AB3449" i="3"/>
  <c r="AB3447" i="3"/>
  <c r="AB3446" i="3"/>
  <c r="AB3445" i="3"/>
  <c r="AB3443" i="3"/>
  <c r="AB3442" i="3"/>
  <c r="AB3441" i="3"/>
  <c r="AB2500" i="3"/>
  <c r="AB2466" i="3"/>
  <c r="AB2432" i="3"/>
  <c r="AB2398" i="3"/>
  <c r="AB2416" i="3"/>
  <c r="AB2415" i="3"/>
  <c r="AB2412" i="3"/>
  <c r="AB2411" i="3"/>
  <c r="AB2408" i="3"/>
  <c r="AB2407" i="3"/>
  <c r="AB2404" i="3"/>
  <c r="AB2403" i="3"/>
  <c r="AB2400" i="3"/>
  <c r="AB2399" i="3"/>
  <c r="AB2396" i="3"/>
  <c r="AB2395" i="3"/>
  <c r="AB2392" i="3"/>
  <c r="AB2391" i="3"/>
  <c r="AB2388" i="3"/>
  <c r="AB2387" i="3"/>
  <c r="AB2420" i="3"/>
  <c r="AB2450" i="3"/>
  <c r="AB2449" i="3"/>
  <c r="AB2446" i="3"/>
  <c r="AB2445" i="3"/>
  <c r="AB2442" i="3"/>
  <c r="AB2441" i="3"/>
  <c r="AB2438" i="3"/>
  <c r="AB2437" i="3"/>
  <c r="AB2434" i="3"/>
  <c r="AB2433" i="3"/>
  <c r="AB2430" i="3"/>
  <c r="AB2429" i="3"/>
  <c r="AB2426" i="3"/>
  <c r="AB2425" i="3"/>
  <c r="AB2422" i="3"/>
  <c r="AB2421" i="3"/>
  <c r="AB2484" i="3"/>
  <c r="AB2483" i="3"/>
  <c r="AB2480" i="3"/>
  <c r="AB2479" i="3"/>
  <c r="AB2476" i="3"/>
  <c r="AB2475" i="3"/>
  <c r="AB2472" i="3"/>
  <c r="AB2471" i="3"/>
  <c r="AB2468" i="3"/>
  <c r="AB2467" i="3"/>
  <c r="AB2464" i="3"/>
  <c r="AB2463" i="3"/>
  <c r="AB2460" i="3"/>
  <c r="AB2459" i="3"/>
  <c r="AB2456" i="3"/>
  <c r="AB2455" i="3"/>
  <c r="AB2518" i="3"/>
  <c r="AB2517" i="3"/>
  <c r="AB2514" i="3"/>
  <c r="AB2513" i="3"/>
  <c r="AB2510" i="3"/>
  <c r="AB2509" i="3"/>
  <c r="AB2506" i="3"/>
  <c r="AB2505" i="3"/>
  <c r="AB2502" i="3"/>
  <c r="AB2501" i="3"/>
  <c r="AB2498" i="3"/>
  <c r="AB2497" i="3"/>
  <c r="AB2494" i="3"/>
  <c r="AB2493" i="3"/>
  <c r="AB2490" i="3"/>
  <c r="AB2489" i="3"/>
  <c r="AB2586" i="3"/>
  <c r="AB2585" i="3"/>
  <c r="AB2582" i="3"/>
  <c r="AB2581" i="3"/>
  <c r="AB2578" i="3"/>
  <c r="AB2577" i="3"/>
  <c r="AB2574" i="3"/>
  <c r="AB2573" i="3"/>
  <c r="AB2570" i="3"/>
  <c r="AB2569" i="3"/>
  <c r="AB2566" i="3"/>
  <c r="AB2565" i="3"/>
  <c r="AB2562" i="3"/>
  <c r="AB2561" i="3"/>
  <c r="AB2558" i="3"/>
  <c r="AB2557" i="3"/>
  <c r="AB2590" i="3"/>
  <c r="AB2624" i="3"/>
  <c r="AB2692" i="3"/>
  <c r="AB2722" i="3"/>
  <c r="AB2721" i="3"/>
  <c r="AB2718" i="3"/>
  <c r="AB2717" i="3"/>
  <c r="AB2714" i="3"/>
  <c r="AB2713" i="3"/>
  <c r="AB2710" i="3"/>
  <c r="AB2709" i="3"/>
  <c r="AB2706" i="3"/>
  <c r="AB2705" i="3"/>
  <c r="AB2702" i="3"/>
  <c r="AB2701" i="3"/>
  <c r="AB2698" i="3"/>
  <c r="AB2697" i="3"/>
  <c r="AB2694" i="3"/>
  <c r="AB2693" i="3"/>
  <c r="AB2726" i="3"/>
  <c r="AB2794" i="3"/>
  <c r="AB2892" i="3"/>
  <c r="AB2891" i="3"/>
  <c r="AB2888" i="3"/>
  <c r="AB2887" i="3"/>
  <c r="AB2884" i="3"/>
  <c r="AB2883" i="3"/>
  <c r="AB2880" i="3"/>
  <c r="AB2879" i="3"/>
  <c r="AB2876" i="3"/>
  <c r="AB2875" i="3"/>
  <c r="AB2872" i="3"/>
  <c r="AB2871" i="3"/>
  <c r="AB2868" i="3"/>
  <c r="AB2867" i="3"/>
  <c r="AB2864" i="3"/>
  <c r="AB2863" i="3"/>
  <c r="AB2896" i="3"/>
  <c r="AB2998" i="3"/>
  <c r="AB3028" i="3"/>
  <c r="AB3027" i="3"/>
  <c r="AB3024" i="3"/>
  <c r="AB3023" i="3"/>
  <c r="AB3020" i="3"/>
  <c r="AB3019" i="3"/>
  <c r="AB3016" i="3"/>
  <c r="AB3015" i="3"/>
  <c r="AB3012" i="3"/>
  <c r="AB3011" i="3"/>
  <c r="AB3008" i="3"/>
  <c r="AB3007" i="3"/>
  <c r="AB3004" i="3"/>
  <c r="AB3003" i="3"/>
  <c r="AB3000" i="3"/>
  <c r="AB2999" i="3"/>
  <c r="AB3032" i="3"/>
  <c r="AB3062" i="3"/>
  <c r="AB3061" i="3"/>
  <c r="AB3058" i="3"/>
  <c r="AB3057" i="3"/>
  <c r="AB3054" i="3"/>
  <c r="AB3053" i="3"/>
  <c r="AB3050" i="3"/>
  <c r="AB3049" i="3"/>
  <c r="AB3046" i="3"/>
  <c r="AB3045" i="3"/>
  <c r="AB3042" i="3"/>
  <c r="AB3041" i="3"/>
  <c r="AB3038" i="3"/>
  <c r="AB3037" i="3"/>
  <c r="AB3034" i="3"/>
  <c r="AB3033" i="3"/>
  <c r="AB3100" i="3"/>
  <c r="AB3168" i="3"/>
  <c r="AB3198" i="3"/>
  <c r="AB3197" i="3"/>
  <c r="AB3194" i="3"/>
  <c r="AB3193" i="3"/>
  <c r="AB3190" i="3"/>
  <c r="AB3189" i="3"/>
  <c r="AB3186" i="3"/>
  <c r="AB3185" i="3"/>
  <c r="AB3182" i="3"/>
  <c r="AB3181" i="3"/>
  <c r="AB3178" i="3"/>
  <c r="AB3177" i="3"/>
  <c r="AB3174" i="3"/>
  <c r="AB3173" i="3"/>
  <c r="AB3170" i="3"/>
  <c r="AB3169" i="3"/>
  <c r="AB3300" i="3"/>
  <c r="AB3299" i="3"/>
  <c r="AB3296" i="3"/>
  <c r="AB3295" i="3"/>
  <c r="AB3292" i="3"/>
  <c r="AB3291" i="3"/>
  <c r="AB3288" i="3"/>
  <c r="AB3287" i="3"/>
  <c r="AB3284" i="3"/>
  <c r="AB3283" i="3"/>
  <c r="AB3280" i="3"/>
  <c r="AB3279" i="3"/>
  <c r="AB3276" i="3"/>
  <c r="AB3275" i="3"/>
  <c r="AB3272" i="3"/>
  <c r="AB3271" i="3"/>
  <c r="AB2542" i="3"/>
  <c r="AB2496" i="3"/>
  <c r="AB2462" i="3"/>
  <c r="AB2428" i="3"/>
  <c r="AB2394" i="3"/>
  <c r="AB2386" i="3"/>
  <c r="AB2454" i="3"/>
  <c r="AB2551" i="3"/>
  <c r="AB2547" i="3"/>
  <c r="AB2545" i="3"/>
  <c r="AB2543" i="3"/>
  <c r="AB2541" i="3"/>
  <c r="AB2539" i="3"/>
  <c r="AB2537" i="3"/>
  <c r="AB2535" i="3"/>
  <c r="AB2533" i="3"/>
  <c r="AB2531" i="3"/>
  <c r="AB2529" i="3"/>
  <c r="AB2527" i="3"/>
  <c r="AB2525" i="3"/>
  <c r="AB2523" i="3"/>
  <c r="AB2556" i="3"/>
  <c r="AB2621" i="3"/>
  <c r="AB2619" i="3"/>
  <c r="AB2617" i="3"/>
  <c r="AB2615" i="3"/>
  <c r="AB2613" i="3"/>
  <c r="AB2611" i="3"/>
  <c r="AB2609" i="3"/>
  <c r="AB2607" i="3"/>
  <c r="AB2605" i="3"/>
  <c r="AB2603" i="3"/>
  <c r="AB2601" i="3"/>
  <c r="AB2599" i="3"/>
  <c r="AB2597" i="3"/>
  <c r="AB2595" i="3"/>
  <c r="AB2593" i="3"/>
  <c r="AB2591" i="3"/>
  <c r="AB2653" i="3"/>
  <c r="AB2649" i="3"/>
  <c r="AB2645" i="3"/>
  <c r="AB2641" i="3"/>
  <c r="AB2637" i="3"/>
  <c r="AB2633" i="3"/>
  <c r="AB2629" i="3"/>
  <c r="AB2625" i="3"/>
  <c r="AB2658" i="3"/>
  <c r="AB2687" i="3"/>
  <c r="AB2683" i="3"/>
  <c r="AB2679" i="3"/>
  <c r="AB2675" i="3"/>
  <c r="AB2671" i="3"/>
  <c r="AB2667" i="3"/>
  <c r="AB2663" i="3"/>
  <c r="AB2659" i="3"/>
  <c r="AB2757" i="3"/>
  <c r="AB2755" i="3"/>
  <c r="AB2753" i="3"/>
  <c r="AB2751" i="3"/>
  <c r="AB2749" i="3"/>
  <c r="AB2747" i="3"/>
  <c r="AB2745" i="3"/>
  <c r="AB2743" i="3"/>
  <c r="AB2741" i="3"/>
  <c r="AB2739" i="3"/>
  <c r="AB2737" i="3"/>
  <c r="AB2735" i="3"/>
  <c r="AB2733" i="3"/>
  <c r="AB2731" i="3"/>
  <c r="AB2729" i="3"/>
  <c r="AB2727" i="3"/>
  <c r="AB2760" i="3"/>
  <c r="AB2791" i="3"/>
  <c r="AB2789" i="3"/>
  <c r="AB2787" i="3"/>
  <c r="AB2785" i="3"/>
  <c r="AB2783" i="3"/>
  <c r="AB2781" i="3"/>
  <c r="AB2779" i="3"/>
  <c r="AB2777" i="3"/>
  <c r="AB2775" i="3"/>
  <c r="AB2773" i="3"/>
  <c r="AB2771" i="3"/>
  <c r="AB2769" i="3"/>
  <c r="AB2767" i="3"/>
  <c r="AB2765" i="3"/>
  <c r="AB2763" i="3"/>
  <c r="AB2761" i="3"/>
  <c r="AB2825" i="3"/>
  <c r="AB2823" i="3"/>
  <c r="AB2821" i="3"/>
  <c r="AB2819" i="3"/>
  <c r="AB2817" i="3"/>
  <c r="AB2815" i="3"/>
  <c r="AB2813" i="3"/>
  <c r="AB2811" i="3"/>
  <c r="AB2809" i="3"/>
  <c r="AB2807" i="3"/>
  <c r="AB2805" i="3"/>
  <c r="AB2803" i="3"/>
  <c r="AB2801" i="3"/>
  <c r="AB2799" i="3"/>
  <c r="AB2797" i="3"/>
  <c r="AB2795" i="3"/>
  <c r="AB2828" i="3"/>
  <c r="AB2859" i="3"/>
  <c r="AB2857" i="3"/>
  <c r="AB2855" i="3"/>
  <c r="AB2853" i="3"/>
  <c r="AB2851" i="3"/>
  <c r="AB2849" i="3"/>
  <c r="AB2847" i="3"/>
  <c r="AB2845" i="3"/>
  <c r="AB2843" i="3"/>
  <c r="AB2841" i="3"/>
  <c r="AB2839" i="3"/>
  <c r="AB2837" i="3"/>
  <c r="AB2835" i="3"/>
  <c r="AB2833" i="3"/>
  <c r="AB2831" i="3"/>
  <c r="AB2829" i="3"/>
  <c r="AB2862" i="3"/>
  <c r="AB2927" i="3"/>
  <c r="AB2925" i="3"/>
  <c r="AB2923" i="3"/>
  <c r="AB2921" i="3"/>
  <c r="AB2919" i="3"/>
  <c r="AB2917" i="3"/>
  <c r="AB2915" i="3"/>
  <c r="AB2913" i="3"/>
  <c r="AB2911" i="3"/>
  <c r="AB2909" i="3"/>
  <c r="AB2907" i="3"/>
  <c r="AB2905" i="3"/>
  <c r="AB2903" i="3"/>
  <c r="AB2901" i="3"/>
  <c r="AB2899" i="3"/>
  <c r="AB2897" i="3"/>
  <c r="AB2930" i="3"/>
  <c r="AB2961" i="3"/>
  <c r="AB2959" i="3"/>
  <c r="AB2957" i="3"/>
  <c r="AB2955" i="3"/>
  <c r="AB2953" i="3"/>
  <c r="AB2951" i="3"/>
  <c r="AB2949" i="3"/>
  <c r="AB2947" i="3"/>
  <c r="AB2945" i="3"/>
  <c r="AB2943" i="3"/>
  <c r="AB2941" i="3"/>
  <c r="AB2939" i="3"/>
  <c r="AB2937" i="3"/>
  <c r="AB2935" i="3"/>
  <c r="AB2933" i="3"/>
  <c r="AB2931" i="3"/>
  <c r="AB2995" i="3"/>
  <c r="AB2993" i="3"/>
  <c r="AB2991" i="3"/>
  <c r="AB2989" i="3"/>
  <c r="AB2987" i="3"/>
  <c r="AB2985" i="3"/>
  <c r="AB2983" i="3"/>
  <c r="AB2981" i="3"/>
  <c r="AB2979" i="3"/>
  <c r="AB2977" i="3"/>
  <c r="AB2975" i="3"/>
  <c r="AB2973" i="3"/>
  <c r="AB2971" i="3"/>
  <c r="AB2969" i="3"/>
  <c r="AB2967" i="3"/>
  <c r="AB2965" i="3"/>
  <c r="AB3066" i="3"/>
  <c r="AB3097" i="3"/>
  <c r="AB3095" i="3"/>
  <c r="AB3093" i="3"/>
  <c r="AB3091" i="3"/>
  <c r="AB3089" i="3"/>
  <c r="AB3087" i="3"/>
  <c r="AB3085" i="3"/>
  <c r="AB3083" i="3"/>
  <c r="AB3081" i="3"/>
  <c r="AB3079" i="3"/>
  <c r="AB3077" i="3"/>
  <c r="AB3075" i="3"/>
  <c r="AB3073" i="3"/>
  <c r="AB3071" i="3"/>
  <c r="AB3069" i="3"/>
  <c r="AB3067" i="3"/>
  <c r="AB3131" i="3"/>
  <c r="AB3129" i="3"/>
  <c r="AB3127" i="3"/>
  <c r="AB3125" i="3"/>
  <c r="AB3123" i="3"/>
  <c r="AB3121" i="3"/>
  <c r="AB3119" i="3"/>
  <c r="AB3117" i="3"/>
  <c r="AB3115" i="3"/>
  <c r="AB3113" i="3"/>
  <c r="AB3111" i="3"/>
  <c r="AB3109" i="3"/>
  <c r="AB3107" i="3"/>
  <c r="AB3105" i="3"/>
  <c r="AB3103" i="3"/>
  <c r="AB3101" i="3"/>
  <c r="AB3134" i="3"/>
  <c r="AB3163" i="3"/>
  <c r="AB3159" i="3"/>
  <c r="AB3155" i="3"/>
  <c r="AB3151" i="3"/>
  <c r="AB3147" i="3"/>
  <c r="AB3143" i="3"/>
  <c r="AB3139" i="3"/>
  <c r="AB3135" i="3"/>
  <c r="AB3202" i="3"/>
  <c r="AB3233" i="3"/>
  <c r="AB3231" i="3"/>
  <c r="AB3229" i="3"/>
  <c r="AB3227" i="3"/>
  <c r="AB3225" i="3"/>
  <c r="AB3223" i="3"/>
  <c r="AB3221" i="3"/>
  <c r="AB3219" i="3"/>
  <c r="AB3217" i="3"/>
  <c r="AB3215" i="3"/>
  <c r="AB3213" i="3"/>
  <c r="AB3211" i="3"/>
  <c r="AB3209" i="3"/>
  <c r="AB3207" i="3"/>
  <c r="AB3205" i="3"/>
  <c r="AB3203" i="3"/>
  <c r="AB3236" i="3"/>
  <c r="AB3267" i="3"/>
  <c r="AB3265" i="3"/>
  <c r="AB3263" i="3"/>
  <c r="AB3261" i="3"/>
  <c r="AB3259" i="3"/>
  <c r="AB3257" i="3"/>
  <c r="AB3255" i="3"/>
  <c r="AB3253" i="3"/>
  <c r="AB3251" i="3"/>
  <c r="AB3249" i="3"/>
  <c r="AB3247" i="3"/>
  <c r="AB3245" i="3"/>
  <c r="AB3243" i="3"/>
  <c r="AB3241" i="3"/>
  <c r="AB3239" i="3"/>
  <c r="AB3237" i="3"/>
  <c r="AB3270" i="3"/>
  <c r="AB3304" i="3"/>
  <c r="AB3335" i="3"/>
  <c r="AB3333" i="3"/>
  <c r="AB3331" i="3"/>
  <c r="AB3329" i="3"/>
  <c r="AB3327" i="3"/>
  <c r="AB3325" i="3"/>
  <c r="AB3323" i="3"/>
  <c r="AB3321" i="3"/>
  <c r="AB3319" i="3"/>
  <c r="AB3317" i="3"/>
  <c r="AB3315" i="3"/>
  <c r="AB3313" i="3"/>
  <c r="AB3311" i="3"/>
  <c r="AB3309" i="3"/>
  <c r="AB3307" i="3"/>
  <c r="AB3305" i="3"/>
  <c r="AB3338" i="3"/>
  <c r="AB3370" i="3"/>
  <c r="AB3369" i="3"/>
  <c r="AB3367" i="3"/>
  <c r="AB3366" i="3"/>
  <c r="AB3365" i="3"/>
  <c r="AB3363" i="3"/>
  <c r="AB3362" i="3"/>
  <c r="AB3361" i="3"/>
  <c r="AB3359" i="3"/>
  <c r="AB3358" i="3"/>
  <c r="AB3357" i="3"/>
  <c r="AB3355" i="3"/>
  <c r="AB3354" i="3"/>
  <c r="AB3353" i="3"/>
  <c r="AB3351" i="3"/>
  <c r="AB3349" i="3"/>
  <c r="AB3347" i="3"/>
  <c r="AB3345" i="3"/>
  <c r="AB3343" i="3"/>
  <c r="AB3341" i="3"/>
  <c r="AB3339" i="3"/>
  <c r="AB3403" i="3"/>
  <c r="AB3401" i="3"/>
  <c r="AB3399" i="3"/>
  <c r="AB3397" i="3"/>
  <c r="AB3395" i="3"/>
  <c r="AB3393" i="3"/>
  <c r="AB3391" i="3"/>
  <c r="AB3389" i="3"/>
  <c r="AB3387" i="3"/>
  <c r="AB3385" i="3"/>
  <c r="AB3383" i="3"/>
  <c r="AB3381" i="3"/>
  <c r="AB3379" i="3"/>
  <c r="AB3377" i="3"/>
  <c r="AB3375" i="3"/>
  <c r="AB3373" i="3"/>
  <c r="AB3406" i="3"/>
  <c r="AB3437" i="3"/>
  <c r="AB3435" i="3"/>
  <c r="AB3433" i="3"/>
  <c r="AB3431" i="3"/>
  <c r="AB3429" i="3"/>
  <c r="AB3427" i="3"/>
  <c r="AB3425" i="3"/>
  <c r="AB3423" i="3"/>
  <c r="AB3421" i="3"/>
  <c r="AB3419" i="3"/>
  <c r="AB3417" i="3"/>
  <c r="AB3415" i="3"/>
  <c r="AB3413" i="3"/>
  <c r="AB3411" i="3"/>
  <c r="AB3409" i="3"/>
  <c r="AB3407" i="3"/>
  <c r="AB3440" i="3"/>
  <c r="AB3474" i="3"/>
  <c r="AB3505" i="3"/>
  <c r="AB3503" i="3"/>
  <c r="AB3501" i="3"/>
  <c r="AB3499" i="3"/>
  <c r="AB3497" i="3"/>
  <c r="AB3495" i="3"/>
  <c r="AB3493" i="3"/>
  <c r="AB3491" i="3"/>
  <c r="AB3489" i="3"/>
  <c r="AB3487" i="3"/>
  <c r="AB3485" i="3"/>
  <c r="AB3483" i="3"/>
  <c r="AB3481" i="3"/>
  <c r="AB3479" i="3"/>
  <c r="AB3477" i="3"/>
  <c r="AB3475" i="3"/>
  <c r="AB3508" i="3"/>
  <c r="AB3539" i="3"/>
  <c r="AB3537" i="3"/>
  <c r="AB3535" i="3"/>
  <c r="AB3533" i="3"/>
  <c r="AB3531" i="3"/>
  <c r="AB3529" i="3"/>
  <c r="AB3527" i="3"/>
  <c r="AB3525" i="3"/>
  <c r="AB3523" i="3"/>
  <c r="AB3521" i="3"/>
  <c r="AB3519" i="3"/>
  <c r="AB3517" i="3"/>
  <c r="AB3515" i="3"/>
  <c r="AB3513" i="3"/>
  <c r="AB3511" i="3"/>
  <c r="AB3509" i="3"/>
  <c r="AB3542" i="3"/>
  <c r="AB3574" i="3"/>
  <c r="AB2549" i="3"/>
  <c r="AB2656" i="3"/>
  <c r="AB2652" i="3"/>
  <c r="AB2651" i="3"/>
  <c r="AB2648" i="3"/>
  <c r="AB2647" i="3"/>
  <c r="AB2644" i="3"/>
  <c r="AB2643" i="3"/>
  <c r="AB2640" i="3"/>
  <c r="AB2639" i="3"/>
  <c r="AB2636" i="3"/>
  <c r="AB2635" i="3"/>
  <c r="AB2632" i="3"/>
  <c r="AB2631" i="3"/>
  <c r="AB2628" i="3"/>
  <c r="AB2627" i="3"/>
  <c r="AB2690" i="3"/>
  <c r="AB2689" i="3"/>
  <c r="AB2686" i="3"/>
  <c r="AB2685" i="3"/>
  <c r="AB2682" i="3"/>
  <c r="AB2681" i="3"/>
  <c r="AB2678" i="3"/>
  <c r="AB2677" i="3"/>
  <c r="AB2674" i="3"/>
  <c r="AB2673" i="3"/>
  <c r="AB2670" i="3"/>
  <c r="AB2669" i="3"/>
  <c r="AB2666" i="3"/>
  <c r="AB2665" i="3"/>
  <c r="AB2662" i="3"/>
  <c r="AB2661" i="3"/>
  <c r="AB3166" i="3"/>
  <c r="AB3165" i="3"/>
  <c r="AB3162" i="3"/>
  <c r="AB3161" i="3"/>
  <c r="AB3158" i="3"/>
  <c r="AB3157" i="3"/>
  <c r="AB3154" i="3"/>
  <c r="AB3153" i="3"/>
  <c r="AB3150" i="3"/>
  <c r="AB3149" i="3"/>
  <c r="AB3146" i="3"/>
  <c r="AB3145" i="3"/>
  <c r="AB3142" i="3"/>
  <c r="AB3141" i="3"/>
  <c r="AB3138" i="3"/>
  <c r="AB3137" i="3"/>
  <c r="AB3639" i="3"/>
  <c r="AB3635" i="3"/>
  <c r="AB3631" i="3"/>
  <c r="AB3627" i="3"/>
  <c r="AB3623" i="3"/>
  <c r="AB3619" i="3"/>
  <c r="AB3615" i="3"/>
  <c r="AB3611" i="3"/>
  <c r="AB3642" i="3"/>
  <c r="AB3641" i="3"/>
  <c r="AB3638" i="3"/>
  <c r="AB3637" i="3"/>
  <c r="AB3634" i="3"/>
  <c r="AB3633" i="3"/>
  <c r="AB3630" i="3"/>
  <c r="AB3629" i="3"/>
  <c r="AB3626" i="3"/>
  <c r="AB3625" i="3"/>
  <c r="AB3622" i="3"/>
  <c r="AB3621" i="3"/>
  <c r="AB3618" i="3"/>
  <c r="AB3617" i="3"/>
  <c r="AB3614" i="3"/>
  <c r="AB3613" i="3"/>
  <c r="AB3573" i="3"/>
  <c r="AB3571" i="3"/>
  <c r="AB3570" i="3"/>
  <c r="AB3569" i="3"/>
  <c r="AB3567" i="3"/>
  <c r="AB3566" i="3"/>
  <c r="AB3565" i="3"/>
  <c r="AB3563" i="3"/>
  <c r="AB3562" i="3"/>
  <c r="AB3561" i="3"/>
  <c r="AB3559" i="3"/>
  <c r="AB3557" i="3"/>
  <c r="AB3555" i="3"/>
  <c r="AB3553" i="3"/>
  <c r="AB3551" i="3"/>
  <c r="AB3549" i="3"/>
  <c r="AB3547" i="3"/>
  <c r="AB3545" i="3"/>
  <c r="AB3543" i="3"/>
  <c r="AB3576" i="3"/>
  <c r="AB3608" i="3"/>
  <c r="AB3607" i="3"/>
  <c r="AB3605" i="3"/>
  <c r="AB3604" i="3"/>
  <c r="AB3603" i="3"/>
  <c r="AB3601" i="3"/>
  <c r="AB3600" i="3"/>
  <c r="AB3599" i="3"/>
  <c r="AB3597" i="3"/>
  <c r="AB3595" i="3"/>
  <c r="AB3593" i="3"/>
  <c r="AB3591" i="3"/>
  <c r="AB3589" i="3"/>
  <c r="AB3587" i="3"/>
  <c r="AB3585" i="3"/>
  <c r="AB3583" i="3"/>
  <c r="AB3581" i="3"/>
  <c r="AB3579" i="3"/>
  <c r="AB3577" i="3"/>
  <c r="AC2691" i="3"/>
  <c r="AC2521" i="3"/>
  <c r="AC3473" i="3" l="1"/>
  <c r="AC3133" i="3"/>
  <c r="AC2487" i="3"/>
  <c r="AC2725" i="3"/>
  <c r="AC3099" i="3"/>
  <c r="AC2555" i="3"/>
  <c r="AC2623" i="3"/>
  <c r="AC3031" i="3"/>
  <c r="AC3303" i="3"/>
  <c r="AC2657" i="3"/>
  <c r="AC2589" i="3"/>
  <c r="AC2453" i="3"/>
  <c r="AC2419" i="3"/>
  <c r="AC3541" i="3"/>
  <c r="AC3677" i="3"/>
  <c r="AC3405" i="3"/>
  <c r="AC3371" i="3"/>
  <c r="AC3337" i="3"/>
  <c r="AC3269" i="3"/>
  <c r="AC3235" i="3"/>
  <c r="AC3439" i="3"/>
  <c r="AC3065" i="3"/>
  <c r="AC2997" i="3"/>
  <c r="AC3201" i="3"/>
  <c r="AC2963" i="3"/>
  <c r="AC2929" i="3"/>
  <c r="AC2827" i="3"/>
  <c r="AC2793" i="3"/>
  <c r="AC3167" i="3"/>
  <c r="AC3507" i="3"/>
  <c r="AC3609" i="3"/>
  <c r="AC2895" i="3"/>
  <c r="AC2759" i="3"/>
  <c r="AC2861" i="3"/>
  <c r="AC3575" i="3"/>
  <c r="AC3643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284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18" i="3"/>
  <c r="U2347" i="3"/>
  <c r="U2348" i="3"/>
  <c r="U2349" i="3"/>
  <c r="U2350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284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284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20" i="3"/>
  <c r="V2318" i="3"/>
  <c r="V2319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18" i="3"/>
  <c r="U2352" i="3"/>
  <c r="U2354" i="3"/>
  <c r="U2356" i="3"/>
  <c r="U2358" i="3"/>
  <c r="U2360" i="3"/>
  <c r="U2362" i="3"/>
  <c r="U2364" i="3"/>
  <c r="U2366" i="3"/>
  <c r="U2368" i="3"/>
  <c r="U2370" i="3"/>
  <c r="U2372" i="3"/>
  <c r="U2374" i="3"/>
  <c r="U2376" i="3"/>
  <c r="U2378" i="3"/>
  <c r="U2380" i="3"/>
  <c r="U2382" i="3"/>
  <c r="U2384" i="3"/>
  <c r="U2353" i="3"/>
  <c r="U2355" i="3"/>
  <c r="U2357" i="3"/>
  <c r="U2359" i="3"/>
  <c r="U2361" i="3"/>
  <c r="U2363" i="3"/>
  <c r="U2365" i="3"/>
  <c r="U2367" i="3"/>
  <c r="U2369" i="3"/>
  <c r="U2371" i="3"/>
  <c r="U2373" i="3"/>
  <c r="U2375" i="3"/>
  <c r="U2377" i="3"/>
  <c r="U2379" i="3"/>
  <c r="U2381" i="3"/>
  <c r="U2383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284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52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284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52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18" i="3"/>
  <c r="Y2346" i="3"/>
  <c r="Y2347" i="3"/>
  <c r="Y2348" i="3"/>
  <c r="Y2349" i="3"/>
  <c r="Y2350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284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18" i="3"/>
  <c r="W2346" i="3"/>
  <c r="W2347" i="3"/>
  <c r="W2348" i="3"/>
  <c r="W2349" i="3"/>
  <c r="W2350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18" i="3"/>
  <c r="AA2346" i="3"/>
  <c r="AA2347" i="3"/>
  <c r="AA2348" i="3"/>
  <c r="AA2349" i="3"/>
  <c r="AA2350" i="3"/>
  <c r="U2284" i="3"/>
  <c r="U2288" i="3"/>
  <c r="U2292" i="3"/>
  <c r="U2296" i="3"/>
  <c r="U2300" i="3"/>
  <c r="U2302" i="3"/>
  <c r="U2304" i="3"/>
  <c r="U2306" i="3"/>
  <c r="U2308" i="3"/>
  <c r="U2310" i="3"/>
  <c r="U2312" i="3"/>
  <c r="U2314" i="3"/>
  <c r="U2316" i="3"/>
  <c r="U2285" i="3"/>
  <c r="U2289" i="3"/>
  <c r="U2293" i="3"/>
  <c r="U2297" i="3"/>
  <c r="U2286" i="3"/>
  <c r="U2290" i="3"/>
  <c r="U2294" i="3"/>
  <c r="U2298" i="3"/>
  <c r="U2301" i="3"/>
  <c r="U2303" i="3"/>
  <c r="U2305" i="3"/>
  <c r="U2307" i="3"/>
  <c r="U2309" i="3"/>
  <c r="U2311" i="3"/>
  <c r="U2313" i="3"/>
  <c r="U2315" i="3"/>
  <c r="U2299" i="3"/>
  <c r="U2287" i="3"/>
  <c r="U2291" i="3"/>
  <c r="U2295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284" i="3"/>
  <c r="Y2300" i="3"/>
  <c r="Y2302" i="3"/>
  <c r="Y2304" i="3"/>
  <c r="Y2306" i="3"/>
  <c r="Y2308" i="3"/>
  <c r="Y2310" i="3"/>
  <c r="Y2312" i="3"/>
  <c r="Y2314" i="3"/>
  <c r="Y2316" i="3"/>
  <c r="Y2307" i="3"/>
  <c r="Y2315" i="3"/>
  <c r="Y2301" i="3"/>
  <c r="Y2309" i="3"/>
  <c r="Y2303" i="3"/>
  <c r="Y2311" i="3"/>
  <c r="Y2305" i="3"/>
  <c r="Y2313" i="3"/>
  <c r="T2319" i="3"/>
  <c r="T2347" i="3"/>
  <c r="T2348" i="3"/>
  <c r="T2349" i="3"/>
  <c r="T2350" i="3"/>
  <c r="T2320" i="3"/>
  <c r="T2321" i="3"/>
  <c r="T2323" i="3"/>
  <c r="T2325" i="3"/>
  <c r="T2327" i="3"/>
  <c r="T2329" i="3"/>
  <c r="T2331" i="3"/>
  <c r="T2333" i="3"/>
  <c r="T2335" i="3"/>
  <c r="T2337" i="3"/>
  <c r="T2339" i="3"/>
  <c r="T2341" i="3"/>
  <c r="T2343" i="3"/>
  <c r="T2345" i="3"/>
  <c r="T2318" i="3"/>
  <c r="T2324" i="3"/>
  <c r="T2332" i="3"/>
  <c r="T2340" i="3"/>
  <c r="T2326" i="3"/>
  <c r="T2334" i="3"/>
  <c r="T2342" i="3"/>
  <c r="T2328" i="3"/>
  <c r="T2336" i="3"/>
  <c r="T2344" i="3"/>
  <c r="T2322" i="3"/>
  <c r="T2330" i="3"/>
  <c r="T2338" i="3"/>
  <c r="T2346" i="3"/>
  <c r="X2319" i="3"/>
  <c r="X2320" i="3"/>
  <c r="X2346" i="3"/>
  <c r="X2347" i="3"/>
  <c r="X2348" i="3"/>
  <c r="X2349" i="3"/>
  <c r="X2350" i="3"/>
  <c r="X2322" i="3"/>
  <c r="X2324" i="3"/>
  <c r="X2326" i="3"/>
  <c r="X2328" i="3"/>
  <c r="X2330" i="3"/>
  <c r="X2332" i="3"/>
  <c r="X2334" i="3"/>
  <c r="X2336" i="3"/>
  <c r="X2338" i="3"/>
  <c r="X2340" i="3"/>
  <c r="X2342" i="3"/>
  <c r="X2344" i="3"/>
  <c r="X2318" i="3"/>
  <c r="X2321" i="3"/>
  <c r="X2323" i="3"/>
  <c r="X2325" i="3"/>
  <c r="X2327" i="3"/>
  <c r="X2329" i="3"/>
  <c r="X2331" i="3"/>
  <c r="X2333" i="3"/>
  <c r="X2335" i="3"/>
  <c r="X2337" i="3"/>
  <c r="X2339" i="3"/>
  <c r="X2341" i="3"/>
  <c r="X2343" i="3"/>
  <c r="X2345" i="3"/>
  <c r="W2352" i="3"/>
  <c r="W2355" i="3"/>
  <c r="W2359" i="3"/>
  <c r="W2363" i="3"/>
  <c r="W2367" i="3"/>
  <c r="W2371" i="3"/>
  <c r="W2375" i="3"/>
  <c r="W2379" i="3"/>
  <c r="W2383" i="3"/>
  <c r="W2356" i="3"/>
  <c r="W2360" i="3"/>
  <c r="W2364" i="3"/>
  <c r="W2368" i="3"/>
  <c r="W2372" i="3"/>
  <c r="W2376" i="3"/>
  <c r="W2380" i="3"/>
  <c r="W2384" i="3"/>
  <c r="W2353" i="3"/>
  <c r="W2357" i="3"/>
  <c r="W2361" i="3"/>
  <c r="W2365" i="3"/>
  <c r="W2369" i="3"/>
  <c r="W2373" i="3"/>
  <c r="W2377" i="3"/>
  <c r="W2381" i="3"/>
  <c r="W2362" i="3"/>
  <c r="W2378" i="3"/>
  <c r="W2366" i="3"/>
  <c r="W2382" i="3"/>
  <c r="W2354" i="3"/>
  <c r="W2370" i="3"/>
  <c r="W2358" i="3"/>
  <c r="W2374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B2318" i="3" l="1"/>
  <c r="AB2349" i="3"/>
  <c r="AB2294" i="3"/>
  <c r="AB2354" i="3"/>
  <c r="AB2339" i="3"/>
  <c r="AB2323" i="3"/>
  <c r="AB2305" i="3"/>
  <c r="AB2362" i="3"/>
  <c r="AB2331" i="3"/>
  <c r="AB2384" i="3"/>
  <c r="AB2380" i="3"/>
  <c r="AB2376" i="3"/>
  <c r="AB2372" i="3"/>
  <c r="AB2368" i="3"/>
  <c r="AB2364" i="3"/>
  <c r="AB2360" i="3"/>
  <c r="AB2356" i="3"/>
  <c r="AB2304" i="3"/>
  <c r="AB2288" i="3"/>
  <c r="AB2348" i="3"/>
  <c r="AB2312" i="3"/>
  <c r="AB2308" i="3"/>
  <c r="AB2296" i="3"/>
  <c r="AB2292" i="3"/>
  <c r="AB2374" i="3"/>
  <c r="AB2382" i="3"/>
  <c r="AB2345" i="3"/>
  <c r="AB2337" i="3"/>
  <c r="AB2329" i="3"/>
  <c r="AB2321" i="3"/>
  <c r="AB2316" i="3"/>
  <c r="AB2284" i="3"/>
  <c r="AB2289" i="3"/>
  <c r="AB2383" i="3"/>
  <c r="AB2379" i="3"/>
  <c r="AB2375" i="3"/>
  <c r="AB2371" i="3"/>
  <c r="AB2367" i="3"/>
  <c r="AB2363" i="3"/>
  <c r="AB2359" i="3"/>
  <c r="AB2355" i="3"/>
  <c r="AB2311" i="3"/>
  <c r="AB2295" i="3"/>
  <c r="AB2344" i="3"/>
  <c r="AB2340" i="3"/>
  <c r="AB2336" i="3"/>
  <c r="AB2332" i="3"/>
  <c r="AB2328" i="3"/>
  <c r="AB2324" i="3"/>
  <c r="AB2320" i="3"/>
  <c r="AB2307" i="3"/>
  <c r="AB2303" i="3"/>
  <c r="AB2291" i="3"/>
  <c r="AB2287" i="3"/>
  <c r="AB2358" i="3"/>
  <c r="AB2366" i="3"/>
  <c r="AB2343" i="3"/>
  <c r="AB2335" i="3"/>
  <c r="AB2327" i="3"/>
  <c r="AB2347" i="3"/>
  <c r="AB2315" i="3"/>
  <c r="AB2300" i="3"/>
  <c r="AB2314" i="3"/>
  <c r="AB2298" i="3"/>
  <c r="AB2350" i="3"/>
  <c r="AB2306" i="3"/>
  <c r="AB2302" i="3"/>
  <c r="AB2290" i="3"/>
  <c r="AB2286" i="3"/>
  <c r="AB2370" i="3"/>
  <c r="AB2378" i="3"/>
  <c r="AB2341" i="3"/>
  <c r="AB2333" i="3"/>
  <c r="AB2325" i="3"/>
  <c r="AB2319" i="3"/>
  <c r="AB2310" i="3"/>
  <c r="AB2299" i="3"/>
  <c r="AB2381" i="3"/>
  <c r="AB2377" i="3"/>
  <c r="AB2373" i="3"/>
  <c r="AB2369" i="3"/>
  <c r="AB2365" i="3"/>
  <c r="AB2361" i="3"/>
  <c r="AB2357" i="3"/>
  <c r="AB2353" i="3"/>
  <c r="AB2352" i="3"/>
  <c r="AB2309" i="3"/>
  <c r="AB2293" i="3"/>
  <c r="AB2346" i="3"/>
  <c r="AB2342" i="3"/>
  <c r="AB2338" i="3"/>
  <c r="AB2334" i="3"/>
  <c r="AB2330" i="3"/>
  <c r="AB2326" i="3"/>
  <c r="AB2322" i="3"/>
  <c r="AB2313" i="3"/>
  <c r="AB2301" i="3"/>
  <c r="AB2297" i="3"/>
  <c r="AB2285" i="3"/>
  <c r="AB2283" i="3"/>
  <c r="U2251" i="3"/>
  <c r="W2251" i="3"/>
  <c r="Y2251" i="3"/>
  <c r="U2252" i="3"/>
  <c r="Y2252" i="3"/>
  <c r="U2253" i="3"/>
  <c r="W2253" i="3"/>
  <c r="Y2253" i="3"/>
  <c r="U2254" i="3"/>
  <c r="Y2254" i="3"/>
  <c r="U2255" i="3"/>
  <c r="W2255" i="3"/>
  <c r="Y2255" i="3"/>
  <c r="U2256" i="3"/>
  <c r="Y2256" i="3"/>
  <c r="U2257" i="3"/>
  <c r="W2257" i="3"/>
  <c r="Y2257" i="3"/>
  <c r="U2258" i="3"/>
  <c r="Y2258" i="3"/>
  <c r="U2259" i="3"/>
  <c r="W2259" i="3"/>
  <c r="Y2259" i="3"/>
  <c r="U2260" i="3"/>
  <c r="Y2260" i="3"/>
  <c r="U2261" i="3"/>
  <c r="W2261" i="3"/>
  <c r="Y2261" i="3"/>
  <c r="U2262" i="3"/>
  <c r="Y2262" i="3"/>
  <c r="U2263" i="3"/>
  <c r="W2263" i="3"/>
  <c r="Y2263" i="3"/>
  <c r="U2264" i="3"/>
  <c r="Y2264" i="3"/>
  <c r="U2265" i="3"/>
  <c r="W2265" i="3"/>
  <c r="Y2265" i="3"/>
  <c r="U2266" i="3"/>
  <c r="Y2266" i="3"/>
  <c r="U2267" i="3"/>
  <c r="W2267" i="3"/>
  <c r="Y2267" i="3"/>
  <c r="U2268" i="3"/>
  <c r="Y2268" i="3"/>
  <c r="U2269" i="3"/>
  <c r="W2269" i="3"/>
  <c r="Y2269" i="3"/>
  <c r="U2270" i="3"/>
  <c r="Y2270" i="3"/>
  <c r="U2271" i="3"/>
  <c r="W2271" i="3"/>
  <c r="Y2271" i="3"/>
  <c r="AA2271" i="3"/>
  <c r="U2272" i="3"/>
  <c r="Y2272" i="3"/>
  <c r="U2273" i="3"/>
  <c r="W2273" i="3"/>
  <c r="Y2273" i="3"/>
  <c r="AA2273" i="3"/>
  <c r="U2274" i="3"/>
  <c r="Y2274" i="3"/>
  <c r="U2275" i="3"/>
  <c r="W2275" i="3"/>
  <c r="Y2275" i="3"/>
  <c r="AA2275" i="3"/>
  <c r="U2276" i="3"/>
  <c r="Y2276" i="3"/>
  <c r="U2277" i="3"/>
  <c r="W2277" i="3"/>
  <c r="Y2277" i="3"/>
  <c r="AA2277" i="3"/>
  <c r="U2278" i="3"/>
  <c r="Y2278" i="3"/>
  <c r="U2279" i="3"/>
  <c r="W2279" i="3"/>
  <c r="Y2279" i="3"/>
  <c r="AA2279" i="3"/>
  <c r="U2280" i="3"/>
  <c r="Y2280" i="3"/>
  <c r="U2281" i="3"/>
  <c r="W2281" i="3"/>
  <c r="Y2281" i="3"/>
  <c r="AA2281" i="3"/>
  <c r="U2282" i="3"/>
  <c r="Y2282" i="3"/>
  <c r="U2250" i="3"/>
  <c r="W2250" i="3"/>
  <c r="Y2250" i="3"/>
  <c r="AA2250" i="3"/>
  <c r="V2252" i="3"/>
  <c r="W2252" i="3"/>
  <c r="Z2252" i="3"/>
  <c r="AA2252" i="3"/>
  <c r="AA2257" i="3"/>
  <c r="AA2259" i="3"/>
  <c r="AA2261" i="3"/>
  <c r="AA2263" i="3"/>
  <c r="AA2265" i="3"/>
  <c r="AA2267" i="3"/>
  <c r="AA2269" i="3"/>
  <c r="AC2351" i="3" l="1"/>
  <c r="AC2385" i="3"/>
  <c r="AC2317" i="3"/>
  <c r="Z2254" i="3"/>
  <c r="V2279" i="3"/>
  <c r="V2277" i="3"/>
  <c r="V2275" i="3"/>
  <c r="V2273" i="3"/>
  <c r="V2271" i="3"/>
  <c r="V2269" i="3"/>
  <c r="V2267" i="3"/>
  <c r="V2265" i="3"/>
  <c r="V2263" i="3"/>
  <c r="V2261" i="3"/>
  <c r="V2259" i="3"/>
  <c r="V2257" i="3"/>
  <c r="AA2255" i="3"/>
  <c r="V2255" i="3"/>
  <c r="AA2253" i="3"/>
  <c r="V2253" i="3"/>
  <c r="AA2251" i="3"/>
  <c r="V2251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50" i="3"/>
  <c r="Z2250" i="3"/>
  <c r="W2282" i="3"/>
  <c r="Z2281" i="3"/>
  <c r="W2280" i="3"/>
  <c r="Z2279" i="3"/>
  <c r="W2278" i="3"/>
  <c r="Z2277" i="3"/>
  <c r="W2276" i="3"/>
  <c r="Z2275" i="3"/>
  <c r="W2274" i="3"/>
  <c r="Z2273" i="3"/>
  <c r="W2272" i="3"/>
  <c r="Z2271" i="3"/>
  <c r="W2270" i="3"/>
  <c r="Z2269" i="3"/>
  <c r="W2268" i="3"/>
  <c r="Z2267" i="3"/>
  <c r="W2266" i="3"/>
  <c r="Z2265" i="3"/>
  <c r="W2264" i="3"/>
  <c r="Z2263" i="3"/>
  <c r="W2262" i="3"/>
  <c r="Z2261" i="3"/>
  <c r="W2260" i="3"/>
  <c r="Z2259" i="3"/>
  <c r="W2258" i="3"/>
  <c r="Z2257" i="3"/>
  <c r="W2256" i="3"/>
  <c r="Z2255" i="3"/>
  <c r="W2254" i="3"/>
  <c r="Z2253" i="3"/>
  <c r="Z2251" i="3"/>
  <c r="Z2282" i="3"/>
  <c r="Z2280" i="3"/>
  <c r="Z2278" i="3"/>
  <c r="Z2276" i="3"/>
  <c r="Z2274" i="3"/>
  <c r="Z2272" i="3"/>
  <c r="Z2270" i="3"/>
  <c r="Z2268" i="3"/>
  <c r="Z2266" i="3"/>
  <c r="Z2264" i="3"/>
  <c r="Z2262" i="3"/>
  <c r="Z2260" i="3"/>
  <c r="Z2258" i="3"/>
  <c r="Z2256" i="3"/>
  <c r="V2250" i="3"/>
  <c r="V2281" i="3"/>
  <c r="AA2282" i="3"/>
  <c r="V2282" i="3"/>
  <c r="AA2280" i="3"/>
  <c r="V2280" i="3"/>
  <c r="AA2278" i="3"/>
  <c r="V2278" i="3"/>
  <c r="AA2276" i="3"/>
  <c r="V2276" i="3"/>
  <c r="AA2274" i="3"/>
  <c r="V2274" i="3"/>
  <c r="AA2272" i="3"/>
  <c r="V2272" i="3"/>
  <c r="AA2270" i="3"/>
  <c r="V2270" i="3"/>
  <c r="AA2268" i="3"/>
  <c r="V2268" i="3"/>
  <c r="AA2266" i="3"/>
  <c r="V2266" i="3"/>
  <c r="AA2264" i="3"/>
  <c r="V2264" i="3"/>
  <c r="AA2262" i="3"/>
  <c r="V2262" i="3"/>
  <c r="AA2260" i="3"/>
  <c r="V2260" i="3"/>
  <c r="AA2258" i="3"/>
  <c r="V2258" i="3"/>
  <c r="AA2256" i="3"/>
  <c r="V2256" i="3"/>
  <c r="AA2254" i="3"/>
  <c r="V2254" i="3"/>
  <c r="AB2279" i="3" l="1"/>
  <c r="AB2263" i="3"/>
  <c r="AB2275" i="3"/>
  <c r="AB2258" i="3"/>
  <c r="AB2251" i="3"/>
  <c r="AB2252" i="3"/>
  <c r="AB2264" i="3"/>
  <c r="AB2280" i="3"/>
  <c r="AB2256" i="3"/>
  <c r="AB2272" i="3"/>
  <c r="AB2276" i="3"/>
  <c r="AB2268" i="3"/>
  <c r="AB2260" i="3"/>
  <c r="AB2259" i="3"/>
  <c r="AB2282" i="3"/>
  <c r="AB2278" i="3"/>
  <c r="AB2274" i="3"/>
  <c r="AB2270" i="3"/>
  <c r="AB2266" i="3"/>
  <c r="AB2262" i="3"/>
  <c r="AB2254" i="3"/>
  <c r="AB2267" i="3"/>
  <c r="AB2255" i="3"/>
  <c r="AB2271" i="3"/>
  <c r="AB2281" i="3"/>
  <c r="AB2277" i="3"/>
  <c r="AB2273" i="3"/>
  <c r="AB2269" i="3"/>
  <c r="AB2265" i="3"/>
  <c r="AB2261" i="3"/>
  <c r="AB2257" i="3"/>
  <c r="AB2253" i="3"/>
  <c r="AB2250" i="3"/>
  <c r="AE4" i="2"/>
  <c r="AF4" i="2"/>
  <c r="AH4" i="2"/>
  <c r="AE5" i="2"/>
  <c r="AF5" i="2"/>
  <c r="AH5" i="2"/>
  <c r="AE6" i="2"/>
  <c r="AF6" i="2"/>
  <c r="AH6" i="2"/>
  <c r="AE7" i="2"/>
  <c r="AF7" i="2"/>
  <c r="AH7" i="2"/>
  <c r="AE8" i="2"/>
  <c r="AF8" i="2"/>
  <c r="AH8" i="2"/>
  <c r="AE9" i="2"/>
  <c r="AF9" i="2"/>
  <c r="AH9" i="2"/>
  <c r="AE10" i="2"/>
  <c r="AF10" i="2"/>
  <c r="AH10" i="2"/>
  <c r="AE11" i="2"/>
  <c r="AF11" i="2"/>
  <c r="AH11" i="2"/>
  <c r="AE12" i="2"/>
  <c r="AF12" i="2"/>
  <c r="AG12" i="2"/>
  <c r="AH12" i="2"/>
  <c r="AE13" i="2"/>
  <c r="AF13" i="2"/>
  <c r="AH13" i="2"/>
  <c r="AE14" i="2"/>
  <c r="AF14" i="2"/>
  <c r="AH14" i="2"/>
  <c r="AE15" i="2"/>
  <c r="AF15" i="2"/>
  <c r="AH15" i="2"/>
  <c r="AE16" i="2"/>
  <c r="AF16" i="2"/>
  <c r="AH16" i="2"/>
  <c r="AE17" i="2"/>
  <c r="AF17" i="2"/>
  <c r="AH17" i="2"/>
  <c r="AE18" i="2"/>
  <c r="AF18" i="2"/>
  <c r="AH18" i="2"/>
  <c r="AE19" i="2"/>
  <c r="AF19" i="2"/>
  <c r="AH19" i="2"/>
  <c r="AE20" i="2"/>
  <c r="AF20" i="2"/>
  <c r="AH20" i="2"/>
  <c r="D4" i="2" l="1" a="1"/>
  <c r="D5" i="2" a="1"/>
  <c r="D9" i="2" a="1"/>
  <c r="D13" i="2" a="1"/>
  <c r="D17" i="2" a="1"/>
  <c r="D21" i="2" a="1"/>
  <c r="D25" i="2" a="1"/>
  <c r="D29" i="2" a="1"/>
  <c r="D33" i="2" a="1"/>
  <c r="D6" i="2" a="1"/>
  <c r="D10" i="2" a="1"/>
  <c r="D14" i="2" a="1"/>
  <c r="D18" i="2" a="1"/>
  <c r="D22" i="2" a="1"/>
  <c r="D26" i="2" a="1"/>
  <c r="D30" i="2" a="1"/>
  <c r="D34" i="2" a="1"/>
  <c r="D7" i="2" a="1"/>
  <c r="D11" i="2" a="1"/>
  <c r="D15" i="2" a="1"/>
  <c r="D19" i="2" a="1"/>
  <c r="D23" i="2" a="1"/>
  <c r="D27" i="2" a="1"/>
  <c r="D31" i="2" a="1"/>
  <c r="D35" i="2" a="1"/>
  <c r="D8" i="2" a="1"/>
  <c r="D12" i="2" a="1"/>
  <c r="D16" i="2" a="1"/>
  <c r="D20" i="2" a="1"/>
  <c r="D24" i="2" a="1"/>
  <c r="D28" i="2" a="1"/>
  <c r="D32" i="2" a="1"/>
  <c r="D36" i="2" a="1"/>
  <c r="AC2283" i="3"/>
  <c r="T2214" i="3"/>
  <c r="U2214" i="3"/>
  <c r="V2214" i="3"/>
  <c r="W2214" i="3"/>
  <c r="X2214" i="3"/>
  <c r="Y2214" i="3"/>
  <c r="Z2214" i="3"/>
  <c r="AA2214" i="3"/>
  <c r="T2215" i="3"/>
  <c r="U2215" i="3"/>
  <c r="V2215" i="3"/>
  <c r="W2215" i="3"/>
  <c r="X2215" i="3"/>
  <c r="Y2215" i="3"/>
  <c r="Z2215" i="3"/>
  <c r="AA2215" i="3"/>
  <c r="T2216" i="3"/>
  <c r="U2216" i="3"/>
  <c r="V2216" i="3"/>
  <c r="W2216" i="3"/>
  <c r="X2216" i="3"/>
  <c r="Y2216" i="3"/>
  <c r="Z2216" i="3"/>
  <c r="AA2216" i="3"/>
  <c r="T2217" i="3"/>
  <c r="U2217" i="3"/>
  <c r="V2217" i="3"/>
  <c r="W2217" i="3"/>
  <c r="X2217" i="3"/>
  <c r="Y2217" i="3"/>
  <c r="Z2217" i="3"/>
  <c r="AA2217" i="3"/>
  <c r="T2218" i="3"/>
  <c r="U2218" i="3"/>
  <c r="V2218" i="3"/>
  <c r="W2218" i="3"/>
  <c r="X2218" i="3"/>
  <c r="Y2218" i="3"/>
  <c r="Z2218" i="3"/>
  <c r="AA2218" i="3"/>
  <c r="T2219" i="3"/>
  <c r="U2219" i="3"/>
  <c r="V2219" i="3"/>
  <c r="W2219" i="3"/>
  <c r="X2219" i="3"/>
  <c r="Y2219" i="3"/>
  <c r="Z2219" i="3"/>
  <c r="AA2219" i="3"/>
  <c r="T2220" i="3"/>
  <c r="U2220" i="3"/>
  <c r="V2220" i="3"/>
  <c r="W2220" i="3"/>
  <c r="X2220" i="3"/>
  <c r="Y2220" i="3"/>
  <c r="Z2220" i="3"/>
  <c r="AA2220" i="3"/>
  <c r="T2221" i="3"/>
  <c r="U2221" i="3"/>
  <c r="V2221" i="3"/>
  <c r="W2221" i="3"/>
  <c r="X2221" i="3"/>
  <c r="Y2221" i="3"/>
  <c r="Z2221" i="3"/>
  <c r="AA2221" i="3"/>
  <c r="T2222" i="3"/>
  <c r="U2222" i="3"/>
  <c r="V2222" i="3"/>
  <c r="W2222" i="3"/>
  <c r="X2222" i="3"/>
  <c r="Y2222" i="3"/>
  <c r="Z2222" i="3"/>
  <c r="AA2222" i="3"/>
  <c r="T2223" i="3"/>
  <c r="U2223" i="3"/>
  <c r="V2223" i="3"/>
  <c r="W2223" i="3"/>
  <c r="X2223" i="3"/>
  <c r="Y2223" i="3"/>
  <c r="Z2223" i="3"/>
  <c r="AA2223" i="3"/>
  <c r="T2224" i="3"/>
  <c r="U2224" i="3"/>
  <c r="V2224" i="3"/>
  <c r="W2224" i="3"/>
  <c r="X2224" i="3"/>
  <c r="Y2224" i="3"/>
  <c r="Z2224" i="3"/>
  <c r="AA2224" i="3"/>
  <c r="T2225" i="3"/>
  <c r="U2225" i="3"/>
  <c r="V2225" i="3"/>
  <c r="W2225" i="3"/>
  <c r="X2225" i="3"/>
  <c r="Y2225" i="3"/>
  <c r="Z2225" i="3"/>
  <c r="AA2225" i="3"/>
  <c r="T2226" i="3"/>
  <c r="U2226" i="3"/>
  <c r="V2226" i="3"/>
  <c r="W2226" i="3"/>
  <c r="X2226" i="3"/>
  <c r="Y2226" i="3"/>
  <c r="Z2226" i="3"/>
  <c r="AA2226" i="3"/>
  <c r="T2227" i="3"/>
  <c r="U2227" i="3"/>
  <c r="V2227" i="3"/>
  <c r="W2227" i="3"/>
  <c r="X2227" i="3"/>
  <c r="Y2227" i="3"/>
  <c r="Z2227" i="3"/>
  <c r="AA2227" i="3"/>
  <c r="T2228" i="3"/>
  <c r="U2228" i="3"/>
  <c r="V2228" i="3"/>
  <c r="W2228" i="3"/>
  <c r="X2228" i="3"/>
  <c r="Y2228" i="3"/>
  <c r="Z2228" i="3"/>
  <c r="AA2228" i="3"/>
  <c r="T2229" i="3"/>
  <c r="U2229" i="3"/>
  <c r="V2229" i="3"/>
  <c r="W2229" i="3"/>
  <c r="X2229" i="3"/>
  <c r="Y2229" i="3"/>
  <c r="Z2229" i="3"/>
  <c r="AA2229" i="3"/>
  <c r="T2230" i="3"/>
  <c r="U2230" i="3"/>
  <c r="V2230" i="3"/>
  <c r="W2230" i="3"/>
  <c r="X2230" i="3"/>
  <c r="Y2230" i="3"/>
  <c r="Z2230" i="3"/>
  <c r="AA2230" i="3"/>
  <c r="T2231" i="3"/>
  <c r="U2231" i="3"/>
  <c r="V2231" i="3"/>
  <c r="W2231" i="3"/>
  <c r="X2231" i="3"/>
  <c r="Y2231" i="3"/>
  <c r="Z2231" i="3"/>
  <c r="AA2231" i="3"/>
  <c r="T2232" i="3"/>
  <c r="U2232" i="3"/>
  <c r="V2232" i="3"/>
  <c r="W2232" i="3"/>
  <c r="X2232" i="3"/>
  <c r="Y2232" i="3"/>
  <c r="Z2232" i="3"/>
  <c r="AA2232" i="3"/>
  <c r="T2233" i="3"/>
  <c r="U2233" i="3"/>
  <c r="V2233" i="3"/>
  <c r="W2233" i="3"/>
  <c r="X2233" i="3"/>
  <c r="Y2233" i="3"/>
  <c r="Z2233" i="3"/>
  <c r="AA2233" i="3"/>
  <c r="T2234" i="3"/>
  <c r="U2234" i="3"/>
  <c r="V2234" i="3"/>
  <c r="W2234" i="3"/>
  <c r="X2234" i="3"/>
  <c r="Y2234" i="3"/>
  <c r="Z2234" i="3"/>
  <c r="AA2234" i="3"/>
  <c r="T2235" i="3"/>
  <c r="U2235" i="3"/>
  <c r="V2235" i="3"/>
  <c r="W2235" i="3"/>
  <c r="X2235" i="3"/>
  <c r="Y2235" i="3"/>
  <c r="Z2235" i="3"/>
  <c r="AA2235" i="3"/>
  <c r="T2236" i="3"/>
  <c r="U2236" i="3"/>
  <c r="V2236" i="3"/>
  <c r="W2236" i="3"/>
  <c r="X2236" i="3"/>
  <c r="Y2236" i="3"/>
  <c r="Z2236" i="3"/>
  <c r="AA2236" i="3"/>
  <c r="T2237" i="3"/>
  <c r="U2237" i="3"/>
  <c r="V2237" i="3"/>
  <c r="W2237" i="3"/>
  <c r="X2237" i="3"/>
  <c r="Y2237" i="3"/>
  <c r="Z2237" i="3"/>
  <c r="AA2237" i="3"/>
  <c r="T2238" i="3"/>
  <c r="U2238" i="3"/>
  <c r="V2238" i="3"/>
  <c r="W2238" i="3"/>
  <c r="X2238" i="3"/>
  <c r="Y2238" i="3"/>
  <c r="Z2238" i="3"/>
  <c r="AA2238" i="3"/>
  <c r="T2239" i="3"/>
  <c r="U2239" i="3"/>
  <c r="V2239" i="3"/>
  <c r="W2239" i="3"/>
  <c r="X2239" i="3"/>
  <c r="Y2239" i="3"/>
  <c r="Z2239" i="3"/>
  <c r="AA2239" i="3"/>
  <c r="T2240" i="3"/>
  <c r="U2240" i="3"/>
  <c r="V2240" i="3"/>
  <c r="W2240" i="3"/>
  <c r="X2240" i="3"/>
  <c r="Y2240" i="3"/>
  <c r="Z2240" i="3"/>
  <c r="AA2240" i="3"/>
  <c r="T2241" i="3"/>
  <c r="U2241" i="3"/>
  <c r="V2241" i="3"/>
  <c r="W2241" i="3"/>
  <c r="X2241" i="3"/>
  <c r="Y2241" i="3"/>
  <c r="Z2241" i="3"/>
  <c r="AA2241" i="3"/>
  <c r="T2242" i="3"/>
  <c r="U2242" i="3"/>
  <c r="V2242" i="3"/>
  <c r="W2242" i="3"/>
  <c r="X2242" i="3"/>
  <c r="Y2242" i="3"/>
  <c r="Z2242" i="3"/>
  <c r="AA2242" i="3"/>
  <c r="T2243" i="3"/>
  <c r="U2243" i="3"/>
  <c r="V2243" i="3"/>
  <c r="W2243" i="3"/>
  <c r="X2243" i="3"/>
  <c r="Y2243" i="3"/>
  <c r="Z2243" i="3"/>
  <c r="AA2243" i="3"/>
  <c r="T2244" i="3"/>
  <c r="U2244" i="3"/>
  <c r="V2244" i="3"/>
  <c r="W2244" i="3"/>
  <c r="X2244" i="3"/>
  <c r="Y2244" i="3"/>
  <c r="Z2244" i="3"/>
  <c r="AA2244" i="3"/>
  <c r="T2245" i="3"/>
  <c r="U2245" i="3"/>
  <c r="V2245" i="3"/>
  <c r="W2245" i="3"/>
  <c r="X2245" i="3"/>
  <c r="Y2245" i="3"/>
  <c r="Z2245" i="3"/>
  <c r="AA2245" i="3"/>
  <c r="U2213" i="3"/>
  <c r="V2213" i="3"/>
  <c r="W2213" i="3"/>
  <c r="X2213" i="3"/>
  <c r="Y2213" i="3"/>
  <c r="Z2213" i="3"/>
  <c r="AA2213" i="3"/>
  <c r="T2213" i="3"/>
  <c r="T2180" i="3"/>
  <c r="U2180" i="3"/>
  <c r="V2180" i="3"/>
  <c r="W2180" i="3"/>
  <c r="X2180" i="3"/>
  <c r="Y2180" i="3"/>
  <c r="Z2180" i="3"/>
  <c r="AA2180" i="3"/>
  <c r="T2181" i="3"/>
  <c r="U2181" i="3"/>
  <c r="V2181" i="3"/>
  <c r="W2181" i="3"/>
  <c r="X2181" i="3"/>
  <c r="Y2181" i="3"/>
  <c r="Z2181" i="3"/>
  <c r="AA2181" i="3"/>
  <c r="T2182" i="3"/>
  <c r="U2182" i="3"/>
  <c r="V2182" i="3"/>
  <c r="W2182" i="3"/>
  <c r="X2182" i="3"/>
  <c r="Y2182" i="3"/>
  <c r="Z2182" i="3"/>
  <c r="AA2182" i="3"/>
  <c r="T2183" i="3"/>
  <c r="U2183" i="3"/>
  <c r="V2183" i="3"/>
  <c r="W2183" i="3"/>
  <c r="X2183" i="3"/>
  <c r="Y2183" i="3"/>
  <c r="Z2183" i="3"/>
  <c r="AA2183" i="3"/>
  <c r="T2184" i="3"/>
  <c r="U2184" i="3"/>
  <c r="V2184" i="3"/>
  <c r="W2184" i="3"/>
  <c r="X2184" i="3"/>
  <c r="Y2184" i="3"/>
  <c r="Z2184" i="3"/>
  <c r="AA2184" i="3"/>
  <c r="T2185" i="3"/>
  <c r="U2185" i="3"/>
  <c r="V2185" i="3"/>
  <c r="W2185" i="3"/>
  <c r="X2185" i="3"/>
  <c r="Y2185" i="3"/>
  <c r="Z2185" i="3"/>
  <c r="AA2185" i="3"/>
  <c r="T2186" i="3"/>
  <c r="U2186" i="3"/>
  <c r="V2186" i="3"/>
  <c r="W2186" i="3"/>
  <c r="X2186" i="3"/>
  <c r="Y2186" i="3"/>
  <c r="Z2186" i="3"/>
  <c r="AA2186" i="3"/>
  <c r="T2187" i="3"/>
  <c r="U2187" i="3"/>
  <c r="V2187" i="3"/>
  <c r="W2187" i="3"/>
  <c r="X2187" i="3"/>
  <c r="Y2187" i="3"/>
  <c r="Z2187" i="3"/>
  <c r="AA2187" i="3"/>
  <c r="T2188" i="3"/>
  <c r="U2188" i="3"/>
  <c r="V2188" i="3"/>
  <c r="W2188" i="3"/>
  <c r="X2188" i="3"/>
  <c r="Y2188" i="3"/>
  <c r="Z2188" i="3"/>
  <c r="AA2188" i="3"/>
  <c r="T2189" i="3"/>
  <c r="U2189" i="3"/>
  <c r="V2189" i="3"/>
  <c r="W2189" i="3"/>
  <c r="X2189" i="3"/>
  <c r="Y2189" i="3"/>
  <c r="Z2189" i="3"/>
  <c r="AA2189" i="3"/>
  <c r="T2190" i="3"/>
  <c r="U2190" i="3"/>
  <c r="V2190" i="3"/>
  <c r="W2190" i="3"/>
  <c r="X2190" i="3"/>
  <c r="Y2190" i="3"/>
  <c r="Z2190" i="3"/>
  <c r="AA2190" i="3"/>
  <c r="T2191" i="3"/>
  <c r="U2191" i="3"/>
  <c r="V2191" i="3"/>
  <c r="W2191" i="3"/>
  <c r="X2191" i="3"/>
  <c r="Y2191" i="3"/>
  <c r="Z2191" i="3"/>
  <c r="AA2191" i="3"/>
  <c r="T2192" i="3"/>
  <c r="U2192" i="3"/>
  <c r="V2192" i="3"/>
  <c r="W2192" i="3"/>
  <c r="X2192" i="3"/>
  <c r="Y2192" i="3"/>
  <c r="Z2192" i="3"/>
  <c r="AA2192" i="3"/>
  <c r="T2193" i="3"/>
  <c r="U2193" i="3"/>
  <c r="V2193" i="3"/>
  <c r="W2193" i="3"/>
  <c r="X2193" i="3"/>
  <c r="Y2193" i="3"/>
  <c r="Z2193" i="3"/>
  <c r="AA2193" i="3"/>
  <c r="T2194" i="3"/>
  <c r="U2194" i="3"/>
  <c r="V2194" i="3"/>
  <c r="W2194" i="3"/>
  <c r="X2194" i="3"/>
  <c r="Y2194" i="3"/>
  <c r="Z2194" i="3"/>
  <c r="AA2194" i="3"/>
  <c r="T2195" i="3"/>
  <c r="U2195" i="3"/>
  <c r="V2195" i="3"/>
  <c r="W2195" i="3"/>
  <c r="X2195" i="3"/>
  <c r="Y2195" i="3"/>
  <c r="Z2195" i="3"/>
  <c r="AA2195" i="3"/>
  <c r="T2196" i="3"/>
  <c r="U2196" i="3"/>
  <c r="V2196" i="3"/>
  <c r="W2196" i="3"/>
  <c r="X2196" i="3"/>
  <c r="Y2196" i="3"/>
  <c r="Z2196" i="3"/>
  <c r="AA2196" i="3"/>
  <c r="T2197" i="3"/>
  <c r="U2197" i="3"/>
  <c r="V2197" i="3"/>
  <c r="W2197" i="3"/>
  <c r="X2197" i="3"/>
  <c r="Y2197" i="3"/>
  <c r="Z2197" i="3"/>
  <c r="AA2197" i="3"/>
  <c r="T2198" i="3"/>
  <c r="U2198" i="3"/>
  <c r="V2198" i="3"/>
  <c r="W2198" i="3"/>
  <c r="X2198" i="3"/>
  <c r="Y2198" i="3"/>
  <c r="Z2198" i="3"/>
  <c r="AA2198" i="3"/>
  <c r="T2199" i="3"/>
  <c r="U2199" i="3"/>
  <c r="V2199" i="3"/>
  <c r="W2199" i="3"/>
  <c r="X2199" i="3"/>
  <c r="Y2199" i="3"/>
  <c r="Z2199" i="3"/>
  <c r="AA2199" i="3"/>
  <c r="T2200" i="3"/>
  <c r="U2200" i="3"/>
  <c r="V2200" i="3"/>
  <c r="W2200" i="3"/>
  <c r="X2200" i="3"/>
  <c r="Y2200" i="3"/>
  <c r="Z2200" i="3"/>
  <c r="AA2200" i="3"/>
  <c r="T2201" i="3"/>
  <c r="U2201" i="3"/>
  <c r="V2201" i="3"/>
  <c r="W2201" i="3"/>
  <c r="X2201" i="3"/>
  <c r="Y2201" i="3"/>
  <c r="Z2201" i="3"/>
  <c r="AA2201" i="3"/>
  <c r="T2202" i="3"/>
  <c r="U2202" i="3"/>
  <c r="V2202" i="3"/>
  <c r="W2202" i="3"/>
  <c r="X2202" i="3"/>
  <c r="Y2202" i="3"/>
  <c r="Z2202" i="3"/>
  <c r="AA2202" i="3"/>
  <c r="T2203" i="3"/>
  <c r="U2203" i="3"/>
  <c r="V2203" i="3"/>
  <c r="W2203" i="3"/>
  <c r="X2203" i="3"/>
  <c r="Y2203" i="3"/>
  <c r="Z2203" i="3"/>
  <c r="AA2203" i="3"/>
  <c r="T2204" i="3"/>
  <c r="U2204" i="3"/>
  <c r="V2204" i="3"/>
  <c r="W2204" i="3"/>
  <c r="X2204" i="3"/>
  <c r="Y2204" i="3"/>
  <c r="Z2204" i="3"/>
  <c r="AA2204" i="3"/>
  <c r="T2205" i="3"/>
  <c r="U2205" i="3"/>
  <c r="V2205" i="3"/>
  <c r="W2205" i="3"/>
  <c r="X2205" i="3"/>
  <c r="Y2205" i="3"/>
  <c r="Z2205" i="3"/>
  <c r="AA2205" i="3"/>
  <c r="T2206" i="3"/>
  <c r="U2206" i="3"/>
  <c r="V2206" i="3"/>
  <c r="W2206" i="3"/>
  <c r="X2206" i="3"/>
  <c r="Y2206" i="3"/>
  <c r="Z2206" i="3"/>
  <c r="AA2206" i="3"/>
  <c r="T2207" i="3"/>
  <c r="U2207" i="3"/>
  <c r="V2207" i="3"/>
  <c r="W2207" i="3"/>
  <c r="X2207" i="3"/>
  <c r="Y2207" i="3"/>
  <c r="Z2207" i="3"/>
  <c r="AA2207" i="3"/>
  <c r="T2208" i="3"/>
  <c r="U2208" i="3"/>
  <c r="V2208" i="3"/>
  <c r="W2208" i="3"/>
  <c r="X2208" i="3"/>
  <c r="Y2208" i="3"/>
  <c r="Z2208" i="3"/>
  <c r="AA2208" i="3"/>
  <c r="T2209" i="3"/>
  <c r="U2209" i="3"/>
  <c r="V2209" i="3"/>
  <c r="W2209" i="3"/>
  <c r="X2209" i="3"/>
  <c r="Y2209" i="3"/>
  <c r="Z2209" i="3"/>
  <c r="AA2209" i="3"/>
  <c r="T2210" i="3"/>
  <c r="U2210" i="3"/>
  <c r="V2210" i="3"/>
  <c r="W2210" i="3"/>
  <c r="X2210" i="3"/>
  <c r="Y2210" i="3"/>
  <c r="Z2210" i="3"/>
  <c r="AA2210" i="3"/>
  <c r="T2211" i="3"/>
  <c r="U2211" i="3"/>
  <c r="V2211" i="3"/>
  <c r="W2211" i="3"/>
  <c r="X2211" i="3"/>
  <c r="Y2211" i="3"/>
  <c r="Z2211" i="3"/>
  <c r="AA2211" i="3"/>
  <c r="U2179" i="3"/>
  <c r="V2179" i="3"/>
  <c r="W2179" i="3"/>
  <c r="X2179" i="3"/>
  <c r="Y2179" i="3"/>
  <c r="Z2179" i="3"/>
  <c r="AA2179" i="3"/>
  <c r="T2179" i="3"/>
  <c r="T2146" i="3"/>
  <c r="U2146" i="3"/>
  <c r="V2146" i="3"/>
  <c r="W2146" i="3"/>
  <c r="X2146" i="3"/>
  <c r="Y2146" i="3"/>
  <c r="Z2146" i="3"/>
  <c r="AA2146" i="3"/>
  <c r="T2147" i="3"/>
  <c r="U2147" i="3"/>
  <c r="V2147" i="3"/>
  <c r="W2147" i="3"/>
  <c r="X2147" i="3"/>
  <c r="Y2147" i="3"/>
  <c r="Z2147" i="3"/>
  <c r="AA2147" i="3"/>
  <c r="T2148" i="3"/>
  <c r="U2148" i="3"/>
  <c r="V2148" i="3"/>
  <c r="W2148" i="3"/>
  <c r="X2148" i="3"/>
  <c r="Y2148" i="3"/>
  <c r="Z2148" i="3"/>
  <c r="AA2148" i="3"/>
  <c r="T2149" i="3"/>
  <c r="U2149" i="3"/>
  <c r="V2149" i="3"/>
  <c r="W2149" i="3"/>
  <c r="X2149" i="3"/>
  <c r="Y2149" i="3"/>
  <c r="Z2149" i="3"/>
  <c r="AA2149" i="3"/>
  <c r="T2150" i="3"/>
  <c r="U2150" i="3"/>
  <c r="V2150" i="3"/>
  <c r="W2150" i="3"/>
  <c r="X2150" i="3"/>
  <c r="Y2150" i="3"/>
  <c r="Z2150" i="3"/>
  <c r="AA2150" i="3"/>
  <c r="T2151" i="3"/>
  <c r="U2151" i="3"/>
  <c r="V2151" i="3"/>
  <c r="W2151" i="3"/>
  <c r="X2151" i="3"/>
  <c r="Y2151" i="3"/>
  <c r="Z2151" i="3"/>
  <c r="AA2151" i="3"/>
  <c r="T2152" i="3"/>
  <c r="U2152" i="3"/>
  <c r="V2152" i="3"/>
  <c r="W2152" i="3"/>
  <c r="X2152" i="3"/>
  <c r="Y2152" i="3"/>
  <c r="Z2152" i="3"/>
  <c r="AA2152" i="3"/>
  <c r="T2153" i="3"/>
  <c r="U2153" i="3"/>
  <c r="V2153" i="3"/>
  <c r="W2153" i="3"/>
  <c r="X2153" i="3"/>
  <c r="Y2153" i="3"/>
  <c r="Z2153" i="3"/>
  <c r="AA2153" i="3"/>
  <c r="T2154" i="3"/>
  <c r="U2154" i="3"/>
  <c r="V2154" i="3"/>
  <c r="W2154" i="3"/>
  <c r="X2154" i="3"/>
  <c r="Y2154" i="3"/>
  <c r="Z2154" i="3"/>
  <c r="AA2154" i="3"/>
  <c r="T2155" i="3"/>
  <c r="U2155" i="3"/>
  <c r="V2155" i="3"/>
  <c r="W2155" i="3"/>
  <c r="X2155" i="3"/>
  <c r="Y2155" i="3"/>
  <c r="Z2155" i="3"/>
  <c r="AA2155" i="3"/>
  <c r="T2156" i="3"/>
  <c r="U2156" i="3"/>
  <c r="V2156" i="3"/>
  <c r="W2156" i="3"/>
  <c r="X2156" i="3"/>
  <c r="Y2156" i="3"/>
  <c r="Z2156" i="3"/>
  <c r="AA2156" i="3"/>
  <c r="T2157" i="3"/>
  <c r="U2157" i="3"/>
  <c r="V2157" i="3"/>
  <c r="W2157" i="3"/>
  <c r="X2157" i="3"/>
  <c r="Y2157" i="3"/>
  <c r="Z2157" i="3"/>
  <c r="AA2157" i="3"/>
  <c r="T2158" i="3"/>
  <c r="U2158" i="3"/>
  <c r="V2158" i="3"/>
  <c r="W2158" i="3"/>
  <c r="X2158" i="3"/>
  <c r="Y2158" i="3"/>
  <c r="Z2158" i="3"/>
  <c r="AA2158" i="3"/>
  <c r="T2159" i="3"/>
  <c r="U2159" i="3"/>
  <c r="V2159" i="3"/>
  <c r="W2159" i="3"/>
  <c r="X2159" i="3"/>
  <c r="Y2159" i="3"/>
  <c r="Z2159" i="3"/>
  <c r="AA2159" i="3"/>
  <c r="T2160" i="3"/>
  <c r="U2160" i="3"/>
  <c r="V2160" i="3"/>
  <c r="W2160" i="3"/>
  <c r="X2160" i="3"/>
  <c r="Y2160" i="3"/>
  <c r="Z2160" i="3"/>
  <c r="AA2160" i="3"/>
  <c r="T2161" i="3"/>
  <c r="U2161" i="3"/>
  <c r="V2161" i="3"/>
  <c r="W2161" i="3"/>
  <c r="X2161" i="3"/>
  <c r="Y2161" i="3"/>
  <c r="Z2161" i="3"/>
  <c r="AA2161" i="3"/>
  <c r="T2162" i="3"/>
  <c r="U2162" i="3"/>
  <c r="V2162" i="3"/>
  <c r="W2162" i="3"/>
  <c r="X2162" i="3"/>
  <c r="Y2162" i="3"/>
  <c r="Z2162" i="3"/>
  <c r="AA2162" i="3"/>
  <c r="T2163" i="3"/>
  <c r="U2163" i="3"/>
  <c r="V2163" i="3"/>
  <c r="W2163" i="3"/>
  <c r="X2163" i="3"/>
  <c r="Y2163" i="3"/>
  <c r="Z2163" i="3"/>
  <c r="AA2163" i="3"/>
  <c r="T2164" i="3"/>
  <c r="U2164" i="3"/>
  <c r="V2164" i="3"/>
  <c r="W2164" i="3"/>
  <c r="X2164" i="3"/>
  <c r="Y2164" i="3"/>
  <c r="Z2164" i="3"/>
  <c r="AA2164" i="3"/>
  <c r="T2165" i="3"/>
  <c r="U2165" i="3"/>
  <c r="V2165" i="3"/>
  <c r="W2165" i="3"/>
  <c r="X2165" i="3"/>
  <c r="Y2165" i="3"/>
  <c r="Z2165" i="3"/>
  <c r="AA2165" i="3"/>
  <c r="T2166" i="3"/>
  <c r="U2166" i="3"/>
  <c r="V2166" i="3"/>
  <c r="W2166" i="3"/>
  <c r="X2166" i="3"/>
  <c r="Y2166" i="3"/>
  <c r="Z2166" i="3"/>
  <c r="AA2166" i="3"/>
  <c r="T2167" i="3"/>
  <c r="U2167" i="3"/>
  <c r="V2167" i="3"/>
  <c r="W2167" i="3"/>
  <c r="X2167" i="3"/>
  <c r="Y2167" i="3"/>
  <c r="Z2167" i="3"/>
  <c r="AA2167" i="3"/>
  <c r="T2168" i="3"/>
  <c r="U2168" i="3"/>
  <c r="V2168" i="3"/>
  <c r="W2168" i="3"/>
  <c r="X2168" i="3"/>
  <c r="Y2168" i="3"/>
  <c r="Z2168" i="3"/>
  <c r="AA2168" i="3"/>
  <c r="T2169" i="3"/>
  <c r="U2169" i="3"/>
  <c r="V2169" i="3"/>
  <c r="W2169" i="3"/>
  <c r="X2169" i="3"/>
  <c r="Y2169" i="3"/>
  <c r="Z2169" i="3"/>
  <c r="AA2169" i="3"/>
  <c r="T2170" i="3"/>
  <c r="U2170" i="3"/>
  <c r="V2170" i="3"/>
  <c r="W2170" i="3"/>
  <c r="X2170" i="3"/>
  <c r="Y2170" i="3"/>
  <c r="Z2170" i="3"/>
  <c r="AA2170" i="3"/>
  <c r="T2171" i="3"/>
  <c r="U2171" i="3"/>
  <c r="V2171" i="3"/>
  <c r="W2171" i="3"/>
  <c r="X2171" i="3"/>
  <c r="Y2171" i="3"/>
  <c r="Z2171" i="3"/>
  <c r="AA2171" i="3"/>
  <c r="T2172" i="3"/>
  <c r="U2172" i="3"/>
  <c r="V2172" i="3"/>
  <c r="W2172" i="3"/>
  <c r="X2172" i="3"/>
  <c r="Y2172" i="3"/>
  <c r="Z2172" i="3"/>
  <c r="AA2172" i="3"/>
  <c r="T2173" i="3"/>
  <c r="U2173" i="3"/>
  <c r="V2173" i="3"/>
  <c r="W2173" i="3"/>
  <c r="X2173" i="3"/>
  <c r="Y2173" i="3"/>
  <c r="Z2173" i="3"/>
  <c r="AA2173" i="3"/>
  <c r="T2174" i="3"/>
  <c r="U2174" i="3"/>
  <c r="V2174" i="3"/>
  <c r="W2174" i="3"/>
  <c r="X2174" i="3"/>
  <c r="Y2174" i="3"/>
  <c r="Z2174" i="3"/>
  <c r="AA2174" i="3"/>
  <c r="T2175" i="3"/>
  <c r="U2175" i="3"/>
  <c r="V2175" i="3"/>
  <c r="W2175" i="3"/>
  <c r="X2175" i="3"/>
  <c r="Y2175" i="3"/>
  <c r="Z2175" i="3"/>
  <c r="AA2175" i="3"/>
  <c r="T2176" i="3"/>
  <c r="U2176" i="3"/>
  <c r="V2176" i="3"/>
  <c r="W2176" i="3"/>
  <c r="X2176" i="3"/>
  <c r="Y2176" i="3"/>
  <c r="Z2176" i="3"/>
  <c r="AA2176" i="3"/>
  <c r="T2177" i="3"/>
  <c r="U2177" i="3"/>
  <c r="V2177" i="3"/>
  <c r="W2177" i="3"/>
  <c r="X2177" i="3"/>
  <c r="Y2177" i="3"/>
  <c r="Z2177" i="3"/>
  <c r="AA2177" i="3"/>
  <c r="U2145" i="3"/>
  <c r="V2145" i="3"/>
  <c r="W2145" i="3"/>
  <c r="X2145" i="3"/>
  <c r="Y2145" i="3"/>
  <c r="Z2145" i="3"/>
  <c r="AA2145" i="3"/>
  <c r="T2145" i="3"/>
  <c r="T2112" i="3"/>
  <c r="U2112" i="3"/>
  <c r="V2112" i="3"/>
  <c r="W2112" i="3"/>
  <c r="X2112" i="3"/>
  <c r="Y2112" i="3"/>
  <c r="Z2112" i="3"/>
  <c r="AA2112" i="3"/>
  <c r="T2113" i="3"/>
  <c r="U2113" i="3"/>
  <c r="V2113" i="3"/>
  <c r="W2113" i="3"/>
  <c r="X2113" i="3"/>
  <c r="Y2113" i="3"/>
  <c r="Z2113" i="3"/>
  <c r="AA2113" i="3"/>
  <c r="T2114" i="3"/>
  <c r="U2114" i="3"/>
  <c r="V2114" i="3"/>
  <c r="W2114" i="3"/>
  <c r="X2114" i="3"/>
  <c r="Y2114" i="3"/>
  <c r="Z2114" i="3"/>
  <c r="AA2114" i="3"/>
  <c r="T2115" i="3"/>
  <c r="U2115" i="3"/>
  <c r="V2115" i="3"/>
  <c r="W2115" i="3"/>
  <c r="X2115" i="3"/>
  <c r="Y2115" i="3"/>
  <c r="Z2115" i="3"/>
  <c r="AA2115" i="3"/>
  <c r="T2116" i="3"/>
  <c r="U2116" i="3"/>
  <c r="V2116" i="3"/>
  <c r="W2116" i="3"/>
  <c r="X2116" i="3"/>
  <c r="Y2116" i="3"/>
  <c r="Z2116" i="3"/>
  <c r="AA2116" i="3"/>
  <c r="T2117" i="3"/>
  <c r="U2117" i="3"/>
  <c r="V2117" i="3"/>
  <c r="W2117" i="3"/>
  <c r="X2117" i="3"/>
  <c r="Y2117" i="3"/>
  <c r="Z2117" i="3"/>
  <c r="AA2117" i="3"/>
  <c r="T2118" i="3"/>
  <c r="U2118" i="3"/>
  <c r="V2118" i="3"/>
  <c r="W2118" i="3"/>
  <c r="X2118" i="3"/>
  <c r="Y2118" i="3"/>
  <c r="Z2118" i="3"/>
  <c r="AA2118" i="3"/>
  <c r="T2119" i="3"/>
  <c r="U2119" i="3"/>
  <c r="V2119" i="3"/>
  <c r="W2119" i="3"/>
  <c r="X2119" i="3"/>
  <c r="Y2119" i="3"/>
  <c r="Z2119" i="3"/>
  <c r="AA2119" i="3"/>
  <c r="T2120" i="3"/>
  <c r="U2120" i="3"/>
  <c r="V2120" i="3"/>
  <c r="W2120" i="3"/>
  <c r="X2120" i="3"/>
  <c r="Y2120" i="3"/>
  <c r="Z2120" i="3"/>
  <c r="AA2120" i="3"/>
  <c r="T2121" i="3"/>
  <c r="U2121" i="3"/>
  <c r="V2121" i="3"/>
  <c r="W2121" i="3"/>
  <c r="X2121" i="3"/>
  <c r="Y2121" i="3"/>
  <c r="Z2121" i="3"/>
  <c r="AA2121" i="3"/>
  <c r="T2122" i="3"/>
  <c r="U2122" i="3"/>
  <c r="V2122" i="3"/>
  <c r="W2122" i="3"/>
  <c r="X2122" i="3"/>
  <c r="Y2122" i="3"/>
  <c r="Z2122" i="3"/>
  <c r="AA2122" i="3"/>
  <c r="T2123" i="3"/>
  <c r="U2123" i="3"/>
  <c r="V2123" i="3"/>
  <c r="W2123" i="3"/>
  <c r="X2123" i="3"/>
  <c r="Y2123" i="3"/>
  <c r="Z2123" i="3"/>
  <c r="AA2123" i="3"/>
  <c r="T2124" i="3"/>
  <c r="U2124" i="3"/>
  <c r="V2124" i="3"/>
  <c r="W2124" i="3"/>
  <c r="X2124" i="3"/>
  <c r="Y2124" i="3"/>
  <c r="Z2124" i="3"/>
  <c r="AA2124" i="3"/>
  <c r="T2125" i="3"/>
  <c r="U2125" i="3"/>
  <c r="V2125" i="3"/>
  <c r="W2125" i="3"/>
  <c r="X2125" i="3"/>
  <c r="Y2125" i="3"/>
  <c r="Z2125" i="3"/>
  <c r="AA2125" i="3"/>
  <c r="T2126" i="3"/>
  <c r="U2126" i="3"/>
  <c r="V2126" i="3"/>
  <c r="W2126" i="3"/>
  <c r="X2126" i="3"/>
  <c r="Y2126" i="3"/>
  <c r="Z2126" i="3"/>
  <c r="AA2126" i="3"/>
  <c r="T2127" i="3"/>
  <c r="U2127" i="3"/>
  <c r="V2127" i="3"/>
  <c r="W2127" i="3"/>
  <c r="X2127" i="3"/>
  <c r="Y2127" i="3"/>
  <c r="Z2127" i="3"/>
  <c r="AA2127" i="3"/>
  <c r="T2128" i="3"/>
  <c r="U2128" i="3"/>
  <c r="V2128" i="3"/>
  <c r="W2128" i="3"/>
  <c r="X2128" i="3"/>
  <c r="Y2128" i="3"/>
  <c r="Z2128" i="3"/>
  <c r="AA2128" i="3"/>
  <c r="T2129" i="3"/>
  <c r="U2129" i="3"/>
  <c r="V2129" i="3"/>
  <c r="W2129" i="3"/>
  <c r="X2129" i="3"/>
  <c r="Y2129" i="3"/>
  <c r="Z2129" i="3"/>
  <c r="AA2129" i="3"/>
  <c r="T2130" i="3"/>
  <c r="U2130" i="3"/>
  <c r="V2130" i="3"/>
  <c r="W2130" i="3"/>
  <c r="X2130" i="3"/>
  <c r="Y2130" i="3"/>
  <c r="Z2130" i="3"/>
  <c r="AA2130" i="3"/>
  <c r="T2131" i="3"/>
  <c r="U2131" i="3"/>
  <c r="V2131" i="3"/>
  <c r="W2131" i="3"/>
  <c r="X2131" i="3"/>
  <c r="Y2131" i="3"/>
  <c r="Z2131" i="3"/>
  <c r="AA2131" i="3"/>
  <c r="T2132" i="3"/>
  <c r="U2132" i="3"/>
  <c r="V2132" i="3"/>
  <c r="W2132" i="3"/>
  <c r="X2132" i="3"/>
  <c r="Y2132" i="3"/>
  <c r="Z2132" i="3"/>
  <c r="AA2132" i="3"/>
  <c r="T2133" i="3"/>
  <c r="U2133" i="3"/>
  <c r="V2133" i="3"/>
  <c r="W2133" i="3"/>
  <c r="X2133" i="3"/>
  <c r="Y2133" i="3"/>
  <c r="Z2133" i="3"/>
  <c r="AA2133" i="3"/>
  <c r="T2134" i="3"/>
  <c r="U2134" i="3"/>
  <c r="V2134" i="3"/>
  <c r="W2134" i="3"/>
  <c r="X2134" i="3"/>
  <c r="Y2134" i="3"/>
  <c r="Z2134" i="3"/>
  <c r="AA2134" i="3"/>
  <c r="T2135" i="3"/>
  <c r="U2135" i="3"/>
  <c r="V2135" i="3"/>
  <c r="W2135" i="3"/>
  <c r="X2135" i="3"/>
  <c r="Y2135" i="3"/>
  <c r="Z2135" i="3"/>
  <c r="AA2135" i="3"/>
  <c r="T2136" i="3"/>
  <c r="U2136" i="3"/>
  <c r="V2136" i="3"/>
  <c r="W2136" i="3"/>
  <c r="X2136" i="3"/>
  <c r="Y2136" i="3"/>
  <c r="Z2136" i="3"/>
  <c r="AA2136" i="3"/>
  <c r="T2137" i="3"/>
  <c r="U2137" i="3"/>
  <c r="V2137" i="3"/>
  <c r="W2137" i="3"/>
  <c r="X2137" i="3"/>
  <c r="Y2137" i="3"/>
  <c r="Z2137" i="3"/>
  <c r="AA2137" i="3"/>
  <c r="T2138" i="3"/>
  <c r="U2138" i="3"/>
  <c r="V2138" i="3"/>
  <c r="W2138" i="3"/>
  <c r="X2138" i="3"/>
  <c r="Y2138" i="3"/>
  <c r="Z2138" i="3"/>
  <c r="AA2138" i="3"/>
  <c r="T2139" i="3"/>
  <c r="U2139" i="3"/>
  <c r="V2139" i="3"/>
  <c r="W2139" i="3"/>
  <c r="X2139" i="3"/>
  <c r="Y2139" i="3"/>
  <c r="Z2139" i="3"/>
  <c r="AA2139" i="3"/>
  <c r="T2140" i="3"/>
  <c r="U2140" i="3"/>
  <c r="V2140" i="3"/>
  <c r="W2140" i="3"/>
  <c r="X2140" i="3"/>
  <c r="Y2140" i="3"/>
  <c r="Z2140" i="3"/>
  <c r="AA2140" i="3"/>
  <c r="T2141" i="3"/>
  <c r="U2141" i="3"/>
  <c r="V2141" i="3"/>
  <c r="W2141" i="3"/>
  <c r="X2141" i="3"/>
  <c r="Y2141" i="3"/>
  <c r="Z2141" i="3"/>
  <c r="AA2141" i="3"/>
  <c r="T2142" i="3"/>
  <c r="U2142" i="3"/>
  <c r="V2142" i="3"/>
  <c r="W2142" i="3"/>
  <c r="X2142" i="3"/>
  <c r="Y2142" i="3"/>
  <c r="Z2142" i="3"/>
  <c r="AA2142" i="3"/>
  <c r="T2143" i="3"/>
  <c r="U2143" i="3"/>
  <c r="V2143" i="3"/>
  <c r="W2143" i="3"/>
  <c r="X2143" i="3"/>
  <c r="Y2143" i="3"/>
  <c r="Z2143" i="3"/>
  <c r="AA2143" i="3"/>
  <c r="U2111" i="3"/>
  <c r="V2111" i="3"/>
  <c r="W2111" i="3"/>
  <c r="X2111" i="3"/>
  <c r="Y2111" i="3"/>
  <c r="Z2111" i="3"/>
  <c r="AA2111" i="3"/>
  <c r="T2111" i="3"/>
  <c r="T2078" i="3"/>
  <c r="U2078" i="3"/>
  <c r="V2078" i="3"/>
  <c r="W2078" i="3"/>
  <c r="X2078" i="3"/>
  <c r="Y2078" i="3"/>
  <c r="Z2078" i="3"/>
  <c r="AA2078" i="3"/>
  <c r="T2079" i="3"/>
  <c r="U2079" i="3"/>
  <c r="V2079" i="3"/>
  <c r="W2079" i="3"/>
  <c r="X2079" i="3"/>
  <c r="Y2079" i="3"/>
  <c r="Z2079" i="3"/>
  <c r="AA2079" i="3"/>
  <c r="T2080" i="3"/>
  <c r="U2080" i="3"/>
  <c r="V2080" i="3"/>
  <c r="W2080" i="3"/>
  <c r="X2080" i="3"/>
  <c r="Y2080" i="3"/>
  <c r="Z2080" i="3"/>
  <c r="AA2080" i="3"/>
  <c r="T2081" i="3"/>
  <c r="U2081" i="3"/>
  <c r="V2081" i="3"/>
  <c r="W2081" i="3"/>
  <c r="X2081" i="3"/>
  <c r="Y2081" i="3"/>
  <c r="Z2081" i="3"/>
  <c r="AA2081" i="3"/>
  <c r="T2082" i="3"/>
  <c r="U2082" i="3"/>
  <c r="V2082" i="3"/>
  <c r="W2082" i="3"/>
  <c r="X2082" i="3"/>
  <c r="Y2082" i="3"/>
  <c r="Z2082" i="3"/>
  <c r="AA2082" i="3"/>
  <c r="T2083" i="3"/>
  <c r="U2083" i="3"/>
  <c r="V2083" i="3"/>
  <c r="W2083" i="3"/>
  <c r="X2083" i="3"/>
  <c r="Y2083" i="3"/>
  <c r="Z2083" i="3"/>
  <c r="AA2083" i="3"/>
  <c r="T2084" i="3"/>
  <c r="U2084" i="3"/>
  <c r="V2084" i="3"/>
  <c r="W2084" i="3"/>
  <c r="X2084" i="3"/>
  <c r="Y2084" i="3"/>
  <c r="Z2084" i="3"/>
  <c r="AA2084" i="3"/>
  <c r="T2085" i="3"/>
  <c r="U2085" i="3"/>
  <c r="V2085" i="3"/>
  <c r="W2085" i="3"/>
  <c r="X2085" i="3"/>
  <c r="Y2085" i="3"/>
  <c r="Z2085" i="3"/>
  <c r="AA2085" i="3"/>
  <c r="T2086" i="3"/>
  <c r="U2086" i="3"/>
  <c r="V2086" i="3"/>
  <c r="W2086" i="3"/>
  <c r="X2086" i="3"/>
  <c r="Y2086" i="3"/>
  <c r="Z2086" i="3"/>
  <c r="AA2086" i="3"/>
  <c r="T2087" i="3"/>
  <c r="U2087" i="3"/>
  <c r="V2087" i="3"/>
  <c r="W2087" i="3"/>
  <c r="X2087" i="3"/>
  <c r="Y2087" i="3"/>
  <c r="Z2087" i="3"/>
  <c r="AA2087" i="3"/>
  <c r="T2088" i="3"/>
  <c r="U2088" i="3"/>
  <c r="V2088" i="3"/>
  <c r="W2088" i="3"/>
  <c r="X2088" i="3"/>
  <c r="Y2088" i="3"/>
  <c r="Z2088" i="3"/>
  <c r="AA2088" i="3"/>
  <c r="T2089" i="3"/>
  <c r="U2089" i="3"/>
  <c r="V2089" i="3"/>
  <c r="W2089" i="3"/>
  <c r="X2089" i="3"/>
  <c r="Y2089" i="3"/>
  <c r="Z2089" i="3"/>
  <c r="AA2089" i="3"/>
  <c r="T2090" i="3"/>
  <c r="U2090" i="3"/>
  <c r="V2090" i="3"/>
  <c r="W2090" i="3"/>
  <c r="X2090" i="3"/>
  <c r="Y2090" i="3"/>
  <c r="Z2090" i="3"/>
  <c r="AA2090" i="3"/>
  <c r="T2091" i="3"/>
  <c r="U2091" i="3"/>
  <c r="V2091" i="3"/>
  <c r="W2091" i="3"/>
  <c r="X2091" i="3"/>
  <c r="Y2091" i="3"/>
  <c r="Z2091" i="3"/>
  <c r="AA2091" i="3"/>
  <c r="T2092" i="3"/>
  <c r="U2092" i="3"/>
  <c r="V2092" i="3"/>
  <c r="W2092" i="3"/>
  <c r="X2092" i="3"/>
  <c r="Y2092" i="3"/>
  <c r="Z2092" i="3"/>
  <c r="AA2092" i="3"/>
  <c r="T2093" i="3"/>
  <c r="U2093" i="3"/>
  <c r="V2093" i="3"/>
  <c r="W2093" i="3"/>
  <c r="X2093" i="3"/>
  <c r="Y2093" i="3"/>
  <c r="Z2093" i="3"/>
  <c r="AA2093" i="3"/>
  <c r="T2094" i="3"/>
  <c r="U2094" i="3"/>
  <c r="V2094" i="3"/>
  <c r="W2094" i="3"/>
  <c r="X2094" i="3"/>
  <c r="Y2094" i="3"/>
  <c r="Z2094" i="3"/>
  <c r="AA2094" i="3"/>
  <c r="T2095" i="3"/>
  <c r="U2095" i="3"/>
  <c r="V2095" i="3"/>
  <c r="W2095" i="3"/>
  <c r="X2095" i="3"/>
  <c r="Y2095" i="3"/>
  <c r="Z2095" i="3"/>
  <c r="AA2095" i="3"/>
  <c r="T2096" i="3"/>
  <c r="U2096" i="3"/>
  <c r="V2096" i="3"/>
  <c r="W2096" i="3"/>
  <c r="X2096" i="3"/>
  <c r="Y2096" i="3"/>
  <c r="Z2096" i="3"/>
  <c r="AA2096" i="3"/>
  <c r="T2097" i="3"/>
  <c r="U2097" i="3"/>
  <c r="V2097" i="3"/>
  <c r="W2097" i="3"/>
  <c r="X2097" i="3"/>
  <c r="Y2097" i="3"/>
  <c r="Z2097" i="3"/>
  <c r="AA2097" i="3"/>
  <c r="T2098" i="3"/>
  <c r="U2098" i="3"/>
  <c r="V2098" i="3"/>
  <c r="W2098" i="3"/>
  <c r="X2098" i="3"/>
  <c r="Y2098" i="3"/>
  <c r="Z2098" i="3"/>
  <c r="AA2098" i="3"/>
  <c r="T2099" i="3"/>
  <c r="U2099" i="3"/>
  <c r="V2099" i="3"/>
  <c r="W2099" i="3"/>
  <c r="X2099" i="3"/>
  <c r="Y2099" i="3"/>
  <c r="Z2099" i="3"/>
  <c r="AA2099" i="3"/>
  <c r="T2100" i="3"/>
  <c r="U2100" i="3"/>
  <c r="V2100" i="3"/>
  <c r="W2100" i="3"/>
  <c r="X2100" i="3"/>
  <c r="Y2100" i="3"/>
  <c r="Z2100" i="3"/>
  <c r="AA2100" i="3"/>
  <c r="T2101" i="3"/>
  <c r="U2101" i="3"/>
  <c r="V2101" i="3"/>
  <c r="W2101" i="3"/>
  <c r="X2101" i="3"/>
  <c r="Y2101" i="3"/>
  <c r="Z2101" i="3"/>
  <c r="AA2101" i="3"/>
  <c r="T2102" i="3"/>
  <c r="U2102" i="3"/>
  <c r="V2102" i="3"/>
  <c r="W2102" i="3"/>
  <c r="X2102" i="3"/>
  <c r="Y2102" i="3"/>
  <c r="Z2102" i="3"/>
  <c r="AA2102" i="3"/>
  <c r="T2103" i="3"/>
  <c r="U2103" i="3"/>
  <c r="V2103" i="3"/>
  <c r="W2103" i="3"/>
  <c r="X2103" i="3"/>
  <c r="Y2103" i="3"/>
  <c r="Z2103" i="3"/>
  <c r="AA2103" i="3"/>
  <c r="T2104" i="3"/>
  <c r="U2104" i="3"/>
  <c r="V2104" i="3"/>
  <c r="W2104" i="3"/>
  <c r="X2104" i="3"/>
  <c r="Y2104" i="3"/>
  <c r="Z2104" i="3"/>
  <c r="AA2104" i="3"/>
  <c r="T2105" i="3"/>
  <c r="U2105" i="3"/>
  <c r="V2105" i="3"/>
  <c r="W2105" i="3"/>
  <c r="X2105" i="3"/>
  <c r="Y2105" i="3"/>
  <c r="Z2105" i="3"/>
  <c r="AA2105" i="3"/>
  <c r="T2106" i="3"/>
  <c r="U2106" i="3"/>
  <c r="V2106" i="3"/>
  <c r="W2106" i="3"/>
  <c r="X2106" i="3"/>
  <c r="Y2106" i="3"/>
  <c r="Z2106" i="3"/>
  <c r="AA2106" i="3"/>
  <c r="T2107" i="3"/>
  <c r="U2107" i="3"/>
  <c r="V2107" i="3"/>
  <c r="W2107" i="3"/>
  <c r="X2107" i="3"/>
  <c r="Y2107" i="3"/>
  <c r="Z2107" i="3"/>
  <c r="AA2107" i="3"/>
  <c r="T2108" i="3"/>
  <c r="U2108" i="3"/>
  <c r="V2108" i="3"/>
  <c r="W2108" i="3"/>
  <c r="X2108" i="3"/>
  <c r="Y2108" i="3"/>
  <c r="Z2108" i="3"/>
  <c r="AA2108" i="3"/>
  <c r="T2109" i="3"/>
  <c r="U2109" i="3"/>
  <c r="V2109" i="3"/>
  <c r="W2109" i="3"/>
  <c r="X2109" i="3"/>
  <c r="Y2109" i="3"/>
  <c r="Z2109" i="3"/>
  <c r="AA2109" i="3"/>
  <c r="U2077" i="3"/>
  <c r="V2077" i="3"/>
  <c r="W2077" i="3"/>
  <c r="X2077" i="3"/>
  <c r="Y2077" i="3"/>
  <c r="Z2077" i="3"/>
  <c r="AA2077" i="3"/>
  <c r="T2077" i="3"/>
  <c r="T2044" i="3"/>
  <c r="U2044" i="3"/>
  <c r="V2044" i="3"/>
  <c r="W2044" i="3"/>
  <c r="X2044" i="3"/>
  <c r="Y2044" i="3"/>
  <c r="Z2044" i="3"/>
  <c r="AA2044" i="3"/>
  <c r="T2045" i="3"/>
  <c r="U2045" i="3"/>
  <c r="V2045" i="3"/>
  <c r="W2045" i="3"/>
  <c r="X2045" i="3"/>
  <c r="Y2045" i="3"/>
  <c r="Z2045" i="3"/>
  <c r="AA2045" i="3"/>
  <c r="T2046" i="3"/>
  <c r="U2046" i="3"/>
  <c r="V2046" i="3"/>
  <c r="W2046" i="3"/>
  <c r="X2046" i="3"/>
  <c r="Y2046" i="3"/>
  <c r="Z2046" i="3"/>
  <c r="AA2046" i="3"/>
  <c r="T2047" i="3"/>
  <c r="U2047" i="3"/>
  <c r="V2047" i="3"/>
  <c r="W2047" i="3"/>
  <c r="X2047" i="3"/>
  <c r="Y2047" i="3"/>
  <c r="Z2047" i="3"/>
  <c r="AA2047" i="3"/>
  <c r="T2048" i="3"/>
  <c r="U2048" i="3"/>
  <c r="V2048" i="3"/>
  <c r="W2048" i="3"/>
  <c r="X2048" i="3"/>
  <c r="Y2048" i="3"/>
  <c r="Z2048" i="3"/>
  <c r="AA2048" i="3"/>
  <c r="T2049" i="3"/>
  <c r="U2049" i="3"/>
  <c r="V2049" i="3"/>
  <c r="W2049" i="3"/>
  <c r="X2049" i="3"/>
  <c r="Y2049" i="3"/>
  <c r="Z2049" i="3"/>
  <c r="AA2049" i="3"/>
  <c r="T2050" i="3"/>
  <c r="U2050" i="3"/>
  <c r="V2050" i="3"/>
  <c r="W2050" i="3"/>
  <c r="X2050" i="3"/>
  <c r="Y2050" i="3"/>
  <c r="Z2050" i="3"/>
  <c r="AA2050" i="3"/>
  <c r="T2051" i="3"/>
  <c r="U2051" i="3"/>
  <c r="V2051" i="3"/>
  <c r="W2051" i="3"/>
  <c r="X2051" i="3"/>
  <c r="Y2051" i="3"/>
  <c r="Z2051" i="3"/>
  <c r="AA2051" i="3"/>
  <c r="T2052" i="3"/>
  <c r="U2052" i="3"/>
  <c r="V2052" i="3"/>
  <c r="W2052" i="3"/>
  <c r="X2052" i="3"/>
  <c r="Y2052" i="3"/>
  <c r="Z2052" i="3"/>
  <c r="AA2052" i="3"/>
  <c r="T2053" i="3"/>
  <c r="U2053" i="3"/>
  <c r="V2053" i="3"/>
  <c r="W2053" i="3"/>
  <c r="X2053" i="3"/>
  <c r="Y2053" i="3"/>
  <c r="Z2053" i="3"/>
  <c r="AA2053" i="3"/>
  <c r="T2054" i="3"/>
  <c r="U2054" i="3"/>
  <c r="V2054" i="3"/>
  <c r="W2054" i="3"/>
  <c r="X2054" i="3"/>
  <c r="Y2054" i="3"/>
  <c r="Z2054" i="3"/>
  <c r="AA2054" i="3"/>
  <c r="T2055" i="3"/>
  <c r="U2055" i="3"/>
  <c r="V2055" i="3"/>
  <c r="W2055" i="3"/>
  <c r="X2055" i="3"/>
  <c r="Y2055" i="3"/>
  <c r="Z2055" i="3"/>
  <c r="AA2055" i="3"/>
  <c r="T2056" i="3"/>
  <c r="U2056" i="3"/>
  <c r="V2056" i="3"/>
  <c r="W2056" i="3"/>
  <c r="X2056" i="3"/>
  <c r="Y2056" i="3"/>
  <c r="Z2056" i="3"/>
  <c r="AA2056" i="3"/>
  <c r="T2057" i="3"/>
  <c r="U2057" i="3"/>
  <c r="V2057" i="3"/>
  <c r="W2057" i="3"/>
  <c r="X2057" i="3"/>
  <c r="Y2057" i="3"/>
  <c r="Z2057" i="3"/>
  <c r="AA2057" i="3"/>
  <c r="T2058" i="3"/>
  <c r="U2058" i="3"/>
  <c r="V2058" i="3"/>
  <c r="W2058" i="3"/>
  <c r="X2058" i="3"/>
  <c r="Y2058" i="3"/>
  <c r="Z2058" i="3"/>
  <c r="AA2058" i="3"/>
  <c r="T2059" i="3"/>
  <c r="U2059" i="3"/>
  <c r="V2059" i="3"/>
  <c r="W2059" i="3"/>
  <c r="X2059" i="3"/>
  <c r="Y2059" i="3"/>
  <c r="Z2059" i="3"/>
  <c r="AA2059" i="3"/>
  <c r="T2060" i="3"/>
  <c r="U2060" i="3"/>
  <c r="V2060" i="3"/>
  <c r="W2060" i="3"/>
  <c r="X2060" i="3"/>
  <c r="Y2060" i="3"/>
  <c r="Z2060" i="3"/>
  <c r="AA2060" i="3"/>
  <c r="T2061" i="3"/>
  <c r="U2061" i="3"/>
  <c r="V2061" i="3"/>
  <c r="W2061" i="3"/>
  <c r="X2061" i="3"/>
  <c r="Y2061" i="3"/>
  <c r="Z2061" i="3"/>
  <c r="AA2061" i="3"/>
  <c r="T2062" i="3"/>
  <c r="U2062" i="3"/>
  <c r="V2062" i="3"/>
  <c r="W2062" i="3"/>
  <c r="X2062" i="3"/>
  <c r="Y2062" i="3"/>
  <c r="Z2062" i="3"/>
  <c r="AA2062" i="3"/>
  <c r="T2063" i="3"/>
  <c r="U2063" i="3"/>
  <c r="V2063" i="3"/>
  <c r="W2063" i="3"/>
  <c r="X2063" i="3"/>
  <c r="Y2063" i="3"/>
  <c r="Z2063" i="3"/>
  <c r="AA2063" i="3"/>
  <c r="T2064" i="3"/>
  <c r="U2064" i="3"/>
  <c r="V2064" i="3"/>
  <c r="W2064" i="3"/>
  <c r="X2064" i="3"/>
  <c r="Y2064" i="3"/>
  <c r="Z2064" i="3"/>
  <c r="AA2064" i="3"/>
  <c r="T2065" i="3"/>
  <c r="U2065" i="3"/>
  <c r="V2065" i="3"/>
  <c r="W2065" i="3"/>
  <c r="X2065" i="3"/>
  <c r="Y2065" i="3"/>
  <c r="Z2065" i="3"/>
  <c r="AA2065" i="3"/>
  <c r="T2066" i="3"/>
  <c r="U2066" i="3"/>
  <c r="V2066" i="3"/>
  <c r="W2066" i="3"/>
  <c r="X2066" i="3"/>
  <c r="Y2066" i="3"/>
  <c r="Z2066" i="3"/>
  <c r="AA2066" i="3"/>
  <c r="T2067" i="3"/>
  <c r="U2067" i="3"/>
  <c r="V2067" i="3"/>
  <c r="W2067" i="3"/>
  <c r="X2067" i="3"/>
  <c r="Y2067" i="3"/>
  <c r="Z2067" i="3"/>
  <c r="AA2067" i="3"/>
  <c r="T2068" i="3"/>
  <c r="U2068" i="3"/>
  <c r="V2068" i="3"/>
  <c r="W2068" i="3"/>
  <c r="X2068" i="3"/>
  <c r="Y2068" i="3"/>
  <c r="Z2068" i="3"/>
  <c r="AA2068" i="3"/>
  <c r="T2069" i="3"/>
  <c r="U2069" i="3"/>
  <c r="V2069" i="3"/>
  <c r="W2069" i="3"/>
  <c r="X2069" i="3"/>
  <c r="Y2069" i="3"/>
  <c r="Z2069" i="3"/>
  <c r="AA2069" i="3"/>
  <c r="T2070" i="3"/>
  <c r="U2070" i="3"/>
  <c r="V2070" i="3"/>
  <c r="W2070" i="3"/>
  <c r="X2070" i="3"/>
  <c r="Y2070" i="3"/>
  <c r="Z2070" i="3"/>
  <c r="AA2070" i="3"/>
  <c r="T2071" i="3"/>
  <c r="U2071" i="3"/>
  <c r="V2071" i="3"/>
  <c r="W2071" i="3"/>
  <c r="X2071" i="3"/>
  <c r="Y2071" i="3"/>
  <c r="Z2071" i="3"/>
  <c r="AA2071" i="3"/>
  <c r="T2072" i="3"/>
  <c r="U2072" i="3"/>
  <c r="V2072" i="3"/>
  <c r="W2072" i="3"/>
  <c r="X2072" i="3"/>
  <c r="Y2072" i="3"/>
  <c r="Z2072" i="3"/>
  <c r="AA2072" i="3"/>
  <c r="T2073" i="3"/>
  <c r="U2073" i="3"/>
  <c r="V2073" i="3"/>
  <c r="W2073" i="3"/>
  <c r="X2073" i="3"/>
  <c r="Y2073" i="3"/>
  <c r="Z2073" i="3"/>
  <c r="AA2073" i="3"/>
  <c r="T2074" i="3"/>
  <c r="U2074" i="3"/>
  <c r="V2074" i="3"/>
  <c r="W2074" i="3"/>
  <c r="X2074" i="3"/>
  <c r="Y2074" i="3"/>
  <c r="Z2074" i="3"/>
  <c r="AA2074" i="3"/>
  <c r="T2075" i="3"/>
  <c r="U2075" i="3"/>
  <c r="V2075" i="3"/>
  <c r="W2075" i="3"/>
  <c r="X2075" i="3"/>
  <c r="Y2075" i="3"/>
  <c r="Z2075" i="3"/>
  <c r="AA2075" i="3"/>
  <c r="U2043" i="3"/>
  <c r="V2043" i="3"/>
  <c r="W2043" i="3"/>
  <c r="X2043" i="3"/>
  <c r="Y2043" i="3"/>
  <c r="Z2043" i="3"/>
  <c r="AA2043" i="3"/>
  <c r="T2043" i="3"/>
  <c r="T2010" i="3"/>
  <c r="U2010" i="3"/>
  <c r="V2010" i="3"/>
  <c r="W2010" i="3"/>
  <c r="X2010" i="3"/>
  <c r="Y2010" i="3"/>
  <c r="Z2010" i="3"/>
  <c r="AA2010" i="3"/>
  <c r="T2011" i="3"/>
  <c r="U2011" i="3"/>
  <c r="V2011" i="3"/>
  <c r="W2011" i="3"/>
  <c r="X2011" i="3"/>
  <c r="Y2011" i="3"/>
  <c r="Z2011" i="3"/>
  <c r="AA2011" i="3"/>
  <c r="T2012" i="3"/>
  <c r="U2012" i="3"/>
  <c r="V2012" i="3"/>
  <c r="W2012" i="3"/>
  <c r="X2012" i="3"/>
  <c r="Y2012" i="3"/>
  <c r="Z2012" i="3"/>
  <c r="AA2012" i="3"/>
  <c r="T2013" i="3"/>
  <c r="U2013" i="3"/>
  <c r="V2013" i="3"/>
  <c r="W2013" i="3"/>
  <c r="X2013" i="3"/>
  <c r="Y2013" i="3"/>
  <c r="Z2013" i="3"/>
  <c r="AA2013" i="3"/>
  <c r="T2014" i="3"/>
  <c r="U2014" i="3"/>
  <c r="V2014" i="3"/>
  <c r="W2014" i="3"/>
  <c r="X2014" i="3"/>
  <c r="Y2014" i="3"/>
  <c r="Z2014" i="3"/>
  <c r="AA2014" i="3"/>
  <c r="T2015" i="3"/>
  <c r="U2015" i="3"/>
  <c r="V2015" i="3"/>
  <c r="W2015" i="3"/>
  <c r="X2015" i="3"/>
  <c r="Y2015" i="3"/>
  <c r="Z2015" i="3"/>
  <c r="AA2015" i="3"/>
  <c r="T2016" i="3"/>
  <c r="U2016" i="3"/>
  <c r="V2016" i="3"/>
  <c r="W2016" i="3"/>
  <c r="X2016" i="3"/>
  <c r="Y2016" i="3"/>
  <c r="Z2016" i="3"/>
  <c r="AA2016" i="3"/>
  <c r="T2017" i="3"/>
  <c r="U2017" i="3"/>
  <c r="V2017" i="3"/>
  <c r="W2017" i="3"/>
  <c r="X2017" i="3"/>
  <c r="Y2017" i="3"/>
  <c r="Z2017" i="3"/>
  <c r="AA2017" i="3"/>
  <c r="T2018" i="3"/>
  <c r="U2018" i="3"/>
  <c r="V2018" i="3"/>
  <c r="W2018" i="3"/>
  <c r="X2018" i="3"/>
  <c r="Y2018" i="3"/>
  <c r="Z2018" i="3"/>
  <c r="AA2018" i="3"/>
  <c r="T2019" i="3"/>
  <c r="U2019" i="3"/>
  <c r="V2019" i="3"/>
  <c r="W2019" i="3"/>
  <c r="X2019" i="3"/>
  <c r="Y2019" i="3"/>
  <c r="Z2019" i="3"/>
  <c r="AA2019" i="3"/>
  <c r="T2020" i="3"/>
  <c r="U2020" i="3"/>
  <c r="V2020" i="3"/>
  <c r="W2020" i="3"/>
  <c r="X2020" i="3"/>
  <c r="Y2020" i="3"/>
  <c r="Z2020" i="3"/>
  <c r="AA2020" i="3"/>
  <c r="T2021" i="3"/>
  <c r="U2021" i="3"/>
  <c r="V2021" i="3"/>
  <c r="W2021" i="3"/>
  <c r="X2021" i="3"/>
  <c r="Y2021" i="3"/>
  <c r="Z2021" i="3"/>
  <c r="AA2021" i="3"/>
  <c r="T2022" i="3"/>
  <c r="U2022" i="3"/>
  <c r="V2022" i="3"/>
  <c r="W2022" i="3"/>
  <c r="X2022" i="3"/>
  <c r="Y2022" i="3"/>
  <c r="Z2022" i="3"/>
  <c r="AA2022" i="3"/>
  <c r="T2023" i="3"/>
  <c r="U2023" i="3"/>
  <c r="V2023" i="3"/>
  <c r="W2023" i="3"/>
  <c r="X2023" i="3"/>
  <c r="Y2023" i="3"/>
  <c r="Z2023" i="3"/>
  <c r="AA2023" i="3"/>
  <c r="T2024" i="3"/>
  <c r="U2024" i="3"/>
  <c r="V2024" i="3"/>
  <c r="W2024" i="3"/>
  <c r="X2024" i="3"/>
  <c r="Y2024" i="3"/>
  <c r="Z2024" i="3"/>
  <c r="AA2024" i="3"/>
  <c r="T2025" i="3"/>
  <c r="U2025" i="3"/>
  <c r="V2025" i="3"/>
  <c r="W2025" i="3"/>
  <c r="X2025" i="3"/>
  <c r="Y2025" i="3"/>
  <c r="Z2025" i="3"/>
  <c r="AA2025" i="3"/>
  <c r="T2026" i="3"/>
  <c r="U2026" i="3"/>
  <c r="V2026" i="3"/>
  <c r="W2026" i="3"/>
  <c r="X2026" i="3"/>
  <c r="Y2026" i="3"/>
  <c r="Z2026" i="3"/>
  <c r="AA2026" i="3"/>
  <c r="T2027" i="3"/>
  <c r="U2027" i="3"/>
  <c r="V2027" i="3"/>
  <c r="W2027" i="3"/>
  <c r="X2027" i="3"/>
  <c r="Y2027" i="3"/>
  <c r="Z2027" i="3"/>
  <c r="AA2027" i="3"/>
  <c r="T2028" i="3"/>
  <c r="U2028" i="3"/>
  <c r="V2028" i="3"/>
  <c r="W2028" i="3"/>
  <c r="X2028" i="3"/>
  <c r="Y2028" i="3"/>
  <c r="Z2028" i="3"/>
  <c r="AA2028" i="3"/>
  <c r="T2029" i="3"/>
  <c r="U2029" i="3"/>
  <c r="V2029" i="3"/>
  <c r="W2029" i="3"/>
  <c r="X2029" i="3"/>
  <c r="Y2029" i="3"/>
  <c r="Z2029" i="3"/>
  <c r="AA2029" i="3"/>
  <c r="T2030" i="3"/>
  <c r="U2030" i="3"/>
  <c r="V2030" i="3"/>
  <c r="W2030" i="3"/>
  <c r="X2030" i="3"/>
  <c r="Y2030" i="3"/>
  <c r="Z2030" i="3"/>
  <c r="AA2030" i="3"/>
  <c r="T2031" i="3"/>
  <c r="U2031" i="3"/>
  <c r="V2031" i="3"/>
  <c r="W2031" i="3"/>
  <c r="X2031" i="3"/>
  <c r="Y2031" i="3"/>
  <c r="Z2031" i="3"/>
  <c r="AA2031" i="3"/>
  <c r="T2032" i="3"/>
  <c r="U2032" i="3"/>
  <c r="V2032" i="3"/>
  <c r="W2032" i="3"/>
  <c r="X2032" i="3"/>
  <c r="Y2032" i="3"/>
  <c r="Z2032" i="3"/>
  <c r="AA2032" i="3"/>
  <c r="T2033" i="3"/>
  <c r="U2033" i="3"/>
  <c r="V2033" i="3"/>
  <c r="W2033" i="3"/>
  <c r="X2033" i="3"/>
  <c r="Y2033" i="3"/>
  <c r="Z2033" i="3"/>
  <c r="AA2033" i="3"/>
  <c r="T2034" i="3"/>
  <c r="U2034" i="3"/>
  <c r="V2034" i="3"/>
  <c r="W2034" i="3"/>
  <c r="X2034" i="3"/>
  <c r="Y2034" i="3"/>
  <c r="Z2034" i="3"/>
  <c r="AA2034" i="3"/>
  <c r="T2035" i="3"/>
  <c r="U2035" i="3"/>
  <c r="V2035" i="3"/>
  <c r="W2035" i="3"/>
  <c r="X2035" i="3"/>
  <c r="Y2035" i="3"/>
  <c r="Z2035" i="3"/>
  <c r="AA2035" i="3"/>
  <c r="T2036" i="3"/>
  <c r="U2036" i="3"/>
  <c r="V2036" i="3"/>
  <c r="W2036" i="3"/>
  <c r="X2036" i="3"/>
  <c r="Y2036" i="3"/>
  <c r="Z2036" i="3"/>
  <c r="AA2036" i="3"/>
  <c r="T2037" i="3"/>
  <c r="U2037" i="3"/>
  <c r="V2037" i="3"/>
  <c r="W2037" i="3"/>
  <c r="X2037" i="3"/>
  <c r="Y2037" i="3"/>
  <c r="Z2037" i="3"/>
  <c r="AA2037" i="3"/>
  <c r="T2038" i="3"/>
  <c r="U2038" i="3"/>
  <c r="V2038" i="3"/>
  <c r="W2038" i="3"/>
  <c r="X2038" i="3"/>
  <c r="Y2038" i="3"/>
  <c r="Z2038" i="3"/>
  <c r="AA2038" i="3"/>
  <c r="T2039" i="3"/>
  <c r="U2039" i="3"/>
  <c r="V2039" i="3"/>
  <c r="W2039" i="3"/>
  <c r="X2039" i="3"/>
  <c r="Y2039" i="3"/>
  <c r="Z2039" i="3"/>
  <c r="AA2039" i="3"/>
  <c r="T2040" i="3"/>
  <c r="U2040" i="3"/>
  <c r="V2040" i="3"/>
  <c r="W2040" i="3"/>
  <c r="X2040" i="3"/>
  <c r="Y2040" i="3"/>
  <c r="Z2040" i="3"/>
  <c r="AA2040" i="3"/>
  <c r="T2041" i="3"/>
  <c r="U2041" i="3"/>
  <c r="V2041" i="3"/>
  <c r="W2041" i="3"/>
  <c r="X2041" i="3"/>
  <c r="Y2041" i="3"/>
  <c r="Z2041" i="3"/>
  <c r="AA2041" i="3"/>
  <c r="U2009" i="3"/>
  <c r="V2009" i="3"/>
  <c r="W2009" i="3"/>
  <c r="X2009" i="3"/>
  <c r="Y2009" i="3"/>
  <c r="Z2009" i="3"/>
  <c r="AA2009" i="3"/>
  <c r="T2009" i="3"/>
  <c r="T1976" i="3"/>
  <c r="U1976" i="3"/>
  <c r="V1976" i="3"/>
  <c r="W1976" i="3"/>
  <c r="X1976" i="3"/>
  <c r="Y1976" i="3"/>
  <c r="Z1976" i="3"/>
  <c r="AA1976" i="3"/>
  <c r="T1977" i="3"/>
  <c r="U1977" i="3"/>
  <c r="V1977" i="3"/>
  <c r="W1977" i="3"/>
  <c r="X1977" i="3"/>
  <c r="Y1977" i="3"/>
  <c r="Z1977" i="3"/>
  <c r="AA1977" i="3"/>
  <c r="T1978" i="3"/>
  <c r="U1978" i="3"/>
  <c r="V1978" i="3"/>
  <c r="W1978" i="3"/>
  <c r="X1978" i="3"/>
  <c r="Y1978" i="3"/>
  <c r="Z1978" i="3"/>
  <c r="AA1978" i="3"/>
  <c r="T1979" i="3"/>
  <c r="U1979" i="3"/>
  <c r="V1979" i="3"/>
  <c r="W1979" i="3"/>
  <c r="X1979" i="3"/>
  <c r="Y1979" i="3"/>
  <c r="Z1979" i="3"/>
  <c r="AA1979" i="3"/>
  <c r="T1980" i="3"/>
  <c r="U1980" i="3"/>
  <c r="V1980" i="3"/>
  <c r="W1980" i="3"/>
  <c r="X1980" i="3"/>
  <c r="Y1980" i="3"/>
  <c r="Z1980" i="3"/>
  <c r="AA1980" i="3"/>
  <c r="T1981" i="3"/>
  <c r="U1981" i="3"/>
  <c r="V1981" i="3"/>
  <c r="W1981" i="3"/>
  <c r="X1981" i="3"/>
  <c r="Y1981" i="3"/>
  <c r="Z1981" i="3"/>
  <c r="AA1981" i="3"/>
  <c r="T1982" i="3"/>
  <c r="U1982" i="3"/>
  <c r="V1982" i="3"/>
  <c r="W1982" i="3"/>
  <c r="X1982" i="3"/>
  <c r="Y1982" i="3"/>
  <c r="Z1982" i="3"/>
  <c r="AA1982" i="3"/>
  <c r="T1983" i="3"/>
  <c r="U1983" i="3"/>
  <c r="V1983" i="3"/>
  <c r="W1983" i="3"/>
  <c r="X1983" i="3"/>
  <c r="Y1983" i="3"/>
  <c r="Z1983" i="3"/>
  <c r="AA1983" i="3"/>
  <c r="T1984" i="3"/>
  <c r="U1984" i="3"/>
  <c r="V1984" i="3"/>
  <c r="W1984" i="3"/>
  <c r="X1984" i="3"/>
  <c r="Y1984" i="3"/>
  <c r="Z1984" i="3"/>
  <c r="AA1984" i="3"/>
  <c r="T1985" i="3"/>
  <c r="U1985" i="3"/>
  <c r="V1985" i="3"/>
  <c r="W1985" i="3"/>
  <c r="X1985" i="3"/>
  <c r="Y1985" i="3"/>
  <c r="Z1985" i="3"/>
  <c r="AA1985" i="3"/>
  <c r="T1986" i="3"/>
  <c r="U1986" i="3"/>
  <c r="V1986" i="3"/>
  <c r="W1986" i="3"/>
  <c r="X1986" i="3"/>
  <c r="Y1986" i="3"/>
  <c r="Z1986" i="3"/>
  <c r="AA1986" i="3"/>
  <c r="T1987" i="3"/>
  <c r="U1987" i="3"/>
  <c r="V1987" i="3"/>
  <c r="W1987" i="3"/>
  <c r="X1987" i="3"/>
  <c r="Y1987" i="3"/>
  <c r="Z1987" i="3"/>
  <c r="AA1987" i="3"/>
  <c r="T1988" i="3"/>
  <c r="U1988" i="3"/>
  <c r="V1988" i="3"/>
  <c r="W1988" i="3"/>
  <c r="X1988" i="3"/>
  <c r="Y1988" i="3"/>
  <c r="Z1988" i="3"/>
  <c r="AA1988" i="3"/>
  <c r="T1989" i="3"/>
  <c r="U1989" i="3"/>
  <c r="V1989" i="3"/>
  <c r="W1989" i="3"/>
  <c r="X1989" i="3"/>
  <c r="Y1989" i="3"/>
  <c r="Z1989" i="3"/>
  <c r="AA1989" i="3"/>
  <c r="T1990" i="3"/>
  <c r="U1990" i="3"/>
  <c r="V1990" i="3"/>
  <c r="W1990" i="3"/>
  <c r="X1990" i="3"/>
  <c r="Y1990" i="3"/>
  <c r="Z1990" i="3"/>
  <c r="AA1990" i="3"/>
  <c r="T1991" i="3"/>
  <c r="U1991" i="3"/>
  <c r="V1991" i="3"/>
  <c r="W1991" i="3"/>
  <c r="X1991" i="3"/>
  <c r="Y1991" i="3"/>
  <c r="Z1991" i="3"/>
  <c r="AA1991" i="3"/>
  <c r="T1992" i="3"/>
  <c r="U1992" i="3"/>
  <c r="V1992" i="3"/>
  <c r="W1992" i="3"/>
  <c r="X1992" i="3"/>
  <c r="Y1992" i="3"/>
  <c r="Z1992" i="3"/>
  <c r="AA1992" i="3"/>
  <c r="T1993" i="3"/>
  <c r="U1993" i="3"/>
  <c r="V1993" i="3"/>
  <c r="W1993" i="3"/>
  <c r="X1993" i="3"/>
  <c r="Y1993" i="3"/>
  <c r="Z1993" i="3"/>
  <c r="AA1993" i="3"/>
  <c r="T1994" i="3"/>
  <c r="U1994" i="3"/>
  <c r="V1994" i="3"/>
  <c r="W1994" i="3"/>
  <c r="X1994" i="3"/>
  <c r="Y1994" i="3"/>
  <c r="Z1994" i="3"/>
  <c r="AA1994" i="3"/>
  <c r="T1995" i="3"/>
  <c r="U1995" i="3"/>
  <c r="V1995" i="3"/>
  <c r="W1995" i="3"/>
  <c r="X1995" i="3"/>
  <c r="Y1995" i="3"/>
  <c r="Z1995" i="3"/>
  <c r="AA1995" i="3"/>
  <c r="T1996" i="3"/>
  <c r="U1996" i="3"/>
  <c r="V1996" i="3"/>
  <c r="W1996" i="3"/>
  <c r="X1996" i="3"/>
  <c r="Y1996" i="3"/>
  <c r="Z1996" i="3"/>
  <c r="AA1996" i="3"/>
  <c r="T1997" i="3"/>
  <c r="U1997" i="3"/>
  <c r="V1997" i="3"/>
  <c r="W1997" i="3"/>
  <c r="X1997" i="3"/>
  <c r="Y1997" i="3"/>
  <c r="Z1997" i="3"/>
  <c r="AA1997" i="3"/>
  <c r="T1998" i="3"/>
  <c r="U1998" i="3"/>
  <c r="V1998" i="3"/>
  <c r="W1998" i="3"/>
  <c r="X1998" i="3"/>
  <c r="Y1998" i="3"/>
  <c r="Z1998" i="3"/>
  <c r="AA1998" i="3"/>
  <c r="T1999" i="3"/>
  <c r="U1999" i="3"/>
  <c r="V1999" i="3"/>
  <c r="W1999" i="3"/>
  <c r="X1999" i="3"/>
  <c r="Y1999" i="3"/>
  <c r="Z1999" i="3"/>
  <c r="AA1999" i="3"/>
  <c r="T2000" i="3"/>
  <c r="U2000" i="3"/>
  <c r="V2000" i="3"/>
  <c r="W2000" i="3"/>
  <c r="X2000" i="3"/>
  <c r="Y2000" i="3"/>
  <c r="Z2000" i="3"/>
  <c r="AA2000" i="3"/>
  <c r="T2001" i="3"/>
  <c r="U2001" i="3"/>
  <c r="V2001" i="3"/>
  <c r="W2001" i="3"/>
  <c r="X2001" i="3"/>
  <c r="Y2001" i="3"/>
  <c r="Z2001" i="3"/>
  <c r="AA2001" i="3"/>
  <c r="T2002" i="3"/>
  <c r="U2002" i="3"/>
  <c r="V2002" i="3"/>
  <c r="W2002" i="3"/>
  <c r="X2002" i="3"/>
  <c r="Y2002" i="3"/>
  <c r="Z2002" i="3"/>
  <c r="AA2002" i="3"/>
  <c r="T2003" i="3"/>
  <c r="U2003" i="3"/>
  <c r="V2003" i="3"/>
  <c r="W2003" i="3"/>
  <c r="X2003" i="3"/>
  <c r="Y2003" i="3"/>
  <c r="Z2003" i="3"/>
  <c r="AA2003" i="3"/>
  <c r="T2004" i="3"/>
  <c r="U2004" i="3"/>
  <c r="V2004" i="3"/>
  <c r="W2004" i="3"/>
  <c r="X2004" i="3"/>
  <c r="Y2004" i="3"/>
  <c r="Z2004" i="3"/>
  <c r="AA2004" i="3"/>
  <c r="T2005" i="3"/>
  <c r="U2005" i="3"/>
  <c r="V2005" i="3"/>
  <c r="W2005" i="3"/>
  <c r="X2005" i="3"/>
  <c r="Y2005" i="3"/>
  <c r="Z2005" i="3"/>
  <c r="AA2005" i="3"/>
  <c r="T2006" i="3"/>
  <c r="U2006" i="3"/>
  <c r="V2006" i="3"/>
  <c r="W2006" i="3"/>
  <c r="X2006" i="3"/>
  <c r="Y2006" i="3"/>
  <c r="Z2006" i="3"/>
  <c r="AA2006" i="3"/>
  <c r="T2007" i="3"/>
  <c r="U2007" i="3"/>
  <c r="V2007" i="3"/>
  <c r="W2007" i="3"/>
  <c r="X2007" i="3"/>
  <c r="Y2007" i="3"/>
  <c r="Z2007" i="3"/>
  <c r="AA2007" i="3"/>
  <c r="U1975" i="3"/>
  <c r="V1975" i="3"/>
  <c r="W1975" i="3"/>
  <c r="X1975" i="3"/>
  <c r="Y1975" i="3"/>
  <c r="Z1975" i="3"/>
  <c r="AA1975" i="3"/>
  <c r="T1975" i="3"/>
  <c r="T1942" i="3"/>
  <c r="U1942" i="3"/>
  <c r="V1942" i="3"/>
  <c r="W1942" i="3"/>
  <c r="X1942" i="3"/>
  <c r="Y1942" i="3"/>
  <c r="Z1942" i="3"/>
  <c r="AA1942" i="3"/>
  <c r="T1943" i="3"/>
  <c r="U1943" i="3"/>
  <c r="V1943" i="3"/>
  <c r="W1943" i="3"/>
  <c r="X1943" i="3"/>
  <c r="Y1943" i="3"/>
  <c r="Z1943" i="3"/>
  <c r="AA1943" i="3"/>
  <c r="T1944" i="3"/>
  <c r="U1944" i="3"/>
  <c r="V1944" i="3"/>
  <c r="W1944" i="3"/>
  <c r="X1944" i="3"/>
  <c r="Y1944" i="3"/>
  <c r="Z1944" i="3"/>
  <c r="AA1944" i="3"/>
  <c r="T1945" i="3"/>
  <c r="U1945" i="3"/>
  <c r="V1945" i="3"/>
  <c r="W1945" i="3"/>
  <c r="X1945" i="3"/>
  <c r="Y1945" i="3"/>
  <c r="Z1945" i="3"/>
  <c r="AA1945" i="3"/>
  <c r="T1946" i="3"/>
  <c r="U1946" i="3"/>
  <c r="V1946" i="3"/>
  <c r="W1946" i="3"/>
  <c r="X1946" i="3"/>
  <c r="Y1946" i="3"/>
  <c r="Z1946" i="3"/>
  <c r="AA1946" i="3"/>
  <c r="T1947" i="3"/>
  <c r="U1947" i="3"/>
  <c r="V1947" i="3"/>
  <c r="W1947" i="3"/>
  <c r="X1947" i="3"/>
  <c r="Y1947" i="3"/>
  <c r="Z1947" i="3"/>
  <c r="AA1947" i="3"/>
  <c r="T1948" i="3"/>
  <c r="U1948" i="3"/>
  <c r="V1948" i="3"/>
  <c r="W1948" i="3"/>
  <c r="X1948" i="3"/>
  <c r="Y1948" i="3"/>
  <c r="Z1948" i="3"/>
  <c r="AA1948" i="3"/>
  <c r="T1949" i="3"/>
  <c r="U1949" i="3"/>
  <c r="V1949" i="3"/>
  <c r="W1949" i="3"/>
  <c r="X1949" i="3"/>
  <c r="Y1949" i="3"/>
  <c r="Z1949" i="3"/>
  <c r="AA1949" i="3"/>
  <c r="T1950" i="3"/>
  <c r="U1950" i="3"/>
  <c r="V1950" i="3"/>
  <c r="W1950" i="3"/>
  <c r="X1950" i="3"/>
  <c r="Y1950" i="3"/>
  <c r="Z1950" i="3"/>
  <c r="AA1950" i="3"/>
  <c r="T1951" i="3"/>
  <c r="U1951" i="3"/>
  <c r="V1951" i="3"/>
  <c r="W1951" i="3"/>
  <c r="X1951" i="3"/>
  <c r="Y1951" i="3"/>
  <c r="Z1951" i="3"/>
  <c r="AA1951" i="3"/>
  <c r="T1952" i="3"/>
  <c r="U1952" i="3"/>
  <c r="V1952" i="3"/>
  <c r="W1952" i="3"/>
  <c r="X1952" i="3"/>
  <c r="Y1952" i="3"/>
  <c r="Z1952" i="3"/>
  <c r="AA1952" i="3"/>
  <c r="T1953" i="3"/>
  <c r="U1953" i="3"/>
  <c r="V1953" i="3"/>
  <c r="W1953" i="3"/>
  <c r="X1953" i="3"/>
  <c r="Y1953" i="3"/>
  <c r="Z1953" i="3"/>
  <c r="AA1953" i="3"/>
  <c r="T1954" i="3"/>
  <c r="U1954" i="3"/>
  <c r="V1954" i="3"/>
  <c r="W1954" i="3"/>
  <c r="X1954" i="3"/>
  <c r="Y1954" i="3"/>
  <c r="Z1954" i="3"/>
  <c r="AA1954" i="3"/>
  <c r="T1955" i="3"/>
  <c r="U1955" i="3"/>
  <c r="V1955" i="3"/>
  <c r="W1955" i="3"/>
  <c r="X1955" i="3"/>
  <c r="Y1955" i="3"/>
  <c r="Z1955" i="3"/>
  <c r="AA1955" i="3"/>
  <c r="T1956" i="3"/>
  <c r="U1956" i="3"/>
  <c r="V1956" i="3"/>
  <c r="W1956" i="3"/>
  <c r="X1956" i="3"/>
  <c r="Y1956" i="3"/>
  <c r="Z1956" i="3"/>
  <c r="AA1956" i="3"/>
  <c r="T1957" i="3"/>
  <c r="U1957" i="3"/>
  <c r="V1957" i="3"/>
  <c r="W1957" i="3"/>
  <c r="X1957" i="3"/>
  <c r="Y1957" i="3"/>
  <c r="Z1957" i="3"/>
  <c r="AA1957" i="3"/>
  <c r="T1958" i="3"/>
  <c r="U1958" i="3"/>
  <c r="V1958" i="3"/>
  <c r="W1958" i="3"/>
  <c r="X1958" i="3"/>
  <c r="Y1958" i="3"/>
  <c r="Z1958" i="3"/>
  <c r="AA1958" i="3"/>
  <c r="T1959" i="3"/>
  <c r="U1959" i="3"/>
  <c r="V1959" i="3"/>
  <c r="W1959" i="3"/>
  <c r="X1959" i="3"/>
  <c r="Y1959" i="3"/>
  <c r="Z1959" i="3"/>
  <c r="AA1959" i="3"/>
  <c r="T1960" i="3"/>
  <c r="U1960" i="3"/>
  <c r="V1960" i="3"/>
  <c r="W1960" i="3"/>
  <c r="X1960" i="3"/>
  <c r="Y1960" i="3"/>
  <c r="Z1960" i="3"/>
  <c r="AA1960" i="3"/>
  <c r="T1961" i="3"/>
  <c r="U1961" i="3"/>
  <c r="V1961" i="3"/>
  <c r="W1961" i="3"/>
  <c r="X1961" i="3"/>
  <c r="Y1961" i="3"/>
  <c r="Z1961" i="3"/>
  <c r="AA1961" i="3"/>
  <c r="T1962" i="3"/>
  <c r="U1962" i="3"/>
  <c r="V1962" i="3"/>
  <c r="W1962" i="3"/>
  <c r="X1962" i="3"/>
  <c r="Y1962" i="3"/>
  <c r="Z1962" i="3"/>
  <c r="AA1962" i="3"/>
  <c r="T1963" i="3"/>
  <c r="U1963" i="3"/>
  <c r="V1963" i="3"/>
  <c r="W1963" i="3"/>
  <c r="X1963" i="3"/>
  <c r="Y1963" i="3"/>
  <c r="Z1963" i="3"/>
  <c r="AA1963" i="3"/>
  <c r="T1964" i="3"/>
  <c r="U1964" i="3"/>
  <c r="V1964" i="3"/>
  <c r="W1964" i="3"/>
  <c r="X1964" i="3"/>
  <c r="Y1964" i="3"/>
  <c r="Z1964" i="3"/>
  <c r="AA1964" i="3"/>
  <c r="T1965" i="3"/>
  <c r="U1965" i="3"/>
  <c r="V1965" i="3"/>
  <c r="W1965" i="3"/>
  <c r="X1965" i="3"/>
  <c r="Y1965" i="3"/>
  <c r="Z1965" i="3"/>
  <c r="AA1965" i="3"/>
  <c r="T1966" i="3"/>
  <c r="U1966" i="3"/>
  <c r="V1966" i="3"/>
  <c r="W1966" i="3"/>
  <c r="X1966" i="3"/>
  <c r="Y1966" i="3"/>
  <c r="Z1966" i="3"/>
  <c r="AA1966" i="3"/>
  <c r="T1967" i="3"/>
  <c r="U1967" i="3"/>
  <c r="V1967" i="3"/>
  <c r="W1967" i="3"/>
  <c r="X1967" i="3"/>
  <c r="Y1967" i="3"/>
  <c r="Z1967" i="3"/>
  <c r="AA1967" i="3"/>
  <c r="T1968" i="3"/>
  <c r="U1968" i="3"/>
  <c r="V1968" i="3"/>
  <c r="W1968" i="3"/>
  <c r="X1968" i="3"/>
  <c r="Y1968" i="3"/>
  <c r="Z1968" i="3"/>
  <c r="AA1968" i="3"/>
  <c r="T1969" i="3"/>
  <c r="U1969" i="3"/>
  <c r="V1969" i="3"/>
  <c r="W1969" i="3"/>
  <c r="X1969" i="3"/>
  <c r="Y1969" i="3"/>
  <c r="Z1969" i="3"/>
  <c r="AA1969" i="3"/>
  <c r="T1970" i="3"/>
  <c r="U1970" i="3"/>
  <c r="V1970" i="3"/>
  <c r="W1970" i="3"/>
  <c r="X1970" i="3"/>
  <c r="Y1970" i="3"/>
  <c r="Z1970" i="3"/>
  <c r="AA1970" i="3"/>
  <c r="T1971" i="3"/>
  <c r="U1971" i="3"/>
  <c r="V1971" i="3"/>
  <c r="W1971" i="3"/>
  <c r="X1971" i="3"/>
  <c r="Y1971" i="3"/>
  <c r="Z1971" i="3"/>
  <c r="AA1971" i="3"/>
  <c r="T1972" i="3"/>
  <c r="U1972" i="3"/>
  <c r="V1972" i="3"/>
  <c r="W1972" i="3"/>
  <c r="X1972" i="3"/>
  <c r="Y1972" i="3"/>
  <c r="Z1972" i="3"/>
  <c r="AA1972" i="3"/>
  <c r="T1973" i="3"/>
  <c r="U1973" i="3"/>
  <c r="V1973" i="3"/>
  <c r="W1973" i="3"/>
  <c r="X1973" i="3"/>
  <c r="Y1973" i="3"/>
  <c r="Z1973" i="3"/>
  <c r="AA1973" i="3"/>
  <c r="U1941" i="3"/>
  <c r="V1941" i="3"/>
  <c r="W1941" i="3"/>
  <c r="X1941" i="3"/>
  <c r="Y1941" i="3"/>
  <c r="Z1941" i="3"/>
  <c r="AA1941" i="3"/>
  <c r="T1941" i="3"/>
  <c r="T1908" i="3"/>
  <c r="U1908" i="3"/>
  <c r="V1908" i="3"/>
  <c r="W1908" i="3"/>
  <c r="X1908" i="3"/>
  <c r="Y1908" i="3"/>
  <c r="Z1908" i="3"/>
  <c r="AA1908" i="3"/>
  <c r="T1909" i="3"/>
  <c r="U1909" i="3"/>
  <c r="V1909" i="3"/>
  <c r="W1909" i="3"/>
  <c r="X1909" i="3"/>
  <c r="Y1909" i="3"/>
  <c r="Z1909" i="3"/>
  <c r="AA1909" i="3"/>
  <c r="T1910" i="3"/>
  <c r="U1910" i="3"/>
  <c r="V1910" i="3"/>
  <c r="W1910" i="3"/>
  <c r="X1910" i="3"/>
  <c r="Y1910" i="3"/>
  <c r="Z1910" i="3"/>
  <c r="AA1910" i="3"/>
  <c r="T1911" i="3"/>
  <c r="U1911" i="3"/>
  <c r="V1911" i="3"/>
  <c r="W1911" i="3"/>
  <c r="X1911" i="3"/>
  <c r="Y1911" i="3"/>
  <c r="Z1911" i="3"/>
  <c r="AA1911" i="3"/>
  <c r="T1912" i="3"/>
  <c r="U1912" i="3"/>
  <c r="V1912" i="3"/>
  <c r="W1912" i="3"/>
  <c r="X1912" i="3"/>
  <c r="Y1912" i="3"/>
  <c r="Z1912" i="3"/>
  <c r="AA1912" i="3"/>
  <c r="T1913" i="3"/>
  <c r="U1913" i="3"/>
  <c r="V1913" i="3"/>
  <c r="W1913" i="3"/>
  <c r="X1913" i="3"/>
  <c r="Y1913" i="3"/>
  <c r="Z1913" i="3"/>
  <c r="AA1913" i="3"/>
  <c r="T1914" i="3"/>
  <c r="U1914" i="3"/>
  <c r="V1914" i="3"/>
  <c r="W1914" i="3"/>
  <c r="X1914" i="3"/>
  <c r="Y1914" i="3"/>
  <c r="Z1914" i="3"/>
  <c r="AA1914" i="3"/>
  <c r="T1915" i="3"/>
  <c r="U1915" i="3"/>
  <c r="V1915" i="3"/>
  <c r="W1915" i="3"/>
  <c r="X1915" i="3"/>
  <c r="Y1915" i="3"/>
  <c r="Z1915" i="3"/>
  <c r="AA1915" i="3"/>
  <c r="T1916" i="3"/>
  <c r="U1916" i="3"/>
  <c r="V1916" i="3"/>
  <c r="W1916" i="3"/>
  <c r="X1916" i="3"/>
  <c r="Y1916" i="3"/>
  <c r="Z1916" i="3"/>
  <c r="AA1916" i="3"/>
  <c r="T1917" i="3"/>
  <c r="U1917" i="3"/>
  <c r="V1917" i="3"/>
  <c r="W1917" i="3"/>
  <c r="X1917" i="3"/>
  <c r="Y1917" i="3"/>
  <c r="Z1917" i="3"/>
  <c r="AA1917" i="3"/>
  <c r="T1918" i="3"/>
  <c r="U1918" i="3"/>
  <c r="V1918" i="3"/>
  <c r="W1918" i="3"/>
  <c r="X1918" i="3"/>
  <c r="Y1918" i="3"/>
  <c r="Z1918" i="3"/>
  <c r="AA1918" i="3"/>
  <c r="T1919" i="3"/>
  <c r="U1919" i="3"/>
  <c r="V1919" i="3"/>
  <c r="W1919" i="3"/>
  <c r="X1919" i="3"/>
  <c r="Y1919" i="3"/>
  <c r="Z1919" i="3"/>
  <c r="AA1919" i="3"/>
  <c r="T1920" i="3"/>
  <c r="U1920" i="3"/>
  <c r="V1920" i="3"/>
  <c r="W1920" i="3"/>
  <c r="X1920" i="3"/>
  <c r="Y1920" i="3"/>
  <c r="Z1920" i="3"/>
  <c r="AA1920" i="3"/>
  <c r="T1921" i="3"/>
  <c r="U1921" i="3"/>
  <c r="V1921" i="3"/>
  <c r="W1921" i="3"/>
  <c r="X1921" i="3"/>
  <c r="Y1921" i="3"/>
  <c r="Z1921" i="3"/>
  <c r="AA1921" i="3"/>
  <c r="T1922" i="3"/>
  <c r="U1922" i="3"/>
  <c r="V1922" i="3"/>
  <c r="W1922" i="3"/>
  <c r="X1922" i="3"/>
  <c r="Y1922" i="3"/>
  <c r="Z1922" i="3"/>
  <c r="AA1922" i="3"/>
  <c r="T1923" i="3"/>
  <c r="U1923" i="3"/>
  <c r="V1923" i="3"/>
  <c r="W1923" i="3"/>
  <c r="X1923" i="3"/>
  <c r="Y1923" i="3"/>
  <c r="Z1923" i="3"/>
  <c r="AA1923" i="3"/>
  <c r="T1924" i="3"/>
  <c r="U1924" i="3"/>
  <c r="V1924" i="3"/>
  <c r="W1924" i="3"/>
  <c r="X1924" i="3"/>
  <c r="Y1924" i="3"/>
  <c r="Z1924" i="3"/>
  <c r="AA1924" i="3"/>
  <c r="T1925" i="3"/>
  <c r="U1925" i="3"/>
  <c r="V1925" i="3"/>
  <c r="W1925" i="3"/>
  <c r="X1925" i="3"/>
  <c r="Y1925" i="3"/>
  <c r="Z1925" i="3"/>
  <c r="AA1925" i="3"/>
  <c r="T1926" i="3"/>
  <c r="U1926" i="3"/>
  <c r="V1926" i="3"/>
  <c r="W1926" i="3"/>
  <c r="X1926" i="3"/>
  <c r="Y1926" i="3"/>
  <c r="Z1926" i="3"/>
  <c r="AA1926" i="3"/>
  <c r="T1927" i="3"/>
  <c r="U1927" i="3"/>
  <c r="V1927" i="3"/>
  <c r="W1927" i="3"/>
  <c r="X1927" i="3"/>
  <c r="Y1927" i="3"/>
  <c r="Z1927" i="3"/>
  <c r="AA1927" i="3"/>
  <c r="T1928" i="3"/>
  <c r="U1928" i="3"/>
  <c r="V1928" i="3"/>
  <c r="W1928" i="3"/>
  <c r="X1928" i="3"/>
  <c r="Y1928" i="3"/>
  <c r="Z1928" i="3"/>
  <c r="AA1928" i="3"/>
  <c r="T1929" i="3"/>
  <c r="U1929" i="3"/>
  <c r="V1929" i="3"/>
  <c r="W1929" i="3"/>
  <c r="X1929" i="3"/>
  <c r="Y1929" i="3"/>
  <c r="Z1929" i="3"/>
  <c r="AA1929" i="3"/>
  <c r="T1930" i="3"/>
  <c r="U1930" i="3"/>
  <c r="V1930" i="3"/>
  <c r="W1930" i="3"/>
  <c r="X1930" i="3"/>
  <c r="Y1930" i="3"/>
  <c r="Z1930" i="3"/>
  <c r="AA1930" i="3"/>
  <c r="T1931" i="3"/>
  <c r="U1931" i="3"/>
  <c r="V1931" i="3"/>
  <c r="W1931" i="3"/>
  <c r="X1931" i="3"/>
  <c r="Y1931" i="3"/>
  <c r="Z1931" i="3"/>
  <c r="AA1931" i="3"/>
  <c r="T1932" i="3"/>
  <c r="U1932" i="3"/>
  <c r="V1932" i="3"/>
  <c r="W1932" i="3"/>
  <c r="X1932" i="3"/>
  <c r="Y1932" i="3"/>
  <c r="Z1932" i="3"/>
  <c r="AA1932" i="3"/>
  <c r="T1933" i="3"/>
  <c r="U1933" i="3"/>
  <c r="V1933" i="3"/>
  <c r="W1933" i="3"/>
  <c r="X1933" i="3"/>
  <c r="Y1933" i="3"/>
  <c r="Z1933" i="3"/>
  <c r="AA1933" i="3"/>
  <c r="T1934" i="3"/>
  <c r="U1934" i="3"/>
  <c r="V1934" i="3"/>
  <c r="W1934" i="3"/>
  <c r="X1934" i="3"/>
  <c r="Y1934" i="3"/>
  <c r="Z1934" i="3"/>
  <c r="AA1934" i="3"/>
  <c r="T1935" i="3"/>
  <c r="U1935" i="3"/>
  <c r="V1935" i="3"/>
  <c r="W1935" i="3"/>
  <c r="X1935" i="3"/>
  <c r="Y1935" i="3"/>
  <c r="Z1935" i="3"/>
  <c r="AA1935" i="3"/>
  <c r="T1936" i="3"/>
  <c r="U1936" i="3"/>
  <c r="V1936" i="3"/>
  <c r="W1936" i="3"/>
  <c r="X1936" i="3"/>
  <c r="Y1936" i="3"/>
  <c r="Z1936" i="3"/>
  <c r="AA1936" i="3"/>
  <c r="T1937" i="3"/>
  <c r="U1937" i="3"/>
  <c r="V1937" i="3"/>
  <c r="W1937" i="3"/>
  <c r="X1937" i="3"/>
  <c r="Y1937" i="3"/>
  <c r="Z1937" i="3"/>
  <c r="AA1937" i="3"/>
  <c r="T1938" i="3"/>
  <c r="U1938" i="3"/>
  <c r="V1938" i="3"/>
  <c r="W1938" i="3"/>
  <c r="X1938" i="3"/>
  <c r="Y1938" i="3"/>
  <c r="Z1938" i="3"/>
  <c r="AA1938" i="3"/>
  <c r="T1939" i="3"/>
  <c r="U1939" i="3"/>
  <c r="V1939" i="3"/>
  <c r="W1939" i="3"/>
  <c r="X1939" i="3"/>
  <c r="Y1939" i="3"/>
  <c r="Z1939" i="3"/>
  <c r="AA1939" i="3"/>
  <c r="U1907" i="3"/>
  <c r="V1907" i="3"/>
  <c r="W1907" i="3"/>
  <c r="X1907" i="3"/>
  <c r="Y1907" i="3"/>
  <c r="Z1907" i="3"/>
  <c r="AA1907" i="3"/>
  <c r="T1907" i="3"/>
  <c r="T1874" i="3"/>
  <c r="U1874" i="3"/>
  <c r="V1874" i="3"/>
  <c r="W1874" i="3"/>
  <c r="X1874" i="3"/>
  <c r="Y1874" i="3"/>
  <c r="Z1874" i="3"/>
  <c r="AA1874" i="3"/>
  <c r="T1875" i="3"/>
  <c r="U1875" i="3"/>
  <c r="V1875" i="3"/>
  <c r="W1875" i="3"/>
  <c r="X1875" i="3"/>
  <c r="Y1875" i="3"/>
  <c r="Z1875" i="3"/>
  <c r="AA1875" i="3"/>
  <c r="T1876" i="3"/>
  <c r="U1876" i="3"/>
  <c r="V1876" i="3"/>
  <c r="W1876" i="3"/>
  <c r="X1876" i="3"/>
  <c r="Y1876" i="3"/>
  <c r="Z1876" i="3"/>
  <c r="AA1876" i="3"/>
  <c r="T1877" i="3"/>
  <c r="U1877" i="3"/>
  <c r="V1877" i="3"/>
  <c r="W1877" i="3"/>
  <c r="X1877" i="3"/>
  <c r="Y1877" i="3"/>
  <c r="Z1877" i="3"/>
  <c r="AA1877" i="3"/>
  <c r="T1878" i="3"/>
  <c r="U1878" i="3"/>
  <c r="V1878" i="3"/>
  <c r="W1878" i="3"/>
  <c r="X1878" i="3"/>
  <c r="Y1878" i="3"/>
  <c r="Z1878" i="3"/>
  <c r="AA1878" i="3"/>
  <c r="T1879" i="3"/>
  <c r="U1879" i="3"/>
  <c r="V1879" i="3"/>
  <c r="W1879" i="3"/>
  <c r="X1879" i="3"/>
  <c r="Y1879" i="3"/>
  <c r="Z1879" i="3"/>
  <c r="AA1879" i="3"/>
  <c r="T1880" i="3"/>
  <c r="U1880" i="3"/>
  <c r="V1880" i="3"/>
  <c r="W1880" i="3"/>
  <c r="X1880" i="3"/>
  <c r="Y1880" i="3"/>
  <c r="Z1880" i="3"/>
  <c r="AA1880" i="3"/>
  <c r="T1881" i="3"/>
  <c r="U1881" i="3"/>
  <c r="V1881" i="3"/>
  <c r="W1881" i="3"/>
  <c r="X1881" i="3"/>
  <c r="Y1881" i="3"/>
  <c r="Z1881" i="3"/>
  <c r="AA1881" i="3"/>
  <c r="T1882" i="3"/>
  <c r="U1882" i="3"/>
  <c r="V1882" i="3"/>
  <c r="W1882" i="3"/>
  <c r="X1882" i="3"/>
  <c r="Y1882" i="3"/>
  <c r="Z1882" i="3"/>
  <c r="AA1882" i="3"/>
  <c r="T1883" i="3"/>
  <c r="U1883" i="3"/>
  <c r="V1883" i="3"/>
  <c r="W1883" i="3"/>
  <c r="X1883" i="3"/>
  <c r="Y1883" i="3"/>
  <c r="Z1883" i="3"/>
  <c r="AA1883" i="3"/>
  <c r="T1884" i="3"/>
  <c r="U1884" i="3"/>
  <c r="V1884" i="3"/>
  <c r="W1884" i="3"/>
  <c r="X1884" i="3"/>
  <c r="Y1884" i="3"/>
  <c r="Z1884" i="3"/>
  <c r="AA1884" i="3"/>
  <c r="T1885" i="3"/>
  <c r="U1885" i="3"/>
  <c r="V1885" i="3"/>
  <c r="W1885" i="3"/>
  <c r="X1885" i="3"/>
  <c r="Y1885" i="3"/>
  <c r="Z1885" i="3"/>
  <c r="AA1885" i="3"/>
  <c r="T1886" i="3"/>
  <c r="U1886" i="3"/>
  <c r="V1886" i="3"/>
  <c r="W1886" i="3"/>
  <c r="X1886" i="3"/>
  <c r="Y1886" i="3"/>
  <c r="Z1886" i="3"/>
  <c r="AA1886" i="3"/>
  <c r="T1887" i="3"/>
  <c r="U1887" i="3"/>
  <c r="V1887" i="3"/>
  <c r="W1887" i="3"/>
  <c r="X1887" i="3"/>
  <c r="Y1887" i="3"/>
  <c r="Z1887" i="3"/>
  <c r="AA1887" i="3"/>
  <c r="T1888" i="3"/>
  <c r="U1888" i="3"/>
  <c r="V1888" i="3"/>
  <c r="W1888" i="3"/>
  <c r="X1888" i="3"/>
  <c r="Y1888" i="3"/>
  <c r="Z1888" i="3"/>
  <c r="AA1888" i="3"/>
  <c r="T1889" i="3"/>
  <c r="U1889" i="3"/>
  <c r="V1889" i="3"/>
  <c r="W1889" i="3"/>
  <c r="X1889" i="3"/>
  <c r="Y1889" i="3"/>
  <c r="Z1889" i="3"/>
  <c r="AA1889" i="3"/>
  <c r="T1890" i="3"/>
  <c r="U1890" i="3"/>
  <c r="V1890" i="3"/>
  <c r="W1890" i="3"/>
  <c r="X1890" i="3"/>
  <c r="Y1890" i="3"/>
  <c r="Z1890" i="3"/>
  <c r="AA1890" i="3"/>
  <c r="T1891" i="3"/>
  <c r="U1891" i="3"/>
  <c r="V1891" i="3"/>
  <c r="W1891" i="3"/>
  <c r="X1891" i="3"/>
  <c r="Y1891" i="3"/>
  <c r="Z1891" i="3"/>
  <c r="AA1891" i="3"/>
  <c r="T1892" i="3"/>
  <c r="U1892" i="3"/>
  <c r="V1892" i="3"/>
  <c r="W1892" i="3"/>
  <c r="X1892" i="3"/>
  <c r="Y1892" i="3"/>
  <c r="Z1892" i="3"/>
  <c r="AA1892" i="3"/>
  <c r="T1893" i="3"/>
  <c r="U1893" i="3"/>
  <c r="V1893" i="3"/>
  <c r="W1893" i="3"/>
  <c r="X1893" i="3"/>
  <c r="Y1893" i="3"/>
  <c r="Z1893" i="3"/>
  <c r="AA1893" i="3"/>
  <c r="T1894" i="3"/>
  <c r="U1894" i="3"/>
  <c r="V1894" i="3"/>
  <c r="W1894" i="3"/>
  <c r="X1894" i="3"/>
  <c r="Y1894" i="3"/>
  <c r="Z1894" i="3"/>
  <c r="AA1894" i="3"/>
  <c r="T1895" i="3"/>
  <c r="U1895" i="3"/>
  <c r="V1895" i="3"/>
  <c r="W1895" i="3"/>
  <c r="X1895" i="3"/>
  <c r="Y1895" i="3"/>
  <c r="Z1895" i="3"/>
  <c r="AA1895" i="3"/>
  <c r="T1896" i="3"/>
  <c r="U1896" i="3"/>
  <c r="V1896" i="3"/>
  <c r="W1896" i="3"/>
  <c r="X1896" i="3"/>
  <c r="Y1896" i="3"/>
  <c r="Z1896" i="3"/>
  <c r="AA1896" i="3"/>
  <c r="T1897" i="3"/>
  <c r="U1897" i="3"/>
  <c r="V1897" i="3"/>
  <c r="W1897" i="3"/>
  <c r="X1897" i="3"/>
  <c r="Y1897" i="3"/>
  <c r="Z1897" i="3"/>
  <c r="AA1897" i="3"/>
  <c r="T1898" i="3"/>
  <c r="U1898" i="3"/>
  <c r="V1898" i="3"/>
  <c r="W1898" i="3"/>
  <c r="X1898" i="3"/>
  <c r="Y1898" i="3"/>
  <c r="Z1898" i="3"/>
  <c r="AA1898" i="3"/>
  <c r="T1899" i="3"/>
  <c r="U1899" i="3"/>
  <c r="V1899" i="3"/>
  <c r="W1899" i="3"/>
  <c r="X1899" i="3"/>
  <c r="Y1899" i="3"/>
  <c r="Z1899" i="3"/>
  <c r="AA1899" i="3"/>
  <c r="T1900" i="3"/>
  <c r="U1900" i="3"/>
  <c r="V1900" i="3"/>
  <c r="W1900" i="3"/>
  <c r="X1900" i="3"/>
  <c r="Y1900" i="3"/>
  <c r="Z1900" i="3"/>
  <c r="AA1900" i="3"/>
  <c r="T1901" i="3"/>
  <c r="U1901" i="3"/>
  <c r="V1901" i="3"/>
  <c r="W1901" i="3"/>
  <c r="X1901" i="3"/>
  <c r="Y1901" i="3"/>
  <c r="Z1901" i="3"/>
  <c r="AA1901" i="3"/>
  <c r="T1902" i="3"/>
  <c r="U1902" i="3"/>
  <c r="V1902" i="3"/>
  <c r="W1902" i="3"/>
  <c r="X1902" i="3"/>
  <c r="Y1902" i="3"/>
  <c r="Z1902" i="3"/>
  <c r="AA1902" i="3"/>
  <c r="T1903" i="3"/>
  <c r="U1903" i="3"/>
  <c r="V1903" i="3"/>
  <c r="W1903" i="3"/>
  <c r="X1903" i="3"/>
  <c r="Y1903" i="3"/>
  <c r="Z1903" i="3"/>
  <c r="AA1903" i="3"/>
  <c r="T1904" i="3"/>
  <c r="U1904" i="3"/>
  <c r="V1904" i="3"/>
  <c r="W1904" i="3"/>
  <c r="X1904" i="3"/>
  <c r="Y1904" i="3"/>
  <c r="Z1904" i="3"/>
  <c r="AA1904" i="3"/>
  <c r="T1905" i="3"/>
  <c r="U1905" i="3"/>
  <c r="V1905" i="3"/>
  <c r="W1905" i="3"/>
  <c r="X1905" i="3"/>
  <c r="Y1905" i="3"/>
  <c r="Z1905" i="3"/>
  <c r="AA1905" i="3"/>
  <c r="U1873" i="3"/>
  <c r="V1873" i="3"/>
  <c r="W1873" i="3"/>
  <c r="X1873" i="3"/>
  <c r="Y1873" i="3"/>
  <c r="Z1873" i="3"/>
  <c r="AA1873" i="3"/>
  <c r="T1873" i="3"/>
  <c r="T1840" i="3"/>
  <c r="U1840" i="3"/>
  <c r="V1840" i="3"/>
  <c r="W1840" i="3"/>
  <c r="X1840" i="3"/>
  <c r="Y1840" i="3"/>
  <c r="Z1840" i="3"/>
  <c r="AA1840" i="3"/>
  <c r="T1841" i="3"/>
  <c r="U1841" i="3"/>
  <c r="V1841" i="3"/>
  <c r="W1841" i="3"/>
  <c r="X1841" i="3"/>
  <c r="Y1841" i="3"/>
  <c r="Z1841" i="3"/>
  <c r="AA1841" i="3"/>
  <c r="T1842" i="3"/>
  <c r="U1842" i="3"/>
  <c r="V1842" i="3"/>
  <c r="W1842" i="3"/>
  <c r="X1842" i="3"/>
  <c r="Y1842" i="3"/>
  <c r="Z1842" i="3"/>
  <c r="AA1842" i="3"/>
  <c r="T1843" i="3"/>
  <c r="U1843" i="3"/>
  <c r="V1843" i="3"/>
  <c r="W1843" i="3"/>
  <c r="X1843" i="3"/>
  <c r="Y1843" i="3"/>
  <c r="Z1843" i="3"/>
  <c r="AA1843" i="3"/>
  <c r="T1844" i="3"/>
  <c r="U1844" i="3"/>
  <c r="V1844" i="3"/>
  <c r="W1844" i="3"/>
  <c r="X1844" i="3"/>
  <c r="Y1844" i="3"/>
  <c r="Z1844" i="3"/>
  <c r="AA1844" i="3"/>
  <c r="T1845" i="3"/>
  <c r="U1845" i="3"/>
  <c r="V1845" i="3"/>
  <c r="W1845" i="3"/>
  <c r="X1845" i="3"/>
  <c r="Y1845" i="3"/>
  <c r="Z1845" i="3"/>
  <c r="AA1845" i="3"/>
  <c r="T1846" i="3"/>
  <c r="U1846" i="3"/>
  <c r="V1846" i="3"/>
  <c r="W1846" i="3"/>
  <c r="X1846" i="3"/>
  <c r="Y1846" i="3"/>
  <c r="Z1846" i="3"/>
  <c r="AA1846" i="3"/>
  <c r="T1847" i="3"/>
  <c r="U1847" i="3"/>
  <c r="V1847" i="3"/>
  <c r="W1847" i="3"/>
  <c r="X1847" i="3"/>
  <c r="Y1847" i="3"/>
  <c r="Z1847" i="3"/>
  <c r="AA1847" i="3"/>
  <c r="T1848" i="3"/>
  <c r="U1848" i="3"/>
  <c r="V1848" i="3"/>
  <c r="W1848" i="3"/>
  <c r="X1848" i="3"/>
  <c r="Y1848" i="3"/>
  <c r="Z1848" i="3"/>
  <c r="AA1848" i="3"/>
  <c r="T1849" i="3"/>
  <c r="U1849" i="3"/>
  <c r="V1849" i="3"/>
  <c r="W1849" i="3"/>
  <c r="X1849" i="3"/>
  <c r="Y1849" i="3"/>
  <c r="Z1849" i="3"/>
  <c r="AA1849" i="3"/>
  <c r="T1850" i="3"/>
  <c r="U1850" i="3"/>
  <c r="V1850" i="3"/>
  <c r="W1850" i="3"/>
  <c r="X1850" i="3"/>
  <c r="Y1850" i="3"/>
  <c r="Z1850" i="3"/>
  <c r="AA1850" i="3"/>
  <c r="T1851" i="3"/>
  <c r="U1851" i="3"/>
  <c r="V1851" i="3"/>
  <c r="W1851" i="3"/>
  <c r="X1851" i="3"/>
  <c r="Y1851" i="3"/>
  <c r="Z1851" i="3"/>
  <c r="AA1851" i="3"/>
  <c r="T1852" i="3"/>
  <c r="U1852" i="3"/>
  <c r="V1852" i="3"/>
  <c r="W1852" i="3"/>
  <c r="X1852" i="3"/>
  <c r="Y1852" i="3"/>
  <c r="Z1852" i="3"/>
  <c r="AA1852" i="3"/>
  <c r="T1853" i="3"/>
  <c r="U1853" i="3"/>
  <c r="V1853" i="3"/>
  <c r="W1853" i="3"/>
  <c r="X1853" i="3"/>
  <c r="Y1853" i="3"/>
  <c r="Z1853" i="3"/>
  <c r="AA1853" i="3"/>
  <c r="T1854" i="3"/>
  <c r="U1854" i="3"/>
  <c r="V1854" i="3"/>
  <c r="W1854" i="3"/>
  <c r="X1854" i="3"/>
  <c r="Y1854" i="3"/>
  <c r="Z1854" i="3"/>
  <c r="AA1854" i="3"/>
  <c r="T1855" i="3"/>
  <c r="U1855" i="3"/>
  <c r="V1855" i="3"/>
  <c r="W1855" i="3"/>
  <c r="X1855" i="3"/>
  <c r="Y1855" i="3"/>
  <c r="Z1855" i="3"/>
  <c r="AA1855" i="3"/>
  <c r="T1856" i="3"/>
  <c r="U1856" i="3"/>
  <c r="V1856" i="3"/>
  <c r="W1856" i="3"/>
  <c r="X1856" i="3"/>
  <c r="Y1856" i="3"/>
  <c r="Z1856" i="3"/>
  <c r="AA1856" i="3"/>
  <c r="T1857" i="3"/>
  <c r="U1857" i="3"/>
  <c r="V1857" i="3"/>
  <c r="W1857" i="3"/>
  <c r="X1857" i="3"/>
  <c r="Y1857" i="3"/>
  <c r="Z1857" i="3"/>
  <c r="AA1857" i="3"/>
  <c r="T1858" i="3"/>
  <c r="U1858" i="3"/>
  <c r="V1858" i="3"/>
  <c r="W1858" i="3"/>
  <c r="X1858" i="3"/>
  <c r="Y1858" i="3"/>
  <c r="Z1858" i="3"/>
  <c r="AA1858" i="3"/>
  <c r="T1859" i="3"/>
  <c r="U1859" i="3"/>
  <c r="V1859" i="3"/>
  <c r="W1859" i="3"/>
  <c r="X1859" i="3"/>
  <c r="Y1859" i="3"/>
  <c r="Z1859" i="3"/>
  <c r="AA1859" i="3"/>
  <c r="T1860" i="3"/>
  <c r="U1860" i="3"/>
  <c r="V1860" i="3"/>
  <c r="W1860" i="3"/>
  <c r="X1860" i="3"/>
  <c r="Y1860" i="3"/>
  <c r="Z1860" i="3"/>
  <c r="AA1860" i="3"/>
  <c r="T1861" i="3"/>
  <c r="U1861" i="3"/>
  <c r="V1861" i="3"/>
  <c r="W1861" i="3"/>
  <c r="X1861" i="3"/>
  <c r="Y1861" i="3"/>
  <c r="Z1861" i="3"/>
  <c r="AA1861" i="3"/>
  <c r="T1862" i="3"/>
  <c r="U1862" i="3"/>
  <c r="V1862" i="3"/>
  <c r="W1862" i="3"/>
  <c r="X1862" i="3"/>
  <c r="Y1862" i="3"/>
  <c r="Z1862" i="3"/>
  <c r="AA1862" i="3"/>
  <c r="T1863" i="3"/>
  <c r="U1863" i="3"/>
  <c r="V1863" i="3"/>
  <c r="W1863" i="3"/>
  <c r="X1863" i="3"/>
  <c r="Y1863" i="3"/>
  <c r="Z1863" i="3"/>
  <c r="AA1863" i="3"/>
  <c r="T1864" i="3"/>
  <c r="U1864" i="3"/>
  <c r="V1864" i="3"/>
  <c r="W1864" i="3"/>
  <c r="X1864" i="3"/>
  <c r="Y1864" i="3"/>
  <c r="Z1864" i="3"/>
  <c r="AA1864" i="3"/>
  <c r="T1865" i="3"/>
  <c r="U1865" i="3"/>
  <c r="V1865" i="3"/>
  <c r="W1865" i="3"/>
  <c r="X1865" i="3"/>
  <c r="Y1865" i="3"/>
  <c r="Z1865" i="3"/>
  <c r="AA1865" i="3"/>
  <c r="T1866" i="3"/>
  <c r="U1866" i="3"/>
  <c r="V1866" i="3"/>
  <c r="W1866" i="3"/>
  <c r="X1866" i="3"/>
  <c r="Y1866" i="3"/>
  <c r="Z1866" i="3"/>
  <c r="AA1866" i="3"/>
  <c r="T1867" i="3"/>
  <c r="U1867" i="3"/>
  <c r="V1867" i="3"/>
  <c r="W1867" i="3"/>
  <c r="X1867" i="3"/>
  <c r="Y1867" i="3"/>
  <c r="Z1867" i="3"/>
  <c r="AA1867" i="3"/>
  <c r="T1868" i="3"/>
  <c r="U1868" i="3"/>
  <c r="V1868" i="3"/>
  <c r="W1868" i="3"/>
  <c r="X1868" i="3"/>
  <c r="Y1868" i="3"/>
  <c r="Z1868" i="3"/>
  <c r="AA1868" i="3"/>
  <c r="T1869" i="3"/>
  <c r="U1869" i="3"/>
  <c r="V1869" i="3"/>
  <c r="W1869" i="3"/>
  <c r="X1869" i="3"/>
  <c r="Y1869" i="3"/>
  <c r="Z1869" i="3"/>
  <c r="AA1869" i="3"/>
  <c r="T1870" i="3"/>
  <c r="U1870" i="3"/>
  <c r="V1870" i="3"/>
  <c r="W1870" i="3"/>
  <c r="X1870" i="3"/>
  <c r="Y1870" i="3"/>
  <c r="Z1870" i="3"/>
  <c r="AA1870" i="3"/>
  <c r="T1871" i="3"/>
  <c r="U1871" i="3"/>
  <c r="V1871" i="3"/>
  <c r="W1871" i="3"/>
  <c r="X1871" i="3"/>
  <c r="Y1871" i="3"/>
  <c r="Z1871" i="3"/>
  <c r="AA1871" i="3"/>
  <c r="U1839" i="3"/>
  <c r="V1839" i="3"/>
  <c r="W1839" i="3"/>
  <c r="X1839" i="3"/>
  <c r="Y1839" i="3"/>
  <c r="Z1839" i="3"/>
  <c r="AA1839" i="3"/>
  <c r="T1839" i="3"/>
  <c r="T1806" i="3"/>
  <c r="U1806" i="3"/>
  <c r="V1806" i="3"/>
  <c r="W1806" i="3"/>
  <c r="X1806" i="3"/>
  <c r="Y1806" i="3"/>
  <c r="Z1806" i="3"/>
  <c r="AA1806" i="3"/>
  <c r="T1807" i="3"/>
  <c r="U1807" i="3"/>
  <c r="V1807" i="3"/>
  <c r="W1807" i="3"/>
  <c r="X1807" i="3"/>
  <c r="Y1807" i="3"/>
  <c r="Z1807" i="3"/>
  <c r="AA1807" i="3"/>
  <c r="T1808" i="3"/>
  <c r="U1808" i="3"/>
  <c r="V1808" i="3"/>
  <c r="W1808" i="3"/>
  <c r="X1808" i="3"/>
  <c r="Y1808" i="3"/>
  <c r="Z1808" i="3"/>
  <c r="AA1808" i="3"/>
  <c r="T1809" i="3"/>
  <c r="U1809" i="3"/>
  <c r="V1809" i="3"/>
  <c r="W1809" i="3"/>
  <c r="X1809" i="3"/>
  <c r="Y1809" i="3"/>
  <c r="Z1809" i="3"/>
  <c r="AA1809" i="3"/>
  <c r="T1810" i="3"/>
  <c r="U1810" i="3"/>
  <c r="V1810" i="3"/>
  <c r="W1810" i="3"/>
  <c r="X1810" i="3"/>
  <c r="Y1810" i="3"/>
  <c r="Z1810" i="3"/>
  <c r="AA1810" i="3"/>
  <c r="T1811" i="3"/>
  <c r="U1811" i="3"/>
  <c r="V1811" i="3"/>
  <c r="W1811" i="3"/>
  <c r="X1811" i="3"/>
  <c r="Y1811" i="3"/>
  <c r="Z1811" i="3"/>
  <c r="AA1811" i="3"/>
  <c r="T1812" i="3"/>
  <c r="U1812" i="3"/>
  <c r="V1812" i="3"/>
  <c r="W1812" i="3"/>
  <c r="X1812" i="3"/>
  <c r="Y1812" i="3"/>
  <c r="Z1812" i="3"/>
  <c r="AA1812" i="3"/>
  <c r="T1813" i="3"/>
  <c r="U1813" i="3"/>
  <c r="V1813" i="3"/>
  <c r="W1813" i="3"/>
  <c r="X1813" i="3"/>
  <c r="Y1813" i="3"/>
  <c r="Z1813" i="3"/>
  <c r="AA1813" i="3"/>
  <c r="T1814" i="3"/>
  <c r="U1814" i="3"/>
  <c r="V1814" i="3"/>
  <c r="W1814" i="3"/>
  <c r="X1814" i="3"/>
  <c r="Y1814" i="3"/>
  <c r="Z1814" i="3"/>
  <c r="AA1814" i="3"/>
  <c r="T1815" i="3"/>
  <c r="U1815" i="3"/>
  <c r="V1815" i="3"/>
  <c r="W1815" i="3"/>
  <c r="X1815" i="3"/>
  <c r="Y1815" i="3"/>
  <c r="Z1815" i="3"/>
  <c r="AA1815" i="3"/>
  <c r="T1816" i="3"/>
  <c r="U1816" i="3"/>
  <c r="V1816" i="3"/>
  <c r="W1816" i="3"/>
  <c r="X1816" i="3"/>
  <c r="Y1816" i="3"/>
  <c r="Z1816" i="3"/>
  <c r="AA1816" i="3"/>
  <c r="T1817" i="3"/>
  <c r="U1817" i="3"/>
  <c r="V1817" i="3"/>
  <c r="W1817" i="3"/>
  <c r="X1817" i="3"/>
  <c r="Y1817" i="3"/>
  <c r="Z1817" i="3"/>
  <c r="AA1817" i="3"/>
  <c r="T1818" i="3"/>
  <c r="U1818" i="3"/>
  <c r="V1818" i="3"/>
  <c r="W1818" i="3"/>
  <c r="X1818" i="3"/>
  <c r="Y1818" i="3"/>
  <c r="Z1818" i="3"/>
  <c r="AA1818" i="3"/>
  <c r="T1819" i="3"/>
  <c r="U1819" i="3"/>
  <c r="V1819" i="3"/>
  <c r="W1819" i="3"/>
  <c r="X1819" i="3"/>
  <c r="Y1819" i="3"/>
  <c r="Z1819" i="3"/>
  <c r="AA1819" i="3"/>
  <c r="T1820" i="3"/>
  <c r="U1820" i="3"/>
  <c r="V1820" i="3"/>
  <c r="W1820" i="3"/>
  <c r="X1820" i="3"/>
  <c r="Y1820" i="3"/>
  <c r="Z1820" i="3"/>
  <c r="AA1820" i="3"/>
  <c r="T1821" i="3"/>
  <c r="U1821" i="3"/>
  <c r="V1821" i="3"/>
  <c r="W1821" i="3"/>
  <c r="X1821" i="3"/>
  <c r="Y1821" i="3"/>
  <c r="Z1821" i="3"/>
  <c r="AA1821" i="3"/>
  <c r="T1822" i="3"/>
  <c r="U1822" i="3"/>
  <c r="V1822" i="3"/>
  <c r="W1822" i="3"/>
  <c r="X1822" i="3"/>
  <c r="Y1822" i="3"/>
  <c r="Z1822" i="3"/>
  <c r="AA1822" i="3"/>
  <c r="T1823" i="3"/>
  <c r="U1823" i="3"/>
  <c r="V1823" i="3"/>
  <c r="W1823" i="3"/>
  <c r="X1823" i="3"/>
  <c r="Y1823" i="3"/>
  <c r="Z1823" i="3"/>
  <c r="AA1823" i="3"/>
  <c r="T1824" i="3"/>
  <c r="U1824" i="3"/>
  <c r="V1824" i="3"/>
  <c r="W1824" i="3"/>
  <c r="X1824" i="3"/>
  <c r="Y1824" i="3"/>
  <c r="Z1824" i="3"/>
  <c r="AA1824" i="3"/>
  <c r="T1825" i="3"/>
  <c r="U1825" i="3"/>
  <c r="V1825" i="3"/>
  <c r="W1825" i="3"/>
  <c r="X1825" i="3"/>
  <c r="Y1825" i="3"/>
  <c r="Z1825" i="3"/>
  <c r="AA1825" i="3"/>
  <c r="T1826" i="3"/>
  <c r="U1826" i="3"/>
  <c r="V1826" i="3"/>
  <c r="W1826" i="3"/>
  <c r="X1826" i="3"/>
  <c r="Y1826" i="3"/>
  <c r="Z1826" i="3"/>
  <c r="AA1826" i="3"/>
  <c r="T1827" i="3"/>
  <c r="U1827" i="3"/>
  <c r="V1827" i="3"/>
  <c r="W1827" i="3"/>
  <c r="X1827" i="3"/>
  <c r="Y1827" i="3"/>
  <c r="Z1827" i="3"/>
  <c r="AA1827" i="3"/>
  <c r="T1828" i="3"/>
  <c r="U1828" i="3"/>
  <c r="V1828" i="3"/>
  <c r="W1828" i="3"/>
  <c r="X1828" i="3"/>
  <c r="Y1828" i="3"/>
  <c r="Z1828" i="3"/>
  <c r="AA1828" i="3"/>
  <c r="T1829" i="3"/>
  <c r="U1829" i="3"/>
  <c r="V1829" i="3"/>
  <c r="W1829" i="3"/>
  <c r="X1829" i="3"/>
  <c r="Y1829" i="3"/>
  <c r="Z1829" i="3"/>
  <c r="AA1829" i="3"/>
  <c r="T1830" i="3"/>
  <c r="U1830" i="3"/>
  <c r="V1830" i="3"/>
  <c r="W1830" i="3"/>
  <c r="X1830" i="3"/>
  <c r="Y1830" i="3"/>
  <c r="Z1830" i="3"/>
  <c r="AA1830" i="3"/>
  <c r="T1831" i="3"/>
  <c r="U1831" i="3"/>
  <c r="V1831" i="3"/>
  <c r="W1831" i="3"/>
  <c r="X1831" i="3"/>
  <c r="Y1831" i="3"/>
  <c r="Z1831" i="3"/>
  <c r="AA1831" i="3"/>
  <c r="T1832" i="3"/>
  <c r="U1832" i="3"/>
  <c r="V1832" i="3"/>
  <c r="W1832" i="3"/>
  <c r="X1832" i="3"/>
  <c r="Y1832" i="3"/>
  <c r="Z1832" i="3"/>
  <c r="AA1832" i="3"/>
  <c r="T1833" i="3"/>
  <c r="U1833" i="3"/>
  <c r="V1833" i="3"/>
  <c r="W1833" i="3"/>
  <c r="X1833" i="3"/>
  <c r="Y1833" i="3"/>
  <c r="Z1833" i="3"/>
  <c r="AA1833" i="3"/>
  <c r="T1834" i="3"/>
  <c r="U1834" i="3"/>
  <c r="V1834" i="3"/>
  <c r="W1834" i="3"/>
  <c r="X1834" i="3"/>
  <c r="Y1834" i="3"/>
  <c r="Z1834" i="3"/>
  <c r="AA1834" i="3"/>
  <c r="T1835" i="3"/>
  <c r="U1835" i="3"/>
  <c r="V1835" i="3"/>
  <c r="W1835" i="3"/>
  <c r="X1835" i="3"/>
  <c r="Y1835" i="3"/>
  <c r="Z1835" i="3"/>
  <c r="AA1835" i="3"/>
  <c r="T1836" i="3"/>
  <c r="U1836" i="3"/>
  <c r="V1836" i="3"/>
  <c r="W1836" i="3"/>
  <c r="X1836" i="3"/>
  <c r="Y1836" i="3"/>
  <c r="Z1836" i="3"/>
  <c r="AA1836" i="3"/>
  <c r="T1837" i="3"/>
  <c r="U1837" i="3"/>
  <c r="V1837" i="3"/>
  <c r="W1837" i="3"/>
  <c r="X1837" i="3"/>
  <c r="Y1837" i="3"/>
  <c r="Z1837" i="3"/>
  <c r="AA1837" i="3"/>
  <c r="U1805" i="3"/>
  <c r="V1805" i="3"/>
  <c r="W1805" i="3"/>
  <c r="X1805" i="3"/>
  <c r="Y1805" i="3"/>
  <c r="Z1805" i="3"/>
  <c r="AA1805" i="3"/>
  <c r="T1805" i="3"/>
  <c r="T1772" i="3"/>
  <c r="U1772" i="3"/>
  <c r="V1772" i="3"/>
  <c r="W1772" i="3"/>
  <c r="X1772" i="3"/>
  <c r="Y1772" i="3"/>
  <c r="Z1772" i="3"/>
  <c r="AA1772" i="3"/>
  <c r="T1773" i="3"/>
  <c r="U1773" i="3"/>
  <c r="V1773" i="3"/>
  <c r="W1773" i="3"/>
  <c r="X1773" i="3"/>
  <c r="Y1773" i="3"/>
  <c r="Z1773" i="3"/>
  <c r="AA1773" i="3"/>
  <c r="T1774" i="3"/>
  <c r="U1774" i="3"/>
  <c r="V1774" i="3"/>
  <c r="W1774" i="3"/>
  <c r="X1774" i="3"/>
  <c r="Y1774" i="3"/>
  <c r="Z1774" i="3"/>
  <c r="AA1774" i="3"/>
  <c r="T1775" i="3"/>
  <c r="U1775" i="3"/>
  <c r="V1775" i="3"/>
  <c r="W1775" i="3"/>
  <c r="X1775" i="3"/>
  <c r="Y1775" i="3"/>
  <c r="Z1775" i="3"/>
  <c r="AA1775" i="3"/>
  <c r="T1776" i="3"/>
  <c r="U1776" i="3"/>
  <c r="V1776" i="3"/>
  <c r="W1776" i="3"/>
  <c r="X1776" i="3"/>
  <c r="Y1776" i="3"/>
  <c r="Z1776" i="3"/>
  <c r="AA1776" i="3"/>
  <c r="T1777" i="3"/>
  <c r="U1777" i="3"/>
  <c r="V1777" i="3"/>
  <c r="W1777" i="3"/>
  <c r="X1777" i="3"/>
  <c r="Y1777" i="3"/>
  <c r="Z1777" i="3"/>
  <c r="AA1777" i="3"/>
  <c r="T1778" i="3"/>
  <c r="U1778" i="3"/>
  <c r="V1778" i="3"/>
  <c r="W1778" i="3"/>
  <c r="X1778" i="3"/>
  <c r="Y1778" i="3"/>
  <c r="Z1778" i="3"/>
  <c r="AA1778" i="3"/>
  <c r="T1779" i="3"/>
  <c r="U1779" i="3"/>
  <c r="V1779" i="3"/>
  <c r="W1779" i="3"/>
  <c r="X1779" i="3"/>
  <c r="Y1779" i="3"/>
  <c r="Z1779" i="3"/>
  <c r="AA1779" i="3"/>
  <c r="T1780" i="3"/>
  <c r="U1780" i="3"/>
  <c r="V1780" i="3"/>
  <c r="W1780" i="3"/>
  <c r="X1780" i="3"/>
  <c r="Y1780" i="3"/>
  <c r="Z1780" i="3"/>
  <c r="AA1780" i="3"/>
  <c r="T1781" i="3"/>
  <c r="U1781" i="3"/>
  <c r="V1781" i="3"/>
  <c r="W1781" i="3"/>
  <c r="X1781" i="3"/>
  <c r="Y1781" i="3"/>
  <c r="Z1781" i="3"/>
  <c r="AA1781" i="3"/>
  <c r="T1782" i="3"/>
  <c r="U1782" i="3"/>
  <c r="V1782" i="3"/>
  <c r="W1782" i="3"/>
  <c r="X1782" i="3"/>
  <c r="Y1782" i="3"/>
  <c r="Z1782" i="3"/>
  <c r="AA1782" i="3"/>
  <c r="T1783" i="3"/>
  <c r="U1783" i="3"/>
  <c r="V1783" i="3"/>
  <c r="W1783" i="3"/>
  <c r="X1783" i="3"/>
  <c r="Y1783" i="3"/>
  <c r="Z1783" i="3"/>
  <c r="AA1783" i="3"/>
  <c r="T1784" i="3"/>
  <c r="U1784" i="3"/>
  <c r="V1784" i="3"/>
  <c r="W1784" i="3"/>
  <c r="X1784" i="3"/>
  <c r="Y1784" i="3"/>
  <c r="Z1784" i="3"/>
  <c r="AA1784" i="3"/>
  <c r="T1785" i="3"/>
  <c r="U1785" i="3"/>
  <c r="V1785" i="3"/>
  <c r="W1785" i="3"/>
  <c r="X1785" i="3"/>
  <c r="Y1785" i="3"/>
  <c r="Z1785" i="3"/>
  <c r="AA1785" i="3"/>
  <c r="T1786" i="3"/>
  <c r="U1786" i="3"/>
  <c r="V1786" i="3"/>
  <c r="W1786" i="3"/>
  <c r="X1786" i="3"/>
  <c r="Y1786" i="3"/>
  <c r="Z1786" i="3"/>
  <c r="AA1786" i="3"/>
  <c r="T1787" i="3"/>
  <c r="U1787" i="3"/>
  <c r="V1787" i="3"/>
  <c r="W1787" i="3"/>
  <c r="X1787" i="3"/>
  <c r="Y1787" i="3"/>
  <c r="Z1787" i="3"/>
  <c r="AA1787" i="3"/>
  <c r="T1788" i="3"/>
  <c r="U1788" i="3"/>
  <c r="V1788" i="3"/>
  <c r="W1788" i="3"/>
  <c r="X1788" i="3"/>
  <c r="Y1788" i="3"/>
  <c r="Z1788" i="3"/>
  <c r="AA1788" i="3"/>
  <c r="T1789" i="3"/>
  <c r="U1789" i="3"/>
  <c r="V1789" i="3"/>
  <c r="W1789" i="3"/>
  <c r="X1789" i="3"/>
  <c r="Y1789" i="3"/>
  <c r="Z1789" i="3"/>
  <c r="AA1789" i="3"/>
  <c r="T1790" i="3"/>
  <c r="U1790" i="3"/>
  <c r="V1790" i="3"/>
  <c r="W1790" i="3"/>
  <c r="X1790" i="3"/>
  <c r="Y1790" i="3"/>
  <c r="Z1790" i="3"/>
  <c r="AA1790" i="3"/>
  <c r="T1791" i="3"/>
  <c r="U1791" i="3"/>
  <c r="V1791" i="3"/>
  <c r="W1791" i="3"/>
  <c r="X1791" i="3"/>
  <c r="Y1791" i="3"/>
  <c r="Z1791" i="3"/>
  <c r="AA1791" i="3"/>
  <c r="T1792" i="3"/>
  <c r="U1792" i="3"/>
  <c r="V1792" i="3"/>
  <c r="W1792" i="3"/>
  <c r="X1792" i="3"/>
  <c r="Y1792" i="3"/>
  <c r="Z1792" i="3"/>
  <c r="AA1792" i="3"/>
  <c r="T1793" i="3"/>
  <c r="U1793" i="3"/>
  <c r="V1793" i="3"/>
  <c r="W1793" i="3"/>
  <c r="X1793" i="3"/>
  <c r="Y1793" i="3"/>
  <c r="Z1793" i="3"/>
  <c r="AA1793" i="3"/>
  <c r="T1794" i="3"/>
  <c r="U1794" i="3"/>
  <c r="V1794" i="3"/>
  <c r="W1794" i="3"/>
  <c r="X1794" i="3"/>
  <c r="Y1794" i="3"/>
  <c r="Z1794" i="3"/>
  <c r="AA1794" i="3"/>
  <c r="T1795" i="3"/>
  <c r="U1795" i="3"/>
  <c r="V1795" i="3"/>
  <c r="W1795" i="3"/>
  <c r="X1795" i="3"/>
  <c r="Y1795" i="3"/>
  <c r="Z1795" i="3"/>
  <c r="AA1795" i="3"/>
  <c r="T1796" i="3"/>
  <c r="U1796" i="3"/>
  <c r="V1796" i="3"/>
  <c r="W1796" i="3"/>
  <c r="X1796" i="3"/>
  <c r="Y1796" i="3"/>
  <c r="Z1796" i="3"/>
  <c r="AA1796" i="3"/>
  <c r="T1797" i="3"/>
  <c r="U1797" i="3"/>
  <c r="V1797" i="3"/>
  <c r="W1797" i="3"/>
  <c r="X1797" i="3"/>
  <c r="Y1797" i="3"/>
  <c r="Z1797" i="3"/>
  <c r="AA1797" i="3"/>
  <c r="T1798" i="3"/>
  <c r="U1798" i="3"/>
  <c r="V1798" i="3"/>
  <c r="W1798" i="3"/>
  <c r="X1798" i="3"/>
  <c r="Y1798" i="3"/>
  <c r="Z1798" i="3"/>
  <c r="AA1798" i="3"/>
  <c r="T1799" i="3"/>
  <c r="U1799" i="3"/>
  <c r="V1799" i="3"/>
  <c r="W1799" i="3"/>
  <c r="X1799" i="3"/>
  <c r="Y1799" i="3"/>
  <c r="Z1799" i="3"/>
  <c r="AA1799" i="3"/>
  <c r="T1800" i="3"/>
  <c r="U1800" i="3"/>
  <c r="V1800" i="3"/>
  <c r="W1800" i="3"/>
  <c r="X1800" i="3"/>
  <c r="Y1800" i="3"/>
  <c r="Z1800" i="3"/>
  <c r="AA1800" i="3"/>
  <c r="T1801" i="3"/>
  <c r="U1801" i="3"/>
  <c r="V1801" i="3"/>
  <c r="W1801" i="3"/>
  <c r="X1801" i="3"/>
  <c r="Y1801" i="3"/>
  <c r="Z1801" i="3"/>
  <c r="AA1801" i="3"/>
  <c r="T1802" i="3"/>
  <c r="U1802" i="3"/>
  <c r="V1802" i="3"/>
  <c r="W1802" i="3"/>
  <c r="X1802" i="3"/>
  <c r="Y1802" i="3"/>
  <c r="Z1802" i="3"/>
  <c r="AA1802" i="3"/>
  <c r="T1803" i="3"/>
  <c r="U1803" i="3"/>
  <c r="V1803" i="3"/>
  <c r="W1803" i="3"/>
  <c r="X1803" i="3"/>
  <c r="Y1803" i="3"/>
  <c r="Z1803" i="3"/>
  <c r="AA1803" i="3"/>
  <c r="U1771" i="3"/>
  <c r="V1771" i="3"/>
  <c r="W1771" i="3"/>
  <c r="X1771" i="3"/>
  <c r="Y1771" i="3"/>
  <c r="Z1771" i="3"/>
  <c r="AA1771" i="3"/>
  <c r="T1771" i="3"/>
  <c r="T1738" i="3"/>
  <c r="U1738" i="3"/>
  <c r="V1738" i="3"/>
  <c r="W1738" i="3"/>
  <c r="X1738" i="3"/>
  <c r="Y1738" i="3"/>
  <c r="Z1738" i="3"/>
  <c r="AA1738" i="3"/>
  <c r="T1739" i="3"/>
  <c r="U1739" i="3"/>
  <c r="V1739" i="3"/>
  <c r="W1739" i="3"/>
  <c r="X1739" i="3"/>
  <c r="Y1739" i="3"/>
  <c r="Z1739" i="3"/>
  <c r="AA1739" i="3"/>
  <c r="T1740" i="3"/>
  <c r="U1740" i="3"/>
  <c r="V1740" i="3"/>
  <c r="W1740" i="3"/>
  <c r="X1740" i="3"/>
  <c r="Y1740" i="3"/>
  <c r="Z1740" i="3"/>
  <c r="AA1740" i="3"/>
  <c r="T1741" i="3"/>
  <c r="U1741" i="3"/>
  <c r="V1741" i="3"/>
  <c r="W1741" i="3"/>
  <c r="X1741" i="3"/>
  <c r="Y1741" i="3"/>
  <c r="Z1741" i="3"/>
  <c r="AA1741" i="3"/>
  <c r="T1742" i="3"/>
  <c r="U1742" i="3"/>
  <c r="V1742" i="3"/>
  <c r="W1742" i="3"/>
  <c r="X1742" i="3"/>
  <c r="Y1742" i="3"/>
  <c r="Z1742" i="3"/>
  <c r="AA1742" i="3"/>
  <c r="T1743" i="3"/>
  <c r="U1743" i="3"/>
  <c r="V1743" i="3"/>
  <c r="W1743" i="3"/>
  <c r="X1743" i="3"/>
  <c r="Y1743" i="3"/>
  <c r="Z1743" i="3"/>
  <c r="AA1743" i="3"/>
  <c r="T1744" i="3"/>
  <c r="U1744" i="3"/>
  <c r="V1744" i="3"/>
  <c r="W1744" i="3"/>
  <c r="X1744" i="3"/>
  <c r="Y1744" i="3"/>
  <c r="Z1744" i="3"/>
  <c r="AA1744" i="3"/>
  <c r="T1745" i="3"/>
  <c r="U1745" i="3"/>
  <c r="V1745" i="3"/>
  <c r="W1745" i="3"/>
  <c r="X1745" i="3"/>
  <c r="Y1745" i="3"/>
  <c r="Z1745" i="3"/>
  <c r="AA1745" i="3"/>
  <c r="T1746" i="3"/>
  <c r="U1746" i="3"/>
  <c r="V1746" i="3"/>
  <c r="W1746" i="3"/>
  <c r="X1746" i="3"/>
  <c r="Y1746" i="3"/>
  <c r="Z1746" i="3"/>
  <c r="AA1746" i="3"/>
  <c r="T1747" i="3"/>
  <c r="U1747" i="3"/>
  <c r="V1747" i="3"/>
  <c r="W1747" i="3"/>
  <c r="X1747" i="3"/>
  <c r="Y1747" i="3"/>
  <c r="Z1747" i="3"/>
  <c r="AA1747" i="3"/>
  <c r="T1748" i="3"/>
  <c r="U1748" i="3"/>
  <c r="V1748" i="3"/>
  <c r="W1748" i="3"/>
  <c r="X1748" i="3"/>
  <c r="Y1748" i="3"/>
  <c r="Z1748" i="3"/>
  <c r="AA1748" i="3"/>
  <c r="T1749" i="3"/>
  <c r="U1749" i="3"/>
  <c r="V1749" i="3"/>
  <c r="W1749" i="3"/>
  <c r="X1749" i="3"/>
  <c r="Y1749" i="3"/>
  <c r="Z1749" i="3"/>
  <c r="AA1749" i="3"/>
  <c r="T1750" i="3"/>
  <c r="U1750" i="3"/>
  <c r="V1750" i="3"/>
  <c r="W1750" i="3"/>
  <c r="X1750" i="3"/>
  <c r="Y1750" i="3"/>
  <c r="Z1750" i="3"/>
  <c r="AA1750" i="3"/>
  <c r="T1751" i="3"/>
  <c r="U1751" i="3"/>
  <c r="V1751" i="3"/>
  <c r="W1751" i="3"/>
  <c r="X1751" i="3"/>
  <c r="Y1751" i="3"/>
  <c r="Z1751" i="3"/>
  <c r="AA1751" i="3"/>
  <c r="T1752" i="3"/>
  <c r="U1752" i="3"/>
  <c r="V1752" i="3"/>
  <c r="W1752" i="3"/>
  <c r="X1752" i="3"/>
  <c r="Y1752" i="3"/>
  <c r="Z1752" i="3"/>
  <c r="AA1752" i="3"/>
  <c r="T1753" i="3"/>
  <c r="U1753" i="3"/>
  <c r="V1753" i="3"/>
  <c r="W1753" i="3"/>
  <c r="X1753" i="3"/>
  <c r="Y1753" i="3"/>
  <c r="Z1753" i="3"/>
  <c r="AA1753" i="3"/>
  <c r="T1754" i="3"/>
  <c r="U1754" i="3"/>
  <c r="V1754" i="3"/>
  <c r="W1754" i="3"/>
  <c r="X1754" i="3"/>
  <c r="Y1754" i="3"/>
  <c r="Z1754" i="3"/>
  <c r="AA1754" i="3"/>
  <c r="T1755" i="3"/>
  <c r="U1755" i="3"/>
  <c r="V1755" i="3"/>
  <c r="W1755" i="3"/>
  <c r="X1755" i="3"/>
  <c r="Y1755" i="3"/>
  <c r="Z1755" i="3"/>
  <c r="AA1755" i="3"/>
  <c r="T1756" i="3"/>
  <c r="U1756" i="3"/>
  <c r="V1756" i="3"/>
  <c r="W1756" i="3"/>
  <c r="X1756" i="3"/>
  <c r="Y1756" i="3"/>
  <c r="Z1756" i="3"/>
  <c r="AA1756" i="3"/>
  <c r="T1757" i="3"/>
  <c r="U1757" i="3"/>
  <c r="V1757" i="3"/>
  <c r="W1757" i="3"/>
  <c r="X1757" i="3"/>
  <c r="Y1757" i="3"/>
  <c r="Z1757" i="3"/>
  <c r="AA1757" i="3"/>
  <c r="T1758" i="3"/>
  <c r="U1758" i="3"/>
  <c r="V1758" i="3"/>
  <c r="W1758" i="3"/>
  <c r="X1758" i="3"/>
  <c r="Y1758" i="3"/>
  <c r="Z1758" i="3"/>
  <c r="AA1758" i="3"/>
  <c r="T1759" i="3"/>
  <c r="U1759" i="3"/>
  <c r="V1759" i="3"/>
  <c r="W1759" i="3"/>
  <c r="X1759" i="3"/>
  <c r="Y1759" i="3"/>
  <c r="Z1759" i="3"/>
  <c r="AA1759" i="3"/>
  <c r="T1760" i="3"/>
  <c r="U1760" i="3"/>
  <c r="V1760" i="3"/>
  <c r="W1760" i="3"/>
  <c r="X1760" i="3"/>
  <c r="Y1760" i="3"/>
  <c r="Z1760" i="3"/>
  <c r="AA1760" i="3"/>
  <c r="T1761" i="3"/>
  <c r="U1761" i="3"/>
  <c r="V1761" i="3"/>
  <c r="W1761" i="3"/>
  <c r="X1761" i="3"/>
  <c r="Y1761" i="3"/>
  <c r="Z1761" i="3"/>
  <c r="AA1761" i="3"/>
  <c r="T1762" i="3"/>
  <c r="U1762" i="3"/>
  <c r="V1762" i="3"/>
  <c r="W1762" i="3"/>
  <c r="X1762" i="3"/>
  <c r="Y1762" i="3"/>
  <c r="Z1762" i="3"/>
  <c r="AA1762" i="3"/>
  <c r="T1763" i="3"/>
  <c r="U1763" i="3"/>
  <c r="V1763" i="3"/>
  <c r="W1763" i="3"/>
  <c r="X1763" i="3"/>
  <c r="Y1763" i="3"/>
  <c r="Z1763" i="3"/>
  <c r="AA1763" i="3"/>
  <c r="T1764" i="3"/>
  <c r="U1764" i="3"/>
  <c r="V1764" i="3"/>
  <c r="W1764" i="3"/>
  <c r="X1764" i="3"/>
  <c r="Y1764" i="3"/>
  <c r="Z1764" i="3"/>
  <c r="AA1764" i="3"/>
  <c r="T1765" i="3"/>
  <c r="U1765" i="3"/>
  <c r="V1765" i="3"/>
  <c r="W1765" i="3"/>
  <c r="X1765" i="3"/>
  <c r="Y1765" i="3"/>
  <c r="Z1765" i="3"/>
  <c r="AA1765" i="3"/>
  <c r="T1766" i="3"/>
  <c r="U1766" i="3"/>
  <c r="V1766" i="3"/>
  <c r="W1766" i="3"/>
  <c r="X1766" i="3"/>
  <c r="Y1766" i="3"/>
  <c r="Z1766" i="3"/>
  <c r="AA1766" i="3"/>
  <c r="T1767" i="3"/>
  <c r="U1767" i="3"/>
  <c r="V1767" i="3"/>
  <c r="W1767" i="3"/>
  <c r="X1767" i="3"/>
  <c r="Y1767" i="3"/>
  <c r="Z1767" i="3"/>
  <c r="AA1767" i="3"/>
  <c r="T1768" i="3"/>
  <c r="U1768" i="3"/>
  <c r="V1768" i="3"/>
  <c r="W1768" i="3"/>
  <c r="X1768" i="3"/>
  <c r="Y1768" i="3"/>
  <c r="Z1768" i="3"/>
  <c r="AA1768" i="3"/>
  <c r="T1769" i="3"/>
  <c r="U1769" i="3"/>
  <c r="V1769" i="3"/>
  <c r="W1769" i="3"/>
  <c r="X1769" i="3"/>
  <c r="Y1769" i="3"/>
  <c r="Z1769" i="3"/>
  <c r="AA1769" i="3"/>
  <c r="U1737" i="3"/>
  <c r="V1737" i="3"/>
  <c r="W1737" i="3"/>
  <c r="X1737" i="3"/>
  <c r="Y1737" i="3"/>
  <c r="Z1737" i="3"/>
  <c r="AA1737" i="3"/>
  <c r="T1737" i="3"/>
  <c r="T1704" i="3"/>
  <c r="U1704" i="3"/>
  <c r="V1704" i="3"/>
  <c r="W1704" i="3"/>
  <c r="X1704" i="3"/>
  <c r="Y1704" i="3"/>
  <c r="Z1704" i="3"/>
  <c r="AA1704" i="3"/>
  <c r="T1705" i="3"/>
  <c r="U1705" i="3"/>
  <c r="V1705" i="3"/>
  <c r="W1705" i="3"/>
  <c r="X1705" i="3"/>
  <c r="Y1705" i="3"/>
  <c r="Z1705" i="3"/>
  <c r="AA1705" i="3"/>
  <c r="T1706" i="3"/>
  <c r="U1706" i="3"/>
  <c r="V1706" i="3"/>
  <c r="W1706" i="3"/>
  <c r="X1706" i="3"/>
  <c r="Y1706" i="3"/>
  <c r="Z1706" i="3"/>
  <c r="AA1706" i="3"/>
  <c r="T1707" i="3"/>
  <c r="U1707" i="3"/>
  <c r="V1707" i="3"/>
  <c r="W1707" i="3"/>
  <c r="X1707" i="3"/>
  <c r="Y1707" i="3"/>
  <c r="Z1707" i="3"/>
  <c r="AA1707" i="3"/>
  <c r="T1708" i="3"/>
  <c r="U1708" i="3"/>
  <c r="V1708" i="3"/>
  <c r="W1708" i="3"/>
  <c r="X1708" i="3"/>
  <c r="Y1708" i="3"/>
  <c r="Z1708" i="3"/>
  <c r="AA1708" i="3"/>
  <c r="T1709" i="3"/>
  <c r="U1709" i="3"/>
  <c r="V1709" i="3"/>
  <c r="W1709" i="3"/>
  <c r="X1709" i="3"/>
  <c r="Y1709" i="3"/>
  <c r="Z1709" i="3"/>
  <c r="AA1709" i="3"/>
  <c r="T1710" i="3"/>
  <c r="U1710" i="3"/>
  <c r="V1710" i="3"/>
  <c r="W1710" i="3"/>
  <c r="X1710" i="3"/>
  <c r="Y1710" i="3"/>
  <c r="Z1710" i="3"/>
  <c r="AA1710" i="3"/>
  <c r="T1711" i="3"/>
  <c r="U1711" i="3"/>
  <c r="V1711" i="3"/>
  <c r="W1711" i="3"/>
  <c r="X1711" i="3"/>
  <c r="Y1711" i="3"/>
  <c r="Z1711" i="3"/>
  <c r="AA1711" i="3"/>
  <c r="T1712" i="3"/>
  <c r="U1712" i="3"/>
  <c r="V1712" i="3"/>
  <c r="W1712" i="3"/>
  <c r="X1712" i="3"/>
  <c r="Y1712" i="3"/>
  <c r="Z1712" i="3"/>
  <c r="AA1712" i="3"/>
  <c r="T1713" i="3"/>
  <c r="U1713" i="3"/>
  <c r="V1713" i="3"/>
  <c r="W1713" i="3"/>
  <c r="X1713" i="3"/>
  <c r="Y1713" i="3"/>
  <c r="Z1713" i="3"/>
  <c r="AA1713" i="3"/>
  <c r="T1714" i="3"/>
  <c r="U1714" i="3"/>
  <c r="V1714" i="3"/>
  <c r="W1714" i="3"/>
  <c r="X1714" i="3"/>
  <c r="Y1714" i="3"/>
  <c r="Z1714" i="3"/>
  <c r="AA1714" i="3"/>
  <c r="T1715" i="3"/>
  <c r="U1715" i="3"/>
  <c r="V1715" i="3"/>
  <c r="W1715" i="3"/>
  <c r="X1715" i="3"/>
  <c r="Y1715" i="3"/>
  <c r="Z1715" i="3"/>
  <c r="AA1715" i="3"/>
  <c r="T1716" i="3"/>
  <c r="U1716" i="3"/>
  <c r="V1716" i="3"/>
  <c r="W1716" i="3"/>
  <c r="X1716" i="3"/>
  <c r="Y1716" i="3"/>
  <c r="Z1716" i="3"/>
  <c r="AA1716" i="3"/>
  <c r="T1717" i="3"/>
  <c r="U1717" i="3"/>
  <c r="V1717" i="3"/>
  <c r="W1717" i="3"/>
  <c r="X1717" i="3"/>
  <c r="Y1717" i="3"/>
  <c r="Z1717" i="3"/>
  <c r="AA1717" i="3"/>
  <c r="T1718" i="3"/>
  <c r="U1718" i="3"/>
  <c r="V1718" i="3"/>
  <c r="W1718" i="3"/>
  <c r="X1718" i="3"/>
  <c r="Y1718" i="3"/>
  <c r="Z1718" i="3"/>
  <c r="AA1718" i="3"/>
  <c r="T1719" i="3"/>
  <c r="U1719" i="3"/>
  <c r="V1719" i="3"/>
  <c r="W1719" i="3"/>
  <c r="X1719" i="3"/>
  <c r="Y1719" i="3"/>
  <c r="Z1719" i="3"/>
  <c r="AA1719" i="3"/>
  <c r="T1720" i="3"/>
  <c r="U1720" i="3"/>
  <c r="V1720" i="3"/>
  <c r="W1720" i="3"/>
  <c r="X1720" i="3"/>
  <c r="Y1720" i="3"/>
  <c r="Z1720" i="3"/>
  <c r="AA1720" i="3"/>
  <c r="T1721" i="3"/>
  <c r="U1721" i="3"/>
  <c r="V1721" i="3"/>
  <c r="W1721" i="3"/>
  <c r="X1721" i="3"/>
  <c r="Y1721" i="3"/>
  <c r="Z1721" i="3"/>
  <c r="AA1721" i="3"/>
  <c r="T1722" i="3"/>
  <c r="U1722" i="3"/>
  <c r="V1722" i="3"/>
  <c r="W1722" i="3"/>
  <c r="X1722" i="3"/>
  <c r="Y1722" i="3"/>
  <c r="Z1722" i="3"/>
  <c r="AA1722" i="3"/>
  <c r="T1723" i="3"/>
  <c r="U1723" i="3"/>
  <c r="V1723" i="3"/>
  <c r="W1723" i="3"/>
  <c r="X1723" i="3"/>
  <c r="Y1723" i="3"/>
  <c r="Z1723" i="3"/>
  <c r="AA1723" i="3"/>
  <c r="T1724" i="3"/>
  <c r="U1724" i="3"/>
  <c r="V1724" i="3"/>
  <c r="W1724" i="3"/>
  <c r="X1724" i="3"/>
  <c r="Y1724" i="3"/>
  <c r="Z1724" i="3"/>
  <c r="AA1724" i="3"/>
  <c r="T1725" i="3"/>
  <c r="U1725" i="3"/>
  <c r="V1725" i="3"/>
  <c r="W1725" i="3"/>
  <c r="X1725" i="3"/>
  <c r="Y1725" i="3"/>
  <c r="Z1725" i="3"/>
  <c r="AA1725" i="3"/>
  <c r="T1726" i="3"/>
  <c r="U1726" i="3"/>
  <c r="V1726" i="3"/>
  <c r="W1726" i="3"/>
  <c r="X1726" i="3"/>
  <c r="Y1726" i="3"/>
  <c r="Z1726" i="3"/>
  <c r="AA1726" i="3"/>
  <c r="T1727" i="3"/>
  <c r="U1727" i="3"/>
  <c r="V1727" i="3"/>
  <c r="W1727" i="3"/>
  <c r="X1727" i="3"/>
  <c r="Y1727" i="3"/>
  <c r="Z1727" i="3"/>
  <c r="AA1727" i="3"/>
  <c r="T1728" i="3"/>
  <c r="U1728" i="3"/>
  <c r="V1728" i="3"/>
  <c r="W1728" i="3"/>
  <c r="X1728" i="3"/>
  <c r="Y1728" i="3"/>
  <c r="Z1728" i="3"/>
  <c r="AA1728" i="3"/>
  <c r="T1729" i="3"/>
  <c r="U1729" i="3"/>
  <c r="V1729" i="3"/>
  <c r="W1729" i="3"/>
  <c r="X1729" i="3"/>
  <c r="Y1729" i="3"/>
  <c r="Z1729" i="3"/>
  <c r="AA1729" i="3"/>
  <c r="T1730" i="3"/>
  <c r="U1730" i="3"/>
  <c r="V1730" i="3"/>
  <c r="W1730" i="3"/>
  <c r="X1730" i="3"/>
  <c r="Y1730" i="3"/>
  <c r="Z1730" i="3"/>
  <c r="AA1730" i="3"/>
  <c r="T1731" i="3"/>
  <c r="U1731" i="3"/>
  <c r="V1731" i="3"/>
  <c r="W1731" i="3"/>
  <c r="X1731" i="3"/>
  <c r="Y1731" i="3"/>
  <c r="Z1731" i="3"/>
  <c r="AA1731" i="3"/>
  <c r="T1732" i="3"/>
  <c r="U1732" i="3"/>
  <c r="V1732" i="3"/>
  <c r="W1732" i="3"/>
  <c r="X1732" i="3"/>
  <c r="Y1732" i="3"/>
  <c r="Z1732" i="3"/>
  <c r="AA1732" i="3"/>
  <c r="T1733" i="3"/>
  <c r="U1733" i="3"/>
  <c r="V1733" i="3"/>
  <c r="W1733" i="3"/>
  <c r="X1733" i="3"/>
  <c r="Y1733" i="3"/>
  <c r="Z1733" i="3"/>
  <c r="AA1733" i="3"/>
  <c r="T1734" i="3"/>
  <c r="U1734" i="3"/>
  <c r="V1734" i="3"/>
  <c r="W1734" i="3"/>
  <c r="X1734" i="3"/>
  <c r="Y1734" i="3"/>
  <c r="Z1734" i="3"/>
  <c r="AA1734" i="3"/>
  <c r="T1735" i="3"/>
  <c r="U1735" i="3"/>
  <c r="V1735" i="3"/>
  <c r="W1735" i="3"/>
  <c r="X1735" i="3"/>
  <c r="Y1735" i="3"/>
  <c r="Z1735" i="3"/>
  <c r="AA1735" i="3"/>
  <c r="U1703" i="3"/>
  <c r="V1703" i="3"/>
  <c r="W1703" i="3"/>
  <c r="X1703" i="3"/>
  <c r="Y1703" i="3"/>
  <c r="Z1703" i="3"/>
  <c r="AA1703" i="3"/>
  <c r="T1703" i="3"/>
  <c r="T1670" i="3"/>
  <c r="U1670" i="3"/>
  <c r="V1670" i="3"/>
  <c r="W1670" i="3"/>
  <c r="X1670" i="3"/>
  <c r="Y1670" i="3"/>
  <c r="Z1670" i="3"/>
  <c r="AA1670" i="3"/>
  <c r="T1671" i="3"/>
  <c r="U1671" i="3"/>
  <c r="V1671" i="3"/>
  <c r="W1671" i="3"/>
  <c r="X1671" i="3"/>
  <c r="Y1671" i="3"/>
  <c r="Z1671" i="3"/>
  <c r="AA1671" i="3"/>
  <c r="T1672" i="3"/>
  <c r="U1672" i="3"/>
  <c r="V1672" i="3"/>
  <c r="W1672" i="3"/>
  <c r="X1672" i="3"/>
  <c r="Y1672" i="3"/>
  <c r="Z1672" i="3"/>
  <c r="AA1672" i="3"/>
  <c r="T1673" i="3"/>
  <c r="U1673" i="3"/>
  <c r="V1673" i="3"/>
  <c r="W1673" i="3"/>
  <c r="X1673" i="3"/>
  <c r="Y1673" i="3"/>
  <c r="Z1673" i="3"/>
  <c r="AA1673" i="3"/>
  <c r="T1674" i="3"/>
  <c r="U1674" i="3"/>
  <c r="V1674" i="3"/>
  <c r="W1674" i="3"/>
  <c r="X1674" i="3"/>
  <c r="Y1674" i="3"/>
  <c r="Z1674" i="3"/>
  <c r="AA1674" i="3"/>
  <c r="T1675" i="3"/>
  <c r="U1675" i="3"/>
  <c r="V1675" i="3"/>
  <c r="W1675" i="3"/>
  <c r="X1675" i="3"/>
  <c r="Y1675" i="3"/>
  <c r="Z1675" i="3"/>
  <c r="AA1675" i="3"/>
  <c r="T1676" i="3"/>
  <c r="U1676" i="3"/>
  <c r="V1676" i="3"/>
  <c r="W1676" i="3"/>
  <c r="X1676" i="3"/>
  <c r="Y1676" i="3"/>
  <c r="Z1676" i="3"/>
  <c r="AA1676" i="3"/>
  <c r="T1677" i="3"/>
  <c r="U1677" i="3"/>
  <c r="V1677" i="3"/>
  <c r="W1677" i="3"/>
  <c r="X1677" i="3"/>
  <c r="Y1677" i="3"/>
  <c r="Z1677" i="3"/>
  <c r="AA1677" i="3"/>
  <c r="T1678" i="3"/>
  <c r="U1678" i="3"/>
  <c r="V1678" i="3"/>
  <c r="W1678" i="3"/>
  <c r="X1678" i="3"/>
  <c r="Y1678" i="3"/>
  <c r="Z1678" i="3"/>
  <c r="AA1678" i="3"/>
  <c r="T1679" i="3"/>
  <c r="U1679" i="3"/>
  <c r="V1679" i="3"/>
  <c r="W1679" i="3"/>
  <c r="X1679" i="3"/>
  <c r="Y1679" i="3"/>
  <c r="Z1679" i="3"/>
  <c r="AA1679" i="3"/>
  <c r="T1680" i="3"/>
  <c r="U1680" i="3"/>
  <c r="V1680" i="3"/>
  <c r="W1680" i="3"/>
  <c r="X1680" i="3"/>
  <c r="Y1680" i="3"/>
  <c r="Z1680" i="3"/>
  <c r="AA1680" i="3"/>
  <c r="T1681" i="3"/>
  <c r="U1681" i="3"/>
  <c r="V1681" i="3"/>
  <c r="W1681" i="3"/>
  <c r="X1681" i="3"/>
  <c r="Y1681" i="3"/>
  <c r="Z1681" i="3"/>
  <c r="AA1681" i="3"/>
  <c r="T1682" i="3"/>
  <c r="U1682" i="3"/>
  <c r="V1682" i="3"/>
  <c r="W1682" i="3"/>
  <c r="X1682" i="3"/>
  <c r="Y1682" i="3"/>
  <c r="Z1682" i="3"/>
  <c r="AA1682" i="3"/>
  <c r="T1683" i="3"/>
  <c r="U1683" i="3"/>
  <c r="V1683" i="3"/>
  <c r="W1683" i="3"/>
  <c r="X1683" i="3"/>
  <c r="Y1683" i="3"/>
  <c r="Z1683" i="3"/>
  <c r="AA1683" i="3"/>
  <c r="T1684" i="3"/>
  <c r="U1684" i="3"/>
  <c r="V1684" i="3"/>
  <c r="W1684" i="3"/>
  <c r="X1684" i="3"/>
  <c r="Y1684" i="3"/>
  <c r="Z1684" i="3"/>
  <c r="AA1684" i="3"/>
  <c r="T1685" i="3"/>
  <c r="U1685" i="3"/>
  <c r="V1685" i="3"/>
  <c r="W1685" i="3"/>
  <c r="X1685" i="3"/>
  <c r="Y1685" i="3"/>
  <c r="Z1685" i="3"/>
  <c r="AA1685" i="3"/>
  <c r="T1686" i="3"/>
  <c r="U1686" i="3"/>
  <c r="V1686" i="3"/>
  <c r="W1686" i="3"/>
  <c r="X1686" i="3"/>
  <c r="Y1686" i="3"/>
  <c r="Z1686" i="3"/>
  <c r="AA1686" i="3"/>
  <c r="T1687" i="3"/>
  <c r="U1687" i="3"/>
  <c r="V1687" i="3"/>
  <c r="W1687" i="3"/>
  <c r="X1687" i="3"/>
  <c r="Y1687" i="3"/>
  <c r="Z1687" i="3"/>
  <c r="AA1687" i="3"/>
  <c r="T1688" i="3"/>
  <c r="U1688" i="3"/>
  <c r="V1688" i="3"/>
  <c r="W1688" i="3"/>
  <c r="X1688" i="3"/>
  <c r="Y1688" i="3"/>
  <c r="Z1688" i="3"/>
  <c r="AA1688" i="3"/>
  <c r="T1689" i="3"/>
  <c r="U1689" i="3"/>
  <c r="V1689" i="3"/>
  <c r="W1689" i="3"/>
  <c r="X1689" i="3"/>
  <c r="Y1689" i="3"/>
  <c r="Z1689" i="3"/>
  <c r="AA1689" i="3"/>
  <c r="T1690" i="3"/>
  <c r="U1690" i="3"/>
  <c r="V1690" i="3"/>
  <c r="W1690" i="3"/>
  <c r="X1690" i="3"/>
  <c r="Y1690" i="3"/>
  <c r="Z1690" i="3"/>
  <c r="AA1690" i="3"/>
  <c r="T1691" i="3"/>
  <c r="U1691" i="3"/>
  <c r="V1691" i="3"/>
  <c r="W1691" i="3"/>
  <c r="X1691" i="3"/>
  <c r="Y1691" i="3"/>
  <c r="Z1691" i="3"/>
  <c r="AA1691" i="3"/>
  <c r="T1692" i="3"/>
  <c r="U1692" i="3"/>
  <c r="V1692" i="3"/>
  <c r="W1692" i="3"/>
  <c r="X1692" i="3"/>
  <c r="Y1692" i="3"/>
  <c r="Z1692" i="3"/>
  <c r="AA1692" i="3"/>
  <c r="T1693" i="3"/>
  <c r="U1693" i="3"/>
  <c r="V1693" i="3"/>
  <c r="W1693" i="3"/>
  <c r="X1693" i="3"/>
  <c r="Y1693" i="3"/>
  <c r="Z1693" i="3"/>
  <c r="AA1693" i="3"/>
  <c r="T1694" i="3"/>
  <c r="U1694" i="3"/>
  <c r="V1694" i="3"/>
  <c r="W1694" i="3"/>
  <c r="X1694" i="3"/>
  <c r="Y1694" i="3"/>
  <c r="Z1694" i="3"/>
  <c r="AA1694" i="3"/>
  <c r="T1695" i="3"/>
  <c r="U1695" i="3"/>
  <c r="V1695" i="3"/>
  <c r="W1695" i="3"/>
  <c r="X1695" i="3"/>
  <c r="Y1695" i="3"/>
  <c r="Z1695" i="3"/>
  <c r="AA1695" i="3"/>
  <c r="T1696" i="3"/>
  <c r="U1696" i="3"/>
  <c r="V1696" i="3"/>
  <c r="W1696" i="3"/>
  <c r="X1696" i="3"/>
  <c r="Y1696" i="3"/>
  <c r="Z1696" i="3"/>
  <c r="AA1696" i="3"/>
  <c r="T1697" i="3"/>
  <c r="U1697" i="3"/>
  <c r="V1697" i="3"/>
  <c r="W1697" i="3"/>
  <c r="X1697" i="3"/>
  <c r="Y1697" i="3"/>
  <c r="Z1697" i="3"/>
  <c r="AA1697" i="3"/>
  <c r="T1698" i="3"/>
  <c r="U1698" i="3"/>
  <c r="V1698" i="3"/>
  <c r="W1698" i="3"/>
  <c r="X1698" i="3"/>
  <c r="Y1698" i="3"/>
  <c r="Z1698" i="3"/>
  <c r="AA1698" i="3"/>
  <c r="T1699" i="3"/>
  <c r="U1699" i="3"/>
  <c r="V1699" i="3"/>
  <c r="W1699" i="3"/>
  <c r="X1699" i="3"/>
  <c r="Y1699" i="3"/>
  <c r="Z1699" i="3"/>
  <c r="AA1699" i="3"/>
  <c r="T1700" i="3"/>
  <c r="U1700" i="3"/>
  <c r="V1700" i="3"/>
  <c r="W1700" i="3"/>
  <c r="X1700" i="3"/>
  <c r="Y1700" i="3"/>
  <c r="Z1700" i="3"/>
  <c r="AA1700" i="3"/>
  <c r="T1701" i="3"/>
  <c r="U1701" i="3"/>
  <c r="V1701" i="3"/>
  <c r="W1701" i="3"/>
  <c r="X1701" i="3"/>
  <c r="Y1701" i="3"/>
  <c r="Z1701" i="3"/>
  <c r="AA1701" i="3"/>
  <c r="U1669" i="3"/>
  <c r="V1669" i="3"/>
  <c r="W1669" i="3"/>
  <c r="X1669" i="3"/>
  <c r="Y1669" i="3"/>
  <c r="Z1669" i="3"/>
  <c r="AA1669" i="3"/>
  <c r="T1669" i="3"/>
  <c r="T1636" i="3"/>
  <c r="U1636" i="3"/>
  <c r="V1636" i="3"/>
  <c r="W1636" i="3"/>
  <c r="X1636" i="3"/>
  <c r="Y1636" i="3"/>
  <c r="Z1636" i="3"/>
  <c r="AA1636" i="3"/>
  <c r="T1637" i="3"/>
  <c r="U1637" i="3"/>
  <c r="V1637" i="3"/>
  <c r="W1637" i="3"/>
  <c r="X1637" i="3"/>
  <c r="Y1637" i="3"/>
  <c r="Z1637" i="3"/>
  <c r="AA1637" i="3"/>
  <c r="T1638" i="3"/>
  <c r="U1638" i="3"/>
  <c r="V1638" i="3"/>
  <c r="W1638" i="3"/>
  <c r="X1638" i="3"/>
  <c r="Y1638" i="3"/>
  <c r="Z1638" i="3"/>
  <c r="AA1638" i="3"/>
  <c r="T1639" i="3"/>
  <c r="U1639" i="3"/>
  <c r="V1639" i="3"/>
  <c r="W1639" i="3"/>
  <c r="X1639" i="3"/>
  <c r="Y1639" i="3"/>
  <c r="Z1639" i="3"/>
  <c r="AA1639" i="3"/>
  <c r="T1640" i="3"/>
  <c r="U1640" i="3"/>
  <c r="V1640" i="3"/>
  <c r="W1640" i="3"/>
  <c r="X1640" i="3"/>
  <c r="Y1640" i="3"/>
  <c r="Z1640" i="3"/>
  <c r="AA1640" i="3"/>
  <c r="T1641" i="3"/>
  <c r="U1641" i="3"/>
  <c r="V1641" i="3"/>
  <c r="W1641" i="3"/>
  <c r="X1641" i="3"/>
  <c r="Y1641" i="3"/>
  <c r="Z1641" i="3"/>
  <c r="AA1641" i="3"/>
  <c r="T1642" i="3"/>
  <c r="U1642" i="3"/>
  <c r="V1642" i="3"/>
  <c r="W1642" i="3"/>
  <c r="X1642" i="3"/>
  <c r="Y1642" i="3"/>
  <c r="Z1642" i="3"/>
  <c r="AA1642" i="3"/>
  <c r="T1643" i="3"/>
  <c r="U1643" i="3"/>
  <c r="V1643" i="3"/>
  <c r="W1643" i="3"/>
  <c r="X1643" i="3"/>
  <c r="Y1643" i="3"/>
  <c r="Z1643" i="3"/>
  <c r="AA1643" i="3"/>
  <c r="T1644" i="3"/>
  <c r="U1644" i="3"/>
  <c r="V1644" i="3"/>
  <c r="W1644" i="3"/>
  <c r="X1644" i="3"/>
  <c r="Y1644" i="3"/>
  <c r="Z1644" i="3"/>
  <c r="AA1644" i="3"/>
  <c r="T1645" i="3"/>
  <c r="U1645" i="3"/>
  <c r="V1645" i="3"/>
  <c r="W1645" i="3"/>
  <c r="X1645" i="3"/>
  <c r="Y1645" i="3"/>
  <c r="Z1645" i="3"/>
  <c r="AA1645" i="3"/>
  <c r="T1646" i="3"/>
  <c r="U1646" i="3"/>
  <c r="V1646" i="3"/>
  <c r="W1646" i="3"/>
  <c r="X1646" i="3"/>
  <c r="Y1646" i="3"/>
  <c r="Z1646" i="3"/>
  <c r="AA1646" i="3"/>
  <c r="T1647" i="3"/>
  <c r="U1647" i="3"/>
  <c r="V1647" i="3"/>
  <c r="W1647" i="3"/>
  <c r="X1647" i="3"/>
  <c r="Y1647" i="3"/>
  <c r="Z1647" i="3"/>
  <c r="AA1647" i="3"/>
  <c r="T1648" i="3"/>
  <c r="U1648" i="3"/>
  <c r="V1648" i="3"/>
  <c r="W1648" i="3"/>
  <c r="X1648" i="3"/>
  <c r="Y1648" i="3"/>
  <c r="Z1648" i="3"/>
  <c r="AA1648" i="3"/>
  <c r="T1649" i="3"/>
  <c r="U1649" i="3"/>
  <c r="V1649" i="3"/>
  <c r="W1649" i="3"/>
  <c r="X1649" i="3"/>
  <c r="Y1649" i="3"/>
  <c r="Z1649" i="3"/>
  <c r="AA1649" i="3"/>
  <c r="T1650" i="3"/>
  <c r="U1650" i="3"/>
  <c r="V1650" i="3"/>
  <c r="W1650" i="3"/>
  <c r="X1650" i="3"/>
  <c r="Y1650" i="3"/>
  <c r="Z1650" i="3"/>
  <c r="AA1650" i="3"/>
  <c r="T1651" i="3"/>
  <c r="U1651" i="3"/>
  <c r="V1651" i="3"/>
  <c r="W1651" i="3"/>
  <c r="X1651" i="3"/>
  <c r="Y1651" i="3"/>
  <c r="Z1651" i="3"/>
  <c r="AA1651" i="3"/>
  <c r="T1652" i="3"/>
  <c r="U1652" i="3"/>
  <c r="V1652" i="3"/>
  <c r="W1652" i="3"/>
  <c r="X1652" i="3"/>
  <c r="Y1652" i="3"/>
  <c r="Z1652" i="3"/>
  <c r="AA1652" i="3"/>
  <c r="T1653" i="3"/>
  <c r="U1653" i="3"/>
  <c r="V1653" i="3"/>
  <c r="W1653" i="3"/>
  <c r="X1653" i="3"/>
  <c r="Y1653" i="3"/>
  <c r="Z1653" i="3"/>
  <c r="AA1653" i="3"/>
  <c r="T1654" i="3"/>
  <c r="U1654" i="3"/>
  <c r="V1654" i="3"/>
  <c r="W1654" i="3"/>
  <c r="X1654" i="3"/>
  <c r="Y1654" i="3"/>
  <c r="Z1654" i="3"/>
  <c r="AA1654" i="3"/>
  <c r="T1655" i="3"/>
  <c r="U1655" i="3"/>
  <c r="V1655" i="3"/>
  <c r="W1655" i="3"/>
  <c r="X1655" i="3"/>
  <c r="Y1655" i="3"/>
  <c r="Z1655" i="3"/>
  <c r="AA1655" i="3"/>
  <c r="T1656" i="3"/>
  <c r="U1656" i="3"/>
  <c r="V1656" i="3"/>
  <c r="W1656" i="3"/>
  <c r="X1656" i="3"/>
  <c r="Y1656" i="3"/>
  <c r="Z1656" i="3"/>
  <c r="AA1656" i="3"/>
  <c r="T1657" i="3"/>
  <c r="U1657" i="3"/>
  <c r="V1657" i="3"/>
  <c r="W1657" i="3"/>
  <c r="X1657" i="3"/>
  <c r="Y1657" i="3"/>
  <c r="Z1657" i="3"/>
  <c r="AA1657" i="3"/>
  <c r="T1658" i="3"/>
  <c r="U1658" i="3"/>
  <c r="V1658" i="3"/>
  <c r="W1658" i="3"/>
  <c r="X1658" i="3"/>
  <c r="Y1658" i="3"/>
  <c r="Z1658" i="3"/>
  <c r="AA1658" i="3"/>
  <c r="T1659" i="3"/>
  <c r="U1659" i="3"/>
  <c r="V1659" i="3"/>
  <c r="W1659" i="3"/>
  <c r="X1659" i="3"/>
  <c r="Y1659" i="3"/>
  <c r="Z1659" i="3"/>
  <c r="AA1659" i="3"/>
  <c r="T1660" i="3"/>
  <c r="U1660" i="3"/>
  <c r="V1660" i="3"/>
  <c r="W1660" i="3"/>
  <c r="X1660" i="3"/>
  <c r="Y1660" i="3"/>
  <c r="Z1660" i="3"/>
  <c r="AA1660" i="3"/>
  <c r="T1661" i="3"/>
  <c r="U1661" i="3"/>
  <c r="V1661" i="3"/>
  <c r="W1661" i="3"/>
  <c r="X1661" i="3"/>
  <c r="Y1661" i="3"/>
  <c r="Z1661" i="3"/>
  <c r="AA1661" i="3"/>
  <c r="T1662" i="3"/>
  <c r="U1662" i="3"/>
  <c r="V1662" i="3"/>
  <c r="W1662" i="3"/>
  <c r="X1662" i="3"/>
  <c r="Y1662" i="3"/>
  <c r="Z1662" i="3"/>
  <c r="AA1662" i="3"/>
  <c r="T1663" i="3"/>
  <c r="U1663" i="3"/>
  <c r="V1663" i="3"/>
  <c r="W1663" i="3"/>
  <c r="X1663" i="3"/>
  <c r="Y1663" i="3"/>
  <c r="Z1663" i="3"/>
  <c r="AA1663" i="3"/>
  <c r="T1664" i="3"/>
  <c r="U1664" i="3"/>
  <c r="V1664" i="3"/>
  <c r="W1664" i="3"/>
  <c r="X1664" i="3"/>
  <c r="Y1664" i="3"/>
  <c r="Z1664" i="3"/>
  <c r="AA1664" i="3"/>
  <c r="T1665" i="3"/>
  <c r="U1665" i="3"/>
  <c r="V1665" i="3"/>
  <c r="W1665" i="3"/>
  <c r="X1665" i="3"/>
  <c r="Y1665" i="3"/>
  <c r="Z1665" i="3"/>
  <c r="AA1665" i="3"/>
  <c r="T1666" i="3"/>
  <c r="U1666" i="3"/>
  <c r="V1666" i="3"/>
  <c r="W1666" i="3"/>
  <c r="X1666" i="3"/>
  <c r="Y1666" i="3"/>
  <c r="Z1666" i="3"/>
  <c r="AA1666" i="3"/>
  <c r="T1667" i="3"/>
  <c r="U1667" i="3"/>
  <c r="V1667" i="3"/>
  <c r="W1667" i="3"/>
  <c r="X1667" i="3"/>
  <c r="Y1667" i="3"/>
  <c r="Z1667" i="3"/>
  <c r="AA1667" i="3"/>
  <c r="U1635" i="3"/>
  <c r="V1635" i="3"/>
  <c r="W1635" i="3"/>
  <c r="X1635" i="3"/>
  <c r="Y1635" i="3"/>
  <c r="Z1635" i="3"/>
  <c r="AA1635" i="3"/>
  <c r="T1635" i="3"/>
  <c r="T1602" i="3"/>
  <c r="U1602" i="3"/>
  <c r="V1602" i="3"/>
  <c r="W1602" i="3"/>
  <c r="X1602" i="3"/>
  <c r="Y1602" i="3"/>
  <c r="Z1602" i="3"/>
  <c r="AA1602" i="3"/>
  <c r="T1603" i="3"/>
  <c r="U1603" i="3"/>
  <c r="V1603" i="3"/>
  <c r="W1603" i="3"/>
  <c r="X1603" i="3"/>
  <c r="Y1603" i="3"/>
  <c r="Z1603" i="3"/>
  <c r="AA1603" i="3"/>
  <c r="T1604" i="3"/>
  <c r="U1604" i="3"/>
  <c r="V1604" i="3"/>
  <c r="W1604" i="3"/>
  <c r="X1604" i="3"/>
  <c r="Y1604" i="3"/>
  <c r="Z1604" i="3"/>
  <c r="AA1604" i="3"/>
  <c r="T1605" i="3"/>
  <c r="U1605" i="3"/>
  <c r="V1605" i="3"/>
  <c r="W1605" i="3"/>
  <c r="X1605" i="3"/>
  <c r="Y1605" i="3"/>
  <c r="Z1605" i="3"/>
  <c r="AA1605" i="3"/>
  <c r="T1606" i="3"/>
  <c r="U1606" i="3"/>
  <c r="V1606" i="3"/>
  <c r="W1606" i="3"/>
  <c r="X1606" i="3"/>
  <c r="Y1606" i="3"/>
  <c r="Z1606" i="3"/>
  <c r="AA1606" i="3"/>
  <c r="T1607" i="3"/>
  <c r="U1607" i="3"/>
  <c r="V1607" i="3"/>
  <c r="W1607" i="3"/>
  <c r="X1607" i="3"/>
  <c r="Y1607" i="3"/>
  <c r="Z1607" i="3"/>
  <c r="AA1607" i="3"/>
  <c r="T1608" i="3"/>
  <c r="U1608" i="3"/>
  <c r="V1608" i="3"/>
  <c r="W1608" i="3"/>
  <c r="X1608" i="3"/>
  <c r="Y1608" i="3"/>
  <c r="Z1608" i="3"/>
  <c r="AA1608" i="3"/>
  <c r="T1609" i="3"/>
  <c r="U1609" i="3"/>
  <c r="V1609" i="3"/>
  <c r="W1609" i="3"/>
  <c r="X1609" i="3"/>
  <c r="Y1609" i="3"/>
  <c r="Z1609" i="3"/>
  <c r="AA1609" i="3"/>
  <c r="T1610" i="3"/>
  <c r="U1610" i="3"/>
  <c r="V1610" i="3"/>
  <c r="W1610" i="3"/>
  <c r="X1610" i="3"/>
  <c r="Y1610" i="3"/>
  <c r="Z1610" i="3"/>
  <c r="AA1610" i="3"/>
  <c r="T1611" i="3"/>
  <c r="U1611" i="3"/>
  <c r="V1611" i="3"/>
  <c r="W1611" i="3"/>
  <c r="X1611" i="3"/>
  <c r="Y1611" i="3"/>
  <c r="Z1611" i="3"/>
  <c r="AA1611" i="3"/>
  <c r="T1612" i="3"/>
  <c r="U1612" i="3"/>
  <c r="V1612" i="3"/>
  <c r="W1612" i="3"/>
  <c r="X1612" i="3"/>
  <c r="Y1612" i="3"/>
  <c r="Z1612" i="3"/>
  <c r="AA1612" i="3"/>
  <c r="T1613" i="3"/>
  <c r="U1613" i="3"/>
  <c r="V1613" i="3"/>
  <c r="W1613" i="3"/>
  <c r="X1613" i="3"/>
  <c r="Y1613" i="3"/>
  <c r="Z1613" i="3"/>
  <c r="AA1613" i="3"/>
  <c r="T1614" i="3"/>
  <c r="U1614" i="3"/>
  <c r="V1614" i="3"/>
  <c r="W1614" i="3"/>
  <c r="X1614" i="3"/>
  <c r="Y1614" i="3"/>
  <c r="Z1614" i="3"/>
  <c r="AA1614" i="3"/>
  <c r="T1615" i="3"/>
  <c r="U1615" i="3"/>
  <c r="V1615" i="3"/>
  <c r="W1615" i="3"/>
  <c r="X1615" i="3"/>
  <c r="Y1615" i="3"/>
  <c r="Z1615" i="3"/>
  <c r="AA1615" i="3"/>
  <c r="T1616" i="3"/>
  <c r="U1616" i="3"/>
  <c r="V1616" i="3"/>
  <c r="W1616" i="3"/>
  <c r="X1616" i="3"/>
  <c r="Y1616" i="3"/>
  <c r="Z1616" i="3"/>
  <c r="AA1616" i="3"/>
  <c r="T1617" i="3"/>
  <c r="U1617" i="3"/>
  <c r="V1617" i="3"/>
  <c r="W1617" i="3"/>
  <c r="X1617" i="3"/>
  <c r="Y1617" i="3"/>
  <c r="Z1617" i="3"/>
  <c r="AA1617" i="3"/>
  <c r="T1618" i="3"/>
  <c r="U1618" i="3"/>
  <c r="V1618" i="3"/>
  <c r="W1618" i="3"/>
  <c r="X1618" i="3"/>
  <c r="Y1618" i="3"/>
  <c r="Z1618" i="3"/>
  <c r="AA1618" i="3"/>
  <c r="T1619" i="3"/>
  <c r="U1619" i="3"/>
  <c r="V1619" i="3"/>
  <c r="W1619" i="3"/>
  <c r="X1619" i="3"/>
  <c r="Y1619" i="3"/>
  <c r="Z1619" i="3"/>
  <c r="AA1619" i="3"/>
  <c r="T1620" i="3"/>
  <c r="U1620" i="3"/>
  <c r="V1620" i="3"/>
  <c r="W1620" i="3"/>
  <c r="X1620" i="3"/>
  <c r="Y1620" i="3"/>
  <c r="Z1620" i="3"/>
  <c r="AA1620" i="3"/>
  <c r="T1621" i="3"/>
  <c r="U1621" i="3"/>
  <c r="V1621" i="3"/>
  <c r="W1621" i="3"/>
  <c r="X1621" i="3"/>
  <c r="Y1621" i="3"/>
  <c r="Z1621" i="3"/>
  <c r="AA1621" i="3"/>
  <c r="T1622" i="3"/>
  <c r="U1622" i="3"/>
  <c r="V1622" i="3"/>
  <c r="W1622" i="3"/>
  <c r="X1622" i="3"/>
  <c r="Y1622" i="3"/>
  <c r="Z1622" i="3"/>
  <c r="AA1622" i="3"/>
  <c r="T1623" i="3"/>
  <c r="U1623" i="3"/>
  <c r="V1623" i="3"/>
  <c r="W1623" i="3"/>
  <c r="X1623" i="3"/>
  <c r="Y1623" i="3"/>
  <c r="Z1623" i="3"/>
  <c r="AA1623" i="3"/>
  <c r="T1624" i="3"/>
  <c r="U1624" i="3"/>
  <c r="V1624" i="3"/>
  <c r="W1624" i="3"/>
  <c r="X1624" i="3"/>
  <c r="Y1624" i="3"/>
  <c r="Z1624" i="3"/>
  <c r="AA1624" i="3"/>
  <c r="T1625" i="3"/>
  <c r="U1625" i="3"/>
  <c r="V1625" i="3"/>
  <c r="W1625" i="3"/>
  <c r="X1625" i="3"/>
  <c r="Y1625" i="3"/>
  <c r="Z1625" i="3"/>
  <c r="AA1625" i="3"/>
  <c r="T1626" i="3"/>
  <c r="U1626" i="3"/>
  <c r="V1626" i="3"/>
  <c r="W1626" i="3"/>
  <c r="X1626" i="3"/>
  <c r="Y1626" i="3"/>
  <c r="Z1626" i="3"/>
  <c r="AA1626" i="3"/>
  <c r="T1627" i="3"/>
  <c r="U1627" i="3"/>
  <c r="V1627" i="3"/>
  <c r="W1627" i="3"/>
  <c r="X1627" i="3"/>
  <c r="Y1627" i="3"/>
  <c r="Z1627" i="3"/>
  <c r="AA1627" i="3"/>
  <c r="T1628" i="3"/>
  <c r="U1628" i="3"/>
  <c r="V1628" i="3"/>
  <c r="W1628" i="3"/>
  <c r="X1628" i="3"/>
  <c r="Y1628" i="3"/>
  <c r="Z1628" i="3"/>
  <c r="AA1628" i="3"/>
  <c r="T1629" i="3"/>
  <c r="U1629" i="3"/>
  <c r="V1629" i="3"/>
  <c r="W1629" i="3"/>
  <c r="X1629" i="3"/>
  <c r="Y1629" i="3"/>
  <c r="Z1629" i="3"/>
  <c r="AA1629" i="3"/>
  <c r="T1630" i="3"/>
  <c r="U1630" i="3"/>
  <c r="V1630" i="3"/>
  <c r="W1630" i="3"/>
  <c r="X1630" i="3"/>
  <c r="Y1630" i="3"/>
  <c r="Z1630" i="3"/>
  <c r="AA1630" i="3"/>
  <c r="T1631" i="3"/>
  <c r="U1631" i="3"/>
  <c r="V1631" i="3"/>
  <c r="W1631" i="3"/>
  <c r="X1631" i="3"/>
  <c r="Y1631" i="3"/>
  <c r="Z1631" i="3"/>
  <c r="AA1631" i="3"/>
  <c r="T1632" i="3"/>
  <c r="U1632" i="3"/>
  <c r="V1632" i="3"/>
  <c r="W1632" i="3"/>
  <c r="X1632" i="3"/>
  <c r="Y1632" i="3"/>
  <c r="Z1632" i="3"/>
  <c r="AA1632" i="3"/>
  <c r="T1633" i="3"/>
  <c r="U1633" i="3"/>
  <c r="V1633" i="3"/>
  <c r="W1633" i="3"/>
  <c r="X1633" i="3"/>
  <c r="Y1633" i="3"/>
  <c r="Z1633" i="3"/>
  <c r="AA1633" i="3"/>
  <c r="U1601" i="3"/>
  <c r="V1601" i="3"/>
  <c r="W1601" i="3"/>
  <c r="X1601" i="3"/>
  <c r="Y1601" i="3"/>
  <c r="Z1601" i="3"/>
  <c r="AA1601" i="3"/>
  <c r="T1601" i="3"/>
  <c r="T1568" i="3"/>
  <c r="U1568" i="3"/>
  <c r="V1568" i="3"/>
  <c r="W1568" i="3"/>
  <c r="X1568" i="3"/>
  <c r="Y1568" i="3"/>
  <c r="Z1568" i="3"/>
  <c r="AA1568" i="3"/>
  <c r="T1569" i="3"/>
  <c r="U1569" i="3"/>
  <c r="V1569" i="3"/>
  <c r="W1569" i="3"/>
  <c r="X1569" i="3"/>
  <c r="Y1569" i="3"/>
  <c r="Z1569" i="3"/>
  <c r="AA1569" i="3"/>
  <c r="T1570" i="3"/>
  <c r="U1570" i="3"/>
  <c r="V1570" i="3"/>
  <c r="W1570" i="3"/>
  <c r="X1570" i="3"/>
  <c r="Y1570" i="3"/>
  <c r="Z1570" i="3"/>
  <c r="AA1570" i="3"/>
  <c r="T1571" i="3"/>
  <c r="U1571" i="3"/>
  <c r="V1571" i="3"/>
  <c r="W1571" i="3"/>
  <c r="X1571" i="3"/>
  <c r="Y1571" i="3"/>
  <c r="Z1571" i="3"/>
  <c r="AA1571" i="3"/>
  <c r="T1572" i="3"/>
  <c r="U1572" i="3"/>
  <c r="V1572" i="3"/>
  <c r="W1572" i="3"/>
  <c r="X1572" i="3"/>
  <c r="Y1572" i="3"/>
  <c r="Z1572" i="3"/>
  <c r="AA1572" i="3"/>
  <c r="T1573" i="3"/>
  <c r="U1573" i="3"/>
  <c r="V1573" i="3"/>
  <c r="W1573" i="3"/>
  <c r="X1573" i="3"/>
  <c r="Y1573" i="3"/>
  <c r="Z1573" i="3"/>
  <c r="AA1573" i="3"/>
  <c r="T1574" i="3"/>
  <c r="U1574" i="3"/>
  <c r="V1574" i="3"/>
  <c r="W1574" i="3"/>
  <c r="X1574" i="3"/>
  <c r="Y1574" i="3"/>
  <c r="Z1574" i="3"/>
  <c r="AA1574" i="3"/>
  <c r="T1575" i="3"/>
  <c r="U1575" i="3"/>
  <c r="V1575" i="3"/>
  <c r="W1575" i="3"/>
  <c r="X1575" i="3"/>
  <c r="Y1575" i="3"/>
  <c r="Z1575" i="3"/>
  <c r="AA1575" i="3"/>
  <c r="T1576" i="3"/>
  <c r="U1576" i="3"/>
  <c r="V1576" i="3"/>
  <c r="W1576" i="3"/>
  <c r="X1576" i="3"/>
  <c r="Y1576" i="3"/>
  <c r="Z1576" i="3"/>
  <c r="AA1576" i="3"/>
  <c r="T1577" i="3"/>
  <c r="U1577" i="3"/>
  <c r="V1577" i="3"/>
  <c r="W1577" i="3"/>
  <c r="X1577" i="3"/>
  <c r="Y1577" i="3"/>
  <c r="Z1577" i="3"/>
  <c r="AA1577" i="3"/>
  <c r="T1578" i="3"/>
  <c r="U1578" i="3"/>
  <c r="V1578" i="3"/>
  <c r="W1578" i="3"/>
  <c r="X1578" i="3"/>
  <c r="Y1578" i="3"/>
  <c r="Z1578" i="3"/>
  <c r="AA1578" i="3"/>
  <c r="T1579" i="3"/>
  <c r="U1579" i="3"/>
  <c r="V1579" i="3"/>
  <c r="W1579" i="3"/>
  <c r="X1579" i="3"/>
  <c r="Y1579" i="3"/>
  <c r="Z1579" i="3"/>
  <c r="AA1579" i="3"/>
  <c r="T1580" i="3"/>
  <c r="U1580" i="3"/>
  <c r="V1580" i="3"/>
  <c r="W1580" i="3"/>
  <c r="X1580" i="3"/>
  <c r="Y1580" i="3"/>
  <c r="Z1580" i="3"/>
  <c r="AA1580" i="3"/>
  <c r="T1581" i="3"/>
  <c r="U1581" i="3"/>
  <c r="V1581" i="3"/>
  <c r="W1581" i="3"/>
  <c r="X1581" i="3"/>
  <c r="Y1581" i="3"/>
  <c r="Z1581" i="3"/>
  <c r="AA1581" i="3"/>
  <c r="T1582" i="3"/>
  <c r="U1582" i="3"/>
  <c r="V1582" i="3"/>
  <c r="W1582" i="3"/>
  <c r="X1582" i="3"/>
  <c r="Y1582" i="3"/>
  <c r="Z1582" i="3"/>
  <c r="AA1582" i="3"/>
  <c r="T1583" i="3"/>
  <c r="U1583" i="3"/>
  <c r="V1583" i="3"/>
  <c r="W1583" i="3"/>
  <c r="X1583" i="3"/>
  <c r="Y1583" i="3"/>
  <c r="Z1583" i="3"/>
  <c r="AA1583" i="3"/>
  <c r="T1584" i="3"/>
  <c r="U1584" i="3"/>
  <c r="V1584" i="3"/>
  <c r="W1584" i="3"/>
  <c r="X1584" i="3"/>
  <c r="Y1584" i="3"/>
  <c r="Z1584" i="3"/>
  <c r="AA1584" i="3"/>
  <c r="T1585" i="3"/>
  <c r="U1585" i="3"/>
  <c r="V1585" i="3"/>
  <c r="W1585" i="3"/>
  <c r="X1585" i="3"/>
  <c r="Y1585" i="3"/>
  <c r="Z1585" i="3"/>
  <c r="AA1585" i="3"/>
  <c r="T1586" i="3"/>
  <c r="U1586" i="3"/>
  <c r="V1586" i="3"/>
  <c r="W1586" i="3"/>
  <c r="X1586" i="3"/>
  <c r="Y1586" i="3"/>
  <c r="Z1586" i="3"/>
  <c r="AA1586" i="3"/>
  <c r="T1587" i="3"/>
  <c r="U1587" i="3"/>
  <c r="V1587" i="3"/>
  <c r="W1587" i="3"/>
  <c r="X1587" i="3"/>
  <c r="Y1587" i="3"/>
  <c r="Z1587" i="3"/>
  <c r="AA1587" i="3"/>
  <c r="T1588" i="3"/>
  <c r="U1588" i="3"/>
  <c r="V1588" i="3"/>
  <c r="W1588" i="3"/>
  <c r="X1588" i="3"/>
  <c r="Y1588" i="3"/>
  <c r="Z1588" i="3"/>
  <c r="AA1588" i="3"/>
  <c r="T1589" i="3"/>
  <c r="U1589" i="3"/>
  <c r="V1589" i="3"/>
  <c r="W1589" i="3"/>
  <c r="X1589" i="3"/>
  <c r="Y1589" i="3"/>
  <c r="Z1589" i="3"/>
  <c r="AA1589" i="3"/>
  <c r="T1590" i="3"/>
  <c r="U1590" i="3"/>
  <c r="V1590" i="3"/>
  <c r="W1590" i="3"/>
  <c r="X1590" i="3"/>
  <c r="Y1590" i="3"/>
  <c r="Z1590" i="3"/>
  <c r="AA1590" i="3"/>
  <c r="T1591" i="3"/>
  <c r="U1591" i="3"/>
  <c r="V1591" i="3"/>
  <c r="W1591" i="3"/>
  <c r="X1591" i="3"/>
  <c r="Y1591" i="3"/>
  <c r="Z1591" i="3"/>
  <c r="AA1591" i="3"/>
  <c r="T1592" i="3"/>
  <c r="U1592" i="3"/>
  <c r="V1592" i="3"/>
  <c r="W1592" i="3"/>
  <c r="X1592" i="3"/>
  <c r="Y1592" i="3"/>
  <c r="Z1592" i="3"/>
  <c r="AA1592" i="3"/>
  <c r="T1593" i="3"/>
  <c r="U1593" i="3"/>
  <c r="V1593" i="3"/>
  <c r="W1593" i="3"/>
  <c r="X1593" i="3"/>
  <c r="Y1593" i="3"/>
  <c r="Z1593" i="3"/>
  <c r="AA1593" i="3"/>
  <c r="T1594" i="3"/>
  <c r="U1594" i="3"/>
  <c r="V1594" i="3"/>
  <c r="W1594" i="3"/>
  <c r="X1594" i="3"/>
  <c r="Y1594" i="3"/>
  <c r="Z1594" i="3"/>
  <c r="AA1594" i="3"/>
  <c r="T1595" i="3"/>
  <c r="U1595" i="3"/>
  <c r="V1595" i="3"/>
  <c r="W1595" i="3"/>
  <c r="X1595" i="3"/>
  <c r="Y1595" i="3"/>
  <c r="Z1595" i="3"/>
  <c r="AA1595" i="3"/>
  <c r="T1596" i="3"/>
  <c r="U1596" i="3"/>
  <c r="V1596" i="3"/>
  <c r="W1596" i="3"/>
  <c r="X1596" i="3"/>
  <c r="Y1596" i="3"/>
  <c r="Z1596" i="3"/>
  <c r="AA1596" i="3"/>
  <c r="T1597" i="3"/>
  <c r="U1597" i="3"/>
  <c r="V1597" i="3"/>
  <c r="W1597" i="3"/>
  <c r="X1597" i="3"/>
  <c r="Y1597" i="3"/>
  <c r="Z1597" i="3"/>
  <c r="AA1597" i="3"/>
  <c r="T1598" i="3"/>
  <c r="U1598" i="3"/>
  <c r="V1598" i="3"/>
  <c r="W1598" i="3"/>
  <c r="X1598" i="3"/>
  <c r="Y1598" i="3"/>
  <c r="Z1598" i="3"/>
  <c r="AA1598" i="3"/>
  <c r="T1599" i="3"/>
  <c r="U1599" i="3"/>
  <c r="V1599" i="3"/>
  <c r="W1599" i="3"/>
  <c r="X1599" i="3"/>
  <c r="Y1599" i="3"/>
  <c r="Z1599" i="3"/>
  <c r="AA1599" i="3"/>
  <c r="U1567" i="3"/>
  <c r="V1567" i="3"/>
  <c r="W1567" i="3"/>
  <c r="X1567" i="3"/>
  <c r="Y1567" i="3"/>
  <c r="Z1567" i="3"/>
  <c r="AA1567" i="3"/>
  <c r="T1567" i="3"/>
  <c r="T1534" i="3"/>
  <c r="U1534" i="3"/>
  <c r="V1534" i="3"/>
  <c r="W1534" i="3"/>
  <c r="X1534" i="3"/>
  <c r="Y1534" i="3"/>
  <c r="Z1534" i="3"/>
  <c r="AA1534" i="3"/>
  <c r="T1535" i="3"/>
  <c r="U1535" i="3"/>
  <c r="V1535" i="3"/>
  <c r="W1535" i="3"/>
  <c r="X1535" i="3"/>
  <c r="Y1535" i="3"/>
  <c r="Z1535" i="3"/>
  <c r="AA1535" i="3"/>
  <c r="T1536" i="3"/>
  <c r="U1536" i="3"/>
  <c r="V1536" i="3"/>
  <c r="W1536" i="3"/>
  <c r="X1536" i="3"/>
  <c r="Y1536" i="3"/>
  <c r="Z1536" i="3"/>
  <c r="AA1536" i="3"/>
  <c r="T1537" i="3"/>
  <c r="U1537" i="3"/>
  <c r="V1537" i="3"/>
  <c r="W1537" i="3"/>
  <c r="X1537" i="3"/>
  <c r="Y1537" i="3"/>
  <c r="Z1537" i="3"/>
  <c r="AA1537" i="3"/>
  <c r="T1538" i="3"/>
  <c r="U1538" i="3"/>
  <c r="V1538" i="3"/>
  <c r="W1538" i="3"/>
  <c r="X1538" i="3"/>
  <c r="Y1538" i="3"/>
  <c r="Z1538" i="3"/>
  <c r="AA1538" i="3"/>
  <c r="T1539" i="3"/>
  <c r="U1539" i="3"/>
  <c r="V1539" i="3"/>
  <c r="W1539" i="3"/>
  <c r="X1539" i="3"/>
  <c r="Y1539" i="3"/>
  <c r="Z1539" i="3"/>
  <c r="AA1539" i="3"/>
  <c r="T1540" i="3"/>
  <c r="U1540" i="3"/>
  <c r="V1540" i="3"/>
  <c r="W1540" i="3"/>
  <c r="X1540" i="3"/>
  <c r="Y1540" i="3"/>
  <c r="Z1540" i="3"/>
  <c r="AA1540" i="3"/>
  <c r="T1541" i="3"/>
  <c r="U1541" i="3"/>
  <c r="V1541" i="3"/>
  <c r="W1541" i="3"/>
  <c r="X1541" i="3"/>
  <c r="Y1541" i="3"/>
  <c r="Z1541" i="3"/>
  <c r="AA1541" i="3"/>
  <c r="T1542" i="3"/>
  <c r="U1542" i="3"/>
  <c r="V1542" i="3"/>
  <c r="W1542" i="3"/>
  <c r="X1542" i="3"/>
  <c r="Y1542" i="3"/>
  <c r="Z1542" i="3"/>
  <c r="AA1542" i="3"/>
  <c r="T1543" i="3"/>
  <c r="U1543" i="3"/>
  <c r="V1543" i="3"/>
  <c r="W1543" i="3"/>
  <c r="X1543" i="3"/>
  <c r="Y1543" i="3"/>
  <c r="Z1543" i="3"/>
  <c r="AA1543" i="3"/>
  <c r="T1544" i="3"/>
  <c r="U1544" i="3"/>
  <c r="V1544" i="3"/>
  <c r="W1544" i="3"/>
  <c r="X1544" i="3"/>
  <c r="Y1544" i="3"/>
  <c r="Z1544" i="3"/>
  <c r="AA1544" i="3"/>
  <c r="T1545" i="3"/>
  <c r="U1545" i="3"/>
  <c r="V1545" i="3"/>
  <c r="W1545" i="3"/>
  <c r="X1545" i="3"/>
  <c r="Y1545" i="3"/>
  <c r="Z1545" i="3"/>
  <c r="AA1545" i="3"/>
  <c r="T1546" i="3"/>
  <c r="U1546" i="3"/>
  <c r="V1546" i="3"/>
  <c r="W1546" i="3"/>
  <c r="X1546" i="3"/>
  <c r="Y1546" i="3"/>
  <c r="Z1546" i="3"/>
  <c r="AA1546" i="3"/>
  <c r="T1547" i="3"/>
  <c r="U1547" i="3"/>
  <c r="V1547" i="3"/>
  <c r="W1547" i="3"/>
  <c r="X1547" i="3"/>
  <c r="Y1547" i="3"/>
  <c r="Z1547" i="3"/>
  <c r="AA1547" i="3"/>
  <c r="T1548" i="3"/>
  <c r="U1548" i="3"/>
  <c r="V1548" i="3"/>
  <c r="W1548" i="3"/>
  <c r="X1548" i="3"/>
  <c r="Y1548" i="3"/>
  <c r="Z1548" i="3"/>
  <c r="AA1548" i="3"/>
  <c r="T1549" i="3"/>
  <c r="U1549" i="3"/>
  <c r="V1549" i="3"/>
  <c r="W1549" i="3"/>
  <c r="X1549" i="3"/>
  <c r="Y1549" i="3"/>
  <c r="Z1549" i="3"/>
  <c r="AA1549" i="3"/>
  <c r="T1550" i="3"/>
  <c r="U1550" i="3"/>
  <c r="V1550" i="3"/>
  <c r="W1550" i="3"/>
  <c r="X1550" i="3"/>
  <c r="Y1550" i="3"/>
  <c r="Z1550" i="3"/>
  <c r="AA1550" i="3"/>
  <c r="T1551" i="3"/>
  <c r="U1551" i="3"/>
  <c r="V1551" i="3"/>
  <c r="W1551" i="3"/>
  <c r="X1551" i="3"/>
  <c r="Y1551" i="3"/>
  <c r="Z1551" i="3"/>
  <c r="AA1551" i="3"/>
  <c r="T1552" i="3"/>
  <c r="U1552" i="3"/>
  <c r="V1552" i="3"/>
  <c r="W1552" i="3"/>
  <c r="X1552" i="3"/>
  <c r="Y1552" i="3"/>
  <c r="Z1552" i="3"/>
  <c r="AA1552" i="3"/>
  <c r="T1553" i="3"/>
  <c r="U1553" i="3"/>
  <c r="V1553" i="3"/>
  <c r="W1553" i="3"/>
  <c r="X1553" i="3"/>
  <c r="Y1553" i="3"/>
  <c r="Z1553" i="3"/>
  <c r="AA1553" i="3"/>
  <c r="T1554" i="3"/>
  <c r="U1554" i="3"/>
  <c r="V1554" i="3"/>
  <c r="W1554" i="3"/>
  <c r="X1554" i="3"/>
  <c r="Y1554" i="3"/>
  <c r="Z1554" i="3"/>
  <c r="AA1554" i="3"/>
  <c r="T1555" i="3"/>
  <c r="U1555" i="3"/>
  <c r="V1555" i="3"/>
  <c r="W1555" i="3"/>
  <c r="X1555" i="3"/>
  <c r="Y1555" i="3"/>
  <c r="Z1555" i="3"/>
  <c r="AA1555" i="3"/>
  <c r="T1556" i="3"/>
  <c r="U1556" i="3"/>
  <c r="V1556" i="3"/>
  <c r="W1556" i="3"/>
  <c r="X1556" i="3"/>
  <c r="Y1556" i="3"/>
  <c r="Z1556" i="3"/>
  <c r="AA1556" i="3"/>
  <c r="T1557" i="3"/>
  <c r="U1557" i="3"/>
  <c r="V1557" i="3"/>
  <c r="W1557" i="3"/>
  <c r="X1557" i="3"/>
  <c r="Y1557" i="3"/>
  <c r="Z1557" i="3"/>
  <c r="AA1557" i="3"/>
  <c r="T1558" i="3"/>
  <c r="U1558" i="3"/>
  <c r="V1558" i="3"/>
  <c r="W1558" i="3"/>
  <c r="X1558" i="3"/>
  <c r="Y1558" i="3"/>
  <c r="Z1558" i="3"/>
  <c r="AA1558" i="3"/>
  <c r="T1559" i="3"/>
  <c r="U1559" i="3"/>
  <c r="V1559" i="3"/>
  <c r="W1559" i="3"/>
  <c r="X1559" i="3"/>
  <c r="Y1559" i="3"/>
  <c r="Z1559" i="3"/>
  <c r="AA1559" i="3"/>
  <c r="T1560" i="3"/>
  <c r="U1560" i="3"/>
  <c r="V1560" i="3"/>
  <c r="W1560" i="3"/>
  <c r="X1560" i="3"/>
  <c r="Y1560" i="3"/>
  <c r="Z1560" i="3"/>
  <c r="AA1560" i="3"/>
  <c r="T1561" i="3"/>
  <c r="U1561" i="3"/>
  <c r="V1561" i="3"/>
  <c r="W1561" i="3"/>
  <c r="X1561" i="3"/>
  <c r="Y1561" i="3"/>
  <c r="Z1561" i="3"/>
  <c r="AA1561" i="3"/>
  <c r="T1562" i="3"/>
  <c r="U1562" i="3"/>
  <c r="V1562" i="3"/>
  <c r="W1562" i="3"/>
  <c r="X1562" i="3"/>
  <c r="Y1562" i="3"/>
  <c r="Z1562" i="3"/>
  <c r="AA1562" i="3"/>
  <c r="T1563" i="3"/>
  <c r="U1563" i="3"/>
  <c r="V1563" i="3"/>
  <c r="W1563" i="3"/>
  <c r="X1563" i="3"/>
  <c r="Y1563" i="3"/>
  <c r="Z1563" i="3"/>
  <c r="AA1563" i="3"/>
  <c r="T1564" i="3"/>
  <c r="U1564" i="3"/>
  <c r="V1564" i="3"/>
  <c r="W1564" i="3"/>
  <c r="X1564" i="3"/>
  <c r="Y1564" i="3"/>
  <c r="Z1564" i="3"/>
  <c r="AA1564" i="3"/>
  <c r="T1565" i="3"/>
  <c r="U1565" i="3"/>
  <c r="V1565" i="3"/>
  <c r="W1565" i="3"/>
  <c r="X1565" i="3"/>
  <c r="Y1565" i="3"/>
  <c r="Z1565" i="3"/>
  <c r="AA1565" i="3"/>
  <c r="U1533" i="3"/>
  <c r="V1533" i="3"/>
  <c r="W1533" i="3"/>
  <c r="X1533" i="3"/>
  <c r="Y1533" i="3"/>
  <c r="Z1533" i="3"/>
  <c r="AA1533" i="3"/>
  <c r="T1533" i="3"/>
  <c r="T1500" i="3"/>
  <c r="U1500" i="3"/>
  <c r="V1500" i="3"/>
  <c r="W1500" i="3"/>
  <c r="X1500" i="3"/>
  <c r="Y1500" i="3"/>
  <c r="Z1500" i="3"/>
  <c r="AA1500" i="3"/>
  <c r="T1501" i="3"/>
  <c r="U1501" i="3"/>
  <c r="V1501" i="3"/>
  <c r="W1501" i="3"/>
  <c r="X1501" i="3"/>
  <c r="Y1501" i="3"/>
  <c r="Z1501" i="3"/>
  <c r="AA1501" i="3"/>
  <c r="T1502" i="3"/>
  <c r="U1502" i="3"/>
  <c r="V1502" i="3"/>
  <c r="W1502" i="3"/>
  <c r="X1502" i="3"/>
  <c r="Y1502" i="3"/>
  <c r="Z1502" i="3"/>
  <c r="AA1502" i="3"/>
  <c r="T1503" i="3"/>
  <c r="U1503" i="3"/>
  <c r="V1503" i="3"/>
  <c r="W1503" i="3"/>
  <c r="X1503" i="3"/>
  <c r="Y1503" i="3"/>
  <c r="Z1503" i="3"/>
  <c r="AA1503" i="3"/>
  <c r="T1504" i="3"/>
  <c r="U1504" i="3"/>
  <c r="V1504" i="3"/>
  <c r="W1504" i="3"/>
  <c r="X1504" i="3"/>
  <c r="Y1504" i="3"/>
  <c r="Z1504" i="3"/>
  <c r="AA1504" i="3"/>
  <c r="T1505" i="3"/>
  <c r="U1505" i="3"/>
  <c r="V1505" i="3"/>
  <c r="W1505" i="3"/>
  <c r="X1505" i="3"/>
  <c r="Y1505" i="3"/>
  <c r="Z1505" i="3"/>
  <c r="AA1505" i="3"/>
  <c r="T1506" i="3"/>
  <c r="U1506" i="3"/>
  <c r="V1506" i="3"/>
  <c r="W1506" i="3"/>
  <c r="X1506" i="3"/>
  <c r="Y1506" i="3"/>
  <c r="Z1506" i="3"/>
  <c r="AA1506" i="3"/>
  <c r="T1507" i="3"/>
  <c r="U1507" i="3"/>
  <c r="V1507" i="3"/>
  <c r="W1507" i="3"/>
  <c r="X1507" i="3"/>
  <c r="Y1507" i="3"/>
  <c r="Z1507" i="3"/>
  <c r="AA1507" i="3"/>
  <c r="T1508" i="3"/>
  <c r="U1508" i="3"/>
  <c r="V1508" i="3"/>
  <c r="W1508" i="3"/>
  <c r="X1508" i="3"/>
  <c r="Y1508" i="3"/>
  <c r="Z1508" i="3"/>
  <c r="AA1508" i="3"/>
  <c r="T1509" i="3"/>
  <c r="U1509" i="3"/>
  <c r="V1509" i="3"/>
  <c r="W1509" i="3"/>
  <c r="X1509" i="3"/>
  <c r="Y1509" i="3"/>
  <c r="Z1509" i="3"/>
  <c r="AA1509" i="3"/>
  <c r="T1510" i="3"/>
  <c r="U1510" i="3"/>
  <c r="V1510" i="3"/>
  <c r="W1510" i="3"/>
  <c r="X1510" i="3"/>
  <c r="Y1510" i="3"/>
  <c r="Z1510" i="3"/>
  <c r="AA1510" i="3"/>
  <c r="T1511" i="3"/>
  <c r="U1511" i="3"/>
  <c r="V1511" i="3"/>
  <c r="W1511" i="3"/>
  <c r="X1511" i="3"/>
  <c r="Y1511" i="3"/>
  <c r="Z1511" i="3"/>
  <c r="AA1511" i="3"/>
  <c r="T1512" i="3"/>
  <c r="U1512" i="3"/>
  <c r="V1512" i="3"/>
  <c r="W1512" i="3"/>
  <c r="X1512" i="3"/>
  <c r="Y1512" i="3"/>
  <c r="Z1512" i="3"/>
  <c r="AA1512" i="3"/>
  <c r="T1513" i="3"/>
  <c r="U1513" i="3"/>
  <c r="V1513" i="3"/>
  <c r="W1513" i="3"/>
  <c r="X1513" i="3"/>
  <c r="Y1513" i="3"/>
  <c r="Z1513" i="3"/>
  <c r="AA1513" i="3"/>
  <c r="T1514" i="3"/>
  <c r="U1514" i="3"/>
  <c r="V1514" i="3"/>
  <c r="W1514" i="3"/>
  <c r="X1514" i="3"/>
  <c r="Y1514" i="3"/>
  <c r="Z1514" i="3"/>
  <c r="AA1514" i="3"/>
  <c r="T1515" i="3"/>
  <c r="U1515" i="3"/>
  <c r="V1515" i="3"/>
  <c r="W1515" i="3"/>
  <c r="X1515" i="3"/>
  <c r="Y1515" i="3"/>
  <c r="Z1515" i="3"/>
  <c r="AA1515" i="3"/>
  <c r="T1516" i="3"/>
  <c r="U1516" i="3"/>
  <c r="V1516" i="3"/>
  <c r="W1516" i="3"/>
  <c r="X1516" i="3"/>
  <c r="Y1516" i="3"/>
  <c r="Z1516" i="3"/>
  <c r="AA1516" i="3"/>
  <c r="T1517" i="3"/>
  <c r="U1517" i="3"/>
  <c r="V1517" i="3"/>
  <c r="W1517" i="3"/>
  <c r="X1517" i="3"/>
  <c r="Y1517" i="3"/>
  <c r="Z1517" i="3"/>
  <c r="AA1517" i="3"/>
  <c r="T1518" i="3"/>
  <c r="U1518" i="3"/>
  <c r="V1518" i="3"/>
  <c r="W1518" i="3"/>
  <c r="X1518" i="3"/>
  <c r="Y1518" i="3"/>
  <c r="Z1518" i="3"/>
  <c r="AA1518" i="3"/>
  <c r="T1519" i="3"/>
  <c r="U1519" i="3"/>
  <c r="V1519" i="3"/>
  <c r="W1519" i="3"/>
  <c r="X1519" i="3"/>
  <c r="Y1519" i="3"/>
  <c r="Z1519" i="3"/>
  <c r="AA1519" i="3"/>
  <c r="T1520" i="3"/>
  <c r="U1520" i="3"/>
  <c r="V1520" i="3"/>
  <c r="W1520" i="3"/>
  <c r="X1520" i="3"/>
  <c r="Y1520" i="3"/>
  <c r="Z1520" i="3"/>
  <c r="AA1520" i="3"/>
  <c r="T1521" i="3"/>
  <c r="U1521" i="3"/>
  <c r="V1521" i="3"/>
  <c r="W1521" i="3"/>
  <c r="X1521" i="3"/>
  <c r="Y1521" i="3"/>
  <c r="Z1521" i="3"/>
  <c r="AA1521" i="3"/>
  <c r="T1522" i="3"/>
  <c r="U1522" i="3"/>
  <c r="V1522" i="3"/>
  <c r="W1522" i="3"/>
  <c r="X1522" i="3"/>
  <c r="Y1522" i="3"/>
  <c r="Z1522" i="3"/>
  <c r="AA1522" i="3"/>
  <c r="T1523" i="3"/>
  <c r="U1523" i="3"/>
  <c r="V1523" i="3"/>
  <c r="W1523" i="3"/>
  <c r="X1523" i="3"/>
  <c r="Y1523" i="3"/>
  <c r="Z1523" i="3"/>
  <c r="AA1523" i="3"/>
  <c r="T1524" i="3"/>
  <c r="U1524" i="3"/>
  <c r="V1524" i="3"/>
  <c r="W1524" i="3"/>
  <c r="X1524" i="3"/>
  <c r="Y1524" i="3"/>
  <c r="Z1524" i="3"/>
  <c r="AA1524" i="3"/>
  <c r="T1525" i="3"/>
  <c r="U1525" i="3"/>
  <c r="V1525" i="3"/>
  <c r="W1525" i="3"/>
  <c r="X1525" i="3"/>
  <c r="Y1525" i="3"/>
  <c r="Z1525" i="3"/>
  <c r="AA1525" i="3"/>
  <c r="T1526" i="3"/>
  <c r="U1526" i="3"/>
  <c r="V1526" i="3"/>
  <c r="W1526" i="3"/>
  <c r="X1526" i="3"/>
  <c r="Y1526" i="3"/>
  <c r="Z1526" i="3"/>
  <c r="AA1526" i="3"/>
  <c r="T1527" i="3"/>
  <c r="U1527" i="3"/>
  <c r="V1527" i="3"/>
  <c r="W1527" i="3"/>
  <c r="X1527" i="3"/>
  <c r="Y1527" i="3"/>
  <c r="Z1527" i="3"/>
  <c r="AA1527" i="3"/>
  <c r="T1528" i="3"/>
  <c r="U1528" i="3"/>
  <c r="V1528" i="3"/>
  <c r="W1528" i="3"/>
  <c r="X1528" i="3"/>
  <c r="Y1528" i="3"/>
  <c r="Z1528" i="3"/>
  <c r="AA1528" i="3"/>
  <c r="T1529" i="3"/>
  <c r="U1529" i="3"/>
  <c r="V1529" i="3"/>
  <c r="W1529" i="3"/>
  <c r="X1529" i="3"/>
  <c r="Y1529" i="3"/>
  <c r="Z1529" i="3"/>
  <c r="AA1529" i="3"/>
  <c r="T1530" i="3"/>
  <c r="U1530" i="3"/>
  <c r="V1530" i="3"/>
  <c r="W1530" i="3"/>
  <c r="X1530" i="3"/>
  <c r="Y1530" i="3"/>
  <c r="Z1530" i="3"/>
  <c r="AA1530" i="3"/>
  <c r="T1531" i="3"/>
  <c r="U1531" i="3"/>
  <c r="V1531" i="3"/>
  <c r="W1531" i="3"/>
  <c r="X1531" i="3"/>
  <c r="Y1531" i="3"/>
  <c r="Z1531" i="3"/>
  <c r="AA1531" i="3"/>
  <c r="U1499" i="3"/>
  <c r="V1499" i="3"/>
  <c r="W1499" i="3"/>
  <c r="X1499" i="3"/>
  <c r="Y1499" i="3"/>
  <c r="Z1499" i="3"/>
  <c r="AA1499" i="3"/>
  <c r="T1499" i="3"/>
  <c r="T1466" i="3"/>
  <c r="U1466" i="3"/>
  <c r="V1466" i="3"/>
  <c r="W1466" i="3"/>
  <c r="X1466" i="3"/>
  <c r="Y1466" i="3"/>
  <c r="Z1466" i="3"/>
  <c r="AA1466" i="3"/>
  <c r="T1467" i="3"/>
  <c r="U1467" i="3"/>
  <c r="V1467" i="3"/>
  <c r="W1467" i="3"/>
  <c r="X1467" i="3"/>
  <c r="Y1467" i="3"/>
  <c r="Z1467" i="3"/>
  <c r="AA1467" i="3"/>
  <c r="T1468" i="3"/>
  <c r="U1468" i="3"/>
  <c r="V1468" i="3"/>
  <c r="W1468" i="3"/>
  <c r="X1468" i="3"/>
  <c r="Y1468" i="3"/>
  <c r="Z1468" i="3"/>
  <c r="AA1468" i="3"/>
  <c r="T1469" i="3"/>
  <c r="U1469" i="3"/>
  <c r="V1469" i="3"/>
  <c r="W1469" i="3"/>
  <c r="X1469" i="3"/>
  <c r="Y1469" i="3"/>
  <c r="Z1469" i="3"/>
  <c r="AA1469" i="3"/>
  <c r="T1470" i="3"/>
  <c r="U1470" i="3"/>
  <c r="V1470" i="3"/>
  <c r="W1470" i="3"/>
  <c r="X1470" i="3"/>
  <c r="Y1470" i="3"/>
  <c r="Z1470" i="3"/>
  <c r="AA1470" i="3"/>
  <c r="T1471" i="3"/>
  <c r="U1471" i="3"/>
  <c r="V1471" i="3"/>
  <c r="W1471" i="3"/>
  <c r="X1471" i="3"/>
  <c r="Y1471" i="3"/>
  <c r="Z1471" i="3"/>
  <c r="AA1471" i="3"/>
  <c r="T1472" i="3"/>
  <c r="U1472" i="3"/>
  <c r="V1472" i="3"/>
  <c r="W1472" i="3"/>
  <c r="X1472" i="3"/>
  <c r="Y1472" i="3"/>
  <c r="Z1472" i="3"/>
  <c r="AA1472" i="3"/>
  <c r="T1473" i="3"/>
  <c r="U1473" i="3"/>
  <c r="V1473" i="3"/>
  <c r="W1473" i="3"/>
  <c r="X1473" i="3"/>
  <c r="Y1473" i="3"/>
  <c r="Z1473" i="3"/>
  <c r="AA1473" i="3"/>
  <c r="T1474" i="3"/>
  <c r="U1474" i="3"/>
  <c r="V1474" i="3"/>
  <c r="W1474" i="3"/>
  <c r="X1474" i="3"/>
  <c r="Y1474" i="3"/>
  <c r="Z1474" i="3"/>
  <c r="AA1474" i="3"/>
  <c r="T1475" i="3"/>
  <c r="U1475" i="3"/>
  <c r="V1475" i="3"/>
  <c r="W1475" i="3"/>
  <c r="X1475" i="3"/>
  <c r="Y1475" i="3"/>
  <c r="Z1475" i="3"/>
  <c r="AA1475" i="3"/>
  <c r="T1476" i="3"/>
  <c r="U1476" i="3"/>
  <c r="V1476" i="3"/>
  <c r="W1476" i="3"/>
  <c r="X1476" i="3"/>
  <c r="Y1476" i="3"/>
  <c r="Z1476" i="3"/>
  <c r="AA1476" i="3"/>
  <c r="T1477" i="3"/>
  <c r="U1477" i="3"/>
  <c r="V1477" i="3"/>
  <c r="W1477" i="3"/>
  <c r="X1477" i="3"/>
  <c r="Y1477" i="3"/>
  <c r="Z1477" i="3"/>
  <c r="AA1477" i="3"/>
  <c r="T1478" i="3"/>
  <c r="U1478" i="3"/>
  <c r="V1478" i="3"/>
  <c r="W1478" i="3"/>
  <c r="X1478" i="3"/>
  <c r="Y1478" i="3"/>
  <c r="Z1478" i="3"/>
  <c r="AA1478" i="3"/>
  <c r="T1479" i="3"/>
  <c r="U1479" i="3"/>
  <c r="V1479" i="3"/>
  <c r="W1479" i="3"/>
  <c r="X1479" i="3"/>
  <c r="Y1479" i="3"/>
  <c r="Z1479" i="3"/>
  <c r="AA1479" i="3"/>
  <c r="T1480" i="3"/>
  <c r="U1480" i="3"/>
  <c r="V1480" i="3"/>
  <c r="W1480" i="3"/>
  <c r="X1480" i="3"/>
  <c r="Y1480" i="3"/>
  <c r="Z1480" i="3"/>
  <c r="AA1480" i="3"/>
  <c r="T1481" i="3"/>
  <c r="U1481" i="3"/>
  <c r="V1481" i="3"/>
  <c r="W1481" i="3"/>
  <c r="X1481" i="3"/>
  <c r="Y1481" i="3"/>
  <c r="Z1481" i="3"/>
  <c r="AA1481" i="3"/>
  <c r="T1482" i="3"/>
  <c r="U1482" i="3"/>
  <c r="V1482" i="3"/>
  <c r="W1482" i="3"/>
  <c r="X1482" i="3"/>
  <c r="Y1482" i="3"/>
  <c r="Z1482" i="3"/>
  <c r="AA1482" i="3"/>
  <c r="T1483" i="3"/>
  <c r="U1483" i="3"/>
  <c r="V1483" i="3"/>
  <c r="W1483" i="3"/>
  <c r="X1483" i="3"/>
  <c r="Y1483" i="3"/>
  <c r="Z1483" i="3"/>
  <c r="AA1483" i="3"/>
  <c r="T1484" i="3"/>
  <c r="U1484" i="3"/>
  <c r="V1484" i="3"/>
  <c r="W1484" i="3"/>
  <c r="X1484" i="3"/>
  <c r="Y1484" i="3"/>
  <c r="Z1484" i="3"/>
  <c r="AA1484" i="3"/>
  <c r="T1485" i="3"/>
  <c r="U1485" i="3"/>
  <c r="V1485" i="3"/>
  <c r="W1485" i="3"/>
  <c r="X1485" i="3"/>
  <c r="Y1485" i="3"/>
  <c r="Z1485" i="3"/>
  <c r="AA1485" i="3"/>
  <c r="T1486" i="3"/>
  <c r="U1486" i="3"/>
  <c r="V1486" i="3"/>
  <c r="W1486" i="3"/>
  <c r="X1486" i="3"/>
  <c r="Y1486" i="3"/>
  <c r="Z1486" i="3"/>
  <c r="AA1486" i="3"/>
  <c r="T1487" i="3"/>
  <c r="U1487" i="3"/>
  <c r="V1487" i="3"/>
  <c r="W1487" i="3"/>
  <c r="X1487" i="3"/>
  <c r="Y1487" i="3"/>
  <c r="Z1487" i="3"/>
  <c r="AA1487" i="3"/>
  <c r="T1488" i="3"/>
  <c r="U1488" i="3"/>
  <c r="V1488" i="3"/>
  <c r="W1488" i="3"/>
  <c r="X1488" i="3"/>
  <c r="Y1488" i="3"/>
  <c r="Z1488" i="3"/>
  <c r="AA1488" i="3"/>
  <c r="T1489" i="3"/>
  <c r="U1489" i="3"/>
  <c r="V1489" i="3"/>
  <c r="W1489" i="3"/>
  <c r="X1489" i="3"/>
  <c r="Y1489" i="3"/>
  <c r="Z1489" i="3"/>
  <c r="AA1489" i="3"/>
  <c r="T1490" i="3"/>
  <c r="U1490" i="3"/>
  <c r="V1490" i="3"/>
  <c r="W1490" i="3"/>
  <c r="X1490" i="3"/>
  <c r="Y1490" i="3"/>
  <c r="Z1490" i="3"/>
  <c r="AA1490" i="3"/>
  <c r="T1491" i="3"/>
  <c r="U1491" i="3"/>
  <c r="V1491" i="3"/>
  <c r="W1491" i="3"/>
  <c r="X1491" i="3"/>
  <c r="Y1491" i="3"/>
  <c r="Z1491" i="3"/>
  <c r="AA1491" i="3"/>
  <c r="T1492" i="3"/>
  <c r="U1492" i="3"/>
  <c r="V1492" i="3"/>
  <c r="W1492" i="3"/>
  <c r="X1492" i="3"/>
  <c r="Y1492" i="3"/>
  <c r="Z1492" i="3"/>
  <c r="AA1492" i="3"/>
  <c r="T1493" i="3"/>
  <c r="U1493" i="3"/>
  <c r="V1493" i="3"/>
  <c r="W1493" i="3"/>
  <c r="X1493" i="3"/>
  <c r="Y1493" i="3"/>
  <c r="Z1493" i="3"/>
  <c r="AA1493" i="3"/>
  <c r="T1494" i="3"/>
  <c r="U1494" i="3"/>
  <c r="V1494" i="3"/>
  <c r="W1494" i="3"/>
  <c r="X1494" i="3"/>
  <c r="Y1494" i="3"/>
  <c r="Z1494" i="3"/>
  <c r="AA1494" i="3"/>
  <c r="T1495" i="3"/>
  <c r="U1495" i="3"/>
  <c r="V1495" i="3"/>
  <c r="W1495" i="3"/>
  <c r="X1495" i="3"/>
  <c r="Y1495" i="3"/>
  <c r="Z1495" i="3"/>
  <c r="AA1495" i="3"/>
  <c r="T1496" i="3"/>
  <c r="U1496" i="3"/>
  <c r="V1496" i="3"/>
  <c r="W1496" i="3"/>
  <c r="X1496" i="3"/>
  <c r="Y1496" i="3"/>
  <c r="Z1496" i="3"/>
  <c r="AA1496" i="3"/>
  <c r="T1497" i="3"/>
  <c r="U1497" i="3"/>
  <c r="V1497" i="3"/>
  <c r="W1497" i="3"/>
  <c r="X1497" i="3"/>
  <c r="Y1497" i="3"/>
  <c r="Z1497" i="3"/>
  <c r="AA1497" i="3"/>
  <c r="U1465" i="3"/>
  <c r="V1465" i="3"/>
  <c r="W1465" i="3"/>
  <c r="X1465" i="3"/>
  <c r="Y1465" i="3"/>
  <c r="Z1465" i="3"/>
  <c r="AA1465" i="3"/>
  <c r="T1465" i="3"/>
  <c r="T1432" i="3"/>
  <c r="U1432" i="3"/>
  <c r="V1432" i="3"/>
  <c r="W1432" i="3"/>
  <c r="X1432" i="3"/>
  <c r="Y1432" i="3"/>
  <c r="Z1432" i="3"/>
  <c r="AA1432" i="3"/>
  <c r="T1433" i="3"/>
  <c r="U1433" i="3"/>
  <c r="V1433" i="3"/>
  <c r="W1433" i="3"/>
  <c r="X1433" i="3"/>
  <c r="Y1433" i="3"/>
  <c r="Z1433" i="3"/>
  <c r="AA1433" i="3"/>
  <c r="T1434" i="3"/>
  <c r="U1434" i="3"/>
  <c r="V1434" i="3"/>
  <c r="W1434" i="3"/>
  <c r="X1434" i="3"/>
  <c r="Y1434" i="3"/>
  <c r="Z1434" i="3"/>
  <c r="AA1434" i="3"/>
  <c r="T1435" i="3"/>
  <c r="U1435" i="3"/>
  <c r="V1435" i="3"/>
  <c r="W1435" i="3"/>
  <c r="X1435" i="3"/>
  <c r="Y1435" i="3"/>
  <c r="Z1435" i="3"/>
  <c r="AA1435" i="3"/>
  <c r="T1436" i="3"/>
  <c r="U1436" i="3"/>
  <c r="V1436" i="3"/>
  <c r="W1436" i="3"/>
  <c r="X1436" i="3"/>
  <c r="Y1436" i="3"/>
  <c r="Z1436" i="3"/>
  <c r="AA1436" i="3"/>
  <c r="T1437" i="3"/>
  <c r="U1437" i="3"/>
  <c r="V1437" i="3"/>
  <c r="W1437" i="3"/>
  <c r="X1437" i="3"/>
  <c r="Y1437" i="3"/>
  <c r="Z1437" i="3"/>
  <c r="AA1437" i="3"/>
  <c r="T1438" i="3"/>
  <c r="U1438" i="3"/>
  <c r="V1438" i="3"/>
  <c r="W1438" i="3"/>
  <c r="X1438" i="3"/>
  <c r="Y1438" i="3"/>
  <c r="Z1438" i="3"/>
  <c r="AA1438" i="3"/>
  <c r="T1439" i="3"/>
  <c r="U1439" i="3"/>
  <c r="V1439" i="3"/>
  <c r="W1439" i="3"/>
  <c r="X1439" i="3"/>
  <c r="Y1439" i="3"/>
  <c r="Z1439" i="3"/>
  <c r="AA1439" i="3"/>
  <c r="T1440" i="3"/>
  <c r="U1440" i="3"/>
  <c r="V1440" i="3"/>
  <c r="W1440" i="3"/>
  <c r="X1440" i="3"/>
  <c r="Y1440" i="3"/>
  <c r="Z1440" i="3"/>
  <c r="AA1440" i="3"/>
  <c r="T1441" i="3"/>
  <c r="U1441" i="3"/>
  <c r="V1441" i="3"/>
  <c r="W1441" i="3"/>
  <c r="X1441" i="3"/>
  <c r="Y1441" i="3"/>
  <c r="Z1441" i="3"/>
  <c r="AA1441" i="3"/>
  <c r="T1442" i="3"/>
  <c r="U1442" i="3"/>
  <c r="V1442" i="3"/>
  <c r="W1442" i="3"/>
  <c r="X1442" i="3"/>
  <c r="Y1442" i="3"/>
  <c r="Z1442" i="3"/>
  <c r="AA1442" i="3"/>
  <c r="T1443" i="3"/>
  <c r="U1443" i="3"/>
  <c r="V1443" i="3"/>
  <c r="W1443" i="3"/>
  <c r="X1443" i="3"/>
  <c r="Y1443" i="3"/>
  <c r="Z1443" i="3"/>
  <c r="AA1443" i="3"/>
  <c r="T1444" i="3"/>
  <c r="U1444" i="3"/>
  <c r="V1444" i="3"/>
  <c r="W1444" i="3"/>
  <c r="X1444" i="3"/>
  <c r="Y1444" i="3"/>
  <c r="Z1444" i="3"/>
  <c r="AA1444" i="3"/>
  <c r="T1445" i="3"/>
  <c r="U1445" i="3"/>
  <c r="V1445" i="3"/>
  <c r="W1445" i="3"/>
  <c r="X1445" i="3"/>
  <c r="Y1445" i="3"/>
  <c r="Z1445" i="3"/>
  <c r="AA1445" i="3"/>
  <c r="T1446" i="3"/>
  <c r="U1446" i="3"/>
  <c r="V1446" i="3"/>
  <c r="W1446" i="3"/>
  <c r="X1446" i="3"/>
  <c r="Y1446" i="3"/>
  <c r="Z1446" i="3"/>
  <c r="AA1446" i="3"/>
  <c r="T1447" i="3"/>
  <c r="U1447" i="3"/>
  <c r="V1447" i="3"/>
  <c r="W1447" i="3"/>
  <c r="X1447" i="3"/>
  <c r="Y1447" i="3"/>
  <c r="Z1447" i="3"/>
  <c r="AA1447" i="3"/>
  <c r="T1448" i="3"/>
  <c r="U1448" i="3"/>
  <c r="V1448" i="3"/>
  <c r="W1448" i="3"/>
  <c r="X1448" i="3"/>
  <c r="Y1448" i="3"/>
  <c r="Z1448" i="3"/>
  <c r="AA1448" i="3"/>
  <c r="T1449" i="3"/>
  <c r="U1449" i="3"/>
  <c r="V1449" i="3"/>
  <c r="W1449" i="3"/>
  <c r="X1449" i="3"/>
  <c r="Y1449" i="3"/>
  <c r="Z1449" i="3"/>
  <c r="AA1449" i="3"/>
  <c r="T1450" i="3"/>
  <c r="U1450" i="3"/>
  <c r="V1450" i="3"/>
  <c r="W1450" i="3"/>
  <c r="X1450" i="3"/>
  <c r="Y1450" i="3"/>
  <c r="Z1450" i="3"/>
  <c r="AA1450" i="3"/>
  <c r="T1451" i="3"/>
  <c r="U1451" i="3"/>
  <c r="V1451" i="3"/>
  <c r="W1451" i="3"/>
  <c r="X1451" i="3"/>
  <c r="Y1451" i="3"/>
  <c r="Z1451" i="3"/>
  <c r="AA1451" i="3"/>
  <c r="T1452" i="3"/>
  <c r="U1452" i="3"/>
  <c r="V1452" i="3"/>
  <c r="W1452" i="3"/>
  <c r="X1452" i="3"/>
  <c r="Y1452" i="3"/>
  <c r="Z1452" i="3"/>
  <c r="AA1452" i="3"/>
  <c r="T1453" i="3"/>
  <c r="U1453" i="3"/>
  <c r="V1453" i="3"/>
  <c r="W1453" i="3"/>
  <c r="X1453" i="3"/>
  <c r="Y1453" i="3"/>
  <c r="Z1453" i="3"/>
  <c r="AA1453" i="3"/>
  <c r="T1454" i="3"/>
  <c r="U1454" i="3"/>
  <c r="V1454" i="3"/>
  <c r="W1454" i="3"/>
  <c r="X1454" i="3"/>
  <c r="Y1454" i="3"/>
  <c r="Z1454" i="3"/>
  <c r="AA1454" i="3"/>
  <c r="T1455" i="3"/>
  <c r="U1455" i="3"/>
  <c r="V1455" i="3"/>
  <c r="W1455" i="3"/>
  <c r="X1455" i="3"/>
  <c r="Y1455" i="3"/>
  <c r="Z1455" i="3"/>
  <c r="AA1455" i="3"/>
  <c r="T1456" i="3"/>
  <c r="U1456" i="3"/>
  <c r="V1456" i="3"/>
  <c r="W1456" i="3"/>
  <c r="X1456" i="3"/>
  <c r="Y1456" i="3"/>
  <c r="Z1456" i="3"/>
  <c r="AA1456" i="3"/>
  <c r="T1457" i="3"/>
  <c r="U1457" i="3"/>
  <c r="V1457" i="3"/>
  <c r="W1457" i="3"/>
  <c r="X1457" i="3"/>
  <c r="Y1457" i="3"/>
  <c r="Z1457" i="3"/>
  <c r="AA1457" i="3"/>
  <c r="T1458" i="3"/>
  <c r="U1458" i="3"/>
  <c r="V1458" i="3"/>
  <c r="W1458" i="3"/>
  <c r="X1458" i="3"/>
  <c r="Y1458" i="3"/>
  <c r="Z1458" i="3"/>
  <c r="AA1458" i="3"/>
  <c r="T1459" i="3"/>
  <c r="U1459" i="3"/>
  <c r="V1459" i="3"/>
  <c r="W1459" i="3"/>
  <c r="X1459" i="3"/>
  <c r="Y1459" i="3"/>
  <c r="Z1459" i="3"/>
  <c r="AA1459" i="3"/>
  <c r="T1460" i="3"/>
  <c r="U1460" i="3"/>
  <c r="V1460" i="3"/>
  <c r="W1460" i="3"/>
  <c r="X1460" i="3"/>
  <c r="Y1460" i="3"/>
  <c r="Z1460" i="3"/>
  <c r="AA1460" i="3"/>
  <c r="T1461" i="3"/>
  <c r="U1461" i="3"/>
  <c r="V1461" i="3"/>
  <c r="W1461" i="3"/>
  <c r="X1461" i="3"/>
  <c r="Y1461" i="3"/>
  <c r="Z1461" i="3"/>
  <c r="AA1461" i="3"/>
  <c r="T1462" i="3"/>
  <c r="U1462" i="3"/>
  <c r="V1462" i="3"/>
  <c r="W1462" i="3"/>
  <c r="X1462" i="3"/>
  <c r="Y1462" i="3"/>
  <c r="Z1462" i="3"/>
  <c r="AA1462" i="3"/>
  <c r="T1463" i="3"/>
  <c r="U1463" i="3"/>
  <c r="V1463" i="3"/>
  <c r="W1463" i="3"/>
  <c r="X1463" i="3"/>
  <c r="Y1463" i="3"/>
  <c r="Z1463" i="3"/>
  <c r="AA1463" i="3"/>
  <c r="U1431" i="3"/>
  <c r="V1431" i="3"/>
  <c r="W1431" i="3"/>
  <c r="X1431" i="3"/>
  <c r="Y1431" i="3"/>
  <c r="Z1431" i="3"/>
  <c r="AA1431" i="3"/>
  <c r="T1431" i="3"/>
  <c r="T1398" i="3"/>
  <c r="U1398" i="3"/>
  <c r="V1398" i="3"/>
  <c r="W1398" i="3"/>
  <c r="X1398" i="3"/>
  <c r="Y1398" i="3"/>
  <c r="Z1398" i="3"/>
  <c r="AA1398" i="3"/>
  <c r="T1399" i="3"/>
  <c r="U1399" i="3"/>
  <c r="V1399" i="3"/>
  <c r="W1399" i="3"/>
  <c r="X1399" i="3"/>
  <c r="Y1399" i="3"/>
  <c r="Z1399" i="3"/>
  <c r="AA1399" i="3"/>
  <c r="T1400" i="3"/>
  <c r="U1400" i="3"/>
  <c r="V1400" i="3"/>
  <c r="W1400" i="3"/>
  <c r="X1400" i="3"/>
  <c r="Y1400" i="3"/>
  <c r="Z1400" i="3"/>
  <c r="AA1400" i="3"/>
  <c r="T1401" i="3"/>
  <c r="U1401" i="3"/>
  <c r="V1401" i="3"/>
  <c r="W1401" i="3"/>
  <c r="X1401" i="3"/>
  <c r="Y1401" i="3"/>
  <c r="Z1401" i="3"/>
  <c r="AA1401" i="3"/>
  <c r="T1402" i="3"/>
  <c r="U1402" i="3"/>
  <c r="V1402" i="3"/>
  <c r="W1402" i="3"/>
  <c r="X1402" i="3"/>
  <c r="Y1402" i="3"/>
  <c r="Z1402" i="3"/>
  <c r="AA1402" i="3"/>
  <c r="T1403" i="3"/>
  <c r="U1403" i="3"/>
  <c r="V1403" i="3"/>
  <c r="W1403" i="3"/>
  <c r="X1403" i="3"/>
  <c r="Y1403" i="3"/>
  <c r="Z1403" i="3"/>
  <c r="AA1403" i="3"/>
  <c r="T1404" i="3"/>
  <c r="U1404" i="3"/>
  <c r="V1404" i="3"/>
  <c r="W1404" i="3"/>
  <c r="X1404" i="3"/>
  <c r="Y1404" i="3"/>
  <c r="Z1404" i="3"/>
  <c r="AA1404" i="3"/>
  <c r="T1405" i="3"/>
  <c r="U1405" i="3"/>
  <c r="V1405" i="3"/>
  <c r="W1405" i="3"/>
  <c r="X1405" i="3"/>
  <c r="Y1405" i="3"/>
  <c r="Z1405" i="3"/>
  <c r="AA1405" i="3"/>
  <c r="T1406" i="3"/>
  <c r="U1406" i="3"/>
  <c r="V1406" i="3"/>
  <c r="W1406" i="3"/>
  <c r="X1406" i="3"/>
  <c r="Y1406" i="3"/>
  <c r="Z1406" i="3"/>
  <c r="AA1406" i="3"/>
  <c r="T1407" i="3"/>
  <c r="U1407" i="3"/>
  <c r="V1407" i="3"/>
  <c r="W1407" i="3"/>
  <c r="X1407" i="3"/>
  <c r="Y1407" i="3"/>
  <c r="Z1407" i="3"/>
  <c r="AA1407" i="3"/>
  <c r="T1408" i="3"/>
  <c r="U1408" i="3"/>
  <c r="V1408" i="3"/>
  <c r="W1408" i="3"/>
  <c r="X1408" i="3"/>
  <c r="Y1408" i="3"/>
  <c r="Z1408" i="3"/>
  <c r="AA1408" i="3"/>
  <c r="T1409" i="3"/>
  <c r="U1409" i="3"/>
  <c r="V1409" i="3"/>
  <c r="W1409" i="3"/>
  <c r="X1409" i="3"/>
  <c r="Y1409" i="3"/>
  <c r="Z1409" i="3"/>
  <c r="AA1409" i="3"/>
  <c r="T1410" i="3"/>
  <c r="U1410" i="3"/>
  <c r="V1410" i="3"/>
  <c r="W1410" i="3"/>
  <c r="X1410" i="3"/>
  <c r="Y1410" i="3"/>
  <c r="Z1410" i="3"/>
  <c r="AA1410" i="3"/>
  <c r="T1411" i="3"/>
  <c r="U1411" i="3"/>
  <c r="V1411" i="3"/>
  <c r="W1411" i="3"/>
  <c r="X1411" i="3"/>
  <c r="Y1411" i="3"/>
  <c r="Z1411" i="3"/>
  <c r="AA1411" i="3"/>
  <c r="T1412" i="3"/>
  <c r="U1412" i="3"/>
  <c r="V1412" i="3"/>
  <c r="W1412" i="3"/>
  <c r="X1412" i="3"/>
  <c r="Y1412" i="3"/>
  <c r="Z1412" i="3"/>
  <c r="AA1412" i="3"/>
  <c r="T1413" i="3"/>
  <c r="U1413" i="3"/>
  <c r="V1413" i="3"/>
  <c r="W1413" i="3"/>
  <c r="X1413" i="3"/>
  <c r="Y1413" i="3"/>
  <c r="Z1413" i="3"/>
  <c r="AA1413" i="3"/>
  <c r="T1414" i="3"/>
  <c r="U1414" i="3"/>
  <c r="V1414" i="3"/>
  <c r="W1414" i="3"/>
  <c r="X1414" i="3"/>
  <c r="Y1414" i="3"/>
  <c r="Z1414" i="3"/>
  <c r="AA1414" i="3"/>
  <c r="T1415" i="3"/>
  <c r="U1415" i="3"/>
  <c r="V1415" i="3"/>
  <c r="W1415" i="3"/>
  <c r="X1415" i="3"/>
  <c r="Y1415" i="3"/>
  <c r="Z1415" i="3"/>
  <c r="AA1415" i="3"/>
  <c r="T1416" i="3"/>
  <c r="U1416" i="3"/>
  <c r="V1416" i="3"/>
  <c r="W1416" i="3"/>
  <c r="X1416" i="3"/>
  <c r="Y1416" i="3"/>
  <c r="Z1416" i="3"/>
  <c r="AA1416" i="3"/>
  <c r="T1417" i="3"/>
  <c r="U1417" i="3"/>
  <c r="V1417" i="3"/>
  <c r="W1417" i="3"/>
  <c r="X1417" i="3"/>
  <c r="Y1417" i="3"/>
  <c r="Z1417" i="3"/>
  <c r="AA1417" i="3"/>
  <c r="T1418" i="3"/>
  <c r="U1418" i="3"/>
  <c r="V1418" i="3"/>
  <c r="W1418" i="3"/>
  <c r="X1418" i="3"/>
  <c r="Y1418" i="3"/>
  <c r="Z1418" i="3"/>
  <c r="AA1418" i="3"/>
  <c r="T1419" i="3"/>
  <c r="U1419" i="3"/>
  <c r="V1419" i="3"/>
  <c r="W1419" i="3"/>
  <c r="X1419" i="3"/>
  <c r="Y1419" i="3"/>
  <c r="Z1419" i="3"/>
  <c r="AA1419" i="3"/>
  <c r="T1420" i="3"/>
  <c r="U1420" i="3"/>
  <c r="V1420" i="3"/>
  <c r="W1420" i="3"/>
  <c r="X1420" i="3"/>
  <c r="Y1420" i="3"/>
  <c r="Z1420" i="3"/>
  <c r="AA1420" i="3"/>
  <c r="T1421" i="3"/>
  <c r="U1421" i="3"/>
  <c r="V1421" i="3"/>
  <c r="W1421" i="3"/>
  <c r="X1421" i="3"/>
  <c r="Y1421" i="3"/>
  <c r="Z1421" i="3"/>
  <c r="AA1421" i="3"/>
  <c r="T1422" i="3"/>
  <c r="U1422" i="3"/>
  <c r="V1422" i="3"/>
  <c r="W1422" i="3"/>
  <c r="X1422" i="3"/>
  <c r="Y1422" i="3"/>
  <c r="Z1422" i="3"/>
  <c r="AA1422" i="3"/>
  <c r="T1423" i="3"/>
  <c r="U1423" i="3"/>
  <c r="V1423" i="3"/>
  <c r="W1423" i="3"/>
  <c r="X1423" i="3"/>
  <c r="Y1423" i="3"/>
  <c r="Z1423" i="3"/>
  <c r="AA1423" i="3"/>
  <c r="T1424" i="3"/>
  <c r="U1424" i="3"/>
  <c r="V1424" i="3"/>
  <c r="W1424" i="3"/>
  <c r="X1424" i="3"/>
  <c r="Y1424" i="3"/>
  <c r="Z1424" i="3"/>
  <c r="AA1424" i="3"/>
  <c r="T1425" i="3"/>
  <c r="U1425" i="3"/>
  <c r="V1425" i="3"/>
  <c r="W1425" i="3"/>
  <c r="X1425" i="3"/>
  <c r="Y1425" i="3"/>
  <c r="Z1425" i="3"/>
  <c r="AA1425" i="3"/>
  <c r="T1426" i="3"/>
  <c r="U1426" i="3"/>
  <c r="V1426" i="3"/>
  <c r="W1426" i="3"/>
  <c r="X1426" i="3"/>
  <c r="Y1426" i="3"/>
  <c r="Z1426" i="3"/>
  <c r="AA1426" i="3"/>
  <c r="T1427" i="3"/>
  <c r="U1427" i="3"/>
  <c r="V1427" i="3"/>
  <c r="W1427" i="3"/>
  <c r="X1427" i="3"/>
  <c r="Y1427" i="3"/>
  <c r="Z1427" i="3"/>
  <c r="AA1427" i="3"/>
  <c r="T1428" i="3"/>
  <c r="U1428" i="3"/>
  <c r="V1428" i="3"/>
  <c r="W1428" i="3"/>
  <c r="X1428" i="3"/>
  <c r="Y1428" i="3"/>
  <c r="Z1428" i="3"/>
  <c r="AA1428" i="3"/>
  <c r="T1429" i="3"/>
  <c r="U1429" i="3"/>
  <c r="V1429" i="3"/>
  <c r="W1429" i="3"/>
  <c r="X1429" i="3"/>
  <c r="Y1429" i="3"/>
  <c r="Z1429" i="3"/>
  <c r="AA1429" i="3"/>
  <c r="U1397" i="3"/>
  <c r="V1397" i="3"/>
  <c r="W1397" i="3"/>
  <c r="X1397" i="3"/>
  <c r="Y1397" i="3"/>
  <c r="Z1397" i="3"/>
  <c r="AA1397" i="3"/>
  <c r="T1397" i="3"/>
  <c r="T1364" i="3"/>
  <c r="U1364" i="3"/>
  <c r="V1364" i="3"/>
  <c r="W1364" i="3"/>
  <c r="X1364" i="3"/>
  <c r="Y1364" i="3"/>
  <c r="Z1364" i="3"/>
  <c r="AA1364" i="3"/>
  <c r="T1365" i="3"/>
  <c r="U1365" i="3"/>
  <c r="V1365" i="3"/>
  <c r="W1365" i="3"/>
  <c r="X1365" i="3"/>
  <c r="Y1365" i="3"/>
  <c r="Z1365" i="3"/>
  <c r="AA1365" i="3"/>
  <c r="T1366" i="3"/>
  <c r="U1366" i="3"/>
  <c r="V1366" i="3"/>
  <c r="W1366" i="3"/>
  <c r="X1366" i="3"/>
  <c r="Y1366" i="3"/>
  <c r="Z1366" i="3"/>
  <c r="AA1366" i="3"/>
  <c r="T1367" i="3"/>
  <c r="U1367" i="3"/>
  <c r="V1367" i="3"/>
  <c r="W1367" i="3"/>
  <c r="X1367" i="3"/>
  <c r="Y1367" i="3"/>
  <c r="Z1367" i="3"/>
  <c r="AA1367" i="3"/>
  <c r="T1368" i="3"/>
  <c r="U1368" i="3"/>
  <c r="V1368" i="3"/>
  <c r="W1368" i="3"/>
  <c r="X1368" i="3"/>
  <c r="Y1368" i="3"/>
  <c r="Z1368" i="3"/>
  <c r="AA1368" i="3"/>
  <c r="T1369" i="3"/>
  <c r="U1369" i="3"/>
  <c r="V1369" i="3"/>
  <c r="W1369" i="3"/>
  <c r="X1369" i="3"/>
  <c r="Y1369" i="3"/>
  <c r="Z1369" i="3"/>
  <c r="AA1369" i="3"/>
  <c r="T1370" i="3"/>
  <c r="U1370" i="3"/>
  <c r="V1370" i="3"/>
  <c r="W1370" i="3"/>
  <c r="X1370" i="3"/>
  <c r="Y1370" i="3"/>
  <c r="Z1370" i="3"/>
  <c r="AA1370" i="3"/>
  <c r="T1371" i="3"/>
  <c r="U1371" i="3"/>
  <c r="V1371" i="3"/>
  <c r="W1371" i="3"/>
  <c r="X1371" i="3"/>
  <c r="Y1371" i="3"/>
  <c r="Z1371" i="3"/>
  <c r="AA1371" i="3"/>
  <c r="T1372" i="3"/>
  <c r="U1372" i="3"/>
  <c r="V1372" i="3"/>
  <c r="W1372" i="3"/>
  <c r="X1372" i="3"/>
  <c r="Y1372" i="3"/>
  <c r="Z1372" i="3"/>
  <c r="AA1372" i="3"/>
  <c r="T1373" i="3"/>
  <c r="U1373" i="3"/>
  <c r="V1373" i="3"/>
  <c r="W1373" i="3"/>
  <c r="X1373" i="3"/>
  <c r="Y1373" i="3"/>
  <c r="Z1373" i="3"/>
  <c r="AA1373" i="3"/>
  <c r="T1374" i="3"/>
  <c r="U1374" i="3"/>
  <c r="V1374" i="3"/>
  <c r="W1374" i="3"/>
  <c r="X1374" i="3"/>
  <c r="Y1374" i="3"/>
  <c r="Z1374" i="3"/>
  <c r="AA1374" i="3"/>
  <c r="T1375" i="3"/>
  <c r="U1375" i="3"/>
  <c r="V1375" i="3"/>
  <c r="W1375" i="3"/>
  <c r="X1375" i="3"/>
  <c r="Y1375" i="3"/>
  <c r="Z1375" i="3"/>
  <c r="AA1375" i="3"/>
  <c r="T1376" i="3"/>
  <c r="U1376" i="3"/>
  <c r="V1376" i="3"/>
  <c r="W1376" i="3"/>
  <c r="X1376" i="3"/>
  <c r="Y1376" i="3"/>
  <c r="Z1376" i="3"/>
  <c r="AA1376" i="3"/>
  <c r="T1377" i="3"/>
  <c r="U1377" i="3"/>
  <c r="V1377" i="3"/>
  <c r="W1377" i="3"/>
  <c r="X1377" i="3"/>
  <c r="Y1377" i="3"/>
  <c r="Z1377" i="3"/>
  <c r="AA1377" i="3"/>
  <c r="T1378" i="3"/>
  <c r="U1378" i="3"/>
  <c r="V1378" i="3"/>
  <c r="W1378" i="3"/>
  <c r="X1378" i="3"/>
  <c r="Y1378" i="3"/>
  <c r="Z1378" i="3"/>
  <c r="AA1378" i="3"/>
  <c r="T1379" i="3"/>
  <c r="U1379" i="3"/>
  <c r="V1379" i="3"/>
  <c r="W1379" i="3"/>
  <c r="X1379" i="3"/>
  <c r="Y1379" i="3"/>
  <c r="Z1379" i="3"/>
  <c r="AA1379" i="3"/>
  <c r="T1380" i="3"/>
  <c r="U1380" i="3"/>
  <c r="V1380" i="3"/>
  <c r="W1380" i="3"/>
  <c r="X1380" i="3"/>
  <c r="Y1380" i="3"/>
  <c r="Z1380" i="3"/>
  <c r="AA1380" i="3"/>
  <c r="T1381" i="3"/>
  <c r="U1381" i="3"/>
  <c r="V1381" i="3"/>
  <c r="W1381" i="3"/>
  <c r="X1381" i="3"/>
  <c r="Y1381" i="3"/>
  <c r="Z1381" i="3"/>
  <c r="AA1381" i="3"/>
  <c r="T1382" i="3"/>
  <c r="U1382" i="3"/>
  <c r="V1382" i="3"/>
  <c r="W1382" i="3"/>
  <c r="X1382" i="3"/>
  <c r="Y1382" i="3"/>
  <c r="Z1382" i="3"/>
  <c r="AA1382" i="3"/>
  <c r="T1383" i="3"/>
  <c r="U1383" i="3"/>
  <c r="V1383" i="3"/>
  <c r="W1383" i="3"/>
  <c r="X1383" i="3"/>
  <c r="Y1383" i="3"/>
  <c r="Z1383" i="3"/>
  <c r="AA1383" i="3"/>
  <c r="T1384" i="3"/>
  <c r="U1384" i="3"/>
  <c r="V1384" i="3"/>
  <c r="W1384" i="3"/>
  <c r="X1384" i="3"/>
  <c r="Y1384" i="3"/>
  <c r="Z1384" i="3"/>
  <c r="AA1384" i="3"/>
  <c r="T1385" i="3"/>
  <c r="U1385" i="3"/>
  <c r="V1385" i="3"/>
  <c r="W1385" i="3"/>
  <c r="X1385" i="3"/>
  <c r="Y1385" i="3"/>
  <c r="Z1385" i="3"/>
  <c r="AA1385" i="3"/>
  <c r="T1386" i="3"/>
  <c r="U1386" i="3"/>
  <c r="V1386" i="3"/>
  <c r="W1386" i="3"/>
  <c r="X1386" i="3"/>
  <c r="Y1386" i="3"/>
  <c r="Z1386" i="3"/>
  <c r="AA1386" i="3"/>
  <c r="T1387" i="3"/>
  <c r="U1387" i="3"/>
  <c r="V1387" i="3"/>
  <c r="W1387" i="3"/>
  <c r="X1387" i="3"/>
  <c r="Y1387" i="3"/>
  <c r="Z1387" i="3"/>
  <c r="AA1387" i="3"/>
  <c r="T1388" i="3"/>
  <c r="U1388" i="3"/>
  <c r="V1388" i="3"/>
  <c r="W1388" i="3"/>
  <c r="X1388" i="3"/>
  <c r="Y1388" i="3"/>
  <c r="Z1388" i="3"/>
  <c r="AA1388" i="3"/>
  <c r="T1389" i="3"/>
  <c r="U1389" i="3"/>
  <c r="V1389" i="3"/>
  <c r="W1389" i="3"/>
  <c r="X1389" i="3"/>
  <c r="Y1389" i="3"/>
  <c r="Z1389" i="3"/>
  <c r="AA1389" i="3"/>
  <c r="T1390" i="3"/>
  <c r="U1390" i="3"/>
  <c r="V1390" i="3"/>
  <c r="W1390" i="3"/>
  <c r="X1390" i="3"/>
  <c r="Y1390" i="3"/>
  <c r="Z1390" i="3"/>
  <c r="AA1390" i="3"/>
  <c r="T1391" i="3"/>
  <c r="U1391" i="3"/>
  <c r="V1391" i="3"/>
  <c r="W1391" i="3"/>
  <c r="X1391" i="3"/>
  <c r="Y1391" i="3"/>
  <c r="Z1391" i="3"/>
  <c r="AA1391" i="3"/>
  <c r="T1392" i="3"/>
  <c r="U1392" i="3"/>
  <c r="V1392" i="3"/>
  <c r="W1392" i="3"/>
  <c r="X1392" i="3"/>
  <c r="Y1392" i="3"/>
  <c r="Z1392" i="3"/>
  <c r="AA1392" i="3"/>
  <c r="T1393" i="3"/>
  <c r="U1393" i="3"/>
  <c r="V1393" i="3"/>
  <c r="W1393" i="3"/>
  <c r="X1393" i="3"/>
  <c r="Y1393" i="3"/>
  <c r="Z1393" i="3"/>
  <c r="AA1393" i="3"/>
  <c r="T1394" i="3"/>
  <c r="U1394" i="3"/>
  <c r="V1394" i="3"/>
  <c r="W1394" i="3"/>
  <c r="X1394" i="3"/>
  <c r="Y1394" i="3"/>
  <c r="Z1394" i="3"/>
  <c r="AA1394" i="3"/>
  <c r="T1395" i="3"/>
  <c r="U1395" i="3"/>
  <c r="V1395" i="3"/>
  <c r="W1395" i="3"/>
  <c r="X1395" i="3"/>
  <c r="Y1395" i="3"/>
  <c r="Z1395" i="3"/>
  <c r="AA1395" i="3"/>
  <c r="U1363" i="3"/>
  <c r="V1363" i="3"/>
  <c r="W1363" i="3"/>
  <c r="X1363" i="3"/>
  <c r="Y1363" i="3"/>
  <c r="Z1363" i="3"/>
  <c r="AA1363" i="3"/>
  <c r="T1363" i="3"/>
  <c r="T1330" i="3"/>
  <c r="U1330" i="3"/>
  <c r="V1330" i="3"/>
  <c r="W1330" i="3"/>
  <c r="X1330" i="3"/>
  <c r="Y1330" i="3"/>
  <c r="Z1330" i="3"/>
  <c r="AA1330" i="3"/>
  <c r="T1331" i="3"/>
  <c r="U1331" i="3"/>
  <c r="V1331" i="3"/>
  <c r="W1331" i="3"/>
  <c r="X1331" i="3"/>
  <c r="Y1331" i="3"/>
  <c r="Z1331" i="3"/>
  <c r="AA1331" i="3"/>
  <c r="T1332" i="3"/>
  <c r="U1332" i="3"/>
  <c r="V1332" i="3"/>
  <c r="W1332" i="3"/>
  <c r="X1332" i="3"/>
  <c r="Y1332" i="3"/>
  <c r="Z1332" i="3"/>
  <c r="AA1332" i="3"/>
  <c r="T1333" i="3"/>
  <c r="U1333" i="3"/>
  <c r="V1333" i="3"/>
  <c r="W1333" i="3"/>
  <c r="X1333" i="3"/>
  <c r="Y1333" i="3"/>
  <c r="Z1333" i="3"/>
  <c r="AA1333" i="3"/>
  <c r="T1334" i="3"/>
  <c r="U1334" i="3"/>
  <c r="V1334" i="3"/>
  <c r="W1334" i="3"/>
  <c r="X1334" i="3"/>
  <c r="Y1334" i="3"/>
  <c r="Z1334" i="3"/>
  <c r="AA1334" i="3"/>
  <c r="T1335" i="3"/>
  <c r="U1335" i="3"/>
  <c r="V1335" i="3"/>
  <c r="W1335" i="3"/>
  <c r="X1335" i="3"/>
  <c r="Y1335" i="3"/>
  <c r="Z1335" i="3"/>
  <c r="AA1335" i="3"/>
  <c r="T1336" i="3"/>
  <c r="U1336" i="3"/>
  <c r="V1336" i="3"/>
  <c r="W1336" i="3"/>
  <c r="X1336" i="3"/>
  <c r="Y1336" i="3"/>
  <c r="Z1336" i="3"/>
  <c r="AA1336" i="3"/>
  <c r="T1337" i="3"/>
  <c r="U1337" i="3"/>
  <c r="V1337" i="3"/>
  <c r="W1337" i="3"/>
  <c r="X1337" i="3"/>
  <c r="Y1337" i="3"/>
  <c r="Z1337" i="3"/>
  <c r="AA1337" i="3"/>
  <c r="T1338" i="3"/>
  <c r="U1338" i="3"/>
  <c r="V1338" i="3"/>
  <c r="W1338" i="3"/>
  <c r="X1338" i="3"/>
  <c r="Y1338" i="3"/>
  <c r="Z1338" i="3"/>
  <c r="AA1338" i="3"/>
  <c r="T1339" i="3"/>
  <c r="U1339" i="3"/>
  <c r="V1339" i="3"/>
  <c r="W1339" i="3"/>
  <c r="X1339" i="3"/>
  <c r="Y1339" i="3"/>
  <c r="Z1339" i="3"/>
  <c r="AA1339" i="3"/>
  <c r="T1340" i="3"/>
  <c r="U1340" i="3"/>
  <c r="V1340" i="3"/>
  <c r="W1340" i="3"/>
  <c r="X1340" i="3"/>
  <c r="Y1340" i="3"/>
  <c r="Z1340" i="3"/>
  <c r="AA1340" i="3"/>
  <c r="T1341" i="3"/>
  <c r="U1341" i="3"/>
  <c r="V1341" i="3"/>
  <c r="W1341" i="3"/>
  <c r="X1341" i="3"/>
  <c r="Y1341" i="3"/>
  <c r="Z1341" i="3"/>
  <c r="AA1341" i="3"/>
  <c r="T1342" i="3"/>
  <c r="U1342" i="3"/>
  <c r="V1342" i="3"/>
  <c r="W1342" i="3"/>
  <c r="X1342" i="3"/>
  <c r="Y1342" i="3"/>
  <c r="Z1342" i="3"/>
  <c r="AA1342" i="3"/>
  <c r="T1343" i="3"/>
  <c r="U1343" i="3"/>
  <c r="V1343" i="3"/>
  <c r="W1343" i="3"/>
  <c r="X1343" i="3"/>
  <c r="Y1343" i="3"/>
  <c r="Z1343" i="3"/>
  <c r="AA1343" i="3"/>
  <c r="T1344" i="3"/>
  <c r="U1344" i="3"/>
  <c r="V1344" i="3"/>
  <c r="W1344" i="3"/>
  <c r="X1344" i="3"/>
  <c r="Y1344" i="3"/>
  <c r="Z1344" i="3"/>
  <c r="AA1344" i="3"/>
  <c r="T1345" i="3"/>
  <c r="U1345" i="3"/>
  <c r="V1345" i="3"/>
  <c r="W1345" i="3"/>
  <c r="X1345" i="3"/>
  <c r="Y1345" i="3"/>
  <c r="Z1345" i="3"/>
  <c r="AA1345" i="3"/>
  <c r="T1346" i="3"/>
  <c r="U1346" i="3"/>
  <c r="V1346" i="3"/>
  <c r="W1346" i="3"/>
  <c r="X1346" i="3"/>
  <c r="Y1346" i="3"/>
  <c r="Z1346" i="3"/>
  <c r="AA1346" i="3"/>
  <c r="T1347" i="3"/>
  <c r="U1347" i="3"/>
  <c r="V1347" i="3"/>
  <c r="W1347" i="3"/>
  <c r="X1347" i="3"/>
  <c r="Y1347" i="3"/>
  <c r="Z1347" i="3"/>
  <c r="AA1347" i="3"/>
  <c r="T1348" i="3"/>
  <c r="U1348" i="3"/>
  <c r="V1348" i="3"/>
  <c r="W1348" i="3"/>
  <c r="X1348" i="3"/>
  <c r="Y1348" i="3"/>
  <c r="Z1348" i="3"/>
  <c r="AA1348" i="3"/>
  <c r="T1349" i="3"/>
  <c r="U1349" i="3"/>
  <c r="V1349" i="3"/>
  <c r="W1349" i="3"/>
  <c r="X1349" i="3"/>
  <c r="Y1349" i="3"/>
  <c r="Z1349" i="3"/>
  <c r="AA1349" i="3"/>
  <c r="T1350" i="3"/>
  <c r="U1350" i="3"/>
  <c r="V1350" i="3"/>
  <c r="W1350" i="3"/>
  <c r="X1350" i="3"/>
  <c r="Y1350" i="3"/>
  <c r="Z1350" i="3"/>
  <c r="AA1350" i="3"/>
  <c r="T1351" i="3"/>
  <c r="U1351" i="3"/>
  <c r="V1351" i="3"/>
  <c r="W1351" i="3"/>
  <c r="X1351" i="3"/>
  <c r="Y1351" i="3"/>
  <c r="Z1351" i="3"/>
  <c r="AA1351" i="3"/>
  <c r="T1352" i="3"/>
  <c r="U1352" i="3"/>
  <c r="V1352" i="3"/>
  <c r="W1352" i="3"/>
  <c r="X1352" i="3"/>
  <c r="Y1352" i="3"/>
  <c r="Z1352" i="3"/>
  <c r="AA1352" i="3"/>
  <c r="T1353" i="3"/>
  <c r="U1353" i="3"/>
  <c r="V1353" i="3"/>
  <c r="W1353" i="3"/>
  <c r="X1353" i="3"/>
  <c r="Y1353" i="3"/>
  <c r="Z1353" i="3"/>
  <c r="AA1353" i="3"/>
  <c r="T1354" i="3"/>
  <c r="U1354" i="3"/>
  <c r="V1354" i="3"/>
  <c r="W1354" i="3"/>
  <c r="X1354" i="3"/>
  <c r="Y1354" i="3"/>
  <c r="Z1354" i="3"/>
  <c r="AA1354" i="3"/>
  <c r="T1355" i="3"/>
  <c r="U1355" i="3"/>
  <c r="V1355" i="3"/>
  <c r="W1355" i="3"/>
  <c r="X1355" i="3"/>
  <c r="Y1355" i="3"/>
  <c r="Z1355" i="3"/>
  <c r="AA1355" i="3"/>
  <c r="T1356" i="3"/>
  <c r="U1356" i="3"/>
  <c r="V1356" i="3"/>
  <c r="W1356" i="3"/>
  <c r="X1356" i="3"/>
  <c r="Y1356" i="3"/>
  <c r="Z1356" i="3"/>
  <c r="AA1356" i="3"/>
  <c r="T1357" i="3"/>
  <c r="U1357" i="3"/>
  <c r="V1357" i="3"/>
  <c r="W1357" i="3"/>
  <c r="X1357" i="3"/>
  <c r="Y1357" i="3"/>
  <c r="Z1357" i="3"/>
  <c r="AA1357" i="3"/>
  <c r="T1358" i="3"/>
  <c r="U1358" i="3"/>
  <c r="V1358" i="3"/>
  <c r="W1358" i="3"/>
  <c r="X1358" i="3"/>
  <c r="Y1358" i="3"/>
  <c r="Z1358" i="3"/>
  <c r="AA1358" i="3"/>
  <c r="T1359" i="3"/>
  <c r="U1359" i="3"/>
  <c r="V1359" i="3"/>
  <c r="W1359" i="3"/>
  <c r="X1359" i="3"/>
  <c r="Y1359" i="3"/>
  <c r="Z1359" i="3"/>
  <c r="AA1359" i="3"/>
  <c r="T1360" i="3"/>
  <c r="U1360" i="3"/>
  <c r="V1360" i="3"/>
  <c r="W1360" i="3"/>
  <c r="X1360" i="3"/>
  <c r="Y1360" i="3"/>
  <c r="Z1360" i="3"/>
  <c r="AA1360" i="3"/>
  <c r="T1361" i="3"/>
  <c r="U1361" i="3"/>
  <c r="V1361" i="3"/>
  <c r="W1361" i="3"/>
  <c r="X1361" i="3"/>
  <c r="Y1361" i="3"/>
  <c r="Z1361" i="3"/>
  <c r="AA1361" i="3"/>
  <c r="U1329" i="3"/>
  <c r="V1329" i="3"/>
  <c r="W1329" i="3"/>
  <c r="X1329" i="3"/>
  <c r="Y1329" i="3"/>
  <c r="Z1329" i="3"/>
  <c r="AA1329" i="3"/>
  <c r="T1329" i="3"/>
  <c r="T1296" i="3"/>
  <c r="U1296" i="3"/>
  <c r="V1296" i="3"/>
  <c r="W1296" i="3"/>
  <c r="X1296" i="3"/>
  <c r="Y1296" i="3"/>
  <c r="Z1296" i="3"/>
  <c r="AA1296" i="3"/>
  <c r="T1297" i="3"/>
  <c r="U1297" i="3"/>
  <c r="V1297" i="3"/>
  <c r="W1297" i="3"/>
  <c r="X1297" i="3"/>
  <c r="Y1297" i="3"/>
  <c r="Z1297" i="3"/>
  <c r="AA1297" i="3"/>
  <c r="T1298" i="3"/>
  <c r="U1298" i="3"/>
  <c r="V1298" i="3"/>
  <c r="W1298" i="3"/>
  <c r="X1298" i="3"/>
  <c r="Y1298" i="3"/>
  <c r="Z1298" i="3"/>
  <c r="AA1298" i="3"/>
  <c r="T1299" i="3"/>
  <c r="U1299" i="3"/>
  <c r="V1299" i="3"/>
  <c r="W1299" i="3"/>
  <c r="X1299" i="3"/>
  <c r="Y1299" i="3"/>
  <c r="Z1299" i="3"/>
  <c r="AA1299" i="3"/>
  <c r="T1300" i="3"/>
  <c r="U1300" i="3"/>
  <c r="V1300" i="3"/>
  <c r="W1300" i="3"/>
  <c r="X1300" i="3"/>
  <c r="Y1300" i="3"/>
  <c r="Z1300" i="3"/>
  <c r="AA1300" i="3"/>
  <c r="T1301" i="3"/>
  <c r="U1301" i="3"/>
  <c r="V1301" i="3"/>
  <c r="W1301" i="3"/>
  <c r="X1301" i="3"/>
  <c r="Y1301" i="3"/>
  <c r="Z1301" i="3"/>
  <c r="AA1301" i="3"/>
  <c r="T1302" i="3"/>
  <c r="U1302" i="3"/>
  <c r="V1302" i="3"/>
  <c r="W1302" i="3"/>
  <c r="X1302" i="3"/>
  <c r="Y1302" i="3"/>
  <c r="Z1302" i="3"/>
  <c r="AA1302" i="3"/>
  <c r="T1303" i="3"/>
  <c r="U1303" i="3"/>
  <c r="V1303" i="3"/>
  <c r="W1303" i="3"/>
  <c r="X1303" i="3"/>
  <c r="Y1303" i="3"/>
  <c r="Z1303" i="3"/>
  <c r="AA1303" i="3"/>
  <c r="T1304" i="3"/>
  <c r="U1304" i="3"/>
  <c r="V1304" i="3"/>
  <c r="W1304" i="3"/>
  <c r="X1304" i="3"/>
  <c r="Y1304" i="3"/>
  <c r="Z1304" i="3"/>
  <c r="AA1304" i="3"/>
  <c r="T1305" i="3"/>
  <c r="U1305" i="3"/>
  <c r="V1305" i="3"/>
  <c r="W1305" i="3"/>
  <c r="X1305" i="3"/>
  <c r="Y1305" i="3"/>
  <c r="Z1305" i="3"/>
  <c r="AA1305" i="3"/>
  <c r="T1306" i="3"/>
  <c r="U1306" i="3"/>
  <c r="V1306" i="3"/>
  <c r="W1306" i="3"/>
  <c r="X1306" i="3"/>
  <c r="Y1306" i="3"/>
  <c r="Z1306" i="3"/>
  <c r="AA1306" i="3"/>
  <c r="T1307" i="3"/>
  <c r="U1307" i="3"/>
  <c r="V1307" i="3"/>
  <c r="W1307" i="3"/>
  <c r="X1307" i="3"/>
  <c r="Y1307" i="3"/>
  <c r="Z1307" i="3"/>
  <c r="AA1307" i="3"/>
  <c r="T1308" i="3"/>
  <c r="U1308" i="3"/>
  <c r="V1308" i="3"/>
  <c r="W1308" i="3"/>
  <c r="X1308" i="3"/>
  <c r="Y1308" i="3"/>
  <c r="Z1308" i="3"/>
  <c r="AA1308" i="3"/>
  <c r="T1309" i="3"/>
  <c r="U1309" i="3"/>
  <c r="V1309" i="3"/>
  <c r="W1309" i="3"/>
  <c r="X1309" i="3"/>
  <c r="Y1309" i="3"/>
  <c r="Z1309" i="3"/>
  <c r="AA1309" i="3"/>
  <c r="T1310" i="3"/>
  <c r="U1310" i="3"/>
  <c r="V1310" i="3"/>
  <c r="W1310" i="3"/>
  <c r="X1310" i="3"/>
  <c r="Y1310" i="3"/>
  <c r="Z1310" i="3"/>
  <c r="AA1310" i="3"/>
  <c r="T1311" i="3"/>
  <c r="U1311" i="3"/>
  <c r="V1311" i="3"/>
  <c r="W1311" i="3"/>
  <c r="X1311" i="3"/>
  <c r="Y1311" i="3"/>
  <c r="Z1311" i="3"/>
  <c r="AA1311" i="3"/>
  <c r="T1312" i="3"/>
  <c r="U1312" i="3"/>
  <c r="V1312" i="3"/>
  <c r="W1312" i="3"/>
  <c r="X1312" i="3"/>
  <c r="Y1312" i="3"/>
  <c r="Z1312" i="3"/>
  <c r="AA1312" i="3"/>
  <c r="T1313" i="3"/>
  <c r="U1313" i="3"/>
  <c r="V1313" i="3"/>
  <c r="W1313" i="3"/>
  <c r="X1313" i="3"/>
  <c r="Y1313" i="3"/>
  <c r="Z1313" i="3"/>
  <c r="AA1313" i="3"/>
  <c r="T1314" i="3"/>
  <c r="U1314" i="3"/>
  <c r="V1314" i="3"/>
  <c r="W1314" i="3"/>
  <c r="X1314" i="3"/>
  <c r="Y1314" i="3"/>
  <c r="Z1314" i="3"/>
  <c r="AA1314" i="3"/>
  <c r="T1315" i="3"/>
  <c r="U1315" i="3"/>
  <c r="V1315" i="3"/>
  <c r="W1315" i="3"/>
  <c r="X1315" i="3"/>
  <c r="Y1315" i="3"/>
  <c r="Z1315" i="3"/>
  <c r="AA1315" i="3"/>
  <c r="T1316" i="3"/>
  <c r="U1316" i="3"/>
  <c r="V1316" i="3"/>
  <c r="W1316" i="3"/>
  <c r="X1316" i="3"/>
  <c r="Y1316" i="3"/>
  <c r="Z1316" i="3"/>
  <c r="AA1316" i="3"/>
  <c r="T1317" i="3"/>
  <c r="U1317" i="3"/>
  <c r="V1317" i="3"/>
  <c r="W1317" i="3"/>
  <c r="X1317" i="3"/>
  <c r="Y1317" i="3"/>
  <c r="Z1317" i="3"/>
  <c r="AA1317" i="3"/>
  <c r="T1318" i="3"/>
  <c r="U1318" i="3"/>
  <c r="V1318" i="3"/>
  <c r="W1318" i="3"/>
  <c r="X1318" i="3"/>
  <c r="Y1318" i="3"/>
  <c r="Z1318" i="3"/>
  <c r="AA1318" i="3"/>
  <c r="T1319" i="3"/>
  <c r="U1319" i="3"/>
  <c r="V1319" i="3"/>
  <c r="W1319" i="3"/>
  <c r="X1319" i="3"/>
  <c r="Y1319" i="3"/>
  <c r="Z1319" i="3"/>
  <c r="AA1319" i="3"/>
  <c r="T1320" i="3"/>
  <c r="U1320" i="3"/>
  <c r="V1320" i="3"/>
  <c r="W1320" i="3"/>
  <c r="X1320" i="3"/>
  <c r="Y1320" i="3"/>
  <c r="Z1320" i="3"/>
  <c r="AA1320" i="3"/>
  <c r="T1321" i="3"/>
  <c r="U1321" i="3"/>
  <c r="V1321" i="3"/>
  <c r="W1321" i="3"/>
  <c r="X1321" i="3"/>
  <c r="Y1321" i="3"/>
  <c r="Z1321" i="3"/>
  <c r="AA1321" i="3"/>
  <c r="T1322" i="3"/>
  <c r="U1322" i="3"/>
  <c r="V1322" i="3"/>
  <c r="W1322" i="3"/>
  <c r="X1322" i="3"/>
  <c r="Y1322" i="3"/>
  <c r="Z1322" i="3"/>
  <c r="AA1322" i="3"/>
  <c r="T1323" i="3"/>
  <c r="U1323" i="3"/>
  <c r="V1323" i="3"/>
  <c r="W1323" i="3"/>
  <c r="X1323" i="3"/>
  <c r="Y1323" i="3"/>
  <c r="Z1323" i="3"/>
  <c r="AA1323" i="3"/>
  <c r="T1324" i="3"/>
  <c r="U1324" i="3"/>
  <c r="V1324" i="3"/>
  <c r="W1324" i="3"/>
  <c r="X1324" i="3"/>
  <c r="Y1324" i="3"/>
  <c r="Z1324" i="3"/>
  <c r="AA1324" i="3"/>
  <c r="T1325" i="3"/>
  <c r="U1325" i="3"/>
  <c r="V1325" i="3"/>
  <c r="W1325" i="3"/>
  <c r="X1325" i="3"/>
  <c r="Y1325" i="3"/>
  <c r="Z1325" i="3"/>
  <c r="AA1325" i="3"/>
  <c r="T1326" i="3"/>
  <c r="U1326" i="3"/>
  <c r="V1326" i="3"/>
  <c r="W1326" i="3"/>
  <c r="X1326" i="3"/>
  <c r="Y1326" i="3"/>
  <c r="Z1326" i="3"/>
  <c r="AA1326" i="3"/>
  <c r="T1327" i="3"/>
  <c r="U1327" i="3"/>
  <c r="V1327" i="3"/>
  <c r="W1327" i="3"/>
  <c r="X1327" i="3"/>
  <c r="Y1327" i="3"/>
  <c r="Z1327" i="3"/>
  <c r="AA1327" i="3"/>
  <c r="U1295" i="3"/>
  <c r="V1295" i="3"/>
  <c r="W1295" i="3"/>
  <c r="X1295" i="3"/>
  <c r="Y1295" i="3"/>
  <c r="Z1295" i="3"/>
  <c r="AA1295" i="3"/>
  <c r="T1295" i="3"/>
  <c r="T1262" i="3"/>
  <c r="U1262" i="3"/>
  <c r="V1262" i="3"/>
  <c r="W1262" i="3"/>
  <c r="X1262" i="3"/>
  <c r="Y1262" i="3"/>
  <c r="Z1262" i="3"/>
  <c r="AA1262" i="3"/>
  <c r="T1263" i="3"/>
  <c r="U1263" i="3"/>
  <c r="V1263" i="3"/>
  <c r="W1263" i="3"/>
  <c r="X1263" i="3"/>
  <c r="Y1263" i="3"/>
  <c r="Z1263" i="3"/>
  <c r="AA1263" i="3"/>
  <c r="T1264" i="3"/>
  <c r="U1264" i="3"/>
  <c r="V1264" i="3"/>
  <c r="W1264" i="3"/>
  <c r="X1264" i="3"/>
  <c r="Y1264" i="3"/>
  <c r="Z1264" i="3"/>
  <c r="AA1264" i="3"/>
  <c r="T1265" i="3"/>
  <c r="U1265" i="3"/>
  <c r="V1265" i="3"/>
  <c r="W1265" i="3"/>
  <c r="X1265" i="3"/>
  <c r="Y1265" i="3"/>
  <c r="Z1265" i="3"/>
  <c r="AA1265" i="3"/>
  <c r="T1266" i="3"/>
  <c r="U1266" i="3"/>
  <c r="V1266" i="3"/>
  <c r="W1266" i="3"/>
  <c r="X1266" i="3"/>
  <c r="Y1266" i="3"/>
  <c r="Z1266" i="3"/>
  <c r="AA1266" i="3"/>
  <c r="T1267" i="3"/>
  <c r="U1267" i="3"/>
  <c r="V1267" i="3"/>
  <c r="W1267" i="3"/>
  <c r="X1267" i="3"/>
  <c r="Y1267" i="3"/>
  <c r="Z1267" i="3"/>
  <c r="AA1267" i="3"/>
  <c r="T1268" i="3"/>
  <c r="U1268" i="3"/>
  <c r="V1268" i="3"/>
  <c r="W1268" i="3"/>
  <c r="X1268" i="3"/>
  <c r="Y1268" i="3"/>
  <c r="Z1268" i="3"/>
  <c r="AA1268" i="3"/>
  <c r="T1269" i="3"/>
  <c r="U1269" i="3"/>
  <c r="V1269" i="3"/>
  <c r="W1269" i="3"/>
  <c r="X1269" i="3"/>
  <c r="Y1269" i="3"/>
  <c r="Z1269" i="3"/>
  <c r="AA1269" i="3"/>
  <c r="T1270" i="3"/>
  <c r="U1270" i="3"/>
  <c r="V1270" i="3"/>
  <c r="W1270" i="3"/>
  <c r="X1270" i="3"/>
  <c r="Y1270" i="3"/>
  <c r="Z1270" i="3"/>
  <c r="AA1270" i="3"/>
  <c r="T1271" i="3"/>
  <c r="U1271" i="3"/>
  <c r="V1271" i="3"/>
  <c r="W1271" i="3"/>
  <c r="X1271" i="3"/>
  <c r="Y1271" i="3"/>
  <c r="Z1271" i="3"/>
  <c r="AA1271" i="3"/>
  <c r="T1272" i="3"/>
  <c r="U1272" i="3"/>
  <c r="V1272" i="3"/>
  <c r="W1272" i="3"/>
  <c r="X1272" i="3"/>
  <c r="Y1272" i="3"/>
  <c r="Z1272" i="3"/>
  <c r="AA1272" i="3"/>
  <c r="T1273" i="3"/>
  <c r="U1273" i="3"/>
  <c r="V1273" i="3"/>
  <c r="W1273" i="3"/>
  <c r="X1273" i="3"/>
  <c r="Y1273" i="3"/>
  <c r="Z1273" i="3"/>
  <c r="AA1273" i="3"/>
  <c r="T1274" i="3"/>
  <c r="U1274" i="3"/>
  <c r="V1274" i="3"/>
  <c r="W1274" i="3"/>
  <c r="X1274" i="3"/>
  <c r="Y1274" i="3"/>
  <c r="Z1274" i="3"/>
  <c r="AA1274" i="3"/>
  <c r="T1275" i="3"/>
  <c r="U1275" i="3"/>
  <c r="V1275" i="3"/>
  <c r="W1275" i="3"/>
  <c r="X1275" i="3"/>
  <c r="Y1275" i="3"/>
  <c r="Z1275" i="3"/>
  <c r="AA1275" i="3"/>
  <c r="T1276" i="3"/>
  <c r="U1276" i="3"/>
  <c r="V1276" i="3"/>
  <c r="W1276" i="3"/>
  <c r="X1276" i="3"/>
  <c r="Y1276" i="3"/>
  <c r="Z1276" i="3"/>
  <c r="AA1276" i="3"/>
  <c r="T1277" i="3"/>
  <c r="U1277" i="3"/>
  <c r="V1277" i="3"/>
  <c r="W1277" i="3"/>
  <c r="X1277" i="3"/>
  <c r="Y1277" i="3"/>
  <c r="Z1277" i="3"/>
  <c r="AA1277" i="3"/>
  <c r="T1278" i="3"/>
  <c r="U1278" i="3"/>
  <c r="V1278" i="3"/>
  <c r="W1278" i="3"/>
  <c r="X1278" i="3"/>
  <c r="Y1278" i="3"/>
  <c r="Z1278" i="3"/>
  <c r="AA1278" i="3"/>
  <c r="T1279" i="3"/>
  <c r="U1279" i="3"/>
  <c r="V1279" i="3"/>
  <c r="W1279" i="3"/>
  <c r="X1279" i="3"/>
  <c r="Y1279" i="3"/>
  <c r="Z1279" i="3"/>
  <c r="AA1279" i="3"/>
  <c r="T1280" i="3"/>
  <c r="U1280" i="3"/>
  <c r="V1280" i="3"/>
  <c r="W1280" i="3"/>
  <c r="X1280" i="3"/>
  <c r="Y1280" i="3"/>
  <c r="Z1280" i="3"/>
  <c r="AA1280" i="3"/>
  <c r="T1281" i="3"/>
  <c r="U1281" i="3"/>
  <c r="V1281" i="3"/>
  <c r="W1281" i="3"/>
  <c r="X1281" i="3"/>
  <c r="Y1281" i="3"/>
  <c r="Z1281" i="3"/>
  <c r="AA1281" i="3"/>
  <c r="T1282" i="3"/>
  <c r="U1282" i="3"/>
  <c r="V1282" i="3"/>
  <c r="W1282" i="3"/>
  <c r="X1282" i="3"/>
  <c r="Y1282" i="3"/>
  <c r="Z1282" i="3"/>
  <c r="AA1282" i="3"/>
  <c r="T1283" i="3"/>
  <c r="U1283" i="3"/>
  <c r="V1283" i="3"/>
  <c r="W1283" i="3"/>
  <c r="X1283" i="3"/>
  <c r="Y1283" i="3"/>
  <c r="Z1283" i="3"/>
  <c r="AA1283" i="3"/>
  <c r="T1284" i="3"/>
  <c r="U1284" i="3"/>
  <c r="V1284" i="3"/>
  <c r="W1284" i="3"/>
  <c r="X1284" i="3"/>
  <c r="Y1284" i="3"/>
  <c r="Z1284" i="3"/>
  <c r="AA1284" i="3"/>
  <c r="T1285" i="3"/>
  <c r="U1285" i="3"/>
  <c r="V1285" i="3"/>
  <c r="W1285" i="3"/>
  <c r="X1285" i="3"/>
  <c r="Y1285" i="3"/>
  <c r="Z1285" i="3"/>
  <c r="AA1285" i="3"/>
  <c r="T1286" i="3"/>
  <c r="U1286" i="3"/>
  <c r="V1286" i="3"/>
  <c r="W1286" i="3"/>
  <c r="X1286" i="3"/>
  <c r="Y1286" i="3"/>
  <c r="Z1286" i="3"/>
  <c r="AA1286" i="3"/>
  <c r="T1287" i="3"/>
  <c r="U1287" i="3"/>
  <c r="V1287" i="3"/>
  <c r="W1287" i="3"/>
  <c r="X1287" i="3"/>
  <c r="Y1287" i="3"/>
  <c r="Z1287" i="3"/>
  <c r="AA1287" i="3"/>
  <c r="T1288" i="3"/>
  <c r="U1288" i="3"/>
  <c r="V1288" i="3"/>
  <c r="W1288" i="3"/>
  <c r="X1288" i="3"/>
  <c r="Y1288" i="3"/>
  <c r="Z1288" i="3"/>
  <c r="AA1288" i="3"/>
  <c r="T1289" i="3"/>
  <c r="U1289" i="3"/>
  <c r="V1289" i="3"/>
  <c r="W1289" i="3"/>
  <c r="X1289" i="3"/>
  <c r="Y1289" i="3"/>
  <c r="Z1289" i="3"/>
  <c r="AA1289" i="3"/>
  <c r="T1290" i="3"/>
  <c r="U1290" i="3"/>
  <c r="V1290" i="3"/>
  <c r="W1290" i="3"/>
  <c r="X1290" i="3"/>
  <c r="Y1290" i="3"/>
  <c r="Z1290" i="3"/>
  <c r="AA1290" i="3"/>
  <c r="T1291" i="3"/>
  <c r="U1291" i="3"/>
  <c r="V1291" i="3"/>
  <c r="W1291" i="3"/>
  <c r="X1291" i="3"/>
  <c r="Y1291" i="3"/>
  <c r="Z1291" i="3"/>
  <c r="AA1291" i="3"/>
  <c r="T1292" i="3"/>
  <c r="U1292" i="3"/>
  <c r="V1292" i="3"/>
  <c r="W1292" i="3"/>
  <c r="X1292" i="3"/>
  <c r="Y1292" i="3"/>
  <c r="Z1292" i="3"/>
  <c r="AA1292" i="3"/>
  <c r="T1293" i="3"/>
  <c r="U1293" i="3"/>
  <c r="V1293" i="3"/>
  <c r="W1293" i="3"/>
  <c r="X1293" i="3"/>
  <c r="Y1293" i="3"/>
  <c r="Z1293" i="3"/>
  <c r="AA1293" i="3"/>
  <c r="U1261" i="3"/>
  <c r="V1261" i="3"/>
  <c r="W1261" i="3"/>
  <c r="X1261" i="3"/>
  <c r="Y1261" i="3"/>
  <c r="Z1261" i="3"/>
  <c r="AA1261" i="3"/>
  <c r="T1261" i="3"/>
  <c r="T1228" i="3"/>
  <c r="U1228" i="3"/>
  <c r="V1228" i="3"/>
  <c r="W1228" i="3"/>
  <c r="X1228" i="3"/>
  <c r="Y1228" i="3"/>
  <c r="Z1228" i="3"/>
  <c r="AA1228" i="3"/>
  <c r="T1229" i="3"/>
  <c r="U1229" i="3"/>
  <c r="V1229" i="3"/>
  <c r="W1229" i="3"/>
  <c r="X1229" i="3"/>
  <c r="Y1229" i="3"/>
  <c r="Z1229" i="3"/>
  <c r="AA1229" i="3"/>
  <c r="T1230" i="3"/>
  <c r="U1230" i="3"/>
  <c r="V1230" i="3"/>
  <c r="W1230" i="3"/>
  <c r="X1230" i="3"/>
  <c r="Y1230" i="3"/>
  <c r="Z1230" i="3"/>
  <c r="AA1230" i="3"/>
  <c r="T1231" i="3"/>
  <c r="U1231" i="3"/>
  <c r="V1231" i="3"/>
  <c r="W1231" i="3"/>
  <c r="X1231" i="3"/>
  <c r="Y1231" i="3"/>
  <c r="Z1231" i="3"/>
  <c r="AA1231" i="3"/>
  <c r="T1232" i="3"/>
  <c r="U1232" i="3"/>
  <c r="V1232" i="3"/>
  <c r="W1232" i="3"/>
  <c r="X1232" i="3"/>
  <c r="Y1232" i="3"/>
  <c r="Z1232" i="3"/>
  <c r="AA1232" i="3"/>
  <c r="T1233" i="3"/>
  <c r="U1233" i="3"/>
  <c r="V1233" i="3"/>
  <c r="W1233" i="3"/>
  <c r="X1233" i="3"/>
  <c r="Y1233" i="3"/>
  <c r="Z1233" i="3"/>
  <c r="AA1233" i="3"/>
  <c r="T1234" i="3"/>
  <c r="U1234" i="3"/>
  <c r="V1234" i="3"/>
  <c r="W1234" i="3"/>
  <c r="X1234" i="3"/>
  <c r="Y1234" i="3"/>
  <c r="Z1234" i="3"/>
  <c r="AA1234" i="3"/>
  <c r="T1235" i="3"/>
  <c r="U1235" i="3"/>
  <c r="V1235" i="3"/>
  <c r="W1235" i="3"/>
  <c r="X1235" i="3"/>
  <c r="Y1235" i="3"/>
  <c r="Z1235" i="3"/>
  <c r="AA1235" i="3"/>
  <c r="T1236" i="3"/>
  <c r="U1236" i="3"/>
  <c r="V1236" i="3"/>
  <c r="W1236" i="3"/>
  <c r="X1236" i="3"/>
  <c r="Y1236" i="3"/>
  <c r="Z1236" i="3"/>
  <c r="AA1236" i="3"/>
  <c r="T1237" i="3"/>
  <c r="U1237" i="3"/>
  <c r="V1237" i="3"/>
  <c r="W1237" i="3"/>
  <c r="X1237" i="3"/>
  <c r="Y1237" i="3"/>
  <c r="Z1237" i="3"/>
  <c r="AA1237" i="3"/>
  <c r="T1238" i="3"/>
  <c r="U1238" i="3"/>
  <c r="V1238" i="3"/>
  <c r="W1238" i="3"/>
  <c r="X1238" i="3"/>
  <c r="Y1238" i="3"/>
  <c r="Z1238" i="3"/>
  <c r="AA1238" i="3"/>
  <c r="T1239" i="3"/>
  <c r="U1239" i="3"/>
  <c r="V1239" i="3"/>
  <c r="W1239" i="3"/>
  <c r="X1239" i="3"/>
  <c r="Y1239" i="3"/>
  <c r="Z1239" i="3"/>
  <c r="AA1239" i="3"/>
  <c r="T1240" i="3"/>
  <c r="U1240" i="3"/>
  <c r="V1240" i="3"/>
  <c r="W1240" i="3"/>
  <c r="X1240" i="3"/>
  <c r="Y1240" i="3"/>
  <c r="Z1240" i="3"/>
  <c r="AA1240" i="3"/>
  <c r="T1241" i="3"/>
  <c r="U1241" i="3"/>
  <c r="V1241" i="3"/>
  <c r="W1241" i="3"/>
  <c r="X1241" i="3"/>
  <c r="Y1241" i="3"/>
  <c r="Z1241" i="3"/>
  <c r="AA1241" i="3"/>
  <c r="T1242" i="3"/>
  <c r="U1242" i="3"/>
  <c r="V1242" i="3"/>
  <c r="W1242" i="3"/>
  <c r="X1242" i="3"/>
  <c r="Y1242" i="3"/>
  <c r="Z1242" i="3"/>
  <c r="AA1242" i="3"/>
  <c r="T1243" i="3"/>
  <c r="U1243" i="3"/>
  <c r="V1243" i="3"/>
  <c r="W1243" i="3"/>
  <c r="X1243" i="3"/>
  <c r="Y1243" i="3"/>
  <c r="Z1243" i="3"/>
  <c r="AA1243" i="3"/>
  <c r="T1244" i="3"/>
  <c r="U1244" i="3"/>
  <c r="V1244" i="3"/>
  <c r="W1244" i="3"/>
  <c r="X1244" i="3"/>
  <c r="Y1244" i="3"/>
  <c r="Z1244" i="3"/>
  <c r="AA1244" i="3"/>
  <c r="T1245" i="3"/>
  <c r="U1245" i="3"/>
  <c r="V1245" i="3"/>
  <c r="W1245" i="3"/>
  <c r="X1245" i="3"/>
  <c r="Y1245" i="3"/>
  <c r="Z1245" i="3"/>
  <c r="AA1245" i="3"/>
  <c r="T1246" i="3"/>
  <c r="U1246" i="3"/>
  <c r="V1246" i="3"/>
  <c r="W1246" i="3"/>
  <c r="X1246" i="3"/>
  <c r="Y1246" i="3"/>
  <c r="Z1246" i="3"/>
  <c r="AA1246" i="3"/>
  <c r="T1247" i="3"/>
  <c r="U1247" i="3"/>
  <c r="V1247" i="3"/>
  <c r="W1247" i="3"/>
  <c r="X1247" i="3"/>
  <c r="Y1247" i="3"/>
  <c r="Z1247" i="3"/>
  <c r="AA1247" i="3"/>
  <c r="T1248" i="3"/>
  <c r="U1248" i="3"/>
  <c r="V1248" i="3"/>
  <c r="W1248" i="3"/>
  <c r="X1248" i="3"/>
  <c r="Y1248" i="3"/>
  <c r="Z1248" i="3"/>
  <c r="AA1248" i="3"/>
  <c r="T1249" i="3"/>
  <c r="U1249" i="3"/>
  <c r="V1249" i="3"/>
  <c r="W1249" i="3"/>
  <c r="X1249" i="3"/>
  <c r="Y1249" i="3"/>
  <c r="Z1249" i="3"/>
  <c r="AA1249" i="3"/>
  <c r="T1250" i="3"/>
  <c r="U1250" i="3"/>
  <c r="V1250" i="3"/>
  <c r="W1250" i="3"/>
  <c r="X1250" i="3"/>
  <c r="Y1250" i="3"/>
  <c r="Z1250" i="3"/>
  <c r="AA1250" i="3"/>
  <c r="T1251" i="3"/>
  <c r="U1251" i="3"/>
  <c r="V1251" i="3"/>
  <c r="W1251" i="3"/>
  <c r="X1251" i="3"/>
  <c r="Y1251" i="3"/>
  <c r="Z1251" i="3"/>
  <c r="AA1251" i="3"/>
  <c r="T1252" i="3"/>
  <c r="U1252" i="3"/>
  <c r="V1252" i="3"/>
  <c r="W1252" i="3"/>
  <c r="X1252" i="3"/>
  <c r="Y1252" i="3"/>
  <c r="Z1252" i="3"/>
  <c r="AA1252" i="3"/>
  <c r="T1253" i="3"/>
  <c r="U1253" i="3"/>
  <c r="V1253" i="3"/>
  <c r="W1253" i="3"/>
  <c r="X1253" i="3"/>
  <c r="Y1253" i="3"/>
  <c r="Z1253" i="3"/>
  <c r="AA1253" i="3"/>
  <c r="T1254" i="3"/>
  <c r="U1254" i="3"/>
  <c r="V1254" i="3"/>
  <c r="W1254" i="3"/>
  <c r="X1254" i="3"/>
  <c r="Y1254" i="3"/>
  <c r="Z1254" i="3"/>
  <c r="AA1254" i="3"/>
  <c r="T1255" i="3"/>
  <c r="U1255" i="3"/>
  <c r="V1255" i="3"/>
  <c r="W1255" i="3"/>
  <c r="X1255" i="3"/>
  <c r="Y1255" i="3"/>
  <c r="Z1255" i="3"/>
  <c r="AA1255" i="3"/>
  <c r="T1256" i="3"/>
  <c r="U1256" i="3"/>
  <c r="V1256" i="3"/>
  <c r="W1256" i="3"/>
  <c r="X1256" i="3"/>
  <c r="Y1256" i="3"/>
  <c r="Z1256" i="3"/>
  <c r="AA1256" i="3"/>
  <c r="T1257" i="3"/>
  <c r="U1257" i="3"/>
  <c r="V1257" i="3"/>
  <c r="W1257" i="3"/>
  <c r="X1257" i="3"/>
  <c r="Y1257" i="3"/>
  <c r="Z1257" i="3"/>
  <c r="AA1257" i="3"/>
  <c r="T1258" i="3"/>
  <c r="U1258" i="3"/>
  <c r="V1258" i="3"/>
  <c r="W1258" i="3"/>
  <c r="X1258" i="3"/>
  <c r="Y1258" i="3"/>
  <c r="Z1258" i="3"/>
  <c r="AA1258" i="3"/>
  <c r="T1259" i="3"/>
  <c r="U1259" i="3"/>
  <c r="V1259" i="3"/>
  <c r="W1259" i="3"/>
  <c r="X1259" i="3"/>
  <c r="Y1259" i="3"/>
  <c r="Z1259" i="3"/>
  <c r="AA1259" i="3"/>
  <c r="U1227" i="3"/>
  <c r="V1227" i="3"/>
  <c r="W1227" i="3"/>
  <c r="X1227" i="3"/>
  <c r="Y1227" i="3"/>
  <c r="Z1227" i="3"/>
  <c r="AA1227" i="3"/>
  <c r="T1227" i="3"/>
  <c r="T1194" i="3"/>
  <c r="U1194" i="3"/>
  <c r="V1194" i="3"/>
  <c r="W1194" i="3"/>
  <c r="X1194" i="3"/>
  <c r="Y1194" i="3"/>
  <c r="Z1194" i="3"/>
  <c r="AA1194" i="3"/>
  <c r="T1195" i="3"/>
  <c r="U1195" i="3"/>
  <c r="V1195" i="3"/>
  <c r="W1195" i="3"/>
  <c r="X1195" i="3"/>
  <c r="Y1195" i="3"/>
  <c r="Z1195" i="3"/>
  <c r="AA1195" i="3"/>
  <c r="T1196" i="3"/>
  <c r="U1196" i="3"/>
  <c r="V1196" i="3"/>
  <c r="W1196" i="3"/>
  <c r="X1196" i="3"/>
  <c r="Y1196" i="3"/>
  <c r="Z1196" i="3"/>
  <c r="AA1196" i="3"/>
  <c r="T1197" i="3"/>
  <c r="U1197" i="3"/>
  <c r="V1197" i="3"/>
  <c r="W1197" i="3"/>
  <c r="X1197" i="3"/>
  <c r="Y1197" i="3"/>
  <c r="Z1197" i="3"/>
  <c r="AA1197" i="3"/>
  <c r="T1198" i="3"/>
  <c r="U1198" i="3"/>
  <c r="V1198" i="3"/>
  <c r="W1198" i="3"/>
  <c r="X1198" i="3"/>
  <c r="Y1198" i="3"/>
  <c r="Z1198" i="3"/>
  <c r="AA1198" i="3"/>
  <c r="T1199" i="3"/>
  <c r="U1199" i="3"/>
  <c r="V1199" i="3"/>
  <c r="W1199" i="3"/>
  <c r="X1199" i="3"/>
  <c r="Y1199" i="3"/>
  <c r="Z1199" i="3"/>
  <c r="AA1199" i="3"/>
  <c r="T1200" i="3"/>
  <c r="U1200" i="3"/>
  <c r="V1200" i="3"/>
  <c r="W1200" i="3"/>
  <c r="X1200" i="3"/>
  <c r="Y1200" i="3"/>
  <c r="Z1200" i="3"/>
  <c r="AA1200" i="3"/>
  <c r="T1201" i="3"/>
  <c r="U1201" i="3"/>
  <c r="V1201" i="3"/>
  <c r="W1201" i="3"/>
  <c r="X1201" i="3"/>
  <c r="Y1201" i="3"/>
  <c r="Z1201" i="3"/>
  <c r="AA1201" i="3"/>
  <c r="T1202" i="3"/>
  <c r="U1202" i="3"/>
  <c r="V1202" i="3"/>
  <c r="W1202" i="3"/>
  <c r="X1202" i="3"/>
  <c r="Y1202" i="3"/>
  <c r="Z1202" i="3"/>
  <c r="AA1202" i="3"/>
  <c r="T1203" i="3"/>
  <c r="U1203" i="3"/>
  <c r="V1203" i="3"/>
  <c r="W1203" i="3"/>
  <c r="X1203" i="3"/>
  <c r="Y1203" i="3"/>
  <c r="Z1203" i="3"/>
  <c r="AA1203" i="3"/>
  <c r="T1204" i="3"/>
  <c r="U1204" i="3"/>
  <c r="V1204" i="3"/>
  <c r="W1204" i="3"/>
  <c r="X1204" i="3"/>
  <c r="Y1204" i="3"/>
  <c r="Z1204" i="3"/>
  <c r="AA1204" i="3"/>
  <c r="T1205" i="3"/>
  <c r="U1205" i="3"/>
  <c r="V1205" i="3"/>
  <c r="W1205" i="3"/>
  <c r="X1205" i="3"/>
  <c r="Y1205" i="3"/>
  <c r="Z1205" i="3"/>
  <c r="AA1205" i="3"/>
  <c r="T1206" i="3"/>
  <c r="U1206" i="3"/>
  <c r="V1206" i="3"/>
  <c r="W1206" i="3"/>
  <c r="X1206" i="3"/>
  <c r="Y1206" i="3"/>
  <c r="Z1206" i="3"/>
  <c r="AA1206" i="3"/>
  <c r="T1207" i="3"/>
  <c r="U1207" i="3"/>
  <c r="V1207" i="3"/>
  <c r="W1207" i="3"/>
  <c r="X1207" i="3"/>
  <c r="Y1207" i="3"/>
  <c r="Z1207" i="3"/>
  <c r="AA1207" i="3"/>
  <c r="T1208" i="3"/>
  <c r="U1208" i="3"/>
  <c r="V1208" i="3"/>
  <c r="W1208" i="3"/>
  <c r="X1208" i="3"/>
  <c r="Y1208" i="3"/>
  <c r="Z1208" i="3"/>
  <c r="AA1208" i="3"/>
  <c r="T1209" i="3"/>
  <c r="U1209" i="3"/>
  <c r="V1209" i="3"/>
  <c r="W1209" i="3"/>
  <c r="X1209" i="3"/>
  <c r="Y1209" i="3"/>
  <c r="Z1209" i="3"/>
  <c r="AA1209" i="3"/>
  <c r="T1210" i="3"/>
  <c r="U1210" i="3"/>
  <c r="V1210" i="3"/>
  <c r="W1210" i="3"/>
  <c r="X1210" i="3"/>
  <c r="Y1210" i="3"/>
  <c r="Z1210" i="3"/>
  <c r="AA1210" i="3"/>
  <c r="T1211" i="3"/>
  <c r="U1211" i="3"/>
  <c r="V1211" i="3"/>
  <c r="W1211" i="3"/>
  <c r="X1211" i="3"/>
  <c r="Y1211" i="3"/>
  <c r="Z1211" i="3"/>
  <c r="AA1211" i="3"/>
  <c r="T1212" i="3"/>
  <c r="U1212" i="3"/>
  <c r="V1212" i="3"/>
  <c r="W1212" i="3"/>
  <c r="X1212" i="3"/>
  <c r="Y1212" i="3"/>
  <c r="Z1212" i="3"/>
  <c r="AA1212" i="3"/>
  <c r="T1213" i="3"/>
  <c r="U1213" i="3"/>
  <c r="V1213" i="3"/>
  <c r="W1213" i="3"/>
  <c r="X1213" i="3"/>
  <c r="Y1213" i="3"/>
  <c r="Z1213" i="3"/>
  <c r="AA1213" i="3"/>
  <c r="T1214" i="3"/>
  <c r="U1214" i="3"/>
  <c r="V1214" i="3"/>
  <c r="W1214" i="3"/>
  <c r="X1214" i="3"/>
  <c r="Y1214" i="3"/>
  <c r="Z1214" i="3"/>
  <c r="AA1214" i="3"/>
  <c r="T1215" i="3"/>
  <c r="U1215" i="3"/>
  <c r="V1215" i="3"/>
  <c r="W1215" i="3"/>
  <c r="X1215" i="3"/>
  <c r="Y1215" i="3"/>
  <c r="Z1215" i="3"/>
  <c r="AA1215" i="3"/>
  <c r="T1216" i="3"/>
  <c r="U1216" i="3"/>
  <c r="V1216" i="3"/>
  <c r="W1216" i="3"/>
  <c r="X1216" i="3"/>
  <c r="Y1216" i="3"/>
  <c r="Z1216" i="3"/>
  <c r="AA1216" i="3"/>
  <c r="T1217" i="3"/>
  <c r="U1217" i="3"/>
  <c r="V1217" i="3"/>
  <c r="W1217" i="3"/>
  <c r="X1217" i="3"/>
  <c r="Y1217" i="3"/>
  <c r="Z1217" i="3"/>
  <c r="AA1217" i="3"/>
  <c r="T1218" i="3"/>
  <c r="U1218" i="3"/>
  <c r="V1218" i="3"/>
  <c r="W1218" i="3"/>
  <c r="X1218" i="3"/>
  <c r="Y1218" i="3"/>
  <c r="Z1218" i="3"/>
  <c r="AA1218" i="3"/>
  <c r="T1219" i="3"/>
  <c r="U1219" i="3"/>
  <c r="V1219" i="3"/>
  <c r="W1219" i="3"/>
  <c r="X1219" i="3"/>
  <c r="Y1219" i="3"/>
  <c r="Z1219" i="3"/>
  <c r="AA1219" i="3"/>
  <c r="T1220" i="3"/>
  <c r="U1220" i="3"/>
  <c r="V1220" i="3"/>
  <c r="W1220" i="3"/>
  <c r="X1220" i="3"/>
  <c r="Y1220" i="3"/>
  <c r="Z1220" i="3"/>
  <c r="AA1220" i="3"/>
  <c r="T1221" i="3"/>
  <c r="U1221" i="3"/>
  <c r="V1221" i="3"/>
  <c r="W1221" i="3"/>
  <c r="X1221" i="3"/>
  <c r="Y1221" i="3"/>
  <c r="Z1221" i="3"/>
  <c r="AA1221" i="3"/>
  <c r="T1222" i="3"/>
  <c r="U1222" i="3"/>
  <c r="V1222" i="3"/>
  <c r="W1222" i="3"/>
  <c r="X1222" i="3"/>
  <c r="Y1222" i="3"/>
  <c r="Z1222" i="3"/>
  <c r="AA1222" i="3"/>
  <c r="T1223" i="3"/>
  <c r="U1223" i="3"/>
  <c r="V1223" i="3"/>
  <c r="W1223" i="3"/>
  <c r="X1223" i="3"/>
  <c r="Y1223" i="3"/>
  <c r="Z1223" i="3"/>
  <c r="AA1223" i="3"/>
  <c r="T1224" i="3"/>
  <c r="U1224" i="3"/>
  <c r="V1224" i="3"/>
  <c r="W1224" i="3"/>
  <c r="X1224" i="3"/>
  <c r="Y1224" i="3"/>
  <c r="Z1224" i="3"/>
  <c r="AA1224" i="3"/>
  <c r="T1225" i="3"/>
  <c r="U1225" i="3"/>
  <c r="V1225" i="3"/>
  <c r="W1225" i="3"/>
  <c r="X1225" i="3"/>
  <c r="Y1225" i="3"/>
  <c r="Z1225" i="3"/>
  <c r="AA1225" i="3"/>
  <c r="U1193" i="3"/>
  <c r="V1193" i="3"/>
  <c r="W1193" i="3"/>
  <c r="X1193" i="3"/>
  <c r="Y1193" i="3"/>
  <c r="Z1193" i="3"/>
  <c r="AA1193" i="3"/>
  <c r="T1193" i="3"/>
  <c r="T1160" i="3"/>
  <c r="U1160" i="3"/>
  <c r="V1160" i="3"/>
  <c r="W1160" i="3"/>
  <c r="X1160" i="3"/>
  <c r="Y1160" i="3"/>
  <c r="Z1160" i="3"/>
  <c r="AA1160" i="3"/>
  <c r="T1161" i="3"/>
  <c r="U1161" i="3"/>
  <c r="V1161" i="3"/>
  <c r="W1161" i="3"/>
  <c r="X1161" i="3"/>
  <c r="Y1161" i="3"/>
  <c r="Z1161" i="3"/>
  <c r="AA1161" i="3"/>
  <c r="T1162" i="3"/>
  <c r="U1162" i="3"/>
  <c r="V1162" i="3"/>
  <c r="W1162" i="3"/>
  <c r="X1162" i="3"/>
  <c r="Y1162" i="3"/>
  <c r="Z1162" i="3"/>
  <c r="AA1162" i="3"/>
  <c r="T1163" i="3"/>
  <c r="U1163" i="3"/>
  <c r="V1163" i="3"/>
  <c r="W1163" i="3"/>
  <c r="X1163" i="3"/>
  <c r="Y1163" i="3"/>
  <c r="Z1163" i="3"/>
  <c r="AA1163" i="3"/>
  <c r="T1164" i="3"/>
  <c r="U1164" i="3"/>
  <c r="V1164" i="3"/>
  <c r="W1164" i="3"/>
  <c r="X1164" i="3"/>
  <c r="Y1164" i="3"/>
  <c r="Z1164" i="3"/>
  <c r="AA1164" i="3"/>
  <c r="T1165" i="3"/>
  <c r="U1165" i="3"/>
  <c r="V1165" i="3"/>
  <c r="W1165" i="3"/>
  <c r="X1165" i="3"/>
  <c r="Y1165" i="3"/>
  <c r="Z1165" i="3"/>
  <c r="AA1165" i="3"/>
  <c r="T1166" i="3"/>
  <c r="U1166" i="3"/>
  <c r="V1166" i="3"/>
  <c r="W1166" i="3"/>
  <c r="X1166" i="3"/>
  <c r="Y1166" i="3"/>
  <c r="Z1166" i="3"/>
  <c r="AA1166" i="3"/>
  <c r="T1167" i="3"/>
  <c r="U1167" i="3"/>
  <c r="V1167" i="3"/>
  <c r="W1167" i="3"/>
  <c r="X1167" i="3"/>
  <c r="Y1167" i="3"/>
  <c r="Z1167" i="3"/>
  <c r="AA1167" i="3"/>
  <c r="T1168" i="3"/>
  <c r="U1168" i="3"/>
  <c r="V1168" i="3"/>
  <c r="W1168" i="3"/>
  <c r="X1168" i="3"/>
  <c r="Y1168" i="3"/>
  <c r="Z1168" i="3"/>
  <c r="AA1168" i="3"/>
  <c r="T1169" i="3"/>
  <c r="U1169" i="3"/>
  <c r="V1169" i="3"/>
  <c r="W1169" i="3"/>
  <c r="X1169" i="3"/>
  <c r="Y1169" i="3"/>
  <c r="Z1169" i="3"/>
  <c r="AA1169" i="3"/>
  <c r="T1170" i="3"/>
  <c r="U1170" i="3"/>
  <c r="V1170" i="3"/>
  <c r="W1170" i="3"/>
  <c r="X1170" i="3"/>
  <c r="Y1170" i="3"/>
  <c r="Z1170" i="3"/>
  <c r="AA1170" i="3"/>
  <c r="T1171" i="3"/>
  <c r="U1171" i="3"/>
  <c r="V1171" i="3"/>
  <c r="W1171" i="3"/>
  <c r="X1171" i="3"/>
  <c r="Y1171" i="3"/>
  <c r="Z1171" i="3"/>
  <c r="AA1171" i="3"/>
  <c r="T1172" i="3"/>
  <c r="U1172" i="3"/>
  <c r="V1172" i="3"/>
  <c r="W1172" i="3"/>
  <c r="X1172" i="3"/>
  <c r="Y1172" i="3"/>
  <c r="Z1172" i="3"/>
  <c r="AA1172" i="3"/>
  <c r="T1173" i="3"/>
  <c r="U1173" i="3"/>
  <c r="V1173" i="3"/>
  <c r="W1173" i="3"/>
  <c r="X1173" i="3"/>
  <c r="Y1173" i="3"/>
  <c r="Z1173" i="3"/>
  <c r="AA1173" i="3"/>
  <c r="T1174" i="3"/>
  <c r="U1174" i="3"/>
  <c r="V1174" i="3"/>
  <c r="W1174" i="3"/>
  <c r="X1174" i="3"/>
  <c r="Y1174" i="3"/>
  <c r="Z1174" i="3"/>
  <c r="AA1174" i="3"/>
  <c r="T1175" i="3"/>
  <c r="U1175" i="3"/>
  <c r="V1175" i="3"/>
  <c r="W1175" i="3"/>
  <c r="X1175" i="3"/>
  <c r="Y1175" i="3"/>
  <c r="Z1175" i="3"/>
  <c r="AA1175" i="3"/>
  <c r="T1176" i="3"/>
  <c r="U1176" i="3"/>
  <c r="V1176" i="3"/>
  <c r="W1176" i="3"/>
  <c r="X1176" i="3"/>
  <c r="Y1176" i="3"/>
  <c r="Z1176" i="3"/>
  <c r="AA1176" i="3"/>
  <c r="T1177" i="3"/>
  <c r="U1177" i="3"/>
  <c r="V1177" i="3"/>
  <c r="W1177" i="3"/>
  <c r="X1177" i="3"/>
  <c r="Y1177" i="3"/>
  <c r="Z1177" i="3"/>
  <c r="AA1177" i="3"/>
  <c r="T1178" i="3"/>
  <c r="U1178" i="3"/>
  <c r="V1178" i="3"/>
  <c r="W1178" i="3"/>
  <c r="X1178" i="3"/>
  <c r="Y1178" i="3"/>
  <c r="Z1178" i="3"/>
  <c r="AA1178" i="3"/>
  <c r="T1179" i="3"/>
  <c r="U1179" i="3"/>
  <c r="V1179" i="3"/>
  <c r="W1179" i="3"/>
  <c r="X1179" i="3"/>
  <c r="Y1179" i="3"/>
  <c r="Z1179" i="3"/>
  <c r="AA1179" i="3"/>
  <c r="T1180" i="3"/>
  <c r="U1180" i="3"/>
  <c r="V1180" i="3"/>
  <c r="W1180" i="3"/>
  <c r="X1180" i="3"/>
  <c r="Y1180" i="3"/>
  <c r="Z1180" i="3"/>
  <c r="AA1180" i="3"/>
  <c r="T1181" i="3"/>
  <c r="U1181" i="3"/>
  <c r="V1181" i="3"/>
  <c r="W1181" i="3"/>
  <c r="X1181" i="3"/>
  <c r="Y1181" i="3"/>
  <c r="Z1181" i="3"/>
  <c r="AA1181" i="3"/>
  <c r="T1182" i="3"/>
  <c r="U1182" i="3"/>
  <c r="V1182" i="3"/>
  <c r="W1182" i="3"/>
  <c r="X1182" i="3"/>
  <c r="Y1182" i="3"/>
  <c r="Z1182" i="3"/>
  <c r="AA1182" i="3"/>
  <c r="T1183" i="3"/>
  <c r="U1183" i="3"/>
  <c r="V1183" i="3"/>
  <c r="W1183" i="3"/>
  <c r="X1183" i="3"/>
  <c r="Y1183" i="3"/>
  <c r="Z1183" i="3"/>
  <c r="AA1183" i="3"/>
  <c r="T1184" i="3"/>
  <c r="U1184" i="3"/>
  <c r="V1184" i="3"/>
  <c r="W1184" i="3"/>
  <c r="X1184" i="3"/>
  <c r="Y1184" i="3"/>
  <c r="Z1184" i="3"/>
  <c r="AA1184" i="3"/>
  <c r="T1185" i="3"/>
  <c r="U1185" i="3"/>
  <c r="V1185" i="3"/>
  <c r="W1185" i="3"/>
  <c r="X1185" i="3"/>
  <c r="Y1185" i="3"/>
  <c r="Z1185" i="3"/>
  <c r="AA1185" i="3"/>
  <c r="T1186" i="3"/>
  <c r="U1186" i="3"/>
  <c r="V1186" i="3"/>
  <c r="W1186" i="3"/>
  <c r="X1186" i="3"/>
  <c r="Y1186" i="3"/>
  <c r="Z1186" i="3"/>
  <c r="AA1186" i="3"/>
  <c r="T1187" i="3"/>
  <c r="U1187" i="3"/>
  <c r="V1187" i="3"/>
  <c r="W1187" i="3"/>
  <c r="X1187" i="3"/>
  <c r="Y1187" i="3"/>
  <c r="Z1187" i="3"/>
  <c r="AA1187" i="3"/>
  <c r="T1188" i="3"/>
  <c r="U1188" i="3"/>
  <c r="V1188" i="3"/>
  <c r="W1188" i="3"/>
  <c r="X1188" i="3"/>
  <c r="Y1188" i="3"/>
  <c r="Z1188" i="3"/>
  <c r="AA1188" i="3"/>
  <c r="T1189" i="3"/>
  <c r="U1189" i="3"/>
  <c r="V1189" i="3"/>
  <c r="W1189" i="3"/>
  <c r="X1189" i="3"/>
  <c r="Y1189" i="3"/>
  <c r="Z1189" i="3"/>
  <c r="AA1189" i="3"/>
  <c r="T1190" i="3"/>
  <c r="U1190" i="3"/>
  <c r="V1190" i="3"/>
  <c r="W1190" i="3"/>
  <c r="X1190" i="3"/>
  <c r="Y1190" i="3"/>
  <c r="Z1190" i="3"/>
  <c r="AA1190" i="3"/>
  <c r="T1191" i="3"/>
  <c r="U1191" i="3"/>
  <c r="R1158" i="2" s="1"/>
  <c r="V1191" i="3"/>
  <c r="W1191" i="3"/>
  <c r="X1191" i="3"/>
  <c r="Y1191" i="3"/>
  <c r="Z1191" i="3"/>
  <c r="AA1191" i="3"/>
  <c r="U1159" i="3"/>
  <c r="V1159" i="3"/>
  <c r="W1159" i="3"/>
  <c r="X1159" i="3"/>
  <c r="Y1159" i="3"/>
  <c r="Z1159" i="3"/>
  <c r="AA1159" i="3"/>
  <c r="T1159" i="3"/>
  <c r="T1126" i="3"/>
  <c r="U1126" i="3"/>
  <c r="V1126" i="3"/>
  <c r="W1126" i="3"/>
  <c r="X1126" i="3"/>
  <c r="Y1126" i="3"/>
  <c r="Z1126" i="3"/>
  <c r="AA1126" i="3"/>
  <c r="T1127" i="3"/>
  <c r="U1127" i="3"/>
  <c r="V1127" i="3"/>
  <c r="W1127" i="3"/>
  <c r="X1127" i="3"/>
  <c r="Y1127" i="3"/>
  <c r="Z1127" i="3"/>
  <c r="AA1127" i="3"/>
  <c r="T1128" i="3"/>
  <c r="U1128" i="3"/>
  <c r="V1128" i="3"/>
  <c r="W1128" i="3"/>
  <c r="X1128" i="3"/>
  <c r="Y1128" i="3"/>
  <c r="Z1128" i="3"/>
  <c r="AA1128" i="3"/>
  <c r="T1129" i="3"/>
  <c r="U1129" i="3"/>
  <c r="V1129" i="3"/>
  <c r="W1129" i="3"/>
  <c r="X1129" i="3"/>
  <c r="Y1129" i="3"/>
  <c r="Z1129" i="3"/>
  <c r="AA1129" i="3"/>
  <c r="T1130" i="3"/>
  <c r="U1130" i="3"/>
  <c r="V1130" i="3"/>
  <c r="W1130" i="3"/>
  <c r="X1130" i="3"/>
  <c r="Y1130" i="3"/>
  <c r="Z1130" i="3"/>
  <c r="AA1130" i="3"/>
  <c r="T1131" i="3"/>
  <c r="U1131" i="3"/>
  <c r="V1131" i="3"/>
  <c r="W1131" i="3"/>
  <c r="X1131" i="3"/>
  <c r="Y1131" i="3"/>
  <c r="Z1131" i="3"/>
  <c r="AA1131" i="3"/>
  <c r="T1132" i="3"/>
  <c r="U1132" i="3"/>
  <c r="V1132" i="3"/>
  <c r="W1132" i="3"/>
  <c r="X1132" i="3"/>
  <c r="Y1132" i="3"/>
  <c r="Z1132" i="3"/>
  <c r="AA1132" i="3"/>
  <c r="T1133" i="3"/>
  <c r="U1133" i="3"/>
  <c r="V1133" i="3"/>
  <c r="W1133" i="3"/>
  <c r="X1133" i="3"/>
  <c r="Y1133" i="3"/>
  <c r="Z1133" i="3"/>
  <c r="AA1133" i="3"/>
  <c r="T1134" i="3"/>
  <c r="U1134" i="3"/>
  <c r="V1134" i="3"/>
  <c r="W1134" i="3"/>
  <c r="X1134" i="3"/>
  <c r="Y1134" i="3"/>
  <c r="Z1134" i="3"/>
  <c r="AA1134" i="3"/>
  <c r="T1135" i="3"/>
  <c r="U1135" i="3"/>
  <c r="V1135" i="3"/>
  <c r="W1135" i="3"/>
  <c r="X1135" i="3"/>
  <c r="Y1135" i="3"/>
  <c r="Z1135" i="3"/>
  <c r="AA1135" i="3"/>
  <c r="T1136" i="3"/>
  <c r="U1136" i="3"/>
  <c r="V1136" i="3"/>
  <c r="W1136" i="3"/>
  <c r="X1136" i="3"/>
  <c r="Y1136" i="3"/>
  <c r="Z1136" i="3"/>
  <c r="AA1136" i="3"/>
  <c r="T1137" i="3"/>
  <c r="U1137" i="3"/>
  <c r="V1137" i="3"/>
  <c r="W1137" i="3"/>
  <c r="X1137" i="3"/>
  <c r="Y1137" i="3"/>
  <c r="Z1137" i="3"/>
  <c r="AA1137" i="3"/>
  <c r="T1138" i="3"/>
  <c r="U1138" i="3"/>
  <c r="V1138" i="3"/>
  <c r="W1138" i="3"/>
  <c r="X1138" i="3"/>
  <c r="Y1138" i="3"/>
  <c r="Z1138" i="3"/>
  <c r="AA1138" i="3"/>
  <c r="T1139" i="3"/>
  <c r="U1139" i="3"/>
  <c r="V1139" i="3"/>
  <c r="W1139" i="3"/>
  <c r="X1139" i="3"/>
  <c r="Y1139" i="3"/>
  <c r="Z1139" i="3"/>
  <c r="AA1139" i="3"/>
  <c r="T1140" i="3"/>
  <c r="U1140" i="3"/>
  <c r="V1140" i="3"/>
  <c r="W1140" i="3"/>
  <c r="X1140" i="3"/>
  <c r="Y1140" i="3"/>
  <c r="Z1140" i="3"/>
  <c r="AA1140" i="3"/>
  <c r="T1141" i="3"/>
  <c r="U1141" i="3"/>
  <c r="V1141" i="3"/>
  <c r="W1141" i="3"/>
  <c r="X1141" i="3"/>
  <c r="Y1141" i="3"/>
  <c r="Z1141" i="3"/>
  <c r="AA1141" i="3"/>
  <c r="T1142" i="3"/>
  <c r="U1142" i="3"/>
  <c r="V1142" i="3"/>
  <c r="W1142" i="3"/>
  <c r="X1142" i="3"/>
  <c r="Y1142" i="3"/>
  <c r="Z1142" i="3"/>
  <c r="AA1142" i="3"/>
  <c r="T1143" i="3"/>
  <c r="U1143" i="3"/>
  <c r="V1143" i="3"/>
  <c r="W1143" i="3"/>
  <c r="X1143" i="3"/>
  <c r="Y1143" i="3"/>
  <c r="Z1143" i="3"/>
  <c r="AA1143" i="3"/>
  <c r="T1144" i="3"/>
  <c r="U1144" i="3"/>
  <c r="V1144" i="3"/>
  <c r="W1144" i="3"/>
  <c r="X1144" i="3"/>
  <c r="Y1144" i="3"/>
  <c r="Z1144" i="3"/>
  <c r="AA1144" i="3"/>
  <c r="T1145" i="3"/>
  <c r="U1145" i="3"/>
  <c r="V1145" i="3"/>
  <c r="W1145" i="3"/>
  <c r="X1145" i="3"/>
  <c r="Y1145" i="3"/>
  <c r="Z1145" i="3"/>
  <c r="AA1145" i="3"/>
  <c r="T1146" i="3"/>
  <c r="U1146" i="3"/>
  <c r="V1146" i="3"/>
  <c r="W1146" i="3"/>
  <c r="X1146" i="3"/>
  <c r="Y1146" i="3"/>
  <c r="Z1146" i="3"/>
  <c r="AA1146" i="3"/>
  <c r="T1147" i="3"/>
  <c r="U1147" i="3"/>
  <c r="V1147" i="3"/>
  <c r="W1147" i="3"/>
  <c r="X1147" i="3"/>
  <c r="Y1147" i="3"/>
  <c r="Z1147" i="3"/>
  <c r="AA1147" i="3"/>
  <c r="T1148" i="3"/>
  <c r="U1148" i="3"/>
  <c r="V1148" i="3"/>
  <c r="W1148" i="3"/>
  <c r="X1148" i="3"/>
  <c r="Y1148" i="3"/>
  <c r="Z1148" i="3"/>
  <c r="AA1148" i="3"/>
  <c r="T1149" i="3"/>
  <c r="U1149" i="3"/>
  <c r="V1149" i="3"/>
  <c r="W1149" i="3"/>
  <c r="X1149" i="3"/>
  <c r="Y1149" i="3"/>
  <c r="Z1149" i="3"/>
  <c r="AA1149" i="3"/>
  <c r="T1150" i="3"/>
  <c r="U1150" i="3"/>
  <c r="V1150" i="3"/>
  <c r="W1150" i="3"/>
  <c r="X1150" i="3"/>
  <c r="Y1150" i="3"/>
  <c r="Z1150" i="3"/>
  <c r="AA1150" i="3"/>
  <c r="T1151" i="3"/>
  <c r="U1151" i="3"/>
  <c r="V1151" i="3"/>
  <c r="W1151" i="3"/>
  <c r="X1151" i="3"/>
  <c r="Y1151" i="3"/>
  <c r="Z1151" i="3"/>
  <c r="AA1151" i="3"/>
  <c r="T1152" i="3"/>
  <c r="U1152" i="3"/>
  <c r="V1152" i="3"/>
  <c r="W1152" i="3"/>
  <c r="X1152" i="3"/>
  <c r="Y1152" i="3"/>
  <c r="Z1152" i="3"/>
  <c r="AA1152" i="3"/>
  <c r="T1153" i="3"/>
  <c r="U1153" i="3"/>
  <c r="V1153" i="3"/>
  <c r="W1153" i="3"/>
  <c r="X1153" i="3"/>
  <c r="Y1153" i="3"/>
  <c r="Z1153" i="3"/>
  <c r="AA1153" i="3"/>
  <c r="T1154" i="3"/>
  <c r="U1154" i="3"/>
  <c r="V1154" i="3"/>
  <c r="W1154" i="3"/>
  <c r="X1154" i="3"/>
  <c r="Y1154" i="3"/>
  <c r="Z1154" i="3"/>
  <c r="AA1154" i="3"/>
  <c r="T1155" i="3"/>
  <c r="U1155" i="3"/>
  <c r="V1155" i="3"/>
  <c r="W1155" i="3"/>
  <c r="X1155" i="3"/>
  <c r="Y1155" i="3"/>
  <c r="Z1155" i="3"/>
  <c r="AA1155" i="3"/>
  <c r="T1156" i="3"/>
  <c r="U1156" i="3"/>
  <c r="V1156" i="3"/>
  <c r="W1156" i="3"/>
  <c r="X1156" i="3"/>
  <c r="Y1156" i="3"/>
  <c r="Z1156" i="3"/>
  <c r="AA1156" i="3"/>
  <c r="T1157" i="3"/>
  <c r="U1157" i="3"/>
  <c r="V1157" i="3"/>
  <c r="W1157" i="3"/>
  <c r="X1157" i="3"/>
  <c r="Y1157" i="3"/>
  <c r="Z1157" i="3"/>
  <c r="AA1157" i="3"/>
  <c r="U1125" i="3"/>
  <c r="V1125" i="3"/>
  <c r="W1125" i="3"/>
  <c r="X1125" i="3"/>
  <c r="Y1125" i="3"/>
  <c r="Z1125" i="3"/>
  <c r="AA1125" i="3"/>
  <c r="T1125" i="3"/>
  <c r="T1092" i="3"/>
  <c r="U1092" i="3"/>
  <c r="V1092" i="3"/>
  <c r="W1092" i="3"/>
  <c r="X1092" i="3"/>
  <c r="Y1092" i="3"/>
  <c r="Z1092" i="3"/>
  <c r="AA1092" i="3"/>
  <c r="T1093" i="3"/>
  <c r="U1093" i="3"/>
  <c r="V1093" i="3"/>
  <c r="W1093" i="3"/>
  <c r="X1093" i="3"/>
  <c r="Y1093" i="3"/>
  <c r="Z1093" i="3"/>
  <c r="AA1093" i="3"/>
  <c r="T1094" i="3"/>
  <c r="U1094" i="3"/>
  <c r="V1094" i="3"/>
  <c r="W1094" i="3"/>
  <c r="X1094" i="3"/>
  <c r="Y1094" i="3"/>
  <c r="Z1094" i="3"/>
  <c r="AA1094" i="3"/>
  <c r="T1095" i="3"/>
  <c r="U1095" i="3"/>
  <c r="V1095" i="3"/>
  <c r="W1095" i="3"/>
  <c r="X1095" i="3"/>
  <c r="Y1095" i="3"/>
  <c r="Z1095" i="3"/>
  <c r="AA1095" i="3"/>
  <c r="T1096" i="3"/>
  <c r="U1096" i="3"/>
  <c r="V1096" i="3"/>
  <c r="W1096" i="3"/>
  <c r="X1096" i="3"/>
  <c r="Y1096" i="3"/>
  <c r="Z1096" i="3"/>
  <c r="AA1096" i="3"/>
  <c r="T1097" i="3"/>
  <c r="U1097" i="3"/>
  <c r="V1097" i="3"/>
  <c r="W1097" i="3"/>
  <c r="X1097" i="3"/>
  <c r="Y1097" i="3"/>
  <c r="Z1097" i="3"/>
  <c r="AA1097" i="3"/>
  <c r="T1098" i="3"/>
  <c r="U1098" i="3"/>
  <c r="V1098" i="3"/>
  <c r="W1098" i="3"/>
  <c r="X1098" i="3"/>
  <c r="Y1098" i="3"/>
  <c r="Z1098" i="3"/>
  <c r="AA1098" i="3"/>
  <c r="T1099" i="3"/>
  <c r="U1099" i="3"/>
  <c r="V1099" i="3"/>
  <c r="W1099" i="3"/>
  <c r="X1099" i="3"/>
  <c r="Y1099" i="3"/>
  <c r="Z1099" i="3"/>
  <c r="AA1099" i="3"/>
  <c r="T1100" i="3"/>
  <c r="U1100" i="3"/>
  <c r="V1100" i="3"/>
  <c r="W1100" i="3"/>
  <c r="X1100" i="3"/>
  <c r="Y1100" i="3"/>
  <c r="Z1100" i="3"/>
  <c r="AA1100" i="3"/>
  <c r="T1101" i="3"/>
  <c r="U1101" i="3"/>
  <c r="V1101" i="3"/>
  <c r="W1101" i="3"/>
  <c r="X1101" i="3"/>
  <c r="Y1101" i="3"/>
  <c r="Z1101" i="3"/>
  <c r="AA1101" i="3"/>
  <c r="T1102" i="3"/>
  <c r="U1102" i="3"/>
  <c r="V1102" i="3"/>
  <c r="W1102" i="3"/>
  <c r="X1102" i="3"/>
  <c r="Y1102" i="3"/>
  <c r="Z1102" i="3"/>
  <c r="AA1102" i="3"/>
  <c r="T1103" i="3"/>
  <c r="U1103" i="3"/>
  <c r="V1103" i="3"/>
  <c r="W1103" i="3"/>
  <c r="X1103" i="3"/>
  <c r="Y1103" i="3"/>
  <c r="Z1103" i="3"/>
  <c r="AA1103" i="3"/>
  <c r="T1104" i="3"/>
  <c r="U1104" i="3"/>
  <c r="V1104" i="3"/>
  <c r="W1104" i="3"/>
  <c r="X1104" i="3"/>
  <c r="Y1104" i="3"/>
  <c r="Z1104" i="3"/>
  <c r="AA1104" i="3"/>
  <c r="T1105" i="3"/>
  <c r="U1105" i="3"/>
  <c r="V1105" i="3"/>
  <c r="W1105" i="3"/>
  <c r="X1105" i="3"/>
  <c r="Y1105" i="3"/>
  <c r="Z1105" i="3"/>
  <c r="AA1105" i="3"/>
  <c r="T1106" i="3"/>
  <c r="U1106" i="3"/>
  <c r="V1106" i="3"/>
  <c r="W1106" i="3"/>
  <c r="X1106" i="3"/>
  <c r="Y1106" i="3"/>
  <c r="Z1106" i="3"/>
  <c r="AA1106" i="3"/>
  <c r="T1107" i="3"/>
  <c r="U1107" i="3"/>
  <c r="V1107" i="3"/>
  <c r="W1107" i="3"/>
  <c r="X1107" i="3"/>
  <c r="Y1107" i="3"/>
  <c r="Z1107" i="3"/>
  <c r="AA1107" i="3"/>
  <c r="T1108" i="3"/>
  <c r="U1108" i="3"/>
  <c r="V1108" i="3"/>
  <c r="W1108" i="3"/>
  <c r="X1108" i="3"/>
  <c r="Y1108" i="3"/>
  <c r="Z1108" i="3"/>
  <c r="AA1108" i="3"/>
  <c r="T1109" i="3"/>
  <c r="U1109" i="3"/>
  <c r="V1109" i="3"/>
  <c r="W1109" i="3"/>
  <c r="X1109" i="3"/>
  <c r="Y1109" i="3"/>
  <c r="Z1109" i="3"/>
  <c r="AA1109" i="3"/>
  <c r="T1110" i="3"/>
  <c r="U1110" i="3"/>
  <c r="V1110" i="3"/>
  <c r="W1110" i="3"/>
  <c r="X1110" i="3"/>
  <c r="Y1110" i="3"/>
  <c r="Z1110" i="3"/>
  <c r="AA1110" i="3"/>
  <c r="T1111" i="3"/>
  <c r="U1111" i="3"/>
  <c r="V1111" i="3"/>
  <c r="W1111" i="3"/>
  <c r="X1111" i="3"/>
  <c r="Y1111" i="3"/>
  <c r="Z1111" i="3"/>
  <c r="AA1111" i="3"/>
  <c r="T1112" i="3"/>
  <c r="U1112" i="3"/>
  <c r="V1112" i="3"/>
  <c r="W1112" i="3"/>
  <c r="X1112" i="3"/>
  <c r="Y1112" i="3"/>
  <c r="Z1112" i="3"/>
  <c r="AA1112" i="3"/>
  <c r="T1113" i="3"/>
  <c r="U1113" i="3"/>
  <c r="V1113" i="3"/>
  <c r="W1113" i="3"/>
  <c r="X1113" i="3"/>
  <c r="Y1113" i="3"/>
  <c r="Z1113" i="3"/>
  <c r="AA1113" i="3"/>
  <c r="T1114" i="3"/>
  <c r="U1114" i="3"/>
  <c r="V1114" i="3"/>
  <c r="W1114" i="3"/>
  <c r="X1114" i="3"/>
  <c r="Y1114" i="3"/>
  <c r="Z1114" i="3"/>
  <c r="AA1114" i="3"/>
  <c r="T1115" i="3"/>
  <c r="U1115" i="3"/>
  <c r="V1115" i="3"/>
  <c r="W1115" i="3"/>
  <c r="X1115" i="3"/>
  <c r="Y1115" i="3"/>
  <c r="Z1115" i="3"/>
  <c r="AA1115" i="3"/>
  <c r="T1116" i="3"/>
  <c r="U1116" i="3"/>
  <c r="V1116" i="3"/>
  <c r="W1116" i="3"/>
  <c r="X1116" i="3"/>
  <c r="Y1116" i="3"/>
  <c r="Z1116" i="3"/>
  <c r="AA1116" i="3"/>
  <c r="T1117" i="3"/>
  <c r="U1117" i="3"/>
  <c r="V1117" i="3"/>
  <c r="W1117" i="3"/>
  <c r="X1117" i="3"/>
  <c r="Y1117" i="3"/>
  <c r="Z1117" i="3"/>
  <c r="AA1117" i="3"/>
  <c r="T1118" i="3"/>
  <c r="U1118" i="3"/>
  <c r="V1118" i="3"/>
  <c r="W1118" i="3"/>
  <c r="X1118" i="3"/>
  <c r="Y1118" i="3"/>
  <c r="Z1118" i="3"/>
  <c r="AA1118" i="3"/>
  <c r="T1119" i="3"/>
  <c r="U1119" i="3"/>
  <c r="V1119" i="3"/>
  <c r="W1119" i="3"/>
  <c r="X1119" i="3"/>
  <c r="Y1119" i="3"/>
  <c r="Z1119" i="3"/>
  <c r="AA1119" i="3"/>
  <c r="T1120" i="3"/>
  <c r="U1120" i="3"/>
  <c r="V1120" i="3"/>
  <c r="W1120" i="3"/>
  <c r="X1120" i="3"/>
  <c r="Y1120" i="3"/>
  <c r="Z1120" i="3"/>
  <c r="AA1120" i="3"/>
  <c r="T1121" i="3"/>
  <c r="U1121" i="3"/>
  <c r="V1121" i="3"/>
  <c r="W1121" i="3"/>
  <c r="X1121" i="3"/>
  <c r="Y1121" i="3"/>
  <c r="Z1121" i="3"/>
  <c r="AA1121" i="3"/>
  <c r="T1122" i="3"/>
  <c r="U1122" i="3"/>
  <c r="V1122" i="3"/>
  <c r="W1122" i="3"/>
  <c r="X1122" i="3"/>
  <c r="Y1122" i="3"/>
  <c r="Z1122" i="3"/>
  <c r="AA1122" i="3"/>
  <c r="T1123" i="3"/>
  <c r="U1123" i="3"/>
  <c r="V1123" i="3"/>
  <c r="W1123" i="3"/>
  <c r="X1123" i="3"/>
  <c r="Y1123" i="3"/>
  <c r="Z1123" i="3"/>
  <c r="AA1123" i="3"/>
  <c r="U1091" i="3"/>
  <c r="V1091" i="3"/>
  <c r="W1091" i="3"/>
  <c r="X1091" i="3"/>
  <c r="Y1091" i="3"/>
  <c r="Z1091" i="3"/>
  <c r="AA1091" i="3"/>
  <c r="T1091" i="3"/>
  <c r="T1058" i="3"/>
  <c r="U1058" i="3"/>
  <c r="V1058" i="3"/>
  <c r="W1058" i="3"/>
  <c r="X1058" i="3"/>
  <c r="Y1058" i="3"/>
  <c r="Z1058" i="3"/>
  <c r="AA1058" i="3"/>
  <c r="T1059" i="3"/>
  <c r="U1059" i="3"/>
  <c r="V1059" i="3"/>
  <c r="W1059" i="3"/>
  <c r="X1059" i="3"/>
  <c r="Y1059" i="3"/>
  <c r="Z1059" i="3"/>
  <c r="AA1059" i="3"/>
  <c r="T1060" i="3"/>
  <c r="U1060" i="3"/>
  <c r="V1060" i="3"/>
  <c r="W1060" i="3"/>
  <c r="X1060" i="3"/>
  <c r="Y1060" i="3"/>
  <c r="Z1060" i="3"/>
  <c r="AA1060" i="3"/>
  <c r="T1061" i="3"/>
  <c r="U1061" i="3"/>
  <c r="V1061" i="3"/>
  <c r="W1061" i="3"/>
  <c r="X1061" i="3"/>
  <c r="Y1061" i="3"/>
  <c r="Z1061" i="3"/>
  <c r="AA1061" i="3"/>
  <c r="T1062" i="3"/>
  <c r="U1062" i="3"/>
  <c r="V1062" i="3"/>
  <c r="W1062" i="3"/>
  <c r="X1062" i="3"/>
  <c r="Y1062" i="3"/>
  <c r="Z1062" i="3"/>
  <c r="AA1062" i="3"/>
  <c r="T1063" i="3"/>
  <c r="U1063" i="3"/>
  <c r="V1063" i="3"/>
  <c r="W1063" i="3"/>
  <c r="X1063" i="3"/>
  <c r="Y1063" i="3"/>
  <c r="Z1063" i="3"/>
  <c r="AA1063" i="3"/>
  <c r="T1064" i="3"/>
  <c r="U1064" i="3"/>
  <c r="V1064" i="3"/>
  <c r="W1064" i="3"/>
  <c r="X1064" i="3"/>
  <c r="Y1064" i="3"/>
  <c r="Z1064" i="3"/>
  <c r="AA1064" i="3"/>
  <c r="T1065" i="3"/>
  <c r="U1065" i="3"/>
  <c r="V1065" i="3"/>
  <c r="W1065" i="3"/>
  <c r="X1065" i="3"/>
  <c r="Y1065" i="3"/>
  <c r="Z1065" i="3"/>
  <c r="AA1065" i="3"/>
  <c r="T1066" i="3"/>
  <c r="U1066" i="3"/>
  <c r="V1066" i="3"/>
  <c r="W1066" i="3"/>
  <c r="X1066" i="3"/>
  <c r="Y1066" i="3"/>
  <c r="Z1066" i="3"/>
  <c r="AA1066" i="3"/>
  <c r="T1067" i="3"/>
  <c r="U1067" i="3"/>
  <c r="V1067" i="3"/>
  <c r="W1067" i="3"/>
  <c r="X1067" i="3"/>
  <c r="Y1067" i="3"/>
  <c r="Z1067" i="3"/>
  <c r="AA1067" i="3"/>
  <c r="T1068" i="3"/>
  <c r="U1068" i="3"/>
  <c r="V1068" i="3"/>
  <c r="W1068" i="3"/>
  <c r="X1068" i="3"/>
  <c r="Y1068" i="3"/>
  <c r="Z1068" i="3"/>
  <c r="AA1068" i="3"/>
  <c r="T1069" i="3"/>
  <c r="U1069" i="3"/>
  <c r="V1069" i="3"/>
  <c r="W1069" i="3"/>
  <c r="X1069" i="3"/>
  <c r="Y1069" i="3"/>
  <c r="Z1069" i="3"/>
  <c r="AA1069" i="3"/>
  <c r="T1070" i="3"/>
  <c r="U1070" i="3"/>
  <c r="V1070" i="3"/>
  <c r="W1070" i="3"/>
  <c r="X1070" i="3"/>
  <c r="Y1070" i="3"/>
  <c r="Z1070" i="3"/>
  <c r="AA1070" i="3"/>
  <c r="T1071" i="3"/>
  <c r="U1071" i="3"/>
  <c r="V1071" i="3"/>
  <c r="W1071" i="3"/>
  <c r="X1071" i="3"/>
  <c r="Y1071" i="3"/>
  <c r="Z1071" i="3"/>
  <c r="AA1071" i="3"/>
  <c r="T1072" i="3"/>
  <c r="U1072" i="3"/>
  <c r="V1072" i="3"/>
  <c r="W1072" i="3"/>
  <c r="X1072" i="3"/>
  <c r="Y1072" i="3"/>
  <c r="Z1072" i="3"/>
  <c r="AA1072" i="3"/>
  <c r="T1073" i="3"/>
  <c r="U1073" i="3"/>
  <c r="V1073" i="3"/>
  <c r="W1073" i="3"/>
  <c r="X1073" i="3"/>
  <c r="Y1073" i="3"/>
  <c r="Z1073" i="3"/>
  <c r="AA1073" i="3"/>
  <c r="T1074" i="3"/>
  <c r="U1074" i="3"/>
  <c r="V1074" i="3"/>
  <c r="W1074" i="3"/>
  <c r="X1074" i="3"/>
  <c r="Y1074" i="3"/>
  <c r="Z1074" i="3"/>
  <c r="AA1074" i="3"/>
  <c r="T1075" i="3"/>
  <c r="U1075" i="3"/>
  <c r="V1075" i="3"/>
  <c r="W1075" i="3"/>
  <c r="X1075" i="3"/>
  <c r="Y1075" i="3"/>
  <c r="Z1075" i="3"/>
  <c r="AA1075" i="3"/>
  <c r="T1076" i="3"/>
  <c r="U1076" i="3"/>
  <c r="V1076" i="3"/>
  <c r="W1076" i="3"/>
  <c r="X1076" i="3"/>
  <c r="Y1076" i="3"/>
  <c r="Z1076" i="3"/>
  <c r="AA1076" i="3"/>
  <c r="T1077" i="3"/>
  <c r="U1077" i="3"/>
  <c r="V1077" i="3"/>
  <c r="W1077" i="3"/>
  <c r="X1077" i="3"/>
  <c r="Y1077" i="3"/>
  <c r="Z1077" i="3"/>
  <c r="AA1077" i="3"/>
  <c r="T1078" i="3"/>
  <c r="U1078" i="3"/>
  <c r="V1078" i="3"/>
  <c r="W1078" i="3"/>
  <c r="X1078" i="3"/>
  <c r="Y1078" i="3"/>
  <c r="Z1078" i="3"/>
  <c r="AA1078" i="3"/>
  <c r="T1079" i="3"/>
  <c r="U1079" i="3"/>
  <c r="V1079" i="3"/>
  <c r="W1079" i="3"/>
  <c r="X1079" i="3"/>
  <c r="Y1079" i="3"/>
  <c r="Z1079" i="3"/>
  <c r="AA1079" i="3"/>
  <c r="T1080" i="3"/>
  <c r="U1080" i="3"/>
  <c r="V1080" i="3"/>
  <c r="W1080" i="3"/>
  <c r="X1080" i="3"/>
  <c r="Y1080" i="3"/>
  <c r="Z1080" i="3"/>
  <c r="AA1080" i="3"/>
  <c r="T1081" i="3"/>
  <c r="U1081" i="3"/>
  <c r="V1081" i="3"/>
  <c r="W1081" i="3"/>
  <c r="X1081" i="3"/>
  <c r="Y1081" i="3"/>
  <c r="Z1081" i="3"/>
  <c r="AA1081" i="3"/>
  <c r="T1082" i="3"/>
  <c r="U1082" i="3"/>
  <c r="V1082" i="3"/>
  <c r="W1082" i="3"/>
  <c r="X1082" i="3"/>
  <c r="Y1082" i="3"/>
  <c r="Z1082" i="3"/>
  <c r="AA1082" i="3"/>
  <c r="T1083" i="3"/>
  <c r="U1083" i="3"/>
  <c r="V1083" i="3"/>
  <c r="W1083" i="3"/>
  <c r="X1083" i="3"/>
  <c r="Y1083" i="3"/>
  <c r="Z1083" i="3"/>
  <c r="AA1083" i="3"/>
  <c r="T1084" i="3"/>
  <c r="U1084" i="3"/>
  <c r="V1084" i="3"/>
  <c r="W1084" i="3"/>
  <c r="X1084" i="3"/>
  <c r="Y1084" i="3"/>
  <c r="Z1084" i="3"/>
  <c r="AA1084" i="3"/>
  <c r="T1085" i="3"/>
  <c r="U1085" i="3"/>
  <c r="V1085" i="3"/>
  <c r="W1085" i="3"/>
  <c r="X1085" i="3"/>
  <c r="Y1085" i="3"/>
  <c r="Z1085" i="3"/>
  <c r="AA1085" i="3"/>
  <c r="T1086" i="3"/>
  <c r="U1086" i="3"/>
  <c r="V1086" i="3"/>
  <c r="W1086" i="3"/>
  <c r="X1086" i="3"/>
  <c r="Y1086" i="3"/>
  <c r="Z1086" i="3"/>
  <c r="AA1086" i="3"/>
  <c r="T1087" i="3"/>
  <c r="U1087" i="3"/>
  <c r="V1087" i="3"/>
  <c r="W1087" i="3"/>
  <c r="X1087" i="3"/>
  <c r="Y1087" i="3"/>
  <c r="Z1087" i="3"/>
  <c r="AA1087" i="3"/>
  <c r="T1088" i="3"/>
  <c r="U1088" i="3"/>
  <c r="V1088" i="3"/>
  <c r="W1088" i="3"/>
  <c r="X1088" i="3"/>
  <c r="Y1088" i="3"/>
  <c r="Z1088" i="3"/>
  <c r="AA1088" i="3"/>
  <c r="T1089" i="3"/>
  <c r="U1089" i="3"/>
  <c r="V1089" i="3"/>
  <c r="W1089" i="3"/>
  <c r="X1089" i="3"/>
  <c r="Y1089" i="3"/>
  <c r="Z1089" i="3"/>
  <c r="AA1089" i="3"/>
  <c r="U1057" i="3"/>
  <c r="V1057" i="3"/>
  <c r="W1057" i="3"/>
  <c r="X1057" i="3"/>
  <c r="Y1057" i="3"/>
  <c r="Z1057" i="3"/>
  <c r="AA1057" i="3"/>
  <c r="T1057" i="3"/>
  <c r="T1024" i="3"/>
  <c r="U1024" i="3"/>
  <c r="V1024" i="3"/>
  <c r="W1024" i="3"/>
  <c r="X1024" i="3"/>
  <c r="Y1024" i="3"/>
  <c r="Z1024" i="3"/>
  <c r="AA1024" i="3"/>
  <c r="T1025" i="3"/>
  <c r="U1025" i="3"/>
  <c r="V1025" i="3"/>
  <c r="W1025" i="3"/>
  <c r="X1025" i="3"/>
  <c r="Y1025" i="3"/>
  <c r="Z1025" i="3"/>
  <c r="AA1025" i="3"/>
  <c r="T1026" i="3"/>
  <c r="U1026" i="3"/>
  <c r="V1026" i="3"/>
  <c r="W1026" i="3"/>
  <c r="X1026" i="3"/>
  <c r="Y1026" i="3"/>
  <c r="Z1026" i="3"/>
  <c r="AA1026" i="3"/>
  <c r="T1027" i="3"/>
  <c r="U1027" i="3"/>
  <c r="V1027" i="3"/>
  <c r="W1027" i="3"/>
  <c r="X1027" i="3"/>
  <c r="Y1027" i="3"/>
  <c r="Z1027" i="3"/>
  <c r="AA1027" i="3"/>
  <c r="T1028" i="3"/>
  <c r="U1028" i="3"/>
  <c r="V1028" i="3"/>
  <c r="W1028" i="3"/>
  <c r="X1028" i="3"/>
  <c r="Y1028" i="3"/>
  <c r="Z1028" i="3"/>
  <c r="AA1028" i="3"/>
  <c r="T1029" i="3"/>
  <c r="U1029" i="3"/>
  <c r="V1029" i="3"/>
  <c r="W1029" i="3"/>
  <c r="X1029" i="3"/>
  <c r="Y1029" i="3"/>
  <c r="Z1029" i="3"/>
  <c r="AA1029" i="3"/>
  <c r="T1030" i="3"/>
  <c r="U1030" i="3"/>
  <c r="V1030" i="3"/>
  <c r="W1030" i="3"/>
  <c r="X1030" i="3"/>
  <c r="Y1030" i="3"/>
  <c r="Z1030" i="3"/>
  <c r="AA1030" i="3"/>
  <c r="T1031" i="3"/>
  <c r="U1031" i="3"/>
  <c r="V1031" i="3"/>
  <c r="W1031" i="3"/>
  <c r="X1031" i="3"/>
  <c r="Y1031" i="3"/>
  <c r="Z1031" i="3"/>
  <c r="AA1031" i="3"/>
  <c r="T1032" i="3"/>
  <c r="U1032" i="3"/>
  <c r="V1032" i="3"/>
  <c r="W1032" i="3"/>
  <c r="X1032" i="3"/>
  <c r="Y1032" i="3"/>
  <c r="Z1032" i="3"/>
  <c r="AA1032" i="3"/>
  <c r="T1033" i="3"/>
  <c r="U1033" i="3"/>
  <c r="V1033" i="3"/>
  <c r="W1033" i="3"/>
  <c r="X1033" i="3"/>
  <c r="Y1033" i="3"/>
  <c r="Z1033" i="3"/>
  <c r="AA1033" i="3"/>
  <c r="T1034" i="3"/>
  <c r="U1034" i="3"/>
  <c r="V1034" i="3"/>
  <c r="W1034" i="3"/>
  <c r="X1034" i="3"/>
  <c r="Y1034" i="3"/>
  <c r="Z1034" i="3"/>
  <c r="AA1034" i="3"/>
  <c r="T1035" i="3"/>
  <c r="U1035" i="3"/>
  <c r="V1035" i="3"/>
  <c r="W1035" i="3"/>
  <c r="X1035" i="3"/>
  <c r="Y1035" i="3"/>
  <c r="Z1035" i="3"/>
  <c r="AA1035" i="3"/>
  <c r="T1036" i="3"/>
  <c r="U1036" i="3"/>
  <c r="V1036" i="3"/>
  <c r="W1036" i="3"/>
  <c r="X1036" i="3"/>
  <c r="Y1036" i="3"/>
  <c r="Z1036" i="3"/>
  <c r="AA1036" i="3"/>
  <c r="T1037" i="3"/>
  <c r="U1037" i="3"/>
  <c r="V1037" i="3"/>
  <c r="W1037" i="3"/>
  <c r="X1037" i="3"/>
  <c r="Y1037" i="3"/>
  <c r="Z1037" i="3"/>
  <c r="AA1037" i="3"/>
  <c r="T1038" i="3"/>
  <c r="U1038" i="3"/>
  <c r="V1038" i="3"/>
  <c r="W1038" i="3"/>
  <c r="X1038" i="3"/>
  <c r="Y1038" i="3"/>
  <c r="Z1038" i="3"/>
  <c r="AA1038" i="3"/>
  <c r="T1039" i="3"/>
  <c r="U1039" i="3"/>
  <c r="V1039" i="3"/>
  <c r="W1039" i="3"/>
  <c r="X1039" i="3"/>
  <c r="Y1039" i="3"/>
  <c r="Z1039" i="3"/>
  <c r="AA1039" i="3"/>
  <c r="T1040" i="3"/>
  <c r="U1040" i="3"/>
  <c r="V1040" i="3"/>
  <c r="W1040" i="3"/>
  <c r="X1040" i="3"/>
  <c r="Y1040" i="3"/>
  <c r="Z1040" i="3"/>
  <c r="AA1040" i="3"/>
  <c r="T1041" i="3"/>
  <c r="U1041" i="3"/>
  <c r="V1041" i="3"/>
  <c r="W1041" i="3"/>
  <c r="X1041" i="3"/>
  <c r="Y1041" i="3"/>
  <c r="Z1041" i="3"/>
  <c r="AA1041" i="3"/>
  <c r="T1042" i="3"/>
  <c r="U1042" i="3"/>
  <c r="V1042" i="3"/>
  <c r="W1042" i="3"/>
  <c r="X1042" i="3"/>
  <c r="Y1042" i="3"/>
  <c r="Z1042" i="3"/>
  <c r="AA1042" i="3"/>
  <c r="T1043" i="3"/>
  <c r="U1043" i="3"/>
  <c r="V1043" i="3"/>
  <c r="W1043" i="3"/>
  <c r="X1043" i="3"/>
  <c r="Y1043" i="3"/>
  <c r="Z1043" i="3"/>
  <c r="AA1043" i="3"/>
  <c r="T1044" i="3"/>
  <c r="U1044" i="3"/>
  <c r="V1044" i="3"/>
  <c r="W1044" i="3"/>
  <c r="X1044" i="3"/>
  <c r="Y1044" i="3"/>
  <c r="Z1044" i="3"/>
  <c r="AA1044" i="3"/>
  <c r="T1045" i="3"/>
  <c r="U1045" i="3"/>
  <c r="V1045" i="3"/>
  <c r="W1045" i="3"/>
  <c r="X1045" i="3"/>
  <c r="Y1045" i="3"/>
  <c r="Z1045" i="3"/>
  <c r="AA1045" i="3"/>
  <c r="T1046" i="3"/>
  <c r="U1046" i="3"/>
  <c r="V1046" i="3"/>
  <c r="W1046" i="3"/>
  <c r="X1046" i="3"/>
  <c r="Y1046" i="3"/>
  <c r="Z1046" i="3"/>
  <c r="AA1046" i="3"/>
  <c r="T1047" i="3"/>
  <c r="U1047" i="3"/>
  <c r="V1047" i="3"/>
  <c r="W1047" i="3"/>
  <c r="X1047" i="3"/>
  <c r="Y1047" i="3"/>
  <c r="Z1047" i="3"/>
  <c r="AA1047" i="3"/>
  <c r="T1048" i="3"/>
  <c r="U1048" i="3"/>
  <c r="V1048" i="3"/>
  <c r="W1048" i="3"/>
  <c r="X1048" i="3"/>
  <c r="Y1048" i="3"/>
  <c r="Z1048" i="3"/>
  <c r="AA1048" i="3"/>
  <c r="T1049" i="3"/>
  <c r="U1049" i="3"/>
  <c r="V1049" i="3"/>
  <c r="W1049" i="3"/>
  <c r="X1049" i="3"/>
  <c r="Y1049" i="3"/>
  <c r="Z1049" i="3"/>
  <c r="AA1049" i="3"/>
  <c r="T1050" i="3"/>
  <c r="U1050" i="3"/>
  <c r="V1050" i="3"/>
  <c r="W1050" i="3"/>
  <c r="X1050" i="3"/>
  <c r="Y1050" i="3"/>
  <c r="Z1050" i="3"/>
  <c r="AA1050" i="3"/>
  <c r="T1051" i="3"/>
  <c r="U1051" i="3"/>
  <c r="V1051" i="3"/>
  <c r="W1051" i="3"/>
  <c r="X1051" i="3"/>
  <c r="Y1051" i="3"/>
  <c r="Z1051" i="3"/>
  <c r="AA1051" i="3"/>
  <c r="T1052" i="3"/>
  <c r="U1052" i="3"/>
  <c r="V1052" i="3"/>
  <c r="W1052" i="3"/>
  <c r="X1052" i="3"/>
  <c r="Y1052" i="3"/>
  <c r="Z1052" i="3"/>
  <c r="AA1052" i="3"/>
  <c r="T1053" i="3"/>
  <c r="U1053" i="3"/>
  <c r="V1053" i="3"/>
  <c r="W1053" i="3"/>
  <c r="X1053" i="3"/>
  <c r="Y1053" i="3"/>
  <c r="Z1053" i="3"/>
  <c r="AA1053" i="3"/>
  <c r="T1054" i="3"/>
  <c r="U1054" i="3"/>
  <c r="V1054" i="3"/>
  <c r="W1054" i="3"/>
  <c r="X1054" i="3"/>
  <c r="Y1054" i="3"/>
  <c r="Z1054" i="3"/>
  <c r="AA1054" i="3"/>
  <c r="T1055" i="3"/>
  <c r="U1055" i="3"/>
  <c r="V1055" i="3"/>
  <c r="W1055" i="3"/>
  <c r="X1055" i="3"/>
  <c r="Y1055" i="3"/>
  <c r="Z1055" i="3"/>
  <c r="AA1055" i="3"/>
  <c r="U1023" i="3"/>
  <c r="V1023" i="3"/>
  <c r="W1023" i="3"/>
  <c r="X1023" i="3"/>
  <c r="Y1023" i="3"/>
  <c r="Z1023" i="3"/>
  <c r="AA1023" i="3"/>
  <c r="T1023" i="3"/>
  <c r="T990" i="3"/>
  <c r="U990" i="3"/>
  <c r="V990" i="3"/>
  <c r="W990" i="3"/>
  <c r="X990" i="3"/>
  <c r="Y990" i="3"/>
  <c r="Z990" i="3"/>
  <c r="AA990" i="3"/>
  <c r="T991" i="3"/>
  <c r="U991" i="3"/>
  <c r="V991" i="3"/>
  <c r="W991" i="3"/>
  <c r="X991" i="3"/>
  <c r="Y991" i="3"/>
  <c r="Z991" i="3"/>
  <c r="AA991" i="3"/>
  <c r="T992" i="3"/>
  <c r="U992" i="3"/>
  <c r="V992" i="3"/>
  <c r="W992" i="3"/>
  <c r="X992" i="3"/>
  <c r="Y992" i="3"/>
  <c r="Z992" i="3"/>
  <c r="AA992" i="3"/>
  <c r="T993" i="3"/>
  <c r="U993" i="3"/>
  <c r="V993" i="3"/>
  <c r="W993" i="3"/>
  <c r="X993" i="3"/>
  <c r="Y993" i="3"/>
  <c r="Z993" i="3"/>
  <c r="AA993" i="3"/>
  <c r="T994" i="3"/>
  <c r="U994" i="3"/>
  <c r="V994" i="3"/>
  <c r="W994" i="3"/>
  <c r="X994" i="3"/>
  <c r="Y994" i="3"/>
  <c r="Z994" i="3"/>
  <c r="AA994" i="3"/>
  <c r="T995" i="3"/>
  <c r="U995" i="3"/>
  <c r="V995" i="3"/>
  <c r="W995" i="3"/>
  <c r="X995" i="3"/>
  <c r="Y995" i="3"/>
  <c r="Z995" i="3"/>
  <c r="AA995" i="3"/>
  <c r="T996" i="3"/>
  <c r="U996" i="3"/>
  <c r="V996" i="3"/>
  <c r="W996" i="3"/>
  <c r="X996" i="3"/>
  <c r="Y996" i="3"/>
  <c r="Z996" i="3"/>
  <c r="AA996" i="3"/>
  <c r="T997" i="3"/>
  <c r="U997" i="3"/>
  <c r="V997" i="3"/>
  <c r="W997" i="3"/>
  <c r="X997" i="3"/>
  <c r="Y997" i="3"/>
  <c r="Z997" i="3"/>
  <c r="AA997" i="3"/>
  <c r="T998" i="3"/>
  <c r="U998" i="3"/>
  <c r="V998" i="3"/>
  <c r="W998" i="3"/>
  <c r="X998" i="3"/>
  <c r="Y998" i="3"/>
  <c r="Z998" i="3"/>
  <c r="AA998" i="3"/>
  <c r="T999" i="3"/>
  <c r="U999" i="3"/>
  <c r="V999" i="3"/>
  <c r="W999" i="3"/>
  <c r="X999" i="3"/>
  <c r="Y999" i="3"/>
  <c r="Z999" i="3"/>
  <c r="AA999" i="3"/>
  <c r="T1000" i="3"/>
  <c r="U1000" i="3"/>
  <c r="V1000" i="3"/>
  <c r="W1000" i="3"/>
  <c r="X1000" i="3"/>
  <c r="Y1000" i="3"/>
  <c r="Z1000" i="3"/>
  <c r="AA1000" i="3"/>
  <c r="T1001" i="3"/>
  <c r="U1001" i="3"/>
  <c r="V1001" i="3"/>
  <c r="W1001" i="3"/>
  <c r="X1001" i="3"/>
  <c r="Y1001" i="3"/>
  <c r="Z1001" i="3"/>
  <c r="AA1001" i="3"/>
  <c r="T1002" i="3"/>
  <c r="U1002" i="3"/>
  <c r="V1002" i="3"/>
  <c r="W1002" i="3"/>
  <c r="X1002" i="3"/>
  <c r="Y1002" i="3"/>
  <c r="Z1002" i="3"/>
  <c r="AA1002" i="3"/>
  <c r="T1003" i="3"/>
  <c r="U1003" i="3"/>
  <c r="V1003" i="3"/>
  <c r="W1003" i="3"/>
  <c r="X1003" i="3"/>
  <c r="Y1003" i="3"/>
  <c r="Z1003" i="3"/>
  <c r="AA1003" i="3"/>
  <c r="T1004" i="3"/>
  <c r="U1004" i="3"/>
  <c r="V1004" i="3"/>
  <c r="W1004" i="3"/>
  <c r="X1004" i="3"/>
  <c r="Y1004" i="3"/>
  <c r="Z1004" i="3"/>
  <c r="AA1004" i="3"/>
  <c r="T1005" i="3"/>
  <c r="U1005" i="3"/>
  <c r="V1005" i="3"/>
  <c r="W1005" i="3"/>
  <c r="X1005" i="3"/>
  <c r="Y1005" i="3"/>
  <c r="Z1005" i="3"/>
  <c r="AA1005" i="3"/>
  <c r="T1006" i="3"/>
  <c r="U1006" i="3"/>
  <c r="V1006" i="3"/>
  <c r="W1006" i="3"/>
  <c r="X1006" i="3"/>
  <c r="Y1006" i="3"/>
  <c r="Z1006" i="3"/>
  <c r="AA1006" i="3"/>
  <c r="T1007" i="3"/>
  <c r="U1007" i="3"/>
  <c r="V1007" i="3"/>
  <c r="W1007" i="3"/>
  <c r="X1007" i="3"/>
  <c r="Y1007" i="3"/>
  <c r="Z1007" i="3"/>
  <c r="AA1007" i="3"/>
  <c r="T1008" i="3"/>
  <c r="U1008" i="3"/>
  <c r="V1008" i="3"/>
  <c r="W1008" i="3"/>
  <c r="X1008" i="3"/>
  <c r="Y1008" i="3"/>
  <c r="Z1008" i="3"/>
  <c r="AA1008" i="3"/>
  <c r="T1009" i="3"/>
  <c r="U1009" i="3"/>
  <c r="V1009" i="3"/>
  <c r="W1009" i="3"/>
  <c r="X1009" i="3"/>
  <c r="Y1009" i="3"/>
  <c r="Z1009" i="3"/>
  <c r="AA1009" i="3"/>
  <c r="T1010" i="3"/>
  <c r="U1010" i="3"/>
  <c r="V1010" i="3"/>
  <c r="W1010" i="3"/>
  <c r="X1010" i="3"/>
  <c r="Y1010" i="3"/>
  <c r="Z1010" i="3"/>
  <c r="AA1010" i="3"/>
  <c r="T1011" i="3"/>
  <c r="U1011" i="3"/>
  <c r="V1011" i="3"/>
  <c r="W1011" i="3"/>
  <c r="X1011" i="3"/>
  <c r="Y1011" i="3"/>
  <c r="Z1011" i="3"/>
  <c r="AA1011" i="3"/>
  <c r="T1012" i="3"/>
  <c r="U1012" i="3"/>
  <c r="V1012" i="3"/>
  <c r="W1012" i="3"/>
  <c r="X1012" i="3"/>
  <c r="Y1012" i="3"/>
  <c r="Z1012" i="3"/>
  <c r="AA1012" i="3"/>
  <c r="T1013" i="3"/>
  <c r="U1013" i="3"/>
  <c r="V1013" i="3"/>
  <c r="W1013" i="3"/>
  <c r="X1013" i="3"/>
  <c r="Y1013" i="3"/>
  <c r="Z1013" i="3"/>
  <c r="AA1013" i="3"/>
  <c r="T1014" i="3"/>
  <c r="U1014" i="3"/>
  <c r="V1014" i="3"/>
  <c r="W1014" i="3"/>
  <c r="X1014" i="3"/>
  <c r="Y1014" i="3"/>
  <c r="Z1014" i="3"/>
  <c r="AA1014" i="3"/>
  <c r="T1015" i="3"/>
  <c r="U1015" i="3"/>
  <c r="V1015" i="3"/>
  <c r="W1015" i="3"/>
  <c r="X1015" i="3"/>
  <c r="Y1015" i="3"/>
  <c r="Z1015" i="3"/>
  <c r="AA1015" i="3"/>
  <c r="T1016" i="3"/>
  <c r="U1016" i="3"/>
  <c r="V1016" i="3"/>
  <c r="W1016" i="3"/>
  <c r="X1016" i="3"/>
  <c r="Y1016" i="3"/>
  <c r="Z1016" i="3"/>
  <c r="AA1016" i="3"/>
  <c r="T1017" i="3"/>
  <c r="U1017" i="3"/>
  <c r="V1017" i="3"/>
  <c r="W1017" i="3"/>
  <c r="X1017" i="3"/>
  <c r="Y1017" i="3"/>
  <c r="Z1017" i="3"/>
  <c r="AA1017" i="3"/>
  <c r="T1018" i="3"/>
  <c r="U1018" i="3"/>
  <c r="V1018" i="3"/>
  <c r="W1018" i="3"/>
  <c r="X1018" i="3"/>
  <c r="Y1018" i="3"/>
  <c r="Z1018" i="3"/>
  <c r="AA1018" i="3"/>
  <c r="T1019" i="3"/>
  <c r="U1019" i="3"/>
  <c r="V1019" i="3"/>
  <c r="W1019" i="3"/>
  <c r="X1019" i="3"/>
  <c r="Y1019" i="3"/>
  <c r="Z1019" i="3"/>
  <c r="AA1019" i="3"/>
  <c r="T1020" i="3"/>
  <c r="U1020" i="3"/>
  <c r="V1020" i="3"/>
  <c r="W1020" i="3"/>
  <c r="X1020" i="3"/>
  <c r="Y1020" i="3"/>
  <c r="Z1020" i="3"/>
  <c r="AA1020" i="3"/>
  <c r="T1021" i="3"/>
  <c r="U1021" i="3"/>
  <c r="V1021" i="3"/>
  <c r="W1021" i="3"/>
  <c r="X1021" i="3"/>
  <c r="Y1021" i="3"/>
  <c r="Z1021" i="3"/>
  <c r="AA1021" i="3"/>
  <c r="U989" i="3"/>
  <c r="V989" i="3"/>
  <c r="W989" i="3"/>
  <c r="X989" i="3"/>
  <c r="Y989" i="3"/>
  <c r="Z989" i="3"/>
  <c r="AA989" i="3"/>
  <c r="T989" i="3"/>
  <c r="T956" i="3"/>
  <c r="U956" i="3"/>
  <c r="V956" i="3"/>
  <c r="W956" i="3"/>
  <c r="X956" i="3"/>
  <c r="Y956" i="3"/>
  <c r="Z956" i="3"/>
  <c r="AA956" i="3"/>
  <c r="T957" i="3"/>
  <c r="U957" i="3"/>
  <c r="V957" i="3"/>
  <c r="W957" i="3"/>
  <c r="X957" i="3"/>
  <c r="Y957" i="3"/>
  <c r="Z957" i="3"/>
  <c r="AA957" i="3"/>
  <c r="T958" i="3"/>
  <c r="U958" i="3"/>
  <c r="V958" i="3"/>
  <c r="W958" i="3"/>
  <c r="X958" i="3"/>
  <c r="Y958" i="3"/>
  <c r="Z958" i="3"/>
  <c r="AA958" i="3"/>
  <c r="T959" i="3"/>
  <c r="U959" i="3"/>
  <c r="V959" i="3"/>
  <c r="W959" i="3"/>
  <c r="X959" i="3"/>
  <c r="Y959" i="3"/>
  <c r="Z959" i="3"/>
  <c r="AA959" i="3"/>
  <c r="T960" i="3"/>
  <c r="U960" i="3"/>
  <c r="V960" i="3"/>
  <c r="W960" i="3"/>
  <c r="X960" i="3"/>
  <c r="Y960" i="3"/>
  <c r="Z960" i="3"/>
  <c r="AA960" i="3"/>
  <c r="T961" i="3"/>
  <c r="U961" i="3"/>
  <c r="V961" i="3"/>
  <c r="W961" i="3"/>
  <c r="X961" i="3"/>
  <c r="Y961" i="3"/>
  <c r="Z961" i="3"/>
  <c r="AA961" i="3"/>
  <c r="T962" i="3"/>
  <c r="U962" i="3"/>
  <c r="V962" i="3"/>
  <c r="W962" i="3"/>
  <c r="X962" i="3"/>
  <c r="Y962" i="3"/>
  <c r="Z962" i="3"/>
  <c r="AA962" i="3"/>
  <c r="T963" i="3"/>
  <c r="U963" i="3"/>
  <c r="V963" i="3"/>
  <c r="W963" i="3"/>
  <c r="X963" i="3"/>
  <c r="Y963" i="3"/>
  <c r="Z963" i="3"/>
  <c r="AA963" i="3"/>
  <c r="T964" i="3"/>
  <c r="U964" i="3"/>
  <c r="V964" i="3"/>
  <c r="W964" i="3"/>
  <c r="X964" i="3"/>
  <c r="Y964" i="3"/>
  <c r="Z964" i="3"/>
  <c r="AA964" i="3"/>
  <c r="T965" i="3"/>
  <c r="U965" i="3"/>
  <c r="V965" i="3"/>
  <c r="W965" i="3"/>
  <c r="X965" i="3"/>
  <c r="Y965" i="3"/>
  <c r="Z965" i="3"/>
  <c r="AA965" i="3"/>
  <c r="T966" i="3"/>
  <c r="U966" i="3"/>
  <c r="V966" i="3"/>
  <c r="W966" i="3"/>
  <c r="X966" i="3"/>
  <c r="Y966" i="3"/>
  <c r="Z966" i="3"/>
  <c r="AA966" i="3"/>
  <c r="T967" i="3"/>
  <c r="U967" i="3"/>
  <c r="V967" i="3"/>
  <c r="W967" i="3"/>
  <c r="X967" i="3"/>
  <c r="Y967" i="3"/>
  <c r="Z967" i="3"/>
  <c r="AA967" i="3"/>
  <c r="T968" i="3"/>
  <c r="U968" i="3"/>
  <c r="V968" i="3"/>
  <c r="W968" i="3"/>
  <c r="X968" i="3"/>
  <c r="Y968" i="3"/>
  <c r="Z968" i="3"/>
  <c r="AA968" i="3"/>
  <c r="T969" i="3"/>
  <c r="U969" i="3"/>
  <c r="V969" i="3"/>
  <c r="W969" i="3"/>
  <c r="X969" i="3"/>
  <c r="Y969" i="3"/>
  <c r="Z969" i="3"/>
  <c r="AA969" i="3"/>
  <c r="T970" i="3"/>
  <c r="U970" i="3"/>
  <c r="V970" i="3"/>
  <c r="W970" i="3"/>
  <c r="X970" i="3"/>
  <c r="Y970" i="3"/>
  <c r="Z970" i="3"/>
  <c r="AA970" i="3"/>
  <c r="T971" i="3"/>
  <c r="U971" i="3"/>
  <c r="V971" i="3"/>
  <c r="W971" i="3"/>
  <c r="X971" i="3"/>
  <c r="Y971" i="3"/>
  <c r="Z971" i="3"/>
  <c r="AA971" i="3"/>
  <c r="T972" i="3"/>
  <c r="U972" i="3"/>
  <c r="V972" i="3"/>
  <c r="W972" i="3"/>
  <c r="X972" i="3"/>
  <c r="Y972" i="3"/>
  <c r="Z972" i="3"/>
  <c r="AA972" i="3"/>
  <c r="T973" i="3"/>
  <c r="U973" i="3"/>
  <c r="V973" i="3"/>
  <c r="W973" i="3"/>
  <c r="X973" i="3"/>
  <c r="Y973" i="3"/>
  <c r="Z973" i="3"/>
  <c r="AA973" i="3"/>
  <c r="T974" i="3"/>
  <c r="U974" i="3"/>
  <c r="V974" i="3"/>
  <c r="W974" i="3"/>
  <c r="X974" i="3"/>
  <c r="Y974" i="3"/>
  <c r="Z974" i="3"/>
  <c r="AA974" i="3"/>
  <c r="T975" i="3"/>
  <c r="U975" i="3"/>
  <c r="V975" i="3"/>
  <c r="W975" i="3"/>
  <c r="X975" i="3"/>
  <c r="Y975" i="3"/>
  <c r="Z975" i="3"/>
  <c r="AA975" i="3"/>
  <c r="T976" i="3"/>
  <c r="U976" i="3"/>
  <c r="V976" i="3"/>
  <c r="W976" i="3"/>
  <c r="X976" i="3"/>
  <c r="Y976" i="3"/>
  <c r="Z976" i="3"/>
  <c r="AA976" i="3"/>
  <c r="T977" i="3"/>
  <c r="U977" i="3"/>
  <c r="V977" i="3"/>
  <c r="W977" i="3"/>
  <c r="X977" i="3"/>
  <c r="Y977" i="3"/>
  <c r="Z977" i="3"/>
  <c r="AA977" i="3"/>
  <c r="T978" i="3"/>
  <c r="U978" i="3"/>
  <c r="V978" i="3"/>
  <c r="W978" i="3"/>
  <c r="X978" i="3"/>
  <c r="Y978" i="3"/>
  <c r="Z978" i="3"/>
  <c r="AA978" i="3"/>
  <c r="T979" i="3"/>
  <c r="U979" i="3"/>
  <c r="V979" i="3"/>
  <c r="W979" i="3"/>
  <c r="X979" i="3"/>
  <c r="Y979" i="3"/>
  <c r="Z979" i="3"/>
  <c r="AA979" i="3"/>
  <c r="T980" i="3"/>
  <c r="U980" i="3"/>
  <c r="V980" i="3"/>
  <c r="W980" i="3"/>
  <c r="X980" i="3"/>
  <c r="Y980" i="3"/>
  <c r="Z980" i="3"/>
  <c r="AA980" i="3"/>
  <c r="T981" i="3"/>
  <c r="U981" i="3"/>
  <c r="V981" i="3"/>
  <c r="W981" i="3"/>
  <c r="X981" i="3"/>
  <c r="Y981" i="3"/>
  <c r="Z981" i="3"/>
  <c r="AA981" i="3"/>
  <c r="T982" i="3"/>
  <c r="U982" i="3"/>
  <c r="V982" i="3"/>
  <c r="W982" i="3"/>
  <c r="X982" i="3"/>
  <c r="Y982" i="3"/>
  <c r="Z982" i="3"/>
  <c r="AA982" i="3"/>
  <c r="T983" i="3"/>
  <c r="U983" i="3"/>
  <c r="V983" i="3"/>
  <c r="W983" i="3"/>
  <c r="X983" i="3"/>
  <c r="Y983" i="3"/>
  <c r="Z983" i="3"/>
  <c r="AA983" i="3"/>
  <c r="T984" i="3"/>
  <c r="U984" i="3"/>
  <c r="V984" i="3"/>
  <c r="W984" i="3"/>
  <c r="X984" i="3"/>
  <c r="Y984" i="3"/>
  <c r="Z984" i="3"/>
  <c r="AA984" i="3"/>
  <c r="T985" i="3"/>
  <c r="U985" i="3"/>
  <c r="V985" i="3"/>
  <c r="W985" i="3"/>
  <c r="X985" i="3"/>
  <c r="Y985" i="3"/>
  <c r="Z985" i="3"/>
  <c r="AA985" i="3"/>
  <c r="T986" i="3"/>
  <c r="U986" i="3"/>
  <c r="V986" i="3"/>
  <c r="W986" i="3"/>
  <c r="X986" i="3"/>
  <c r="Y986" i="3"/>
  <c r="Z986" i="3"/>
  <c r="AA986" i="3"/>
  <c r="T987" i="3"/>
  <c r="U987" i="3"/>
  <c r="V987" i="3"/>
  <c r="W987" i="3"/>
  <c r="X987" i="3"/>
  <c r="Y987" i="3"/>
  <c r="Z987" i="3"/>
  <c r="AA987" i="3"/>
  <c r="U955" i="3"/>
  <c r="V955" i="3"/>
  <c r="W955" i="3"/>
  <c r="X955" i="3"/>
  <c r="Y955" i="3"/>
  <c r="Z955" i="3"/>
  <c r="AA955" i="3"/>
  <c r="T955" i="3"/>
  <c r="T922" i="3"/>
  <c r="U922" i="3"/>
  <c r="V922" i="3"/>
  <c r="W922" i="3"/>
  <c r="X922" i="3"/>
  <c r="Y922" i="3"/>
  <c r="Z922" i="3"/>
  <c r="AA922" i="3"/>
  <c r="T923" i="3"/>
  <c r="U923" i="3"/>
  <c r="V923" i="3"/>
  <c r="W923" i="3"/>
  <c r="X923" i="3"/>
  <c r="Y923" i="3"/>
  <c r="Z923" i="3"/>
  <c r="AA923" i="3"/>
  <c r="T924" i="3"/>
  <c r="U924" i="3"/>
  <c r="V924" i="3"/>
  <c r="W924" i="3"/>
  <c r="X924" i="3"/>
  <c r="Y924" i="3"/>
  <c r="Z924" i="3"/>
  <c r="AA924" i="3"/>
  <c r="T925" i="3"/>
  <c r="U925" i="3"/>
  <c r="V925" i="3"/>
  <c r="W925" i="3"/>
  <c r="X925" i="3"/>
  <c r="Y925" i="3"/>
  <c r="Z925" i="3"/>
  <c r="AA925" i="3"/>
  <c r="T926" i="3"/>
  <c r="U926" i="3"/>
  <c r="V926" i="3"/>
  <c r="W926" i="3"/>
  <c r="X926" i="3"/>
  <c r="Y926" i="3"/>
  <c r="Z926" i="3"/>
  <c r="AA926" i="3"/>
  <c r="T927" i="3"/>
  <c r="U927" i="3"/>
  <c r="V927" i="3"/>
  <c r="W927" i="3"/>
  <c r="X927" i="3"/>
  <c r="Y927" i="3"/>
  <c r="Z927" i="3"/>
  <c r="AA927" i="3"/>
  <c r="T928" i="3"/>
  <c r="U928" i="3"/>
  <c r="V928" i="3"/>
  <c r="W928" i="3"/>
  <c r="X928" i="3"/>
  <c r="Y928" i="3"/>
  <c r="Z928" i="3"/>
  <c r="AA928" i="3"/>
  <c r="T929" i="3"/>
  <c r="U929" i="3"/>
  <c r="V929" i="3"/>
  <c r="W929" i="3"/>
  <c r="X929" i="3"/>
  <c r="Y929" i="3"/>
  <c r="Z929" i="3"/>
  <c r="AA929" i="3"/>
  <c r="T930" i="3"/>
  <c r="U930" i="3"/>
  <c r="V930" i="3"/>
  <c r="W930" i="3"/>
  <c r="X930" i="3"/>
  <c r="Y930" i="3"/>
  <c r="Z930" i="3"/>
  <c r="AA930" i="3"/>
  <c r="T931" i="3"/>
  <c r="U931" i="3"/>
  <c r="V931" i="3"/>
  <c r="W931" i="3"/>
  <c r="X931" i="3"/>
  <c r="Y931" i="3"/>
  <c r="Z931" i="3"/>
  <c r="AA931" i="3"/>
  <c r="T932" i="3"/>
  <c r="U932" i="3"/>
  <c r="V932" i="3"/>
  <c r="W932" i="3"/>
  <c r="X932" i="3"/>
  <c r="Y932" i="3"/>
  <c r="Z932" i="3"/>
  <c r="AA932" i="3"/>
  <c r="T933" i="3"/>
  <c r="U933" i="3"/>
  <c r="V933" i="3"/>
  <c r="W933" i="3"/>
  <c r="X933" i="3"/>
  <c r="Y933" i="3"/>
  <c r="Z933" i="3"/>
  <c r="AA933" i="3"/>
  <c r="T934" i="3"/>
  <c r="U934" i="3"/>
  <c r="V934" i="3"/>
  <c r="W934" i="3"/>
  <c r="X934" i="3"/>
  <c r="Y934" i="3"/>
  <c r="Z934" i="3"/>
  <c r="AA934" i="3"/>
  <c r="T935" i="3"/>
  <c r="U935" i="3"/>
  <c r="V935" i="3"/>
  <c r="W935" i="3"/>
  <c r="X935" i="3"/>
  <c r="Y935" i="3"/>
  <c r="Z935" i="3"/>
  <c r="AA935" i="3"/>
  <c r="T936" i="3"/>
  <c r="U936" i="3"/>
  <c r="V936" i="3"/>
  <c r="W936" i="3"/>
  <c r="X936" i="3"/>
  <c r="Y936" i="3"/>
  <c r="Z936" i="3"/>
  <c r="AA936" i="3"/>
  <c r="T937" i="3"/>
  <c r="U937" i="3"/>
  <c r="V937" i="3"/>
  <c r="W937" i="3"/>
  <c r="X937" i="3"/>
  <c r="Y937" i="3"/>
  <c r="Z937" i="3"/>
  <c r="AA937" i="3"/>
  <c r="T938" i="3"/>
  <c r="U938" i="3"/>
  <c r="V938" i="3"/>
  <c r="W938" i="3"/>
  <c r="X938" i="3"/>
  <c r="Y938" i="3"/>
  <c r="Z938" i="3"/>
  <c r="AA938" i="3"/>
  <c r="T939" i="3"/>
  <c r="U939" i="3"/>
  <c r="V939" i="3"/>
  <c r="W939" i="3"/>
  <c r="X939" i="3"/>
  <c r="Y939" i="3"/>
  <c r="Z939" i="3"/>
  <c r="AA939" i="3"/>
  <c r="T940" i="3"/>
  <c r="U940" i="3"/>
  <c r="V940" i="3"/>
  <c r="W940" i="3"/>
  <c r="X940" i="3"/>
  <c r="Y940" i="3"/>
  <c r="Z940" i="3"/>
  <c r="AA940" i="3"/>
  <c r="T941" i="3"/>
  <c r="U941" i="3"/>
  <c r="V941" i="3"/>
  <c r="W941" i="3"/>
  <c r="X941" i="3"/>
  <c r="Y941" i="3"/>
  <c r="Z941" i="3"/>
  <c r="AA941" i="3"/>
  <c r="T942" i="3"/>
  <c r="U942" i="3"/>
  <c r="V942" i="3"/>
  <c r="W942" i="3"/>
  <c r="X942" i="3"/>
  <c r="Y942" i="3"/>
  <c r="Z942" i="3"/>
  <c r="AA942" i="3"/>
  <c r="T943" i="3"/>
  <c r="U943" i="3"/>
  <c r="V943" i="3"/>
  <c r="W943" i="3"/>
  <c r="X943" i="3"/>
  <c r="Y943" i="3"/>
  <c r="Z943" i="3"/>
  <c r="AA943" i="3"/>
  <c r="T944" i="3"/>
  <c r="U944" i="3"/>
  <c r="V944" i="3"/>
  <c r="W944" i="3"/>
  <c r="X944" i="3"/>
  <c r="Y944" i="3"/>
  <c r="Z944" i="3"/>
  <c r="AA944" i="3"/>
  <c r="T945" i="3"/>
  <c r="U945" i="3"/>
  <c r="V945" i="3"/>
  <c r="W945" i="3"/>
  <c r="X945" i="3"/>
  <c r="Y945" i="3"/>
  <c r="Z945" i="3"/>
  <c r="AA945" i="3"/>
  <c r="T946" i="3"/>
  <c r="U946" i="3"/>
  <c r="V946" i="3"/>
  <c r="W946" i="3"/>
  <c r="X946" i="3"/>
  <c r="Y946" i="3"/>
  <c r="Z946" i="3"/>
  <c r="AA946" i="3"/>
  <c r="T947" i="3"/>
  <c r="U947" i="3"/>
  <c r="V947" i="3"/>
  <c r="W947" i="3"/>
  <c r="X947" i="3"/>
  <c r="Y947" i="3"/>
  <c r="Z947" i="3"/>
  <c r="AA947" i="3"/>
  <c r="T948" i="3"/>
  <c r="U948" i="3"/>
  <c r="V948" i="3"/>
  <c r="W948" i="3"/>
  <c r="X948" i="3"/>
  <c r="Y948" i="3"/>
  <c r="Z948" i="3"/>
  <c r="AA948" i="3"/>
  <c r="T949" i="3"/>
  <c r="U949" i="3"/>
  <c r="V949" i="3"/>
  <c r="W949" i="3"/>
  <c r="X949" i="3"/>
  <c r="Y949" i="3"/>
  <c r="Z949" i="3"/>
  <c r="AA949" i="3"/>
  <c r="T950" i="3"/>
  <c r="U950" i="3"/>
  <c r="V950" i="3"/>
  <c r="W950" i="3"/>
  <c r="X950" i="3"/>
  <c r="Y950" i="3"/>
  <c r="Z950" i="3"/>
  <c r="AA950" i="3"/>
  <c r="T951" i="3"/>
  <c r="U951" i="3"/>
  <c r="V951" i="3"/>
  <c r="W951" i="3"/>
  <c r="X951" i="3"/>
  <c r="Y951" i="3"/>
  <c r="Z951" i="3"/>
  <c r="AA951" i="3"/>
  <c r="T952" i="3"/>
  <c r="U952" i="3"/>
  <c r="V952" i="3"/>
  <c r="W952" i="3"/>
  <c r="X952" i="3"/>
  <c r="Y952" i="3"/>
  <c r="Z952" i="3"/>
  <c r="AA952" i="3"/>
  <c r="T953" i="3"/>
  <c r="U953" i="3"/>
  <c r="V953" i="3"/>
  <c r="W953" i="3"/>
  <c r="X953" i="3"/>
  <c r="Y953" i="3"/>
  <c r="Z953" i="3"/>
  <c r="AA953" i="3"/>
  <c r="U921" i="3"/>
  <c r="V921" i="3"/>
  <c r="W921" i="3"/>
  <c r="X921" i="3"/>
  <c r="Y921" i="3"/>
  <c r="Z921" i="3"/>
  <c r="AA921" i="3"/>
  <c r="T921" i="3"/>
  <c r="T888" i="3"/>
  <c r="U888" i="3"/>
  <c r="V888" i="3"/>
  <c r="W888" i="3"/>
  <c r="X888" i="3"/>
  <c r="Y888" i="3"/>
  <c r="Z888" i="3"/>
  <c r="AA888" i="3"/>
  <c r="T889" i="3"/>
  <c r="U889" i="3"/>
  <c r="V889" i="3"/>
  <c r="W889" i="3"/>
  <c r="X889" i="3"/>
  <c r="Y889" i="3"/>
  <c r="Z889" i="3"/>
  <c r="AA889" i="3"/>
  <c r="T890" i="3"/>
  <c r="U890" i="3"/>
  <c r="V890" i="3"/>
  <c r="W890" i="3"/>
  <c r="X890" i="3"/>
  <c r="Y890" i="3"/>
  <c r="Z890" i="3"/>
  <c r="AA890" i="3"/>
  <c r="T891" i="3"/>
  <c r="U891" i="3"/>
  <c r="V891" i="3"/>
  <c r="W891" i="3"/>
  <c r="X891" i="3"/>
  <c r="Y891" i="3"/>
  <c r="Z891" i="3"/>
  <c r="AA891" i="3"/>
  <c r="T892" i="3"/>
  <c r="U892" i="3"/>
  <c r="V892" i="3"/>
  <c r="W892" i="3"/>
  <c r="X892" i="3"/>
  <c r="Y892" i="3"/>
  <c r="Z892" i="3"/>
  <c r="AA892" i="3"/>
  <c r="T893" i="3"/>
  <c r="U893" i="3"/>
  <c r="V893" i="3"/>
  <c r="W893" i="3"/>
  <c r="X893" i="3"/>
  <c r="Y893" i="3"/>
  <c r="Z893" i="3"/>
  <c r="AA893" i="3"/>
  <c r="T894" i="3"/>
  <c r="U894" i="3"/>
  <c r="V894" i="3"/>
  <c r="W894" i="3"/>
  <c r="X894" i="3"/>
  <c r="Y894" i="3"/>
  <c r="Z894" i="3"/>
  <c r="AA894" i="3"/>
  <c r="T895" i="3"/>
  <c r="U895" i="3"/>
  <c r="V895" i="3"/>
  <c r="W895" i="3"/>
  <c r="X895" i="3"/>
  <c r="Y895" i="3"/>
  <c r="Z895" i="3"/>
  <c r="AA895" i="3"/>
  <c r="T896" i="3"/>
  <c r="U896" i="3"/>
  <c r="V896" i="3"/>
  <c r="W896" i="3"/>
  <c r="X896" i="3"/>
  <c r="Y896" i="3"/>
  <c r="Z896" i="3"/>
  <c r="AA896" i="3"/>
  <c r="T897" i="3"/>
  <c r="U897" i="3"/>
  <c r="V897" i="3"/>
  <c r="W897" i="3"/>
  <c r="X897" i="3"/>
  <c r="Y897" i="3"/>
  <c r="Z897" i="3"/>
  <c r="AA897" i="3"/>
  <c r="T898" i="3"/>
  <c r="U898" i="3"/>
  <c r="V898" i="3"/>
  <c r="W898" i="3"/>
  <c r="X898" i="3"/>
  <c r="Y898" i="3"/>
  <c r="Z898" i="3"/>
  <c r="AA898" i="3"/>
  <c r="T899" i="3"/>
  <c r="U899" i="3"/>
  <c r="V899" i="3"/>
  <c r="W899" i="3"/>
  <c r="X899" i="3"/>
  <c r="Y899" i="3"/>
  <c r="Z899" i="3"/>
  <c r="AA899" i="3"/>
  <c r="T900" i="3"/>
  <c r="U900" i="3"/>
  <c r="V900" i="3"/>
  <c r="W900" i="3"/>
  <c r="X900" i="3"/>
  <c r="Y900" i="3"/>
  <c r="Z900" i="3"/>
  <c r="AA900" i="3"/>
  <c r="T901" i="3"/>
  <c r="U901" i="3"/>
  <c r="V901" i="3"/>
  <c r="W901" i="3"/>
  <c r="X901" i="3"/>
  <c r="Y901" i="3"/>
  <c r="Z901" i="3"/>
  <c r="AA901" i="3"/>
  <c r="T902" i="3"/>
  <c r="U902" i="3"/>
  <c r="V902" i="3"/>
  <c r="W902" i="3"/>
  <c r="X902" i="3"/>
  <c r="Y902" i="3"/>
  <c r="Z902" i="3"/>
  <c r="AA902" i="3"/>
  <c r="T903" i="3"/>
  <c r="U903" i="3"/>
  <c r="V903" i="3"/>
  <c r="W903" i="3"/>
  <c r="X903" i="3"/>
  <c r="Y903" i="3"/>
  <c r="Z903" i="3"/>
  <c r="AA903" i="3"/>
  <c r="T904" i="3"/>
  <c r="U904" i="3"/>
  <c r="V904" i="3"/>
  <c r="W904" i="3"/>
  <c r="X904" i="3"/>
  <c r="Y904" i="3"/>
  <c r="Z904" i="3"/>
  <c r="AA904" i="3"/>
  <c r="T905" i="3"/>
  <c r="U905" i="3"/>
  <c r="V905" i="3"/>
  <c r="W905" i="3"/>
  <c r="X905" i="3"/>
  <c r="Y905" i="3"/>
  <c r="Z905" i="3"/>
  <c r="AA905" i="3"/>
  <c r="T906" i="3"/>
  <c r="U906" i="3"/>
  <c r="V906" i="3"/>
  <c r="W906" i="3"/>
  <c r="X906" i="3"/>
  <c r="Y906" i="3"/>
  <c r="Z906" i="3"/>
  <c r="AA906" i="3"/>
  <c r="T907" i="3"/>
  <c r="U907" i="3"/>
  <c r="V907" i="3"/>
  <c r="W907" i="3"/>
  <c r="X907" i="3"/>
  <c r="Y907" i="3"/>
  <c r="Z907" i="3"/>
  <c r="AA907" i="3"/>
  <c r="T908" i="3"/>
  <c r="U908" i="3"/>
  <c r="V908" i="3"/>
  <c r="W908" i="3"/>
  <c r="X908" i="3"/>
  <c r="Y908" i="3"/>
  <c r="Z908" i="3"/>
  <c r="AA908" i="3"/>
  <c r="T909" i="3"/>
  <c r="U909" i="3"/>
  <c r="V909" i="3"/>
  <c r="W909" i="3"/>
  <c r="X909" i="3"/>
  <c r="Y909" i="3"/>
  <c r="Z909" i="3"/>
  <c r="AA909" i="3"/>
  <c r="T910" i="3"/>
  <c r="U910" i="3"/>
  <c r="V910" i="3"/>
  <c r="W910" i="3"/>
  <c r="X910" i="3"/>
  <c r="Y910" i="3"/>
  <c r="Z910" i="3"/>
  <c r="AA910" i="3"/>
  <c r="T911" i="3"/>
  <c r="U911" i="3"/>
  <c r="V911" i="3"/>
  <c r="W911" i="3"/>
  <c r="X911" i="3"/>
  <c r="Y911" i="3"/>
  <c r="Z911" i="3"/>
  <c r="AA911" i="3"/>
  <c r="T912" i="3"/>
  <c r="U912" i="3"/>
  <c r="V912" i="3"/>
  <c r="W912" i="3"/>
  <c r="X912" i="3"/>
  <c r="Y912" i="3"/>
  <c r="Z912" i="3"/>
  <c r="AA912" i="3"/>
  <c r="T913" i="3"/>
  <c r="U913" i="3"/>
  <c r="V913" i="3"/>
  <c r="W913" i="3"/>
  <c r="X913" i="3"/>
  <c r="Y913" i="3"/>
  <c r="Z913" i="3"/>
  <c r="AA913" i="3"/>
  <c r="T914" i="3"/>
  <c r="U914" i="3"/>
  <c r="V914" i="3"/>
  <c r="W914" i="3"/>
  <c r="X914" i="3"/>
  <c r="Y914" i="3"/>
  <c r="Z914" i="3"/>
  <c r="AA914" i="3"/>
  <c r="T915" i="3"/>
  <c r="U915" i="3"/>
  <c r="V915" i="3"/>
  <c r="W915" i="3"/>
  <c r="X915" i="3"/>
  <c r="Y915" i="3"/>
  <c r="Z915" i="3"/>
  <c r="AA915" i="3"/>
  <c r="T916" i="3"/>
  <c r="U916" i="3"/>
  <c r="V916" i="3"/>
  <c r="W916" i="3"/>
  <c r="X916" i="3"/>
  <c r="Y916" i="3"/>
  <c r="Z916" i="3"/>
  <c r="AA916" i="3"/>
  <c r="T917" i="3"/>
  <c r="U917" i="3"/>
  <c r="V917" i="3"/>
  <c r="W917" i="3"/>
  <c r="X917" i="3"/>
  <c r="Y917" i="3"/>
  <c r="Z917" i="3"/>
  <c r="AA917" i="3"/>
  <c r="T918" i="3"/>
  <c r="U918" i="3"/>
  <c r="V918" i="3"/>
  <c r="W918" i="3"/>
  <c r="X918" i="3"/>
  <c r="Y918" i="3"/>
  <c r="Z918" i="3"/>
  <c r="AA918" i="3"/>
  <c r="T919" i="3"/>
  <c r="U919" i="3"/>
  <c r="V919" i="3"/>
  <c r="W919" i="3"/>
  <c r="X919" i="3"/>
  <c r="Y919" i="3"/>
  <c r="Z919" i="3"/>
  <c r="AA919" i="3"/>
  <c r="U887" i="3"/>
  <c r="V887" i="3"/>
  <c r="W887" i="3"/>
  <c r="X887" i="3"/>
  <c r="Y887" i="3"/>
  <c r="Z887" i="3"/>
  <c r="AA887" i="3"/>
  <c r="T887" i="3"/>
  <c r="T854" i="3"/>
  <c r="U854" i="3"/>
  <c r="V854" i="3"/>
  <c r="W854" i="3"/>
  <c r="X854" i="3"/>
  <c r="Y854" i="3"/>
  <c r="Z854" i="3"/>
  <c r="AA854" i="3"/>
  <c r="T855" i="3"/>
  <c r="U855" i="3"/>
  <c r="V855" i="3"/>
  <c r="W855" i="3"/>
  <c r="X855" i="3"/>
  <c r="Y855" i="3"/>
  <c r="Z855" i="3"/>
  <c r="AA855" i="3"/>
  <c r="T856" i="3"/>
  <c r="U856" i="3"/>
  <c r="V856" i="3"/>
  <c r="W856" i="3"/>
  <c r="X856" i="3"/>
  <c r="Y856" i="3"/>
  <c r="Z856" i="3"/>
  <c r="AA856" i="3"/>
  <c r="T857" i="3"/>
  <c r="U857" i="3"/>
  <c r="V857" i="3"/>
  <c r="W857" i="3"/>
  <c r="X857" i="3"/>
  <c r="Y857" i="3"/>
  <c r="Z857" i="3"/>
  <c r="AA857" i="3"/>
  <c r="T858" i="3"/>
  <c r="U858" i="3"/>
  <c r="V858" i="3"/>
  <c r="W858" i="3"/>
  <c r="X858" i="3"/>
  <c r="Y858" i="3"/>
  <c r="Z858" i="3"/>
  <c r="AA858" i="3"/>
  <c r="T859" i="3"/>
  <c r="U859" i="3"/>
  <c r="V859" i="3"/>
  <c r="W859" i="3"/>
  <c r="X859" i="3"/>
  <c r="Y859" i="3"/>
  <c r="Z859" i="3"/>
  <c r="AA859" i="3"/>
  <c r="T860" i="3"/>
  <c r="U860" i="3"/>
  <c r="V860" i="3"/>
  <c r="W860" i="3"/>
  <c r="X860" i="3"/>
  <c r="Y860" i="3"/>
  <c r="Z860" i="3"/>
  <c r="AA860" i="3"/>
  <c r="T861" i="3"/>
  <c r="U861" i="3"/>
  <c r="V861" i="3"/>
  <c r="W861" i="3"/>
  <c r="X861" i="3"/>
  <c r="Y861" i="3"/>
  <c r="Z861" i="3"/>
  <c r="AA861" i="3"/>
  <c r="T862" i="3"/>
  <c r="U862" i="3"/>
  <c r="V862" i="3"/>
  <c r="W862" i="3"/>
  <c r="X862" i="3"/>
  <c r="Y862" i="3"/>
  <c r="Z862" i="3"/>
  <c r="AA862" i="3"/>
  <c r="T863" i="3"/>
  <c r="U863" i="3"/>
  <c r="V863" i="3"/>
  <c r="W863" i="3"/>
  <c r="X863" i="3"/>
  <c r="Y863" i="3"/>
  <c r="Z863" i="3"/>
  <c r="AA863" i="3"/>
  <c r="T864" i="3"/>
  <c r="U864" i="3"/>
  <c r="V864" i="3"/>
  <c r="W864" i="3"/>
  <c r="X864" i="3"/>
  <c r="Y864" i="3"/>
  <c r="Z864" i="3"/>
  <c r="AA864" i="3"/>
  <c r="T865" i="3"/>
  <c r="U865" i="3"/>
  <c r="V865" i="3"/>
  <c r="W865" i="3"/>
  <c r="X865" i="3"/>
  <c r="Y865" i="3"/>
  <c r="Z865" i="3"/>
  <c r="AA865" i="3"/>
  <c r="T866" i="3"/>
  <c r="U866" i="3"/>
  <c r="V866" i="3"/>
  <c r="W866" i="3"/>
  <c r="X866" i="3"/>
  <c r="Y866" i="3"/>
  <c r="Z866" i="3"/>
  <c r="AA866" i="3"/>
  <c r="T867" i="3"/>
  <c r="U867" i="3"/>
  <c r="V867" i="3"/>
  <c r="W867" i="3"/>
  <c r="X867" i="3"/>
  <c r="Y867" i="3"/>
  <c r="Z867" i="3"/>
  <c r="AA867" i="3"/>
  <c r="T868" i="3"/>
  <c r="U868" i="3"/>
  <c r="V868" i="3"/>
  <c r="W868" i="3"/>
  <c r="X868" i="3"/>
  <c r="Y868" i="3"/>
  <c r="Z868" i="3"/>
  <c r="AA868" i="3"/>
  <c r="T869" i="3"/>
  <c r="U869" i="3"/>
  <c r="V869" i="3"/>
  <c r="W869" i="3"/>
  <c r="X869" i="3"/>
  <c r="Y869" i="3"/>
  <c r="Z869" i="3"/>
  <c r="AA869" i="3"/>
  <c r="T870" i="3"/>
  <c r="U870" i="3"/>
  <c r="V870" i="3"/>
  <c r="W870" i="3"/>
  <c r="X870" i="3"/>
  <c r="Y870" i="3"/>
  <c r="Z870" i="3"/>
  <c r="AA870" i="3"/>
  <c r="T871" i="3"/>
  <c r="U871" i="3"/>
  <c r="V871" i="3"/>
  <c r="W871" i="3"/>
  <c r="X871" i="3"/>
  <c r="Y871" i="3"/>
  <c r="Z871" i="3"/>
  <c r="AA871" i="3"/>
  <c r="T872" i="3"/>
  <c r="U872" i="3"/>
  <c r="V872" i="3"/>
  <c r="W872" i="3"/>
  <c r="X872" i="3"/>
  <c r="Y872" i="3"/>
  <c r="Z872" i="3"/>
  <c r="AA872" i="3"/>
  <c r="T873" i="3"/>
  <c r="U873" i="3"/>
  <c r="V873" i="3"/>
  <c r="W873" i="3"/>
  <c r="X873" i="3"/>
  <c r="Y873" i="3"/>
  <c r="Z873" i="3"/>
  <c r="AA873" i="3"/>
  <c r="T874" i="3"/>
  <c r="U874" i="3"/>
  <c r="V874" i="3"/>
  <c r="W874" i="3"/>
  <c r="X874" i="3"/>
  <c r="Y874" i="3"/>
  <c r="Z874" i="3"/>
  <c r="AA874" i="3"/>
  <c r="T875" i="3"/>
  <c r="U875" i="3"/>
  <c r="V875" i="3"/>
  <c r="W875" i="3"/>
  <c r="X875" i="3"/>
  <c r="Y875" i="3"/>
  <c r="Z875" i="3"/>
  <c r="AA875" i="3"/>
  <c r="T876" i="3"/>
  <c r="U876" i="3"/>
  <c r="V876" i="3"/>
  <c r="W876" i="3"/>
  <c r="X876" i="3"/>
  <c r="Y876" i="3"/>
  <c r="Z876" i="3"/>
  <c r="AA876" i="3"/>
  <c r="T877" i="3"/>
  <c r="U877" i="3"/>
  <c r="V877" i="3"/>
  <c r="W877" i="3"/>
  <c r="X877" i="3"/>
  <c r="Y877" i="3"/>
  <c r="Z877" i="3"/>
  <c r="AA877" i="3"/>
  <c r="T878" i="3"/>
  <c r="U878" i="3"/>
  <c r="V878" i="3"/>
  <c r="W878" i="3"/>
  <c r="X878" i="3"/>
  <c r="Y878" i="3"/>
  <c r="Z878" i="3"/>
  <c r="AA878" i="3"/>
  <c r="T879" i="3"/>
  <c r="U879" i="3"/>
  <c r="V879" i="3"/>
  <c r="W879" i="3"/>
  <c r="X879" i="3"/>
  <c r="Y879" i="3"/>
  <c r="Z879" i="3"/>
  <c r="AA879" i="3"/>
  <c r="T880" i="3"/>
  <c r="U880" i="3"/>
  <c r="V880" i="3"/>
  <c r="W880" i="3"/>
  <c r="X880" i="3"/>
  <c r="Y880" i="3"/>
  <c r="Z880" i="3"/>
  <c r="AA880" i="3"/>
  <c r="T881" i="3"/>
  <c r="U881" i="3"/>
  <c r="V881" i="3"/>
  <c r="W881" i="3"/>
  <c r="X881" i="3"/>
  <c r="Y881" i="3"/>
  <c r="Z881" i="3"/>
  <c r="AA881" i="3"/>
  <c r="T882" i="3"/>
  <c r="U882" i="3"/>
  <c r="V882" i="3"/>
  <c r="W882" i="3"/>
  <c r="X882" i="3"/>
  <c r="Y882" i="3"/>
  <c r="Z882" i="3"/>
  <c r="AA882" i="3"/>
  <c r="T883" i="3"/>
  <c r="U883" i="3"/>
  <c r="V883" i="3"/>
  <c r="W883" i="3"/>
  <c r="X883" i="3"/>
  <c r="Y883" i="3"/>
  <c r="Z883" i="3"/>
  <c r="AA883" i="3"/>
  <c r="T884" i="3"/>
  <c r="U884" i="3"/>
  <c r="V884" i="3"/>
  <c r="W884" i="3"/>
  <c r="X884" i="3"/>
  <c r="Y884" i="3"/>
  <c r="Z884" i="3"/>
  <c r="AA884" i="3"/>
  <c r="T885" i="3"/>
  <c r="U885" i="3"/>
  <c r="V885" i="3"/>
  <c r="W885" i="3"/>
  <c r="X885" i="3"/>
  <c r="Y885" i="3"/>
  <c r="Z885" i="3"/>
  <c r="AA885" i="3"/>
  <c r="U853" i="3"/>
  <c r="V853" i="3"/>
  <c r="W853" i="3"/>
  <c r="X853" i="3"/>
  <c r="Y853" i="3"/>
  <c r="Z853" i="3"/>
  <c r="AA853" i="3"/>
  <c r="T853" i="3"/>
  <c r="T820" i="3"/>
  <c r="U820" i="3"/>
  <c r="V820" i="3"/>
  <c r="W820" i="3"/>
  <c r="X820" i="3"/>
  <c r="Y820" i="3"/>
  <c r="Z820" i="3"/>
  <c r="AA820" i="3"/>
  <c r="T821" i="3"/>
  <c r="U821" i="3"/>
  <c r="V821" i="3"/>
  <c r="W821" i="3"/>
  <c r="X821" i="3"/>
  <c r="Y821" i="3"/>
  <c r="Z821" i="3"/>
  <c r="AA821" i="3"/>
  <c r="T822" i="3"/>
  <c r="U822" i="3"/>
  <c r="V822" i="3"/>
  <c r="W822" i="3"/>
  <c r="X822" i="3"/>
  <c r="Y822" i="3"/>
  <c r="Z822" i="3"/>
  <c r="AA822" i="3"/>
  <c r="T823" i="3"/>
  <c r="U823" i="3"/>
  <c r="V823" i="3"/>
  <c r="W823" i="3"/>
  <c r="X823" i="3"/>
  <c r="Y823" i="3"/>
  <c r="Z823" i="3"/>
  <c r="AA823" i="3"/>
  <c r="T824" i="3"/>
  <c r="U824" i="3"/>
  <c r="V824" i="3"/>
  <c r="W824" i="3"/>
  <c r="X824" i="3"/>
  <c r="Y824" i="3"/>
  <c r="Z824" i="3"/>
  <c r="AA824" i="3"/>
  <c r="T825" i="3"/>
  <c r="U825" i="3"/>
  <c r="V825" i="3"/>
  <c r="W825" i="3"/>
  <c r="X825" i="3"/>
  <c r="Y825" i="3"/>
  <c r="Z825" i="3"/>
  <c r="AA825" i="3"/>
  <c r="T826" i="3"/>
  <c r="U826" i="3"/>
  <c r="V826" i="3"/>
  <c r="W826" i="3"/>
  <c r="X826" i="3"/>
  <c r="Y826" i="3"/>
  <c r="Z826" i="3"/>
  <c r="AA826" i="3"/>
  <c r="T827" i="3"/>
  <c r="U827" i="3"/>
  <c r="V827" i="3"/>
  <c r="W827" i="3"/>
  <c r="X827" i="3"/>
  <c r="Y827" i="3"/>
  <c r="Z827" i="3"/>
  <c r="AA827" i="3"/>
  <c r="T828" i="3"/>
  <c r="U828" i="3"/>
  <c r="V828" i="3"/>
  <c r="W828" i="3"/>
  <c r="X828" i="3"/>
  <c r="Y828" i="3"/>
  <c r="Z828" i="3"/>
  <c r="AA828" i="3"/>
  <c r="T829" i="3"/>
  <c r="U829" i="3"/>
  <c r="V829" i="3"/>
  <c r="W829" i="3"/>
  <c r="X829" i="3"/>
  <c r="Y829" i="3"/>
  <c r="Z829" i="3"/>
  <c r="AA829" i="3"/>
  <c r="T830" i="3"/>
  <c r="U830" i="3"/>
  <c r="V830" i="3"/>
  <c r="W830" i="3"/>
  <c r="X830" i="3"/>
  <c r="Y830" i="3"/>
  <c r="Z830" i="3"/>
  <c r="AA830" i="3"/>
  <c r="T831" i="3"/>
  <c r="U831" i="3"/>
  <c r="V831" i="3"/>
  <c r="W831" i="3"/>
  <c r="X831" i="3"/>
  <c r="Y831" i="3"/>
  <c r="Z831" i="3"/>
  <c r="AA831" i="3"/>
  <c r="T832" i="3"/>
  <c r="U832" i="3"/>
  <c r="V832" i="3"/>
  <c r="W832" i="3"/>
  <c r="X832" i="3"/>
  <c r="Y832" i="3"/>
  <c r="Z832" i="3"/>
  <c r="AA832" i="3"/>
  <c r="T833" i="3"/>
  <c r="U833" i="3"/>
  <c r="V833" i="3"/>
  <c r="W833" i="3"/>
  <c r="X833" i="3"/>
  <c r="Y833" i="3"/>
  <c r="Z833" i="3"/>
  <c r="AA833" i="3"/>
  <c r="T834" i="3"/>
  <c r="U834" i="3"/>
  <c r="V834" i="3"/>
  <c r="W834" i="3"/>
  <c r="X834" i="3"/>
  <c r="Y834" i="3"/>
  <c r="Z834" i="3"/>
  <c r="AA834" i="3"/>
  <c r="T835" i="3"/>
  <c r="U835" i="3"/>
  <c r="V835" i="3"/>
  <c r="W835" i="3"/>
  <c r="X835" i="3"/>
  <c r="Y835" i="3"/>
  <c r="Z835" i="3"/>
  <c r="AA835" i="3"/>
  <c r="T836" i="3"/>
  <c r="U836" i="3"/>
  <c r="V836" i="3"/>
  <c r="W836" i="3"/>
  <c r="X836" i="3"/>
  <c r="Y836" i="3"/>
  <c r="Z836" i="3"/>
  <c r="AA836" i="3"/>
  <c r="T837" i="3"/>
  <c r="U837" i="3"/>
  <c r="V837" i="3"/>
  <c r="W837" i="3"/>
  <c r="X837" i="3"/>
  <c r="Y837" i="3"/>
  <c r="Z837" i="3"/>
  <c r="AA837" i="3"/>
  <c r="T838" i="3"/>
  <c r="U838" i="3"/>
  <c r="V838" i="3"/>
  <c r="W838" i="3"/>
  <c r="X838" i="3"/>
  <c r="Y838" i="3"/>
  <c r="Z838" i="3"/>
  <c r="AA838" i="3"/>
  <c r="T839" i="3"/>
  <c r="U839" i="3"/>
  <c r="V839" i="3"/>
  <c r="W839" i="3"/>
  <c r="X839" i="3"/>
  <c r="Y839" i="3"/>
  <c r="Z839" i="3"/>
  <c r="AA839" i="3"/>
  <c r="T840" i="3"/>
  <c r="U840" i="3"/>
  <c r="V840" i="3"/>
  <c r="W840" i="3"/>
  <c r="X840" i="3"/>
  <c r="Y840" i="3"/>
  <c r="Z840" i="3"/>
  <c r="AA840" i="3"/>
  <c r="T841" i="3"/>
  <c r="U841" i="3"/>
  <c r="V841" i="3"/>
  <c r="W841" i="3"/>
  <c r="X841" i="3"/>
  <c r="Y841" i="3"/>
  <c r="Z841" i="3"/>
  <c r="AA841" i="3"/>
  <c r="T842" i="3"/>
  <c r="U842" i="3"/>
  <c r="V842" i="3"/>
  <c r="W842" i="3"/>
  <c r="X842" i="3"/>
  <c r="Y842" i="3"/>
  <c r="Z842" i="3"/>
  <c r="AA842" i="3"/>
  <c r="T843" i="3"/>
  <c r="U843" i="3"/>
  <c r="V843" i="3"/>
  <c r="W843" i="3"/>
  <c r="X843" i="3"/>
  <c r="Y843" i="3"/>
  <c r="Z843" i="3"/>
  <c r="AA843" i="3"/>
  <c r="T844" i="3"/>
  <c r="U844" i="3"/>
  <c r="V844" i="3"/>
  <c r="W844" i="3"/>
  <c r="X844" i="3"/>
  <c r="Y844" i="3"/>
  <c r="Z844" i="3"/>
  <c r="AA844" i="3"/>
  <c r="T845" i="3"/>
  <c r="U845" i="3"/>
  <c r="V845" i="3"/>
  <c r="W845" i="3"/>
  <c r="X845" i="3"/>
  <c r="Y845" i="3"/>
  <c r="Z845" i="3"/>
  <c r="AA845" i="3"/>
  <c r="T846" i="3"/>
  <c r="U846" i="3"/>
  <c r="V846" i="3"/>
  <c r="W846" i="3"/>
  <c r="X846" i="3"/>
  <c r="Y846" i="3"/>
  <c r="Z846" i="3"/>
  <c r="AA846" i="3"/>
  <c r="T847" i="3"/>
  <c r="U847" i="3"/>
  <c r="V847" i="3"/>
  <c r="W847" i="3"/>
  <c r="X847" i="3"/>
  <c r="Y847" i="3"/>
  <c r="Z847" i="3"/>
  <c r="AA847" i="3"/>
  <c r="T848" i="3"/>
  <c r="U848" i="3"/>
  <c r="V848" i="3"/>
  <c r="W848" i="3"/>
  <c r="X848" i="3"/>
  <c r="Y848" i="3"/>
  <c r="Z848" i="3"/>
  <c r="AA848" i="3"/>
  <c r="T849" i="3"/>
  <c r="U849" i="3"/>
  <c r="V849" i="3"/>
  <c r="W849" i="3"/>
  <c r="X849" i="3"/>
  <c r="Y849" i="3"/>
  <c r="Z849" i="3"/>
  <c r="AA849" i="3"/>
  <c r="T850" i="3"/>
  <c r="U850" i="3"/>
  <c r="V850" i="3"/>
  <c r="W850" i="3"/>
  <c r="X850" i="3"/>
  <c r="Y850" i="3"/>
  <c r="Z850" i="3"/>
  <c r="AA850" i="3"/>
  <c r="T851" i="3"/>
  <c r="U851" i="3"/>
  <c r="V851" i="3"/>
  <c r="W851" i="3"/>
  <c r="X851" i="3"/>
  <c r="Y851" i="3"/>
  <c r="Z851" i="3"/>
  <c r="AA851" i="3"/>
  <c r="U819" i="3"/>
  <c r="V819" i="3"/>
  <c r="W819" i="3"/>
  <c r="X819" i="3"/>
  <c r="Y819" i="3"/>
  <c r="Z819" i="3"/>
  <c r="AA819" i="3"/>
  <c r="T819" i="3"/>
  <c r="T786" i="3"/>
  <c r="U786" i="3"/>
  <c r="V786" i="3"/>
  <c r="W786" i="3"/>
  <c r="X786" i="3"/>
  <c r="Y786" i="3"/>
  <c r="Z786" i="3"/>
  <c r="AA786" i="3"/>
  <c r="T787" i="3"/>
  <c r="U787" i="3"/>
  <c r="V787" i="3"/>
  <c r="W787" i="3"/>
  <c r="X787" i="3"/>
  <c r="Y787" i="3"/>
  <c r="Z787" i="3"/>
  <c r="AA787" i="3"/>
  <c r="T788" i="3"/>
  <c r="U788" i="3"/>
  <c r="V788" i="3"/>
  <c r="W788" i="3"/>
  <c r="X788" i="3"/>
  <c r="Y788" i="3"/>
  <c r="Z788" i="3"/>
  <c r="AA788" i="3"/>
  <c r="T789" i="3"/>
  <c r="U789" i="3"/>
  <c r="V789" i="3"/>
  <c r="W789" i="3"/>
  <c r="X789" i="3"/>
  <c r="Y789" i="3"/>
  <c r="Z789" i="3"/>
  <c r="AA789" i="3"/>
  <c r="T790" i="3"/>
  <c r="U790" i="3"/>
  <c r="V790" i="3"/>
  <c r="W790" i="3"/>
  <c r="X790" i="3"/>
  <c r="Y790" i="3"/>
  <c r="Z790" i="3"/>
  <c r="AA790" i="3"/>
  <c r="T791" i="3"/>
  <c r="U791" i="3"/>
  <c r="V791" i="3"/>
  <c r="W791" i="3"/>
  <c r="X791" i="3"/>
  <c r="Y791" i="3"/>
  <c r="Z791" i="3"/>
  <c r="AA791" i="3"/>
  <c r="T792" i="3"/>
  <c r="U792" i="3"/>
  <c r="V792" i="3"/>
  <c r="W792" i="3"/>
  <c r="X792" i="3"/>
  <c r="Y792" i="3"/>
  <c r="Z792" i="3"/>
  <c r="AA792" i="3"/>
  <c r="T793" i="3"/>
  <c r="U793" i="3"/>
  <c r="V793" i="3"/>
  <c r="W793" i="3"/>
  <c r="X793" i="3"/>
  <c r="Y793" i="3"/>
  <c r="Z793" i="3"/>
  <c r="AA793" i="3"/>
  <c r="T794" i="3"/>
  <c r="U794" i="3"/>
  <c r="V794" i="3"/>
  <c r="W794" i="3"/>
  <c r="X794" i="3"/>
  <c r="Y794" i="3"/>
  <c r="Z794" i="3"/>
  <c r="AA794" i="3"/>
  <c r="T795" i="3"/>
  <c r="U795" i="3"/>
  <c r="V795" i="3"/>
  <c r="W795" i="3"/>
  <c r="X795" i="3"/>
  <c r="Y795" i="3"/>
  <c r="Z795" i="3"/>
  <c r="AA795" i="3"/>
  <c r="T796" i="3"/>
  <c r="U796" i="3"/>
  <c r="V796" i="3"/>
  <c r="W796" i="3"/>
  <c r="X796" i="3"/>
  <c r="Y796" i="3"/>
  <c r="Z796" i="3"/>
  <c r="AA796" i="3"/>
  <c r="T797" i="3"/>
  <c r="U797" i="3"/>
  <c r="V797" i="3"/>
  <c r="W797" i="3"/>
  <c r="X797" i="3"/>
  <c r="Y797" i="3"/>
  <c r="Z797" i="3"/>
  <c r="AA797" i="3"/>
  <c r="T798" i="3"/>
  <c r="U798" i="3"/>
  <c r="V798" i="3"/>
  <c r="W798" i="3"/>
  <c r="X798" i="3"/>
  <c r="Y798" i="3"/>
  <c r="Z798" i="3"/>
  <c r="AA798" i="3"/>
  <c r="T799" i="3"/>
  <c r="U799" i="3"/>
  <c r="V799" i="3"/>
  <c r="W799" i="3"/>
  <c r="X799" i="3"/>
  <c r="Y799" i="3"/>
  <c r="Z799" i="3"/>
  <c r="AA799" i="3"/>
  <c r="T800" i="3"/>
  <c r="U800" i="3"/>
  <c r="V800" i="3"/>
  <c r="W800" i="3"/>
  <c r="X800" i="3"/>
  <c r="Y800" i="3"/>
  <c r="Z800" i="3"/>
  <c r="AA800" i="3"/>
  <c r="T801" i="3"/>
  <c r="U801" i="3"/>
  <c r="V801" i="3"/>
  <c r="W801" i="3"/>
  <c r="X801" i="3"/>
  <c r="Y801" i="3"/>
  <c r="Z801" i="3"/>
  <c r="AA801" i="3"/>
  <c r="T802" i="3"/>
  <c r="U802" i="3"/>
  <c r="V802" i="3"/>
  <c r="W802" i="3"/>
  <c r="X802" i="3"/>
  <c r="Y802" i="3"/>
  <c r="Z802" i="3"/>
  <c r="AA802" i="3"/>
  <c r="T803" i="3"/>
  <c r="U803" i="3"/>
  <c r="V803" i="3"/>
  <c r="W803" i="3"/>
  <c r="X803" i="3"/>
  <c r="Y803" i="3"/>
  <c r="Z803" i="3"/>
  <c r="AA803" i="3"/>
  <c r="T804" i="3"/>
  <c r="U804" i="3"/>
  <c r="V804" i="3"/>
  <c r="W804" i="3"/>
  <c r="X804" i="3"/>
  <c r="Y804" i="3"/>
  <c r="Z804" i="3"/>
  <c r="AA804" i="3"/>
  <c r="T805" i="3"/>
  <c r="U805" i="3"/>
  <c r="V805" i="3"/>
  <c r="W805" i="3"/>
  <c r="X805" i="3"/>
  <c r="Y805" i="3"/>
  <c r="Z805" i="3"/>
  <c r="AA805" i="3"/>
  <c r="T806" i="3"/>
  <c r="U806" i="3"/>
  <c r="V806" i="3"/>
  <c r="W806" i="3"/>
  <c r="X806" i="3"/>
  <c r="Y806" i="3"/>
  <c r="Z806" i="3"/>
  <c r="AA806" i="3"/>
  <c r="T807" i="3"/>
  <c r="U807" i="3"/>
  <c r="V807" i="3"/>
  <c r="W807" i="3"/>
  <c r="X807" i="3"/>
  <c r="Y807" i="3"/>
  <c r="Z807" i="3"/>
  <c r="AA807" i="3"/>
  <c r="T808" i="3"/>
  <c r="U808" i="3"/>
  <c r="V808" i="3"/>
  <c r="W808" i="3"/>
  <c r="X808" i="3"/>
  <c r="Y808" i="3"/>
  <c r="Z808" i="3"/>
  <c r="AA808" i="3"/>
  <c r="T809" i="3"/>
  <c r="U809" i="3"/>
  <c r="V809" i="3"/>
  <c r="W809" i="3"/>
  <c r="X809" i="3"/>
  <c r="Y809" i="3"/>
  <c r="Z809" i="3"/>
  <c r="AA809" i="3"/>
  <c r="T810" i="3"/>
  <c r="U810" i="3"/>
  <c r="V810" i="3"/>
  <c r="W810" i="3"/>
  <c r="X810" i="3"/>
  <c r="Y810" i="3"/>
  <c r="Z810" i="3"/>
  <c r="AA810" i="3"/>
  <c r="T811" i="3"/>
  <c r="U811" i="3"/>
  <c r="V811" i="3"/>
  <c r="W811" i="3"/>
  <c r="X811" i="3"/>
  <c r="Y811" i="3"/>
  <c r="Z811" i="3"/>
  <c r="AA811" i="3"/>
  <c r="T812" i="3"/>
  <c r="U812" i="3"/>
  <c r="V812" i="3"/>
  <c r="W812" i="3"/>
  <c r="X812" i="3"/>
  <c r="Y812" i="3"/>
  <c r="Z812" i="3"/>
  <c r="AA812" i="3"/>
  <c r="T813" i="3"/>
  <c r="U813" i="3"/>
  <c r="V813" i="3"/>
  <c r="W813" i="3"/>
  <c r="X813" i="3"/>
  <c r="Y813" i="3"/>
  <c r="Z813" i="3"/>
  <c r="AA813" i="3"/>
  <c r="T814" i="3"/>
  <c r="U814" i="3"/>
  <c r="V814" i="3"/>
  <c r="W814" i="3"/>
  <c r="X814" i="3"/>
  <c r="Y814" i="3"/>
  <c r="Z814" i="3"/>
  <c r="AA814" i="3"/>
  <c r="T815" i="3"/>
  <c r="U815" i="3"/>
  <c r="V815" i="3"/>
  <c r="W815" i="3"/>
  <c r="X815" i="3"/>
  <c r="Y815" i="3"/>
  <c r="Z815" i="3"/>
  <c r="AA815" i="3"/>
  <c r="T816" i="3"/>
  <c r="U816" i="3"/>
  <c r="V816" i="3"/>
  <c r="W816" i="3"/>
  <c r="X816" i="3"/>
  <c r="Y816" i="3"/>
  <c r="Z816" i="3"/>
  <c r="AA816" i="3"/>
  <c r="T817" i="3"/>
  <c r="U817" i="3"/>
  <c r="V817" i="3"/>
  <c r="W817" i="3"/>
  <c r="X817" i="3"/>
  <c r="Y817" i="3"/>
  <c r="Z817" i="3"/>
  <c r="AA817" i="3"/>
  <c r="U785" i="3"/>
  <c r="V785" i="3"/>
  <c r="W785" i="3"/>
  <c r="X785" i="3"/>
  <c r="Y785" i="3"/>
  <c r="Z785" i="3"/>
  <c r="AA785" i="3"/>
  <c r="T785" i="3"/>
  <c r="T752" i="3"/>
  <c r="U752" i="3"/>
  <c r="V752" i="3"/>
  <c r="W752" i="3"/>
  <c r="X752" i="3"/>
  <c r="Y752" i="3"/>
  <c r="Z752" i="3"/>
  <c r="AA752" i="3"/>
  <c r="T753" i="3"/>
  <c r="U753" i="3"/>
  <c r="V753" i="3"/>
  <c r="W753" i="3"/>
  <c r="X753" i="3"/>
  <c r="Y753" i="3"/>
  <c r="Z753" i="3"/>
  <c r="AA753" i="3"/>
  <c r="T754" i="3"/>
  <c r="U754" i="3"/>
  <c r="V754" i="3"/>
  <c r="W754" i="3"/>
  <c r="X754" i="3"/>
  <c r="Y754" i="3"/>
  <c r="Z754" i="3"/>
  <c r="AA754" i="3"/>
  <c r="T755" i="3"/>
  <c r="U755" i="3"/>
  <c r="V755" i="3"/>
  <c r="W755" i="3"/>
  <c r="X755" i="3"/>
  <c r="Y755" i="3"/>
  <c r="Z755" i="3"/>
  <c r="AA755" i="3"/>
  <c r="T756" i="3"/>
  <c r="U756" i="3"/>
  <c r="V756" i="3"/>
  <c r="W756" i="3"/>
  <c r="X756" i="3"/>
  <c r="Y756" i="3"/>
  <c r="Z756" i="3"/>
  <c r="AA756" i="3"/>
  <c r="T757" i="3"/>
  <c r="U757" i="3"/>
  <c r="V757" i="3"/>
  <c r="W757" i="3"/>
  <c r="X757" i="3"/>
  <c r="Y757" i="3"/>
  <c r="Z757" i="3"/>
  <c r="AA757" i="3"/>
  <c r="T758" i="3"/>
  <c r="U758" i="3"/>
  <c r="V758" i="3"/>
  <c r="W758" i="3"/>
  <c r="X758" i="3"/>
  <c r="Y758" i="3"/>
  <c r="Z758" i="3"/>
  <c r="AA758" i="3"/>
  <c r="T759" i="3"/>
  <c r="U759" i="3"/>
  <c r="V759" i="3"/>
  <c r="W759" i="3"/>
  <c r="X759" i="3"/>
  <c r="Y759" i="3"/>
  <c r="Z759" i="3"/>
  <c r="AA759" i="3"/>
  <c r="T760" i="3"/>
  <c r="U760" i="3"/>
  <c r="V760" i="3"/>
  <c r="W760" i="3"/>
  <c r="X760" i="3"/>
  <c r="Y760" i="3"/>
  <c r="Z760" i="3"/>
  <c r="AA760" i="3"/>
  <c r="T761" i="3"/>
  <c r="U761" i="3"/>
  <c r="V761" i="3"/>
  <c r="W761" i="3"/>
  <c r="X761" i="3"/>
  <c r="Y761" i="3"/>
  <c r="Z761" i="3"/>
  <c r="AA761" i="3"/>
  <c r="T762" i="3"/>
  <c r="U762" i="3"/>
  <c r="V762" i="3"/>
  <c r="W762" i="3"/>
  <c r="X762" i="3"/>
  <c r="Y762" i="3"/>
  <c r="Z762" i="3"/>
  <c r="AA762" i="3"/>
  <c r="T763" i="3"/>
  <c r="U763" i="3"/>
  <c r="V763" i="3"/>
  <c r="W763" i="3"/>
  <c r="X763" i="3"/>
  <c r="Y763" i="3"/>
  <c r="Z763" i="3"/>
  <c r="AA763" i="3"/>
  <c r="T764" i="3"/>
  <c r="U764" i="3"/>
  <c r="V764" i="3"/>
  <c r="W764" i="3"/>
  <c r="X764" i="3"/>
  <c r="Y764" i="3"/>
  <c r="Z764" i="3"/>
  <c r="AA764" i="3"/>
  <c r="T765" i="3"/>
  <c r="U765" i="3"/>
  <c r="V765" i="3"/>
  <c r="W765" i="3"/>
  <c r="X765" i="3"/>
  <c r="Y765" i="3"/>
  <c r="Z765" i="3"/>
  <c r="AA765" i="3"/>
  <c r="T766" i="3"/>
  <c r="U766" i="3"/>
  <c r="V766" i="3"/>
  <c r="W766" i="3"/>
  <c r="X766" i="3"/>
  <c r="Y766" i="3"/>
  <c r="Z766" i="3"/>
  <c r="AA766" i="3"/>
  <c r="T767" i="3"/>
  <c r="U767" i="3"/>
  <c r="V767" i="3"/>
  <c r="W767" i="3"/>
  <c r="X767" i="3"/>
  <c r="Y767" i="3"/>
  <c r="Z767" i="3"/>
  <c r="AA767" i="3"/>
  <c r="T768" i="3"/>
  <c r="U768" i="3"/>
  <c r="V768" i="3"/>
  <c r="W768" i="3"/>
  <c r="X768" i="3"/>
  <c r="Y768" i="3"/>
  <c r="Z768" i="3"/>
  <c r="AA768" i="3"/>
  <c r="T769" i="3"/>
  <c r="U769" i="3"/>
  <c r="V769" i="3"/>
  <c r="W769" i="3"/>
  <c r="X769" i="3"/>
  <c r="Y769" i="3"/>
  <c r="Z769" i="3"/>
  <c r="AA769" i="3"/>
  <c r="T770" i="3"/>
  <c r="U770" i="3"/>
  <c r="V770" i="3"/>
  <c r="W770" i="3"/>
  <c r="X770" i="3"/>
  <c r="Y770" i="3"/>
  <c r="Z770" i="3"/>
  <c r="AA770" i="3"/>
  <c r="T771" i="3"/>
  <c r="U771" i="3"/>
  <c r="V771" i="3"/>
  <c r="W771" i="3"/>
  <c r="X771" i="3"/>
  <c r="Y771" i="3"/>
  <c r="Z771" i="3"/>
  <c r="AA771" i="3"/>
  <c r="T772" i="3"/>
  <c r="U772" i="3"/>
  <c r="V772" i="3"/>
  <c r="W772" i="3"/>
  <c r="X772" i="3"/>
  <c r="Y772" i="3"/>
  <c r="Z772" i="3"/>
  <c r="AA772" i="3"/>
  <c r="T773" i="3"/>
  <c r="U773" i="3"/>
  <c r="V773" i="3"/>
  <c r="W773" i="3"/>
  <c r="X773" i="3"/>
  <c r="Y773" i="3"/>
  <c r="Z773" i="3"/>
  <c r="AA773" i="3"/>
  <c r="T774" i="3"/>
  <c r="U774" i="3"/>
  <c r="V774" i="3"/>
  <c r="W774" i="3"/>
  <c r="X774" i="3"/>
  <c r="Y774" i="3"/>
  <c r="Z774" i="3"/>
  <c r="AA774" i="3"/>
  <c r="T775" i="3"/>
  <c r="U775" i="3"/>
  <c r="V775" i="3"/>
  <c r="W775" i="3"/>
  <c r="X775" i="3"/>
  <c r="Y775" i="3"/>
  <c r="Z775" i="3"/>
  <c r="AA775" i="3"/>
  <c r="T776" i="3"/>
  <c r="U776" i="3"/>
  <c r="V776" i="3"/>
  <c r="W776" i="3"/>
  <c r="X776" i="3"/>
  <c r="Y776" i="3"/>
  <c r="Z776" i="3"/>
  <c r="AA776" i="3"/>
  <c r="T777" i="3"/>
  <c r="U777" i="3"/>
  <c r="V777" i="3"/>
  <c r="W777" i="3"/>
  <c r="X777" i="3"/>
  <c r="Y777" i="3"/>
  <c r="Z777" i="3"/>
  <c r="AA777" i="3"/>
  <c r="T778" i="3"/>
  <c r="U778" i="3"/>
  <c r="V778" i="3"/>
  <c r="W778" i="3"/>
  <c r="X778" i="3"/>
  <c r="Y778" i="3"/>
  <c r="Z778" i="3"/>
  <c r="AA778" i="3"/>
  <c r="T779" i="3"/>
  <c r="U779" i="3"/>
  <c r="V779" i="3"/>
  <c r="W779" i="3"/>
  <c r="X779" i="3"/>
  <c r="Y779" i="3"/>
  <c r="Z779" i="3"/>
  <c r="AA779" i="3"/>
  <c r="T780" i="3"/>
  <c r="U780" i="3"/>
  <c r="V780" i="3"/>
  <c r="W780" i="3"/>
  <c r="X780" i="3"/>
  <c r="Y780" i="3"/>
  <c r="Z780" i="3"/>
  <c r="AA780" i="3"/>
  <c r="T781" i="3"/>
  <c r="U781" i="3"/>
  <c r="V781" i="3"/>
  <c r="W781" i="3"/>
  <c r="X781" i="3"/>
  <c r="Y781" i="3"/>
  <c r="Z781" i="3"/>
  <c r="AA781" i="3"/>
  <c r="T782" i="3"/>
  <c r="U782" i="3"/>
  <c r="V782" i="3"/>
  <c r="W782" i="3"/>
  <c r="X782" i="3"/>
  <c r="Y782" i="3"/>
  <c r="Z782" i="3"/>
  <c r="AA782" i="3"/>
  <c r="T783" i="3"/>
  <c r="U783" i="3"/>
  <c r="V783" i="3"/>
  <c r="W783" i="3"/>
  <c r="X783" i="3"/>
  <c r="Y783" i="3"/>
  <c r="Z783" i="3"/>
  <c r="AA783" i="3"/>
  <c r="U751" i="3"/>
  <c r="V751" i="3"/>
  <c r="W751" i="3"/>
  <c r="X751" i="3"/>
  <c r="Y751" i="3"/>
  <c r="Z751" i="3"/>
  <c r="AA751" i="3"/>
  <c r="T751" i="3"/>
  <c r="T718" i="3"/>
  <c r="U718" i="3"/>
  <c r="V718" i="3"/>
  <c r="W718" i="3"/>
  <c r="X718" i="3"/>
  <c r="Y718" i="3"/>
  <c r="Z718" i="3"/>
  <c r="AA718" i="3"/>
  <c r="T719" i="3"/>
  <c r="U719" i="3"/>
  <c r="V719" i="3"/>
  <c r="W719" i="3"/>
  <c r="X719" i="3"/>
  <c r="Y719" i="3"/>
  <c r="Z719" i="3"/>
  <c r="AA719" i="3"/>
  <c r="T720" i="3"/>
  <c r="U720" i="3"/>
  <c r="V720" i="3"/>
  <c r="W720" i="3"/>
  <c r="X720" i="3"/>
  <c r="Y720" i="3"/>
  <c r="Z720" i="3"/>
  <c r="AA720" i="3"/>
  <c r="T721" i="3"/>
  <c r="U721" i="3"/>
  <c r="V721" i="3"/>
  <c r="W721" i="3"/>
  <c r="X721" i="3"/>
  <c r="Y721" i="3"/>
  <c r="Z721" i="3"/>
  <c r="AA721" i="3"/>
  <c r="T722" i="3"/>
  <c r="U722" i="3"/>
  <c r="V722" i="3"/>
  <c r="W722" i="3"/>
  <c r="X722" i="3"/>
  <c r="Y722" i="3"/>
  <c r="Z722" i="3"/>
  <c r="AA722" i="3"/>
  <c r="T723" i="3"/>
  <c r="U723" i="3"/>
  <c r="V723" i="3"/>
  <c r="W723" i="3"/>
  <c r="X723" i="3"/>
  <c r="Y723" i="3"/>
  <c r="Z723" i="3"/>
  <c r="AA723" i="3"/>
  <c r="T724" i="3"/>
  <c r="U724" i="3"/>
  <c r="V724" i="3"/>
  <c r="W724" i="3"/>
  <c r="X724" i="3"/>
  <c r="Y724" i="3"/>
  <c r="Z724" i="3"/>
  <c r="AA724" i="3"/>
  <c r="T725" i="3"/>
  <c r="U725" i="3"/>
  <c r="V725" i="3"/>
  <c r="W725" i="3"/>
  <c r="X725" i="3"/>
  <c r="Y725" i="3"/>
  <c r="Z725" i="3"/>
  <c r="AA725" i="3"/>
  <c r="T726" i="3"/>
  <c r="U726" i="3"/>
  <c r="V726" i="3"/>
  <c r="W726" i="3"/>
  <c r="X726" i="3"/>
  <c r="Y726" i="3"/>
  <c r="Z726" i="3"/>
  <c r="AA726" i="3"/>
  <c r="T727" i="3"/>
  <c r="U727" i="3"/>
  <c r="V727" i="3"/>
  <c r="W727" i="3"/>
  <c r="X727" i="3"/>
  <c r="Y727" i="3"/>
  <c r="Z727" i="3"/>
  <c r="AA727" i="3"/>
  <c r="T728" i="3"/>
  <c r="U728" i="3"/>
  <c r="V728" i="3"/>
  <c r="W728" i="3"/>
  <c r="X728" i="3"/>
  <c r="Y728" i="3"/>
  <c r="Z728" i="3"/>
  <c r="AA728" i="3"/>
  <c r="T729" i="3"/>
  <c r="U729" i="3"/>
  <c r="V729" i="3"/>
  <c r="W729" i="3"/>
  <c r="X729" i="3"/>
  <c r="Y729" i="3"/>
  <c r="Z729" i="3"/>
  <c r="AA729" i="3"/>
  <c r="T730" i="3"/>
  <c r="U730" i="3"/>
  <c r="V730" i="3"/>
  <c r="W730" i="3"/>
  <c r="X730" i="3"/>
  <c r="Y730" i="3"/>
  <c r="Z730" i="3"/>
  <c r="AA730" i="3"/>
  <c r="T731" i="3"/>
  <c r="U731" i="3"/>
  <c r="V731" i="3"/>
  <c r="W731" i="3"/>
  <c r="X731" i="3"/>
  <c r="Y731" i="3"/>
  <c r="Z731" i="3"/>
  <c r="AA731" i="3"/>
  <c r="T732" i="3"/>
  <c r="U732" i="3"/>
  <c r="V732" i="3"/>
  <c r="W732" i="3"/>
  <c r="X732" i="3"/>
  <c r="Y732" i="3"/>
  <c r="Z732" i="3"/>
  <c r="AA732" i="3"/>
  <c r="T733" i="3"/>
  <c r="U733" i="3"/>
  <c r="V733" i="3"/>
  <c r="W733" i="3"/>
  <c r="X733" i="3"/>
  <c r="Y733" i="3"/>
  <c r="Z733" i="3"/>
  <c r="AA733" i="3"/>
  <c r="T734" i="3"/>
  <c r="U734" i="3"/>
  <c r="V734" i="3"/>
  <c r="W734" i="3"/>
  <c r="X734" i="3"/>
  <c r="Y734" i="3"/>
  <c r="Z734" i="3"/>
  <c r="AA734" i="3"/>
  <c r="T735" i="3"/>
  <c r="U735" i="3"/>
  <c r="V735" i="3"/>
  <c r="W735" i="3"/>
  <c r="X735" i="3"/>
  <c r="Y735" i="3"/>
  <c r="Z735" i="3"/>
  <c r="AA735" i="3"/>
  <c r="T736" i="3"/>
  <c r="U736" i="3"/>
  <c r="V736" i="3"/>
  <c r="W736" i="3"/>
  <c r="X736" i="3"/>
  <c r="Y736" i="3"/>
  <c r="Z736" i="3"/>
  <c r="AA736" i="3"/>
  <c r="T737" i="3"/>
  <c r="U737" i="3"/>
  <c r="V737" i="3"/>
  <c r="W737" i="3"/>
  <c r="X737" i="3"/>
  <c r="Y737" i="3"/>
  <c r="Z737" i="3"/>
  <c r="AA737" i="3"/>
  <c r="T738" i="3"/>
  <c r="U738" i="3"/>
  <c r="V738" i="3"/>
  <c r="W738" i="3"/>
  <c r="X738" i="3"/>
  <c r="Y738" i="3"/>
  <c r="Z738" i="3"/>
  <c r="AA738" i="3"/>
  <c r="T739" i="3"/>
  <c r="U739" i="3"/>
  <c r="V739" i="3"/>
  <c r="W739" i="3"/>
  <c r="X739" i="3"/>
  <c r="Y739" i="3"/>
  <c r="Z739" i="3"/>
  <c r="AA739" i="3"/>
  <c r="T740" i="3"/>
  <c r="U740" i="3"/>
  <c r="V740" i="3"/>
  <c r="W740" i="3"/>
  <c r="X740" i="3"/>
  <c r="Y740" i="3"/>
  <c r="Z740" i="3"/>
  <c r="AA740" i="3"/>
  <c r="T741" i="3"/>
  <c r="U741" i="3"/>
  <c r="V741" i="3"/>
  <c r="W741" i="3"/>
  <c r="X741" i="3"/>
  <c r="Y741" i="3"/>
  <c r="Z741" i="3"/>
  <c r="AA741" i="3"/>
  <c r="T742" i="3"/>
  <c r="U742" i="3"/>
  <c r="V742" i="3"/>
  <c r="W742" i="3"/>
  <c r="X742" i="3"/>
  <c r="Y742" i="3"/>
  <c r="Z742" i="3"/>
  <c r="AA742" i="3"/>
  <c r="T743" i="3"/>
  <c r="U743" i="3"/>
  <c r="V743" i="3"/>
  <c r="W743" i="3"/>
  <c r="X743" i="3"/>
  <c r="Y743" i="3"/>
  <c r="Z743" i="3"/>
  <c r="AA743" i="3"/>
  <c r="T744" i="3"/>
  <c r="U744" i="3"/>
  <c r="V744" i="3"/>
  <c r="W744" i="3"/>
  <c r="X744" i="3"/>
  <c r="Y744" i="3"/>
  <c r="Z744" i="3"/>
  <c r="AA744" i="3"/>
  <c r="T745" i="3"/>
  <c r="U745" i="3"/>
  <c r="V745" i="3"/>
  <c r="W745" i="3"/>
  <c r="X745" i="3"/>
  <c r="Y745" i="3"/>
  <c r="Z745" i="3"/>
  <c r="AA745" i="3"/>
  <c r="T746" i="3"/>
  <c r="U746" i="3"/>
  <c r="V746" i="3"/>
  <c r="W746" i="3"/>
  <c r="X746" i="3"/>
  <c r="Y746" i="3"/>
  <c r="Z746" i="3"/>
  <c r="AA746" i="3"/>
  <c r="T747" i="3"/>
  <c r="U747" i="3"/>
  <c r="V747" i="3"/>
  <c r="W747" i="3"/>
  <c r="X747" i="3"/>
  <c r="Y747" i="3"/>
  <c r="Z747" i="3"/>
  <c r="AA747" i="3"/>
  <c r="T748" i="3"/>
  <c r="U748" i="3"/>
  <c r="V748" i="3"/>
  <c r="W748" i="3"/>
  <c r="X748" i="3"/>
  <c r="Y748" i="3"/>
  <c r="Z748" i="3"/>
  <c r="AA748" i="3"/>
  <c r="T749" i="3"/>
  <c r="U749" i="3"/>
  <c r="V749" i="3"/>
  <c r="W749" i="3"/>
  <c r="X749" i="3"/>
  <c r="Y749" i="3"/>
  <c r="Z749" i="3"/>
  <c r="AA749" i="3"/>
  <c r="U717" i="3"/>
  <c r="V717" i="3"/>
  <c r="W717" i="3"/>
  <c r="X717" i="3"/>
  <c r="Y717" i="3"/>
  <c r="Z717" i="3"/>
  <c r="AA717" i="3"/>
  <c r="T717" i="3"/>
  <c r="T684" i="3"/>
  <c r="U684" i="3"/>
  <c r="V684" i="3"/>
  <c r="W684" i="3"/>
  <c r="X684" i="3"/>
  <c r="Y684" i="3"/>
  <c r="Z684" i="3"/>
  <c r="AA684" i="3"/>
  <c r="T685" i="3"/>
  <c r="U685" i="3"/>
  <c r="V685" i="3"/>
  <c r="W685" i="3"/>
  <c r="X685" i="3"/>
  <c r="Y685" i="3"/>
  <c r="Z685" i="3"/>
  <c r="AA685" i="3"/>
  <c r="T686" i="3"/>
  <c r="U686" i="3"/>
  <c r="V686" i="3"/>
  <c r="W686" i="3"/>
  <c r="X686" i="3"/>
  <c r="Y686" i="3"/>
  <c r="Z686" i="3"/>
  <c r="AA686" i="3"/>
  <c r="T687" i="3"/>
  <c r="U687" i="3"/>
  <c r="V687" i="3"/>
  <c r="W687" i="3"/>
  <c r="X687" i="3"/>
  <c r="Y687" i="3"/>
  <c r="Z687" i="3"/>
  <c r="AA687" i="3"/>
  <c r="T688" i="3"/>
  <c r="U688" i="3"/>
  <c r="V688" i="3"/>
  <c r="W688" i="3"/>
  <c r="X688" i="3"/>
  <c r="Y688" i="3"/>
  <c r="Z688" i="3"/>
  <c r="AA688" i="3"/>
  <c r="T689" i="3"/>
  <c r="U689" i="3"/>
  <c r="V689" i="3"/>
  <c r="W689" i="3"/>
  <c r="X689" i="3"/>
  <c r="Y689" i="3"/>
  <c r="Z689" i="3"/>
  <c r="AA689" i="3"/>
  <c r="T690" i="3"/>
  <c r="U690" i="3"/>
  <c r="V690" i="3"/>
  <c r="W690" i="3"/>
  <c r="X690" i="3"/>
  <c r="Y690" i="3"/>
  <c r="Z690" i="3"/>
  <c r="AA690" i="3"/>
  <c r="T691" i="3"/>
  <c r="U691" i="3"/>
  <c r="V691" i="3"/>
  <c r="W691" i="3"/>
  <c r="X691" i="3"/>
  <c r="Y691" i="3"/>
  <c r="Z691" i="3"/>
  <c r="AA691" i="3"/>
  <c r="T692" i="3"/>
  <c r="U692" i="3"/>
  <c r="V692" i="3"/>
  <c r="W692" i="3"/>
  <c r="X692" i="3"/>
  <c r="Y692" i="3"/>
  <c r="Z692" i="3"/>
  <c r="AA692" i="3"/>
  <c r="T693" i="3"/>
  <c r="U693" i="3"/>
  <c r="V693" i="3"/>
  <c r="W693" i="3"/>
  <c r="X693" i="3"/>
  <c r="Y693" i="3"/>
  <c r="Z693" i="3"/>
  <c r="AA693" i="3"/>
  <c r="T694" i="3"/>
  <c r="U694" i="3"/>
  <c r="V694" i="3"/>
  <c r="W694" i="3"/>
  <c r="X694" i="3"/>
  <c r="Y694" i="3"/>
  <c r="Z694" i="3"/>
  <c r="AA694" i="3"/>
  <c r="T695" i="3"/>
  <c r="U695" i="3"/>
  <c r="V695" i="3"/>
  <c r="W695" i="3"/>
  <c r="X695" i="3"/>
  <c r="Y695" i="3"/>
  <c r="Z695" i="3"/>
  <c r="AA695" i="3"/>
  <c r="T696" i="3"/>
  <c r="U696" i="3"/>
  <c r="V696" i="3"/>
  <c r="W696" i="3"/>
  <c r="X696" i="3"/>
  <c r="Y696" i="3"/>
  <c r="Z696" i="3"/>
  <c r="AA696" i="3"/>
  <c r="T697" i="3"/>
  <c r="U697" i="3"/>
  <c r="V697" i="3"/>
  <c r="W697" i="3"/>
  <c r="X697" i="3"/>
  <c r="Y697" i="3"/>
  <c r="Z697" i="3"/>
  <c r="AA697" i="3"/>
  <c r="T698" i="3"/>
  <c r="U698" i="3"/>
  <c r="V698" i="3"/>
  <c r="W698" i="3"/>
  <c r="X698" i="3"/>
  <c r="Y698" i="3"/>
  <c r="Z698" i="3"/>
  <c r="AA698" i="3"/>
  <c r="T699" i="3"/>
  <c r="U699" i="3"/>
  <c r="V699" i="3"/>
  <c r="W699" i="3"/>
  <c r="X699" i="3"/>
  <c r="Y699" i="3"/>
  <c r="Z699" i="3"/>
  <c r="AA699" i="3"/>
  <c r="T700" i="3"/>
  <c r="U700" i="3"/>
  <c r="V700" i="3"/>
  <c r="W700" i="3"/>
  <c r="X700" i="3"/>
  <c r="Y700" i="3"/>
  <c r="Z700" i="3"/>
  <c r="AA700" i="3"/>
  <c r="T701" i="3"/>
  <c r="U701" i="3"/>
  <c r="V701" i="3"/>
  <c r="W701" i="3"/>
  <c r="X701" i="3"/>
  <c r="Y701" i="3"/>
  <c r="Z701" i="3"/>
  <c r="AA701" i="3"/>
  <c r="T702" i="3"/>
  <c r="U702" i="3"/>
  <c r="V702" i="3"/>
  <c r="W702" i="3"/>
  <c r="X702" i="3"/>
  <c r="Y702" i="3"/>
  <c r="Z702" i="3"/>
  <c r="AA702" i="3"/>
  <c r="T703" i="3"/>
  <c r="U703" i="3"/>
  <c r="V703" i="3"/>
  <c r="W703" i="3"/>
  <c r="X703" i="3"/>
  <c r="Y703" i="3"/>
  <c r="Z703" i="3"/>
  <c r="AA703" i="3"/>
  <c r="T704" i="3"/>
  <c r="U704" i="3"/>
  <c r="V704" i="3"/>
  <c r="W704" i="3"/>
  <c r="X704" i="3"/>
  <c r="Y704" i="3"/>
  <c r="Z704" i="3"/>
  <c r="AA704" i="3"/>
  <c r="T705" i="3"/>
  <c r="U705" i="3"/>
  <c r="V705" i="3"/>
  <c r="W705" i="3"/>
  <c r="X705" i="3"/>
  <c r="Y705" i="3"/>
  <c r="Z705" i="3"/>
  <c r="AA705" i="3"/>
  <c r="T706" i="3"/>
  <c r="U706" i="3"/>
  <c r="V706" i="3"/>
  <c r="W706" i="3"/>
  <c r="X706" i="3"/>
  <c r="Y706" i="3"/>
  <c r="Z706" i="3"/>
  <c r="AA706" i="3"/>
  <c r="T707" i="3"/>
  <c r="U707" i="3"/>
  <c r="V707" i="3"/>
  <c r="W707" i="3"/>
  <c r="X707" i="3"/>
  <c r="Y707" i="3"/>
  <c r="Z707" i="3"/>
  <c r="AA707" i="3"/>
  <c r="T708" i="3"/>
  <c r="U708" i="3"/>
  <c r="V708" i="3"/>
  <c r="W708" i="3"/>
  <c r="X708" i="3"/>
  <c r="Y708" i="3"/>
  <c r="Z708" i="3"/>
  <c r="AA708" i="3"/>
  <c r="T709" i="3"/>
  <c r="U709" i="3"/>
  <c r="V709" i="3"/>
  <c r="W709" i="3"/>
  <c r="X709" i="3"/>
  <c r="Y709" i="3"/>
  <c r="Z709" i="3"/>
  <c r="AA709" i="3"/>
  <c r="T710" i="3"/>
  <c r="U710" i="3"/>
  <c r="V710" i="3"/>
  <c r="W710" i="3"/>
  <c r="X710" i="3"/>
  <c r="Y710" i="3"/>
  <c r="Z710" i="3"/>
  <c r="AA710" i="3"/>
  <c r="T711" i="3"/>
  <c r="U711" i="3"/>
  <c r="V711" i="3"/>
  <c r="W711" i="3"/>
  <c r="X711" i="3"/>
  <c r="Y711" i="3"/>
  <c r="Z711" i="3"/>
  <c r="AA711" i="3"/>
  <c r="T712" i="3"/>
  <c r="U712" i="3"/>
  <c r="V712" i="3"/>
  <c r="W712" i="3"/>
  <c r="X712" i="3"/>
  <c r="Y712" i="3"/>
  <c r="Z712" i="3"/>
  <c r="AA712" i="3"/>
  <c r="T713" i="3"/>
  <c r="U713" i="3"/>
  <c r="V713" i="3"/>
  <c r="W713" i="3"/>
  <c r="X713" i="3"/>
  <c r="Y713" i="3"/>
  <c r="Z713" i="3"/>
  <c r="AA713" i="3"/>
  <c r="T714" i="3"/>
  <c r="U714" i="3"/>
  <c r="V714" i="3"/>
  <c r="W714" i="3"/>
  <c r="X714" i="3"/>
  <c r="Y714" i="3"/>
  <c r="Z714" i="3"/>
  <c r="AA714" i="3"/>
  <c r="T715" i="3"/>
  <c r="U715" i="3"/>
  <c r="V715" i="3"/>
  <c r="W715" i="3"/>
  <c r="X715" i="3"/>
  <c r="Y715" i="3"/>
  <c r="Z715" i="3"/>
  <c r="AA715" i="3"/>
  <c r="U683" i="3"/>
  <c r="V683" i="3"/>
  <c r="W683" i="3"/>
  <c r="X683" i="3"/>
  <c r="Y683" i="3"/>
  <c r="Z683" i="3"/>
  <c r="AA683" i="3"/>
  <c r="T683" i="3"/>
  <c r="T650" i="3"/>
  <c r="U650" i="3"/>
  <c r="V650" i="3"/>
  <c r="W650" i="3"/>
  <c r="X650" i="3"/>
  <c r="Y650" i="3"/>
  <c r="Z650" i="3"/>
  <c r="AA650" i="3"/>
  <c r="T651" i="3"/>
  <c r="U651" i="3"/>
  <c r="V651" i="3"/>
  <c r="W651" i="3"/>
  <c r="X651" i="3"/>
  <c r="Y651" i="3"/>
  <c r="Z651" i="3"/>
  <c r="AA651" i="3"/>
  <c r="T652" i="3"/>
  <c r="U652" i="3"/>
  <c r="V652" i="3"/>
  <c r="W652" i="3"/>
  <c r="X652" i="3"/>
  <c r="Y652" i="3"/>
  <c r="Z652" i="3"/>
  <c r="AA652" i="3"/>
  <c r="T653" i="3"/>
  <c r="U653" i="3"/>
  <c r="V653" i="3"/>
  <c r="W653" i="3"/>
  <c r="X653" i="3"/>
  <c r="Y653" i="3"/>
  <c r="Z653" i="3"/>
  <c r="AA653" i="3"/>
  <c r="T654" i="3"/>
  <c r="U654" i="3"/>
  <c r="V654" i="3"/>
  <c r="W654" i="3"/>
  <c r="X654" i="3"/>
  <c r="Y654" i="3"/>
  <c r="Z654" i="3"/>
  <c r="AA654" i="3"/>
  <c r="T655" i="3"/>
  <c r="U655" i="3"/>
  <c r="V655" i="3"/>
  <c r="W655" i="3"/>
  <c r="X655" i="3"/>
  <c r="Y655" i="3"/>
  <c r="Z655" i="3"/>
  <c r="AA655" i="3"/>
  <c r="T656" i="3"/>
  <c r="U656" i="3"/>
  <c r="V656" i="3"/>
  <c r="W656" i="3"/>
  <c r="X656" i="3"/>
  <c r="Y656" i="3"/>
  <c r="Z656" i="3"/>
  <c r="AA656" i="3"/>
  <c r="T657" i="3"/>
  <c r="U657" i="3"/>
  <c r="V657" i="3"/>
  <c r="W657" i="3"/>
  <c r="X657" i="3"/>
  <c r="Y657" i="3"/>
  <c r="Z657" i="3"/>
  <c r="AA657" i="3"/>
  <c r="T658" i="3"/>
  <c r="U658" i="3"/>
  <c r="V658" i="3"/>
  <c r="W658" i="3"/>
  <c r="X658" i="3"/>
  <c r="Y658" i="3"/>
  <c r="Z658" i="3"/>
  <c r="AA658" i="3"/>
  <c r="T659" i="3"/>
  <c r="U659" i="3"/>
  <c r="V659" i="3"/>
  <c r="W659" i="3"/>
  <c r="X659" i="3"/>
  <c r="Y659" i="3"/>
  <c r="Z659" i="3"/>
  <c r="AA659" i="3"/>
  <c r="T660" i="3"/>
  <c r="U660" i="3"/>
  <c r="V660" i="3"/>
  <c r="W660" i="3"/>
  <c r="X660" i="3"/>
  <c r="Y660" i="3"/>
  <c r="Z660" i="3"/>
  <c r="AA660" i="3"/>
  <c r="T661" i="3"/>
  <c r="U661" i="3"/>
  <c r="V661" i="3"/>
  <c r="W661" i="3"/>
  <c r="X661" i="3"/>
  <c r="Y661" i="3"/>
  <c r="Z661" i="3"/>
  <c r="AA661" i="3"/>
  <c r="T662" i="3"/>
  <c r="U662" i="3"/>
  <c r="V662" i="3"/>
  <c r="W662" i="3"/>
  <c r="X662" i="3"/>
  <c r="Y662" i="3"/>
  <c r="Z662" i="3"/>
  <c r="AA662" i="3"/>
  <c r="T663" i="3"/>
  <c r="U663" i="3"/>
  <c r="V663" i="3"/>
  <c r="W663" i="3"/>
  <c r="X663" i="3"/>
  <c r="Y663" i="3"/>
  <c r="Z663" i="3"/>
  <c r="AA663" i="3"/>
  <c r="T664" i="3"/>
  <c r="U664" i="3"/>
  <c r="V664" i="3"/>
  <c r="W664" i="3"/>
  <c r="X664" i="3"/>
  <c r="Y664" i="3"/>
  <c r="Z664" i="3"/>
  <c r="AA664" i="3"/>
  <c r="T665" i="3"/>
  <c r="U665" i="3"/>
  <c r="V665" i="3"/>
  <c r="W665" i="3"/>
  <c r="X665" i="3"/>
  <c r="Y665" i="3"/>
  <c r="Z665" i="3"/>
  <c r="AA665" i="3"/>
  <c r="T666" i="3"/>
  <c r="U666" i="3"/>
  <c r="V666" i="3"/>
  <c r="W666" i="3"/>
  <c r="X666" i="3"/>
  <c r="Y666" i="3"/>
  <c r="Z666" i="3"/>
  <c r="AA666" i="3"/>
  <c r="T667" i="3"/>
  <c r="U667" i="3"/>
  <c r="V667" i="3"/>
  <c r="W667" i="3"/>
  <c r="X667" i="3"/>
  <c r="Y667" i="3"/>
  <c r="Z667" i="3"/>
  <c r="AA667" i="3"/>
  <c r="T668" i="3"/>
  <c r="U668" i="3"/>
  <c r="V668" i="3"/>
  <c r="W668" i="3"/>
  <c r="X668" i="3"/>
  <c r="Y668" i="3"/>
  <c r="Z668" i="3"/>
  <c r="AA668" i="3"/>
  <c r="T669" i="3"/>
  <c r="U669" i="3"/>
  <c r="V669" i="3"/>
  <c r="W669" i="3"/>
  <c r="X669" i="3"/>
  <c r="Y669" i="3"/>
  <c r="Z669" i="3"/>
  <c r="AA669" i="3"/>
  <c r="T670" i="3"/>
  <c r="U670" i="3"/>
  <c r="V670" i="3"/>
  <c r="W670" i="3"/>
  <c r="X670" i="3"/>
  <c r="Y670" i="3"/>
  <c r="Z670" i="3"/>
  <c r="AA670" i="3"/>
  <c r="T671" i="3"/>
  <c r="U671" i="3"/>
  <c r="V671" i="3"/>
  <c r="W671" i="3"/>
  <c r="X671" i="3"/>
  <c r="Y671" i="3"/>
  <c r="Z671" i="3"/>
  <c r="AA671" i="3"/>
  <c r="T672" i="3"/>
  <c r="U672" i="3"/>
  <c r="V672" i="3"/>
  <c r="W672" i="3"/>
  <c r="X672" i="3"/>
  <c r="Y672" i="3"/>
  <c r="Z672" i="3"/>
  <c r="AA672" i="3"/>
  <c r="T673" i="3"/>
  <c r="U673" i="3"/>
  <c r="V673" i="3"/>
  <c r="W673" i="3"/>
  <c r="X673" i="3"/>
  <c r="Y673" i="3"/>
  <c r="Z673" i="3"/>
  <c r="AA673" i="3"/>
  <c r="T674" i="3"/>
  <c r="U674" i="3"/>
  <c r="V674" i="3"/>
  <c r="W674" i="3"/>
  <c r="X674" i="3"/>
  <c r="Y674" i="3"/>
  <c r="Z674" i="3"/>
  <c r="AA674" i="3"/>
  <c r="T675" i="3"/>
  <c r="U675" i="3"/>
  <c r="V675" i="3"/>
  <c r="W675" i="3"/>
  <c r="X675" i="3"/>
  <c r="Y675" i="3"/>
  <c r="Z675" i="3"/>
  <c r="AA675" i="3"/>
  <c r="T676" i="3"/>
  <c r="U676" i="3"/>
  <c r="V676" i="3"/>
  <c r="W676" i="3"/>
  <c r="X676" i="3"/>
  <c r="Y676" i="3"/>
  <c r="Z676" i="3"/>
  <c r="AA676" i="3"/>
  <c r="T677" i="3"/>
  <c r="U677" i="3"/>
  <c r="V677" i="3"/>
  <c r="W677" i="3"/>
  <c r="X677" i="3"/>
  <c r="Y677" i="3"/>
  <c r="Z677" i="3"/>
  <c r="AA677" i="3"/>
  <c r="T678" i="3"/>
  <c r="U678" i="3"/>
  <c r="V678" i="3"/>
  <c r="W678" i="3"/>
  <c r="X678" i="3"/>
  <c r="Y678" i="3"/>
  <c r="Z678" i="3"/>
  <c r="AA678" i="3"/>
  <c r="T679" i="3"/>
  <c r="U679" i="3"/>
  <c r="V679" i="3"/>
  <c r="W679" i="3"/>
  <c r="X679" i="3"/>
  <c r="Y679" i="3"/>
  <c r="Z679" i="3"/>
  <c r="AA679" i="3"/>
  <c r="T680" i="3"/>
  <c r="U680" i="3"/>
  <c r="V680" i="3"/>
  <c r="W680" i="3"/>
  <c r="X680" i="3"/>
  <c r="Y680" i="3"/>
  <c r="Z680" i="3"/>
  <c r="AA680" i="3"/>
  <c r="T681" i="3"/>
  <c r="U681" i="3"/>
  <c r="V681" i="3"/>
  <c r="W681" i="3"/>
  <c r="X681" i="3"/>
  <c r="Y681" i="3"/>
  <c r="Z681" i="3"/>
  <c r="AA681" i="3"/>
  <c r="W649" i="3"/>
  <c r="X649" i="3"/>
  <c r="Y649" i="3"/>
  <c r="Z649" i="3"/>
  <c r="AA649" i="3"/>
  <c r="U649" i="3"/>
  <c r="V649" i="3"/>
  <c r="T649" i="3"/>
  <c r="T616" i="3"/>
  <c r="U616" i="3"/>
  <c r="V616" i="3"/>
  <c r="W616" i="3"/>
  <c r="X616" i="3"/>
  <c r="Y616" i="3"/>
  <c r="Z616" i="3"/>
  <c r="AA616" i="3"/>
  <c r="T617" i="3"/>
  <c r="U617" i="3"/>
  <c r="V617" i="3"/>
  <c r="W617" i="3"/>
  <c r="X617" i="3"/>
  <c r="Y617" i="3"/>
  <c r="Z617" i="3"/>
  <c r="AA617" i="3"/>
  <c r="T618" i="3"/>
  <c r="U618" i="3"/>
  <c r="V618" i="3"/>
  <c r="W618" i="3"/>
  <c r="X618" i="3"/>
  <c r="Y618" i="3"/>
  <c r="Z618" i="3"/>
  <c r="AA618" i="3"/>
  <c r="T619" i="3"/>
  <c r="U619" i="3"/>
  <c r="V619" i="3"/>
  <c r="W619" i="3"/>
  <c r="X619" i="3"/>
  <c r="Y619" i="3"/>
  <c r="Z619" i="3"/>
  <c r="AA619" i="3"/>
  <c r="T620" i="3"/>
  <c r="U620" i="3"/>
  <c r="V620" i="3"/>
  <c r="W620" i="3"/>
  <c r="X620" i="3"/>
  <c r="Y620" i="3"/>
  <c r="Z620" i="3"/>
  <c r="AA620" i="3"/>
  <c r="T621" i="3"/>
  <c r="U621" i="3"/>
  <c r="V621" i="3"/>
  <c r="W621" i="3"/>
  <c r="X621" i="3"/>
  <c r="Y621" i="3"/>
  <c r="Z621" i="3"/>
  <c r="AA621" i="3"/>
  <c r="T622" i="3"/>
  <c r="U622" i="3"/>
  <c r="V622" i="3"/>
  <c r="W622" i="3"/>
  <c r="X622" i="3"/>
  <c r="Y622" i="3"/>
  <c r="Z622" i="3"/>
  <c r="AA622" i="3"/>
  <c r="T623" i="3"/>
  <c r="U623" i="3"/>
  <c r="V623" i="3"/>
  <c r="W623" i="3"/>
  <c r="X623" i="3"/>
  <c r="Y623" i="3"/>
  <c r="Z623" i="3"/>
  <c r="AA623" i="3"/>
  <c r="T624" i="3"/>
  <c r="U624" i="3"/>
  <c r="V624" i="3"/>
  <c r="W624" i="3"/>
  <c r="X624" i="3"/>
  <c r="Y624" i="3"/>
  <c r="Z624" i="3"/>
  <c r="AA624" i="3"/>
  <c r="T625" i="3"/>
  <c r="U625" i="3"/>
  <c r="V625" i="3"/>
  <c r="W625" i="3"/>
  <c r="X625" i="3"/>
  <c r="Y625" i="3"/>
  <c r="Z625" i="3"/>
  <c r="AA625" i="3"/>
  <c r="T626" i="3"/>
  <c r="U626" i="3"/>
  <c r="V626" i="3"/>
  <c r="W626" i="3"/>
  <c r="X626" i="3"/>
  <c r="Y626" i="3"/>
  <c r="Z626" i="3"/>
  <c r="AA626" i="3"/>
  <c r="T627" i="3"/>
  <c r="U627" i="3"/>
  <c r="V627" i="3"/>
  <c r="W627" i="3"/>
  <c r="X627" i="3"/>
  <c r="Y627" i="3"/>
  <c r="Z627" i="3"/>
  <c r="AA627" i="3"/>
  <c r="T628" i="3"/>
  <c r="U628" i="3"/>
  <c r="V628" i="3"/>
  <c r="W628" i="3"/>
  <c r="X628" i="3"/>
  <c r="Y628" i="3"/>
  <c r="Z628" i="3"/>
  <c r="AA628" i="3"/>
  <c r="T629" i="3"/>
  <c r="U629" i="3"/>
  <c r="V629" i="3"/>
  <c r="W629" i="3"/>
  <c r="X629" i="3"/>
  <c r="Y629" i="3"/>
  <c r="Z629" i="3"/>
  <c r="AA629" i="3"/>
  <c r="T630" i="3"/>
  <c r="U630" i="3"/>
  <c r="V630" i="3"/>
  <c r="W630" i="3"/>
  <c r="X630" i="3"/>
  <c r="Y630" i="3"/>
  <c r="Z630" i="3"/>
  <c r="AA630" i="3"/>
  <c r="T631" i="3"/>
  <c r="U631" i="3"/>
  <c r="V631" i="3"/>
  <c r="W631" i="3"/>
  <c r="X631" i="3"/>
  <c r="Y631" i="3"/>
  <c r="Z631" i="3"/>
  <c r="AA631" i="3"/>
  <c r="T632" i="3"/>
  <c r="U632" i="3"/>
  <c r="V632" i="3"/>
  <c r="W632" i="3"/>
  <c r="X632" i="3"/>
  <c r="Y632" i="3"/>
  <c r="Z632" i="3"/>
  <c r="AA632" i="3"/>
  <c r="T633" i="3"/>
  <c r="U633" i="3"/>
  <c r="V633" i="3"/>
  <c r="W633" i="3"/>
  <c r="X633" i="3"/>
  <c r="Y633" i="3"/>
  <c r="Z633" i="3"/>
  <c r="AA633" i="3"/>
  <c r="T634" i="3"/>
  <c r="U634" i="3"/>
  <c r="V634" i="3"/>
  <c r="W634" i="3"/>
  <c r="X634" i="3"/>
  <c r="Y634" i="3"/>
  <c r="Z634" i="3"/>
  <c r="AA634" i="3"/>
  <c r="T635" i="3"/>
  <c r="U635" i="3"/>
  <c r="V635" i="3"/>
  <c r="W635" i="3"/>
  <c r="X635" i="3"/>
  <c r="Y635" i="3"/>
  <c r="Z635" i="3"/>
  <c r="AA635" i="3"/>
  <c r="T636" i="3"/>
  <c r="U636" i="3"/>
  <c r="V636" i="3"/>
  <c r="W636" i="3"/>
  <c r="X636" i="3"/>
  <c r="Y636" i="3"/>
  <c r="Z636" i="3"/>
  <c r="AA636" i="3"/>
  <c r="T637" i="3"/>
  <c r="U637" i="3"/>
  <c r="V637" i="3"/>
  <c r="W637" i="3"/>
  <c r="X637" i="3"/>
  <c r="Y637" i="3"/>
  <c r="Z637" i="3"/>
  <c r="AA637" i="3"/>
  <c r="T638" i="3"/>
  <c r="U638" i="3"/>
  <c r="V638" i="3"/>
  <c r="W638" i="3"/>
  <c r="X638" i="3"/>
  <c r="Y638" i="3"/>
  <c r="Z638" i="3"/>
  <c r="AA638" i="3"/>
  <c r="T639" i="3"/>
  <c r="U639" i="3"/>
  <c r="V639" i="3"/>
  <c r="W639" i="3"/>
  <c r="X639" i="3"/>
  <c r="Y639" i="3"/>
  <c r="Z639" i="3"/>
  <c r="AA639" i="3"/>
  <c r="T640" i="3"/>
  <c r="U640" i="3"/>
  <c r="V640" i="3"/>
  <c r="W640" i="3"/>
  <c r="X640" i="3"/>
  <c r="Y640" i="3"/>
  <c r="Z640" i="3"/>
  <c r="AA640" i="3"/>
  <c r="T641" i="3"/>
  <c r="U641" i="3"/>
  <c r="V641" i="3"/>
  <c r="W641" i="3"/>
  <c r="X641" i="3"/>
  <c r="Y641" i="3"/>
  <c r="Z641" i="3"/>
  <c r="AA641" i="3"/>
  <c r="T642" i="3"/>
  <c r="U642" i="3"/>
  <c r="V642" i="3"/>
  <c r="W642" i="3"/>
  <c r="X642" i="3"/>
  <c r="Y642" i="3"/>
  <c r="Z642" i="3"/>
  <c r="AA642" i="3"/>
  <c r="T643" i="3"/>
  <c r="U643" i="3"/>
  <c r="V643" i="3"/>
  <c r="W643" i="3"/>
  <c r="X643" i="3"/>
  <c r="Y643" i="3"/>
  <c r="Z643" i="3"/>
  <c r="AA643" i="3"/>
  <c r="T644" i="3"/>
  <c r="U644" i="3"/>
  <c r="V644" i="3"/>
  <c r="W644" i="3"/>
  <c r="X644" i="3"/>
  <c r="Y644" i="3"/>
  <c r="Z644" i="3"/>
  <c r="AA644" i="3"/>
  <c r="T645" i="3"/>
  <c r="U645" i="3"/>
  <c r="V645" i="3"/>
  <c r="W645" i="3"/>
  <c r="X645" i="3"/>
  <c r="Y645" i="3"/>
  <c r="Z645" i="3"/>
  <c r="AA645" i="3"/>
  <c r="T646" i="3"/>
  <c r="U646" i="3"/>
  <c r="V646" i="3"/>
  <c r="W646" i="3"/>
  <c r="X646" i="3"/>
  <c r="Y646" i="3"/>
  <c r="Z646" i="3"/>
  <c r="AA646" i="3"/>
  <c r="T647" i="3"/>
  <c r="U647" i="3"/>
  <c r="V647" i="3"/>
  <c r="W647" i="3"/>
  <c r="X647" i="3"/>
  <c r="Y647" i="3"/>
  <c r="Z647" i="3"/>
  <c r="AA647" i="3"/>
  <c r="U615" i="3"/>
  <c r="V615" i="3"/>
  <c r="W615" i="3"/>
  <c r="X615" i="3"/>
  <c r="Y615" i="3"/>
  <c r="Z615" i="3"/>
  <c r="AA615" i="3"/>
  <c r="T615" i="3"/>
  <c r="T582" i="3"/>
  <c r="U582" i="3"/>
  <c r="V582" i="3"/>
  <c r="W582" i="3"/>
  <c r="X582" i="3"/>
  <c r="Y582" i="3"/>
  <c r="Z582" i="3"/>
  <c r="AA582" i="3"/>
  <c r="T583" i="3"/>
  <c r="U583" i="3"/>
  <c r="V583" i="3"/>
  <c r="W583" i="3"/>
  <c r="X583" i="3"/>
  <c r="Y583" i="3"/>
  <c r="Z583" i="3"/>
  <c r="AA583" i="3"/>
  <c r="T584" i="3"/>
  <c r="U584" i="3"/>
  <c r="V584" i="3"/>
  <c r="W584" i="3"/>
  <c r="X584" i="3"/>
  <c r="Y584" i="3"/>
  <c r="Z584" i="3"/>
  <c r="AA584" i="3"/>
  <c r="T585" i="3"/>
  <c r="U585" i="3"/>
  <c r="V585" i="3"/>
  <c r="W585" i="3"/>
  <c r="X585" i="3"/>
  <c r="Y585" i="3"/>
  <c r="Z585" i="3"/>
  <c r="AA585" i="3"/>
  <c r="T586" i="3"/>
  <c r="U586" i="3"/>
  <c r="V586" i="3"/>
  <c r="W586" i="3"/>
  <c r="X586" i="3"/>
  <c r="Y586" i="3"/>
  <c r="Z586" i="3"/>
  <c r="AA586" i="3"/>
  <c r="T587" i="3"/>
  <c r="U587" i="3"/>
  <c r="V587" i="3"/>
  <c r="W587" i="3"/>
  <c r="X587" i="3"/>
  <c r="Y587" i="3"/>
  <c r="Z587" i="3"/>
  <c r="AA587" i="3"/>
  <c r="T588" i="3"/>
  <c r="U588" i="3"/>
  <c r="V588" i="3"/>
  <c r="W588" i="3"/>
  <c r="X588" i="3"/>
  <c r="Y588" i="3"/>
  <c r="Z588" i="3"/>
  <c r="AA588" i="3"/>
  <c r="T589" i="3"/>
  <c r="U589" i="3"/>
  <c r="V589" i="3"/>
  <c r="W589" i="3"/>
  <c r="X589" i="3"/>
  <c r="Y589" i="3"/>
  <c r="Z589" i="3"/>
  <c r="AA589" i="3"/>
  <c r="T590" i="3"/>
  <c r="U590" i="3"/>
  <c r="V590" i="3"/>
  <c r="W590" i="3"/>
  <c r="X590" i="3"/>
  <c r="Y590" i="3"/>
  <c r="Z590" i="3"/>
  <c r="AA590" i="3"/>
  <c r="T591" i="3"/>
  <c r="U591" i="3"/>
  <c r="V591" i="3"/>
  <c r="W591" i="3"/>
  <c r="X591" i="3"/>
  <c r="Y591" i="3"/>
  <c r="Z591" i="3"/>
  <c r="AA591" i="3"/>
  <c r="T592" i="3"/>
  <c r="U592" i="3"/>
  <c r="V592" i="3"/>
  <c r="W592" i="3"/>
  <c r="X592" i="3"/>
  <c r="Y592" i="3"/>
  <c r="Z592" i="3"/>
  <c r="AA592" i="3"/>
  <c r="T593" i="3"/>
  <c r="U593" i="3"/>
  <c r="V593" i="3"/>
  <c r="W593" i="3"/>
  <c r="X593" i="3"/>
  <c r="Y593" i="3"/>
  <c r="Z593" i="3"/>
  <c r="AA593" i="3"/>
  <c r="T594" i="3"/>
  <c r="U594" i="3"/>
  <c r="V594" i="3"/>
  <c r="W594" i="3"/>
  <c r="X594" i="3"/>
  <c r="Y594" i="3"/>
  <c r="Z594" i="3"/>
  <c r="AA594" i="3"/>
  <c r="T595" i="3"/>
  <c r="U595" i="3"/>
  <c r="V595" i="3"/>
  <c r="W595" i="3"/>
  <c r="X595" i="3"/>
  <c r="Y595" i="3"/>
  <c r="Z595" i="3"/>
  <c r="AA595" i="3"/>
  <c r="T596" i="3"/>
  <c r="U596" i="3"/>
  <c r="V596" i="3"/>
  <c r="W596" i="3"/>
  <c r="X596" i="3"/>
  <c r="Y596" i="3"/>
  <c r="Z596" i="3"/>
  <c r="AA596" i="3"/>
  <c r="T597" i="3"/>
  <c r="U597" i="3"/>
  <c r="V597" i="3"/>
  <c r="W597" i="3"/>
  <c r="X597" i="3"/>
  <c r="Y597" i="3"/>
  <c r="Z597" i="3"/>
  <c r="AA597" i="3"/>
  <c r="T598" i="3"/>
  <c r="U598" i="3"/>
  <c r="V598" i="3"/>
  <c r="W598" i="3"/>
  <c r="X598" i="3"/>
  <c r="Y598" i="3"/>
  <c r="Z598" i="3"/>
  <c r="AA598" i="3"/>
  <c r="T599" i="3"/>
  <c r="U599" i="3"/>
  <c r="V599" i="3"/>
  <c r="W599" i="3"/>
  <c r="X599" i="3"/>
  <c r="Y599" i="3"/>
  <c r="Z599" i="3"/>
  <c r="AA599" i="3"/>
  <c r="T600" i="3"/>
  <c r="U600" i="3"/>
  <c r="V600" i="3"/>
  <c r="W600" i="3"/>
  <c r="X600" i="3"/>
  <c r="Y600" i="3"/>
  <c r="Z600" i="3"/>
  <c r="AA600" i="3"/>
  <c r="T601" i="3"/>
  <c r="U601" i="3"/>
  <c r="V601" i="3"/>
  <c r="W601" i="3"/>
  <c r="X601" i="3"/>
  <c r="Y601" i="3"/>
  <c r="Z601" i="3"/>
  <c r="AA601" i="3"/>
  <c r="T602" i="3"/>
  <c r="U602" i="3"/>
  <c r="V602" i="3"/>
  <c r="W602" i="3"/>
  <c r="X602" i="3"/>
  <c r="Y602" i="3"/>
  <c r="Z602" i="3"/>
  <c r="AA602" i="3"/>
  <c r="T603" i="3"/>
  <c r="U603" i="3"/>
  <c r="V603" i="3"/>
  <c r="W603" i="3"/>
  <c r="X603" i="3"/>
  <c r="Y603" i="3"/>
  <c r="Z603" i="3"/>
  <c r="AA603" i="3"/>
  <c r="T604" i="3"/>
  <c r="U604" i="3"/>
  <c r="V604" i="3"/>
  <c r="W604" i="3"/>
  <c r="X604" i="3"/>
  <c r="Y604" i="3"/>
  <c r="Z604" i="3"/>
  <c r="AA604" i="3"/>
  <c r="T605" i="3"/>
  <c r="U605" i="3"/>
  <c r="V605" i="3"/>
  <c r="W605" i="3"/>
  <c r="X605" i="3"/>
  <c r="Y605" i="3"/>
  <c r="Z605" i="3"/>
  <c r="AA605" i="3"/>
  <c r="T606" i="3"/>
  <c r="U606" i="3"/>
  <c r="V606" i="3"/>
  <c r="W606" i="3"/>
  <c r="X606" i="3"/>
  <c r="Y606" i="3"/>
  <c r="Z606" i="3"/>
  <c r="AA606" i="3"/>
  <c r="T607" i="3"/>
  <c r="U607" i="3"/>
  <c r="V607" i="3"/>
  <c r="W607" i="3"/>
  <c r="X607" i="3"/>
  <c r="Y607" i="3"/>
  <c r="Z607" i="3"/>
  <c r="AA607" i="3"/>
  <c r="T608" i="3"/>
  <c r="U608" i="3"/>
  <c r="V608" i="3"/>
  <c r="W608" i="3"/>
  <c r="X608" i="3"/>
  <c r="Y608" i="3"/>
  <c r="Z608" i="3"/>
  <c r="AA608" i="3"/>
  <c r="T609" i="3"/>
  <c r="U609" i="3"/>
  <c r="V609" i="3"/>
  <c r="W609" i="3"/>
  <c r="X609" i="3"/>
  <c r="Y609" i="3"/>
  <c r="Z609" i="3"/>
  <c r="AA609" i="3"/>
  <c r="T610" i="3"/>
  <c r="U610" i="3"/>
  <c r="V610" i="3"/>
  <c r="W610" i="3"/>
  <c r="X610" i="3"/>
  <c r="Y610" i="3"/>
  <c r="Z610" i="3"/>
  <c r="AA610" i="3"/>
  <c r="T611" i="3"/>
  <c r="U611" i="3"/>
  <c r="V611" i="3"/>
  <c r="W611" i="3"/>
  <c r="X611" i="3"/>
  <c r="Y611" i="3"/>
  <c r="Z611" i="3"/>
  <c r="AA611" i="3"/>
  <c r="T612" i="3"/>
  <c r="U612" i="3"/>
  <c r="V612" i="3"/>
  <c r="W612" i="3"/>
  <c r="X612" i="3"/>
  <c r="Y612" i="3"/>
  <c r="Z612" i="3"/>
  <c r="AA612" i="3"/>
  <c r="T613" i="3"/>
  <c r="U613" i="3"/>
  <c r="V613" i="3"/>
  <c r="W613" i="3"/>
  <c r="X613" i="3"/>
  <c r="Y613" i="3"/>
  <c r="Z613" i="3"/>
  <c r="AA613" i="3"/>
  <c r="U581" i="3"/>
  <c r="V581" i="3"/>
  <c r="W581" i="3"/>
  <c r="X581" i="3"/>
  <c r="Y581" i="3"/>
  <c r="Z581" i="3"/>
  <c r="AA581" i="3"/>
  <c r="T581" i="3"/>
  <c r="T548" i="3"/>
  <c r="U548" i="3"/>
  <c r="V548" i="3"/>
  <c r="W548" i="3"/>
  <c r="X548" i="3"/>
  <c r="Y548" i="3"/>
  <c r="Z548" i="3"/>
  <c r="AA548" i="3"/>
  <c r="T549" i="3"/>
  <c r="U549" i="3"/>
  <c r="V549" i="3"/>
  <c r="W549" i="3"/>
  <c r="X549" i="3"/>
  <c r="Y549" i="3"/>
  <c r="Z549" i="3"/>
  <c r="AA549" i="3"/>
  <c r="T550" i="3"/>
  <c r="U550" i="3"/>
  <c r="V550" i="3"/>
  <c r="W550" i="3"/>
  <c r="X550" i="3"/>
  <c r="Y550" i="3"/>
  <c r="Z550" i="3"/>
  <c r="AA550" i="3"/>
  <c r="T551" i="3"/>
  <c r="U551" i="3"/>
  <c r="V551" i="3"/>
  <c r="W551" i="3"/>
  <c r="X551" i="3"/>
  <c r="Y551" i="3"/>
  <c r="Z551" i="3"/>
  <c r="AA551" i="3"/>
  <c r="T552" i="3"/>
  <c r="U552" i="3"/>
  <c r="V552" i="3"/>
  <c r="W552" i="3"/>
  <c r="X552" i="3"/>
  <c r="Y552" i="3"/>
  <c r="Z552" i="3"/>
  <c r="AA552" i="3"/>
  <c r="T553" i="3"/>
  <c r="U553" i="3"/>
  <c r="V553" i="3"/>
  <c r="W553" i="3"/>
  <c r="X553" i="3"/>
  <c r="Y553" i="3"/>
  <c r="Z553" i="3"/>
  <c r="AA553" i="3"/>
  <c r="T554" i="3"/>
  <c r="U554" i="3"/>
  <c r="V554" i="3"/>
  <c r="W554" i="3"/>
  <c r="X554" i="3"/>
  <c r="Y554" i="3"/>
  <c r="Z554" i="3"/>
  <c r="AA554" i="3"/>
  <c r="T555" i="3"/>
  <c r="U555" i="3"/>
  <c r="V555" i="3"/>
  <c r="W555" i="3"/>
  <c r="X555" i="3"/>
  <c r="Y555" i="3"/>
  <c r="Z555" i="3"/>
  <c r="AA555" i="3"/>
  <c r="T556" i="3"/>
  <c r="U556" i="3"/>
  <c r="V556" i="3"/>
  <c r="W556" i="3"/>
  <c r="X556" i="3"/>
  <c r="Y556" i="3"/>
  <c r="Z556" i="3"/>
  <c r="AA556" i="3"/>
  <c r="T557" i="3"/>
  <c r="U557" i="3"/>
  <c r="V557" i="3"/>
  <c r="W557" i="3"/>
  <c r="X557" i="3"/>
  <c r="Y557" i="3"/>
  <c r="Z557" i="3"/>
  <c r="AA557" i="3"/>
  <c r="T558" i="3"/>
  <c r="U558" i="3"/>
  <c r="V558" i="3"/>
  <c r="W558" i="3"/>
  <c r="X558" i="3"/>
  <c r="Y558" i="3"/>
  <c r="Z558" i="3"/>
  <c r="AA558" i="3"/>
  <c r="T559" i="3"/>
  <c r="U559" i="3"/>
  <c r="V559" i="3"/>
  <c r="W559" i="3"/>
  <c r="X559" i="3"/>
  <c r="Y559" i="3"/>
  <c r="Z559" i="3"/>
  <c r="AA559" i="3"/>
  <c r="T560" i="3"/>
  <c r="U560" i="3"/>
  <c r="V560" i="3"/>
  <c r="W560" i="3"/>
  <c r="X560" i="3"/>
  <c r="Y560" i="3"/>
  <c r="Z560" i="3"/>
  <c r="AA560" i="3"/>
  <c r="T561" i="3"/>
  <c r="U561" i="3"/>
  <c r="V561" i="3"/>
  <c r="W561" i="3"/>
  <c r="X561" i="3"/>
  <c r="Y561" i="3"/>
  <c r="Z561" i="3"/>
  <c r="AA561" i="3"/>
  <c r="T562" i="3"/>
  <c r="U562" i="3"/>
  <c r="V562" i="3"/>
  <c r="W562" i="3"/>
  <c r="X562" i="3"/>
  <c r="Y562" i="3"/>
  <c r="Z562" i="3"/>
  <c r="AA562" i="3"/>
  <c r="T563" i="3"/>
  <c r="U563" i="3"/>
  <c r="V563" i="3"/>
  <c r="W563" i="3"/>
  <c r="X563" i="3"/>
  <c r="Y563" i="3"/>
  <c r="Z563" i="3"/>
  <c r="AA563" i="3"/>
  <c r="T564" i="3"/>
  <c r="U564" i="3"/>
  <c r="V564" i="3"/>
  <c r="W564" i="3"/>
  <c r="X564" i="3"/>
  <c r="Y564" i="3"/>
  <c r="Z564" i="3"/>
  <c r="AA564" i="3"/>
  <c r="T565" i="3"/>
  <c r="U565" i="3"/>
  <c r="V565" i="3"/>
  <c r="W565" i="3"/>
  <c r="X565" i="3"/>
  <c r="Y565" i="3"/>
  <c r="Z565" i="3"/>
  <c r="AA565" i="3"/>
  <c r="T566" i="3"/>
  <c r="U566" i="3"/>
  <c r="V566" i="3"/>
  <c r="W566" i="3"/>
  <c r="X566" i="3"/>
  <c r="Y566" i="3"/>
  <c r="Z566" i="3"/>
  <c r="AA566" i="3"/>
  <c r="T567" i="3"/>
  <c r="U567" i="3"/>
  <c r="V567" i="3"/>
  <c r="W567" i="3"/>
  <c r="X567" i="3"/>
  <c r="Y567" i="3"/>
  <c r="Z567" i="3"/>
  <c r="AA567" i="3"/>
  <c r="T568" i="3"/>
  <c r="U568" i="3"/>
  <c r="V568" i="3"/>
  <c r="W568" i="3"/>
  <c r="X568" i="3"/>
  <c r="Y568" i="3"/>
  <c r="Z568" i="3"/>
  <c r="AA568" i="3"/>
  <c r="T569" i="3"/>
  <c r="U569" i="3"/>
  <c r="V569" i="3"/>
  <c r="W569" i="3"/>
  <c r="X569" i="3"/>
  <c r="Y569" i="3"/>
  <c r="Z569" i="3"/>
  <c r="AA569" i="3"/>
  <c r="T570" i="3"/>
  <c r="U570" i="3"/>
  <c r="V570" i="3"/>
  <c r="W570" i="3"/>
  <c r="X570" i="3"/>
  <c r="Y570" i="3"/>
  <c r="Z570" i="3"/>
  <c r="AA570" i="3"/>
  <c r="T571" i="3"/>
  <c r="U571" i="3"/>
  <c r="V571" i="3"/>
  <c r="W571" i="3"/>
  <c r="X571" i="3"/>
  <c r="Y571" i="3"/>
  <c r="Z571" i="3"/>
  <c r="AA571" i="3"/>
  <c r="T572" i="3"/>
  <c r="U572" i="3"/>
  <c r="V572" i="3"/>
  <c r="W572" i="3"/>
  <c r="X572" i="3"/>
  <c r="Y572" i="3"/>
  <c r="Z572" i="3"/>
  <c r="AA572" i="3"/>
  <c r="T573" i="3"/>
  <c r="U573" i="3"/>
  <c r="V573" i="3"/>
  <c r="W573" i="3"/>
  <c r="X573" i="3"/>
  <c r="Y573" i="3"/>
  <c r="Z573" i="3"/>
  <c r="AA573" i="3"/>
  <c r="T574" i="3"/>
  <c r="U574" i="3"/>
  <c r="V574" i="3"/>
  <c r="W574" i="3"/>
  <c r="X574" i="3"/>
  <c r="Y574" i="3"/>
  <c r="Z574" i="3"/>
  <c r="AA574" i="3"/>
  <c r="T575" i="3"/>
  <c r="U575" i="3"/>
  <c r="V575" i="3"/>
  <c r="W575" i="3"/>
  <c r="X575" i="3"/>
  <c r="Y575" i="3"/>
  <c r="Z575" i="3"/>
  <c r="AA575" i="3"/>
  <c r="T576" i="3"/>
  <c r="U576" i="3"/>
  <c r="V576" i="3"/>
  <c r="W576" i="3"/>
  <c r="X576" i="3"/>
  <c r="Y576" i="3"/>
  <c r="Z576" i="3"/>
  <c r="AA576" i="3"/>
  <c r="T577" i="3"/>
  <c r="U577" i="3"/>
  <c r="V577" i="3"/>
  <c r="W577" i="3"/>
  <c r="X577" i="3"/>
  <c r="Y577" i="3"/>
  <c r="Z577" i="3"/>
  <c r="AA577" i="3"/>
  <c r="T578" i="3"/>
  <c r="U578" i="3"/>
  <c r="V578" i="3"/>
  <c r="W578" i="3"/>
  <c r="X578" i="3"/>
  <c r="Y578" i="3"/>
  <c r="Z578" i="3"/>
  <c r="AA578" i="3"/>
  <c r="T579" i="3"/>
  <c r="U579" i="3"/>
  <c r="V579" i="3"/>
  <c r="W579" i="3"/>
  <c r="X579" i="3"/>
  <c r="Y579" i="3"/>
  <c r="Z579" i="3"/>
  <c r="AA579" i="3"/>
  <c r="U547" i="3"/>
  <c r="V547" i="3"/>
  <c r="W547" i="3"/>
  <c r="X547" i="3"/>
  <c r="Y547" i="3"/>
  <c r="Z547" i="3"/>
  <c r="AA547" i="3"/>
  <c r="T547" i="3"/>
  <c r="S1157" i="2" l="1"/>
  <c r="S1156" i="2"/>
  <c r="S1158" i="2"/>
  <c r="U1158" i="2"/>
  <c r="T1158" i="2"/>
  <c r="T1157" i="2"/>
  <c r="R1157" i="2"/>
  <c r="R1156" i="2"/>
  <c r="U1157" i="2"/>
  <c r="U1156" i="2"/>
  <c r="U1155" i="2"/>
  <c r="V1154" i="2"/>
  <c r="W1158" i="2"/>
  <c r="W1302" i="2"/>
  <c r="W1152" i="2"/>
  <c r="W1147" i="2"/>
  <c r="W1140" i="2"/>
  <c r="W1135" i="2"/>
  <c r="W1129" i="2"/>
  <c r="W1190" i="2"/>
  <c r="W1184" i="2"/>
  <c r="W1179" i="2"/>
  <c r="W1172" i="2"/>
  <c r="W1166" i="2"/>
  <c r="W1160" i="2"/>
  <c r="W1221" i="2"/>
  <c r="W1216" i="2"/>
  <c r="W1211" i="2"/>
  <c r="W1205" i="2"/>
  <c r="W1199" i="2"/>
  <c r="W1193" i="2"/>
  <c r="W1253" i="2"/>
  <c r="W1248" i="2"/>
  <c r="W1242" i="2"/>
  <c r="W1235" i="2"/>
  <c r="W1229" i="2"/>
  <c r="W1289" i="2"/>
  <c r="W1284" i="2"/>
  <c r="W1278" i="2"/>
  <c r="W1271" i="2"/>
  <c r="W1265" i="2"/>
  <c r="W1259" i="2"/>
  <c r="W1318" i="2"/>
  <c r="W1313" i="2"/>
  <c r="W1306" i="2"/>
  <c r="V1158" i="2"/>
  <c r="V1155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W1159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W1192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W1225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W1258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W1291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W1324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W1357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W1390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W1155" i="2"/>
  <c r="W1149" i="2"/>
  <c r="W1142" i="2"/>
  <c r="W1136" i="2"/>
  <c r="W1132" i="2"/>
  <c r="W1127" i="2"/>
  <c r="W1186" i="2"/>
  <c r="W1181" i="2"/>
  <c r="W1174" i="2"/>
  <c r="W1169" i="2"/>
  <c r="W1163" i="2"/>
  <c r="W1223" i="2"/>
  <c r="W1215" i="2"/>
  <c r="W1208" i="2"/>
  <c r="W1202" i="2"/>
  <c r="W1197" i="2"/>
  <c r="X1225" i="2"/>
  <c r="W1252" i="2"/>
  <c r="W1245" i="2"/>
  <c r="W1239" i="2"/>
  <c r="W1233" i="2"/>
  <c r="W1228" i="2"/>
  <c r="W1288" i="2"/>
  <c r="W1281" i="2"/>
  <c r="W1276" i="2"/>
  <c r="W1269" i="2"/>
  <c r="W1264" i="2"/>
  <c r="W1323" i="2"/>
  <c r="W1317" i="2"/>
  <c r="W1314" i="2"/>
  <c r="W1307" i="2"/>
  <c r="V1156" i="2"/>
  <c r="U1153" i="2"/>
  <c r="U1148" i="2"/>
  <c r="U1143" i="2"/>
  <c r="U1138" i="2"/>
  <c r="U1133" i="2"/>
  <c r="U1127" i="2"/>
  <c r="U1188" i="2"/>
  <c r="U1184" i="2"/>
  <c r="U1179" i="2"/>
  <c r="U1174" i="2"/>
  <c r="U1169" i="2"/>
  <c r="U1164" i="2"/>
  <c r="U1160" i="2"/>
  <c r="U1220" i="2"/>
  <c r="U1214" i="2"/>
  <c r="U1209" i="2"/>
  <c r="U1204" i="2"/>
  <c r="U1199" i="2"/>
  <c r="U1194" i="2"/>
  <c r="U1255" i="2"/>
  <c r="U1251" i="2"/>
  <c r="U1248" i="2"/>
  <c r="U1246" i="2"/>
  <c r="U1243" i="2"/>
  <c r="U1238" i="2"/>
  <c r="U1235" i="2"/>
  <c r="U1234" i="2"/>
  <c r="U1233" i="2"/>
  <c r="U1232" i="2"/>
  <c r="U1231" i="2"/>
  <c r="U1230" i="2"/>
  <c r="U1229" i="2"/>
  <c r="U1228" i="2"/>
  <c r="U1227" i="2"/>
  <c r="U1226" i="2"/>
  <c r="V1258" i="2"/>
  <c r="U1290" i="2"/>
  <c r="U1289" i="2"/>
  <c r="U1288" i="2"/>
  <c r="U1287" i="2"/>
  <c r="U1286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V1291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V1324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330" i="2"/>
  <c r="U1329" i="2"/>
  <c r="U1328" i="2"/>
  <c r="U1327" i="2"/>
  <c r="U1326" i="2"/>
  <c r="U1325" i="2"/>
  <c r="V1357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V1390" i="2"/>
  <c r="U1422" i="2"/>
  <c r="U1421" i="2"/>
  <c r="U1420" i="2"/>
  <c r="U1419" i="2"/>
  <c r="U1418" i="2"/>
  <c r="U1417" i="2"/>
  <c r="U1416" i="2"/>
  <c r="U1415" i="2"/>
  <c r="U1414" i="2"/>
  <c r="U1413" i="2"/>
  <c r="U1412" i="2"/>
  <c r="U1411" i="2"/>
  <c r="U1410" i="2"/>
  <c r="W1157" i="2"/>
  <c r="W1151" i="2"/>
  <c r="W1145" i="2"/>
  <c r="W1137" i="2"/>
  <c r="W1128" i="2"/>
  <c r="W1189" i="2"/>
  <c r="W1183" i="2"/>
  <c r="W1177" i="2"/>
  <c r="W1171" i="2"/>
  <c r="W1165" i="2"/>
  <c r="X1192" i="2"/>
  <c r="W1219" i="2"/>
  <c r="W1213" i="2"/>
  <c r="W1206" i="2"/>
  <c r="W1196" i="2"/>
  <c r="W1256" i="2"/>
  <c r="W1250" i="2"/>
  <c r="W1244" i="2"/>
  <c r="W1238" i="2"/>
  <c r="W1232" i="2"/>
  <c r="W1226" i="2"/>
  <c r="W1286" i="2"/>
  <c r="W1280" i="2"/>
  <c r="W1274" i="2"/>
  <c r="W1268" i="2"/>
  <c r="W1262" i="2"/>
  <c r="W1322" i="2"/>
  <c r="W1316" i="2"/>
  <c r="W1310" i="2"/>
  <c r="W1308" i="2"/>
  <c r="U1150" i="2"/>
  <c r="U1145" i="2"/>
  <c r="U1140" i="2"/>
  <c r="U1135" i="2"/>
  <c r="U1130" i="2"/>
  <c r="V1159" i="2"/>
  <c r="U1187" i="2"/>
  <c r="U1182" i="2"/>
  <c r="U1176" i="2"/>
  <c r="U1172" i="2"/>
  <c r="U1167" i="2"/>
  <c r="U1162" i="2"/>
  <c r="U1223" i="2"/>
  <c r="U1218" i="2"/>
  <c r="U1212" i="2"/>
  <c r="U1208" i="2"/>
  <c r="U1203" i="2"/>
  <c r="U1197" i="2"/>
  <c r="U1257" i="2"/>
  <c r="U1242" i="2"/>
  <c r="U1282" i="2"/>
  <c r="T1150" i="2"/>
  <c r="T1176" i="2"/>
  <c r="W1153" i="2"/>
  <c r="W1146" i="2"/>
  <c r="W1141" i="2"/>
  <c r="W1134" i="2"/>
  <c r="W1130" i="2"/>
  <c r="W1191" i="2"/>
  <c r="W1185" i="2"/>
  <c r="W1178" i="2"/>
  <c r="W1173" i="2"/>
  <c r="W1167" i="2"/>
  <c r="W1161" i="2"/>
  <c r="W1222" i="2"/>
  <c r="W1217" i="2"/>
  <c r="W1210" i="2"/>
  <c r="W1204" i="2"/>
  <c r="W1200" i="2"/>
  <c r="W1194" i="2"/>
  <c r="W1254" i="2"/>
  <c r="W1247" i="2"/>
  <c r="W1241" i="2"/>
  <c r="W1236" i="2"/>
  <c r="W1230" i="2"/>
  <c r="W1290" i="2"/>
  <c r="W1283" i="2"/>
  <c r="W1277" i="2"/>
  <c r="W1272" i="2"/>
  <c r="W1266" i="2"/>
  <c r="W1260" i="2"/>
  <c r="W1320" i="2"/>
  <c r="W1311" i="2"/>
  <c r="W1305" i="2"/>
  <c r="V1152" i="2"/>
  <c r="U1154" i="2"/>
  <c r="U1149" i="2"/>
  <c r="U1144" i="2"/>
  <c r="U1139" i="2"/>
  <c r="U1134" i="2"/>
  <c r="U1129" i="2"/>
  <c r="U1190" i="2"/>
  <c r="U1185" i="2"/>
  <c r="U1180" i="2"/>
  <c r="U1175" i="2"/>
  <c r="U1170" i="2"/>
  <c r="U1165" i="2"/>
  <c r="U1224" i="2"/>
  <c r="U1219" i="2"/>
  <c r="U1215" i="2"/>
  <c r="U1210" i="2"/>
  <c r="U1205" i="2"/>
  <c r="U1200" i="2"/>
  <c r="U1195" i="2"/>
  <c r="U1256" i="2"/>
  <c r="U1252" i="2"/>
  <c r="U1249" i="2"/>
  <c r="U1245" i="2"/>
  <c r="U1241" i="2"/>
  <c r="U1237" i="2"/>
  <c r="U1285" i="2"/>
  <c r="T1156" i="2"/>
  <c r="T1153" i="2"/>
  <c r="T1149" i="2"/>
  <c r="T1146" i="2"/>
  <c r="T1143" i="2"/>
  <c r="T1139" i="2"/>
  <c r="T1137" i="2"/>
  <c r="T1135" i="2"/>
  <c r="T1133" i="2"/>
  <c r="T1131" i="2"/>
  <c r="T1129" i="2"/>
  <c r="T1127" i="2"/>
  <c r="T1191" i="2"/>
  <c r="T1189" i="2"/>
  <c r="T1187" i="2"/>
  <c r="T1185" i="2"/>
  <c r="T1182" i="2"/>
  <c r="T1178" i="2"/>
  <c r="W1154" i="2"/>
  <c r="W1150" i="2"/>
  <c r="W1144" i="2"/>
  <c r="W1139" i="2"/>
  <c r="W1131" i="2"/>
  <c r="W1188" i="2"/>
  <c r="W1182" i="2"/>
  <c r="W1176" i="2"/>
  <c r="W1170" i="2"/>
  <c r="W1164" i="2"/>
  <c r="W1224" i="2"/>
  <c r="W1218" i="2"/>
  <c r="W1212" i="2"/>
  <c r="W1207" i="2"/>
  <c r="W1201" i="2"/>
  <c r="W1195" i="2"/>
  <c r="W1255" i="2"/>
  <c r="W1249" i="2"/>
  <c r="W1243" i="2"/>
  <c r="W1237" i="2"/>
  <c r="W1231" i="2"/>
  <c r="X1258" i="2"/>
  <c r="W1285" i="2"/>
  <c r="W1279" i="2"/>
  <c r="W1273" i="2"/>
  <c r="W1267" i="2"/>
  <c r="W1261" i="2"/>
  <c r="W1321" i="2"/>
  <c r="W1315" i="2"/>
  <c r="W1309" i="2"/>
  <c r="W1304" i="2"/>
  <c r="V1153" i="2"/>
  <c r="U1151" i="2"/>
  <c r="U1146" i="2"/>
  <c r="U1141" i="2"/>
  <c r="U1136" i="2"/>
  <c r="U1131" i="2"/>
  <c r="U1191" i="2"/>
  <c r="U1186" i="2"/>
  <c r="U1181" i="2"/>
  <c r="U1177" i="2"/>
  <c r="U1171" i="2"/>
  <c r="U1166" i="2"/>
  <c r="U1161" i="2"/>
  <c r="U1222" i="2"/>
  <c r="U1217" i="2"/>
  <c r="U1213" i="2"/>
  <c r="U1207" i="2"/>
  <c r="U1202" i="2"/>
  <c r="U1198" i="2"/>
  <c r="U1193" i="2"/>
  <c r="U1253" i="2"/>
  <c r="U1239" i="2"/>
  <c r="U1284" i="2"/>
  <c r="T1155" i="2"/>
  <c r="T1152" i="2"/>
  <c r="T1148" i="2"/>
  <c r="T1145" i="2"/>
  <c r="T1141" i="2"/>
  <c r="T1179" i="2"/>
  <c r="W1156" i="2"/>
  <c r="W1148" i="2"/>
  <c r="W1143" i="2"/>
  <c r="W1138" i="2"/>
  <c r="W1133" i="2"/>
  <c r="X1159" i="2"/>
  <c r="W1187" i="2"/>
  <c r="W1180" i="2"/>
  <c r="W1175" i="2"/>
  <c r="W1168" i="2"/>
  <c r="W1162" i="2"/>
  <c r="W1220" i="2"/>
  <c r="W1214" i="2"/>
  <c r="W1209" i="2"/>
  <c r="W1203" i="2"/>
  <c r="W1198" i="2"/>
  <c r="W1257" i="2"/>
  <c r="W1251" i="2"/>
  <c r="W1246" i="2"/>
  <c r="W1240" i="2"/>
  <c r="W1234" i="2"/>
  <c r="W1227" i="2"/>
  <c r="W1287" i="2"/>
  <c r="W1282" i="2"/>
  <c r="W1275" i="2"/>
  <c r="W1270" i="2"/>
  <c r="W1263" i="2"/>
  <c r="X1291" i="2"/>
  <c r="W1319" i="2"/>
  <c r="W1312" i="2"/>
  <c r="W1303" i="2"/>
  <c r="V1157" i="2"/>
  <c r="U1152" i="2"/>
  <c r="U1147" i="2"/>
  <c r="U1142" i="2"/>
  <c r="U1137" i="2"/>
  <c r="U1132" i="2"/>
  <c r="U1128" i="2"/>
  <c r="U1189" i="2"/>
  <c r="U1183" i="2"/>
  <c r="U1178" i="2"/>
  <c r="U1173" i="2"/>
  <c r="U1168" i="2"/>
  <c r="U1163" i="2"/>
  <c r="V1192" i="2"/>
  <c r="U1221" i="2"/>
  <c r="U1216" i="2"/>
  <c r="U1211" i="2"/>
  <c r="U1206" i="2"/>
  <c r="U1201" i="2"/>
  <c r="U1196" i="2"/>
  <c r="V1225" i="2"/>
  <c r="U1254" i="2"/>
  <c r="U1250" i="2"/>
  <c r="U1247" i="2"/>
  <c r="U1244" i="2"/>
  <c r="U1240" i="2"/>
  <c r="U1236" i="2"/>
  <c r="U1283" i="2"/>
  <c r="T1154" i="2"/>
  <c r="T1151" i="2"/>
  <c r="T1147" i="2"/>
  <c r="T1144" i="2"/>
  <c r="T1142" i="2"/>
  <c r="T1140" i="2"/>
  <c r="T1138" i="2"/>
  <c r="T1136" i="2"/>
  <c r="T1134" i="2"/>
  <c r="T1132" i="2"/>
  <c r="T1130" i="2"/>
  <c r="T1128" i="2"/>
  <c r="U1159" i="2"/>
  <c r="T1190" i="2"/>
  <c r="T1188" i="2"/>
  <c r="T1186" i="2"/>
  <c r="T1184" i="2"/>
  <c r="T1183" i="2"/>
  <c r="T1181" i="2"/>
  <c r="T1180" i="2"/>
  <c r="T1177" i="2"/>
  <c r="X1158" i="2"/>
  <c r="X1157" i="2"/>
  <c r="X1156" i="2"/>
  <c r="X1155" i="2"/>
  <c r="X1154" i="2"/>
  <c r="X1153" i="2"/>
  <c r="X1152" i="2"/>
  <c r="X1151" i="2"/>
  <c r="X1150" i="2"/>
  <c r="X1149" i="2"/>
  <c r="X1148" i="2"/>
  <c r="X1147" i="2"/>
  <c r="X1146" i="2"/>
  <c r="X1145" i="2"/>
  <c r="X1144" i="2"/>
  <c r="X1143" i="2"/>
  <c r="X1142" i="2"/>
  <c r="X1141" i="2"/>
  <c r="X1140" i="2"/>
  <c r="X1139" i="2"/>
  <c r="X1138" i="2"/>
  <c r="X1137" i="2"/>
  <c r="X1136" i="2"/>
  <c r="X1135" i="2"/>
  <c r="X1134" i="2"/>
  <c r="X1133" i="2"/>
  <c r="X1132" i="2"/>
  <c r="X1131" i="2"/>
  <c r="X1130" i="2"/>
  <c r="X1129" i="2"/>
  <c r="X1128" i="2"/>
  <c r="X1127" i="2"/>
  <c r="X1191" i="2"/>
  <c r="X1190" i="2"/>
  <c r="X1189" i="2"/>
  <c r="X1188" i="2"/>
  <c r="X1187" i="2"/>
  <c r="X1186" i="2"/>
  <c r="X1185" i="2"/>
  <c r="X1184" i="2"/>
  <c r="X1183" i="2"/>
  <c r="X1182" i="2"/>
  <c r="X1181" i="2"/>
  <c r="X1180" i="2"/>
  <c r="X1179" i="2"/>
  <c r="X1178" i="2"/>
  <c r="X1177" i="2"/>
  <c r="X1176" i="2"/>
  <c r="X1175" i="2"/>
  <c r="X1174" i="2"/>
  <c r="X1173" i="2"/>
  <c r="X1172" i="2"/>
  <c r="X1171" i="2"/>
  <c r="X1170" i="2"/>
  <c r="X1169" i="2"/>
  <c r="X1168" i="2"/>
  <c r="X1167" i="2"/>
  <c r="X1166" i="2"/>
  <c r="X1165" i="2"/>
  <c r="X1164" i="2"/>
  <c r="X1163" i="2"/>
  <c r="X1162" i="2"/>
  <c r="X1161" i="2"/>
  <c r="X1160" i="2"/>
  <c r="X1224" i="2"/>
  <c r="X1223" i="2"/>
  <c r="X1222" i="2"/>
  <c r="X1221" i="2"/>
  <c r="X1220" i="2"/>
  <c r="X1219" i="2"/>
  <c r="X1218" i="2"/>
  <c r="X1217" i="2"/>
  <c r="X1216" i="2"/>
  <c r="X1215" i="2"/>
  <c r="X1214" i="2"/>
  <c r="X1213" i="2"/>
  <c r="X1212" i="2"/>
  <c r="X1211" i="2"/>
  <c r="X1210" i="2"/>
  <c r="X1209" i="2"/>
  <c r="X1208" i="2"/>
  <c r="X1207" i="2"/>
  <c r="X1206" i="2"/>
  <c r="X1205" i="2"/>
  <c r="X1204" i="2"/>
  <c r="X1203" i="2"/>
  <c r="X1202" i="2"/>
  <c r="X1201" i="2"/>
  <c r="X1200" i="2"/>
  <c r="X1199" i="2"/>
  <c r="X1198" i="2"/>
  <c r="X1197" i="2"/>
  <c r="X1196" i="2"/>
  <c r="X1195" i="2"/>
  <c r="X1194" i="2"/>
  <c r="X1193" i="2"/>
  <c r="X1257" i="2"/>
  <c r="X1256" i="2"/>
  <c r="X1255" i="2"/>
  <c r="X1254" i="2"/>
  <c r="X1253" i="2"/>
  <c r="X1252" i="2"/>
  <c r="X1251" i="2"/>
  <c r="X1250" i="2"/>
  <c r="X1249" i="2"/>
  <c r="X1248" i="2"/>
  <c r="X1247" i="2"/>
  <c r="X1246" i="2"/>
  <c r="X1245" i="2"/>
  <c r="X1244" i="2"/>
  <c r="X1243" i="2"/>
  <c r="X1242" i="2"/>
  <c r="X1241" i="2"/>
  <c r="X1240" i="2"/>
  <c r="X1239" i="2"/>
  <c r="X1238" i="2"/>
  <c r="X1237" i="2"/>
  <c r="X1236" i="2"/>
  <c r="X1235" i="2"/>
  <c r="X1234" i="2"/>
  <c r="X1233" i="2"/>
  <c r="X1232" i="2"/>
  <c r="X1231" i="2"/>
  <c r="X1230" i="2"/>
  <c r="X1229" i="2"/>
  <c r="X1228" i="2"/>
  <c r="X1227" i="2"/>
  <c r="X1226" i="2"/>
  <c r="X1290" i="2"/>
  <c r="X1289" i="2"/>
  <c r="X1288" i="2"/>
  <c r="X1287" i="2"/>
  <c r="X1286" i="2"/>
  <c r="X1285" i="2"/>
  <c r="X1284" i="2"/>
  <c r="X1283" i="2"/>
  <c r="X1282" i="2"/>
  <c r="X1281" i="2"/>
  <c r="X1280" i="2"/>
  <c r="X1279" i="2"/>
  <c r="X1278" i="2"/>
  <c r="X1277" i="2"/>
  <c r="X1276" i="2"/>
  <c r="X1275" i="2"/>
  <c r="X1274" i="2"/>
  <c r="X1273" i="2"/>
  <c r="X1272" i="2"/>
  <c r="X1271" i="2"/>
  <c r="X1270" i="2"/>
  <c r="X1269" i="2"/>
  <c r="X1268" i="2"/>
  <c r="X1267" i="2"/>
  <c r="X1266" i="2"/>
  <c r="X1265" i="2"/>
  <c r="X1264" i="2"/>
  <c r="X1263" i="2"/>
  <c r="X1262" i="2"/>
  <c r="X1261" i="2"/>
  <c r="X1260" i="2"/>
  <c r="X1259" i="2"/>
  <c r="X1323" i="2"/>
  <c r="X1322" i="2"/>
  <c r="X1321" i="2"/>
  <c r="X1320" i="2"/>
  <c r="X1319" i="2"/>
  <c r="X1318" i="2"/>
  <c r="X1317" i="2"/>
  <c r="X1316" i="2"/>
  <c r="X1315" i="2"/>
  <c r="X1314" i="2"/>
  <c r="X1313" i="2"/>
  <c r="X1312" i="2"/>
  <c r="X1311" i="2"/>
  <c r="X1310" i="2"/>
  <c r="X1309" i="2"/>
  <c r="X1308" i="2"/>
  <c r="X1307" i="2"/>
  <c r="X1306" i="2"/>
  <c r="X1305" i="2"/>
  <c r="X1304" i="2"/>
  <c r="X1303" i="2"/>
  <c r="X1302" i="2"/>
  <c r="X1301" i="2"/>
  <c r="X1300" i="2"/>
  <c r="X1299" i="2"/>
  <c r="X1298" i="2"/>
  <c r="X1297" i="2"/>
  <c r="X1296" i="2"/>
  <c r="X1295" i="2"/>
  <c r="X1294" i="2"/>
  <c r="X1293" i="2"/>
  <c r="X1292" i="2"/>
  <c r="X1356" i="2"/>
  <c r="X1355" i="2"/>
  <c r="X1354" i="2"/>
  <c r="X1353" i="2"/>
  <c r="X1352" i="2"/>
  <c r="X1351" i="2"/>
  <c r="X1350" i="2"/>
  <c r="X1349" i="2"/>
  <c r="X1348" i="2"/>
  <c r="X1347" i="2"/>
  <c r="X1346" i="2"/>
  <c r="X1345" i="2"/>
  <c r="X1344" i="2"/>
  <c r="X1343" i="2"/>
  <c r="X1342" i="2"/>
  <c r="X1341" i="2"/>
  <c r="X1340" i="2"/>
  <c r="X1339" i="2"/>
  <c r="X1338" i="2"/>
  <c r="X1337" i="2"/>
  <c r="X1336" i="2"/>
  <c r="X1335" i="2"/>
  <c r="X1334" i="2"/>
  <c r="X1333" i="2"/>
  <c r="X1332" i="2"/>
  <c r="X1331" i="2"/>
  <c r="X1330" i="2"/>
  <c r="X1329" i="2"/>
  <c r="X1328" i="2"/>
  <c r="X1327" i="2"/>
  <c r="X1326" i="2"/>
  <c r="X1325" i="2"/>
  <c r="X1389" i="2"/>
  <c r="X1388" i="2"/>
  <c r="X1387" i="2"/>
  <c r="X1386" i="2"/>
  <c r="X1385" i="2"/>
  <c r="X1384" i="2"/>
  <c r="X1383" i="2"/>
  <c r="X1382" i="2"/>
  <c r="X1381" i="2"/>
  <c r="X1380" i="2"/>
  <c r="X1379" i="2"/>
  <c r="X1378" i="2"/>
  <c r="X1377" i="2"/>
  <c r="X1376" i="2"/>
  <c r="X1375" i="2"/>
  <c r="X1374" i="2"/>
  <c r="X1373" i="2"/>
  <c r="X1372" i="2"/>
  <c r="X1371" i="2"/>
  <c r="X1370" i="2"/>
  <c r="X1369" i="2"/>
  <c r="X1368" i="2"/>
  <c r="X1367" i="2"/>
  <c r="X1366" i="2"/>
  <c r="X1365" i="2"/>
  <c r="X1364" i="2"/>
  <c r="X1363" i="2"/>
  <c r="X1362" i="2"/>
  <c r="X1361" i="2"/>
  <c r="X1360" i="2"/>
  <c r="X1359" i="2"/>
  <c r="X1358" i="2"/>
  <c r="X1422" i="2"/>
  <c r="X1421" i="2"/>
  <c r="X1420" i="2"/>
  <c r="X1419" i="2"/>
  <c r="X1418" i="2"/>
  <c r="X1417" i="2"/>
  <c r="X1416" i="2"/>
  <c r="X1415" i="2"/>
  <c r="X1414" i="2"/>
  <c r="X1413" i="2"/>
  <c r="X1412" i="2"/>
  <c r="X1411" i="2"/>
  <c r="X1410" i="2"/>
  <c r="X1409" i="2"/>
  <c r="X1408" i="2"/>
  <c r="X1407" i="2"/>
  <c r="X1406" i="2"/>
  <c r="X1405" i="2"/>
  <c r="X1404" i="2"/>
  <c r="X1403" i="2"/>
  <c r="X1402" i="2"/>
  <c r="X1401" i="2"/>
  <c r="X1400" i="2"/>
  <c r="X1399" i="2"/>
  <c r="X1398" i="2"/>
  <c r="X1397" i="2"/>
  <c r="X1396" i="2"/>
  <c r="X1395" i="2"/>
  <c r="X1394" i="2"/>
  <c r="X1393" i="2"/>
  <c r="X1392" i="2"/>
  <c r="X1391" i="2"/>
  <c r="X1455" i="2"/>
  <c r="X1454" i="2"/>
  <c r="X1453" i="2"/>
  <c r="X1452" i="2"/>
  <c r="X1451" i="2"/>
  <c r="X1450" i="2"/>
  <c r="X1449" i="2"/>
  <c r="X1448" i="2"/>
  <c r="X1447" i="2"/>
  <c r="X1446" i="2"/>
  <c r="X1445" i="2"/>
  <c r="X1444" i="2"/>
  <c r="X1443" i="2"/>
  <c r="X1442" i="2"/>
  <c r="X1441" i="2"/>
  <c r="X1440" i="2"/>
  <c r="X1439" i="2"/>
  <c r="X1438" i="2"/>
  <c r="X1437" i="2"/>
  <c r="X1436" i="2"/>
  <c r="X1435" i="2"/>
  <c r="X1434" i="2"/>
  <c r="X1433" i="2"/>
  <c r="W1301" i="2"/>
  <c r="W1300" i="2"/>
  <c r="W1299" i="2"/>
  <c r="W1298" i="2"/>
  <c r="W1297" i="2"/>
  <c r="W1296" i="2"/>
  <c r="W1295" i="2"/>
  <c r="W1294" i="2"/>
  <c r="W1293" i="2"/>
  <c r="W1292" i="2"/>
  <c r="X1324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X1357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X1390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X1423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W1423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W1489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W1522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W1555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W1588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W1621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W1654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W1687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W1720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W1753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W1786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1394" i="2"/>
  <c r="U1393" i="2"/>
  <c r="U1392" i="2"/>
  <c r="U1391" i="2"/>
  <c r="V1423" i="2"/>
  <c r="U1455" i="2"/>
  <c r="U1454" i="2"/>
  <c r="U1453" i="2"/>
  <c r="U1452" i="2"/>
  <c r="U1451" i="2"/>
  <c r="U1450" i="2"/>
  <c r="U1449" i="2"/>
  <c r="U1448" i="2"/>
  <c r="U1447" i="2"/>
  <c r="U1446" i="2"/>
  <c r="U1445" i="2"/>
  <c r="U1444" i="2"/>
  <c r="U1443" i="2"/>
  <c r="U1442" i="2"/>
  <c r="U1441" i="2"/>
  <c r="U1440" i="2"/>
  <c r="U1439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V1489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V1522" i="2"/>
  <c r="U155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1529" i="2"/>
  <c r="U1528" i="2"/>
  <c r="U1527" i="2"/>
  <c r="U1526" i="2"/>
  <c r="U1525" i="2"/>
  <c r="U1524" i="2"/>
  <c r="U1523" i="2"/>
  <c r="V1555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8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V1588" i="2"/>
  <c r="U1620" i="2"/>
  <c r="U1619" i="2"/>
  <c r="U1618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600" i="2"/>
  <c r="U1599" i="2"/>
  <c r="U1598" i="2"/>
  <c r="U1597" i="2"/>
  <c r="U1596" i="2"/>
  <c r="U1595" i="2"/>
  <c r="U1594" i="2"/>
  <c r="U1593" i="2"/>
  <c r="U1592" i="2"/>
  <c r="U1591" i="2"/>
  <c r="U1590" i="2"/>
  <c r="U1589" i="2"/>
  <c r="V1621" i="2"/>
  <c r="U1653" i="2"/>
  <c r="U1652" i="2"/>
  <c r="U1651" i="2"/>
  <c r="U1650" i="2"/>
  <c r="U1649" i="2"/>
  <c r="U1648" i="2"/>
  <c r="U1647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1623" i="2"/>
  <c r="U1622" i="2"/>
  <c r="V1654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V1687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V1720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V1753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V1786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T1172" i="2"/>
  <c r="T1167" i="2"/>
  <c r="T1163" i="2"/>
  <c r="U1192" i="2"/>
  <c r="T1221" i="2"/>
  <c r="T1218" i="2"/>
  <c r="T1214" i="2"/>
  <c r="T1210" i="2"/>
  <c r="T1206" i="2"/>
  <c r="T1202" i="2"/>
  <c r="T1198" i="2"/>
  <c r="T1194" i="2"/>
  <c r="T1256" i="2"/>
  <c r="T1252" i="2"/>
  <c r="T1248" i="2"/>
  <c r="T1244" i="2"/>
  <c r="T1240" i="2"/>
  <c r="T1236" i="2"/>
  <c r="T1232" i="2"/>
  <c r="T1227" i="2"/>
  <c r="T1289" i="2"/>
  <c r="T1285" i="2"/>
  <c r="T1281" i="2"/>
  <c r="T1276" i="2"/>
  <c r="T1272" i="2"/>
  <c r="T1268" i="2"/>
  <c r="T1264" i="2"/>
  <c r="T1260" i="2"/>
  <c r="T1322" i="2"/>
  <c r="T1318" i="2"/>
  <c r="T1314" i="2"/>
  <c r="T1310" i="2"/>
  <c r="T1306" i="2"/>
  <c r="T1302" i="2"/>
  <c r="T1298" i="2"/>
  <c r="T1294" i="2"/>
  <c r="T1356" i="2"/>
  <c r="T1352" i="2"/>
  <c r="T1348" i="2"/>
  <c r="T1344" i="2"/>
  <c r="T1340" i="2"/>
  <c r="T1336" i="2"/>
  <c r="T1332" i="2"/>
  <c r="T1328" i="2"/>
  <c r="U1357" i="2"/>
  <c r="T1386" i="2"/>
  <c r="T1382" i="2"/>
  <c r="T1379" i="2"/>
  <c r="T1375" i="2"/>
  <c r="T1371" i="2"/>
  <c r="T1367" i="2"/>
  <c r="T1363" i="2"/>
  <c r="T1359" i="2"/>
  <c r="T1421" i="2"/>
  <c r="T1417" i="2"/>
  <c r="T1413" i="2"/>
  <c r="T1409" i="2"/>
  <c r="T1405" i="2"/>
  <c r="T1401" i="2"/>
  <c r="T1397" i="2"/>
  <c r="T1393" i="2"/>
  <c r="T1455" i="2"/>
  <c r="T1451" i="2"/>
  <c r="T1447" i="2"/>
  <c r="T1443" i="2"/>
  <c r="T1439" i="2"/>
  <c r="T1435" i="2"/>
  <c r="T1431" i="2"/>
  <c r="T1425" i="2"/>
  <c r="U1489" i="2"/>
  <c r="T1518" i="2"/>
  <c r="T1517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U1522" i="2"/>
  <c r="T1554" i="2"/>
  <c r="T1552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U1555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U1588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U1621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U1654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U1687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U1720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U1753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U1786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174" i="2"/>
  <c r="T1170" i="2"/>
  <c r="T1166" i="2"/>
  <c r="T1162" i="2"/>
  <c r="T1224" i="2"/>
  <c r="T1220" i="2"/>
  <c r="T1216" i="2"/>
  <c r="T1212" i="2"/>
  <c r="T1208" i="2"/>
  <c r="T1204" i="2"/>
  <c r="T1200" i="2"/>
  <c r="T1197" i="2"/>
  <c r="T1193" i="2"/>
  <c r="T1255" i="2"/>
  <c r="T1251" i="2"/>
  <c r="T1247" i="2"/>
  <c r="T1242" i="2"/>
  <c r="T1238" i="2"/>
  <c r="T1234" i="2"/>
  <c r="T1229" i="2"/>
  <c r="U1258" i="2"/>
  <c r="T1287" i="2"/>
  <c r="T1283" i="2"/>
  <c r="T1279" i="2"/>
  <c r="T1275" i="2"/>
  <c r="T1271" i="2"/>
  <c r="T1267" i="2"/>
  <c r="T1263" i="2"/>
  <c r="T1259" i="2"/>
  <c r="T1321" i="2"/>
  <c r="T1317" i="2"/>
  <c r="T1313" i="2"/>
  <c r="T1309" i="2"/>
  <c r="T1305" i="2"/>
  <c r="T1301" i="2"/>
  <c r="T1297" i="2"/>
  <c r="T1293" i="2"/>
  <c r="T1355" i="2"/>
  <c r="T1351" i="2"/>
  <c r="T1346" i="2"/>
  <c r="T1342" i="2"/>
  <c r="T1338" i="2"/>
  <c r="T1333" i="2"/>
  <c r="T1329" i="2"/>
  <c r="T1325" i="2"/>
  <c r="T1387" i="2"/>
  <c r="T1383" i="2"/>
  <c r="T1378" i="2"/>
  <c r="T1374" i="2"/>
  <c r="T1370" i="2"/>
  <c r="T1366" i="2"/>
  <c r="T1362" i="2"/>
  <c r="T1358" i="2"/>
  <c r="T1420" i="2"/>
  <c r="T1416" i="2"/>
  <c r="T1412" i="2"/>
  <c r="T1408" i="2"/>
  <c r="T1404" i="2"/>
  <c r="T1400" i="2"/>
  <c r="T1395" i="2"/>
  <c r="T1391" i="2"/>
  <c r="T1453" i="2"/>
  <c r="T1448" i="2"/>
  <c r="T1444" i="2"/>
  <c r="T1440" i="2"/>
  <c r="T1436" i="2"/>
  <c r="T1432" i="2"/>
  <c r="T1428" i="2"/>
  <c r="T1424" i="2"/>
  <c r="T1521" i="2"/>
  <c r="T1516" i="2"/>
  <c r="T1550" i="2"/>
  <c r="S1155" i="2"/>
  <c r="S1152" i="2"/>
  <c r="S1149" i="2"/>
  <c r="S1145" i="2"/>
  <c r="S1142" i="2"/>
  <c r="S1138" i="2"/>
  <c r="S1135" i="2"/>
  <c r="S1132" i="2"/>
  <c r="S1129" i="2"/>
  <c r="T1159" i="2"/>
  <c r="S1189" i="2"/>
  <c r="S1186" i="2"/>
  <c r="S1183" i="2"/>
  <c r="S1180" i="2"/>
  <c r="S1177" i="2"/>
  <c r="S1174" i="2"/>
  <c r="S1171" i="2"/>
  <c r="S1168" i="2"/>
  <c r="S1165" i="2"/>
  <c r="S1162" i="2"/>
  <c r="T1192" i="2"/>
  <c r="S1222" i="2"/>
  <c r="S1219" i="2"/>
  <c r="S1216" i="2"/>
  <c r="S1213" i="2"/>
  <c r="S1210" i="2"/>
  <c r="S1207" i="2"/>
  <c r="S1204" i="2"/>
  <c r="S1201" i="2"/>
  <c r="S1198" i="2"/>
  <c r="S1195" i="2"/>
  <c r="T1225" i="2"/>
  <c r="S1255" i="2"/>
  <c r="S1252" i="2"/>
  <c r="S1249" i="2"/>
  <c r="S1246" i="2"/>
  <c r="S1243" i="2"/>
  <c r="S1240" i="2"/>
  <c r="S1237" i="2"/>
  <c r="S1234" i="2"/>
  <c r="S1231" i="2"/>
  <c r="S1228" i="2"/>
  <c r="T1258" i="2"/>
  <c r="S1288" i="2"/>
  <c r="S1285" i="2"/>
  <c r="S1282" i="2"/>
  <c r="S1279" i="2"/>
  <c r="S1276" i="2"/>
  <c r="S1272" i="2"/>
  <c r="S1269" i="2"/>
  <c r="S1266" i="2"/>
  <c r="S1263" i="2"/>
  <c r="S1260" i="2"/>
  <c r="S1323" i="2"/>
  <c r="S1320" i="2"/>
  <c r="S1317" i="2"/>
  <c r="S1314" i="2"/>
  <c r="S1311" i="2"/>
  <c r="S1308" i="2"/>
  <c r="S1305" i="2"/>
  <c r="S1302" i="2"/>
  <c r="S1299" i="2"/>
  <c r="S1296" i="2"/>
  <c r="S1293" i="2"/>
  <c r="S1356" i="2"/>
  <c r="S1353" i="2"/>
  <c r="S1350" i="2"/>
  <c r="S1347" i="2"/>
  <c r="S1344" i="2"/>
  <c r="S1341" i="2"/>
  <c r="S1338" i="2"/>
  <c r="S1335" i="2"/>
  <c r="S1332" i="2"/>
  <c r="S1328" i="2"/>
  <c r="S1326" i="2"/>
  <c r="S1389" i="2"/>
  <c r="S1385" i="2"/>
  <c r="S1381" i="2"/>
  <c r="S1378" i="2"/>
  <c r="S1375" i="2"/>
  <c r="S1372" i="2"/>
  <c r="S1369" i="2"/>
  <c r="S1366" i="2"/>
  <c r="S1363" i="2"/>
  <c r="S1360" i="2"/>
  <c r="T1390" i="2"/>
  <c r="S1420" i="2"/>
  <c r="S1417" i="2"/>
  <c r="S1414" i="2"/>
  <c r="S1411" i="2"/>
  <c r="S1408" i="2"/>
  <c r="S1404" i="2"/>
  <c r="S1400" i="2"/>
  <c r="S1397" i="2"/>
  <c r="S1394" i="2"/>
  <c r="S1391" i="2"/>
  <c r="S1454" i="2"/>
  <c r="S1451" i="2"/>
  <c r="S1448" i="2"/>
  <c r="S1445" i="2"/>
  <c r="S1443" i="2"/>
  <c r="S1441" i="2"/>
  <c r="S1439" i="2"/>
  <c r="S1437" i="2"/>
  <c r="S1435" i="2"/>
  <c r="S1432" i="2"/>
  <c r="S1430" i="2"/>
  <c r="S1428" i="2"/>
  <c r="S1425" i="2"/>
  <c r="T1175" i="2"/>
  <c r="T1171" i="2"/>
  <c r="T1168" i="2"/>
  <c r="T1164" i="2"/>
  <c r="T1160" i="2"/>
  <c r="T1222" i="2"/>
  <c r="T1217" i="2"/>
  <c r="T1213" i="2"/>
  <c r="T1209" i="2"/>
  <c r="T1205" i="2"/>
  <c r="T1201" i="2"/>
  <c r="T1196" i="2"/>
  <c r="U1225" i="2"/>
  <c r="T1254" i="2"/>
  <c r="T1250" i="2"/>
  <c r="T1246" i="2"/>
  <c r="T1243" i="2"/>
  <c r="T1239" i="2"/>
  <c r="T1235" i="2"/>
  <c r="T1231" i="2"/>
  <c r="T1228" i="2"/>
  <c r="T1290" i="2"/>
  <c r="T1286" i="2"/>
  <c r="T1282" i="2"/>
  <c r="T1278" i="2"/>
  <c r="T1274" i="2"/>
  <c r="T1270" i="2"/>
  <c r="T1266" i="2"/>
  <c r="T1261" i="2"/>
  <c r="T1323" i="2"/>
  <c r="T1320" i="2"/>
  <c r="T1316" i="2"/>
  <c r="T1312" i="2"/>
  <c r="T1308" i="2"/>
  <c r="T1304" i="2"/>
  <c r="T1300" i="2"/>
  <c r="T1296" i="2"/>
  <c r="T1292" i="2"/>
  <c r="T1353" i="2"/>
  <c r="T1349" i="2"/>
  <c r="T1345" i="2"/>
  <c r="T1341" i="2"/>
  <c r="T1337" i="2"/>
  <c r="T1334" i="2"/>
  <c r="T1330" i="2"/>
  <c r="T1326" i="2"/>
  <c r="T1388" i="2"/>
  <c r="T1384" i="2"/>
  <c r="T1380" i="2"/>
  <c r="T1377" i="2"/>
  <c r="T1373" i="2"/>
  <c r="T1369" i="2"/>
  <c r="T1364" i="2"/>
  <c r="T1360" i="2"/>
  <c r="T1422" i="2"/>
  <c r="T1418" i="2"/>
  <c r="T1414" i="2"/>
  <c r="T1410" i="2"/>
  <c r="T1406" i="2"/>
  <c r="T1402" i="2"/>
  <c r="T1398" i="2"/>
  <c r="T1394" i="2"/>
  <c r="U1423" i="2"/>
  <c r="T1452" i="2"/>
  <c r="T1449" i="2"/>
  <c r="T1446" i="2"/>
  <c r="T1442" i="2"/>
  <c r="T1437" i="2"/>
  <c r="T1433" i="2"/>
  <c r="T1429" i="2"/>
  <c r="T1426" i="2"/>
  <c r="T1520" i="2"/>
  <c r="T1515" i="2"/>
  <c r="T1551" i="2"/>
  <c r="S1154" i="2"/>
  <c r="S1151" i="2"/>
  <c r="S1148" i="2"/>
  <c r="S1146" i="2"/>
  <c r="S1143" i="2"/>
  <c r="S1140" i="2"/>
  <c r="S1137" i="2"/>
  <c r="S1134" i="2"/>
  <c r="S1131" i="2"/>
  <c r="S1128" i="2"/>
  <c r="S1191" i="2"/>
  <c r="S1188" i="2"/>
  <c r="S1185" i="2"/>
  <c r="S1182" i="2"/>
  <c r="S1179" i="2"/>
  <c r="S1176" i="2"/>
  <c r="S1173" i="2"/>
  <c r="S1170" i="2"/>
  <c r="S1166" i="2"/>
  <c r="S1163" i="2"/>
  <c r="S1161" i="2"/>
  <c r="S1224" i="2"/>
  <c r="S1221" i="2"/>
  <c r="S1218" i="2"/>
  <c r="S1215" i="2"/>
  <c r="S1212" i="2"/>
  <c r="S1209" i="2"/>
  <c r="S1206" i="2"/>
  <c r="S1203" i="2"/>
  <c r="S1200" i="2"/>
  <c r="S1196" i="2"/>
  <c r="S1194" i="2"/>
  <c r="S1257" i="2"/>
  <c r="S1254" i="2"/>
  <c r="S1251" i="2"/>
  <c r="S1248" i="2"/>
  <c r="S1244" i="2"/>
  <c r="S1241" i="2"/>
  <c r="S1238" i="2"/>
  <c r="S1236" i="2"/>
  <c r="S1232" i="2"/>
  <c r="S1229" i="2"/>
  <c r="S1226" i="2"/>
  <c r="S1289" i="2"/>
  <c r="S1286" i="2"/>
  <c r="S1283" i="2"/>
  <c r="S1280" i="2"/>
  <c r="S1277" i="2"/>
  <c r="S1274" i="2"/>
  <c r="S1271" i="2"/>
  <c r="S1270" i="2"/>
  <c r="S1267" i="2"/>
  <c r="S1264" i="2"/>
  <c r="S1261" i="2"/>
  <c r="T1291" i="2"/>
  <c r="S1321" i="2"/>
  <c r="S1318" i="2"/>
  <c r="S1315" i="2"/>
  <c r="S1312" i="2"/>
  <c r="S1309" i="2"/>
  <c r="S1306" i="2"/>
  <c r="S1303" i="2"/>
  <c r="S1300" i="2"/>
  <c r="S1297" i="2"/>
  <c r="S1294" i="2"/>
  <c r="T1324" i="2"/>
  <c r="S1355" i="2"/>
  <c r="S1352" i="2"/>
  <c r="S1349" i="2"/>
  <c r="S1346" i="2"/>
  <c r="S1343" i="2"/>
  <c r="S1340" i="2"/>
  <c r="S1337" i="2"/>
  <c r="S1334" i="2"/>
  <c r="S1331" i="2"/>
  <c r="S1329" i="2"/>
  <c r="S1325" i="2"/>
  <c r="S1388" i="2"/>
  <c r="S1386" i="2"/>
  <c r="S1383" i="2"/>
  <c r="S1380" i="2"/>
  <c r="S1377" i="2"/>
  <c r="S1374" i="2"/>
  <c r="S1371" i="2"/>
  <c r="S1368" i="2"/>
  <c r="S1365" i="2"/>
  <c r="S1362" i="2"/>
  <c r="S1358" i="2"/>
  <c r="S1421" i="2"/>
  <c r="S1418" i="2"/>
  <c r="S1415" i="2"/>
  <c r="S1412" i="2"/>
  <c r="S1409" i="2"/>
  <c r="S1406" i="2"/>
  <c r="S1403" i="2"/>
  <c r="S1401" i="2"/>
  <c r="S1399" i="2"/>
  <c r="S1396" i="2"/>
  <c r="S1393" i="2"/>
  <c r="T1423" i="2"/>
  <c r="S1453" i="2"/>
  <c r="S1450" i="2"/>
  <c r="S1446" i="2"/>
  <c r="S1424" i="2"/>
  <c r="T1173" i="2"/>
  <c r="T1169" i="2"/>
  <c r="T1165" i="2"/>
  <c r="T1161" i="2"/>
  <c r="T1223" i="2"/>
  <c r="T1219" i="2"/>
  <c r="T1215" i="2"/>
  <c r="T1211" i="2"/>
  <c r="T1207" i="2"/>
  <c r="T1203" i="2"/>
  <c r="T1199" i="2"/>
  <c r="T1195" i="2"/>
  <c r="T1257" i="2"/>
  <c r="T1253" i="2"/>
  <c r="T1249" i="2"/>
  <c r="T1245" i="2"/>
  <c r="T1241" i="2"/>
  <c r="T1237" i="2"/>
  <c r="T1233" i="2"/>
  <c r="T1230" i="2"/>
  <c r="T1226" i="2"/>
  <c r="T1288" i="2"/>
  <c r="T1284" i="2"/>
  <c r="T1280" i="2"/>
  <c r="T1277" i="2"/>
  <c r="T1273" i="2"/>
  <c r="T1269" i="2"/>
  <c r="T1265" i="2"/>
  <c r="T1262" i="2"/>
  <c r="U1291" i="2"/>
  <c r="T1319" i="2"/>
  <c r="T1315" i="2"/>
  <c r="T1311" i="2"/>
  <c r="T1307" i="2"/>
  <c r="T1303" i="2"/>
  <c r="T1299" i="2"/>
  <c r="T1295" i="2"/>
  <c r="U1324" i="2"/>
  <c r="T1354" i="2"/>
  <c r="T1350" i="2"/>
  <c r="T1347" i="2"/>
  <c r="T1343" i="2"/>
  <c r="T1339" i="2"/>
  <c r="T1335" i="2"/>
  <c r="T1331" i="2"/>
  <c r="T1327" i="2"/>
  <c r="T1389" i="2"/>
  <c r="T1385" i="2"/>
  <c r="T1381" i="2"/>
  <c r="T1376" i="2"/>
  <c r="T1372" i="2"/>
  <c r="T1368" i="2"/>
  <c r="T1365" i="2"/>
  <c r="T1361" i="2"/>
  <c r="U1390" i="2"/>
  <c r="T1419" i="2"/>
  <c r="T1415" i="2"/>
  <c r="T1411" i="2"/>
  <c r="T1407" i="2"/>
  <c r="T1403" i="2"/>
  <c r="T1399" i="2"/>
  <c r="T1396" i="2"/>
  <c r="T1392" i="2"/>
  <c r="T1454" i="2"/>
  <c r="T1450" i="2"/>
  <c r="T1445" i="2"/>
  <c r="T1441" i="2"/>
  <c r="T1438" i="2"/>
  <c r="T1434" i="2"/>
  <c r="T1430" i="2"/>
  <c r="T1427" i="2"/>
  <c r="T1519" i="2"/>
  <c r="T1514" i="2"/>
  <c r="T1553" i="2"/>
  <c r="S1153" i="2"/>
  <c r="S1150" i="2"/>
  <c r="S1147" i="2"/>
  <c r="S1144" i="2"/>
  <c r="S1141" i="2"/>
  <c r="S1139" i="2"/>
  <c r="S1136" i="2"/>
  <c r="S1133" i="2"/>
  <c r="S1130" i="2"/>
  <c r="S1127" i="2"/>
  <c r="S1190" i="2"/>
  <c r="S1187" i="2"/>
  <c r="S1184" i="2"/>
  <c r="S1181" i="2"/>
  <c r="S1178" i="2"/>
  <c r="S1175" i="2"/>
  <c r="S1172" i="2"/>
  <c r="S1169" i="2"/>
  <c r="S1167" i="2"/>
  <c r="S1164" i="2"/>
  <c r="S1160" i="2"/>
  <c r="S1223" i="2"/>
  <c r="S1220" i="2"/>
  <c r="S1217" i="2"/>
  <c r="S1214" i="2"/>
  <c r="S1211" i="2"/>
  <c r="S1208" i="2"/>
  <c r="S1205" i="2"/>
  <c r="S1202" i="2"/>
  <c r="S1199" i="2"/>
  <c r="S1197" i="2"/>
  <c r="S1193" i="2"/>
  <c r="S1256" i="2"/>
  <c r="S1253" i="2"/>
  <c r="S1250" i="2"/>
  <c r="S1247" i="2"/>
  <c r="S1245" i="2"/>
  <c r="S1242" i="2"/>
  <c r="S1239" i="2"/>
  <c r="S1235" i="2"/>
  <c r="S1233" i="2"/>
  <c r="S1230" i="2"/>
  <c r="S1227" i="2"/>
  <c r="S1290" i="2"/>
  <c r="S1287" i="2"/>
  <c r="S1284" i="2"/>
  <c r="S1281" i="2"/>
  <c r="S1278" i="2"/>
  <c r="S1275" i="2"/>
  <c r="S1273" i="2"/>
  <c r="S1268" i="2"/>
  <c r="S1265" i="2"/>
  <c r="S1262" i="2"/>
  <c r="S1259" i="2"/>
  <c r="S1322" i="2"/>
  <c r="S1319" i="2"/>
  <c r="S1316" i="2"/>
  <c r="S1313" i="2"/>
  <c r="S1310" i="2"/>
  <c r="S1307" i="2"/>
  <c r="S1304" i="2"/>
  <c r="S1301" i="2"/>
  <c r="S1298" i="2"/>
  <c r="S1295" i="2"/>
  <c r="S1292" i="2"/>
  <c r="S1354" i="2"/>
  <c r="S1351" i="2"/>
  <c r="S1348" i="2"/>
  <c r="S1345" i="2"/>
  <c r="S1342" i="2"/>
  <c r="S1339" i="2"/>
  <c r="S1336" i="2"/>
  <c r="S1333" i="2"/>
  <c r="S1330" i="2"/>
  <c r="S1327" i="2"/>
  <c r="T1357" i="2"/>
  <c r="S1387" i="2"/>
  <c r="S1384" i="2"/>
  <c r="S1382" i="2"/>
  <c r="S1379" i="2"/>
  <c r="S1376" i="2"/>
  <c r="S1373" i="2"/>
  <c r="S1370" i="2"/>
  <c r="S1367" i="2"/>
  <c r="S1364" i="2"/>
  <c r="S1361" i="2"/>
  <c r="S1359" i="2"/>
  <c r="S1422" i="2"/>
  <c r="S1419" i="2"/>
  <c r="S1416" i="2"/>
  <c r="S1413" i="2"/>
  <c r="S1410" i="2"/>
  <c r="S1407" i="2"/>
  <c r="S1405" i="2"/>
  <c r="S1402" i="2"/>
  <c r="S1398" i="2"/>
  <c r="S1395" i="2"/>
  <c r="S1392" i="2"/>
  <c r="S1455" i="2"/>
  <c r="S1452" i="2"/>
  <c r="S1449" i="2"/>
  <c r="S1447" i="2"/>
  <c r="S1444" i="2"/>
  <c r="S1442" i="2"/>
  <c r="S1440" i="2"/>
  <c r="S1438" i="2"/>
  <c r="S1436" i="2"/>
  <c r="S1434" i="2"/>
  <c r="S1433" i="2"/>
  <c r="S1431" i="2"/>
  <c r="S1429" i="2"/>
  <c r="S1427" i="2"/>
  <c r="S1426" i="2"/>
  <c r="X1432" i="2"/>
  <c r="X1431" i="2"/>
  <c r="X1430" i="2"/>
  <c r="X1429" i="2"/>
  <c r="X1428" i="2"/>
  <c r="X1427" i="2"/>
  <c r="X1426" i="2"/>
  <c r="X1425" i="2"/>
  <c r="X1424" i="2"/>
  <c r="X1521" i="2"/>
  <c r="X1520" i="2"/>
  <c r="X1519" i="2"/>
  <c r="X1518" i="2"/>
  <c r="X1517" i="2"/>
  <c r="X1516" i="2"/>
  <c r="X1515" i="2"/>
  <c r="X1514" i="2"/>
  <c r="X1513" i="2"/>
  <c r="X1512" i="2"/>
  <c r="X1511" i="2"/>
  <c r="X1510" i="2"/>
  <c r="X1509" i="2"/>
  <c r="X1508" i="2"/>
  <c r="X1507" i="2"/>
  <c r="X1506" i="2"/>
  <c r="X1505" i="2"/>
  <c r="X1504" i="2"/>
  <c r="X1503" i="2"/>
  <c r="X1502" i="2"/>
  <c r="X1501" i="2"/>
  <c r="X1500" i="2"/>
  <c r="X1499" i="2"/>
  <c r="X1498" i="2"/>
  <c r="X1497" i="2"/>
  <c r="X1496" i="2"/>
  <c r="X1495" i="2"/>
  <c r="X1494" i="2"/>
  <c r="X1493" i="2"/>
  <c r="X1492" i="2"/>
  <c r="X1491" i="2"/>
  <c r="X1490" i="2"/>
  <c r="X1554" i="2"/>
  <c r="X1553" i="2"/>
  <c r="X1552" i="2"/>
  <c r="X1551" i="2"/>
  <c r="X1550" i="2"/>
  <c r="X1549" i="2"/>
  <c r="X1548" i="2"/>
  <c r="X1547" i="2"/>
  <c r="X1546" i="2"/>
  <c r="X1545" i="2"/>
  <c r="X1544" i="2"/>
  <c r="X1543" i="2"/>
  <c r="X1542" i="2"/>
  <c r="X1541" i="2"/>
  <c r="X1540" i="2"/>
  <c r="X1539" i="2"/>
  <c r="X1538" i="2"/>
  <c r="X1537" i="2"/>
  <c r="X1536" i="2"/>
  <c r="X1535" i="2"/>
  <c r="X1534" i="2"/>
  <c r="X1533" i="2"/>
  <c r="X1532" i="2"/>
  <c r="X1531" i="2"/>
  <c r="X1530" i="2"/>
  <c r="X1529" i="2"/>
  <c r="X1528" i="2"/>
  <c r="X1527" i="2"/>
  <c r="X1526" i="2"/>
  <c r="X1525" i="2"/>
  <c r="X1524" i="2"/>
  <c r="X1523" i="2"/>
  <c r="X1587" i="2"/>
  <c r="X1586" i="2"/>
  <c r="X1585" i="2"/>
  <c r="X1584" i="2"/>
  <c r="X1583" i="2"/>
  <c r="X1582" i="2"/>
  <c r="X1581" i="2"/>
  <c r="X1580" i="2"/>
  <c r="X1579" i="2"/>
  <c r="X1578" i="2"/>
  <c r="X1577" i="2"/>
  <c r="X1576" i="2"/>
  <c r="X1575" i="2"/>
  <c r="X1574" i="2"/>
  <c r="X1573" i="2"/>
  <c r="X1572" i="2"/>
  <c r="X1571" i="2"/>
  <c r="X1570" i="2"/>
  <c r="X1569" i="2"/>
  <c r="X1568" i="2"/>
  <c r="X1567" i="2"/>
  <c r="X1566" i="2"/>
  <c r="X1565" i="2"/>
  <c r="X1564" i="2"/>
  <c r="X1563" i="2"/>
  <c r="X1562" i="2"/>
  <c r="X1561" i="2"/>
  <c r="X1560" i="2"/>
  <c r="X1559" i="2"/>
  <c r="X1558" i="2"/>
  <c r="X1557" i="2"/>
  <c r="X1556" i="2"/>
  <c r="X1620" i="2"/>
  <c r="X1619" i="2"/>
  <c r="X1618" i="2"/>
  <c r="X1617" i="2"/>
  <c r="X1616" i="2"/>
  <c r="X1615" i="2"/>
  <c r="X1614" i="2"/>
  <c r="X1613" i="2"/>
  <c r="X1612" i="2"/>
  <c r="X1611" i="2"/>
  <c r="X1610" i="2"/>
  <c r="X1609" i="2"/>
  <c r="X1608" i="2"/>
  <c r="X1607" i="2"/>
  <c r="X1606" i="2"/>
  <c r="X1605" i="2"/>
  <c r="X1604" i="2"/>
  <c r="X1603" i="2"/>
  <c r="X1602" i="2"/>
  <c r="X1601" i="2"/>
  <c r="X1600" i="2"/>
  <c r="X1599" i="2"/>
  <c r="X1598" i="2"/>
  <c r="X1597" i="2"/>
  <c r="X1596" i="2"/>
  <c r="X1595" i="2"/>
  <c r="X1594" i="2"/>
  <c r="X1593" i="2"/>
  <c r="X1592" i="2"/>
  <c r="X1591" i="2"/>
  <c r="X1590" i="2"/>
  <c r="X1589" i="2"/>
  <c r="X1653" i="2"/>
  <c r="X1652" i="2"/>
  <c r="X1651" i="2"/>
  <c r="X1650" i="2"/>
  <c r="X1649" i="2"/>
  <c r="X1648" i="2"/>
  <c r="X1647" i="2"/>
  <c r="X1646" i="2"/>
  <c r="X1645" i="2"/>
  <c r="X1644" i="2"/>
  <c r="X1643" i="2"/>
  <c r="X1642" i="2"/>
  <c r="X1641" i="2"/>
  <c r="X1640" i="2"/>
  <c r="X1639" i="2"/>
  <c r="X1638" i="2"/>
  <c r="X1637" i="2"/>
  <c r="X1636" i="2"/>
  <c r="X1635" i="2"/>
  <c r="X1634" i="2"/>
  <c r="X1633" i="2"/>
  <c r="X1632" i="2"/>
  <c r="X1631" i="2"/>
  <c r="X1630" i="2"/>
  <c r="X1629" i="2"/>
  <c r="X1628" i="2"/>
  <c r="X1627" i="2"/>
  <c r="X1626" i="2"/>
  <c r="X1625" i="2"/>
  <c r="X1624" i="2"/>
  <c r="X1623" i="2"/>
  <c r="X1622" i="2"/>
  <c r="X1686" i="2"/>
  <c r="X1685" i="2"/>
  <c r="X1684" i="2"/>
  <c r="X1683" i="2"/>
  <c r="X1682" i="2"/>
  <c r="X1681" i="2"/>
  <c r="X1680" i="2"/>
  <c r="X1679" i="2"/>
  <c r="X1678" i="2"/>
  <c r="X1677" i="2"/>
  <c r="X1676" i="2"/>
  <c r="X1675" i="2"/>
  <c r="X1674" i="2"/>
  <c r="X1673" i="2"/>
  <c r="X1672" i="2"/>
  <c r="X1671" i="2"/>
  <c r="X1670" i="2"/>
  <c r="X1669" i="2"/>
  <c r="X1668" i="2"/>
  <c r="X1667" i="2"/>
  <c r="X1666" i="2"/>
  <c r="X1665" i="2"/>
  <c r="X1664" i="2"/>
  <c r="X1663" i="2"/>
  <c r="X1662" i="2"/>
  <c r="X1661" i="2"/>
  <c r="X1660" i="2"/>
  <c r="X1659" i="2"/>
  <c r="X1658" i="2"/>
  <c r="X1657" i="2"/>
  <c r="X1656" i="2"/>
  <c r="X1655" i="2"/>
  <c r="X1719" i="2"/>
  <c r="X1718" i="2"/>
  <c r="X1717" i="2"/>
  <c r="X1716" i="2"/>
  <c r="X1715" i="2"/>
  <c r="X1714" i="2"/>
  <c r="X1713" i="2"/>
  <c r="X1712" i="2"/>
  <c r="X1711" i="2"/>
  <c r="X1710" i="2"/>
  <c r="X1709" i="2"/>
  <c r="X1708" i="2"/>
  <c r="X1707" i="2"/>
  <c r="X1706" i="2"/>
  <c r="X1705" i="2"/>
  <c r="X1704" i="2"/>
  <c r="X1703" i="2"/>
  <c r="X1702" i="2"/>
  <c r="X1701" i="2"/>
  <c r="X1700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752" i="2"/>
  <c r="X1751" i="2"/>
  <c r="X1750" i="2"/>
  <c r="X1749" i="2"/>
  <c r="X1748" i="2"/>
  <c r="X1747" i="2"/>
  <c r="X1746" i="2"/>
  <c r="X1745" i="2"/>
  <c r="X1744" i="2"/>
  <c r="X1743" i="2"/>
  <c r="X1742" i="2"/>
  <c r="X1741" i="2"/>
  <c r="X1740" i="2"/>
  <c r="X1739" i="2"/>
  <c r="X1738" i="2"/>
  <c r="X1737" i="2"/>
  <c r="X1736" i="2"/>
  <c r="X1735" i="2"/>
  <c r="X1734" i="2"/>
  <c r="X1733" i="2"/>
  <c r="X1732" i="2"/>
  <c r="X1731" i="2"/>
  <c r="X1730" i="2"/>
  <c r="X1729" i="2"/>
  <c r="X1728" i="2"/>
  <c r="X1727" i="2"/>
  <c r="X1726" i="2"/>
  <c r="X1725" i="2"/>
  <c r="X1724" i="2"/>
  <c r="X1723" i="2"/>
  <c r="X1722" i="2"/>
  <c r="X1721" i="2"/>
  <c r="X1785" i="2"/>
  <c r="X1784" i="2"/>
  <c r="X1783" i="2"/>
  <c r="X1782" i="2"/>
  <c r="X1781" i="2"/>
  <c r="X1780" i="2"/>
  <c r="X1779" i="2"/>
  <c r="X1778" i="2"/>
  <c r="X1777" i="2"/>
  <c r="X1776" i="2"/>
  <c r="X1775" i="2"/>
  <c r="X1774" i="2"/>
  <c r="X1773" i="2"/>
  <c r="X1772" i="2"/>
  <c r="X1771" i="2"/>
  <c r="X1770" i="2"/>
  <c r="X1769" i="2"/>
  <c r="X1768" i="2"/>
  <c r="X1767" i="2"/>
  <c r="X1766" i="2"/>
  <c r="X1765" i="2"/>
  <c r="X1764" i="2"/>
  <c r="X1763" i="2"/>
  <c r="X1762" i="2"/>
  <c r="X1761" i="2"/>
  <c r="X1760" i="2"/>
  <c r="X1759" i="2"/>
  <c r="X1758" i="2"/>
  <c r="X1757" i="2"/>
  <c r="X1756" i="2"/>
  <c r="X1755" i="2"/>
  <c r="X1754" i="2"/>
  <c r="X1818" i="2"/>
  <c r="X1817" i="2"/>
  <c r="X1816" i="2"/>
  <c r="X1815" i="2"/>
  <c r="X1814" i="2"/>
  <c r="X1813" i="2"/>
  <c r="X1812" i="2"/>
  <c r="X1811" i="2"/>
  <c r="X1810" i="2"/>
  <c r="X1809" i="2"/>
  <c r="X1808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X1489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X1522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X1555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X1588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X1621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X1654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X1687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X1720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X1753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X1786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852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W1885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W1918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W1951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W1984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W2017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W2050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W2083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W2116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W2149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U1788" i="2"/>
  <c r="U1787" i="2"/>
  <c r="V1852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V1885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V1918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V1951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V1984" i="2"/>
  <c r="U2016" i="2"/>
  <c r="U2015" i="2"/>
  <c r="U2014" i="2"/>
  <c r="U2013" i="2"/>
  <c r="U2012" i="2"/>
  <c r="U2011" i="2"/>
  <c r="U2010" i="2"/>
  <c r="U2009" i="2"/>
  <c r="U200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V2017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028" i="2"/>
  <c r="U2027" i="2"/>
  <c r="U2026" i="2"/>
  <c r="U2025" i="2"/>
  <c r="U2024" i="2"/>
  <c r="U2023" i="2"/>
  <c r="U2022" i="2"/>
  <c r="U2021" i="2"/>
  <c r="U2020" i="2"/>
  <c r="U2019" i="2"/>
  <c r="U2018" i="2"/>
  <c r="V2050" i="2"/>
  <c r="U2082" i="2"/>
  <c r="U2081" i="2"/>
  <c r="U2080" i="2"/>
  <c r="U2079" i="2"/>
  <c r="U2078" i="2"/>
  <c r="U2077" i="2"/>
  <c r="U2076" i="2"/>
  <c r="U2075" i="2"/>
  <c r="U2074" i="2"/>
  <c r="U2073" i="2"/>
  <c r="U2072" i="2"/>
  <c r="U2071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052" i="2"/>
  <c r="U2051" i="2"/>
  <c r="V2083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V2116" i="2"/>
  <c r="U2148" i="2"/>
  <c r="U2147" i="2"/>
  <c r="U2146" i="2"/>
  <c r="U2145" i="2"/>
  <c r="U2144" i="2"/>
  <c r="U2143" i="2"/>
  <c r="U2142" i="2"/>
  <c r="U2141" i="2"/>
  <c r="U2140" i="2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5" i="2"/>
  <c r="U2124" i="2"/>
  <c r="U2123" i="2"/>
  <c r="U2122" i="2"/>
  <c r="U2121" i="2"/>
  <c r="U2120" i="2"/>
  <c r="U2119" i="2"/>
  <c r="U2118" i="2"/>
  <c r="U2117" i="2"/>
  <c r="V2149" i="2"/>
  <c r="U2181" i="2"/>
  <c r="U2180" i="2"/>
  <c r="U2179" i="2"/>
  <c r="U2178" i="2"/>
  <c r="U2177" i="2"/>
  <c r="U2176" i="2"/>
  <c r="U2175" i="2"/>
  <c r="U2174" i="2"/>
  <c r="U2173" i="2"/>
  <c r="U2172" i="2"/>
  <c r="U2171" i="2"/>
  <c r="U2170" i="2"/>
  <c r="U2169" i="2"/>
  <c r="U2168" i="2"/>
  <c r="U2167" i="2"/>
  <c r="U2166" i="2"/>
  <c r="U2165" i="2"/>
  <c r="U2164" i="2"/>
  <c r="U2163" i="2"/>
  <c r="U2162" i="2"/>
  <c r="U2161" i="2"/>
  <c r="U2160" i="2"/>
  <c r="U2159" i="2"/>
  <c r="U2158" i="2"/>
  <c r="U2157" i="2"/>
  <c r="U2156" i="2"/>
  <c r="U2155" i="2"/>
  <c r="U2154" i="2"/>
  <c r="U2153" i="2"/>
  <c r="U2152" i="2"/>
  <c r="U2151" i="2"/>
  <c r="U2150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U1852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U1885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U1918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U1951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U1984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U2017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U2050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U2083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U2116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U2149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1489" i="2"/>
  <c r="S1519" i="2"/>
  <c r="S1516" i="2"/>
  <c r="S1513" i="2"/>
  <c r="S1510" i="2"/>
  <c r="S1507" i="2"/>
  <c r="S1504" i="2"/>
  <c r="S1499" i="2"/>
  <c r="S1496" i="2"/>
  <c r="S1493" i="2"/>
  <c r="S1490" i="2"/>
  <c r="S1553" i="2"/>
  <c r="S1550" i="2"/>
  <c r="S1547" i="2"/>
  <c r="S1544" i="2"/>
  <c r="S1541" i="2"/>
  <c r="S1538" i="2"/>
  <c r="S1535" i="2"/>
  <c r="S1532" i="2"/>
  <c r="S1528" i="2"/>
  <c r="S1525" i="2"/>
  <c r="T1555" i="2"/>
  <c r="S1585" i="2"/>
  <c r="S1582" i="2"/>
  <c r="S1579" i="2"/>
  <c r="S1576" i="2"/>
  <c r="S1573" i="2"/>
  <c r="S1570" i="2"/>
  <c r="S1567" i="2"/>
  <c r="S1564" i="2"/>
  <c r="S1561" i="2"/>
  <c r="S1558" i="2"/>
  <c r="T1588" i="2"/>
  <c r="S1618" i="2"/>
  <c r="S1615" i="2"/>
  <c r="S1612" i="2"/>
  <c r="S1609" i="2"/>
  <c r="S1606" i="2"/>
  <c r="S1603" i="2"/>
  <c r="S1600" i="2"/>
  <c r="S1597" i="2"/>
  <c r="S1594" i="2"/>
  <c r="S1591" i="2"/>
  <c r="T1621" i="2"/>
  <c r="S1651" i="2"/>
  <c r="S1648" i="2"/>
  <c r="S1644" i="2"/>
  <c r="S1641" i="2"/>
  <c r="S1638" i="2"/>
  <c r="S1635" i="2"/>
  <c r="S1632" i="2"/>
  <c r="S1629" i="2"/>
  <c r="S1627" i="2"/>
  <c r="S1624" i="2"/>
  <c r="S1685" i="2"/>
  <c r="S1682" i="2"/>
  <c r="S1679" i="2"/>
  <c r="S1676" i="2"/>
  <c r="S1673" i="2"/>
  <c r="S1670" i="2"/>
  <c r="S1667" i="2"/>
  <c r="S1664" i="2"/>
  <c r="S1661" i="2"/>
  <c r="S1658" i="2"/>
  <c r="S1656" i="2"/>
  <c r="S1718" i="2"/>
  <c r="S1715" i="2"/>
  <c r="S1713" i="2"/>
  <c r="S1710" i="2"/>
  <c r="S1707" i="2"/>
  <c r="S1704" i="2"/>
  <c r="S1701" i="2"/>
  <c r="S1698" i="2"/>
  <c r="S1694" i="2"/>
  <c r="S1691" i="2"/>
  <c r="S1688" i="2"/>
  <c r="S1750" i="2"/>
  <c r="S1747" i="2"/>
  <c r="S1744" i="2"/>
  <c r="S1741" i="2"/>
  <c r="S1738" i="2"/>
  <c r="S1735" i="2"/>
  <c r="S1732" i="2"/>
  <c r="S1729" i="2"/>
  <c r="S1726" i="2"/>
  <c r="S1723" i="2"/>
  <c r="T1753" i="2"/>
  <c r="S1783" i="2"/>
  <c r="S1780" i="2"/>
  <c r="S1777" i="2"/>
  <c r="S1774" i="2"/>
  <c r="S1771" i="2"/>
  <c r="S1768" i="2"/>
  <c r="S1765" i="2"/>
  <c r="S1762" i="2"/>
  <c r="S1759" i="2"/>
  <c r="S1756" i="2"/>
  <c r="T1786" i="2"/>
  <c r="S1816" i="2"/>
  <c r="S1813" i="2"/>
  <c r="S1810" i="2"/>
  <c r="S1807" i="2"/>
  <c r="S1804" i="2"/>
  <c r="S1801" i="2"/>
  <c r="S1798" i="2"/>
  <c r="S1795" i="2"/>
  <c r="S1791" i="2"/>
  <c r="S1787" i="2"/>
  <c r="T1852" i="2"/>
  <c r="S1882" i="2"/>
  <c r="S1879" i="2"/>
  <c r="S1876" i="2"/>
  <c r="S1873" i="2"/>
  <c r="S1870" i="2"/>
  <c r="S1867" i="2"/>
  <c r="S1864" i="2"/>
  <c r="S1861" i="2"/>
  <c r="S1858" i="2"/>
  <c r="S1855" i="2"/>
  <c r="T1885" i="2"/>
  <c r="S1915" i="2"/>
  <c r="S1912" i="2"/>
  <c r="S1909" i="2"/>
  <c r="S1906" i="2"/>
  <c r="S1903" i="2"/>
  <c r="S1900" i="2"/>
  <c r="S1897" i="2"/>
  <c r="S1894" i="2"/>
  <c r="S1891" i="2"/>
  <c r="S1888" i="2"/>
  <c r="T1918" i="2"/>
  <c r="S1947" i="2"/>
  <c r="S1944" i="2"/>
  <c r="S1941" i="2"/>
  <c r="S1937" i="2"/>
  <c r="S1934" i="2"/>
  <c r="S1931" i="2"/>
  <c r="S1928" i="2"/>
  <c r="S1925" i="2"/>
  <c r="S1922" i="2"/>
  <c r="S1920" i="2"/>
  <c r="S1982" i="2"/>
  <c r="S1979" i="2"/>
  <c r="S1977" i="2"/>
  <c r="S1974" i="2"/>
  <c r="S1971" i="2"/>
  <c r="S1967" i="2"/>
  <c r="S1964" i="2"/>
  <c r="S1961" i="2"/>
  <c r="S1958" i="2"/>
  <c r="S1955" i="2"/>
  <c r="S1952" i="2"/>
  <c r="S2015" i="2"/>
  <c r="S2012" i="2"/>
  <c r="S2009" i="2"/>
  <c r="S2006" i="2"/>
  <c r="S2003" i="2"/>
  <c r="S2000" i="2"/>
  <c r="S1997" i="2"/>
  <c r="S1994" i="2"/>
  <c r="S1990" i="2"/>
  <c r="S1986" i="2"/>
  <c r="S2049" i="2"/>
  <c r="S2046" i="2"/>
  <c r="S2043" i="2"/>
  <c r="S2040" i="2"/>
  <c r="S2037" i="2"/>
  <c r="S2034" i="2"/>
  <c r="S2031" i="2"/>
  <c r="S2028" i="2"/>
  <c r="S2027" i="2"/>
  <c r="S2024" i="2"/>
  <c r="S2023" i="2"/>
  <c r="S2022" i="2"/>
  <c r="S2021" i="2"/>
  <c r="S2020" i="2"/>
  <c r="S2019" i="2"/>
  <c r="S2018" i="2"/>
  <c r="T2050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4" i="2"/>
  <c r="S2053" i="2"/>
  <c r="S2052" i="2"/>
  <c r="S2051" i="2"/>
  <c r="T2083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T2116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T2149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1521" i="2"/>
  <c r="S1518" i="2"/>
  <c r="S1515" i="2"/>
  <c r="S1512" i="2"/>
  <c r="S1509" i="2"/>
  <c r="S1506" i="2"/>
  <c r="S1503" i="2"/>
  <c r="S1500" i="2"/>
  <c r="S1498" i="2"/>
  <c r="S1495" i="2"/>
  <c r="S1492" i="2"/>
  <c r="T1522" i="2"/>
  <c r="S1552" i="2"/>
  <c r="S1549" i="2"/>
  <c r="S1546" i="2"/>
  <c r="S1543" i="2"/>
  <c r="S1540" i="2"/>
  <c r="S1537" i="2"/>
  <c r="S1534" i="2"/>
  <c r="S1531" i="2"/>
  <c r="S1529" i="2"/>
  <c r="S1526" i="2"/>
  <c r="S1523" i="2"/>
  <c r="S1586" i="2"/>
  <c r="S1583" i="2"/>
  <c r="S1580" i="2"/>
  <c r="S1577" i="2"/>
  <c r="S1574" i="2"/>
  <c r="S1571" i="2"/>
  <c r="S1568" i="2"/>
  <c r="S1565" i="2"/>
  <c r="S1562" i="2"/>
  <c r="S1559" i="2"/>
  <c r="S1556" i="2"/>
  <c r="S1619" i="2"/>
  <c r="S1616" i="2"/>
  <c r="S1613" i="2"/>
  <c r="S1610" i="2"/>
  <c r="S1607" i="2"/>
  <c r="S1604" i="2"/>
  <c r="S1601" i="2"/>
  <c r="S1598" i="2"/>
  <c r="S1595" i="2"/>
  <c r="S1592" i="2"/>
  <c r="S1589" i="2"/>
  <c r="S1652" i="2"/>
  <c r="S1649" i="2"/>
  <c r="S1646" i="2"/>
  <c r="S1643" i="2"/>
  <c r="S1640" i="2"/>
  <c r="S1637" i="2"/>
  <c r="S1634" i="2"/>
  <c r="S1631" i="2"/>
  <c r="S1628" i="2"/>
  <c r="S1625" i="2"/>
  <c r="S1622" i="2"/>
  <c r="T1654" i="2"/>
  <c r="S1684" i="2"/>
  <c r="S1681" i="2"/>
  <c r="S1678" i="2"/>
  <c r="S1675" i="2"/>
  <c r="S1672" i="2"/>
  <c r="S1668" i="2"/>
  <c r="S1666" i="2"/>
  <c r="S1663" i="2"/>
  <c r="S1660" i="2"/>
  <c r="S1657" i="2"/>
  <c r="T1687" i="2"/>
  <c r="S1717" i="2"/>
  <c r="S1714" i="2"/>
  <c r="S1711" i="2"/>
  <c r="S1708" i="2"/>
  <c r="S1705" i="2"/>
  <c r="S1702" i="2"/>
  <c r="S1699" i="2"/>
  <c r="S1696" i="2"/>
  <c r="S1693" i="2"/>
  <c r="S1690" i="2"/>
  <c r="T1720" i="2"/>
  <c r="S1751" i="2"/>
  <c r="S1748" i="2"/>
  <c r="S1745" i="2"/>
  <c r="S1742" i="2"/>
  <c r="S1739" i="2"/>
  <c r="S1736" i="2"/>
  <c r="S1733" i="2"/>
  <c r="S1730" i="2"/>
  <c r="S1727" i="2"/>
  <c r="S1724" i="2"/>
  <c r="S1722" i="2"/>
  <c r="S1784" i="2"/>
  <c r="S1781" i="2"/>
  <c r="S1778" i="2"/>
  <c r="S1775" i="2"/>
  <c r="S1773" i="2"/>
  <c r="S1770" i="2"/>
  <c r="S1767" i="2"/>
  <c r="S1764" i="2"/>
  <c r="S1761" i="2"/>
  <c r="S1758" i="2"/>
  <c r="S1754" i="2"/>
  <c r="S1818" i="2"/>
  <c r="S1815" i="2"/>
  <c r="S1812" i="2"/>
  <c r="S1809" i="2"/>
  <c r="S1806" i="2"/>
  <c r="S1803" i="2"/>
  <c r="S1800" i="2"/>
  <c r="S1797" i="2"/>
  <c r="S1794" i="2"/>
  <c r="S1792" i="2"/>
  <c r="S1789" i="2"/>
  <c r="S1883" i="2"/>
  <c r="S1880" i="2"/>
  <c r="S1877" i="2"/>
  <c r="S1874" i="2"/>
  <c r="S1871" i="2"/>
  <c r="S1868" i="2"/>
  <c r="S1865" i="2"/>
  <c r="S1862" i="2"/>
  <c r="S1859" i="2"/>
  <c r="S1856" i="2"/>
  <c r="S1853" i="2"/>
  <c r="S1916" i="2"/>
  <c r="S1913" i="2"/>
  <c r="S1910" i="2"/>
  <c r="S1907" i="2"/>
  <c r="S1904" i="2"/>
  <c r="S1901" i="2"/>
  <c r="S1898" i="2"/>
  <c r="S1895" i="2"/>
  <c r="S1892" i="2"/>
  <c r="S1889" i="2"/>
  <c r="S1886" i="2"/>
  <c r="S1949" i="2"/>
  <c r="S1946" i="2"/>
  <c r="S1943" i="2"/>
  <c r="S1940" i="2"/>
  <c r="S1938" i="2"/>
  <c r="S1935" i="2"/>
  <c r="S1932" i="2"/>
  <c r="S1929" i="2"/>
  <c r="S1926" i="2"/>
  <c r="S1923" i="2"/>
  <c r="S1919" i="2"/>
  <c r="S1983" i="2"/>
  <c r="S1980" i="2"/>
  <c r="S1976" i="2"/>
  <c r="S1973" i="2"/>
  <c r="S1970" i="2"/>
  <c r="S1968" i="2"/>
  <c r="S1965" i="2"/>
  <c r="S1962" i="2"/>
  <c r="S1959" i="2"/>
  <c r="S1956" i="2"/>
  <c r="S1953" i="2"/>
  <c r="T1984" i="2"/>
  <c r="S2014" i="2"/>
  <c r="S2011" i="2"/>
  <c r="S2008" i="2"/>
  <c r="S2005" i="2"/>
  <c r="S2002" i="2"/>
  <c r="S1999" i="2"/>
  <c r="S1996" i="2"/>
  <c r="S1993" i="2"/>
  <c r="S1991" i="2"/>
  <c r="S1988" i="2"/>
  <c r="S1985" i="2"/>
  <c r="S2048" i="2"/>
  <c r="S2045" i="2"/>
  <c r="S2042" i="2"/>
  <c r="S2039" i="2"/>
  <c r="S2036" i="2"/>
  <c r="S2032" i="2"/>
  <c r="S2029" i="2"/>
  <c r="S2025" i="2"/>
  <c r="S2055" i="2"/>
  <c r="S1159" i="2"/>
  <c r="S1192" i="2"/>
  <c r="S1225" i="2"/>
  <c r="S1258" i="2"/>
  <c r="S1291" i="2"/>
  <c r="S1324" i="2"/>
  <c r="S1357" i="2"/>
  <c r="S1390" i="2"/>
  <c r="S1423" i="2"/>
  <c r="S1489" i="2"/>
  <c r="S1522" i="2"/>
  <c r="S1555" i="2"/>
  <c r="S1588" i="2"/>
  <c r="S1621" i="2"/>
  <c r="S1654" i="2"/>
  <c r="S1687" i="2"/>
  <c r="S1720" i="2"/>
  <c r="S1753" i="2"/>
  <c r="S1786" i="2"/>
  <c r="S1852" i="2"/>
  <c r="S1885" i="2"/>
  <c r="S1918" i="2"/>
  <c r="S1951" i="2"/>
  <c r="S1984" i="2"/>
  <c r="S2017" i="2"/>
  <c r="S2050" i="2"/>
  <c r="S2083" i="2"/>
  <c r="S2116" i="2"/>
  <c r="S2149" i="2"/>
  <c r="S1520" i="2"/>
  <c r="S1517" i="2"/>
  <c r="S1514" i="2"/>
  <c r="S1511" i="2"/>
  <c r="S1508" i="2"/>
  <c r="S1505" i="2"/>
  <c r="S1502" i="2"/>
  <c r="S1501" i="2"/>
  <c r="S1497" i="2"/>
  <c r="S1494" i="2"/>
  <c r="S1491" i="2"/>
  <c r="S1554" i="2"/>
  <c r="S1551" i="2"/>
  <c r="S1548" i="2"/>
  <c r="S1545" i="2"/>
  <c r="S1542" i="2"/>
  <c r="S1539" i="2"/>
  <c r="S1536" i="2"/>
  <c r="S1533" i="2"/>
  <c r="S1530" i="2"/>
  <c r="S1527" i="2"/>
  <c r="S1524" i="2"/>
  <c r="S1587" i="2"/>
  <c r="S1584" i="2"/>
  <c r="S1581" i="2"/>
  <c r="S1578" i="2"/>
  <c r="S1575" i="2"/>
  <c r="S1572" i="2"/>
  <c r="S1569" i="2"/>
  <c r="S1566" i="2"/>
  <c r="S1563" i="2"/>
  <c r="S1560" i="2"/>
  <c r="S1557" i="2"/>
  <c r="S1620" i="2"/>
  <c r="S1617" i="2"/>
  <c r="S1614" i="2"/>
  <c r="S1611" i="2"/>
  <c r="S1608" i="2"/>
  <c r="S1605" i="2"/>
  <c r="S1602" i="2"/>
  <c r="S1599" i="2"/>
  <c r="S1596" i="2"/>
  <c r="S1593" i="2"/>
  <c r="S1590" i="2"/>
  <c r="S1653" i="2"/>
  <c r="S1650" i="2"/>
  <c r="S1647" i="2"/>
  <c r="S1645" i="2"/>
  <c r="S1642" i="2"/>
  <c r="S1639" i="2"/>
  <c r="S1636" i="2"/>
  <c r="S1633" i="2"/>
  <c r="S1630" i="2"/>
  <c r="S1626" i="2"/>
  <c r="S1623" i="2"/>
  <c r="S1686" i="2"/>
  <c r="S1683" i="2"/>
  <c r="S1680" i="2"/>
  <c r="S1677" i="2"/>
  <c r="S1674" i="2"/>
  <c r="S1671" i="2"/>
  <c r="S1669" i="2"/>
  <c r="S1665" i="2"/>
  <c r="S1662" i="2"/>
  <c r="S1659" i="2"/>
  <c r="S1655" i="2"/>
  <c r="S1719" i="2"/>
  <c r="S1716" i="2"/>
  <c r="S1712" i="2"/>
  <c r="S1709" i="2"/>
  <c r="S1706" i="2"/>
  <c r="S1703" i="2"/>
  <c r="S1700" i="2"/>
  <c r="S1697" i="2"/>
  <c r="S1695" i="2"/>
  <c r="S1692" i="2"/>
  <c r="S1689" i="2"/>
  <c r="S1752" i="2"/>
  <c r="S1749" i="2"/>
  <c r="S1746" i="2"/>
  <c r="S1743" i="2"/>
  <c r="S1740" i="2"/>
  <c r="S1737" i="2"/>
  <c r="S1734" i="2"/>
  <c r="S1731" i="2"/>
  <c r="S1728" i="2"/>
  <c r="S1725" i="2"/>
  <c r="S1721" i="2"/>
  <c r="S1785" i="2"/>
  <c r="S1782" i="2"/>
  <c r="S1779" i="2"/>
  <c r="S1776" i="2"/>
  <c r="S1772" i="2"/>
  <c r="S1769" i="2"/>
  <c r="S1766" i="2"/>
  <c r="S1763" i="2"/>
  <c r="S1760" i="2"/>
  <c r="S1757" i="2"/>
  <c r="S1755" i="2"/>
  <c r="S1817" i="2"/>
  <c r="S1814" i="2"/>
  <c r="S1811" i="2"/>
  <c r="S1808" i="2"/>
  <c r="S1805" i="2"/>
  <c r="S1802" i="2"/>
  <c r="S1799" i="2"/>
  <c r="S1796" i="2"/>
  <c r="S1793" i="2"/>
  <c r="S1790" i="2"/>
  <c r="S1788" i="2"/>
  <c r="S1884" i="2"/>
  <c r="S1881" i="2"/>
  <c r="S1878" i="2"/>
  <c r="S1875" i="2"/>
  <c r="S1872" i="2"/>
  <c r="S1869" i="2"/>
  <c r="S1866" i="2"/>
  <c r="S1863" i="2"/>
  <c r="S1860" i="2"/>
  <c r="S1857" i="2"/>
  <c r="S1854" i="2"/>
  <c r="S1917" i="2"/>
  <c r="S1914" i="2"/>
  <c r="S1911" i="2"/>
  <c r="S1908" i="2"/>
  <c r="S1905" i="2"/>
  <c r="S1902" i="2"/>
  <c r="S1899" i="2"/>
  <c r="S1896" i="2"/>
  <c r="S1893" i="2"/>
  <c r="S1890" i="2"/>
  <c r="S1887" i="2"/>
  <c r="S1950" i="2"/>
  <c r="S1948" i="2"/>
  <c r="S1945" i="2"/>
  <c r="S1942" i="2"/>
  <c r="S1939" i="2"/>
  <c r="S1936" i="2"/>
  <c r="S1933" i="2"/>
  <c r="S1930" i="2"/>
  <c r="S1927" i="2"/>
  <c r="S1924" i="2"/>
  <c r="S1921" i="2"/>
  <c r="T1951" i="2"/>
  <c r="S1981" i="2"/>
  <c r="S1978" i="2"/>
  <c r="S1975" i="2"/>
  <c r="S1972" i="2"/>
  <c r="S1969" i="2"/>
  <c r="S1966" i="2"/>
  <c r="S1963" i="2"/>
  <c r="S1960" i="2"/>
  <c r="S1957" i="2"/>
  <c r="S1954" i="2"/>
  <c r="S2016" i="2"/>
  <c r="S2013" i="2"/>
  <c r="S2010" i="2"/>
  <c r="S2007" i="2"/>
  <c r="S2004" i="2"/>
  <c r="S2001" i="2"/>
  <c r="S1998" i="2"/>
  <c r="S1995" i="2"/>
  <c r="S1992" i="2"/>
  <c r="S1989" i="2"/>
  <c r="S1987" i="2"/>
  <c r="T2017" i="2"/>
  <c r="S2047" i="2"/>
  <c r="S2044" i="2"/>
  <c r="S2041" i="2"/>
  <c r="S2038" i="2"/>
  <c r="S2035" i="2"/>
  <c r="S2033" i="2"/>
  <c r="S2030" i="2"/>
  <c r="S2026" i="2"/>
  <c r="S2056" i="2"/>
  <c r="X1807" i="2"/>
  <c r="X1806" i="2"/>
  <c r="X1805" i="2"/>
  <c r="X1804" i="2"/>
  <c r="X1803" i="2"/>
  <c r="X1802" i="2"/>
  <c r="X1801" i="2"/>
  <c r="X1800" i="2"/>
  <c r="X1799" i="2"/>
  <c r="X1798" i="2"/>
  <c r="X1797" i="2"/>
  <c r="X1796" i="2"/>
  <c r="X1795" i="2"/>
  <c r="X1794" i="2"/>
  <c r="X1793" i="2"/>
  <c r="X1792" i="2"/>
  <c r="X1791" i="2"/>
  <c r="X1790" i="2"/>
  <c r="X1789" i="2"/>
  <c r="X1788" i="2"/>
  <c r="X1787" i="2"/>
  <c r="X1884" i="2"/>
  <c r="X1883" i="2"/>
  <c r="X1882" i="2"/>
  <c r="X1881" i="2"/>
  <c r="X1880" i="2"/>
  <c r="X1879" i="2"/>
  <c r="X1878" i="2"/>
  <c r="X1877" i="2"/>
  <c r="X1876" i="2"/>
  <c r="X1875" i="2"/>
  <c r="X1874" i="2"/>
  <c r="X1873" i="2"/>
  <c r="X1872" i="2"/>
  <c r="X1871" i="2"/>
  <c r="X1870" i="2"/>
  <c r="X1869" i="2"/>
  <c r="X1868" i="2"/>
  <c r="X1867" i="2"/>
  <c r="X1866" i="2"/>
  <c r="X1865" i="2"/>
  <c r="X1864" i="2"/>
  <c r="X1863" i="2"/>
  <c r="X1862" i="2"/>
  <c r="X1861" i="2"/>
  <c r="X1860" i="2"/>
  <c r="X1859" i="2"/>
  <c r="X1858" i="2"/>
  <c r="X1857" i="2"/>
  <c r="X1856" i="2"/>
  <c r="X1855" i="2"/>
  <c r="X1854" i="2"/>
  <c r="X1853" i="2"/>
  <c r="X1917" i="2"/>
  <c r="X1916" i="2"/>
  <c r="X1915" i="2"/>
  <c r="X1914" i="2"/>
  <c r="X1913" i="2"/>
  <c r="X1912" i="2"/>
  <c r="X1911" i="2"/>
  <c r="X1910" i="2"/>
  <c r="X1909" i="2"/>
  <c r="X1908" i="2"/>
  <c r="X1907" i="2"/>
  <c r="X1906" i="2"/>
  <c r="X1905" i="2"/>
  <c r="X1904" i="2"/>
  <c r="X1903" i="2"/>
  <c r="X1902" i="2"/>
  <c r="X1901" i="2"/>
  <c r="X1900" i="2"/>
  <c r="X1899" i="2"/>
  <c r="X1898" i="2"/>
  <c r="X1897" i="2"/>
  <c r="X1896" i="2"/>
  <c r="X1895" i="2"/>
  <c r="X1894" i="2"/>
  <c r="X1893" i="2"/>
  <c r="X1892" i="2"/>
  <c r="X1891" i="2"/>
  <c r="X1890" i="2"/>
  <c r="X1889" i="2"/>
  <c r="X1888" i="2"/>
  <c r="X1887" i="2"/>
  <c r="X1886" i="2"/>
  <c r="X1950" i="2"/>
  <c r="X1949" i="2"/>
  <c r="X1948" i="2"/>
  <c r="X1947" i="2"/>
  <c r="X1946" i="2"/>
  <c r="X1945" i="2"/>
  <c r="X1944" i="2"/>
  <c r="X1943" i="2"/>
  <c r="X1942" i="2"/>
  <c r="X1941" i="2"/>
  <c r="X1940" i="2"/>
  <c r="X1939" i="2"/>
  <c r="X1938" i="2"/>
  <c r="X1937" i="2"/>
  <c r="X1936" i="2"/>
  <c r="X1935" i="2"/>
  <c r="X1934" i="2"/>
  <c r="X1933" i="2"/>
  <c r="X1932" i="2"/>
  <c r="X1931" i="2"/>
  <c r="X1930" i="2"/>
  <c r="X1929" i="2"/>
  <c r="X1928" i="2"/>
  <c r="X1927" i="2"/>
  <c r="X1926" i="2"/>
  <c r="X1925" i="2"/>
  <c r="X1924" i="2"/>
  <c r="X1923" i="2"/>
  <c r="X1922" i="2"/>
  <c r="X1921" i="2"/>
  <c r="X1920" i="2"/>
  <c r="X1919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2049" i="2"/>
  <c r="X2048" i="2"/>
  <c r="X2047" i="2"/>
  <c r="X2046" i="2"/>
  <c r="X2045" i="2"/>
  <c r="X2044" i="2"/>
  <c r="X2043" i="2"/>
  <c r="X2042" i="2"/>
  <c r="X2041" i="2"/>
  <c r="X2040" i="2"/>
  <c r="X2039" i="2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82" i="2"/>
  <c r="X2081" i="2"/>
  <c r="X2080" i="2"/>
  <c r="X2079" i="2"/>
  <c r="X2078" i="2"/>
  <c r="X2077" i="2"/>
  <c r="X2076" i="2"/>
  <c r="X2075" i="2"/>
  <c r="X2074" i="2"/>
  <c r="X2073" i="2"/>
  <c r="X2072" i="2"/>
  <c r="X2071" i="2"/>
  <c r="X2070" i="2"/>
  <c r="X2069" i="2"/>
  <c r="X2068" i="2"/>
  <c r="X2067" i="2"/>
  <c r="X2066" i="2"/>
  <c r="X2065" i="2"/>
  <c r="X2064" i="2"/>
  <c r="X2063" i="2"/>
  <c r="X2062" i="2"/>
  <c r="X2061" i="2"/>
  <c r="X2060" i="2"/>
  <c r="X2059" i="2"/>
  <c r="X2058" i="2"/>
  <c r="X2057" i="2"/>
  <c r="X2056" i="2"/>
  <c r="X2055" i="2"/>
  <c r="X2054" i="2"/>
  <c r="X2053" i="2"/>
  <c r="X2052" i="2"/>
  <c r="X2051" i="2"/>
  <c r="X2115" i="2"/>
  <c r="X2114" i="2"/>
  <c r="X2113" i="2"/>
  <c r="X2112" i="2"/>
  <c r="X2111" i="2"/>
  <c r="X2110" i="2"/>
  <c r="X2109" i="2"/>
  <c r="X2108" i="2"/>
  <c r="X2107" i="2"/>
  <c r="X2106" i="2"/>
  <c r="X2105" i="2"/>
  <c r="X2104" i="2"/>
  <c r="X2103" i="2"/>
  <c r="X2102" i="2"/>
  <c r="X2101" i="2"/>
  <c r="X2100" i="2"/>
  <c r="X2099" i="2"/>
  <c r="X2098" i="2"/>
  <c r="X2097" i="2"/>
  <c r="X2096" i="2"/>
  <c r="X2095" i="2"/>
  <c r="X2094" i="2"/>
  <c r="X2093" i="2"/>
  <c r="X2092" i="2"/>
  <c r="X2091" i="2"/>
  <c r="X2090" i="2"/>
  <c r="X2089" i="2"/>
  <c r="X2088" i="2"/>
  <c r="X2087" i="2"/>
  <c r="X2086" i="2"/>
  <c r="X2085" i="2"/>
  <c r="X2084" i="2"/>
  <c r="X2148" i="2"/>
  <c r="X2147" i="2"/>
  <c r="X2146" i="2"/>
  <c r="X2145" i="2"/>
  <c r="X2144" i="2"/>
  <c r="X2143" i="2"/>
  <c r="X2142" i="2"/>
  <c r="X2141" i="2"/>
  <c r="X2140" i="2"/>
  <c r="X2139" i="2"/>
  <c r="X2138" i="2"/>
  <c r="X2137" i="2"/>
  <c r="X2136" i="2"/>
  <c r="X2135" i="2"/>
  <c r="X2134" i="2"/>
  <c r="X2133" i="2"/>
  <c r="X2132" i="2"/>
  <c r="X2131" i="2"/>
  <c r="X2130" i="2"/>
  <c r="X2129" i="2"/>
  <c r="X2128" i="2"/>
  <c r="X2127" i="2"/>
  <c r="X2126" i="2"/>
  <c r="X2125" i="2"/>
  <c r="X2124" i="2"/>
  <c r="X2123" i="2"/>
  <c r="X2122" i="2"/>
  <c r="X2121" i="2"/>
  <c r="X2120" i="2"/>
  <c r="X2119" i="2"/>
  <c r="X2118" i="2"/>
  <c r="X2117" i="2"/>
  <c r="X2181" i="2"/>
  <c r="X2180" i="2"/>
  <c r="X2179" i="2"/>
  <c r="X2178" i="2"/>
  <c r="X2177" i="2"/>
  <c r="X2176" i="2"/>
  <c r="X2175" i="2"/>
  <c r="X2174" i="2"/>
  <c r="X2173" i="2"/>
  <c r="X2172" i="2"/>
  <c r="X2171" i="2"/>
  <c r="X2170" i="2"/>
  <c r="X2169" i="2"/>
  <c r="X2168" i="2"/>
  <c r="X2167" i="2"/>
  <c r="X2166" i="2"/>
  <c r="X2165" i="2"/>
  <c r="X2164" i="2"/>
  <c r="X2163" i="2"/>
  <c r="X2162" i="2"/>
  <c r="X2161" i="2"/>
  <c r="X2160" i="2"/>
  <c r="X2159" i="2"/>
  <c r="X2158" i="2"/>
  <c r="X2157" i="2"/>
  <c r="X2156" i="2"/>
  <c r="X2155" i="2"/>
  <c r="X2154" i="2"/>
  <c r="X2153" i="2"/>
  <c r="X2152" i="2"/>
  <c r="X2151" i="2"/>
  <c r="X2150" i="2"/>
  <c r="W1793" i="2"/>
  <c r="W1792" i="2"/>
  <c r="W1791" i="2"/>
  <c r="W1790" i="2"/>
  <c r="W1789" i="2"/>
  <c r="W1788" i="2"/>
  <c r="W1787" i="2"/>
  <c r="X1852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X1885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X1918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X1951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X1984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X2017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X2050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X2083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X2116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X2149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R1152" i="2"/>
  <c r="R1145" i="2"/>
  <c r="R1137" i="2"/>
  <c r="R1129" i="2"/>
  <c r="R1185" i="2"/>
  <c r="R1178" i="2"/>
  <c r="R1170" i="2"/>
  <c r="R1161" i="2"/>
  <c r="R1218" i="2"/>
  <c r="R1211" i="2"/>
  <c r="R1203" i="2"/>
  <c r="R1194" i="2"/>
  <c r="R1227" i="2"/>
  <c r="R1285" i="2"/>
  <c r="R1278" i="2"/>
  <c r="R1270" i="2"/>
  <c r="R1262" i="2"/>
  <c r="R1318" i="2"/>
  <c r="R1310" i="2"/>
  <c r="R1302" i="2"/>
  <c r="R1293" i="2"/>
  <c r="R1353" i="2"/>
  <c r="R1345" i="2"/>
  <c r="R1337" i="2"/>
  <c r="R1332" i="2"/>
  <c r="R1389" i="2"/>
  <c r="R1382" i="2"/>
  <c r="R1374" i="2"/>
  <c r="R1366" i="2"/>
  <c r="R1358" i="2"/>
  <c r="R1415" i="2"/>
  <c r="R1406" i="2"/>
  <c r="R1399" i="2"/>
  <c r="R1391" i="2"/>
  <c r="R1447" i="2"/>
  <c r="R1440" i="2"/>
  <c r="R1432" i="2"/>
  <c r="R1424" i="2"/>
  <c r="R1519" i="2"/>
  <c r="R1511" i="2"/>
  <c r="R1497" i="2"/>
  <c r="R1491" i="2"/>
  <c r="R1548" i="2"/>
  <c r="R1541" i="2"/>
  <c r="R1534" i="2"/>
  <c r="R1527" i="2"/>
  <c r="R1585" i="2"/>
  <c r="R1580" i="2"/>
  <c r="R1573" i="2"/>
  <c r="R1566" i="2"/>
  <c r="R1558" i="2"/>
  <c r="R1616" i="2"/>
  <c r="R1610" i="2"/>
  <c r="R1603" i="2"/>
  <c r="R1594" i="2"/>
  <c r="R1652" i="2"/>
  <c r="R1645" i="2"/>
  <c r="R1638" i="2"/>
  <c r="R1634" i="2"/>
  <c r="R1630" i="2"/>
  <c r="R1622" i="2"/>
  <c r="R1682" i="2"/>
  <c r="R1675" i="2"/>
  <c r="R1666" i="2"/>
  <c r="R1658" i="2"/>
  <c r="R1719" i="2"/>
  <c r="R1711" i="2"/>
  <c r="R1704" i="2"/>
  <c r="R1698" i="2"/>
  <c r="R1690" i="2"/>
  <c r="R1748" i="2"/>
  <c r="R1742" i="2"/>
  <c r="R1735" i="2"/>
  <c r="R1727" i="2"/>
  <c r="R1785" i="2"/>
  <c r="R1778" i="2"/>
  <c r="R1771" i="2"/>
  <c r="R1764" i="2"/>
  <c r="R1756" i="2"/>
  <c r="R1815" i="2"/>
  <c r="R1808" i="2"/>
  <c r="R1802" i="2"/>
  <c r="R1793" i="2"/>
  <c r="R1869" i="2"/>
  <c r="Q1220" i="2"/>
  <c r="Q1232" i="2"/>
  <c r="Q1228" i="2"/>
  <c r="Q1506" i="2"/>
  <c r="Q1498" i="2"/>
  <c r="R1687" i="2"/>
  <c r="R1753" i="2"/>
  <c r="R1153" i="2"/>
  <c r="R1144" i="2"/>
  <c r="R1136" i="2"/>
  <c r="R1128" i="2"/>
  <c r="R1186" i="2"/>
  <c r="R1177" i="2"/>
  <c r="R1169" i="2"/>
  <c r="R1162" i="2"/>
  <c r="R1219" i="2"/>
  <c r="R1210" i="2"/>
  <c r="R1202" i="2"/>
  <c r="R1195" i="2"/>
  <c r="R1251" i="2"/>
  <c r="R1243" i="2"/>
  <c r="R1235" i="2"/>
  <c r="R1286" i="2"/>
  <c r="R1279" i="2"/>
  <c r="R1271" i="2"/>
  <c r="R1261" i="2"/>
  <c r="R1317" i="2"/>
  <c r="R1309" i="2"/>
  <c r="R1301" i="2"/>
  <c r="R1294" i="2"/>
  <c r="R1351" i="2"/>
  <c r="R1344" i="2"/>
  <c r="R1336" i="2"/>
  <c r="R1333" i="2"/>
  <c r="R1325" i="2"/>
  <c r="R1381" i="2"/>
  <c r="R1373" i="2"/>
  <c r="R1365" i="2"/>
  <c r="R1422" i="2"/>
  <c r="R1414" i="2"/>
  <c r="R1407" i="2"/>
  <c r="R1398" i="2"/>
  <c r="R1455" i="2"/>
  <c r="R1448" i="2"/>
  <c r="R1439" i="2"/>
  <c r="R1433" i="2"/>
  <c r="R1426" i="2"/>
  <c r="R1512" i="2"/>
  <c r="R1504" i="2"/>
  <c r="R1490" i="2"/>
  <c r="R1549" i="2"/>
  <c r="R1542" i="2"/>
  <c r="R1535" i="2"/>
  <c r="R1528" i="2"/>
  <c r="R1586" i="2"/>
  <c r="R1579" i="2"/>
  <c r="R1572" i="2"/>
  <c r="R1565" i="2"/>
  <c r="R1559" i="2"/>
  <c r="R1617" i="2"/>
  <c r="R1609" i="2"/>
  <c r="R1601" i="2"/>
  <c r="R1595" i="2"/>
  <c r="R1653" i="2"/>
  <c r="R1646" i="2"/>
  <c r="R1639" i="2"/>
  <c r="R1636" i="2"/>
  <c r="R1629" i="2"/>
  <c r="R1624" i="2"/>
  <c r="R1681" i="2"/>
  <c r="R1674" i="2"/>
  <c r="R1665" i="2"/>
  <c r="R1659" i="2"/>
  <c r="R1716" i="2"/>
  <c r="R1710" i="2"/>
  <c r="R1705" i="2"/>
  <c r="R1697" i="2"/>
  <c r="R1689" i="2"/>
  <c r="R1749" i="2"/>
  <c r="R1741" i="2"/>
  <c r="R1734" i="2"/>
  <c r="R1728" i="2"/>
  <c r="R1721" i="2"/>
  <c r="R1779" i="2"/>
  <c r="R1772" i="2"/>
  <c r="R1763" i="2"/>
  <c r="R1757" i="2"/>
  <c r="R1814" i="2"/>
  <c r="R1807" i="2"/>
  <c r="R1801" i="2"/>
  <c r="R1794" i="2"/>
  <c r="R1873" i="2"/>
  <c r="Q1252" i="2"/>
  <c r="R1258" i="2"/>
  <c r="R1154" i="2"/>
  <c r="R1147" i="2"/>
  <c r="R1139" i="2"/>
  <c r="R1131" i="2"/>
  <c r="R1187" i="2"/>
  <c r="R1179" i="2"/>
  <c r="R1171" i="2"/>
  <c r="R1164" i="2"/>
  <c r="R1221" i="2"/>
  <c r="R1213" i="2"/>
  <c r="R1204" i="2"/>
  <c r="R1197" i="2"/>
  <c r="R1253" i="2"/>
  <c r="R1245" i="2"/>
  <c r="R1237" i="2"/>
  <c r="R1230" i="2"/>
  <c r="R1287" i="2"/>
  <c r="R1277" i="2"/>
  <c r="R1268" i="2"/>
  <c r="R1260" i="2"/>
  <c r="R1319" i="2"/>
  <c r="R1312" i="2"/>
  <c r="R1304" i="2"/>
  <c r="R1296" i="2"/>
  <c r="R1350" i="2"/>
  <c r="R1342" i="2"/>
  <c r="R1335" i="2"/>
  <c r="R1326" i="2"/>
  <c r="R1384" i="2"/>
  <c r="R1376" i="2"/>
  <c r="R1368" i="2"/>
  <c r="R1360" i="2"/>
  <c r="R1416" i="2"/>
  <c r="R1408" i="2"/>
  <c r="R1400" i="2"/>
  <c r="R1397" i="2"/>
  <c r="R1454" i="2"/>
  <c r="R1446" i="2"/>
  <c r="R1438" i="2"/>
  <c r="R1425" i="2"/>
  <c r="R1513" i="2"/>
  <c r="R1503" i="2"/>
  <c r="R1496" i="2"/>
  <c r="R1554" i="2"/>
  <c r="R1547" i="2"/>
  <c r="R1540" i="2"/>
  <c r="R1531" i="2"/>
  <c r="R1523" i="2"/>
  <c r="R1578" i="2"/>
  <c r="R1571" i="2"/>
  <c r="R1564" i="2"/>
  <c r="R1557" i="2"/>
  <c r="R1615" i="2"/>
  <c r="R1608" i="2"/>
  <c r="R1602" i="2"/>
  <c r="R1597" i="2"/>
  <c r="R1591" i="2"/>
  <c r="R1647" i="2"/>
  <c r="R1640" i="2"/>
  <c r="R1633" i="2"/>
  <c r="R1623" i="2"/>
  <c r="R1678" i="2"/>
  <c r="R1671" i="2"/>
  <c r="R1664" i="2"/>
  <c r="R1657" i="2"/>
  <c r="R1713" i="2"/>
  <c r="R1706" i="2"/>
  <c r="R1699" i="2"/>
  <c r="R1692" i="2"/>
  <c r="R1752" i="2"/>
  <c r="R1745" i="2"/>
  <c r="R1738" i="2"/>
  <c r="R1731" i="2"/>
  <c r="R1724" i="2"/>
  <c r="R1782" i="2"/>
  <c r="R1775" i="2"/>
  <c r="R1769" i="2"/>
  <c r="R1761" i="2"/>
  <c r="R1755" i="2"/>
  <c r="R1812" i="2"/>
  <c r="R1805" i="2"/>
  <c r="R1798" i="2"/>
  <c r="R1866" i="2"/>
  <c r="Q1248" i="2"/>
  <c r="R1291" i="2"/>
  <c r="Q1518" i="2"/>
  <c r="R1522" i="2"/>
  <c r="R1786" i="2"/>
  <c r="R1918" i="2"/>
  <c r="R1150" i="2"/>
  <c r="R1143" i="2"/>
  <c r="R1135" i="2"/>
  <c r="R1127" i="2"/>
  <c r="R1183" i="2"/>
  <c r="R1175" i="2"/>
  <c r="R1168" i="2"/>
  <c r="R1160" i="2"/>
  <c r="R1217" i="2"/>
  <c r="R1209" i="2"/>
  <c r="R1200" i="2"/>
  <c r="R1193" i="2"/>
  <c r="R1249" i="2"/>
  <c r="R1242" i="2"/>
  <c r="R1234" i="2"/>
  <c r="R1290" i="2"/>
  <c r="R1283" i="2"/>
  <c r="R1274" i="2"/>
  <c r="R1266" i="2"/>
  <c r="R1322" i="2"/>
  <c r="R1315" i="2"/>
  <c r="R1306" i="2"/>
  <c r="R1298" i="2"/>
  <c r="R1355" i="2"/>
  <c r="R1347" i="2"/>
  <c r="R1338" i="2"/>
  <c r="R1330" i="2"/>
  <c r="R1387" i="2"/>
  <c r="R1379" i="2"/>
  <c r="R1372" i="2"/>
  <c r="R1363" i="2"/>
  <c r="R1418" i="2"/>
  <c r="R1410" i="2"/>
  <c r="R1402" i="2"/>
  <c r="R1394" i="2"/>
  <c r="R1451" i="2"/>
  <c r="R1445" i="2"/>
  <c r="R1437" i="2"/>
  <c r="R1427" i="2"/>
  <c r="R1516" i="2"/>
  <c r="R1509" i="2"/>
  <c r="R1502" i="2"/>
  <c r="R1495" i="2"/>
  <c r="R1550" i="2"/>
  <c r="R1544" i="2"/>
  <c r="R1537" i="2"/>
  <c r="R1530" i="2"/>
  <c r="R1524" i="2"/>
  <c r="R1582" i="2"/>
  <c r="R1575" i="2"/>
  <c r="R1568" i="2"/>
  <c r="R1563" i="2"/>
  <c r="R1556" i="2"/>
  <c r="R1614" i="2"/>
  <c r="R1606" i="2"/>
  <c r="R1600" i="2"/>
  <c r="R1593" i="2"/>
  <c r="R1650" i="2"/>
  <c r="R1642" i="2"/>
  <c r="R1632" i="2"/>
  <c r="R1625" i="2"/>
  <c r="R1684" i="2"/>
  <c r="R1677" i="2"/>
  <c r="R1670" i="2"/>
  <c r="R1662" i="2"/>
  <c r="R1656" i="2"/>
  <c r="R1714" i="2"/>
  <c r="R1708" i="2"/>
  <c r="R1700" i="2"/>
  <c r="R1693" i="2"/>
  <c r="R1750" i="2"/>
  <c r="R1743" i="2"/>
  <c r="R1737" i="2"/>
  <c r="R1730" i="2"/>
  <c r="R1722" i="2"/>
  <c r="R1780" i="2"/>
  <c r="R1774" i="2"/>
  <c r="R1767" i="2"/>
  <c r="R1760" i="2"/>
  <c r="R1817" i="2"/>
  <c r="R1811" i="2"/>
  <c r="R1804" i="2"/>
  <c r="R1795" i="2"/>
  <c r="R1871" i="2"/>
  <c r="R1159" i="2"/>
  <c r="R1357" i="2"/>
  <c r="R1555" i="2"/>
  <c r="R1852" i="2"/>
  <c r="R1149" i="2"/>
  <c r="R1141" i="2"/>
  <c r="R1133" i="2"/>
  <c r="R1190" i="2"/>
  <c r="R1182" i="2"/>
  <c r="R1174" i="2"/>
  <c r="R1166" i="2"/>
  <c r="R1222" i="2"/>
  <c r="R1214" i="2"/>
  <c r="R1207" i="2"/>
  <c r="R1199" i="2"/>
  <c r="R1246" i="2"/>
  <c r="R1239" i="2"/>
  <c r="R1289" i="2"/>
  <c r="R1280" i="2"/>
  <c r="R1273" i="2"/>
  <c r="R1265" i="2"/>
  <c r="R1323" i="2"/>
  <c r="R1314" i="2"/>
  <c r="R1308" i="2"/>
  <c r="R1300" i="2"/>
  <c r="R1292" i="2"/>
  <c r="R1349" i="2"/>
  <c r="R1341" i="2"/>
  <c r="R1328" i="2"/>
  <c r="R1385" i="2"/>
  <c r="R1378" i="2"/>
  <c r="R1370" i="2"/>
  <c r="R1364" i="2"/>
  <c r="R1420" i="2"/>
  <c r="R1413" i="2"/>
  <c r="R1405" i="2"/>
  <c r="R1396" i="2"/>
  <c r="R1453" i="2"/>
  <c r="R1443" i="2"/>
  <c r="R1435" i="2"/>
  <c r="R1429" i="2"/>
  <c r="R1521" i="2"/>
  <c r="R1515" i="2"/>
  <c r="R1508" i="2"/>
  <c r="R1501" i="2"/>
  <c r="R1494" i="2"/>
  <c r="R1553" i="2"/>
  <c r="R1546" i="2"/>
  <c r="R1539" i="2"/>
  <c r="R1533" i="2"/>
  <c r="R1526" i="2"/>
  <c r="R1584" i="2"/>
  <c r="R1577" i="2"/>
  <c r="R1570" i="2"/>
  <c r="R1562" i="2"/>
  <c r="R1619" i="2"/>
  <c r="R1612" i="2"/>
  <c r="R1605" i="2"/>
  <c r="R1598" i="2"/>
  <c r="R1590" i="2"/>
  <c r="R1649" i="2"/>
  <c r="R1644" i="2"/>
  <c r="R1637" i="2"/>
  <c r="R1628" i="2"/>
  <c r="R1686" i="2"/>
  <c r="R1680" i="2"/>
  <c r="R1673" i="2"/>
  <c r="R1668" i="2"/>
  <c r="R1661" i="2"/>
  <c r="R1718" i="2"/>
  <c r="R1712" i="2"/>
  <c r="R1703" i="2"/>
  <c r="R1696" i="2"/>
  <c r="R1688" i="2"/>
  <c r="R1747" i="2"/>
  <c r="R1740" i="2"/>
  <c r="R1732" i="2"/>
  <c r="R1725" i="2"/>
  <c r="R1783" i="2"/>
  <c r="R1776" i="2"/>
  <c r="R1768" i="2"/>
  <c r="R1762" i="2"/>
  <c r="R1754" i="2"/>
  <c r="R1813" i="2"/>
  <c r="R1806" i="2"/>
  <c r="R1800" i="2"/>
  <c r="R1799" i="2"/>
  <c r="R1791" i="2"/>
  <c r="R1790" i="2"/>
  <c r="R1789" i="2"/>
  <c r="R1788" i="2"/>
  <c r="R1787" i="2"/>
  <c r="R1884" i="2"/>
  <c r="R1883" i="2"/>
  <c r="R1882" i="2"/>
  <c r="R1881" i="2"/>
  <c r="R1880" i="2"/>
  <c r="R1879" i="2"/>
  <c r="R1878" i="2"/>
  <c r="R1877" i="2"/>
  <c r="R1876" i="2"/>
  <c r="R1875" i="2"/>
  <c r="R1874" i="2"/>
  <c r="R1872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1148" i="2"/>
  <c r="R1140" i="2"/>
  <c r="R1132" i="2"/>
  <c r="R1189" i="2"/>
  <c r="R1181" i="2"/>
  <c r="R1173" i="2"/>
  <c r="R1165" i="2"/>
  <c r="R1215" i="2"/>
  <c r="R1206" i="2"/>
  <c r="R1198" i="2"/>
  <c r="R1255" i="2"/>
  <c r="R1247" i="2"/>
  <c r="R1238" i="2"/>
  <c r="R1231" i="2"/>
  <c r="R1288" i="2"/>
  <c r="R1281" i="2"/>
  <c r="R1272" i="2"/>
  <c r="R1264" i="2"/>
  <c r="R1321" i="2"/>
  <c r="R1313" i="2"/>
  <c r="R1305" i="2"/>
  <c r="R1299" i="2"/>
  <c r="R1356" i="2"/>
  <c r="R1348" i="2"/>
  <c r="R1340" i="2"/>
  <c r="R1329" i="2"/>
  <c r="R1386" i="2"/>
  <c r="R1377" i="2"/>
  <c r="R1369" i="2"/>
  <c r="R1361" i="2"/>
  <c r="R1421" i="2"/>
  <c r="R1412" i="2"/>
  <c r="R1404" i="2"/>
  <c r="R1395" i="2"/>
  <c r="R1450" i="2"/>
  <c r="R1442" i="2"/>
  <c r="R1434" i="2"/>
  <c r="R1428" i="2"/>
  <c r="R1520" i="2"/>
  <c r="R1514" i="2"/>
  <c r="R1507" i="2"/>
  <c r="R1500" i="2"/>
  <c r="R1493" i="2"/>
  <c r="R1552" i="2"/>
  <c r="R1545" i="2"/>
  <c r="R1538" i="2"/>
  <c r="R1532" i="2"/>
  <c r="R1525" i="2"/>
  <c r="R1583" i="2"/>
  <c r="R1576" i="2"/>
  <c r="R1569" i="2"/>
  <c r="R1561" i="2"/>
  <c r="R1618" i="2"/>
  <c r="R1611" i="2"/>
  <c r="R1604" i="2"/>
  <c r="R1596" i="2"/>
  <c r="R1589" i="2"/>
  <c r="R1648" i="2"/>
  <c r="R1643" i="2"/>
  <c r="R1635" i="2"/>
  <c r="R1627" i="2"/>
  <c r="R1685" i="2"/>
  <c r="R1679" i="2"/>
  <c r="R1672" i="2"/>
  <c r="R1667" i="2"/>
  <c r="R1660" i="2"/>
  <c r="R1717" i="2"/>
  <c r="R1709" i="2"/>
  <c r="R1702" i="2"/>
  <c r="R1695" i="2"/>
  <c r="R1691" i="2"/>
  <c r="R1746" i="2"/>
  <c r="R1739" i="2"/>
  <c r="R1733" i="2"/>
  <c r="R1726" i="2"/>
  <c r="R1784" i="2"/>
  <c r="R1777" i="2"/>
  <c r="R1770" i="2"/>
  <c r="R1765" i="2"/>
  <c r="R1758" i="2"/>
  <c r="R1816" i="2"/>
  <c r="R1809" i="2"/>
  <c r="R1792" i="2"/>
  <c r="R1870" i="2"/>
  <c r="R1225" i="2"/>
  <c r="Q1244" i="2"/>
  <c r="R1423" i="2"/>
  <c r="R1489" i="2"/>
  <c r="R1621" i="2"/>
  <c r="R1885" i="2"/>
  <c r="R1951" i="2"/>
  <c r="R1984" i="2"/>
  <c r="R2017" i="2"/>
  <c r="R2050" i="2"/>
  <c r="R2083" i="2"/>
  <c r="R2116" i="2"/>
  <c r="R2149" i="2"/>
  <c r="R1155" i="2"/>
  <c r="R1146" i="2"/>
  <c r="R1138" i="2"/>
  <c r="R1130" i="2"/>
  <c r="R1188" i="2"/>
  <c r="R1180" i="2"/>
  <c r="R1172" i="2"/>
  <c r="R1163" i="2"/>
  <c r="R1212" i="2"/>
  <c r="R1205" i="2"/>
  <c r="R1196" i="2"/>
  <c r="R1254" i="2"/>
  <c r="R1229" i="2"/>
  <c r="R1284" i="2"/>
  <c r="R1276" i="2"/>
  <c r="R1269" i="2"/>
  <c r="R1263" i="2"/>
  <c r="R1320" i="2"/>
  <c r="R1311" i="2"/>
  <c r="R1303" i="2"/>
  <c r="R1295" i="2"/>
  <c r="R1352" i="2"/>
  <c r="R1343" i="2"/>
  <c r="R1334" i="2"/>
  <c r="R1327" i="2"/>
  <c r="R1383" i="2"/>
  <c r="R1375" i="2"/>
  <c r="R1367" i="2"/>
  <c r="R1359" i="2"/>
  <c r="R1417" i="2"/>
  <c r="R1409" i="2"/>
  <c r="R1401" i="2"/>
  <c r="R1392" i="2"/>
  <c r="R1449" i="2"/>
  <c r="R1441" i="2"/>
  <c r="R1431" i="2"/>
  <c r="R1797" i="2"/>
  <c r="R1867" i="2"/>
  <c r="R1192" i="2"/>
  <c r="Q1240" i="2"/>
  <c r="Q1510" i="2"/>
  <c r="R1588" i="2"/>
  <c r="R1151" i="2"/>
  <c r="R1142" i="2"/>
  <c r="R1134" i="2"/>
  <c r="R1191" i="2"/>
  <c r="R1184" i="2"/>
  <c r="R1176" i="2"/>
  <c r="R1167" i="2"/>
  <c r="R1223" i="2"/>
  <c r="R1208" i="2"/>
  <c r="R1201" i="2"/>
  <c r="R1257" i="2"/>
  <c r="R1250" i="2"/>
  <c r="R1241" i="2"/>
  <c r="R1233" i="2"/>
  <c r="R1226" i="2"/>
  <c r="R1282" i="2"/>
  <c r="R1275" i="2"/>
  <c r="R1267" i="2"/>
  <c r="R1259" i="2"/>
  <c r="R1316" i="2"/>
  <c r="R1307" i="2"/>
  <c r="R1297" i="2"/>
  <c r="R1354" i="2"/>
  <c r="R1346" i="2"/>
  <c r="R1339" i="2"/>
  <c r="R1331" i="2"/>
  <c r="R1388" i="2"/>
  <c r="R1380" i="2"/>
  <c r="R1371" i="2"/>
  <c r="R1362" i="2"/>
  <c r="R1419" i="2"/>
  <c r="R1411" i="2"/>
  <c r="R1403" i="2"/>
  <c r="R1393" i="2"/>
  <c r="R1452" i="2"/>
  <c r="R1444" i="2"/>
  <c r="R1436" i="2"/>
  <c r="R1430" i="2"/>
  <c r="R1517" i="2"/>
  <c r="R1505" i="2"/>
  <c r="R1499" i="2"/>
  <c r="R1492" i="2"/>
  <c r="R1551" i="2"/>
  <c r="R1543" i="2"/>
  <c r="R1536" i="2"/>
  <c r="R1529" i="2"/>
  <c r="R1587" i="2"/>
  <c r="R1581" i="2"/>
  <c r="R1574" i="2"/>
  <c r="R1567" i="2"/>
  <c r="R1560" i="2"/>
  <c r="R1620" i="2"/>
  <c r="R1613" i="2"/>
  <c r="R1607" i="2"/>
  <c r="R1599" i="2"/>
  <c r="R1592" i="2"/>
  <c r="R1651" i="2"/>
  <c r="R1641" i="2"/>
  <c r="R1631" i="2"/>
  <c r="R1626" i="2"/>
  <c r="R1683" i="2"/>
  <c r="R1676" i="2"/>
  <c r="R1669" i="2"/>
  <c r="R1663" i="2"/>
  <c r="R1655" i="2"/>
  <c r="R1715" i="2"/>
  <c r="R1707" i="2"/>
  <c r="R1701" i="2"/>
  <c r="R1694" i="2"/>
  <c r="R1751" i="2"/>
  <c r="R1744" i="2"/>
  <c r="R1736" i="2"/>
  <c r="R1729" i="2"/>
  <c r="R1723" i="2"/>
  <c r="R1781" i="2"/>
  <c r="R1773" i="2"/>
  <c r="R1766" i="2"/>
  <c r="R1759" i="2"/>
  <c r="R1818" i="2"/>
  <c r="R1810" i="2"/>
  <c r="R1803" i="2"/>
  <c r="R1796" i="2"/>
  <c r="R1868" i="2"/>
  <c r="Q1224" i="2"/>
  <c r="Q1216" i="2"/>
  <c r="Q1256" i="2"/>
  <c r="Q1236" i="2"/>
  <c r="R1324" i="2"/>
  <c r="R1390" i="2"/>
  <c r="R1654" i="2"/>
  <c r="R1720" i="2"/>
  <c r="D22" i="2"/>
  <c r="H22" i="2"/>
  <c r="K22" i="2"/>
  <c r="F22" i="2"/>
  <c r="J22" i="2"/>
  <c r="I22" i="2"/>
  <c r="E22" i="2"/>
  <c r="G22" i="2"/>
  <c r="D32" i="2"/>
  <c r="H32" i="2"/>
  <c r="K32" i="2"/>
  <c r="F32" i="2"/>
  <c r="J32" i="2"/>
  <c r="E32" i="2"/>
  <c r="G32" i="2"/>
  <c r="I32" i="2"/>
  <c r="D16" i="2"/>
  <c r="H16" i="2"/>
  <c r="K16" i="2"/>
  <c r="F16" i="2"/>
  <c r="J16" i="2"/>
  <c r="E16" i="2"/>
  <c r="G16" i="2"/>
  <c r="I16" i="2"/>
  <c r="F31" i="2"/>
  <c r="J31" i="2"/>
  <c r="D31" i="2"/>
  <c r="H31" i="2"/>
  <c r="K31" i="2"/>
  <c r="G31" i="2"/>
  <c r="I31" i="2"/>
  <c r="E31" i="2"/>
  <c r="F15" i="2"/>
  <c r="J15" i="2"/>
  <c r="D15" i="2"/>
  <c r="H15" i="2"/>
  <c r="K15" i="2"/>
  <c r="G15" i="2"/>
  <c r="I15" i="2"/>
  <c r="E15" i="2"/>
  <c r="D30" i="2"/>
  <c r="H30" i="2"/>
  <c r="K30" i="2"/>
  <c r="F30" i="2"/>
  <c r="J30" i="2"/>
  <c r="I30" i="2"/>
  <c r="E30" i="2"/>
  <c r="G30" i="2"/>
  <c r="D14" i="2"/>
  <c r="H14" i="2"/>
  <c r="K14" i="2"/>
  <c r="F14" i="2"/>
  <c r="J14" i="2"/>
  <c r="I14" i="2"/>
  <c r="E14" i="2"/>
  <c r="G14" i="2"/>
  <c r="F29" i="2"/>
  <c r="J29" i="2"/>
  <c r="D29" i="2"/>
  <c r="H29" i="2"/>
  <c r="K29" i="2"/>
  <c r="E29" i="2"/>
  <c r="G29" i="2"/>
  <c r="I29" i="2"/>
  <c r="F13" i="2"/>
  <c r="J13" i="2"/>
  <c r="D13" i="2"/>
  <c r="H13" i="2"/>
  <c r="K13" i="2"/>
  <c r="E13" i="2"/>
  <c r="G13" i="2"/>
  <c r="I13" i="2"/>
  <c r="D28" i="2"/>
  <c r="H28" i="2"/>
  <c r="K28" i="2"/>
  <c r="F28" i="2"/>
  <c r="J28" i="2"/>
  <c r="E28" i="2"/>
  <c r="G28" i="2"/>
  <c r="I28" i="2"/>
  <c r="D12" i="2"/>
  <c r="H12" i="2"/>
  <c r="K12" i="2"/>
  <c r="F12" i="2"/>
  <c r="J12" i="2"/>
  <c r="E12" i="2"/>
  <c r="G12" i="2"/>
  <c r="I12" i="2"/>
  <c r="F27" i="2"/>
  <c r="J27" i="2"/>
  <c r="D27" i="2"/>
  <c r="H27" i="2"/>
  <c r="K27" i="2"/>
  <c r="G27" i="2"/>
  <c r="I27" i="2"/>
  <c r="E27" i="2"/>
  <c r="F11" i="2"/>
  <c r="J11" i="2"/>
  <c r="D11" i="2"/>
  <c r="H11" i="2"/>
  <c r="K11" i="2"/>
  <c r="G11" i="2"/>
  <c r="I11" i="2"/>
  <c r="E11" i="2"/>
  <c r="D26" i="2"/>
  <c r="H26" i="2"/>
  <c r="K26" i="2"/>
  <c r="F26" i="2"/>
  <c r="J26" i="2"/>
  <c r="I26" i="2"/>
  <c r="E26" i="2"/>
  <c r="G26" i="2"/>
  <c r="D10" i="2"/>
  <c r="H10" i="2"/>
  <c r="K10" i="2"/>
  <c r="F10" i="2"/>
  <c r="J10" i="2"/>
  <c r="I10" i="2"/>
  <c r="E10" i="2"/>
  <c r="G10" i="2"/>
  <c r="F25" i="2"/>
  <c r="J25" i="2"/>
  <c r="D25" i="2"/>
  <c r="H25" i="2"/>
  <c r="K25" i="2"/>
  <c r="E25" i="2"/>
  <c r="G25" i="2"/>
  <c r="I25" i="2"/>
  <c r="F9" i="2"/>
  <c r="J9" i="2"/>
  <c r="D9" i="2"/>
  <c r="H9" i="2"/>
  <c r="K9" i="2"/>
  <c r="E9" i="2"/>
  <c r="G9" i="2"/>
  <c r="I9" i="2"/>
  <c r="D24" i="2"/>
  <c r="H24" i="2"/>
  <c r="K24" i="2"/>
  <c r="F24" i="2"/>
  <c r="J24" i="2"/>
  <c r="E24" i="2"/>
  <c r="G24" i="2"/>
  <c r="I24" i="2"/>
  <c r="D8" i="2"/>
  <c r="H8" i="2"/>
  <c r="K8" i="2"/>
  <c r="F8" i="2"/>
  <c r="J8" i="2"/>
  <c r="E8" i="2"/>
  <c r="G8" i="2"/>
  <c r="I8" i="2"/>
  <c r="F23" i="2"/>
  <c r="J23" i="2"/>
  <c r="D23" i="2"/>
  <c r="H23" i="2"/>
  <c r="K23" i="2"/>
  <c r="G23" i="2"/>
  <c r="I23" i="2"/>
  <c r="E23" i="2"/>
  <c r="F7" i="2"/>
  <c r="J7" i="2"/>
  <c r="D7" i="2"/>
  <c r="H7" i="2"/>
  <c r="K7" i="2"/>
  <c r="G7" i="2"/>
  <c r="I7" i="2"/>
  <c r="E7" i="2"/>
  <c r="D6" i="2"/>
  <c r="H6" i="2"/>
  <c r="K6" i="2"/>
  <c r="F6" i="2"/>
  <c r="J6" i="2"/>
  <c r="I6" i="2"/>
  <c r="E6" i="2"/>
  <c r="G6" i="2"/>
  <c r="F21" i="2"/>
  <c r="J21" i="2"/>
  <c r="D21" i="2"/>
  <c r="H21" i="2"/>
  <c r="K21" i="2"/>
  <c r="E21" i="2"/>
  <c r="G21" i="2"/>
  <c r="I21" i="2"/>
  <c r="F5" i="2"/>
  <c r="J5" i="2"/>
  <c r="D5" i="2"/>
  <c r="H5" i="2"/>
  <c r="K5" i="2"/>
  <c r="E5" i="2"/>
  <c r="G5" i="2"/>
  <c r="I5" i="2"/>
  <c r="D36" i="2"/>
  <c r="H36" i="2"/>
  <c r="K36" i="2"/>
  <c r="F36" i="2"/>
  <c r="J36" i="2"/>
  <c r="E36" i="2"/>
  <c r="G36" i="2"/>
  <c r="I36" i="2"/>
  <c r="D20" i="2"/>
  <c r="H20" i="2"/>
  <c r="K20" i="2"/>
  <c r="F20" i="2"/>
  <c r="J20" i="2"/>
  <c r="E20" i="2"/>
  <c r="G20" i="2"/>
  <c r="I20" i="2"/>
  <c r="F35" i="2"/>
  <c r="J35" i="2"/>
  <c r="D35" i="2"/>
  <c r="H35" i="2"/>
  <c r="K35" i="2"/>
  <c r="G35" i="2"/>
  <c r="I35" i="2"/>
  <c r="E35" i="2"/>
  <c r="F19" i="2"/>
  <c r="J19" i="2"/>
  <c r="D19" i="2"/>
  <c r="H19" i="2"/>
  <c r="K19" i="2"/>
  <c r="G19" i="2"/>
  <c r="I19" i="2"/>
  <c r="E19" i="2"/>
  <c r="D34" i="2"/>
  <c r="H34" i="2"/>
  <c r="K34" i="2"/>
  <c r="F34" i="2"/>
  <c r="J34" i="2"/>
  <c r="I34" i="2"/>
  <c r="E34" i="2"/>
  <c r="G34" i="2"/>
  <c r="D18" i="2"/>
  <c r="H18" i="2"/>
  <c r="K18" i="2"/>
  <c r="F18" i="2"/>
  <c r="J18" i="2"/>
  <c r="I18" i="2"/>
  <c r="E18" i="2"/>
  <c r="G18" i="2"/>
  <c r="F33" i="2"/>
  <c r="J33" i="2"/>
  <c r="D33" i="2"/>
  <c r="H33" i="2"/>
  <c r="K33" i="2"/>
  <c r="E33" i="2"/>
  <c r="G33" i="2"/>
  <c r="I33" i="2"/>
  <c r="F17" i="2"/>
  <c r="J17" i="2"/>
  <c r="D17" i="2"/>
  <c r="H17" i="2"/>
  <c r="K17" i="2"/>
  <c r="E17" i="2"/>
  <c r="G17" i="2"/>
  <c r="I17" i="2"/>
  <c r="D4" i="2"/>
  <c r="H4" i="2"/>
  <c r="K4" i="2"/>
  <c r="E4" i="2"/>
  <c r="I4" i="2"/>
  <c r="F4" i="2"/>
  <c r="J4" i="2"/>
  <c r="G4" i="2"/>
  <c r="AA3" i="3"/>
  <c r="Z3" i="3"/>
  <c r="Y3" i="3"/>
  <c r="X3" i="3"/>
  <c r="W3" i="3"/>
  <c r="V3" i="3"/>
  <c r="U3" i="3"/>
  <c r="T4" i="3"/>
  <c r="T3" i="3"/>
  <c r="AA35" i="3"/>
  <c r="AA34" i="3"/>
  <c r="AA33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A15" i="3"/>
  <c r="AA14" i="3"/>
  <c r="AA13" i="3"/>
  <c r="AA12" i="3"/>
  <c r="AA11" i="3"/>
  <c r="AA10" i="3"/>
  <c r="AA9" i="3"/>
  <c r="AA8" i="3"/>
  <c r="AA7" i="3"/>
  <c r="AA6" i="3"/>
  <c r="AA5" i="3"/>
  <c r="AA4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U35" i="3"/>
  <c r="U34" i="3"/>
  <c r="U33" i="3"/>
  <c r="U32" i="3"/>
  <c r="U31" i="3"/>
  <c r="U30" i="3"/>
  <c r="U29" i="3"/>
  <c r="U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U7" i="3"/>
  <c r="U6" i="3"/>
  <c r="U5" i="3"/>
  <c r="U4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514" i="3"/>
  <c r="U514" i="3"/>
  <c r="V514" i="3"/>
  <c r="W514" i="3"/>
  <c r="X514" i="3"/>
  <c r="Y514" i="3"/>
  <c r="Z514" i="3"/>
  <c r="AA514" i="3"/>
  <c r="T515" i="3"/>
  <c r="U515" i="3"/>
  <c r="V515" i="3"/>
  <c r="W515" i="3"/>
  <c r="X515" i="3"/>
  <c r="Y515" i="3"/>
  <c r="Z515" i="3"/>
  <c r="AA515" i="3"/>
  <c r="T516" i="3"/>
  <c r="U516" i="3"/>
  <c r="V516" i="3"/>
  <c r="W516" i="3"/>
  <c r="X516" i="3"/>
  <c r="Y516" i="3"/>
  <c r="Z516" i="3"/>
  <c r="AA516" i="3"/>
  <c r="T517" i="3"/>
  <c r="U517" i="3"/>
  <c r="V517" i="3"/>
  <c r="W517" i="3"/>
  <c r="X517" i="3"/>
  <c r="Y517" i="3"/>
  <c r="Z517" i="3"/>
  <c r="AA517" i="3"/>
  <c r="T518" i="3"/>
  <c r="U518" i="3"/>
  <c r="V518" i="3"/>
  <c r="W518" i="3"/>
  <c r="X518" i="3"/>
  <c r="Y518" i="3"/>
  <c r="Z518" i="3"/>
  <c r="AA518" i="3"/>
  <c r="T519" i="3"/>
  <c r="U519" i="3"/>
  <c r="V519" i="3"/>
  <c r="W519" i="3"/>
  <c r="X519" i="3"/>
  <c r="Y519" i="3"/>
  <c r="Z519" i="3"/>
  <c r="AA519" i="3"/>
  <c r="T520" i="3"/>
  <c r="U520" i="3"/>
  <c r="V520" i="3"/>
  <c r="W520" i="3"/>
  <c r="X520" i="3"/>
  <c r="Y520" i="3"/>
  <c r="Z520" i="3"/>
  <c r="AA520" i="3"/>
  <c r="T521" i="3"/>
  <c r="U521" i="3"/>
  <c r="V521" i="3"/>
  <c r="W521" i="3"/>
  <c r="X521" i="3"/>
  <c r="Y521" i="3"/>
  <c r="Z521" i="3"/>
  <c r="AA521" i="3"/>
  <c r="T522" i="3"/>
  <c r="U522" i="3"/>
  <c r="V522" i="3"/>
  <c r="W522" i="3"/>
  <c r="X522" i="3"/>
  <c r="Y522" i="3"/>
  <c r="Z522" i="3"/>
  <c r="AA522" i="3"/>
  <c r="T523" i="3"/>
  <c r="U523" i="3"/>
  <c r="V523" i="3"/>
  <c r="W523" i="3"/>
  <c r="X523" i="3"/>
  <c r="Y523" i="3"/>
  <c r="Z523" i="3"/>
  <c r="AA523" i="3"/>
  <c r="T524" i="3"/>
  <c r="U524" i="3"/>
  <c r="V524" i="3"/>
  <c r="W524" i="3"/>
  <c r="X524" i="3"/>
  <c r="Y524" i="3"/>
  <c r="Z524" i="3"/>
  <c r="AA524" i="3"/>
  <c r="T525" i="3"/>
  <c r="U525" i="3"/>
  <c r="V525" i="3"/>
  <c r="W525" i="3"/>
  <c r="X525" i="3"/>
  <c r="Y525" i="3"/>
  <c r="Z525" i="3"/>
  <c r="AA525" i="3"/>
  <c r="T526" i="3"/>
  <c r="U526" i="3"/>
  <c r="V526" i="3"/>
  <c r="W526" i="3"/>
  <c r="X526" i="3"/>
  <c r="Y526" i="3"/>
  <c r="Z526" i="3"/>
  <c r="AA526" i="3"/>
  <c r="T527" i="3"/>
  <c r="U527" i="3"/>
  <c r="V527" i="3"/>
  <c r="W527" i="3"/>
  <c r="X527" i="3"/>
  <c r="Y527" i="3"/>
  <c r="Z527" i="3"/>
  <c r="AA527" i="3"/>
  <c r="T528" i="3"/>
  <c r="U528" i="3"/>
  <c r="V528" i="3"/>
  <c r="W528" i="3"/>
  <c r="X528" i="3"/>
  <c r="Y528" i="3"/>
  <c r="Z528" i="3"/>
  <c r="AA528" i="3"/>
  <c r="T529" i="3"/>
  <c r="U529" i="3"/>
  <c r="V529" i="3"/>
  <c r="W529" i="3"/>
  <c r="X529" i="3"/>
  <c r="Y529" i="3"/>
  <c r="Z529" i="3"/>
  <c r="AA529" i="3"/>
  <c r="T530" i="3"/>
  <c r="U530" i="3"/>
  <c r="V530" i="3"/>
  <c r="W530" i="3"/>
  <c r="X530" i="3"/>
  <c r="Y530" i="3"/>
  <c r="Z530" i="3"/>
  <c r="AA530" i="3"/>
  <c r="T531" i="3"/>
  <c r="U531" i="3"/>
  <c r="V531" i="3"/>
  <c r="W531" i="3"/>
  <c r="X531" i="3"/>
  <c r="Y531" i="3"/>
  <c r="Z531" i="3"/>
  <c r="AA531" i="3"/>
  <c r="T532" i="3"/>
  <c r="U532" i="3"/>
  <c r="V532" i="3"/>
  <c r="W532" i="3"/>
  <c r="X532" i="3"/>
  <c r="Y532" i="3"/>
  <c r="Z532" i="3"/>
  <c r="AA532" i="3"/>
  <c r="T533" i="3"/>
  <c r="U533" i="3"/>
  <c r="V533" i="3"/>
  <c r="W533" i="3"/>
  <c r="X533" i="3"/>
  <c r="Y533" i="3"/>
  <c r="Z533" i="3"/>
  <c r="AA533" i="3"/>
  <c r="T534" i="3"/>
  <c r="U534" i="3"/>
  <c r="V534" i="3"/>
  <c r="W534" i="3"/>
  <c r="X534" i="3"/>
  <c r="Y534" i="3"/>
  <c r="Z534" i="3"/>
  <c r="AA534" i="3"/>
  <c r="T535" i="3"/>
  <c r="U535" i="3"/>
  <c r="V535" i="3"/>
  <c r="W535" i="3"/>
  <c r="X535" i="3"/>
  <c r="Y535" i="3"/>
  <c r="Z535" i="3"/>
  <c r="AA535" i="3"/>
  <c r="T536" i="3"/>
  <c r="U536" i="3"/>
  <c r="V536" i="3"/>
  <c r="W536" i="3"/>
  <c r="X536" i="3"/>
  <c r="Y536" i="3"/>
  <c r="Z536" i="3"/>
  <c r="AA536" i="3"/>
  <c r="T537" i="3"/>
  <c r="U537" i="3"/>
  <c r="V537" i="3"/>
  <c r="W537" i="3"/>
  <c r="X537" i="3"/>
  <c r="Y537" i="3"/>
  <c r="Z537" i="3"/>
  <c r="AA537" i="3"/>
  <c r="T538" i="3"/>
  <c r="U538" i="3"/>
  <c r="V538" i="3"/>
  <c r="W538" i="3"/>
  <c r="X538" i="3"/>
  <c r="Y538" i="3"/>
  <c r="Z538" i="3"/>
  <c r="AA538" i="3"/>
  <c r="T539" i="3"/>
  <c r="U539" i="3"/>
  <c r="V539" i="3"/>
  <c r="W539" i="3"/>
  <c r="X539" i="3"/>
  <c r="Y539" i="3"/>
  <c r="Z539" i="3"/>
  <c r="AA539" i="3"/>
  <c r="T540" i="3"/>
  <c r="U540" i="3"/>
  <c r="V540" i="3"/>
  <c r="W540" i="3"/>
  <c r="X540" i="3"/>
  <c r="Y540" i="3"/>
  <c r="Z540" i="3"/>
  <c r="AA540" i="3"/>
  <c r="T541" i="3"/>
  <c r="U541" i="3"/>
  <c r="V541" i="3"/>
  <c r="W541" i="3"/>
  <c r="X541" i="3"/>
  <c r="Y541" i="3"/>
  <c r="Z541" i="3"/>
  <c r="AA541" i="3"/>
  <c r="T542" i="3"/>
  <c r="U542" i="3"/>
  <c r="V542" i="3"/>
  <c r="W542" i="3"/>
  <c r="X542" i="3"/>
  <c r="Y542" i="3"/>
  <c r="Z542" i="3"/>
  <c r="AA542" i="3"/>
  <c r="T543" i="3"/>
  <c r="U543" i="3"/>
  <c r="V543" i="3"/>
  <c r="W543" i="3"/>
  <c r="X543" i="3"/>
  <c r="Y543" i="3"/>
  <c r="Z543" i="3"/>
  <c r="AA543" i="3"/>
  <c r="T544" i="3"/>
  <c r="U544" i="3"/>
  <c r="V544" i="3"/>
  <c r="W544" i="3"/>
  <c r="X544" i="3"/>
  <c r="Y544" i="3"/>
  <c r="Z544" i="3"/>
  <c r="AA544" i="3"/>
  <c r="T545" i="3"/>
  <c r="U545" i="3"/>
  <c r="V545" i="3"/>
  <c r="W545" i="3"/>
  <c r="X545" i="3"/>
  <c r="Y545" i="3"/>
  <c r="Z545" i="3"/>
  <c r="AA545" i="3"/>
  <c r="U513" i="3"/>
  <c r="V513" i="3"/>
  <c r="W513" i="3"/>
  <c r="X513" i="3"/>
  <c r="Y513" i="3"/>
  <c r="Z513" i="3"/>
  <c r="AA513" i="3"/>
  <c r="T513" i="3"/>
  <c r="T480" i="3"/>
  <c r="U480" i="3"/>
  <c r="V480" i="3"/>
  <c r="W480" i="3"/>
  <c r="X480" i="3"/>
  <c r="Y480" i="3"/>
  <c r="Z480" i="3"/>
  <c r="AA480" i="3"/>
  <c r="T481" i="3"/>
  <c r="U481" i="3"/>
  <c r="V481" i="3"/>
  <c r="W481" i="3"/>
  <c r="X481" i="3"/>
  <c r="Y481" i="3"/>
  <c r="Z481" i="3"/>
  <c r="AA481" i="3"/>
  <c r="T482" i="3"/>
  <c r="U482" i="3"/>
  <c r="V482" i="3"/>
  <c r="W482" i="3"/>
  <c r="X482" i="3"/>
  <c r="Y482" i="3"/>
  <c r="Z482" i="3"/>
  <c r="AA482" i="3"/>
  <c r="T483" i="3"/>
  <c r="U483" i="3"/>
  <c r="V483" i="3"/>
  <c r="W483" i="3"/>
  <c r="X483" i="3"/>
  <c r="Y483" i="3"/>
  <c r="Z483" i="3"/>
  <c r="AA483" i="3"/>
  <c r="T484" i="3"/>
  <c r="U484" i="3"/>
  <c r="V484" i="3"/>
  <c r="W484" i="3"/>
  <c r="X484" i="3"/>
  <c r="Y484" i="3"/>
  <c r="Z484" i="3"/>
  <c r="AA484" i="3"/>
  <c r="T485" i="3"/>
  <c r="U485" i="3"/>
  <c r="V485" i="3"/>
  <c r="W485" i="3"/>
  <c r="X485" i="3"/>
  <c r="Y485" i="3"/>
  <c r="Z485" i="3"/>
  <c r="AA485" i="3"/>
  <c r="T486" i="3"/>
  <c r="U486" i="3"/>
  <c r="V486" i="3"/>
  <c r="W486" i="3"/>
  <c r="X486" i="3"/>
  <c r="Y486" i="3"/>
  <c r="Z486" i="3"/>
  <c r="AA486" i="3"/>
  <c r="T487" i="3"/>
  <c r="U487" i="3"/>
  <c r="V487" i="3"/>
  <c r="W487" i="3"/>
  <c r="X487" i="3"/>
  <c r="Y487" i="3"/>
  <c r="Z487" i="3"/>
  <c r="AA487" i="3"/>
  <c r="T488" i="3"/>
  <c r="U488" i="3"/>
  <c r="V488" i="3"/>
  <c r="W488" i="3"/>
  <c r="X488" i="3"/>
  <c r="Y488" i="3"/>
  <c r="Z488" i="3"/>
  <c r="AA488" i="3"/>
  <c r="T489" i="3"/>
  <c r="U489" i="3"/>
  <c r="V489" i="3"/>
  <c r="W489" i="3"/>
  <c r="X489" i="3"/>
  <c r="Y489" i="3"/>
  <c r="Z489" i="3"/>
  <c r="AA489" i="3"/>
  <c r="T490" i="3"/>
  <c r="U490" i="3"/>
  <c r="V490" i="3"/>
  <c r="W490" i="3"/>
  <c r="X490" i="3"/>
  <c r="Y490" i="3"/>
  <c r="Z490" i="3"/>
  <c r="AA490" i="3"/>
  <c r="T491" i="3"/>
  <c r="U491" i="3"/>
  <c r="V491" i="3"/>
  <c r="W491" i="3"/>
  <c r="X491" i="3"/>
  <c r="Y491" i="3"/>
  <c r="Z491" i="3"/>
  <c r="AA491" i="3"/>
  <c r="T492" i="3"/>
  <c r="U492" i="3"/>
  <c r="V492" i="3"/>
  <c r="W492" i="3"/>
  <c r="X492" i="3"/>
  <c r="Y492" i="3"/>
  <c r="Z492" i="3"/>
  <c r="AA492" i="3"/>
  <c r="T493" i="3"/>
  <c r="U493" i="3"/>
  <c r="V493" i="3"/>
  <c r="W493" i="3"/>
  <c r="X493" i="3"/>
  <c r="Y493" i="3"/>
  <c r="Z493" i="3"/>
  <c r="AA493" i="3"/>
  <c r="T494" i="3"/>
  <c r="U494" i="3"/>
  <c r="V494" i="3"/>
  <c r="W494" i="3"/>
  <c r="X494" i="3"/>
  <c r="Y494" i="3"/>
  <c r="Z494" i="3"/>
  <c r="AA494" i="3"/>
  <c r="T495" i="3"/>
  <c r="U495" i="3"/>
  <c r="V495" i="3"/>
  <c r="W495" i="3"/>
  <c r="X495" i="3"/>
  <c r="Y495" i="3"/>
  <c r="Z495" i="3"/>
  <c r="AA495" i="3"/>
  <c r="T496" i="3"/>
  <c r="U496" i="3"/>
  <c r="V496" i="3"/>
  <c r="W496" i="3"/>
  <c r="X496" i="3"/>
  <c r="Y496" i="3"/>
  <c r="Z496" i="3"/>
  <c r="AA496" i="3"/>
  <c r="T497" i="3"/>
  <c r="U497" i="3"/>
  <c r="V497" i="3"/>
  <c r="W497" i="3"/>
  <c r="X497" i="3"/>
  <c r="Y497" i="3"/>
  <c r="Z497" i="3"/>
  <c r="AA497" i="3"/>
  <c r="T498" i="3"/>
  <c r="U498" i="3"/>
  <c r="V498" i="3"/>
  <c r="W498" i="3"/>
  <c r="X498" i="3"/>
  <c r="Y498" i="3"/>
  <c r="Z498" i="3"/>
  <c r="AA498" i="3"/>
  <c r="T499" i="3"/>
  <c r="U499" i="3"/>
  <c r="V499" i="3"/>
  <c r="W499" i="3"/>
  <c r="X499" i="3"/>
  <c r="Y499" i="3"/>
  <c r="Z499" i="3"/>
  <c r="AA499" i="3"/>
  <c r="T500" i="3"/>
  <c r="U500" i="3"/>
  <c r="V500" i="3"/>
  <c r="W500" i="3"/>
  <c r="X500" i="3"/>
  <c r="Y500" i="3"/>
  <c r="Z500" i="3"/>
  <c r="AA500" i="3"/>
  <c r="T501" i="3"/>
  <c r="U501" i="3"/>
  <c r="V501" i="3"/>
  <c r="W501" i="3"/>
  <c r="X501" i="3"/>
  <c r="Y501" i="3"/>
  <c r="Z501" i="3"/>
  <c r="AA501" i="3"/>
  <c r="T502" i="3"/>
  <c r="U502" i="3"/>
  <c r="V502" i="3"/>
  <c r="W502" i="3"/>
  <c r="X502" i="3"/>
  <c r="Y502" i="3"/>
  <c r="Z502" i="3"/>
  <c r="AA502" i="3"/>
  <c r="T503" i="3"/>
  <c r="U503" i="3"/>
  <c r="V503" i="3"/>
  <c r="W503" i="3"/>
  <c r="X503" i="3"/>
  <c r="Y503" i="3"/>
  <c r="Z503" i="3"/>
  <c r="AA503" i="3"/>
  <c r="T504" i="3"/>
  <c r="U504" i="3"/>
  <c r="V504" i="3"/>
  <c r="W504" i="3"/>
  <c r="X504" i="3"/>
  <c r="Y504" i="3"/>
  <c r="Z504" i="3"/>
  <c r="AA504" i="3"/>
  <c r="T505" i="3"/>
  <c r="U505" i="3"/>
  <c r="V505" i="3"/>
  <c r="W505" i="3"/>
  <c r="X505" i="3"/>
  <c r="Y505" i="3"/>
  <c r="Z505" i="3"/>
  <c r="AA505" i="3"/>
  <c r="T506" i="3"/>
  <c r="U506" i="3"/>
  <c r="V506" i="3"/>
  <c r="W506" i="3"/>
  <c r="X506" i="3"/>
  <c r="Y506" i="3"/>
  <c r="Z506" i="3"/>
  <c r="AA506" i="3"/>
  <c r="T507" i="3"/>
  <c r="U507" i="3"/>
  <c r="V507" i="3"/>
  <c r="W507" i="3"/>
  <c r="X507" i="3"/>
  <c r="Y507" i="3"/>
  <c r="Z507" i="3"/>
  <c r="AA507" i="3"/>
  <c r="T508" i="3"/>
  <c r="U508" i="3"/>
  <c r="V508" i="3"/>
  <c r="W508" i="3"/>
  <c r="X508" i="3"/>
  <c r="Y508" i="3"/>
  <c r="Z508" i="3"/>
  <c r="AA508" i="3"/>
  <c r="T509" i="3"/>
  <c r="U509" i="3"/>
  <c r="V509" i="3"/>
  <c r="W509" i="3"/>
  <c r="X509" i="3"/>
  <c r="Y509" i="3"/>
  <c r="Z509" i="3"/>
  <c r="AA509" i="3"/>
  <c r="T510" i="3"/>
  <c r="U510" i="3"/>
  <c r="V510" i="3"/>
  <c r="W510" i="3"/>
  <c r="X510" i="3"/>
  <c r="Y510" i="3"/>
  <c r="Z510" i="3"/>
  <c r="AA510" i="3"/>
  <c r="T511" i="3"/>
  <c r="U511" i="3"/>
  <c r="V511" i="3"/>
  <c r="W511" i="3"/>
  <c r="X511" i="3"/>
  <c r="Y511" i="3"/>
  <c r="Z511" i="3"/>
  <c r="AA511" i="3"/>
  <c r="U479" i="3"/>
  <c r="V479" i="3"/>
  <c r="W479" i="3"/>
  <c r="X479" i="3"/>
  <c r="Y479" i="3"/>
  <c r="Z479" i="3"/>
  <c r="AA479" i="3"/>
  <c r="T479" i="3"/>
  <c r="T446" i="3"/>
  <c r="U446" i="3"/>
  <c r="V446" i="3"/>
  <c r="W446" i="3"/>
  <c r="X446" i="3"/>
  <c r="Y446" i="3"/>
  <c r="Z446" i="3"/>
  <c r="AA446" i="3"/>
  <c r="T447" i="3"/>
  <c r="U447" i="3"/>
  <c r="V447" i="3"/>
  <c r="W447" i="3"/>
  <c r="X447" i="3"/>
  <c r="Y447" i="3"/>
  <c r="Z447" i="3"/>
  <c r="AA447" i="3"/>
  <c r="T448" i="3"/>
  <c r="U448" i="3"/>
  <c r="V448" i="3"/>
  <c r="W448" i="3"/>
  <c r="X448" i="3"/>
  <c r="Y448" i="3"/>
  <c r="Z448" i="3"/>
  <c r="AA448" i="3"/>
  <c r="T449" i="3"/>
  <c r="U449" i="3"/>
  <c r="V449" i="3"/>
  <c r="W449" i="3"/>
  <c r="X449" i="3"/>
  <c r="Y449" i="3"/>
  <c r="Z449" i="3"/>
  <c r="AA449" i="3"/>
  <c r="T450" i="3"/>
  <c r="U450" i="3"/>
  <c r="V450" i="3"/>
  <c r="W450" i="3"/>
  <c r="X450" i="3"/>
  <c r="Y450" i="3"/>
  <c r="Z450" i="3"/>
  <c r="AA450" i="3"/>
  <c r="T451" i="3"/>
  <c r="U451" i="3"/>
  <c r="V451" i="3"/>
  <c r="W451" i="3"/>
  <c r="X451" i="3"/>
  <c r="Y451" i="3"/>
  <c r="Z451" i="3"/>
  <c r="AA451" i="3"/>
  <c r="T452" i="3"/>
  <c r="U452" i="3"/>
  <c r="V452" i="3"/>
  <c r="W452" i="3"/>
  <c r="X452" i="3"/>
  <c r="Y452" i="3"/>
  <c r="Z452" i="3"/>
  <c r="AA452" i="3"/>
  <c r="T453" i="3"/>
  <c r="U453" i="3"/>
  <c r="V453" i="3"/>
  <c r="W453" i="3"/>
  <c r="X453" i="3"/>
  <c r="Y453" i="3"/>
  <c r="Z453" i="3"/>
  <c r="AA453" i="3"/>
  <c r="T454" i="3"/>
  <c r="U454" i="3"/>
  <c r="V454" i="3"/>
  <c r="W454" i="3"/>
  <c r="X454" i="3"/>
  <c r="Y454" i="3"/>
  <c r="Z454" i="3"/>
  <c r="AA454" i="3"/>
  <c r="T455" i="3"/>
  <c r="U455" i="3"/>
  <c r="V455" i="3"/>
  <c r="W455" i="3"/>
  <c r="X455" i="3"/>
  <c r="Y455" i="3"/>
  <c r="Z455" i="3"/>
  <c r="AA455" i="3"/>
  <c r="T456" i="3"/>
  <c r="U456" i="3"/>
  <c r="V456" i="3"/>
  <c r="W456" i="3"/>
  <c r="X456" i="3"/>
  <c r="Y456" i="3"/>
  <c r="Z456" i="3"/>
  <c r="AA456" i="3"/>
  <c r="T457" i="3"/>
  <c r="U457" i="3"/>
  <c r="V457" i="3"/>
  <c r="W457" i="3"/>
  <c r="X457" i="3"/>
  <c r="Y457" i="3"/>
  <c r="Z457" i="3"/>
  <c r="AA457" i="3"/>
  <c r="T458" i="3"/>
  <c r="U458" i="3"/>
  <c r="V458" i="3"/>
  <c r="W458" i="3"/>
  <c r="X458" i="3"/>
  <c r="Y458" i="3"/>
  <c r="Z458" i="3"/>
  <c r="AA458" i="3"/>
  <c r="T459" i="3"/>
  <c r="U459" i="3"/>
  <c r="V459" i="3"/>
  <c r="W459" i="3"/>
  <c r="X459" i="3"/>
  <c r="Y459" i="3"/>
  <c r="Z459" i="3"/>
  <c r="AA459" i="3"/>
  <c r="T460" i="3"/>
  <c r="U460" i="3"/>
  <c r="V460" i="3"/>
  <c r="W460" i="3"/>
  <c r="X460" i="3"/>
  <c r="Y460" i="3"/>
  <c r="Z460" i="3"/>
  <c r="AA460" i="3"/>
  <c r="T461" i="3"/>
  <c r="U461" i="3"/>
  <c r="V461" i="3"/>
  <c r="W461" i="3"/>
  <c r="X461" i="3"/>
  <c r="Y461" i="3"/>
  <c r="Z461" i="3"/>
  <c r="AA461" i="3"/>
  <c r="T462" i="3"/>
  <c r="U462" i="3"/>
  <c r="V462" i="3"/>
  <c r="W462" i="3"/>
  <c r="X462" i="3"/>
  <c r="Y462" i="3"/>
  <c r="Z462" i="3"/>
  <c r="AA462" i="3"/>
  <c r="T463" i="3"/>
  <c r="U463" i="3"/>
  <c r="V463" i="3"/>
  <c r="W463" i="3"/>
  <c r="X463" i="3"/>
  <c r="Y463" i="3"/>
  <c r="Z463" i="3"/>
  <c r="AA463" i="3"/>
  <c r="T464" i="3"/>
  <c r="U464" i="3"/>
  <c r="V464" i="3"/>
  <c r="W464" i="3"/>
  <c r="X464" i="3"/>
  <c r="Y464" i="3"/>
  <c r="Z464" i="3"/>
  <c r="AA464" i="3"/>
  <c r="T465" i="3"/>
  <c r="U465" i="3"/>
  <c r="V465" i="3"/>
  <c r="W465" i="3"/>
  <c r="X465" i="3"/>
  <c r="Y465" i="3"/>
  <c r="Z465" i="3"/>
  <c r="AA465" i="3"/>
  <c r="T466" i="3"/>
  <c r="U466" i="3"/>
  <c r="V466" i="3"/>
  <c r="W466" i="3"/>
  <c r="X466" i="3"/>
  <c r="Y466" i="3"/>
  <c r="Z466" i="3"/>
  <c r="AA466" i="3"/>
  <c r="T467" i="3"/>
  <c r="U467" i="3"/>
  <c r="V467" i="3"/>
  <c r="W467" i="3"/>
  <c r="X467" i="3"/>
  <c r="Y467" i="3"/>
  <c r="Z467" i="3"/>
  <c r="AA467" i="3"/>
  <c r="T468" i="3"/>
  <c r="U468" i="3"/>
  <c r="V468" i="3"/>
  <c r="W468" i="3"/>
  <c r="X468" i="3"/>
  <c r="Y468" i="3"/>
  <c r="Z468" i="3"/>
  <c r="AA468" i="3"/>
  <c r="T469" i="3"/>
  <c r="U469" i="3"/>
  <c r="V469" i="3"/>
  <c r="W469" i="3"/>
  <c r="X469" i="3"/>
  <c r="Y469" i="3"/>
  <c r="Z469" i="3"/>
  <c r="AA469" i="3"/>
  <c r="T470" i="3"/>
  <c r="U470" i="3"/>
  <c r="V470" i="3"/>
  <c r="W470" i="3"/>
  <c r="X470" i="3"/>
  <c r="Y470" i="3"/>
  <c r="Z470" i="3"/>
  <c r="AA470" i="3"/>
  <c r="T471" i="3"/>
  <c r="U471" i="3"/>
  <c r="V471" i="3"/>
  <c r="W471" i="3"/>
  <c r="X471" i="3"/>
  <c r="Y471" i="3"/>
  <c r="Z471" i="3"/>
  <c r="AA471" i="3"/>
  <c r="T472" i="3"/>
  <c r="U472" i="3"/>
  <c r="V472" i="3"/>
  <c r="W472" i="3"/>
  <c r="X472" i="3"/>
  <c r="Y472" i="3"/>
  <c r="Z472" i="3"/>
  <c r="AA472" i="3"/>
  <c r="T473" i="3"/>
  <c r="U473" i="3"/>
  <c r="V473" i="3"/>
  <c r="W473" i="3"/>
  <c r="X473" i="3"/>
  <c r="Y473" i="3"/>
  <c r="Z473" i="3"/>
  <c r="AA473" i="3"/>
  <c r="T474" i="3"/>
  <c r="U474" i="3"/>
  <c r="V474" i="3"/>
  <c r="W474" i="3"/>
  <c r="X474" i="3"/>
  <c r="Y474" i="3"/>
  <c r="Z474" i="3"/>
  <c r="AA474" i="3"/>
  <c r="T475" i="3"/>
  <c r="U475" i="3"/>
  <c r="V475" i="3"/>
  <c r="W475" i="3"/>
  <c r="X475" i="3"/>
  <c r="Y475" i="3"/>
  <c r="Z475" i="3"/>
  <c r="AA475" i="3"/>
  <c r="T476" i="3"/>
  <c r="U476" i="3"/>
  <c r="V476" i="3"/>
  <c r="W476" i="3"/>
  <c r="X476" i="3"/>
  <c r="Y476" i="3"/>
  <c r="Z476" i="3"/>
  <c r="AA476" i="3"/>
  <c r="T477" i="3"/>
  <c r="U477" i="3"/>
  <c r="V477" i="3"/>
  <c r="W477" i="3"/>
  <c r="X477" i="3"/>
  <c r="Y477" i="3"/>
  <c r="Z477" i="3"/>
  <c r="AA477" i="3"/>
  <c r="U445" i="3"/>
  <c r="V445" i="3"/>
  <c r="W445" i="3"/>
  <c r="X445" i="3"/>
  <c r="Y445" i="3"/>
  <c r="Z445" i="3"/>
  <c r="AA445" i="3"/>
  <c r="T445" i="3"/>
  <c r="T412" i="3"/>
  <c r="U412" i="3"/>
  <c r="V412" i="3"/>
  <c r="W412" i="3"/>
  <c r="X412" i="3"/>
  <c r="Y412" i="3"/>
  <c r="Z412" i="3"/>
  <c r="AA412" i="3"/>
  <c r="T413" i="3"/>
  <c r="U413" i="3"/>
  <c r="V413" i="3"/>
  <c r="W413" i="3"/>
  <c r="X413" i="3"/>
  <c r="Y413" i="3"/>
  <c r="Z413" i="3"/>
  <c r="AA413" i="3"/>
  <c r="T414" i="3"/>
  <c r="U414" i="3"/>
  <c r="V414" i="3"/>
  <c r="W414" i="3"/>
  <c r="X414" i="3"/>
  <c r="Y414" i="3"/>
  <c r="Z414" i="3"/>
  <c r="AA414" i="3"/>
  <c r="T415" i="3"/>
  <c r="U415" i="3"/>
  <c r="V415" i="3"/>
  <c r="W415" i="3"/>
  <c r="X415" i="3"/>
  <c r="Y415" i="3"/>
  <c r="Z415" i="3"/>
  <c r="AA415" i="3"/>
  <c r="T416" i="3"/>
  <c r="U416" i="3"/>
  <c r="V416" i="3"/>
  <c r="W416" i="3"/>
  <c r="X416" i="3"/>
  <c r="Y416" i="3"/>
  <c r="Z416" i="3"/>
  <c r="AA416" i="3"/>
  <c r="T417" i="3"/>
  <c r="U417" i="3"/>
  <c r="V417" i="3"/>
  <c r="W417" i="3"/>
  <c r="X417" i="3"/>
  <c r="Y417" i="3"/>
  <c r="Z417" i="3"/>
  <c r="AA417" i="3"/>
  <c r="T418" i="3"/>
  <c r="U418" i="3"/>
  <c r="V418" i="3"/>
  <c r="W418" i="3"/>
  <c r="X418" i="3"/>
  <c r="Y418" i="3"/>
  <c r="Z418" i="3"/>
  <c r="AA418" i="3"/>
  <c r="T419" i="3"/>
  <c r="U419" i="3"/>
  <c r="V419" i="3"/>
  <c r="W419" i="3"/>
  <c r="X419" i="3"/>
  <c r="Y419" i="3"/>
  <c r="Z419" i="3"/>
  <c r="AA419" i="3"/>
  <c r="T420" i="3"/>
  <c r="U420" i="3"/>
  <c r="V420" i="3"/>
  <c r="W420" i="3"/>
  <c r="X420" i="3"/>
  <c r="Y420" i="3"/>
  <c r="Z420" i="3"/>
  <c r="AA420" i="3"/>
  <c r="T421" i="3"/>
  <c r="U421" i="3"/>
  <c r="V421" i="3"/>
  <c r="W421" i="3"/>
  <c r="X421" i="3"/>
  <c r="Y421" i="3"/>
  <c r="Z421" i="3"/>
  <c r="AA421" i="3"/>
  <c r="T422" i="3"/>
  <c r="U422" i="3"/>
  <c r="V422" i="3"/>
  <c r="W422" i="3"/>
  <c r="X422" i="3"/>
  <c r="Y422" i="3"/>
  <c r="Z422" i="3"/>
  <c r="AA422" i="3"/>
  <c r="T423" i="3"/>
  <c r="U423" i="3"/>
  <c r="V423" i="3"/>
  <c r="W423" i="3"/>
  <c r="X423" i="3"/>
  <c r="Y423" i="3"/>
  <c r="Z423" i="3"/>
  <c r="AA423" i="3"/>
  <c r="T424" i="3"/>
  <c r="U424" i="3"/>
  <c r="V424" i="3"/>
  <c r="W424" i="3"/>
  <c r="X424" i="3"/>
  <c r="Y424" i="3"/>
  <c r="Z424" i="3"/>
  <c r="AA424" i="3"/>
  <c r="T425" i="3"/>
  <c r="U425" i="3"/>
  <c r="V425" i="3"/>
  <c r="W425" i="3"/>
  <c r="X425" i="3"/>
  <c r="Y425" i="3"/>
  <c r="Z425" i="3"/>
  <c r="AA425" i="3"/>
  <c r="T426" i="3"/>
  <c r="U426" i="3"/>
  <c r="V426" i="3"/>
  <c r="W426" i="3"/>
  <c r="X426" i="3"/>
  <c r="Y426" i="3"/>
  <c r="Z426" i="3"/>
  <c r="AA426" i="3"/>
  <c r="T427" i="3"/>
  <c r="U427" i="3"/>
  <c r="V427" i="3"/>
  <c r="W427" i="3"/>
  <c r="X427" i="3"/>
  <c r="Y427" i="3"/>
  <c r="Z427" i="3"/>
  <c r="AA427" i="3"/>
  <c r="T428" i="3"/>
  <c r="U428" i="3"/>
  <c r="V428" i="3"/>
  <c r="W428" i="3"/>
  <c r="X428" i="3"/>
  <c r="Y428" i="3"/>
  <c r="Z428" i="3"/>
  <c r="AA428" i="3"/>
  <c r="T429" i="3"/>
  <c r="U429" i="3"/>
  <c r="V429" i="3"/>
  <c r="W429" i="3"/>
  <c r="X429" i="3"/>
  <c r="Y429" i="3"/>
  <c r="Z429" i="3"/>
  <c r="AA429" i="3"/>
  <c r="T430" i="3"/>
  <c r="U430" i="3"/>
  <c r="V430" i="3"/>
  <c r="W430" i="3"/>
  <c r="X430" i="3"/>
  <c r="Y430" i="3"/>
  <c r="Z430" i="3"/>
  <c r="AA430" i="3"/>
  <c r="T431" i="3"/>
  <c r="U431" i="3"/>
  <c r="V431" i="3"/>
  <c r="W431" i="3"/>
  <c r="X431" i="3"/>
  <c r="Y431" i="3"/>
  <c r="Z431" i="3"/>
  <c r="AA431" i="3"/>
  <c r="T432" i="3"/>
  <c r="U432" i="3"/>
  <c r="V432" i="3"/>
  <c r="W432" i="3"/>
  <c r="X432" i="3"/>
  <c r="Y432" i="3"/>
  <c r="Z432" i="3"/>
  <c r="AA432" i="3"/>
  <c r="T433" i="3"/>
  <c r="U433" i="3"/>
  <c r="V433" i="3"/>
  <c r="W433" i="3"/>
  <c r="X433" i="3"/>
  <c r="Y433" i="3"/>
  <c r="Z433" i="3"/>
  <c r="AA433" i="3"/>
  <c r="T434" i="3"/>
  <c r="U434" i="3"/>
  <c r="V434" i="3"/>
  <c r="W434" i="3"/>
  <c r="X434" i="3"/>
  <c r="Y434" i="3"/>
  <c r="Z434" i="3"/>
  <c r="AA434" i="3"/>
  <c r="T435" i="3"/>
  <c r="U435" i="3"/>
  <c r="V435" i="3"/>
  <c r="W435" i="3"/>
  <c r="X435" i="3"/>
  <c r="Y435" i="3"/>
  <c r="Z435" i="3"/>
  <c r="AA435" i="3"/>
  <c r="T436" i="3"/>
  <c r="U436" i="3"/>
  <c r="V436" i="3"/>
  <c r="W436" i="3"/>
  <c r="X436" i="3"/>
  <c r="Y436" i="3"/>
  <c r="Z436" i="3"/>
  <c r="AA436" i="3"/>
  <c r="T437" i="3"/>
  <c r="U437" i="3"/>
  <c r="V437" i="3"/>
  <c r="W437" i="3"/>
  <c r="X437" i="3"/>
  <c r="Y437" i="3"/>
  <c r="Z437" i="3"/>
  <c r="AA437" i="3"/>
  <c r="T438" i="3"/>
  <c r="U438" i="3"/>
  <c r="V438" i="3"/>
  <c r="W438" i="3"/>
  <c r="X438" i="3"/>
  <c r="Y438" i="3"/>
  <c r="Z438" i="3"/>
  <c r="AA438" i="3"/>
  <c r="T439" i="3"/>
  <c r="U439" i="3"/>
  <c r="V439" i="3"/>
  <c r="W439" i="3"/>
  <c r="X439" i="3"/>
  <c r="Y439" i="3"/>
  <c r="Z439" i="3"/>
  <c r="AA439" i="3"/>
  <c r="T440" i="3"/>
  <c r="U440" i="3"/>
  <c r="V440" i="3"/>
  <c r="W440" i="3"/>
  <c r="X440" i="3"/>
  <c r="Y440" i="3"/>
  <c r="Z440" i="3"/>
  <c r="AA440" i="3"/>
  <c r="T441" i="3"/>
  <c r="U441" i="3"/>
  <c r="V441" i="3"/>
  <c r="W441" i="3"/>
  <c r="X441" i="3"/>
  <c r="Y441" i="3"/>
  <c r="Z441" i="3"/>
  <c r="AA441" i="3"/>
  <c r="T442" i="3"/>
  <c r="U442" i="3"/>
  <c r="V442" i="3"/>
  <c r="W442" i="3"/>
  <c r="X442" i="3"/>
  <c r="Y442" i="3"/>
  <c r="Z442" i="3"/>
  <c r="AA442" i="3"/>
  <c r="T443" i="3"/>
  <c r="U443" i="3"/>
  <c r="V443" i="3"/>
  <c r="W443" i="3"/>
  <c r="X443" i="3"/>
  <c r="Y443" i="3"/>
  <c r="Z443" i="3"/>
  <c r="AA443" i="3"/>
  <c r="U411" i="3"/>
  <c r="V411" i="3"/>
  <c r="W411" i="3"/>
  <c r="X411" i="3"/>
  <c r="Y411" i="3"/>
  <c r="Z411" i="3"/>
  <c r="AA411" i="3"/>
  <c r="T411" i="3"/>
  <c r="T378" i="3"/>
  <c r="U378" i="3"/>
  <c r="V378" i="3"/>
  <c r="W378" i="3"/>
  <c r="X378" i="3"/>
  <c r="Y378" i="3"/>
  <c r="Z378" i="3"/>
  <c r="AA378" i="3"/>
  <c r="T379" i="3"/>
  <c r="U379" i="3"/>
  <c r="V379" i="3"/>
  <c r="W379" i="3"/>
  <c r="X379" i="3"/>
  <c r="Y379" i="3"/>
  <c r="Z379" i="3"/>
  <c r="AA379" i="3"/>
  <c r="T380" i="3"/>
  <c r="U380" i="3"/>
  <c r="V380" i="3"/>
  <c r="W380" i="3"/>
  <c r="X380" i="3"/>
  <c r="Y380" i="3"/>
  <c r="Z380" i="3"/>
  <c r="AA380" i="3"/>
  <c r="T381" i="3"/>
  <c r="U381" i="3"/>
  <c r="V381" i="3"/>
  <c r="W381" i="3"/>
  <c r="X381" i="3"/>
  <c r="Y381" i="3"/>
  <c r="Z381" i="3"/>
  <c r="AA381" i="3"/>
  <c r="T382" i="3"/>
  <c r="U382" i="3"/>
  <c r="V382" i="3"/>
  <c r="W382" i="3"/>
  <c r="X382" i="3"/>
  <c r="Y382" i="3"/>
  <c r="Z382" i="3"/>
  <c r="AA382" i="3"/>
  <c r="T383" i="3"/>
  <c r="U383" i="3"/>
  <c r="V383" i="3"/>
  <c r="W383" i="3"/>
  <c r="X383" i="3"/>
  <c r="Y383" i="3"/>
  <c r="Z383" i="3"/>
  <c r="AA383" i="3"/>
  <c r="T384" i="3"/>
  <c r="U384" i="3"/>
  <c r="V384" i="3"/>
  <c r="W384" i="3"/>
  <c r="X384" i="3"/>
  <c r="Y384" i="3"/>
  <c r="Z384" i="3"/>
  <c r="AA384" i="3"/>
  <c r="T385" i="3"/>
  <c r="U385" i="3"/>
  <c r="V385" i="3"/>
  <c r="W385" i="3"/>
  <c r="X385" i="3"/>
  <c r="Y385" i="3"/>
  <c r="Z385" i="3"/>
  <c r="AA385" i="3"/>
  <c r="T386" i="3"/>
  <c r="U386" i="3"/>
  <c r="V386" i="3"/>
  <c r="W386" i="3"/>
  <c r="X386" i="3"/>
  <c r="Y386" i="3"/>
  <c r="Z386" i="3"/>
  <c r="AA386" i="3"/>
  <c r="T387" i="3"/>
  <c r="U387" i="3"/>
  <c r="V387" i="3"/>
  <c r="W387" i="3"/>
  <c r="X387" i="3"/>
  <c r="Y387" i="3"/>
  <c r="Z387" i="3"/>
  <c r="AA387" i="3"/>
  <c r="T388" i="3"/>
  <c r="U388" i="3"/>
  <c r="V388" i="3"/>
  <c r="W388" i="3"/>
  <c r="X388" i="3"/>
  <c r="Y388" i="3"/>
  <c r="Z388" i="3"/>
  <c r="AA388" i="3"/>
  <c r="T389" i="3"/>
  <c r="U389" i="3"/>
  <c r="V389" i="3"/>
  <c r="W389" i="3"/>
  <c r="X389" i="3"/>
  <c r="Y389" i="3"/>
  <c r="Z389" i="3"/>
  <c r="AA389" i="3"/>
  <c r="T390" i="3"/>
  <c r="U390" i="3"/>
  <c r="V390" i="3"/>
  <c r="W390" i="3"/>
  <c r="X390" i="3"/>
  <c r="Y390" i="3"/>
  <c r="Z390" i="3"/>
  <c r="AA390" i="3"/>
  <c r="T391" i="3"/>
  <c r="U391" i="3"/>
  <c r="V391" i="3"/>
  <c r="W391" i="3"/>
  <c r="X391" i="3"/>
  <c r="Y391" i="3"/>
  <c r="Z391" i="3"/>
  <c r="AA391" i="3"/>
  <c r="T392" i="3"/>
  <c r="U392" i="3"/>
  <c r="V392" i="3"/>
  <c r="W392" i="3"/>
  <c r="X392" i="3"/>
  <c r="Y392" i="3"/>
  <c r="Z392" i="3"/>
  <c r="AA392" i="3"/>
  <c r="T393" i="3"/>
  <c r="U393" i="3"/>
  <c r="V393" i="3"/>
  <c r="W393" i="3"/>
  <c r="X393" i="3"/>
  <c r="Y393" i="3"/>
  <c r="Z393" i="3"/>
  <c r="AA393" i="3"/>
  <c r="T394" i="3"/>
  <c r="U394" i="3"/>
  <c r="V394" i="3"/>
  <c r="W394" i="3"/>
  <c r="X394" i="3"/>
  <c r="Y394" i="3"/>
  <c r="Z394" i="3"/>
  <c r="AA394" i="3"/>
  <c r="T395" i="3"/>
  <c r="U395" i="3"/>
  <c r="V395" i="3"/>
  <c r="W395" i="3"/>
  <c r="X395" i="3"/>
  <c r="Y395" i="3"/>
  <c r="Z395" i="3"/>
  <c r="AA395" i="3"/>
  <c r="T396" i="3"/>
  <c r="U396" i="3"/>
  <c r="V396" i="3"/>
  <c r="W396" i="3"/>
  <c r="X396" i="3"/>
  <c r="Y396" i="3"/>
  <c r="Z396" i="3"/>
  <c r="AA396" i="3"/>
  <c r="T397" i="3"/>
  <c r="U397" i="3"/>
  <c r="V397" i="3"/>
  <c r="W397" i="3"/>
  <c r="X397" i="3"/>
  <c r="Y397" i="3"/>
  <c r="Z397" i="3"/>
  <c r="AA397" i="3"/>
  <c r="T398" i="3"/>
  <c r="U398" i="3"/>
  <c r="V398" i="3"/>
  <c r="W398" i="3"/>
  <c r="X398" i="3"/>
  <c r="Y398" i="3"/>
  <c r="Z398" i="3"/>
  <c r="AA398" i="3"/>
  <c r="T399" i="3"/>
  <c r="U399" i="3"/>
  <c r="V399" i="3"/>
  <c r="W399" i="3"/>
  <c r="X399" i="3"/>
  <c r="Y399" i="3"/>
  <c r="Z399" i="3"/>
  <c r="AA399" i="3"/>
  <c r="T400" i="3"/>
  <c r="U400" i="3"/>
  <c r="V400" i="3"/>
  <c r="W400" i="3"/>
  <c r="X400" i="3"/>
  <c r="Y400" i="3"/>
  <c r="Z400" i="3"/>
  <c r="AA400" i="3"/>
  <c r="T401" i="3"/>
  <c r="U401" i="3"/>
  <c r="V401" i="3"/>
  <c r="W401" i="3"/>
  <c r="X401" i="3"/>
  <c r="Y401" i="3"/>
  <c r="Z401" i="3"/>
  <c r="AA401" i="3"/>
  <c r="T402" i="3"/>
  <c r="U402" i="3"/>
  <c r="V402" i="3"/>
  <c r="W402" i="3"/>
  <c r="X402" i="3"/>
  <c r="Y402" i="3"/>
  <c r="Z402" i="3"/>
  <c r="AA402" i="3"/>
  <c r="T403" i="3"/>
  <c r="U403" i="3"/>
  <c r="V403" i="3"/>
  <c r="W403" i="3"/>
  <c r="X403" i="3"/>
  <c r="Y403" i="3"/>
  <c r="Z403" i="3"/>
  <c r="AA403" i="3"/>
  <c r="T404" i="3"/>
  <c r="U404" i="3"/>
  <c r="V404" i="3"/>
  <c r="W404" i="3"/>
  <c r="X404" i="3"/>
  <c r="Y404" i="3"/>
  <c r="Z404" i="3"/>
  <c r="AA404" i="3"/>
  <c r="T405" i="3"/>
  <c r="U405" i="3"/>
  <c r="V405" i="3"/>
  <c r="W405" i="3"/>
  <c r="X405" i="3"/>
  <c r="Y405" i="3"/>
  <c r="Z405" i="3"/>
  <c r="AA405" i="3"/>
  <c r="T406" i="3"/>
  <c r="U406" i="3"/>
  <c r="V406" i="3"/>
  <c r="W406" i="3"/>
  <c r="X406" i="3"/>
  <c r="Y406" i="3"/>
  <c r="Z406" i="3"/>
  <c r="AA406" i="3"/>
  <c r="T407" i="3"/>
  <c r="U407" i="3"/>
  <c r="V407" i="3"/>
  <c r="W407" i="3"/>
  <c r="X407" i="3"/>
  <c r="Y407" i="3"/>
  <c r="Z407" i="3"/>
  <c r="AA407" i="3"/>
  <c r="T408" i="3"/>
  <c r="U408" i="3"/>
  <c r="V408" i="3"/>
  <c r="W408" i="3"/>
  <c r="X408" i="3"/>
  <c r="Y408" i="3"/>
  <c r="Z408" i="3"/>
  <c r="AA408" i="3"/>
  <c r="T409" i="3"/>
  <c r="U409" i="3"/>
  <c r="V409" i="3"/>
  <c r="W409" i="3"/>
  <c r="X409" i="3"/>
  <c r="Y409" i="3"/>
  <c r="Z409" i="3"/>
  <c r="AA409" i="3"/>
  <c r="U377" i="3"/>
  <c r="V377" i="3"/>
  <c r="W377" i="3"/>
  <c r="X377" i="3"/>
  <c r="Y377" i="3"/>
  <c r="Z377" i="3"/>
  <c r="AA377" i="3"/>
  <c r="T377" i="3"/>
  <c r="S1126" i="2" l="1"/>
  <c r="F670" i="7"/>
  <c r="T1126" i="2"/>
  <c r="G670" i="7"/>
  <c r="U1126" i="2"/>
  <c r="H670" i="7"/>
  <c r="V1126" i="2"/>
  <c r="I670" i="7"/>
  <c r="W1126" i="2"/>
  <c r="J670" i="7"/>
  <c r="X1126" i="2"/>
  <c r="K670" i="7"/>
  <c r="Q1375" i="2"/>
  <c r="Q1673" i="2"/>
  <c r="Q1717" i="2"/>
  <c r="Q1389" i="2"/>
  <c r="Q1126" i="2"/>
  <c r="D670" i="7"/>
  <c r="Q1939" i="2"/>
  <c r="Q1898" i="2"/>
  <c r="Q1862" i="2"/>
  <c r="Q1793" i="2"/>
  <c r="Q1754" i="2"/>
  <c r="Q1780" i="2"/>
  <c r="Q1741" i="2"/>
  <c r="Q1703" i="2"/>
  <c r="Q1662" i="2"/>
  <c r="Q1627" i="2"/>
  <c r="Q1653" i="2"/>
  <c r="Q1613" i="2"/>
  <c r="Q1190" i="2"/>
  <c r="Q1151" i="2"/>
  <c r="R1240" i="2"/>
  <c r="Q2153" i="2"/>
  <c r="Q2157" i="2"/>
  <c r="Q2161" i="2"/>
  <c r="Q2165" i="2"/>
  <c r="Q2169" i="2"/>
  <c r="Q2173" i="2"/>
  <c r="Q2177" i="2"/>
  <c r="Q2181" i="2"/>
  <c r="Q2086" i="2"/>
  <c r="Q2090" i="2"/>
  <c r="Q2094" i="2"/>
  <c r="Q2098" i="2"/>
  <c r="Q2102" i="2"/>
  <c r="Q2106" i="2"/>
  <c r="Q2110" i="2"/>
  <c r="Q2114" i="2"/>
  <c r="Q2019" i="2"/>
  <c r="Q2023" i="2"/>
  <c r="Q2027" i="2"/>
  <c r="Q2031" i="2"/>
  <c r="Q2035" i="2"/>
  <c r="Q2039" i="2"/>
  <c r="Q2043" i="2"/>
  <c r="Q2047" i="2"/>
  <c r="Q1954" i="2"/>
  <c r="Q1958" i="2"/>
  <c r="Q1962" i="2"/>
  <c r="Q1966" i="2"/>
  <c r="Q1970" i="2"/>
  <c r="Q1974" i="2"/>
  <c r="Q1978" i="2"/>
  <c r="Q1982" i="2"/>
  <c r="Q1870" i="2"/>
  <c r="Q1805" i="2"/>
  <c r="Q1768" i="2"/>
  <c r="Q1729" i="2"/>
  <c r="Q1691" i="2"/>
  <c r="Q1719" i="2"/>
  <c r="Q1682" i="2"/>
  <c r="Q1644" i="2"/>
  <c r="Q1442" i="2"/>
  <c r="Q1202" i="2"/>
  <c r="Q1166" i="2"/>
  <c r="Q1130" i="2"/>
  <c r="Q1157" i="2"/>
  <c r="R1256" i="2"/>
  <c r="Q1935" i="2"/>
  <c r="Q1902" i="2"/>
  <c r="Q1865" i="2"/>
  <c r="Q1546" i="2"/>
  <c r="Q1508" i="2"/>
  <c r="Q1443" i="2"/>
  <c r="Q1405" i="2"/>
  <c r="Q1369" i="2"/>
  <c r="Q1144" i="2"/>
  <c r="Q1856" i="2"/>
  <c r="Q1882" i="2"/>
  <c r="Q1812" i="2"/>
  <c r="Q1504" i="2"/>
  <c r="Q1431" i="2"/>
  <c r="Q1396" i="2"/>
  <c r="Q1419" i="2"/>
  <c r="Q1381" i="2"/>
  <c r="Q1343" i="2"/>
  <c r="Q1303" i="2"/>
  <c r="Q1922" i="2"/>
  <c r="Q1943" i="2"/>
  <c r="Q1901" i="2"/>
  <c r="Q1859" i="2"/>
  <c r="Q1790" i="2"/>
  <c r="Q1818" i="2"/>
  <c r="Q1778" i="2"/>
  <c r="Q1738" i="2"/>
  <c r="Q1698" i="2"/>
  <c r="Q1658" i="2"/>
  <c r="Q1685" i="2"/>
  <c r="Q1643" i="2"/>
  <c r="Q1604" i="2"/>
  <c r="Q1565" i="2"/>
  <c r="Q1525" i="2"/>
  <c r="Q1550" i="2"/>
  <c r="Q1512" i="2"/>
  <c r="Q1439" i="2"/>
  <c r="Q1400" i="2"/>
  <c r="Q1360" i="2"/>
  <c r="Q1386" i="2"/>
  <c r="Q1346" i="2"/>
  <c r="Q1306" i="2"/>
  <c r="Q1268" i="2"/>
  <c r="Q1930" i="2"/>
  <c r="Q1891" i="2"/>
  <c r="Q1912" i="2"/>
  <c r="Q1873" i="2"/>
  <c r="Q1803" i="2"/>
  <c r="Q1764" i="2"/>
  <c r="Q1664" i="2"/>
  <c r="Q1625" i="2"/>
  <c r="Q1651" i="2"/>
  <c r="Q1612" i="2"/>
  <c r="Q1571" i="2"/>
  <c r="Q1532" i="2"/>
  <c r="Q1491" i="2"/>
  <c r="Q1520" i="2"/>
  <c r="Q1447" i="2"/>
  <c r="Q1404" i="2"/>
  <c r="Q1366" i="2"/>
  <c r="Q1326" i="2"/>
  <c r="Q1353" i="2"/>
  <c r="Q1313" i="2"/>
  <c r="Q1275" i="2"/>
  <c r="Q1193" i="2"/>
  <c r="Q1181" i="2"/>
  <c r="Q1140" i="2"/>
  <c r="R1236" i="2"/>
  <c r="Q1666" i="2"/>
  <c r="Q1383" i="2"/>
  <c r="Q1680" i="2"/>
  <c r="Q1351" i="2"/>
  <c r="Q1946" i="2"/>
  <c r="Q1909" i="2"/>
  <c r="Q1872" i="2"/>
  <c r="Q1794" i="2"/>
  <c r="Q1757" i="2"/>
  <c r="Q1783" i="2"/>
  <c r="Q1744" i="2"/>
  <c r="Q1589" i="2"/>
  <c r="Q1616" i="2"/>
  <c r="Q1578" i="2"/>
  <c r="Q1542" i="2"/>
  <c r="Q1503" i="2"/>
  <c r="Q1430" i="2"/>
  <c r="Q1391" i="2"/>
  <c r="Q1323" i="2"/>
  <c r="Q1283" i="2"/>
  <c r="Q1243" i="2"/>
  <c r="Q1204" i="2"/>
  <c r="Q1164" i="2"/>
  <c r="Q1191" i="2"/>
  <c r="Q1155" i="2"/>
  <c r="Q2083" i="2"/>
  <c r="Q1951" i="2"/>
  <c r="Q1786" i="2"/>
  <c r="Q1654" i="2"/>
  <c r="Q1522" i="2"/>
  <c r="Q1357" i="2"/>
  <c r="Q1225" i="2"/>
  <c r="Q1587" i="2"/>
  <c r="Q1547" i="2"/>
  <c r="Q1440" i="2"/>
  <c r="Q1401" i="2"/>
  <c r="Q1363" i="2"/>
  <c r="Q1388" i="2"/>
  <c r="Q1348" i="2"/>
  <c r="Q1311" i="2"/>
  <c r="Q1272" i="2"/>
  <c r="Q1233" i="2"/>
  <c r="Q1196" i="2"/>
  <c r="R1248" i="2"/>
  <c r="Q2120" i="2"/>
  <c r="Q2124" i="2"/>
  <c r="Q2128" i="2"/>
  <c r="Q2132" i="2"/>
  <c r="Q2136" i="2"/>
  <c r="Q2140" i="2"/>
  <c r="Q2144" i="2"/>
  <c r="Q2148" i="2"/>
  <c r="Q2053" i="2"/>
  <c r="Q2057" i="2"/>
  <c r="Q2061" i="2"/>
  <c r="Q2065" i="2"/>
  <c r="Q2069" i="2"/>
  <c r="Q2073" i="2"/>
  <c r="Q2077" i="2"/>
  <c r="Q2081" i="2"/>
  <c r="Q1986" i="2"/>
  <c r="Q1990" i="2"/>
  <c r="Q1994" i="2"/>
  <c r="Q2002" i="2"/>
  <c r="Q2008" i="2"/>
  <c r="Q2012" i="2"/>
  <c r="Q2016" i="2"/>
  <c r="Q1923" i="2"/>
  <c r="Q1941" i="2"/>
  <c r="Q1904" i="2"/>
  <c r="Q1557" i="2"/>
  <c r="Q1523" i="2"/>
  <c r="Q1552" i="2"/>
  <c r="Q1514" i="2"/>
  <c r="Q1418" i="2"/>
  <c r="Q1384" i="2"/>
  <c r="Q1345" i="2"/>
  <c r="Q1308" i="2"/>
  <c r="Q1271" i="2"/>
  <c r="Q1237" i="2"/>
  <c r="Q1795" i="2"/>
  <c r="Q1756" i="2"/>
  <c r="Q1784" i="2"/>
  <c r="Q1745" i="2"/>
  <c r="Q1707" i="2"/>
  <c r="Q1668" i="2"/>
  <c r="Q1628" i="2"/>
  <c r="Q1590" i="2"/>
  <c r="Q1617" i="2"/>
  <c r="Q1581" i="2"/>
  <c r="Q1342" i="2"/>
  <c r="Q1305" i="2"/>
  <c r="Q1266" i="2"/>
  <c r="Q1230" i="2"/>
  <c r="Q1257" i="2"/>
  <c r="Q1218" i="2"/>
  <c r="Q1177" i="2"/>
  <c r="Q1925" i="2"/>
  <c r="Q1721" i="2"/>
  <c r="Q1749" i="2"/>
  <c r="Q1708" i="2"/>
  <c r="Q1669" i="2"/>
  <c r="Q1631" i="2"/>
  <c r="Q1593" i="2"/>
  <c r="Q1620" i="2"/>
  <c r="Q1577" i="2"/>
  <c r="Q1540" i="2"/>
  <c r="Q1280" i="2"/>
  <c r="Q1241" i="2"/>
  <c r="Q1201" i="2"/>
  <c r="Q1165" i="2"/>
  <c r="Q1129" i="2"/>
  <c r="Q1156" i="2"/>
  <c r="Q1238" i="2"/>
  <c r="Q1199" i="2"/>
  <c r="Q1162" i="2"/>
  <c r="Q1187" i="2"/>
  <c r="Q1146" i="2"/>
  <c r="Q1740" i="2"/>
  <c r="Q1700" i="2"/>
  <c r="R1244" i="2"/>
  <c r="Q1659" i="2"/>
  <c r="Q1330" i="2"/>
  <c r="R1510" i="2"/>
  <c r="R1216" i="2"/>
  <c r="Q2001" i="2"/>
  <c r="Q1945" i="2"/>
  <c r="Q1907" i="2"/>
  <c r="Q1869" i="2"/>
  <c r="Q1799" i="2"/>
  <c r="Q1760" i="2"/>
  <c r="Q1722" i="2"/>
  <c r="Q1748" i="2"/>
  <c r="Q1709" i="2"/>
  <c r="Q1670" i="2"/>
  <c r="Q1632" i="2"/>
  <c r="Q1594" i="2"/>
  <c r="Q1169" i="2"/>
  <c r="Q1131" i="2"/>
  <c r="Q1158" i="2"/>
  <c r="Q2150" i="2"/>
  <c r="Q2154" i="2"/>
  <c r="Q2158" i="2"/>
  <c r="Q2162" i="2"/>
  <c r="Q2166" i="2"/>
  <c r="Q2170" i="2"/>
  <c r="Q2174" i="2"/>
  <c r="Q2178" i="2"/>
  <c r="Q2087" i="2"/>
  <c r="Q2091" i="2"/>
  <c r="Q2095" i="2"/>
  <c r="Q2099" i="2"/>
  <c r="Q2103" i="2"/>
  <c r="Q2107" i="2"/>
  <c r="Q2111" i="2"/>
  <c r="Q2115" i="2"/>
  <c r="Q2020" i="2"/>
  <c r="Q2024" i="2"/>
  <c r="Q2028" i="2"/>
  <c r="Q2032" i="2"/>
  <c r="Q2036" i="2"/>
  <c r="Q2040" i="2"/>
  <c r="Q2044" i="2"/>
  <c r="Q2048" i="2"/>
  <c r="Q1955" i="2"/>
  <c r="Q1959" i="2"/>
  <c r="Q1963" i="2"/>
  <c r="Q1967" i="2"/>
  <c r="Q1971" i="2"/>
  <c r="Q1975" i="2"/>
  <c r="Q1979" i="2"/>
  <c r="Q1983" i="2"/>
  <c r="Q1879" i="2"/>
  <c r="Q1813" i="2"/>
  <c r="Q1775" i="2"/>
  <c r="Q1736" i="2"/>
  <c r="Q1697" i="2"/>
  <c r="Q1660" i="2"/>
  <c r="Q1623" i="2"/>
  <c r="Q1449" i="2"/>
  <c r="Q1212" i="2"/>
  <c r="Q1175" i="2"/>
  <c r="Q1136" i="2"/>
  <c r="R1224" i="2"/>
  <c r="Q1947" i="2"/>
  <c r="Q1911" i="2"/>
  <c r="Q1871" i="2"/>
  <c r="Q1553" i="2"/>
  <c r="Q1515" i="2"/>
  <c r="Q1450" i="2"/>
  <c r="Q1412" i="2"/>
  <c r="Q1376" i="2"/>
  <c r="Q1152" i="2"/>
  <c r="Q1899" i="2"/>
  <c r="Q1863" i="2"/>
  <c r="Q1792" i="2"/>
  <c r="Q1511" i="2"/>
  <c r="Q1438" i="2"/>
  <c r="Q1402" i="2"/>
  <c r="Q1359" i="2"/>
  <c r="Q1387" i="2"/>
  <c r="Q1349" i="2"/>
  <c r="Q1309" i="2"/>
  <c r="Q1928" i="2"/>
  <c r="Q1950" i="2"/>
  <c r="Q1906" i="2"/>
  <c r="Q1867" i="2"/>
  <c r="Q1798" i="2"/>
  <c r="Q1759" i="2"/>
  <c r="Q1785" i="2"/>
  <c r="Q1746" i="2"/>
  <c r="Q1705" i="2"/>
  <c r="Q1665" i="2"/>
  <c r="Q1626" i="2"/>
  <c r="Q1650" i="2"/>
  <c r="Q1611" i="2"/>
  <c r="Q1573" i="2"/>
  <c r="Q1531" i="2"/>
  <c r="Q1492" i="2"/>
  <c r="Q1519" i="2"/>
  <c r="Q1446" i="2"/>
  <c r="Q1408" i="2"/>
  <c r="Q1364" i="2"/>
  <c r="Q1327" i="2"/>
  <c r="Q1354" i="2"/>
  <c r="Q1314" i="2"/>
  <c r="Q1273" i="2"/>
  <c r="R1518" i="2"/>
  <c r="Q1998" i="2"/>
  <c r="Q1937" i="2"/>
  <c r="Q1895" i="2"/>
  <c r="Q1853" i="2"/>
  <c r="Q1881" i="2"/>
  <c r="Q1810" i="2"/>
  <c r="Q1772" i="2"/>
  <c r="Q1671" i="2"/>
  <c r="Q1633" i="2"/>
  <c r="Q1592" i="2"/>
  <c r="Q1619" i="2"/>
  <c r="Q1576" i="2"/>
  <c r="Q1538" i="2"/>
  <c r="Q1428" i="2"/>
  <c r="Q1452" i="2"/>
  <c r="Q1410" i="2"/>
  <c r="Q1373" i="2"/>
  <c r="Q1335" i="2"/>
  <c r="Q1295" i="2"/>
  <c r="Q1321" i="2"/>
  <c r="Q1282" i="2"/>
  <c r="Q1239" i="2"/>
  <c r="Q1200" i="2"/>
  <c r="Q1161" i="2"/>
  <c r="Q1188" i="2"/>
  <c r="Q1147" i="2"/>
  <c r="R1252" i="2"/>
  <c r="Q1367" i="2"/>
  <c r="Q1888" i="2"/>
  <c r="Q1916" i="2"/>
  <c r="Q1878" i="2"/>
  <c r="Q1802" i="2"/>
  <c r="Q1762" i="2"/>
  <c r="Q1724" i="2"/>
  <c r="Q1634" i="2"/>
  <c r="Q1596" i="2"/>
  <c r="Q1556" i="2"/>
  <c r="Q1584" i="2"/>
  <c r="Q1549" i="2"/>
  <c r="Q1509" i="2"/>
  <c r="Q1437" i="2"/>
  <c r="Q1397" i="2"/>
  <c r="Q1302" i="2"/>
  <c r="Q1263" i="2"/>
  <c r="Q1290" i="2"/>
  <c r="Q1249" i="2"/>
  <c r="Q1209" i="2"/>
  <c r="Q1170" i="2"/>
  <c r="Q1132" i="2"/>
  <c r="Q2050" i="2"/>
  <c r="Q1918" i="2"/>
  <c r="Q1753" i="2"/>
  <c r="Q1621" i="2"/>
  <c r="Q1489" i="2"/>
  <c r="Q1324" i="2"/>
  <c r="Q1192" i="2"/>
  <c r="Q1562" i="2"/>
  <c r="Q1527" i="2"/>
  <c r="Q1554" i="2"/>
  <c r="Q1517" i="2"/>
  <c r="Q1448" i="2"/>
  <c r="Q1407" i="2"/>
  <c r="Q1368" i="2"/>
  <c r="Q1329" i="2"/>
  <c r="Q1356" i="2"/>
  <c r="Q1318" i="2"/>
  <c r="Q1278" i="2"/>
  <c r="Q1203" i="2"/>
  <c r="Q2117" i="2"/>
  <c r="Q2121" i="2"/>
  <c r="Q2125" i="2"/>
  <c r="Q2129" i="2"/>
  <c r="Q2133" i="2"/>
  <c r="Q2137" i="2"/>
  <c r="Q2141" i="2"/>
  <c r="Q2145" i="2"/>
  <c r="Q2054" i="2"/>
  <c r="Q2058" i="2"/>
  <c r="Q2062" i="2"/>
  <c r="Q2066" i="2"/>
  <c r="Q2070" i="2"/>
  <c r="Q2074" i="2"/>
  <c r="Q2078" i="2"/>
  <c r="Q2082" i="2"/>
  <c r="Q1987" i="2"/>
  <c r="Q1991" i="2"/>
  <c r="Q1995" i="2"/>
  <c r="Q2005" i="2"/>
  <c r="Q2009" i="2"/>
  <c r="Q2013" i="2"/>
  <c r="Q1926" i="2"/>
  <c r="Q1948" i="2"/>
  <c r="Q1910" i="2"/>
  <c r="Q1601" i="2"/>
  <c r="Q1568" i="2"/>
  <c r="Q1529" i="2"/>
  <c r="Q1493" i="2"/>
  <c r="Q1361" i="2"/>
  <c r="Q1325" i="2"/>
  <c r="Q1352" i="2"/>
  <c r="Q1315" i="2"/>
  <c r="Q1279" i="2"/>
  <c r="Q1801" i="2"/>
  <c r="Q1763" i="2"/>
  <c r="Q1726" i="2"/>
  <c r="Q1751" i="2"/>
  <c r="Q1714" i="2"/>
  <c r="Q1675" i="2"/>
  <c r="Q1635" i="2"/>
  <c r="Q1595" i="2"/>
  <c r="Q1558" i="2"/>
  <c r="Q1350" i="2"/>
  <c r="Q1312" i="2"/>
  <c r="Q1274" i="2"/>
  <c r="Q1235" i="2"/>
  <c r="Q1197" i="2"/>
  <c r="Q1222" i="2"/>
  <c r="Q1185" i="2"/>
  <c r="Q1933" i="2"/>
  <c r="Q1766" i="2"/>
  <c r="Q1727" i="2"/>
  <c r="Q1689" i="2"/>
  <c r="Q1716" i="2"/>
  <c r="Q1676" i="2"/>
  <c r="Q1640" i="2"/>
  <c r="Q1600" i="2"/>
  <c r="Q1561" i="2"/>
  <c r="Q1586" i="2"/>
  <c r="Q1548" i="2"/>
  <c r="Q1286" i="2"/>
  <c r="Q1208" i="2"/>
  <c r="Q1172" i="2"/>
  <c r="Q1135" i="2"/>
  <c r="Q1245" i="2"/>
  <c r="Q1206" i="2"/>
  <c r="Q1168" i="2"/>
  <c r="Q1127" i="2"/>
  <c r="Q1154" i="2"/>
  <c r="Q1747" i="2"/>
  <c r="Q1706" i="2"/>
  <c r="R1506" i="2"/>
  <c r="Q1924" i="2"/>
  <c r="Q1875" i="2"/>
  <c r="Q1767" i="2"/>
  <c r="Q1690" i="2"/>
  <c r="Q1677" i="2"/>
  <c r="Q1599" i="2"/>
  <c r="Q1138" i="2"/>
  <c r="Q2151" i="2"/>
  <c r="Q2155" i="2"/>
  <c r="Q2163" i="2"/>
  <c r="Q2167" i="2"/>
  <c r="Q2171" i="2"/>
  <c r="Q2175" i="2"/>
  <c r="Q2179" i="2"/>
  <c r="Q2084" i="2"/>
  <c r="Q2088" i="2"/>
  <c r="Q2092" i="2"/>
  <c r="Q2096" i="2"/>
  <c r="Q2100" i="2"/>
  <c r="Q2104" i="2"/>
  <c r="Q2108" i="2"/>
  <c r="Q2112" i="2"/>
  <c r="Q2021" i="2"/>
  <c r="Q2025" i="2"/>
  <c r="Q2029" i="2"/>
  <c r="Q2033" i="2"/>
  <c r="Q2037" i="2"/>
  <c r="Q2041" i="2"/>
  <c r="Q2045" i="2"/>
  <c r="Q2049" i="2"/>
  <c r="Q1952" i="2"/>
  <c r="Q1956" i="2"/>
  <c r="Q1960" i="2"/>
  <c r="Q1964" i="2"/>
  <c r="Q1968" i="2"/>
  <c r="Q1972" i="2"/>
  <c r="Q1976" i="2"/>
  <c r="Q1980" i="2"/>
  <c r="Q1789" i="2"/>
  <c r="Q1755" i="2"/>
  <c r="Q1782" i="2"/>
  <c r="Q1743" i="2"/>
  <c r="Q1704" i="2"/>
  <c r="Q1667" i="2"/>
  <c r="Q1629" i="2"/>
  <c r="Q1424" i="2"/>
  <c r="Q1219" i="2"/>
  <c r="Q1182" i="2"/>
  <c r="Q1143" i="2"/>
  <c r="Q1887" i="2"/>
  <c r="Q1917" i="2"/>
  <c r="Q1877" i="2"/>
  <c r="Q1530" i="2"/>
  <c r="Q1494" i="2"/>
  <c r="Q1429" i="2"/>
  <c r="Q1392" i="2"/>
  <c r="Q1421" i="2"/>
  <c r="Q1382" i="2"/>
  <c r="R1126" i="2"/>
  <c r="E670" i="7"/>
  <c r="Q1908" i="2"/>
  <c r="Q1868" i="2"/>
  <c r="Q1800" i="2"/>
  <c r="Q1445" i="2"/>
  <c r="Q1409" i="2"/>
  <c r="Q1365" i="2"/>
  <c r="Q1328" i="2"/>
  <c r="Q1355" i="2"/>
  <c r="Q1316" i="2"/>
  <c r="Q1931" i="2"/>
  <c r="Q1890" i="2"/>
  <c r="Q1913" i="2"/>
  <c r="Q1874" i="2"/>
  <c r="Q1804" i="2"/>
  <c r="Q1765" i="2"/>
  <c r="Q1725" i="2"/>
  <c r="Q1752" i="2"/>
  <c r="Q1712" i="2"/>
  <c r="Q1672" i="2"/>
  <c r="Q1630" i="2"/>
  <c r="Q1591" i="2"/>
  <c r="Q1618" i="2"/>
  <c r="Q1579" i="2"/>
  <c r="Q1537" i="2"/>
  <c r="Q1499" i="2"/>
  <c r="Q1427" i="2"/>
  <c r="Q1453" i="2"/>
  <c r="Q1415" i="2"/>
  <c r="Q1371" i="2"/>
  <c r="Q1333" i="2"/>
  <c r="Q1294" i="2"/>
  <c r="Q1320" i="2"/>
  <c r="Q1277" i="2"/>
  <c r="R1228" i="2"/>
  <c r="Q1921" i="2"/>
  <c r="Q1942" i="2"/>
  <c r="Q1900" i="2"/>
  <c r="Q1860" i="2"/>
  <c r="Q1791" i="2"/>
  <c r="Q1817" i="2"/>
  <c r="Q1779" i="2"/>
  <c r="Q1679" i="2"/>
  <c r="Q1639" i="2"/>
  <c r="Q1598" i="2"/>
  <c r="Q1559" i="2"/>
  <c r="Q1583" i="2"/>
  <c r="Q1543" i="2"/>
  <c r="Q1434" i="2"/>
  <c r="Q1393" i="2"/>
  <c r="Q1417" i="2"/>
  <c r="Q1379" i="2"/>
  <c r="Q1340" i="2"/>
  <c r="Q1301" i="2"/>
  <c r="Q1262" i="2"/>
  <c r="Q1288" i="2"/>
  <c r="Q1246" i="2"/>
  <c r="Q1207" i="2"/>
  <c r="Q1167" i="2"/>
  <c r="Q1128" i="2"/>
  <c r="Q1153" i="2"/>
  <c r="Q1886" i="2"/>
  <c r="Q1914" i="2"/>
  <c r="Q1807" i="2"/>
  <c r="Q1728" i="2"/>
  <c r="Q1715" i="2"/>
  <c r="Q1638" i="2"/>
  <c r="Q1176" i="2"/>
  <c r="Q2159" i="2"/>
  <c r="Q2003" i="2"/>
  <c r="Q1894" i="2"/>
  <c r="Q1857" i="2"/>
  <c r="Q1884" i="2"/>
  <c r="Q1809" i="2"/>
  <c r="Q1770" i="2"/>
  <c r="Q1733" i="2"/>
  <c r="Q1641" i="2"/>
  <c r="Q1603" i="2"/>
  <c r="Q1563" i="2"/>
  <c r="Q1526" i="2"/>
  <c r="Q1490" i="2"/>
  <c r="Q1516" i="2"/>
  <c r="Q1444" i="2"/>
  <c r="Q1406" i="2"/>
  <c r="Q1310" i="2"/>
  <c r="Q1269" i="2"/>
  <c r="Q1231" i="2"/>
  <c r="Q1178" i="2"/>
  <c r="Q1141" i="2"/>
  <c r="Q2149" i="2"/>
  <c r="Q2017" i="2"/>
  <c r="Q1885" i="2"/>
  <c r="Q1720" i="2"/>
  <c r="Q1588" i="2"/>
  <c r="Q1423" i="2"/>
  <c r="Q1291" i="2"/>
  <c r="Q1159" i="2"/>
  <c r="Q1572" i="2"/>
  <c r="Q1534" i="2"/>
  <c r="Q1495" i="2"/>
  <c r="Q1426" i="2"/>
  <c r="Q1454" i="2"/>
  <c r="Q1414" i="2"/>
  <c r="Q1374" i="2"/>
  <c r="Q1334" i="2"/>
  <c r="Q1296" i="2"/>
  <c r="Q1259" i="2"/>
  <c r="Q1285" i="2"/>
  <c r="Q1247" i="2"/>
  <c r="Q1210" i="2"/>
  <c r="Q2118" i="2"/>
  <c r="Q2122" i="2"/>
  <c r="Q2126" i="2"/>
  <c r="Q2130" i="2"/>
  <c r="Q2134" i="2"/>
  <c r="Q2138" i="2"/>
  <c r="Q2142" i="2"/>
  <c r="Q2146" i="2"/>
  <c r="Q2051" i="2"/>
  <c r="Q2055" i="2"/>
  <c r="Q2059" i="2"/>
  <c r="Q2063" i="2"/>
  <c r="Q2067" i="2"/>
  <c r="Q2071" i="2"/>
  <c r="Q2075" i="2"/>
  <c r="Q2079" i="2"/>
  <c r="Q1988" i="2"/>
  <c r="Q1992" i="2"/>
  <c r="Q1999" i="2"/>
  <c r="Q2006" i="2"/>
  <c r="Q2010" i="2"/>
  <c r="Q2014" i="2"/>
  <c r="Q1919" i="2"/>
  <c r="Q1929" i="2"/>
  <c r="Q1889" i="2"/>
  <c r="Q1608" i="2"/>
  <c r="Q1575" i="2"/>
  <c r="Q1536" i="2"/>
  <c r="Q1501" i="2"/>
  <c r="Q1403" i="2"/>
  <c r="Q1370" i="2"/>
  <c r="Q1331" i="2"/>
  <c r="Q1293" i="2"/>
  <c r="Q1322" i="2"/>
  <c r="Q1287" i="2"/>
  <c r="Q1251" i="2"/>
  <c r="R1232" i="2"/>
  <c r="Q1808" i="2"/>
  <c r="Q1769" i="2"/>
  <c r="Q1731" i="2"/>
  <c r="Q1692" i="2"/>
  <c r="Q1655" i="2"/>
  <c r="Q1681" i="2"/>
  <c r="Q1642" i="2"/>
  <c r="Q1602" i="2"/>
  <c r="Q1566" i="2"/>
  <c r="Q1292" i="2"/>
  <c r="Q1319" i="2"/>
  <c r="Q1281" i="2"/>
  <c r="Q1242" i="2"/>
  <c r="Q1205" i="2"/>
  <c r="Q1163" i="2"/>
  <c r="Q1940" i="2"/>
  <c r="Q1773" i="2"/>
  <c r="Q1734" i="2"/>
  <c r="Q1695" i="2"/>
  <c r="Q1657" i="2"/>
  <c r="Q1683" i="2"/>
  <c r="Q1647" i="2"/>
  <c r="Q1606" i="2"/>
  <c r="Q1564" i="2"/>
  <c r="Q1528" i="2"/>
  <c r="Q1227" i="2"/>
  <c r="Q1254" i="2"/>
  <c r="Q1215" i="2"/>
  <c r="Q1179" i="2"/>
  <c r="Q1142" i="2"/>
  <c r="Q1213" i="2"/>
  <c r="Q1174" i="2"/>
  <c r="Q1133" i="2"/>
  <c r="Q1688" i="2"/>
  <c r="Q1713" i="2"/>
  <c r="Q1337" i="2"/>
  <c r="Q1344" i="2"/>
  <c r="Q1932" i="2"/>
  <c r="Q1855" i="2"/>
  <c r="Q1814" i="2"/>
  <c r="Q1735" i="2"/>
  <c r="Q1656" i="2"/>
  <c r="Q1684" i="2"/>
  <c r="Q1607" i="2"/>
  <c r="Q1183" i="2"/>
  <c r="Q1145" i="2"/>
  <c r="R1220" i="2"/>
  <c r="Q2152" i="2"/>
  <c r="Q2156" i="2"/>
  <c r="Q2160" i="2"/>
  <c r="Q2164" i="2"/>
  <c r="Q2168" i="2"/>
  <c r="Q2172" i="2"/>
  <c r="Q2176" i="2"/>
  <c r="Q2180" i="2"/>
  <c r="Q2085" i="2"/>
  <c r="Q2089" i="2"/>
  <c r="Q2093" i="2"/>
  <c r="Q2097" i="2"/>
  <c r="Q2101" i="2"/>
  <c r="Q2105" i="2"/>
  <c r="Q2109" i="2"/>
  <c r="Q2113" i="2"/>
  <c r="Q2018" i="2"/>
  <c r="Q2022" i="2"/>
  <c r="Q2026" i="2"/>
  <c r="Q2030" i="2"/>
  <c r="Q2034" i="2"/>
  <c r="Q2038" i="2"/>
  <c r="Q2042" i="2"/>
  <c r="Q2046" i="2"/>
  <c r="Q1953" i="2"/>
  <c r="Q1957" i="2"/>
  <c r="Q1961" i="2"/>
  <c r="Q1965" i="2"/>
  <c r="Q1969" i="2"/>
  <c r="Q1973" i="2"/>
  <c r="Q1977" i="2"/>
  <c r="Q1981" i="2"/>
  <c r="Q1861" i="2"/>
  <c r="Q1797" i="2"/>
  <c r="Q1761" i="2"/>
  <c r="Q1723" i="2"/>
  <c r="Q1750" i="2"/>
  <c r="Q1711" i="2"/>
  <c r="Q1674" i="2"/>
  <c r="Q1637" i="2"/>
  <c r="Q1435" i="2"/>
  <c r="Q1160" i="2"/>
  <c r="Q1189" i="2"/>
  <c r="Q1150" i="2"/>
  <c r="Q2004" i="2"/>
  <c r="Q1893" i="2"/>
  <c r="Q1858" i="2"/>
  <c r="Q1539" i="2"/>
  <c r="Q1500" i="2"/>
  <c r="Q1436" i="2"/>
  <c r="Q1399" i="2"/>
  <c r="Q1362" i="2"/>
  <c r="Q1137" i="2"/>
  <c r="Q1915" i="2"/>
  <c r="Q1876" i="2"/>
  <c r="Q1806" i="2"/>
  <c r="Q1497" i="2"/>
  <c r="Q1425" i="2"/>
  <c r="Q1455" i="2"/>
  <c r="Q1416" i="2"/>
  <c r="Q1372" i="2"/>
  <c r="Q1336" i="2"/>
  <c r="Q1297" i="2"/>
  <c r="Q1996" i="2"/>
  <c r="Q1938" i="2"/>
  <c r="Q1896" i="2"/>
  <c r="Q1854" i="2"/>
  <c r="Q1880" i="2"/>
  <c r="Q1811" i="2"/>
  <c r="Q1771" i="2"/>
  <c r="Q1730" i="2"/>
  <c r="Q1693" i="2"/>
  <c r="Q1718" i="2"/>
  <c r="Q1678" i="2"/>
  <c r="Q1636" i="2"/>
  <c r="Q1597" i="2"/>
  <c r="Q1560" i="2"/>
  <c r="Q1585" i="2"/>
  <c r="Q1544" i="2"/>
  <c r="Q1505" i="2"/>
  <c r="Q1432" i="2"/>
  <c r="Q1394" i="2"/>
  <c r="Q1420" i="2"/>
  <c r="Q1378" i="2"/>
  <c r="Q1339" i="2"/>
  <c r="Q1300" i="2"/>
  <c r="Q1261" i="2"/>
  <c r="Q1284" i="2"/>
  <c r="Q1927" i="2"/>
  <c r="Q1949" i="2"/>
  <c r="Q1905" i="2"/>
  <c r="Q1866" i="2"/>
  <c r="Q1796" i="2"/>
  <c r="Q1758" i="2"/>
  <c r="Q1686" i="2"/>
  <c r="Q1645" i="2"/>
  <c r="Q1605" i="2"/>
  <c r="Q1567" i="2"/>
  <c r="Q1524" i="2"/>
  <c r="Q1551" i="2"/>
  <c r="Q1513" i="2"/>
  <c r="Q1441" i="2"/>
  <c r="Q1398" i="2"/>
  <c r="Q1358" i="2"/>
  <c r="Q1385" i="2"/>
  <c r="Q1347" i="2"/>
  <c r="Q1307" i="2"/>
  <c r="Q1267" i="2"/>
  <c r="Q1253" i="2"/>
  <c r="Q1214" i="2"/>
  <c r="Q1173" i="2"/>
  <c r="Q1134" i="2"/>
  <c r="Q1701" i="2"/>
  <c r="Q1710" i="2"/>
  <c r="Q1892" i="2"/>
  <c r="Q1883" i="2"/>
  <c r="Q1774" i="2"/>
  <c r="Q1696" i="2"/>
  <c r="Q1646" i="2"/>
  <c r="Q1934" i="2"/>
  <c r="Q1903" i="2"/>
  <c r="Q1864" i="2"/>
  <c r="Q1788" i="2"/>
  <c r="Q1815" i="2"/>
  <c r="Q1777" i="2"/>
  <c r="Q1739" i="2"/>
  <c r="Q1648" i="2"/>
  <c r="Q1610" i="2"/>
  <c r="Q1570" i="2"/>
  <c r="Q1535" i="2"/>
  <c r="Q1496" i="2"/>
  <c r="Q1521" i="2"/>
  <c r="Q1451" i="2"/>
  <c r="Q1413" i="2"/>
  <c r="Q1317" i="2"/>
  <c r="Q1276" i="2"/>
  <c r="Q1198" i="2"/>
  <c r="Q1184" i="2"/>
  <c r="Q1148" i="2"/>
  <c r="Q2116" i="2"/>
  <c r="Q1984" i="2"/>
  <c r="Q1852" i="2"/>
  <c r="Q1687" i="2"/>
  <c r="Q1555" i="2"/>
  <c r="Q1390" i="2"/>
  <c r="Q1258" i="2"/>
  <c r="Q1580" i="2"/>
  <c r="Q1541" i="2"/>
  <c r="Q1502" i="2"/>
  <c r="Q1433" i="2"/>
  <c r="Q1395" i="2"/>
  <c r="Q1422" i="2"/>
  <c r="Q1380" i="2"/>
  <c r="Q1341" i="2"/>
  <c r="Q1304" i="2"/>
  <c r="Q1265" i="2"/>
  <c r="Q1226" i="2"/>
  <c r="Q1255" i="2"/>
  <c r="Q1217" i="2"/>
  <c r="Q2119" i="2"/>
  <c r="Q2123" i="2"/>
  <c r="Q2127" i="2"/>
  <c r="Q2131" i="2"/>
  <c r="Q2135" i="2"/>
  <c r="Q2139" i="2"/>
  <c r="Q2143" i="2"/>
  <c r="Q2147" i="2"/>
  <c r="Q2052" i="2"/>
  <c r="Q2056" i="2"/>
  <c r="Q2060" i="2"/>
  <c r="Q2064" i="2"/>
  <c r="Q2068" i="2"/>
  <c r="Q2072" i="2"/>
  <c r="Q2076" i="2"/>
  <c r="Q2080" i="2"/>
  <c r="Q1985" i="2"/>
  <c r="Q1989" i="2"/>
  <c r="Q1993" i="2"/>
  <c r="Q2000" i="2"/>
  <c r="Q2007" i="2"/>
  <c r="Q2011" i="2"/>
  <c r="Q2015" i="2"/>
  <c r="Q1920" i="2"/>
  <c r="Q1936" i="2"/>
  <c r="Q1897" i="2"/>
  <c r="Q1615" i="2"/>
  <c r="Q1582" i="2"/>
  <c r="Q1545" i="2"/>
  <c r="Q1507" i="2"/>
  <c r="Q1411" i="2"/>
  <c r="Q1377" i="2"/>
  <c r="Q1338" i="2"/>
  <c r="Q1299" i="2"/>
  <c r="Q1264" i="2"/>
  <c r="Q1229" i="2"/>
  <c r="Q1787" i="2"/>
  <c r="Q1816" i="2"/>
  <c r="Q1776" i="2"/>
  <c r="Q1737" i="2"/>
  <c r="Q1699" i="2"/>
  <c r="Q1661" i="2"/>
  <c r="Q1622" i="2"/>
  <c r="Q1649" i="2"/>
  <c r="Q1609" i="2"/>
  <c r="Q1574" i="2"/>
  <c r="Q1332" i="2"/>
  <c r="Q1298" i="2"/>
  <c r="Q1260" i="2"/>
  <c r="Q1289" i="2"/>
  <c r="Q1250" i="2"/>
  <c r="Q1211" i="2"/>
  <c r="Q1171" i="2"/>
  <c r="Q1997" i="2"/>
  <c r="Q1944" i="2"/>
  <c r="Q1781" i="2"/>
  <c r="Q1742" i="2"/>
  <c r="Q1702" i="2"/>
  <c r="Q1663" i="2"/>
  <c r="Q1624" i="2"/>
  <c r="Q1652" i="2"/>
  <c r="Q1614" i="2"/>
  <c r="Q1569" i="2"/>
  <c r="Q1533" i="2"/>
  <c r="Q1270" i="2"/>
  <c r="Q1234" i="2"/>
  <c r="Q1195" i="2"/>
  <c r="Q1223" i="2"/>
  <c r="Q1186" i="2"/>
  <c r="Q1149" i="2"/>
  <c r="Q1194" i="2"/>
  <c r="Q1221" i="2"/>
  <c r="Q1180" i="2"/>
  <c r="Q1139" i="2"/>
  <c r="R1498" i="2"/>
  <c r="Q1732" i="2"/>
  <c r="Q1694" i="2"/>
  <c r="AB7" i="3"/>
  <c r="AB11" i="3"/>
  <c r="AB15" i="3"/>
  <c r="AB19" i="3"/>
  <c r="AB23" i="3"/>
  <c r="AB27" i="3"/>
  <c r="AB31" i="3"/>
  <c r="AB35" i="3"/>
  <c r="AB8" i="3"/>
  <c r="AB12" i="3"/>
  <c r="AB16" i="3"/>
  <c r="AB20" i="3"/>
  <c r="AB24" i="3"/>
  <c r="AB28" i="3"/>
  <c r="AB32" i="3"/>
  <c r="AB5" i="3"/>
  <c r="AB9" i="3"/>
  <c r="AB13" i="3"/>
  <c r="AB17" i="3"/>
  <c r="AB21" i="3"/>
  <c r="AB25" i="3"/>
  <c r="AB29" i="3"/>
  <c r="AB33" i="3"/>
  <c r="AB6" i="3"/>
  <c r="AB10" i="3"/>
  <c r="AB14" i="3"/>
  <c r="AB18" i="3"/>
  <c r="AB22" i="3"/>
  <c r="AB26" i="3"/>
  <c r="AB30" i="3"/>
  <c r="AB34" i="3"/>
  <c r="AB4" i="3"/>
  <c r="T344" i="3"/>
  <c r="U344" i="3"/>
  <c r="V344" i="3"/>
  <c r="W344" i="3"/>
  <c r="X344" i="3"/>
  <c r="Y344" i="3"/>
  <c r="Z344" i="3"/>
  <c r="AA344" i="3"/>
  <c r="T345" i="3"/>
  <c r="U345" i="3"/>
  <c r="V345" i="3"/>
  <c r="W345" i="3"/>
  <c r="X345" i="3"/>
  <c r="Y345" i="3"/>
  <c r="Z345" i="3"/>
  <c r="AA345" i="3"/>
  <c r="T346" i="3"/>
  <c r="U346" i="3"/>
  <c r="V346" i="3"/>
  <c r="W346" i="3"/>
  <c r="X346" i="3"/>
  <c r="Y346" i="3"/>
  <c r="Z346" i="3"/>
  <c r="AA346" i="3"/>
  <c r="T347" i="3"/>
  <c r="U347" i="3"/>
  <c r="V347" i="3"/>
  <c r="W347" i="3"/>
  <c r="X347" i="3"/>
  <c r="Y347" i="3"/>
  <c r="Z347" i="3"/>
  <c r="AA347" i="3"/>
  <c r="T348" i="3"/>
  <c r="U348" i="3"/>
  <c r="V348" i="3"/>
  <c r="W348" i="3"/>
  <c r="X348" i="3"/>
  <c r="Y348" i="3"/>
  <c r="Z348" i="3"/>
  <c r="AA348" i="3"/>
  <c r="T349" i="3"/>
  <c r="U349" i="3"/>
  <c r="V349" i="3"/>
  <c r="W349" i="3"/>
  <c r="X349" i="3"/>
  <c r="Y349" i="3"/>
  <c r="Z349" i="3"/>
  <c r="AA349" i="3"/>
  <c r="T350" i="3"/>
  <c r="U350" i="3"/>
  <c r="V350" i="3"/>
  <c r="W350" i="3"/>
  <c r="X350" i="3"/>
  <c r="Y350" i="3"/>
  <c r="Z350" i="3"/>
  <c r="AA350" i="3"/>
  <c r="T351" i="3"/>
  <c r="U351" i="3"/>
  <c r="V351" i="3"/>
  <c r="W351" i="3"/>
  <c r="X351" i="3"/>
  <c r="Y351" i="3"/>
  <c r="Z351" i="3"/>
  <c r="AA351" i="3"/>
  <c r="T352" i="3"/>
  <c r="U352" i="3"/>
  <c r="V352" i="3"/>
  <c r="W352" i="3"/>
  <c r="X352" i="3"/>
  <c r="Y352" i="3"/>
  <c r="Z352" i="3"/>
  <c r="AA352" i="3"/>
  <c r="T353" i="3"/>
  <c r="U353" i="3"/>
  <c r="V353" i="3"/>
  <c r="W353" i="3"/>
  <c r="X353" i="3"/>
  <c r="Y353" i="3"/>
  <c r="Z353" i="3"/>
  <c r="AA353" i="3"/>
  <c r="T354" i="3"/>
  <c r="U354" i="3"/>
  <c r="V354" i="3"/>
  <c r="W354" i="3"/>
  <c r="X354" i="3"/>
  <c r="Y354" i="3"/>
  <c r="Z354" i="3"/>
  <c r="AA354" i="3"/>
  <c r="T355" i="3"/>
  <c r="U355" i="3"/>
  <c r="V355" i="3"/>
  <c r="W355" i="3"/>
  <c r="X355" i="3"/>
  <c r="Y355" i="3"/>
  <c r="Z355" i="3"/>
  <c r="AA355" i="3"/>
  <c r="T356" i="3"/>
  <c r="U356" i="3"/>
  <c r="V356" i="3"/>
  <c r="W356" i="3"/>
  <c r="X356" i="3"/>
  <c r="Y356" i="3"/>
  <c r="Z356" i="3"/>
  <c r="AA356" i="3"/>
  <c r="T357" i="3"/>
  <c r="U357" i="3"/>
  <c r="V357" i="3"/>
  <c r="W357" i="3"/>
  <c r="X357" i="3"/>
  <c r="Y357" i="3"/>
  <c r="Z357" i="3"/>
  <c r="AA357" i="3"/>
  <c r="T358" i="3"/>
  <c r="U358" i="3"/>
  <c r="V358" i="3"/>
  <c r="W358" i="3"/>
  <c r="X358" i="3"/>
  <c r="Y358" i="3"/>
  <c r="Z358" i="3"/>
  <c r="AA358" i="3"/>
  <c r="T359" i="3"/>
  <c r="U359" i="3"/>
  <c r="V359" i="3"/>
  <c r="W359" i="3"/>
  <c r="X359" i="3"/>
  <c r="Y359" i="3"/>
  <c r="Z359" i="3"/>
  <c r="AA359" i="3"/>
  <c r="T360" i="3"/>
  <c r="U360" i="3"/>
  <c r="V360" i="3"/>
  <c r="W360" i="3"/>
  <c r="X360" i="3"/>
  <c r="Y360" i="3"/>
  <c r="Z360" i="3"/>
  <c r="AA360" i="3"/>
  <c r="T361" i="3"/>
  <c r="U361" i="3"/>
  <c r="V361" i="3"/>
  <c r="W361" i="3"/>
  <c r="X361" i="3"/>
  <c r="Y361" i="3"/>
  <c r="Z361" i="3"/>
  <c r="AA361" i="3"/>
  <c r="T362" i="3"/>
  <c r="U362" i="3"/>
  <c r="V362" i="3"/>
  <c r="W362" i="3"/>
  <c r="X362" i="3"/>
  <c r="Y362" i="3"/>
  <c r="Z362" i="3"/>
  <c r="AA362" i="3"/>
  <c r="T363" i="3"/>
  <c r="U363" i="3"/>
  <c r="V363" i="3"/>
  <c r="W363" i="3"/>
  <c r="X363" i="3"/>
  <c r="Y363" i="3"/>
  <c r="Z363" i="3"/>
  <c r="AA363" i="3"/>
  <c r="T364" i="3"/>
  <c r="U364" i="3"/>
  <c r="V364" i="3"/>
  <c r="W364" i="3"/>
  <c r="X364" i="3"/>
  <c r="Y364" i="3"/>
  <c r="Z364" i="3"/>
  <c r="AA364" i="3"/>
  <c r="T365" i="3"/>
  <c r="U365" i="3"/>
  <c r="V365" i="3"/>
  <c r="W365" i="3"/>
  <c r="X365" i="3"/>
  <c r="Y365" i="3"/>
  <c r="Z365" i="3"/>
  <c r="AA365" i="3"/>
  <c r="T366" i="3"/>
  <c r="U366" i="3"/>
  <c r="V366" i="3"/>
  <c r="W366" i="3"/>
  <c r="X366" i="3"/>
  <c r="Y366" i="3"/>
  <c r="Z366" i="3"/>
  <c r="AA366" i="3"/>
  <c r="T367" i="3"/>
  <c r="U367" i="3"/>
  <c r="V367" i="3"/>
  <c r="W367" i="3"/>
  <c r="X367" i="3"/>
  <c r="Y367" i="3"/>
  <c r="Z367" i="3"/>
  <c r="AA367" i="3"/>
  <c r="T368" i="3"/>
  <c r="U368" i="3"/>
  <c r="V368" i="3"/>
  <c r="W368" i="3"/>
  <c r="X368" i="3"/>
  <c r="Y368" i="3"/>
  <c r="Z368" i="3"/>
  <c r="AA368" i="3"/>
  <c r="T369" i="3"/>
  <c r="U369" i="3"/>
  <c r="V369" i="3"/>
  <c r="W369" i="3"/>
  <c r="X369" i="3"/>
  <c r="Y369" i="3"/>
  <c r="Z369" i="3"/>
  <c r="AA369" i="3"/>
  <c r="T370" i="3"/>
  <c r="U370" i="3"/>
  <c r="V370" i="3"/>
  <c r="W370" i="3"/>
  <c r="X370" i="3"/>
  <c r="Y370" i="3"/>
  <c r="Z370" i="3"/>
  <c r="AA370" i="3"/>
  <c r="T371" i="3"/>
  <c r="U371" i="3"/>
  <c r="V371" i="3"/>
  <c r="W371" i="3"/>
  <c r="X371" i="3"/>
  <c r="Y371" i="3"/>
  <c r="Z371" i="3"/>
  <c r="AA371" i="3"/>
  <c r="T372" i="3"/>
  <c r="U372" i="3"/>
  <c r="V372" i="3"/>
  <c r="W372" i="3"/>
  <c r="X372" i="3"/>
  <c r="Y372" i="3"/>
  <c r="Z372" i="3"/>
  <c r="AA372" i="3"/>
  <c r="T373" i="3"/>
  <c r="U373" i="3"/>
  <c r="V373" i="3"/>
  <c r="W373" i="3"/>
  <c r="X373" i="3"/>
  <c r="Y373" i="3"/>
  <c r="Z373" i="3"/>
  <c r="AA373" i="3"/>
  <c r="T374" i="3"/>
  <c r="U374" i="3"/>
  <c r="V374" i="3"/>
  <c r="W374" i="3"/>
  <c r="X374" i="3"/>
  <c r="Y374" i="3"/>
  <c r="Z374" i="3"/>
  <c r="AA374" i="3"/>
  <c r="T375" i="3"/>
  <c r="U375" i="3"/>
  <c r="V375" i="3"/>
  <c r="W375" i="3"/>
  <c r="X375" i="3"/>
  <c r="Y375" i="3"/>
  <c r="Z375" i="3"/>
  <c r="AA375" i="3"/>
  <c r="U343" i="3"/>
  <c r="V343" i="3"/>
  <c r="W343" i="3"/>
  <c r="X343" i="3"/>
  <c r="Y343" i="3"/>
  <c r="Z343" i="3"/>
  <c r="AA343" i="3"/>
  <c r="T343" i="3"/>
  <c r="V310" i="3"/>
  <c r="AA311" i="3"/>
  <c r="U310" i="3"/>
  <c r="Z310" i="3"/>
  <c r="X310" i="3"/>
  <c r="T310" i="3"/>
  <c r="W310" i="3"/>
  <c r="Y310" i="3"/>
  <c r="W311" i="3"/>
  <c r="Y311" i="3"/>
  <c r="W312" i="3"/>
  <c r="Y312" i="3"/>
  <c r="W313" i="3"/>
  <c r="Y313" i="3"/>
  <c r="W314" i="3"/>
  <c r="Y314" i="3"/>
  <c r="W315" i="3"/>
  <c r="Y315" i="3"/>
  <c r="W316" i="3"/>
  <c r="Y316" i="3"/>
  <c r="W317" i="3"/>
  <c r="Y317" i="3"/>
  <c r="W318" i="3"/>
  <c r="Y318" i="3"/>
  <c r="W319" i="3"/>
  <c r="Y319" i="3"/>
  <c r="W320" i="3"/>
  <c r="Y320" i="3"/>
  <c r="W321" i="3"/>
  <c r="Y321" i="3"/>
  <c r="W322" i="3"/>
  <c r="Y322" i="3"/>
  <c r="W323" i="3"/>
  <c r="Y323" i="3"/>
  <c r="W324" i="3"/>
  <c r="Y324" i="3"/>
  <c r="W325" i="3"/>
  <c r="Y325" i="3"/>
  <c r="W326" i="3"/>
  <c r="Y326" i="3"/>
  <c r="W327" i="3"/>
  <c r="Y327" i="3"/>
  <c r="W328" i="3"/>
  <c r="Y328" i="3"/>
  <c r="W329" i="3"/>
  <c r="Y329" i="3"/>
  <c r="W330" i="3"/>
  <c r="Y330" i="3"/>
  <c r="W331" i="3"/>
  <c r="Y331" i="3"/>
  <c r="W332" i="3"/>
  <c r="Y332" i="3"/>
  <c r="W333" i="3"/>
  <c r="Y333" i="3"/>
  <c r="W334" i="3"/>
  <c r="Y334" i="3"/>
  <c r="W335" i="3"/>
  <c r="Y335" i="3"/>
  <c r="W336" i="3"/>
  <c r="Y336" i="3"/>
  <c r="W337" i="3"/>
  <c r="Y337" i="3"/>
  <c r="W338" i="3"/>
  <c r="Y338" i="3"/>
  <c r="W339" i="3"/>
  <c r="Y339" i="3"/>
  <c r="W340" i="3"/>
  <c r="Y340" i="3"/>
  <c r="W341" i="3"/>
  <c r="Y341" i="3"/>
  <c r="V309" i="3"/>
  <c r="W309" i="3"/>
  <c r="X309" i="3"/>
  <c r="Y309" i="3"/>
  <c r="Z309" i="3"/>
  <c r="T276" i="3"/>
  <c r="U276" i="3"/>
  <c r="V276" i="3"/>
  <c r="W276" i="3"/>
  <c r="X276" i="3"/>
  <c r="Y276" i="3"/>
  <c r="Z276" i="3"/>
  <c r="AA276" i="3"/>
  <c r="T277" i="3"/>
  <c r="U277" i="3"/>
  <c r="V277" i="3"/>
  <c r="W277" i="3"/>
  <c r="X277" i="3"/>
  <c r="Y277" i="3"/>
  <c r="Z277" i="3"/>
  <c r="AA277" i="3"/>
  <c r="T278" i="3"/>
  <c r="U278" i="3"/>
  <c r="V278" i="3"/>
  <c r="W278" i="3"/>
  <c r="X278" i="3"/>
  <c r="Y278" i="3"/>
  <c r="Z278" i="3"/>
  <c r="AA278" i="3"/>
  <c r="T279" i="3"/>
  <c r="U279" i="3"/>
  <c r="V279" i="3"/>
  <c r="W279" i="3"/>
  <c r="X279" i="3"/>
  <c r="Y279" i="3"/>
  <c r="Z279" i="3"/>
  <c r="AA279" i="3"/>
  <c r="T280" i="3"/>
  <c r="U280" i="3"/>
  <c r="V280" i="3"/>
  <c r="W280" i="3"/>
  <c r="X280" i="3"/>
  <c r="Y280" i="3"/>
  <c r="Z280" i="3"/>
  <c r="AA280" i="3"/>
  <c r="T281" i="3"/>
  <c r="U281" i="3"/>
  <c r="V281" i="3"/>
  <c r="W281" i="3"/>
  <c r="X281" i="3"/>
  <c r="Y281" i="3"/>
  <c r="Z281" i="3"/>
  <c r="AA281" i="3"/>
  <c r="T282" i="3"/>
  <c r="U282" i="3"/>
  <c r="V282" i="3"/>
  <c r="W282" i="3"/>
  <c r="X282" i="3"/>
  <c r="Y282" i="3"/>
  <c r="Z282" i="3"/>
  <c r="AA282" i="3"/>
  <c r="T283" i="3"/>
  <c r="U283" i="3"/>
  <c r="V283" i="3"/>
  <c r="W283" i="3"/>
  <c r="X283" i="3"/>
  <c r="Y283" i="3"/>
  <c r="Z283" i="3"/>
  <c r="AA283" i="3"/>
  <c r="T284" i="3"/>
  <c r="U284" i="3"/>
  <c r="V284" i="3"/>
  <c r="W284" i="3"/>
  <c r="X284" i="3"/>
  <c r="Y284" i="3"/>
  <c r="Z284" i="3"/>
  <c r="AA284" i="3"/>
  <c r="T285" i="3"/>
  <c r="U285" i="3"/>
  <c r="V285" i="3"/>
  <c r="W285" i="3"/>
  <c r="X285" i="3"/>
  <c r="Y285" i="3"/>
  <c r="Z285" i="3"/>
  <c r="AA285" i="3"/>
  <c r="T286" i="3"/>
  <c r="U286" i="3"/>
  <c r="V286" i="3"/>
  <c r="W286" i="3"/>
  <c r="X286" i="3"/>
  <c r="Y286" i="3"/>
  <c r="Z286" i="3"/>
  <c r="AA286" i="3"/>
  <c r="T287" i="3"/>
  <c r="U287" i="3"/>
  <c r="V287" i="3"/>
  <c r="W287" i="3"/>
  <c r="X287" i="3"/>
  <c r="Y287" i="3"/>
  <c r="Z287" i="3"/>
  <c r="AA287" i="3"/>
  <c r="T288" i="3"/>
  <c r="U288" i="3"/>
  <c r="V288" i="3"/>
  <c r="W288" i="3"/>
  <c r="X288" i="3"/>
  <c r="Y288" i="3"/>
  <c r="Z288" i="3"/>
  <c r="AA288" i="3"/>
  <c r="T289" i="3"/>
  <c r="U289" i="3"/>
  <c r="V289" i="3"/>
  <c r="W289" i="3"/>
  <c r="X289" i="3"/>
  <c r="Y289" i="3"/>
  <c r="Z289" i="3"/>
  <c r="AA289" i="3"/>
  <c r="T290" i="3"/>
  <c r="U290" i="3"/>
  <c r="V290" i="3"/>
  <c r="W290" i="3"/>
  <c r="X290" i="3"/>
  <c r="Y290" i="3"/>
  <c r="Z290" i="3"/>
  <c r="AA290" i="3"/>
  <c r="T291" i="3"/>
  <c r="U291" i="3"/>
  <c r="V291" i="3"/>
  <c r="W291" i="3"/>
  <c r="X291" i="3"/>
  <c r="Y291" i="3"/>
  <c r="Z291" i="3"/>
  <c r="AA291" i="3"/>
  <c r="T292" i="3"/>
  <c r="U292" i="3"/>
  <c r="V292" i="3"/>
  <c r="W292" i="3"/>
  <c r="X292" i="3"/>
  <c r="Y292" i="3"/>
  <c r="Z292" i="3"/>
  <c r="AA292" i="3"/>
  <c r="T293" i="3"/>
  <c r="U293" i="3"/>
  <c r="V293" i="3"/>
  <c r="W293" i="3"/>
  <c r="X293" i="3"/>
  <c r="Y293" i="3"/>
  <c r="Z293" i="3"/>
  <c r="AA293" i="3"/>
  <c r="T294" i="3"/>
  <c r="U294" i="3"/>
  <c r="V294" i="3"/>
  <c r="W294" i="3"/>
  <c r="X294" i="3"/>
  <c r="Y294" i="3"/>
  <c r="Z294" i="3"/>
  <c r="AA294" i="3"/>
  <c r="T295" i="3"/>
  <c r="U295" i="3"/>
  <c r="V295" i="3"/>
  <c r="W295" i="3"/>
  <c r="X295" i="3"/>
  <c r="Y295" i="3"/>
  <c r="Z295" i="3"/>
  <c r="AA295" i="3"/>
  <c r="T296" i="3"/>
  <c r="U296" i="3"/>
  <c r="V296" i="3"/>
  <c r="W296" i="3"/>
  <c r="X296" i="3"/>
  <c r="Y296" i="3"/>
  <c r="Z296" i="3"/>
  <c r="AA296" i="3"/>
  <c r="T297" i="3"/>
  <c r="U297" i="3"/>
  <c r="V297" i="3"/>
  <c r="W297" i="3"/>
  <c r="X297" i="3"/>
  <c r="Y297" i="3"/>
  <c r="Z297" i="3"/>
  <c r="AA297" i="3"/>
  <c r="T298" i="3"/>
  <c r="U298" i="3"/>
  <c r="V298" i="3"/>
  <c r="W298" i="3"/>
  <c r="X298" i="3"/>
  <c r="Y298" i="3"/>
  <c r="Z298" i="3"/>
  <c r="AA298" i="3"/>
  <c r="T299" i="3"/>
  <c r="U299" i="3"/>
  <c r="V299" i="3"/>
  <c r="W299" i="3"/>
  <c r="X299" i="3"/>
  <c r="Y299" i="3"/>
  <c r="Z299" i="3"/>
  <c r="AA299" i="3"/>
  <c r="T300" i="3"/>
  <c r="U300" i="3"/>
  <c r="V300" i="3"/>
  <c r="W300" i="3"/>
  <c r="X300" i="3"/>
  <c r="Y300" i="3"/>
  <c r="Z300" i="3"/>
  <c r="AA300" i="3"/>
  <c r="T301" i="3"/>
  <c r="U301" i="3"/>
  <c r="V301" i="3"/>
  <c r="W301" i="3"/>
  <c r="X301" i="3"/>
  <c r="Y301" i="3"/>
  <c r="Z301" i="3"/>
  <c r="AA301" i="3"/>
  <c r="T302" i="3"/>
  <c r="U302" i="3"/>
  <c r="V302" i="3"/>
  <c r="W302" i="3"/>
  <c r="X302" i="3"/>
  <c r="Y302" i="3"/>
  <c r="Z302" i="3"/>
  <c r="AA302" i="3"/>
  <c r="T303" i="3"/>
  <c r="U303" i="3"/>
  <c r="V303" i="3"/>
  <c r="W303" i="3"/>
  <c r="X303" i="3"/>
  <c r="Y303" i="3"/>
  <c r="Z303" i="3"/>
  <c r="AA303" i="3"/>
  <c r="T304" i="3"/>
  <c r="U304" i="3"/>
  <c r="V304" i="3"/>
  <c r="W304" i="3"/>
  <c r="X304" i="3"/>
  <c r="Y304" i="3"/>
  <c r="Z304" i="3"/>
  <c r="AA304" i="3"/>
  <c r="T305" i="3"/>
  <c r="U305" i="3"/>
  <c r="V305" i="3"/>
  <c r="W305" i="3"/>
  <c r="X305" i="3"/>
  <c r="Y305" i="3"/>
  <c r="Z305" i="3"/>
  <c r="AA305" i="3"/>
  <c r="T306" i="3"/>
  <c r="U306" i="3"/>
  <c r="V306" i="3"/>
  <c r="W306" i="3"/>
  <c r="X306" i="3"/>
  <c r="Y306" i="3"/>
  <c r="Z306" i="3"/>
  <c r="AA306" i="3"/>
  <c r="T307" i="3"/>
  <c r="U307" i="3"/>
  <c r="V307" i="3"/>
  <c r="W307" i="3"/>
  <c r="X307" i="3"/>
  <c r="Y307" i="3"/>
  <c r="Z307" i="3"/>
  <c r="AA307" i="3"/>
  <c r="AB308" i="3"/>
  <c r="AB342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U275" i="3"/>
  <c r="V275" i="3"/>
  <c r="W275" i="3"/>
  <c r="X275" i="3"/>
  <c r="Y275" i="3"/>
  <c r="Z275" i="3"/>
  <c r="AA275" i="3"/>
  <c r="T275" i="3"/>
  <c r="T242" i="3"/>
  <c r="U242" i="3"/>
  <c r="V242" i="3"/>
  <c r="W242" i="3"/>
  <c r="X242" i="3"/>
  <c r="Y242" i="3"/>
  <c r="Z242" i="3"/>
  <c r="AA242" i="3"/>
  <c r="T243" i="3"/>
  <c r="U243" i="3"/>
  <c r="V243" i="3"/>
  <c r="W243" i="3"/>
  <c r="X243" i="3"/>
  <c r="Y243" i="3"/>
  <c r="Z243" i="3"/>
  <c r="AA243" i="3"/>
  <c r="T244" i="3"/>
  <c r="U244" i="3"/>
  <c r="V244" i="3"/>
  <c r="W244" i="3"/>
  <c r="X244" i="3"/>
  <c r="Y244" i="3"/>
  <c r="Z244" i="3"/>
  <c r="AA244" i="3"/>
  <c r="T245" i="3"/>
  <c r="U245" i="3"/>
  <c r="V245" i="3"/>
  <c r="W245" i="3"/>
  <c r="X245" i="3"/>
  <c r="Y245" i="3"/>
  <c r="Z245" i="3"/>
  <c r="AA245" i="3"/>
  <c r="T246" i="3"/>
  <c r="U246" i="3"/>
  <c r="V246" i="3"/>
  <c r="W246" i="3"/>
  <c r="X246" i="3"/>
  <c r="Y246" i="3"/>
  <c r="Z246" i="3"/>
  <c r="AA246" i="3"/>
  <c r="T247" i="3"/>
  <c r="U247" i="3"/>
  <c r="V247" i="3"/>
  <c r="W247" i="3"/>
  <c r="X247" i="3"/>
  <c r="Y247" i="3"/>
  <c r="Z247" i="3"/>
  <c r="AA247" i="3"/>
  <c r="T248" i="3"/>
  <c r="U248" i="3"/>
  <c r="V248" i="3"/>
  <c r="W248" i="3"/>
  <c r="X248" i="3"/>
  <c r="Y248" i="3"/>
  <c r="Z248" i="3"/>
  <c r="AA248" i="3"/>
  <c r="T249" i="3"/>
  <c r="U249" i="3"/>
  <c r="V249" i="3"/>
  <c r="W249" i="3"/>
  <c r="X249" i="3"/>
  <c r="Y249" i="3"/>
  <c r="Z249" i="3"/>
  <c r="AA249" i="3"/>
  <c r="T250" i="3"/>
  <c r="U250" i="3"/>
  <c r="V250" i="3"/>
  <c r="W250" i="3"/>
  <c r="X250" i="3"/>
  <c r="Y250" i="3"/>
  <c r="Z250" i="3"/>
  <c r="AA250" i="3"/>
  <c r="T251" i="3"/>
  <c r="U251" i="3"/>
  <c r="V251" i="3"/>
  <c r="W251" i="3"/>
  <c r="X251" i="3"/>
  <c r="Y251" i="3"/>
  <c r="Z251" i="3"/>
  <c r="AA251" i="3"/>
  <c r="T252" i="3"/>
  <c r="U252" i="3"/>
  <c r="V252" i="3"/>
  <c r="W252" i="3"/>
  <c r="X252" i="3"/>
  <c r="Y252" i="3"/>
  <c r="Z252" i="3"/>
  <c r="AA252" i="3"/>
  <c r="T253" i="3"/>
  <c r="U253" i="3"/>
  <c r="V253" i="3"/>
  <c r="W253" i="3"/>
  <c r="X253" i="3"/>
  <c r="Y253" i="3"/>
  <c r="Z253" i="3"/>
  <c r="AA253" i="3"/>
  <c r="T254" i="3"/>
  <c r="U254" i="3"/>
  <c r="V254" i="3"/>
  <c r="W254" i="3"/>
  <c r="X254" i="3"/>
  <c r="Y254" i="3"/>
  <c r="Z254" i="3"/>
  <c r="AA254" i="3"/>
  <c r="T255" i="3"/>
  <c r="U255" i="3"/>
  <c r="V255" i="3"/>
  <c r="W255" i="3"/>
  <c r="X255" i="3"/>
  <c r="Y255" i="3"/>
  <c r="Z255" i="3"/>
  <c r="AA255" i="3"/>
  <c r="T256" i="3"/>
  <c r="U256" i="3"/>
  <c r="V256" i="3"/>
  <c r="W256" i="3"/>
  <c r="X256" i="3"/>
  <c r="Y256" i="3"/>
  <c r="Z256" i="3"/>
  <c r="AA256" i="3"/>
  <c r="T257" i="3"/>
  <c r="U257" i="3"/>
  <c r="V257" i="3"/>
  <c r="W257" i="3"/>
  <c r="X257" i="3"/>
  <c r="Y257" i="3"/>
  <c r="Z257" i="3"/>
  <c r="AA257" i="3"/>
  <c r="T258" i="3"/>
  <c r="U258" i="3"/>
  <c r="V258" i="3"/>
  <c r="W258" i="3"/>
  <c r="X258" i="3"/>
  <c r="Y258" i="3"/>
  <c r="Z258" i="3"/>
  <c r="AA258" i="3"/>
  <c r="T259" i="3"/>
  <c r="U259" i="3"/>
  <c r="V259" i="3"/>
  <c r="W259" i="3"/>
  <c r="X259" i="3"/>
  <c r="Y259" i="3"/>
  <c r="Z259" i="3"/>
  <c r="AA259" i="3"/>
  <c r="T260" i="3"/>
  <c r="U260" i="3"/>
  <c r="V260" i="3"/>
  <c r="W260" i="3"/>
  <c r="X260" i="3"/>
  <c r="Y260" i="3"/>
  <c r="Z260" i="3"/>
  <c r="AA260" i="3"/>
  <c r="T261" i="3"/>
  <c r="U261" i="3"/>
  <c r="V261" i="3"/>
  <c r="W261" i="3"/>
  <c r="X261" i="3"/>
  <c r="Y261" i="3"/>
  <c r="Z261" i="3"/>
  <c r="AA261" i="3"/>
  <c r="T262" i="3"/>
  <c r="U262" i="3"/>
  <c r="V262" i="3"/>
  <c r="W262" i="3"/>
  <c r="X262" i="3"/>
  <c r="Y262" i="3"/>
  <c r="Z262" i="3"/>
  <c r="AA262" i="3"/>
  <c r="T263" i="3"/>
  <c r="U263" i="3"/>
  <c r="V263" i="3"/>
  <c r="W263" i="3"/>
  <c r="X263" i="3"/>
  <c r="Y263" i="3"/>
  <c r="Z263" i="3"/>
  <c r="AA263" i="3"/>
  <c r="T264" i="3"/>
  <c r="U264" i="3"/>
  <c r="V264" i="3"/>
  <c r="W264" i="3"/>
  <c r="X264" i="3"/>
  <c r="Y264" i="3"/>
  <c r="Z264" i="3"/>
  <c r="AA264" i="3"/>
  <c r="T265" i="3"/>
  <c r="U265" i="3"/>
  <c r="V265" i="3"/>
  <c r="W265" i="3"/>
  <c r="X265" i="3"/>
  <c r="Y265" i="3"/>
  <c r="Z265" i="3"/>
  <c r="AA265" i="3"/>
  <c r="T266" i="3"/>
  <c r="U266" i="3"/>
  <c r="V266" i="3"/>
  <c r="W266" i="3"/>
  <c r="X266" i="3"/>
  <c r="Y266" i="3"/>
  <c r="Z266" i="3"/>
  <c r="AA266" i="3"/>
  <c r="T267" i="3"/>
  <c r="U267" i="3"/>
  <c r="V267" i="3"/>
  <c r="W267" i="3"/>
  <c r="X267" i="3"/>
  <c r="Y267" i="3"/>
  <c r="Z267" i="3"/>
  <c r="AA267" i="3"/>
  <c r="T268" i="3"/>
  <c r="U268" i="3"/>
  <c r="V268" i="3"/>
  <c r="W268" i="3"/>
  <c r="X268" i="3"/>
  <c r="Y268" i="3"/>
  <c r="Z268" i="3"/>
  <c r="AA268" i="3"/>
  <c r="T269" i="3"/>
  <c r="U269" i="3"/>
  <c r="V269" i="3"/>
  <c r="W269" i="3"/>
  <c r="X269" i="3"/>
  <c r="Y269" i="3"/>
  <c r="Z269" i="3"/>
  <c r="AA269" i="3"/>
  <c r="T270" i="3"/>
  <c r="U270" i="3"/>
  <c r="V270" i="3"/>
  <c r="W270" i="3"/>
  <c r="X270" i="3"/>
  <c r="Y270" i="3"/>
  <c r="Z270" i="3"/>
  <c r="AA270" i="3"/>
  <c r="T271" i="3"/>
  <c r="U271" i="3"/>
  <c r="V271" i="3"/>
  <c r="W271" i="3"/>
  <c r="X271" i="3"/>
  <c r="Y271" i="3"/>
  <c r="Z271" i="3"/>
  <c r="AA271" i="3"/>
  <c r="T272" i="3"/>
  <c r="U272" i="3"/>
  <c r="V272" i="3"/>
  <c r="W272" i="3"/>
  <c r="X272" i="3"/>
  <c r="Y272" i="3"/>
  <c r="Z272" i="3"/>
  <c r="AA272" i="3"/>
  <c r="T273" i="3"/>
  <c r="U273" i="3"/>
  <c r="V273" i="3"/>
  <c r="W273" i="3"/>
  <c r="X273" i="3"/>
  <c r="Y273" i="3"/>
  <c r="Z273" i="3"/>
  <c r="AA273" i="3"/>
  <c r="U241" i="3"/>
  <c r="V241" i="3"/>
  <c r="W241" i="3"/>
  <c r="X241" i="3"/>
  <c r="Y241" i="3"/>
  <c r="Z241" i="3"/>
  <c r="AA241" i="3"/>
  <c r="T241" i="3"/>
  <c r="T208" i="3"/>
  <c r="U208" i="3"/>
  <c r="V208" i="3"/>
  <c r="W208" i="3"/>
  <c r="X208" i="3"/>
  <c r="Y208" i="3"/>
  <c r="Z208" i="3"/>
  <c r="AA208" i="3"/>
  <c r="T209" i="3"/>
  <c r="U209" i="3"/>
  <c r="V209" i="3"/>
  <c r="W209" i="3"/>
  <c r="X209" i="3"/>
  <c r="Y209" i="3"/>
  <c r="Z209" i="3"/>
  <c r="AA209" i="3"/>
  <c r="T210" i="3"/>
  <c r="U210" i="3"/>
  <c r="V210" i="3"/>
  <c r="W210" i="3"/>
  <c r="X210" i="3"/>
  <c r="Y210" i="3"/>
  <c r="Z210" i="3"/>
  <c r="AA210" i="3"/>
  <c r="T211" i="3"/>
  <c r="U211" i="3"/>
  <c r="V211" i="3"/>
  <c r="W211" i="3"/>
  <c r="X211" i="3"/>
  <c r="Y211" i="3"/>
  <c r="Z211" i="3"/>
  <c r="AA211" i="3"/>
  <c r="T212" i="3"/>
  <c r="U212" i="3"/>
  <c r="V212" i="3"/>
  <c r="W212" i="3"/>
  <c r="X212" i="3"/>
  <c r="Y212" i="3"/>
  <c r="Z212" i="3"/>
  <c r="AA212" i="3"/>
  <c r="T213" i="3"/>
  <c r="U213" i="3"/>
  <c r="V213" i="3"/>
  <c r="W213" i="3"/>
  <c r="X213" i="3"/>
  <c r="Y213" i="3"/>
  <c r="Z213" i="3"/>
  <c r="AA213" i="3"/>
  <c r="T214" i="3"/>
  <c r="U214" i="3"/>
  <c r="V214" i="3"/>
  <c r="W214" i="3"/>
  <c r="X214" i="3"/>
  <c r="Y214" i="3"/>
  <c r="Z214" i="3"/>
  <c r="AA214" i="3"/>
  <c r="T215" i="3"/>
  <c r="U215" i="3"/>
  <c r="V215" i="3"/>
  <c r="W215" i="3"/>
  <c r="X215" i="3"/>
  <c r="Y215" i="3"/>
  <c r="Z215" i="3"/>
  <c r="AA215" i="3"/>
  <c r="T216" i="3"/>
  <c r="U216" i="3"/>
  <c r="V216" i="3"/>
  <c r="W216" i="3"/>
  <c r="X216" i="3"/>
  <c r="Y216" i="3"/>
  <c r="Z216" i="3"/>
  <c r="AA216" i="3"/>
  <c r="T217" i="3"/>
  <c r="U217" i="3"/>
  <c r="V217" i="3"/>
  <c r="W217" i="3"/>
  <c r="X217" i="3"/>
  <c r="Y217" i="3"/>
  <c r="Z217" i="3"/>
  <c r="AA217" i="3"/>
  <c r="T218" i="3"/>
  <c r="U218" i="3"/>
  <c r="V218" i="3"/>
  <c r="W218" i="3"/>
  <c r="X218" i="3"/>
  <c r="Y218" i="3"/>
  <c r="Z218" i="3"/>
  <c r="AA218" i="3"/>
  <c r="T219" i="3"/>
  <c r="U219" i="3"/>
  <c r="V219" i="3"/>
  <c r="W219" i="3"/>
  <c r="X219" i="3"/>
  <c r="Y219" i="3"/>
  <c r="Z219" i="3"/>
  <c r="AA219" i="3"/>
  <c r="T220" i="3"/>
  <c r="U220" i="3"/>
  <c r="V220" i="3"/>
  <c r="W220" i="3"/>
  <c r="X220" i="3"/>
  <c r="Y220" i="3"/>
  <c r="Z220" i="3"/>
  <c r="AA220" i="3"/>
  <c r="T221" i="3"/>
  <c r="U221" i="3"/>
  <c r="V221" i="3"/>
  <c r="W221" i="3"/>
  <c r="X221" i="3"/>
  <c r="Y221" i="3"/>
  <c r="Z221" i="3"/>
  <c r="AA221" i="3"/>
  <c r="T222" i="3"/>
  <c r="U222" i="3"/>
  <c r="V222" i="3"/>
  <c r="W222" i="3"/>
  <c r="X222" i="3"/>
  <c r="Y222" i="3"/>
  <c r="Z222" i="3"/>
  <c r="AA222" i="3"/>
  <c r="T223" i="3"/>
  <c r="U223" i="3"/>
  <c r="V223" i="3"/>
  <c r="W223" i="3"/>
  <c r="X223" i="3"/>
  <c r="Y223" i="3"/>
  <c r="Z223" i="3"/>
  <c r="AA223" i="3"/>
  <c r="T224" i="3"/>
  <c r="U224" i="3"/>
  <c r="V224" i="3"/>
  <c r="W224" i="3"/>
  <c r="X224" i="3"/>
  <c r="Y224" i="3"/>
  <c r="Z224" i="3"/>
  <c r="AA224" i="3"/>
  <c r="T225" i="3"/>
  <c r="U225" i="3"/>
  <c r="V225" i="3"/>
  <c r="W225" i="3"/>
  <c r="X225" i="3"/>
  <c r="Y225" i="3"/>
  <c r="Z225" i="3"/>
  <c r="AA225" i="3"/>
  <c r="T226" i="3"/>
  <c r="U226" i="3"/>
  <c r="V226" i="3"/>
  <c r="W226" i="3"/>
  <c r="X226" i="3"/>
  <c r="Y226" i="3"/>
  <c r="Z226" i="3"/>
  <c r="AA226" i="3"/>
  <c r="T227" i="3"/>
  <c r="U227" i="3"/>
  <c r="V227" i="3"/>
  <c r="W227" i="3"/>
  <c r="X227" i="3"/>
  <c r="Y227" i="3"/>
  <c r="Z227" i="3"/>
  <c r="AA227" i="3"/>
  <c r="T228" i="3"/>
  <c r="U228" i="3"/>
  <c r="V228" i="3"/>
  <c r="W228" i="3"/>
  <c r="X228" i="3"/>
  <c r="Y228" i="3"/>
  <c r="Z228" i="3"/>
  <c r="AA228" i="3"/>
  <c r="T229" i="3"/>
  <c r="U229" i="3"/>
  <c r="V229" i="3"/>
  <c r="W229" i="3"/>
  <c r="X229" i="3"/>
  <c r="Y229" i="3"/>
  <c r="Z229" i="3"/>
  <c r="AA229" i="3"/>
  <c r="T230" i="3"/>
  <c r="U230" i="3"/>
  <c r="V230" i="3"/>
  <c r="W230" i="3"/>
  <c r="X230" i="3"/>
  <c r="Y230" i="3"/>
  <c r="Z230" i="3"/>
  <c r="AA230" i="3"/>
  <c r="T231" i="3"/>
  <c r="U231" i="3"/>
  <c r="V231" i="3"/>
  <c r="W231" i="3"/>
  <c r="X231" i="3"/>
  <c r="Y231" i="3"/>
  <c r="Z231" i="3"/>
  <c r="AA231" i="3"/>
  <c r="T232" i="3"/>
  <c r="U232" i="3"/>
  <c r="V232" i="3"/>
  <c r="W232" i="3"/>
  <c r="X232" i="3"/>
  <c r="Y232" i="3"/>
  <c r="Z232" i="3"/>
  <c r="AA232" i="3"/>
  <c r="T233" i="3"/>
  <c r="U233" i="3"/>
  <c r="V233" i="3"/>
  <c r="W233" i="3"/>
  <c r="X233" i="3"/>
  <c r="Y233" i="3"/>
  <c r="Z233" i="3"/>
  <c r="AA233" i="3"/>
  <c r="T234" i="3"/>
  <c r="U234" i="3"/>
  <c r="V234" i="3"/>
  <c r="W234" i="3"/>
  <c r="X234" i="3"/>
  <c r="Y234" i="3"/>
  <c r="Z234" i="3"/>
  <c r="AA234" i="3"/>
  <c r="T235" i="3"/>
  <c r="U235" i="3"/>
  <c r="V235" i="3"/>
  <c r="W235" i="3"/>
  <c r="X235" i="3"/>
  <c r="Y235" i="3"/>
  <c r="Z235" i="3"/>
  <c r="AA235" i="3"/>
  <c r="T236" i="3"/>
  <c r="U236" i="3"/>
  <c r="V236" i="3"/>
  <c r="W236" i="3"/>
  <c r="X236" i="3"/>
  <c r="Y236" i="3"/>
  <c r="Z236" i="3"/>
  <c r="AA236" i="3"/>
  <c r="T237" i="3"/>
  <c r="U237" i="3"/>
  <c r="V237" i="3"/>
  <c r="W237" i="3"/>
  <c r="X237" i="3"/>
  <c r="Y237" i="3"/>
  <c r="Z237" i="3"/>
  <c r="AA237" i="3"/>
  <c r="T238" i="3"/>
  <c r="U238" i="3"/>
  <c r="V238" i="3"/>
  <c r="W238" i="3"/>
  <c r="X238" i="3"/>
  <c r="Y238" i="3"/>
  <c r="Z238" i="3"/>
  <c r="AA238" i="3"/>
  <c r="T239" i="3"/>
  <c r="U239" i="3"/>
  <c r="V239" i="3"/>
  <c r="W239" i="3"/>
  <c r="X239" i="3"/>
  <c r="Y239" i="3"/>
  <c r="Z239" i="3"/>
  <c r="AA239" i="3"/>
  <c r="U207" i="3"/>
  <c r="V207" i="3"/>
  <c r="W207" i="3"/>
  <c r="X207" i="3"/>
  <c r="Y207" i="3"/>
  <c r="Z207" i="3"/>
  <c r="AA207" i="3"/>
  <c r="T207" i="3"/>
  <c r="T174" i="3"/>
  <c r="U174" i="3"/>
  <c r="V174" i="3"/>
  <c r="W174" i="3"/>
  <c r="X174" i="3"/>
  <c r="Y174" i="3"/>
  <c r="Z174" i="3"/>
  <c r="AA174" i="3"/>
  <c r="T175" i="3"/>
  <c r="U175" i="3"/>
  <c r="V175" i="3"/>
  <c r="W175" i="3"/>
  <c r="X175" i="3"/>
  <c r="Y175" i="3"/>
  <c r="Z175" i="3"/>
  <c r="AA175" i="3"/>
  <c r="T176" i="3"/>
  <c r="U176" i="3"/>
  <c r="V176" i="3"/>
  <c r="W176" i="3"/>
  <c r="X176" i="3"/>
  <c r="Y176" i="3"/>
  <c r="Z176" i="3"/>
  <c r="AA176" i="3"/>
  <c r="T177" i="3"/>
  <c r="U177" i="3"/>
  <c r="V177" i="3"/>
  <c r="W177" i="3"/>
  <c r="X177" i="3"/>
  <c r="Y177" i="3"/>
  <c r="Z177" i="3"/>
  <c r="AA177" i="3"/>
  <c r="T178" i="3"/>
  <c r="U178" i="3"/>
  <c r="V178" i="3"/>
  <c r="W178" i="3"/>
  <c r="X178" i="3"/>
  <c r="Y178" i="3"/>
  <c r="Z178" i="3"/>
  <c r="AA178" i="3"/>
  <c r="T179" i="3"/>
  <c r="U179" i="3"/>
  <c r="V179" i="3"/>
  <c r="W179" i="3"/>
  <c r="X179" i="3"/>
  <c r="Y179" i="3"/>
  <c r="Z179" i="3"/>
  <c r="AA179" i="3"/>
  <c r="T180" i="3"/>
  <c r="U180" i="3"/>
  <c r="V180" i="3"/>
  <c r="W180" i="3"/>
  <c r="X180" i="3"/>
  <c r="Y180" i="3"/>
  <c r="Z180" i="3"/>
  <c r="AA180" i="3"/>
  <c r="T181" i="3"/>
  <c r="U181" i="3"/>
  <c r="V181" i="3"/>
  <c r="W181" i="3"/>
  <c r="X181" i="3"/>
  <c r="Y181" i="3"/>
  <c r="Z181" i="3"/>
  <c r="AA181" i="3"/>
  <c r="T182" i="3"/>
  <c r="U182" i="3"/>
  <c r="V182" i="3"/>
  <c r="W182" i="3"/>
  <c r="X182" i="3"/>
  <c r="Y182" i="3"/>
  <c r="Z182" i="3"/>
  <c r="AA182" i="3"/>
  <c r="T183" i="3"/>
  <c r="U183" i="3"/>
  <c r="V183" i="3"/>
  <c r="W183" i="3"/>
  <c r="X183" i="3"/>
  <c r="Y183" i="3"/>
  <c r="Z183" i="3"/>
  <c r="AA183" i="3"/>
  <c r="T184" i="3"/>
  <c r="U184" i="3"/>
  <c r="V184" i="3"/>
  <c r="W184" i="3"/>
  <c r="X184" i="3"/>
  <c r="Y184" i="3"/>
  <c r="Z184" i="3"/>
  <c r="AA184" i="3"/>
  <c r="T185" i="3"/>
  <c r="U185" i="3"/>
  <c r="V185" i="3"/>
  <c r="W185" i="3"/>
  <c r="X185" i="3"/>
  <c r="Y185" i="3"/>
  <c r="Z185" i="3"/>
  <c r="AA185" i="3"/>
  <c r="T186" i="3"/>
  <c r="U186" i="3"/>
  <c r="V186" i="3"/>
  <c r="W186" i="3"/>
  <c r="X186" i="3"/>
  <c r="Y186" i="3"/>
  <c r="Z186" i="3"/>
  <c r="AA186" i="3"/>
  <c r="T187" i="3"/>
  <c r="U187" i="3"/>
  <c r="V187" i="3"/>
  <c r="W187" i="3"/>
  <c r="X187" i="3"/>
  <c r="Y187" i="3"/>
  <c r="Z187" i="3"/>
  <c r="AA187" i="3"/>
  <c r="T188" i="3"/>
  <c r="U188" i="3"/>
  <c r="V188" i="3"/>
  <c r="W188" i="3"/>
  <c r="X188" i="3"/>
  <c r="Y188" i="3"/>
  <c r="Z188" i="3"/>
  <c r="AA188" i="3"/>
  <c r="T189" i="3"/>
  <c r="U189" i="3"/>
  <c r="V189" i="3"/>
  <c r="W189" i="3"/>
  <c r="X189" i="3"/>
  <c r="Y189" i="3"/>
  <c r="Z189" i="3"/>
  <c r="AA189" i="3"/>
  <c r="T190" i="3"/>
  <c r="U190" i="3"/>
  <c r="V190" i="3"/>
  <c r="W190" i="3"/>
  <c r="X190" i="3"/>
  <c r="Y190" i="3"/>
  <c r="Z190" i="3"/>
  <c r="AA190" i="3"/>
  <c r="T191" i="3"/>
  <c r="U191" i="3"/>
  <c r="V191" i="3"/>
  <c r="W191" i="3"/>
  <c r="X191" i="3"/>
  <c r="Y191" i="3"/>
  <c r="Z191" i="3"/>
  <c r="AA191" i="3"/>
  <c r="T192" i="3"/>
  <c r="U192" i="3"/>
  <c r="V192" i="3"/>
  <c r="W192" i="3"/>
  <c r="X192" i="3"/>
  <c r="Y192" i="3"/>
  <c r="Z192" i="3"/>
  <c r="AA192" i="3"/>
  <c r="T193" i="3"/>
  <c r="U193" i="3"/>
  <c r="V193" i="3"/>
  <c r="W193" i="3"/>
  <c r="X193" i="3"/>
  <c r="Y193" i="3"/>
  <c r="Z193" i="3"/>
  <c r="AA193" i="3"/>
  <c r="T194" i="3"/>
  <c r="U194" i="3"/>
  <c r="V194" i="3"/>
  <c r="W194" i="3"/>
  <c r="X194" i="3"/>
  <c r="Y194" i="3"/>
  <c r="Z194" i="3"/>
  <c r="AA194" i="3"/>
  <c r="T195" i="3"/>
  <c r="U195" i="3"/>
  <c r="V195" i="3"/>
  <c r="W195" i="3"/>
  <c r="X195" i="3"/>
  <c r="Y195" i="3"/>
  <c r="Z195" i="3"/>
  <c r="AA195" i="3"/>
  <c r="T196" i="3"/>
  <c r="U196" i="3"/>
  <c r="V196" i="3"/>
  <c r="W196" i="3"/>
  <c r="X196" i="3"/>
  <c r="Y196" i="3"/>
  <c r="Z196" i="3"/>
  <c r="AA196" i="3"/>
  <c r="T197" i="3"/>
  <c r="U197" i="3"/>
  <c r="V197" i="3"/>
  <c r="W197" i="3"/>
  <c r="X197" i="3"/>
  <c r="Y197" i="3"/>
  <c r="Z197" i="3"/>
  <c r="AA197" i="3"/>
  <c r="T198" i="3"/>
  <c r="U198" i="3"/>
  <c r="V198" i="3"/>
  <c r="W198" i="3"/>
  <c r="X198" i="3"/>
  <c r="Y198" i="3"/>
  <c r="Z198" i="3"/>
  <c r="AA198" i="3"/>
  <c r="T199" i="3"/>
  <c r="U199" i="3"/>
  <c r="V199" i="3"/>
  <c r="W199" i="3"/>
  <c r="X199" i="3"/>
  <c r="Y199" i="3"/>
  <c r="Z199" i="3"/>
  <c r="AA199" i="3"/>
  <c r="T200" i="3"/>
  <c r="U200" i="3"/>
  <c r="V200" i="3"/>
  <c r="W200" i="3"/>
  <c r="X200" i="3"/>
  <c r="Y200" i="3"/>
  <c r="Z200" i="3"/>
  <c r="AA200" i="3"/>
  <c r="T201" i="3"/>
  <c r="U201" i="3"/>
  <c r="V201" i="3"/>
  <c r="W201" i="3"/>
  <c r="X201" i="3"/>
  <c r="Y201" i="3"/>
  <c r="Z201" i="3"/>
  <c r="AA201" i="3"/>
  <c r="T202" i="3"/>
  <c r="U202" i="3"/>
  <c r="V202" i="3"/>
  <c r="W202" i="3"/>
  <c r="X202" i="3"/>
  <c r="Y202" i="3"/>
  <c r="Z202" i="3"/>
  <c r="AA202" i="3"/>
  <c r="T203" i="3"/>
  <c r="U203" i="3"/>
  <c r="V203" i="3"/>
  <c r="W203" i="3"/>
  <c r="X203" i="3"/>
  <c r="Y203" i="3"/>
  <c r="Z203" i="3"/>
  <c r="AA203" i="3"/>
  <c r="T204" i="3"/>
  <c r="U204" i="3"/>
  <c r="V204" i="3"/>
  <c r="W204" i="3"/>
  <c r="X204" i="3"/>
  <c r="Y204" i="3"/>
  <c r="Z204" i="3"/>
  <c r="AA204" i="3"/>
  <c r="T205" i="3"/>
  <c r="U205" i="3"/>
  <c r="V205" i="3"/>
  <c r="W205" i="3"/>
  <c r="X205" i="3"/>
  <c r="Y205" i="3"/>
  <c r="Z205" i="3"/>
  <c r="AA205" i="3"/>
  <c r="U173" i="3"/>
  <c r="V173" i="3"/>
  <c r="W173" i="3"/>
  <c r="X173" i="3"/>
  <c r="Y173" i="3"/>
  <c r="Z173" i="3"/>
  <c r="AA173" i="3"/>
  <c r="T173" i="3"/>
  <c r="T140" i="3"/>
  <c r="U140" i="3"/>
  <c r="V140" i="3"/>
  <c r="W140" i="3"/>
  <c r="X140" i="3"/>
  <c r="Y140" i="3"/>
  <c r="Z140" i="3"/>
  <c r="AA140" i="3"/>
  <c r="T141" i="3"/>
  <c r="U141" i="3"/>
  <c r="V141" i="3"/>
  <c r="W141" i="3"/>
  <c r="X141" i="3"/>
  <c r="Y141" i="3"/>
  <c r="Z141" i="3"/>
  <c r="AA141" i="3"/>
  <c r="T142" i="3"/>
  <c r="U142" i="3"/>
  <c r="V142" i="3"/>
  <c r="W142" i="3"/>
  <c r="X142" i="3"/>
  <c r="Y142" i="3"/>
  <c r="Z142" i="3"/>
  <c r="AA142" i="3"/>
  <c r="T143" i="3"/>
  <c r="U143" i="3"/>
  <c r="V143" i="3"/>
  <c r="W143" i="3"/>
  <c r="X143" i="3"/>
  <c r="Y143" i="3"/>
  <c r="Z143" i="3"/>
  <c r="AA143" i="3"/>
  <c r="T144" i="3"/>
  <c r="U144" i="3"/>
  <c r="V144" i="3"/>
  <c r="W144" i="3"/>
  <c r="X144" i="3"/>
  <c r="Y144" i="3"/>
  <c r="Z144" i="3"/>
  <c r="AA144" i="3"/>
  <c r="T145" i="3"/>
  <c r="U145" i="3"/>
  <c r="V145" i="3"/>
  <c r="W145" i="3"/>
  <c r="X145" i="3"/>
  <c r="Y145" i="3"/>
  <c r="Z145" i="3"/>
  <c r="AA145" i="3"/>
  <c r="T146" i="3"/>
  <c r="U146" i="3"/>
  <c r="V146" i="3"/>
  <c r="W146" i="3"/>
  <c r="X146" i="3"/>
  <c r="Y146" i="3"/>
  <c r="Z146" i="3"/>
  <c r="AA146" i="3"/>
  <c r="T147" i="3"/>
  <c r="U147" i="3"/>
  <c r="V147" i="3"/>
  <c r="W147" i="3"/>
  <c r="X147" i="3"/>
  <c r="Y147" i="3"/>
  <c r="Z147" i="3"/>
  <c r="AA147" i="3"/>
  <c r="T148" i="3"/>
  <c r="U148" i="3"/>
  <c r="V148" i="3"/>
  <c r="W148" i="3"/>
  <c r="X148" i="3"/>
  <c r="Y148" i="3"/>
  <c r="Z148" i="3"/>
  <c r="AA148" i="3"/>
  <c r="T149" i="3"/>
  <c r="U149" i="3"/>
  <c r="V149" i="3"/>
  <c r="W149" i="3"/>
  <c r="X149" i="3"/>
  <c r="Y149" i="3"/>
  <c r="Z149" i="3"/>
  <c r="AA149" i="3"/>
  <c r="T150" i="3"/>
  <c r="U150" i="3"/>
  <c r="V150" i="3"/>
  <c r="W150" i="3"/>
  <c r="X150" i="3"/>
  <c r="Y150" i="3"/>
  <c r="Z150" i="3"/>
  <c r="AA150" i="3"/>
  <c r="T151" i="3"/>
  <c r="U151" i="3"/>
  <c r="V151" i="3"/>
  <c r="W151" i="3"/>
  <c r="X151" i="3"/>
  <c r="Y151" i="3"/>
  <c r="Z151" i="3"/>
  <c r="AA151" i="3"/>
  <c r="T152" i="3"/>
  <c r="U152" i="3"/>
  <c r="V152" i="3"/>
  <c r="W152" i="3"/>
  <c r="X152" i="3"/>
  <c r="Y152" i="3"/>
  <c r="Z152" i="3"/>
  <c r="AA152" i="3"/>
  <c r="T153" i="3"/>
  <c r="U153" i="3"/>
  <c r="V153" i="3"/>
  <c r="W153" i="3"/>
  <c r="X153" i="3"/>
  <c r="Y153" i="3"/>
  <c r="Z153" i="3"/>
  <c r="AA153" i="3"/>
  <c r="T154" i="3"/>
  <c r="U154" i="3"/>
  <c r="V154" i="3"/>
  <c r="W154" i="3"/>
  <c r="X154" i="3"/>
  <c r="Y154" i="3"/>
  <c r="Z154" i="3"/>
  <c r="AA154" i="3"/>
  <c r="T155" i="3"/>
  <c r="U155" i="3"/>
  <c r="V155" i="3"/>
  <c r="W155" i="3"/>
  <c r="X155" i="3"/>
  <c r="Y155" i="3"/>
  <c r="Z155" i="3"/>
  <c r="AA155" i="3"/>
  <c r="T156" i="3"/>
  <c r="U156" i="3"/>
  <c r="V156" i="3"/>
  <c r="W156" i="3"/>
  <c r="X156" i="3"/>
  <c r="Y156" i="3"/>
  <c r="Z156" i="3"/>
  <c r="AA156" i="3"/>
  <c r="T157" i="3"/>
  <c r="U157" i="3"/>
  <c r="V157" i="3"/>
  <c r="W157" i="3"/>
  <c r="X157" i="3"/>
  <c r="Y157" i="3"/>
  <c r="Z157" i="3"/>
  <c r="AA157" i="3"/>
  <c r="T158" i="3"/>
  <c r="U158" i="3"/>
  <c r="V158" i="3"/>
  <c r="W158" i="3"/>
  <c r="X158" i="3"/>
  <c r="Y158" i="3"/>
  <c r="Z158" i="3"/>
  <c r="AA158" i="3"/>
  <c r="T159" i="3"/>
  <c r="U159" i="3"/>
  <c r="V159" i="3"/>
  <c r="W159" i="3"/>
  <c r="X159" i="3"/>
  <c r="Y159" i="3"/>
  <c r="Z159" i="3"/>
  <c r="AA159" i="3"/>
  <c r="T160" i="3"/>
  <c r="U160" i="3"/>
  <c r="V160" i="3"/>
  <c r="W160" i="3"/>
  <c r="X160" i="3"/>
  <c r="Y160" i="3"/>
  <c r="Z160" i="3"/>
  <c r="AA160" i="3"/>
  <c r="T161" i="3"/>
  <c r="U161" i="3"/>
  <c r="V161" i="3"/>
  <c r="W161" i="3"/>
  <c r="X161" i="3"/>
  <c r="Y161" i="3"/>
  <c r="Z161" i="3"/>
  <c r="AA161" i="3"/>
  <c r="T162" i="3"/>
  <c r="U162" i="3"/>
  <c r="V162" i="3"/>
  <c r="W162" i="3"/>
  <c r="X162" i="3"/>
  <c r="Y162" i="3"/>
  <c r="Z162" i="3"/>
  <c r="AA162" i="3"/>
  <c r="T163" i="3"/>
  <c r="U163" i="3"/>
  <c r="V163" i="3"/>
  <c r="W163" i="3"/>
  <c r="X163" i="3"/>
  <c r="Y163" i="3"/>
  <c r="Z163" i="3"/>
  <c r="AA163" i="3"/>
  <c r="T164" i="3"/>
  <c r="U164" i="3"/>
  <c r="V164" i="3"/>
  <c r="W164" i="3"/>
  <c r="X164" i="3"/>
  <c r="Y164" i="3"/>
  <c r="Z164" i="3"/>
  <c r="AA164" i="3"/>
  <c r="T165" i="3"/>
  <c r="U165" i="3"/>
  <c r="V165" i="3"/>
  <c r="W165" i="3"/>
  <c r="X165" i="3"/>
  <c r="Y165" i="3"/>
  <c r="Z165" i="3"/>
  <c r="AA165" i="3"/>
  <c r="T166" i="3"/>
  <c r="U166" i="3"/>
  <c r="V166" i="3"/>
  <c r="W166" i="3"/>
  <c r="X166" i="3"/>
  <c r="Y166" i="3"/>
  <c r="Z166" i="3"/>
  <c r="AA166" i="3"/>
  <c r="T167" i="3"/>
  <c r="U167" i="3"/>
  <c r="V167" i="3"/>
  <c r="W167" i="3"/>
  <c r="X167" i="3"/>
  <c r="Y167" i="3"/>
  <c r="Z167" i="3"/>
  <c r="AA167" i="3"/>
  <c r="T168" i="3"/>
  <c r="U168" i="3"/>
  <c r="V168" i="3"/>
  <c r="W168" i="3"/>
  <c r="X168" i="3"/>
  <c r="Y168" i="3"/>
  <c r="Z168" i="3"/>
  <c r="AA168" i="3"/>
  <c r="T169" i="3"/>
  <c r="U169" i="3"/>
  <c r="V169" i="3"/>
  <c r="W169" i="3"/>
  <c r="X169" i="3"/>
  <c r="Y169" i="3"/>
  <c r="Z169" i="3"/>
  <c r="AA169" i="3"/>
  <c r="T170" i="3"/>
  <c r="U170" i="3"/>
  <c r="V170" i="3"/>
  <c r="W170" i="3"/>
  <c r="X170" i="3"/>
  <c r="Y170" i="3"/>
  <c r="Z170" i="3"/>
  <c r="AA170" i="3"/>
  <c r="T171" i="3"/>
  <c r="U171" i="3"/>
  <c r="V171" i="3"/>
  <c r="W171" i="3"/>
  <c r="X171" i="3"/>
  <c r="Y171" i="3"/>
  <c r="Z171" i="3"/>
  <c r="AA171" i="3"/>
  <c r="U139" i="3"/>
  <c r="V139" i="3"/>
  <c r="W139" i="3"/>
  <c r="X139" i="3"/>
  <c r="Y139" i="3"/>
  <c r="Z139" i="3"/>
  <c r="AA139" i="3"/>
  <c r="T139" i="3"/>
  <c r="T106" i="3"/>
  <c r="U106" i="3"/>
  <c r="V106" i="3"/>
  <c r="W106" i="3"/>
  <c r="X106" i="3"/>
  <c r="Y106" i="3"/>
  <c r="Z106" i="3"/>
  <c r="AA106" i="3"/>
  <c r="T107" i="3"/>
  <c r="U107" i="3"/>
  <c r="V107" i="3"/>
  <c r="W107" i="3"/>
  <c r="X107" i="3"/>
  <c r="Y107" i="3"/>
  <c r="Z107" i="3"/>
  <c r="AA107" i="3"/>
  <c r="T108" i="3"/>
  <c r="U108" i="3"/>
  <c r="V108" i="3"/>
  <c r="W108" i="3"/>
  <c r="X108" i="3"/>
  <c r="Y108" i="3"/>
  <c r="Z108" i="3"/>
  <c r="AA108" i="3"/>
  <c r="T109" i="3"/>
  <c r="U109" i="3"/>
  <c r="V109" i="3"/>
  <c r="W109" i="3"/>
  <c r="X109" i="3"/>
  <c r="Y109" i="3"/>
  <c r="Z109" i="3"/>
  <c r="AA109" i="3"/>
  <c r="T110" i="3"/>
  <c r="U110" i="3"/>
  <c r="V110" i="3"/>
  <c r="W110" i="3"/>
  <c r="X110" i="3"/>
  <c r="Y110" i="3"/>
  <c r="Z110" i="3"/>
  <c r="AA110" i="3"/>
  <c r="T111" i="3"/>
  <c r="U111" i="3"/>
  <c r="V111" i="3"/>
  <c r="W111" i="3"/>
  <c r="X111" i="3"/>
  <c r="Y111" i="3"/>
  <c r="Z111" i="3"/>
  <c r="AA111" i="3"/>
  <c r="T112" i="3"/>
  <c r="U112" i="3"/>
  <c r="V112" i="3"/>
  <c r="W112" i="3"/>
  <c r="X112" i="3"/>
  <c r="Y112" i="3"/>
  <c r="Z112" i="3"/>
  <c r="AA112" i="3"/>
  <c r="T113" i="3"/>
  <c r="U113" i="3"/>
  <c r="V113" i="3"/>
  <c r="W113" i="3"/>
  <c r="X113" i="3"/>
  <c r="Y113" i="3"/>
  <c r="Z113" i="3"/>
  <c r="AA113" i="3"/>
  <c r="T114" i="3"/>
  <c r="U114" i="3"/>
  <c r="V114" i="3"/>
  <c r="W114" i="3"/>
  <c r="X114" i="3"/>
  <c r="Y114" i="3"/>
  <c r="Z114" i="3"/>
  <c r="AA114" i="3"/>
  <c r="T115" i="3"/>
  <c r="U115" i="3"/>
  <c r="V115" i="3"/>
  <c r="W115" i="3"/>
  <c r="X115" i="3"/>
  <c r="Y115" i="3"/>
  <c r="Z115" i="3"/>
  <c r="AA115" i="3"/>
  <c r="T116" i="3"/>
  <c r="U116" i="3"/>
  <c r="V116" i="3"/>
  <c r="W116" i="3"/>
  <c r="X116" i="3"/>
  <c r="Y116" i="3"/>
  <c r="Z116" i="3"/>
  <c r="AA116" i="3"/>
  <c r="T117" i="3"/>
  <c r="U117" i="3"/>
  <c r="V117" i="3"/>
  <c r="W117" i="3"/>
  <c r="X117" i="3"/>
  <c r="Y117" i="3"/>
  <c r="Z117" i="3"/>
  <c r="AA117" i="3"/>
  <c r="T118" i="3"/>
  <c r="U118" i="3"/>
  <c r="V118" i="3"/>
  <c r="W118" i="3"/>
  <c r="X118" i="3"/>
  <c r="Y118" i="3"/>
  <c r="Z118" i="3"/>
  <c r="AA118" i="3"/>
  <c r="T119" i="3"/>
  <c r="U119" i="3"/>
  <c r="V119" i="3"/>
  <c r="W119" i="3"/>
  <c r="X119" i="3"/>
  <c r="Y119" i="3"/>
  <c r="Z119" i="3"/>
  <c r="AA119" i="3"/>
  <c r="T120" i="3"/>
  <c r="U120" i="3"/>
  <c r="V120" i="3"/>
  <c r="W120" i="3"/>
  <c r="X120" i="3"/>
  <c r="Y120" i="3"/>
  <c r="Z120" i="3"/>
  <c r="AA120" i="3"/>
  <c r="T121" i="3"/>
  <c r="U121" i="3"/>
  <c r="V121" i="3"/>
  <c r="W121" i="3"/>
  <c r="X121" i="3"/>
  <c r="Y121" i="3"/>
  <c r="Z121" i="3"/>
  <c r="AA121" i="3"/>
  <c r="T122" i="3"/>
  <c r="U122" i="3"/>
  <c r="V122" i="3"/>
  <c r="W122" i="3"/>
  <c r="X122" i="3"/>
  <c r="Y122" i="3"/>
  <c r="Z122" i="3"/>
  <c r="AA122" i="3"/>
  <c r="T123" i="3"/>
  <c r="U123" i="3"/>
  <c r="V123" i="3"/>
  <c r="W123" i="3"/>
  <c r="X123" i="3"/>
  <c r="Y123" i="3"/>
  <c r="Z123" i="3"/>
  <c r="AA123" i="3"/>
  <c r="T124" i="3"/>
  <c r="U124" i="3"/>
  <c r="V124" i="3"/>
  <c r="W124" i="3"/>
  <c r="X124" i="3"/>
  <c r="Y124" i="3"/>
  <c r="Z124" i="3"/>
  <c r="AA124" i="3"/>
  <c r="T125" i="3"/>
  <c r="U125" i="3"/>
  <c r="V125" i="3"/>
  <c r="W125" i="3"/>
  <c r="X125" i="3"/>
  <c r="Y125" i="3"/>
  <c r="Z125" i="3"/>
  <c r="AA125" i="3"/>
  <c r="T126" i="3"/>
  <c r="U126" i="3"/>
  <c r="V126" i="3"/>
  <c r="W126" i="3"/>
  <c r="X126" i="3"/>
  <c r="Y126" i="3"/>
  <c r="Z126" i="3"/>
  <c r="AA126" i="3"/>
  <c r="T127" i="3"/>
  <c r="U127" i="3"/>
  <c r="V127" i="3"/>
  <c r="W127" i="3"/>
  <c r="X127" i="3"/>
  <c r="Y127" i="3"/>
  <c r="Z127" i="3"/>
  <c r="AA127" i="3"/>
  <c r="T128" i="3"/>
  <c r="U128" i="3"/>
  <c r="V128" i="3"/>
  <c r="W128" i="3"/>
  <c r="X128" i="3"/>
  <c r="Y128" i="3"/>
  <c r="Z128" i="3"/>
  <c r="AA128" i="3"/>
  <c r="T129" i="3"/>
  <c r="U129" i="3"/>
  <c r="V129" i="3"/>
  <c r="W129" i="3"/>
  <c r="X129" i="3"/>
  <c r="Y129" i="3"/>
  <c r="Z129" i="3"/>
  <c r="AA129" i="3"/>
  <c r="T130" i="3"/>
  <c r="U130" i="3"/>
  <c r="V130" i="3"/>
  <c r="W130" i="3"/>
  <c r="X130" i="3"/>
  <c r="Y130" i="3"/>
  <c r="Z130" i="3"/>
  <c r="AA130" i="3"/>
  <c r="T131" i="3"/>
  <c r="U131" i="3"/>
  <c r="V131" i="3"/>
  <c r="W131" i="3"/>
  <c r="X131" i="3"/>
  <c r="Y131" i="3"/>
  <c r="Z131" i="3"/>
  <c r="AA131" i="3"/>
  <c r="T132" i="3"/>
  <c r="U132" i="3"/>
  <c r="V132" i="3"/>
  <c r="W132" i="3"/>
  <c r="X132" i="3"/>
  <c r="Y132" i="3"/>
  <c r="Z132" i="3"/>
  <c r="AA132" i="3"/>
  <c r="T133" i="3"/>
  <c r="U133" i="3"/>
  <c r="V133" i="3"/>
  <c r="W133" i="3"/>
  <c r="X133" i="3"/>
  <c r="Y133" i="3"/>
  <c r="Z133" i="3"/>
  <c r="AA133" i="3"/>
  <c r="T134" i="3"/>
  <c r="U134" i="3"/>
  <c r="V134" i="3"/>
  <c r="W134" i="3"/>
  <c r="X134" i="3"/>
  <c r="Y134" i="3"/>
  <c r="Z134" i="3"/>
  <c r="AA134" i="3"/>
  <c r="T135" i="3"/>
  <c r="U135" i="3"/>
  <c r="V135" i="3"/>
  <c r="W135" i="3"/>
  <c r="X135" i="3"/>
  <c r="Y135" i="3"/>
  <c r="Z135" i="3"/>
  <c r="AA135" i="3"/>
  <c r="T136" i="3"/>
  <c r="U136" i="3"/>
  <c r="V136" i="3"/>
  <c r="W136" i="3"/>
  <c r="X136" i="3"/>
  <c r="Y136" i="3"/>
  <c r="Z136" i="3"/>
  <c r="AA136" i="3"/>
  <c r="T137" i="3"/>
  <c r="U137" i="3"/>
  <c r="V137" i="3"/>
  <c r="W137" i="3"/>
  <c r="X137" i="3"/>
  <c r="Y137" i="3"/>
  <c r="Z137" i="3"/>
  <c r="AA137" i="3"/>
  <c r="U105" i="3"/>
  <c r="V105" i="3"/>
  <c r="W105" i="3"/>
  <c r="X105" i="3"/>
  <c r="Y105" i="3"/>
  <c r="Z105" i="3"/>
  <c r="AA105" i="3"/>
  <c r="T105" i="3"/>
  <c r="T72" i="3"/>
  <c r="U72" i="3"/>
  <c r="V72" i="3"/>
  <c r="W72" i="3"/>
  <c r="X72" i="3"/>
  <c r="Y72" i="3"/>
  <c r="Z72" i="3"/>
  <c r="AA72" i="3"/>
  <c r="T73" i="3"/>
  <c r="U73" i="3"/>
  <c r="V73" i="3"/>
  <c r="W73" i="3"/>
  <c r="X73" i="3"/>
  <c r="Y73" i="3"/>
  <c r="Z73" i="3"/>
  <c r="AA73" i="3"/>
  <c r="T74" i="3"/>
  <c r="U74" i="3"/>
  <c r="V74" i="3"/>
  <c r="W74" i="3"/>
  <c r="X74" i="3"/>
  <c r="Y74" i="3"/>
  <c r="Z74" i="3"/>
  <c r="AA74" i="3"/>
  <c r="T75" i="3"/>
  <c r="U75" i="3"/>
  <c r="V75" i="3"/>
  <c r="W75" i="3"/>
  <c r="X75" i="3"/>
  <c r="Y75" i="3"/>
  <c r="Z75" i="3"/>
  <c r="AA75" i="3"/>
  <c r="T76" i="3"/>
  <c r="U76" i="3"/>
  <c r="V76" i="3"/>
  <c r="W76" i="3"/>
  <c r="X76" i="3"/>
  <c r="Y76" i="3"/>
  <c r="Z76" i="3"/>
  <c r="AA76" i="3"/>
  <c r="T77" i="3"/>
  <c r="U77" i="3"/>
  <c r="V77" i="3"/>
  <c r="W77" i="3"/>
  <c r="X77" i="3"/>
  <c r="Y77" i="3"/>
  <c r="Z77" i="3"/>
  <c r="AA77" i="3"/>
  <c r="T78" i="3"/>
  <c r="U78" i="3"/>
  <c r="V78" i="3"/>
  <c r="W78" i="3"/>
  <c r="X78" i="3"/>
  <c r="Y78" i="3"/>
  <c r="Z78" i="3"/>
  <c r="AA78" i="3"/>
  <c r="T79" i="3"/>
  <c r="U79" i="3"/>
  <c r="V79" i="3"/>
  <c r="W79" i="3"/>
  <c r="X79" i="3"/>
  <c r="Y79" i="3"/>
  <c r="Z79" i="3"/>
  <c r="AA79" i="3"/>
  <c r="T80" i="3"/>
  <c r="U80" i="3"/>
  <c r="V80" i="3"/>
  <c r="W80" i="3"/>
  <c r="X80" i="3"/>
  <c r="Y80" i="3"/>
  <c r="Z80" i="3"/>
  <c r="AA80" i="3"/>
  <c r="T81" i="3"/>
  <c r="U81" i="3"/>
  <c r="V81" i="3"/>
  <c r="W81" i="3"/>
  <c r="X81" i="3"/>
  <c r="Y81" i="3"/>
  <c r="Z81" i="3"/>
  <c r="AA81" i="3"/>
  <c r="T82" i="3"/>
  <c r="U82" i="3"/>
  <c r="V82" i="3"/>
  <c r="W82" i="3"/>
  <c r="X82" i="3"/>
  <c r="Y82" i="3"/>
  <c r="Z82" i="3"/>
  <c r="AA82" i="3"/>
  <c r="T83" i="3"/>
  <c r="U83" i="3"/>
  <c r="V83" i="3"/>
  <c r="W83" i="3"/>
  <c r="X83" i="3"/>
  <c r="Y83" i="3"/>
  <c r="Z83" i="3"/>
  <c r="AA83" i="3"/>
  <c r="T84" i="3"/>
  <c r="U84" i="3"/>
  <c r="V84" i="3"/>
  <c r="W84" i="3"/>
  <c r="X84" i="3"/>
  <c r="Y84" i="3"/>
  <c r="Z84" i="3"/>
  <c r="AA84" i="3"/>
  <c r="T85" i="3"/>
  <c r="U85" i="3"/>
  <c r="V85" i="3"/>
  <c r="W85" i="3"/>
  <c r="X85" i="3"/>
  <c r="Y85" i="3"/>
  <c r="Z85" i="3"/>
  <c r="AA85" i="3"/>
  <c r="T86" i="3"/>
  <c r="U86" i="3"/>
  <c r="V86" i="3"/>
  <c r="W86" i="3"/>
  <c r="X86" i="3"/>
  <c r="Y86" i="3"/>
  <c r="Z86" i="3"/>
  <c r="AA86" i="3"/>
  <c r="T87" i="3"/>
  <c r="U87" i="3"/>
  <c r="V87" i="3"/>
  <c r="W87" i="3"/>
  <c r="X87" i="3"/>
  <c r="Y87" i="3"/>
  <c r="Z87" i="3"/>
  <c r="AA87" i="3"/>
  <c r="T88" i="3"/>
  <c r="U88" i="3"/>
  <c r="V88" i="3"/>
  <c r="W88" i="3"/>
  <c r="X88" i="3"/>
  <c r="Y88" i="3"/>
  <c r="Z88" i="3"/>
  <c r="AA88" i="3"/>
  <c r="T89" i="3"/>
  <c r="U89" i="3"/>
  <c r="V89" i="3"/>
  <c r="W89" i="3"/>
  <c r="X89" i="3"/>
  <c r="Y89" i="3"/>
  <c r="Z89" i="3"/>
  <c r="AA89" i="3"/>
  <c r="T90" i="3"/>
  <c r="U90" i="3"/>
  <c r="V90" i="3"/>
  <c r="W90" i="3"/>
  <c r="X90" i="3"/>
  <c r="Y90" i="3"/>
  <c r="Z90" i="3"/>
  <c r="AA90" i="3"/>
  <c r="T91" i="3"/>
  <c r="U91" i="3"/>
  <c r="V91" i="3"/>
  <c r="W91" i="3"/>
  <c r="X91" i="3"/>
  <c r="Y91" i="3"/>
  <c r="Z91" i="3"/>
  <c r="AA91" i="3"/>
  <c r="T92" i="3"/>
  <c r="U92" i="3"/>
  <c r="V92" i="3"/>
  <c r="W92" i="3"/>
  <c r="X92" i="3"/>
  <c r="Y92" i="3"/>
  <c r="Z92" i="3"/>
  <c r="AA92" i="3"/>
  <c r="T93" i="3"/>
  <c r="U93" i="3"/>
  <c r="V93" i="3"/>
  <c r="W93" i="3"/>
  <c r="X93" i="3"/>
  <c r="Y93" i="3"/>
  <c r="Z93" i="3"/>
  <c r="AA93" i="3"/>
  <c r="T94" i="3"/>
  <c r="U94" i="3"/>
  <c r="V94" i="3"/>
  <c r="W94" i="3"/>
  <c r="X94" i="3"/>
  <c r="Y94" i="3"/>
  <c r="Z94" i="3"/>
  <c r="AA94" i="3"/>
  <c r="T95" i="3"/>
  <c r="U95" i="3"/>
  <c r="V95" i="3"/>
  <c r="W95" i="3"/>
  <c r="X95" i="3"/>
  <c r="Y95" i="3"/>
  <c r="Z95" i="3"/>
  <c r="AA95" i="3"/>
  <c r="T96" i="3"/>
  <c r="U96" i="3"/>
  <c r="V96" i="3"/>
  <c r="W96" i="3"/>
  <c r="X96" i="3"/>
  <c r="Y96" i="3"/>
  <c r="Z96" i="3"/>
  <c r="AA96" i="3"/>
  <c r="T97" i="3"/>
  <c r="U97" i="3"/>
  <c r="V97" i="3"/>
  <c r="W97" i="3"/>
  <c r="X97" i="3"/>
  <c r="Y97" i="3"/>
  <c r="Z97" i="3"/>
  <c r="AA97" i="3"/>
  <c r="T98" i="3"/>
  <c r="U98" i="3"/>
  <c r="V98" i="3"/>
  <c r="W98" i="3"/>
  <c r="X98" i="3"/>
  <c r="Y98" i="3"/>
  <c r="Z98" i="3"/>
  <c r="AA98" i="3"/>
  <c r="T99" i="3"/>
  <c r="U99" i="3"/>
  <c r="V99" i="3"/>
  <c r="W99" i="3"/>
  <c r="X99" i="3"/>
  <c r="Y99" i="3"/>
  <c r="Z99" i="3"/>
  <c r="AA99" i="3"/>
  <c r="T100" i="3"/>
  <c r="U100" i="3"/>
  <c r="V100" i="3"/>
  <c r="W100" i="3"/>
  <c r="X100" i="3"/>
  <c r="Y100" i="3"/>
  <c r="Z100" i="3"/>
  <c r="AA100" i="3"/>
  <c r="T101" i="3"/>
  <c r="U101" i="3"/>
  <c r="V101" i="3"/>
  <c r="W101" i="3"/>
  <c r="X101" i="3"/>
  <c r="Y101" i="3"/>
  <c r="Z101" i="3"/>
  <c r="AA101" i="3"/>
  <c r="T102" i="3"/>
  <c r="U102" i="3"/>
  <c r="V102" i="3"/>
  <c r="W102" i="3"/>
  <c r="X102" i="3"/>
  <c r="Y102" i="3"/>
  <c r="Z102" i="3"/>
  <c r="AA102" i="3"/>
  <c r="T103" i="3"/>
  <c r="U103" i="3"/>
  <c r="V103" i="3"/>
  <c r="W103" i="3"/>
  <c r="X103" i="3"/>
  <c r="Y103" i="3"/>
  <c r="Z103" i="3"/>
  <c r="AA103" i="3"/>
  <c r="U71" i="3"/>
  <c r="V71" i="3"/>
  <c r="W71" i="3"/>
  <c r="X71" i="3"/>
  <c r="Y71" i="3"/>
  <c r="Z71" i="3"/>
  <c r="AA71" i="3"/>
  <c r="T71" i="3"/>
  <c r="T66" i="3"/>
  <c r="U66" i="3"/>
  <c r="V66" i="3"/>
  <c r="W66" i="3"/>
  <c r="X66" i="3"/>
  <c r="Y66" i="3"/>
  <c r="Z66" i="3"/>
  <c r="AA66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3" i="3"/>
  <c r="M3884" i="3" l="1"/>
  <c r="L670" i="7"/>
  <c r="AC2110" i="3"/>
  <c r="AC1396" i="3"/>
  <c r="AB298" i="3"/>
  <c r="AC920" i="3"/>
  <c r="AC546" i="3"/>
  <c r="AB363" i="3"/>
  <c r="AC1600" i="3"/>
  <c r="AC1328" i="3"/>
  <c r="AC1192" i="3"/>
  <c r="AC716" i="3"/>
  <c r="AC512" i="3"/>
  <c r="AB282" i="3"/>
  <c r="AB355" i="3"/>
  <c r="AB302" i="3"/>
  <c r="AC1702" i="3"/>
  <c r="AC1532" i="3"/>
  <c r="AC1022" i="3"/>
  <c r="AC818" i="3"/>
  <c r="AC614" i="3"/>
  <c r="AB347" i="3"/>
  <c r="AB290" i="3"/>
  <c r="AC784" i="3"/>
  <c r="AC444" i="3"/>
  <c r="AB361" i="3"/>
  <c r="AB353" i="3"/>
  <c r="AB300" i="3"/>
  <c r="AB288" i="3"/>
  <c r="AC1838" i="3"/>
  <c r="AC1634" i="3"/>
  <c r="AC1566" i="3"/>
  <c r="AC1498" i="3"/>
  <c r="AC1362" i="3"/>
  <c r="AC1226" i="3"/>
  <c r="AC886" i="3"/>
  <c r="AC682" i="3"/>
  <c r="AC478" i="3"/>
  <c r="AB367" i="3"/>
  <c r="AB357" i="3"/>
  <c r="AB349" i="3"/>
  <c r="AB292" i="3"/>
  <c r="AB284" i="3"/>
  <c r="AB276" i="3"/>
  <c r="AC1056" i="3"/>
  <c r="AC988" i="3"/>
  <c r="AC580" i="3"/>
  <c r="AB345" i="3"/>
  <c r="AB280" i="3"/>
  <c r="AB374" i="3"/>
  <c r="AB359" i="3"/>
  <c r="AB351" i="3"/>
  <c r="AB296" i="3"/>
  <c r="AB286" i="3"/>
  <c r="AB278" i="3"/>
  <c r="AB255" i="3"/>
  <c r="AB251" i="3"/>
  <c r="AB250" i="3"/>
  <c r="AB249" i="3"/>
  <c r="AB248" i="3"/>
  <c r="AB246" i="3"/>
  <c r="AB243" i="3"/>
  <c r="AB242" i="3"/>
  <c r="AC1260" i="3"/>
  <c r="AB307" i="3"/>
  <c r="AB306" i="3"/>
  <c r="AB305" i="3"/>
  <c r="AB304" i="3"/>
  <c r="AB303" i="3"/>
  <c r="AB207" i="3"/>
  <c r="AB209" i="3"/>
  <c r="AB208" i="3"/>
  <c r="AC1430" i="3"/>
  <c r="AC1294" i="3"/>
  <c r="AC1124" i="3"/>
  <c r="AC750" i="3"/>
  <c r="AC410" i="3"/>
  <c r="AB375" i="3"/>
  <c r="AB366" i="3"/>
  <c r="AB360" i="3"/>
  <c r="AB356" i="3"/>
  <c r="AB352" i="3"/>
  <c r="AB348" i="3"/>
  <c r="AB344" i="3"/>
  <c r="AB301" i="3"/>
  <c r="AB293" i="3"/>
  <c r="AB289" i="3"/>
  <c r="AB285" i="3"/>
  <c r="AB281" i="3"/>
  <c r="AB277" i="3"/>
  <c r="AB191" i="3"/>
  <c r="AB241" i="3"/>
  <c r="AB275" i="3"/>
  <c r="AC954" i="3"/>
  <c r="AC852" i="3"/>
  <c r="AB199" i="3"/>
  <c r="AB175" i="3"/>
  <c r="AB233" i="3"/>
  <c r="AB225" i="3"/>
  <c r="AB224" i="3"/>
  <c r="AB223" i="3"/>
  <c r="AB217" i="3"/>
  <c r="AB369" i="3"/>
  <c r="AB362" i="3"/>
  <c r="AB358" i="3"/>
  <c r="AB354" i="3"/>
  <c r="AB350" i="3"/>
  <c r="AB346" i="3"/>
  <c r="AB297" i="3"/>
  <c r="AB291" i="3"/>
  <c r="AB287" i="3"/>
  <c r="AB283" i="3"/>
  <c r="AB279" i="3"/>
  <c r="AB299" i="3"/>
  <c r="AB343" i="3"/>
  <c r="AB373" i="3"/>
  <c r="AB372" i="3"/>
  <c r="AB371" i="3"/>
  <c r="AB370" i="3"/>
  <c r="AB368" i="3"/>
  <c r="AB365" i="3"/>
  <c r="AB364" i="3"/>
  <c r="AC2246" i="3"/>
  <c r="AC2178" i="3"/>
  <c r="AC1974" i="3"/>
  <c r="AC1940" i="3"/>
  <c r="AC1906" i="3"/>
  <c r="AC1668" i="3"/>
  <c r="AC1464" i="3"/>
  <c r="AC2076" i="3"/>
  <c r="AC1804" i="3"/>
  <c r="AC2144" i="3"/>
  <c r="AC2042" i="3"/>
  <c r="AC2008" i="3"/>
  <c r="AC1872" i="3"/>
  <c r="AC1770" i="3"/>
  <c r="AC1736" i="3"/>
  <c r="AC1158" i="3"/>
  <c r="AC1090" i="3"/>
  <c r="AC2212" i="3"/>
  <c r="AC648" i="3"/>
  <c r="AB119" i="3"/>
  <c r="AB168" i="3"/>
  <c r="AB144" i="3"/>
  <c r="AB141" i="3"/>
  <c r="AB140" i="3"/>
  <c r="AB271" i="3"/>
  <c r="AB273" i="3"/>
  <c r="AB267" i="3"/>
  <c r="AB244" i="3"/>
  <c r="AB259" i="3"/>
  <c r="AB263" i="3"/>
  <c r="AB216" i="3"/>
  <c r="AB234" i="3"/>
  <c r="AB188" i="3"/>
  <c r="AB195" i="3"/>
  <c r="AB194" i="3"/>
  <c r="AB193" i="3"/>
  <c r="AB187" i="3"/>
  <c r="AB183" i="3"/>
  <c r="AB173" i="3"/>
  <c r="AB203" i="3"/>
  <c r="AB179" i="3"/>
  <c r="AB152" i="3"/>
  <c r="AB160" i="3"/>
  <c r="AB159" i="3"/>
  <c r="AB149" i="3"/>
  <c r="AB139" i="3"/>
  <c r="AB169" i="3"/>
  <c r="AB153" i="3"/>
  <c r="AB145" i="3"/>
  <c r="AB130" i="3"/>
  <c r="AB116" i="3"/>
  <c r="AB137" i="3"/>
  <c r="AB133" i="3"/>
  <c r="AB132" i="3"/>
  <c r="AB124" i="3"/>
  <c r="AB106" i="3"/>
  <c r="AB105" i="3"/>
  <c r="AB110" i="3"/>
  <c r="AB90" i="3"/>
  <c r="AB82" i="3"/>
  <c r="AB81" i="3"/>
  <c r="AB80" i="3"/>
  <c r="AB79" i="3"/>
  <c r="AB76" i="3"/>
  <c r="AB75" i="3"/>
  <c r="AB128" i="3"/>
  <c r="AB156" i="3"/>
  <c r="AB155" i="3"/>
  <c r="AB154" i="3"/>
  <c r="AB150" i="3"/>
  <c r="AB205" i="3"/>
  <c r="AB200" i="3"/>
  <c r="AB238" i="3"/>
  <c r="AB229" i="3"/>
  <c r="AB220" i="3"/>
  <c r="AB211" i="3"/>
  <c r="AB272" i="3"/>
  <c r="AB268" i="3"/>
  <c r="AB131" i="3"/>
  <c r="AB129" i="3"/>
  <c r="AB125" i="3"/>
  <c r="AB122" i="3"/>
  <c r="AB120" i="3"/>
  <c r="AB161" i="3"/>
  <c r="AB151" i="3"/>
  <c r="AB146" i="3"/>
  <c r="AB202" i="3"/>
  <c r="AB201" i="3"/>
  <c r="AB196" i="3"/>
  <c r="AB239" i="3"/>
  <c r="AB235" i="3"/>
  <c r="AB230" i="3"/>
  <c r="AB221" i="3"/>
  <c r="AB212" i="3"/>
  <c r="AB270" i="3"/>
  <c r="AB269" i="3"/>
  <c r="AB123" i="3"/>
  <c r="AB121" i="3"/>
  <c r="AB117" i="3"/>
  <c r="AB112" i="3"/>
  <c r="AB148" i="3"/>
  <c r="AB147" i="3"/>
  <c r="AB142" i="3"/>
  <c r="AB198" i="3"/>
  <c r="AB197" i="3"/>
  <c r="AB192" i="3"/>
  <c r="AB232" i="3"/>
  <c r="AB231" i="3"/>
  <c r="AB227" i="3"/>
  <c r="AB222" i="3"/>
  <c r="AB213" i="3"/>
  <c r="AB266" i="3"/>
  <c r="AB265" i="3"/>
  <c r="AB264" i="3"/>
  <c r="AB260" i="3"/>
  <c r="AB134" i="3"/>
  <c r="AB115" i="3"/>
  <c r="AB114" i="3"/>
  <c r="AB113" i="3"/>
  <c r="AB109" i="3"/>
  <c r="AB143" i="3"/>
  <c r="AB219" i="3"/>
  <c r="AB214" i="3"/>
  <c r="AB262" i="3"/>
  <c r="AB261" i="3"/>
  <c r="AB247" i="3"/>
  <c r="AB295" i="3"/>
  <c r="AB294" i="3"/>
  <c r="AB135" i="3"/>
  <c r="AB126" i="3"/>
  <c r="AB190" i="3"/>
  <c r="AB189" i="3"/>
  <c r="AB184" i="3"/>
  <c r="AB226" i="3"/>
  <c r="AB215" i="3"/>
  <c r="AB258" i="3"/>
  <c r="AB257" i="3"/>
  <c r="AB256" i="3"/>
  <c r="AB252" i="3"/>
  <c r="AB127" i="3"/>
  <c r="AB118" i="3"/>
  <c r="AB108" i="3"/>
  <c r="AB107" i="3"/>
  <c r="AB165" i="3"/>
  <c r="AB186" i="3"/>
  <c r="AB185" i="3"/>
  <c r="AB180" i="3"/>
  <c r="AB176" i="3"/>
  <c r="AB236" i="3"/>
  <c r="AB218" i="3"/>
  <c r="AB254" i="3"/>
  <c r="AB253" i="3"/>
  <c r="AB171" i="3"/>
  <c r="AB170" i="3"/>
  <c r="AB166" i="3"/>
  <c r="AB157" i="3"/>
  <c r="AB182" i="3"/>
  <c r="AB181" i="3"/>
  <c r="AB178" i="3"/>
  <c r="AB177" i="3"/>
  <c r="AB228" i="3"/>
  <c r="AB245" i="3"/>
  <c r="AB136" i="3"/>
  <c r="AB111" i="3"/>
  <c r="AB167" i="3"/>
  <c r="AB164" i="3"/>
  <c r="AB163" i="3"/>
  <c r="AB162" i="3"/>
  <c r="AB158" i="3"/>
  <c r="AB204" i="3"/>
  <c r="AB174" i="3"/>
  <c r="AB237" i="3"/>
  <c r="AB210" i="3"/>
  <c r="U341" i="3"/>
  <c r="U339" i="3"/>
  <c r="U337" i="3"/>
  <c r="U335" i="3"/>
  <c r="U333" i="3"/>
  <c r="U331" i="3"/>
  <c r="U329" i="3"/>
  <c r="U327" i="3"/>
  <c r="U325" i="3"/>
  <c r="U323" i="3"/>
  <c r="U321" i="3"/>
  <c r="U319" i="3"/>
  <c r="U317" i="3"/>
  <c r="U315" i="3"/>
  <c r="U313" i="3"/>
  <c r="U311" i="3"/>
  <c r="AA340" i="3"/>
  <c r="AA338" i="3"/>
  <c r="AA336" i="3"/>
  <c r="AA334" i="3"/>
  <c r="AA332" i="3"/>
  <c r="AA330" i="3"/>
  <c r="AA328" i="3"/>
  <c r="AA326" i="3"/>
  <c r="AA324" i="3"/>
  <c r="AA322" i="3"/>
  <c r="AA320" i="3"/>
  <c r="AA318" i="3"/>
  <c r="AA316" i="3"/>
  <c r="AA314" i="3"/>
  <c r="AA312" i="3"/>
  <c r="AA310" i="3"/>
  <c r="AA309" i="3"/>
  <c r="U309" i="3"/>
  <c r="U340" i="3"/>
  <c r="U338" i="3"/>
  <c r="U336" i="3"/>
  <c r="U334" i="3"/>
  <c r="U332" i="3"/>
  <c r="U330" i="3"/>
  <c r="U328" i="3"/>
  <c r="U326" i="3"/>
  <c r="U324" i="3"/>
  <c r="U322" i="3"/>
  <c r="U320" i="3"/>
  <c r="U318" i="3"/>
  <c r="U316" i="3"/>
  <c r="U314" i="3"/>
  <c r="U312" i="3"/>
  <c r="AA341" i="3"/>
  <c r="AA339" i="3"/>
  <c r="AA337" i="3"/>
  <c r="AA335" i="3"/>
  <c r="AA333" i="3"/>
  <c r="AA331" i="3"/>
  <c r="AA329" i="3"/>
  <c r="AA327" i="3"/>
  <c r="AA325" i="3"/>
  <c r="AA323" i="3"/>
  <c r="AA321" i="3"/>
  <c r="AA319" i="3"/>
  <c r="AA317" i="3"/>
  <c r="AA315" i="3"/>
  <c r="AA313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T309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AB71" i="3"/>
  <c r="AB66" i="3"/>
  <c r="AB98" i="3"/>
  <c r="AB74" i="3"/>
  <c r="AB101" i="3"/>
  <c r="AB73" i="3"/>
  <c r="AB72" i="3"/>
  <c r="AB93" i="3"/>
  <c r="AB102" i="3"/>
  <c r="AB85" i="3"/>
  <c r="AB103" i="3"/>
  <c r="AB100" i="3"/>
  <c r="AB99" i="3"/>
  <c r="AB94" i="3"/>
  <c r="AB77" i="3"/>
  <c r="AB97" i="3"/>
  <c r="AB96" i="3"/>
  <c r="AB95" i="3"/>
  <c r="AB92" i="3"/>
  <c r="AB91" i="3"/>
  <c r="AB86" i="3"/>
  <c r="AB89" i="3"/>
  <c r="AB88" i="3"/>
  <c r="AB87" i="3"/>
  <c r="AB84" i="3"/>
  <c r="AB83" i="3"/>
  <c r="AB78" i="3"/>
  <c r="T38" i="3"/>
  <c r="U38" i="3"/>
  <c r="V38" i="3"/>
  <c r="W38" i="3"/>
  <c r="X38" i="3"/>
  <c r="Y38" i="3"/>
  <c r="Z38" i="3"/>
  <c r="AA38" i="3"/>
  <c r="T39" i="3"/>
  <c r="U39" i="3"/>
  <c r="V39" i="3"/>
  <c r="W39" i="3"/>
  <c r="X39" i="3"/>
  <c r="Y39" i="3"/>
  <c r="Z39" i="3"/>
  <c r="AA39" i="3"/>
  <c r="T40" i="3"/>
  <c r="U40" i="3"/>
  <c r="V40" i="3"/>
  <c r="W40" i="3"/>
  <c r="X40" i="3"/>
  <c r="Y40" i="3"/>
  <c r="Z40" i="3"/>
  <c r="AA40" i="3"/>
  <c r="T41" i="3"/>
  <c r="U41" i="3"/>
  <c r="V41" i="3"/>
  <c r="W41" i="3"/>
  <c r="X41" i="3"/>
  <c r="Y41" i="3"/>
  <c r="Z41" i="3"/>
  <c r="AA41" i="3"/>
  <c r="T42" i="3"/>
  <c r="U42" i="3"/>
  <c r="V42" i="3"/>
  <c r="W42" i="3"/>
  <c r="X42" i="3"/>
  <c r="Y42" i="3"/>
  <c r="Z42" i="3"/>
  <c r="AA42" i="3"/>
  <c r="T43" i="3"/>
  <c r="U43" i="3"/>
  <c r="V43" i="3"/>
  <c r="W43" i="3"/>
  <c r="X43" i="3"/>
  <c r="Y43" i="3"/>
  <c r="Z43" i="3"/>
  <c r="AA43" i="3"/>
  <c r="T44" i="3"/>
  <c r="U44" i="3"/>
  <c r="V44" i="3"/>
  <c r="W44" i="3"/>
  <c r="X44" i="3"/>
  <c r="Y44" i="3"/>
  <c r="Z44" i="3"/>
  <c r="AA44" i="3"/>
  <c r="T45" i="3"/>
  <c r="U45" i="3"/>
  <c r="V45" i="3"/>
  <c r="W45" i="3"/>
  <c r="X45" i="3"/>
  <c r="Y45" i="3"/>
  <c r="Z45" i="3"/>
  <c r="AA45" i="3"/>
  <c r="T46" i="3"/>
  <c r="U46" i="3"/>
  <c r="V46" i="3"/>
  <c r="W46" i="3"/>
  <c r="X46" i="3"/>
  <c r="Y46" i="3"/>
  <c r="Z46" i="3"/>
  <c r="AA46" i="3"/>
  <c r="T47" i="3"/>
  <c r="U47" i="3"/>
  <c r="V47" i="3"/>
  <c r="W47" i="3"/>
  <c r="X47" i="3"/>
  <c r="Y47" i="3"/>
  <c r="Z47" i="3"/>
  <c r="AA47" i="3"/>
  <c r="T48" i="3"/>
  <c r="U48" i="3"/>
  <c r="V48" i="3"/>
  <c r="W48" i="3"/>
  <c r="X48" i="3"/>
  <c r="Y48" i="3"/>
  <c r="Z48" i="3"/>
  <c r="AA48" i="3"/>
  <c r="T49" i="3"/>
  <c r="U49" i="3"/>
  <c r="V49" i="3"/>
  <c r="W49" i="3"/>
  <c r="X49" i="3"/>
  <c r="Y49" i="3"/>
  <c r="Z49" i="3"/>
  <c r="AA49" i="3"/>
  <c r="T50" i="3"/>
  <c r="U50" i="3"/>
  <c r="V50" i="3"/>
  <c r="W50" i="3"/>
  <c r="X50" i="3"/>
  <c r="Y50" i="3"/>
  <c r="Z50" i="3"/>
  <c r="AA50" i="3"/>
  <c r="T51" i="3"/>
  <c r="U51" i="3"/>
  <c r="V51" i="3"/>
  <c r="W51" i="3"/>
  <c r="X51" i="3"/>
  <c r="Y51" i="3"/>
  <c r="Z51" i="3"/>
  <c r="AA51" i="3"/>
  <c r="T52" i="3"/>
  <c r="U52" i="3"/>
  <c r="V52" i="3"/>
  <c r="W52" i="3"/>
  <c r="X52" i="3"/>
  <c r="Y52" i="3"/>
  <c r="Z52" i="3"/>
  <c r="AA52" i="3"/>
  <c r="T53" i="3"/>
  <c r="U53" i="3"/>
  <c r="V53" i="3"/>
  <c r="W53" i="3"/>
  <c r="X53" i="3"/>
  <c r="Y53" i="3"/>
  <c r="Z53" i="3"/>
  <c r="AA53" i="3"/>
  <c r="T54" i="3"/>
  <c r="U54" i="3"/>
  <c r="V54" i="3"/>
  <c r="W54" i="3"/>
  <c r="X54" i="3"/>
  <c r="Y54" i="3"/>
  <c r="Z54" i="3"/>
  <c r="AA54" i="3"/>
  <c r="T55" i="3"/>
  <c r="U55" i="3"/>
  <c r="V55" i="3"/>
  <c r="W55" i="3"/>
  <c r="X55" i="3"/>
  <c r="Y55" i="3"/>
  <c r="Z55" i="3"/>
  <c r="AA55" i="3"/>
  <c r="T56" i="3"/>
  <c r="U56" i="3"/>
  <c r="V56" i="3"/>
  <c r="W56" i="3"/>
  <c r="X56" i="3"/>
  <c r="Y56" i="3"/>
  <c r="Z56" i="3"/>
  <c r="AA56" i="3"/>
  <c r="T57" i="3"/>
  <c r="U57" i="3"/>
  <c r="V57" i="3"/>
  <c r="W57" i="3"/>
  <c r="X57" i="3"/>
  <c r="Y57" i="3"/>
  <c r="Z57" i="3"/>
  <c r="AA57" i="3"/>
  <c r="T58" i="3"/>
  <c r="U58" i="3"/>
  <c r="V58" i="3"/>
  <c r="W58" i="3"/>
  <c r="X58" i="3"/>
  <c r="Y58" i="3"/>
  <c r="Z58" i="3"/>
  <c r="AA58" i="3"/>
  <c r="T59" i="3"/>
  <c r="U59" i="3"/>
  <c r="V59" i="3"/>
  <c r="W59" i="3"/>
  <c r="X59" i="3"/>
  <c r="Y59" i="3"/>
  <c r="Z59" i="3"/>
  <c r="AA59" i="3"/>
  <c r="T60" i="3"/>
  <c r="U60" i="3"/>
  <c r="V60" i="3"/>
  <c r="W60" i="3"/>
  <c r="X60" i="3"/>
  <c r="Y60" i="3"/>
  <c r="Z60" i="3"/>
  <c r="AA60" i="3"/>
  <c r="T61" i="3"/>
  <c r="U61" i="3"/>
  <c r="V61" i="3"/>
  <c r="W61" i="3"/>
  <c r="X61" i="3"/>
  <c r="Y61" i="3"/>
  <c r="Z61" i="3"/>
  <c r="AA61" i="3"/>
  <c r="T62" i="3"/>
  <c r="U62" i="3"/>
  <c r="V62" i="3"/>
  <c r="W62" i="3"/>
  <c r="X62" i="3"/>
  <c r="Y62" i="3"/>
  <c r="Z62" i="3"/>
  <c r="AA62" i="3"/>
  <c r="T63" i="3"/>
  <c r="U63" i="3"/>
  <c r="V63" i="3"/>
  <c r="W63" i="3"/>
  <c r="X63" i="3"/>
  <c r="Y63" i="3"/>
  <c r="Z63" i="3"/>
  <c r="AA63" i="3"/>
  <c r="T64" i="3"/>
  <c r="U64" i="3"/>
  <c r="V64" i="3"/>
  <c r="W64" i="3"/>
  <c r="X64" i="3"/>
  <c r="Y64" i="3"/>
  <c r="Z64" i="3"/>
  <c r="AA64" i="3"/>
  <c r="T65" i="3"/>
  <c r="U65" i="3"/>
  <c r="V65" i="3"/>
  <c r="W65" i="3"/>
  <c r="X65" i="3"/>
  <c r="Y65" i="3"/>
  <c r="Z65" i="3"/>
  <c r="AA65" i="3"/>
  <c r="T67" i="3"/>
  <c r="U67" i="3"/>
  <c r="V67" i="3"/>
  <c r="W67" i="3"/>
  <c r="X67" i="3"/>
  <c r="Y67" i="3"/>
  <c r="Z67" i="3"/>
  <c r="AA67" i="3"/>
  <c r="T68" i="3"/>
  <c r="U68" i="3"/>
  <c r="V68" i="3"/>
  <c r="W68" i="3"/>
  <c r="X68" i="3"/>
  <c r="Y68" i="3"/>
  <c r="Z68" i="3"/>
  <c r="AA68" i="3"/>
  <c r="T69" i="3"/>
  <c r="U69" i="3"/>
  <c r="V69" i="3"/>
  <c r="W69" i="3"/>
  <c r="X69" i="3"/>
  <c r="Y69" i="3"/>
  <c r="Z69" i="3"/>
  <c r="AA69" i="3"/>
  <c r="U37" i="3"/>
  <c r="V37" i="3"/>
  <c r="W37" i="3"/>
  <c r="X37" i="3"/>
  <c r="Y37" i="3"/>
  <c r="Z37" i="3"/>
  <c r="AA37" i="3"/>
  <c r="T37" i="3"/>
  <c r="X3883" i="3" l="1"/>
  <c r="U3883" i="3"/>
  <c r="T3883" i="3"/>
  <c r="AA3883" i="3"/>
  <c r="Z3883" i="3"/>
  <c r="Y3883" i="3"/>
  <c r="W3883" i="3"/>
  <c r="V3883" i="3"/>
  <c r="X67" i="2"/>
  <c r="W64" i="2"/>
  <c r="V69" i="2"/>
  <c r="T68" i="2"/>
  <c r="S65" i="2"/>
  <c r="U56" i="2"/>
  <c r="Q55" i="2"/>
  <c r="Q309" i="2"/>
  <c r="R52" i="2"/>
  <c r="Q69" i="2"/>
  <c r="Q61" i="2"/>
  <c r="R326" i="2"/>
  <c r="Q329" i="2"/>
  <c r="Q67" i="2"/>
  <c r="Q317" i="2"/>
  <c r="Q303" i="2"/>
  <c r="Q311" i="2"/>
  <c r="Q319" i="2"/>
  <c r="Q327" i="2"/>
  <c r="R328" i="2"/>
  <c r="Q305" i="2"/>
  <c r="R57" i="2"/>
  <c r="Q65" i="2"/>
  <c r="Q333" i="2"/>
  <c r="R324" i="2"/>
  <c r="R314" i="2"/>
  <c r="R330" i="2"/>
  <c r="Q321" i="2"/>
  <c r="R64" i="2"/>
  <c r="R53" i="2"/>
  <c r="R41" i="2"/>
  <c r="R39" i="2"/>
  <c r="R38" i="2"/>
  <c r="AC206" i="3"/>
  <c r="AC376" i="3"/>
  <c r="AC308" i="3"/>
  <c r="AB309" i="3"/>
  <c r="AB310" i="3"/>
  <c r="AC240" i="3"/>
  <c r="AC138" i="3"/>
  <c r="AC172" i="3"/>
  <c r="AB319" i="3"/>
  <c r="AB335" i="3"/>
  <c r="AB314" i="3"/>
  <c r="AB322" i="3"/>
  <c r="AB330" i="3"/>
  <c r="AB338" i="3"/>
  <c r="AC274" i="3"/>
  <c r="AB323" i="3"/>
  <c r="AB339" i="3"/>
  <c r="AB324" i="3"/>
  <c r="AB340" i="3"/>
  <c r="AB312" i="3"/>
  <c r="AB320" i="3"/>
  <c r="AB336" i="3"/>
  <c r="AB315" i="3"/>
  <c r="AB331" i="3"/>
  <c r="AB316" i="3"/>
  <c r="AB332" i="3"/>
  <c r="AB318" i="3"/>
  <c r="AB326" i="3"/>
  <c r="AB334" i="3"/>
  <c r="AB311" i="3"/>
  <c r="AB327" i="3"/>
  <c r="AB328" i="3"/>
  <c r="AB313" i="3"/>
  <c r="AB321" i="3"/>
  <c r="AB329" i="3"/>
  <c r="AB337" i="3"/>
  <c r="AB317" i="3"/>
  <c r="AB325" i="3"/>
  <c r="AB333" i="3"/>
  <c r="AB341" i="3"/>
  <c r="AC104" i="3"/>
  <c r="AB68" i="3"/>
  <c r="AB58" i="3"/>
  <c r="AB56" i="3"/>
  <c r="AB52" i="3"/>
  <c r="AB49" i="3"/>
  <c r="AB46" i="3"/>
  <c r="AB45" i="3"/>
  <c r="AB41" i="3"/>
  <c r="AB43" i="3"/>
  <c r="AB65" i="3"/>
  <c r="AB60" i="3"/>
  <c r="AB57" i="3"/>
  <c r="AB54" i="3"/>
  <c r="AB50" i="3"/>
  <c r="AB48" i="3"/>
  <c r="AB47" i="3"/>
  <c r="AB44" i="3"/>
  <c r="AB39" i="3"/>
  <c r="AB38" i="3"/>
  <c r="AB42" i="3"/>
  <c r="N70" i="3"/>
  <c r="AB3" i="3"/>
  <c r="AB67" i="3"/>
  <c r="AB55" i="3"/>
  <c r="AB53" i="3"/>
  <c r="AB51" i="3"/>
  <c r="AB40" i="3"/>
  <c r="AB64" i="3"/>
  <c r="AB63" i="3"/>
  <c r="AB62" i="3"/>
  <c r="AB61" i="3"/>
  <c r="AB59" i="3"/>
  <c r="AB69" i="3"/>
  <c r="AB37" i="3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5" i="2"/>
  <c r="Y2164" i="2"/>
  <c r="Y2163" i="2"/>
  <c r="Y2162" i="2"/>
  <c r="Y2161" i="2"/>
  <c r="Y2160" i="2"/>
  <c r="Y2159" i="2"/>
  <c r="Y2158" i="2"/>
  <c r="Y2157" i="2"/>
  <c r="Y2156" i="2"/>
  <c r="Y2155" i="2"/>
  <c r="Y2154" i="2"/>
  <c r="Y2153" i="2"/>
  <c r="Y2152" i="2"/>
  <c r="Y2151" i="2"/>
  <c r="Y2150" i="2"/>
  <c r="Y2149" i="2"/>
  <c r="Y2148" i="2"/>
  <c r="Y2147" i="2"/>
  <c r="Y2146" i="2"/>
  <c r="Y2145" i="2"/>
  <c r="Y2144" i="2"/>
  <c r="Y2143" i="2"/>
  <c r="Y2142" i="2"/>
  <c r="Y2141" i="2"/>
  <c r="Y2140" i="2"/>
  <c r="Y2139" i="2"/>
  <c r="Y2138" i="2"/>
  <c r="Y2137" i="2"/>
  <c r="Y2136" i="2"/>
  <c r="Y2135" i="2"/>
  <c r="Y2134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21" i="2"/>
  <c r="Y2120" i="2"/>
  <c r="Y2119" i="2"/>
  <c r="Y2118" i="2"/>
  <c r="Y2117" i="2"/>
  <c r="Y2116" i="2"/>
  <c r="Y2115" i="2"/>
  <c r="Y2114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1" i="2"/>
  <c r="Y2100" i="2"/>
  <c r="Y2099" i="2"/>
  <c r="Y2098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2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21" i="2"/>
  <c r="Y2020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9" i="2"/>
  <c r="Y1988" i="2"/>
  <c r="Y1987" i="2"/>
  <c r="Y1986" i="2"/>
  <c r="Y1985" i="2"/>
  <c r="Y1984" i="2"/>
  <c r="Y1983" i="2"/>
  <c r="Y1982" i="2"/>
  <c r="Y1981" i="2"/>
  <c r="Y1980" i="2"/>
  <c r="Y1979" i="2"/>
  <c r="Y1978" i="2"/>
  <c r="Y1977" i="2"/>
  <c r="Y1976" i="2"/>
  <c r="Y1975" i="2"/>
  <c r="Y1974" i="2"/>
  <c r="Y1973" i="2"/>
  <c r="Y1972" i="2"/>
  <c r="Y1971" i="2"/>
  <c r="Y1970" i="2"/>
  <c r="Y1969" i="2"/>
  <c r="Y1968" i="2"/>
  <c r="Y1967" i="2"/>
  <c r="Y1966" i="2"/>
  <c r="Y1965" i="2"/>
  <c r="Y1964" i="2"/>
  <c r="Y1963" i="2"/>
  <c r="Y1962" i="2"/>
  <c r="Y1961" i="2"/>
  <c r="Y1960" i="2"/>
  <c r="Y1959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2" i="2"/>
  <c r="Y1831" i="2"/>
  <c r="Y1830" i="2"/>
  <c r="Y1829" i="2"/>
  <c r="Y1828" i="2"/>
  <c r="Y1827" i="2"/>
  <c r="Y1826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3" i="2"/>
  <c r="Y1812" i="2"/>
  <c r="Y1811" i="2"/>
  <c r="Y1810" i="2"/>
  <c r="Y1809" i="2"/>
  <c r="Y1808" i="2"/>
  <c r="Y1807" i="2"/>
  <c r="Y1806" i="2"/>
  <c r="Y1805" i="2"/>
  <c r="Y1804" i="2"/>
  <c r="Y1803" i="2"/>
  <c r="Y1802" i="2"/>
  <c r="Y1801" i="2"/>
  <c r="Y1800" i="2"/>
  <c r="Y1799" i="2"/>
  <c r="Y1798" i="2"/>
  <c r="Y1797" i="2"/>
  <c r="Y1796" i="2"/>
  <c r="Y1795" i="2"/>
  <c r="Y1794" i="2"/>
  <c r="Y1793" i="2"/>
  <c r="Y1792" i="2"/>
  <c r="Y1791" i="2"/>
  <c r="Y1790" i="2"/>
  <c r="Y1789" i="2"/>
  <c r="Y1788" i="2"/>
  <c r="Y1787" i="2"/>
  <c r="Y1786" i="2"/>
  <c r="Y1785" i="2"/>
  <c r="Y1784" i="2"/>
  <c r="Y1783" i="2"/>
  <c r="Y1782" i="2"/>
  <c r="Y1781" i="2"/>
  <c r="Y1780" i="2"/>
  <c r="Y1779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6" i="2"/>
  <c r="Y1755" i="2"/>
  <c r="Y1754" i="2"/>
  <c r="Y1753" i="2"/>
  <c r="Y1752" i="2"/>
  <c r="Y1751" i="2"/>
  <c r="Y1750" i="2"/>
  <c r="Y1749" i="2"/>
  <c r="Y1748" i="2"/>
  <c r="Y1747" i="2"/>
  <c r="Y1746" i="2"/>
  <c r="Y1745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2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4" i="2"/>
  <c r="Y1653" i="2"/>
  <c r="Y1652" i="2"/>
  <c r="Y1651" i="2"/>
  <c r="Y1650" i="2"/>
  <c r="Y1649" i="2"/>
  <c r="Y1648" i="2"/>
  <c r="Y1647" i="2"/>
  <c r="Y1646" i="2"/>
  <c r="Y1645" i="2"/>
  <c r="Y1644" i="2"/>
  <c r="Y1643" i="2"/>
  <c r="Y1642" i="2"/>
  <c r="Y1641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AD22" i="2"/>
  <c r="AC22" i="2"/>
  <c r="AD21" i="2"/>
  <c r="AD20" i="2"/>
  <c r="AD19" i="2"/>
  <c r="AD18" i="2"/>
  <c r="AD17" i="2"/>
  <c r="AD16" i="2"/>
  <c r="AD15" i="2"/>
  <c r="AD14" i="2"/>
  <c r="AD13" i="2"/>
  <c r="AC13" i="2"/>
  <c r="AD12" i="2"/>
  <c r="AD11" i="2"/>
  <c r="AD10" i="2"/>
  <c r="AD9" i="2"/>
  <c r="AD8" i="2"/>
  <c r="AD7" i="2"/>
  <c r="AD6" i="2"/>
  <c r="AD5" i="2"/>
  <c r="D37" i="2" a="1"/>
  <c r="AD4" i="2"/>
  <c r="AC4" i="2"/>
  <c r="AH3" i="2"/>
  <c r="AD3" i="2"/>
  <c r="R68" i="2" l="1"/>
  <c r="AB3883" i="3"/>
  <c r="X38" i="2"/>
  <c r="X47" i="2"/>
  <c r="X57" i="2"/>
  <c r="X41" i="2"/>
  <c r="X50" i="2"/>
  <c r="X59" i="2"/>
  <c r="X42" i="2"/>
  <c r="X51" i="2"/>
  <c r="X62" i="2"/>
  <c r="X43" i="2"/>
  <c r="X52" i="2"/>
  <c r="X69" i="2"/>
  <c r="X44" i="2"/>
  <c r="X53" i="2"/>
  <c r="X45" i="2"/>
  <c r="X54" i="2"/>
  <c r="X46" i="2"/>
  <c r="X55" i="2"/>
  <c r="X68" i="2"/>
  <c r="X39" i="2"/>
  <c r="X49" i="2"/>
  <c r="X58" i="2"/>
  <c r="S52" i="2"/>
  <c r="S69" i="2"/>
  <c r="T54" i="2"/>
  <c r="X65" i="2"/>
  <c r="W38" i="2"/>
  <c r="S58" i="2"/>
  <c r="S53" i="2"/>
  <c r="S59" i="2"/>
  <c r="U58" i="2"/>
  <c r="U63" i="2"/>
  <c r="X60" i="2"/>
  <c r="X40" i="2"/>
  <c r="X48" i="2"/>
  <c r="X56" i="2"/>
  <c r="U61" i="2"/>
  <c r="X63" i="2"/>
  <c r="U47" i="2"/>
  <c r="U51" i="2"/>
  <c r="X61" i="2"/>
  <c r="X64" i="2"/>
  <c r="S43" i="2"/>
  <c r="U45" i="2"/>
  <c r="W45" i="2"/>
  <c r="W46" i="2"/>
  <c r="S54" i="2"/>
  <c r="U67" i="2"/>
  <c r="S55" i="2"/>
  <c r="U50" i="2"/>
  <c r="W53" i="2"/>
  <c r="W54" i="2"/>
  <c r="U69" i="2"/>
  <c r="U53" i="2"/>
  <c r="W61" i="2"/>
  <c r="U39" i="2"/>
  <c r="U55" i="2"/>
  <c r="W62" i="2"/>
  <c r="S40" i="2"/>
  <c r="U60" i="2"/>
  <c r="U42" i="2"/>
  <c r="U59" i="2"/>
  <c r="S41" i="2"/>
  <c r="U64" i="2"/>
  <c r="U43" i="2"/>
  <c r="U62" i="2"/>
  <c r="S56" i="2"/>
  <c r="T57" i="2"/>
  <c r="S42" i="2"/>
  <c r="S57" i="2"/>
  <c r="T52" i="2"/>
  <c r="T43" i="2"/>
  <c r="T51" i="2"/>
  <c r="U65" i="2"/>
  <c r="U44" i="2"/>
  <c r="U52" i="2"/>
  <c r="U68" i="2"/>
  <c r="V44" i="2"/>
  <c r="V52" i="2"/>
  <c r="V60" i="2"/>
  <c r="W39" i="2"/>
  <c r="W47" i="2"/>
  <c r="W55" i="2"/>
  <c r="W63" i="2"/>
  <c r="T56" i="2"/>
  <c r="V1063" i="2"/>
  <c r="V1067" i="2"/>
  <c r="V1062" i="2"/>
  <c r="V1066" i="2"/>
  <c r="V1070" i="2"/>
  <c r="V1061" i="2"/>
  <c r="V1065" i="2"/>
  <c r="V1069" i="2"/>
  <c r="V1064" i="2"/>
  <c r="V1068" i="2"/>
  <c r="V1073" i="2"/>
  <c r="V1077" i="2"/>
  <c r="V1081" i="2"/>
  <c r="V1085" i="2"/>
  <c r="V1089" i="2"/>
  <c r="V1060" i="2"/>
  <c r="V1031" i="2"/>
  <c r="V1035" i="2"/>
  <c r="V1039" i="2"/>
  <c r="V1043" i="2"/>
  <c r="V1047" i="2"/>
  <c r="V1051" i="2"/>
  <c r="V1055" i="2"/>
  <c r="V1059" i="2"/>
  <c r="V997" i="2"/>
  <c r="V1001" i="2"/>
  <c r="V1005" i="2"/>
  <c r="V1009" i="2"/>
  <c r="V1013" i="2"/>
  <c r="V1017" i="2"/>
  <c r="V1021" i="2"/>
  <c r="V1025" i="2"/>
  <c r="V963" i="2"/>
  <c r="V967" i="2"/>
  <c r="V971" i="2"/>
  <c r="V975" i="2"/>
  <c r="V979" i="2"/>
  <c r="V983" i="2"/>
  <c r="V987" i="2"/>
  <c r="V991" i="2"/>
  <c r="V929" i="2"/>
  <c r="V933" i="2"/>
  <c r="V937" i="2"/>
  <c r="V941" i="2"/>
  <c r="V945" i="2"/>
  <c r="V949" i="2"/>
  <c r="V953" i="2"/>
  <c r="V957" i="2"/>
  <c r="V928" i="2"/>
  <c r="V899" i="2"/>
  <c r="V903" i="2"/>
  <c r="V907" i="2"/>
  <c r="V911" i="2"/>
  <c r="V915" i="2"/>
  <c r="V919" i="2"/>
  <c r="V923" i="2"/>
  <c r="V927" i="2"/>
  <c r="V766" i="2"/>
  <c r="V770" i="2"/>
  <c r="V774" i="2"/>
  <c r="V778" i="2"/>
  <c r="V782" i="2"/>
  <c r="V786" i="2"/>
  <c r="V790" i="2"/>
  <c r="V794" i="2"/>
  <c r="V798" i="2"/>
  <c r="V1072" i="2"/>
  <c r="V1076" i="2"/>
  <c r="V1080" i="2"/>
  <c r="V1084" i="2"/>
  <c r="V1088" i="2"/>
  <c r="V1092" i="2"/>
  <c r="V1030" i="2"/>
  <c r="V1034" i="2"/>
  <c r="V1038" i="2"/>
  <c r="V1042" i="2"/>
  <c r="V1046" i="2"/>
  <c r="V1050" i="2"/>
  <c r="V1054" i="2"/>
  <c r="V1058" i="2"/>
  <c r="V996" i="2"/>
  <c r="V1000" i="2"/>
  <c r="V1004" i="2"/>
  <c r="V1008" i="2"/>
  <c r="V1012" i="2"/>
  <c r="V1016" i="2"/>
  <c r="V1020" i="2"/>
  <c r="V1024" i="2"/>
  <c r="V962" i="2"/>
  <c r="V966" i="2"/>
  <c r="V970" i="2"/>
  <c r="V974" i="2"/>
  <c r="V978" i="2"/>
  <c r="V982" i="2"/>
  <c r="V986" i="2"/>
  <c r="V990" i="2"/>
  <c r="V961" i="2"/>
  <c r="V932" i="2"/>
  <c r="V936" i="2"/>
  <c r="V940" i="2"/>
  <c r="V944" i="2"/>
  <c r="V948" i="2"/>
  <c r="V952" i="2"/>
  <c r="V956" i="2"/>
  <c r="V960" i="2"/>
  <c r="V898" i="2"/>
  <c r="V902" i="2"/>
  <c r="V906" i="2"/>
  <c r="V910" i="2"/>
  <c r="V914" i="2"/>
  <c r="V918" i="2"/>
  <c r="V922" i="2"/>
  <c r="V926" i="2"/>
  <c r="V765" i="2"/>
  <c r="V769" i="2"/>
  <c r="V773" i="2"/>
  <c r="V777" i="2"/>
  <c r="V781" i="2"/>
  <c r="V785" i="2"/>
  <c r="V789" i="2"/>
  <c r="V793" i="2"/>
  <c r="V797" i="2"/>
  <c r="V801" i="2"/>
  <c r="V1071" i="2"/>
  <c r="V1075" i="2"/>
  <c r="V1079" i="2"/>
  <c r="V1083" i="2"/>
  <c r="V1087" i="2"/>
  <c r="V1091" i="2"/>
  <c r="V1029" i="2"/>
  <c r="V1033" i="2"/>
  <c r="V1037" i="2"/>
  <c r="V1041" i="2"/>
  <c r="V1045" i="2"/>
  <c r="V1049" i="2"/>
  <c r="V1053" i="2"/>
  <c r="V1057" i="2"/>
  <c r="V995" i="2"/>
  <c r="V999" i="2"/>
  <c r="V1003" i="2"/>
  <c r="V1007" i="2"/>
  <c r="V1011" i="2"/>
  <c r="V1015" i="2"/>
  <c r="V1019" i="2"/>
  <c r="V1023" i="2"/>
  <c r="V994" i="2"/>
  <c r="V965" i="2"/>
  <c r="V969" i="2"/>
  <c r="V973" i="2"/>
  <c r="V977" i="2"/>
  <c r="V981" i="2"/>
  <c r="V985" i="2"/>
  <c r="V989" i="2"/>
  <c r="V993" i="2"/>
  <c r="V931" i="2"/>
  <c r="V935" i="2"/>
  <c r="V939" i="2"/>
  <c r="V943" i="2"/>
  <c r="V947" i="2"/>
  <c r="V951" i="2"/>
  <c r="V955" i="2"/>
  <c r="V959" i="2"/>
  <c r="V897" i="2"/>
  <c r="V901" i="2"/>
  <c r="V905" i="2"/>
  <c r="V909" i="2"/>
  <c r="V913" i="2"/>
  <c r="V917" i="2"/>
  <c r="V921" i="2"/>
  <c r="V925" i="2"/>
  <c r="V764" i="2"/>
  <c r="V768" i="2"/>
  <c r="V772" i="2"/>
  <c r="V776" i="2"/>
  <c r="V780" i="2"/>
  <c r="V784" i="2"/>
  <c r="V788" i="2"/>
  <c r="V792" i="2"/>
  <c r="V796" i="2"/>
  <c r="V1074" i="2"/>
  <c r="V1078" i="2"/>
  <c r="V1082" i="2"/>
  <c r="V1086" i="2"/>
  <c r="V1090" i="2"/>
  <c r="V1028" i="2"/>
  <c r="V1032" i="2"/>
  <c r="V1036" i="2"/>
  <c r="V1040" i="2"/>
  <c r="V1044" i="2"/>
  <c r="V1048" i="2"/>
  <c r="V1052" i="2"/>
  <c r="V1056" i="2"/>
  <c r="V1027" i="2"/>
  <c r="V998" i="2"/>
  <c r="V1002" i="2"/>
  <c r="V1006" i="2"/>
  <c r="V1010" i="2"/>
  <c r="V1014" i="2"/>
  <c r="V1018" i="2"/>
  <c r="V1022" i="2"/>
  <c r="V1026" i="2"/>
  <c r="V964" i="2"/>
  <c r="V968" i="2"/>
  <c r="V972" i="2"/>
  <c r="V976" i="2"/>
  <c r="V980" i="2"/>
  <c r="V984" i="2"/>
  <c r="V988" i="2"/>
  <c r="V992" i="2"/>
  <c r="V930" i="2"/>
  <c r="V934" i="2"/>
  <c r="V938" i="2"/>
  <c r="V942" i="2"/>
  <c r="V946" i="2"/>
  <c r="V950" i="2"/>
  <c r="V954" i="2"/>
  <c r="V958" i="2"/>
  <c r="V896" i="2"/>
  <c r="V900" i="2"/>
  <c r="V767" i="2"/>
  <c r="V805" i="2"/>
  <c r="V814" i="2"/>
  <c r="V821" i="2"/>
  <c r="V830" i="2"/>
  <c r="V837" i="2"/>
  <c r="V846" i="2"/>
  <c r="V853" i="2"/>
  <c r="V862" i="2"/>
  <c r="V869" i="2"/>
  <c r="V878" i="2"/>
  <c r="V885" i="2"/>
  <c r="V698" i="2"/>
  <c r="V701" i="2"/>
  <c r="V912" i="2"/>
  <c r="V779" i="2"/>
  <c r="V807" i="2"/>
  <c r="V816" i="2"/>
  <c r="V823" i="2"/>
  <c r="V832" i="2"/>
  <c r="V839" i="2"/>
  <c r="V848" i="2"/>
  <c r="V855" i="2"/>
  <c r="V864" i="2"/>
  <c r="V871" i="2"/>
  <c r="V880" i="2"/>
  <c r="V887" i="2"/>
  <c r="V890" i="2"/>
  <c r="V893" i="2"/>
  <c r="V704" i="2"/>
  <c r="V708" i="2"/>
  <c r="V712" i="2"/>
  <c r="V716" i="2"/>
  <c r="V720" i="2"/>
  <c r="V724" i="2"/>
  <c r="V728" i="2"/>
  <c r="V666" i="2"/>
  <c r="V670" i="2"/>
  <c r="V674" i="2"/>
  <c r="V678" i="2"/>
  <c r="V682" i="2"/>
  <c r="V686" i="2"/>
  <c r="V690" i="2"/>
  <c r="V694" i="2"/>
  <c r="V632" i="2"/>
  <c r="V636" i="2"/>
  <c r="V640" i="2"/>
  <c r="V644" i="2"/>
  <c r="V648" i="2"/>
  <c r="V652" i="2"/>
  <c r="V656" i="2"/>
  <c r="V660" i="2"/>
  <c r="V924" i="2"/>
  <c r="V791" i="2"/>
  <c r="V800" i="2"/>
  <c r="V802" i="2"/>
  <c r="V809" i="2"/>
  <c r="V818" i="2"/>
  <c r="V825" i="2"/>
  <c r="V834" i="2"/>
  <c r="V841" i="2"/>
  <c r="V850" i="2"/>
  <c r="V857" i="2"/>
  <c r="V866" i="2"/>
  <c r="V873" i="2"/>
  <c r="V882" i="2"/>
  <c r="V904" i="2"/>
  <c r="V771" i="2"/>
  <c r="V804" i="2"/>
  <c r="V811" i="2"/>
  <c r="V820" i="2"/>
  <c r="V827" i="2"/>
  <c r="V836" i="2"/>
  <c r="V843" i="2"/>
  <c r="V852" i="2"/>
  <c r="V859" i="2"/>
  <c r="V868" i="2"/>
  <c r="V875" i="2"/>
  <c r="V884" i="2"/>
  <c r="V892" i="2"/>
  <c r="V763" i="2"/>
  <c r="V700" i="2"/>
  <c r="V703" i="2"/>
  <c r="V707" i="2"/>
  <c r="V711" i="2"/>
  <c r="V715" i="2"/>
  <c r="V719" i="2"/>
  <c r="V723" i="2"/>
  <c r="V727" i="2"/>
  <c r="V665" i="2"/>
  <c r="V669" i="2"/>
  <c r="V673" i="2"/>
  <c r="V677" i="2"/>
  <c r="V681" i="2"/>
  <c r="V685" i="2"/>
  <c r="V689" i="2"/>
  <c r="V693" i="2"/>
  <c r="V664" i="2"/>
  <c r="V635" i="2"/>
  <c r="V639" i="2"/>
  <c r="V643" i="2"/>
  <c r="V647" i="2"/>
  <c r="V651" i="2"/>
  <c r="V655" i="2"/>
  <c r="V659" i="2"/>
  <c r="V663" i="2"/>
  <c r="V916" i="2"/>
  <c r="V783" i="2"/>
  <c r="V806" i="2"/>
  <c r="V813" i="2"/>
  <c r="V822" i="2"/>
  <c r="V829" i="2"/>
  <c r="V838" i="2"/>
  <c r="V845" i="2"/>
  <c r="V854" i="2"/>
  <c r="V861" i="2"/>
  <c r="V870" i="2"/>
  <c r="V877" i="2"/>
  <c r="V886" i="2"/>
  <c r="V889" i="2"/>
  <c r="V895" i="2"/>
  <c r="V795" i="2"/>
  <c r="V808" i="2"/>
  <c r="V815" i="2"/>
  <c r="V824" i="2"/>
  <c r="V831" i="2"/>
  <c r="V840" i="2"/>
  <c r="V847" i="2"/>
  <c r="V856" i="2"/>
  <c r="V863" i="2"/>
  <c r="V872" i="2"/>
  <c r="V879" i="2"/>
  <c r="V702" i="2"/>
  <c r="V706" i="2"/>
  <c r="V710" i="2"/>
  <c r="V714" i="2"/>
  <c r="V718" i="2"/>
  <c r="V722" i="2"/>
  <c r="V726" i="2"/>
  <c r="V697" i="2"/>
  <c r="V668" i="2"/>
  <c r="V672" i="2"/>
  <c r="V676" i="2"/>
  <c r="V680" i="2"/>
  <c r="V684" i="2"/>
  <c r="V688" i="2"/>
  <c r="V692" i="2"/>
  <c r="V696" i="2"/>
  <c r="V634" i="2"/>
  <c r="V638" i="2"/>
  <c r="V642" i="2"/>
  <c r="V646" i="2"/>
  <c r="V650" i="2"/>
  <c r="V654" i="2"/>
  <c r="V658" i="2"/>
  <c r="V662" i="2"/>
  <c r="V600" i="2"/>
  <c r="V604" i="2"/>
  <c r="V608" i="2"/>
  <c r="V612" i="2"/>
  <c r="V908" i="2"/>
  <c r="V775" i="2"/>
  <c r="V810" i="2"/>
  <c r="V817" i="2"/>
  <c r="V826" i="2"/>
  <c r="V833" i="2"/>
  <c r="V842" i="2"/>
  <c r="V849" i="2"/>
  <c r="V858" i="2"/>
  <c r="V865" i="2"/>
  <c r="V874" i="2"/>
  <c r="V881" i="2"/>
  <c r="V888" i="2"/>
  <c r="V891" i="2"/>
  <c r="V894" i="2"/>
  <c r="V699" i="2"/>
  <c r="V920" i="2"/>
  <c r="V787" i="2"/>
  <c r="V799" i="2"/>
  <c r="V803" i="2"/>
  <c r="V812" i="2"/>
  <c r="V819" i="2"/>
  <c r="V828" i="2"/>
  <c r="V835" i="2"/>
  <c r="V844" i="2"/>
  <c r="V851" i="2"/>
  <c r="V860" i="2"/>
  <c r="V867" i="2"/>
  <c r="V876" i="2"/>
  <c r="V883" i="2"/>
  <c r="V705" i="2"/>
  <c r="V709" i="2"/>
  <c r="V713" i="2"/>
  <c r="V671" i="2"/>
  <c r="V637" i="2"/>
  <c r="V603" i="2"/>
  <c r="V611" i="2"/>
  <c r="V613" i="2"/>
  <c r="V620" i="2"/>
  <c r="V629" i="2"/>
  <c r="V570" i="2"/>
  <c r="V579" i="2"/>
  <c r="V583" i="2"/>
  <c r="V587" i="2"/>
  <c r="V591" i="2"/>
  <c r="V595" i="2"/>
  <c r="V533" i="2"/>
  <c r="V537" i="2"/>
  <c r="V541" i="2"/>
  <c r="V545" i="2"/>
  <c r="V549" i="2"/>
  <c r="V553" i="2"/>
  <c r="V557" i="2"/>
  <c r="V561" i="2"/>
  <c r="V532" i="2"/>
  <c r="V404" i="2"/>
  <c r="V408" i="2"/>
  <c r="V412" i="2"/>
  <c r="V416" i="2"/>
  <c r="V420" i="2"/>
  <c r="V424" i="2"/>
  <c r="V428" i="2"/>
  <c r="V432" i="2"/>
  <c r="V436" i="2"/>
  <c r="V440" i="2"/>
  <c r="V444" i="2"/>
  <c r="V448" i="2"/>
  <c r="V452" i="2"/>
  <c r="V456" i="2"/>
  <c r="V460" i="2"/>
  <c r="V464" i="2"/>
  <c r="V468" i="2"/>
  <c r="V472" i="2"/>
  <c r="V476" i="2"/>
  <c r="V480" i="2"/>
  <c r="V484" i="2"/>
  <c r="V488" i="2"/>
  <c r="V492" i="2"/>
  <c r="V496" i="2"/>
  <c r="V500" i="2"/>
  <c r="V504" i="2"/>
  <c r="V508" i="2"/>
  <c r="V512" i="2"/>
  <c r="V516" i="2"/>
  <c r="V520" i="2"/>
  <c r="V524" i="2"/>
  <c r="V528" i="2"/>
  <c r="V400" i="2"/>
  <c r="V717" i="2"/>
  <c r="V683" i="2"/>
  <c r="V649" i="2"/>
  <c r="V607" i="2"/>
  <c r="V609" i="2"/>
  <c r="V615" i="2"/>
  <c r="V622" i="2"/>
  <c r="V598" i="2"/>
  <c r="V572" i="2"/>
  <c r="V729" i="2"/>
  <c r="V695" i="2"/>
  <c r="V661" i="2"/>
  <c r="V617" i="2"/>
  <c r="V624" i="2"/>
  <c r="V567" i="2"/>
  <c r="V574" i="2"/>
  <c r="V582" i="2"/>
  <c r="V586" i="2"/>
  <c r="V590" i="2"/>
  <c r="V594" i="2"/>
  <c r="V565" i="2"/>
  <c r="V536" i="2"/>
  <c r="V540" i="2"/>
  <c r="V544" i="2"/>
  <c r="V548" i="2"/>
  <c r="V552" i="2"/>
  <c r="V556" i="2"/>
  <c r="V560" i="2"/>
  <c r="V564" i="2"/>
  <c r="V403" i="2"/>
  <c r="V407" i="2"/>
  <c r="V411" i="2"/>
  <c r="V415" i="2"/>
  <c r="V419" i="2"/>
  <c r="V423" i="2"/>
  <c r="V427" i="2"/>
  <c r="V431" i="2"/>
  <c r="V435" i="2"/>
  <c r="V439" i="2"/>
  <c r="V443" i="2"/>
  <c r="V447" i="2"/>
  <c r="V451" i="2"/>
  <c r="V455" i="2"/>
  <c r="V459" i="2"/>
  <c r="V463" i="2"/>
  <c r="V467" i="2"/>
  <c r="V471" i="2"/>
  <c r="V475" i="2"/>
  <c r="V479" i="2"/>
  <c r="V483" i="2"/>
  <c r="V487" i="2"/>
  <c r="V491" i="2"/>
  <c r="V495" i="2"/>
  <c r="V499" i="2"/>
  <c r="V503" i="2"/>
  <c r="V507" i="2"/>
  <c r="V511" i="2"/>
  <c r="V515" i="2"/>
  <c r="V519" i="2"/>
  <c r="V523" i="2"/>
  <c r="V675" i="2"/>
  <c r="V641" i="2"/>
  <c r="V619" i="2"/>
  <c r="V626" i="2"/>
  <c r="V569" i="2"/>
  <c r="V576" i="2"/>
  <c r="V721" i="2"/>
  <c r="V687" i="2"/>
  <c r="V653" i="2"/>
  <c r="V601" i="2"/>
  <c r="V621" i="2"/>
  <c r="V628" i="2"/>
  <c r="V571" i="2"/>
  <c r="V578" i="2"/>
  <c r="V581" i="2"/>
  <c r="V585" i="2"/>
  <c r="V589" i="2"/>
  <c r="V593" i="2"/>
  <c r="V597" i="2"/>
  <c r="V535" i="2"/>
  <c r="V539" i="2"/>
  <c r="V543" i="2"/>
  <c r="V547" i="2"/>
  <c r="V551" i="2"/>
  <c r="V555" i="2"/>
  <c r="V559" i="2"/>
  <c r="V563" i="2"/>
  <c r="V402" i="2"/>
  <c r="V406" i="2"/>
  <c r="V410" i="2"/>
  <c r="V414" i="2"/>
  <c r="V418" i="2"/>
  <c r="V422" i="2"/>
  <c r="V426" i="2"/>
  <c r="V430" i="2"/>
  <c r="V434" i="2"/>
  <c r="V438" i="2"/>
  <c r="V442" i="2"/>
  <c r="V446" i="2"/>
  <c r="V450" i="2"/>
  <c r="V454" i="2"/>
  <c r="V458" i="2"/>
  <c r="V462" i="2"/>
  <c r="V466" i="2"/>
  <c r="V470" i="2"/>
  <c r="V474" i="2"/>
  <c r="V478" i="2"/>
  <c r="V482" i="2"/>
  <c r="V486" i="2"/>
  <c r="V490" i="2"/>
  <c r="V494" i="2"/>
  <c r="V498" i="2"/>
  <c r="V502" i="2"/>
  <c r="V506" i="2"/>
  <c r="V510" i="2"/>
  <c r="V514" i="2"/>
  <c r="V518" i="2"/>
  <c r="V522" i="2"/>
  <c r="V526" i="2"/>
  <c r="V530" i="2"/>
  <c r="V667" i="2"/>
  <c r="V633" i="2"/>
  <c r="V631" i="2"/>
  <c r="V605" i="2"/>
  <c r="V610" i="2"/>
  <c r="V614" i="2"/>
  <c r="V623" i="2"/>
  <c r="V630" i="2"/>
  <c r="V573" i="2"/>
  <c r="V679" i="2"/>
  <c r="V645" i="2"/>
  <c r="V602" i="2"/>
  <c r="V616" i="2"/>
  <c r="V625" i="2"/>
  <c r="V566" i="2"/>
  <c r="V575" i="2"/>
  <c r="V580" i="2"/>
  <c r="V584" i="2"/>
  <c r="V588" i="2"/>
  <c r="V592" i="2"/>
  <c r="V596" i="2"/>
  <c r="V534" i="2"/>
  <c r="V538" i="2"/>
  <c r="V542" i="2"/>
  <c r="V546" i="2"/>
  <c r="V550" i="2"/>
  <c r="V554" i="2"/>
  <c r="V558" i="2"/>
  <c r="V562" i="2"/>
  <c r="V401" i="2"/>
  <c r="V405" i="2"/>
  <c r="V409" i="2"/>
  <c r="V413" i="2"/>
  <c r="V417" i="2"/>
  <c r="V421" i="2"/>
  <c r="V425" i="2"/>
  <c r="V429" i="2"/>
  <c r="V433" i="2"/>
  <c r="V437" i="2"/>
  <c r="V441" i="2"/>
  <c r="V445" i="2"/>
  <c r="V449" i="2"/>
  <c r="V453" i="2"/>
  <c r="V457" i="2"/>
  <c r="V461" i="2"/>
  <c r="V465" i="2"/>
  <c r="V469" i="2"/>
  <c r="V473" i="2"/>
  <c r="V477" i="2"/>
  <c r="V481" i="2"/>
  <c r="V485" i="2"/>
  <c r="V489" i="2"/>
  <c r="V493" i="2"/>
  <c r="V497" i="2"/>
  <c r="V501" i="2"/>
  <c r="V505" i="2"/>
  <c r="V509" i="2"/>
  <c r="V513" i="2"/>
  <c r="V517" i="2"/>
  <c r="V521" i="2"/>
  <c r="V725" i="2"/>
  <c r="V691" i="2"/>
  <c r="V657" i="2"/>
  <c r="V599" i="2"/>
  <c r="V606" i="2"/>
  <c r="V618" i="2"/>
  <c r="V627" i="2"/>
  <c r="V568" i="2"/>
  <c r="V577" i="2"/>
  <c r="V525" i="2"/>
  <c r="V337" i="2"/>
  <c r="V346" i="2"/>
  <c r="V353" i="2"/>
  <c r="V362" i="2"/>
  <c r="V303" i="2"/>
  <c r="V312" i="2"/>
  <c r="V319" i="2"/>
  <c r="V328" i="2"/>
  <c r="V269" i="2"/>
  <c r="V275" i="2"/>
  <c r="V279" i="2"/>
  <c r="V283" i="2"/>
  <c r="V287" i="2"/>
  <c r="V291" i="2"/>
  <c r="V295" i="2"/>
  <c r="V299" i="2"/>
  <c r="V237" i="2"/>
  <c r="V241" i="2"/>
  <c r="V245" i="2"/>
  <c r="V249" i="2"/>
  <c r="V253" i="2"/>
  <c r="V257" i="2"/>
  <c r="V261" i="2"/>
  <c r="V265" i="2"/>
  <c r="V203" i="2"/>
  <c r="V207" i="2"/>
  <c r="V211" i="2"/>
  <c r="V215" i="2"/>
  <c r="V219" i="2"/>
  <c r="V223" i="2"/>
  <c r="V227" i="2"/>
  <c r="V231" i="2"/>
  <c r="V202" i="2"/>
  <c r="V173" i="2"/>
  <c r="V177" i="2"/>
  <c r="V181" i="2"/>
  <c r="V185" i="2"/>
  <c r="V189" i="2"/>
  <c r="V193" i="2"/>
  <c r="V197" i="2"/>
  <c r="V201" i="2"/>
  <c r="V72" i="2"/>
  <c r="V76" i="2"/>
  <c r="V80" i="2"/>
  <c r="V84" i="2"/>
  <c r="V88" i="2"/>
  <c r="V92" i="2"/>
  <c r="V96" i="2"/>
  <c r="V100" i="2"/>
  <c r="V104" i="2"/>
  <c r="V108" i="2"/>
  <c r="V112" i="2"/>
  <c r="V531" i="2"/>
  <c r="V339" i="2"/>
  <c r="V348" i="2"/>
  <c r="V355" i="2"/>
  <c r="V364" i="2"/>
  <c r="V305" i="2"/>
  <c r="V314" i="2"/>
  <c r="V321" i="2"/>
  <c r="V330" i="2"/>
  <c r="V271" i="2"/>
  <c r="V341" i="2"/>
  <c r="V350" i="2"/>
  <c r="V357" i="2"/>
  <c r="V366" i="2"/>
  <c r="V307" i="2"/>
  <c r="V316" i="2"/>
  <c r="V323" i="2"/>
  <c r="V332" i="2"/>
  <c r="V274" i="2"/>
  <c r="V278" i="2"/>
  <c r="V282" i="2"/>
  <c r="V286" i="2"/>
  <c r="V290" i="2"/>
  <c r="V294" i="2"/>
  <c r="V298" i="2"/>
  <c r="V236" i="2"/>
  <c r="V240" i="2"/>
  <c r="V244" i="2"/>
  <c r="V248" i="2"/>
  <c r="V252" i="2"/>
  <c r="V256" i="2"/>
  <c r="V260" i="2"/>
  <c r="V264" i="2"/>
  <c r="V235" i="2"/>
  <c r="V206" i="2"/>
  <c r="V210" i="2"/>
  <c r="V214" i="2"/>
  <c r="V218" i="2"/>
  <c r="V222" i="2"/>
  <c r="V226" i="2"/>
  <c r="V230" i="2"/>
  <c r="V234" i="2"/>
  <c r="V172" i="2"/>
  <c r="V176" i="2"/>
  <c r="V180" i="2"/>
  <c r="V184" i="2"/>
  <c r="V188" i="2"/>
  <c r="V192" i="2"/>
  <c r="V196" i="2"/>
  <c r="V200" i="2"/>
  <c r="V71" i="2"/>
  <c r="V75" i="2"/>
  <c r="V79" i="2"/>
  <c r="V83" i="2"/>
  <c r="V87" i="2"/>
  <c r="V91" i="2"/>
  <c r="V95" i="2"/>
  <c r="V99" i="2"/>
  <c r="V103" i="2"/>
  <c r="V107" i="2"/>
  <c r="V111" i="2"/>
  <c r="V115" i="2"/>
  <c r="V527" i="2"/>
  <c r="V336" i="2"/>
  <c r="V343" i="2"/>
  <c r="V352" i="2"/>
  <c r="V359" i="2"/>
  <c r="V302" i="2"/>
  <c r="V309" i="2"/>
  <c r="V318" i="2"/>
  <c r="V325" i="2"/>
  <c r="V301" i="2"/>
  <c r="V338" i="2"/>
  <c r="V345" i="2"/>
  <c r="V354" i="2"/>
  <c r="V361" i="2"/>
  <c r="V304" i="2"/>
  <c r="V311" i="2"/>
  <c r="V320" i="2"/>
  <c r="V327" i="2"/>
  <c r="V270" i="2"/>
  <c r="V273" i="2"/>
  <c r="V277" i="2"/>
  <c r="V281" i="2"/>
  <c r="V285" i="2"/>
  <c r="V289" i="2"/>
  <c r="V293" i="2"/>
  <c r="V297" i="2"/>
  <c r="V268" i="2"/>
  <c r="V239" i="2"/>
  <c r="V243" i="2"/>
  <c r="V247" i="2"/>
  <c r="V251" i="2"/>
  <c r="V255" i="2"/>
  <c r="V259" i="2"/>
  <c r="V263" i="2"/>
  <c r="V267" i="2"/>
  <c r="V205" i="2"/>
  <c r="V209" i="2"/>
  <c r="V213" i="2"/>
  <c r="V217" i="2"/>
  <c r="V221" i="2"/>
  <c r="V225" i="2"/>
  <c r="V229" i="2"/>
  <c r="V233" i="2"/>
  <c r="V171" i="2"/>
  <c r="V175" i="2"/>
  <c r="V179" i="2"/>
  <c r="V183" i="2"/>
  <c r="V187" i="2"/>
  <c r="V191" i="2"/>
  <c r="V195" i="2"/>
  <c r="V199" i="2"/>
  <c r="V70" i="2"/>
  <c r="V74" i="2"/>
  <c r="V78" i="2"/>
  <c r="V82" i="2"/>
  <c r="V86" i="2"/>
  <c r="V90" i="2"/>
  <c r="V94" i="2"/>
  <c r="V98" i="2"/>
  <c r="V102" i="2"/>
  <c r="V106" i="2"/>
  <c r="V110" i="2"/>
  <c r="V114" i="2"/>
  <c r="V340" i="2"/>
  <c r="V347" i="2"/>
  <c r="V356" i="2"/>
  <c r="V363" i="2"/>
  <c r="V306" i="2"/>
  <c r="V313" i="2"/>
  <c r="V322" i="2"/>
  <c r="V329" i="2"/>
  <c r="V529" i="2"/>
  <c r="V342" i="2"/>
  <c r="V349" i="2"/>
  <c r="V358" i="2"/>
  <c r="V365" i="2"/>
  <c r="V308" i="2"/>
  <c r="V315" i="2"/>
  <c r="V324" i="2"/>
  <c r="V331" i="2"/>
  <c r="V272" i="2"/>
  <c r="V276" i="2"/>
  <c r="V280" i="2"/>
  <c r="V284" i="2"/>
  <c r="V288" i="2"/>
  <c r="V292" i="2"/>
  <c r="V296" i="2"/>
  <c r="V300" i="2"/>
  <c r="V238" i="2"/>
  <c r="V242" i="2"/>
  <c r="V246" i="2"/>
  <c r="V250" i="2"/>
  <c r="V254" i="2"/>
  <c r="V258" i="2"/>
  <c r="V262" i="2"/>
  <c r="V266" i="2"/>
  <c r="V204" i="2"/>
  <c r="V208" i="2"/>
  <c r="V212" i="2"/>
  <c r="V216" i="2"/>
  <c r="V220" i="2"/>
  <c r="V224" i="2"/>
  <c r="V228" i="2"/>
  <c r="V232" i="2"/>
  <c r="V170" i="2"/>
  <c r="V174" i="2"/>
  <c r="V178" i="2"/>
  <c r="V182" i="2"/>
  <c r="V186" i="2"/>
  <c r="V190" i="2"/>
  <c r="V194" i="2"/>
  <c r="V198" i="2"/>
  <c r="V169" i="2"/>
  <c r="V73" i="2"/>
  <c r="V77" i="2"/>
  <c r="V81" i="2"/>
  <c r="V85" i="2"/>
  <c r="V89" i="2"/>
  <c r="V93" i="2"/>
  <c r="V97" i="2"/>
  <c r="V101" i="2"/>
  <c r="V105" i="2"/>
  <c r="V109" i="2"/>
  <c r="V113" i="2"/>
  <c r="V335" i="2"/>
  <c r="V344" i="2"/>
  <c r="V351" i="2"/>
  <c r="V360" i="2"/>
  <c r="V334" i="2"/>
  <c r="V310" i="2"/>
  <c r="V317" i="2"/>
  <c r="V326" i="2"/>
  <c r="V333" i="2"/>
  <c r="V122" i="2"/>
  <c r="V129" i="2"/>
  <c r="V138" i="2"/>
  <c r="V145" i="2"/>
  <c r="V154" i="2"/>
  <c r="V161" i="2"/>
  <c r="V124" i="2"/>
  <c r="V131" i="2"/>
  <c r="V140" i="2"/>
  <c r="V147" i="2"/>
  <c r="V156" i="2"/>
  <c r="V163" i="2"/>
  <c r="V117" i="2"/>
  <c r="V126" i="2"/>
  <c r="V133" i="2"/>
  <c r="V142" i="2"/>
  <c r="V149" i="2"/>
  <c r="V158" i="2"/>
  <c r="V165" i="2"/>
  <c r="V119" i="2"/>
  <c r="V128" i="2"/>
  <c r="V135" i="2"/>
  <c r="V144" i="2"/>
  <c r="V151" i="2"/>
  <c r="V160" i="2"/>
  <c r="V167" i="2"/>
  <c r="V121" i="2"/>
  <c r="V130" i="2"/>
  <c r="V137" i="2"/>
  <c r="V146" i="2"/>
  <c r="V153" i="2"/>
  <c r="V162" i="2"/>
  <c r="V116" i="2"/>
  <c r="V123" i="2"/>
  <c r="V132" i="2"/>
  <c r="V139" i="2"/>
  <c r="V148" i="2"/>
  <c r="V155" i="2"/>
  <c r="V164" i="2"/>
  <c r="V118" i="2"/>
  <c r="V125" i="2"/>
  <c r="V134" i="2"/>
  <c r="V141" i="2"/>
  <c r="V150" i="2"/>
  <c r="V157" i="2"/>
  <c r="V166" i="2"/>
  <c r="V120" i="2"/>
  <c r="V127" i="2"/>
  <c r="V136" i="2"/>
  <c r="V143" i="2"/>
  <c r="V152" i="2"/>
  <c r="V159" i="2"/>
  <c r="V168" i="2"/>
  <c r="V66" i="2"/>
  <c r="T44" i="2"/>
  <c r="T53" i="2"/>
  <c r="V45" i="2"/>
  <c r="V53" i="2"/>
  <c r="V61" i="2"/>
  <c r="W40" i="2"/>
  <c r="W48" i="2"/>
  <c r="W56" i="2"/>
  <c r="S44" i="2"/>
  <c r="S60" i="2"/>
  <c r="T63" i="2"/>
  <c r="S45" i="2"/>
  <c r="S61" i="2"/>
  <c r="T59" i="2"/>
  <c r="T45" i="2"/>
  <c r="T55" i="2"/>
  <c r="U38" i="2"/>
  <c r="U46" i="2"/>
  <c r="U54" i="2"/>
  <c r="V38" i="2"/>
  <c r="V46" i="2"/>
  <c r="V54" i="2"/>
  <c r="V62" i="2"/>
  <c r="W1063" i="2"/>
  <c r="W1067" i="2"/>
  <c r="W1062" i="2"/>
  <c r="W1066" i="2"/>
  <c r="W1070" i="2"/>
  <c r="W1061" i="2"/>
  <c r="W1065" i="2"/>
  <c r="W1069" i="2"/>
  <c r="W1064" i="2"/>
  <c r="W1068" i="2"/>
  <c r="W1073" i="2"/>
  <c r="W1077" i="2"/>
  <c r="W1081" i="2"/>
  <c r="W1085" i="2"/>
  <c r="W1089" i="2"/>
  <c r="W1060" i="2"/>
  <c r="W1031" i="2"/>
  <c r="W1035" i="2"/>
  <c r="W1039" i="2"/>
  <c r="W1043" i="2"/>
  <c r="W1047" i="2"/>
  <c r="W1051" i="2"/>
  <c r="W1055" i="2"/>
  <c r="W1059" i="2"/>
  <c r="W997" i="2"/>
  <c r="W1001" i="2"/>
  <c r="W1005" i="2"/>
  <c r="W1009" i="2"/>
  <c r="W1013" i="2"/>
  <c r="W1017" i="2"/>
  <c r="W1021" i="2"/>
  <c r="W1025" i="2"/>
  <c r="W963" i="2"/>
  <c r="W967" i="2"/>
  <c r="W971" i="2"/>
  <c r="W975" i="2"/>
  <c r="W979" i="2"/>
  <c r="W983" i="2"/>
  <c r="W987" i="2"/>
  <c r="W991" i="2"/>
  <c r="W929" i="2"/>
  <c r="W933" i="2"/>
  <c r="W937" i="2"/>
  <c r="W941" i="2"/>
  <c r="W945" i="2"/>
  <c r="W949" i="2"/>
  <c r="W953" i="2"/>
  <c r="W957" i="2"/>
  <c r="W928" i="2"/>
  <c r="W899" i="2"/>
  <c r="W903" i="2"/>
  <c r="W907" i="2"/>
  <c r="W911" i="2"/>
  <c r="W915" i="2"/>
  <c r="W919" i="2"/>
  <c r="W923" i="2"/>
  <c r="W927" i="2"/>
  <c r="W766" i="2"/>
  <c r="W770" i="2"/>
  <c r="W774" i="2"/>
  <c r="W778" i="2"/>
  <c r="W782" i="2"/>
  <c r="W786" i="2"/>
  <c r="W790" i="2"/>
  <c r="W794" i="2"/>
  <c r="W1072" i="2"/>
  <c r="W1076" i="2"/>
  <c r="W1080" i="2"/>
  <c r="W1084" i="2"/>
  <c r="W1088" i="2"/>
  <c r="W1092" i="2"/>
  <c r="W1030" i="2"/>
  <c r="W1034" i="2"/>
  <c r="W1038" i="2"/>
  <c r="W1042" i="2"/>
  <c r="W1046" i="2"/>
  <c r="W1050" i="2"/>
  <c r="W1054" i="2"/>
  <c r="W1058" i="2"/>
  <c r="W996" i="2"/>
  <c r="W1000" i="2"/>
  <c r="W1004" i="2"/>
  <c r="W1008" i="2"/>
  <c r="W1012" i="2"/>
  <c r="W1016" i="2"/>
  <c r="W1020" i="2"/>
  <c r="W1024" i="2"/>
  <c r="W962" i="2"/>
  <c r="W966" i="2"/>
  <c r="W970" i="2"/>
  <c r="W974" i="2"/>
  <c r="W978" i="2"/>
  <c r="W982" i="2"/>
  <c r="W986" i="2"/>
  <c r="W990" i="2"/>
  <c r="W961" i="2"/>
  <c r="W932" i="2"/>
  <c r="W936" i="2"/>
  <c r="W940" i="2"/>
  <c r="W944" i="2"/>
  <c r="W948" i="2"/>
  <c r="W952" i="2"/>
  <c r="W956" i="2"/>
  <c r="W960" i="2"/>
  <c r="W898" i="2"/>
  <c r="W902" i="2"/>
  <c r="W906" i="2"/>
  <c r="W910" i="2"/>
  <c r="W914" i="2"/>
  <c r="W918" i="2"/>
  <c r="W922" i="2"/>
  <c r="W926" i="2"/>
  <c r="W765" i="2"/>
  <c r="W769" i="2"/>
  <c r="W773" i="2"/>
  <c r="W777" i="2"/>
  <c r="W781" i="2"/>
  <c r="W785" i="2"/>
  <c r="W789" i="2"/>
  <c r="W793" i="2"/>
  <c r="W797" i="2"/>
  <c r="W801" i="2"/>
  <c r="W805" i="2"/>
  <c r="W809" i="2"/>
  <c r="W813" i="2"/>
  <c r="W817" i="2"/>
  <c r="W821" i="2"/>
  <c r="W825" i="2"/>
  <c r="W829" i="2"/>
  <c r="W833" i="2"/>
  <c r="W837" i="2"/>
  <c r="W841" i="2"/>
  <c r="W845" i="2"/>
  <c r="W849" i="2"/>
  <c r="W853" i="2"/>
  <c r="W857" i="2"/>
  <c r="W861" i="2"/>
  <c r="W865" i="2"/>
  <c r="W869" i="2"/>
  <c r="W873" i="2"/>
  <c r="W877" i="2"/>
  <c r="W881" i="2"/>
  <c r="W885" i="2"/>
  <c r="W889" i="2"/>
  <c r="W893" i="2"/>
  <c r="W699" i="2"/>
  <c r="W1071" i="2"/>
  <c r="W1075" i="2"/>
  <c r="W1079" i="2"/>
  <c r="W1083" i="2"/>
  <c r="W1087" i="2"/>
  <c r="W1091" i="2"/>
  <c r="W1029" i="2"/>
  <c r="W1033" i="2"/>
  <c r="W1037" i="2"/>
  <c r="W1041" i="2"/>
  <c r="W1045" i="2"/>
  <c r="W1049" i="2"/>
  <c r="W1053" i="2"/>
  <c r="W1057" i="2"/>
  <c r="W995" i="2"/>
  <c r="W999" i="2"/>
  <c r="W1003" i="2"/>
  <c r="W1007" i="2"/>
  <c r="W1011" i="2"/>
  <c r="W1015" i="2"/>
  <c r="W1019" i="2"/>
  <c r="W1023" i="2"/>
  <c r="W994" i="2"/>
  <c r="W965" i="2"/>
  <c r="W969" i="2"/>
  <c r="W973" i="2"/>
  <c r="W977" i="2"/>
  <c r="W981" i="2"/>
  <c r="W985" i="2"/>
  <c r="W989" i="2"/>
  <c r="W993" i="2"/>
  <c r="W931" i="2"/>
  <c r="W935" i="2"/>
  <c r="W939" i="2"/>
  <c r="W943" i="2"/>
  <c r="W947" i="2"/>
  <c r="W951" i="2"/>
  <c r="W955" i="2"/>
  <c r="W959" i="2"/>
  <c r="W897" i="2"/>
  <c r="W901" i="2"/>
  <c r="W905" i="2"/>
  <c r="W909" i="2"/>
  <c r="W913" i="2"/>
  <c r="W917" i="2"/>
  <c r="W921" i="2"/>
  <c r="W925" i="2"/>
  <c r="W764" i="2"/>
  <c r="W768" i="2"/>
  <c r="W772" i="2"/>
  <c r="W776" i="2"/>
  <c r="W780" i="2"/>
  <c r="W784" i="2"/>
  <c r="W788" i="2"/>
  <c r="W792" i="2"/>
  <c r="W1074" i="2"/>
  <c r="W1078" i="2"/>
  <c r="W1082" i="2"/>
  <c r="W1086" i="2"/>
  <c r="W1090" i="2"/>
  <c r="W1028" i="2"/>
  <c r="W1032" i="2"/>
  <c r="W1036" i="2"/>
  <c r="W1040" i="2"/>
  <c r="W1044" i="2"/>
  <c r="W1048" i="2"/>
  <c r="W1052" i="2"/>
  <c r="W1056" i="2"/>
  <c r="W1027" i="2"/>
  <c r="W998" i="2"/>
  <c r="W1002" i="2"/>
  <c r="W1006" i="2"/>
  <c r="W1010" i="2"/>
  <c r="W1014" i="2"/>
  <c r="W1018" i="2"/>
  <c r="W1022" i="2"/>
  <c r="W1026" i="2"/>
  <c r="W964" i="2"/>
  <c r="W968" i="2"/>
  <c r="W972" i="2"/>
  <c r="W976" i="2"/>
  <c r="W980" i="2"/>
  <c r="W984" i="2"/>
  <c r="W988" i="2"/>
  <c r="W992" i="2"/>
  <c r="W930" i="2"/>
  <c r="W934" i="2"/>
  <c r="W938" i="2"/>
  <c r="W942" i="2"/>
  <c r="W946" i="2"/>
  <c r="W950" i="2"/>
  <c r="W954" i="2"/>
  <c r="W958" i="2"/>
  <c r="W896" i="2"/>
  <c r="W900" i="2"/>
  <c r="W904" i="2"/>
  <c r="W908" i="2"/>
  <c r="W912" i="2"/>
  <c r="W916" i="2"/>
  <c r="W920" i="2"/>
  <c r="W924" i="2"/>
  <c r="W895" i="2"/>
  <c r="W767" i="2"/>
  <c r="W771" i="2"/>
  <c r="W775" i="2"/>
  <c r="W779" i="2"/>
  <c r="W783" i="2"/>
  <c r="W787" i="2"/>
  <c r="W791" i="2"/>
  <c r="W795" i="2"/>
  <c r="W799" i="2"/>
  <c r="W803" i="2"/>
  <c r="W807" i="2"/>
  <c r="W811" i="2"/>
  <c r="W815" i="2"/>
  <c r="W819" i="2"/>
  <c r="W823" i="2"/>
  <c r="W827" i="2"/>
  <c r="W831" i="2"/>
  <c r="W835" i="2"/>
  <c r="W839" i="2"/>
  <c r="W843" i="2"/>
  <c r="W847" i="2"/>
  <c r="W851" i="2"/>
  <c r="W855" i="2"/>
  <c r="W859" i="2"/>
  <c r="W863" i="2"/>
  <c r="W867" i="2"/>
  <c r="W871" i="2"/>
  <c r="W875" i="2"/>
  <c r="W879" i="2"/>
  <c r="W883" i="2"/>
  <c r="W812" i="2"/>
  <c r="W828" i="2"/>
  <c r="W844" i="2"/>
  <c r="W860" i="2"/>
  <c r="W876" i="2"/>
  <c r="W705" i="2"/>
  <c r="W709" i="2"/>
  <c r="W713" i="2"/>
  <c r="W717" i="2"/>
  <c r="W721" i="2"/>
  <c r="W725" i="2"/>
  <c r="W729" i="2"/>
  <c r="W667" i="2"/>
  <c r="W671" i="2"/>
  <c r="W675" i="2"/>
  <c r="W679" i="2"/>
  <c r="W683" i="2"/>
  <c r="W687" i="2"/>
  <c r="W691" i="2"/>
  <c r="W695" i="2"/>
  <c r="W633" i="2"/>
  <c r="W637" i="2"/>
  <c r="W641" i="2"/>
  <c r="W645" i="2"/>
  <c r="W649" i="2"/>
  <c r="W653" i="2"/>
  <c r="W657" i="2"/>
  <c r="W661" i="2"/>
  <c r="W599" i="2"/>
  <c r="W603" i="2"/>
  <c r="W814" i="2"/>
  <c r="W830" i="2"/>
  <c r="W846" i="2"/>
  <c r="W862" i="2"/>
  <c r="W878" i="2"/>
  <c r="W698" i="2"/>
  <c r="W701" i="2"/>
  <c r="W816" i="2"/>
  <c r="W832" i="2"/>
  <c r="W848" i="2"/>
  <c r="W864" i="2"/>
  <c r="W880" i="2"/>
  <c r="W887" i="2"/>
  <c r="W890" i="2"/>
  <c r="W704" i="2"/>
  <c r="W708" i="2"/>
  <c r="W712" i="2"/>
  <c r="W716" i="2"/>
  <c r="W720" i="2"/>
  <c r="W724" i="2"/>
  <c r="W728" i="2"/>
  <c r="W666" i="2"/>
  <c r="W670" i="2"/>
  <c r="W674" i="2"/>
  <c r="W678" i="2"/>
  <c r="W682" i="2"/>
  <c r="W686" i="2"/>
  <c r="W690" i="2"/>
  <c r="W694" i="2"/>
  <c r="W632" i="2"/>
  <c r="W636" i="2"/>
  <c r="W640" i="2"/>
  <c r="W644" i="2"/>
  <c r="W648" i="2"/>
  <c r="W652" i="2"/>
  <c r="W656" i="2"/>
  <c r="W660" i="2"/>
  <c r="W631" i="2"/>
  <c r="W602" i="2"/>
  <c r="W606" i="2"/>
  <c r="W610" i="2"/>
  <c r="W614" i="2"/>
  <c r="W618" i="2"/>
  <c r="W622" i="2"/>
  <c r="W626" i="2"/>
  <c r="W630" i="2"/>
  <c r="W568" i="2"/>
  <c r="W572" i="2"/>
  <c r="W576" i="2"/>
  <c r="W800" i="2"/>
  <c r="W802" i="2"/>
  <c r="W818" i="2"/>
  <c r="W834" i="2"/>
  <c r="W850" i="2"/>
  <c r="W866" i="2"/>
  <c r="W882" i="2"/>
  <c r="W798" i="2"/>
  <c r="W804" i="2"/>
  <c r="W820" i="2"/>
  <c r="W836" i="2"/>
  <c r="W852" i="2"/>
  <c r="W868" i="2"/>
  <c r="W884" i="2"/>
  <c r="W892" i="2"/>
  <c r="W763" i="2"/>
  <c r="W700" i="2"/>
  <c r="W703" i="2"/>
  <c r="W707" i="2"/>
  <c r="W711" i="2"/>
  <c r="W715" i="2"/>
  <c r="W719" i="2"/>
  <c r="W723" i="2"/>
  <c r="W727" i="2"/>
  <c r="W665" i="2"/>
  <c r="W669" i="2"/>
  <c r="W673" i="2"/>
  <c r="W677" i="2"/>
  <c r="W681" i="2"/>
  <c r="W685" i="2"/>
  <c r="W689" i="2"/>
  <c r="W693" i="2"/>
  <c r="W664" i="2"/>
  <c r="W635" i="2"/>
  <c r="W639" i="2"/>
  <c r="W643" i="2"/>
  <c r="W647" i="2"/>
  <c r="W651" i="2"/>
  <c r="W655" i="2"/>
  <c r="W659" i="2"/>
  <c r="W663" i="2"/>
  <c r="W601" i="2"/>
  <c r="W605" i="2"/>
  <c r="W806" i="2"/>
  <c r="W822" i="2"/>
  <c r="W838" i="2"/>
  <c r="W854" i="2"/>
  <c r="W870" i="2"/>
  <c r="W886" i="2"/>
  <c r="W808" i="2"/>
  <c r="W824" i="2"/>
  <c r="W840" i="2"/>
  <c r="W856" i="2"/>
  <c r="W872" i="2"/>
  <c r="W702" i="2"/>
  <c r="W706" i="2"/>
  <c r="W710" i="2"/>
  <c r="W714" i="2"/>
  <c r="W718" i="2"/>
  <c r="W722" i="2"/>
  <c r="W726" i="2"/>
  <c r="W697" i="2"/>
  <c r="W668" i="2"/>
  <c r="W672" i="2"/>
  <c r="W676" i="2"/>
  <c r="W680" i="2"/>
  <c r="W684" i="2"/>
  <c r="W688" i="2"/>
  <c r="W692" i="2"/>
  <c r="W696" i="2"/>
  <c r="W634" i="2"/>
  <c r="W638" i="2"/>
  <c r="W642" i="2"/>
  <c r="W646" i="2"/>
  <c r="W650" i="2"/>
  <c r="W654" i="2"/>
  <c r="W658" i="2"/>
  <c r="W662" i="2"/>
  <c r="W600" i="2"/>
  <c r="W604" i="2"/>
  <c r="W608" i="2"/>
  <c r="W612" i="2"/>
  <c r="W616" i="2"/>
  <c r="W620" i="2"/>
  <c r="W624" i="2"/>
  <c r="W628" i="2"/>
  <c r="W566" i="2"/>
  <c r="W570" i="2"/>
  <c r="W574" i="2"/>
  <c r="W578" i="2"/>
  <c r="W796" i="2"/>
  <c r="W810" i="2"/>
  <c r="W826" i="2"/>
  <c r="W842" i="2"/>
  <c r="W858" i="2"/>
  <c r="W874" i="2"/>
  <c r="W888" i="2"/>
  <c r="W891" i="2"/>
  <c r="W894" i="2"/>
  <c r="W627" i="2"/>
  <c r="W577" i="2"/>
  <c r="W611" i="2"/>
  <c r="W613" i="2"/>
  <c r="W629" i="2"/>
  <c r="W579" i="2"/>
  <c r="W583" i="2"/>
  <c r="W587" i="2"/>
  <c r="W591" i="2"/>
  <c r="W595" i="2"/>
  <c r="W533" i="2"/>
  <c r="W537" i="2"/>
  <c r="W541" i="2"/>
  <c r="W545" i="2"/>
  <c r="W549" i="2"/>
  <c r="W553" i="2"/>
  <c r="W557" i="2"/>
  <c r="W561" i="2"/>
  <c r="W532" i="2"/>
  <c r="W404" i="2"/>
  <c r="W408" i="2"/>
  <c r="W412" i="2"/>
  <c r="W416" i="2"/>
  <c r="W420" i="2"/>
  <c r="W424" i="2"/>
  <c r="W428" i="2"/>
  <c r="W432" i="2"/>
  <c r="W436" i="2"/>
  <c r="W440" i="2"/>
  <c r="W444" i="2"/>
  <c r="W448" i="2"/>
  <c r="W452" i="2"/>
  <c r="W456" i="2"/>
  <c r="W460" i="2"/>
  <c r="W464" i="2"/>
  <c r="W468" i="2"/>
  <c r="W472" i="2"/>
  <c r="W476" i="2"/>
  <c r="W480" i="2"/>
  <c r="W484" i="2"/>
  <c r="W488" i="2"/>
  <c r="W492" i="2"/>
  <c r="W496" i="2"/>
  <c r="W500" i="2"/>
  <c r="W504" i="2"/>
  <c r="W508" i="2"/>
  <c r="W512" i="2"/>
  <c r="W516" i="2"/>
  <c r="W520" i="2"/>
  <c r="W524" i="2"/>
  <c r="W528" i="2"/>
  <c r="W607" i="2"/>
  <c r="W609" i="2"/>
  <c r="W615" i="2"/>
  <c r="W598" i="2"/>
  <c r="W617" i="2"/>
  <c r="W567" i="2"/>
  <c r="W582" i="2"/>
  <c r="W586" i="2"/>
  <c r="W590" i="2"/>
  <c r="W594" i="2"/>
  <c r="W565" i="2"/>
  <c r="W536" i="2"/>
  <c r="W540" i="2"/>
  <c r="W544" i="2"/>
  <c r="W548" i="2"/>
  <c r="W552" i="2"/>
  <c r="W556" i="2"/>
  <c r="W560" i="2"/>
  <c r="W564" i="2"/>
  <c r="W403" i="2"/>
  <c r="W407" i="2"/>
  <c r="W411" i="2"/>
  <c r="W415" i="2"/>
  <c r="W419" i="2"/>
  <c r="W423" i="2"/>
  <c r="W427" i="2"/>
  <c r="W431" i="2"/>
  <c r="W435" i="2"/>
  <c r="W439" i="2"/>
  <c r="W443" i="2"/>
  <c r="W447" i="2"/>
  <c r="W451" i="2"/>
  <c r="W455" i="2"/>
  <c r="W459" i="2"/>
  <c r="W463" i="2"/>
  <c r="W467" i="2"/>
  <c r="W471" i="2"/>
  <c r="W475" i="2"/>
  <c r="W479" i="2"/>
  <c r="W483" i="2"/>
  <c r="W487" i="2"/>
  <c r="W491" i="2"/>
  <c r="W495" i="2"/>
  <c r="W499" i="2"/>
  <c r="W503" i="2"/>
  <c r="W507" i="2"/>
  <c r="W511" i="2"/>
  <c r="W515" i="2"/>
  <c r="W519" i="2"/>
  <c r="W523" i="2"/>
  <c r="W527" i="2"/>
  <c r="W531" i="2"/>
  <c r="W337" i="2"/>
  <c r="W341" i="2"/>
  <c r="W345" i="2"/>
  <c r="W349" i="2"/>
  <c r="W353" i="2"/>
  <c r="W357" i="2"/>
  <c r="W361" i="2"/>
  <c r="W365" i="2"/>
  <c r="W303" i="2"/>
  <c r="W307" i="2"/>
  <c r="W311" i="2"/>
  <c r="W315" i="2"/>
  <c r="W319" i="2"/>
  <c r="W323" i="2"/>
  <c r="W327" i="2"/>
  <c r="W331" i="2"/>
  <c r="W269" i="2"/>
  <c r="W619" i="2"/>
  <c r="W569" i="2"/>
  <c r="W621" i="2"/>
  <c r="W571" i="2"/>
  <c r="W581" i="2"/>
  <c r="W585" i="2"/>
  <c r="W589" i="2"/>
  <c r="W593" i="2"/>
  <c r="W597" i="2"/>
  <c r="W535" i="2"/>
  <c r="W539" i="2"/>
  <c r="W543" i="2"/>
  <c r="W547" i="2"/>
  <c r="W551" i="2"/>
  <c r="W555" i="2"/>
  <c r="W559" i="2"/>
  <c r="W563" i="2"/>
  <c r="W402" i="2"/>
  <c r="W406" i="2"/>
  <c r="W410" i="2"/>
  <c r="W414" i="2"/>
  <c r="W418" i="2"/>
  <c r="W422" i="2"/>
  <c r="W426" i="2"/>
  <c r="W430" i="2"/>
  <c r="W434" i="2"/>
  <c r="W438" i="2"/>
  <c r="W442" i="2"/>
  <c r="W446" i="2"/>
  <c r="W450" i="2"/>
  <c r="W454" i="2"/>
  <c r="W458" i="2"/>
  <c r="W462" i="2"/>
  <c r="W466" i="2"/>
  <c r="W470" i="2"/>
  <c r="W474" i="2"/>
  <c r="W478" i="2"/>
  <c r="W482" i="2"/>
  <c r="W486" i="2"/>
  <c r="W490" i="2"/>
  <c r="W494" i="2"/>
  <c r="W498" i="2"/>
  <c r="W502" i="2"/>
  <c r="W506" i="2"/>
  <c r="W510" i="2"/>
  <c r="W514" i="2"/>
  <c r="W518" i="2"/>
  <c r="W522" i="2"/>
  <c r="W526" i="2"/>
  <c r="W530" i="2"/>
  <c r="W623" i="2"/>
  <c r="W573" i="2"/>
  <c r="W625" i="2"/>
  <c r="W575" i="2"/>
  <c r="W580" i="2"/>
  <c r="W584" i="2"/>
  <c r="W588" i="2"/>
  <c r="W592" i="2"/>
  <c r="W596" i="2"/>
  <c r="W534" i="2"/>
  <c r="W538" i="2"/>
  <c r="W542" i="2"/>
  <c r="W546" i="2"/>
  <c r="W550" i="2"/>
  <c r="W554" i="2"/>
  <c r="W558" i="2"/>
  <c r="W562" i="2"/>
  <c r="W401" i="2"/>
  <c r="W405" i="2"/>
  <c r="W409" i="2"/>
  <c r="W413" i="2"/>
  <c r="W417" i="2"/>
  <c r="W421" i="2"/>
  <c r="W425" i="2"/>
  <c r="W429" i="2"/>
  <c r="W433" i="2"/>
  <c r="W437" i="2"/>
  <c r="W441" i="2"/>
  <c r="W445" i="2"/>
  <c r="W449" i="2"/>
  <c r="W453" i="2"/>
  <c r="W457" i="2"/>
  <c r="W461" i="2"/>
  <c r="W465" i="2"/>
  <c r="W469" i="2"/>
  <c r="W473" i="2"/>
  <c r="W477" i="2"/>
  <c r="W481" i="2"/>
  <c r="W485" i="2"/>
  <c r="W489" i="2"/>
  <c r="W493" i="2"/>
  <c r="W497" i="2"/>
  <c r="W501" i="2"/>
  <c r="W505" i="2"/>
  <c r="W509" i="2"/>
  <c r="W513" i="2"/>
  <c r="W517" i="2"/>
  <c r="W521" i="2"/>
  <c r="W525" i="2"/>
  <c r="W529" i="2"/>
  <c r="W335" i="2"/>
  <c r="W339" i="2"/>
  <c r="W343" i="2"/>
  <c r="W347" i="2"/>
  <c r="W351" i="2"/>
  <c r="W355" i="2"/>
  <c r="W359" i="2"/>
  <c r="W363" i="2"/>
  <c r="W334" i="2"/>
  <c r="W305" i="2"/>
  <c r="W309" i="2"/>
  <c r="W313" i="2"/>
  <c r="W317" i="2"/>
  <c r="W321" i="2"/>
  <c r="W325" i="2"/>
  <c r="W329" i="2"/>
  <c r="W333" i="2"/>
  <c r="W271" i="2"/>
  <c r="W344" i="2"/>
  <c r="W360" i="2"/>
  <c r="W310" i="2"/>
  <c r="W326" i="2"/>
  <c r="W346" i="2"/>
  <c r="W362" i="2"/>
  <c r="W312" i="2"/>
  <c r="W328" i="2"/>
  <c r="W275" i="2"/>
  <c r="W279" i="2"/>
  <c r="W283" i="2"/>
  <c r="W287" i="2"/>
  <c r="W291" i="2"/>
  <c r="W295" i="2"/>
  <c r="W299" i="2"/>
  <c r="W237" i="2"/>
  <c r="W241" i="2"/>
  <c r="W245" i="2"/>
  <c r="W249" i="2"/>
  <c r="W253" i="2"/>
  <c r="W257" i="2"/>
  <c r="W261" i="2"/>
  <c r="W265" i="2"/>
  <c r="W203" i="2"/>
  <c r="W207" i="2"/>
  <c r="W211" i="2"/>
  <c r="W215" i="2"/>
  <c r="W219" i="2"/>
  <c r="W223" i="2"/>
  <c r="W227" i="2"/>
  <c r="W231" i="2"/>
  <c r="W202" i="2"/>
  <c r="W173" i="2"/>
  <c r="W177" i="2"/>
  <c r="W181" i="2"/>
  <c r="W185" i="2"/>
  <c r="W189" i="2"/>
  <c r="W193" i="2"/>
  <c r="W197" i="2"/>
  <c r="W201" i="2"/>
  <c r="W72" i="2"/>
  <c r="W76" i="2"/>
  <c r="W80" i="2"/>
  <c r="W84" i="2"/>
  <c r="W88" i="2"/>
  <c r="W92" i="2"/>
  <c r="W96" i="2"/>
  <c r="W100" i="2"/>
  <c r="W104" i="2"/>
  <c r="W108" i="2"/>
  <c r="W112" i="2"/>
  <c r="W348" i="2"/>
  <c r="W364" i="2"/>
  <c r="W314" i="2"/>
  <c r="W330" i="2"/>
  <c r="W400" i="2"/>
  <c r="W350" i="2"/>
  <c r="W366" i="2"/>
  <c r="W316" i="2"/>
  <c r="W332" i="2"/>
  <c r="W274" i="2"/>
  <c r="W278" i="2"/>
  <c r="W282" i="2"/>
  <c r="W286" i="2"/>
  <c r="W290" i="2"/>
  <c r="W294" i="2"/>
  <c r="W298" i="2"/>
  <c r="W236" i="2"/>
  <c r="W240" i="2"/>
  <c r="W244" i="2"/>
  <c r="W248" i="2"/>
  <c r="W252" i="2"/>
  <c r="W256" i="2"/>
  <c r="W260" i="2"/>
  <c r="W264" i="2"/>
  <c r="W235" i="2"/>
  <c r="W206" i="2"/>
  <c r="W210" i="2"/>
  <c r="W214" i="2"/>
  <c r="W218" i="2"/>
  <c r="W222" i="2"/>
  <c r="W226" i="2"/>
  <c r="W230" i="2"/>
  <c r="W234" i="2"/>
  <c r="W172" i="2"/>
  <c r="W176" i="2"/>
  <c r="W180" i="2"/>
  <c r="W184" i="2"/>
  <c r="W188" i="2"/>
  <c r="W192" i="2"/>
  <c r="W196" i="2"/>
  <c r="W200" i="2"/>
  <c r="W71" i="2"/>
  <c r="W75" i="2"/>
  <c r="W79" i="2"/>
  <c r="W83" i="2"/>
  <c r="W87" i="2"/>
  <c r="W91" i="2"/>
  <c r="W95" i="2"/>
  <c r="W99" i="2"/>
  <c r="W103" i="2"/>
  <c r="W107" i="2"/>
  <c r="W111" i="2"/>
  <c r="W115" i="2"/>
  <c r="W119" i="2"/>
  <c r="W123" i="2"/>
  <c r="W127" i="2"/>
  <c r="W131" i="2"/>
  <c r="W135" i="2"/>
  <c r="W139" i="2"/>
  <c r="W143" i="2"/>
  <c r="W147" i="2"/>
  <c r="W151" i="2"/>
  <c r="W155" i="2"/>
  <c r="W159" i="2"/>
  <c r="W163" i="2"/>
  <c r="W167" i="2"/>
  <c r="W336" i="2"/>
  <c r="W352" i="2"/>
  <c r="W302" i="2"/>
  <c r="W318" i="2"/>
  <c r="W301" i="2"/>
  <c r="W338" i="2"/>
  <c r="W354" i="2"/>
  <c r="W304" i="2"/>
  <c r="W320" i="2"/>
  <c r="W270" i="2"/>
  <c r="W273" i="2"/>
  <c r="W277" i="2"/>
  <c r="W281" i="2"/>
  <c r="W285" i="2"/>
  <c r="W289" i="2"/>
  <c r="W293" i="2"/>
  <c r="W297" i="2"/>
  <c r="W268" i="2"/>
  <c r="W239" i="2"/>
  <c r="W243" i="2"/>
  <c r="W247" i="2"/>
  <c r="W251" i="2"/>
  <c r="W255" i="2"/>
  <c r="W259" i="2"/>
  <c r="W263" i="2"/>
  <c r="W267" i="2"/>
  <c r="W205" i="2"/>
  <c r="W209" i="2"/>
  <c r="W213" i="2"/>
  <c r="W217" i="2"/>
  <c r="W221" i="2"/>
  <c r="W225" i="2"/>
  <c r="W229" i="2"/>
  <c r="W233" i="2"/>
  <c r="W171" i="2"/>
  <c r="W175" i="2"/>
  <c r="W179" i="2"/>
  <c r="W183" i="2"/>
  <c r="W187" i="2"/>
  <c r="W191" i="2"/>
  <c r="W195" i="2"/>
  <c r="W199" i="2"/>
  <c r="W70" i="2"/>
  <c r="W74" i="2"/>
  <c r="W78" i="2"/>
  <c r="W82" i="2"/>
  <c r="W86" i="2"/>
  <c r="W90" i="2"/>
  <c r="W94" i="2"/>
  <c r="W98" i="2"/>
  <c r="W102" i="2"/>
  <c r="W106" i="2"/>
  <c r="W110" i="2"/>
  <c r="W340" i="2"/>
  <c r="W356" i="2"/>
  <c r="W306" i="2"/>
  <c r="W322" i="2"/>
  <c r="W342" i="2"/>
  <c r="W358" i="2"/>
  <c r="W308" i="2"/>
  <c r="W324" i="2"/>
  <c r="W272" i="2"/>
  <c r="W276" i="2"/>
  <c r="W280" i="2"/>
  <c r="W284" i="2"/>
  <c r="W288" i="2"/>
  <c r="W292" i="2"/>
  <c r="W296" i="2"/>
  <c r="W300" i="2"/>
  <c r="W238" i="2"/>
  <c r="W242" i="2"/>
  <c r="W246" i="2"/>
  <c r="W250" i="2"/>
  <c r="W254" i="2"/>
  <c r="W258" i="2"/>
  <c r="W262" i="2"/>
  <c r="W266" i="2"/>
  <c r="W204" i="2"/>
  <c r="W208" i="2"/>
  <c r="W212" i="2"/>
  <c r="W216" i="2"/>
  <c r="W220" i="2"/>
  <c r="W224" i="2"/>
  <c r="W228" i="2"/>
  <c r="W232" i="2"/>
  <c r="W170" i="2"/>
  <c r="W174" i="2"/>
  <c r="W178" i="2"/>
  <c r="W182" i="2"/>
  <c r="W186" i="2"/>
  <c r="W190" i="2"/>
  <c r="W194" i="2"/>
  <c r="W198" i="2"/>
  <c r="W169" i="2"/>
  <c r="W73" i="2"/>
  <c r="W77" i="2"/>
  <c r="W81" i="2"/>
  <c r="W85" i="2"/>
  <c r="W89" i="2"/>
  <c r="W93" i="2"/>
  <c r="W97" i="2"/>
  <c r="W101" i="2"/>
  <c r="W105" i="2"/>
  <c r="W109" i="2"/>
  <c r="W113" i="2"/>
  <c r="W117" i="2"/>
  <c r="W121" i="2"/>
  <c r="W125" i="2"/>
  <c r="W129" i="2"/>
  <c r="W133" i="2"/>
  <c r="W137" i="2"/>
  <c r="W141" i="2"/>
  <c r="W145" i="2"/>
  <c r="W149" i="2"/>
  <c r="W153" i="2"/>
  <c r="W157" i="2"/>
  <c r="W161" i="2"/>
  <c r="W165" i="2"/>
  <c r="W120" i="2"/>
  <c r="W136" i="2"/>
  <c r="W152" i="2"/>
  <c r="W168" i="2"/>
  <c r="W114" i="2"/>
  <c r="W122" i="2"/>
  <c r="W138" i="2"/>
  <c r="W154" i="2"/>
  <c r="W124" i="2"/>
  <c r="W140" i="2"/>
  <c r="W156" i="2"/>
  <c r="W126" i="2"/>
  <c r="W142" i="2"/>
  <c r="W158" i="2"/>
  <c r="W128" i="2"/>
  <c r="W144" i="2"/>
  <c r="W160" i="2"/>
  <c r="W130" i="2"/>
  <c r="W146" i="2"/>
  <c r="W162" i="2"/>
  <c r="W116" i="2"/>
  <c r="W132" i="2"/>
  <c r="W148" i="2"/>
  <c r="W164" i="2"/>
  <c r="W118" i="2"/>
  <c r="W134" i="2"/>
  <c r="W150" i="2"/>
  <c r="W166" i="2"/>
  <c r="W66" i="2"/>
  <c r="W41" i="2"/>
  <c r="W49" i="2"/>
  <c r="W57" i="2"/>
  <c r="W65" i="2"/>
  <c r="T60" i="2"/>
  <c r="S46" i="2"/>
  <c r="S62" i="2"/>
  <c r="T67" i="2"/>
  <c r="S47" i="2"/>
  <c r="S63" i="2"/>
  <c r="T62" i="2"/>
  <c r="T38" i="2"/>
  <c r="T46" i="2"/>
  <c r="T58" i="2"/>
  <c r="V39" i="2"/>
  <c r="V47" i="2"/>
  <c r="V55" i="2"/>
  <c r="V63" i="2"/>
  <c r="W42" i="2"/>
  <c r="W50" i="2"/>
  <c r="W58" i="2"/>
  <c r="W67" i="2"/>
  <c r="S48" i="2"/>
  <c r="S64" i="2"/>
  <c r="S38" i="2"/>
  <c r="S49" i="2"/>
  <c r="T65" i="2"/>
  <c r="T39" i="2"/>
  <c r="T47" i="2"/>
  <c r="T61" i="2"/>
  <c r="U40" i="2"/>
  <c r="U48" i="2"/>
  <c r="V40" i="2"/>
  <c r="V48" i="2"/>
  <c r="V56" i="2"/>
  <c r="V64" i="2"/>
  <c r="X1064" i="2"/>
  <c r="X1068" i="2"/>
  <c r="X1063" i="2"/>
  <c r="X1067" i="2"/>
  <c r="X1062" i="2"/>
  <c r="X1066" i="2"/>
  <c r="X1061" i="2"/>
  <c r="X1065" i="2"/>
  <c r="X1069" i="2"/>
  <c r="X1070" i="2"/>
  <c r="X1074" i="2"/>
  <c r="X1078" i="2"/>
  <c r="X1082" i="2"/>
  <c r="X1086" i="2"/>
  <c r="X1090" i="2"/>
  <c r="X1028" i="2"/>
  <c r="X1032" i="2"/>
  <c r="X1036" i="2"/>
  <c r="X1040" i="2"/>
  <c r="X1044" i="2"/>
  <c r="X1048" i="2"/>
  <c r="X1052" i="2"/>
  <c r="X1056" i="2"/>
  <c r="X1027" i="2"/>
  <c r="X998" i="2"/>
  <c r="X1002" i="2"/>
  <c r="X1006" i="2"/>
  <c r="X1010" i="2"/>
  <c r="X1014" i="2"/>
  <c r="X1018" i="2"/>
  <c r="X1022" i="2"/>
  <c r="X1026" i="2"/>
  <c r="X964" i="2"/>
  <c r="X968" i="2"/>
  <c r="X972" i="2"/>
  <c r="X976" i="2"/>
  <c r="X980" i="2"/>
  <c r="X984" i="2"/>
  <c r="X988" i="2"/>
  <c r="X992" i="2"/>
  <c r="X930" i="2"/>
  <c r="X934" i="2"/>
  <c r="X938" i="2"/>
  <c r="X942" i="2"/>
  <c r="X946" i="2"/>
  <c r="X950" i="2"/>
  <c r="X954" i="2"/>
  <c r="X958" i="2"/>
  <c r="X896" i="2"/>
  <c r="X900" i="2"/>
  <c r="X904" i="2"/>
  <c r="X908" i="2"/>
  <c r="X912" i="2"/>
  <c r="X916" i="2"/>
  <c r="X920" i="2"/>
  <c r="X924" i="2"/>
  <c r="X895" i="2"/>
  <c r="X767" i="2"/>
  <c r="X771" i="2"/>
  <c r="X775" i="2"/>
  <c r="X779" i="2"/>
  <c r="X783" i="2"/>
  <c r="X787" i="2"/>
  <c r="X791" i="2"/>
  <c r="X795" i="2"/>
  <c r="X1073" i="2"/>
  <c r="X1077" i="2"/>
  <c r="X1081" i="2"/>
  <c r="X1085" i="2"/>
  <c r="X1089" i="2"/>
  <c r="X1060" i="2"/>
  <c r="X1031" i="2"/>
  <c r="X1035" i="2"/>
  <c r="X1039" i="2"/>
  <c r="X1043" i="2"/>
  <c r="X1047" i="2"/>
  <c r="X1051" i="2"/>
  <c r="X1055" i="2"/>
  <c r="X1059" i="2"/>
  <c r="X997" i="2"/>
  <c r="X1001" i="2"/>
  <c r="X1005" i="2"/>
  <c r="X1009" i="2"/>
  <c r="X1013" i="2"/>
  <c r="X1017" i="2"/>
  <c r="X1021" i="2"/>
  <c r="X1025" i="2"/>
  <c r="X963" i="2"/>
  <c r="X967" i="2"/>
  <c r="X971" i="2"/>
  <c r="X975" i="2"/>
  <c r="X979" i="2"/>
  <c r="X983" i="2"/>
  <c r="X987" i="2"/>
  <c r="X991" i="2"/>
  <c r="X929" i="2"/>
  <c r="X933" i="2"/>
  <c r="X937" i="2"/>
  <c r="X941" i="2"/>
  <c r="X945" i="2"/>
  <c r="X949" i="2"/>
  <c r="X953" i="2"/>
  <c r="X957" i="2"/>
  <c r="X928" i="2"/>
  <c r="X899" i="2"/>
  <c r="X903" i="2"/>
  <c r="X907" i="2"/>
  <c r="X911" i="2"/>
  <c r="X915" i="2"/>
  <c r="X919" i="2"/>
  <c r="X923" i="2"/>
  <c r="X927" i="2"/>
  <c r="X766" i="2"/>
  <c r="X770" i="2"/>
  <c r="X774" i="2"/>
  <c r="X778" i="2"/>
  <c r="X782" i="2"/>
  <c r="X786" i="2"/>
  <c r="X790" i="2"/>
  <c r="X794" i="2"/>
  <c r="X798" i="2"/>
  <c r="X1072" i="2"/>
  <c r="X1076" i="2"/>
  <c r="X1080" i="2"/>
  <c r="X1084" i="2"/>
  <c r="X1088" i="2"/>
  <c r="X1092" i="2"/>
  <c r="X1030" i="2"/>
  <c r="X1034" i="2"/>
  <c r="X1038" i="2"/>
  <c r="X1042" i="2"/>
  <c r="X1046" i="2"/>
  <c r="X1050" i="2"/>
  <c r="X1054" i="2"/>
  <c r="X1058" i="2"/>
  <c r="X996" i="2"/>
  <c r="X1000" i="2"/>
  <c r="X1004" i="2"/>
  <c r="X1008" i="2"/>
  <c r="X1012" i="2"/>
  <c r="X1016" i="2"/>
  <c r="X1020" i="2"/>
  <c r="X1024" i="2"/>
  <c r="X962" i="2"/>
  <c r="X966" i="2"/>
  <c r="X970" i="2"/>
  <c r="X974" i="2"/>
  <c r="X978" i="2"/>
  <c r="X982" i="2"/>
  <c r="X986" i="2"/>
  <c r="X990" i="2"/>
  <c r="X961" i="2"/>
  <c r="X932" i="2"/>
  <c r="X936" i="2"/>
  <c r="X940" i="2"/>
  <c r="X944" i="2"/>
  <c r="X948" i="2"/>
  <c r="X952" i="2"/>
  <c r="X956" i="2"/>
  <c r="X960" i="2"/>
  <c r="X898" i="2"/>
  <c r="X902" i="2"/>
  <c r="X906" i="2"/>
  <c r="X910" i="2"/>
  <c r="X914" i="2"/>
  <c r="X918" i="2"/>
  <c r="X922" i="2"/>
  <c r="X926" i="2"/>
  <c r="X765" i="2"/>
  <c r="X769" i="2"/>
  <c r="X773" i="2"/>
  <c r="X777" i="2"/>
  <c r="X781" i="2"/>
  <c r="X785" i="2"/>
  <c r="X789" i="2"/>
  <c r="X793" i="2"/>
  <c r="X797" i="2"/>
  <c r="X1071" i="2"/>
  <c r="X1075" i="2"/>
  <c r="X1079" i="2"/>
  <c r="X1083" i="2"/>
  <c r="X1087" i="2"/>
  <c r="X1091" i="2"/>
  <c r="X1029" i="2"/>
  <c r="X1033" i="2"/>
  <c r="X1037" i="2"/>
  <c r="X1041" i="2"/>
  <c r="X1045" i="2"/>
  <c r="X1049" i="2"/>
  <c r="X1053" i="2"/>
  <c r="X1057" i="2"/>
  <c r="X995" i="2"/>
  <c r="X999" i="2"/>
  <c r="X1003" i="2"/>
  <c r="X1007" i="2"/>
  <c r="X1011" i="2"/>
  <c r="X1015" i="2"/>
  <c r="X1019" i="2"/>
  <c r="X1023" i="2"/>
  <c r="X994" i="2"/>
  <c r="X965" i="2"/>
  <c r="X969" i="2"/>
  <c r="X973" i="2"/>
  <c r="X977" i="2"/>
  <c r="X981" i="2"/>
  <c r="X985" i="2"/>
  <c r="X989" i="2"/>
  <c r="X993" i="2"/>
  <c r="X931" i="2"/>
  <c r="X935" i="2"/>
  <c r="X939" i="2"/>
  <c r="X943" i="2"/>
  <c r="X947" i="2"/>
  <c r="X951" i="2"/>
  <c r="X955" i="2"/>
  <c r="X959" i="2"/>
  <c r="X897" i="2"/>
  <c r="X921" i="2"/>
  <c r="X788" i="2"/>
  <c r="X796" i="2"/>
  <c r="X799" i="2"/>
  <c r="X803" i="2"/>
  <c r="X810" i="2"/>
  <c r="X819" i="2"/>
  <c r="X826" i="2"/>
  <c r="X835" i="2"/>
  <c r="X842" i="2"/>
  <c r="X851" i="2"/>
  <c r="X858" i="2"/>
  <c r="X867" i="2"/>
  <c r="X874" i="2"/>
  <c r="X883" i="2"/>
  <c r="X888" i="2"/>
  <c r="X891" i="2"/>
  <c r="X894" i="2"/>
  <c r="X901" i="2"/>
  <c r="X768" i="2"/>
  <c r="X805" i="2"/>
  <c r="X812" i="2"/>
  <c r="X821" i="2"/>
  <c r="X828" i="2"/>
  <c r="X837" i="2"/>
  <c r="X844" i="2"/>
  <c r="X853" i="2"/>
  <c r="X860" i="2"/>
  <c r="X869" i="2"/>
  <c r="X876" i="2"/>
  <c r="X885" i="2"/>
  <c r="X705" i="2"/>
  <c r="X709" i="2"/>
  <c r="X713" i="2"/>
  <c r="X717" i="2"/>
  <c r="X721" i="2"/>
  <c r="X725" i="2"/>
  <c r="X729" i="2"/>
  <c r="X667" i="2"/>
  <c r="X671" i="2"/>
  <c r="X675" i="2"/>
  <c r="X679" i="2"/>
  <c r="X683" i="2"/>
  <c r="X687" i="2"/>
  <c r="X691" i="2"/>
  <c r="X695" i="2"/>
  <c r="X633" i="2"/>
  <c r="X637" i="2"/>
  <c r="X641" i="2"/>
  <c r="X645" i="2"/>
  <c r="X649" i="2"/>
  <c r="X653" i="2"/>
  <c r="X657" i="2"/>
  <c r="X661" i="2"/>
  <c r="X913" i="2"/>
  <c r="X780" i="2"/>
  <c r="X807" i="2"/>
  <c r="X814" i="2"/>
  <c r="X823" i="2"/>
  <c r="X830" i="2"/>
  <c r="X839" i="2"/>
  <c r="X846" i="2"/>
  <c r="X855" i="2"/>
  <c r="X862" i="2"/>
  <c r="X871" i="2"/>
  <c r="X878" i="2"/>
  <c r="X893" i="2"/>
  <c r="X698" i="2"/>
  <c r="X701" i="2"/>
  <c r="X925" i="2"/>
  <c r="X792" i="2"/>
  <c r="X809" i="2"/>
  <c r="X816" i="2"/>
  <c r="X825" i="2"/>
  <c r="X832" i="2"/>
  <c r="X841" i="2"/>
  <c r="X848" i="2"/>
  <c r="X857" i="2"/>
  <c r="X864" i="2"/>
  <c r="X873" i="2"/>
  <c r="X880" i="2"/>
  <c r="X887" i="2"/>
  <c r="X890" i="2"/>
  <c r="X704" i="2"/>
  <c r="X708" i="2"/>
  <c r="X712" i="2"/>
  <c r="X716" i="2"/>
  <c r="X720" i="2"/>
  <c r="X724" i="2"/>
  <c r="X728" i="2"/>
  <c r="X666" i="2"/>
  <c r="X670" i="2"/>
  <c r="X674" i="2"/>
  <c r="X678" i="2"/>
  <c r="X682" i="2"/>
  <c r="X686" i="2"/>
  <c r="X690" i="2"/>
  <c r="X694" i="2"/>
  <c r="X632" i="2"/>
  <c r="X636" i="2"/>
  <c r="X640" i="2"/>
  <c r="X644" i="2"/>
  <c r="X648" i="2"/>
  <c r="X652" i="2"/>
  <c r="X656" i="2"/>
  <c r="X660" i="2"/>
  <c r="X905" i="2"/>
  <c r="X772" i="2"/>
  <c r="X800" i="2"/>
  <c r="X802" i="2"/>
  <c r="X811" i="2"/>
  <c r="X818" i="2"/>
  <c r="X827" i="2"/>
  <c r="X834" i="2"/>
  <c r="X843" i="2"/>
  <c r="X850" i="2"/>
  <c r="X859" i="2"/>
  <c r="X866" i="2"/>
  <c r="X875" i="2"/>
  <c r="X882" i="2"/>
  <c r="X917" i="2"/>
  <c r="X784" i="2"/>
  <c r="X804" i="2"/>
  <c r="X813" i="2"/>
  <c r="X820" i="2"/>
  <c r="X829" i="2"/>
  <c r="X836" i="2"/>
  <c r="X845" i="2"/>
  <c r="X852" i="2"/>
  <c r="X861" i="2"/>
  <c r="X868" i="2"/>
  <c r="X877" i="2"/>
  <c r="X884" i="2"/>
  <c r="X889" i="2"/>
  <c r="X892" i="2"/>
  <c r="X763" i="2"/>
  <c r="X700" i="2"/>
  <c r="X703" i="2"/>
  <c r="X707" i="2"/>
  <c r="X711" i="2"/>
  <c r="X715" i="2"/>
  <c r="X719" i="2"/>
  <c r="X723" i="2"/>
  <c r="X727" i="2"/>
  <c r="X665" i="2"/>
  <c r="X669" i="2"/>
  <c r="X673" i="2"/>
  <c r="X677" i="2"/>
  <c r="X681" i="2"/>
  <c r="X685" i="2"/>
  <c r="X689" i="2"/>
  <c r="X693" i="2"/>
  <c r="X664" i="2"/>
  <c r="X635" i="2"/>
  <c r="X639" i="2"/>
  <c r="X643" i="2"/>
  <c r="X647" i="2"/>
  <c r="X651" i="2"/>
  <c r="X655" i="2"/>
  <c r="X659" i="2"/>
  <c r="X663" i="2"/>
  <c r="X601" i="2"/>
  <c r="X605" i="2"/>
  <c r="X609" i="2"/>
  <c r="X764" i="2"/>
  <c r="X806" i="2"/>
  <c r="X815" i="2"/>
  <c r="X822" i="2"/>
  <c r="X831" i="2"/>
  <c r="X838" i="2"/>
  <c r="X847" i="2"/>
  <c r="X854" i="2"/>
  <c r="X863" i="2"/>
  <c r="X870" i="2"/>
  <c r="X879" i="2"/>
  <c r="X886" i="2"/>
  <c r="X909" i="2"/>
  <c r="X776" i="2"/>
  <c r="X801" i="2"/>
  <c r="X808" i="2"/>
  <c r="X817" i="2"/>
  <c r="X824" i="2"/>
  <c r="X833" i="2"/>
  <c r="X840" i="2"/>
  <c r="X849" i="2"/>
  <c r="X856" i="2"/>
  <c r="X865" i="2"/>
  <c r="X872" i="2"/>
  <c r="X881" i="2"/>
  <c r="X699" i="2"/>
  <c r="X702" i="2"/>
  <c r="X706" i="2"/>
  <c r="X710" i="2"/>
  <c r="X714" i="2"/>
  <c r="X726" i="2"/>
  <c r="X692" i="2"/>
  <c r="X658" i="2"/>
  <c r="X599" i="2"/>
  <c r="X606" i="2"/>
  <c r="X618" i="2"/>
  <c r="X625" i="2"/>
  <c r="X568" i="2"/>
  <c r="X575" i="2"/>
  <c r="X580" i="2"/>
  <c r="X584" i="2"/>
  <c r="X588" i="2"/>
  <c r="X592" i="2"/>
  <c r="X596" i="2"/>
  <c r="X534" i="2"/>
  <c r="X538" i="2"/>
  <c r="X542" i="2"/>
  <c r="X546" i="2"/>
  <c r="X550" i="2"/>
  <c r="X554" i="2"/>
  <c r="X558" i="2"/>
  <c r="X562" i="2"/>
  <c r="X401" i="2"/>
  <c r="X405" i="2"/>
  <c r="X409" i="2"/>
  <c r="X413" i="2"/>
  <c r="X417" i="2"/>
  <c r="X421" i="2"/>
  <c r="X425" i="2"/>
  <c r="X429" i="2"/>
  <c r="X433" i="2"/>
  <c r="X437" i="2"/>
  <c r="X441" i="2"/>
  <c r="X445" i="2"/>
  <c r="X449" i="2"/>
  <c r="X453" i="2"/>
  <c r="X457" i="2"/>
  <c r="X461" i="2"/>
  <c r="X465" i="2"/>
  <c r="X469" i="2"/>
  <c r="X473" i="2"/>
  <c r="X477" i="2"/>
  <c r="X481" i="2"/>
  <c r="X485" i="2"/>
  <c r="X489" i="2"/>
  <c r="X493" i="2"/>
  <c r="X497" i="2"/>
  <c r="X501" i="2"/>
  <c r="X505" i="2"/>
  <c r="X509" i="2"/>
  <c r="X513" i="2"/>
  <c r="X517" i="2"/>
  <c r="X521" i="2"/>
  <c r="X525" i="2"/>
  <c r="X529" i="2"/>
  <c r="X672" i="2"/>
  <c r="X638" i="2"/>
  <c r="X603" i="2"/>
  <c r="X620" i="2"/>
  <c r="X627" i="2"/>
  <c r="X570" i="2"/>
  <c r="X577" i="2"/>
  <c r="X718" i="2"/>
  <c r="X684" i="2"/>
  <c r="X650" i="2"/>
  <c r="X600" i="2"/>
  <c r="X611" i="2"/>
  <c r="X613" i="2"/>
  <c r="X622" i="2"/>
  <c r="X629" i="2"/>
  <c r="X572" i="2"/>
  <c r="X579" i="2"/>
  <c r="X583" i="2"/>
  <c r="X587" i="2"/>
  <c r="X591" i="2"/>
  <c r="X595" i="2"/>
  <c r="X533" i="2"/>
  <c r="X537" i="2"/>
  <c r="X541" i="2"/>
  <c r="X545" i="2"/>
  <c r="X549" i="2"/>
  <c r="X553" i="2"/>
  <c r="X557" i="2"/>
  <c r="X561" i="2"/>
  <c r="X532" i="2"/>
  <c r="X404" i="2"/>
  <c r="X408" i="2"/>
  <c r="X412" i="2"/>
  <c r="X416" i="2"/>
  <c r="X420" i="2"/>
  <c r="X424" i="2"/>
  <c r="X428" i="2"/>
  <c r="X432" i="2"/>
  <c r="X436" i="2"/>
  <c r="X440" i="2"/>
  <c r="X444" i="2"/>
  <c r="X448" i="2"/>
  <c r="X452" i="2"/>
  <c r="X456" i="2"/>
  <c r="X460" i="2"/>
  <c r="X464" i="2"/>
  <c r="X468" i="2"/>
  <c r="X472" i="2"/>
  <c r="X476" i="2"/>
  <c r="X480" i="2"/>
  <c r="X484" i="2"/>
  <c r="X488" i="2"/>
  <c r="X492" i="2"/>
  <c r="X496" i="2"/>
  <c r="X500" i="2"/>
  <c r="X504" i="2"/>
  <c r="X508" i="2"/>
  <c r="X512" i="2"/>
  <c r="X516" i="2"/>
  <c r="X520" i="2"/>
  <c r="X524" i="2"/>
  <c r="X697" i="2"/>
  <c r="X696" i="2"/>
  <c r="X662" i="2"/>
  <c r="X604" i="2"/>
  <c r="X607" i="2"/>
  <c r="X615" i="2"/>
  <c r="X624" i="2"/>
  <c r="X598" i="2"/>
  <c r="X574" i="2"/>
  <c r="X676" i="2"/>
  <c r="X642" i="2"/>
  <c r="X617" i="2"/>
  <c r="X626" i="2"/>
  <c r="X567" i="2"/>
  <c r="X576" i="2"/>
  <c r="X582" i="2"/>
  <c r="X586" i="2"/>
  <c r="X590" i="2"/>
  <c r="X594" i="2"/>
  <c r="X565" i="2"/>
  <c r="X536" i="2"/>
  <c r="X540" i="2"/>
  <c r="X544" i="2"/>
  <c r="X548" i="2"/>
  <c r="X552" i="2"/>
  <c r="X556" i="2"/>
  <c r="X560" i="2"/>
  <c r="X564" i="2"/>
  <c r="X403" i="2"/>
  <c r="X407" i="2"/>
  <c r="X411" i="2"/>
  <c r="X415" i="2"/>
  <c r="X419" i="2"/>
  <c r="X423" i="2"/>
  <c r="X427" i="2"/>
  <c r="X431" i="2"/>
  <c r="X435" i="2"/>
  <c r="X439" i="2"/>
  <c r="X443" i="2"/>
  <c r="X447" i="2"/>
  <c r="X451" i="2"/>
  <c r="X455" i="2"/>
  <c r="X459" i="2"/>
  <c r="X463" i="2"/>
  <c r="X467" i="2"/>
  <c r="X471" i="2"/>
  <c r="X475" i="2"/>
  <c r="X479" i="2"/>
  <c r="X483" i="2"/>
  <c r="X487" i="2"/>
  <c r="X491" i="2"/>
  <c r="X495" i="2"/>
  <c r="X499" i="2"/>
  <c r="X503" i="2"/>
  <c r="X507" i="2"/>
  <c r="X511" i="2"/>
  <c r="X515" i="2"/>
  <c r="X519" i="2"/>
  <c r="X523" i="2"/>
  <c r="X527" i="2"/>
  <c r="X531" i="2"/>
  <c r="X722" i="2"/>
  <c r="X688" i="2"/>
  <c r="X654" i="2"/>
  <c r="X612" i="2"/>
  <c r="X619" i="2"/>
  <c r="X628" i="2"/>
  <c r="X569" i="2"/>
  <c r="X578" i="2"/>
  <c r="X668" i="2"/>
  <c r="X634" i="2"/>
  <c r="X631" i="2"/>
  <c r="X608" i="2"/>
  <c r="X610" i="2"/>
  <c r="X614" i="2"/>
  <c r="X621" i="2"/>
  <c r="X630" i="2"/>
  <c r="X571" i="2"/>
  <c r="X581" i="2"/>
  <c r="X585" i="2"/>
  <c r="X589" i="2"/>
  <c r="X593" i="2"/>
  <c r="X597" i="2"/>
  <c r="X535" i="2"/>
  <c r="X539" i="2"/>
  <c r="X543" i="2"/>
  <c r="X547" i="2"/>
  <c r="X551" i="2"/>
  <c r="X555" i="2"/>
  <c r="X559" i="2"/>
  <c r="X563" i="2"/>
  <c r="X402" i="2"/>
  <c r="X406" i="2"/>
  <c r="X410" i="2"/>
  <c r="X414" i="2"/>
  <c r="X418" i="2"/>
  <c r="X422" i="2"/>
  <c r="X426" i="2"/>
  <c r="X430" i="2"/>
  <c r="X434" i="2"/>
  <c r="X438" i="2"/>
  <c r="X442" i="2"/>
  <c r="X446" i="2"/>
  <c r="X450" i="2"/>
  <c r="X454" i="2"/>
  <c r="X458" i="2"/>
  <c r="X462" i="2"/>
  <c r="X466" i="2"/>
  <c r="X470" i="2"/>
  <c r="X474" i="2"/>
  <c r="X478" i="2"/>
  <c r="X482" i="2"/>
  <c r="X486" i="2"/>
  <c r="X490" i="2"/>
  <c r="X494" i="2"/>
  <c r="X498" i="2"/>
  <c r="X502" i="2"/>
  <c r="X506" i="2"/>
  <c r="X510" i="2"/>
  <c r="X514" i="2"/>
  <c r="X518" i="2"/>
  <c r="X522" i="2"/>
  <c r="X680" i="2"/>
  <c r="X646" i="2"/>
  <c r="X602" i="2"/>
  <c r="X616" i="2"/>
  <c r="X623" i="2"/>
  <c r="X566" i="2"/>
  <c r="X573" i="2"/>
  <c r="X530" i="2"/>
  <c r="X335" i="2"/>
  <c r="X342" i="2"/>
  <c r="X351" i="2"/>
  <c r="X358" i="2"/>
  <c r="X334" i="2"/>
  <c r="X308" i="2"/>
  <c r="X317" i="2"/>
  <c r="X324" i="2"/>
  <c r="X333" i="2"/>
  <c r="X272" i="2"/>
  <c r="X276" i="2"/>
  <c r="X280" i="2"/>
  <c r="X284" i="2"/>
  <c r="X288" i="2"/>
  <c r="X292" i="2"/>
  <c r="X296" i="2"/>
  <c r="X300" i="2"/>
  <c r="X238" i="2"/>
  <c r="X242" i="2"/>
  <c r="X246" i="2"/>
  <c r="X250" i="2"/>
  <c r="X254" i="2"/>
  <c r="X258" i="2"/>
  <c r="X262" i="2"/>
  <c r="X266" i="2"/>
  <c r="X204" i="2"/>
  <c r="X208" i="2"/>
  <c r="X212" i="2"/>
  <c r="X216" i="2"/>
  <c r="X220" i="2"/>
  <c r="X224" i="2"/>
  <c r="X228" i="2"/>
  <c r="X232" i="2"/>
  <c r="X170" i="2"/>
  <c r="X174" i="2"/>
  <c r="X178" i="2"/>
  <c r="X182" i="2"/>
  <c r="X186" i="2"/>
  <c r="X190" i="2"/>
  <c r="X194" i="2"/>
  <c r="X198" i="2"/>
  <c r="X169" i="2"/>
  <c r="X73" i="2"/>
  <c r="X77" i="2"/>
  <c r="X81" i="2"/>
  <c r="X85" i="2"/>
  <c r="X89" i="2"/>
  <c r="X93" i="2"/>
  <c r="X97" i="2"/>
  <c r="X101" i="2"/>
  <c r="X105" i="2"/>
  <c r="X109" i="2"/>
  <c r="X113" i="2"/>
  <c r="X337" i="2"/>
  <c r="X344" i="2"/>
  <c r="X353" i="2"/>
  <c r="X360" i="2"/>
  <c r="X303" i="2"/>
  <c r="X310" i="2"/>
  <c r="X319" i="2"/>
  <c r="X326" i="2"/>
  <c r="X269" i="2"/>
  <c r="X526" i="2"/>
  <c r="X339" i="2"/>
  <c r="X346" i="2"/>
  <c r="X355" i="2"/>
  <c r="X362" i="2"/>
  <c r="X305" i="2"/>
  <c r="X312" i="2"/>
  <c r="X321" i="2"/>
  <c r="X328" i="2"/>
  <c r="X271" i="2"/>
  <c r="X275" i="2"/>
  <c r="X279" i="2"/>
  <c r="X283" i="2"/>
  <c r="X287" i="2"/>
  <c r="X291" i="2"/>
  <c r="X295" i="2"/>
  <c r="X299" i="2"/>
  <c r="X237" i="2"/>
  <c r="X241" i="2"/>
  <c r="X245" i="2"/>
  <c r="X249" i="2"/>
  <c r="X253" i="2"/>
  <c r="X257" i="2"/>
  <c r="X261" i="2"/>
  <c r="X265" i="2"/>
  <c r="X203" i="2"/>
  <c r="X207" i="2"/>
  <c r="X211" i="2"/>
  <c r="X215" i="2"/>
  <c r="X219" i="2"/>
  <c r="X223" i="2"/>
  <c r="X227" i="2"/>
  <c r="X231" i="2"/>
  <c r="X202" i="2"/>
  <c r="X173" i="2"/>
  <c r="X177" i="2"/>
  <c r="X181" i="2"/>
  <c r="X185" i="2"/>
  <c r="X189" i="2"/>
  <c r="X193" i="2"/>
  <c r="X197" i="2"/>
  <c r="X201" i="2"/>
  <c r="X72" i="2"/>
  <c r="X76" i="2"/>
  <c r="X80" i="2"/>
  <c r="X84" i="2"/>
  <c r="X88" i="2"/>
  <c r="X92" i="2"/>
  <c r="X96" i="2"/>
  <c r="X100" i="2"/>
  <c r="X104" i="2"/>
  <c r="X108" i="2"/>
  <c r="X112" i="2"/>
  <c r="X341" i="2"/>
  <c r="X348" i="2"/>
  <c r="X357" i="2"/>
  <c r="X364" i="2"/>
  <c r="X307" i="2"/>
  <c r="X314" i="2"/>
  <c r="X323" i="2"/>
  <c r="X330" i="2"/>
  <c r="X400" i="2"/>
  <c r="X343" i="2"/>
  <c r="X350" i="2"/>
  <c r="X359" i="2"/>
  <c r="X366" i="2"/>
  <c r="X309" i="2"/>
  <c r="X316" i="2"/>
  <c r="X325" i="2"/>
  <c r="X332" i="2"/>
  <c r="X274" i="2"/>
  <c r="X278" i="2"/>
  <c r="X282" i="2"/>
  <c r="X286" i="2"/>
  <c r="X290" i="2"/>
  <c r="X294" i="2"/>
  <c r="X298" i="2"/>
  <c r="X236" i="2"/>
  <c r="X240" i="2"/>
  <c r="X244" i="2"/>
  <c r="X248" i="2"/>
  <c r="X252" i="2"/>
  <c r="X256" i="2"/>
  <c r="X260" i="2"/>
  <c r="X264" i="2"/>
  <c r="X235" i="2"/>
  <c r="X206" i="2"/>
  <c r="X210" i="2"/>
  <c r="X214" i="2"/>
  <c r="X218" i="2"/>
  <c r="X222" i="2"/>
  <c r="X226" i="2"/>
  <c r="X230" i="2"/>
  <c r="X234" i="2"/>
  <c r="X172" i="2"/>
  <c r="X176" i="2"/>
  <c r="X180" i="2"/>
  <c r="X184" i="2"/>
  <c r="X188" i="2"/>
  <c r="X192" i="2"/>
  <c r="X196" i="2"/>
  <c r="X200" i="2"/>
  <c r="X71" i="2"/>
  <c r="X75" i="2"/>
  <c r="X79" i="2"/>
  <c r="X83" i="2"/>
  <c r="X87" i="2"/>
  <c r="X91" i="2"/>
  <c r="X95" i="2"/>
  <c r="X99" i="2"/>
  <c r="X103" i="2"/>
  <c r="X107" i="2"/>
  <c r="X111" i="2"/>
  <c r="X115" i="2"/>
  <c r="X528" i="2"/>
  <c r="X336" i="2"/>
  <c r="X345" i="2"/>
  <c r="X352" i="2"/>
  <c r="X361" i="2"/>
  <c r="X302" i="2"/>
  <c r="X311" i="2"/>
  <c r="X318" i="2"/>
  <c r="X327" i="2"/>
  <c r="X301" i="2"/>
  <c r="X338" i="2"/>
  <c r="X347" i="2"/>
  <c r="X354" i="2"/>
  <c r="X363" i="2"/>
  <c r="X304" i="2"/>
  <c r="X313" i="2"/>
  <c r="X320" i="2"/>
  <c r="X329" i="2"/>
  <c r="X270" i="2"/>
  <c r="X273" i="2"/>
  <c r="X277" i="2"/>
  <c r="X281" i="2"/>
  <c r="X285" i="2"/>
  <c r="X289" i="2"/>
  <c r="X293" i="2"/>
  <c r="X297" i="2"/>
  <c r="X268" i="2"/>
  <c r="X239" i="2"/>
  <c r="X243" i="2"/>
  <c r="X247" i="2"/>
  <c r="X251" i="2"/>
  <c r="X255" i="2"/>
  <c r="X259" i="2"/>
  <c r="X263" i="2"/>
  <c r="X267" i="2"/>
  <c r="X205" i="2"/>
  <c r="X209" i="2"/>
  <c r="X213" i="2"/>
  <c r="X217" i="2"/>
  <c r="X221" i="2"/>
  <c r="X225" i="2"/>
  <c r="X229" i="2"/>
  <c r="X233" i="2"/>
  <c r="X171" i="2"/>
  <c r="X175" i="2"/>
  <c r="X179" i="2"/>
  <c r="X183" i="2"/>
  <c r="X187" i="2"/>
  <c r="X191" i="2"/>
  <c r="X195" i="2"/>
  <c r="X199" i="2"/>
  <c r="X70" i="2"/>
  <c r="X74" i="2"/>
  <c r="X78" i="2"/>
  <c r="X82" i="2"/>
  <c r="X86" i="2"/>
  <c r="X90" i="2"/>
  <c r="X94" i="2"/>
  <c r="X98" i="2"/>
  <c r="X102" i="2"/>
  <c r="X106" i="2"/>
  <c r="X110" i="2"/>
  <c r="X114" i="2"/>
  <c r="X340" i="2"/>
  <c r="X349" i="2"/>
  <c r="X356" i="2"/>
  <c r="X365" i="2"/>
  <c r="X306" i="2"/>
  <c r="X315" i="2"/>
  <c r="X322" i="2"/>
  <c r="X331" i="2"/>
  <c r="X118" i="2"/>
  <c r="X127" i="2"/>
  <c r="X134" i="2"/>
  <c r="X143" i="2"/>
  <c r="X150" i="2"/>
  <c r="X159" i="2"/>
  <c r="X166" i="2"/>
  <c r="X120" i="2"/>
  <c r="X129" i="2"/>
  <c r="X136" i="2"/>
  <c r="X145" i="2"/>
  <c r="X152" i="2"/>
  <c r="X161" i="2"/>
  <c r="X168" i="2"/>
  <c r="X122" i="2"/>
  <c r="X131" i="2"/>
  <c r="X138" i="2"/>
  <c r="X147" i="2"/>
  <c r="X154" i="2"/>
  <c r="X163" i="2"/>
  <c r="X117" i="2"/>
  <c r="X124" i="2"/>
  <c r="X133" i="2"/>
  <c r="X140" i="2"/>
  <c r="X149" i="2"/>
  <c r="X156" i="2"/>
  <c r="X165" i="2"/>
  <c r="X119" i="2"/>
  <c r="X126" i="2"/>
  <c r="X135" i="2"/>
  <c r="X142" i="2"/>
  <c r="X151" i="2"/>
  <c r="X158" i="2"/>
  <c r="X167" i="2"/>
  <c r="X121" i="2"/>
  <c r="X128" i="2"/>
  <c r="X137" i="2"/>
  <c r="X144" i="2"/>
  <c r="X153" i="2"/>
  <c r="X160" i="2"/>
  <c r="X123" i="2"/>
  <c r="X130" i="2"/>
  <c r="X139" i="2"/>
  <c r="X146" i="2"/>
  <c r="X155" i="2"/>
  <c r="X162" i="2"/>
  <c r="X116" i="2"/>
  <c r="X125" i="2"/>
  <c r="X132" i="2"/>
  <c r="X141" i="2"/>
  <c r="X148" i="2"/>
  <c r="X157" i="2"/>
  <c r="X164" i="2"/>
  <c r="X66" i="2"/>
  <c r="W43" i="2"/>
  <c r="W51" i="2"/>
  <c r="W59" i="2"/>
  <c r="W68" i="2"/>
  <c r="S1061" i="2"/>
  <c r="S1065" i="2"/>
  <c r="S1069" i="2"/>
  <c r="S1064" i="2"/>
  <c r="S1068" i="2"/>
  <c r="S1063" i="2"/>
  <c r="S1067" i="2"/>
  <c r="S1062" i="2"/>
  <c r="S1066" i="2"/>
  <c r="S1070" i="2"/>
  <c r="S1071" i="2"/>
  <c r="S1075" i="2"/>
  <c r="S1079" i="2"/>
  <c r="S1083" i="2"/>
  <c r="S1087" i="2"/>
  <c r="S1091" i="2"/>
  <c r="S1029" i="2"/>
  <c r="S1033" i="2"/>
  <c r="S1037" i="2"/>
  <c r="S1041" i="2"/>
  <c r="S1045" i="2"/>
  <c r="S1049" i="2"/>
  <c r="S1053" i="2"/>
  <c r="S1057" i="2"/>
  <c r="S995" i="2"/>
  <c r="S999" i="2"/>
  <c r="S1003" i="2"/>
  <c r="S1007" i="2"/>
  <c r="S1011" i="2"/>
  <c r="S1015" i="2"/>
  <c r="S1019" i="2"/>
  <c r="S1023" i="2"/>
  <c r="S994" i="2"/>
  <c r="S965" i="2"/>
  <c r="S969" i="2"/>
  <c r="S973" i="2"/>
  <c r="S977" i="2"/>
  <c r="S981" i="2"/>
  <c r="S985" i="2"/>
  <c r="S989" i="2"/>
  <c r="S993" i="2"/>
  <c r="S931" i="2"/>
  <c r="S935" i="2"/>
  <c r="S939" i="2"/>
  <c r="S943" i="2"/>
  <c r="S947" i="2"/>
  <c r="S951" i="2"/>
  <c r="S955" i="2"/>
  <c r="S959" i="2"/>
  <c r="S897" i="2"/>
  <c r="S901" i="2"/>
  <c r="S905" i="2"/>
  <c r="S909" i="2"/>
  <c r="S913" i="2"/>
  <c r="S917" i="2"/>
  <c r="S921" i="2"/>
  <c r="S925" i="2"/>
  <c r="S764" i="2"/>
  <c r="S768" i="2"/>
  <c r="S772" i="2"/>
  <c r="S776" i="2"/>
  <c r="S780" i="2"/>
  <c r="S784" i="2"/>
  <c r="S788" i="2"/>
  <c r="S792" i="2"/>
  <c r="S1074" i="2"/>
  <c r="S1078" i="2"/>
  <c r="S1082" i="2"/>
  <c r="S1086" i="2"/>
  <c r="S1090" i="2"/>
  <c r="S1028" i="2"/>
  <c r="S1032" i="2"/>
  <c r="S1036" i="2"/>
  <c r="S1040" i="2"/>
  <c r="S1044" i="2"/>
  <c r="S1048" i="2"/>
  <c r="S1052" i="2"/>
  <c r="S1056" i="2"/>
  <c r="S1027" i="2"/>
  <c r="S998" i="2"/>
  <c r="S1002" i="2"/>
  <c r="S1006" i="2"/>
  <c r="S1010" i="2"/>
  <c r="S1014" i="2"/>
  <c r="S1018" i="2"/>
  <c r="S1022" i="2"/>
  <c r="S1026" i="2"/>
  <c r="S964" i="2"/>
  <c r="S968" i="2"/>
  <c r="S972" i="2"/>
  <c r="S976" i="2"/>
  <c r="S980" i="2"/>
  <c r="S984" i="2"/>
  <c r="S988" i="2"/>
  <c r="S992" i="2"/>
  <c r="S930" i="2"/>
  <c r="S934" i="2"/>
  <c r="S938" i="2"/>
  <c r="S942" i="2"/>
  <c r="S946" i="2"/>
  <c r="S950" i="2"/>
  <c r="S954" i="2"/>
  <c r="S958" i="2"/>
  <c r="S896" i="2"/>
  <c r="S900" i="2"/>
  <c r="S904" i="2"/>
  <c r="S908" i="2"/>
  <c r="S912" i="2"/>
  <c r="S916" i="2"/>
  <c r="S920" i="2"/>
  <c r="S924" i="2"/>
  <c r="S895" i="2"/>
  <c r="S767" i="2"/>
  <c r="S771" i="2"/>
  <c r="S775" i="2"/>
  <c r="S779" i="2"/>
  <c r="S783" i="2"/>
  <c r="S787" i="2"/>
  <c r="S791" i="2"/>
  <c r="S795" i="2"/>
  <c r="S799" i="2"/>
  <c r="S803" i="2"/>
  <c r="S807" i="2"/>
  <c r="S811" i="2"/>
  <c r="S815" i="2"/>
  <c r="S819" i="2"/>
  <c r="S823" i="2"/>
  <c r="S827" i="2"/>
  <c r="S831" i="2"/>
  <c r="S835" i="2"/>
  <c r="S839" i="2"/>
  <c r="S843" i="2"/>
  <c r="S847" i="2"/>
  <c r="S851" i="2"/>
  <c r="S855" i="2"/>
  <c r="S859" i="2"/>
  <c r="S863" i="2"/>
  <c r="S867" i="2"/>
  <c r="S871" i="2"/>
  <c r="S875" i="2"/>
  <c r="S879" i="2"/>
  <c r="S883" i="2"/>
  <c r="S887" i="2"/>
  <c r="S891" i="2"/>
  <c r="S763" i="2"/>
  <c r="S701" i="2"/>
  <c r="S1073" i="2"/>
  <c r="S1077" i="2"/>
  <c r="S1081" i="2"/>
  <c r="S1085" i="2"/>
  <c r="S1089" i="2"/>
  <c r="S1060" i="2"/>
  <c r="S1031" i="2"/>
  <c r="S1035" i="2"/>
  <c r="S1039" i="2"/>
  <c r="S1043" i="2"/>
  <c r="S1047" i="2"/>
  <c r="S1051" i="2"/>
  <c r="S1055" i="2"/>
  <c r="S1059" i="2"/>
  <c r="S997" i="2"/>
  <c r="S1001" i="2"/>
  <c r="S1005" i="2"/>
  <c r="S1009" i="2"/>
  <c r="S1013" i="2"/>
  <c r="S1017" i="2"/>
  <c r="S1021" i="2"/>
  <c r="S1025" i="2"/>
  <c r="S963" i="2"/>
  <c r="S967" i="2"/>
  <c r="S971" i="2"/>
  <c r="S975" i="2"/>
  <c r="S979" i="2"/>
  <c r="S983" i="2"/>
  <c r="S987" i="2"/>
  <c r="S991" i="2"/>
  <c r="S929" i="2"/>
  <c r="S933" i="2"/>
  <c r="S937" i="2"/>
  <c r="S941" i="2"/>
  <c r="S945" i="2"/>
  <c r="S949" i="2"/>
  <c r="S953" i="2"/>
  <c r="S957" i="2"/>
  <c r="S928" i="2"/>
  <c r="S899" i="2"/>
  <c r="S903" i="2"/>
  <c r="S907" i="2"/>
  <c r="S911" i="2"/>
  <c r="S915" i="2"/>
  <c r="S919" i="2"/>
  <c r="S923" i="2"/>
  <c r="S927" i="2"/>
  <c r="S766" i="2"/>
  <c r="S770" i="2"/>
  <c r="S774" i="2"/>
  <c r="S778" i="2"/>
  <c r="S782" i="2"/>
  <c r="S786" i="2"/>
  <c r="S790" i="2"/>
  <c r="S794" i="2"/>
  <c r="S1072" i="2"/>
  <c r="S1076" i="2"/>
  <c r="S1080" i="2"/>
  <c r="S1084" i="2"/>
  <c r="S1088" i="2"/>
  <c r="S1092" i="2"/>
  <c r="S1030" i="2"/>
  <c r="S1034" i="2"/>
  <c r="S1038" i="2"/>
  <c r="S1042" i="2"/>
  <c r="S1046" i="2"/>
  <c r="S1050" i="2"/>
  <c r="S1054" i="2"/>
  <c r="S1058" i="2"/>
  <c r="S996" i="2"/>
  <c r="S1000" i="2"/>
  <c r="S1004" i="2"/>
  <c r="S1008" i="2"/>
  <c r="S1012" i="2"/>
  <c r="S1016" i="2"/>
  <c r="S1020" i="2"/>
  <c r="S1024" i="2"/>
  <c r="S962" i="2"/>
  <c r="S966" i="2"/>
  <c r="S970" i="2"/>
  <c r="S974" i="2"/>
  <c r="S978" i="2"/>
  <c r="S982" i="2"/>
  <c r="S986" i="2"/>
  <c r="S990" i="2"/>
  <c r="S961" i="2"/>
  <c r="S932" i="2"/>
  <c r="S936" i="2"/>
  <c r="S940" i="2"/>
  <c r="S944" i="2"/>
  <c r="S948" i="2"/>
  <c r="S952" i="2"/>
  <c r="S956" i="2"/>
  <c r="S960" i="2"/>
  <c r="S898" i="2"/>
  <c r="S902" i="2"/>
  <c r="S906" i="2"/>
  <c r="S910" i="2"/>
  <c r="S914" i="2"/>
  <c r="S918" i="2"/>
  <c r="S922" i="2"/>
  <c r="S926" i="2"/>
  <c r="S765" i="2"/>
  <c r="S769" i="2"/>
  <c r="S773" i="2"/>
  <c r="S777" i="2"/>
  <c r="S781" i="2"/>
  <c r="S785" i="2"/>
  <c r="S789" i="2"/>
  <c r="S793" i="2"/>
  <c r="S797" i="2"/>
  <c r="S801" i="2"/>
  <c r="S805" i="2"/>
  <c r="S809" i="2"/>
  <c r="S813" i="2"/>
  <c r="S817" i="2"/>
  <c r="S821" i="2"/>
  <c r="S825" i="2"/>
  <c r="S829" i="2"/>
  <c r="S833" i="2"/>
  <c r="S837" i="2"/>
  <c r="S841" i="2"/>
  <c r="S845" i="2"/>
  <c r="S849" i="2"/>
  <c r="S853" i="2"/>
  <c r="S857" i="2"/>
  <c r="S861" i="2"/>
  <c r="S865" i="2"/>
  <c r="S869" i="2"/>
  <c r="S873" i="2"/>
  <c r="S877" i="2"/>
  <c r="S881" i="2"/>
  <c r="S885" i="2"/>
  <c r="S802" i="2"/>
  <c r="S818" i="2"/>
  <c r="S834" i="2"/>
  <c r="S850" i="2"/>
  <c r="S866" i="2"/>
  <c r="S882" i="2"/>
  <c r="S700" i="2"/>
  <c r="S703" i="2"/>
  <c r="S707" i="2"/>
  <c r="S711" i="2"/>
  <c r="S715" i="2"/>
  <c r="S719" i="2"/>
  <c r="S723" i="2"/>
  <c r="S727" i="2"/>
  <c r="S665" i="2"/>
  <c r="S669" i="2"/>
  <c r="S673" i="2"/>
  <c r="S677" i="2"/>
  <c r="S681" i="2"/>
  <c r="S685" i="2"/>
  <c r="S689" i="2"/>
  <c r="S693" i="2"/>
  <c r="S664" i="2"/>
  <c r="S635" i="2"/>
  <c r="S639" i="2"/>
  <c r="S643" i="2"/>
  <c r="S647" i="2"/>
  <c r="S651" i="2"/>
  <c r="S655" i="2"/>
  <c r="S659" i="2"/>
  <c r="S663" i="2"/>
  <c r="S601" i="2"/>
  <c r="S605" i="2"/>
  <c r="S800" i="2"/>
  <c r="S804" i="2"/>
  <c r="S820" i="2"/>
  <c r="S836" i="2"/>
  <c r="S852" i="2"/>
  <c r="S868" i="2"/>
  <c r="S884" i="2"/>
  <c r="S889" i="2"/>
  <c r="S892" i="2"/>
  <c r="S798" i="2"/>
  <c r="S806" i="2"/>
  <c r="S822" i="2"/>
  <c r="S838" i="2"/>
  <c r="S854" i="2"/>
  <c r="S870" i="2"/>
  <c r="S886" i="2"/>
  <c r="S706" i="2"/>
  <c r="S710" i="2"/>
  <c r="S714" i="2"/>
  <c r="S718" i="2"/>
  <c r="S722" i="2"/>
  <c r="S726" i="2"/>
  <c r="S697" i="2"/>
  <c r="S668" i="2"/>
  <c r="S672" i="2"/>
  <c r="S676" i="2"/>
  <c r="S680" i="2"/>
  <c r="S684" i="2"/>
  <c r="S688" i="2"/>
  <c r="S692" i="2"/>
  <c r="S696" i="2"/>
  <c r="S634" i="2"/>
  <c r="S638" i="2"/>
  <c r="S642" i="2"/>
  <c r="S646" i="2"/>
  <c r="S650" i="2"/>
  <c r="S654" i="2"/>
  <c r="S658" i="2"/>
  <c r="S662" i="2"/>
  <c r="S600" i="2"/>
  <c r="S604" i="2"/>
  <c r="S608" i="2"/>
  <c r="S612" i="2"/>
  <c r="S616" i="2"/>
  <c r="S620" i="2"/>
  <c r="S624" i="2"/>
  <c r="S628" i="2"/>
  <c r="S566" i="2"/>
  <c r="S570" i="2"/>
  <c r="S574" i="2"/>
  <c r="S578" i="2"/>
  <c r="S808" i="2"/>
  <c r="S824" i="2"/>
  <c r="S840" i="2"/>
  <c r="S856" i="2"/>
  <c r="S872" i="2"/>
  <c r="S894" i="2"/>
  <c r="S699" i="2"/>
  <c r="S702" i="2"/>
  <c r="S810" i="2"/>
  <c r="S826" i="2"/>
  <c r="S842" i="2"/>
  <c r="S858" i="2"/>
  <c r="S874" i="2"/>
  <c r="S888" i="2"/>
  <c r="S705" i="2"/>
  <c r="S709" i="2"/>
  <c r="S713" i="2"/>
  <c r="S717" i="2"/>
  <c r="S721" i="2"/>
  <c r="S725" i="2"/>
  <c r="S729" i="2"/>
  <c r="S667" i="2"/>
  <c r="S671" i="2"/>
  <c r="S675" i="2"/>
  <c r="S679" i="2"/>
  <c r="S683" i="2"/>
  <c r="S687" i="2"/>
  <c r="S691" i="2"/>
  <c r="S695" i="2"/>
  <c r="S633" i="2"/>
  <c r="S637" i="2"/>
  <c r="S641" i="2"/>
  <c r="S645" i="2"/>
  <c r="S649" i="2"/>
  <c r="S653" i="2"/>
  <c r="S657" i="2"/>
  <c r="S661" i="2"/>
  <c r="S599" i="2"/>
  <c r="S603" i="2"/>
  <c r="S607" i="2"/>
  <c r="S812" i="2"/>
  <c r="S828" i="2"/>
  <c r="S844" i="2"/>
  <c r="S860" i="2"/>
  <c r="S876" i="2"/>
  <c r="S796" i="2"/>
  <c r="S814" i="2"/>
  <c r="S830" i="2"/>
  <c r="S846" i="2"/>
  <c r="S862" i="2"/>
  <c r="S878" i="2"/>
  <c r="S890" i="2"/>
  <c r="S893" i="2"/>
  <c r="S698" i="2"/>
  <c r="S704" i="2"/>
  <c r="S708" i="2"/>
  <c r="S712" i="2"/>
  <c r="S716" i="2"/>
  <c r="S720" i="2"/>
  <c r="S724" i="2"/>
  <c r="S728" i="2"/>
  <c r="S666" i="2"/>
  <c r="S670" i="2"/>
  <c r="S674" i="2"/>
  <c r="S678" i="2"/>
  <c r="S682" i="2"/>
  <c r="S686" i="2"/>
  <c r="S690" i="2"/>
  <c r="S694" i="2"/>
  <c r="S632" i="2"/>
  <c r="S636" i="2"/>
  <c r="S640" i="2"/>
  <c r="S644" i="2"/>
  <c r="S648" i="2"/>
  <c r="S652" i="2"/>
  <c r="S656" i="2"/>
  <c r="S660" i="2"/>
  <c r="S631" i="2"/>
  <c r="S602" i="2"/>
  <c r="S606" i="2"/>
  <c r="S610" i="2"/>
  <c r="S614" i="2"/>
  <c r="S618" i="2"/>
  <c r="S622" i="2"/>
  <c r="S626" i="2"/>
  <c r="S630" i="2"/>
  <c r="S568" i="2"/>
  <c r="S572" i="2"/>
  <c r="S576" i="2"/>
  <c r="S816" i="2"/>
  <c r="S832" i="2"/>
  <c r="S848" i="2"/>
  <c r="S864" i="2"/>
  <c r="S880" i="2"/>
  <c r="S617" i="2"/>
  <c r="S567" i="2"/>
  <c r="S619" i="2"/>
  <c r="S569" i="2"/>
  <c r="S581" i="2"/>
  <c r="S585" i="2"/>
  <c r="S589" i="2"/>
  <c r="S593" i="2"/>
  <c r="S597" i="2"/>
  <c r="S535" i="2"/>
  <c r="S539" i="2"/>
  <c r="S543" i="2"/>
  <c r="S547" i="2"/>
  <c r="S551" i="2"/>
  <c r="S555" i="2"/>
  <c r="S559" i="2"/>
  <c r="S563" i="2"/>
  <c r="S402" i="2"/>
  <c r="S406" i="2"/>
  <c r="S410" i="2"/>
  <c r="S414" i="2"/>
  <c r="S418" i="2"/>
  <c r="S422" i="2"/>
  <c r="S426" i="2"/>
  <c r="S430" i="2"/>
  <c r="S434" i="2"/>
  <c r="S438" i="2"/>
  <c r="S442" i="2"/>
  <c r="S446" i="2"/>
  <c r="S450" i="2"/>
  <c r="S454" i="2"/>
  <c r="S458" i="2"/>
  <c r="S462" i="2"/>
  <c r="S466" i="2"/>
  <c r="S470" i="2"/>
  <c r="S474" i="2"/>
  <c r="S478" i="2"/>
  <c r="S482" i="2"/>
  <c r="S486" i="2"/>
  <c r="S490" i="2"/>
  <c r="S494" i="2"/>
  <c r="S498" i="2"/>
  <c r="S502" i="2"/>
  <c r="S506" i="2"/>
  <c r="S510" i="2"/>
  <c r="S514" i="2"/>
  <c r="S518" i="2"/>
  <c r="S522" i="2"/>
  <c r="S526" i="2"/>
  <c r="S530" i="2"/>
  <c r="S621" i="2"/>
  <c r="S571" i="2"/>
  <c r="S623" i="2"/>
  <c r="S573" i="2"/>
  <c r="S580" i="2"/>
  <c r="S584" i="2"/>
  <c r="S588" i="2"/>
  <c r="S592" i="2"/>
  <c r="S596" i="2"/>
  <c r="S534" i="2"/>
  <c r="S538" i="2"/>
  <c r="S542" i="2"/>
  <c r="S546" i="2"/>
  <c r="S550" i="2"/>
  <c r="S554" i="2"/>
  <c r="S558" i="2"/>
  <c r="S562" i="2"/>
  <c r="S401" i="2"/>
  <c r="S405" i="2"/>
  <c r="S409" i="2"/>
  <c r="S413" i="2"/>
  <c r="S417" i="2"/>
  <c r="S421" i="2"/>
  <c r="S425" i="2"/>
  <c r="S429" i="2"/>
  <c r="S433" i="2"/>
  <c r="S437" i="2"/>
  <c r="S441" i="2"/>
  <c r="S445" i="2"/>
  <c r="S449" i="2"/>
  <c r="S453" i="2"/>
  <c r="S457" i="2"/>
  <c r="S461" i="2"/>
  <c r="S465" i="2"/>
  <c r="S469" i="2"/>
  <c r="S473" i="2"/>
  <c r="S477" i="2"/>
  <c r="S481" i="2"/>
  <c r="S485" i="2"/>
  <c r="S489" i="2"/>
  <c r="S493" i="2"/>
  <c r="S497" i="2"/>
  <c r="S501" i="2"/>
  <c r="S505" i="2"/>
  <c r="S509" i="2"/>
  <c r="S513" i="2"/>
  <c r="S517" i="2"/>
  <c r="S521" i="2"/>
  <c r="S525" i="2"/>
  <c r="S529" i="2"/>
  <c r="S335" i="2"/>
  <c r="S339" i="2"/>
  <c r="S343" i="2"/>
  <c r="S347" i="2"/>
  <c r="S351" i="2"/>
  <c r="S355" i="2"/>
  <c r="S359" i="2"/>
  <c r="S363" i="2"/>
  <c r="S334" i="2"/>
  <c r="S305" i="2"/>
  <c r="S309" i="2"/>
  <c r="S313" i="2"/>
  <c r="S317" i="2"/>
  <c r="S321" i="2"/>
  <c r="S325" i="2"/>
  <c r="S329" i="2"/>
  <c r="S333" i="2"/>
  <c r="S271" i="2"/>
  <c r="S625" i="2"/>
  <c r="S575" i="2"/>
  <c r="S627" i="2"/>
  <c r="S577" i="2"/>
  <c r="S583" i="2"/>
  <c r="S587" i="2"/>
  <c r="S591" i="2"/>
  <c r="S595" i="2"/>
  <c r="S533" i="2"/>
  <c r="S537" i="2"/>
  <c r="S541" i="2"/>
  <c r="S545" i="2"/>
  <c r="S549" i="2"/>
  <c r="S553" i="2"/>
  <c r="S557" i="2"/>
  <c r="S561" i="2"/>
  <c r="S532" i="2"/>
  <c r="S404" i="2"/>
  <c r="S408" i="2"/>
  <c r="S412" i="2"/>
  <c r="S416" i="2"/>
  <c r="S420" i="2"/>
  <c r="S424" i="2"/>
  <c r="S428" i="2"/>
  <c r="S432" i="2"/>
  <c r="S436" i="2"/>
  <c r="S440" i="2"/>
  <c r="S444" i="2"/>
  <c r="S448" i="2"/>
  <c r="S452" i="2"/>
  <c r="S456" i="2"/>
  <c r="S460" i="2"/>
  <c r="S464" i="2"/>
  <c r="S468" i="2"/>
  <c r="S472" i="2"/>
  <c r="S476" i="2"/>
  <c r="S480" i="2"/>
  <c r="S484" i="2"/>
  <c r="S488" i="2"/>
  <c r="S492" i="2"/>
  <c r="S496" i="2"/>
  <c r="S500" i="2"/>
  <c r="S504" i="2"/>
  <c r="S508" i="2"/>
  <c r="S512" i="2"/>
  <c r="S516" i="2"/>
  <c r="S520" i="2"/>
  <c r="S524" i="2"/>
  <c r="S528" i="2"/>
  <c r="S400" i="2"/>
  <c r="S613" i="2"/>
  <c r="S629" i="2"/>
  <c r="S579" i="2"/>
  <c r="S609" i="2"/>
  <c r="S611" i="2"/>
  <c r="S615" i="2"/>
  <c r="S598" i="2"/>
  <c r="S582" i="2"/>
  <c r="S586" i="2"/>
  <c r="S590" i="2"/>
  <c r="S594" i="2"/>
  <c r="S565" i="2"/>
  <c r="S536" i="2"/>
  <c r="S540" i="2"/>
  <c r="S544" i="2"/>
  <c r="S548" i="2"/>
  <c r="S552" i="2"/>
  <c r="S556" i="2"/>
  <c r="S560" i="2"/>
  <c r="S564" i="2"/>
  <c r="S403" i="2"/>
  <c r="S407" i="2"/>
  <c r="S411" i="2"/>
  <c r="S415" i="2"/>
  <c r="S419" i="2"/>
  <c r="S423" i="2"/>
  <c r="S427" i="2"/>
  <c r="S431" i="2"/>
  <c r="S435" i="2"/>
  <c r="S439" i="2"/>
  <c r="S443" i="2"/>
  <c r="S447" i="2"/>
  <c r="S451" i="2"/>
  <c r="S455" i="2"/>
  <c r="S459" i="2"/>
  <c r="S463" i="2"/>
  <c r="S467" i="2"/>
  <c r="S471" i="2"/>
  <c r="S475" i="2"/>
  <c r="S479" i="2"/>
  <c r="S483" i="2"/>
  <c r="S487" i="2"/>
  <c r="S491" i="2"/>
  <c r="S495" i="2"/>
  <c r="S499" i="2"/>
  <c r="S503" i="2"/>
  <c r="S507" i="2"/>
  <c r="S511" i="2"/>
  <c r="S515" i="2"/>
  <c r="S519" i="2"/>
  <c r="S523" i="2"/>
  <c r="S527" i="2"/>
  <c r="S531" i="2"/>
  <c r="S337" i="2"/>
  <c r="S341" i="2"/>
  <c r="S345" i="2"/>
  <c r="S349" i="2"/>
  <c r="S353" i="2"/>
  <c r="S357" i="2"/>
  <c r="S361" i="2"/>
  <c r="S365" i="2"/>
  <c r="S303" i="2"/>
  <c r="S307" i="2"/>
  <c r="S311" i="2"/>
  <c r="S315" i="2"/>
  <c r="S319" i="2"/>
  <c r="S323" i="2"/>
  <c r="S327" i="2"/>
  <c r="S331" i="2"/>
  <c r="S269" i="2"/>
  <c r="S350" i="2"/>
  <c r="S366" i="2"/>
  <c r="S316" i="2"/>
  <c r="S332" i="2"/>
  <c r="S336" i="2"/>
  <c r="S352" i="2"/>
  <c r="S302" i="2"/>
  <c r="S318" i="2"/>
  <c r="S301" i="2"/>
  <c r="S273" i="2"/>
  <c r="S277" i="2"/>
  <c r="S281" i="2"/>
  <c r="S285" i="2"/>
  <c r="S289" i="2"/>
  <c r="S293" i="2"/>
  <c r="S297" i="2"/>
  <c r="S268" i="2"/>
  <c r="S239" i="2"/>
  <c r="S243" i="2"/>
  <c r="S247" i="2"/>
  <c r="S251" i="2"/>
  <c r="S255" i="2"/>
  <c r="S259" i="2"/>
  <c r="S263" i="2"/>
  <c r="S267" i="2"/>
  <c r="S205" i="2"/>
  <c r="S209" i="2"/>
  <c r="S213" i="2"/>
  <c r="S217" i="2"/>
  <c r="S221" i="2"/>
  <c r="S225" i="2"/>
  <c r="S229" i="2"/>
  <c r="S233" i="2"/>
  <c r="S171" i="2"/>
  <c r="S175" i="2"/>
  <c r="S179" i="2"/>
  <c r="S183" i="2"/>
  <c r="S187" i="2"/>
  <c r="S191" i="2"/>
  <c r="S195" i="2"/>
  <c r="S199" i="2"/>
  <c r="S70" i="2"/>
  <c r="S74" i="2"/>
  <c r="S78" i="2"/>
  <c r="S82" i="2"/>
  <c r="S86" i="2"/>
  <c r="S90" i="2"/>
  <c r="S94" i="2"/>
  <c r="S98" i="2"/>
  <c r="S102" i="2"/>
  <c r="S106" i="2"/>
  <c r="S110" i="2"/>
  <c r="S338" i="2"/>
  <c r="S354" i="2"/>
  <c r="S304" i="2"/>
  <c r="S320" i="2"/>
  <c r="S270" i="2"/>
  <c r="S340" i="2"/>
  <c r="S356" i="2"/>
  <c r="S306" i="2"/>
  <c r="S322" i="2"/>
  <c r="S272" i="2"/>
  <c r="S276" i="2"/>
  <c r="S280" i="2"/>
  <c r="S284" i="2"/>
  <c r="S288" i="2"/>
  <c r="S292" i="2"/>
  <c r="S296" i="2"/>
  <c r="S300" i="2"/>
  <c r="S238" i="2"/>
  <c r="S242" i="2"/>
  <c r="S246" i="2"/>
  <c r="S250" i="2"/>
  <c r="S254" i="2"/>
  <c r="S258" i="2"/>
  <c r="S262" i="2"/>
  <c r="S266" i="2"/>
  <c r="S204" i="2"/>
  <c r="S208" i="2"/>
  <c r="S212" i="2"/>
  <c r="S216" i="2"/>
  <c r="S220" i="2"/>
  <c r="S224" i="2"/>
  <c r="S228" i="2"/>
  <c r="S232" i="2"/>
  <c r="S170" i="2"/>
  <c r="S174" i="2"/>
  <c r="S178" i="2"/>
  <c r="S182" i="2"/>
  <c r="S186" i="2"/>
  <c r="S190" i="2"/>
  <c r="S194" i="2"/>
  <c r="S198" i="2"/>
  <c r="S169" i="2"/>
  <c r="S73" i="2"/>
  <c r="S77" i="2"/>
  <c r="S81" i="2"/>
  <c r="S85" i="2"/>
  <c r="S89" i="2"/>
  <c r="S93" i="2"/>
  <c r="S97" i="2"/>
  <c r="S101" i="2"/>
  <c r="S105" i="2"/>
  <c r="S109" i="2"/>
  <c r="S113" i="2"/>
  <c r="S117" i="2"/>
  <c r="S121" i="2"/>
  <c r="S125" i="2"/>
  <c r="S129" i="2"/>
  <c r="S133" i="2"/>
  <c r="S137" i="2"/>
  <c r="S141" i="2"/>
  <c r="S145" i="2"/>
  <c r="S149" i="2"/>
  <c r="S153" i="2"/>
  <c r="S157" i="2"/>
  <c r="S161" i="2"/>
  <c r="S165" i="2"/>
  <c r="S342" i="2"/>
  <c r="S358" i="2"/>
  <c r="S308" i="2"/>
  <c r="S324" i="2"/>
  <c r="S344" i="2"/>
  <c r="S360" i="2"/>
  <c r="S310" i="2"/>
  <c r="S326" i="2"/>
  <c r="S275" i="2"/>
  <c r="S279" i="2"/>
  <c r="S283" i="2"/>
  <c r="S287" i="2"/>
  <c r="S291" i="2"/>
  <c r="S295" i="2"/>
  <c r="S299" i="2"/>
  <c r="S237" i="2"/>
  <c r="S241" i="2"/>
  <c r="S245" i="2"/>
  <c r="S249" i="2"/>
  <c r="S253" i="2"/>
  <c r="S257" i="2"/>
  <c r="S261" i="2"/>
  <c r="S265" i="2"/>
  <c r="S203" i="2"/>
  <c r="S207" i="2"/>
  <c r="S211" i="2"/>
  <c r="S215" i="2"/>
  <c r="S219" i="2"/>
  <c r="S223" i="2"/>
  <c r="S227" i="2"/>
  <c r="S231" i="2"/>
  <c r="S202" i="2"/>
  <c r="S173" i="2"/>
  <c r="S177" i="2"/>
  <c r="S181" i="2"/>
  <c r="S185" i="2"/>
  <c r="S189" i="2"/>
  <c r="S193" i="2"/>
  <c r="S197" i="2"/>
  <c r="S201" i="2"/>
  <c r="S72" i="2"/>
  <c r="S76" i="2"/>
  <c r="S80" i="2"/>
  <c r="S84" i="2"/>
  <c r="S88" i="2"/>
  <c r="S92" i="2"/>
  <c r="S96" i="2"/>
  <c r="S100" i="2"/>
  <c r="S104" i="2"/>
  <c r="S108" i="2"/>
  <c r="S112" i="2"/>
  <c r="S346" i="2"/>
  <c r="S362" i="2"/>
  <c r="S312" i="2"/>
  <c r="S328" i="2"/>
  <c r="S348" i="2"/>
  <c r="S364" i="2"/>
  <c r="S314" i="2"/>
  <c r="S330" i="2"/>
  <c r="S274" i="2"/>
  <c r="S278" i="2"/>
  <c r="S282" i="2"/>
  <c r="S286" i="2"/>
  <c r="S290" i="2"/>
  <c r="S294" i="2"/>
  <c r="S298" i="2"/>
  <c r="S236" i="2"/>
  <c r="S240" i="2"/>
  <c r="S244" i="2"/>
  <c r="S248" i="2"/>
  <c r="S252" i="2"/>
  <c r="S256" i="2"/>
  <c r="S260" i="2"/>
  <c r="S264" i="2"/>
  <c r="S235" i="2"/>
  <c r="S206" i="2"/>
  <c r="S210" i="2"/>
  <c r="S214" i="2"/>
  <c r="S218" i="2"/>
  <c r="S222" i="2"/>
  <c r="S226" i="2"/>
  <c r="S230" i="2"/>
  <c r="S234" i="2"/>
  <c r="S172" i="2"/>
  <c r="S176" i="2"/>
  <c r="S180" i="2"/>
  <c r="S184" i="2"/>
  <c r="S188" i="2"/>
  <c r="S192" i="2"/>
  <c r="S196" i="2"/>
  <c r="S200" i="2"/>
  <c r="S71" i="2"/>
  <c r="S75" i="2"/>
  <c r="S79" i="2"/>
  <c r="S83" i="2"/>
  <c r="S87" i="2"/>
  <c r="S91" i="2"/>
  <c r="S95" i="2"/>
  <c r="S99" i="2"/>
  <c r="S103" i="2"/>
  <c r="S107" i="2"/>
  <c r="S111" i="2"/>
  <c r="S115" i="2"/>
  <c r="S119" i="2"/>
  <c r="S123" i="2"/>
  <c r="S127" i="2"/>
  <c r="S131" i="2"/>
  <c r="S135" i="2"/>
  <c r="S139" i="2"/>
  <c r="S143" i="2"/>
  <c r="S147" i="2"/>
  <c r="S151" i="2"/>
  <c r="S155" i="2"/>
  <c r="S159" i="2"/>
  <c r="S163" i="2"/>
  <c r="S167" i="2"/>
  <c r="S114" i="2"/>
  <c r="S126" i="2"/>
  <c r="S142" i="2"/>
  <c r="S158" i="2"/>
  <c r="S128" i="2"/>
  <c r="S144" i="2"/>
  <c r="S160" i="2"/>
  <c r="S130" i="2"/>
  <c r="S146" i="2"/>
  <c r="S162" i="2"/>
  <c r="S116" i="2"/>
  <c r="S132" i="2"/>
  <c r="S148" i="2"/>
  <c r="S164" i="2"/>
  <c r="S118" i="2"/>
  <c r="S134" i="2"/>
  <c r="S150" i="2"/>
  <c r="S166" i="2"/>
  <c r="S120" i="2"/>
  <c r="S136" i="2"/>
  <c r="S152" i="2"/>
  <c r="S168" i="2"/>
  <c r="S122" i="2"/>
  <c r="S138" i="2"/>
  <c r="S154" i="2"/>
  <c r="S124" i="2"/>
  <c r="S140" i="2"/>
  <c r="S156" i="2"/>
  <c r="S66" i="2"/>
  <c r="S50" i="2"/>
  <c r="S67" i="2"/>
  <c r="U1062" i="2"/>
  <c r="U1066" i="2"/>
  <c r="U1070" i="2"/>
  <c r="U1061" i="2"/>
  <c r="U1065" i="2"/>
  <c r="U1069" i="2"/>
  <c r="U1064" i="2"/>
  <c r="U1068" i="2"/>
  <c r="U1063" i="2"/>
  <c r="U1067" i="2"/>
  <c r="U1072" i="2"/>
  <c r="U1076" i="2"/>
  <c r="U1080" i="2"/>
  <c r="U1084" i="2"/>
  <c r="U1088" i="2"/>
  <c r="U1092" i="2"/>
  <c r="U1030" i="2"/>
  <c r="U1034" i="2"/>
  <c r="U1038" i="2"/>
  <c r="U1042" i="2"/>
  <c r="U1046" i="2"/>
  <c r="U1050" i="2"/>
  <c r="U1054" i="2"/>
  <c r="U1058" i="2"/>
  <c r="U996" i="2"/>
  <c r="U1000" i="2"/>
  <c r="U1004" i="2"/>
  <c r="U1008" i="2"/>
  <c r="U1012" i="2"/>
  <c r="U1016" i="2"/>
  <c r="U1020" i="2"/>
  <c r="U1024" i="2"/>
  <c r="U962" i="2"/>
  <c r="U966" i="2"/>
  <c r="U970" i="2"/>
  <c r="U974" i="2"/>
  <c r="U978" i="2"/>
  <c r="U982" i="2"/>
  <c r="U986" i="2"/>
  <c r="U990" i="2"/>
  <c r="U961" i="2"/>
  <c r="U932" i="2"/>
  <c r="U936" i="2"/>
  <c r="U940" i="2"/>
  <c r="U944" i="2"/>
  <c r="U948" i="2"/>
  <c r="U952" i="2"/>
  <c r="U956" i="2"/>
  <c r="U960" i="2"/>
  <c r="U898" i="2"/>
  <c r="U902" i="2"/>
  <c r="U906" i="2"/>
  <c r="U910" i="2"/>
  <c r="U914" i="2"/>
  <c r="U918" i="2"/>
  <c r="U922" i="2"/>
  <c r="U926" i="2"/>
  <c r="U765" i="2"/>
  <c r="U769" i="2"/>
  <c r="U773" i="2"/>
  <c r="U777" i="2"/>
  <c r="U781" i="2"/>
  <c r="U785" i="2"/>
  <c r="U789" i="2"/>
  <c r="U793" i="2"/>
  <c r="U1071" i="2"/>
  <c r="U1075" i="2"/>
  <c r="U1079" i="2"/>
  <c r="U1083" i="2"/>
  <c r="U1087" i="2"/>
  <c r="U1091" i="2"/>
  <c r="U1029" i="2"/>
  <c r="U1033" i="2"/>
  <c r="U1037" i="2"/>
  <c r="U1041" i="2"/>
  <c r="U1045" i="2"/>
  <c r="U1049" i="2"/>
  <c r="U1053" i="2"/>
  <c r="U1057" i="2"/>
  <c r="U995" i="2"/>
  <c r="U999" i="2"/>
  <c r="U1003" i="2"/>
  <c r="U1007" i="2"/>
  <c r="U1011" i="2"/>
  <c r="U1015" i="2"/>
  <c r="U1019" i="2"/>
  <c r="U1023" i="2"/>
  <c r="U994" i="2"/>
  <c r="U965" i="2"/>
  <c r="U969" i="2"/>
  <c r="U973" i="2"/>
  <c r="U977" i="2"/>
  <c r="U981" i="2"/>
  <c r="U985" i="2"/>
  <c r="U989" i="2"/>
  <c r="U993" i="2"/>
  <c r="U931" i="2"/>
  <c r="U935" i="2"/>
  <c r="U939" i="2"/>
  <c r="U943" i="2"/>
  <c r="U947" i="2"/>
  <c r="U951" i="2"/>
  <c r="U955" i="2"/>
  <c r="U959" i="2"/>
  <c r="U897" i="2"/>
  <c r="U901" i="2"/>
  <c r="U905" i="2"/>
  <c r="U909" i="2"/>
  <c r="U913" i="2"/>
  <c r="U917" i="2"/>
  <c r="U921" i="2"/>
  <c r="U925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698" i="2"/>
  <c r="U702" i="2"/>
  <c r="U1074" i="2"/>
  <c r="U1078" i="2"/>
  <c r="U1082" i="2"/>
  <c r="U1086" i="2"/>
  <c r="U1090" i="2"/>
  <c r="U1028" i="2"/>
  <c r="U1032" i="2"/>
  <c r="U1036" i="2"/>
  <c r="U1040" i="2"/>
  <c r="U1044" i="2"/>
  <c r="U1048" i="2"/>
  <c r="U1052" i="2"/>
  <c r="U1056" i="2"/>
  <c r="U1027" i="2"/>
  <c r="U998" i="2"/>
  <c r="U1002" i="2"/>
  <c r="U1006" i="2"/>
  <c r="U1010" i="2"/>
  <c r="U1014" i="2"/>
  <c r="U1018" i="2"/>
  <c r="U1022" i="2"/>
  <c r="U1026" i="2"/>
  <c r="U964" i="2"/>
  <c r="U968" i="2"/>
  <c r="U972" i="2"/>
  <c r="U976" i="2"/>
  <c r="U980" i="2"/>
  <c r="U984" i="2"/>
  <c r="U988" i="2"/>
  <c r="U992" i="2"/>
  <c r="U930" i="2"/>
  <c r="U934" i="2"/>
  <c r="U938" i="2"/>
  <c r="U942" i="2"/>
  <c r="U946" i="2"/>
  <c r="U950" i="2"/>
  <c r="U954" i="2"/>
  <c r="U958" i="2"/>
  <c r="U896" i="2"/>
  <c r="U900" i="2"/>
  <c r="U904" i="2"/>
  <c r="U908" i="2"/>
  <c r="U912" i="2"/>
  <c r="U916" i="2"/>
  <c r="U920" i="2"/>
  <c r="U924" i="2"/>
  <c r="U895" i="2"/>
  <c r="U767" i="2"/>
  <c r="U771" i="2"/>
  <c r="U775" i="2"/>
  <c r="U779" i="2"/>
  <c r="U783" i="2"/>
  <c r="U787" i="2"/>
  <c r="U791" i="2"/>
  <c r="U795" i="2"/>
  <c r="U1073" i="2"/>
  <c r="U1077" i="2"/>
  <c r="U1081" i="2"/>
  <c r="U1085" i="2"/>
  <c r="U1089" i="2"/>
  <c r="U1060" i="2"/>
  <c r="U1031" i="2"/>
  <c r="U1035" i="2"/>
  <c r="U1039" i="2"/>
  <c r="U1043" i="2"/>
  <c r="U1047" i="2"/>
  <c r="U1051" i="2"/>
  <c r="U1055" i="2"/>
  <c r="U1059" i="2"/>
  <c r="U997" i="2"/>
  <c r="U1001" i="2"/>
  <c r="U1005" i="2"/>
  <c r="U1009" i="2"/>
  <c r="U1013" i="2"/>
  <c r="U1017" i="2"/>
  <c r="U1021" i="2"/>
  <c r="U1025" i="2"/>
  <c r="U963" i="2"/>
  <c r="U967" i="2"/>
  <c r="U971" i="2"/>
  <c r="U975" i="2"/>
  <c r="U979" i="2"/>
  <c r="U983" i="2"/>
  <c r="U987" i="2"/>
  <c r="U991" i="2"/>
  <c r="U929" i="2"/>
  <c r="U933" i="2"/>
  <c r="U937" i="2"/>
  <c r="U941" i="2"/>
  <c r="U945" i="2"/>
  <c r="U949" i="2"/>
  <c r="U953" i="2"/>
  <c r="U957" i="2"/>
  <c r="U928" i="2"/>
  <c r="U899" i="2"/>
  <c r="U903" i="2"/>
  <c r="U907" i="2"/>
  <c r="U911" i="2"/>
  <c r="U915" i="2"/>
  <c r="U919" i="2"/>
  <c r="U923" i="2"/>
  <c r="U927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07" i="2"/>
  <c r="U823" i="2"/>
  <c r="U839" i="2"/>
  <c r="U855" i="2"/>
  <c r="U871" i="2"/>
  <c r="U887" i="2"/>
  <c r="U890" i="2"/>
  <c r="U893" i="2"/>
  <c r="U704" i="2"/>
  <c r="U708" i="2"/>
  <c r="U712" i="2"/>
  <c r="U716" i="2"/>
  <c r="U720" i="2"/>
  <c r="U724" i="2"/>
  <c r="U728" i="2"/>
  <c r="U666" i="2"/>
  <c r="U670" i="2"/>
  <c r="U674" i="2"/>
  <c r="U678" i="2"/>
  <c r="U682" i="2"/>
  <c r="U686" i="2"/>
  <c r="U690" i="2"/>
  <c r="U694" i="2"/>
  <c r="U632" i="2"/>
  <c r="U636" i="2"/>
  <c r="U640" i="2"/>
  <c r="U644" i="2"/>
  <c r="U648" i="2"/>
  <c r="U652" i="2"/>
  <c r="U656" i="2"/>
  <c r="U660" i="2"/>
  <c r="U631" i="2"/>
  <c r="U602" i="2"/>
  <c r="U606" i="2"/>
  <c r="U797" i="2"/>
  <c r="U809" i="2"/>
  <c r="U825" i="2"/>
  <c r="U841" i="2"/>
  <c r="U857" i="2"/>
  <c r="U873" i="2"/>
  <c r="U811" i="2"/>
  <c r="U827" i="2"/>
  <c r="U843" i="2"/>
  <c r="U859" i="2"/>
  <c r="U875" i="2"/>
  <c r="U763" i="2"/>
  <c r="U700" i="2"/>
  <c r="U703" i="2"/>
  <c r="U707" i="2"/>
  <c r="U711" i="2"/>
  <c r="U715" i="2"/>
  <c r="U719" i="2"/>
  <c r="U723" i="2"/>
  <c r="U727" i="2"/>
  <c r="U665" i="2"/>
  <c r="U669" i="2"/>
  <c r="U673" i="2"/>
  <c r="U677" i="2"/>
  <c r="U681" i="2"/>
  <c r="U685" i="2"/>
  <c r="U689" i="2"/>
  <c r="U693" i="2"/>
  <c r="U664" i="2"/>
  <c r="U635" i="2"/>
  <c r="U639" i="2"/>
  <c r="U643" i="2"/>
  <c r="U647" i="2"/>
  <c r="U651" i="2"/>
  <c r="U655" i="2"/>
  <c r="U659" i="2"/>
  <c r="U663" i="2"/>
  <c r="U601" i="2"/>
  <c r="U605" i="2"/>
  <c r="U609" i="2"/>
  <c r="U613" i="2"/>
  <c r="U617" i="2"/>
  <c r="U621" i="2"/>
  <c r="U625" i="2"/>
  <c r="U629" i="2"/>
  <c r="U567" i="2"/>
  <c r="U571" i="2"/>
  <c r="U575" i="2"/>
  <c r="U579" i="2"/>
  <c r="U813" i="2"/>
  <c r="U829" i="2"/>
  <c r="U845" i="2"/>
  <c r="U861" i="2"/>
  <c r="U877" i="2"/>
  <c r="U889" i="2"/>
  <c r="U815" i="2"/>
  <c r="U831" i="2"/>
  <c r="U847" i="2"/>
  <c r="U863" i="2"/>
  <c r="U879" i="2"/>
  <c r="U706" i="2"/>
  <c r="U710" i="2"/>
  <c r="U714" i="2"/>
  <c r="U718" i="2"/>
  <c r="U722" i="2"/>
  <c r="U726" i="2"/>
  <c r="U697" i="2"/>
  <c r="U668" i="2"/>
  <c r="U672" i="2"/>
  <c r="U676" i="2"/>
  <c r="U680" i="2"/>
  <c r="U684" i="2"/>
  <c r="U688" i="2"/>
  <c r="U692" i="2"/>
  <c r="U696" i="2"/>
  <c r="U634" i="2"/>
  <c r="U638" i="2"/>
  <c r="U642" i="2"/>
  <c r="U646" i="2"/>
  <c r="U650" i="2"/>
  <c r="U654" i="2"/>
  <c r="U658" i="2"/>
  <c r="U662" i="2"/>
  <c r="U600" i="2"/>
  <c r="U604" i="2"/>
  <c r="U817" i="2"/>
  <c r="U833" i="2"/>
  <c r="U849" i="2"/>
  <c r="U865" i="2"/>
  <c r="U881" i="2"/>
  <c r="U891" i="2"/>
  <c r="U894" i="2"/>
  <c r="U699" i="2"/>
  <c r="U799" i="2"/>
  <c r="U801" i="2"/>
  <c r="U803" i="2"/>
  <c r="U819" i="2"/>
  <c r="U835" i="2"/>
  <c r="U851" i="2"/>
  <c r="U867" i="2"/>
  <c r="U883" i="2"/>
  <c r="U705" i="2"/>
  <c r="U709" i="2"/>
  <c r="U713" i="2"/>
  <c r="U717" i="2"/>
  <c r="U721" i="2"/>
  <c r="U725" i="2"/>
  <c r="U729" i="2"/>
  <c r="U667" i="2"/>
  <c r="U671" i="2"/>
  <c r="U675" i="2"/>
  <c r="U679" i="2"/>
  <c r="U683" i="2"/>
  <c r="U687" i="2"/>
  <c r="U691" i="2"/>
  <c r="U695" i="2"/>
  <c r="U633" i="2"/>
  <c r="U637" i="2"/>
  <c r="U641" i="2"/>
  <c r="U645" i="2"/>
  <c r="U649" i="2"/>
  <c r="U653" i="2"/>
  <c r="U657" i="2"/>
  <c r="U661" i="2"/>
  <c r="U599" i="2"/>
  <c r="U603" i="2"/>
  <c r="U607" i="2"/>
  <c r="U611" i="2"/>
  <c r="U615" i="2"/>
  <c r="U619" i="2"/>
  <c r="U623" i="2"/>
  <c r="U627" i="2"/>
  <c r="U598" i="2"/>
  <c r="U569" i="2"/>
  <c r="U573" i="2"/>
  <c r="U577" i="2"/>
  <c r="U805" i="2"/>
  <c r="U821" i="2"/>
  <c r="U837" i="2"/>
  <c r="U853" i="2"/>
  <c r="U869" i="2"/>
  <c r="U885" i="2"/>
  <c r="U701" i="2"/>
  <c r="U622" i="2"/>
  <c r="U572" i="2"/>
  <c r="U624" i="2"/>
  <c r="U574" i="2"/>
  <c r="U582" i="2"/>
  <c r="U586" i="2"/>
  <c r="U590" i="2"/>
  <c r="U594" i="2"/>
  <c r="U565" i="2"/>
  <c r="U536" i="2"/>
  <c r="U540" i="2"/>
  <c r="U544" i="2"/>
  <c r="U548" i="2"/>
  <c r="U552" i="2"/>
  <c r="U556" i="2"/>
  <c r="U560" i="2"/>
  <c r="U564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511" i="2"/>
  <c r="U515" i="2"/>
  <c r="U519" i="2"/>
  <c r="U523" i="2"/>
  <c r="U527" i="2"/>
  <c r="U531" i="2"/>
  <c r="U626" i="2"/>
  <c r="U576" i="2"/>
  <c r="U628" i="2"/>
  <c r="U578" i="2"/>
  <c r="U581" i="2"/>
  <c r="U585" i="2"/>
  <c r="U589" i="2"/>
  <c r="U593" i="2"/>
  <c r="U597" i="2"/>
  <c r="U535" i="2"/>
  <c r="U539" i="2"/>
  <c r="U543" i="2"/>
  <c r="U547" i="2"/>
  <c r="U551" i="2"/>
  <c r="U555" i="2"/>
  <c r="U559" i="2"/>
  <c r="U563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514" i="2"/>
  <c r="U518" i="2"/>
  <c r="U522" i="2"/>
  <c r="U526" i="2"/>
  <c r="U530" i="2"/>
  <c r="U336" i="2"/>
  <c r="U340" i="2"/>
  <c r="U344" i="2"/>
  <c r="U348" i="2"/>
  <c r="U352" i="2"/>
  <c r="U356" i="2"/>
  <c r="U360" i="2"/>
  <c r="U364" i="2"/>
  <c r="U302" i="2"/>
  <c r="U306" i="2"/>
  <c r="U310" i="2"/>
  <c r="U314" i="2"/>
  <c r="U318" i="2"/>
  <c r="U322" i="2"/>
  <c r="U326" i="2"/>
  <c r="U330" i="2"/>
  <c r="U301" i="2"/>
  <c r="U610" i="2"/>
  <c r="U612" i="2"/>
  <c r="U614" i="2"/>
  <c r="U630" i="2"/>
  <c r="U608" i="2"/>
  <c r="U616" i="2"/>
  <c r="U566" i="2"/>
  <c r="U580" i="2"/>
  <c r="U584" i="2"/>
  <c r="U588" i="2"/>
  <c r="U592" i="2"/>
  <c r="U596" i="2"/>
  <c r="U534" i="2"/>
  <c r="U538" i="2"/>
  <c r="U542" i="2"/>
  <c r="U546" i="2"/>
  <c r="U550" i="2"/>
  <c r="U554" i="2"/>
  <c r="U558" i="2"/>
  <c r="U562" i="2"/>
  <c r="U401" i="2"/>
  <c r="U405" i="2"/>
  <c r="U409" i="2"/>
  <c r="U413" i="2"/>
  <c r="U417" i="2"/>
  <c r="U421" i="2"/>
  <c r="U425" i="2"/>
  <c r="U429" i="2"/>
  <c r="U433" i="2"/>
  <c r="U437" i="2"/>
  <c r="U441" i="2"/>
  <c r="U445" i="2"/>
  <c r="U449" i="2"/>
  <c r="U453" i="2"/>
  <c r="U457" i="2"/>
  <c r="U461" i="2"/>
  <c r="U465" i="2"/>
  <c r="U469" i="2"/>
  <c r="U473" i="2"/>
  <c r="U477" i="2"/>
  <c r="U481" i="2"/>
  <c r="U485" i="2"/>
  <c r="U489" i="2"/>
  <c r="U493" i="2"/>
  <c r="U497" i="2"/>
  <c r="U501" i="2"/>
  <c r="U505" i="2"/>
  <c r="U509" i="2"/>
  <c r="U513" i="2"/>
  <c r="U517" i="2"/>
  <c r="U521" i="2"/>
  <c r="U525" i="2"/>
  <c r="U529" i="2"/>
  <c r="U618" i="2"/>
  <c r="U568" i="2"/>
  <c r="U620" i="2"/>
  <c r="U570" i="2"/>
  <c r="U583" i="2"/>
  <c r="U587" i="2"/>
  <c r="U591" i="2"/>
  <c r="U595" i="2"/>
  <c r="U533" i="2"/>
  <c r="U537" i="2"/>
  <c r="U541" i="2"/>
  <c r="U545" i="2"/>
  <c r="U549" i="2"/>
  <c r="U553" i="2"/>
  <c r="U557" i="2"/>
  <c r="U561" i="2"/>
  <c r="U532" i="2"/>
  <c r="U404" i="2"/>
  <c r="U408" i="2"/>
  <c r="U412" i="2"/>
  <c r="U416" i="2"/>
  <c r="U420" i="2"/>
  <c r="U424" i="2"/>
  <c r="U428" i="2"/>
  <c r="U432" i="2"/>
  <c r="U436" i="2"/>
  <c r="U440" i="2"/>
  <c r="U444" i="2"/>
  <c r="U448" i="2"/>
  <c r="U452" i="2"/>
  <c r="U456" i="2"/>
  <c r="U460" i="2"/>
  <c r="U464" i="2"/>
  <c r="U468" i="2"/>
  <c r="U472" i="2"/>
  <c r="U476" i="2"/>
  <c r="U480" i="2"/>
  <c r="U484" i="2"/>
  <c r="U488" i="2"/>
  <c r="U492" i="2"/>
  <c r="U496" i="2"/>
  <c r="U500" i="2"/>
  <c r="U504" i="2"/>
  <c r="U508" i="2"/>
  <c r="U512" i="2"/>
  <c r="U516" i="2"/>
  <c r="U520" i="2"/>
  <c r="U524" i="2"/>
  <c r="U528" i="2"/>
  <c r="U400" i="2"/>
  <c r="U338" i="2"/>
  <c r="U342" i="2"/>
  <c r="U346" i="2"/>
  <c r="U350" i="2"/>
  <c r="U354" i="2"/>
  <c r="U358" i="2"/>
  <c r="U362" i="2"/>
  <c r="U366" i="2"/>
  <c r="U304" i="2"/>
  <c r="U308" i="2"/>
  <c r="U312" i="2"/>
  <c r="U316" i="2"/>
  <c r="U320" i="2"/>
  <c r="U324" i="2"/>
  <c r="U328" i="2"/>
  <c r="U332" i="2"/>
  <c r="U270" i="2"/>
  <c r="U339" i="2"/>
  <c r="U355" i="2"/>
  <c r="U305" i="2"/>
  <c r="U321" i="2"/>
  <c r="U271" i="2"/>
  <c r="U341" i="2"/>
  <c r="U357" i="2"/>
  <c r="U307" i="2"/>
  <c r="U323" i="2"/>
  <c r="U274" i="2"/>
  <c r="U278" i="2"/>
  <c r="U282" i="2"/>
  <c r="U286" i="2"/>
  <c r="U290" i="2"/>
  <c r="U294" i="2"/>
  <c r="U298" i="2"/>
  <c r="U236" i="2"/>
  <c r="U240" i="2"/>
  <c r="U244" i="2"/>
  <c r="U248" i="2"/>
  <c r="U252" i="2"/>
  <c r="U256" i="2"/>
  <c r="U260" i="2"/>
  <c r="U264" i="2"/>
  <c r="U235" i="2"/>
  <c r="U206" i="2"/>
  <c r="U210" i="2"/>
  <c r="U214" i="2"/>
  <c r="U218" i="2"/>
  <c r="U222" i="2"/>
  <c r="U226" i="2"/>
  <c r="U230" i="2"/>
  <c r="U234" i="2"/>
  <c r="U172" i="2"/>
  <c r="U176" i="2"/>
  <c r="U180" i="2"/>
  <c r="U184" i="2"/>
  <c r="U188" i="2"/>
  <c r="U192" i="2"/>
  <c r="U196" i="2"/>
  <c r="U200" i="2"/>
  <c r="U71" i="2"/>
  <c r="U75" i="2"/>
  <c r="U79" i="2"/>
  <c r="U83" i="2"/>
  <c r="U87" i="2"/>
  <c r="U91" i="2"/>
  <c r="U95" i="2"/>
  <c r="U99" i="2"/>
  <c r="U103" i="2"/>
  <c r="U107" i="2"/>
  <c r="U111" i="2"/>
  <c r="U343" i="2"/>
  <c r="U359" i="2"/>
  <c r="U309" i="2"/>
  <c r="U325" i="2"/>
  <c r="U345" i="2"/>
  <c r="U361" i="2"/>
  <c r="U311" i="2"/>
  <c r="U327" i="2"/>
  <c r="U273" i="2"/>
  <c r="U277" i="2"/>
  <c r="U281" i="2"/>
  <c r="U285" i="2"/>
  <c r="U289" i="2"/>
  <c r="U293" i="2"/>
  <c r="U297" i="2"/>
  <c r="U268" i="2"/>
  <c r="U239" i="2"/>
  <c r="U243" i="2"/>
  <c r="U247" i="2"/>
  <c r="U251" i="2"/>
  <c r="U255" i="2"/>
  <c r="U259" i="2"/>
  <c r="U263" i="2"/>
  <c r="U267" i="2"/>
  <c r="U205" i="2"/>
  <c r="U209" i="2"/>
  <c r="U213" i="2"/>
  <c r="U217" i="2"/>
  <c r="U221" i="2"/>
  <c r="U225" i="2"/>
  <c r="U229" i="2"/>
  <c r="U233" i="2"/>
  <c r="U171" i="2"/>
  <c r="U175" i="2"/>
  <c r="U179" i="2"/>
  <c r="U183" i="2"/>
  <c r="U187" i="2"/>
  <c r="U191" i="2"/>
  <c r="U195" i="2"/>
  <c r="U199" i="2"/>
  <c r="U70" i="2"/>
  <c r="U74" i="2"/>
  <c r="U78" i="2"/>
  <c r="U82" i="2"/>
  <c r="U86" i="2"/>
  <c r="U90" i="2"/>
  <c r="U94" i="2"/>
  <c r="U98" i="2"/>
  <c r="U102" i="2"/>
  <c r="U106" i="2"/>
  <c r="U110" i="2"/>
  <c r="U114" i="2"/>
  <c r="U118" i="2"/>
  <c r="U122" i="2"/>
  <c r="U126" i="2"/>
  <c r="U130" i="2"/>
  <c r="U134" i="2"/>
  <c r="U138" i="2"/>
  <c r="U142" i="2"/>
  <c r="U146" i="2"/>
  <c r="U150" i="2"/>
  <c r="U154" i="2"/>
  <c r="U158" i="2"/>
  <c r="U162" i="2"/>
  <c r="U166" i="2"/>
  <c r="U347" i="2"/>
  <c r="U363" i="2"/>
  <c r="U313" i="2"/>
  <c r="U329" i="2"/>
  <c r="U349" i="2"/>
  <c r="U365" i="2"/>
  <c r="U315" i="2"/>
  <c r="U331" i="2"/>
  <c r="U272" i="2"/>
  <c r="U276" i="2"/>
  <c r="U280" i="2"/>
  <c r="U284" i="2"/>
  <c r="U288" i="2"/>
  <c r="U292" i="2"/>
  <c r="U296" i="2"/>
  <c r="U300" i="2"/>
  <c r="U238" i="2"/>
  <c r="U242" i="2"/>
  <c r="U246" i="2"/>
  <c r="U250" i="2"/>
  <c r="U254" i="2"/>
  <c r="U258" i="2"/>
  <c r="U262" i="2"/>
  <c r="U266" i="2"/>
  <c r="U204" i="2"/>
  <c r="U208" i="2"/>
  <c r="U212" i="2"/>
  <c r="U216" i="2"/>
  <c r="U220" i="2"/>
  <c r="U224" i="2"/>
  <c r="U228" i="2"/>
  <c r="U232" i="2"/>
  <c r="U170" i="2"/>
  <c r="U174" i="2"/>
  <c r="U178" i="2"/>
  <c r="U182" i="2"/>
  <c r="U186" i="2"/>
  <c r="U190" i="2"/>
  <c r="U194" i="2"/>
  <c r="U198" i="2"/>
  <c r="U169" i="2"/>
  <c r="U73" i="2"/>
  <c r="U77" i="2"/>
  <c r="U81" i="2"/>
  <c r="U85" i="2"/>
  <c r="U89" i="2"/>
  <c r="U93" i="2"/>
  <c r="U97" i="2"/>
  <c r="U101" i="2"/>
  <c r="U105" i="2"/>
  <c r="U109" i="2"/>
  <c r="U113" i="2"/>
  <c r="U335" i="2"/>
  <c r="U351" i="2"/>
  <c r="U334" i="2"/>
  <c r="U317" i="2"/>
  <c r="U333" i="2"/>
  <c r="U337" i="2"/>
  <c r="U353" i="2"/>
  <c r="U303" i="2"/>
  <c r="U319" i="2"/>
  <c r="U269" i="2"/>
  <c r="U275" i="2"/>
  <c r="U279" i="2"/>
  <c r="U283" i="2"/>
  <c r="U287" i="2"/>
  <c r="U291" i="2"/>
  <c r="U295" i="2"/>
  <c r="U299" i="2"/>
  <c r="U237" i="2"/>
  <c r="U241" i="2"/>
  <c r="U245" i="2"/>
  <c r="U249" i="2"/>
  <c r="U253" i="2"/>
  <c r="U257" i="2"/>
  <c r="U261" i="2"/>
  <c r="U265" i="2"/>
  <c r="U203" i="2"/>
  <c r="U207" i="2"/>
  <c r="U211" i="2"/>
  <c r="U215" i="2"/>
  <c r="U219" i="2"/>
  <c r="U223" i="2"/>
  <c r="U227" i="2"/>
  <c r="U231" i="2"/>
  <c r="U202" i="2"/>
  <c r="U173" i="2"/>
  <c r="U177" i="2"/>
  <c r="U181" i="2"/>
  <c r="U185" i="2"/>
  <c r="U189" i="2"/>
  <c r="U193" i="2"/>
  <c r="U197" i="2"/>
  <c r="U201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31" i="2"/>
  <c r="U147" i="2"/>
  <c r="U163" i="2"/>
  <c r="U117" i="2"/>
  <c r="U133" i="2"/>
  <c r="U149" i="2"/>
  <c r="U165" i="2"/>
  <c r="U115" i="2"/>
  <c r="U119" i="2"/>
  <c r="U135" i="2"/>
  <c r="U151" i="2"/>
  <c r="U167" i="2"/>
  <c r="U121" i="2"/>
  <c r="U137" i="2"/>
  <c r="U153" i="2"/>
  <c r="U123" i="2"/>
  <c r="U139" i="2"/>
  <c r="U155" i="2"/>
  <c r="U125" i="2"/>
  <c r="U141" i="2"/>
  <c r="U157" i="2"/>
  <c r="U127" i="2"/>
  <c r="U143" i="2"/>
  <c r="U159" i="2"/>
  <c r="U129" i="2"/>
  <c r="U145" i="2"/>
  <c r="U161" i="2"/>
  <c r="U66" i="2"/>
  <c r="S39" i="2"/>
  <c r="S51" i="2"/>
  <c r="S68" i="2"/>
  <c r="T69" i="2"/>
  <c r="T40" i="2"/>
  <c r="T48" i="2"/>
  <c r="T64" i="2"/>
  <c r="U41" i="2"/>
  <c r="U49" i="2"/>
  <c r="U57" i="2"/>
  <c r="V41" i="2"/>
  <c r="V49" i="2"/>
  <c r="V57" i="2"/>
  <c r="V65" i="2"/>
  <c r="W44" i="2"/>
  <c r="W52" i="2"/>
  <c r="W60" i="2"/>
  <c r="W69" i="2"/>
  <c r="T41" i="2"/>
  <c r="T49" i="2"/>
  <c r="V42" i="2"/>
  <c r="V50" i="2"/>
  <c r="V58" i="2"/>
  <c r="V67" i="2"/>
  <c r="T1062" i="2"/>
  <c r="T1066" i="2"/>
  <c r="T1070" i="2"/>
  <c r="T1061" i="2"/>
  <c r="T1065" i="2"/>
  <c r="T1069" i="2"/>
  <c r="T1064" i="2"/>
  <c r="T1068" i="2"/>
  <c r="T1063" i="2"/>
  <c r="T1067" i="2"/>
  <c r="T1072" i="2"/>
  <c r="T1076" i="2"/>
  <c r="T1080" i="2"/>
  <c r="T1084" i="2"/>
  <c r="T1088" i="2"/>
  <c r="T1092" i="2"/>
  <c r="T1030" i="2"/>
  <c r="T1034" i="2"/>
  <c r="T1038" i="2"/>
  <c r="T1042" i="2"/>
  <c r="T1046" i="2"/>
  <c r="T1050" i="2"/>
  <c r="T1054" i="2"/>
  <c r="T1058" i="2"/>
  <c r="T996" i="2"/>
  <c r="T1000" i="2"/>
  <c r="T1004" i="2"/>
  <c r="T1008" i="2"/>
  <c r="T1012" i="2"/>
  <c r="T1016" i="2"/>
  <c r="T1020" i="2"/>
  <c r="T1024" i="2"/>
  <c r="T962" i="2"/>
  <c r="T966" i="2"/>
  <c r="T970" i="2"/>
  <c r="T974" i="2"/>
  <c r="T978" i="2"/>
  <c r="T982" i="2"/>
  <c r="T986" i="2"/>
  <c r="T990" i="2"/>
  <c r="T961" i="2"/>
  <c r="T932" i="2"/>
  <c r="T936" i="2"/>
  <c r="T940" i="2"/>
  <c r="T944" i="2"/>
  <c r="T948" i="2"/>
  <c r="T952" i="2"/>
  <c r="T956" i="2"/>
  <c r="T960" i="2"/>
  <c r="T898" i="2"/>
  <c r="T902" i="2"/>
  <c r="T906" i="2"/>
  <c r="T910" i="2"/>
  <c r="T914" i="2"/>
  <c r="T918" i="2"/>
  <c r="T922" i="2"/>
  <c r="T926" i="2"/>
  <c r="T765" i="2"/>
  <c r="T769" i="2"/>
  <c r="T773" i="2"/>
  <c r="T777" i="2"/>
  <c r="T781" i="2"/>
  <c r="T785" i="2"/>
  <c r="T789" i="2"/>
  <c r="T793" i="2"/>
  <c r="T797" i="2"/>
  <c r="T1071" i="2"/>
  <c r="T1075" i="2"/>
  <c r="T1079" i="2"/>
  <c r="T1083" i="2"/>
  <c r="T1087" i="2"/>
  <c r="T1091" i="2"/>
  <c r="T1029" i="2"/>
  <c r="T1033" i="2"/>
  <c r="T1037" i="2"/>
  <c r="T1041" i="2"/>
  <c r="T1045" i="2"/>
  <c r="T1049" i="2"/>
  <c r="T1053" i="2"/>
  <c r="T1057" i="2"/>
  <c r="T995" i="2"/>
  <c r="T999" i="2"/>
  <c r="T1003" i="2"/>
  <c r="T1007" i="2"/>
  <c r="T1011" i="2"/>
  <c r="T1015" i="2"/>
  <c r="T1019" i="2"/>
  <c r="T1023" i="2"/>
  <c r="T994" i="2"/>
  <c r="T965" i="2"/>
  <c r="T969" i="2"/>
  <c r="T973" i="2"/>
  <c r="T977" i="2"/>
  <c r="T981" i="2"/>
  <c r="T985" i="2"/>
  <c r="T989" i="2"/>
  <c r="T993" i="2"/>
  <c r="T931" i="2"/>
  <c r="T935" i="2"/>
  <c r="T939" i="2"/>
  <c r="T943" i="2"/>
  <c r="T947" i="2"/>
  <c r="T951" i="2"/>
  <c r="T955" i="2"/>
  <c r="T959" i="2"/>
  <c r="T897" i="2"/>
  <c r="T901" i="2"/>
  <c r="T905" i="2"/>
  <c r="T909" i="2"/>
  <c r="T913" i="2"/>
  <c r="T917" i="2"/>
  <c r="T921" i="2"/>
  <c r="T925" i="2"/>
  <c r="T764" i="2"/>
  <c r="T768" i="2"/>
  <c r="T772" i="2"/>
  <c r="T776" i="2"/>
  <c r="T780" i="2"/>
  <c r="T784" i="2"/>
  <c r="T788" i="2"/>
  <c r="T792" i="2"/>
  <c r="T796" i="2"/>
  <c r="T800" i="2"/>
  <c r="T1074" i="2"/>
  <c r="T1078" i="2"/>
  <c r="T1082" i="2"/>
  <c r="T1086" i="2"/>
  <c r="T1090" i="2"/>
  <c r="T1028" i="2"/>
  <c r="T1032" i="2"/>
  <c r="T1036" i="2"/>
  <c r="T1040" i="2"/>
  <c r="T1044" i="2"/>
  <c r="T1048" i="2"/>
  <c r="T1052" i="2"/>
  <c r="T1056" i="2"/>
  <c r="T1027" i="2"/>
  <c r="T998" i="2"/>
  <c r="T1002" i="2"/>
  <c r="T1006" i="2"/>
  <c r="T1010" i="2"/>
  <c r="T1014" i="2"/>
  <c r="T1018" i="2"/>
  <c r="T1022" i="2"/>
  <c r="T1026" i="2"/>
  <c r="T964" i="2"/>
  <c r="T968" i="2"/>
  <c r="T972" i="2"/>
  <c r="T976" i="2"/>
  <c r="T980" i="2"/>
  <c r="T984" i="2"/>
  <c r="T988" i="2"/>
  <c r="T992" i="2"/>
  <c r="T930" i="2"/>
  <c r="T934" i="2"/>
  <c r="T938" i="2"/>
  <c r="T942" i="2"/>
  <c r="T946" i="2"/>
  <c r="T950" i="2"/>
  <c r="T954" i="2"/>
  <c r="T958" i="2"/>
  <c r="T896" i="2"/>
  <c r="T900" i="2"/>
  <c r="T904" i="2"/>
  <c r="T908" i="2"/>
  <c r="T912" i="2"/>
  <c r="T916" i="2"/>
  <c r="T920" i="2"/>
  <c r="T924" i="2"/>
  <c r="T895" i="2"/>
  <c r="T767" i="2"/>
  <c r="T771" i="2"/>
  <c r="T775" i="2"/>
  <c r="T779" i="2"/>
  <c r="T783" i="2"/>
  <c r="T787" i="2"/>
  <c r="T791" i="2"/>
  <c r="T795" i="2"/>
  <c r="T1073" i="2"/>
  <c r="T1077" i="2"/>
  <c r="T1081" i="2"/>
  <c r="T1085" i="2"/>
  <c r="T1089" i="2"/>
  <c r="T1060" i="2"/>
  <c r="T1031" i="2"/>
  <c r="T1035" i="2"/>
  <c r="T1039" i="2"/>
  <c r="T1043" i="2"/>
  <c r="T1047" i="2"/>
  <c r="T1051" i="2"/>
  <c r="T1055" i="2"/>
  <c r="T1059" i="2"/>
  <c r="T997" i="2"/>
  <c r="T1001" i="2"/>
  <c r="T1005" i="2"/>
  <c r="T1009" i="2"/>
  <c r="T1013" i="2"/>
  <c r="T1017" i="2"/>
  <c r="T1021" i="2"/>
  <c r="T1025" i="2"/>
  <c r="T963" i="2"/>
  <c r="T967" i="2"/>
  <c r="T971" i="2"/>
  <c r="T975" i="2"/>
  <c r="T979" i="2"/>
  <c r="T983" i="2"/>
  <c r="T987" i="2"/>
  <c r="T991" i="2"/>
  <c r="T929" i="2"/>
  <c r="T933" i="2"/>
  <c r="T937" i="2"/>
  <c r="T941" i="2"/>
  <c r="T945" i="2"/>
  <c r="T949" i="2"/>
  <c r="T953" i="2"/>
  <c r="T957" i="2"/>
  <c r="T928" i="2"/>
  <c r="T899" i="2"/>
  <c r="T911" i="2"/>
  <c r="T778" i="2"/>
  <c r="T809" i="2"/>
  <c r="T816" i="2"/>
  <c r="T825" i="2"/>
  <c r="T832" i="2"/>
  <c r="T841" i="2"/>
  <c r="T848" i="2"/>
  <c r="T857" i="2"/>
  <c r="T864" i="2"/>
  <c r="T873" i="2"/>
  <c r="T880" i="2"/>
  <c r="T923" i="2"/>
  <c r="T790" i="2"/>
  <c r="T802" i="2"/>
  <c r="T811" i="2"/>
  <c r="T818" i="2"/>
  <c r="T827" i="2"/>
  <c r="T834" i="2"/>
  <c r="T843" i="2"/>
  <c r="T850" i="2"/>
  <c r="T859" i="2"/>
  <c r="T866" i="2"/>
  <c r="T875" i="2"/>
  <c r="T882" i="2"/>
  <c r="T763" i="2"/>
  <c r="T700" i="2"/>
  <c r="T703" i="2"/>
  <c r="T707" i="2"/>
  <c r="T711" i="2"/>
  <c r="T715" i="2"/>
  <c r="T719" i="2"/>
  <c r="T723" i="2"/>
  <c r="T727" i="2"/>
  <c r="T665" i="2"/>
  <c r="T669" i="2"/>
  <c r="T673" i="2"/>
  <c r="T677" i="2"/>
  <c r="T681" i="2"/>
  <c r="T685" i="2"/>
  <c r="T689" i="2"/>
  <c r="T693" i="2"/>
  <c r="T664" i="2"/>
  <c r="T635" i="2"/>
  <c r="T639" i="2"/>
  <c r="T643" i="2"/>
  <c r="T647" i="2"/>
  <c r="T651" i="2"/>
  <c r="T655" i="2"/>
  <c r="T659" i="2"/>
  <c r="T663" i="2"/>
  <c r="T903" i="2"/>
  <c r="T770" i="2"/>
  <c r="T804" i="2"/>
  <c r="T813" i="2"/>
  <c r="T820" i="2"/>
  <c r="T829" i="2"/>
  <c r="T836" i="2"/>
  <c r="T845" i="2"/>
  <c r="T852" i="2"/>
  <c r="T861" i="2"/>
  <c r="T868" i="2"/>
  <c r="T877" i="2"/>
  <c r="T884" i="2"/>
  <c r="T889" i="2"/>
  <c r="T892" i="2"/>
  <c r="T915" i="2"/>
  <c r="T782" i="2"/>
  <c r="T798" i="2"/>
  <c r="T806" i="2"/>
  <c r="T815" i="2"/>
  <c r="T822" i="2"/>
  <c r="T831" i="2"/>
  <c r="T838" i="2"/>
  <c r="T847" i="2"/>
  <c r="T854" i="2"/>
  <c r="T863" i="2"/>
  <c r="T870" i="2"/>
  <c r="T879" i="2"/>
  <c r="T886" i="2"/>
  <c r="T706" i="2"/>
  <c r="T710" i="2"/>
  <c r="T714" i="2"/>
  <c r="T718" i="2"/>
  <c r="T722" i="2"/>
  <c r="T726" i="2"/>
  <c r="T697" i="2"/>
  <c r="T668" i="2"/>
  <c r="T672" i="2"/>
  <c r="T676" i="2"/>
  <c r="T680" i="2"/>
  <c r="T684" i="2"/>
  <c r="T688" i="2"/>
  <c r="T692" i="2"/>
  <c r="T696" i="2"/>
  <c r="T634" i="2"/>
  <c r="T638" i="2"/>
  <c r="T642" i="2"/>
  <c r="T646" i="2"/>
  <c r="T650" i="2"/>
  <c r="T654" i="2"/>
  <c r="T658" i="2"/>
  <c r="T662" i="2"/>
  <c r="T927" i="2"/>
  <c r="T794" i="2"/>
  <c r="T808" i="2"/>
  <c r="T817" i="2"/>
  <c r="T824" i="2"/>
  <c r="T833" i="2"/>
  <c r="T840" i="2"/>
  <c r="T849" i="2"/>
  <c r="T856" i="2"/>
  <c r="T865" i="2"/>
  <c r="T872" i="2"/>
  <c r="T881" i="2"/>
  <c r="T891" i="2"/>
  <c r="T894" i="2"/>
  <c r="T699" i="2"/>
  <c r="T702" i="2"/>
  <c r="T907" i="2"/>
  <c r="T774" i="2"/>
  <c r="T799" i="2"/>
  <c r="T801" i="2"/>
  <c r="T803" i="2"/>
  <c r="T810" i="2"/>
  <c r="T819" i="2"/>
  <c r="T826" i="2"/>
  <c r="T835" i="2"/>
  <c r="T842" i="2"/>
  <c r="T851" i="2"/>
  <c r="T858" i="2"/>
  <c r="T867" i="2"/>
  <c r="T874" i="2"/>
  <c r="T883" i="2"/>
  <c r="T888" i="2"/>
  <c r="T705" i="2"/>
  <c r="T709" i="2"/>
  <c r="T713" i="2"/>
  <c r="T717" i="2"/>
  <c r="T721" i="2"/>
  <c r="T725" i="2"/>
  <c r="T729" i="2"/>
  <c r="T667" i="2"/>
  <c r="T671" i="2"/>
  <c r="T675" i="2"/>
  <c r="T679" i="2"/>
  <c r="T683" i="2"/>
  <c r="T687" i="2"/>
  <c r="T691" i="2"/>
  <c r="T695" i="2"/>
  <c r="T633" i="2"/>
  <c r="T637" i="2"/>
  <c r="T641" i="2"/>
  <c r="T645" i="2"/>
  <c r="T649" i="2"/>
  <c r="T653" i="2"/>
  <c r="T657" i="2"/>
  <c r="T661" i="2"/>
  <c r="T599" i="2"/>
  <c r="T603" i="2"/>
  <c r="T607" i="2"/>
  <c r="T611" i="2"/>
  <c r="T919" i="2"/>
  <c r="T786" i="2"/>
  <c r="T805" i="2"/>
  <c r="T812" i="2"/>
  <c r="T821" i="2"/>
  <c r="T828" i="2"/>
  <c r="T837" i="2"/>
  <c r="T844" i="2"/>
  <c r="T853" i="2"/>
  <c r="T860" i="2"/>
  <c r="T869" i="2"/>
  <c r="T876" i="2"/>
  <c r="T885" i="2"/>
  <c r="T701" i="2"/>
  <c r="T766" i="2"/>
  <c r="T807" i="2"/>
  <c r="T814" i="2"/>
  <c r="T823" i="2"/>
  <c r="T830" i="2"/>
  <c r="T839" i="2"/>
  <c r="T846" i="2"/>
  <c r="T855" i="2"/>
  <c r="T862" i="2"/>
  <c r="T871" i="2"/>
  <c r="T878" i="2"/>
  <c r="T887" i="2"/>
  <c r="T890" i="2"/>
  <c r="T893" i="2"/>
  <c r="T698" i="2"/>
  <c r="T704" i="2"/>
  <c r="T708" i="2"/>
  <c r="T712" i="2"/>
  <c r="T716" i="2"/>
  <c r="T682" i="2"/>
  <c r="T648" i="2"/>
  <c r="T609" i="2"/>
  <c r="T615" i="2"/>
  <c r="T624" i="2"/>
  <c r="T598" i="2"/>
  <c r="T574" i="2"/>
  <c r="T582" i="2"/>
  <c r="T586" i="2"/>
  <c r="T590" i="2"/>
  <c r="T594" i="2"/>
  <c r="T565" i="2"/>
  <c r="T536" i="2"/>
  <c r="T540" i="2"/>
  <c r="T544" i="2"/>
  <c r="T548" i="2"/>
  <c r="T552" i="2"/>
  <c r="T556" i="2"/>
  <c r="T560" i="2"/>
  <c r="T564" i="2"/>
  <c r="T403" i="2"/>
  <c r="T407" i="2"/>
  <c r="T411" i="2"/>
  <c r="T415" i="2"/>
  <c r="T419" i="2"/>
  <c r="T423" i="2"/>
  <c r="T427" i="2"/>
  <c r="T431" i="2"/>
  <c r="T435" i="2"/>
  <c r="T439" i="2"/>
  <c r="T443" i="2"/>
  <c r="T447" i="2"/>
  <c r="T451" i="2"/>
  <c r="T455" i="2"/>
  <c r="T459" i="2"/>
  <c r="T463" i="2"/>
  <c r="T467" i="2"/>
  <c r="T471" i="2"/>
  <c r="T475" i="2"/>
  <c r="T479" i="2"/>
  <c r="T483" i="2"/>
  <c r="T487" i="2"/>
  <c r="T491" i="2"/>
  <c r="T495" i="2"/>
  <c r="T499" i="2"/>
  <c r="T503" i="2"/>
  <c r="T507" i="2"/>
  <c r="T511" i="2"/>
  <c r="T515" i="2"/>
  <c r="T519" i="2"/>
  <c r="T523" i="2"/>
  <c r="T527" i="2"/>
  <c r="T531" i="2"/>
  <c r="T728" i="2"/>
  <c r="T694" i="2"/>
  <c r="T660" i="2"/>
  <c r="T600" i="2"/>
  <c r="T617" i="2"/>
  <c r="T626" i="2"/>
  <c r="T567" i="2"/>
  <c r="T576" i="2"/>
  <c r="T674" i="2"/>
  <c r="T640" i="2"/>
  <c r="T604" i="2"/>
  <c r="T619" i="2"/>
  <c r="T628" i="2"/>
  <c r="T569" i="2"/>
  <c r="T578" i="2"/>
  <c r="T581" i="2"/>
  <c r="T585" i="2"/>
  <c r="T589" i="2"/>
  <c r="T593" i="2"/>
  <c r="T597" i="2"/>
  <c r="T535" i="2"/>
  <c r="T539" i="2"/>
  <c r="T543" i="2"/>
  <c r="T547" i="2"/>
  <c r="T551" i="2"/>
  <c r="T555" i="2"/>
  <c r="T559" i="2"/>
  <c r="T563" i="2"/>
  <c r="T402" i="2"/>
  <c r="T406" i="2"/>
  <c r="T410" i="2"/>
  <c r="T414" i="2"/>
  <c r="T418" i="2"/>
  <c r="T422" i="2"/>
  <c r="T426" i="2"/>
  <c r="T430" i="2"/>
  <c r="T434" i="2"/>
  <c r="T438" i="2"/>
  <c r="T442" i="2"/>
  <c r="T446" i="2"/>
  <c r="T450" i="2"/>
  <c r="T454" i="2"/>
  <c r="T458" i="2"/>
  <c r="T462" i="2"/>
  <c r="T466" i="2"/>
  <c r="T470" i="2"/>
  <c r="T474" i="2"/>
  <c r="T478" i="2"/>
  <c r="T482" i="2"/>
  <c r="T486" i="2"/>
  <c r="T490" i="2"/>
  <c r="T494" i="2"/>
  <c r="T498" i="2"/>
  <c r="T502" i="2"/>
  <c r="T506" i="2"/>
  <c r="T510" i="2"/>
  <c r="T514" i="2"/>
  <c r="T518" i="2"/>
  <c r="T522" i="2"/>
  <c r="T720" i="2"/>
  <c r="T686" i="2"/>
  <c r="T652" i="2"/>
  <c r="T601" i="2"/>
  <c r="T610" i="2"/>
  <c r="T612" i="2"/>
  <c r="T614" i="2"/>
  <c r="T621" i="2"/>
  <c r="T630" i="2"/>
  <c r="T571" i="2"/>
  <c r="T666" i="2"/>
  <c r="T632" i="2"/>
  <c r="T631" i="2"/>
  <c r="T605" i="2"/>
  <c r="T608" i="2"/>
  <c r="T616" i="2"/>
  <c r="T623" i="2"/>
  <c r="T566" i="2"/>
  <c r="T573" i="2"/>
  <c r="T580" i="2"/>
  <c r="T584" i="2"/>
  <c r="T588" i="2"/>
  <c r="T592" i="2"/>
  <c r="T596" i="2"/>
  <c r="T534" i="2"/>
  <c r="T538" i="2"/>
  <c r="T542" i="2"/>
  <c r="T546" i="2"/>
  <c r="T550" i="2"/>
  <c r="T554" i="2"/>
  <c r="T558" i="2"/>
  <c r="T562" i="2"/>
  <c r="T401" i="2"/>
  <c r="T405" i="2"/>
  <c r="T409" i="2"/>
  <c r="T413" i="2"/>
  <c r="T417" i="2"/>
  <c r="T421" i="2"/>
  <c r="T425" i="2"/>
  <c r="T429" i="2"/>
  <c r="T433" i="2"/>
  <c r="T437" i="2"/>
  <c r="T441" i="2"/>
  <c r="T445" i="2"/>
  <c r="T449" i="2"/>
  <c r="T453" i="2"/>
  <c r="T457" i="2"/>
  <c r="T461" i="2"/>
  <c r="T465" i="2"/>
  <c r="T469" i="2"/>
  <c r="T473" i="2"/>
  <c r="T477" i="2"/>
  <c r="T481" i="2"/>
  <c r="T485" i="2"/>
  <c r="T489" i="2"/>
  <c r="T493" i="2"/>
  <c r="T497" i="2"/>
  <c r="T501" i="2"/>
  <c r="T505" i="2"/>
  <c r="T509" i="2"/>
  <c r="T513" i="2"/>
  <c r="T517" i="2"/>
  <c r="T521" i="2"/>
  <c r="T525" i="2"/>
  <c r="T529" i="2"/>
  <c r="T678" i="2"/>
  <c r="T644" i="2"/>
  <c r="T602" i="2"/>
  <c r="T618" i="2"/>
  <c r="T625" i="2"/>
  <c r="T568" i="2"/>
  <c r="T575" i="2"/>
  <c r="T724" i="2"/>
  <c r="T690" i="2"/>
  <c r="T656" i="2"/>
  <c r="T606" i="2"/>
  <c r="T620" i="2"/>
  <c r="T627" i="2"/>
  <c r="T570" i="2"/>
  <c r="T577" i="2"/>
  <c r="T583" i="2"/>
  <c r="T587" i="2"/>
  <c r="T591" i="2"/>
  <c r="T595" i="2"/>
  <c r="T533" i="2"/>
  <c r="T537" i="2"/>
  <c r="T541" i="2"/>
  <c r="T545" i="2"/>
  <c r="T549" i="2"/>
  <c r="T553" i="2"/>
  <c r="T557" i="2"/>
  <c r="T561" i="2"/>
  <c r="T532" i="2"/>
  <c r="T404" i="2"/>
  <c r="T408" i="2"/>
  <c r="T412" i="2"/>
  <c r="T416" i="2"/>
  <c r="T420" i="2"/>
  <c r="T424" i="2"/>
  <c r="T428" i="2"/>
  <c r="T432" i="2"/>
  <c r="T436" i="2"/>
  <c r="T440" i="2"/>
  <c r="T444" i="2"/>
  <c r="T448" i="2"/>
  <c r="T452" i="2"/>
  <c r="T456" i="2"/>
  <c r="T460" i="2"/>
  <c r="T464" i="2"/>
  <c r="T468" i="2"/>
  <c r="T472" i="2"/>
  <c r="T476" i="2"/>
  <c r="T480" i="2"/>
  <c r="T484" i="2"/>
  <c r="T488" i="2"/>
  <c r="T492" i="2"/>
  <c r="T496" i="2"/>
  <c r="T500" i="2"/>
  <c r="T504" i="2"/>
  <c r="T508" i="2"/>
  <c r="T512" i="2"/>
  <c r="T516" i="2"/>
  <c r="T520" i="2"/>
  <c r="T524" i="2"/>
  <c r="T670" i="2"/>
  <c r="T636" i="2"/>
  <c r="T613" i="2"/>
  <c r="T622" i="2"/>
  <c r="T629" i="2"/>
  <c r="T572" i="2"/>
  <c r="T579" i="2"/>
  <c r="T341" i="2"/>
  <c r="T348" i="2"/>
  <c r="T357" i="2"/>
  <c r="T364" i="2"/>
  <c r="T307" i="2"/>
  <c r="T314" i="2"/>
  <c r="T323" i="2"/>
  <c r="T330" i="2"/>
  <c r="T274" i="2"/>
  <c r="T278" i="2"/>
  <c r="T282" i="2"/>
  <c r="T286" i="2"/>
  <c r="T290" i="2"/>
  <c r="T294" i="2"/>
  <c r="T298" i="2"/>
  <c r="T236" i="2"/>
  <c r="T240" i="2"/>
  <c r="T244" i="2"/>
  <c r="T248" i="2"/>
  <c r="T252" i="2"/>
  <c r="T256" i="2"/>
  <c r="T260" i="2"/>
  <c r="T264" i="2"/>
  <c r="T235" i="2"/>
  <c r="T206" i="2"/>
  <c r="T210" i="2"/>
  <c r="T214" i="2"/>
  <c r="T218" i="2"/>
  <c r="T222" i="2"/>
  <c r="T226" i="2"/>
  <c r="T230" i="2"/>
  <c r="T234" i="2"/>
  <c r="T172" i="2"/>
  <c r="T176" i="2"/>
  <c r="T180" i="2"/>
  <c r="T184" i="2"/>
  <c r="T188" i="2"/>
  <c r="T192" i="2"/>
  <c r="T196" i="2"/>
  <c r="T200" i="2"/>
  <c r="T71" i="2"/>
  <c r="T75" i="2"/>
  <c r="T79" i="2"/>
  <c r="T83" i="2"/>
  <c r="T87" i="2"/>
  <c r="T91" i="2"/>
  <c r="T95" i="2"/>
  <c r="T99" i="2"/>
  <c r="T103" i="2"/>
  <c r="T107" i="2"/>
  <c r="T111" i="2"/>
  <c r="T115" i="2"/>
  <c r="T526" i="2"/>
  <c r="T343" i="2"/>
  <c r="T350" i="2"/>
  <c r="T359" i="2"/>
  <c r="T366" i="2"/>
  <c r="T309" i="2"/>
  <c r="T316" i="2"/>
  <c r="T325" i="2"/>
  <c r="T332" i="2"/>
  <c r="T400" i="2"/>
  <c r="T336" i="2"/>
  <c r="T345" i="2"/>
  <c r="T352" i="2"/>
  <c r="T361" i="2"/>
  <c r="T302" i="2"/>
  <c r="T311" i="2"/>
  <c r="T318" i="2"/>
  <c r="T327" i="2"/>
  <c r="T301" i="2"/>
  <c r="T273" i="2"/>
  <c r="T277" i="2"/>
  <c r="T281" i="2"/>
  <c r="T285" i="2"/>
  <c r="T289" i="2"/>
  <c r="T293" i="2"/>
  <c r="T297" i="2"/>
  <c r="T268" i="2"/>
  <c r="T239" i="2"/>
  <c r="T243" i="2"/>
  <c r="T247" i="2"/>
  <c r="T251" i="2"/>
  <c r="T255" i="2"/>
  <c r="T259" i="2"/>
  <c r="T263" i="2"/>
  <c r="T267" i="2"/>
  <c r="T205" i="2"/>
  <c r="T209" i="2"/>
  <c r="T213" i="2"/>
  <c r="T217" i="2"/>
  <c r="T221" i="2"/>
  <c r="T225" i="2"/>
  <c r="T229" i="2"/>
  <c r="T233" i="2"/>
  <c r="T171" i="2"/>
  <c r="T175" i="2"/>
  <c r="T179" i="2"/>
  <c r="T183" i="2"/>
  <c r="T187" i="2"/>
  <c r="T191" i="2"/>
  <c r="T195" i="2"/>
  <c r="T199" i="2"/>
  <c r="T70" i="2"/>
  <c r="T74" i="2"/>
  <c r="T78" i="2"/>
  <c r="T82" i="2"/>
  <c r="T86" i="2"/>
  <c r="T90" i="2"/>
  <c r="T94" i="2"/>
  <c r="T98" i="2"/>
  <c r="T102" i="2"/>
  <c r="T106" i="2"/>
  <c r="T110" i="2"/>
  <c r="T114" i="2"/>
  <c r="T338" i="2"/>
  <c r="T347" i="2"/>
  <c r="T354" i="2"/>
  <c r="T363" i="2"/>
  <c r="T304" i="2"/>
  <c r="T313" i="2"/>
  <c r="T320" i="2"/>
  <c r="T329" i="2"/>
  <c r="T270" i="2"/>
  <c r="T528" i="2"/>
  <c r="T340" i="2"/>
  <c r="T349" i="2"/>
  <c r="T356" i="2"/>
  <c r="T365" i="2"/>
  <c r="T306" i="2"/>
  <c r="T315" i="2"/>
  <c r="T322" i="2"/>
  <c r="T331" i="2"/>
  <c r="T272" i="2"/>
  <c r="T276" i="2"/>
  <c r="T280" i="2"/>
  <c r="T284" i="2"/>
  <c r="T288" i="2"/>
  <c r="T292" i="2"/>
  <c r="T296" i="2"/>
  <c r="T300" i="2"/>
  <c r="T238" i="2"/>
  <c r="T242" i="2"/>
  <c r="T246" i="2"/>
  <c r="T250" i="2"/>
  <c r="T254" i="2"/>
  <c r="T258" i="2"/>
  <c r="T262" i="2"/>
  <c r="T266" i="2"/>
  <c r="T204" i="2"/>
  <c r="T208" i="2"/>
  <c r="T212" i="2"/>
  <c r="T216" i="2"/>
  <c r="T220" i="2"/>
  <c r="T224" i="2"/>
  <c r="T228" i="2"/>
  <c r="T232" i="2"/>
  <c r="T170" i="2"/>
  <c r="T174" i="2"/>
  <c r="T178" i="2"/>
  <c r="T182" i="2"/>
  <c r="T186" i="2"/>
  <c r="T190" i="2"/>
  <c r="T194" i="2"/>
  <c r="T198" i="2"/>
  <c r="T169" i="2"/>
  <c r="T73" i="2"/>
  <c r="T77" i="2"/>
  <c r="T81" i="2"/>
  <c r="T85" i="2"/>
  <c r="T89" i="2"/>
  <c r="T93" i="2"/>
  <c r="T97" i="2"/>
  <c r="T101" i="2"/>
  <c r="T105" i="2"/>
  <c r="T109" i="2"/>
  <c r="T113" i="2"/>
  <c r="T335" i="2"/>
  <c r="T342" i="2"/>
  <c r="T351" i="2"/>
  <c r="T358" i="2"/>
  <c r="T334" i="2"/>
  <c r="T308" i="2"/>
  <c r="T317" i="2"/>
  <c r="T324" i="2"/>
  <c r="T333" i="2"/>
  <c r="T337" i="2"/>
  <c r="T344" i="2"/>
  <c r="T353" i="2"/>
  <c r="T360" i="2"/>
  <c r="T303" i="2"/>
  <c r="T310" i="2"/>
  <c r="T319" i="2"/>
  <c r="T326" i="2"/>
  <c r="T269" i="2"/>
  <c r="T275" i="2"/>
  <c r="T279" i="2"/>
  <c r="T283" i="2"/>
  <c r="T287" i="2"/>
  <c r="T291" i="2"/>
  <c r="T295" i="2"/>
  <c r="T299" i="2"/>
  <c r="T237" i="2"/>
  <c r="T241" i="2"/>
  <c r="T245" i="2"/>
  <c r="T249" i="2"/>
  <c r="T253" i="2"/>
  <c r="T257" i="2"/>
  <c r="T261" i="2"/>
  <c r="T265" i="2"/>
  <c r="T203" i="2"/>
  <c r="T207" i="2"/>
  <c r="T211" i="2"/>
  <c r="T215" i="2"/>
  <c r="T219" i="2"/>
  <c r="T223" i="2"/>
  <c r="T227" i="2"/>
  <c r="T231" i="2"/>
  <c r="T202" i="2"/>
  <c r="T173" i="2"/>
  <c r="T177" i="2"/>
  <c r="T181" i="2"/>
  <c r="T185" i="2"/>
  <c r="T189" i="2"/>
  <c r="T193" i="2"/>
  <c r="T197" i="2"/>
  <c r="T201" i="2"/>
  <c r="T72" i="2"/>
  <c r="T76" i="2"/>
  <c r="T80" i="2"/>
  <c r="T84" i="2"/>
  <c r="T88" i="2"/>
  <c r="T92" i="2"/>
  <c r="T96" i="2"/>
  <c r="T100" i="2"/>
  <c r="T104" i="2"/>
  <c r="T108" i="2"/>
  <c r="T112" i="2"/>
  <c r="T530" i="2"/>
  <c r="T339" i="2"/>
  <c r="T346" i="2"/>
  <c r="T355" i="2"/>
  <c r="T362" i="2"/>
  <c r="T305" i="2"/>
  <c r="T312" i="2"/>
  <c r="T321" i="2"/>
  <c r="T328" i="2"/>
  <c r="T271" i="2"/>
  <c r="T117" i="2"/>
  <c r="T124" i="2"/>
  <c r="T133" i="2"/>
  <c r="T140" i="2"/>
  <c r="T149" i="2"/>
  <c r="T156" i="2"/>
  <c r="T165" i="2"/>
  <c r="T119" i="2"/>
  <c r="T126" i="2"/>
  <c r="T135" i="2"/>
  <c r="T142" i="2"/>
  <c r="T151" i="2"/>
  <c r="T158" i="2"/>
  <c r="T167" i="2"/>
  <c r="T121" i="2"/>
  <c r="T128" i="2"/>
  <c r="T137" i="2"/>
  <c r="T144" i="2"/>
  <c r="T153" i="2"/>
  <c r="T160" i="2"/>
  <c r="T123" i="2"/>
  <c r="T130" i="2"/>
  <c r="T139" i="2"/>
  <c r="T146" i="2"/>
  <c r="T155" i="2"/>
  <c r="T162" i="2"/>
  <c r="T116" i="2"/>
  <c r="T125" i="2"/>
  <c r="T132" i="2"/>
  <c r="T141" i="2"/>
  <c r="T148" i="2"/>
  <c r="T157" i="2"/>
  <c r="T164" i="2"/>
  <c r="T118" i="2"/>
  <c r="T127" i="2"/>
  <c r="T134" i="2"/>
  <c r="T143" i="2"/>
  <c r="T150" i="2"/>
  <c r="T159" i="2"/>
  <c r="T166" i="2"/>
  <c r="T120" i="2"/>
  <c r="T129" i="2"/>
  <c r="T136" i="2"/>
  <c r="T145" i="2"/>
  <c r="T152" i="2"/>
  <c r="T161" i="2"/>
  <c r="T168" i="2"/>
  <c r="T122" i="2"/>
  <c r="T131" i="2"/>
  <c r="T138" i="2"/>
  <c r="T147" i="2"/>
  <c r="T154" i="2"/>
  <c r="T163" i="2"/>
  <c r="T66" i="2"/>
  <c r="T42" i="2"/>
  <c r="T50" i="2"/>
  <c r="V43" i="2"/>
  <c r="V51" i="2"/>
  <c r="V59" i="2"/>
  <c r="V68" i="2"/>
  <c r="R317" i="2"/>
  <c r="R331" i="2"/>
  <c r="R42" i="2"/>
  <c r="R309" i="2"/>
  <c r="R307" i="2"/>
  <c r="Q310" i="2"/>
  <c r="R322" i="2"/>
  <c r="Q315" i="2"/>
  <c r="Q40" i="2"/>
  <c r="Q51" i="2"/>
  <c r="Q59" i="2"/>
  <c r="R43" i="2"/>
  <c r="Q328" i="2"/>
  <c r="R61" i="2"/>
  <c r="Y61" i="2" s="1"/>
  <c r="R305" i="2"/>
  <c r="R59" i="2"/>
  <c r="R557" i="2"/>
  <c r="R623" i="2"/>
  <c r="R689" i="2"/>
  <c r="R865" i="2"/>
  <c r="R958" i="2"/>
  <c r="R989" i="2"/>
  <c r="R1041" i="2"/>
  <c r="R1064" i="2"/>
  <c r="R592" i="2"/>
  <c r="R658" i="2"/>
  <c r="R891" i="2"/>
  <c r="R904" i="2"/>
  <c r="R1080" i="2"/>
  <c r="R639" i="2"/>
  <c r="R702" i="2"/>
  <c r="R799" i="2"/>
  <c r="R927" i="2"/>
  <c r="R1052" i="2"/>
  <c r="R579" i="2"/>
  <c r="R711" i="2"/>
  <c r="R871" i="2"/>
  <c r="R1078" i="2"/>
  <c r="R583" i="2"/>
  <c r="R648" i="2"/>
  <c r="R715" i="2"/>
  <c r="R901" i="2"/>
  <c r="R979" i="2"/>
  <c r="R1000" i="2"/>
  <c r="R617" i="2"/>
  <c r="R684" i="2"/>
  <c r="R920" i="2"/>
  <c r="R994" i="2"/>
  <c r="R622" i="2"/>
  <c r="R687" i="2"/>
  <c r="R849" i="2"/>
  <c r="R1040" i="2"/>
  <c r="R595" i="2"/>
  <c r="R727" i="2"/>
  <c r="R821" i="2"/>
  <c r="R885" i="2"/>
  <c r="R1014" i="2"/>
  <c r="R586" i="2"/>
  <c r="R718" i="2"/>
  <c r="R1006" i="2"/>
  <c r="R549" i="2"/>
  <c r="R615" i="2"/>
  <c r="R922" i="2"/>
  <c r="R1035" i="2"/>
  <c r="R584" i="2"/>
  <c r="R650" i="2"/>
  <c r="R717" i="2"/>
  <c r="R817" i="2"/>
  <c r="R884" i="2"/>
  <c r="R897" i="2"/>
  <c r="R1053" i="2"/>
  <c r="R1074" i="2"/>
  <c r="R563" i="2"/>
  <c r="R630" i="2"/>
  <c r="R696" i="2"/>
  <c r="R910" i="2"/>
  <c r="R1044" i="2"/>
  <c r="R571" i="2"/>
  <c r="R637" i="2"/>
  <c r="R705" i="2"/>
  <c r="R861" i="2"/>
  <c r="R863" i="2"/>
  <c r="R1058" i="2"/>
  <c r="R961" i="2"/>
  <c r="R575" i="2"/>
  <c r="R707" i="2"/>
  <c r="R900" i="2"/>
  <c r="R944" i="2"/>
  <c r="R977" i="2"/>
  <c r="R1057" i="2"/>
  <c r="R543" i="2"/>
  <c r="R609" i="2"/>
  <c r="R675" i="2"/>
  <c r="R779" i="2"/>
  <c r="R843" i="2"/>
  <c r="R915" i="2"/>
  <c r="R928" i="2"/>
  <c r="R547" i="2"/>
  <c r="R613" i="2"/>
  <c r="R679" i="2"/>
  <c r="R1033" i="2"/>
  <c r="R607" i="2"/>
  <c r="R673" i="2"/>
  <c r="R917" i="2"/>
  <c r="R952" i="2"/>
  <c r="R936" i="2"/>
  <c r="R985" i="2"/>
  <c r="R1018" i="2"/>
  <c r="R1029" i="2"/>
  <c r="R577" i="2"/>
  <c r="R643" i="2"/>
  <c r="R708" i="2"/>
  <c r="R876" i="2"/>
  <c r="R1046" i="2"/>
  <c r="R555" i="2"/>
  <c r="R621" i="2"/>
  <c r="R783" i="2"/>
  <c r="R971" i="2"/>
  <c r="R1039" i="2"/>
  <c r="R1062" i="2"/>
  <c r="R562" i="2"/>
  <c r="R628" i="2"/>
  <c r="R694" i="2"/>
  <c r="R789" i="2"/>
  <c r="R921" i="2"/>
  <c r="R1050" i="2"/>
  <c r="R1068" i="2"/>
  <c r="R598" i="2"/>
  <c r="R697" i="2"/>
  <c r="R566" i="2"/>
  <c r="R700" i="2"/>
  <c r="R960" i="2"/>
  <c r="R942" i="2"/>
  <c r="R975" i="2"/>
  <c r="R1049" i="2"/>
  <c r="R601" i="2"/>
  <c r="R668" i="2"/>
  <c r="R835" i="2"/>
  <c r="R909" i="2"/>
  <c r="R539" i="2"/>
  <c r="R606" i="2"/>
  <c r="R671" i="2"/>
  <c r="R767" i="2"/>
  <c r="R1092" i="2"/>
  <c r="R644" i="2"/>
  <c r="R710" i="2"/>
  <c r="R803" i="2"/>
  <c r="R869" i="2"/>
  <c r="R998" i="2"/>
  <c r="R763" i="2"/>
  <c r="R662" i="2"/>
  <c r="R823" i="2"/>
  <c r="R888" i="2"/>
  <c r="R1086" i="2"/>
  <c r="R568" i="2"/>
  <c r="R926" i="2"/>
  <c r="R534" i="2"/>
  <c r="R599" i="2"/>
  <c r="R665" i="2"/>
  <c r="R913" i="2"/>
  <c r="R950" i="2"/>
  <c r="R934" i="2"/>
  <c r="R983" i="2"/>
  <c r="R631" i="2"/>
  <c r="R570" i="2"/>
  <c r="R635" i="2"/>
  <c r="R801" i="2"/>
  <c r="R969" i="2"/>
  <c r="R1042" i="2"/>
  <c r="R565" i="2"/>
  <c r="R548" i="2"/>
  <c r="R614" i="2"/>
  <c r="R775" i="2"/>
  <c r="R841" i="2"/>
  <c r="R963" i="2"/>
  <c r="R1034" i="2"/>
  <c r="R895" i="2"/>
  <c r="R553" i="2"/>
  <c r="R620" i="2"/>
  <c r="R686" i="2"/>
  <c r="R781" i="2"/>
  <c r="R845" i="2"/>
  <c r="R903" i="2"/>
  <c r="R1043" i="2"/>
  <c r="R664" i="2"/>
  <c r="R558" i="2"/>
  <c r="R624" i="2"/>
  <c r="R690" i="2"/>
  <c r="R793" i="2"/>
  <c r="R797" i="2"/>
  <c r="R940" i="2"/>
  <c r="R1032" i="2"/>
  <c r="R593" i="2"/>
  <c r="R659" i="2"/>
  <c r="R827" i="2"/>
  <c r="R892" i="2"/>
  <c r="R905" i="2"/>
  <c r="R1056" i="2"/>
  <c r="R729" i="2"/>
  <c r="R1012" i="2"/>
  <c r="R1055" i="2"/>
  <c r="R590" i="2"/>
  <c r="R656" i="2"/>
  <c r="R722" i="2"/>
  <c r="R825" i="2"/>
  <c r="R831" i="2"/>
  <c r="R906" i="2"/>
  <c r="R948" i="2"/>
  <c r="R932" i="2"/>
  <c r="R981" i="2"/>
  <c r="R1002" i="2"/>
  <c r="R1084" i="2"/>
  <c r="R560" i="2"/>
  <c r="R626" i="2"/>
  <c r="R925" i="2"/>
  <c r="R1026" i="2"/>
  <c r="R1036" i="2"/>
  <c r="R532" i="2"/>
  <c r="R540" i="2"/>
  <c r="R605" i="2"/>
  <c r="R833" i="2"/>
  <c r="R1020" i="2"/>
  <c r="R546" i="2"/>
  <c r="R611" i="2"/>
  <c r="R678" i="2"/>
  <c r="R837" i="2"/>
  <c r="R1037" i="2"/>
  <c r="R550" i="2"/>
  <c r="R616" i="2"/>
  <c r="R682" i="2"/>
  <c r="R785" i="2"/>
  <c r="R855" i="2"/>
  <c r="R923" i="2"/>
  <c r="R956" i="2"/>
  <c r="R938" i="2"/>
  <c r="R987" i="2"/>
  <c r="R585" i="2"/>
  <c r="R651" i="2"/>
  <c r="R716" i="2"/>
  <c r="R819" i="2"/>
  <c r="R883" i="2"/>
  <c r="R898" i="2"/>
  <c r="R1048" i="2"/>
  <c r="R588" i="2"/>
  <c r="R655" i="2"/>
  <c r="R879" i="2"/>
  <c r="R561" i="2"/>
  <c r="R627" i="2"/>
  <c r="R853" i="2"/>
  <c r="R912" i="2"/>
  <c r="R1038" i="2"/>
  <c r="R582" i="2"/>
  <c r="R649" i="2"/>
  <c r="R714" i="2"/>
  <c r="R889" i="2"/>
  <c r="R902" i="2"/>
  <c r="R946" i="2"/>
  <c r="R930" i="2"/>
  <c r="R1059" i="2"/>
  <c r="R551" i="2"/>
  <c r="R618" i="2"/>
  <c r="R683" i="2"/>
  <c r="R787" i="2"/>
  <c r="R851" i="2"/>
  <c r="R919" i="2"/>
  <c r="R1028" i="2"/>
  <c r="R597" i="2"/>
  <c r="R663" i="2"/>
  <c r="R887" i="2"/>
  <c r="R537" i="2"/>
  <c r="R602" i="2"/>
  <c r="R670" i="2"/>
  <c r="R765" i="2"/>
  <c r="R893" i="2"/>
  <c r="R1030" i="2"/>
  <c r="R542" i="2"/>
  <c r="R608" i="2"/>
  <c r="R674" i="2"/>
  <c r="R777" i="2"/>
  <c r="R847" i="2"/>
  <c r="R918" i="2"/>
  <c r="R1024" i="2"/>
  <c r="R578" i="2"/>
  <c r="R642" i="2"/>
  <c r="R809" i="2"/>
  <c r="R875" i="2"/>
  <c r="R954" i="2"/>
  <c r="R1031" i="2"/>
  <c r="R647" i="2"/>
  <c r="R712" i="2"/>
  <c r="R807" i="2"/>
  <c r="R1076" i="2"/>
  <c r="R554" i="2"/>
  <c r="R619" i="2"/>
  <c r="R685" i="2"/>
  <c r="R973" i="2"/>
  <c r="R574" i="2"/>
  <c r="R640" i="2"/>
  <c r="R706" i="2"/>
  <c r="R811" i="2"/>
  <c r="R881" i="2"/>
  <c r="R899" i="2"/>
  <c r="R993" i="2"/>
  <c r="R1051" i="2"/>
  <c r="R610" i="2"/>
  <c r="R676" i="2"/>
  <c r="R916" i="2"/>
  <c r="R1010" i="2"/>
  <c r="R1090" i="2"/>
  <c r="R829" i="2"/>
  <c r="R654" i="2"/>
  <c r="R721" i="2"/>
  <c r="R815" i="2"/>
  <c r="R880" i="2"/>
  <c r="R1004" i="2"/>
  <c r="R1082" i="2"/>
  <c r="R1027" i="2"/>
  <c r="R594" i="2"/>
  <c r="R661" i="2"/>
  <c r="R726" i="2"/>
  <c r="R1088" i="2"/>
  <c r="R600" i="2"/>
  <c r="R667" i="2"/>
  <c r="R769" i="2"/>
  <c r="R839" i="2"/>
  <c r="R914" i="2"/>
  <c r="R1016" i="2"/>
  <c r="R569" i="2"/>
  <c r="R634" i="2"/>
  <c r="R698" i="2"/>
  <c r="R867" i="2"/>
  <c r="R967" i="2"/>
  <c r="R572" i="2"/>
  <c r="R638" i="2"/>
  <c r="R703" i="2"/>
  <c r="R1054" i="2"/>
  <c r="R1072" i="2"/>
  <c r="R1060" i="2"/>
  <c r="R545" i="2"/>
  <c r="R612" i="2"/>
  <c r="R773" i="2"/>
  <c r="R965" i="2"/>
  <c r="R567" i="2"/>
  <c r="R633" i="2"/>
  <c r="R699" i="2"/>
  <c r="R805" i="2"/>
  <c r="R873" i="2"/>
  <c r="R896" i="2"/>
  <c r="R991" i="2"/>
  <c r="R1047" i="2"/>
  <c r="R1070" i="2"/>
  <c r="R535" i="2"/>
  <c r="R603" i="2"/>
  <c r="R666" i="2"/>
  <c r="R771" i="2"/>
  <c r="R908" i="2"/>
  <c r="R646" i="2"/>
  <c r="R996" i="2"/>
  <c r="R587" i="2"/>
  <c r="R719" i="2"/>
  <c r="R813" i="2"/>
  <c r="R877" i="2"/>
  <c r="R591" i="2"/>
  <c r="R657" i="2"/>
  <c r="R723" i="2"/>
  <c r="R907" i="2"/>
  <c r="R1008" i="2"/>
  <c r="R559" i="2"/>
  <c r="R625" i="2"/>
  <c r="R691" i="2"/>
  <c r="R795" i="2"/>
  <c r="R859" i="2"/>
  <c r="R924" i="2"/>
  <c r="R564" i="2"/>
  <c r="R695" i="2"/>
  <c r="R791" i="2"/>
  <c r="R857" i="2"/>
  <c r="R911" i="2"/>
  <c r="R1045" i="2"/>
  <c r="R1066" i="2"/>
  <c r="R538" i="2"/>
  <c r="R604" i="2"/>
  <c r="R1022" i="2"/>
  <c r="R430" i="2"/>
  <c r="R493" i="2"/>
  <c r="R429" i="2"/>
  <c r="R492" i="2"/>
  <c r="R424" i="2"/>
  <c r="R495" i="2"/>
  <c r="R474" i="2"/>
  <c r="R523" i="2"/>
  <c r="R507" i="2"/>
  <c r="R428" i="2"/>
  <c r="R496" i="2"/>
  <c r="R475" i="2"/>
  <c r="R524" i="2"/>
  <c r="R508" i="2"/>
  <c r="R466" i="2"/>
  <c r="R459" i="2"/>
  <c r="R458" i="2"/>
  <c r="R431" i="2"/>
  <c r="R494" i="2"/>
  <c r="R437" i="2"/>
  <c r="R421" i="2"/>
  <c r="R422" i="2"/>
  <c r="R416" i="2"/>
  <c r="R490" i="2"/>
  <c r="R472" i="2"/>
  <c r="R521" i="2"/>
  <c r="R505" i="2"/>
  <c r="R419" i="2"/>
  <c r="R491" i="2"/>
  <c r="R473" i="2"/>
  <c r="R522" i="2"/>
  <c r="R506" i="2"/>
  <c r="R499" i="2"/>
  <c r="R453" i="2"/>
  <c r="R450" i="2"/>
  <c r="R423" i="2"/>
  <c r="R414" i="2"/>
  <c r="R413" i="2"/>
  <c r="R408" i="2"/>
  <c r="R487" i="2"/>
  <c r="R470" i="2"/>
  <c r="R519" i="2"/>
  <c r="R503" i="2"/>
  <c r="R412" i="2"/>
  <c r="R488" i="2"/>
  <c r="R471" i="2"/>
  <c r="R520" i="2"/>
  <c r="R504" i="2"/>
  <c r="R445" i="2"/>
  <c r="R444" i="2"/>
  <c r="R415" i="2"/>
  <c r="R427" i="2"/>
  <c r="R406" i="2"/>
  <c r="R405" i="2"/>
  <c r="R463" i="2"/>
  <c r="R484" i="2"/>
  <c r="R468" i="2"/>
  <c r="R517" i="2"/>
  <c r="R501" i="2"/>
  <c r="R403" i="2"/>
  <c r="R485" i="2"/>
  <c r="R469" i="2"/>
  <c r="R518" i="2"/>
  <c r="R502" i="2"/>
  <c r="R438" i="2"/>
  <c r="R436" i="2"/>
  <c r="R407" i="2"/>
  <c r="R420" i="2"/>
  <c r="R465" i="2"/>
  <c r="R464" i="2"/>
  <c r="R455" i="2"/>
  <c r="R482" i="2"/>
  <c r="R531" i="2"/>
  <c r="R515" i="2"/>
  <c r="R500" i="2"/>
  <c r="R460" i="2"/>
  <c r="R483" i="2"/>
  <c r="R467" i="2"/>
  <c r="R516" i="2"/>
  <c r="R426" i="2"/>
  <c r="R498" i="2"/>
  <c r="R425" i="2"/>
  <c r="R497" i="2"/>
  <c r="R462" i="2"/>
  <c r="R411" i="2"/>
  <c r="R457" i="2"/>
  <c r="R456" i="2"/>
  <c r="R447" i="2"/>
  <c r="R480" i="2"/>
  <c r="R529" i="2"/>
  <c r="R513" i="2"/>
  <c r="R451" i="2"/>
  <c r="R481" i="2"/>
  <c r="R530" i="2"/>
  <c r="R514" i="2"/>
  <c r="R418" i="2"/>
  <c r="R489" i="2"/>
  <c r="R417" i="2"/>
  <c r="R486" i="2"/>
  <c r="R454" i="2"/>
  <c r="R402" i="2"/>
  <c r="R449" i="2"/>
  <c r="R448" i="2"/>
  <c r="R442" i="2"/>
  <c r="R478" i="2"/>
  <c r="R527" i="2"/>
  <c r="R511" i="2"/>
  <c r="R443" i="2"/>
  <c r="R479" i="2"/>
  <c r="R528" i="2"/>
  <c r="R512" i="2"/>
  <c r="R400" i="2"/>
  <c r="R410" i="2"/>
  <c r="R409" i="2"/>
  <c r="R446" i="2"/>
  <c r="R461" i="2"/>
  <c r="R440" i="2"/>
  <c r="R439" i="2"/>
  <c r="R432" i="2"/>
  <c r="R434" i="2"/>
  <c r="R476" i="2"/>
  <c r="R525" i="2"/>
  <c r="R509" i="2"/>
  <c r="R435" i="2"/>
  <c r="R477" i="2"/>
  <c r="R526" i="2"/>
  <c r="R510" i="2"/>
  <c r="R433" i="2"/>
  <c r="R404" i="2"/>
  <c r="R401" i="2"/>
  <c r="R441" i="2"/>
  <c r="R452" i="2"/>
  <c r="R102" i="2"/>
  <c r="R168" i="2"/>
  <c r="R232" i="2"/>
  <c r="R72" i="2"/>
  <c r="R154" i="2"/>
  <c r="R216" i="2"/>
  <c r="R148" i="2"/>
  <c r="R223" i="2"/>
  <c r="R100" i="2"/>
  <c r="R166" i="2"/>
  <c r="R172" i="2"/>
  <c r="R209" i="2"/>
  <c r="R258" i="2"/>
  <c r="R250" i="2"/>
  <c r="R242" i="2"/>
  <c r="R106" i="2"/>
  <c r="R233" i="2"/>
  <c r="R297" i="2"/>
  <c r="R289" i="2"/>
  <c r="R281" i="2"/>
  <c r="R273" i="2"/>
  <c r="R226" i="2"/>
  <c r="R70" i="2"/>
  <c r="R361" i="2"/>
  <c r="R353" i="2"/>
  <c r="R345" i="2"/>
  <c r="R337" i="2"/>
  <c r="R94" i="2"/>
  <c r="R160" i="2"/>
  <c r="R228" i="2"/>
  <c r="R213" i="2"/>
  <c r="R92" i="2"/>
  <c r="R158" i="2"/>
  <c r="R230" i="2"/>
  <c r="R208" i="2"/>
  <c r="R224" i="2"/>
  <c r="R235" i="2"/>
  <c r="R150" i="2"/>
  <c r="R219" i="2"/>
  <c r="R120" i="2"/>
  <c r="R134" i="2"/>
  <c r="R200" i="2"/>
  <c r="R130" i="2"/>
  <c r="R196" i="2"/>
  <c r="R169" i="2"/>
  <c r="R86" i="2"/>
  <c r="R214" i="2"/>
  <c r="R84" i="2"/>
  <c r="R152" i="2"/>
  <c r="R222" i="2"/>
  <c r="R207" i="2"/>
  <c r="R264" i="2"/>
  <c r="R256" i="2"/>
  <c r="R248" i="2"/>
  <c r="R240" i="2"/>
  <c r="R90" i="2"/>
  <c r="R156" i="2"/>
  <c r="R217" i="2"/>
  <c r="R295" i="2"/>
  <c r="R287" i="2"/>
  <c r="R279" i="2"/>
  <c r="R271" i="2"/>
  <c r="R142" i="2"/>
  <c r="R302" i="2"/>
  <c r="R128" i="2"/>
  <c r="R192" i="2"/>
  <c r="R359" i="2"/>
  <c r="R351" i="2"/>
  <c r="R343" i="2"/>
  <c r="R335" i="2"/>
  <c r="R122" i="2"/>
  <c r="R186" i="2"/>
  <c r="R78" i="2"/>
  <c r="R144" i="2"/>
  <c r="R132" i="2"/>
  <c r="R198" i="2"/>
  <c r="R76" i="2"/>
  <c r="R146" i="2"/>
  <c r="R221" i="2"/>
  <c r="R206" i="2"/>
  <c r="R82" i="2"/>
  <c r="R138" i="2"/>
  <c r="R104" i="2"/>
  <c r="R170" i="2"/>
  <c r="R184" i="2"/>
  <c r="R114" i="2"/>
  <c r="R176" i="2"/>
  <c r="R124" i="2"/>
  <c r="R190" i="2"/>
  <c r="R202" i="2"/>
  <c r="R220" i="2"/>
  <c r="R205" i="2"/>
  <c r="R254" i="2"/>
  <c r="R246" i="2"/>
  <c r="R238" i="2"/>
  <c r="R74" i="2"/>
  <c r="R140" i="2"/>
  <c r="R268" i="2"/>
  <c r="R293" i="2"/>
  <c r="R285" i="2"/>
  <c r="R277" i="2"/>
  <c r="R269" i="2"/>
  <c r="R96" i="2"/>
  <c r="R229" i="2"/>
  <c r="R112" i="2"/>
  <c r="R178" i="2"/>
  <c r="R365" i="2"/>
  <c r="R357" i="2"/>
  <c r="R349" i="2"/>
  <c r="R341" i="2"/>
  <c r="R126" i="2"/>
  <c r="R194" i="2"/>
  <c r="R136" i="2"/>
  <c r="R116" i="2"/>
  <c r="R182" i="2"/>
  <c r="R212" i="2"/>
  <c r="R204" i="2"/>
  <c r="R88" i="2"/>
  <c r="R215" i="2"/>
  <c r="R66" i="2"/>
  <c r="R98" i="2"/>
  <c r="R164" i="2"/>
  <c r="R225" i="2"/>
  <c r="R118" i="2"/>
  <c r="R108" i="2"/>
  <c r="R174" i="2"/>
  <c r="R188" i="2"/>
  <c r="R211" i="2"/>
  <c r="R203" i="2"/>
  <c r="R260" i="2"/>
  <c r="R252" i="2"/>
  <c r="R244" i="2"/>
  <c r="R236" i="2"/>
  <c r="R299" i="2"/>
  <c r="R291" i="2"/>
  <c r="R283" i="2"/>
  <c r="R275" i="2"/>
  <c r="R80" i="2"/>
  <c r="R162" i="2"/>
  <c r="R227" i="2"/>
  <c r="R363" i="2"/>
  <c r="R355" i="2"/>
  <c r="R347" i="2"/>
  <c r="R339" i="2"/>
  <c r="R218" i="2"/>
  <c r="R334" i="2"/>
  <c r="R110" i="2"/>
  <c r="R231" i="2"/>
  <c r="R180" i="2"/>
  <c r="R210" i="2"/>
  <c r="R306" i="2"/>
  <c r="Q316" i="2"/>
  <c r="Q48" i="2"/>
  <c r="Q56" i="2"/>
  <c r="R56" i="2"/>
  <c r="R320" i="2"/>
  <c r="Q314" i="2"/>
  <c r="R301" i="2"/>
  <c r="R44" i="2"/>
  <c r="R312" i="2"/>
  <c r="R49" i="2"/>
  <c r="R310" i="2"/>
  <c r="R48" i="2"/>
  <c r="R62" i="2"/>
  <c r="R304" i="2"/>
  <c r="Q307" i="2"/>
  <c r="R315" i="2"/>
  <c r="R318" i="2"/>
  <c r="Q306" i="2"/>
  <c r="R45" i="2"/>
  <c r="Q320" i="2"/>
  <c r="R308" i="2"/>
  <c r="Q325" i="2"/>
  <c r="R332" i="2"/>
  <c r="R60" i="2"/>
  <c r="Q50" i="2"/>
  <c r="Q58" i="2"/>
  <c r="R46" i="2"/>
  <c r="R327" i="2"/>
  <c r="Q60" i="2"/>
  <c r="R63" i="2"/>
  <c r="Q326" i="2"/>
  <c r="R316" i="2"/>
  <c r="Q331" i="2"/>
  <c r="Q42" i="2"/>
  <c r="Q47" i="2"/>
  <c r="Q330" i="2"/>
  <c r="R311" i="2"/>
  <c r="Q312" i="2"/>
  <c r="Q332" i="2"/>
  <c r="Q810" i="2"/>
  <c r="Q982" i="2"/>
  <c r="Q995" i="2"/>
  <c r="Q1077" i="2"/>
  <c r="Q653" i="2"/>
  <c r="Q692" i="2"/>
  <c r="Q780" i="2"/>
  <c r="Q552" i="2"/>
  <c r="Q766" i="2"/>
  <c r="Q804" i="2"/>
  <c r="Q844" i="2"/>
  <c r="Q945" i="2"/>
  <c r="Q1023" i="2"/>
  <c r="Q677" i="2"/>
  <c r="Q1005" i="2"/>
  <c r="Q931" i="2"/>
  <c r="Q541" i="2"/>
  <c r="Q580" i="2"/>
  <c r="Q778" i="2"/>
  <c r="Q816" i="2"/>
  <c r="Q854" i="2"/>
  <c r="Q939" i="2"/>
  <c r="Q1019" i="2"/>
  <c r="Q581" i="2"/>
  <c r="Q533" i="2"/>
  <c r="Q701" i="2"/>
  <c r="Q774" i="2"/>
  <c r="Q544" i="2"/>
  <c r="Q848" i="2"/>
  <c r="Q886" i="2"/>
  <c r="Q943" i="2"/>
  <c r="Q1021" i="2"/>
  <c r="Q997" i="2"/>
  <c r="Q1087" i="2"/>
  <c r="Q641" i="2"/>
  <c r="Q704" i="2"/>
  <c r="Q846" i="2"/>
  <c r="Q576" i="2"/>
  <c r="Q645" i="2"/>
  <c r="Q822" i="2"/>
  <c r="Q830" i="2"/>
  <c r="Q866" i="2"/>
  <c r="Q1079" i="2"/>
  <c r="Q828" i="2"/>
  <c r="Q1081" i="2"/>
  <c r="Q1015" i="2"/>
  <c r="Q1071" i="2"/>
  <c r="Q636" i="2"/>
  <c r="Q798" i="2"/>
  <c r="Q978" i="2"/>
  <c r="Q596" i="2"/>
  <c r="Q999" i="2"/>
  <c r="Q1075" i="2"/>
  <c r="Q953" i="2"/>
  <c r="Q990" i="2"/>
  <c r="Q573" i="2"/>
  <c r="Q959" i="2"/>
  <c r="Q972" i="2"/>
  <c r="Q536" i="2"/>
  <c r="Q720" i="2"/>
  <c r="Q794" i="2"/>
  <c r="Q796" i="2"/>
  <c r="Q842" i="2"/>
  <c r="Q935" i="2"/>
  <c r="Q976" i="2"/>
  <c r="Q724" i="2"/>
  <c r="Q790" i="2"/>
  <c r="Q957" i="2"/>
  <c r="Q812" i="2"/>
  <c r="Q850" i="2"/>
  <c r="Q1013" i="2"/>
  <c r="Q1085" i="2"/>
  <c r="Q824" i="2"/>
  <c r="Q834" i="2"/>
  <c r="Q968" i="2"/>
  <c r="Q1009" i="2"/>
  <c r="Q1063" i="2"/>
  <c r="Q629" i="2"/>
  <c r="Q680" i="2"/>
  <c r="Q806" i="2"/>
  <c r="Q669" i="2"/>
  <c r="Q818" i="2"/>
  <c r="Q858" i="2"/>
  <c r="Q933" i="2"/>
  <c r="Q970" i="2"/>
  <c r="Q1007" i="2"/>
  <c r="Q980" i="2"/>
  <c r="Q681" i="2"/>
  <c r="Q792" i="2"/>
  <c r="Q764" i="2"/>
  <c r="Q802" i="2"/>
  <c r="Q840" i="2"/>
  <c r="Q992" i="2"/>
  <c r="Q1003" i="2"/>
  <c r="Q788" i="2"/>
  <c r="Q862" i="2"/>
  <c r="Q872" i="2"/>
  <c r="Q955" i="2"/>
  <c r="Q929" i="2"/>
  <c r="Q1091" i="2"/>
  <c r="Q1073" i="2"/>
  <c r="Q782" i="2"/>
  <c r="Q860" i="2"/>
  <c r="Q832" i="2"/>
  <c r="Q556" i="2"/>
  <c r="Q589" i="2"/>
  <c r="Q632" i="2"/>
  <c r="Q772" i="2"/>
  <c r="Q1065" i="2"/>
  <c r="Q820" i="2"/>
  <c r="Q870" i="2"/>
  <c r="Q949" i="2"/>
  <c r="Q986" i="2"/>
  <c r="Q1025" i="2"/>
  <c r="Q856" i="2"/>
  <c r="Q947" i="2"/>
  <c r="Q1083" i="2"/>
  <c r="Q660" i="2"/>
  <c r="Q672" i="2"/>
  <c r="Q713" i="2"/>
  <c r="Q786" i="2"/>
  <c r="Q826" i="2"/>
  <c r="Q688" i="2"/>
  <c r="Q728" i="2"/>
  <c r="Q770" i="2"/>
  <c r="Q951" i="2"/>
  <c r="Q964" i="2"/>
  <c r="Q1011" i="2"/>
  <c r="Q1089" i="2"/>
  <c r="Q937" i="2"/>
  <c r="Q974" i="2"/>
  <c r="Q784" i="2"/>
  <c r="Q984" i="2"/>
  <c r="Q709" i="2"/>
  <c r="Q852" i="2"/>
  <c r="Q890" i="2"/>
  <c r="Q941" i="2"/>
  <c r="Q1017" i="2"/>
  <c r="Q808" i="2"/>
  <c r="Q838" i="2"/>
  <c r="Q966" i="2"/>
  <c r="Q693" i="2"/>
  <c r="Q894" i="2"/>
  <c r="Q868" i="2"/>
  <c r="Q988" i="2"/>
  <c r="Q962" i="2"/>
  <c r="Q1001" i="2"/>
  <c r="Q882" i="2"/>
  <c r="Q1067" i="2"/>
  <c r="Q776" i="2"/>
  <c r="Q814" i="2"/>
  <c r="Q864" i="2"/>
  <c r="Q652" i="2"/>
  <c r="Q725" i="2"/>
  <c r="Q836" i="2"/>
  <c r="Q874" i="2"/>
  <c r="Q1069" i="2"/>
  <c r="Q1061" i="2"/>
  <c r="Q768" i="2"/>
  <c r="Q800" i="2"/>
  <c r="Q878" i="2"/>
  <c r="Q117" i="2"/>
  <c r="Q103" i="2"/>
  <c r="Q298" i="2"/>
  <c r="Q294" i="2"/>
  <c r="Q290" i="2"/>
  <c r="Q286" i="2"/>
  <c r="Q282" i="2"/>
  <c r="Q278" i="2"/>
  <c r="Q274" i="2"/>
  <c r="Q270" i="2"/>
  <c r="Q97" i="2"/>
  <c r="Q107" i="2"/>
  <c r="Q145" i="2"/>
  <c r="Q366" i="2"/>
  <c r="Q362" i="2"/>
  <c r="Q358" i="2"/>
  <c r="Q354" i="2"/>
  <c r="Q350" i="2"/>
  <c r="Q346" i="2"/>
  <c r="Q342" i="2"/>
  <c r="Q338" i="2"/>
  <c r="Q155" i="2"/>
  <c r="Q191" i="2"/>
  <c r="Q73" i="2"/>
  <c r="Q111" i="2"/>
  <c r="Q79" i="2"/>
  <c r="Q95" i="2"/>
  <c r="Q147" i="2"/>
  <c r="Q187" i="2"/>
  <c r="Q266" i="2"/>
  <c r="Q253" i="2"/>
  <c r="Q237" i="2"/>
  <c r="Q175" i="2"/>
  <c r="Q81" i="2"/>
  <c r="Q119" i="2"/>
  <c r="Q149" i="2"/>
  <c r="Q185" i="2"/>
  <c r="Q267" i="2"/>
  <c r="Q255" i="2"/>
  <c r="Q239" i="2"/>
  <c r="Q71" i="2"/>
  <c r="Q109" i="2"/>
  <c r="Q127" i="2"/>
  <c r="Q251" i="2"/>
  <c r="Q99" i="2"/>
  <c r="Q133" i="2"/>
  <c r="Q105" i="2"/>
  <c r="Q143" i="2"/>
  <c r="Q265" i="2"/>
  <c r="Q249" i="2"/>
  <c r="Q91" i="2"/>
  <c r="Q129" i="2"/>
  <c r="Q139" i="2"/>
  <c r="Q181" i="2"/>
  <c r="Q263" i="2"/>
  <c r="Q247" i="2"/>
  <c r="Q195" i="2"/>
  <c r="Q234" i="2"/>
  <c r="Q101" i="2"/>
  <c r="Q151" i="2"/>
  <c r="Q131" i="2"/>
  <c r="Q141" i="2"/>
  <c r="Q179" i="2"/>
  <c r="Q300" i="2"/>
  <c r="Q296" i="2"/>
  <c r="Q292" i="2"/>
  <c r="Q288" i="2"/>
  <c r="Q284" i="2"/>
  <c r="Q280" i="2"/>
  <c r="Q276" i="2"/>
  <c r="Q272" i="2"/>
  <c r="Q89" i="2"/>
  <c r="Q167" i="2"/>
  <c r="Q83" i="2"/>
  <c r="Q121" i="2"/>
  <c r="Q161" i="2"/>
  <c r="Q364" i="2"/>
  <c r="Q360" i="2"/>
  <c r="Q356" i="2"/>
  <c r="Q352" i="2"/>
  <c r="Q348" i="2"/>
  <c r="Q344" i="2"/>
  <c r="Q340" i="2"/>
  <c r="Q336" i="2"/>
  <c r="Q177" i="2"/>
  <c r="Q262" i="2"/>
  <c r="Q93" i="2"/>
  <c r="Q199" i="2"/>
  <c r="Q189" i="2"/>
  <c r="Q135" i="2"/>
  <c r="Q163" i="2"/>
  <c r="Q201" i="2"/>
  <c r="Q261" i="2"/>
  <c r="Q245" i="2"/>
  <c r="Q85" i="2"/>
  <c r="Q123" i="2"/>
  <c r="Q159" i="2"/>
  <c r="Q173" i="2"/>
  <c r="Q75" i="2"/>
  <c r="Q113" i="2"/>
  <c r="Q171" i="2"/>
  <c r="Q157" i="2"/>
  <c r="Q197" i="2"/>
  <c r="Q259" i="2"/>
  <c r="Q243" i="2"/>
  <c r="Q77" i="2"/>
  <c r="Q115" i="2"/>
  <c r="Q153" i="2"/>
  <c r="Q193" i="2"/>
  <c r="Q257" i="2"/>
  <c r="Q241" i="2"/>
  <c r="Q183" i="2"/>
  <c r="Q87" i="2"/>
  <c r="Q125" i="2"/>
  <c r="Q165" i="2"/>
  <c r="Q137" i="2"/>
  <c r="Q63" i="2"/>
  <c r="R40" i="2"/>
  <c r="R58" i="2"/>
  <c r="Q318" i="2"/>
  <c r="Q323" i="2"/>
  <c r="Q43" i="2"/>
  <c r="Q322" i="2"/>
  <c r="Q304" i="2"/>
  <c r="R51" i="2"/>
  <c r="R325" i="2"/>
  <c r="Q62" i="2"/>
  <c r="Q46" i="2"/>
  <c r="Y46" i="2" s="1"/>
  <c r="Q54" i="2"/>
  <c r="Q313" i="2"/>
  <c r="AC342" i="3"/>
  <c r="AC36" i="3"/>
  <c r="N36" i="3"/>
  <c r="AC70" i="3"/>
  <c r="D728" i="2" a="1"/>
  <c r="D724" i="2" a="1"/>
  <c r="D720" i="2" a="1"/>
  <c r="D731" i="2" a="1"/>
  <c r="D727" i="2" a="1"/>
  <c r="D723" i="2" a="1"/>
  <c r="D719" i="2" a="1"/>
  <c r="D730" i="2" a="1"/>
  <c r="D726" i="2" a="1"/>
  <c r="D722" i="2" a="1"/>
  <c r="D718" i="2" a="1"/>
  <c r="D714" i="2" a="1"/>
  <c r="D710" i="2" a="1"/>
  <c r="D706" i="2" a="1"/>
  <c r="D702" i="2" a="1"/>
  <c r="D698" i="2" a="1"/>
  <c r="D694" i="2" a="1"/>
  <c r="D729" i="2" a="1"/>
  <c r="D725" i="2" a="1"/>
  <c r="D721" i="2" a="1"/>
  <c r="D717" i="2" a="1"/>
  <c r="D713" i="2" a="1"/>
  <c r="D709" i="2" a="1"/>
  <c r="D705" i="2" a="1"/>
  <c r="D701" i="2" a="1"/>
  <c r="D697" i="2" a="1"/>
  <c r="D693" i="2" a="1"/>
  <c r="D715" i="2" a="1"/>
  <c r="D708" i="2" a="1"/>
  <c r="D699" i="2" a="1"/>
  <c r="D689" i="2" a="1"/>
  <c r="D681" i="2" a="1"/>
  <c r="D645" i="2" a="1"/>
  <c r="D641" i="2" a="1"/>
  <c r="D637" i="2" a="1"/>
  <c r="D633" i="2" a="1"/>
  <c r="D629" i="2" a="1"/>
  <c r="D625" i="2" a="1"/>
  <c r="D621" i="2" a="1"/>
  <c r="D712" i="2" a="1"/>
  <c r="D703" i="2" a="1"/>
  <c r="D696" i="2" a="1"/>
  <c r="D691" i="2" a="1"/>
  <c r="D683" i="2" a="1"/>
  <c r="D644" i="2" a="1"/>
  <c r="D640" i="2" a="1"/>
  <c r="D636" i="2" a="1"/>
  <c r="D632" i="2" a="1"/>
  <c r="D628" i="2" a="1"/>
  <c r="D624" i="2" a="1"/>
  <c r="D704" i="2" a="1"/>
  <c r="D700" i="2" a="1"/>
  <c r="D692" i="2" a="1"/>
  <c r="D679" i="2" a="1"/>
  <c r="D676" i="2" a="1"/>
  <c r="D672" i="2" a="1"/>
  <c r="D668" i="2" a="1"/>
  <c r="D664" i="2" a="1"/>
  <c r="D660" i="2" a="1"/>
  <c r="D656" i="2" a="1"/>
  <c r="D652" i="2" a="1"/>
  <c r="D648" i="2" a="1"/>
  <c r="D635" i="2" a="1"/>
  <c r="D634" i="2" a="1"/>
  <c r="D617" i="2" a="1"/>
  <c r="D711" i="2" a="1"/>
  <c r="D690" i="2" a="1"/>
  <c r="D680" i="2" a="1"/>
  <c r="D677" i="2" a="1"/>
  <c r="D673" i="2" a="1"/>
  <c r="D669" i="2" a="1"/>
  <c r="D665" i="2" a="1"/>
  <c r="D661" i="2" a="1"/>
  <c r="D657" i="2" a="1"/>
  <c r="D653" i="2" a="1"/>
  <c r="D649" i="2" a="1"/>
  <c r="D639" i="2" a="1"/>
  <c r="D638" i="2" a="1"/>
  <c r="D623" i="2" a="1"/>
  <c r="D622" i="2" a="1"/>
  <c r="D620" i="2" a="1"/>
  <c r="D616" i="2" a="1"/>
  <c r="D612" i="2" a="1"/>
  <c r="D608" i="2" a="1"/>
  <c r="D604" i="2" a="1"/>
  <c r="D716" i="2" a="1"/>
  <c r="D707" i="2" a="1"/>
  <c r="D687" i="2" a="1"/>
  <c r="D674" i="2" a="1"/>
  <c r="D670" i="2" a="1"/>
  <c r="D666" i="2" a="1"/>
  <c r="D662" i="2" a="1"/>
  <c r="D658" i="2" a="1"/>
  <c r="D654" i="2" a="1"/>
  <c r="D650" i="2" a="1"/>
  <c r="D643" i="2" a="1"/>
  <c r="D642" i="2" a="1"/>
  <c r="D627" i="2" a="1"/>
  <c r="D626" i="2" a="1"/>
  <c r="D619" i="2" a="1"/>
  <c r="D615" i="2" a="1"/>
  <c r="D611" i="2" a="1"/>
  <c r="D607" i="2" a="1"/>
  <c r="D603" i="2" a="1"/>
  <c r="D651" i="2" a="1"/>
  <c r="D609" i="2" a="1"/>
  <c r="D598" i="2" a="1"/>
  <c r="D590" i="2" a="1"/>
  <c r="D585" i="2" a="1"/>
  <c r="D581" i="2" a="1"/>
  <c r="D577" i="2" a="1"/>
  <c r="D573" i="2" a="1"/>
  <c r="D569" i="2" a="1"/>
  <c r="D565" i="2" a="1"/>
  <c r="D561" i="2" a="1"/>
  <c r="D688" i="2" a="1"/>
  <c r="D678" i="2" a="1"/>
  <c r="D663" i="2" a="1"/>
  <c r="D610" i="2" a="1"/>
  <c r="D597" i="2" a="1"/>
  <c r="D589" i="2" a="1"/>
  <c r="D695" i="2" a="1"/>
  <c r="D685" i="2" a="1"/>
  <c r="D682" i="2" a="1"/>
  <c r="D675" i="2" a="1"/>
  <c r="D613" i="2" a="1"/>
  <c r="D602" i="2" a="1"/>
  <c r="D596" i="2" a="1"/>
  <c r="D588" i="2" a="1"/>
  <c r="D587" i="2" a="1"/>
  <c r="D586" i="2" a="1"/>
  <c r="D554" i="2" a="1"/>
  <c r="D547" i="2" a="1"/>
  <c r="D553" i="2" a="1"/>
  <c r="D684" i="2" a="1"/>
  <c r="D599" i="2" a="1"/>
  <c r="D591" i="2" a="1"/>
  <c r="D568" i="2" a="1"/>
  <c r="D567" i="2" a="1"/>
  <c r="D566" i="2" a="1"/>
  <c r="D559" i="2" a="1"/>
  <c r="D551" i="2" a="1"/>
  <c r="D671" i="2" a="1"/>
  <c r="D647" i="2" a="1"/>
  <c r="D600" i="2" a="1"/>
  <c r="D592" i="2" a="1"/>
  <c r="D572" i="2" a="1"/>
  <c r="D571" i="2" a="1"/>
  <c r="D570" i="2" a="1"/>
  <c r="D558" i="2" a="1"/>
  <c r="D550" i="2" a="1"/>
  <c r="D686" i="2" a="1"/>
  <c r="D659" i="2" a="1"/>
  <c r="D593" i="2" a="1"/>
  <c r="D576" i="2" a="1"/>
  <c r="D575" i="2" a="1"/>
  <c r="D574" i="2" a="1"/>
  <c r="D667" i="2" a="1"/>
  <c r="D655" i="2" a="1"/>
  <c r="D646" i="2" a="1"/>
  <c r="D605" i="2" a="1"/>
  <c r="D595" i="2" a="1"/>
  <c r="D584" i="2" a="1"/>
  <c r="D583" i="2" a="1"/>
  <c r="D582" i="2" a="1"/>
  <c r="D555" i="2" a="1"/>
  <c r="D594" i="2" a="1"/>
  <c r="D614" i="2" a="1"/>
  <c r="D528" i="2" a="1"/>
  <c r="D524" i="2" a="1"/>
  <c r="D520" i="2" a="1"/>
  <c r="D516" i="2" a="1"/>
  <c r="D512" i="2" a="1"/>
  <c r="D508" i="2" a="1"/>
  <c r="D504" i="2" a="1"/>
  <c r="D500" i="2" a="1"/>
  <c r="D496" i="2" a="1"/>
  <c r="D578" i="2" a="1"/>
  <c r="D546" i="2" a="1"/>
  <c r="D545" i="2" a="1"/>
  <c r="D544" i="2" a="1"/>
  <c r="D543" i="2" a="1"/>
  <c r="D542" i="2" a="1"/>
  <c r="D541" i="2" a="1"/>
  <c r="D540" i="2" a="1"/>
  <c r="D539" i="2" a="1"/>
  <c r="D538" i="2" a="1"/>
  <c r="D537" i="2" a="1"/>
  <c r="D536" i="2" a="1"/>
  <c r="D535" i="2" a="1"/>
  <c r="D630" i="2" a="1"/>
  <c r="D548" i="2" a="1"/>
  <c r="D530" i="2" a="1"/>
  <c r="D526" i="2" a="1"/>
  <c r="D522" i="2" a="1"/>
  <c r="D518" i="2" a="1"/>
  <c r="D514" i="2" a="1"/>
  <c r="D510" i="2" a="1"/>
  <c r="D506" i="2" a="1"/>
  <c r="D502" i="2" a="1"/>
  <c r="D498" i="2" a="1"/>
  <c r="D560" i="2" a="1"/>
  <c r="D556" i="2" a="1"/>
  <c r="D552" i="2" a="1"/>
  <c r="D519" i="2" a="1"/>
  <c r="D503" i="2" a="1"/>
  <c r="D497" i="2" a="1"/>
  <c r="D495" i="2" a="1"/>
  <c r="D487" i="2" a="1"/>
  <c r="D631" i="2" a="1"/>
  <c r="D563" i="2" a="1"/>
  <c r="D525" i="2" a="1"/>
  <c r="D509" i="2" a="1"/>
  <c r="D494" i="2" a="1"/>
  <c r="D486" i="2" a="1"/>
  <c r="D482" i="2" a="1"/>
  <c r="D478" i="2" a="1"/>
  <c r="D618" i="2" a="1"/>
  <c r="D534" i="2" a="1"/>
  <c r="D531" i="2" a="1"/>
  <c r="D515" i="2" a="1"/>
  <c r="D499" i="2" a="1"/>
  <c r="D493" i="2" a="1"/>
  <c r="D521" i="2" a="1"/>
  <c r="D505" i="2" a="1"/>
  <c r="D492" i="2" a="1"/>
  <c r="D485" i="2" a="1"/>
  <c r="D481" i="2" a="1"/>
  <c r="D477" i="2" a="1"/>
  <c r="D473" i="2" a="1"/>
  <c r="D469" i="2" a="1"/>
  <c r="D465" i="2" a="1"/>
  <c r="D461" i="2" a="1"/>
  <c r="D457" i="2" a="1"/>
  <c r="D453" i="2" a="1"/>
  <c r="D449" i="2" a="1"/>
  <c r="D445" i="2" a="1"/>
  <c r="D441" i="2" a="1"/>
  <c r="D437" i="2" a="1"/>
  <c r="D433" i="2" a="1"/>
  <c r="D429" i="2" a="1"/>
  <c r="D425" i="2" a="1"/>
  <c r="D421" i="2" a="1"/>
  <c r="D417" i="2" a="1"/>
  <c r="D606" i="2" a="1"/>
  <c r="D580" i="2" a="1"/>
  <c r="D562" i="2" a="1"/>
  <c r="D532" i="2" a="1"/>
  <c r="D527" i="2" a="1"/>
  <c r="D511" i="2" a="1"/>
  <c r="D491" i="2" a="1"/>
  <c r="D601" i="2" a="1"/>
  <c r="D517" i="2" a="1"/>
  <c r="D501" i="2" a="1"/>
  <c r="D490" i="2" a="1"/>
  <c r="D484" i="2" a="1"/>
  <c r="D480" i="2" a="1"/>
  <c r="D476" i="2" a="1"/>
  <c r="D579" i="2" a="1"/>
  <c r="D564" i="2" a="1"/>
  <c r="D557" i="2" a="1"/>
  <c r="D523" i="2" a="1"/>
  <c r="D507" i="2" a="1"/>
  <c r="D489" i="2" a="1"/>
  <c r="D549" i="2" a="1"/>
  <c r="D533" i="2" a="1"/>
  <c r="D529" i="2" a="1"/>
  <c r="D513" i="2" a="1"/>
  <c r="D488" i="2" a="1"/>
  <c r="D483" i="2" a="1"/>
  <c r="D479" i="2" a="1"/>
  <c r="D475" i="2" a="1"/>
  <c r="D471" i="2" a="1"/>
  <c r="D467" i="2" a="1"/>
  <c r="D463" i="2" a="1"/>
  <c r="D459" i="2" a="1"/>
  <c r="D455" i="2" a="1"/>
  <c r="D451" i="2" a="1"/>
  <c r="D447" i="2" a="1"/>
  <c r="D443" i="2" a="1"/>
  <c r="D439" i="2" a="1"/>
  <c r="D435" i="2" a="1"/>
  <c r="D431" i="2" a="1"/>
  <c r="D427" i="2" a="1"/>
  <c r="D423" i="2" a="1"/>
  <c r="D419" i="2" a="1"/>
  <c r="D415" i="2" a="1"/>
  <c r="D462" i="2" a="1"/>
  <c r="D446" i="2" a="1"/>
  <c r="D430" i="2" a="1"/>
  <c r="D371" i="2" a="1"/>
  <c r="D366" i="2" a="1"/>
  <c r="D362" i="2" a="1"/>
  <c r="D358" i="2" a="1"/>
  <c r="D354" i="2" a="1"/>
  <c r="D350" i="2" a="1"/>
  <c r="D346" i="2" a="1"/>
  <c r="D342" i="2" a="1"/>
  <c r="D338" i="2" a="1"/>
  <c r="D334" i="2" a="1"/>
  <c r="D330" i="2" a="1"/>
  <c r="D326" i="2" a="1"/>
  <c r="D322" i="2" a="1"/>
  <c r="D318" i="2" a="1"/>
  <c r="D314" i="2" a="1"/>
  <c r="D472" i="2" a="1"/>
  <c r="D456" i="2" a="1"/>
  <c r="D466" i="2" a="1"/>
  <c r="D450" i="2" a="1"/>
  <c r="D460" i="2" a="1"/>
  <c r="D444" i="2" a="1"/>
  <c r="D428" i="2" a="1"/>
  <c r="D470" i="2" a="1"/>
  <c r="D454" i="2" a="1"/>
  <c r="D438" i="2" a="1"/>
  <c r="D422" i="2" a="1"/>
  <c r="D414" i="2" a="1"/>
  <c r="D413" i="2" a="1"/>
  <c r="D412" i="2" a="1"/>
  <c r="D411" i="2" a="1"/>
  <c r="D410" i="2" a="1"/>
  <c r="D409" i="2" a="1"/>
  <c r="D408" i="2" a="1"/>
  <c r="D407" i="2" a="1"/>
  <c r="D406" i="2" a="1"/>
  <c r="D405" i="2" a="1"/>
  <c r="D404" i="2" a="1"/>
  <c r="D403" i="2" a="1"/>
  <c r="D402" i="2" a="1"/>
  <c r="D401" i="2" a="1"/>
  <c r="D400" i="2" a="1"/>
  <c r="D399" i="2" a="1"/>
  <c r="D398" i="2" a="1"/>
  <c r="D397" i="2" a="1"/>
  <c r="D396" i="2" a="1"/>
  <c r="D395" i="2" a="1"/>
  <c r="D464" i="2" a="1"/>
  <c r="D448" i="2" a="1"/>
  <c r="D474" i="2" a="1"/>
  <c r="D458" i="2" a="1"/>
  <c r="D468" i="2" a="1"/>
  <c r="D452" i="2" a="1"/>
  <c r="D436" i="2" a="1"/>
  <c r="D420" i="2" a="1"/>
  <c r="D434" i="2" a="1"/>
  <c r="D390" i="2" a="1"/>
  <c r="D382" i="2" a="1"/>
  <c r="D374" i="2" a="1"/>
  <c r="D369" i="2" a="1"/>
  <c r="D359" i="2" a="1"/>
  <c r="D353" i="2" a="1"/>
  <c r="D340" i="2" a="1"/>
  <c r="D327" i="2" a="1"/>
  <c r="D321" i="2" a="1"/>
  <c r="D424" i="2" a="1"/>
  <c r="D393" i="2" a="1"/>
  <c r="D385" i="2" a="1"/>
  <c r="D377" i="2" a="1"/>
  <c r="D370" i="2" a="1"/>
  <c r="D360" i="2" a="1"/>
  <c r="D347" i="2" a="1"/>
  <c r="D341" i="2" a="1"/>
  <c r="D328" i="2" a="1"/>
  <c r="D315" i="2" a="1"/>
  <c r="D426" i="2" a="1"/>
  <c r="D388" i="2" a="1"/>
  <c r="D380" i="2" a="1"/>
  <c r="D361" i="2" a="1"/>
  <c r="D348" i="2" a="1"/>
  <c r="D335" i="2" a="1"/>
  <c r="D329" i="2" a="1"/>
  <c r="D316" i="2" a="1"/>
  <c r="D391" i="2" a="1"/>
  <c r="D383" i="2" a="1"/>
  <c r="D375" i="2" a="1"/>
  <c r="D355" i="2" a="1"/>
  <c r="D349" i="2" a="1"/>
  <c r="D336" i="2" a="1"/>
  <c r="D323" i="2" a="1"/>
  <c r="D317" i="2" a="1"/>
  <c r="D277" i="2" a="1"/>
  <c r="D273" i="2" a="1"/>
  <c r="D269" i="2" a="1"/>
  <c r="D265" i="2" a="1"/>
  <c r="D261" i="2" a="1"/>
  <c r="D257" i="2" a="1"/>
  <c r="D253" i="2" a="1"/>
  <c r="D249" i="2" a="1"/>
  <c r="D245" i="2" a="1"/>
  <c r="D241" i="2" a="1"/>
  <c r="D237" i="2" a="1"/>
  <c r="D233" i="2" a="1"/>
  <c r="D229" i="2" a="1"/>
  <c r="D225" i="2" a="1"/>
  <c r="D221" i="2" a="1"/>
  <c r="D217" i="2" a="1"/>
  <c r="D213" i="2" a="1"/>
  <c r="D418" i="2" a="1"/>
  <c r="D416" i="2" a="1"/>
  <c r="D394" i="2" a="1"/>
  <c r="D386" i="2" a="1"/>
  <c r="D378" i="2" a="1"/>
  <c r="D372" i="2" a="1"/>
  <c r="D356" i="2" a="1"/>
  <c r="D343" i="2" a="1"/>
  <c r="D337" i="2" a="1"/>
  <c r="D324" i="2" a="1"/>
  <c r="D440" i="2" a="1"/>
  <c r="D389" i="2" a="1"/>
  <c r="D381" i="2" a="1"/>
  <c r="D373" i="2" a="1"/>
  <c r="D363" i="2" a="1"/>
  <c r="D357" i="2" a="1"/>
  <c r="D344" i="2" a="1"/>
  <c r="D331" i="2" a="1"/>
  <c r="D325" i="2" a="1"/>
  <c r="D442" i="2" a="1"/>
  <c r="D392" i="2" a="1"/>
  <c r="D384" i="2" a="1"/>
  <c r="D376" i="2" a="1"/>
  <c r="D364" i="2" a="1"/>
  <c r="D351" i="2" a="1"/>
  <c r="D345" i="2" a="1"/>
  <c r="D332" i="2" a="1"/>
  <c r="D319" i="2" a="1"/>
  <c r="D432" i="2" a="1"/>
  <c r="D387" i="2" a="1"/>
  <c r="D379" i="2" a="1"/>
  <c r="D365" i="2" a="1"/>
  <c r="D352" i="2" a="1"/>
  <c r="D339" i="2" a="1"/>
  <c r="D333" i="2" a="1"/>
  <c r="D320" i="2" a="1"/>
  <c r="D313" i="2" a="1"/>
  <c r="D312" i="2" a="1"/>
  <c r="D311" i="2" a="1"/>
  <c r="D310" i="2" a="1"/>
  <c r="D309" i="2" a="1"/>
  <c r="D308" i="2" a="1"/>
  <c r="D307" i="2" a="1"/>
  <c r="D306" i="2" a="1"/>
  <c r="D305" i="2" a="1"/>
  <c r="D304" i="2" a="1"/>
  <c r="D303" i="2" a="1"/>
  <c r="D302" i="2" a="1"/>
  <c r="D301" i="2" a="1"/>
  <c r="D300" i="2" a="1"/>
  <c r="D299" i="2" a="1"/>
  <c r="D298" i="2" a="1"/>
  <c r="D297" i="2" a="1"/>
  <c r="D296" i="2" a="1"/>
  <c r="D295" i="2" a="1"/>
  <c r="D294" i="2" a="1"/>
  <c r="D293" i="2" a="1"/>
  <c r="D292" i="2" a="1"/>
  <c r="D291" i="2" a="1"/>
  <c r="D290" i="2" a="1"/>
  <c r="D289" i="2" a="1"/>
  <c r="D288" i="2" a="1"/>
  <c r="D287" i="2" a="1"/>
  <c r="D275" i="2" a="1"/>
  <c r="D262" i="2" a="1"/>
  <c r="D256" i="2" a="1"/>
  <c r="D243" i="2" a="1"/>
  <c r="D230" i="2" a="1"/>
  <c r="D224" i="2" a="1"/>
  <c r="D285" i="2" a="1"/>
  <c r="D281" i="2" a="1"/>
  <c r="D276" i="2" a="1"/>
  <c r="D270" i="2" a="1"/>
  <c r="D264" i="2" a="1"/>
  <c r="D286" i="2" a="1"/>
  <c r="D282" i="2" a="1"/>
  <c r="D271" i="2" a="1"/>
  <c r="D258" i="2" a="1"/>
  <c r="D252" i="2" a="1"/>
  <c r="D239" i="2" a="1"/>
  <c r="D226" i="2" a="1"/>
  <c r="D220" i="2" a="1"/>
  <c r="D178" i="2" a="1"/>
  <c r="D174" i="2" a="1"/>
  <c r="D170" i="2" a="1"/>
  <c r="D166" i="2" a="1"/>
  <c r="D162" i="2" a="1"/>
  <c r="D158" i="2" a="1"/>
  <c r="D278" i="2" a="1"/>
  <c r="D272" i="2" a="1"/>
  <c r="D259" i="2" a="1"/>
  <c r="D246" i="2" a="1"/>
  <c r="D240" i="2" a="1"/>
  <c r="D227" i="2" a="1"/>
  <c r="D214" i="2" a="1"/>
  <c r="D283" i="2" a="1"/>
  <c r="D279" i="2" a="1"/>
  <c r="D267" i="2" a="1"/>
  <c r="D284" i="2" a="1"/>
  <c r="D280" i="2" a="1"/>
  <c r="D274" i="2" a="1"/>
  <c r="D268" i="2" a="1"/>
  <c r="D255" i="2" a="1"/>
  <c r="D242" i="2" a="1"/>
  <c r="D236" i="2" a="1"/>
  <c r="D223" i="2" a="1"/>
  <c r="D176" i="2" a="1"/>
  <c r="D172" i="2" a="1"/>
  <c r="D168" i="2" a="1"/>
  <c r="D164" i="2" a="1"/>
  <c r="D160" i="2" a="1"/>
  <c r="D156" i="2" a="1"/>
  <c r="D152" i="2" a="1"/>
  <c r="D148" i="2" a="1"/>
  <c r="D144" i="2" a="1"/>
  <c r="D228" i="2" a="1"/>
  <c r="D207" i="2" a="1"/>
  <c r="D199" i="2" a="1"/>
  <c r="D191" i="2" a="1"/>
  <c r="D183" i="2" a="1"/>
  <c r="D171" i="2" a="1"/>
  <c r="D146" i="2" a="1"/>
  <c r="D238" i="2" a="1"/>
  <c r="D234" i="2" a="1"/>
  <c r="D232" i="2" a="1"/>
  <c r="D210" i="2" a="1"/>
  <c r="D202" i="2" a="1"/>
  <c r="D194" i="2" a="1"/>
  <c r="D186" i="2" a="1"/>
  <c r="D165" i="2" a="1"/>
  <c r="D244" i="2" a="1"/>
  <c r="D205" i="2" a="1"/>
  <c r="D197" i="2" a="1"/>
  <c r="D189" i="2" a="1"/>
  <c r="D181" i="2" a="1"/>
  <c r="D175" i="2" a="1"/>
  <c r="D159" i="2" a="1"/>
  <c r="D154" i="2" a="1"/>
  <c r="D211" i="2" a="1"/>
  <c r="D203" i="2" a="1"/>
  <c r="D195" i="2" a="1"/>
  <c r="D187" i="2" a="1"/>
  <c r="D179" i="2" a="1"/>
  <c r="D163" i="2" a="1"/>
  <c r="D149" i="2" a="1"/>
  <c r="D266" i="2" a="1"/>
  <c r="D263" i="2" a="1"/>
  <c r="D235" i="2" a="1"/>
  <c r="D231" i="2" a="1"/>
  <c r="D206" i="2" a="1"/>
  <c r="D198" i="2" a="1"/>
  <c r="D190" i="2" a="1"/>
  <c r="D182" i="2" a="1"/>
  <c r="D173" i="2" a="1"/>
  <c r="D260" i="2" a="1"/>
  <c r="D209" i="2" a="1"/>
  <c r="D201" i="2" a="1"/>
  <c r="D193" i="2" a="1"/>
  <c r="D185" i="2" a="1"/>
  <c r="D167" i="2" a="1"/>
  <c r="D157" i="2" a="1"/>
  <c r="D151" i="2" a="1"/>
  <c r="D218" i="2" a="1"/>
  <c r="D177" i="2" a="1"/>
  <c r="D140" i="2" a="1"/>
  <c r="D136" i="2" a="1"/>
  <c r="D132" i="2" a="1"/>
  <c r="D128" i="2" a="1"/>
  <c r="D124" i="2" a="1"/>
  <c r="D120" i="2" a="1"/>
  <c r="D116" i="2" a="1"/>
  <c r="D112" i="2" a="1"/>
  <c r="D111" i="2" a="1"/>
  <c r="D110" i="2" a="1"/>
  <c r="D109" i="2" a="1"/>
  <c r="D108" i="2" a="1"/>
  <c r="D107" i="2" a="1"/>
  <c r="D106" i="2" a="1"/>
  <c r="D53" i="2" a="1"/>
  <c r="D250" i="2" a="1"/>
  <c r="D212" i="2" a="1"/>
  <c r="D208" i="2" a="1"/>
  <c r="D204" i="2" a="1"/>
  <c r="D200" i="2" a="1"/>
  <c r="D196" i="2" a="1"/>
  <c r="D192" i="2" a="1"/>
  <c r="D188" i="2" a="1"/>
  <c r="D184" i="2" a="1"/>
  <c r="D180" i="2" a="1"/>
  <c r="D169" i="2" a="1"/>
  <c r="D105" i="2" a="1"/>
  <c r="D101" i="2" a="1"/>
  <c r="D97" i="2" a="1"/>
  <c r="D93" i="2" a="1"/>
  <c r="D89" i="2" a="1"/>
  <c r="D85" i="2" a="1"/>
  <c r="D81" i="2" a="1"/>
  <c r="D77" i="2" a="1"/>
  <c r="D73" i="2" a="1"/>
  <c r="D69" i="2" a="1"/>
  <c r="D65" i="2" a="1"/>
  <c r="D61" i="2" a="1"/>
  <c r="D57" i="2" a="1"/>
  <c r="D222" i="2" a="1"/>
  <c r="D147" i="2" a="1"/>
  <c r="D141" i="2" a="1"/>
  <c r="D137" i="2" a="1"/>
  <c r="D133" i="2" a="1"/>
  <c r="D129" i="2" a="1"/>
  <c r="D125" i="2" a="1"/>
  <c r="D121" i="2" a="1"/>
  <c r="D117" i="2" a="1"/>
  <c r="D113" i="2" a="1"/>
  <c r="D254" i="2" a="1"/>
  <c r="D216" i="2" a="1"/>
  <c r="D161" i="2" a="1"/>
  <c r="D155" i="2" a="1"/>
  <c r="D153" i="2" a="1"/>
  <c r="D145" i="2" a="1"/>
  <c r="D104" i="2" a="1"/>
  <c r="D100" i="2" a="1"/>
  <c r="D96" i="2" a="1"/>
  <c r="D92" i="2" a="1"/>
  <c r="D88" i="2" a="1"/>
  <c r="D84" i="2" a="1"/>
  <c r="D80" i="2" a="1"/>
  <c r="D76" i="2" a="1"/>
  <c r="D72" i="2" a="1"/>
  <c r="D68" i="2" a="1"/>
  <c r="D64" i="2" a="1"/>
  <c r="D60" i="2" a="1"/>
  <c r="D56" i="2" a="1"/>
  <c r="D52" i="2" a="1"/>
  <c r="D48" i="2" a="1"/>
  <c r="D44" i="2" a="1"/>
  <c r="D40" i="2" a="1"/>
  <c r="D248" i="2" a="1"/>
  <c r="D142" i="2" a="1"/>
  <c r="D138" i="2" a="1"/>
  <c r="D134" i="2" a="1"/>
  <c r="D130" i="2" a="1"/>
  <c r="D126" i="2" a="1"/>
  <c r="D122" i="2" a="1"/>
  <c r="D118" i="2" a="1"/>
  <c r="D114" i="2" a="1"/>
  <c r="D215" i="2" a="1"/>
  <c r="D103" i="2" a="1"/>
  <c r="D99" i="2" a="1"/>
  <c r="D95" i="2" a="1"/>
  <c r="D91" i="2" a="1"/>
  <c r="D87" i="2" a="1"/>
  <c r="D83" i="2" a="1"/>
  <c r="D79" i="2" a="1"/>
  <c r="D75" i="2" a="1"/>
  <c r="D71" i="2" a="1"/>
  <c r="D67" i="2" a="1"/>
  <c r="D63" i="2" a="1"/>
  <c r="D59" i="2" a="1"/>
  <c r="D55" i="2" a="1"/>
  <c r="D51" i="2" a="1"/>
  <c r="D47" i="2" a="1"/>
  <c r="D43" i="2" a="1"/>
  <c r="D39" i="2" a="1"/>
  <c r="D247" i="2" a="1"/>
  <c r="D219" i="2" a="1"/>
  <c r="D143" i="2" a="1"/>
  <c r="D139" i="2" a="1"/>
  <c r="D135" i="2" a="1"/>
  <c r="D131" i="2" a="1"/>
  <c r="D127" i="2" a="1"/>
  <c r="D123" i="2" a="1"/>
  <c r="D119" i="2" a="1"/>
  <c r="D115" i="2" a="1"/>
  <c r="D251" i="2" a="1"/>
  <c r="D150" i="2" a="1"/>
  <c r="D102" i="2" a="1"/>
  <c r="D98" i="2" a="1"/>
  <c r="D94" i="2" a="1"/>
  <c r="D90" i="2" a="1"/>
  <c r="D86" i="2" a="1"/>
  <c r="D82" i="2" a="1"/>
  <c r="D78" i="2" a="1"/>
  <c r="D74" i="2" a="1"/>
  <c r="D70" i="2" a="1"/>
  <c r="D66" i="2" a="1"/>
  <c r="D62" i="2" a="1"/>
  <c r="D58" i="2" a="1"/>
  <c r="D54" i="2" a="1"/>
  <c r="D50" i="2" a="1"/>
  <c r="D46" i="2" a="1"/>
  <c r="D42" i="2" a="1"/>
  <c r="D38" i="2" a="1"/>
  <c r="D41" i="2" a="1"/>
  <c r="D45" i="2" a="1"/>
  <c r="D49" i="2" a="1"/>
  <c r="N3884" i="3" l="1"/>
  <c r="Y328" i="2"/>
  <c r="Y307" i="2"/>
  <c r="Y304" i="2"/>
  <c r="Y330" i="2"/>
  <c r="Y317" i="2"/>
  <c r="Y60" i="2"/>
  <c r="Y62" i="2"/>
  <c r="Y311" i="2"/>
  <c r="Y63" i="2"/>
  <c r="Y312" i="2"/>
  <c r="Y331" i="2"/>
  <c r="Y318" i="2"/>
  <c r="Y322" i="2"/>
  <c r="Y332" i="2"/>
  <c r="Y320" i="2"/>
  <c r="Y314" i="2"/>
  <c r="Y43" i="2"/>
  <c r="Y326" i="2"/>
  <c r="Y42" i="2"/>
  <c r="Y327" i="2"/>
  <c r="Y305" i="2"/>
  <c r="Y309" i="2"/>
  <c r="T37" i="2"/>
  <c r="W37" i="2"/>
  <c r="Y306" i="2"/>
  <c r="V37" i="2"/>
  <c r="U37" i="2"/>
  <c r="S37" i="2"/>
  <c r="X37" i="2"/>
  <c r="Q260" i="2"/>
  <c r="Y260" i="2" s="1"/>
  <c r="Q49" i="2"/>
  <c r="Y49" i="2" s="1"/>
  <c r="Q221" i="2"/>
  <c r="Y221" i="2" s="1"/>
  <c r="Q118" i="2"/>
  <c r="Y118" i="2" s="1"/>
  <c r="Q343" i="2"/>
  <c r="Y343" i="2" s="1"/>
  <c r="Q275" i="2"/>
  <c r="Y275" i="2" s="1"/>
  <c r="Q70" i="2"/>
  <c r="Y70" i="2" s="1"/>
  <c r="Q222" i="2"/>
  <c r="Y222" i="2" s="1"/>
  <c r="Q132" i="2"/>
  <c r="Y132" i="2" s="1"/>
  <c r="Q172" i="2"/>
  <c r="Y172" i="2" s="1"/>
  <c r="Q138" i="2"/>
  <c r="Y138" i="2" s="1"/>
  <c r="Q104" i="2"/>
  <c r="Y104" i="2" s="1"/>
  <c r="Q203" i="2"/>
  <c r="Y203" i="2" s="1"/>
  <c r="Q238" i="2"/>
  <c r="Y238" i="2" s="1"/>
  <c r="Q353" i="2"/>
  <c r="Y353" i="2" s="1"/>
  <c r="Q225" i="2"/>
  <c r="Y225" i="2" s="1"/>
  <c r="Q277" i="2"/>
  <c r="Y277" i="2" s="1"/>
  <c r="Q196" i="2"/>
  <c r="Y196" i="2" s="1"/>
  <c r="Q72" i="2"/>
  <c r="Y72" i="2" s="1"/>
  <c r="Q467" i="2"/>
  <c r="Y467" i="2" s="1"/>
  <c r="Q404" i="2"/>
  <c r="Y404" i="2" s="1"/>
  <c r="Q433" i="2"/>
  <c r="Y433" i="2" s="1"/>
  <c r="Q525" i="2"/>
  <c r="Y525" i="2" s="1"/>
  <c r="Q458" i="2"/>
  <c r="Y458" i="2" s="1"/>
  <c r="Q492" i="2"/>
  <c r="Y492" i="2" s="1"/>
  <c r="Q425" i="2"/>
  <c r="Y425" i="2" s="1"/>
  <c r="Q526" i="2"/>
  <c r="Y526" i="2" s="1"/>
  <c r="Q459" i="2"/>
  <c r="Y459" i="2" s="1"/>
  <c r="Q493" i="2"/>
  <c r="Y493" i="2" s="1"/>
  <c r="Q426" i="2"/>
  <c r="Y426" i="2" s="1"/>
  <c r="Q527" i="2"/>
  <c r="Y527" i="2" s="1"/>
  <c r="Q460" i="2"/>
  <c r="Y460" i="2" s="1"/>
  <c r="Q494" i="2"/>
  <c r="Y494" i="2" s="1"/>
  <c r="Q427" i="2"/>
  <c r="Y427" i="2" s="1"/>
  <c r="Q516" i="2"/>
  <c r="Y516" i="2" s="1"/>
  <c r="Q453" i="2"/>
  <c r="Y453" i="2" s="1"/>
  <c r="Q1088" i="2"/>
  <c r="Y1088" i="2" s="1"/>
  <c r="Q799" i="2"/>
  <c r="Y799" i="2" s="1"/>
  <c r="Q548" i="2"/>
  <c r="Y548" i="2" s="1"/>
  <c r="Q711" i="2"/>
  <c r="Y711" i="2" s="1"/>
  <c r="Q697" i="2"/>
  <c r="Y697" i="2" s="1"/>
  <c r="Q668" i="2"/>
  <c r="Y668" i="2" s="1"/>
  <c r="Q917" i="2"/>
  <c r="Y917" i="2" s="1"/>
  <c r="Q1057" i="2"/>
  <c r="Y1057" i="2" s="1"/>
  <c r="Q775" i="2"/>
  <c r="Y775" i="2" s="1"/>
  <c r="Q996" i="2"/>
  <c r="Y996" i="2" s="1"/>
  <c r="Q823" i="2"/>
  <c r="Y823" i="2" s="1"/>
  <c r="Q547" i="2"/>
  <c r="Y547" i="2" s="1"/>
  <c r="Q583" i="2"/>
  <c r="Y583" i="2" s="1"/>
  <c r="Q560" i="2"/>
  <c r="Y560" i="2" s="1"/>
  <c r="Q584" i="2"/>
  <c r="Y584" i="2" s="1"/>
  <c r="Q867" i="2"/>
  <c r="Y867" i="2" s="1"/>
  <c r="Q950" i="2"/>
  <c r="Y950" i="2" s="1"/>
  <c r="Q656" i="2"/>
  <c r="Y656" i="2" s="1"/>
  <c r="Q835" i="2"/>
  <c r="Y835" i="2" s="1"/>
  <c r="Q623" i="2"/>
  <c r="Y623" i="2" s="1"/>
  <c r="Q595" i="2"/>
  <c r="Y595" i="2" s="1"/>
  <c r="Q876" i="2"/>
  <c r="Y876" i="2" s="1"/>
  <c r="Q605" i="2"/>
  <c r="Y605" i="2" s="1"/>
  <c r="Q1058" i="2"/>
  <c r="Y1058" i="2" s="1"/>
  <c r="Q694" i="2"/>
  <c r="Y694" i="2" s="1"/>
  <c r="Q719" i="2"/>
  <c r="Y719" i="2" s="1"/>
  <c r="Q1049" i="2"/>
  <c r="Y1049" i="2" s="1"/>
  <c r="Q797" i="2"/>
  <c r="Y797" i="2" s="1"/>
  <c r="Q888" i="2"/>
  <c r="Y888" i="2" s="1"/>
  <c r="Q569" i="2"/>
  <c r="Y569" i="2" s="1"/>
  <c r="Q827" i="2"/>
  <c r="Y827" i="2" s="1"/>
  <c r="Q565" i="2"/>
  <c r="Y565" i="2" s="1"/>
  <c r="Q919" i="2"/>
  <c r="Y919" i="2" s="1"/>
  <c r="Q601" i="2"/>
  <c r="Y601" i="2" s="1"/>
  <c r="Q572" i="2"/>
  <c r="Y572" i="2" s="1"/>
  <c r="Q921" i="2"/>
  <c r="Y921" i="2" s="1"/>
  <c r="Q649" i="2"/>
  <c r="Y649" i="2" s="1"/>
  <c r="Q1037" i="2"/>
  <c r="Y1037" i="2" s="1"/>
  <c r="Q938" i="2"/>
  <c r="Y938" i="2" s="1"/>
  <c r="Q726" i="2"/>
  <c r="Y726" i="2" s="1"/>
  <c r="Q1059" i="2"/>
  <c r="Y1059" i="2" s="1"/>
  <c r="Q682" i="2"/>
  <c r="Y682" i="2" s="1"/>
  <c r="Q875" i="2"/>
  <c r="Y875" i="2" s="1"/>
  <c r="Q900" i="2"/>
  <c r="Y900" i="2" s="1"/>
  <c r="Q895" i="2"/>
  <c r="Y895" i="2" s="1"/>
  <c r="Q1054" i="2"/>
  <c r="Y1054" i="2" s="1"/>
  <c r="Q537" i="2"/>
  <c r="Y537" i="2" s="1"/>
  <c r="Q577" i="2"/>
  <c r="Y577" i="2" s="1"/>
  <c r="Q926" i="2"/>
  <c r="Y926" i="2" s="1"/>
  <c r="Q301" i="2"/>
  <c r="Y301" i="2" s="1"/>
  <c r="Q45" i="2"/>
  <c r="Y45" i="2" s="1"/>
  <c r="R251" i="2"/>
  <c r="Y251" i="2" s="1"/>
  <c r="R99" i="2"/>
  <c r="R175" i="2"/>
  <c r="Y175" i="2" s="1"/>
  <c r="R348" i="2"/>
  <c r="R131" i="2"/>
  <c r="Y131" i="2" s="1"/>
  <c r="R125" i="2"/>
  <c r="R137" i="2"/>
  <c r="R103" i="2"/>
  <c r="Y103" i="2" s="1"/>
  <c r="R185" i="2"/>
  <c r="R296" i="2"/>
  <c r="R265" i="2"/>
  <c r="R93" i="2"/>
  <c r="R157" i="2"/>
  <c r="R346" i="2"/>
  <c r="R894" i="2"/>
  <c r="R808" i="2"/>
  <c r="R943" i="2"/>
  <c r="R836" i="2"/>
  <c r="R864" i="2"/>
  <c r="R822" i="2"/>
  <c r="R842" i="2"/>
  <c r="Y842" i="2" s="1"/>
  <c r="R872" i="2"/>
  <c r="R824" i="2"/>
  <c r="R704" i="2"/>
  <c r="R830" i="2"/>
  <c r="Y830" i="2" s="1"/>
  <c r="R770" i="2"/>
  <c r="Y770" i="2" s="1"/>
  <c r="R1069" i="2"/>
  <c r="R812" i="2"/>
  <c r="R790" i="2"/>
  <c r="Y790" i="2" s="1"/>
  <c r="R955" i="2"/>
  <c r="R878" i="2"/>
  <c r="R890" i="2"/>
  <c r="R804" i="2"/>
  <c r="R725" i="2"/>
  <c r="Y725" i="2" s="1"/>
  <c r="R37" i="2"/>
  <c r="Y315" i="2"/>
  <c r="Q250" i="2"/>
  <c r="Y250" i="2" s="1"/>
  <c r="Y137" i="2"/>
  <c r="Q324" i="2"/>
  <c r="Y324" i="2" s="1"/>
  <c r="Q80" i="2"/>
  <c r="Y80" i="2" s="1"/>
  <c r="Q347" i="2"/>
  <c r="Y347" i="2" s="1"/>
  <c r="Q211" i="2"/>
  <c r="Y211" i="2" s="1"/>
  <c r="Q279" i="2"/>
  <c r="Y279" i="2" s="1"/>
  <c r="Q182" i="2"/>
  <c r="Y182" i="2" s="1"/>
  <c r="Q94" i="2"/>
  <c r="Y94" i="2" s="1"/>
  <c r="Q164" i="2"/>
  <c r="Y164" i="2" s="1"/>
  <c r="Q169" i="2"/>
  <c r="Y169" i="2" s="1"/>
  <c r="Q112" i="2"/>
  <c r="Y112" i="2" s="1"/>
  <c r="Q218" i="2"/>
  <c r="Y218" i="2" s="1"/>
  <c r="Q223" i="2"/>
  <c r="Y223" i="2" s="1"/>
  <c r="Q357" i="2"/>
  <c r="Y357" i="2" s="1"/>
  <c r="Q186" i="2"/>
  <c r="Y186" i="2" s="1"/>
  <c r="Q281" i="2"/>
  <c r="Y281" i="2" s="1"/>
  <c r="Q158" i="2"/>
  <c r="Y158" i="2" s="1"/>
  <c r="Q204" i="2"/>
  <c r="Y204" i="2" s="1"/>
  <c r="Q206" i="2"/>
  <c r="Y206" i="2" s="1"/>
  <c r="Q242" i="2"/>
  <c r="Y242" i="2" s="1"/>
  <c r="Q471" i="2"/>
  <c r="Y471" i="2" s="1"/>
  <c r="Q408" i="2"/>
  <c r="Y408" i="2" s="1"/>
  <c r="Q400" i="2"/>
  <c r="Y400" i="2" s="1"/>
  <c r="Q529" i="2"/>
  <c r="Y529" i="2" s="1"/>
  <c r="Q462" i="2"/>
  <c r="Y462" i="2" s="1"/>
  <c r="Q496" i="2"/>
  <c r="Y496" i="2" s="1"/>
  <c r="Q429" i="2"/>
  <c r="Y429" i="2" s="1"/>
  <c r="Q530" i="2"/>
  <c r="Y530" i="2" s="1"/>
  <c r="Q463" i="2"/>
  <c r="Y463" i="2" s="1"/>
  <c r="Q497" i="2"/>
  <c r="Y497" i="2" s="1"/>
  <c r="Q430" i="2"/>
  <c r="Y430" i="2" s="1"/>
  <c r="Q531" i="2"/>
  <c r="Y531" i="2" s="1"/>
  <c r="Q464" i="2"/>
  <c r="Y464" i="2" s="1"/>
  <c r="Q498" i="2"/>
  <c r="Y498" i="2" s="1"/>
  <c r="Q431" i="2"/>
  <c r="Y431" i="2" s="1"/>
  <c r="Q520" i="2"/>
  <c r="Y520" i="2" s="1"/>
  <c r="Q457" i="2"/>
  <c r="Y457" i="2" s="1"/>
  <c r="Q971" i="2"/>
  <c r="Y971" i="2" s="1"/>
  <c r="Q1086" i="2"/>
  <c r="Y1086" i="2" s="1"/>
  <c r="Q765" i="2"/>
  <c r="Y765" i="2" s="1"/>
  <c r="Q940" i="2"/>
  <c r="Y940" i="2" s="1"/>
  <c r="Q648" i="2"/>
  <c r="Y648" i="2" s="1"/>
  <c r="Q1084" i="2"/>
  <c r="Y1084" i="2" s="1"/>
  <c r="Y894" i="2"/>
  <c r="Q1026" i="2"/>
  <c r="Y1026" i="2" s="1"/>
  <c r="Q543" i="2"/>
  <c r="Y543" i="2" s="1"/>
  <c r="Q698" i="2"/>
  <c r="Y698" i="2" s="1"/>
  <c r="Q893" i="2"/>
  <c r="Y893" i="2" s="1"/>
  <c r="Q1078" i="2"/>
  <c r="Y1078" i="2" s="1"/>
  <c r="Q703" i="2"/>
  <c r="Y703" i="2" s="1"/>
  <c r="Q910" i="2"/>
  <c r="Y910" i="2" s="1"/>
  <c r="Q618" i="2"/>
  <c r="Y618" i="2" s="1"/>
  <c r="Q1048" i="2"/>
  <c r="Y1048" i="2" s="1"/>
  <c r="Q558" i="2"/>
  <c r="Y558" i="2" s="1"/>
  <c r="Q585" i="2"/>
  <c r="Y585" i="2" s="1"/>
  <c r="Q555" i="2"/>
  <c r="Y555" i="2" s="1"/>
  <c r="Q568" i="2"/>
  <c r="Y568" i="2" s="1"/>
  <c r="Q1018" i="2"/>
  <c r="Y1018" i="2" s="1"/>
  <c r="Q958" i="2"/>
  <c r="Y958" i="2" s="1"/>
  <c r="Q657" i="2"/>
  <c r="Y657" i="2" s="1"/>
  <c r="Y824" i="2"/>
  <c r="Q597" i="2"/>
  <c r="Y597" i="2" s="1"/>
  <c r="Q1070" i="2"/>
  <c r="Y1070" i="2" s="1"/>
  <c r="Q880" i="2"/>
  <c r="Y880" i="2" s="1"/>
  <c r="Q630" i="2"/>
  <c r="Y630" i="2" s="1"/>
  <c r="Q885" i="2"/>
  <c r="Y885" i="2" s="1"/>
  <c r="Q611" i="2"/>
  <c r="Y611" i="2" s="1"/>
  <c r="Q901" i="2"/>
  <c r="Y901" i="2" s="1"/>
  <c r="Q599" i="2"/>
  <c r="Y599" i="2" s="1"/>
  <c r="Q686" i="2"/>
  <c r="Y686" i="2" s="1"/>
  <c r="Q975" i="2"/>
  <c r="Y975" i="2" s="1"/>
  <c r="Q993" i="2"/>
  <c r="Y993" i="2" s="1"/>
  <c r="Q1020" i="2"/>
  <c r="Y1020" i="2" s="1"/>
  <c r="Q807" i="2"/>
  <c r="Y807" i="2" s="1"/>
  <c r="Q763" i="2"/>
  <c r="Y763" i="2" s="1"/>
  <c r="Q927" i="2"/>
  <c r="Y927" i="2" s="1"/>
  <c r="Q727" i="2"/>
  <c r="Y727" i="2" s="1"/>
  <c r="Q702" i="2"/>
  <c r="Y702" i="2" s="1"/>
  <c r="Q564" i="2"/>
  <c r="Y564" i="2" s="1"/>
  <c r="Q791" i="2"/>
  <c r="Y791" i="2" s="1"/>
  <c r="Q819" i="2"/>
  <c r="Y819" i="2" s="1"/>
  <c r="Q887" i="2"/>
  <c r="Y887" i="2" s="1"/>
  <c r="Q41" i="2"/>
  <c r="Y41" i="2" s="1"/>
  <c r="R274" i="2"/>
  <c r="Y274" i="2" s="1"/>
  <c r="R259" i="2"/>
  <c r="Y259" i="2" s="1"/>
  <c r="R181" i="2"/>
  <c r="Y181" i="2" s="1"/>
  <c r="R111" i="2"/>
  <c r="R356" i="2"/>
  <c r="Y356" i="2" s="1"/>
  <c r="R183" i="2"/>
  <c r="Y183" i="2" s="1"/>
  <c r="R237" i="2"/>
  <c r="Y237" i="2" s="1"/>
  <c r="R193" i="2"/>
  <c r="Y193" i="2" s="1"/>
  <c r="R133" i="2"/>
  <c r="Y133" i="2" s="1"/>
  <c r="R342" i="2"/>
  <c r="Y342" i="2" s="1"/>
  <c r="R239" i="2"/>
  <c r="Y239" i="2" s="1"/>
  <c r="R91" i="2"/>
  <c r="R354" i="2"/>
  <c r="Y354" i="2" s="1"/>
  <c r="R764" i="2"/>
  <c r="Y764" i="2" s="1"/>
  <c r="R832" i="2"/>
  <c r="R713" i="2"/>
  <c r="R798" i="2"/>
  <c r="Y798" i="2" s="1"/>
  <c r="R778" i="2"/>
  <c r="Y778" i="2" s="1"/>
  <c r="R945" i="2"/>
  <c r="R844" i="2"/>
  <c r="R709" i="2"/>
  <c r="Y709" i="2" s="1"/>
  <c r="R728" i="2"/>
  <c r="Y728" i="2" s="1"/>
  <c r="R816" i="2"/>
  <c r="Y816" i="2" s="1"/>
  <c r="R772" i="2"/>
  <c r="Y772" i="2" s="1"/>
  <c r="R766" i="2"/>
  <c r="Y766" i="2" s="1"/>
  <c r="R858" i="2"/>
  <c r="Y858" i="2" s="1"/>
  <c r="R959" i="2"/>
  <c r="R1063" i="2"/>
  <c r="R874" i="2"/>
  <c r="R814" i="2"/>
  <c r="Y814" i="2" s="1"/>
  <c r="R660" i="2"/>
  <c r="R818" i="2"/>
  <c r="R50" i="2"/>
  <c r="Y50" i="2" s="1"/>
  <c r="Q335" i="2"/>
  <c r="Y335" i="2" s="1"/>
  <c r="R303" i="2"/>
  <c r="Y303" i="2" s="1"/>
  <c r="Q209" i="2"/>
  <c r="Y209" i="2" s="1"/>
  <c r="Q144" i="2"/>
  <c r="Y144" i="2" s="1"/>
  <c r="Q252" i="2"/>
  <c r="Y252" i="2" s="1"/>
  <c r="Q160" i="2"/>
  <c r="Y160" i="2" s="1"/>
  <c r="Q126" i="2"/>
  <c r="Y126" i="2" s="1"/>
  <c r="Q236" i="2"/>
  <c r="Y236" i="2" s="1"/>
  <c r="Q229" i="2"/>
  <c r="Y229" i="2" s="1"/>
  <c r="Q74" i="2"/>
  <c r="Y74" i="2" s="1"/>
  <c r="Y265" i="2"/>
  <c r="Q184" i="2"/>
  <c r="Y184" i="2" s="1"/>
  <c r="Q361" i="2"/>
  <c r="Y361" i="2" s="1"/>
  <c r="Q146" i="2"/>
  <c r="Y146" i="2" s="1"/>
  <c r="Q285" i="2"/>
  <c r="Y285" i="2" s="1"/>
  <c r="Q120" i="2"/>
  <c r="Y120" i="2" s="1"/>
  <c r="Q230" i="2"/>
  <c r="Y230" i="2" s="1"/>
  <c r="Q232" i="2"/>
  <c r="Y232" i="2" s="1"/>
  <c r="Q258" i="2"/>
  <c r="Y258" i="2" s="1"/>
  <c r="Q475" i="2"/>
  <c r="Y475" i="2" s="1"/>
  <c r="Q412" i="2"/>
  <c r="Y412" i="2" s="1"/>
  <c r="Q501" i="2"/>
  <c r="Y501" i="2" s="1"/>
  <c r="Q434" i="2"/>
  <c r="Y434" i="2" s="1"/>
  <c r="Q468" i="2"/>
  <c r="Y468" i="2" s="1"/>
  <c r="Q401" i="2"/>
  <c r="Y401" i="2" s="1"/>
  <c r="Q502" i="2"/>
  <c r="Y502" i="2" s="1"/>
  <c r="Q435" i="2"/>
  <c r="Y435" i="2" s="1"/>
  <c r="Q469" i="2"/>
  <c r="Y469" i="2" s="1"/>
  <c r="Q402" i="2"/>
  <c r="Y402" i="2" s="1"/>
  <c r="Q503" i="2"/>
  <c r="Y503" i="2" s="1"/>
  <c r="Q436" i="2"/>
  <c r="Y436" i="2" s="1"/>
  <c r="Q470" i="2"/>
  <c r="Y470" i="2" s="1"/>
  <c r="Q403" i="2"/>
  <c r="Y403" i="2" s="1"/>
  <c r="Q466" i="2"/>
  <c r="Y466" i="2" s="1"/>
  <c r="Q524" i="2"/>
  <c r="Y524" i="2" s="1"/>
  <c r="Q461" i="2"/>
  <c r="Y461" i="2" s="1"/>
  <c r="Q897" i="2"/>
  <c r="Y897" i="2" s="1"/>
  <c r="Y1069" i="2"/>
  <c r="Q795" i="2"/>
  <c r="Y795" i="2" s="1"/>
  <c r="Q904" i="2"/>
  <c r="Y904" i="2" s="1"/>
  <c r="Q613" i="2"/>
  <c r="Y613" i="2" s="1"/>
  <c r="Q1043" i="2"/>
  <c r="Y1043" i="2" s="1"/>
  <c r="Q855" i="2"/>
  <c r="Y855" i="2" s="1"/>
  <c r="Q654" i="2"/>
  <c r="Y654" i="2" s="1"/>
  <c r="Q789" i="2"/>
  <c r="Y789" i="2" s="1"/>
  <c r="Q671" i="2"/>
  <c r="Y671" i="2" s="1"/>
  <c r="Q712" i="2"/>
  <c r="Y712" i="2" s="1"/>
  <c r="Q1042" i="2"/>
  <c r="Y1042" i="2" s="1"/>
  <c r="Q911" i="2"/>
  <c r="Y911" i="2" s="1"/>
  <c r="Q1040" i="2"/>
  <c r="Y1040" i="2" s="1"/>
  <c r="Q666" i="2"/>
  <c r="Y666" i="2" s="1"/>
  <c r="Q871" i="2"/>
  <c r="Y871" i="2" s="1"/>
  <c r="Q1008" i="2"/>
  <c r="Y1008" i="2" s="1"/>
  <c r="Q546" i="2"/>
  <c r="Y546" i="2" s="1"/>
  <c r="Q1039" i="2"/>
  <c r="Y1039" i="2" s="1"/>
  <c r="Q594" i="2"/>
  <c r="Y594" i="2" s="1"/>
  <c r="Q922" i="2"/>
  <c r="Y922" i="2" s="1"/>
  <c r="Q619" i="2"/>
  <c r="Y619" i="2" s="1"/>
  <c r="Q639" i="2"/>
  <c r="Y639" i="2" s="1"/>
  <c r="Q1060" i="2"/>
  <c r="Y1060" i="2" s="1"/>
  <c r="Y812" i="2"/>
  <c r="Q563" i="2"/>
  <c r="Y563" i="2" s="1"/>
  <c r="Q1032" i="2"/>
  <c r="Y1032" i="2" s="1"/>
  <c r="Q592" i="2"/>
  <c r="Y592" i="2" s="1"/>
  <c r="Q562" i="2"/>
  <c r="Y562" i="2" s="1"/>
  <c r="Q847" i="2"/>
  <c r="Y847" i="2" s="1"/>
  <c r="Q1024" i="2"/>
  <c r="Y1024" i="2" s="1"/>
  <c r="Q837" i="2"/>
  <c r="Y837" i="2" s="1"/>
  <c r="Q626" i="2"/>
  <c r="Y626" i="2" s="1"/>
  <c r="Q646" i="2"/>
  <c r="Y646" i="2" s="1"/>
  <c r="Q936" i="2"/>
  <c r="Y936" i="2" s="1"/>
  <c r="Q614" i="2"/>
  <c r="Y614" i="2" s="1"/>
  <c r="Q769" i="2"/>
  <c r="Y769" i="2" s="1"/>
  <c r="Q1076" i="2"/>
  <c r="Y1076" i="2" s="1"/>
  <c r="Q685" i="2"/>
  <c r="Y685" i="2" s="1"/>
  <c r="Q665" i="2"/>
  <c r="Y665" i="2" s="1"/>
  <c r="Q977" i="2"/>
  <c r="Y977" i="2" s="1"/>
  <c r="Q705" i="2"/>
  <c r="Y705" i="2" s="1"/>
  <c r="Q1082" i="2"/>
  <c r="Y1082" i="2" s="1"/>
  <c r="Q722" i="2"/>
  <c r="Y722" i="2" s="1"/>
  <c r="Q1036" i="2"/>
  <c r="Y1036" i="2" s="1"/>
  <c r="Q849" i="2"/>
  <c r="Y849" i="2" s="1"/>
  <c r="R329" i="2"/>
  <c r="Y329" i="2" s="1"/>
  <c r="R282" i="2"/>
  <c r="Y282" i="2" s="1"/>
  <c r="R267" i="2"/>
  <c r="Y267" i="2" s="1"/>
  <c r="R189" i="2"/>
  <c r="R364" i="2"/>
  <c r="Y364" i="2" s="1"/>
  <c r="R119" i="2"/>
  <c r="Y119" i="2" s="1"/>
  <c r="R245" i="2"/>
  <c r="Y245" i="2" s="1"/>
  <c r="R127" i="2"/>
  <c r="R350" i="2"/>
  <c r="Y350" i="2" s="1"/>
  <c r="R135" i="2"/>
  <c r="R247" i="2"/>
  <c r="R77" i="2"/>
  <c r="Y77" i="2" s="1"/>
  <c r="R141" i="2"/>
  <c r="Y141" i="2" s="1"/>
  <c r="R336" i="2"/>
  <c r="Y336" i="2" s="1"/>
  <c r="R145" i="2"/>
  <c r="Y145" i="2" s="1"/>
  <c r="R266" i="2"/>
  <c r="Y266" i="2" s="1"/>
  <c r="R173" i="2"/>
  <c r="Y173" i="2" s="1"/>
  <c r="R362" i="2"/>
  <c r="Y362" i="2" s="1"/>
  <c r="R669" i="2"/>
  <c r="R826" i="2"/>
  <c r="Y826" i="2" s="1"/>
  <c r="R677" i="2"/>
  <c r="R780" i="2"/>
  <c r="Y780" i="2" s="1"/>
  <c r="R788" i="2"/>
  <c r="Y788" i="2" s="1"/>
  <c r="R720" i="2"/>
  <c r="R672" i="2"/>
  <c r="Y672" i="2" s="1"/>
  <c r="R794" i="2"/>
  <c r="R860" i="2"/>
  <c r="R724" i="2"/>
  <c r="Y724" i="2" s="1"/>
  <c r="R866" i="2"/>
  <c r="Y866" i="2" s="1"/>
  <c r="R1065" i="2"/>
  <c r="Y1065" i="2" s="1"/>
  <c r="R838" i="2"/>
  <c r="Y838" i="2" s="1"/>
  <c r="R806" i="2"/>
  <c r="R957" i="2"/>
  <c r="Y957" i="2" s="1"/>
  <c r="R541" i="2"/>
  <c r="Y541" i="2" s="1"/>
  <c r="R641" i="2"/>
  <c r="R854" i="2"/>
  <c r="R556" i="2"/>
  <c r="Y556" i="2" s="1"/>
  <c r="R552" i="2"/>
  <c r="Y552" i="2" s="1"/>
  <c r="R645" i="2"/>
  <c r="Y645" i="2" s="1"/>
  <c r="R573" i="2"/>
  <c r="Y573" i="2" s="1"/>
  <c r="R800" i="2"/>
  <c r="E74" i="2" s="1"/>
  <c r="E40" i="7" s="1"/>
  <c r="Q68" i="2"/>
  <c r="Y68" i="2" s="1"/>
  <c r="Q39" i="2"/>
  <c r="Y39" i="2" s="1"/>
  <c r="Q102" i="2"/>
  <c r="Y102" i="2" s="1"/>
  <c r="Q283" i="2"/>
  <c r="Y283" i="2" s="1"/>
  <c r="R65" i="2"/>
  <c r="Y65" i="2" s="1"/>
  <c r="Q86" i="2"/>
  <c r="Y86" i="2" s="1"/>
  <c r="Q355" i="2"/>
  <c r="Y355" i="2" s="1"/>
  <c r="Q198" i="2"/>
  <c r="Y198" i="2" s="1"/>
  <c r="Q287" i="2"/>
  <c r="Y287" i="2" s="1"/>
  <c r="Q214" i="2"/>
  <c r="Y214" i="2" s="1"/>
  <c r="Q106" i="2"/>
  <c r="Y106" i="2" s="1"/>
  <c r="Q228" i="2"/>
  <c r="Y228" i="2" s="1"/>
  <c r="Q122" i="2"/>
  <c r="Y122" i="2" s="1"/>
  <c r="Q92" i="2"/>
  <c r="Y92" i="2" s="1"/>
  <c r="Y348" i="2"/>
  <c r="Q219" i="2"/>
  <c r="Y219" i="2" s="1"/>
  <c r="Q248" i="2"/>
  <c r="Y248" i="2" s="1"/>
  <c r="Q188" i="2"/>
  <c r="Y188" i="2" s="1"/>
  <c r="Q180" i="2"/>
  <c r="Y180" i="2" s="1"/>
  <c r="Q148" i="2"/>
  <c r="Y148" i="2" s="1"/>
  <c r="Q365" i="2"/>
  <c r="Y365" i="2" s="1"/>
  <c r="Q289" i="2"/>
  <c r="Y289" i="2" s="1"/>
  <c r="Q226" i="2"/>
  <c r="Y226" i="2" s="1"/>
  <c r="Q82" i="2"/>
  <c r="Y82" i="2" s="1"/>
  <c r="Q240" i="2"/>
  <c r="Y240" i="2" s="1"/>
  <c r="Q194" i="2"/>
  <c r="Y194" i="2" s="1"/>
  <c r="Q208" i="2"/>
  <c r="Y208" i="2" s="1"/>
  <c r="Q479" i="2"/>
  <c r="Y479" i="2" s="1"/>
  <c r="Q416" i="2"/>
  <c r="Y416" i="2" s="1"/>
  <c r="Q505" i="2"/>
  <c r="Y505" i="2" s="1"/>
  <c r="Q438" i="2"/>
  <c r="Y438" i="2" s="1"/>
  <c r="Q472" i="2"/>
  <c r="Y472" i="2" s="1"/>
  <c r="Q405" i="2"/>
  <c r="Y405" i="2" s="1"/>
  <c r="Q506" i="2"/>
  <c r="Y506" i="2" s="1"/>
  <c r="Q439" i="2"/>
  <c r="Y439" i="2" s="1"/>
  <c r="Q473" i="2"/>
  <c r="Y473" i="2" s="1"/>
  <c r="Q406" i="2"/>
  <c r="Y406" i="2" s="1"/>
  <c r="Q507" i="2"/>
  <c r="Y507" i="2" s="1"/>
  <c r="Q440" i="2"/>
  <c r="Y440" i="2" s="1"/>
  <c r="Q474" i="2"/>
  <c r="Y474" i="2" s="1"/>
  <c r="Q407" i="2"/>
  <c r="Y407" i="2" s="1"/>
  <c r="Q499" i="2"/>
  <c r="Y499" i="2" s="1"/>
  <c r="Q528" i="2"/>
  <c r="Y528" i="2" s="1"/>
  <c r="Q465" i="2"/>
  <c r="Y465" i="2" s="1"/>
  <c r="Q845" i="2"/>
  <c r="Y845" i="2" s="1"/>
  <c r="Q1033" i="2"/>
  <c r="Y1033" i="2" s="1"/>
  <c r="Y864" i="2"/>
  <c r="Q551" i="2"/>
  <c r="Y551" i="2" s="1"/>
  <c r="Q615" i="2"/>
  <c r="Y615" i="2" s="1"/>
  <c r="Q1050" i="2"/>
  <c r="Y1050" i="2" s="1"/>
  <c r="Q903" i="2"/>
  <c r="Y903" i="2" s="1"/>
  <c r="Q635" i="2"/>
  <c r="Y635" i="2" s="1"/>
  <c r="Q946" i="2"/>
  <c r="Y946" i="2" s="1"/>
  <c r="Q675" i="2"/>
  <c r="Y675" i="2" s="1"/>
  <c r="Q991" i="2"/>
  <c r="Y991" i="2" s="1"/>
  <c r="Y713" i="2"/>
  <c r="Q1002" i="2"/>
  <c r="Y1002" i="2" s="1"/>
  <c r="Q817" i="2"/>
  <c r="Y817" i="2" s="1"/>
  <c r="Q1006" i="2"/>
  <c r="Y1006" i="2" s="1"/>
  <c r="Y832" i="2"/>
  <c r="Q1034" i="2"/>
  <c r="Y1034" i="2" s="1"/>
  <c r="Q969" i="2"/>
  <c r="Y969" i="2" s="1"/>
  <c r="Q716" i="2"/>
  <c r="Y716" i="2" s="1"/>
  <c r="Q553" i="2"/>
  <c r="Y553" i="2" s="1"/>
  <c r="Q691" i="2"/>
  <c r="Y691" i="2" s="1"/>
  <c r="Q579" i="2"/>
  <c r="Y579" i="2" s="1"/>
  <c r="Q602" i="2"/>
  <c r="Y602" i="2" s="1"/>
  <c r="Q930" i="2"/>
  <c r="Y930" i="2" s="1"/>
  <c r="Q1072" i="2"/>
  <c r="Y1072" i="2" s="1"/>
  <c r="Q779" i="2"/>
  <c r="Y779" i="2" s="1"/>
  <c r="Q600" i="2"/>
  <c r="Y600" i="2" s="1"/>
  <c r="Q1055" i="2"/>
  <c r="Y1055" i="2" s="1"/>
  <c r="Q554" i="2"/>
  <c r="Y554" i="2" s="1"/>
  <c r="Q1046" i="2"/>
  <c r="Y1046" i="2" s="1"/>
  <c r="Q809" i="2"/>
  <c r="Y809" i="2" s="1"/>
  <c r="Q534" i="2"/>
  <c r="Y534" i="2" s="1"/>
  <c r="Q987" i="2"/>
  <c r="Y987" i="2" s="1"/>
  <c r="Q587" i="2"/>
  <c r="Y587" i="2" s="1"/>
  <c r="Q608" i="2"/>
  <c r="Y608" i="2" s="1"/>
  <c r="Q896" i="2"/>
  <c r="Y896" i="2" s="1"/>
  <c r="Q1010" i="2"/>
  <c r="Y1010" i="2" s="1"/>
  <c r="Y704" i="2"/>
  <c r="Q1038" i="2"/>
  <c r="Y1038" i="2" s="1"/>
  <c r="Q647" i="2"/>
  <c r="Y647" i="2" s="1"/>
  <c r="Q695" i="2"/>
  <c r="Y695" i="2" s="1"/>
  <c r="Q670" i="2"/>
  <c r="Y670" i="2" s="1"/>
  <c r="Q1045" i="2"/>
  <c r="Y1045" i="2" s="1"/>
  <c r="Q985" i="2"/>
  <c r="Y985" i="2" s="1"/>
  <c r="Q683" i="2"/>
  <c r="Y683" i="2" s="1"/>
  <c r="Q708" i="2"/>
  <c r="Y708" i="2" s="1"/>
  <c r="R321" i="2"/>
  <c r="Y321" i="2" s="1"/>
  <c r="R54" i="2"/>
  <c r="R47" i="2"/>
  <c r="Y325" i="2"/>
  <c r="R313" i="2"/>
  <c r="Y313" i="2" s="1"/>
  <c r="Y56" i="2"/>
  <c r="R290" i="2"/>
  <c r="Y290" i="2" s="1"/>
  <c r="R171" i="2"/>
  <c r="Y171" i="2" s="1"/>
  <c r="R276" i="2"/>
  <c r="Y276" i="2" s="1"/>
  <c r="R253" i="2"/>
  <c r="Y253" i="2" s="1"/>
  <c r="R358" i="2"/>
  <c r="Y358" i="2" s="1"/>
  <c r="R270" i="2"/>
  <c r="R255" i="2"/>
  <c r="Y255" i="2" s="1"/>
  <c r="R75" i="2"/>
  <c r="Y75" i="2" s="1"/>
  <c r="R344" i="2"/>
  <c r="Y344" i="2" s="1"/>
  <c r="R163" i="2"/>
  <c r="R139" i="2"/>
  <c r="Y139" i="2" s="1"/>
  <c r="R79" i="2"/>
  <c r="Y79" i="2" s="1"/>
  <c r="R167" i="2"/>
  <c r="Y167" i="2" s="1"/>
  <c r="R629" i="2"/>
  <c r="R653" i="2"/>
  <c r="R581" i="2"/>
  <c r="R589" i="2"/>
  <c r="R820" i="2"/>
  <c r="R693" i="2"/>
  <c r="Y693" i="2" s="1"/>
  <c r="R692" i="2"/>
  <c r="Y692" i="2" s="1"/>
  <c r="R636" i="2"/>
  <c r="Y636" i="2" s="1"/>
  <c r="R796" i="2"/>
  <c r="Y796" i="2" s="1"/>
  <c r="R768" i="2"/>
  <c r="R536" i="2"/>
  <c r="Y536" i="2" s="1"/>
  <c r="R852" i="2"/>
  <c r="R848" i="2"/>
  <c r="Y848" i="2" s="1"/>
  <c r="R1007" i="2"/>
  <c r="R784" i="2"/>
  <c r="Y784" i="2" s="1"/>
  <c r="R652" i="2"/>
  <c r="R1061" i="2"/>
  <c r="Y1061" i="2" s="1"/>
  <c r="R792" i="2"/>
  <c r="Y125" i="2"/>
  <c r="Y163" i="2"/>
  <c r="R323" i="2"/>
  <c r="Y323" i="2" s="1"/>
  <c r="Q88" i="2"/>
  <c r="Y88" i="2" s="1"/>
  <c r="R319" i="2"/>
  <c r="Y319" i="2" s="1"/>
  <c r="Q302" i="2"/>
  <c r="Y302" i="2" s="1"/>
  <c r="Q207" i="2"/>
  <c r="Y207" i="2" s="1"/>
  <c r="Q200" i="2"/>
  <c r="Y200" i="2" s="1"/>
  <c r="Q359" i="2"/>
  <c r="Y359" i="2" s="1"/>
  <c r="Q291" i="2"/>
  <c r="Y291" i="2" s="1"/>
  <c r="Q174" i="2"/>
  <c r="Y174" i="2" s="1"/>
  <c r="Y135" i="2"/>
  <c r="Y189" i="2"/>
  <c r="Q84" i="2"/>
  <c r="Y84" i="2" s="1"/>
  <c r="Q334" i="2"/>
  <c r="Y334" i="2" s="1"/>
  <c r="Q178" i="2"/>
  <c r="Y178" i="2" s="1"/>
  <c r="Q264" i="2"/>
  <c r="Y264" i="2" s="1"/>
  <c r="Q205" i="2"/>
  <c r="Y205" i="2" s="1"/>
  <c r="Q168" i="2"/>
  <c r="Y168" i="2" s="1"/>
  <c r="Q337" i="2"/>
  <c r="Y337" i="2" s="1"/>
  <c r="Q166" i="2"/>
  <c r="Y166" i="2" s="1"/>
  <c r="Q293" i="2"/>
  <c r="Y293" i="2" s="1"/>
  <c r="Y185" i="2"/>
  <c r="Q210" i="2"/>
  <c r="Y210" i="2" s="1"/>
  <c r="Q224" i="2"/>
  <c r="Y224" i="2" s="1"/>
  <c r="Q256" i="2"/>
  <c r="Y256" i="2" s="1"/>
  <c r="Q152" i="2"/>
  <c r="Y152" i="2" s="1"/>
  <c r="Q233" i="2"/>
  <c r="Y233" i="2" s="1"/>
  <c r="Q483" i="2"/>
  <c r="Y483" i="2" s="1"/>
  <c r="Q420" i="2"/>
  <c r="Y420" i="2" s="1"/>
  <c r="Q509" i="2"/>
  <c r="Y509" i="2" s="1"/>
  <c r="Q442" i="2"/>
  <c r="Y442" i="2" s="1"/>
  <c r="Q476" i="2"/>
  <c r="Y476" i="2" s="1"/>
  <c r="Q409" i="2"/>
  <c r="Y409" i="2" s="1"/>
  <c r="Q510" i="2"/>
  <c r="Y510" i="2" s="1"/>
  <c r="Q443" i="2"/>
  <c r="Y443" i="2" s="1"/>
  <c r="Q477" i="2"/>
  <c r="Y477" i="2" s="1"/>
  <c r="Q410" i="2"/>
  <c r="Y410" i="2" s="1"/>
  <c r="Q511" i="2"/>
  <c r="Y511" i="2" s="1"/>
  <c r="Q444" i="2"/>
  <c r="Y444" i="2" s="1"/>
  <c r="Q478" i="2"/>
  <c r="Y478" i="2" s="1"/>
  <c r="Q411" i="2"/>
  <c r="Y411" i="2" s="1"/>
  <c r="Q500" i="2"/>
  <c r="Y500" i="2" s="1"/>
  <c r="Q437" i="2"/>
  <c r="Y437" i="2" s="1"/>
  <c r="Q1004" i="2"/>
  <c r="Y1004" i="2" s="1"/>
  <c r="Y768" i="2"/>
  <c r="Q1000" i="2"/>
  <c r="Y1000" i="2" s="1"/>
  <c r="Q690" i="2"/>
  <c r="Y690" i="2" s="1"/>
  <c r="Q891" i="2"/>
  <c r="Y891" i="2" s="1"/>
  <c r="Q1028" i="2"/>
  <c r="Y1028" i="2" s="1"/>
  <c r="Q961" i="2"/>
  <c r="Y961" i="2" s="1"/>
  <c r="Q578" i="2"/>
  <c r="Y578" i="2" s="1"/>
  <c r="Q934" i="2"/>
  <c r="Y934" i="2" s="1"/>
  <c r="Q865" i="2"/>
  <c r="Y865" i="2" s="1"/>
  <c r="Q662" i="2"/>
  <c r="Y662" i="2" s="1"/>
  <c r="Q909" i="2"/>
  <c r="Y909" i="2" s="1"/>
  <c r="Q637" i="2"/>
  <c r="Y637" i="2" s="1"/>
  <c r="Q1052" i="2"/>
  <c r="Y1052" i="2" s="1"/>
  <c r="Q651" i="2"/>
  <c r="Y651" i="2" s="1"/>
  <c r="Q963" i="2"/>
  <c r="Y963" i="2" s="1"/>
  <c r="Q1074" i="2"/>
  <c r="Y1074" i="2" s="1"/>
  <c r="Q831" i="2"/>
  <c r="Y831" i="2" s="1"/>
  <c r="Q916" i="2"/>
  <c r="Y916" i="2" s="1"/>
  <c r="Q661" i="2"/>
  <c r="Y661" i="2" s="1"/>
  <c r="Y860" i="2"/>
  <c r="Q889" i="2"/>
  <c r="Y889" i="2" s="1"/>
  <c r="Q715" i="2"/>
  <c r="Y715" i="2" s="1"/>
  <c r="Q679" i="2"/>
  <c r="Y679" i="2" s="1"/>
  <c r="Q967" i="2"/>
  <c r="Y967" i="2" s="1"/>
  <c r="Y792" i="2"/>
  <c r="Q983" i="2"/>
  <c r="Y983" i="2" s="1"/>
  <c r="Q590" i="2"/>
  <c r="Y590" i="2" s="1"/>
  <c r="Y818" i="2"/>
  <c r="Q539" i="2"/>
  <c r="Y539" i="2" s="1"/>
  <c r="Y629" i="2"/>
  <c r="Q954" i="2"/>
  <c r="Y954" i="2" s="1"/>
  <c r="Q710" i="2"/>
  <c r="Y710" i="2" s="1"/>
  <c r="Q918" i="2"/>
  <c r="Y918" i="2" s="1"/>
  <c r="Q625" i="2"/>
  <c r="Y625" i="2" s="1"/>
  <c r="Q1014" i="2"/>
  <c r="Y1014" i="2" s="1"/>
  <c r="Y794" i="2"/>
  <c r="Q723" i="2"/>
  <c r="Y723" i="2" s="1"/>
  <c r="Q1012" i="2"/>
  <c r="Y1012" i="2" s="1"/>
  <c r="Q771" i="2"/>
  <c r="Y771" i="2" s="1"/>
  <c r="Q559" i="2"/>
  <c r="Y559" i="2" s="1"/>
  <c r="Q825" i="2"/>
  <c r="Y825" i="2" s="1"/>
  <c r="Q545" i="2"/>
  <c r="Y545" i="2" s="1"/>
  <c r="Q570" i="2"/>
  <c r="Y570" i="2" s="1"/>
  <c r="Q920" i="2"/>
  <c r="Y920" i="2" s="1"/>
  <c r="Q883" i="2"/>
  <c r="Y883" i="2" s="1"/>
  <c r="Q857" i="2"/>
  <c r="Y857" i="2" s="1"/>
  <c r="Q538" i="2"/>
  <c r="Y538" i="2" s="1"/>
  <c r="Y641" i="2"/>
  <c r="Q609" i="2"/>
  <c r="Y609" i="2" s="1"/>
  <c r="Q655" i="2"/>
  <c r="Y655" i="2" s="1"/>
  <c r="Q899" i="2"/>
  <c r="Y899" i="2" s="1"/>
  <c r="Q696" i="2"/>
  <c r="Y696" i="2" s="1"/>
  <c r="Y945" i="2"/>
  <c r="Q644" i="2"/>
  <c r="Y644" i="2" s="1"/>
  <c r="Q667" i="2"/>
  <c r="Y667" i="2" s="1"/>
  <c r="Q1022" i="2"/>
  <c r="Y1022" i="2" s="1"/>
  <c r="Y47" i="2"/>
  <c r="R69" i="2"/>
  <c r="Y69" i="2" s="1"/>
  <c r="R55" i="2"/>
  <c r="Y55" i="2" s="1"/>
  <c r="R298" i="2"/>
  <c r="R105" i="2"/>
  <c r="Y105" i="2" s="1"/>
  <c r="R284" i="2"/>
  <c r="Y284" i="2" s="1"/>
  <c r="R261" i="2"/>
  <c r="Y261" i="2" s="1"/>
  <c r="R366" i="2"/>
  <c r="Y366" i="2" s="1"/>
  <c r="R278" i="2"/>
  <c r="Y278" i="2" s="1"/>
  <c r="R263" i="2"/>
  <c r="Y263" i="2" s="1"/>
  <c r="R352" i="2"/>
  <c r="Y352" i="2" s="1"/>
  <c r="R85" i="2"/>
  <c r="Y85" i="2" s="1"/>
  <c r="R97" i="2"/>
  <c r="Y97" i="2" s="1"/>
  <c r="R73" i="2"/>
  <c r="Y73" i="2" s="1"/>
  <c r="R191" i="2"/>
  <c r="Y191" i="2" s="1"/>
  <c r="R101" i="2"/>
  <c r="Y101" i="2" s="1"/>
  <c r="R1085" i="2"/>
  <c r="Y1085" i="2" s="1"/>
  <c r="R984" i="2"/>
  <c r="Y984" i="2" s="1"/>
  <c r="R533" i="2"/>
  <c r="Y533" i="2" s="1"/>
  <c r="R544" i="2"/>
  <c r="Y544" i="2" s="1"/>
  <c r="R580" i="2"/>
  <c r="R1079" i="2"/>
  <c r="Y1079" i="2" s="1"/>
  <c r="R966" i="2"/>
  <c r="R1089" i="2"/>
  <c r="Y1089" i="2" s="1"/>
  <c r="R632" i="2"/>
  <c r="Y632" i="2" s="1"/>
  <c r="R810" i="2"/>
  <c r="Y810" i="2" s="1"/>
  <c r="R962" i="2"/>
  <c r="Y962" i="2" s="1"/>
  <c r="R929" i="2"/>
  <c r="Y929" i="2" s="1"/>
  <c r="R1067" i="2"/>
  <c r="Y1067" i="2" s="1"/>
  <c r="R681" i="2"/>
  <c r="Y681" i="2" s="1"/>
  <c r="R1015" i="2"/>
  <c r="Y1015" i="2" s="1"/>
  <c r="R1071" i="2"/>
  <c r="R997" i="2"/>
  <c r="Y997" i="2" s="1"/>
  <c r="Y59" i="2"/>
  <c r="Y310" i="2"/>
  <c r="Q215" i="2"/>
  <c r="Y215" i="2" s="1"/>
  <c r="Q299" i="2"/>
  <c r="Y299" i="2" s="1"/>
  <c r="Q128" i="2"/>
  <c r="Y128" i="2" s="1"/>
  <c r="Q351" i="2"/>
  <c r="Y351" i="2" s="1"/>
  <c r="R333" i="2"/>
  <c r="Y333" i="2" s="1"/>
  <c r="Q52" i="2"/>
  <c r="Y52" i="2" s="1"/>
  <c r="Q217" i="2"/>
  <c r="Y217" i="2" s="1"/>
  <c r="Q231" i="2"/>
  <c r="Y231" i="2" s="1"/>
  <c r="Q162" i="2"/>
  <c r="Y162" i="2" s="1"/>
  <c r="Q363" i="2"/>
  <c r="Y363" i="2" s="1"/>
  <c r="Q295" i="2"/>
  <c r="Y295" i="2" s="1"/>
  <c r="Q98" i="2"/>
  <c r="Y98" i="2" s="1"/>
  <c r="Q244" i="2"/>
  <c r="Y244" i="2" s="1"/>
  <c r="Y93" i="2"/>
  <c r="Q216" i="2"/>
  <c r="Y216" i="2" s="1"/>
  <c r="Q140" i="2"/>
  <c r="Y140" i="2" s="1"/>
  <c r="Q220" i="2"/>
  <c r="Y220" i="2" s="1"/>
  <c r="Q114" i="2"/>
  <c r="Y114" i="2" s="1"/>
  <c r="Q341" i="2"/>
  <c r="Y341" i="2" s="1"/>
  <c r="Y127" i="2"/>
  <c r="Q96" i="2"/>
  <c r="Y96" i="2" s="1"/>
  <c r="Q297" i="2"/>
  <c r="Y297" i="2" s="1"/>
  <c r="Q190" i="2"/>
  <c r="Y190" i="2" s="1"/>
  <c r="Q116" i="2"/>
  <c r="Y116" i="2" s="1"/>
  <c r="Q192" i="2"/>
  <c r="Y192" i="2" s="1"/>
  <c r="Q487" i="2"/>
  <c r="Y487" i="2" s="1"/>
  <c r="Q424" i="2"/>
  <c r="Y424" i="2" s="1"/>
  <c r="Q513" i="2"/>
  <c r="Y513" i="2" s="1"/>
  <c r="Q446" i="2"/>
  <c r="Y446" i="2" s="1"/>
  <c r="Q480" i="2"/>
  <c r="Y480" i="2" s="1"/>
  <c r="Q413" i="2"/>
  <c r="Y413" i="2" s="1"/>
  <c r="Q514" i="2"/>
  <c r="Y514" i="2" s="1"/>
  <c r="Q447" i="2"/>
  <c r="Y447" i="2" s="1"/>
  <c r="Q481" i="2"/>
  <c r="Y481" i="2" s="1"/>
  <c r="Q414" i="2"/>
  <c r="Y414" i="2" s="1"/>
  <c r="Q515" i="2"/>
  <c r="Y515" i="2" s="1"/>
  <c r="Q448" i="2"/>
  <c r="Y448" i="2" s="1"/>
  <c r="Q482" i="2"/>
  <c r="Y482" i="2" s="1"/>
  <c r="Q415" i="2"/>
  <c r="Y415" i="2" s="1"/>
  <c r="Q504" i="2"/>
  <c r="Y504" i="2" s="1"/>
  <c r="Q441" i="2"/>
  <c r="Y441" i="2" s="1"/>
  <c r="Q956" i="2"/>
  <c r="Y956" i="2" s="1"/>
  <c r="Q1029" i="2"/>
  <c r="Y1029" i="2" s="1"/>
  <c r="Q905" i="2"/>
  <c r="Y905" i="2" s="1"/>
  <c r="Y652" i="2"/>
  <c r="Q853" i="2"/>
  <c r="Y853" i="2" s="1"/>
  <c r="Q1053" i="2"/>
  <c r="Y1053" i="2" s="1"/>
  <c r="Q598" i="2"/>
  <c r="Y598" i="2" s="1"/>
  <c r="Q540" i="2"/>
  <c r="Y540" i="2" s="1"/>
  <c r="Q924" i="2"/>
  <c r="Y924" i="2" s="1"/>
  <c r="Y890" i="2"/>
  <c r="Q624" i="2"/>
  <c r="Y624" i="2" s="1"/>
  <c r="Q869" i="2"/>
  <c r="Y869" i="2" s="1"/>
  <c r="Q663" i="2"/>
  <c r="Y663" i="2" s="1"/>
  <c r="Q915" i="2"/>
  <c r="Y915" i="2" s="1"/>
  <c r="Q612" i="2"/>
  <c r="Y612" i="2" s="1"/>
  <c r="Q634" i="2"/>
  <c r="Y634" i="2" s="1"/>
  <c r="Q989" i="2"/>
  <c r="Y989" i="2" s="1"/>
  <c r="Q1035" i="2"/>
  <c r="Y1035" i="2" s="1"/>
  <c r="Q859" i="2"/>
  <c r="Y859" i="2" s="1"/>
  <c r="Q881" i="2"/>
  <c r="Y881" i="2" s="1"/>
  <c r="Q628" i="2"/>
  <c r="Y628" i="2" s="1"/>
  <c r="Q821" i="2"/>
  <c r="Y821" i="2" s="1"/>
  <c r="Q928" i="2"/>
  <c r="Y928" i="2" s="1"/>
  <c r="Y955" i="2"/>
  <c r="Q674" i="2"/>
  <c r="Y674" i="2" s="1"/>
  <c r="Q642" i="2"/>
  <c r="Y642" i="2" s="1"/>
  <c r="Q721" i="2"/>
  <c r="Y721" i="2" s="1"/>
  <c r="Q944" i="2"/>
  <c r="Y944" i="2" s="1"/>
  <c r="Q550" i="2"/>
  <c r="Y550" i="2" s="1"/>
  <c r="Q777" i="2"/>
  <c r="Y777" i="2" s="1"/>
  <c r="Y806" i="2"/>
  <c r="Q591" i="2"/>
  <c r="Y591" i="2" s="1"/>
  <c r="Q912" i="2"/>
  <c r="Y912" i="2" s="1"/>
  <c r="Q1051" i="2"/>
  <c r="Y1051" i="2" s="1"/>
  <c r="Q673" i="2"/>
  <c r="Y673" i="2" s="1"/>
  <c r="Q877" i="2"/>
  <c r="Y877" i="2" s="1"/>
  <c r="Q1080" i="2"/>
  <c r="Y1080" i="2" s="1"/>
  <c r="Y720" i="2"/>
  <c r="Q687" i="2"/>
  <c r="Y687" i="2" s="1"/>
  <c r="Q699" i="2"/>
  <c r="Y699" i="2" s="1"/>
  <c r="Q557" i="2"/>
  <c r="Y557" i="2" s="1"/>
  <c r="Q785" i="2"/>
  <c r="Y785" i="2" s="1"/>
  <c r="Q813" i="2"/>
  <c r="Y813" i="2" s="1"/>
  <c r="Y1071" i="2"/>
  <c r="Q879" i="2"/>
  <c r="Y879" i="2" s="1"/>
  <c r="Y822" i="2"/>
  <c r="Q898" i="2"/>
  <c r="Y898" i="2" s="1"/>
  <c r="Q607" i="2"/>
  <c r="Y607" i="2" s="1"/>
  <c r="Q1027" i="2"/>
  <c r="Y1027" i="2" s="1"/>
  <c r="Q571" i="2"/>
  <c r="Y571" i="2" s="1"/>
  <c r="Q617" i="2"/>
  <c r="Y617" i="2" s="1"/>
  <c r="Q863" i="2"/>
  <c r="Y863" i="2" s="1"/>
  <c r="Q658" i="2"/>
  <c r="Y658" i="2" s="1"/>
  <c r="Q965" i="2"/>
  <c r="Y965" i="2" s="1"/>
  <c r="Q908" i="2"/>
  <c r="Y908" i="2" s="1"/>
  <c r="Q606" i="2"/>
  <c r="Y606" i="2" s="1"/>
  <c r="Y58" i="2"/>
  <c r="Y48" i="2"/>
  <c r="R177" i="2"/>
  <c r="Y177" i="2" s="1"/>
  <c r="R109" i="2"/>
  <c r="Y109" i="2" s="1"/>
  <c r="R155" i="2"/>
  <c r="Y155" i="2" s="1"/>
  <c r="R95" i="2"/>
  <c r="Y95" i="2" s="1"/>
  <c r="R292" i="2"/>
  <c r="Y292" i="2" s="1"/>
  <c r="R262" i="2"/>
  <c r="R201" i="2"/>
  <c r="Y201" i="2" s="1"/>
  <c r="R286" i="2"/>
  <c r="Y286" i="2" s="1"/>
  <c r="R151" i="2"/>
  <c r="Y151" i="2" s="1"/>
  <c r="R360" i="2"/>
  <c r="Y360" i="2" s="1"/>
  <c r="R272" i="2"/>
  <c r="Y272" i="2" s="1"/>
  <c r="R241" i="2"/>
  <c r="Y241" i="2" s="1"/>
  <c r="R129" i="2"/>
  <c r="Y129" i="2" s="1"/>
  <c r="R87" i="2"/>
  <c r="R1023" i="2"/>
  <c r="Y1023" i="2" s="1"/>
  <c r="R982" i="2"/>
  <c r="Y982" i="2" s="1"/>
  <c r="R1077" i="2"/>
  <c r="Y1077" i="2" s="1"/>
  <c r="R1003" i="2"/>
  <c r="Y1003" i="2" s="1"/>
  <c r="R935" i="2"/>
  <c r="Y935" i="2" s="1"/>
  <c r="R1075" i="2"/>
  <c r="R986" i="2"/>
  <c r="Y986" i="2" s="1"/>
  <c r="R1087" i="2"/>
  <c r="R1019" i="2"/>
  <c r="Y1019" i="2" s="1"/>
  <c r="R862" i="2"/>
  <c r="Y862" i="2" s="1"/>
  <c r="R868" i="2"/>
  <c r="Y868" i="2" s="1"/>
  <c r="R1011" i="2"/>
  <c r="Y1011" i="2" s="1"/>
  <c r="R576" i="2"/>
  <c r="Y576" i="2" s="1"/>
  <c r="R999" i="2"/>
  <c r="Y999" i="2" s="1"/>
  <c r="R688" i="2"/>
  <c r="Y688" i="2" s="1"/>
  <c r="R840" i="2"/>
  <c r="Y840" i="2" s="1"/>
  <c r="R1073" i="2"/>
  <c r="Y1073" i="2" s="1"/>
  <c r="R964" i="2"/>
  <c r="Y964" i="2" s="1"/>
  <c r="R972" i="2"/>
  <c r="Y972" i="2" s="1"/>
  <c r="R931" i="2"/>
  <c r="Y931" i="2" s="1"/>
  <c r="R970" i="2"/>
  <c r="Y970" i="2" s="1"/>
  <c r="Y51" i="2"/>
  <c r="Q345" i="2"/>
  <c r="Y345" i="2" s="1"/>
  <c r="Q90" i="2"/>
  <c r="Y90" i="2" s="1"/>
  <c r="Q269" i="2"/>
  <c r="Y269" i="2" s="1"/>
  <c r="Q268" i="2"/>
  <c r="Y268" i="2" s="1"/>
  <c r="Q110" i="2"/>
  <c r="Y110" i="2" s="1"/>
  <c r="Q150" i="2"/>
  <c r="Y150" i="2" s="1"/>
  <c r="Q78" i="2"/>
  <c r="Y78" i="2" s="1"/>
  <c r="Y298" i="2"/>
  <c r="Q156" i="2"/>
  <c r="Y156" i="2" s="1"/>
  <c r="Q491" i="2"/>
  <c r="Y491" i="2" s="1"/>
  <c r="Q428" i="2"/>
  <c r="Y428" i="2" s="1"/>
  <c r="Q517" i="2"/>
  <c r="Y517" i="2" s="1"/>
  <c r="Q450" i="2"/>
  <c r="Y450" i="2" s="1"/>
  <c r="Q484" i="2"/>
  <c r="Y484" i="2" s="1"/>
  <c r="Q417" i="2"/>
  <c r="Y417" i="2" s="1"/>
  <c r="Q518" i="2"/>
  <c r="Y518" i="2" s="1"/>
  <c r="Q451" i="2"/>
  <c r="Y451" i="2" s="1"/>
  <c r="Q485" i="2"/>
  <c r="Y485" i="2" s="1"/>
  <c r="Q418" i="2"/>
  <c r="Y418" i="2" s="1"/>
  <c r="Q519" i="2"/>
  <c r="Y519" i="2" s="1"/>
  <c r="Q452" i="2"/>
  <c r="Y452" i="2" s="1"/>
  <c r="Q486" i="2"/>
  <c r="Y486" i="2" s="1"/>
  <c r="Q419" i="2"/>
  <c r="Y419" i="2" s="1"/>
  <c r="Q508" i="2"/>
  <c r="Y508" i="2" s="1"/>
  <c r="Q445" i="2"/>
  <c r="Y445" i="2" s="1"/>
  <c r="Y878" i="2"/>
  <c r="Q979" i="2"/>
  <c r="Y979" i="2" s="1"/>
  <c r="Y874" i="2"/>
  <c r="Q621" i="2"/>
  <c r="Y621" i="2" s="1"/>
  <c r="Q948" i="2"/>
  <c r="Y948" i="2" s="1"/>
  <c r="Q781" i="2"/>
  <c r="Y781" i="2" s="1"/>
  <c r="Q1044" i="2"/>
  <c r="Y1044" i="2" s="1"/>
  <c r="Y808" i="2"/>
  <c r="Y852" i="2"/>
  <c r="Q588" i="2"/>
  <c r="Y588" i="2" s="1"/>
  <c r="Q833" i="2"/>
  <c r="Y833" i="2" s="1"/>
  <c r="Q627" i="2"/>
  <c r="Y627" i="2" s="1"/>
  <c r="Q973" i="2"/>
  <c r="Y973" i="2" s="1"/>
  <c r="Q851" i="2"/>
  <c r="Y851" i="2" s="1"/>
  <c r="Q574" i="2"/>
  <c r="Y574" i="2" s="1"/>
  <c r="Y660" i="2"/>
  <c r="Q998" i="2"/>
  <c r="Y998" i="2" s="1"/>
  <c r="Y820" i="2"/>
  <c r="Q843" i="2"/>
  <c r="Y843" i="2" s="1"/>
  <c r="Y589" i="2"/>
  <c r="Q631" i="2"/>
  <c r="Y631" i="2" s="1"/>
  <c r="Q913" i="2"/>
  <c r="Y913" i="2" s="1"/>
  <c r="Q633" i="2"/>
  <c r="Y633" i="2" s="1"/>
  <c r="Q604" i="2"/>
  <c r="Y604" i="2" s="1"/>
  <c r="Q952" i="2"/>
  <c r="Y952" i="2" s="1"/>
  <c r="Q1068" i="2"/>
  <c r="Y1068" i="2" s="1"/>
  <c r="Y1007" i="2"/>
  <c r="Q706" i="2"/>
  <c r="Y706" i="2" s="1"/>
  <c r="Q767" i="2"/>
  <c r="Y767" i="2" s="1"/>
  <c r="Y1063" i="2"/>
  <c r="Q873" i="2"/>
  <c r="Y873" i="2" s="1"/>
  <c r="Q638" i="2"/>
  <c r="Y638" i="2" s="1"/>
  <c r="Q839" i="2"/>
  <c r="Y839" i="2" s="1"/>
  <c r="Q1041" i="2"/>
  <c r="Y1041" i="2" s="1"/>
  <c r="Q678" i="2"/>
  <c r="Y678" i="2" s="1"/>
  <c r="Q650" i="2"/>
  <c r="Y650" i="2" s="1"/>
  <c r="Q932" i="2"/>
  <c r="Y932" i="2" s="1"/>
  <c r="Q729" i="2"/>
  <c r="Y729" i="2" s="1"/>
  <c r="Q1016" i="2"/>
  <c r="Y1016" i="2" s="1"/>
  <c r="Q714" i="2"/>
  <c r="Y714" i="2" s="1"/>
  <c r="Q773" i="2"/>
  <c r="Y773" i="2" s="1"/>
  <c r="Q1031" i="2"/>
  <c r="Y1031" i="2" s="1"/>
  <c r="Q841" i="2"/>
  <c r="Y841" i="2" s="1"/>
  <c r="Q1062" i="2"/>
  <c r="Y1062" i="2" s="1"/>
  <c r="Q787" i="2"/>
  <c r="Y787" i="2" s="1"/>
  <c r="Q923" i="2"/>
  <c r="Y923" i="2" s="1"/>
  <c r="Y1087" i="2"/>
  <c r="Q981" i="2"/>
  <c r="Y981" i="2" s="1"/>
  <c r="Q664" i="2"/>
  <c r="Y664" i="2" s="1"/>
  <c r="Y581" i="2"/>
  <c r="Q892" i="2"/>
  <c r="Y892" i="2" s="1"/>
  <c r="Q620" i="2"/>
  <c r="Y620" i="2" s="1"/>
  <c r="Y677" i="2"/>
  <c r="Y844" i="2"/>
  <c r="Q567" i="2"/>
  <c r="Y567" i="2" s="1"/>
  <c r="Y653" i="2"/>
  <c r="Q942" i="2"/>
  <c r="Y942" i="2" s="1"/>
  <c r="Q38" i="2"/>
  <c r="Y38" i="2" s="1"/>
  <c r="Q64" i="2"/>
  <c r="Y64" i="2" s="1"/>
  <c r="R115" i="2"/>
  <c r="Y115" i="2" s="1"/>
  <c r="R89" i="2"/>
  <c r="Y89" i="2" s="1"/>
  <c r="R143" i="2"/>
  <c r="Y143" i="2" s="1"/>
  <c r="R187" i="2"/>
  <c r="Y187" i="2" s="1"/>
  <c r="R300" i="2"/>
  <c r="Y300" i="2" s="1"/>
  <c r="R234" i="2"/>
  <c r="Y234" i="2" s="1"/>
  <c r="R71" i="2"/>
  <c r="Y71" i="2" s="1"/>
  <c r="R121" i="2"/>
  <c r="Y121" i="2" s="1"/>
  <c r="R294" i="2"/>
  <c r="Y294" i="2" s="1"/>
  <c r="R179" i="2"/>
  <c r="Y179" i="2" s="1"/>
  <c r="R280" i="2"/>
  <c r="Y280" i="2" s="1"/>
  <c r="R249" i="2"/>
  <c r="Y249" i="2" s="1"/>
  <c r="R149" i="2"/>
  <c r="Y149" i="2" s="1"/>
  <c r="R81" i="2"/>
  <c r="Y81" i="2" s="1"/>
  <c r="R199" i="2"/>
  <c r="Y199" i="2" s="1"/>
  <c r="R933" i="2"/>
  <c r="Y933" i="2" s="1"/>
  <c r="R1083" i="2"/>
  <c r="Y1083" i="2" s="1"/>
  <c r="R976" i="2"/>
  <c r="Y976" i="2" s="1"/>
  <c r="R951" i="2"/>
  <c r="Y951" i="2" s="1"/>
  <c r="R1017" i="2"/>
  <c r="Y1017" i="2" s="1"/>
  <c r="R937" i="2"/>
  <c r="Y937" i="2" s="1"/>
  <c r="R1013" i="2"/>
  <c r="Y1013" i="2" s="1"/>
  <c r="R980" i="2"/>
  <c r="Y980" i="2" s="1"/>
  <c r="R1081" i="2"/>
  <c r="Y1081" i="2" s="1"/>
  <c r="R1091" i="2"/>
  <c r="Y1091" i="2" s="1"/>
  <c r="R974" i="2"/>
  <c r="Y974" i="2" s="1"/>
  <c r="R680" i="2"/>
  <c r="Y680" i="2" s="1"/>
  <c r="R596" i="2"/>
  <c r="Y596" i="2" s="1"/>
  <c r="R992" i="2"/>
  <c r="Y992" i="2" s="1"/>
  <c r="R846" i="2"/>
  <c r="Y846" i="2" s="1"/>
  <c r="R774" i="2"/>
  <c r="R988" i="2"/>
  <c r="Y988" i="2" s="1"/>
  <c r="R850" i="2"/>
  <c r="Y850" i="2" s="1"/>
  <c r="R947" i="2"/>
  <c r="Y947" i="2" s="1"/>
  <c r="R1001" i="2"/>
  <c r="Y1001" i="2" s="1"/>
  <c r="Q44" i="2"/>
  <c r="Y44" i="2" s="1"/>
  <c r="Q154" i="2"/>
  <c r="Y154" i="2" s="1"/>
  <c r="Q246" i="2"/>
  <c r="Y246" i="2" s="1"/>
  <c r="Q76" i="2"/>
  <c r="Y76" i="2" s="1"/>
  <c r="Y91" i="2"/>
  <c r="Y54" i="2"/>
  <c r="Q57" i="2"/>
  <c r="Y57" i="2" s="1"/>
  <c r="Q176" i="2"/>
  <c r="Y176" i="2" s="1"/>
  <c r="Y87" i="2"/>
  <c r="Y157" i="2"/>
  <c r="Q339" i="2"/>
  <c r="Y339" i="2" s="1"/>
  <c r="Q271" i="2"/>
  <c r="Y271" i="2" s="1"/>
  <c r="Q202" i="2"/>
  <c r="Y202" i="2" s="1"/>
  <c r="Q124" i="2"/>
  <c r="Y124" i="2" s="1"/>
  <c r="Q227" i="2"/>
  <c r="Y227" i="2" s="1"/>
  <c r="Q213" i="2"/>
  <c r="Y213" i="2" s="1"/>
  <c r="Y262" i="2"/>
  <c r="Q142" i="2"/>
  <c r="Y142" i="2" s="1"/>
  <c r="Q130" i="2"/>
  <c r="Y130" i="2" s="1"/>
  <c r="Y296" i="2"/>
  <c r="Q66" i="2"/>
  <c r="Y66" i="2" s="1"/>
  <c r="Y247" i="2"/>
  <c r="Q100" i="2"/>
  <c r="Y100" i="2" s="1"/>
  <c r="Y99" i="2"/>
  <c r="Q349" i="2"/>
  <c r="Y349" i="2" s="1"/>
  <c r="Q254" i="2"/>
  <c r="Y254" i="2" s="1"/>
  <c r="Q273" i="2"/>
  <c r="Y273" i="2" s="1"/>
  <c r="Q136" i="2"/>
  <c r="Y136" i="2" s="1"/>
  <c r="Q170" i="2"/>
  <c r="Y170" i="2" s="1"/>
  <c r="Q212" i="2"/>
  <c r="Y212" i="2" s="1"/>
  <c r="Q108" i="2"/>
  <c r="Y108" i="2" s="1"/>
  <c r="Y111" i="2"/>
  <c r="Y346" i="2"/>
  <c r="Q134" i="2"/>
  <c r="Y134" i="2" s="1"/>
  <c r="Y270" i="2"/>
  <c r="Q235" i="2"/>
  <c r="Y235" i="2" s="1"/>
  <c r="Q495" i="2"/>
  <c r="Y495" i="2" s="1"/>
  <c r="Q432" i="2"/>
  <c r="Y432" i="2" s="1"/>
  <c r="Q521" i="2"/>
  <c r="Y521" i="2" s="1"/>
  <c r="Q454" i="2"/>
  <c r="Y454" i="2" s="1"/>
  <c r="Q488" i="2"/>
  <c r="Y488" i="2" s="1"/>
  <c r="Q421" i="2"/>
  <c r="Y421" i="2" s="1"/>
  <c r="Q522" i="2"/>
  <c r="Y522" i="2" s="1"/>
  <c r="Q455" i="2"/>
  <c r="Y455" i="2" s="1"/>
  <c r="Q489" i="2"/>
  <c r="Y489" i="2" s="1"/>
  <c r="Q422" i="2"/>
  <c r="Y422" i="2" s="1"/>
  <c r="Q523" i="2"/>
  <c r="Y523" i="2" s="1"/>
  <c r="Q456" i="2"/>
  <c r="Y456" i="2" s="1"/>
  <c r="Q490" i="2"/>
  <c r="Y490" i="2" s="1"/>
  <c r="Q423" i="2"/>
  <c r="Y423" i="2" s="1"/>
  <c r="Q512" i="2"/>
  <c r="Y512" i="2" s="1"/>
  <c r="Q449" i="2"/>
  <c r="Y449" i="2" s="1"/>
  <c r="Q532" i="2"/>
  <c r="Y532" i="2" s="1"/>
  <c r="Y836" i="2"/>
  <c r="Q582" i="2"/>
  <c r="Y582" i="2" s="1"/>
  <c r="Q994" i="2"/>
  <c r="Y994" i="2" s="1"/>
  <c r="Q907" i="2"/>
  <c r="Y907" i="2" s="1"/>
  <c r="Q707" i="2"/>
  <c r="Y707" i="2" s="1"/>
  <c r="Y966" i="2"/>
  <c r="Q1066" i="2"/>
  <c r="Y1066" i="2" s="1"/>
  <c r="Q815" i="2"/>
  <c r="Y815" i="2" s="1"/>
  <c r="Q549" i="2"/>
  <c r="Y549" i="2" s="1"/>
  <c r="Q861" i="2"/>
  <c r="Y861" i="2" s="1"/>
  <c r="Q586" i="2"/>
  <c r="Y586" i="2" s="1"/>
  <c r="Q684" i="2"/>
  <c r="Y684" i="2" s="1"/>
  <c r="Q811" i="2"/>
  <c r="Y811" i="2" s="1"/>
  <c r="Q535" i="2"/>
  <c r="Y535" i="2" s="1"/>
  <c r="Q622" i="2"/>
  <c r="Y622" i="2" s="1"/>
  <c r="Q906" i="2"/>
  <c r="Y906" i="2" s="1"/>
  <c r="Q783" i="2"/>
  <c r="Y783" i="2" s="1"/>
  <c r="Q805" i="2"/>
  <c r="Y805" i="2" s="1"/>
  <c r="Q717" i="2"/>
  <c r="Y717" i="2" s="1"/>
  <c r="Q1064" i="2"/>
  <c r="Y1064" i="2" s="1"/>
  <c r="Y872" i="2"/>
  <c r="Q659" i="2"/>
  <c r="Y659" i="2" s="1"/>
  <c r="Q566" i="2"/>
  <c r="Y566" i="2" s="1"/>
  <c r="Q914" i="2"/>
  <c r="Y914" i="2" s="1"/>
  <c r="Q643" i="2"/>
  <c r="Y643" i="2" s="1"/>
  <c r="Q1030" i="2"/>
  <c r="Y1030" i="2" s="1"/>
  <c r="Y669" i="2"/>
  <c r="Q793" i="2"/>
  <c r="Y793" i="2" s="1"/>
  <c r="Q1090" i="2"/>
  <c r="Y1090" i="2" s="1"/>
  <c r="Q925" i="2"/>
  <c r="Y925" i="2" s="1"/>
  <c r="Q603" i="2"/>
  <c r="Y603" i="2" s="1"/>
  <c r="Q801" i="2"/>
  <c r="Y801" i="2" s="1"/>
  <c r="Q829" i="2"/>
  <c r="Y829" i="2" s="1"/>
  <c r="Q960" i="2"/>
  <c r="Y960" i="2" s="1"/>
  <c r="Q640" i="2"/>
  <c r="Y640" i="2" s="1"/>
  <c r="Q610" i="2"/>
  <c r="Y610" i="2" s="1"/>
  <c r="Y959" i="2"/>
  <c r="Q689" i="2"/>
  <c r="Y689" i="2" s="1"/>
  <c r="Y1075" i="2"/>
  <c r="Q676" i="2"/>
  <c r="Y676" i="2" s="1"/>
  <c r="Q700" i="2"/>
  <c r="Y700" i="2" s="1"/>
  <c r="Q1056" i="2"/>
  <c r="Y1056" i="2" s="1"/>
  <c r="Q803" i="2"/>
  <c r="Y803" i="2" s="1"/>
  <c r="Q1092" i="2"/>
  <c r="Y1092" i="2" s="1"/>
  <c r="Q718" i="2"/>
  <c r="Y718" i="2" s="1"/>
  <c r="Q884" i="2"/>
  <c r="Y884" i="2" s="1"/>
  <c r="Q1047" i="2"/>
  <c r="Y1047" i="2" s="1"/>
  <c r="Y943" i="2"/>
  <c r="Y774" i="2"/>
  <c r="Q561" i="2"/>
  <c r="Y561" i="2" s="1"/>
  <c r="Q542" i="2"/>
  <c r="Y542" i="2" s="1"/>
  <c r="Y854" i="2"/>
  <c r="Y580" i="2"/>
  <c r="Q575" i="2"/>
  <c r="Y575" i="2" s="1"/>
  <c r="Y804" i="2"/>
  <c r="Q593" i="2"/>
  <c r="Y593" i="2" s="1"/>
  <c r="Q616" i="2"/>
  <c r="Y616" i="2" s="1"/>
  <c r="Q902" i="2"/>
  <c r="Y902" i="2" s="1"/>
  <c r="Q37" i="2"/>
  <c r="Q308" i="2"/>
  <c r="Y308" i="2" s="1"/>
  <c r="Q53" i="2"/>
  <c r="Y53" i="2" s="1"/>
  <c r="R67" i="2"/>
  <c r="Y67" i="2" s="1"/>
  <c r="Y316" i="2"/>
  <c r="R243" i="2"/>
  <c r="Y243" i="2" s="1"/>
  <c r="R165" i="2"/>
  <c r="Y165" i="2" s="1"/>
  <c r="R123" i="2"/>
  <c r="Y123" i="2" s="1"/>
  <c r="R117" i="2"/>
  <c r="E117" i="2" s="1"/>
  <c r="E83" i="7" s="1"/>
  <c r="R340" i="2"/>
  <c r="Y340" i="2" s="1"/>
  <c r="R153" i="2"/>
  <c r="Y153" i="2" s="1"/>
  <c r="R197" i="2"/>
  <c r="Y197" i="2" s="1"/>
  <c r="R195" i="2"/>
  <c r="Y195" i="2" s="1"/>
  <c r="R107" i="2"/>
  <c r="Y107" i="2" s="1"/>
  <c r="R161" i="2"/>
  <c r="Y161" i="2" s="1"/>
  <c r="R147" i="2"/>
  <c r="Y147" i="2" s="1"/>
  <c r="R113" i="2"/>
  <c r="Y113" i="2" s="1"/>
  <c r="R288" i="2"/>
  <c r="Y288" i="2" s="1"/>
  <c r="R257" i="2"/>
  <c r="Y257" i="2" s="1"/>
  <c r="R83" i="2"/>
  <c r="Y83" i="2" s="1"/>
  <c r="R159" i="2"/>
  <c r="Y159" i="2" s="1"/>
  <c r="R338" i="2"/>
  <c r="Y338" i="2" s="1"/>
  <c r="R949" i="2"/>
  <c r="Y949" i="2" s="1"/>
  <c r="R1009" i="2"/>
  <c r="Y1009" i="2" s="1"/>
  <c r="R870" i="2"/>
  <c r="Y870" i="2" s="1"/>
  <c r="R834" i="2"/>
  <c r="Y834" i="2" s="1"/>
  <c r="R802" i="2"/>
  <c r="Y802" i="2" s="1"/>
  <c r="R886" i="2"/>
  <c r="Y886" i="2" s="1"/>
  <c r="R978" i="2"/>
  <c r="Y978" i="2" s="1"/>
  <c r="R995" i="2"/>
  <c r="Y995" i="2" s="1"/>
  <c r="R953" i="2"/>
  <c r="E227" i="2" s="1"/>
  <c r="E193" i="7" s="1"/>
  <c r="R1025" i="2"/>
  <c r="Y1025" i="2" s="1"/>
  <c r="R1005" i="2"/>
  <c r="Y1005" i="2" s="1"/>
  <c r="R968" i="2"/>
  <c r="Y968" i="2" s="1"/>
  <c r="R990" i="2"/>
  <c r="Y990" i="2" s="1"/>
  <c r="R701" i="2"/>
  <c r="Y701" i="2" s="1"/>
  <c r="R1021" i="2"/>
  <c r="Y1021" i="2" s="1"/>
  <c r="R776" i="2"/>
  <c r="Y776" i="2" s="1"/>
  <c r="R882" i="2"/>
  <c r="Y882" i="2" s="1"/>
  <c r="R856" i="2"/>
  <c r="Y856" i="2" s="1"/>
  <c r="R939" i="2"/>
  <c r="Y939" i="2" s="1"/>
  <c r="R782" i="2"/>
  <c r="Y782" i="2" s="1"/>
  <c r="R786" i="2"/>
  <c r="Y786" i="2" s="1"/>
  <c r="R828" i="2"/>
  <c r="Y828" i="2" s="1"/>
  <c r="R941" i="2"/>
  <c r="Y941" i="2" s="1"/>
  <c r="Y40" i="2"/>
  <c r="J41" i="2"/>
  <c r="J7" i="7" s="1"/>
  <c r="I41" i="2"/>
  <c r="I7" i="7" s="1"/>
  <c r="H41" i="2"/>
  <c r="H7" i="7" s="1"/>
  <c r="G41" i="2"/>
  <c r="G7" i="7" s="1"/>
  <c r="F41" i="2"/>
  <c r="F7" i="7" s="1"/>
  <c r="E41" i="2"/>
  <c r="E7" i="7" s="1"/>
  <c r="K41" i="2"/>
  <c r="K7" i="7" s="1"/>
  <c r="J42" i="2"/>
  <c r="J8" i="7" s="1"/>
  <c r="H42" i="2"/>
  <c r="H8" i="7" s="1"/>
  <c r="G42" i="2"/>
  <c r="G8" i="7" s="1"/>
  <c r="F42" i="2"/>
  <c r="F8" i="7" s="1"/>
  <c r="E42" i="2"/>
  <c r="E8" i="7" s="1"/>
  <c r="D42" i="2"/>
  <c r="D8" i="7" s="1"/>
  <c r="K42" i="2"/>
  <c r="K8" i="7" s="1"/>
  <c r="I42" i="2"/>
  <c r="I8" i="7" s="1"/>
  <c r="J74" i="2"/>
  <c r="J40" i="7" s="1"/>
  <c r="I74" i="2"/>
  <c r="I40" i="7" s="1"/>
  <c r="H74" i="2"/>
  <c r="H40" i="7" s="1"/>
  <c r="G74" i="2"/>
  <c r="G40" i="7" s="1"/>
  <c r="F74" i="2"/>
  <c r="F40" i="7" s="1"/>
  <c r="D74" i="2"/>
  <c r="D40" i="7" s="1"/>
  <c r="K74" i="2"/>
  <c r="K40" i="7" s="1"/>
  <c r="F150" i="2"/>
  <c r="F116" i="7" s="1"/>
  <c r="J150" i="2"/>
  <c r="J116" i="7" s="1"/>
  <c r="G150" i="2"/>
  <c r="G116" i="7" s="1"/>
  <c r="K150" i="2"/>
  <c r="K116" i="7" s="1"/>
  <c r="H150" i="2"/>
  <c r="H116" i="7" s="1"/>
  <c r="I150" i="2"/>
  <c r="I116" i="7" s="1"/>
  <c r="E150" i="2"/>
  <c r="E116" i="7" s="1"/>
  <c r="D131" i="2"/>
  <c r="D97" i="7" s="1"/>
  <c r="H131" i="2"/>
  <c r="H97" i="7" s="1"/>
  <c r="J131" i="2"/>
  <c r="J97" i="7" s="1"/>
  <c r="E131" i="2"/>
  <c r="E97" i="7" s="1"/>
  <c r="K131" i="2"/>
  <c r="K97" i="7" s="1"/>
  <c r="I131" i="2"/>
  <c r="I97" i="7" s="1"/>
  <c r="G131" i="2"/>
  <c r="G97" i="7" s="1"/>
  <c r="F131" i="2"/>
  <c r="F97" i="7" s="1"/>
  <c r="H67" i="2"/>
  <c r="H33" i="7" s="1"/>
  <c r="G67" i="2"/>
  <c r="G33" i="7" s="1"/>
  <c r="F67" i="2"/>
  <c r="F33" i="7" s="1"/>
  <c r="D67" i="2"/>
  <c r="D33" i="7" s="1"/>
  <c r="K67" i="2"/>
  <c r="K33" i="7" s="1"/>
  <c r="J67" i="2"/>
  <c r="J33" i="7" s="1"/>
  <c r="I67" i="2"/>
  <c r="I33" i="7" s="1"/>
  <c r="H99" i="2"/>
  <c r="H65" i="7" s="1"/>
  <c r="G99" i="2"/>
  <c r="G65" i="7" s="1"/>
  <c r="F99" i="2"/>
  <c r="F65" i="7" s="1"/>
  <c r="E99" i="2"/>
  <c r="E65" i="7" s="1"/>
  <c r="K99" i="2"/>
  <c r="K65" i="7" s="1"/>
  <c r="J99" i="2"/>
  <c r="J65" i="7" s="1"/>
  <c r="I99" i="2"/>
  <c r="I65" i="7" s="1"/>
  <c r="F126" i="2"/>
  <c r="F92" i="7" s="1"/>
  <c r="J126" i="2"/>
  <c r="J92" i="7" s="1"/>
  <c r="I126" i="2"/>
  <c r="I92" i="7" s="1"/>
  <c r="K126" i="2"/>
  <c r="K92" i="7" s="1"/>
  <c r="H126" i="2"/>
  <c r="H92" i="7" s="1"/>
  <c r="G126" i="2"/>
  <c r="G92" i="7" s="1"/>
  <c r="E126" i="2"/>
  <c r="E92" i="7" s="1"/>
  <c r="F52" i="2"/>
  <c r="F18" i="7" s="1"/>
  <c r="K52" i="2"/>
  <c r="K18" i="7" s="1"/>
  <c r="J52" i="2"/>
  <c r="J18" i="7" s="1"/>
  <c r="I52" i="2"/>
  <c r="I18" i="7" s="1"/>
  <c r="H52" i="2"/>
  <c r="H18" i="7" s="1"/>
  <c r="E52" i="2"/>
  <c r="E18" i="7" s="1"/>
  <c r="G52" i="2"/>
  <c r="G18" i="7" s="1"/>
  <c r="F84" i="2"/>
  <c r="F50" i="7" s="1"/>
  <c r="K84" i="2"/>
  <c r="K50" i="7" s="1"/>
  <c r="J84" i="2"/>
  <c r="J50" i="7" s="1"/>
  <c r="I84" i="2"/>
  <c r="I50" i="7" s="1"/>
  <c r="H84" i="2"/>
  <c r="H50" i="7" s="1"/>
  <c r="G84" i="2"/>
  <c r="G50" i="7" s="1"/>
  <c r="H155" i="2"/>
  <c r="H121" i="7" s="1"/>
  <c r="I155" i="2"/>
  <c r="I121" i="7" s="1"/>
  <c r="F155" i="2"/>
  <c r="F121" i="7" s="1"/>
  <c r="K155" i="2"/>
  <c r="K121" i="7" s="1"/>
  <c r="J155" i="2"/>
  <c r="J121" i="7" s="1"/>
  <c r="G155" i="2"/>
  <c r="G121" i="7" s="1"/>
  <c r="H117" i="2"/>
  <c r="H83" i="7" s="1"/>
  <c r="D117" i="2"/>
  <c r="D83" i="7" s="1"/>
  <c r="J117" i="2"/>
  <c r="J83" i="7" s="1"/>
  <c r="G117" i="2"/>
  <c r="G83" i="7" s="1"/>
  <c r="F117" i="2"/>
  <c r="F83" i="7" s="1"/>
  <c r="K117" i="2"/>
  <c r="K83" i="7" s="1"/>
  <c r="I117" i="2"/>
  <c r="I83" i="7" s="1"/>
  <c r="I222" i="2"/>
  <c r="I188" i="7" s="1"/>
  <c r="H222" i="2"/>
  <c r="H188" i="7" s="1"/>
  <c r="G222" i="2"/>
  <c r="G188" i="7" s="1"/>
  <c r="F222" i="2"/>
  <c r="F188" i="7" s="1"/>
  <c r="K222" i="2"/>
  <c r="K188" i="7" s="1"/>
  <c r="J222" i="2"/>
  <c r="J188" i="7" s="1"/>
  <c r="E222" i="2"/>
  <c r="E188" i="7" s="1"/>
  <c r="K85" i="2"/>
  <c r="K51" i="7" s="1"/>
  <c r="J85" i="2"/>
  <c r="J51" i="7" s="1"/>
  <c r="I85" i="2"/>
  <c r="I51" i="7" s="1"/>
  <c r="H85" i="2"/>
  <c r="H51" i="7" s="1"/>
  <c r="G85" i="2"/>
  <c r="G51" i="7" s="1"/>
  <c r="F85" i="2"/>
  <c r="F51" i="7" s="1"/>
  <c r="H184" i="2"/>
  <c r="H150" i="7" s="1"/>
  <c r="F184" i="2"/>
  <c r="F150" i="7" s="1"/>
  <c r="K184" i="2"/>
  <c r="K150" i="7" s="1"/>
  <c r="G184" i="2"/>
  <c r="G150" i="7" s="1"/>
  <c r="J184" i="2"/>
  <c r="J150" i="7" s="1"/>
  <c r="I184" i="2"/>
  <c r="I150" i="7" s="1"/>
  <c r="E184" i="2"/>
  <c r="E150" i="7" s="1"/>
  <c r="D250" i="2"/>
  <c r="D216" i="7" s="1"/>
  <c r="I250" i="2"/>
  <c r="I216" i="7" s="1"/>
  <c r="H250" i="2"/>
  <c r="H216" i="7" s="1"/>
  <c r="K250" i="2"/>
  <c r="K216" i="7" s="1"/>
  <c r="F250" i="2"/>
  <c r="F216" i="7" s="1"/>
  <c r="J250" i="2"/>
  <c r="J216" i="7" s="1"/>
  <c r="G250" i="2"/>
  <c r="G216" i="7" s="1"/>
  <c r="F110" i="2"/>
  <c r="F76" i="7" s="1"/>
  <c r="J110" i="2"/>
  <c r="J76" i="7" s="1"/>
  <c r="K110" i="2"/>
  <c r="K76" i="7" s="1"/>
  <c r="I110" i="2"/>
  <c r="I76" i="7" s="1"/>
  <c r="H110" i="2"/>
  <c r="H76" i="7" s="1"/>
  <c r="G110" i="2"/>
  <c r="G76" i="7" s="1"/>
  <c r="E110" i="2"/>
  <c r="E76" i="7" s="1"/>
  <c r="J136" i="2"/>
  <c r="J102" i="7" s="1"/>
  <c r="F136" i="2"/>
  <c r="F102" i="7" s="1"/>
  <c r="I136" i="2"/>
  <c r="I102" i="7" s="1"/>
  <c r="D136" i="2"/>
  <c r="D102" i="7" s="1"/>
  <c r="K136" i="2"/>
  <c r="K102" i="7" s="1"/>
  <c r="H136" i="2"/>
  <c r="H102" i="7" s="1"/>
  <c r="G136" i="2"/>
  <c r="G102" i="7" s="1"/>
  <c r="F193" i="2"/>
  <c r="F159" i="7" s="1"/>
  <c r="J193" i="2"/>
  <c r="J159" i="7" s="1"/>
  <c r="K193" i="2"/>
  <c r="K159" i="7" s="1"/>
  <c r="G193" i="2"/>
  <c r="G159" i="7" s="1"/>
  <c r="H193" i="2"/>
  <c r="H159" i="7" s="1"/>
  <c r="D193" i="2"/>
  <c r="D159" i="7" s="1"/>
  <c r="I193" i="2"/>
  <c r="I159" i="7" s="1"/>
  <c r="D206" i="2"/>
  <c r="D172" i="7" s="1"/>
  <c r="H206" i="2"/>
  <c r="H172" i="7" s="1"/>
  <c r="F206" i="2"/>
  <c r="F172" i="7" s="1"/>
  <c r="K206" i="2"/>
  <c r="K172" i="7" s="1"/>
  <c r="G206" i="2"/>
  <c r="G172" i="7" s="1"/>
  <c r="J206" i="2"/>
  <c r="J172" i="7" s="1"/>
  <c r="E206" i="2"/>
  <c r="E172" i="7" s="1"/>
  <c r="I206" i="2"/>
  <c r="I172" i="7" s="1"/>
  <c r="J187" i="2"/>
  <c r="J153" i="7" s="1"/>
  <c r="F187" i="2"/>
  <c r="F153" i="7" s="1"/>
  <c r="E187" i="2"/>
  <c r="E153" i="7" s="1"/>
  <c r="K187" i="2"/>
  <c r="K153" i="7" s="1"/>
  <c r="G187" i="2"/>
  <c r="G153" i="7" s="1"/>
  <c r="I187" i="2"/>
  <c r="I153" i="7" s="1"/>
  <c r="H187" i="2"/>
  <c r="H153" i="7" s="1"/>
  <c r="F189" i="2"/>
  <c r="F155" i="7" s="1"/>
  <c r="J189" i="2"/>
  <c r="J155" i="7" s="1"/>
  <c r="E189" i="2"/>
  <c r="E155" i="7" s="1"/>
  <c r="K189" i="2"/>
  <c r="K155" i="7" s="1"/>
  <c r="G189" i="2"/>
  <c r="G155" i="7" s="1"/>
  <c r="H189" i="2"/>
  <c r="H155" i="7" s="1"/>
  <c r="I189" i="2"/>
  <c r="I155" i="7" s="1"/>
  <c r="D210" i="2"/>
  <c r="D176" i="7" s="1"/>
  <c r="H210" i="2"/>
  <c r="H176" i="7" s="1"/>
  <c r="F210" i="2"/>
  <c r="F176" i="7" s="1"/>
  <c r="K210" i="2"/>
  <c r="K176" i="7" s="1"/>
  <c r="G210" i="2"/>
  <c r="G176" i="7" s="1"/>
  <c r="E210" i="2"/>
  <c r="E176" i="7" s="1"/>
  <c r="J210" i="2"/>
  <c r="J176" i="7" s="1"/>
  <c r="I210" i="2"/>
  <c r="I176" i="7" s="1"/>
  <c r="J199" i="2"/>
  <c r="J165" i="7" s="1"/>
  <c r="F199" i="2"/>
  <c r="F165" i="7" s="1"/>
  <c r="E199" i="2"/>
  <c r="E165" i="7" s="1"/>
  <c r="K199" i="2"/>
  <c r="K165" i="7" s="1"/>
  <c r="G199" i="2"/>
  <c r="G165" i="7" s="1"/>
  <c r="I199" i="2"/>
  <c r="I165" i="7" s="1"/>
  <c r="H199" i="2"/>
  <c r="H165" i="7" s="1"/>
  <c r="J164" i="2"/>
  <c r="J130" i="7" s="1"/>
  <c r="G164" i="2"/>
  <c r="G130" i="7" s="1"/>
  <c r="F164" i="2"/>
  <c r="F130" i="7" s="1"/>
  <c r="K164" i="2"/>
  <c r="K130" i="7" s="1"/>
  <c r="H164" i="2"/>
  <c r="H130" i="7" s="1"/>
  <c r="E164" i="2"/>
  <c r="E130" i="7" s="1"/>
  <c r="D164" i="2"/>
  <c r="D130" i="7" s="1"/>
  <c r="I164" i="2"/>
  <c r="I130" i="7" s="1"/>
  <c r="H268" i="2"/>
  <c r="H234" i="7" s="1"/>
  <c r="E268" i="2"/>
  <c r="E234" i="7" s="1"/>
  <c r="K268" i="2"/>
  <c r="K234" i="7" s="1"/>
  <c r="J268" i="2"/>
  <c r="J234" i="7" s="1"/>
  <c r="I268" i="2"/>
  <c r="I234" i="7" s="1"/>
  <c r="F268" i="2"/>
  <c r="F234" i="7" s="1"/>
  <c r="G268" i="2"/>
  <c r="G234" i="7" s="1"/>
  <c r="J227" i="2"/>
  <c r="J193" i="7" s="1"/>
  <c r="G227" i="2"/>
  <c r="G193" i="7" s="1"/>
  <c r="F227" i="2"/>
  <c r="F193" i="7" s="1"/>
  <c r="I227" i="2"/>
  <c r="I193" i="7" s="1"/>
  <c r="D227" i="2"/>
  <c r="D193" i="7" s="1"/>
  <c r="K227" i="2"/>
  <c r="K193" i="7" s="1"/>
  <c r="H227" i="2"/>
  <c r="H193" i="7" s="1"/>
  <c r="F166" i="2"/>
  <c r="F132" i="7" s="1"/>
  <c r="K166" i="2"/>
  <c r="K132" i="7" s="1"/>
  <c r="J166" i="2"/>
  <c r="J132" i="7" s="1"/>
  <c r="G166" i="2"/>
  <c r="G132" i="7" s="1"/>
  <c r="I166" i="2"/>
  <c r="I132" i="7" s="1"/>
  <c r="H166" i="2"/>
  <c r="H132" i="7" s="1"/>
  <c r="E166" i="2"/>
  <c r="E132" i="7" s="1"/>
  <c r="I258" i="2"/>
  <c r="I224" i="7" s="1"/>
  <c r="H258" i="2"/>
  <c r="H224" i="7" s="1"/>
  <c r="G258" i="2"/>
  <c r="G224" i="7" s="1"/>
  <c r="K258" i="2"/>
  <c r="K224" i="7" s="1"/>
  <c r="J258" i="2"/>
  <c r="J224" i="7" s="1"/>
  <c r="F258" i="2"/>
  <c r="F224" i="7" s="1"/>
  <c r="J285" i="2"/>
  <c r="J251" i="7" s="1"/>
  <c r="F285" i="2"/>
  <c r="F251" i="7" s="1"/>
  <c r="H285" i="2"/>
  <c r="H251" i="7" s="1"/>
  <c r="G285" i="2"/>
  <c r="G251" i="7" s="1"/>
  <c r="D285" i="2"/>
  <c r="D251" i="7" s="1"/>
  <c r="K285" i="2"/>
  <c r="K251" i="7" s="1"/>
  <c r="I285" i="2"/>
  <c r="I251" i="7" s="1"/>
  <c r="E285" i="2"/>
  <c r="E251" i="7" s="1"/>
  <c r="H288" i="2"/>
  <c r="H254" i="7" s="1"/>
  <c r="I288" i="2"/>
  <c r="I254" i="7" s="1"/>
  <c r="G288" i="2"/>
  <c r="G254" i="7" s="1"/>
  <c r="E288" i="2"/>
  <c r="E254" i="7" s="1"/>
  <c r="K288" i="2"/>
  <c r="K254" i="7" s="1"/>
  <c r="J288" i="2"/>
  <c r="J254" i="7" s="1"/>
  <c r="F288" i="2"/>
  <c r="F254" i="7" s="1"/>
  <c r="D296" i="2"/>
  <c r="D262" i="7" s="1"/>
  <c r="H296" i="2"/>
  <c r="H262" i="7" s="1"/>
  <c r="I296" i="2"/>
  <c r="I262" i="7" s="1"/>
  <c r="G296" i="2"/>
  <c r="G262" i="7" s="1"/>
  <c r="E296" i="2"/>
  <c r="E262" i="7" s="1"/>
  <c r="K296" i="2"/>
  <c r="K262" i="7" s="1"/>
  <c r="J296" i="2"/>
  <c r="J262" i="7" s="1"/>
  <c r="F296" i="2"/>
  <c r="F262" i="7" s="1"/>
  <c r="D304" i="2"/>
  <c r="D270" i="7" s="1"/>
  <c r="H304" i="2"/>
  <c r="H270" i="7" s="1"/>
  <c r="J304" i="2"/>
  <c r="J270" i="7" s="1"/>
  <c r="I304" i="2"/>
  <c r="I270" i="7" s="1"/>
  <c r="G304" i="2"/>
  <c r="G270" i="7" s="1"/>
  <c r="E304" i="2"/>
  <c r="E270" i="7" s="1"/>
  <c r="K304" i="2"/>
  <c r="K270" i="7" s="1"/>
  <c r="F304" i="2"/>
  <c r="F270" i="7" s="1"/>
  <c r="H312" i="2"/>
  <c r="H278" i="7" s="1"/>
  <c r="J312" i="2"/>
  <c r="J278" i="7" s="1"/>
  <c r="I312" i="2"/>
  <c r="I278" i="7" s="1"/>
  <c r="G312" i="2"/>
  <c r="G278" i="7" s="1"/>
  <c r="E312" i="2"/>
  <c r="E278" i="7" s="1"/>
  <c r="K312" i="2"/>
  <c r="K278" i="7" s="1"/>
  <c r="F312" i="2"/>
  <c r="F278" i="7" s="1"/>
  <c r="J387" i="2"/>
  <c r="F387" i="2"/>
  <c r="H387" i="2"/>
  <c r="D387" i="2"/>
  <c r="I387" i="2"/>
  <c r="K387" i="2"/>
  <c r="G387" i="2"/>
  <c r="E387" i="2"/>
  <c r="H384" i="2"/>
  <c r="D384" i="2"/>
  <c r="I384" i="2"/>
  <c r="E384" i="2"/>
  <c r="J384" i="2"/>
  <c r="K384" i="2"/>
  <c r="G384" i="2"/>
  <c r="F384" i="2"/>
  <c r="F373" i="2"/>
  <c r="J373" i="2"/>
  <c r="H373" i="2"/>
  <c r="D373" i="2"/>
  <c r="I373" i="2"/>
  <c r="K373" i="2"/>
  <c r="G373" i="2"/>
  <c r="E373" i="2"/>
  <c r="I372" i="2"/>
  <c r="F372" i="2"/>
  <c r="J372" i="2"/>
  <c r="H372" i="2"/>
  <c r="G372" i="2"/>
  <c r="E372" i="2"/>
  <c r="D372" i="2"/>
  <c r="K372" i="2"/>
  <c r="F221" i="2"/>
  <c r="F187" i="7" s="1"/>
  <c r="K221" i="2"/>
  <c r="K187" i="7" s="1"/>
  <c r="J221" i="2"/>
  <c r="J187" i="7" s="1"/>
  <c r="I221" i="2"/>
  <c r="I187" i="7" s="1"/>
  <c r="D221" i="2"/>
  <c r="D187" i="7" s="1"/>
  <c r="H221" i="2"/>
  <c r="H187" i="7" s="1"/>
  <c r="G221" i="2"/>
  <c r="G187" i="7" s="1"/>
  <c r="F253" i="2"/>
  <c r="F219" i="7" s="1"/>
  <c r="K253" i="2"/>
  <c r="K219" i="7" s="1"/>
  <c r="J253" i="2"/>
  <c r="J219" i="7" s="1"/>
  <c r="I253" i="2"/>
  <c r="I219" i="7" s="1"/>
  <c r="E253" i="2"/>
  <c r="E219" i="7" s="1"/>
  <c r="H253" i="2"/>
  <c r="H219" i="7" s="1"/>
  <c r="G253" i="2"/>
  <c r="G219" i="7" s="1"/>
  <c r="I323" i="2"/>
  <c r="I289" i="7" s="1"/>
  <c r="F323" i="2"/>
  <c r="F289" i="7" s="1"/>
  <c r="J323" i="2"/>
  <c r="J289" i="7" s="1"/>
  <c r="G323" i="2"/>
  <c r="G289" i="7" s="1"/>
  <c r="E323" i="2"/>
  <c r="E289" i="7" s="1"/>
  <c r="D323" i="2"/>
  <c r="D289" i="7" s="1"/>
  <c r="K323" i="2"/>
  <c r="K289" i="7" s="1"/>
  <c r="H323" i="2"/>
  <c r="H289" i="7" s="1"/>
  <c r="E329" i="2"/>
  <c r="E295" i="7" s="1"/>
  <c r="J329" i="2"/>
  <c r="J295" i="7" s="1"/>
  <c r="F329" i="2"/>
  <c r="F295" i="7" s="1"/>
  <c r="G329" i="2"/>
  <c r="G295" i="7" s="1"/>
  <c r="D329" i="2"/>
  <c r="D295" i="7" s="1"/>
  <c r="K329" i="2"/>
  <c r="K295" i="7" s="1"/>
  <c r="I329" i="2"/>
  <c r="I295" i="7" s="1"/>
  <c r="H329" i="2"/>
  <c r="H295" i="7" s="1"/>
  <c r="G328" i="2"/>
  <c r="G294" i="7" s="1"/>
  <c r="D328" i="2"/>
  <c r="D294" i="7" s="1"/>
  <c r="H328" i="2"/>
  <c r="H294" i="7" s="1"/>
  <c r="E328" i="2"/>
  <c r="E294" i="7" s="1"/>
  <c r="K328" i="2"/>
  <c r="K294" i="7" s="1"/>
  <c r="J328" i="2"/>
  <c r="J294" i="7" s="1"/>
  <c r="I328" i="2"/>
  <c r="I294" i="7" s="1"/>
  <c r="F328" i="2"/>
  <c r="F294" i="7" s="1"/>
  <c r="H424" i="2"/>
  <c r="H355" i="7" s="1"/>
  <c r="E424" i="2"/>
  <c r="E355" i="7" s="1"/>
  <c r="D424" i="2"/>
  <c r="D355" i="7" s="1"/>
  <c r="I424" i="2"/>
  <c r="I355" i="7" s="1"/>
  <c r="F424" i="2"/>
  <c r="F355" i="7" s="1"/>
  <c r="G424" i="2"/>
  <c r="G355" i="7" s="1"/>
  <c r="J424" i="2"/>
  <c r="J355" i="7" s="1"/>
  <c r="K424" i="2"/>
  <c r="K355" i="7" s="1"/>
  <c r="D382" i="2"/>
  <c r="H382" i="2"/>
  <c r="I382" i="2"/>
  <c r="E382" i="2"/>
  <c r="J382" i="2"/>
  <c r="K382" i="2"/>
  <c r="G382" i="2"/>
  <c r="F382" i="2"/>
  <c r="D474" i="2"/>
  <c r="D405" i="7" s="1"/>
  <c r="I474" i="2"/>
  <c r="I405" i="7" s="1"/>
  <c r="H474" i="2"/>
  <c r="H405" i="7" s="1"/>
  <c r="E474" i="2"/>
  <c r="E405" i="7" s="1"/>
  <c r="K474" i="2"/>
  <c r="K405" i="7" s="1"/>
  <c r="J474" i="2"/>
  <c r="J405" i="7" s="1"/>
  <c r="G474" i="2"/>
  <c r="G405" i="7" s="1"/>
  <c r="F474" i="2"/>
  <c r="F405" i="7" s="1"/>
  <c r="H400" i="2"/>
  <c r="D400" i="2"/>
  <c r="I400" i="2"/>
  <c r="E400" i="2"/>
  <c r="J400" i="2"/>
  <c r="K400" i="2"/>
  <c r="G400" i="2"/>
  <c r="F400" i="2"/>
  <c r="H408" i="2"/>
  <c r="H339" i="7" s="1"/>
  <c r="D408" i="2"/>
  <c r="D339" i="7" s="1"/>
  <c r="I408" i="2"/>
  <c r="I339" i="7" s="1"/>
  <c r="E408" i="2"/>
  <c r="E339" i="7" s="1"/>
  <c r="J408" i="2"/>
  <c r="J339" i="7" s="1"/>
  <c r="K408" i="2"/>
  <c r="K339" i="7" s="1"/>
  <c r="G408" i="2"/>
  <c r="G339" i="7" s="1"/>
  <c r="F408" i="2"/>
  <c r="F339" i="7" s="1"/>
  <c r="D438" i="2"/>
  <c r="D369" i="7" s="1"/>
  <c r="I438" i="2"/>
  <c r="I369" i="7" s="1"/>
  <c r="H438" i="2"/>
  <c r="H369" i="7" s="1"/>
  <c r="E438" i="2"/>
  <c r="E369" i="7" s="1"/>
  <c r="K438" i="2"/>
  <c r="K369" i="7" s="1"/>
  <c r="F438" i="2"/>
  <c r="F369" i="7" s="1"/>
  <c r="J438" i="2"/>
  <c r="J369" i="7" s="1"/>
  <c r="G438" i="2"/>
  <c r="G369" i="7" s="1"/>
  <c r="H456" i="2"/>
  <c r="H387" i="7" s="1"/>
  <c r="E456" i="2"/>
  <c r="E387" i="7" s="1"/>
  <c r="D456" i="2"/>
  <c r="D387" i="7" s="1"/>
  <c r="I456" i="2"/>
  <c r="I387" i="7" s="1"/>
  <c r="F456" i="2"/>
  <c r="F387" i="7" s="1"/>
  <c r="K456" i="2"/>
  <c r="K387" i="7" s="1"/>
  <c r="J456" i="2"/>
  <c r="J387" i="7" s="1"/>
  <c r="G456" i="2"/>
  <c r="G387" i="7" s="1"/>
  <c r="K338" i="2"/>
  <c r="K304" i="7" s="1"/>
  <c r="H338" i="2"/>
  <c r="H304" i="7" s="1"/>
  <c r="D338" i="2"/>
  <c r="D304" i="7" s="1"/>
  <c r="J338" i="2"/>
  <c r="J304" i="7" s="1"/>
  <c r="I338" i="2"/>
  <c r="I304" i="7" s="1"/>
  <c r="G338" i="2"/>
  <c r="G304" i="7" s="1"/>
  <c r="F338" i="2"/>
  <c r="F304" i="7" s="1"/>
  <c r="E338" i="2"/>
  <c r="E304" i="7" s="1"/>
  <c r="K371" i="2"/>
  <c r="H371" i="2"/>
  <c r="D371" i="2"/>
  <c r="G371" i="2"/>
  <c r="F371" i="2"/>
  <c r="E371" i="2"/>
  <c r="J371" i="2"/>
  <c r="I371" i="2"/>
  <c r="J431" i="2"/>
  <c r="J362" i="7" s="1"/>
  <c r="G431" i="2"/>
  <c r="G362" i="7" s="1"/>
  <c r="F431" i="2"/>
  <c r="F362" i="7" s="1"/>
  <c r="K431" i="2"/>
  <c r="K362" i="7" s="1"/>
  <c r="H431" i="2"/>
  <c r="H362" i="7" s="1"/>
  <c r="I431" i="2"/>
  <c r="I362" i="7" s="1"/>
  <c r="E431" i="2"/>
  <c r="E362" i="7" s="1"/>
  <c r="D431" i="2"/>
  <c r="D362" i="7" s="1"/>
  <c r="J463" i="2"/>
  <c r="J394" i="7" s="1"/>
  <c r="G463" i="2"/>
  <c r="G394" i="7" s="1"/>
  <c r="F463" i="2"/>
  <c r="F394" i="7" s="1"/>
  <c r="K463" i="2"/>
  <c r="K394" i="7" s="1"/>
  <c r="H463" i="2"/>
  <c r="H394" i="7" s="1"/>
  <c r="E463" i="2"/>
  <c r="E394" i="7" s="1"/>
  <c r="D463" i="2"/>
  <c r="D394" i="7" s="1"/>
  <c r="I463" i="2"/>
  <c r="I394" i="7" s="1"/>
  <c r="D529" i="2"/>
  <c r="D460" i="7" s="1"/>
  <c r="I529" i="2"/>
  <c r="I460" i="7" s="1"/>
  <c r="E529" i="2"/>
  <c r="E460" i="7" s="1"/>
  <c r="K529" i="2"/>
  <c r="K460" i="7" s="1"/>
  <c r="J529" i="2"/>
  <c r="J460" i="7" s="1"/>
  <c r="H529" i="2"/>
  <c r="H460" i="7" s="1"/>
  <c r="G529" i="2"/>
  <c r="G460" i="7" s="1"/>
  <c r="F529" i="2"/>
  <c r="F460" i="7" s="1"/>
  <c r="G579" i="2"/>
  <c r="G510" i="7" s="1"/>
  <c r="F579" i="2"/>
  <c r="F510" i="7" s="1"/>
  <c r="K579" i="2"/>
  <c r="K510" i="7" s="1"/>
  <c r="J579" i="2"/>
  <c r="J510" i="7" s="1"/>
  <c r="H579" i="2"/>
  <c r="H510" i="7" s="1"/>
  <c r="E579" i="2"/>
  <c r="E510" i="7" s="1"/>
  <c r="D579" i="2"/>
  <c r="D510" i="7" s="1"/>
  <c r="I579" i="2"/>
  <c r="I510" i="7" s="1"/>
  <c r="H491" i="2"/>
  <c r="H422" i="7" s="1"/>
  <c r="G491" i="2"/>
  <c r="G422" i="7" s="1"/>
  <c r="F491" i="2"/>
  <c r="F422" i="7" s="1"/>
  <c r="E491" i="2"/>
  <c r="E422" i="7" s="1"/>
  <c r="D491" i="2"/>
  <c r="D422" i="7" s="1"/>
  <c r="K491" i="2"/>
  <c r="K422" i="7" s="1"/>
  <c r="J491" i="2"/>
  <c r="J422" i="7" s="1"/>
  <c r="I491" i="2"/>
  <c r="I422" i="7" s="1"/>
  <c r="F421" i="2"/>
  <c r="F352" i="7" s="1"/>
  <c r="K421" i="2"/>
  <c r="K352" i="7" s="1"/>
  <c r="J421" i="2"/>
  <c r="J352" i="7" s="1"/>
  <c r="G421" i="2"/>
  <c r="G352" i="7" s="1"/>
  <c r="E421" i="2"/>
  <c r="E352" i="7" s="1"/>
  <c r="H421" i="2"/>
  <c r="H352" i="7" s="1"/>
  <c r="I421" i="2"/>
  <c r="I352" i="7" s="1"/>
  <c r="D421" i="2"/>
  <c r="D352" i="7" s="1"/>
  <c r="F453" i="2"/>
  <c r="F384" i="7" s="1"/>
  <c r="K453" i="2"/>
  <c r="K384" i="7" s="1"/>
  <c r="J453" i="2"/>
  <c r="J384" i="7" s="1"/>
  <c r="G453" i="2"/>
  <c r="G384" i="7" s="1"/>
  <c r="E453" i="2"/>
  <c r="E384" i="7" s="1"/>
  <c r="D453" i="2"/>
  <c r="D384" i="7" s="1"/>
  <c r="I453" i="2"/>
  <c r="I384" i="7" s="1"/>
  <c r="H453" i="2"/>
  <c r="H384" i="7" s="1"/>
  <c r="F485" i="2"/>
  <c r="F416" i="7" s="1"/>
  <c r="E485" i="2"/>
  <c r="E416" i="7" s="1"/>
  <c r="D485" i="2"/>
  <c r="D416" i="7" s="1"/>
  <c r="K485" i="2"/>
  <c r="K416" i="7" s="1"/>
  <c r="J485" i="2"/>
  <c r="J416" i="7" s="1"/>
  <c r="I485" i="2"/>
  <c r="I416" i="7" s="1"/>
  <c r="H485" i="2"/>
  <c r="H416" i="7" s="1"/>
  <c r="G485" i="2"/>
  <c r="G416" i="7" s="1"/>
  <c r="J534" i="2"/>
  <c r="J465" i="7" s="1"/>
  <c r="F534" i="2"/>
  <c r="F465" i="7" s="1"/>
  <c r="H534" i="2"/>
  <c r="H465" i="7" s="1"/>
  <c r="D534" i="2"/>
  <c r="D465" i="7" s="1"/>
  <c r="I534" i="2"/>
  <c r="I465" i="7" s="1"/>
  <c r="G534" i="2"/>
  <c r="G465" i="7" s="1"/>
  <c r="E534" i="2"/>
  <c r="E465" i="7" s="1"/>
  <c r="K534" i="2"/>
  <c r="K465" i="7" s="1"/>
  <c r="G563" i="2"/>
  <c r="G494" i="7" s="1"/>
  <c r="F563" i="2"/>
  <c r="F494" i="7" s="1"/>
  <c r="E563" i="2"/>
  <c r="E494" i="7" s="1"/>
  <c r="D563" i="2"/>
  <c r="D494" i="7" s="1"/>
  <c r="K563" i="2"/>
  <c r="K494" i="7" s="1"/>
  <c r="H563" i="2"/>
  <c r="H494" i="7" s="1"/>
  <c r="J563" i="2"/>
  <c r="J494" i="7" s="1"/>
  <c r="I563" i="2"/>
  <c r="I494" i="7" s="1"/>
  <c r="D556" i="2"/>
  <c r="D487" i="7" s="1"/>
  <c r="J556" i="2"/>
  <c r="J487" i="7" s="1"/>
  <c r="I556" i="2"/>
  <c r="I487" i="7" s="1"/>
  <c r="G556" i="2"/>
  <c r="G487" i="7" s="1"/>
  <c r="F556" i="2"/>
  <c r="F487" i="7" s="1"/>
  <c r="K556" i="2"/>
  <c r="K487" i="7" s="1"/>
  <c r="H556" i="2"/>
  <c r="H487" i="7" s="1"/>
  <c r="E556" i="2"/>
  <c r="E487" i="7" s="1"/>
  <c r="J522" i="2"/>
  <c r="J453" i="7" s="1"/>
  <c r="G522" i="2"/>
  <c r="G453" i="7" s="1"/>
  <c r="K522" i="2"/>
  <c r="K453" i="7" s="1"/>
  <c r="I522" i="2"/>
  <c r="I453" i="7" s="1"/>
  <c r="H522" i="2"/>
  <c r="H453" i="7" s="1"/>
  <c r="F522" i="2"/>
  <c r="F453" i="7" s="1"/>
  <c r="E522" i="2"/>
  <c r="E453" i="7" s="1"/>
  <c r="D522" i="2"/>
  <c r="D453" i="7" s="1"/>
  <c r="J538" i="2"/>
  <c r="J469" i="7" s="1"/>
  <c r="F538" i="2"/>
  <c r="F469" i="7" s="1"/>
  <c r="H538" i="2"/>
  <c r="H469" i="7" s="1"/>
  <c r="D538" i="2"/>
  <c r="D469" i="7" s="1"/>
  <c r="I538" i="2"/>
  <c r="I469" i="7" s="1"/>
  <c r="G538" i="2"/>
  <c r="G469" i="7" s="1"/>
  <c r="E538" i="2"/>
  <c r="E469" i="7" s="1"/>
  <c r="K538" i="2"/>
  <c r="K469" i="7" s="1"/>
  <c r="J546" i="2"/>
  <c r="J477" i="7" s="1"/>
  <c r="F546" i="2"/>
  <c r="F477" i="7" s="1"/>
  <c r="H546" i="2"/>
  <c r="H477" i="7" s="1"/>
  <c r="D546" i="2"/>
  <c r="D477" i="7" s="1"/>
  <c r="I546" i="2"/>
  <c r="I477" i="7" s="1"/>
  <c r="G546" i="2"/>
  <c r="G477" i="7" s="1"/>
  <c r="E546" i="2"/>
  <c r="E477" i="7" s="1"/>
  <c r="K546" i="2"/>
  <c r="K477" i="7" s="1"/>
  <c r="F520" i="2"/>
  <c r="F451" i="7" s="1"/>
  <c r="K520" i="2"/>
  <c r="K451" i="7" s="1"/>
  <c r="G520" i="2"/>
  <c r="G451" i="7" s="1"/>
  <c r="E520" i="2"/>
  <c r="E451" i="7" s="1"/>
  <c r="D520" i="2"/>
  <c r="D451" i="7" s="1"/>
  <c r="J520" i="2"/>
  <c r="J451" i="7" s="1"/>
  <c r="I520" i="2"/>
  <c r="I451" i="7" s="1"/>
  <c r="H520" i="2"/>
  <c r="H451" i="7" s="1"/>
  <c r="E584" i="2"/>
  <c r="E515" i="7" s="1"/>
  <c r="D584" i="2"/>
  <c r="D515" i="7" s="1"/>
  <c r="K584" i="2"/>
  <c r="K515" i="7" s="1"/>
  <c r="I584" i="2"/>
  <c r="I515" i="7" s="1"/>
  <c r="H584" i="2"/>
  <c r="H515" i="7" s="1"/>
  <c r="G584" i="2"/>
  <c r="G515" i="7" s="1"/>
  <c r="J584" i="2"/>
  <c r="J515" i="7" s="1"/>
  <c r="F584" i="2"/>
  <c r="F515" i="7" s="1"/>
  <c r="E576" i="2"/>
  <c r="E507" i="7" s="1"/>
  <c r="D576" i="2"/>
  <c r="D507" i="7" s="1"/>
  <c r="J576" i="2"/>
  <c r="J507" i="7" s="1"/>
  <c r="I576" i="2"/>
  <c r="I507" i="7" s="1"/>
  <c r="G576" i="2"/>
  <c r="G507" i="7" s="1"/>
  <c r="F576" i="2"/>
  <c r="F507" i="7" s="1"/>
  <c r="K576" i="2"/>
  <c r="K507" i="7" s="1"/>
  <c r="H576" i="2"/>
  <c r="H507" i="7" s="1"/>
  <c r="E572" i="2"/>
  <c r="E503" i="7" s="1"/>
  <c r="D572" i="2"/>
  <c r="D503" i="7" s="1"/>
  <c r="I572" i="2"/>
  <c r="I503" i="7" s="1"/>
  <c r="H572" i="2"/>
  <c r="H503" i="7" s="1"/>
  <c r="F572" i="2"/>
  <c r="F503" i="7" s="1"/>
  <c r="J572" i="2"/>
  <c r="J503" i="7" s="1"/>
  <c r="K572" i="2"/>
  <c r="K503" i="7" s="1"/>
  <c r="G572" i="2"/>
  <c r="G503" i="7" s="1"/>
  <c r="G567" i="2"/>
  <c r="G498" i="7" s="1"/>
  <c r="F567" i="2"/>
  <c r="F498" i="7" s="1"/>
  <c r="H567" i="2"/>
  <c r="H498" i="7" s="1"/>
  <c r="E567" i="2"/>
  <c r="E498" i="7" s="1"/>
  <c r="I567" i="2"/>
  <c r="I498" i="7" s="1"/>
  <c r="K567" i="2"/>
  <c r="K498" i="7" s="1"/>
  <c r="J567" i="2"/>
  <c r="J498" i="7" s="1"/>
  <c r="D567" i="2"/>
  <c r="D498" i="7" s="1"/>
  <c r="I586" i="2"/>
  <c r="I517" i="7" s="1"/>
  <c r="H586" i="2"/>
  <c r="H517" i="7" s="1"/>
  <c r="J586" i="2"/>
  <c r="J517" i="7" s="1"/>
  <c r="G586" i="2"/>
  <c r="G517" i="7" s="1"/>
  <c r="F586" i="2"/>
  <c r="F517" i="7" s="1"/>
  <c r="D586" i="2"/>
  <c r="D517" i="7" s="1"/>
  <c r="K586" i="2"/>
  <c r="K517" i="7" s="1"/>
  <c r="E586" i="2"/>
  <c r="E517" i="7" s="1"/>
  <c r="J685" i="2"/>
  <c r="J616" i="7" s="1"/>
  <c r="F685" i="2"/>
  <c r="F616" i="7" s="1"/>
  <c r="D685" i="2"/>
  <c r="D616" i="7" s="1"/>
  <c r="I685" i="2"/>
  <c r="I616" i="7" s="1"/>
  <c r="G685" i="2"/>
  <c r="G616" i="7" s="1"/>
  <c r="H685" i="2"/>
  <c r="H616" i="7" s="1"/>
  <c r="K685" i="2"/>
  <c r="K616" i="7" s="1"/>
  <c r="E685" i="2"/>
  <c r="E616" i="7" s="1"/>
  <c r="K561" i="2"/>
  <c r="K492" i="7" s="1"/>
  <c r="J561" i="2"/>
  <c r="J492" i="7" s="1"/>
  <c r="E561" i="2"/>
  <c r="E492" i="7" s="1"/>
  <c r="D561" i="2"/>
  <c r="D492" i="7" s="1"/>
  <c r="I561" i="2"/>
  <c r="I492" i="7" s="1"/>
  <c r="F561" i="2"/>
  <c r="F492" i="7" s="1"/>
  <c r="H561" i="2"/>
  <c r="H492" i="7" s="1"/>
  <c r="G561" i="2"/>
  <c r="G492" i="7" s="1"/>
  <c r="J598" i="2"/>
  <c r="J529" i="7" s="1"/>
  <c r="K598" i="2"/>
  <c r="K529" i="7" s="1"/>
  <c r="F598" i="2"/>
  <c r="F529" i="7" s="1"/>
  <c r="E598" i="2"/>
  <c r="E529" i="7" s="1"/>
  <c r="I598" i="2"/>
  <c r="I529" i="7" s="1"/>
  <c r="G598" i="2"/>
  <c r="G529" i="7" s="1"/>
  <c r="H598" i="2"/>
  <c r="H529" i="7" s="1"/>
  <c r="D598" i="2"/>
  <c r="D529" i="7" s="1"/>
  <c r="I626" i="2"/>
  <c r="I557" i="7" s="1"/>
  <c r="G626" i="2"/>
  <c r="G557" i="7" s="1"/>
  <c r="J626" i="2"/>
  <c r="J557" i="7" s="1"/>
  <c r="H626" i="2"/>
  <c r="H557" i="7" s="1"/>
  <c r="E626" i="2"/>
  <c r="E557" i="7" s="1"/>
  <c r="K626" i="2"/>
  <c r="K557" i="7" s="1"/>
  <c r="D626" i="2"/>
  <c r="D557" i="7" s="1"/>
  <c r="F626" i="2"/>
  <c r="F557" i="7" s="1"/>
  <c r="H666" i="2"/>
  <c r="H597" i="7" s="1"/>
  <c r="D666" i="2"/>
  <c r="D597" i="7" s="1"/>
  <c r="I666" i="2"/>
  <c r="I597" i="7" s="1"/>
  <c r="F666" i="2"/>
  <c r="F597" i="7" s="1"/>
  <c r="K666" i="2"/>
  <c r="K597" i="7" s="1"/>
  <c r="G666" i="2"/>
  <c r="G597" i="7" s="1"/>
  <c r="J666" i="2"/>
  <c r="J597" i="7" s="1"/>
  <c r="E666" i="2"/>
  <c r="E597" i="7" s="1"/>
  <c r="F612" i="2"/>
  <c r="F543" i="7" s="1"/>
  <c r="K612" i="2"/>
  <c r="K543" i="7" s="1"/>
  <c r="I612" i="2"/>
  <c r="I543" i="7" s="1"/>
  <c r="J612" i="2"/>
  <c r="J543" i="7" s="1"/>
  <c r="H612" i="2"/>
  <c r="H543" i="7" s="1"/>
  <c r="E612" i="2"/>
  <c r="E543" i="7" s="1"/>
  <c r="D612" i="2"/>
  <c r="D543" i="7" s="1"/>
  <c r="G612" i="2"/>
  <c r="G543" i="7" s="1"/>
  <c r="J653" i="2"/>
  <c r="J584" i="7" s="1"/>
  <c r="F653" i="2"/>
  <c r="F584" i="7" s="1"/>
  <c r="H653" i="2"/>
  <c r="H584" i="7" s="1"/>
  <c r="E653" i="2"/>
  <c r="E584" i="7" s="1"/>
  <c r="I653" i="2"/>
  <c r="I584" i="7" s="1"/>
  <c r="G653" i="2"/>
  <c r="G584" i="7" s="1"/>
  <c r="K653" i="2"/>
  <c r="K584" i="7" s="1"/>
  <c r="D653" i="2"/>
  <c r="D584" i="7" s="1"/>
  <c r="H690" i="2"/>
  <c r="H621" i="7" s="1"/>
  <c r="D690" i="2"/>
  <c r="D621" i="7" s="1"/>
  <c r="J690" i="2"/>
  <c r="J621" i="7" s="1"/>
  <c r="E690" i="2"/>
  <c r="E621" i="7" s="1"/>
  <c r="I690" i="2"/>
  <c r="I621" i="7" s="1"/>
  <c r="G690" i="2"/>
  <c r="G621" i="7" s="1"/>
  <c r="K690" i="2"/>
  <c r="K621" i="7" s="1"/>
  <c r="F690" i="2"/>
  <c r="F621" i="7" s="1"/>
  <c r="D660" i="2"/>
  <c r="D591" i="7" s="1"/>
  <c r="H660" i="2"/>
  <c r="H591" i="7" s="1"/>
  <c r="I660" i="2"/>
  <c r="I591" i="7" s="1"/>
  <c r="F660" i="2"/>
  <c r="F591" i="7" s="1"/>
  <c r="E660" i="2"/>
  <c r="E591" i="7" s="1"/>
  <c r="K660" i="2"/>
  <c r="K591" i="7" s="1"/>
  <c r="J660" i="2"/>
  <c r="J591" i="7" s="1"/>
  <c r="G660" i="2"/>
  <c r="G591" i="7" s="1"/>
  <c r="D704" i="2"/>
  <c r="D635" i="7" s="1"/>
  <c r="J704" i="2"/>
  <c r="J635" i="7" s="1"/>
  <c r="H704" i="2"/>
  <c r="H635" i="7" s="1"/>
  <c r="G704" i="2"/>
  <c r="G635" i="7" s="1"/>
  <c r="F704" i="2"/>
  <c r="F635" i="7" s="1"/>
  <c r="E704" i="2"/>
  <c r="E635" i="7" s="1"/>
  <c r="I704" i="2"/>
  <c r="I635" i="7" s="1"/>
  <c r="K704" i="2"/>
  <c r="K635" i="7" s="1"/>
  <c r="F691" i="2"/>
  <c r="F622" i="7" s="1"/>
  <c r="J691" i="2"/>
  <c r="J622" i="7" s="1"/>
  <c r="H691" i="2"/>
  <c r="H622" i="7" s="1"/>
  <c r="E691" i="2"/>
  <c r="E622" i="7" s="1"/>
  <c r="I691" i="2"/>
  <c r="I622" i="7" s="1"/>
  <c r="D691" i="2"/>
  <c r="D622" i="7" s="1"/>
  <c r="G691" i="2"/>
  <c r="G622" i="7" s="1"/>
  <c r="K691" i="2"/>
  <c r="K622" i="7" s="1"/>
  <c r="K637" i="2"/>
  <c r="K568" i="7" s="1"/>
  <c r="I637" i="2"/>
  <c r="I568" i="7" s="1"/>
  <c r="F637" i="2"/>
  <c r="F568" i="7" s="1"/>
  <c r="E637" i="2"/>
  <c r="E568" i="7" s="1"/>
  <c r="J637" i="2"/>
  <c r="J568" i="7" s="1"/>
  <c r="H637" i="2"/>
  <c r="H568" i="7" s="1"/>
  <c r="G637" i="2"/>
  <c r="G568" i="7" s="1"/>
  <c r="D637" i="2"/>
  <c r="D568" i="7" s="1"/>
  <c r="J693" i="2"/>
  <c r="J624" i="7" s="1"/>
  <c r="H693" i="2"/>
  <c r="H624" i="7" s="1"/>
  <c r="F693" i="2"/>
  <c r="F624" i="7" s="1"/>
  <c r="D693" i="2"/>
  <c r="D624" i="7" s="1"/>
  <c r="K693" i="2"/>
  <c r="K624" i="7" s="1"/>
  <c r="G693" i="2"/>
  <c r="G624" i="7" s="1"/>
  <c r="I693" i="2"/>
  <c r="I624" i="7" s="1"/>
  <c r="E693" i="2"/>
  <c r="E624" i="7" s="1"/>
  <c r="J725" i="2"/>
  <c r="J656" i="7" s="1"/>
  <c r="I725" i="2"/>
  <c r="I656" i="7" s="1"/>
  <c r="H725" i="2"/>
  <c r="H656" i="7" s="1"/>
  <c r="G725" i="2"/>
  <c r="G656" i="7" s="1"/>
  <c r="F725" i="2"/>
  <c r="F656" i="7" s="1"/>
  <c r="E725" i="2"/>
  <c r="E656" i="7" s="1"/>
  <c r="D725" i="2"/>
  <c r="D656" i="7" s="1"/>
  <c r="K725" i="2"/>
  <c r="K656" i="7" s="1"/>
  <c r="H718" i="2"/>
  <c r="H649" i="7" s="1"/>
  <c r="F718" i="2"/>
  <c r="F649" i="7" s="1"/>
  <c r="D718" i="2"/>
  <c r="D649" i="7" s="1"/>
  <c r="K718" i="2"/>
  <c r="K649" i="7" s="1"/>
  <c r="J718" i="2"/>
  <c r="J649" i="7" s="1"/>
  <c r="I718" i="2"/>
  <c r="I649" i="7" s="1"/>
  <c r="G718" i="2"/>
  <c r="G649" i="7" s="1"/>
  <c r="E718" i="2"/>
  <c r="E649" i="7" s="1"/>
  <c r="D720" i="2"/>
  <c r="D651" i="7" s="1"/>
  <c r="K720" i="2"/>
  <c r="K651" i="7" s="1"/>
  <c r="J720" i="2"/>
  <c r="J651" i="7" s="1"/>
  <c r="I720" i="2"/>
  <c r="I651" i="7" s="1"/>
  <c r="H720" i="2"/>
  <c r="H651" i="7" s="1"/>
  <c r="G720" i="2"/>
  <c r="G651" i="7" s="1"/>
  <c r="F720" i="2"/>
  <c r="F651" i="7" s="1"/>
  <c r="E720" i="2"/>
  <c r="E651" i="7" s="1"/>
  <c r="D45" i="2"/>
  <c r="D11" i="7" s="1"/>
  <c r="J45" i="2"/>
  <c r="J11" i="7" s="1"/>
  <c r="I45" i="2"/>
  <c r="I11" i="7" s="1"/>
  <c r="H45" i="2"/>
  <c r="H11" i="7" s="1"/>
  <c r="G45" i="2"/>
  <c r="G11" i="7" s="1"/>
  <c r="F45" i="2"/>
  <c r="F11" i="7" s="1"/>
  <c r="E45" i="2"/>
  <c r="E11" i="7" s="1"/>
  <c r="K45" i="2"/>
  <c r="K11" i="7" s="1"/>
  <c r="J46" i="2"/>
  <c r="J12" i="7" s="1"/>
  <c r="H46" i="2"/>
  <c r="H12" i="7" s="1"/>
  <c r="G46" i="2"/>
  <c r="G12" i="7" s="1"/>
  <c r="F46" i="2"/>
  <c r="F12" i="7" s="1"/>
  <c r="E46" i="2"/>
  <c r="E12" i="7" s="1"/>
  <c r="D46" i="2"/>
  <c r="D12" i="7" s="1"/>
  <c r="K46" i="2"/>
  <c r="K12" i="7" s="1"/>
  <c r="I46" i="2"/>
  <c r="I12" i="7" s="1"/>
  <c r="J78" i="2"/>
  <c r="J44" i="7" s="1"/>
  <c r="I78" i="2"/>
  <c r="I44" i="7" s="1"/>
  <c r="H78" i="2"/>
  <c r="H44" i="7" s="1"/>
  <c r="G78" i="2"/>
  <c r="G44" i="7" s="1"/>
  <c r="F78" i="2"/>
  <c r="F44" i="7" s="1"/>
  <c r="E78" i="2"/>
  <c r="E44" i="7" s="1"/>
  <c r="K78" i="2"/>
  <c r="K44" i="7" s="1"/>
  <c r="J251" i="2"/>
  <c r="J217" i="7" s="1"/>
  <c r="G251" i="2"/>
  <c r="G217" i="7" s="1"/>
  <c r="F251" i="2"/>
  <c r="F217" i="7" s="1"/>
  <c r="E251" i="2"/>
  <c r="E217" i="7" s="1"/>
  <c r="H251" i="2"/>
  <c r="H217" i="7" s="1"/>
  <c r="K251" i="2"/>
  <c r="K217" i="7" s="1"/>
  <c r="I251" i="2"/>
  <c r="I217" i="7" s="1"/>
  <c r="D251" i="2"/>
  <c r="D217" i="7" s="1"/>
  <c r="H135" i="2"/>
  <c r="H101" i="7" s="1"/>
  <c r="J135" i="2"/>
  <c r="J101" i="7" s="1"/>
  <c r="E135" i="2"/>
  <c r="E101" i="7" s="1"/>
  <c r="K135" i="2"/>
  <c r="K101" i="7" s="1"/>
  <c r="I135" i="2"/>
  <c r="I101" i="7" s="1"/>
  <c r="G135" i="2"/>
  <c r="G101" i="7" s="1"/>
  <c r="F135" i="2"/>
  <c r="F101" i="7" s="1"/>
  <c r="H39" i="2"/>
  <c r="H5" i="7" s="1"/>
  <c r="F39" i="2"/>
  <c r="F5" i="7" s="1"/>
  <c r="E39" i="2"/>
  <c r="E5" i="7" s="1"/>
  <c r="K39" i="2"/>
  <c r="K5" i="7" s="1"/>
  <c r="J39" i="2"/>
  <c r="J5" i="7" s="1"/>
  <c r="I39" i="2"/>
  <c r="I5" i="7" s="1"/>
  <c r="G39" i="2"/>
  <c r="G5" i="7" s="1"/>
  <c r="H71" i="2"/>
  <c r="H37" i="7" s="1"/>
  <c r="G71" i="2"/>
  <c r="G37" i="7" s="1"/>
  <c r="F71" i="2"/>
  <c r="F37" i="7" s="1"/>
  <c r="E71" i="2"/>
  <c r="E37" i="7" s="1"/>
  <c r="K71" i="2"/>
  <c r="K37" i="7" s="1"/>
  <c r="J71" i="2"/>
  <c r="J37" i="7" s="1"/>
  <c r="I71" i="2"/>
  <c r="I37" i="7" s="1"/>
  <c r="H103" i="2"/>
  <c r="H69" i="7" s="1"/>
  <c r="G103" i="2"/>
  <c r="G69" i="7" s="1"/>
  <c r="F103" i="2"/>
  <c r="F69" i="7" s="1"/>
  <c r="E103" i="2"/>
  <c r="E69" i="7" s="1"/>
  <c r="D103" i="2"/>
  <c r="D69" i="7" s="1"/>
  <c r="K103" i="2"/>
  <c r="K69" i="7" s="1"/>
  <c r="J103" i="2"/>
  <c r="J69" i="7" s="1"/>
  <c r="I103" i="2"/>
  <c r="I69" i="7" s="1"/>
  <c r="F130" i="2"/>
  <c r="F96" i="7" s="1"/>
  <c r="J130" i="2"/>
  <c r="J96" i="7" s="1"/>
  <c r="I130" i="2"/>
  <c r="I96" i="7" s="1"/>
  <c r="K130" i="2"/>
  <c r="K96" i="7" s="1"/>
  <c r="H130" i="2"/>
  <c r="H96" i="7" s="1"/>
  <c r="G130" i="2"/>
  <c r="G96" i="7" s="1"/>
  <c r="E130" i="2"/>
  <c r="E96" i="7" s="1"/>
  <c r="F56" i="2"/>
  <c r="F22" i="7" s="1"/>
  <c r="K56" i="2"/>
  <c r="K22" i="7" s="1"/>
  <c r="J56" i="2"/>
  <c r="J22" i="7" s="1"/>
  <c r="I56" i="2"/>
  <c r="I22" i="7" s="1"/>
  <c r="H56" i="2"/>
  <c r="H22" i="7" s="1"/>
  <c r="G56" i="2"/>
  <c r="G22" i="7" s="1"/>
  <c r="E56" i="2"/>
  <c r="E22" i="7" s="1"/>
  <c r="F88" i="2"/>
  <c r="F54" i="7" s="1"/>
  <c r="E88" i="2"/>
  <c r="E54" i="7" s="1"/>
  <c r="K88" i="2"/>
  <c r="K54" i="7" s="1"/>
  <c r="J88" i="2"/>
  <c r="J54" i="7" s="1"/>
  <c r="I88" i="2"/>
  <c r="I54" i="7" s="1"/>
  <c r="H88" i="2"/>
  <c r="H54" i="7" s="1"/>
  <c r="G88" i="2"/>
  <c r="G54" i="7" s="1"/>
  <c r="H161" i="2"/>
  <c r="H127" i="7" s="1"/>
  <c r="E161" i="2"/>
  <c r="E127" i="7" s="1"/>
  <c r="D161" i="2"/>
  <c r="D127" i="7" s="1"/>
  <c r="I161" i="2"/>
  <c r="I127" i="7" s="1"/>
  <c r="J161" i="2"/>
  <c r="J127" i="7" s="1"/>
  <c r="F161" i="2"/>
  <c r="F127" i="7" s="1"/>
  <c r="K161" i="2"/>
  <c r="K127" i="7" s="1"/>
  <c r="G161" i="2"/>
  <c r="G127" i="7" s="1"/>
  <c r="H121" i="2"/>
  <c r="H87" i="7" s="1"/>
  <c r="D121" i="2"/>
  <c r="D87" i="7" s="1"/>
  <c r="J121" i="2"/>
  <c r="J87" i="7" s="1"/>
  <c r="E121" i="2"/>
  <c r="E87" i="7" s="1"/>
  <c r="G121" i="2"/>
  <c r="G87" i="7" s="1"/>
  <c r="F121" i="2"/>
  <c r="F87" i="7" s="1"/>
  <c r="K121" i="2"/>
  <c r="K87" i="7" s="1"/>
  <c r="I121" i="2"/>
  <c r="I87" i="7" s="1"/>
  <c r="D57" i="2"/>
  <c r="D23" i="7" s="1"/>
  <c r="K57" i="2"/>
  <c r="K23" i="7" s="1"/>
  <c r="J57" i="2"/>
  <c r="J23" i="7" s="1"/>
  <c r="I57" i="2"/>
  <c r="I23" i="7" s="1"/>
  <c r="H57" i="2"/>
  <c r="H23" i="7" s="1"/>
  <c r="G57" i="2"/>
  <c r="G23" i="7" s="1"/>
  <c r="F57" i="2"/>
  <c r="F23" i="7" s="1"/>
  <c r="E57" i="2"/>
  <c r="E23" i="7" s="1"/>
  <c r="D89" i="2"/>
  <c r="D55" i="7" s="1"/>
  <c r="K89" i="2"/>
  <c r="K55" i="7" s="1"/>
  <c r="J89" i="2"/>
  <c r="J55" i="7" s="1"/>
  <c r="I89" i="2"/>
  <c r="I55" i="7" s="1"/>
  <c r="H89" i="2"/>
  <c r="H55" i="7" s="1"/>
  <c r="G89" i="2"/>
  <c r="G55" i="7" s="1"/>
  <c r="F89" i="2"/>
  <c r="F55" i="7" s="1"/>
  <c r="E89" i="2"/>
  <c r="E55" i="7" s="1"/>
  <c r="H188" i="2"/>
  <c r="H154" i="7" s="1"/>
  <c r="D188" i="2"/>
  <c r="D154" i="7" s="1"/>
  <c r="F188" i="2"/>
  <c r="F154" i="7" s="1"/>
  <c r="K188" i="2"/>
  <c r="K154" i="7" s="1"/>
  <c r="G188" i="2"/>
  <c r="G154" i="7" s="1"/>
  <c r="J188" i="2"/>
  <c r="J154" i="7" s="1"/>
  <c r="I188" i="2"/>
  <c r="I154" i="7" s="1"/>
  <c r="E188" i="2"/>
  <c r="E154" i="7" s="1"/>
  <c r="D53" i="2"/>
  <c r="D19" i="7" s="1"/>
  <c r="J53" i="2"/>
  <c r="J19" i="7" s="1"/>
  <c r="I53" i="2"/>
  <c r="I19" i="7" s="1"/>
  <c r="H53" i="2"/>
  <c r="H19" i="7" s="1"/>
  <c r="G53" i="2"/>
  <c r="G19" i="7" s="1"/>
  <c r="F53" i="2"/>
  <c r="F19" i="7" s="1"/>
  <c r="E53" i="2"/>
  <c r="E19" i="7" s="1"/>
  <c r="K53" i="2"/>
  <c r="K19" i="7" s="1"/>
  <c r="D111" i="2"/>
  <c r="D77" i="7" s="1"/>
  <c r="H111" i="2"/>
  <c r="H77" i="7" s="1"/>
  <c r="K111" i="2"/>
  <c r="K77" i="7" s="1"/>
  <c r="J111" i="2"/>
  <c r="J77" i="7" s="1"/>
  <c r="I111" i="2"/>
  <c r="I77" i="7" s="1"/>
  <c r="G111" i="2"/>
  <c r="G77" i="7" s="1"/>
  <c r="F111" i="2"/>
  <c r="F77" i="7" s="1"/>
  <c r="E111" i="2"/>
  <c r="E77" i="7" s="1"/>
  <c r="J140" i="2"/>
  <c r="J106" i="7" s="1"/>
  <c r="F140" i="2"/>
  <c r="F106" i="7" s="1"/>
  <c r="I140" i="2"/>
  <c r="I106" i="7" s="1"/>
  <c r="K140" i="2"/>
  <c r="K106" i="7" s="1"/>
  <c r="H140" i="2"/>
  <c r="H106" i="7" s="1"/>
  <c r="G140" i="2"/>
  <c r="G106" i="7" s="1"/>
  <c r="E140" i="2"/>
  <c r="E106" i="7" s="1"/>
  <c r="F201" i="2"/>
  <c r="F167" i="7" s="1"/>
  <c r="J201" i="2"/>
  <c r="J167" i="7" s="1"/>
  <c r="K201" i="2"/>
  <c r="K167" i="7" s="1"/>
  <c r="G201" i="2"/>
  <c r="G167" i="7" s="1"/>
  <c r="H201" i="2"/>
  <c r="H167" i="7" s="1"/>
  <c r="D201" i="2"/>
  <c r="D167" i="7" s="1"/>
  <c r="I201" i="2"/>
  <c r="I167" i="7" s="1"/>
  <c r="J231" i="2"/>
  <c r="J197" i="7" s="1"/>
  <c r="G231" i="2"/>
  <c r="G197" i="7" s="1"/>
  <c r="F231" i="2"/>
  <c r="F197" i="7" s="1"/>
  <c r="K231" i="2"/>
  <c r="K197" i="7" s="1"/>
  <c r="E231" i="2"/>
  <c r="E197" i="7" s="1"/>
  <c r="H231" i="2"/>
  <c r="H197" i="7" s="1"/>
  <c r="I231" i="2"/>
  <c r="I197" i="7" s="1"/>
  <c r="J195" i="2"/>
  <c r="J161" i="7" s="1"/>
  <c r="F195" i="2"/>
  <c r="F161" i="7" s="1"/>
  <c r="E195" i="2"/>
  <c r="E161" i="7" s="1"/>
  <c r="K195" i="2"/>
  <c r="K161" i="7" s="1"/>
  <c r="G195" i="2"/>
  <c r="G161" i="7" s="1"/>
  <c r="I195" i="2"/>
  <c r="I161" i="7" s="1"/>
  <c r="H195" i="2"/>
  <c r="H161" i="7" s="1"/>
  <c r="D195" i="2"/>
  <c r="D161" i="7" s="1"/>
  <c r="F197" i="2"/>
  <c r="F163" i="7" s="1"/>
  <c r="J197" i="2"/>
  <c r="J163" i="7" s="1"/>
  <c r="E197" i="2"/>
  <c r="E163" i="7" s="1"/>
  <c r="K197" i="2"/>
  <c r="K163" i="7" s="1"/>
  <c r="G197" i="2"/>
  <c r="G163" i="7" s="1"/>
  <c r="H197" i="2"/>
  <c r="H163" i="7" s="1"/>
  <c r="D197" i="2"/>
  <c r="D163" i="7" s="1"/>
  <c r="I197" i="2"/>
  <c r="I163" i="7" s="1"/>
  <c r="H232" i="2"/>
  <c r="H198" i="7" s="1"/>
  <c r="E232" i="2"/>
  <c r="E198" i="7" s="1"/>
  <c r="D232" i="2"/>
  <c r="D198" i="7" s="1"/>
  <c r="G232" i="2"/>
  <c r="G198" i="7" s="1"/>
  <c r="I232" i="2"/>
  <c r="I198" i="7" s="1"/>
  <c r="F232" i="2"/>
  <c r="F198" i="7" s="1"/>
  <c r="K232" i="2"/>
  <c r="K198" i="7" s="1"/>
  <c r="J232" i="2"/>
  <c r="J198" i="7" s="1"/>
  <c r="J207" i="2"/>
  <c r="J173" i="7" s="1"/>
  <c r="F207" i="2"/>
  <c r="F173" i="7" s="1"/>
  <c r="E207" i="2"/>
  <c r="E173" i="7" s="1"/>
  <c r="K207" i="2"/>
  <c r="K173" i="7" s="1"/>
  <c r="G207" i="2"/>
  <c r="G173" i="7" s="1"/>
  <c r="I207" i="2"/>
  <c r="I173" i="7" s="1"/>
  <c r="H207" i="2"/>
  <c r="H173" i="7" s="1"/>
  <c r="D207" i="2"/>
  <c r="D173" i="7" s="1"/>
  <c r="J168" i="2"/>
  <c r="J134" i="7" s="1"/>
  <c r="G168" i="2"/>
  <c r="G134" i="7" s="1"/>
  <c r="F168" i="2"/>
  <c r="F134" i="7" s="1"/>
  <c r="K168" i="2"/>
  <c r="K134" i="7" s="1"/>
  <c r="I168" i="2"/>
  <c r="I134" i="7" s="1"/>
  <c r="H168" i="2"/>
  <c r="H134" i="7" s="1"/>
  <c r="E168" i="2"/>
  <c r="E134" i="7" s="1"/>
  <c r="D274" i="2"/>
  <c r="D240" i="7" s="1"/>
  <c r="I274" i="2"/>
  <c r="I240" i="7" s="1"/>
  <c r="H274" i="2"/>
  <c r="H240" i="7" s="1"/>
  <c r="K274" i="2"/>
  <c r="K240" i="7" s="1"/>
  <c r="J274" i="2"/>
  <c r="J240" i="7" s="1"/>
  <c r="G274" i="2"/>
  <c r="G240" i="7" s="1"/>
  <c r="F274" i="2"/>
  <c r="F240" i="7" s="1"/>
  <c r="H240" i="2"/>
  <c r="H206" i="7" s="1"/>
  <c r="E240" i="2"/>
  <c r="E206" i="7" s="1"/>
  <c r="D240" i="2"/>
  <c r="D206" i="7" s="1"/>
  <c r="J240" i="2"/>
  <c r="J206" i="7" s="1"/>
  <c r="F240" i="2"/>
  <c r="F206" i="7" s="1"/>
  <c r="K240" i="2"/>
  <c r="K206" i="7" s="1"/>
  <c r="G240" i="2"/>
  <c r="G206" i="7" s="1"/>
  <c r="I240" i="2"/>
  <c r="I206" i="7" s="1"/>
  <c r="F170" i="2"/>
  <c r="F136" i="7" s="1"/>
  <c r="K170" i="2"/>
  <c r="K136" i="7" s="1"/>
  <c r="J170" i="2"/>
  <c r="J136" i="7" s="1"/>
  <c r="G170" i="2"/>
  <c r="G136" i="7" s="1"/>
  <c r="I170" i="2"/>
  <c r="I136" i="7" s="1"/>
  <c r="E170" i="2"/>
  <c r="E136" i="7" s="1"/>
  <c r="D170" i="2"/>
  <c r="D136" i="7" s="1"/>
  <c r="H170" i="2"/>
  <c r="H136" i="7" s="1"/>
  <c r="J271" i="2"/>
  <c r="J237" i="7" s="1"/>
  <c r="G271" i="2"/>
  <c r="G237" i="7" s="1"/>
  <c r="F271" i="2"/>
  <c r="F237" i="7" s="1"/>
  <c r="H271" i="2"/>
  <c r="H237" i="7" s="1"/>
  <c r="D271" i="2"/>
  <c r="D237" i="7" s="1"/>
  <c r="K271" i="2"/>
  <c r="K237" i="7" s="1"/>
  <c r="I271" i="2"/>
  <c r="I237" i="7" s="1"/>
  <c r="E271" i="2"/>
  <c r="E237" i="7" s="1"/>
  <c r="H224" i="2"/>
  <c r="H190" i="7" s="1"/>
  <c r="E224" i="2"/>
  <c r="E190" i="7" s="1"/>
  <c r="D224" i="2"/>
  <c r="D190" i="7" s="1"/>
  <c r="K224" i="2"/>
  <c r="K190" i="7" s="1"/>
  <c r="J224" i="2"/>
  <c r="J190" i="7" s="1"/>
  <c r="F224" i="2"/>
  <c r="F190" i="7" s="1"/>
  <c r="I224" i="2"/>
  <c r="I190" i="7" s="1"/>
  <c r="G224" i="2"/>
  <c r="G190" i="7" s="1"/>
  <c r="J289" i="2"/>
  <c r="J255" i="7" s="1"/>
  <c r="F289" i="2"/>
  <c r="F255" i="7" s="1"/>
  <c r="H289" i="2"/>
  <c r="H255" i="7" s="1"/>
  <c r="G289" i="2"/>
  <c r="G255" i="7" s="1"/>
  <c r="K289" i="2"/>
  <c r="K255" i="7" s="1"/>
  <c r="I289" i="2"/>
  <c r="I255" i="7" s="1"/>
  <c r="E289" i="2"/>
  <c r="E255" i="7" s="1"/>
  <c r="D289" i="2"/>
  <c r="D255" i="7" s="1"/>
  <c r="J297" i="2"/>
  <c r="J263" i="7" s="1"/>
  <c r="F297" i="2"/>
  <c r="F263" i="7" s="1"/>
  <c r="H297" i="2"/>
  <c r="H263" i="7" s="1"/>
  <c r="G297" i="2"/>
  <c r="G263" i="7" s="1"/>
  <c r="K297" i="2"/>
  <c r="K263" i="7" s="1"/>
  <c r="I297" i="2"/>
  <c r="I263" i="7" s="1"/>
  <c r="E297" i="2"/>
  <c r="E263" i="7" s="1"/>
  <c r="D297" i="2"/>
  <c r="D263" i="7" s="1"/>
  <c r="J305" i="2"/>
  <c r="J271" i="7" s="1"/>
  <c r="F305" i="2"/>
  <c r="F271" i="7" s="1"/>
  <c r="I305" i="2"/>
  <c r="I271" i="7" s="1"/>
  <c r="H305" i="2"/>
  <c r="H271" i="7" s="1"/>
  <c r="G305" i="2"/>
  <c r="G271" i="7" s="1"/>
  <c r="E305" i="2"/>
  <c r="E271" i="7" s="1"/>
  <c r="K305" i="2"/>
  <c r="K271" i="7" s="1"/>
  <c r="J313" i="2"/>
  <c r="J279" i="7" s="1"/>
  <c r="F313" i="2"/>
  <c r="F279" i="7" s="1"/>
  <c r="I313" i="2"/>
  <c r="I279" i="7" s="1"/>
  <c r="H313" i="2"/>
  <c r="H279" i="7" s="1"/>
  <c r="G313" i="2"/>
  <c r="G279" i="7" s="1"/>
  <c r="D313" i="2"/>
  <c r="D279" i="7" s="1"/>
  <c r="E313" i="2"/>
  <c r="E279" i="7" s="1"/>
  <c r="K313" i="2"/>
  <c r="K279" i="7" s="1"/>
  <c r="H432" i="2"/>
  <c r="H363" i="7" s="1"/>
  <c r="E432" i="2"/>
  <c r="E363" i="7" s="1"/>
  <c r="D432" i="2"/>
  <c r="D363" i="7" s="1"/>
  <c r="I432" i="2"/>
  <c r="I363" i="7" s="1"/>
  <c r="G432" i="2"/>
  <c r="G363" i="7" s="1"/>
  <c r="F432" i="2"/>
  <c r="F363" i="7" s="1"/>
  <c r="K432" i="2"/>
  <c r="K363" i="7" s="1"/>
  <c r="J432" i="2"/>
  <c r="J363" i="7" s="1"/>
  <c r="H392" i="2"/>
  <c r="D392" i="2"/>
  <c r="I392" i="2"/>
  <c r="E392" i="2"/>
  <c r="J392" i="2"/>
  <c r="K392" i="2"/>
  <c r="G392" i="2"/>
  <c r="F392" i="2"/>
  <c r="F381" i="2"/>
  <c r="J381" i="2"/>
  <c r="H381" i="2"/>
  <c r="D381" i="2"/>
  <c r="I381" i="2"/>
  <c r="K381" i="2"/>
  <c r="G381" i="2"/>
  <c r="E381" i="2"/>
  <c r="D378" i="2"/>
  <c r="H378" i="2"/>
  <c r="I378" i="2"/>
  <c r="E378" i="2"/>
  <c r="J378" i="2"/>
  <c r="K378" i="2"/>
  <c r="G378" i="2"/>
  <c r="F378" i="2"/>
  <c r="F225" i="2"/>
  <c r="F191" i="7" s="1"/>
  <c r="K225" i="2"/>
  <c r="K191" i="7" s="1"/>
  <c r="J225" i="2"/>
  <c r="J191" i="7" s="1"/>
  <c r="E225" i="2"/>
  <c r="E191" i="7" s="1"/>
  <c r="G225" i="2"/>
  <c r="G191" i="7" s="1"/>
  <c r="I225" i="2"/>
  <c r="I191" i="7" s="1"/>
  <c r="H225" i="2"/>
  <c r="H191" i="7" s="1"/>
  <c r="F257" i="2"/>
  <c r="F223" i="7" s="1"/>
  <c r="K257" i="2"/>
  <c r="K223" i="7" s="1"/>
  <c r="J257" i="2"/>
  <c r="J223" i="7" s="1"/>
  <c r="E257" i="2"/>
  <c r="E223" i="7" s="1"/>
  <c r="H257" i="2"/>
  <c r="H223" i="7" s="1"/>
  <c r="G257" i="2"/>
  <c r="G223" i="7" s="1"/>
  <c r="I257" i="2"/>
  <c r="I223" i="7" s="1"/>
  <c r="G336" i="2"/>
  <c r="G302" i="7" s="1"/>
  <c r="D336" i="2"/>
  <c r="D302" i="7" s="1"/>
  <c r="H336" i="2"/>
  <c r="H302" i="7" s="1"/>
  <c r="I336" i="2"/>
  <c r="I302" i="7" s="1"/>
  <c r="F336" i="2"/>
  <c r="F302" i="7" s="1"/>
  <c r="E336" i="2"/>
  <c r="E302" i="7" s="1"/>
  <c r="K336" i="2"/>
  <c r="K302" i="7" s="1"/>
  <c r="J336" i="2"/>
  <c r="J302" i="7" s="1"/>
  <c r="I335" i="2"/>
  <c r="I301" i="7" s="1"/>
  <c r="F335" i="2"/>
  <c r="F301" i="7" s="1"/>
  <c r="J335" i="2"/>
  <c r="J301" i="7" s="1"/>
  <c r="E335" i="2"/>
  <c r="E301" i="7" s="1"/>
  <c r="D335" i="2"/>
  <c r="D301" i="7" s="1"/>
  <c r="K335" i="2"/>
  <c r="K301" i="7" s="1"/>
  <c r="H335" i="2"/>
  <c r="H301" i="7" s="1"/>
  <c r="G335" i="2"/>
  <c r="G301" i="7" s="1"/>
  <c r="E341" i="2"/>
  <c r="E307" i="7" s="1"/>
  <c r="J341" i="2"/>
  <c r="J307" i="7" s="1"/>
  <c r="F341" i="2"/>
  <c r="F307" i="7" s="1"/>
  <c r="D341" i="2"/>
  <c r="D307" i="7" s="1"/>
  <c r="K341" i="2"/>
  <c r="K307" i="7" s="1"/>
  <c r="I341" i="2"/>
  <c r="I307" i="7" s="1"/>
  <c r="H341" i="2"/>
  <c r="H307" i="7" s="1"/>
  <c r="G341" i="2"/>
  <c r="G307" i="7" s="1"/>
  <c r="E321" i="2"/>
  <c r="E287" i="7" s="1"/>
  <c r="J321" i="2"/>
  <c r="J287" i="7" s="1"/>
  <c r="F321" i="2"/>
  <c r="F287" i="7" s="1"/>
  <c r="K321" i="2"/>
  <c r="K287" i="7" s="1"/>
  <c r="I321" i="2"/>
  <c r="I287" i="7" s="1"/>
  <c r="H321" i="2"/>
  <c r="H287" i="7" s="1"/>
  <c r="G321" i="2"/>
  <c r="G287" i="7" s="1"/>
  <c r="D321" i="2"/>
  <c r="D287" i="7" s="1"/>
  <c r="D390" i="2"/>
  <c r="H390" i="2"/>
  <c r="I390" i="2"/>
  <c r="E390" i="2"/>
  <c r="J390" i="2"/>
  <c r="K390" i="2"/>
  <c r="G390" i="2"/>
  <c r="F390" i="2"/>
  <c r="H448" i="2"/>
  <c r="H379" i="7" s="1"/>
  <c r="E448" i="2"/>
  <c r="E379" i="7" s="1"/>
  <c r="D448" i="2"/>
  <c r="D379" i="7" s="1"/>
  <c r="I448" i="2"/>
  <c r="I379" i="7" s="1"/>
  <c r="K448" i="2"/>
  <c r="K379" i="7" s="1"/>
  <c r="G448" i="2"/>
  <c r="G379" i="7" s="1"/>
  <c r="F448" i="2"/>
  <c r="F379" i="7" s="1"/>
  <c r="J448" i="2"/>
  <c r="J379" i="7" s="1"/>
  <c r="F401" i="2"/>
  <c r="J401" i="2"/>
  <c r="H401" i="2"/>
  <c r="D401" i="2"/>
  <c r="I401" i="2"/>
  <c r="K401" i="2"/>
  <c r="G401" i="2"/>
  <c r="E401" i="2"/>
  <c r="F409" i="2"/>
  <c r="F340" i="7" s="1"/>
  <c r="J409" i="2"/>
  <c r="J340" i="7" s="1"/>
  <c r="H409" i="2"/>
  <c r="H340" i="7" s="1"/>
  <c r="D409" i="2"/>
  <c r="D340" i="7" s="1"/>
  <c r="I409" i="2"/>
  <c r="I340" i="7" s="1"/>
  <c r="K409" i="2"/>
  <c r="K340" i="7" s="1"/>
  <c r="G409" i="2"/>
  <c r="G340" i="7" s="1"/>
  <c r="E409" i="2"/>
  <c r="E340" i="7" s="1"/>
  <c r="D454" i="2"/>
  <c r="D385" i="7" s="1"/>
  <c r="I454" i="2"/>
  <c r="I385" i="7" s="1"/>
  <c r="H454" i="2"/>
  <c r="H385" i="7" s="1"/>
  <c r="E454" i="2"/>
  <c r="E385" i="7" s="1"/>
  <c r="K454" i="2"/>
  <c r="K385" i="7" s="1"/>
  <c r="J454" i="2"/>
  <c r="J385" i="7" s="1"/>
  <c r="G454" i="2"/>
  <c r="G385" i="7" s="1"/>
  <c r="F454" i="2"/>
  <c r="F385" i="7" s="1"/>
  <c r="H472" i="2"/>
  <c r="H403" i="7" s="1"/>
  <c r="E472" i="2"/>
  <c r="E403" i="7" s="1"/>
  <c r="D472" i="2"/>
  <c r="D403" i="7" s="1"/>
  <c r="I472" i="2"/>
  <c r="I403" i="7" s="1"/>
  <c r="F472" i="2"/>
  <c r="F403" i="7" s="1"/>
  <c r="K472" i="2"/>
  <c r="K403" i="7" s="1"/>
  <c r="J472" i="2"/>
  <c r="J403" i="7" s="1"/>
  <c r="G472" i="2"/>
  <c r="G403" i="7" s="1"/>
  <c r="K342" i="2"/>
  <c r="K308" i="7" s="1"/>
  <c r="H342" i="2"/>
  <c r="H308" i="7" s="1"/>
  <c r="D342" i="2"/>
  <c r="D308" i="7" s="1"/>
  <c r="G342" i="2"/>
  <c r="G308" i="7" s="1"/>
  <c r="F342" i="2"/>
  <c r="F308" i="7" s="1"/>
  <c r="E342" i="2"/>
  <c r="E308" i="7" s="1"/>
  <c r="J342" i="2"/>
  <c r="J308" i="7" s="1"/>
  <c r="I342" i="2"/>
  <c r="I308" i="7" s="1"/>
  <c r="D430" i="2"/>
  <c r="D361" i="7" s="1"/>
  <c r="I430" i="2"/>
  <c r="I361" i="7" s="1"/>
  <c r="H430" i="2"/>
  <c r="H361" i="7" s="1"/>
  <c r="E430" i="2"/>
  <c r="E361" i="7" s="1"/>
  <c r="K430" i="2"/>
  <c r="K361" i="7" s="1"/>
  <c r="F430" i="2"/>
  <c r="F361" i="7" s="1"/>
  <c r="J430" i="2"/>
  <c r="J361" i="7" s="1"/>
  <c r="G430" i="2"/>
  <c r="G361" i="7" s="1"/>
  <c r="J435" i="2"/>
  <c r="J366" i="7" s="1"/>
  <c r="G435" i="2"/>
  <c r="G366" i="7" s="1"/>
  <c r="F435" i="2"/>
  <c r="F366" i="7" s="1"/>
  <c r="K435" i="2"/>
  <c r="K366" i="7" s="1"/>
  <c r="E435" i="2"/>
  <c r="E366" i="7" s="1"/>
  <c r="D435" i="2"/>
  <c r="D366" i="7" s="1"/>
  <c r="I435" i="2"/>
  <c r="I366" i="7" s="1"/>
  <c r="H435" i="2"/>
  <c r="H366" i="7" s="1"/>
  <c r="J467" i="2"/>
  <c r="J398" i="7" s="1"/>
  <c r="G467" i="2"/>
  <c r="G398" i="7" s="1"/>
  <c r="F467" i="2"/>
  <c r="F398" i="7" s="1"/>
  <c r="K467" i="2"/>
  <c r="K398" i="7" s="1"/>
  <c r="I467" i="2"/>
  <c r="I398" i="7" s="1"/>
  <c r="H467" i="2"/>
  <c r="H398" i="7" s="1"/>
  <c r="E467" i="2"/>
  <c r="E398" i="7" s="1"/>
  <c r="D467" i="2"/>
  <c r="D398" i="7" s="1"/>
  <c r="D533" i="2"/>
  <c r="D464" i="7" s="1"/>
  <c r="H533" i="2"/>
  <c r="H464" i="7" s="1"/>
  <c r="I533" i="2"/>
  <c r="I464" i="7" s="1"/>
  <c r="E533" i="2"/>
  <c r="E464" i="7" s="1"/>
  <c r="J533" i="2"/>
  <c r="J464" i="7" s="1"/>
  <c r="K533" i="2"/>
  <c r="K464" i="7" s="1"/>
  <c r="G533" i="2"/>
  <c r="G464" i="7" s="1"/>
  <c r="F533" i="2"/>
  <c r="F464" i="7" s="1"/>
  <c r="H476" i="2"/>
  <c r="H407" i="7" s="1"/>
  <c r="F476" i="2"/>
  <c r="F407" i="7" s="1"/>
  <c r="E476" i="2"/>
  <c r="E407" i="7" s="1"/>
  <c r="D476" i="2"/>
  <c r="D407" i="7" s="1"/>
  <c r="K476" i="2"/>
  <c r="K407" i="7" s="1"/>
  <c r="J476" i="2"/>
  <c r="J407" i="7" s="1"/>
  <c r="I476" i="2"/>
  <c r="I407" i="7" s="1"/>
  <c r="G476" i="2"/>
  <c r="G407" i="7" s="1"/>
  <c r="H511" i="2"/>
  <c r="H442" i="7" s="1"/>
  <c r="E511" i="2"/>
  <c r="E442" i="7" s="1"/>
  <c r="I511" i="2"/>
  <c r="I442" i="7" s="1"/>
  <c r="J511" i="2"/>
  <c r="J442" i="7" s="1"/>
  <c r="G511" i="2"/>
  <c r="G442" i="7" s="1"/>
  <c r="F511" i="2"/>
  <c r="F442" i="7" s="1"/>
  <c r="D511" i="2"/>
  <c r="D442" i="7" s="1"/>
  <c r="K511" i="2"/>
  <c r="K442" i="7" s="1"/>
  <c r="F425" i="2"/>
  <c r="F356" i="7" s="1"/>
  <c r="K425" i="2"/>
  <c r="K356" i="7" s="1"/>
  <c r="J425" i="2"/>
  <c r="J356" i="7" s="1"/>
  <c r="G425" i="2"/>
  <c r="G356" i="7" s="1"/>
  <c r="I425" i="2"/>
  <c r="I356" i="7" s="1"/>
  <c r="D425" i="2"/>
  <c r="D356" i="7" s="1"/>
  <c r="H425" i="2"/>
  <c r="H356" i="7" s="1"/>
  <c r="E425" i="2"/>
  <c r="E356" i="7" s="1"/>
  <c r="F457" i="2"/>
  <c r="F388" i="7" s="1"/>
  <c r="K457" i="2"/>
  <c r="K388" i="7" s="1"/>
  <c r="J457" i="2"/>
  <c r="J388" i="7" s="1"/>
  <c r="G457" i="2"/>
  <c r="G388" i="7" s="1"/>
  <c r="I457" i="2"/>
  <c r="I388" i="7" s="1"/>
  <c r="H457" i="2"/>
  <c r="H388" i="7" s="1"/>
  <c r="E457" i="2"/>
  <c r="E388" i="7" s="1"/>
  <c r="D457" i="2"/>
  <c r="D388" i="7" s="1"/>
  <c r="F492" i="2"/>
  <c r="F423" i="7" s="1"/>
  <c r="G492" i="2"/>
  <c r="G423" i="7" s="1"/>
  <c r="E492" i="2"/>
  <c r="E423" i="7" s="1"/>
  <c r="D492" i="2"/>
  <c r="D423" i="7" s="1"/>
  <c r="K492" i="2"/>
  <c r="K423" i="7" s="1"/>
  <c r="J492" i="2"/>
  <c r="J423" i="7" s="1"/>
  <c r="I492" i="2"/>
  <c r="I423" i="7" s="1"/>
  <c r="H492" i="2"/>
  <c r="H423" i="7" s="1"/>
  <c r="J618" i="2"/>
  <c r="J549" i="7" s="1"/>
  <c r="I618" i="2"/>
  <c r="I549" i="7" s="1"/>
  <c r="G618" i="2"/>
  <c r="G549" i="7" s="1"/>
  <c r="E618" i="2"/>
  <c r="E549" i="7" s="1"/>
  <c r="H618" i="2"/>
  <c r="H549" i="7" s="1"/>
  <c r="F618" i="2"/>
  <c r="F549" i="7" s="1"/>
  <c r="D618" i="2"/>
  <c r="D549" i="7" s="1"/>
  <c r="K618" i="2"/>
  <c r="K549" i="7" s="1"/>
  <c r="G631" i="2"/>
  <c r="G562" i="7" s="1"/>
  <c r="E631" i="2"/>
  <c r="E562" i="7" s="1"/>
  <c r="K631" i="2"/>
  <c r="K562" i="7" s="1"/>
  <c r="I631" i="2"/>
  <c r="I562" i="7" s="1"/>
  <c r="F631" i="2"/>
  <c r="F562" i="7" s="1"/>
  <c r="J631" i="2"/>
  <c r="J562" i="7" s="1"/>
  <c r="H631" i="2"/>
  <c r="H562" i="7" s="1"/>
  <c r="D631" i="2"/>
  <c r="D562" i="7" s="1"/>
  <c r="D560" i="2"/>
  <c r="D491" i="7" s="1"/>
  <c r="F560" i="2"/>
  <c r="F491" i="7" s="1"/>
  <c r="E560" i="2"/>
  <c r="E491" i="7" s="1"/>
  <c r="K560" i="2"/>
  <c r="K491" i="7" s="1"/>
  <c r="J560" i="2"/>
  <c r="J491" i="7" s="1"/>
  <c r="G560" i="2"/>
  <c r="G491" i="7" s="1"/>
  <c r="I560" i="2"/>
  <c r="I491" i="7" s="1"/>
  <c r="H560" i="2"/>
  <c r="H491" i="7" s="1"/>
  <c r="J526" i="2"/>
  <c r="J457" i="7" s="1"/>
  <c r="G526" i="2"/>
  <c r="G457" i="7" s="1"/>
  <c r="K526" i="2"/>
  <c r="K457" i="7" s="1"/>
  <c r="F526" i="2"/>
  <c r="F457" i="7" s="1"/>
  <c r="E526" i="2"/>
  <c r="E457" i="7" s="1"/>
  <c r="D526" i="2"/>
  <c r="D457" i="7" s="1"/>
  <c r="I526" i="2"/>
  <c r="I457" i="7" s="1"/>
  <c r="H526" i="2"/>
  <c r="H457" i="7" s="1"/>
  <c r="H539" i="2"/>
  <c r="H470" i="7" s="1"/>
  <c r="D539" i="2"/>
  <c r="D470" i="7" s="1"/>
  <c r="I539" i="2"/>
  <c r="I470" i="7" s="1"/>
  <c r="E539" i="2"/>
  <c r="E470" i="7" s="1"/>
  <c r="J539" i="2"/>
  <c r="J470" i="7" s="1"/>
  <c r="K539" i="2"/>
  <c r="K470" i="7" s="1"/>
  <c r="G539" i="2"/>
  <c r="G470" i="7" s="1"/>
  <c r="F539" i="2"/>
  <c r="F470" i="7" s="1"/>
  <c r="I578" i="2"/>
  <c r="I509" i="7" s="1"/>
  <c r="H578" i="2"/>
  <c r="H509" i="7" s="1"/>
  <c r="K578" i="2"/>
  <c r="K509" i="7" s="1"/>
  <c r="J578" i="2"/>
  <c r="J509" i="7" s="1"/>
  <c r="F578" i="2"/>
  <c r="F509" i="7" s="1"/>
  <c r="E578" i="2"/>
  <c r="E509" i="7" s="1"/>
  <c r="D578" i="2"/>
  <c r="D509" i="7" s="1"/>
  <c r="G578" i="2"/>
  <c r="G509" i="7" s="1"/>
  <c r="F524" i="2"/>
  <c r="F455" i="7" s="1"/>
  <c r="K524" i="2"/>
  <c r="K455" i="7" s="1"/>
  <c r="G524" i="2"/>
  <c r="G455" i="7" s="1"/>
  <c r="J524" i="2"/>
  <c r="J455" i="7" s="1"/>
  <c r="I524" i="2"/>
  <c r="I455" i="7" s="1"/>
  <c r="H524" i="2"/>
  <c r="H455" i="7" s="1"/>
  <c r="E524" i="2"/>
  <c r="E455" i="7" s="1"/>
  <c r="D524" i="2"/>
  <c r="D455" i="7" s="1"/>
  <c r="H595" i="2"/>
  <c r="H526" i="7" s="1"/>
  <c r="F595" i="2"/>
  <c r="F526" i="7" s="1"/>
  <c r="E595" i="2"/>
  <c r="E526" i="7" s="1"/>
  <c r="J595" i="2"/>
  <c r="J526" i="7" s="1"/>
  <c r="I595" i="2"/>
  <c r="I526" i="7" s="1"/>
  <c r="G595" i="2"/>
  <c r="G526" i="7" s="1"/>
  <c r="K595" i="2"/>
  <c r="K526" i="7" s="1"/>
  <c r="D595" i="2"/>
  <c r="D526" i="7" s="1"/>
  <c r="D593" i="2"/>
  <c r="D524" i="7" s="1"/>
  <c r="I593" i="2"/>
  <c r="I524" i="7" s="1"/>
  <c r="H593" i="2"/>
  <c r="H524" i="7" s="1"/>
  <c r="K593" i="2"/>
  <c r="K524" i="7" s="1"/>
  <c r="J593" i="2"/>
  <c r="J524" i="7" s="1"/>
  <c r="F593" i="2"/>
  <c r="F524" i="7" s="1"/>
  <c r="E593" i="2"/>
  <c r="E524" i="7" s="1"/>
  <c r="G593" i="2"/>
  <c r="G524" i="7" s="1"/>
  <c r="F592" i="2"/>
  <c r="F523" i="7" s="1"/>
  <c r="J592" i="2"/>
  <c r="J523" i="7" s="1"/>
  <c r="I592" i="2"/>
  <c r="I523" i="7" s="1"/>
  <c r="H592" i="2"/>
  <c r="H523" i="7" s="1"/>
  <c r="G592" i="2"/>
  <c r="G523" i="7" s="1"/>
  <c r="D592" i="2"/>
  <c r="D523" i="7" s="1"/>
  <c r="K592" i="2"/>
  <c r="K523" i="7" s="1"/>
  <c r="E592" i="2"/>
  <c r="E523" i="7" s="1"/>
  <c r="E568" i="2"/>
  <c r="E499" i="7" s="1"/>
  <c r="D568" i="2"/>
  <c r="D499" i="7" s="1"/>
  <c r="H568" i="2"/>
  <c r="H499" i="7" s="1"/>
  <c r="G568" i="2"/>
  <c r="G499" i="7" s="1"/>
  <c r="I568" i="2"/>
  <c r="I499" i="7" s="1"/>
  <c r="K568" i="2"/>
  <c r="K499" i="7" s="1"/>
  <c r="J568" i="2"/>
  <c r="J499" i="7" s="1"/>
  <c r="F568" i="2"/>
  <c r="F499" i="7" s="1"/>
  <c r="G587" i="2"/>
  <c r="G518" i="7" s="1"/>
  <c r="F587" i="2"/>
  <c r="F518" i="7" s="1"/>
  <c r="J587" i="2"/>
  <c r="J518" i="7" s="1"/>
  <c r="I587" i="2"/>
  <c r="I518" i="7" s="1"/>
  <c r="H587" i="2"/>
  <c r="H518" i="7" s="1"/>
  <c r="D587" i="2"/>
  <c r="D518" i="7" s="1"/>
  <c r="K587" i="2"/>
  <c r="K518" i="7" s="1"/>
  <c r="E587" i="2"/>
  <c r="E518" i="7" s="1"/>
  <c r="F695" i="2"/>
  <c r="F626" i="7" s="1"/>
  <c r="D695" i="2"/>
  <c r="D626" i="7" s="1"/>
  <c r="J695" i="2"/>
  <c r="J626" i="7" s="1"/>
  <c r="I695" i="2"/>
  <c r="I626" i="7" s="1"/>
  <c r="H695" i="2"/>
  <c r="H626" i="7" s="1"/>
  <c r="G695" i="2"/>
  <c r="G626" i="7" s="1"/>
  <c r="E695" i="2"/>
  <c r="E626" i="7" s="1"/>
  <c r="K695" i="2"/>
  <c r="K626" i="7" s="1"/>
  <c r="K565" i="2"/>
  <c r="K496" i="7" s="1"/>
  <c r="J565" i="2"/>
  <c r="J496" i="7" s="1"/>
  <c r="F565" i="2"/>
  <c r="F496" i="7" s="1"/>
  <c r="E565" i="2"/>
  <c r="E496" i="7" s="1"/>
  <c r="G565" i="2"/>
  <c r="G496" i="7" s="1"/>
  <c r="I565" i="2"/>
  <c r="I496" i="7" s="1"/>
  <c r="H565" i="2"/>
  <c r="H496" i="7" s="1"/>
  <c r="D565" i="2"/>
  <c r="D496" i="7" s="1"/>
  <c r="D609" i="2"/>
  <c r="D540" i="7" s="1"/>
  <c r="I609" i="2"/>
  <c r="I540" i="7" s="1"/>
  <c r="G609" i="2"/>
  <c r="G540" i="7" s="1"/>
  <c r="J609" i="2"/>
  <c r="J540" i="7" s="1"/>
  <c r="H609" i="2"/>
  <c r="H540" i="7" s="1"/>
  <c r="E609" i="2"/>
  <c r="E540" i="7" s="1"/>
  <c r="K609" i="2"/>
  <c r="K540" i="7" s="1"/>
  <c r="F609" i="2"/>
  <c r="F540" i="7" s="1"/>
  <c r="G627" i="2"/>
  <c r="G558" i="7" s="1"/>
  <c r="E627" i="2"/>
  <c r="E558" i="7" s="1"/>
  <c r="J627" i="2"/>
  <c r="J558" i="7" s="1"/>
  <c r="I627" i="2"/>
  <c r="I558" i="7" s="1"/>
  <c r="F627" i="2"/>
  <c r="F558" i="7" s="1"/>
  <c r="H627" i="2"/>
  <c r="H558" i="7" s="1"/>
  <c r="D627" i="2"/>
  <c r="D558" i="7" s="1"/>
  <c r="K627" i="2"/>
  <c r="K558" i="7" s="1"/>
  <c r="H670" i="2"/>
  <c r="H601" i="7" s="1"/>
  <c r="D670" i="2"/>
  <c r="D601" i="7" s="1"/>
  <c r="I670" i="2"/>
  <c r="I601" i="7" s="1"/>
  <c r="F670" i="2"/>
  <c r="F601" i="7" s="1"/>
  <c r="K670" i="2"/>
  <c r="K601" i="7" s="1"/>
  <c r="G670" i="2"/>
  <c r="G601" i="7" s="1"/>
  <c r="J670" i="2"/>
  <c r="J601" i="7" s="1"/>
  <c r="E670" i="2"/>
  <c r="E601" i="7" s="1"/>
  <c r="F616" i="2"/>
  <c r="F547" i="7" s="1"/>
  <c r="K616" i="2"/>
  <c r="K547" i="7" s="1"/>
  <c r="I616" i="2"/>
  <c r="I547" i="7" s="1"/>
  <c r="G616" i="2"/>
  <c r="G547" i="7" s="1"/>
  <c r="E616" i="2"/>
  <c r="E547" i="7" s="1"/>
  <c r="J616" i="2"/>
  <c r="J547" i="7" s="1"/>
  <c r="H616" i="2"/>
  <c r="H547" i="7" s="1"/>
  <c r="D616" i="2"/>
  <c r="D547" i="7" s="1"/>
  <c r="J657" i="2"/>
  <c r="J588" i="7" s="1"/>
  <c r="F657" i="2"/>
  <c r="F588" i="7" s="1"/>
  <c r="H657" i="2"/>
  <c r="H588" i="7" s="1"/>
  <c r="E657" i="2"/>
  <c r="E588" i="7" s="1"/>
  <c r="I657" i="2"/>
  <c r="I588" i="7" s="1"/>
  <c r="G657" i="2"/>
  <c r="G588" i="7" s="1"/>
  <c r="K657" i="2"/>
  <c r="K588" i="7" s="1"/>
  <c r="D657" i="2"/>
  <c r="D588" i="7" s="1"/>
  <c r="F711" i="2"/>
  <c r="F642" i="7" s="1"/>
  <c r="D711" i="2"/>
  <c r="D642" i="7" s="1"/>
  <c r="J711" i="2"/>
  <c r="J642" i="7" s="1"/>
  <c r="I711" i="2"/>
  <c r="I642" i="7" s="1"/>
  <c r="H711" i="2"/>
  <c r="H642" i="7" s="1"/>
  <c r="G711" i="2"/>
  <c r="G642" i="7" s="1"/>
  <c r="K711" i="2"/>
  <c r="K642" i="7" s="1"/>
  <c r="E711" i="2"/>
  <c r="E642" i="7" s="1"/>
  <c r="D664" i="2"/>
  <c r="D595" i="7" s="1"/>
  <c r="H664" i="2"/>
  <c r="H595" i="7" s="1"/>
  <c r="I664" i="2"/>
  <c r="I595" i="7" s="1"/>
  <c r="F664" i="2"/>
  <c r="F595" i="7" s="1"/>
  <c r="E664" i="2"/>
  <c r="E595" i="7" s="1"/>
  <c r="K664" i="2"/>
  <c r="K595" i="7" s="1"/>
  <c r="G664" i="2"/>
  <c r="G595" i="7" s="1"/>
  <c r="J664" i="2"/>
  <c r="J595" i="7" s="1"/>
  <c r="E624" i="2"/>
  <c r="E555" i="7" s="1"/>
  <c r="K624" i="2"/>
  <c r="K555" i="7" s="1"/>
  <c r="H624" i="2"/>
  <c r="H555" i="7" s="1"/>
  <c r="G624" i="2"/>
  <c r="G555" i="7" s="1"/>
  <c r="D624" i="2"/>
  <c r="D555" i="7" s="1"/>
  <c r="J624" i="2"/>
  <c r="J555" i="7" s="1"/>
  <c r="I624" i="2"/>
  <c r="I555" i="7" s="1"/>
  <c r="F624" i="2"/>
  <c r="F555" i="7" s="1"/>
  <c r="D696" i="2"/>
  <c r="D627" i="7" s="1"/>
  <c r="J696" i="2"/>
  <c r="J627" i="7" s="1"/>
  <c r="H696" i="2"/>
  <c r="H627" i="7" s="1"/>
  <c r="G696" i="2"/>
  <c r="G627" i="7" s="1"/>
  <c r="F696" i="2"/>
  <c r="F627" i="7" s="1"/>
  <c r="E696" i="2"/>
  <c r="E627" i="7" s="1"/>
  <c r="K696" i="2"/>
  <c r="K627" i="7" s="1"/>
  <c r="I696" i="2"/>
  <c r="I627" i="7" s="1"/>
  <c r="K641" i="2"/>
  <c r="K572" i="7" s="1"/>
  <c r="I641" i="2"/>
  <c r="I572" i="7" s="1"/>
  <c r="H641" i="2"/>
  <c r="H572" i="7" s="1"/>
  <c r="G641" i="2"/>
  <c r="G572" i="7" s="1"/>
  <c r="E641" i="2"/>
  <c r="E572" i="7" s="1"/>
  <c r="J641" i="2"/>
  <c r="J572" i="7" s="1"/>
  <c r="F641" i="2"/>
  <c r="F572" i="7" s="1"/>
  <c r="D641" i="2"/>
  <c r="D572" i="7" s="1"/>
  <c r="J697" i="2"/>
  <c r="J628" i="7" s="1"/>
  <c r="H697" i="2"/>
  <c r="H628" i="7" s="1"/>
  <c r="F697" i="2"/>
  <c r="F628" i="7" s="1"/>
  <c r="E697" i="2"/>
  <c r="E628" i="7" s="1"/>
  <c r="D697" i="2"/>
  <c r="D628" i="7" s="1"/>
  <c r="K697" i="2"/>
  <c r="K628" i="7" s="1"/>
  <c r="G697" i="2"/>
  <c r="G628" i="7" s="1"/>
  <c r="I697" i="2"/>
  <c r="I628" i="7" s="1"/>
  <c r="J729" i="2"/>
  <c r="J660" i="7" s="1"/>
  <c r="I729" i="2"/>
  <c r="I660" i="7" s="1"/>
  <c r="H729" i="2"/>
  <c r="H660" i="7" s="1"/>
  <c r="G729" i="2"/>
  <c r="G660" i="7" s="1"/>
  <c r="F729" i="2"/>
  <c r="F660" i="7" s="1"/>
  <c r="E729" i="2"/>
  <c r="E660" i="7" s="1"/>
  <c r="D729" i="2"/>
  <c r="D660" i="7" s="1"/>
  <c r="K729" i="2"/>
  <c r="K660" i="7" s="1"/>
  <c r="H722" i="2"/>
  <c r="H653" i="7" s="1"/>
  <c r="G722" i="2"/>
  <c r="G653" i="7" s="1"/>
  <c r="F722" i="2"/>
  <c r="F653" i="7" s="1"/>
  <c r="E722" i="2"/>
  <c r="E653" i="7" s="1"/>
  <c r="D722" i="2"/>
  <c r="D653" i="7" s="1"/>
  <c r="K722" i="2"/>
  <c r="K653" i="7" s="1"/>
  <c r="J722" i="2"/>
  <c r="J653" i="7" s="1"/>
  <c r="I722" i="2"/>
  <c r="I653" i="7" s="1"/>
  <c r="D724" i="2"/>
  <c r="D655" i="7" s="1"/>
  <c r="K724" i="2"/>
  <c r="K655" i="7" s="1"/>
  <c r="J724" i="2"/>
  <c r="J655" i="7" s="1"/>
  <c r="I724" i="2"/>
  <c r="I655" i="7" s="1"/>
  <c r="H724" i="2"/>
  <c r="H655" i="7" s="1"/>
  <c r="G724" i="2"/>
  <c r="G655" i="7" s="1"/>
  <c r="F724" i="2"/>
  <c r="F655" i="7" s="1"/>
  <c r="E724" i="2"/>
  <c r="E655" i="7" s="1"/>
  <c r="J50" i="2"/>
  <c r="J16" i="7" s="1"/>
  <c r="H50" i="2"/>
  <c r="H16" i="7" s="1"/>
  <c r="G50" i="2"/>
  <c r="G16" i="7" s="1"/>
  <c r="F50" i="2"/>
  <c r="F16" i="7" s="1"/>
  <c r="D50" i="2"/>
  <c r="D16" i="7" s="1"/>
  <c r="K50" i="2"/>
  <c r="K16" i="7" s="1"/>
  <c r="I50" i="2"/>
  <c r="I16" i="7" s="1"/>
  <c r="J82" i="2"/>
  <c r="J48" i="7" s="1"/>
  <c r="I82" i="2"/>
  <c r="I48" i="7" s="1"/>
  <c r="H82" i="2"/>
  <c r="H48" i="7" s="1"/>
  <c r="G82" i="2"/>
  <c r="G48" i="7" s="1"/>
  <c r="F82" i="2"/>
  <c r="F48" i="7" s="1"/>
  <c r="E82" i="2"/>
  <c r="E48" i="7" s="1"/>
  <c r="D82" i="2"/>
  <c r="D48" i="7" s="1"/>
  <c r="K82" i="2"/>
  <c r="K48" i="7" s="1"/>
  <c r="H139" i="2"/>
  <c r="H105" i="7" s="1"/>
  <c r="J139" i="2"/>
  <c r="J105" i="7" s="1"/>
  <c r="E139" i="2"/>
  <c r="E105" i="7" s="1"/>
  <c r="K139" i="2"/>
  <c r="K105" i="7" s="1"/>
  <c r="I139" i="2"/>
  <c r="I105" i="7" s="1"/>
  <c r="G139" i="2"/>
  <c r="G105" i="7" s="1"/>
  <c r="F139" i="2"/>
  <c r="F105" i="7" s="1"/>
  <c r="H43" i="2"/>
  <c r="H9" i="7" s="1"/>
  <c r="F43" i="2"/>
  <c r="F9" i="7" s="1"/>
  <c r="E43" i="2"/>
  <c r="E9" i="7" s="1"/>
  <c r="D43" i="2"/>
  <c r="D9" i="7" s="1"/>
  <c r="K43" i="2"/>
  <c r="K9" i="7" s="1"/>
  <c r="J43" i="2"/>
  <c r="J9" i="7" s="1"/>
  <c r="I43" i="2"/>
  <c r="I9" i="7" s="1"/>
  <c r="G43" i="2"/>
  <c r="G9" i="7" s="1"/>
  <c r="H75" i="2"/>
  <c r="H41" i="7" s="1"/>
  <c r="G75" i="2"/>
  <c r="G41" i="7" s="1"/>
  <c r="F75" i="2"/>
  <c r="F41" i="7" s="1"/>
  <c r="E75" i="2"/>
  <c r="E41" i="7" s="1"/>
  <c r="D75" i="2"/>
  <c r="D41" i="7" s="1"/>
  <c r="K75" i="2"/>
  <c r="K41" i="7" s="1"/>
  <c r="J75" i="2"/>
  <c r="J41" i="7" s="1"/>
  <c r="I75" i="2"/>
  <c r="I41" i="7" s="1"/>
  <c r="J215" i="2"/>
  <c r="J181" i="7" s="1"/>
  <c r="G215" i="2"/>
  <c r="G181" i="7" s="1"/>
  <c r="F215" i="2"/>
  <c r="F181" i="7" s="1"/>
  <c r="K215" i="2"/>
  <c r="K181" i="7" s="1"/>
  <c r="E215" i="2"/>
  <c r="E181" i="7" s="1"/>
  <c r="D215" i="2"/>
  <c r="D181" i="7" s="1"/>
  <c r="I215" i="2"/>
  <c r="I181" i="7" s="1"/>
  <c r="H215" i="2"/>
  <c r="H181" i="7" s="1"/>
  <c r="F134" i="2"/>
  <c r="F100" i="7" s="1"/>
  <c r="J134" i="2"/>
  <c r="J100" i="7" s="1"/>
  <c r="I134" i="2"/>
  <c r="I100" i="7" s="1"/>
  <c r="D134" i="2"/>
  <c r="D100" i="7" s="1"/>
  <c r="K134" i="2"/>
  <c r="K100" i="7" s="1"/>
  <c r="H134" i="2"/>
  <c r="H100" i="7" s="1"/>
  <c r="G134" i="2"/>
  <c r="G100" i="7" s="1"/>
  <c r="E134" i="2"/>
  <c r="E100" i="7" s="1"/>
  <c r="F60" i="2"/>
  <c r="F26" i="7" s="1"/>
  <c r="E60" i="2"/>
  <c r="E26" i="7" s="1"/>
  <c r="K60" i="2"/>
  <c r="K26" i="7" s="1"/>
  <c r="J60" i="2"/>
  <c r="J26" i="7" s="1"/>
  <c r="I60" i="2"/>
  <c r="I26" i="7" s="1"/>
  <c r="H60" i="2"/>
  <c r="H26" i="7" s="1"/>
  <c r="G60" i="2"/>
  <c r="G26" i="7" s="1"/>
  <c r="F92" i="2"/>
  <c r="F58" i="7" s="1"/>
  <c r="E92" i="2"/>
  <c r="E58" i="7" s="1"/>
  <c r="D92" i="2"/>
  <c r="D58" i="7" s="1"/>
  <c r="K92" i="2"/>
  <c r="K58" i="7" s="1"/>
  <c r="J92" i="2"/>
  <c r="J58" i="7" s="1"/>
  <c r="I92" i="2"/>
  <c r="I58" i="7" s="1"/>
  <c r="H92" i="2"/>
  <c r="H58" i="7" s="1"/>
  <c r="G92" i="2"/>
  <c r="G58" i="7" s="1"/>
  <c r="H216" i="2"/>
  <c r="H182" i="7" s="1"/>
  <c r="E216" i="2"/>
  <c r="E182" i="7" s="1"/>
  <c r="D216" i="2"/>
  <c r="D182" i="7" s="1"/>
  <c r="I216" i="2"/>
  <c r="I182" i="7" s="1"/>
  <c r="G216" i="2"/>
  <c r="G182" i="7" s="1"/>
  <c r="K216" i="2"/>
  <c r="K182" i="7" s="1"/>
  <c r="J216" i="2"/>
  <c r="J182" i="7" s="1"/>
  <c r="F216" i="2"/>
  <c r="F182" i="7" s="1"/>
  <c r="H125" i="2"/>
  <c r="H91" i="7" s="1"/>
  <c r="D125" i="2"/>
  <c r="D91" i="7" s="1"/>
  <c r="J125" i="2"/>
  <c r="J91" i="7" s="1"/>
  <c r="E125" i="2"/>
  <c r="E91" i="7" s="1"/>
  <c r="G125" i="2"/>
  <c r="G91" i="7" s="1"/>
  <c r="F125" i="2"/>
  <c r="F91" i="7" s="1"/>
  <c r="K125" i="2"/>
  <c r="K91" i="7" s="1"/>
  <c r="I125" i="2"/>
  <c r="I91" i="7" s="1"/>
  <c r="D61" i="2"/>
  <c r="D27" i="7" s="1"/>
  <c r="K61" i="2"/>
  <c r="K27" i="7" s="1"/>
  <c r="J61" i="2"/>
  <c r="J27" i="7" s="1"/>
  <c r="I61" i="2"/>
  <c r="I27" i="7" s="1"/>
  <c r="H61" i="2"/>
  <c r="H27" i="7" s="1"/>
  <c r="G61" i="2"/>
  <c r="G27" i="7" s="1"/>
  <c r="F61" i="2"/>
  <c r="F27" i="7" s="1"/>
  <c r="E61" i="2"/>
  <c r="E27" i="7" s="1"/>
  <c r="D93" i="2"/>
  <c r="D59" i="7" s="1"/>
  <c r="K93" i="2"/>
  <c r="K59" i="7" s="1"/>
  <c r="J93" i="2"/>
  <c r="J59" i="7" s="1"/>
  <c r="I93" i="2"/>
  <c r="I59" i="7" s="1"/>
  <c r="H93" i="2"/>
  <c r="H59" i="7" s="1"/>
  <c r="G93" i="2"/>
  <c r="G59" i="7" s="1"/>
  <c r="F93" i="2"/>
  <c r="F59" i="7" s="1"/>
  <c r="E93" i="2"/>
  <c r="E59" i="7" s="1"/>
  <c r="H192" i="2"/>
  <c r="H158" i="7" s="1"/>
  <c r="D192" i="2"/>
  <c r="D158" i="7" s="1"/>
  <c r="F192" i="2"/>
  <c r="F158" i="7" s="1"/>
  <c r="K192" i="2"/>
  <c r="K158" i="7" s="1"/>
  <c r="G192" i="2"/>
  <c r="G158" i="7" s="1"/>
  <c r="J192" i="2"/>
  <c r="J158" i="7" s="1"/>
  <c r="I192" i="2"/>
  <c r="I158" i="7" s="1"/>
  <c r="E192" i="2"/>
  <c r="E158" i="7" s="1"/>
  <c r="J112" i="2"/>
  <c r="J78" i="7" s="1"/>
  <c r="F112" i="2"/>
  <c r="F78" i="7" s="1"/>
  <c r="I112" i="2"/>
  <c r="I78" i="7" s="1"/>
  <c r="D112" i="2"/>
  <c r="D78" i="7" s="1"/>
  <c r="K112" i="2"/>
  <c r="K78" i="7" s="1"/>
  <c r="H112" i="2"/>
  <c r="H78" i="7" s="1"/>
  <c r="G112" i="2"/>
  <c r="G78" i="7" s="1"/>
  <c r="E112" i="2"/>
  <c r="E78" i="7" s="1"/>
  <c r="H177" i="2"/>
  <c r="H143" i="7" s="1"/>
  <c r="E177" i="2"/>
  <c r="E143" i="7" s="1"/>
  <c r="I177" i="2"/>
  <c r="I143" i="7" s="1"/>
  <c r="J177" i="2"/>
  <c r="J143" i="7" s="1"/>
  <c r="G177" i="2"/>
  <c r="G143" i="7" s="1"/>
  <c r="F177" i="2"/>
  <c r="F143" i="7" s="1"/>
  <c r="K177" i="2"/>
  <c r="K143" i="7" s="1"/>
  <c r="F209" i="2"/>
  <c r="F175" i="7" s="1"/>
  <c r="J209" i="2"/>
  <c r="J175" i="7" s="1"/>
  <c r="K209" i="2"/>
  <c r="K175" i="7" s="1"/>
  <c r="G209" i="2"/>
  <c r="G175" i="7" s="1"/>
  <c r="H209" i="2"/>
  <c r="H175" i="7" s="1"/>
  <c r="D209" i="2"/>
  <c r="D175" i="7" s="1"/>
  <c r="I209" i="2"/>
  <c r="I175" i="7" s="1"/>
  <c r="J235" i="2"/>
  <c r="J201" i="7" s="1"/>
  <c r="G235" i="2"/>
  <c r="G201" i="7" s="1"/>
  <c r="F235" i="2"/>
  <c r="F201" i="7" s="1"/>
  <c r="H235" i="2"/>
  <c r="H201" i="7" s="1"/>
  <c r="E235" i="2"/>
  <c r="E201" i="7" s="1"/>
  <c r="K235" i="2"/>
  <c r="K201" i="7" s="1"/>
  <c r="D235" i="2"/>
  <c r="D201" i="7" s="1"/>
  <c r="I235" i="2"/>
  <c r="I201" i="7" s="1"/>
  <c r="J203" i="2"/>
  <c r="J169" i="7" s="1"/>
  <c r="F203" i="2"/>
  <c r="F169" i="7" s="1"/>
  <c r="E203" i="2"/>
  <c r="E169" i="7" s="1"/>
  <c r="K203" i="2"/>
  <c r="K169" i="7" s="1"/>
  <c r="G203" i="2"/>
  <c r="G169" i="7" s="1"/>
  <c r="I203" i="2"/>
  <c r="I169" i="7" s="1"/>
  <c r="H203" i="2"/>
  <c r="H169" i="7" s="1"/>
  <c r="D203" i="2"/>
  <c r="D169" i="7" s="1"/>
  <c r="F205" i="2"/>
  <c r="F171" i="7" s="1"/>
  <c r="J205" i="2"/>
  <c r="J171" i="7" s="1"/>
  <c r="E205" i="2"/>
  <c r="E171" i="7" s="1"/>
  <c r="K205" i="2"/>
  <c r="K171" i="7" s="1"/>
  <c r="G205" i="2"/>
  <c r="G171" i="7" s="1"/>
  <c r="H205" i="2"/>
  <c r="H171" i="7" s="1"/>
  <c r="D205" i="2"/>
  <c r="D171" i="7" s="1"/>
  <c r="I205" i="2"/>
  <c r="I171" i="7" s="1"/>
  <c r="D234" i="2"/>
  <c r="D200" i="7" s="1"/>
  <c r="I234" i="2"/>
  <c r="I200" i="7" s="1"/>
  <c r="H234" i="2"/>
  <c r="H200" i="7" s="1"/>
  <c r="K234" i="2"/>
  <c r="K200" i="7" s="1"/>
  <c r="F234" i="2"/>
  <c r="F200" i="7" s="1"/>
  <c r="E234" i="2"/>
  <c r="E200" i="7" s="1"/>
  <c r="G234" i="2"/>
  <c r="G200" i="7" s="1"/>
  <c r="J234" i="2"/>
  <c r="J200" i="7" s="1"/>
  <c r="H228" i="2"/>
  <c r="H194" i="7" s="1"/>
  <c r="E228" i="2"/>
  <c r="E194" i="7" s="1"/>
  <c r="K228" i="2"/>
  <c r="K194" i="7" s="1"/>
  <c r="G228" i="2"/>
  <c r="G194" i="7" s="1"/>
  <c r="F228" i="2"/>
  <c r="F194" i="7" s="1"/>
  <c r="J228" i="2"/>
  <c r="J194" i="7" s="1"/>
  <c r="I228" i="2"/>
  <c r="I194" i="7" s="1"/>
  <c r="J172" i="2"/>
  <c r="J138" i="7" s="1"/>
  <c r="G172" i="2"/>
  <c r="G138" i="7" s="1"/>
  <c r="F172" i="2"/>
  <c r="F138" i="7" s="1"/>
  <c r="K172" i="2"/>
  <c r="K138" i="7" s="1"/>
  <c r="H172" i="2"/>
  <c r="H138" i="7" s="1"/>
  <c r="E172" i="2"/>
  <c r="E138" i="7" s="1"/>
  <c r="D172" i="2"/>
  <c r="D138" i="7" s="1"/>
  <c r="I172" i="2"/>
  <c r="I138" i="7" s="1"/>
  <c r="D280" i="2"/>
  <c r="D246" i="7" s="1"/>
  <c r="H280" i="2"/>
  <c r="H246" i="7" s="1"/>
  <c r="I280" i="2"/>
  <c r="I246" i="7" s="1"/>
  <c r="G280" i="2"/>
  <c r="G246" i="7" s="1"/>
  <c r="K280" i="2"/>
  <c r="K246" i="7" s="1"/>
  <c r="J280" i="2"/>
  <c r="J246" i="7" s="1"/>
  <c r="F280" i="2"/>
  <c r="F246" i="7" s="1"/>
  <c r="E280" i="2"/>
  <c r="E246" i="7" s="1"/>
  <c r="D246" i="2"/>
  <c r="D212" i="7" s="1"/>
  <c r="I246" i="2"/>
  <c r="I212" i="7" s="1"/>
  <c r="H246" i="2"/>
  <c r="H212" i="7" s="1"/>
  <c r="J246" i="2"/>
  <c r="J212" i="7" s="1"/>
  <c r="E246" i="2"/>
  <c r="E212" i="7" s="1"/>
  <c r="K246" i="2"/>
  <c r="K212" i="7" s="1"/>
  <c r="G246" i="2"/>
  <c r="G212" i="7" s="1"/>
  <c r="F246" i="2"/>
  <c r="F212" i="7" s="1"/>
  <c r="F174" i="2"/>
  <c r="F140" i="7" s="1"/>
  <c r="K174" i="2"/>
  <c r="K140" i="7" s="1"/>
  <c r="J174" i="2"/>
  <c r="J140" i="7" s="1"/>
  <c r="G174" i="2"/>
  <c r="G140" i="7" s="1"/>
  <c r="I174" i="2"/>
  <c r="I140" i="7" s="1"/>
  <c r="H174" i="2"/>
  <c r="H140" i="7" s="1"/>
  <c r="E174" i="2"/>
  <c r="E140" i="7" s="1"/>
  <c r="H282" i="2"/>
  <c r="H248" i="7" s="1"/>
  <c r="D282" i="2"/>
  <c r="D248" i="7" s="1"/>
  <c r="I282" i="2"/>
  <c r="I248" i="7" s="1"/>
  <c r="G282" i="2"/>
  <c r="G248" i="7" s="1"/>
  <c r="J282" i="2"/>
  <c r="J248" i="7" s="1"/>
  <c r="F282" i="2"/>
  <c r="F248" i="7" s="1"/>
  <c r="E282" i="2"/>
  <c r="E248" i="7" s="1"/>
  <c r="K282" i="2"/>
  <c r="K248" i="7" s="1"/>
  <c r="I230" i="2"/>
  <c r="I196" i="7" s="1"/>
  <c r="H230" i="2"/>
  <c r="H196" i="7" s="1"/>
  <c r="K230" i="2"/>
  <c r="K196" i="7" s="1"/>
  <c r="J230" i="2"/>
  <c r="J196" i="7" s="1"/>
  <c r="E230" i="2"/>
  <c r="E196" i="7" s="1"/>
  <c r="F230" i="2"/>
  <c r="F196" i="7" s="1"/>
  <c r="G230" i="2"/>
  <c r="G196" i="7" s="1"/>
  <c r="H290" i="2"/>
  <c r="H256" i="7" s="1"/>
  <c r="D290" i="2"/>
  <c r="D256" i="7" s="1"/>
  <c r="I290" i="2"/>
  <c r="I256" i="7" s="1"/>
  <c r="G290" i="2"/>
  <c r="G256" i="7" s="1"/>
  <c r="K290" i="2"/>
  <c r="K256" i="7" s="1"/>
  <c r="J290" i="2"/>
  <c r="J256" i="7" s="1"/>
  <c r="F290" i="2"/>
  <c r="F256" i="7" s="1"/>
  <c r="E290" i="2"/>
  <c r="E256" i="7" s="1"/>
  <c r="H298" i="2"/>
  <c r="H264" i="7" s="1"/>
  <c r="D298" i="2"/>
  <c r="D264" i="7" s="1"/>
  <c r="I298" i="2"/>
  <c r="I264" i="7" s="1"/>
  <c r="G298" i="2"/>
  <c r="G264" i="7" s="1"/>
  <c r="E298" i="2"/>
  <c r="E264" i="7" s="1"/>
  <c r="K298" i="2"/>
  <c r="K264" i="7" s="1"/>
  <c r="J298" i="2"/>
  <c r="J264" i="7" s="1"/>
  <c r="F298" i="2"/>
  <c r="F264" i="7" s="1"/>
  <c r="H306" i="2"/>
  <c r="H272" i="7" s="1"/>
  <c r="D306" i="2"/>
  <c r="D272" i="7" s="1"/>
  <c r="J306" i="2"/>
  <c r="J272" i="7" s="1"/>
  <c r="I306" i="2"/>
  <c r="I272" i="7" s="1"/>
  <c r="G306" i="2"/>
  <c r="G272" i="7" s="1"/>
  <c r="E306" i="2"/>
  <c r="E272" i="7" s="1"/>
  <c r="K306" i="2"/>
  <c r="K272" i="7" s="1"/>
  <c r="F306" i="2"/>
  <c r="F272" i="7" s="1"/>
  <c r="G320" i="2"/>
  <c r="G286" i="7" s="1"/>
  <c r="D320" i="2"/>
  <c r="D286" i="7" s="1"/>
  <c r="H320" i="2"/>
  <c r="H286" i="7" s="1"/>
  <c r="K320" i="2"/>
  <c r="K286" i="7" s="1"/>
  <c r="J320" i="2"/>
  <c r="J286" i="7" s="1"/>
  <c r="I320" i="2"/>
  <c r="I286" i="7" s="1"/>
  <c r="F320" i="2"/>
  <c r="F286" i="7" s="1"/>
  <c r="E320" i="2"/>
  <c r="E286" i="7" s="1"/>
  <c r="I319" i="2"/>
  <c r="I285" i="7" s="1"/>
  <c r="F319" i="2"/>
  <c r="F285" i="7" s="1"/>
  <c r="J319" i="2"/>
  <c r="J285" i="7" s="1"/>
  <c r="K319" i="2"/>
  <c r="K285" i="7" s="1"/>
  <c r="H319" i="2"/>
  <c r="H285" i="7" s="1"/>
  <c r="G319" i="2"/>
  <c r="G285" i="7" s="1"/>
  <c r="E319" i="2"/>
  <c r="E285" i="7" s="1"/>
  <c r="D442" i="2"/>
  <c r="D373" i="7" s="1"/>
  <c r="I442" i="2"/>
  <c r="I373" i="7" s="1"/>
  <c r="H442" i="2"/>
  <c r="H373" i="7" s="1"/>
  <c r="E442" i="2"/>
  <c r="E373" i="7" s="1"/>
  <c r="J442" i="2"/>
  <c r="J373" i="7" s="1"/>
  <c r="G442" i="2"/>
  <c r="G373" i="7" s="1"/>
  <c r="K442" i="2"/>
  <c r="K373" i="7" s="1"/>
  <c r="F442" i="2"/>
  <c r="F373" i="7" s="1"/>
  <c r="F389" i="2"/>
  <c r="J389" i="2"/>
  <c r="H389" i="2"/>
  <c r="D389" i="2"/>
  <c r="I389" i="2"/>
  <c r="K389" i="2"/>
  <c r="G389" i="2"/>
  <c r="E389" i="2"/>
  <c r="D386" i="2"/>
  <c r="H386" i="2"/>
  <c r="I386" i="2"/>
  <c r="E386" i="2"/>
  <c r="J386" i="2"/>
  <c r="K386" i="2"/>
  <c r="G386" i="2"/>
  <c r="F386" i="2"/>
  <c r="F229" i="2"/>
  <c r="F195" i="7" s="1"/>
  <c r="K229" i="2"/>
  <c r="K195" i="7" s="1"/>
  <c r="J229" i="2"/>
  <c r="J195" i="7" s="1"/>
  <c r="H229" i="2"/>
  <c r="H195" i="7" s="1"/>
  <c r="G229" i="2"/>
  <c r="G195" i="7" s="1"/>
  <c r="I229" i="2"/>
  <c r="I195" i="7" s="1"/>
  <c r="D229" i="2"/>
  <c r="D195" i="7" s="1"/>
  <c r="E229" i="2"/>
  <c r="E195" i="7" s="1"/>
  <c r="F261" i="2"/>
  <c r="F227" i="7" s="1"/>
  <c r="K261" i="2"/>
  <c r="K227" i="7" s="1"/>
  <c r="J261" i="2"/>
  <c r="J227" i="7" s="1"/>
  <c r="H261" i="2"/>
  <c r="H227" i="7" s="1"/>
  <c r="G261" i="2"/>
  <c r="G227" i="7" s="1"/>
  <c r="D261" i="2"/>
  <c r="D227" i="7" s="1"/>
  <c r="I261" i="2"/>
  <c r="I227" i="7" s="1"/>
  <c r="E261" i="2"/>
  <c r="E227" i="7" s="1"/>
  <c r="E349" i="2"/>
  <c r="E315" i="7" s="1"/>
  <c r="J349" i="2"/>
  <c r="J315" i="7" s="1"/>
  <c r="F349" i="2"/>
  <c r="F315" i="7" s="1"/>
  <c r="H349" i="2"/>
  <c r="H315" i="7" s="1"/>
  <c r="G349" i="2"/>
  <c r="G315" i="7" s="1"/>
  <c r="D349" i="2"/>
  <c r="D315" i="7" s="1"/>
  <c r="K349" i="2"/>
  <c r="K315" i="7" s="1"/>
  <c r="I349" i="2"/>
  <c r="I315" i="7" s="1"/>
  <c r="G348" i="2"/>
  <c r="G314" i="7" s="1"/>
  <c r="H348" i="2"/>
  <c r="H314" i="7" s="1"/>
  <c r="F348" i="2"/>
  <c r="F314" i="7" s="1"/>
  <c r="E348" i="2"/>
  <c r="E314" i="7" s="1"/>
  <c r="K348" i="2"/>
  <c r="K314" i="7" s="1"/>
  <c r="J348" i="2"/>
  <c r="J314" i="7" s="1"/>
  <c r="I348" i="2"/>
  <c r="I314" i="7" s="1"/>
  <c r="I347" i="2"/>
  <c r="I313" i="7" s="1"/>
  <c r="F347" i="2"/>
  <c r="F313" i="7" s="1"/>
  <c r="J347" i="2"/>
  <c r="J313" i="7" s="1"/>
  <c r="D347" i="2"/>
  <c r="D313" i="7" s="1"/>
  <c r="K347" i="2"/>
  <c r="K313" i="7" s="1"/>
  <c r="H347" i="2"/>
  <c r="H313" i="7" s="1"/>
  <c r="G347" i="2"/>
  <c r="G313" i="7" s="1"/>
  <c r="I327" i="2"/>
  <c r="I293" i="7" s="1"/>
  <c r="F327" i="2"/>
  <c r="F293" i="7" s="1"/>
  <c r="J327" i="2"/>
  <c r="J293" i="7" s="1"/>
  <c r="K327" i="2"/>
  <c r="K293" i="7" s="1"/>
  <c r="H327" i="2"/>
  <c r="H293" i="7" s="1"/>
  <c r="G327" i="2"/>
  <c r="G293" i="7" s="1"/>
  <c r="E327" i="2"/>
  <c r="E293" i="7" s="1"/>
  <c r="D327" i="2"/>
  <c r="D293" i="7" s="1"/>
  <c r="D434" i="2"/>
  <c r="D365" i="7" s="1"/>
  <c r="I434" i="2"/>
  <c r="I365" i="7" s="1"/>
  <c r="H434" i="2"/>
  <c r="H365" i="7" s="1"/>
  <c r="E434" i="2"/>
  <c r="E365" i="7" s="1"/>
  <c r="G434" i="2"/>
  <c r="G365" i="7" s="1"/>
  <c r="J434" i="2"/>
  <c r="J365" i="7" s="1"/>
  <c r="K434" i="2"/>
  <c r="K365" i="7" s="1"/>
  <c r="F434" i="2"/>
  <c r="F365" i="7" s="1"/>
  <c r="H464" i="2"/>
  <c r="H395" i="7" s="1"/>
  <c r="E464" i="2"/>
  <c r="E395" i="7" s="1"/>
  <c r="D464" i="2"/>
  <c r="D395" i="7" s="1"/>
  <c r="I464" i="2"/>
  <c r="I395" i="7" s="1"/>
  <c r="K464" i="2"/>
  <c r="K395" i="7" s="1"/>
  <c r="J464" i="2"/>
  <c r="J395" i="7" s="1"/>
  <c r="G464" i="2"/>
  <c r="G395" i="7" s="1"/>
  <c r="F464" i="2"/>
  <c r="F395" i="7" s="1"/>
  <c r="D402" i="2"/>
  <c r="D333" i="7" s="1"/>
  <c r="H402" i="2"/>
  <c r="H333" i="7" s="1"/>
  <c r="I402" i="2"/>
  <c r="I333" i="7" s="1"/>
  <c r="E402" i="2"/>
  <c r="E333" i="7" s="1"/>
  <c r="J402" i="2"/>
  <c r="J333" i="7" s="1"/>
  <c r="K402" i="2"/>
  <c r="K333" i="7" s="1"/>
  <c r="G402" i="2"/>
  <c r="G333" i="7" s="1"/>
  <c r="F402" i="2"/>
  <c r="F333" i="7" s="1"/>
  <c r="D410" i="2"/>
  <c r="D341" i="7" s="1"/>
  <c r="H410" i="2"/>
  <c r="H341" i="7" s="1"/>
  <c r="I410" i="2"/>
  <c r="I341" i="7" s="1"/>
  <c r="E410" i="2"/>
  <c r="E341" i="7" s="1"/>
  <c r="J410" i="2"/>
  <c r="J341" i="7" s="1"/>
  <c r="K410" i="2"/>
  <c r="K341" i="7" s="1"/>
  <c r="G410" i="2"/>
  <c r="G341" i="7" s="1"/>
  <c r="F410" i="2"/>
  <c r="F341" i="7" s="1"/>
  <c r="D470" i="2"/>
  <c r="D401" i="7" s="1"/>
  <c r="I470" i="2"/>
  <c r="I401" i="7" s="1"/>
  <c r="H470" i="2"/>
  <c r="H401" i="7" s="1"/>
  <c r="E470" i="2"/>
  <c r="E401" i="7" s="1"/>
  <c r="K470" i="2"/>
  <c r="K401" i="7" s="1"/>
  <c r="J470" i="2"/>
  <c r="J401" i="7" s="1"/>
  <c r="G470" i="2"/>
  <c r="G401" i="7" s="1"/>
  <c r="F470" i="2"/>
  <c r="F401" i="7" s="1"/>
  <c r="K314" i="2"/>
  <c r="K280" i="7" s="1"/>
  <c r="H314" i="2"/>
  <c r="H280" i="7" s="1"/>
  <c r="D314" i="2"/>
  <c r="D280" i="7" s="1"/>
  <c r="J314" i="2"/>
  <c r="J280" i="7" s="1"/>
  <c r="I314" i="2"/>
  <c r="I280" i="7" s="1"/>
  <c r="F314" i="2"/>
  <c r="F280" i="7" s="1"/>
  <c r="E314" i="2"/>
  <c r="E280" i="7" s="1"/>
  <c r="G314" i="2"/>
  <c r="G280" i="7" s="1"/>
  <c r="K346" i="2"/>
  <c r="K312" i="7" s="1"/>
  <c r="H346" i="2"/>
  <c r="H312" i="7" s="1"/>
  <c r="D346" i="2"/>
  <c r="D312" i="7" s="1"/>
  <c r="J346" i="2"/>
  <c r="J312" i="7" s="1"/>
  <c r="I346" i="2"/>
  <c r="I312" i="7" s="1"/>
  <c r="G346" i="2"/>
  <c r="G312" i="7" s="1"/>
  <c r="F346" i="2"/>
  <c r="F312" i="7" s="1"/>
  <c r="D446" i="2"/>
  <c r="D377" i="7" s="1"/>
  <c r="I446" i="2"/>
  <c r="I377" i="7" s="1"/>
  <c r="H446" i="2"/>
  <c r="H377" i="7" s="1"/>
  <c r="E446" i="2"/>
  <c r="E377" i="7" s="1"/>
  <c r="K446" i="2"/>
  <c r="K377" i="7" s="1"/>
  <c r="J446" i="2"/>
  <c r="J377" i="7" s="1"/>
  <c r="F446" i="2"/>
  <c r="F377" i="7" s="1"/>
  <c r="G446" i="2"/>
  <c r="G377" i="7" s="1"/>
  <c r="J439" i="2"/>
  <c r="J370" i="7" s="1"/>
  <c r="G439" i="2"/>
  <c r="G370" i="7" s="1"/>
  <c r="F439" i="2"/>
  <c r="F370" i="7" s="1"/>
  <c r="K439" i="2"/>
  <c r="K370" i="7" s="1"/>
  <c r="I439" i="2"/>
  <c r="I370" i="7" s="1"/>
  <c r="H439" i="2"/>
  <c r="H370" i="7" s="1"/>
  <c r="D439" i="2"/>
  <c r="D370" i="7" s="1"/>
  <c r="E439" i="2"/>
  <c r="E370" i="7" s="1"/>
  <c r="J471" i="2"/>
  <c r="J402" i="7" s="1"/>
  <c r="G471" i="2"/>
  <c r="G402" i="7" s="1"/>
  <c r="F471" i="2"/>
  <c r="F402" i="7" s="1"/>
  <c r="K471" i="2"/>
  <c r="K402" i="7" s="1"/>
  <c r="I471" i="2"/>
  <c r="I402" i="7" s="1"/>
  <c r="H471" i="2"/>
  <c r="H402" i="7" s="1"/>
  <c r="E471" i="2"/>
  <c r="E402" i="7" s="1"/>
  <c r="D471" i="2"/>
  <c r="D402" i="7" s="1"/>
  <c r="J549" i="2"/>
  <c r="J480" i="7" s="1"/>
  <c r="H549" i="2"/>
  <c r="H480" i="7" s="1"/>
  <c r="G549" i="2"/>
  <c r="G480" i="7" s="1"/>
  <c r="E549" i="2"/>
  <c r="E480" i="7" s="1"/>
  <c r="I549" i="2"/>
  <c r="I480" i="7" s="1"/>
  <c r="F549" i="2"/>
  <c r="F480" i="7" s="1"/>
  <c r="K549" i="2"/>
  <c r="K480" i="7" s="1"/>
  <c r="D549" i="2"/>
  <c r="D480" i="7" s="1"/>
  <c r="H480" i="2"/>
  <c r="H411" i="7" s="1"/>
  <c r="G480" i="2"/>
  <c r="G411" i="7" s="1"/>
  <c r="F480" i="2"/>
  <c r="F411" i="7" s="1"/>
  <c r="E480" i="2"/>
  <c r="E411" i="7" s="1"/>
  <c r="D480" i="2"/>
  <c r="D411" i="7" s="1"/>
  <c r="K480" i="2"/>
  <c r="K411" i="7" s="1"/>
  <c r="J480" i="2"/>
  <c r="J411" i="7" s="1"/>
  <c r="I480" i="2"/>
  <c r="I411" i="7" s="1"/>
  <c r="H527" i="2"/>
  <c r="H458" i="7" s="1"/>
  <c r="E527" i="2"/>
  <c r="E458" i="7" s="1"/>
  <c r="I527" i="2"/>
  <c r="I458" i="7" s="1"/>
  <c r="J527" i="2"/>
  <c r="J458" i="7" s="1"/>
  <c r="G527" i="2"/>
  <c r="G458" i="7" s="1"/>
  <c r="F527" i="2"/>
  <c r="F458" i="7" s="1"/>
  <c r="D527" i="2"/>
  <c r="D458" i="7" s="1"/>
  <c r="K527" i="2"/>
  <c r="K458" i="7" s="1"/>
  <c r="F429" i="2"/>
  <c r="F360" i="7" s="1"/>
  <c r="K429" i="2"/>
  <c r="K360" i="7" s="1"/>
  <c r="J429" i="2"/>
  <c r="J360" i="7" s="1"/>
  <c r="G429" i="2"/>
  <c r="G360" i="7" s="1"/>
  <c r="H429" i="2"/>
  <c r="H360" i="7" s="1"/>
  <c r="E429" i="2"/>
  <c r="E360" i="7" s="1"/>
  <c r="D429" i="2"/>
  <c r="D360" i="7" s="1"/>
  <c r="I429" i="2"/>
  <c r="I360" i="7" s="1"/>
  <c r="F461" i="2"/>
  <c r="F392" i="7" s="1"/>
  <c r="K461" i="2"/>
  <c r="K392" i="7" s="1"/>
  <c r="J461" i="2"/>
  <c r="J392" i="7" s="1"/>
  <c r="G461" i="2"/>
  <c r="G392" i="7" s="1"/>
  <c r="I461" i="2"/>
  <c r="I392" i="7" s="1"/>
  <c r="H461" i="2"/>
  <c r="H392" i="7" s="1"/>
  <c r="E461" i="2"/>
  <c r="E392" i="7" s="1"/>
  <c r="D461" i="2"/>
  <c r="D392" i="7" s="1"/>
  <c r="D505" i="2"/>
  <c r="D436" i="7" s="1"/>
  <c r="I505" i="2"/>
  <c r="I436" i="7" s="1"/>
  <c r="E505" i="2"/>
  <c r="E436" i="7" s="1"/>
  <c r="H505" i="2"/>
  <c r="H436" i="7" s="1"/>
  <c r="G505" i="2"/>
  <c r="G436" i="7" s="1"/>
  <c r="F505" i="2"/>
  <c r="F436" i="7" s="1"/>
  <c r="K505" i="2"/>
  <c r="K436" i="7" s="1"/>
  <c r="J505" i="2"/>
  <c r="J436" i="7" s="1"/>
  <c r="D478" i="2"/>
  <c r="D409" i="7" s="1"/>
  <c r="K478" i="2"/>
  <c r="K409" i="7" s="1"/>
  <c r="J478" i="2"/>
  <c r="J409" i="7" s="1"/>
  <c r="I478" i="2"/>
  <c r="I409" i="7" s="1"/>
  <c r="H478" i="2"/>
  <c r="H409" i="7" s="1"/>
  <c r="G478" i="2"/>
  <c r="G409" i="7" s="1"/>
  <c r="F478" i="2"/>
  <c r="F409" i="7" s="1"/>
  <c r="E478" i="2"/>
  <c r="E409" i="7" s="1"/>
  <c r="H487" i="2"/>
  <c r="H418" i="7" s="1"/>
  <c r="K487" i="2"/>
  <c r="K418" i="7" s="1"/>
  <c r="J487" i="2"/>
  <c r="J418" i="7" s="1"/>
  <c r="I487" i="2"/>
  <c r="I418" i="7" s="1"/>
  <c r="G487" i="2"/>
  <c r="G418" i="7" s="1"/>
  <c r="F487" i="2"/>
  <c r="F418" i="7" s="1"/>
  <c r="E487" i="2"/>
  <c r="E418" i="7" s="1"/>
  <c r="D487" i="2"/>
  <c r="D418" i="7" s="1"/>
  <c r="J498" i="2"/>
  <c r="J429" i="7" s="1"/>
  <c r="G498" i="2"/>
  <c r="G429" i="7" s="1"/>
  <c r="K498" i="2"/>
  <c r="K429" i="7" s="1"/>
  <c r="D498" i="2"/>
  <c r="D429" i="7" s="1"/>
  <c r="I498" i="2"/>
  <c r="I429" i="7" s="1"/>
  <c r="H498" i="2"/>
  <c r="H429" i="7" s="1"/>
  <c r="F498" i="2"/>
  <c r="F429" i="7" s="1"/>
  <c r="E498" i="2"/>
  <c r="E429" i="7" s="1"/>
  <c r="J530" i="2"/>
  <c r="J461" i="7" s="1"/>
  <c r="G530" i="2"/>
  <c r="G461" i="7" s="1"/>
  <c r="K530" i="2"/>
  <c r="K461" i="7" s="1"/>
  <c r="D530" i="2"/>
  <c r="D461" i="7" s="1"/>
  <c r="I530" i="2"/>
  <c r="I461" i="7" s="1"/>
  <c r="H530" i="2"/>
  <c r="H461" i="7" s="1"/>
  <c r="F530" i="2"/>
  <c r="F461" i="7" s="1"/>
  <c r="E530" i="2"/>
  <c r="E461" i="7" s="1"/>
  <c r="F540" i="2"/>
  <c r="F471" i="7" s="1"/>
  <c r="J540" i="2"/>
  <c r="J471" i="7" s="1"/>
  <c r="H540" i="2"/>
  <c r="H471" i="7" s="1"/>
  <c r="D540" i="2"/>
  <c r="D471" i="7" s="1"/>
  <c r="I540" i="2"/>
  <c r="I471" i="7" s="1"/>
  <c r="G540" i="2"/>
  <c r="G471" i="7" s="1"/>
  <c r="E540" i="2"/>
  <c r="E471" i="7" s="1"/>
  <c r="K540" i="2"/>
  <c r="K471" i="7" s="1"/>
  <c r="F496" i="2"/>
  <c r="F427" i="7" s="1"/>
  <c r="K496" i="2"/>
  <c r="K427" i="7" s="1"/>
  <c r="J496" i="2"/>
  <c r="J427" i="7" s="1"/>
  <c r="I496" i="2"/>
  <c r="I427" i="7" s="1"/>
  <c r="H496" i="2"/>
  <c r="H427" i="7" s="1"/>
  <c r="G496" i="2"/>
  <c r="G427" i="7" s="1"/>
  <c r="E496" i="2"/>
  <c r="E427" i="7" s="1"/>
  <c r="D496" i="2"/>
  <c r="D427" i="7" s="1"/>
  <c r="F528" i="2"/>
  <c r="F459" i="7" s="1"/>
  <c r="K528" i="2"/>
  <c r="K459" i="7" s="1"/>
  <c r="G528" i="2"/>
  <c r="G459" i="7" s="1"/>
  <c r="J528" i="2"/>
  <c r="J459" i="7" s="1"/>
  <c r="I528" i="2"/>
  <c r="I459" i="7" s="1"/>
  <c r="H528" i="2"/>
  <c r="H459" i="7" s="1"/>
  <c r="E528" i="2"/>
  <c r="E459" i="7" s="1"/>
  <c r="D528" i="2"/>
  <c r="D459" i="7" s="1"/>
  <c r="D605" i="2"/>
  <c r="D536" i="7" s="1"/>
  <c r="I605" i="2"/>
  <c r="I536" i="7" s="1"/>
  <c r="G605" i="2"/>
  <c r="G536" i="7" s="1"/>
  <c r="F605" i="2"/>
  <c r="F536" i="7" s="1"/>
  <c r="E605" i="2"/>
  <c r="E536" i="7" s="1"/>
  <c r="K605" i="2"/>
  <c r="K536" i="7" s="1"/>
  <c r="J605" i="2"/>
  <c r="J536" i="7" s="1"/>
  <c r="H605" i="2"/>
  <c r="H536" i="7" s="1"/>
  <c r="F659" i="2"/>
  <c r="F590" i="7" s="1"/>
  <c r="J659" i="2"/>
  <c r="J590" i="7" s="1"/>
  <c r="H659" i="2"/>
  <c r="H590" i="7" s="1"/>
  <c r="E659" i="2"/>
  <c r="E590" i="7" s="1"/>
  <c r="K659" i="2"/>
  <c r="K590" i="7" s="1"/>
  <c r="G659" i="2"/>
  <c r="G590" i="7" s="1"/>
  <c r="I659" i="2"/>
  <c r="I590" i="7" s="1"/>
  <c r="D659" i="2"/>
  <c r="D590" i="7" s="1"/>
  <c r="F600" i="2"/>
  <c r="F531" i="7" s="1"/>
  <c r="K600" i="2"/>
  <c r="K531" i="7" s="1"/>
  <c r="J600" i="2"/>
  <c r="J531" i="7" s="1"/>
  <c r="I600" i="2"/>
  <c r="I531" i="7" s="1"/>
  <c r="H600" i="2"/>
  <c r="H531" i="7" s="1"/>
  <c r="G600" i="2"/>
  <c r="G531" i="7" s="1"/>
  <c r="D600" i="2"/>
  <c r="D531" i="7" s="1"/>
  <c r="E600" i="2"/>
  <c r="E531" i="7" s="1"/>
  <c r="H591" i="2"/>
  <c r="H522" i="7" s="1"/>
  <c r="K591" i="2"/>
  <c r="K522" i="7" s="1"/>
  <c r="J591" i="2"/>
  <c r="J522" i="7" s="1"/>
  <c r="F591" i="2"/>
  <c r="F522" i="7" s="1"/>
  <c r="E591" i="2"/>
  <c r="E522" i="7" s="1"/>
  <c r="G591" i="2"/>
  <c r="G522" i="7" s="1"/>
  <c r="D591" i="2"/>
  <c r="D522" i="7" s="1"/>
  <c r="I591" i="2"/>
  <c r="I522" i="7" s="1"/>
  <c r="F588" i="2"/>
  <c r="F519" i="7" s="1"/>
  <c r="E588" i="2"/>
  <c r="E519" i="7" s="1"/>
  <c r="D588" i="2"/>
  <c r="D519" i="7" s="1"/>
  <c r="K588" i="2"/>
  <c r="K519" i="7" s="1"/>
  <c r="J588" i="2"/>
  <c r="J519" i="7" s="1"/>
  <c r="I588" i="2"/>
  <c r="I519" i="7" s="1"/>
  <c r="G588" i="2"/>
  <c r="G519" i="7" s="1"/>
  <c r="H588" i="2"/>
  <c r="H519" i="7" s="1"/>
  <c r="D589" i="2"/>
  <c r="D520" i="7" s="1"/>
  <c r="E589" i="2"/>
  <c r="E520" i="7" s="1"/>
  <c r="G589" i="2"/>
  <c r="G520" i="7" s="1"/>
  <c r="F589" i="2"/>
  <c r="F520" i="7" s="1"/>
  <c r="K589" i="2"/>
  <c r="K520" i="7" s="1"/>
  <c r="J589" i="2"/>
  <c r="J520" i="7" s="1"/>
  <c r="H589" i="2"/>
  <c r="H520" i="7" s="1"/>
  <c r="I589" i="2"/>
  <c r="I520" i="7" s="1"/>
  <c r="K569" i="2"/>
  <c r="K500" i="7" s="1"/>
  <c r="J569" i="2"/>
  <c r="J500" i="7" s="1"/>
  <c r="G569" i="2"/>
  <c r="G500" i="7" s="1"/>
  <c r="F569" i="2"/>
  <c r="F500" i="7" s="1"/>
  <c r="D569" i="2"/>
  <c r="D500" i="7" s="1"/>
  <c r="H569" i="2"/>
  <c r="H500" i="7" s="1"/>
  <c r="I569" i="2"/>
  <c r="I500" i="7" s="1"/>
  <c r="E569" i="2"/>
  <c r="E500" i="7" s="1"/>
  <c r="F651" i="2"/>
  <c r="F582" i="7" s="1"/>
  <c r="J651" i="2"/>
  <c r="J582" i="7" s="1"/>
  <c r="H651" i="2"/>
  <c r="H582" i="7" s="1"/>
  <c r="E651" i="2"/>
  <c r="E582" i="7" s="1"/>
  <c r="K651" i="2"/>
  <c r="K582" i="7" s="1"/>
  <c r="G651" i="2"/>
  <c r="G582" i="7" s="1"/>
  <c r="I651" i="2"/>
  <c r="I582" i="7" s="1"/>
  <c r="D651" i="2"/>
  <c r="D582" i="7" s="1"/>
  <c r="I642" i="2"/>
  <c r="I573" i="7" s="1"/>
  <c r="G642" i="2"/>
  <c r="G573" i="7" s="1"/>
  <c r="J642" i="2"/>
  <c r="J573" i="7" s="1"/>
  <c r="H642" i="2"/>
  <c r="H573" i="7" s="1"/>
  <c r="E642" i="2"/>
  <c r="E573" i="7" s="1"/>
  <c r="F642" i="2"/>
  <c r="F573" i="7" s="1"/>
  <c r="D642" i="2"/>
  <c r="D573" i="7" s="1"/>
  <c r="K642" i="2"/>
  <c r="K573" i="7" s="1"/>
  <c r="H674" i="2"/>
  <c r="H605" i="7" s="1"/>
  <c r="D674" i="2"/>
  <c r="D605" i="7" s="1"/>
  <c r="I674" i="2"/>
  <c r="I605" i="7" s="1"/>
  <c r="F674" i="2"/>
  <c r="F605" i="7" s="1"/>
  <c r="K674" i="2"/>
  <c r="K605" i="7" s="1"/>
  <c r="G674" i="2"/>
  <c r="G605" i="7" s="1"/>
  <c r="E674" i="2"/>
  <c r="E605" i="7" s="1"/>
  <c r="J674" i="2"/>
  <c r="J605" i="7" s="1"/>
  <c r="K620" i="2"/>
  <c r="K551" i="7" s="1"/>
  <c r="F620" i="2"/>
  <c r="F551" i="7" s="1"/>
  <c r="E620" i="2"/>
  <c r="E551" i="7" s="1"/>
  <c r="I620" i="2"/>
  <c r="I551" i="7" s="1"/>
  <c r="J620" i="2"/>
  <c r="J551" i="7" s="1"/>
  <c r="H620" i="2"/>
  <c r="H551" i="7" s="1"/>
  <c r="G620" i="2"/>
  <c r="G551" i="7" s="1"/>
  <c r="D620" i="2"/>
  <c r="D551" i="7" s="1"/>
  <c r="J661" i="2"/>
  <c r="J592" i="7" s="1"/>
  <c r="F661" i="2"/>
  <c r="F592" i="7" s="1"/>
  <c r="H661" i="2"/>
  <c r="H592" i="7" s="1"/>
  <c r="E661" i="2"/>
  <c r="E592" i="7" s="1"/>
  <c r="I661" i="2"/>
  <c r="I592" i="7" s="1"/>
  <c r="G661" i="2"/>
  <c r="G592" i="7" s="1"/>
  <c r="D661" i="2"/>
  <c r="D592" i="7" s="1"/>
  <c r="K661" i="2"/>
  <c r="K592" i="7" s="1"/>
  <c r="D617" i="2"/>
  <c r="D548" i="7" s="1"/>
  <c r="K617" i="2"/>
  <c r="K548" i="7" s="1"/>
  <c r="I617" i="2"/>
  <c r="I548" i="7" s="1"/>
  <c r="G617" i="2"/>
  <c r="G548" i="7" s="1"/>
  <c r="J617" i="2"/>
  <c r="J548" i="7" s="1"/>
  <c r="H617" i="2"/>
  <c r="H548" i="7" s="1"/>
  <c r="F617" i="2"/>
  <c r="F548" i="7" s="1"/>
  <c r="E617" i="2"/>
  <c r="E548" i="7" s="1"/>
  <c r="D668" i="2"/>
  <c r="D599" i="7" s="1"/>
  <c r="H668" i="2"/>
  <c r="H599" i="7" s="1"/>
  <c r="I668" i="2"/>
  <c r="I599" i="7" s="1"/>
  <c r="F668" i="2"/>
  <c r="F599" i="7" s="1"/>
  <c r="E668" i="2"/>
  <c r="E599" i="7" s="1"/>
  <c r="K668" i="2"/>
  <c r="K599" i="7" s="1"/>
  <c r="G668" i="2"/>
  <c r="G599" i="7" s="1"/>
  <c r="J668" i="2"/>
  <c r="J599" i="7" s="1"/>
  <c r="E628" i="2"/>
  <c r="E559" i="7" s="1"/>
  <c r="K628" i="2"/>
  <c r="K559" i="7" s="1"/>
  <c r="J628" i="2"/>
  <c r="J559" i="7" s="1"/>
  <c r="I628" i="2"/>
  <c r="I559" i="7" s="1"/>
  <c r="G628" i="2"/>
  <c r="G559" i="7" s="1"/>
  <c r="D628" i="2"/>
  <c r="D559" i="7" s="1"/>
  <c r="F628" i="2"/>
  <c r="F559" i="7" s="1"/>
  <c r="H628" i="2"/>
  <c r="H559" i="7" s="1"/>
  <c r="F703" i="2"/>
  <c r="F634" i="7" s="1"/>
  <c r="D703" i="2"/>
  <c r="D634" i="7" s="1"/>
  <c r="J703" i="2"/>
  <c r="J634" i="7" s="1"/>
  <c r="I703" i="2"/>
  <c r="I634" i="7" s="1"/>
  <c r="H703" i="2"/>
  <c r="H634" i="7" s="1"/>
  <c r="G703" i="2"/>
  <c r="G634" i="7" s="1"/>
  <c r="K703" i="2"/>
  <c r="K634" i="7" s="1"/>
  <c r="E703" i="2"/>
  <c r="E634" i="7" s="1"/>
  <c r="K645" i="2"/>
  <c r="K576" i="7" s="1"/>
  <c r="I645" i="2"/>
  <c r="I576" i="7" s="1"/>
  <c r="J645" i="2"/>
  <c r="J576" i="7" s="1"/>
  <c r="G645" i="2"/>
  <c r="G576" i="7" s="1"/>
  <c r="E645" i="2"/>
  <c r="E576" i="7" s="1"/>
  <c r="H645" i="2"/>
  <c r="H576" i="7" s="1"/>
  <c r="D645" i="2"/>
  <c r="D576" i="7" s="1"/>
  <c r="F645" i="2"/>
  <c r="F576" i="7" s="1"/>
  <c r="J701" i="2"/>
  <c r="J632" i="7" s="1"/>
  <c r="H701" i="2"/>
  <c r="H632" i="7" s="1"/>
  <c r="F701" i="2"/>
  <c r="F632" i="7" s="1"/>
  <c r="E701" i="2"/>
  <c r="E632" i="7" s="1"/>
  <c r="D701" i="2"/>
  <c r="D632" i="7" s="1"/>
  <c r="K701" i="2"/>
  <c r="K632" i="7" s="1"/>
  <c r="G701" i="2"/>
  <c r="G632" i="7" s="1"/>
  <c r="I701" i="2"/>
  <c r="I632" i="7" s="1"/>
  <c r="H694" i="2"/>
  <c r="H625" i="7" s="1"/>
  <c r="F694" i="2"/>
  <c r="F625" i="7" s="1"/>
  <c r="D694" i="2"/>
  <c r="D625" i="7" s="1"/>
  <c r="K694" i="2"/>
  <c r="K625" i="7" s="1"/>
  <c r="J694" i="2"/>
  <c r="J625" i="7" s="1"/>
  <c r="I694" i="2"/>
  <c r="I625" i="7" s="1"/>
  <c r="G694" i="2"/>
  <c r="G625" i="7" s="1"/>
  <c r="E694" i="2"/>
  <c r="E625" i="7" s="1"/>
  <c r="H726" i="2"/>
  <c r="H657" i="7" s="1"/>
  <c r="G726" i="2"/>
  <c r="G657" i="7" s="1"/>
  <c r="F726" i="2"/>
  <c r="F657" i="7" s="1"/>
  <c r="E726" i="2"/>
  <c r="E657" i="7" s="1"/>
  <c r="D726" i="2"/>
  <c r="D657" i="7" s="1"/>
  <c r="K726" i="2"/>
  <c r="K657" i="7" s="1"/>
  <c r="J726" i="2"/>
  <c r="J657" i="7" s="1"/>
  <c r="I726" i="2"/>
  <c r="I657" i="7" s="1"/>
  <c r="D728" i="2"/>
  <c r="D659" i="7" s="1"/>
  <c r="K728" i="2"/>
  <c r="K659" i="7" s="1"/>
  <c r="J728" i="2"/>
  <c r="J659" i="7" s="1"/>
  <c r="I728" i="2"/>
  <c r="I659" i="7" s="1"/>
  <c r="H728" i="2"/>
  <c r="H659" i="7" s="1"/>
  <c r="G728" i="2"/>
  <c r="G659" i="7" s="1"/>
  <c r="F728" i="2"/>
  <c r="F659" i="7" s="1"/>
  <c r="E728" i="2"/>
  <c r="E659" i="7" s="1"/>
  <c r="J54" i="2"/>
  <c r="J20" i="7" s="1"/>
  <c r="H54" i="2"/>
  <c r="H20" i="7" s="1"/>
  <c r="G54" i="2"/>
  <c r="G20" i="7" s="1"/>
  <c r="F54" i="2"/>
  <c r="F20" i="7" s="1"/>
  <c r="E54" i="2"/>
  <c r="E20" i="7" s="1"/>
  <c r="D54" i="2"/>
  <c r="D20" i="7" s="1"/>
  <c r="K54" i="2"/>
  <c r="K20" i="7" s="1"/>
  <c r="I54" i="2"/>
  <c r="I20" i="7" s="1"/>
  <c r="J86" i="2"/>
  <c r="J52" i="7" s="1"/>
  <c r="I86" i="2"/>
  <c r="I52" i="7" s="1"/>
  <c r="H86" i="2"/>
  <c r="H52" i="7" s="1"/>
  <c r="G86" i="2"/>
  <c r="G52" i="7" s="1"/>
  <c r="F86" i="2"/>
  <c r="F52" i="7" s="1"/>
  <c r="E86" i="2"/>
  <c r="E52" i="7" s="1"/>
  <c r="D86" i="2"/>
  <c r="D52" i="7" s="1"/>
  <c r="K86" i="2"/>
  <c r="K52" i="7" s="1"/>
  <c r="D143" i="2"/>
  <c r="D109" i="7" s="1"/>
  <c r="H143" i="2"/>
  <c r="H109" i="7" s="1"/>
  <c r="J143" i="2"/>
  <c r="J109" i="7" s="1"/>
  <c r="E143" i="2"/>
  <c r="E109" i="7" s="1"/>
  <c r="K143" i="2"/>
  <c r="K109" i="7" s="1"/>
  <c r="I143" i="2"/>
  <c r="I109" i="7" s="1"/>
  <c r="G143" i="2"/>
  <c r="G109" i="7" s="1"/>
  <c r="F143" i="2"/>
  <c r="F109" i="7" s="1"/>
  <c r="H47" i="2"/>
  <c r="H13" i="7" s="1"/>
  <c r="F47" i="2"/>
  <c r="F13" i="7" s="1"/>
  <c r="E47" i="2"/>
  <c r="E13" i="7" s="1"/>
  <c r="D47" i="2"/>
  <c r="D13" i="7" s="1"/>
  <c r="K47" i="2"/>
  <c r="K13" i="7" s="1"/>
  <c r="J47" i="2"/>
  <c r="J13" i="7" s="1"/>
  <c r="I47" i="2"/>
  <c r="I13" i="7" s="1"/>
  <c r="G47" i="2"/>
  <c r="G13" i="7" s="1"/>
  <c r="H79" i="2"/>
  <c r="H45" i="7" s="1"/>
  <c r="G79" i="2"/>
  <c r="G45" i="7" s="1"/>
  <c r="F79" i="2"/>
  <c r="F45" i="7" s="1"/>
  <c r="E79" i="2"/>
  <c r="E45" i="7" s="1"/>
  <c r="K79" i="2"/>
  <c r="K45" i="7" s="1"/>
  <c r="J79" i="2"/>
  <c r="J45" i="7" s="1"/>
  <c r="I79" i="2"/>
  <c r="I45" i="7" s="1"/>
  <c r="F138" i="2"/>
  <c r="F104" i="7" s="1"/>
  <c r="J138" i="2"/>
  <c r="J104" i="7" s="1"/>
  <c r="I138" i="2"/>
  <c r="I104" i="7" s="1"/>
  <c r="D138" i="2"/>
  <c r="D104" i="7" s="1"/>
  <c r="K138" i="2"/>
  <c r="K104" i="7" s="1"/>
  <c r="H138" i="2"/>
  <c r="H104" i="7" s="1"/>
  <c r="G138" i="2"/>
  <c r="G104" i="7" s="1"/>
  <c r="E138" i="2"/>
  <c r="E104" i="7" s="1"/>
  <c r="F64" i="2"/>
  <c r="F30" i="7" s="1"/>
  <c r="E64" i="2"/>
  <c r="E30" i="7" s="1"/>
  <c r="D64" i="2"/>
  <c r="D30" i="7" s="1"/>
  <c r="K64" i="2"/>
  <c r="K30" i="7" s="1"/>
  <c r="J64" i="2"/>
  <c r="J30" i="7" s="1"/>
  <c r="I64" i="2"/>
  <c r="I30" i="7" s="1"/>
  <c r="H64" i="2"/>
  <c r="H30" i="7" s="1"/>
  <c r="G64" i="2"/>
  <c r="G30" i="7" s="1"/>
  <c r="F96" i="2"/>
  <c r="F62" i="7" s="1"/>
  <c r="E96" i="2"/>
  <c r="E62" i="7" s="1"/>
  <c r="K96" i="2"/>
  <c r="K62" i="7" s="1"/>
  <c r="J96" i="2"/>
  <c r="J62" i="7" s="1"/>
  <c r="I96" i="2"/>
  <c r="I62" i="7" s="1"/>
  <c r="H96" i="2"/>
  <c r="H62" i="7" s="1"/>
  <c r="G96" i="2"/>
  <c r="G62" i="7" s="1"/>
  <c r="D254" i="2"/>
  <c r="D220" i="7" s="1"/>
  <c r="I254" i="2"/>
  <c r="I220" i="7" s="1"/>
  <c r="H254" i="2"/>
  <c r="H220" i="7" s="1"/>
  <c r="G254" i="2"/>
  <c r="G220" i="7" s="1"/>
  <c r="F254" i="2"/>
  <c r="F220" i="7" s="1"/>
  <c r="K254" i="2"/>
  <c r="K220" i="7" s="1"/>
  <c r="J254" i="2"/>
  <c r="J220" i="7" s="1"/>
  <c r="E254" i="2"/>
  <c r="E220" i="7" s="1"/>
  <c r="H129" i="2"/>
  <c r="H95" i="7" s="1"/>
  <c r="D129" i="2"/>
  <c r="D95" i="7" s="1"/>
  <c r="J129" i="2"/>
  <c r="J95" i="7" s="1"/>
  <c r="E129" i="2"/>
  <c r="E95" i="7" s="1"/>
  <c r="G129" i="2"/>
  <c r="G95" i="7" s="1"/>
  <c r="F129" i="2"/>
  <c r="F95" i="7" s="1"/>
  <c r="K129" i="2"/>
  <c r="K95" i="7" s="1"/>
  <c r="I129" i="2"/>
  <c r="I95" i="7" s="1"/>
  <c r="D65" i="2"/>
  <c r="D31" i="7" s="1"/>
  <c r="K65" i="2"/>
  <c r="K31" i="7" s="1"/>
  <c r="J65" i="2"/>
  <c r="J31" i="7" s="1"/>
  <c r="I65" i="2"/>
  <c r="I31" i="7" s="1"/>
  <c r="H65" i="2"/>
  <c r="H31" i="7" s="1"/>
  <c r="G65" i="2"/>
  <c r="G31" i="7" s="1"/>
  <c r="F65" i="2"/>
  <c r="F31" i="7" s="1"/>
  <c r="E65" i="2"/>
  <c r="E31" i="7" s="1"/>
  <c r="D97" i="2"/>
  <c r="D63" i="7" s="1"/>
  <c r="K97" i="2"/>
  <c r="K63" i="7" s="1"/>
  <c r="J97" i="2"/>
  <c r="J63" i="7" s="1"/>
  <c r="I97" i="2"/>
  <c r="I63" i="7" s="1"/>
  <c r="H97" i="2"/>
  <c r="H63" i="7" s="1"/>
  <c r="G97" i="2"/>
  <c r="G63" i="7" s="1"/>
  <c r="F97" i="2"/>
  <c r="F63" i="7" s="1"/>
  <c r="E97" i="2"/>
  <c r="E63" i="7" s="1"/>
  <c r="H196" i="2"/>
  <c r="H162" i="7" s="1"/>
  <c r="D196" i="2"/>
  <c r="D162" i="7" s="1"/>
  <c r="F196" i="2"/>
  <c r="F162" i="7" s="1"/>
  <c r="K196" i="2"/>
  <c r="K162" i="7" s="1"/>
  <c r="G196" i="2"/>
  <c r="G162" i="7" s="1"/>
  <c r="J196" i="2"/>
  <c r="J162" i="7" s="1"/>
  <c r="I196" i="2"/>
  <c r="I162" i="7" s="1"/>
  <c r="E196" i="2"/>
  <c r="E162" i="7" s="1"/>
  <c r="J116" i="2"/>
  <c r="J82" i="7" s="1"/>
  <c r="F116" i="2"/>
  <c r="F82" i="7" s="1"/>
  <c r="I116" i="2"/>
  <c r="I82" i="7" s="1"/>
  <c r="D116" i="2"/>
  <c r="D82" i="7" s="1"/>
  <c r="K116" i="2"/>
  <c r="K82" i="7" s="1"/>
  <c r="H116" i="2"/>
  <c r="H82" i="7" s="1"/>
  <c r="G116" i="2"/>
  <c r="G82" i="7" s="1"/>
  <c r="E116" i="2"/>
  <c r="E82" i="7" s="1"/>
  <c r="I218" i="2"/>
  <c r="I184" i="7" s="1"/>
  <c r="H218" i="2"/>
  <c r="H184" i="7" s="1"/>
  <c r="E218" i="2"/>
  <c r="E184" i="7" s="1"/>
  <c r="K218" i="2"/>
  <c r="K184" i="7" s="1"/>
  <c r="F218" i="2"/>
  <c r="F184" i="7" s="1"/>
  <c r="J218" i="2"/>
  <c r="J184" i="7" s="1"/>
  <c r="G218" i="2"/>
  <c r="G184" i="7" s="1"/>
  <c r="H260" i="2"/>
  <c r="H226" i="7" s="1"/>
  <c r="E260" i="2"/>
  <c r="E226" i="7" s="1"/>
  <c r="K260" i="2"/>
  <c r="K226" i="7" s="1"/>
  <c r="G260" i="2"/>
  <c r="G226" i="7" s="1"/>
  <c r="F260" i="2"/>
  <c r="F226" i="7" s="1"/>
  <c r="J260" i="2"/>
  <c r="J226" i="7" s="1"/>
  <c r="I260" i="2"/>
  <c r="I226" i="7" s="1"/>
  <c r="J263" i="2"/>
  <c r="J229" i="7" s="1"/>
  <c r="G263" i="2"/>
  <c r="G229" i="7" s="1"/>
  <c r="F263" i="2"/>
  <c r="F229" i="7" s="1"/>
  <c r="D263" i="2"/>
  <c r="D229" i="7" s="1"/>
  <c r="K263" i="2"/>
  <c r="K229" i="7" s="1"/>
  <c r="H263" i="2"/>
  <c r="H229" i="7" s="1"/>
  <c r="E263" i="2"/>
  <c r="E229" i="7" s="1"/>
  <c r="I263" i="2"/>
  <c r="I229" i="7" s="1"/>
  <c r="J211" i="2"/>
  <c r="J177" i="7" s="1"/>
  <c r="F211" i="2"/>
  <c r="F177" i="7" s="1"/>
  <c r="E211" i="2"/>
  <c r="E177" i="7" s="1"/>
  <c r="K211" i="2"/>
  <c r="K177" i="7" s="1"/>
  <c r="G211" i="2"/>
  <c r="G177" i="7" s="1"/>
  <c r="I211" i="2"/>
  <c r="I177" i="7" s="1"/>
  <c r="H211" i="2"/>
  <c r="H177" i="7" s="1"/>
  <c r="D211" i="2"/>
  <c r="D177" i="7" s="1"/>
  <c r="H244" i="2"/>
  <c r="H210" i="7" s="1"/>
  <c r="D244" i="2"/>
  <c r="D210" i="7" s="1"/>
  <c r="F244" i="2"/>
  <c r="F210" i="7" s="1"/>
  <c r="K244" i="2"/>
  <c r="K210" i="7" s="1"/>
  <c r="G244" i="2"/>
  <c r="G210" i="7" s="1"/>
  <c r="J244" i="2"/>
  <c r="J210" i="7" s="1"/>
  <c r="I244" i="2"/>
  <c r="I210" i="7" s="1"/>
  <c r="D238" i="2"/>
  <c r="D204" i="7" s="1"/>
  <c r="I238" i="2"/>
  <c r="I204" i="7" s="1"/>
  <c r="H238" i="2"/>
  <c r="H204" i="7" s="1"/>
  <c r="F238" i="2"/>
  <c r="F204" i="7" s="1"/>
  <c r="G238" i="2"/>
  <c r="G204" i="7" s="1"/>
  <c r="E238" i="2"/>
  <c r="E204" i="7" s="1"/>
  <c r="K238" i="2"/>
  <c r="K204" i="7" s="1"/>
  <c r="J238" i="2"/>
  <c r="J204" i="7" s="1"/>
  <c r="J144" i="2"/>
  <c r="J110" i="7" s="1"/>
  <c r="F144" i="2"/>
  <c r="F110" i="7" s="1"/>
  <c r="K144" i="2"/>
  <c r="K110" i="7" s="1"/>
  <c r="E144" i="2"/>
  <c r="E110" i="7" s="1"/>
  <c r="D144" i="2"/>
  <c r="D110" i="7" s="1"/>
  <c r="I144" i="2"/>
  <c r="I110" i="7" s="1"/>
  <c r="H144" i="2"/>
  <c r="H110" i="7" s="1"/>
  <c r="G144" i="2"/>
  <c r="G110" i="7" s="1"/>
  <c r="J176" i="2"/>
  <c r="J142" i="7" s="1"/>
  <c r="G176" i="2"/>
  <c r="G142" i="7" s="1"/>
  <c r="F176" i="2"/>
  <c r="F142" i="7" s="1"/>
  <c r="K176" i="2"/>
  <c r="K142" i="7" s="1"/>
  <c r="I176" i="2"/>
  <c r="I142" i="7" s="1"/>
  <c r="H176" i="2"/>
  <c r="H142" i="7" s="1"/>
  <c r="D176" i="2"/>
  <c r="D142" i="7" s="1"/>
  <c r="E176" i="2"/>
  <c r="E142" i="7" s="1"/>
  <c r="D284" i="2"/>
  <c r="D250" i="7" s="1"/>
  <c r="H284" i="2"/>
  <c r="H250" i="7" s="1"/>
  <c r="I284" i="2"/>
  <c r="I250" i="7" s="1"/>
  <c r="G284" i="2"/>
  <c r="G250" i="7" s="1"/>
  <c r="K284" i="2"/>
  <c r="K250" i="7" s="1"/>
  <c r="J284" i="2"/>
  <c r="J250" i="7" s="1"/>
  <c r="F284" i="2"/>
  <c r="F250" i="7" s="1"/>
  <c r="J259" i="2"/>
  <c r="J225" i="7" s="1"/>
  <c r="G259" i="2"/>
  <c r="G225" i="7" s="1"/>
  <c r="F259" i="2"/>
  <c r="F225" i="7" s="1"/>
  <c r="I259" i="2"/>
  <c r="I225" i="7" s="1"/>
  <c r="D259" i="2"/>
  <c r="D225" i="7" s="1"/>
  <c r="K259" i="2"/>
  <c r="K225" i="7" s="1"/>
  <c r="H259" i="2"/>
  <c r="H225" i="7" s="1"/>
  <c r="E259" i="2"/>
  <c r="E225" i="7" s="1"/>
  <c r="H178" i="2"/>
  <c r="H144" i="7" s="1"/>
  <c r="F178" i="2"/>
  <c r="F144" i="7" s="1"/>
  <c r="K178" i="2"/>
  <c r="K144" i="7" s="1"/>
  <c r="G178" i="2"/>
  <c r="G144" i="7" s="1"/>
  <c r="E178" i="2"/>
  <c r="E144" i="7" s="1"/>
  <c r="D178" i="2"/>
  <c r="D144" i="7" s="1"/>
  <c r="J178" i="2"/>
  <c r="J144" i="7" s="1"/>
  <c r="I178" i="2"/>
  <c r="I144" i="7" s="1"/>
  <c r="H286" i="2"/>
  <c r="H252" i="7" s="1"/>
  <c r="D286" i="2"/>
  <c r="D252" i="7" s="1"/>
  <c r="I286" i="2"/>
  <c r="I252" i="7" s="1"/>
  <c r="G286" i="2"/>
  <c r="G252" i="7" s="1"/>
  <c r="J286" i="2"/>
  <c r="J252" i="7" s="1"/>
  <c r="F286" i="2"/>
  <c r="F252" i="7" s="1"/>
  <c r="E286" i="2"/>
  <c r="E252" i="7" s="1"/>
  <c r="K286" i="2"/>
  <c r="K252" i="7" s="1"/>
  <c r="J243" i="2"/>
  <c r="J209" i="7" s="1"/>
  <c r="G243" i="2"/>
  <c r="G209" i="7" s="1"/>
  <c r="F243" i="2"/>
  <c r="F209" i="7" s="1"/>
  <c r="K243" i="2"/>
  <c r="K209" i="7" s="1"/>
  <c r="I243" i="2"/>
  <c r="I209" i="7" s="1"/>
  <c r="D243" i="2"/>
  <c r="D209" i="7" s="1"/>
  <c r="H243" i="2"/>
  <c r="H209" i="7" s="1"/>
  <c r="E243" i="2"/>
  <c r="E209" i="7" s="1"/>
  <c r="F291" i="2"/>
  <c r="F257" i="7" s="1"/>
  <c r="J291" i="2"/>
  <c r="J257" i="7" s="1"/>
  <c r="H291" i="2"/>
  <c r="H257" i="7" s="1"/>
  <c r="G291" i="2"/>
  <c r="G257" i="7" s="1"/>
  <c r="E291" i="2"/>
  <c r="E257" i="7" s="1"/>
  <c r="D291" i="2"/>
  <c r="D257" i="7" s="1"/>
  <c r="K291" i="2"/>
  <c r="K257" i="7" s="1"/>
  <c r="I291" i="2"/>
  <c r="I257" i="7" s="1"/>
  <c r="F299" i="2"/>
  <c r="F265" i="7" s="1"/>
  <c r="J299" i="2"/>
  <c r="J265" i="7" s="1"/>
  <c r="I299" i="2"/>
  <c r="I265" i="7" s="1"/>
  <c r="H299" i="2"/>
  <c r="H265" i="7" s="1"/>
  <c r="G299" i="2"/>
  <c r="G265" i="7" s="1"/>
  <c r="D299" i="2"/>
  <c r="D265" i="7" s="1"/>
  <c r="K299" i="2"/>
  <c r="K265" i="7" s="1"/>
  <c r="E299" i="2"/>
  <c r="E265" i="7" s="1"/>
  <c r="F307" i="2"/>
  <c r="F273" i="7" s="1"/>
  <c r="J307" i="2"/>
  <c r="J273" i="7" s="1"/>
  <c r="I307" i="2"/>
  <c r="I273" i="7" s="1"/>
  <c r="H307" i="2"/>
  <c r="H273" i="7" s="1"/>
  <c r="G307" i="2"/>
  <c r="G273" i="7" s="1"/>
  <c r="D307" i="2"/>
  <c r="D273" i="7" s="1"/>
  <c r="K307" i="2"/>
  <c r="K273" i="7" s="1"/>
  <c r="E307" i="2"/>
  <c r="E273" i="7" s="1"/>
  <c r="E333" i="2"/>
  <c r="E299" i="7" s="1"/>
  <c r="J333" i="2"/>
  <c r="J299" i="7" s="1"/>
  <c r="F333" i="2"/>
  <c r="F299" i="7" s="1"/>
  <c r="K333" i="2"/>
  <c r="K299" i="7" s="1"/>
  <c r="I333" i="2"/>
  <c r="I299" i="7" s="1"/>
  <c r="H333" i="2"/>
  <c r="H299" i="7" s="1"/>
  <c r="G333" i="2"/>
  <c r="G299" i="7" s="1"/>
  <c r="G332" i="2"/>
  <c r="G298" i="7" s="1"/>
  <c r="D332" i="2"/>
  <c r="D298" i="7" s="1"/>
  <c r="H332" i="2"/>
  <c r="H298" i="7" s="1"/>
  <c r="K332" i="2"/>
  <c r="K298" i="7" s="1"/>
  <c r="J332" i="2"/>
  <c r="J298" i="7" s="1"/>
  <c r="I332" i="2"/>
  <c r="I298" i="7" s="1"/>
  <c r="F332" i="2"/>
  <c r="F298" i="7" s="1"/>
  <c r="E332" i="2"/>
  <c r="E298" i="7" s="1"/>
  <c r="E325" i="2"/>
  <c r="E291" i="7" s="1"/>
  <c r="J325" i="2"/>
  <c r="J291" i="7" s="1"/>
  <c r="F325" i="2"/>
  <c r="F291" i="7" s="1"/>
  <c r="K325" i="2"/>
  <c r="K291" i="7" s="1"/>
  <c r="I325" i="2"/>
  <c r="I291" i="7" s="1"/>
  <c r="H325" i="2"/>
  <c r="H291" i="7" s="1"/>
  <c r="G325" i="2"/>
  <c r="G291" i="7" s="1"/>
  <c r="D325" i="2"/>
  <c r="D291" i="7" s="1"/>
  <c r="H440" i="2"/>
  <c r="H371" i="7" s="1"/>
  <c r="E440" i="2"/>
  <c r="E371" i="7" s="1"/>
  <c r="D440" i="2"/>
  <c r="D371" i="7" s="1"/>
  <c r="I440" i="2"/>
  <c r="I371" i="7" s="1"/>
  <c r="F440" i="2"/>
  <c r="F371" i="7" s="1"/>
  <c r="G440" i="2"/>
  <c r="G371" i="7" s="1"/>
  <c r="K440" i="2"/>
  <c r="K371" i="7" s="1"/>
  <c r="J440" i="2"/>
  <c r="J371" i="7" s="1"/>
  <c r="D394" i="2"/>
  <c r="H394" i="2"/>
  <c r="I394" i="2"/>
  <c r="E394" i="2"/>
  <c r="J394" i="2"/>
  <c r="K394" i="2"/>
  <c r="G394" i="2"/>
  <c r="F394" i="2"/>
  <c r="F233" i="2"/>
  <c r="F199" i="7" s="1"/>
  <c r="K233" i="2"/>
  <c r="K199" i="7" s="1"/>
  <c r="J233" i="2"/>
  <c r="J199" i="7" s="1"/>
  <c r="H233" i="2"/>
  <c r="H199" i="7" s="1"/>
  <c r="D233" i="2"/>
  <c r="D199" i="7" s="1"/>
  <c r="I233" i="2"/>
  <c r="I199" i="7" s="1"/>
  <c r="E233" i="2"/>
  <c r="E199" i="7" s="1"/>
  <c r="G233" i="2"/>
  <c r="G199" i="7" s="1"/>
  <c r="F265" i="2"/>
  <c r="F231" i="7" s="1"/>
  <c r="K265" i="2"/>
  <c r="K231" i="7" s="1"/>
  <c r="J265" i="2"/>
  <c r="J231" i="7" s="1"/>
  <c r="H265" i="2"/>
  <c r="H231" i="7" s="1"/>
  <c r="E265" i="2"/>
  <c r="E231" i="7" s="1"/>
  <c r="D265" i="2"/>
  <c r="D231" i="7" s="1"/>
  <c r="I265" i="2"/>
  <c r="I231" i="7" s="1"/>
  <c r="G265" i="2"/>
  <c r="G231" i="7" s="1"/>
  <c r="I355" i="2"/>
  <c r="I321" i="7" s="1"/>
  <c r="F355" i="2"/>
  <c r="F321" i="7" s="1"/>
  <c r="J355" i="2"/>
  <c r="J321" i="7" s="1"/>
  <c r="G355" i="2"/>
  <c r="G321" i="7" s="1"/>
  <c r="E355" i="2"/>
  <c r="E321" i="7" s="1"/>
  <c r="D355" i="2"/>
  <c r="D321" i="7" s="1"/>
  <c r="K355" i="2"/>
  <c r="K321" i="7" s="1"/>
  <c r="H355" i="2"/>
  <c r="H321" i="7" s="1"/>
  <c r="E361" i="2"/>
  <c r="E327" i="7" s="1"/>
  <c r="J361" i="2"/>
  <c r="J327" i="7" s="1"/>
  <c r="F361" i="2"/>
  <c r="F327" i="7" s="1"/>
  <c r="G361" i="2"/>
  <c r="G327" i="7" s="1"/>
  <c r="K361" i="2"/>
  <c r="K327" i="7" s="1"/>
  <c r="I361" i="2"/>
  <c r="I327" i="7" s="1"/>
  <c r="H361" i="2"/>
  <c r="H327" i="7" s="1"/>
  <c r="G360" i="2"/>
  <c r="G326" i="7" s="1"/>
  <c r="D360" i="2"/>
  <c r="D326" i="7" s="1"/>
  <c r="H360" i="2"/>
  <c r="H326" i="7" s="1"/>
  <c r="E360" i="2"/>
  <c r="E326" i="7" s="1"/>
  <c r="K360" i="2"/>
  <c r="K326" i="7" s="1"/>
  <c r="J360" i="2"/>
  <c r="J326" i="7" s="1"/>
  <c r="I360" i="2"/>
  <c r="I326" i="7" s="1"/>
  <c r="F360" i="2"/>
  <c r="F326" i="7" s="1"/>
  <c r="G340" i="2"/>
  <c r="G306" i="7" s="1"/>
  <c r="D340" i="2"/>
  <c r="D306" i="7" s="1"/>
  <c r="H340" i="2"/>
  <c r="H306" i="7" s="1"/>
  <c r="K340" i="2"/>
  <c r="K306" i="7" s="1"/>
  <c r="J340" i="2"/>
  <c r="J306" i="7" s="1"/>
  <c r="I340" i="2"/>
  <c r="I306" i="7" s="1"/>
  <c r="F340" i="2"/>
  <c r="F306" i="7" s="1"/>
  <c r="E340" i="2"/>
  <c r="E306" i="7" s="1"/>
  <c r="H420" i="2"/>
  <c r="H351" i="7" s="1"/>
  <c r="E420" i="2"/>
  <c r="E351" i="7" s="1"/>
  <c r="D420" i="2"/>
  <c r="D351" i="7" s="1"/>
  <c r="I420" i="2"/>
  <c r="I351" i="7" s="1"/>
  <c r="K420" i="2"/>
  <c r="K351" i="7" s="1"/>
  <c r="J420" i="2"/>
  <c r="J351" i="7" s="1"/>
  <c r="G420" i="2"/>
  <c r="G351" i="7" s="1"/>
  <c r="F420" i="2"/>
  <c r="F351" i="7" s="1"/>
  <c r="J395" i="2"/>
  <c r="F395" i="2"/>
  <c r="H395" i="2"/>
  <c r="D395" i="2"/>
  <c r="I395" i="2"/>
  <c r="K395" i="2"/>
  <c r="G395" i="2"/>
  <c r="E395" i="2"/>
  <c r="J403" i="2"/>
  <c r="J334" i="7" s="1"/>
  <c r="F403" i="2"/>
  <c r="F334" i="7" s="1"/>
  <c r="H403" i="2"/>
  <c r="H334" i="7" s="1"/>
  <c r="D403" i="2"/>
  <c r="D334" i="7" s="1"/>
  <c r="I403" i="2"/>
  <c r="I334" i="7" s="1"/>
  <c r="K403" i="2"/>
  <c r="K334" i="7" s="1"/>
  <c r="G403" i="2"/>
  <c r="G334" i="7" s="1"/>
  <c r="E403" i="2"/>
  <c r="E334" i="7" s="1"/>
  <c r="J411" i="2"/>
  <c r="J342" i="7" s="1"/>
  <c r="F411" i="2"/>
  <c r="F342" i="7" s="1"/>
  <c r="H411" i="2"/>
  <c r="H342" i="7" s="1"/>
  <c r="D411" i="2"/>
  <c r="D342" i="7" s="1"/>
  <c r="I411" i="2"/>
  <c r="I342" i="7" s="1"/>
  <c r="K411" i="2"/>
  <c r="K342" i="7" s="1"/>
  <c r="G411" i="2"/>
  <c r="G342" i="7" s="1"/>
  <c r="E411" i="2"/>
  <c r="E342" i="7" s="1"/>
  <c r="H428" i="2"/>
  <c r="H359" i="7" s="1"/>
  <c r="E428" i="2"/>
  <c r="E359" i="7" s="1"/>
  <c r="D428" i="2"/>
  <c r="D359" i="7" s="1"/>
  <c r="I428" i="2"/>
  <c r="I359" i="7" s="1"/>
  <c r="J428" i="2"/>
  <c r="J359" i="7" s="1"/>
  <c r="K428" i="2"/>
  <c r="K359" i="7" s="1"/>
  <c r="G428" i="2"/>
  <c r="G359" i="7" s="1"/>
  <c r="F428" i="2"/>
  <c r="F359" i="7" s="1"/>
  <c r="K318" i="2"/>
  <c r="K284" i="7" s="1"/>
  <c r="H318" i="2"/>
  <c r="H284" i="7" s="1"/>
  <c r="D318" i="2"/>
  <c r="D284" i="7" s="1"/>
  <c r="J318" i="2"/>
  <c r="J284" i="7" s="1"/>
  <c r="I318" i="2"/>
  <c r="I284" i="7" s="1"/>
  <c r="G318" i="2"/>
  <c r="G284" i="7" s="1"/>
  <c r="F318" i="2"/>
  <c r="F284" i="7" s="1"/>
  <c r="K350" i="2"/>
  <c r="K316" i="7" s="1"/>
  <c r="H350" i="2"/>
  <c r="H316" i="7" s="1"/>
  <c r="D350" i="2"/>
  <c r="D316" i="7" s="1"/>
  <c r="J350" i="2"/>
  <c r="J316" i="7" s="1"/>
  <c r="I350" i="2"/>
  <c r="I316" i="7" s="1"/>
  <c r="G350" i="2"/>
  <c r="G316" i="7" s="1"/>
  <c r="F350" i="2"/>
  <c r="F316" i="7" s="1"/>
  <c r="E350" i="2"/>
  <c r="E316" i="7" s="1"/>
  <c r="D462" i="2"/>
  <c r="D393" i="7" s="1"/>
  <c r="I462" i="2"/>
  <c r="I393" i="7" s="1"/>
  <c r="H462" i="2"/>
  <c r="H393" i="7" s="1"/>
  <c r="E462" i="2"/>
  <c r="E393" i="7" s="1"/>
  <c r="K462" i="2"/>
  <c r="K393" i="7" s="1"/>
  <c r="J462" i="2"/>
  <c r="J393" i="7" s="1"/>
  <c r="G462" i="2"/>
  <c r="G393" i="7" s="1"/>
  <c r="F462" i="2"/>
  <c r="F393" i="7" s="1"/>
  <c r="J443" i="2"/>
  <c r="J374" i="7" s="1"/>
  <c r="G443" i="2"/>
  <c r="G374" i="7" s="1"/>
  <c r="F443" i="2"/>
  <c r="F374" i="7" s="1"/>
  <c r="K443" i="2"/>
  <c r="K374" i="7" s="1"/>
  <c r="D443" i="2"/>
  <c r="D374" i="7" s="1"/>
  <c r="E443" i="2"/>
  <c r="E374" i="7" s="1"/>
  <c r="I443" i="2"/>
  <c r="I374" i="7" s="1"/>
  <c r="H443" i="2"/>
  <c r="H374" i="7" s="1"/>
  <c r="J475" i="2"/>
  <c r="J406" i="7" s="1"/>
  <c r="G475" i="2"/>
  <c r="G406" i="7" s="1"/>
  <c r="F475" i="2"/>
  <c r="F406" i="7" s="1"/>
  <c r="K475" i="2"/>
  <c r="K406" i="7" s="1"/>
  <c r="D475" i="2"/>
  <c r="D406" i="7" s="1"/>
  <c r="I475" i="2"/>
  <c r="I406" i="7" s="1"/>
  <c r="H475" i="2"/>
  <c r="H406" i="7" s="1"/>
  <c r="E475" i="2"/>
  <c r="E406" i="7" s="1"/>
  <c r="D489" i="2"/>
  <c r="D420" i="7" s="1"/>
  <c r="J489" i="2"/>
  <c r="J420" i="7" s="1"/>
  <c r="I489" i="2"/>
  <c r="I420" i="7" s="1"/>
  <c r="H489" i="2"/>
  <c r="H420" i="7" s="1"/>
  <c r="G489" i="2"/>
  <c r="G420" i="7" s="1"/>
  <c r="F489" i="2"/>
  <c r="F420" i="7" s="1"/>
  <c r="E489" i="2"/>
  <c r="E420" i="7" s="1"/>
  <c r="K489" i="2"/>
  <c r="K420" i="7" s="1"/>
  <c r="H484" i="2"/>
  <c r="H415" i="7" s="1"/>
  <c r="G484" i="2"/>
  <c r="G415" i="7" s="1"/>
  <c r="F484" i="2"/>
  <c r="F415" i="7" s="1"/>
  <c r="E484" i="2"/>
  <c r="E415" i="7" s="1"/>
  <c r="D484" i="2"/>
  <c r="D415" i="7" s="1"/>
  <c r="K484" i="2"/>
  <c r="K415" i="7" s="1"/>
  <c r="J484" i="2"/>
  <c r="J415" i="7" s="1"/>
  <c r="I484" i="2"/>
  <c r="I415" i="7" s="1"/>
  <c r="F532" i="2"/>
  <c r="F463" i="7" s="1"/>
  <c r="J532" i="2"/>
  <c r="J463" i="7" s="1"/>
  <c r="H532" i="2"/>
  <c r="H463" i="7" s="1"/>
  <c r="D532" i="2"/>
  <c r="D463" i="7" s="1"/>
  <c r="I532" i="2"/>
  <c r="I463" i="7" s="1"/>
  <c r="K532" i="2"/>
  <c r="K463" i="7" s="1"/>
  <c r="G532" i="2"/>
  <c r="G463" i="7" s="1"/>
  <c r="E532" i="2"/>
  <c r="E463" i="7" s="1"/>
  <c r="F433" i="2"/>
  <c r="F364" i="7" s="1"/>
  <c r="K433" i="2"/>
  <c r="K364" i="7" s="1"/>
  <c r="J433" i="2"/>
  <c r="J364" i="7" s="1"/>
  <c r="G433" i="2"/>
  <c r="G364" i="7" s="1"/>
  <c r="I433" i="2"/>
  <c r="I364" i="7" s="1"/>
  <c r="D433" i="2"/>
  <c r="D364" i="7" s="1"/>
  <c r="H433" i="2"/>
  <c r="H364" i="7" s="1"/>
  <c r="E433" i="2"/>
  <c r="E364" i="7" s="1"/>
  <c r="F465" i="2"/>
  <c r="F396" i="7" s="1"/>
  <c r="K465" i="2"/>
  <c r="K396" i="7" s="1"/>
  <c r="J465" i="2"/>
  <c r="J396" i="7" s="1"/>
  <c r="G465" i="2"/>
  <c r="G396" i="7" s="1"/>
  <c r="I465" i="2"/>
  <c r="I396" i="7" s="1"/>
  <c r="H465" i="2"/>
  <c r="H396" i="7" s="1"/>
  <c r="E465" i="2"/>
  <c r="E396" i="7" s="1"/>
  <c r="D465" i="2"/>
  <c r="D396" i="7" s="1"/>
  <c r="D521" i="2"/>
  <c r="D452" i="7" s="1"/>
  <c r="I521" i="2"/>
  <c r="I452" i="7" s="1"/>
  <c r="E521" i="2"/>
  <c r="E452" i="7" s="1"/>
  <c r="H521" i="2"/>
  <c r="H452" i="7" s="1"/>
  <c r="G521" i="2"/>
  <c r="G452" i="7" s="1"/>
  <c r="F521" i="2"/>
  <c r="F452" i="7" s="1"/>
  <c r="K521" i="2"/>
  <c r="K452" i="7" s="1"/>
  <c r="J521" i="2"/>
  <c r="J452" i="7" s="1"/>
  <c r="D482" i="2"/>
  <c r="D413" i="7" s="1"/>
  <c r="K482" i="2"/>
  <c r="K413" i="7" s="1"/>
  <c r="J482" i="2"/>
  <c r="J413" i="7" s="1"/>
  <c r="I482" i="2"/>
  <c r="I413" i="7" s="1"/>
  <c r="H482" i="2"/>
  <c r="H413" i="7" s="1"/>
  <c r="G482" i="2"/>
  <c r="G413" i="7" s="1"/>
  <c r="F482" i="2"/>
  <c r="F413" i="7" s="1"/>
  <c r="E482" i="2"/>
  <c r="E413" i="7" s="1"/>
  <c r="H495" i="2"/>
  <c r="H426" i="7" s="1"/>
  <c r="K495" i="2"/>
  <c r="K426" i="7" s="1"/>
  <c r="J495" i="2"/>
  <c r="J426" i="7" s="1"/>
  <c r="I495" i="2"/>
  <c r="I426" i="7" s="1"/>
  <c r="G495" i="2"/>
  <c r="G426" i="7" s="1"/>
  <c r="F495" i="2"/>
  <c r="F426" i="7" s="1"/>
  <c r="E495" i="2"/>
  <c r="E426" i="7" s="1"/>
  <c r="D495" i="2"/>
  <c r="D426" i="7" s="1"/>
  <c r="J502" i="2"/>
  <c r="J433" i="7" s="1"/>
  <c r="G502" i="2"/>
  <c r="G433" i="7" s="1"/>
  <c r="K502" i="2"/>
  <c r="K433" i="7" s="1"/>
  <c r="I502" i="2"/>
  <c r="I433" i="7" s="1"/>
  <c r="H502" i="2"/>
  <c r="H433" i="7" s="1"/>
  <c r="F502" i="2"/>
  <c r="F433" i="7" s="1"/>
  <c r="E502" i="2"/>
  <c r="E433" i="7" s="1"/>
  <c r="D502" i="2"/>
  <c r="D433" i="7" s="1"/>
  <c r="D548" i="2"/>
  <c r="D479" i="7" s="1"/>
  <c r="J548" i="2"/>
  <c r="J479" i="7" s="1"/>
  <c r="I548" i="2"/>
  <c r="I479" i="7" s="1"/>
  <c r="G548" i="2"/>
  <c r="G479" i="7" s="1"/>
  <c r="K548" i="2"/>
  <c r="K479" i="7" s="1"/>
  <c r="H548" i="2"/>
  <c r="H479" i="7" s="1"/>
  <c r="F548" i="2"/>
  <c r="F479" i="7" s="1"/>
  <c r="E548" i="2"/>
  <c r="E479" i="7" s="1"/>
  <c r="D541" i="2"/>
  <c r="D472" i="7" s="1"/>
  <c r="H541" i="2"/>
  <c r="H472" i="7" s="1"/>
  <c r="I541" i="2"/>
  <c r="I472" i="7" s="1"/>
  <c r="E541" i="2"/>
  <c r="E472" i="7" s="1"/>
  <c r="J541" i="2"/>
  <c r="J472" i="7" s="1"/>
  <c r="K541" i="2"/>
  <c r="K472" i="7" s="1"/>
  <c r="G541" i="2"/>
  <c r="G472" i="7" s="1"/>
  <c r="F541" i="2"/>
  <c r="F472" i="7" s="1"/>
  <c r="F500" i="2"/>
  <c r="F431" i="7" s="1"/>
  <c r="K500" i="2"/>
  <c r="K431" i="7" s="1"/>
  <c r="G500" i="2"/>
  <c r="G431" i="7" s="1"/>
  <c r="I500" i="2"/>
  <c r="I431" i="7" s="1"/>
  <c r="H500" i="2"/>
  <c r="H431" i="7" s="1"/>
  <c r="E500" i="2"/>
  <c r="E431" i="7" s="1"/>
  <c r="D500" i="2"/>
  <c r="D431" i="7" s="1"/>
  <c r="J500" i="2"/>
  <c r="J431" i="7" s="1"/>
  <c r="J614" i="2"/>
  <c r="J545" i="7" s="1"/>
  <c r="G614" i="2"/>
  <c r="G545" i="7" s="1"/>
  <c r="E614" i="2"/>
  <c r="E545" i="7" s="1"/>
  <c r="F614" i="2"/>
  <c r="F545" i="7" s="1"/>
  <c r="D614" i="2"/>
  <c r="D545" i="7" s="1"/>
  <c r="K614" i="2"/>
  <c r="K545" i="7" s="1"/>
  <c r="H614" i="2"/>
  <c r="H545" i="7" s="1"/>
  <c r="I614" i="2"/>
  <c r="I545" i="7" s="1"/>
  <c r="I646" i="2"/>
  <c r="I577" i="7" s="1"/>
  <c r="G646" i="2"/>
  <c r="G577" i="7" s="1"/>
  <c r="K646" i="2"/>
  <c r="K577" i="7" s="1"/>
  <c r="H646" i="2"/>
  <c r="H577" i="7" s="1"/>
  <c r="E646" i="2"/>
  <c r="E577" i="7" s="1"/>
  <c r="F646" i="2"/>
  <c r="F577" i="7" s="1"/>
  <c r="D646" i="2"/>
  <c r="D577" i="7" s="1"/>
  <c r="J646" i="2"/>
  <c r="J577" i="7" s="1"/>
  <c r="H686" i="2"/>
  <c r="H617" i="7" s="1"/>
  <c r="D686" i="2"/>
  <c r="D617" i="7" s="1"/>
  <c r="J686" i="2"/>
  <c r="J617" i="7" s="1"/>
  <c r="K686" i="2"/>
  <c r="K617" i="7" s="1"/>
  <c r="G686" i="2"/>
  <c r="G617" i="7" s="1"/>
  <c r="F686" i="2"/>
  <c r="F617" i="7" s="1"/>
  <c r="E686" i="2"/>
  <c r="E617" i="7" s="1"/>
  <c r="I686" i="2"/>
  <c r="I617" i="7" s="1"/>
  <c r="F647" i="2"/>
  <c r="F578" i="7" s="1"/>
  <c r="J647" i="2"/>
  <c r="J578" i="7" s="1"/>
  <c r="H647" i="2"/>
  <c r="H578" i="7" s="1"/>
  <c r="E647" i="2"/>
  <c r="E578" i="7" s="1"/>
  <c r="K647" i="2"/>
  <c r="K578" i="7" s="1"/>
  <c r="G647" i="2"/>
  <c r="G578" i="7" s="1"/>
  <c r="D647" i="2"/>
  <c r="D578" i="7" s="1"/>
  <c r="I647" i="2"/>
  <c r="I578" i="7" s="1"/>
  <c r="H599" i="2"/>
  <c r="H530" i="7" s="1"/>
  <c r="K599" i="2"/>
  <c r="K530" i="7" s="1"/>
  <c r="J599" i="2"/>
  <c r="J530" i="7" s="1"/>
  <c r="F599" i="2"/>
  <c r="F530" i="7" s="1"/>
  <c r="E599" i="2"/>
  <c r="E530" i="7" s="1"/>
  <c r="G599" i="2"/>
  <c r="G530" i="7" s="1"/>
  <c r="D599" i="2"/>
  <c r="D530" i="7" s="1"/>
  <c r="I599" i="2"/>
  <c r="I530" i="7" s="1"/>
  <c r="F596" i="2"/>
  <c r="F527" i="7" s="1"/>
  <c r="E596" i="2"/>
  <c r="E527" i="7" s="1"/>
  <c r="D596" i="2"/>
  <c r="D527" i="7" s="1"/>
  <c r="K596" i="2"/>
  <c r="K527" i="7" s="1"/>
  <c r="J596" i="2"/>
  <c r="J527" i="7" s="1"/>
  <c r="I596" i="2"/>
  <c r="I527" i="7" s="1"/>
  <c r="G596" i="2"/>
  <c r="G527" i="7" s="1"/>
  <c r="H596" i="2"/>
  <c r="H527" i="7" s="1"/>
  <c r="D597" i="2"/>
  <c r="D528" i="7" s="1"/>
  <c r="E597" i="2"/>
  <c r="E528" i="7" s="1"/>
  <c r="G597" i="2"/>
  <c r="G528" i="7" s="1"/>
  <c r="F597" i="2"/>
  <c r="F528" i="7" s="1"/>
  <c r="K597" i="2"/>
  <c r="K528" i="7" s="1"/>
  <c r="J597" i="2"/>
  <c r="J528" i="7" s="1"/>
  <c r="H597" i="2"/>
  <c r="H528" i="7" s="1"/>
  <c r="I597" i="2"/>
  <c r="I528" i="7" s="1"/>
  <c r="K573" i="2"/>
  <c r="K504" i="7" s="1"/>
  <c r="J573" i="2"/>
  <c r="J504" i="7" s="1"/>
  <c r="H573" i="2"/>
  <c r="H504" i="7" s="1"/>
  <c r="G573" i="2"/>
  <c r="G504" i="7" s="1"/>
  <c r="E573" i="2"/>
  <c r="E504" i="7" s="1"/>
  <c r="D573" i="2"/>
  <c r="D504" i="7" s="1"/>
  <c r="I573" i="2"/>
  <c r="I504" i="7" s="1"/>
  <c r="F573" i="2"/>
  <c r="F504" i="7" s="1"/>
  <c r="H603" i="2"/>
  <c r="H534" i="7" s="1"/>
  <c r="E603" i="2"/>
  <c r="E534" i="7" s="1"/>
  <c r="K603" i="2"/>
  <c r="K534" i="7" s="1"/>
  <c r="G603" i="2"/>
  <c r="G534" i="7" s="1"/>
  <c r="F603" i="2"/>
  <c r="F534" i="7" s="1"/>
  <c r="I603" i="2"/>
  <c r="I534" i="7" s="1"/>
  <c r="J603" i="2"/>
  <c r="J534" i="7" s="1"/>
  <c r="D603" i="2"/>
  <c r="D534" i="7" s="1"/>
  <c r="G643" i="2"/>
  <c r="G574" i="7" s="1"/>
  <c r="E643" i="2"/>
  <c r="E574" i="7" s="1"/>
  <c r="J643" i="2"/>
  <c r="J574" i="7" s="1"/>
  <c r="I643" i="2"/>
  <c r="I574" i="7" s="1"/>
  <c r="F643" i="2"/>
  <c r="F574" i="7" s="1"/>
  <c r="D643" i="2"/>
  <c r="D574" i="7" s="1"/>
  <c r="H643" i="2"/>
  <c r="H574" i="7" s="1"/>
  <c r="K643" i="2"/>
  <c r="K574" i="7" s="1"/>
  <c r="F687" i="2"/>
  <c r="F618" i="7" s="1"/>
  <c r="J687" i="2"/>
  <c r="J618" i="7" s="1"/>
  <c r="H687" i="2"/>
  <c r="H618" i="7" s="1"/>
  <c r="I687" i="2"/>
  <c r="I618" i="7" s="1"/>
  <c r="K687" i="2"/>
  <c r="K618" i="7" s="1"/>
  <c r="E687" i="2"/>
  <c r="E618" i="7" s="1"/>
  <c r="G687" i="2"/>
  <c r="G618" i="7" s="1"/>
  <c r="D687" i="2"/>
  <c r="D618" i="7" s="1"/>
  <c r="I622" i="2"/>
  <c r="I553" i="7" s="1"/>
  <c r="G622" i="2"/>
  <c r="G553" i="7" s="1"/>
  <c r="F622" i="2"/>
  <c r="F553" i="7" s="1"/>
  <c r="E622" i="2"/>
  <c r="E553" i="7" s="1"/>
  <c r="K622" i="2"/>
  <c r="K553" i="7" s="1"/>
  <c r="J622" i="2"/>
  <c r="J553" i="7" s="1"/>
  <c r="H622" i="2"/>
  <c r="H553" i="7" s="1"/>
  <c r="D622" i="2"/>
  <c r="D553" i="7" s="1"/>
  <c r="J665" i="2"/>
  <c r="J596" i="7" s="1"/>
  <c r="F665" i="2"/>
  <c r="F596" i="7" s="1"/>
  <c r="H665" i="2"/>
  <c r="H596" i="7" s="1"/>
  <c r="E665" i="2"/>
  <c r="E596" i="7" s="1"/>
  <c r="I665" i="2"/>
  <c r="I596" i="7" s="1"/>
  <c r="G665" i="2"/>
  <c r="G596" i="7" s="1"/>
  <c r="K665" i="2"/>
  <c r="K596" i="7" s="1"/>
  <c r="D665" i="2"/>
  <c r="D596" i="7" s="1"/>
  <c r="I634" i="2"/>
  <c r="I565" i="7" s="1"/>
  <c r="G634" i="2"/>
  <c r="G565" i="7" s="1"/>
  <c r="D634" i="2"/>
  <c r="D565" i="7" s="1"/>
  <c r="K634" i="2"/>
  <c r="K565" i="7" s="1"/>
  <c r="H634" i="2"/>
  <c r="H565" i="7" s="1"/>
  <c r="F634" i="2"/>
  <c r="F565" i="7" s="1"/>
  <c r="E634" i="2"/>
  <c r="E565" i="7" s="1"/>
  <c r="J634" i="2"/>
  <c r="J565" i="7" s="1"/>
  <c r="D672" i="2"/>
  <c r="D603" i="7" s="1"/>
  <c r="H672" i="2"/>
  <c r="H603" i="7" s="1"/>
  <c r="I672" i="2"/>
  <c r="I603" i="7" s="1"/>
  <c r="F672" i="2"/>
  <c r="F603" i="7" s="1"/>
  <c r="E672" i="2"/>
  <c r="E603" i="7" s="1"/>
  <c r="K672" i="2"/>
  <c r="K603" i="7" s="1"/>
  <c r="G672" i="2"/>
  <c r="G603" i="7" s="1"/>
  <c r="J672" i="2"/>
  <c r="J603" i="7" s="1"/>
  <c r="E632" i="2"/>
  <c r="E563" i="7" s="1"/>
  <c r="K632" i="2"/>
  <c r="K563" i="7" s="1"/>
  <c r="I632" i="2"/>
  <c r="I563" i="7" s="1"/>
  <c r="G632" i="2"/>
  <c r="G563" i="7" s="1"/>
  <c r="H632" i="2"/>
  <c r="H563" i="7" s="1"/>
  <c r="F632" i="2"/>
  <c r="F563" i="7" s="1"/>
  <c r="J632" i="2"/>
  <c r="J563" i="7" s="1"/>
  <c r="D632" i="2"/>
  <c r="D563" i="7" s="1"/>
  <c r="D712" i="2"/>
  <c r="D643" i="7" s="1"/>
  <c r="J712" i="2"/>
  <c r="J643" i="7" s="1"/>
  <c r="H712" i="2"/>
  <c r="H643" i="7" s="1"/>
  <c r="G712" i="2"/>
  <c r="G643" i="7" s="1"/>
  <c r="F712" i="2"/>
  <c r="F643" i="7" s="1"/>
  <c r="E712" i="2"/>
  <c r="E643" i="7" s="1"/>
  <c r="K712" i="2"/>
  <c r="K643" i="7" s="1"/>
  <c r="I712" i="2"/>
  <c r="I643" i="7" s="1"/>
  <c r="J681" i="2"/>
  <c r="J612" i="7" s="1"/>
  <c r="F681" i="2"/>
  <c r="F612" i="7" s="1"/>
  <c r="D681" i="2"/>
  <c r="D612" i="7" s="1"/>
  <c r="K681" i="2"/>
  <c r="K612" i="7" s="1"/>
  <c r="H681" i="2"/>
  <c r="H612" i="7" s="1"/>
  <c r="E681" i="2"/>
  <c r="E612" i="7" s="1"/>
  <c r="G681" i="2"/>
  <c r="G612" i="7" s="1"/>
  <c r="I681" i="2"/>
  <c r="I612" i="7" s="1"/>
  <c r="J705" i="2"/>
  <c r="J636" i="7" s="1"/>
  <c r="H705" i="2"/>
  <c r="H636" i="7" s="1"/>
  <c r="F705" i="2"/>
  <c r="F636" i="7" s="1"/>
  <c r="E705" i="2"/>
  <c r="E636" i="7" s="1"/>
  <c r="D705" i="2"/>
  <c r="D636" i="7" s="1"/>
  <c r="K705" i="2"/>
  <c r="K636" i="7" s="1"/>
  <c r="G705" i="2"/>
  <c r="G636" i="7" s="1"/>
  <c r="I705" i="2"/>
  <c r="I636" i="7" s="1"/>
  <c r="H698" i="2"/>
  <c r="H629" i="7" s="1"/>
  <c r="F698" i="2"/>
  <c r="F629" i="7" s="1"/>
  <c r="D698" i="2"/>
  <c r="D629" i="7" s="1"/>
  <c r="K698" i="2"/>
  <c r="K629" i="7" s="1"/>
  <c r="J698" i="2"/>
  <c r="J629" i="7" s="1"/>
  <c r="I698" i="2"/>
  <c r="I629" i="7" s="1"/>
  <c r="G698" i="2"/>
  <c r="G629" i="7" s="1"/>
  <c r="E698" i="2"/>
  <c r="E629" i="7" s="1"/>
  <c r="H730" i="2"/>
  <c r="H661" i="7" s="1"/>
  <c r="G730" i="2"/>
  <c r="G661" i="7" s="1"/>
  <c r="F730" i="2"/>
  <c r="F661" i="7" s="1"/>
  <c r="E730" i="2"/>
  <c r="E661" i="7" s="1"/>
  <c r="D730" i="2"/>
  <c r="D661" i="7" s="1"/>
  <c r="K730" i="2"/>
  <c r="K661" i="7" s="1"/>
  <c r="J730" i="2"/>
  <c r="J661" i="7" s="1"/>
  <c r="I730" i="2"/>
  <c r="I661" i="7" s="1"/>
  <c r="J58" i="2"/>
  <c r="J24" i="7" s="1"/>
  <c r="H58" i="2"/>
  <c r="H24" i="7" s="1"/>
  <c r="G58" i="2"/>
  <c r="G24" i="7" s="1"/>
  <c r="F58" i="2"/>
  <c r="F24" i="7" s="1"/>
  <c r="E58" i="2"/>
  <c r="E24" i="7" s="1"/>
  <c r="I58" i="2"/>
  <c r="I24" i="7" s="1"/>
  <c r="K58" i="2"/>
  <c r="K24" i="7" s="1"/>
  <c r="J90" i="2"/>
  <c r="J56" i="7" s="1"/>
  <c r="I90" i="2"/>
  <c r="I56" i="7" s="1"/>
  <c r="H90" i="2"/>
  <c r="H56" i="7" s="1"/>
  <c r="G90" i="2"/>
  <c r="G56" i="7" s="1"/>
  <c r="F90" i="2"/>
  <c r="F56" i="7" s="1"/>
  <c r="E90" i="2"/>
  <c r="E56" i="7" s="1"/>
  <c r="D90" i="2"/>
  <c r="D56" i="7" s="1"/>
  <c r="K90" i="2"/>
  <c r="K56" i="7" s="1"/>
  <c r="D115" i="2"/>
  <c r="D81" i="7" s="1"/>
  <c r="H115" i="2"/>
  <c r="H81" i="7" s="1"/>
  <c r="J115" i="2"/>
  <c r="J81" i="7" s="1"/>
  <c r="E115" i="2"/>
  <c r="E81" i="7" s="1"/>
  <c r="K115" i="2"/>
  <c r="K81" i="7" s="1"/>
  <c r="I115" i="2"/>
  <c r="I81" i="7" s="1"/>
  <c r="G115" i="2"/>
  <c r="G81" i="7" s="1"/>
  <c r="F115" i="2"/>
  <c r="F81" i="7" s="1"/>
  <c r="J219" i="2"/>
  <c r="J185" i="7" s="1"/>
  <c r="G219" i="2"/>
  <c r="G185" i="7" s="1"/>
  <c r="F219" i="2"/>
  <c r="F185" i="7" s="1"/>
  <c r="E219" i="2"/>
  <c r="E185" i="7" s="1"/>
  <c r="H219" i="2"/>
  <c r="H185" i="7" s="1"/>
  <c r="K219" i="2"/>
  <c r="K185" i="7" s="1"/>
  <c r="I219" i="2"/>
  <c r="I185" i="7" s="1"/>
  <c r="D219" i="2"/>
  <c r="D185" i="7" s="1"/>
  <c r="H51" i="2"/>
  <c r="H17" i="7" s="1"/>
  <c r="F51" i="2"/>
  <c r="F17" i="7" s="1"/>
  <c r="E51" i="2"/>
  <c r="E17" i="7" s="1"/>
  <c r="D51" i="2"/>
  <c r="D17" i="7" s="1"/>
  <c r="K51" i="2"/>
  <c r="K17" i="7" s="1"/>
  <c r="J51" i="2"/>
  <c r="J17" i="7" s="1"/>
  <c r="I51" i="2"/>
  <c r="I17" i="7" s="1"/>
  <c r="G51" i="2"/>
  <c r="G17" i="7" s="1"/>
  <c r="H83" i="2"/>
  <c r="H49" i="7" s="1"/>
  <c r="G83" i="2"/>
  <c r="G49" i="7" s="1"/>
  <c r="F83" i="2"/>
  <c r="F49" i="7" s="1"/>
  <c r="E83" i="2"/>
  <c r="E49" i="7" s="1"/>
  <c r="D83" i="2"/>
  <c r="D49" i="7" s="1"/>
  <c r="K83" i="2"/>
  <c r="K49" i="7" s="1"/>
  <c r="J83" i="2"/>
  <c r="J49" i="7" s="1"/>
  <c r="I83" i="2"/>
  <c r="I49" i="7" s="1"/>
  <c r="F142" i="2"/>
  <c r="F108" i="7" s="1"/>
  <c r="J142" i="2"/>
  <c r="J108" i="7" s="1"/>
  <c r="I142" i="2"/>
  <c r="I108" i="7" s="1"/>
  <c r="D142" i="2"/>
  <c r="D108" i="7" s="1"/>
  <c r="K142" i="2"/>
  <c r="K108" i="7" s="1"/>
  <c r="H142" i="2"/>
  <c r="H108" i="7" s="1"/>
  <c r="G142" i="2"/>
  <c r="G108" i="7" s="1"/>
  <c r="E142" i="2"/>
  <c r="E108" i="7" s="1"/>
  <c r="F68" i="2"/>
  <c r="F34" i="7" s="1"/>
  <c r="E68" i="2"/>
  <c r="E34" i="7" s="1"/>
  <c r="D68" i="2"/>
  <c r="D34" i="7" s="1"/>
  <c r="K68" i="2"/>
  <c r="K34" i="7" s="1"/>
  <c r="J68" i="2"/>
  <c r="J34" i="7" s="1"/>
  <c r="I68" i="2"/>
  <c r="I34" i="7" s="1"/>
  <c r="H68" i="2"/>
  <c r="H34" i="7" s="1"/>
  <c r="G68" i="2"/>
  <c r="G34" i="7" s="1"/>
  <c r="F100" i="2"/>
  <c r="F66" i="7" s="1"/>
  <c r="E100" i="2"/>
  <c r="E66" i="7" s="1"/>
  <c r="D100" i="2"/>
  <c r="D66" i="7" s="1"/>
  <c r="K100" i="2"/>
  <c r="K66" i="7" s="1"/>
  <c r="J100" i="2"/>
  <c r="J66" i="7" s="1"/>
  <c r="I100" i="2"/>
  <c r="I66" i="7" s="1"/>
  <c r="H100" i="2"/>
  <c r="H66" i="7" s="1"/>
  <c r="G100" i="2"/>
  <c r="G66" i="7" s="1"/>
  <c r="H133" i="2"/>
  <c r="H99" i="7" s="1"/>
  <c r="D133" i="2"/>
  <c r="D99" i="7" s="1"/>
  <c r="J133" i="2"/>
  <c r="J99" i="7" s="1"/>
  <c r="E133" i="2"/>
  <c r="E99" i="7" s="1"/>
  <c r="G133" i="2"/>
  <c r="G99" i="7" s="1"/>
  <c r="F133" i="2"/>
  <c r="F99" i="7" s="1"/>
  <c r="K133" i="2"/>
  <c r="K99" i="7" s="1"/>
  <c r="I133" i="2"/>
  <c r="I99" i="7" s="1"/>
  <c r="K69" i="2"/>
  <c r="K35" i="7" s="1"/>
  <c r="J69" i="2"/>
  <c r="J35" i="7" s="1"/>
  <c r="I69" i="2"/>
  <c r="I35" i="7" s="1"/>
  <c r="H69" i="2"/>
  <c r="H35" i="7" s="1"/>
  <c r="G69" i="2"/>
  <c r="G35" i="7" s="1"/>
  <c r="F69" i="2"/>
  <c r="F35" i="7" s="1"/>
  <c r="E69" i="2"/>
  <c r="E35" i="7" s="1"/>
  <c r="D101" i="2"/>
  <c r="D67" i="7" s="1"/>
  <c r="K101" i="2"/>
  <c r="K67" i="7" s="1"/>
  <c r="J101" i="2"/>
  <c r="J67" i="7" s="1"/>
  <c r="I101" i="2"/>
  <c r="I67" i="7" s="1"/>
  <c r="H101" i="2"/>
  <c r="H67" i="7" s="1"/>
  <c r="G101" i="2"/>
  <c r="G67" i="7" s="1"/>
  <c r="F101" i="2"/>
  <c r="F67" i="7" s="1"/>
  <c r="E101" i="2"/>
  <c r="E67" i="7" s="1"/>
  <c r="H200" i="2"/>
  <c r="H166" i="7" s="1"/>
  <c r="D200" i="2"/>
  <c r="D166" i="7" s="1"/>
  <c r="F200" i="2"/>
  <c r="F166" i="7" s="1"/>
  <c r="K200" i="2"/>
  <c r="K166" i="7" s="1"/>
  <c r="G200" i="2"/>
  <c r="G166" i="7" s="1"/>
  <c r="J200" i="2"/>
  <c r="J166" i="7" s="1"/>
  <c r="I200" i="2"/>
  <c r="I166" i="7" s="1"/>
  <c r="E200" i="2"/>
  <c r="E166" i="7" s="1"/>
  <c r="F106" i="2"/>
  <c r="F72" i="7" s="1"/>
  <c r="J106" i="2"/>
  <c r="J72" i="7" s="1"/>
  <c r="K106" i="2"/>
  <c r="K72" i="7" s="1"/>
  <c r="I106" i="2"/>
  <c r="I72" i="7" s="1"/>
  <c r="H106" i="2"/>
  <c r="H72" i="7" s="1"/>
  <c r="G106" i="2"/>
  <c r="G72" i="7" s="1"/>
  <c r="E106" i="2"/>
  <c r="E72" i="7" s="1"/>
  <c r="D106" i="2"/>
  <c r="D72" i="7" s="1"/>
  <c r="J120" i="2"/>
  <c r="J86" i="7" s="1"/>
  <c r="F120" i="2"/>
  <c r="F86" i="7" s="1"/>
  <c r="I120" i="2"/>
  <c r="I86" i="7" s="1"/>
  <c r="D120" i="2"/>
  <c r="D86" i="7" s="1"/>
  <c r="K120" i="2"/>
  <c r="K86" i="7" s="1"/>
  <c r="H120" i="2"/>
  <c r="H86" i="7" s="1"/>
  <c r="G120" i="2"/>
  <c r="G86" i="7" s="1"/>
  <c r="E120" i="2"/>
  <c r="E86" i="7" s="1"/>
  <c r="D151" i="2"/>
  <c r="D117" i="7" s="1"/>
  <c r="H151" i="2"/>
  <c r="H117" i="7" s="1"/>
  <c r="E151" i="2"/>
  <c r="E117" i="7" s="1"/>
  <c r="J151" i="2"/>
  <c r="J117" i="7" s="1"/>
  <c r="G151" i="2"/>
  <c r="G117" i="7" s="1"/>
  <c r="K151" i="2"/>
  <c r="K117" i="7" s="1"/>
  <c r="I151" i="2"/>
  <c r="I117" i="7" s="1"/>
  <c r="F151" i="2"/>
  <c r="F117" i="7" s="1"/>
  <c r="H173" i="2"/>
  <c r="H139" i="7" s="1"/>
  <c r="E173" i="2"/>
  <c r="E139" i="7" s="1"/>
  <c r="D173" i="2"/>
  <c r="D139" i="7" s="1"/>
  <c r="I173" i="2"/>
  <c r="I139" i="7" s="1"/>
  <c r="K173" i="2"/>
  <c r="K139" i="7" s="1"/>
  <c r="J173" i="2"/>
  <c r="J139" i="7" s="1"/>
  <c r="F173" i="2"/>
  <c r="F139" i="7" s="1"/>
  <c r="G173" i="2"/>
  <c r="G139" i="7" s="1"/>
  <c r="D266" i="2"/>
  <c r="D232" i="7" s="1"/>
  <c r="I266" i="2"/>
  <c r="I232" i="7" s="1"/>
  <c r="H266" i="2"/>
  <c r="H232" i="7" s="1"/>
  <c r="K266" i="2"/>
  <c r="K232" i="7" s="1"/>
  <c r="G266" i="2"/>
  <c r="G232" i="7" s="1"/>
  <c r="F266" i="2"/>
  <c r="F232" i="7" s="1"/>
  <c r="E266" i="2"/>
  <c r="E232" i="7" s="1"/>
  <c r="J266" i="2"/>
  <c r="J232" i="7" s="1"/>
  <c r="F154" i="2"/>
  <c r="F120" i="7" s="1"/>
  <c r="J154" i="2"/>
  <c r="J120" i="7" s="1"/>
  <c r="G154" i="2"/>
  <c r="G120" i="7" s="1"/>
  <c r="E154" i="2"/>
  <c r="E120" i="7" s="1"/>
  <c r="I154" i="2"/>
  <c r="I120" i="7" s="1"/>
  <c r="K154" i="2"/>
  <c r="K120" i="7" s="1"/>
  <c r="H154" i="2"/>
  <c r="H120" i="7" s="1"/>
  <c r="D154" i="2"/>
  <c r="D120" i="7" s="1"/>
  <c r="H165" i="2"/>
  <c r="H131" i="7" s="1"/>
  <c r="E165" i="2"/>
  <c r="E131" i="7" s="1"/>
  <c r="D165" i="2"/>
  <c r="D131" i="7" s="1"/>
  <c r="I165" i="2"/>
  <c r="I131" i="7" s="1"/>
  <c r="F165" i="2"/>
  <c r="F131" i="7" s="1"/>
  <c r="K165" i="2"/>
  <c r="K131" i="7" s="1"/>
  <c r="J165" i="2"/>
  <c r="J131" i="7" s="1"/>
  <c r="G165" i="2"/>
  <c r="G131" i="7" s="1"/>
  <c r="F146" i="2"/>
  <c r="F112" i="7" s="1"/>
  <c r="J146" i="2"/>
  <c r="J112" i="7" s="1"/>
  <c r="G146" i="2"/>
  <c r="G112" i="7" s="1"/>
  <c r="I146" i="2"/>
  <c r="I112" i="7" s="1"/>
  <c r="E146" i="2"/>
  <c r="E112" i="7" s="1"/>
  <c r="K146" i="2"/>
  <c r="K112" i="7" s="1"/>
  <c r="H146" i="2"/>
  <c r="H112" i="7" s="1"/>
  <c r="D146" i="2"/>
  <c r="D112" i="7" s="1"/>
  <c r="J148" i="2"/>
  <c r="J114" i="7" s="1"/>
  <c r="F148" i="2"/>
  <c r="F114" i="7" s="1"/>
  <c r="K148" i="2"/>
  <c r="K114" i="7" s="1"/>
  <c r="G148" i="2"/>
  <c r="G114" i="7" s="1"/>
  <c r="D148" i="2"/>
  <c r="D114" i="7" s="1"/>
  <c r="I148" i="2"/>
  <c r="I114" i="7" s="1"/>
  <c r="H148" i="2"/>
  <c r="H114" i="7" s="1"/>
  <c r="E148" i="2"/>
  <c r="E114" i="7" s="1"/>
  <c r="J223" i="2"/>
  <c r="J189" i="7" s="1"/>
  <c r="G223" i="2"/>
  <c r="G189" i="7" s="1"/>
  <c r="F223" i="2"/>
  <c r="F189" i="7" s="1"/>
  <c r="I223" i="2"/>
  <c r="I189" i="7" s="1"/>
  <c r="H223" i="2"/>
  <c r="H189" i="7" s="1"/>
  <c r="K223" i="2"/>
  <c r="K189" i="7" s="1"/>
  <c r="E223" i="2"/>
  <c r="E189" i="7" s="1"/>
  <c r="D223" i="2"/>
  <c r="D189" i="7" s="1"/>
  <c r="J267" i="2"/>
  <c r="J233" i="7" s="1"/>
  <c r="G267" i="2"/>
  <c r="G233" i="7" s="1"/>
  <c r="F267" i="2"/>
  <c r="F233" i="7" s="1"/>
  <c r="I267" i="2"/>
  <c r="I233" i="7" s="1"/>
  <c r="H267" i="2"/>
  <c r="H233" i="7" s="1"/>
  <c r="E267" i="2"/>
  <c r="E233" i="7" s="1"/>
  <c r="K267" i="2"/>
  <c r="K233" i="7" s="1"/>
  <c r="D267" i="2"/>
  <c r="D233" i="7" s="1"/>
  <c r="H272" i="2"/>
  <c r="H238" i="7" s="1"/>
  <c r="E272" i="2"/>
  <c r="E238" i="7" s="1"/>
  <c r="J272" i="2"/>
  <c r="J238" i="7" s="1"/>
  <c r="G272" i="2"/>
  <c r="G238" i="7" s="1"/>
  <c r="F272" i="2"/>
  <c r="F238" i="7" s="1"/>
  <c r="K272" i="2"/>
  <c r="K238" i="7" s="1"/>
  <c r="I272" i="2"/>
  <c r="I238" i="7" s="1"/>
  <c r="H220" i="2"/>
  <c r="H186" i="7" s="1"/>
  <c r="E220" i="2"/>
  <c r="E186" i="7" s="1"/>
  <c r="D220" i="2"/>
  <c r="D186" i="7" s="1"/>
  <c r="I220" i="2"/>
  <c r="I186" i="7" s="1"/>
  <c r="J220" i="2"/>
  <c r="J186" i="7" s="1"/>
  <c r="K220" i="2"/>
  <c r="K186" i="7" s="1"/>
  <c r="G220" i="2"/>
  <c r="G186" i="7" s="1"/>
  <c r="F220" i="2"/>
  <c r="F186" i="7" s="1"/>
  <c r="H264" i="2"/>
  <c r="H230" i="7" s="1"/>
  <c r="E264" i="2"/>
  <c r="E230" i="7" s="1"/>
  <c r="D264" i="2"/>
  <c r="D230" i="7" s="1"/>
  <c r="G264" i="2"/>
  <c r="G230" i="7" s="1"/>
  <c r="J264" i="2"/>
  <c r="J230" i="7" s="1"/>
  <c r="I264" i="2"/>
  <c r="I230" i="7" s="1"/>
  <c r="K264" i="2"/>
  <c r="K230" i="7" s="1"/>
  <c r="F264" i="2"/>
  <c r="F230" i="7" s="1"/>
  <c r="H256" i="2"/>
  <c r="H222" i="7" s="1"/>
  <c r="E256" i="2"/>
  <c r="E222" i="7" s="1"/>
  <c r="D256" i="2"/>
  <c r="D222" i="7" s="1"/>
  <c r="K256" i="2"/>
  <c r="K222" i="7" s="1"/>
  <c r="J256" i="2"/>
  <c r="J222" i="7" s="1"/>
  <c r="F256" i="2"/>
  <c r="F222" i="7" s="1"/>
  <c r="I256" i="2"/>
  <c r="I222" i="7" s="1"/>
  <c r="G256" i="2"/>
  <c r="G222" i="7" s="1"/>
  <c r="D292" i="2"/>
  <c r="D258" i="7" s="1"/>
  <c r="H292" i="2"/>
  <c r="H258" i="7" s="1"/>
  <c r="I292" i="2"/>
  <c r="I258" i="7" s="1"/>
  <c r="G292" i="2"/>
  <c r="G258" i="7" s="1"/>
  <c r="K292" i="2"/>
  <c r="K258" i="7" s="1"/>
  <c r="J292" i="2"/>
  <c r="J258" i="7" s="1"/>
  <c r="F292" i="2"/>
  <c r="F258" i="7" s="1"/>
  <c r="E292" i="2"/>
  <c r="E258" i="7" s="1"/>
  <c r="D300" i="2"/>
  <c r="D266" i="7" s="1"/>
  <c r="H300" i="2"/>
  <c r="H266" i="7" s="1"/>
  <c r="J300" i="2"/>
  <c r="J266" i="7" s="1"/>
  <c r="I300" i="2"/>
  <c r="I266" i="7" s="1"/>
  <c r="G300" i="2"/>
  <c r="G266" i="7" s="1"/>
  <c r="E300" i="2"/>
  <c r="E266" i="7" s="1"/>
  <c r="K300" i="2"/>
  <c r="K266" i="7" s="1"/>
  <c r="F300" i="2"/>
  <c r="F266" i="7" s="1"/>
  <c r="D308" i="2"/>
  <c r="D274" i="7" s="1"/>
  <c r="H308" i="2"/>
  <c r="H274" i="7" s="1"/>
  <c r="J308" i="2"/>
  <c r="J274" i="7" s="1"/>
  <c r="I308" i="2"/>
  <c r="I274" i="7" s="1"/>
  <c r="G308" i="2"/>
  <c r="G274" i="7" s="1"/>
  <c r="E308" i="2"/>
  <c r="E274" i="7" s="1"/>
  <c r="K308" i="2"/>
  <c r="K274" i="7" s="1"/>
  <c r="F308" i="2"/>
  <c r="F274" i="7" s="1"/>
  <c r="I339" i="2"/>
  <c r="I305" i="7" s="1"/>
  <c r="F339" i="2"/>
  <c r="F305" i="7" s="1"/>
  <c r="J339" i="2"/>
  <c r="J305" i="7" s="1"/>
  <c r="K339" i="2"/>
  <c r="K305" i="7" s="1"/>
  <c r="H339" i="2"/>
  <c r="H305" i="7" s="1"/>
  <c r="G339" i="2"/>
  <c r="G305" i="7" s="1"/>
  <c r="E339" i="2"/>
  <c r="E305" i="7" s="1"/>
  <c r="D339" i="2"/>
  <c r="D305" i="7" s="1"/>
  <c r="E345" i="2"/>
  <c r="E311" i="7" s="1"/>
  <c r="J345" i="2"/>
  <c r="J311" i="7" s="1"/>
  <c r="F345" i="2"/>
  <c r="F311" i="7" s="1"/>
  <c r="K345" i="2"/>
  <c r="K311" i="7" s="1"/>
  <c r="I345" i="2"/>
  <c r="I311" i="7" s="1"/>
  <c r="H345" i="2"/>
  <c r="H311" i="7" s="1"/>
  <c r="G345" i="2"/>
  <c r="G311" i="7" s="1"/>
  <c r="D345" i="2"/>
  <c r="D311" i="7" s="1"/>
  <c r="I331" i="2"/>
  <c r="I297" i="7" s="1"/>
  <c r="F331" i="2"/>
  <c r="F297" i="7" s="1"/>
  <c r="J331" i="2"/>
  <c r="J297" i="7" s="1"/>
  <c r="K331" i="2"/>
  <c r="K297" i="7" s="1"/>
  <c r="H331" i="2"/>
  <c r="H297" i="7" s="1"/>
  <c r="G331" i="2"/>
  <c r="G297" i="7" s="1"/>
  <c r="E331" i="2"/>
  <c r="E297" i="7" s="1"/>
  <c r="D331" i="2"/>
  <c r="D297" i="7" s="1"/>
  <c r="G324" i="2"/>
  <c r="G290" i="7" s="1"/>
  <c r="D324" i="2"/>
  <c r="D290" i="7" s="1"/>
  <c r="H324" i="2"/>
  <c r="H290" i="7" s="1"/>
  <c r="J324" i="2"/>
  <c r="J290" i="7" s="1"/>
  <c r="I324" i="2"/>
  <c r="I290" i="7" s="1"/>
  <c r="F324" i="2"/>
  <c r="F290" i="7" s="1"/>
  <c r="E324" i="2"/>
  <c r="E290" i="7" s="1"/>
  <c r="K324" i="2"/>
  <c r="K290" i="7" s="1"/>
  <c r="H416" i="2"/>
  <c r="H347" i="7" s="1"/>
  <c r="D416" i="2"/>
  <c r="D347" i="7" s="1"/>
  <c r="I416" i="2"/>
  <c r="I347" i="7" s="1"/>
  <c r="G416" i="2"/>
  <c r="G347" i="7" s="1"/>
  <c r="F416" i="2"/>
  <c r="F347" i="7" s="1"/>
  <c r="K416" i="2"/>
  <c r="K347" i="7" s="1"/>
  <c r="J416" i="2"/>
  <c r="J347" i="7" s="1"/>
  <c r="E416" i="2"/>
  <c r="E347" i="7" s="1"/>
  <c r="F237" i="2"/>
  <c r="F203" i="7" s="1"/>
  <c r="K237" i="2"/>
  <c r="K203" i="7" s="1"/>
  <c r="J237" i="2"/>
  <c r="J203" i="7" s="1"/>
  <c r="D237" i="2"/>
  <c r="D203" i="7" s="1"/>
  <c r="I237" i="2"/>
  <c r="I203" i="7" s="1"/>
  <c r="E237" i="2"/>
  <c r="E203" i="7" s="1"/>
  <c r="G237" i="2"/>
  <c r="G203" i="7" s="1"/>
  <c r="H237" i="2"/>
  <c r="H203" i="7" s="1"/>
  <c r="F269" i="2"/>
  <c r="F235" i="7" s="1"/>
  <c r="K269" i="2"/>
  <c r="K235" i="7" s="1"/>
  <c r="J269" i="2"/>
  <c r="J235" i="7" s="1"/>
  <c r="D269" i="2"/>
  <c r="D235" i="7" s="1"/>
  <c r="I269" i="2"/>
  <c r="I235" i="7" s="1"/>
  <c r="G269" i="2"/>
  <c r="G235" i="7" s="1"/>
  <c r="E269" i="2"/>
  <c r="E235" i="7" s="1"/>
  <c r="H269" i="2"/>
  <c r="H235" i="7" s="1"/>
  <c r="J375" i="2"/>
  <c r="F375" i="2"/>
  <c r="H375" i="2"/>
  <c r="D375" i="2"/>
  <c r="I375" i="2"/>
  <c r="K375" i="2"/>
  <c r="G375" i="2"/>
  <c r="E375" i="2"/>
  <c r="H380" i="2"/>
  <c r="D380" i="2"/>
  <c r="I380" i="2"/>
  <c r="E380" i="2"/>
  <c r="J380" i="2"/>
  <c r="G380" i="2"/>
  <c r="F380" i="2"/>
  <c r="K380" i="2"/>
  <c r="E370" i="2"/>
  <c r="J370" i="2"/>
  <c r="F370" i="2"/>
  <c r="D370" i="2"/>
  <c r="K370" i="2"/>
  <c r="I370" i="2"/>
  <c r="H370" i="2"/>
  <c r="G370" i="2"/>
  <c r="E353" i="2"/>
  <c r="E319" i="7" s="1"/>
  <c r="J353" i="2"/>
  <c r="J319" i="7" s="1"/>
  <c r="F353" i="2"/>
  <c r="F319" i="7" s="1"/>
  <c r="K353" i="2"/>
  <c r="K319" i="7" s="1"/>
  <c r="I353" i="2"/>
  <c r="I319" i="7" s="1"/>
  <c r="H353" i="2"/>
  <c r="H319" i="7" s="1"/>
  <c r="G353" i="2"/>
  <c r="G319" i="7" s="1"/>
  <c r="D353" i="2"/>
  <c r="D319" i="7" s="1"/>
  <c r="H436" i="2"/>
  <c r="H367" i="7" s="1"/>
  <c r="E436" i="2"/>
  <c r="E367" i="7" s="1"/>
  <c r="D436" i="2"/>
  <c r="D367" i="7" s="1"/>
  <c r="I436" i="2"/>
  <c r="I367" i="7" s="1"/>
  <c r="K436" i="2"/>
  <c r="K367" i="7" s="1"/>
  <c r="J436" i="2"/>
  <c r="J367" i="7" s="1"/>
  <c r="G436" i="2"/>
  <c r="G367" i="7" s="1"/>
  <c r="F436" i="2"/>
  <c r="F367" i="7" s="1"/>
  <c r="H396" i="2"/>
  <c r="D396" i="2"/>
  <c r="I396" i="2"/>
  <c r="E396" i="2"/>
  <c r="J396" i="2"/>
  <c r="K396" i="2"/>
  <c r="G396" i="2"/>
  <c r="F396" i="2"/>
  <c r="H404" i="2"/>
  <c r="H335" i="7" s="1"/>
  <c r="D404" i="2"/>
  <c r="D335" i="7" s="1"/>
  <c r="I404" i="2"/>
  <c r="I335" i="7" s="1"/>
  <c r="E404" i="2"/>
  <c r="E335" i="7" s="1"/>
  <c r="J404" i="2"/>
  <c r="J335" i="7" s="1"/>
  <c r="K404" i="2"/>
  <c r="K335" i="7" s="1"/>
  <c r="G404" i="2"/>
  <c r="G335" i="7" s="1"/>
  <c r="F404" i="2"/>
  <c r="F335" i="7" s="1"/>
  <c r="H412" i="2"/>
  <c r="H343" i="7" s="1"/>
  <c r="D412" i="2"/>
  <c r="D343" i="7" s="1"/>
  <c r="I412" i="2"/>
  <c r="I343" i="7" s="1"/>
  <c r="E412" i="2"/>
  <c r="E343" i="7" s="1"/>
  <c r="J412" i="2"/>
  <c r="J343" i="7" s="1"/>
  <c r="K412" i="2"/>
  <c r="K343" i="7" s="1"/>
  <c r="G412" i="2"/>
  <c r="G343" i="7" s="1"/>
  <c r="F412" i="2"/>
  <c r="F343" i="7" s="1"/>
  <c r="H444" i="2"/>
  <c r="H375" i="7" s="1"/>
  <c r="E444" i="2"/>
  <c r="E375" i="7" s="1"/>
  <c r="D444" i="2"/>
  <c r="D375" i="7" s="1"/>
  <c r="I444" i="2"/>
  <c r="I375" i="7" s="1"/>
  <c r="J444" i="2"/>
  <c r="J375" i="7" s="1"/>
  <c r="K444" i="2"/>
  <c r="K375" i="7" s="1"/>
  <c r="G444" i="2"/>
  <c r="G375" i="7" s="1"/>
  <c r="F444" i="2"/>
  <c r="F375" i="7" s="1"/>
  <c r="K322" i="2"/>
  <c r="K288" i="7" s="1"/>
  <c r="H322" i="2"/>
  <c r="H288" i="7" s="1"/>
  <c r="D322" i="2"/>
  <c r="D288" i="7" s="1"/>
  <c r="F322" i="2"/>
  <c r="F288" i="7" s="1"/>
  <c r="E322" i="2"/>
  <c r="E288" i="7" s="1"/>
  <c r="J322" i="2"/>
  <c r="J288" i="7" s="1"/>
  <c r="I322" i="2"/>
  <c r="I288" i="7" s="1"/>
  <c r="G322" i="2"/>
  <c r="G288" i="7" s="1"/>
  <c r="K354" i="2"/>
  <c r="K320" i="7" s="1"/>
  <c r="H354" i="2"/>
  <c r="H320" i="7" s="1"/>
  <c r="D354" i="2"/>
  <c r="D320" i="7" s="1"/>
  <c r="F354" i="2"/>
  <c r="F320" i="7" s="1"/>
  <c r="E354" i="2"/>
  <c r="E320" i="7" s="1"/>
  <c r="J354" i="2"/>
  <c r="J320" i="7" s="1"/>
  <c r="I354" i="2"/>
  <c r="I320" i="7" s="1"/>
  <c r="G354" i="2"/>
  <c r="G320" i="7" s="1"/>
  <c r="J415" i="2"/>
  <c r="J346" i="7" s="1"/>
  <c r="F415" i="2"/>
  <c r="F346" i="7" s="1"/>
  <c r="K415" i="2"/>
  <c r="K346" i="7" s="1"/>
  <c r="I415" i="2"/>
  <c r="I346" i="7" s="1"/>
  <c r="E415" i="2"/>
  <c r="E346" i="7" s="1"/>
  <c r="D415" i="2"/>
  <c r="D346" i="7" s="1"/>
  <c r="H415" i="2"/>
  <c r="H346" i="7" s="1"/>
  <c r="G415" i="2"/>
  <c r="G346" i="7" s="1"/>
  <c r="J447" i="2"/>
  <c r="J378" i="7" s="1"/>
  <c r="G447" i="2"/>
  <c r="G378" i="7" s="1"/>
  <c r="F447" i="2"/>
  <c r="F378" i="7" s="1"/>
  <c r="K447" i="2"/>
  <c r="K378" i="7" s="1"/>
  <c r="H447" i="2"/>
  <c r="H378" i="7" s="1"/>
  <c r="E447" i="2"/>
  <c r="E378" i="7" s="1"/>
  <c r="I447" i="2"/>
  <c r="I378" i="7" s="1"/>
  <c r="D447" i="2"/>
  <c r="D378" i="7" s="1"/>
  <c r="J479" i="2"/>
  <c r="J410" i="7" s="1"/>
  <c r="I479" i="2"/>
  <c r="I410" i="7" s="1"/>
  <c r="H479" i="2"/>
  <c r="H410" i="7" s="1"/>
  <c r="G479" i="2"/>
  <c r="G410" i="7" s="1"/>
  <c r="F479" i="2"/>
  <c r="F410" i="7" s="1"/>
  <c r="E479" i="2"/>
  <c r="E410" i="7" s="1"/>
  <c r="D479" i="2"/>
  <c r="D410" i="7" s="1"/>
  <c r="K479" i="2"/>
  <c r="K410" i="7" s="1"/>
  <c r="H507" i="2"/>
  <c r="H438" i="7" s="1"/>
  <c r="E507" i="2"/>
  <c r="E438" i="7" s="1"/>
  <c r="I507" i="2"/>
  <c r="I438" i="7" s="1"/>
  <c r="K507" i="2"/>
  <c r="K438" i="7" s="1"/>
  <c r="J507" i="2"/>
  <c r="J438" i="7" s="1"/>
  <c r="G507" i="2"/>
  <c r="G438" i="7" s="1"/>
  <c r="F507" i="2"/>
  <c r="F438" i="7" s="1"/>
  <c r="D507" i="2"/>
  <c r="D438" i="7" s="1"/>
  <c r="J490" i="2"/>
  <c r="J421" i="7" s="1"/>
  <c r="H490" i="2"/>
  <c r="H421" i="7" s="1"/>
  <c r="G490" i="2"/>
  <c r="G421" i="7" s="1"/>
  <c r="F490" i="2"/>
  <c r="F421" i="7" s="1"/>
  <c r="E490" i="2"/>
  <c r="E421" i="7" s="1"/>
  <c r="D490" i="2"/>
  <c r="D421" i="7" s="1"/>
  <c r="K490" i="2"/>
  <c r="K421" i="7" s="1"/>
  <c r="I490" i="2"/>
  <c r="I421" i="7" s="1"/>
  <c r="I562" i="2"/>
  <c r="I493" i="7" s="1"/>
  <c r="H562" i="2"/>
  <c r="H493" i="7" s="1"/>
  <c r="E562" i="2"/>
  <c r="E493" i="7" s="1"/>
  <c r="D562" i="2"/>
  <c r="D493" i="7" s="1"/>
  <c r="K562" i="2"/>
  <c r="K493" i="7" s="1"/>
  <c r="F562" i="2"/>
  <c r="F493" i="7" s="1"/>
  <c r="J562" i="2"/>
  <c r="J493" i="7" s="1"/>
  <c r="G562" i="2"/>
  <c r="G493" i="7" s="1"/>
  <c r="F437" i="2"/>
  <c r="F368" i="7" s="1"/>
  <c r="K437" i="2"/>
  <c r="K368" i="7" s="1"/>
  <c r="J437" i="2"/>
  <c r="J368" i="7" s="1"/>
  <c r="G437" i="2"/>
  <c r="G368" i="7" s="1"/>
  <c r="E437" i="2"/>
  <c r="E368" i="7" s="1"/>
  <c r="H437" i="2"/>
  <c r="H368" i="7" s="1"/>
  <c r="I437" i="2"/>
  <c r="I368" i="7" s="1"/>
  <c r="D437" i="2"/>
  <c r="D368" i="7" s="1"/>
  <c r="F469" i="2"/>
  <c r="F400" i="7" s="1"/>
  <c r="K469" i="2"/>
  <c r="K400" i="7" s="1"/>
  <c r="J469" i="2"/>
  <c r="J400" i="7" s="1"/>
  <c r="G469" i="2"/>
  <c r="G400" i="7" s="1"/>
  <c r="E469" i="2"/>
  <c r="E400" i="7" s="1"/>
  <c r="D469" i="2"/>
  <c r="D400" i="7" s="1"/>
  <c r="I469" i="2"/>
  <c r="I400" i="7" s="1"/>
  <c r="H469" i="2"/>
  <c r="H400" i="7" s="1"/>
  <c r="D493" i="2"/>
  <c r="D424" i="7" s="1"/>
  <c r="F493" i="2"/>
  <c r="F424" i="7" s="1"/>
  <c r="E493" i="2"/>
  <c r="E424" i="7" s="1"/>
  <c r="K493" i="2"/>
  <c r="K424" i="7" s="1"/>
  <c r="J493" i="2"/>
  <c r="J424" i="7" s="1"/>
  <c r="I493" i="2"/>
  <c r="I424" i="7" s="1"/>
  <c r="H493" i="2"/>
  <c r="H424" i="7" s="1"/>
  <c r="G493" i="2"/>
  <c r="G424" i="7" s="1"/>
  <c r="J486" i="2"/>
  <c r="J417" i="7" s="1"/>
  <c r="D486" i="2"/>
  <c r="D417" i="7" s="1"/>
  <c r="K486" i="2"/>
  <c r="K417" i="7" s="1"/>
  <c r="I486" i="2"/>
  <c r="I417" i="7" s="1"/>
  <c r="H486" i="2"/>
  <c r="H417" i="7" s="1"/>
  <c r="G486" i="2"/>
  <c r="G417" i="7" s="1"/>
  <c r="F486" i="2"/>
  <c r="F417" i="7" s="1"/>
  <c r="E486" i="2"/>
  <c r="E417" i="7" s="1"/>
  <c r="D497" i="2"/>
  <c r="D428" i="7" s="1"/>
  <c r="I497" i="2"/>
  <c r="I428" i="7" s="1"/>
  <c r="K497" i="2"/>
  <c r="K428" i="7" s="1"/>
  <c r="J497" i="2"/>
  <c r="J428" i="7" s="1"/>
  <c r="H497" i="2"/>
  <c r="H428" i="7" s="1"/>
  <c r="G497" i="2"/>
  <c r="G428" i="7" s="1"/>
  <c r="F497" i="2"/>
  <c r="F428" i="7" s="1"/>
  <c r="E497" i="2"/>
  <c r="E428" i="7" s="1"/>
  <c r="J506" i="2"/>
  <c r="J437" i="7" s="1"/>
  <c r="G506" i="2"/>
  <c r="G437" i="7" s="1"/>
  <c r="K506" i="2"/>
  <c r="K437" i="7" s="1"/>
  <c r="I506" i="2"/>
  <c r="I437" i="7" s="1"/>
  <c r="H506" i="2"/>
  <c r="H437" i="7" s="1"/>
  <c r="F506" i="2"/>
  <c r="F437" i="7" s="1"/>
  <c r="E506" i="2"/>
  <c r="E437" i="7" s="1"/>
  <c r="D506" i="2"/>
  <c r="D437" i="7" s="1"/>
  <c r="I630" i="2"/>
  <c r="I561" i="7" s="1"/>
  <c r="G630" i="2"/>
  <c r="G561" i="7" s="1"/>
  <c r="K630" i="2"/>
  <c r="K561" i="7" s="1"/>
  <c r="H630" i="2"/>
  <c r="H561" i="7" s="1"/>
  <c r="E630" i="2"/>
  <c r="E561" i="7" s="1"/>
  <c r="J630" i="2"/>
  <c r="J561" i="7" s="1"/>
  <c r="F630" i="2"/>
  <c r="F561" i="7" s="1"/>
  <c r="D630" i="2"/>
  <c r="D561" i="7" s="1"/>
  <c r="J542" i="2"/>
  <c r="J473" i="7" s="1"/>
  <c r="F542" i="2"/>
  <c r="F473" i="7" s="1"/>
  <c r="H542" i="2"/>
  <c r="H473" i="7" s="1"/>
  <c r="D542" i="2"/>
  <c r="D473" i="7" s="1"/>
  <c r="I542" i="2"/>
  <c r="I473" i="7" s="1"/>
  <c r="G542" i="2"/>
  <c r="G473" i="7" s="1"/>
  <c r="E542" i="2"/>
  <c r="E473" i="7" s="1"/>
  <c r="K542" i="2"/>
  <c r="K473" i="7" s="1"/>
  <c r="F504" i="2"/>
  <c r="F435" i="7" s="1"/>
  <c r="K504" i="2"/>
  <c r="K435" i="7" s="1"/>
  <c r="G504" i="2"/>
  <c r="G435" i="7" s="1"/>
  <c r="E504" i="2"/>
  <c r="E435" i="7" s="1"/>
  <c r="D504" i="2"/>
  <c r="D435" i="7" s="1"/>
  <c r="J504" i="2"/>
  <c r="J435" i="7" s="1"/>
  <c r="I504" i="2"/>
  <c r="I435" i="7" s="1"/>
  <c r="H504" i="2"/>
  <c r="H435" i="7" s="1"/>
  <c r="J594" i="2"/>
  <c r="J525" i="7" s="1"/>
  <c r="G594" i="2"/>
  <c r="G525" i="7" s="1"/>
  <c r="F594" i="2"/>
  <c r="F525" i="7" s="1"/>
  <c r="K594" i="2"/>
  <c r="K525" i="7" s="1"/>
  <c r="H594" i="2"/>
  <c r="H525" i="7" s="1"/>
  <c r="E594" i="2"/>
  <c r="E525" i="7" s="1"/>
  <c r="D594" i="2"/>
  <c r="D525" i="7" s="1"/>
  <c r="I594" i="2"/>
  <c r="I525" i="7" s="1"/>
  <c r="F655" i="2"/>
  <c r="F586" i="7" s="1"/>
  <c r="J655" i="2"/>
  <c r="J586" i="7" s="1"/>
  <c r="H655" i="2"/>
  <c r="H586" i="7" s="1"/>
  <c r="E655" i="2"/>
  <c r="E586" i="7" s="1"/>
  <c r="K655" i="2"/>
  <c r="K586" i="7" s="1"/>
  <c r="G655" i="2"/>
  <c r="G586" i="7" s="1"/>
  <c r="I655" i="2"/>
  <c r="I586" i="7" s="1"/>
  <c r="D655" i="2"/>
  <c r="D586" i="7" s="1"/>
  <c r="H550" i="2"/>
  <c r="H481" i="7" s="1"/>
  <c r="G550" i="2"/>
  <c r="G481" i="7" s="1"/>
  <c r="F550" i="2"/>
  <c r="F481" i="7" s="1"/>
  <c r="D550" i="2"/>
  <c r="D481" i="7" s="1"/>
  <c r="I550" i="2"/>
  <c r="I481" i="7" s="1"/>
  <c r="K550" i="2"/>
  <c r="K481" i="7" s="1"/>
  <c r="J550" i="2"/>
  <c r="J481" i="7" s="1"/>
  <c r="E550" i="2"/>
  <c r="E481" i="7" s="1"/>
  <c r="F671" i="2"/>
  <c r="F602" i="7" s="1"/>
  <c r="J671" i="2"/>
  <c r="J602" i="7" s="1"/>
  <c r="H671" i="2"/>
  <c r="H602" i="7" s="1"/>
  <c r="E671" i="2"/>
  <c r="E602" i="7" s="1"/>
  <c r="K671" i="2"/>
  <c r="K602" i="7" s="1"/>
  <c r="G671" i="2"/>
  <c r="G602" i="7" s="1"/>
  <c r="D671" i="2"/>
  <c r="D602" i="7" s="1"/>
  <c r="I671" i="2"/>
  <c r="I602" i="7" s="1"/>
  <c r="D684" i="2"/>
  <c r="D615" i="7" s="1"/>
  <c r="H684" i="2"/>
  <c r="H615" i="7" s="1"/>
  <c r="F684" i="2"/>
  <c r="F615" i="7" s="1"/>
  <c r="I684" i="2"/>
  <c r="I615" i="7" s="1"/>
  <c r="E684" i="2"/>
  <c r="E615" i="7" s="1"/>
  <c r="K684" i="2"/>
  <c r="K615" i="7" s="1"/>
  <c r="G684" i="2"/>
  <c r="G615" i="7" s="1"/>
  <c r="J684" i="2"/>
  <c r="J615" i="7" s="1"/>
  <c r="J602" i="2"/>
  <c r="J533" i="7" s="1"/>
  <c r="G602" i="2"/>
  <c r="G533" i="7" s="1"/>
  <c r="K602" i="2"/>
  <c r="K533" i="7" s="1"/>
  <c r="I602" i="2"/>
  <c r="I533" i="7" s="1"/>
  <c r="H602" i="2"/>
  <c r="H533" i="7" s="1"/>
  <c r="F602" i="2"/>
  <c r="F533" i="7" s="1"/>
  <c r="D602" i="2"/>
  <c r="D533" i="7" s="1"/>
  <c r="E602" i="2"/>
  <c r="E533" i="7" s="1"/>
  <c r="J610" i="2"/>
  <c r="J541" i="7" s="1"/>
  <c r="G610" i="2"/>
  <c r="G541" i="7" s="1"/>
  <c r="E610" i="2"/>
  <c r="E541" i="7" s="1"/>
  <c r="D610" i="2"/>
  <c r="D541" i="7" s="1"/>
  <c r="I610" i="2"/>
  <c r="I541" i="7" s="1"/>
  <c r="H610" i="2"/>
  <c r="H541" i="7" s="1"/>
  <c r="F610" i="2"/>
  <c r="F541" i="7" s="1"/>
  <c r="K610" i="2"/>
  <c r="K541" i="7" s="1"/>
  <c r="K577" i="2"/>
  <c r="K508" i="7" s="1"/>
  <c r="J577" i="2"/>
  <c r="J508" i="7" s="1"/>
  <c r="I577" i="2"/>
  <c r="I508" i="7" s="1"/>
  <c r="H577" i="2"/>
  <c r="H508" i="7" s="1"/>
  <c r="F577" i="2"/>
  <c r="F508" i="7" s="1"/>
  <c r="E577" i="2"/>
  <c r="E508" i="7" s="1"/>
  <c r="D577" i="2"/>
  <c r="D508" i="7" s="1"/>
  <c r="G577" i="2"/>
  <c r="G508" i="7" s="1"/>
  <c r="H607" i="2"/>
  <c r="H538" i="7" s="1"/>
  <c r="E607" i="2"/>
  <c r="E538" i="7" s="1"/>
  <c r="K607" i="2"/>
  <c r="K538" i="7" s="1"/>
  <c r="J607" i="2"/>
  <c r="J538" i="7" s="1"/>
  <c r="I607" i="2"/>
  <c r="I538" i="7" s="1"/>
  <c r="G607" i="2"/>
  <c r="G538" i="7" s="1"/>
  <c r="F607" i="2"/>
  <c r="F538" i="7" s="1"/>
  <c r="D607" i="2"/>
  <c r="D538" i="7" s="1"/>
  <c r="H650" i="2"/>
  <c r="H581" i="7" s="1"/>
  <c r="D650" i="2"/>
  <c r="D581" i="7" s="1"/>
  <c r="I650" i="2"/>
  <c r="I581" i="7" s="1"/>
  <c r="F650" i="2"/>
  <c r="F581" i="7" s="1"/>
  <c r="K650" i="2"/>
  <c r="K581" i="7" s="1"/>
  <c r="G650" i="2"/>
  <c r="G581" i="7" s="1"/>
  <c r="J650" i="2"/>
  <c r="J581" i="7" s="1"/>
  <c r="E650" i="2"/>
  <c r="E581" i="7" s="1"/>
  <c r="F707" i="2"/>
  <c r="F638" i="7" s="1"/>
  <c r="D707" i="2"/>
  <c r="D638" i="7" s="1"/>
  <c r="J707" i="2"/>
  <c r="J638" i="7" s="1"/>
  <c r="I707" i="2"/>
  <c r="I638" i="7" s="1"/>
  <c r="H707" i="2"/>
  <c r="H638" i="7" s="1"/>
  <c r="G707" i="2"/>
  <c r="G638" i="7" s="1"/>
  <c r="K707" i="2"/>
  <c r="K638" i="7" s="1"/>
  <c r="E707" i="2"/>
  <c r="E638" i="7" s="1"/>
  <c r="G623" i="2"/>
  <c r="G554" i="7" s="1"/>
  <c r="E623" i="2"/>
  <c r="E554" i="7" s="1"/>
  <c r="H623" i="2"/>
  <c r="H554" i="7" s="1"/>
  <c r="F623" i="2"/>
  <c r="F554" i="7" s="1"/>
  <c r="K623" i="2"/>
  <c r="K554" i="7" s="1"/>
  <c r="J623" i="2"/>
  <c r="J554" i="7" s="1"/>
  <c r="I623" i="2"/>
  <c r="I554" i="7" s="1"/>
  <c r="D623" i="2"/>
  <c r="D554" i="7" s="1"/>
  <c r="J669" i="2"/>
  <c r="J600" i="7" s="1"/>
  <c r="F669" i="2"/>
  <c r="F600" i="7" s="1"/>
  <c r="H669" i="2"/>
  <c r="H600" i="7" s="1"/>
  <c r="E669" i="2"/>
  <c r="E600" i="7" s="1"/>
  <c r="I669" i="2"/>
  <c r="I600" i="7" s="1"/>
  <c r="G669" i="2"/>
  <c r="G600" i="7" s="1"/>
  <c r="K669" i="2"/>
  <c r="K600" i="7" s="1"/>
  <c r="D669" i="2"/>
  <c r="D600" i="7" s="1"/>
  <c r="G635" i="2"/>
  <c r="G566" i="7" s="1"/>
  <c r="E635" i="2"/>
  <c r="E566" i="7" s="1"/>
  <c r="D635" i="2"/>
  <c r="D566" i="7" s="1"/>
  <c r="K635" i="2"/>
  <c r="K566" i="7" s="1"/>
  <c r="I635" i="2"/>
  <c r="I566" i="7" s="1"/>
  <c r="F635" i="2"/>
  <c r="F566" i="7" s="1"/>
  <c r="H635" i="2"/>
  <c r="H566" i="7" s="1"/>
  <c r="J635" i="2"/>
  <c r="J566" i="7" s="1"/>
  <c r="D676" i="2"/>
  <c r="D607" i="7" s="1"/>
  <c r="H676" i="2"/>
  <c r="H607" i="7" s="1"/>
  <c r="I676" i="2"/>
  <c r="I607" i="7" s="1"/>
  <c r="F676" i="2"/>
  <c r="F607" i="7" s="1"/>
  <c r="E676" i="2"/>
  <c r="E607" i="7" s="1"/>
  <c r="K676" i="2"/>
  <c r="K607" i="7" s="1"/>
  <c r="J676" i="2"/>
  <c r="J607" i="7" s="1"/>
  <c r="G676" i="2"/>
  <c r="G607" i="7" s="1"/>
  <c r="E636" i="2"/>
  <c r="E567" i="7" s="1"/>
  <c r="K636" i="2"/>
  <c r="K567" i="7" s="1"/>
  <c r="F636" i="2"/>
  <c r="F567" i="7" s="1"/>
  <c r="D636" i="2"/>
  <c r="D567" i="7" s="1"/>
  <c r="I636" i="2"/>
  <c r="I567" i="7" s="1"/>
  <c r="H636" i="2"/>
  <c r="H567" i="7" s="1"/>
  <c r="G636" i="2"/>
  <c r="G567" i="7" s="1"/>
  <c r="J636" i="2"/>
  <c r="J567" i="7" s="1"/>
  <c r="K621" i="2"/>
  <c r="K552" i="7" s="1"/>
  <c r="I621" i="2"/>
  <c r="I552" i="7" s="1"/>
  <c r="F621" i="2"/>
  <c r="F552" i="7" s="1"/>
  <c r="E621" i="2"/>
  <c r="E552" i="7" s="1"/>
  <c r="J621" i="2"/>
  <c r="J552" i="7" s="1"/>
  <c r="G621" i="2"/>
  <c r="G552" i="7" s="1"/>
  <c r="D621" i="2"/>
  <c r="D552" i="7" s="1"/>
  <c r="H621" i="2"/>
  <c r="H552" i="7" s="1"/>
  <c r="J689" i="2"/>
  <c r="J620" i="7" s="1"/>
  <c r="F689" i="2"/>
  <c r="F620" i="7" s="1"/>
  <c r="D689" i="2"/>
  <c r="D620" i="7" s="1"/>
  <c r="G689" i="2"/>
  <c r="G620" i="7" s="1"/>
  <c r="E689" i="2"/>
  <c r="E620" i="7" s="1"/>
  <c r="K689" i="2"/>
  <c r="K620" i="7" s="1"/>
  <c r="I689" i="2"/>
  <c r="I620" i="7" s="1"/>
  <c r="H689" i="2"/>
  <c r="H620" i="7" s="1"/>
  <c r="J709" i="2"/>
  <c r="J640" i="7" s="1"/>
  <c r="H709" i="2"/>
  <c r="H640" i="7" s="1"/>
  <c r="F709" i="2"/>
  <c r="F640" i="7" s="1"/>
  <c r="E709" i="2"/>
  <c r="E640" i="7" s="1"/>
  <c r="D709" i="2"/>
  <c r="D640" i="7" s="1"/>
  <c r="K709" i="2"/>
  <c r="K640" i="7" s="1"/>
  <c r="I709" i="2"/>
  <c r="I640" i="7" s="1"/>
  <c r="G709" i="2"/>
  <c r="G640" i="7" s="1"/>
  <c r="H702" i="2"/>
  <c r="H633" i="7" s="1"/>
  <c r="F702" i="2"/>
  <c r="F633" i="7" s="1"/>
  <c r="D702" i="2"/>
  <c r="D633" i="7" s="1"/>
  <c r="K702" i="2"/>
  <c r="K633" i="7" s="1"/>
  <c r="J702" i="2"/>
  <c r="J633" i="7" s="1"/>
  <c r="I702" i="2"/>
  <c r="I633" i="7" s="1"/>
  <c r="E702" i="2"/>
  <c r="E633" i="7" s="1"/>
  <c r="G702" i="2"/>
  <c r="G633" i="7" s="1"/>
  <c r="F719" i="2"/>
  <c r="F650" i="7" s="1"/>
  <c r="D719" i="2"/>
  <c r="D650" i="7" s="1"/>
  <c r="K719" i="2"/>
  <c r="K650" i="7" s="1"/>
  <c r="J719" i="2"/>
  <c r="J650" i="7" s="1"/>
  <c r="I719" i="2"/>
  <c r="I650" i="7" s="1"/>
  <c r="H719" i="2"/>
  <c r="H650" i="7" s="1"/>
  <c r="G719" i="2"/>
  <c r="G650" i="7" s="1"/>
  <c r="E719" i="2"/>
  <c r="E650" i="7" s="1"/>
  <c r="J62" i="2"/>
  <c r="J28" i="7" s="1"/>
  <c r="I62" i="2"/>
  <c r="I28" i="7" s="1"/>
  <c r="H62" i="2"/>
  <c r="H28" i="7" s="1"/>
  <c r="G62" i="2"/>
  <c r="G28" i="7" s="1"/>
  <c r="F62" i="2"/>
  <c r="F28" i="7" s="1"/>
  <c r="E62" i="2"/>
  <c r="E28" i="7" s="1"/>
  <c r="D62" i="2"/>
  <c r="D28" i="7" s="1"/>
  <c r="K62" i="2"/>
  <c r="K28" i="7" s="1"/>
  <c r="J94" i="2"/>
  <c r="J60" i="7" s="1"/>
  <c r="I94" i="2"/>
  <c r="I60" i="7" s="1"/>
  <c r="H94" i="2"/>
  <c r="H60" i="7" s="1"/>
  <c r="G94" i="2"/>
  <c r="G60" i="7" s="1"/>
  <c r="F94" i="2"/>
  <c r="F60" i="7" s="1"/>
  <c r="E94" i="2"/>
  <c r="E60" i="7" s="1"/>
  <c r="D94" i="2"/>
  <c r="D60" i="7" s="1"/>
  <c r="K94" i="2"/>
  <c r="K60" i="7" s="1"/>
  <c r="D119" i="2"/>
  <c r="D85" i="7" s="1"/>
  <c r="H119" i="2"/>
  <c r="H85" i="7" s="1"/>
  <c r="J119" i="2"/>
  <c r="J85" i="7" s="1"/>
  <c r="E119" i="2"/>
  <c r="E85" i="7" s="1"/>
  <c r="K119" i="2"/>
  <c r="K85" i="7" s="1"/>
  <c r="I119" i="2"/>
  <c r="I85" i="7" s="1"/>
  <c r="G119" i="2"/>
  <c r="G85" i="7" s="1"/>
  <c r="F119" i="2"/>
  <c r="F85" i="7" s="1"/>
  <c r="J247" i="2"/>
  <c r="J213" i="7" s="1"/>
  <c r="G247" i="2"/>
  <c r="G213" i="7" s="1"/>
  <c r="F247" i="2"/>
  <c r="F213" i="7" s="1"/>
  <c r="K247" i="2"/>
  <c r="K213" i="7" s="1"/>
  <c r="E247" i="2"/>
  <c r="E213" i="7" s="1"/>
  <c r="D247" i="2"/>
  <c r="D213" i="7" s="1"/>
  <c r="I247" i="2"/>
  <c r="I213" i="7" s="1"/>
  <c r="H247" i="2"/>
  <c r="H213" i="7" s="1"/>
  <c r="H55" i="2"/>
  <c r="H21" i="7" s="1"/>
  <c r="F55" i="2"/>
  <c r="F21" i="7" s="1"/>
  <c r="E55" i="2"/>
  <c r="E21" i="7" s="1"/>
  <c r="D55" i="2"/>
  <c r="D21" i="7" s="1"/>
  <c r="K55" i="2"/>
  <c r="K21" i="7" s="1"/>
  <c r="J55" i="2"/>
  <c r="J21" i="7" s="1"/>
  <c r="I55" i="2"/>
  <c r="I21" i="7" s="1"/>
  <c r="G55" i="2"/>
  <c r="G21" i="7" s="1"/>
  <c r="H87" i="2"/>
  <c r="H53" i="7" s="1"/>
  <c r="G87" i="2"/>
  <c r="G53" i="7" s="1"/>
  <c r="F87" i="2"/>
  <c r="F53" i="7" s="1"/>
  <c r="E87" i="2"/>
  <c r="E53" i="7" s="1"/>
  <c r="D87" i="2"/>
  <c r="D53" i="7" s="1"/>
  <c r="K87" i="2"/>
  <c r="K53" i="7" s="1"/>
  <c r="J87" i="2"/>
  <c r="J53" i="7" s="1"/>
  <c r="I87" i="2"/>
  <c r="I53" i="7" s="1"/>
  <c r="F114" i="2"/>
  <c r="F80" i="7" s="1"/>
  <c r="J114" i="2"/>
  <c r="J80" i="7" s="1"/>
  <c r="I114" i="2"/>
  <c r="I80" i="7" s="1"/>
  <c r="D114" i="2"/>
  <c r="D80" i="7" s="1"/>
  <c r="K114" i="2"/>
  <c r="K80" i="7" s="1"/>
  <c r="H114" i="2"/>
  <c r="H80" i="7" s="1"/>
  <c r="G114" i="2"/>
  <c r="G80" i="7" s="1"/>
  <c r="E114" i="2"/>
  <c r="E80" i="7" s="1"/>
  <c r="H248" i="2"/>
  <c r="H214" i="7" s="1"/>
  <c r="E248" i="2"/>
  <c r="E214" i="7" s="1"/>
  <c r="D248" i="2"/>
  <c r="D214" i="7" s="1"/>
  <c r="I248" i="2"/>
  <c r="I214" i="7" s="1"/>
  <c r="G248" i="2"/>
  <c r="G214" i="7" s="1"/>
  <c r="K248" i="2"/>
  <c r="K214" i="7" s="1"/>
  <c r="J248" i="2"/>
  <c r="J214" i="7" s="1"/>
  <c r="F248" i="2"/>
  <c r="F214" i="7" s="1"/>
  <c r="F40" i="2"/>
  <c r="F6" i="7" s="1"/>
  <c r="D40" i="2"/>
  <c r="D6" i="7" s="1"/>
  <c r="K40" i="2"/>
  <c r="K6" i="7" s="1"/>
  <c r="J40" i="2"/>
  <c r="J6" i="7" s="1"/>
  <c r="I40" i="2"/>
  <c r="I6" i="7" s="1"/>
  <c r="H40" i="2"/>
  <c r="H6" i="7" s="1"/>
  <c r="G40" i="2"/>
  <c r="G6" i="7" s="1"/>
  <c r="E40" i="2"/>
  <c r="E6" i="7" s="1"/>
  <c r="F72" i="2"/>
  <c r="F38" i="7" s="1"/>
  <c r="E72" i="2"/>
  <c r="E38" i="7" s="1"/>
  <c r="D72" i="2"/>
  <c r="D38" i="7" s="1"/>
  <c r="K72" i="2"/>
  <c r="K38" i="7" s="1"/>
  <c r="J72" i="2"/>
  <c r="J38" i="7" s="1"/>
  <c r="I72" i="2"/>
  <c r="I38" i="7" s="1"/>
  <c r="H72" i="2"/>
  <c r="H38" i="7" s="1"/>
  <c r="G72" i="2"/>
  <c r="G38" i="7" s="1"/>
  <c r="F104" i="2"/>
  <c r="F70" i="7" s="1"/>
  <c r="E104" i="2"/>
  <c r="E70" i="7" s="1"/>
  <c r="D104" i="2"/>
  <c r="D70" i="7" s="1"/>
  <c r="K104" i="2"/>
  <c r="K70" i="7" s="1"/>
  <c r="J104" i="2"/>
  <c r="J70" i="7" s="1"/>
  <c r="I104" i="2"/>
  <c r="I70" i="7" s="1"/>
  <c r="H104" i="2"/>
  <c r="H70" i="7" s="1"/>
  <c r="G104" i="2"/>
  <c r="G70" i="7" s="1"/>
  <c r="H137" i="2"/>
  <c r="H103" i="7" s="1"/>
  <c r="D137" i="2"/>
  <c r="D103" i="7" s="1"/>
  <c r="J137" i="2"/>
  <c r="J103" i="7" s="1"/>
  <c r="E137" i="2"/>
  <c r="E103" i="7" s="1"/>
  <c r="G137" i="2"/>
  <c r="G103" i="7" s="1"/>
  <c r="F137" i="2"/>
  <c r="F103" i="7" s="1"/>
  <c r="K137" i="2"/>
  <c r="K103" i="7" s="1"/>
  <c r="I137" i="2"/>
  <c r="I103" i="7" s="1"/>
  <c r="D73" i="2"/>
  <c r="D39" i="7" s="1"/>
  <c r="K73" i="2"/>
  <c r="K39" i="7" s="1"/>
  <c r="J73" i="2"/>
  <c r="J39" i="7" s="1"/>
  <c r="I73" i="2"/>
  <c r="I39" i="7" s="1"/>
  <c r="H73" i="2"/>
  <c r="H39" i="7" s="1"/>
  <c r="G73" i="2"/>
  <c r="G39" i="7" s="1"/>
  <c r="F73" i="2"/>
  <c r="F39" i="7" s="1"/>
  <c r="E73" i="2"/>
  <c r="E39" i="7" s="1"/>
  <c r="H105" i="2"/>
  <c r="H71" i="7" s="1"/>
  <c r="D105" i="2"/>
  <c r="D71" i="7" s="1"/>
  <c r="K105" i="2"/>
  <c r="K71" i="7" s="1"/>
  <c r="J105" i="2"/>
  <c r="J71" i="7" s="1"/>
  <c r="I105" i="2"/>
  <c r="I71" i="7" s="1"/>
  <c r="G105" i="2"/>
  <c r="G71" i="7" s="1"/>
  <c r="F105" i="2"/>
  <c r="F71" i="7" s="1"/>
  <c r="E105" i="2"/>
  <c r="E71" i="7" s="1"/>
  <c r="H204" i="2"/>
  <c r="H170" i="7" s="1"/>
  <c r="D204" i="2"/>
  <c r="D170" i="7" s="1"/>
  <c r="F204" i="2"/>
  <c r="F170" i="7" s="1"/>
  <c r="K204" i="2"/>
  <c r="K170" i="7" s="1"/>
  <c r="G204" i="2"/>
  <c r="G170" i="7" s="1"/>
  <c r="J204" i="2"/>
  <c r="J170" i="7" s="1"/>
  <c r="I204" i="2"/>
  <c r="I170" i="7" s="1"/>
  <c r="E204" i="2"/>
  <c r="E170" i="7" s="1"/>
  <c r="D107" i="2"/>
  <c r="D73" i="7" s="1"/>
  <c r="H107" i="2"/>
  <c r="H73" i="7" s="1"/>
  <c r="K107" i="2"/>
  <c r="K73" i="7" s="1"/>
  <c r="J107" i="2"/>
  <c r="J73" i="7" s="1"/>
  <c r="I107" i="2"/>
  <c r="I73" i="7" s="1"/>
  <c r="G107" i="2"/>
  <c r="G73" i="7" s="1"/>
  <c r="F107" i="2"/>
  <c r="F73" i="7" s="1"/>
  <c r="E107" i="2"/>
  <c r="E73" i="7" s="1"/>
  <c r="J124" i="2"/>
  <c r="J90" i="7" s="1"/>
  <c r="F124" i="2"/>
  <c r="F90" i="7" s="1"/>
  <c r="I124" i="2"/>
  <c r="I90" i="7" s="1"/>
  <c r="D124" i="2"/>
  <c r="D90" i="7" s="1"/>
  <c r="K124" i="2"/>
  <c r="K90" i="7" s="1"/>
  <c r="H124" i="2"/>
  <c r="H90" i="7" s="1"/>
  <c r="G124" i="2"/>
  <c r="G90" i="7" s="1"/>
  <c r="E124" i="2"/>
  <c r="E90" i="7" s="1"/>
  <c r="H157" i="2"/>
  <c r="H123" i="7" s="1"/>
  <c r="D157" i="2"/>
  <c r="D123" i="7" s="1"/>
  <c r="I157" i="2"/>
  <c r="I123" i="7" s="1"/>
  <c r="K157" i="2"/>
  <c r="K123" i="7" s="1"/>
  <c r="J157" i="2"/>
  <c r="J123" i="7" s="1"/>
  <c r="F157" i="2"/>
  <c r="F123" i="7" s="1"/>
  <c r="G157" i="2"/>
  <c r="G123" i="7" s="1"/>
  <c r="E157" i="2"/>
  <c r="E123" i="7" s="1"/>
  <c r="D182" i="2"/>
  <c r="D148" i="7" s="1"/>
  <c r="H182" i="2"/>
  <c r="H148" i="7" s="1"/>
  <c r="F182" i="2"/>
  <c r="F148" i="7" s="1"/>
  <c r="K182" i="2"/>
  <c r="K148" i="7" s="1"/>
  <c r="G182" i="2"/>
  <c r="G148" i="7" s="1"/>
  <c r="J182" i="2"/>
  <c r="J148" i="7" s="1"/>
  <c r="E182" i="2"/>
  <c r="E148" i="7" s="1"/>
  <c r="I182" i="2"/>
  <c r="I148" i="7" s="1"/>
  <c r="H149" i="2"/>
  <c r="H115" i="7" s="1"/>
  <c r="D149" i="2"/>
  <c r="D115" i="7" s="1"/>
  <c r="I149" i="2"/>
  <c r="I115" i="7" s="1"/>
  <c r="J149" i="2"/>
  <c r="J115" i="7" s="1"/>
  <c r="F149" i="2"/>
  <c r="F115" i="7" s="1"/>
  <c r="K149" i="2"/>
  <c r="K115" i="7" s="1"/>
  <c r="G149" i="2"/>
  <c r="G115" i="7" s="1"/>
  <c r="E149" i="2"/>
  <c r="E115" i="7" s="1"/>
  <c r="D159" i="2"/>
  <c r="D125" i="7" s="1"/>
  <c r="I159" i="2"/>
  <c r="I125" i="7" s="1"/>
  <c r="H159" i="2"/>
  <c r="H125" i="7" s="1"/>
  <c r="E159" i="2"/>
  <c r="E125" i="7" s="1"/>
  <c r="G159" i="2"/>
  <c r="G125" i="7" s="1"/>
  <c r="F159" i="2"/>
  <c r="F125" i="7" s="1"/>
  <c r="K159" i="2"/>
  <c r="K125" i="7" s="1"/>
  <c r="J159" i="2"/>
  <c r="J125" i="7" s="1"/>
  <c r="D186" i="2"/>
  <c r="D152" i="7" s="1"/>
  <c r="H186" i="2"/>
  <c r="H152" i="7" s="1"/>
  <c r="F186" i="2"/>
  <c r="F152" i="7" s="1"/>
  <c r="K186" i="2"/>
  <c r="K152" i="7" s="1"/>
  <c r="G186" i="2"/>
  <c r="G152" i="7" s="1"/>
  <c r="E186" i="2"/>
  <c r="E152" i="7" s="1"/>
  <c r="J186" i="2"/>
  <c r="J152" i="7" s="1"/>
  <c r="I186" i="2"/>
  <c r="I152" i="7" s="1"/>
  <c r="D171" i="2"/>
  <c r="D137" i="7" s="1"/>
  <c r="I171" i="2"/>
  <c r="I137" i="7" s="1"/>
  <c r="H171" i="2"/>
  <c r="H137" i="7" s="1"/>
  <c r="E171" i="2"/>
  <c r="E137" i="7" s="1"/>
  <c r="K171" i="2"/>
  <c r="K137" i="7" s="1"/>
  <c r="J171" i="2"/>
  <c r="J137" i="7" s="1"/>
  <c r="G171" i="2"/>
  <c r="G137" i="7" s="1"/>
  <c r="F171" i="2"/>
  <c r="F137" i="7" s="1"/>
  <c r="J152" i="2"/>
  <c r="J118" i="7" s="1"/>
  <c r="F152" i="2"/>
  <c r="F118" i="7" s="1"/>
  <c r="K152" i="2"/>
  <c r="K118" i="7" s="1"/>
  <c r="H152" i="2"/>
  <c r="H118" i="7" s="1"/>
  <c r="E152" i="2"/>
  <c r="E118" i="7" s="1"/>
  <c r="I152" i="2"/>
  <c r="I118" i="7" s="1"/>
  <c r="G152" i="2"/>
  <c r="G118" i="7" s="1"/>
  <c r="D152" i="2"/>
  <c r="D118" i="7" s="1"/>
  <c r="H236" i="2"/>
  <c r="H202" i="7" s="1"/>
  <c r="E236" i="2"/>
  <c r="E202" i="7" s="1"/>
  <c r="D236" i="2"/>
  <c r="D202" i="7" s="1"/>
  <c r="J236" i="2"/>
  <c r="J202" i="7" s="1"/>
  <c r="I236" i="2"/>
  <c r="I202" i="7" s="1"/>
  <c r="F236" i="2"/>
  <c r="F202" i="7" s="1"/>
  <c r="K236" i="2"/>
  <c r="K202" i="7" s="1"/>
  <c r="G236" i="2"/>
  <c r="G202" i="7" s="1"/>
  <c r="F279" i="2"/>
  <c r="F245" i="7" s="1"/>
  <c r="J279" i="2"/>
  <c r="J245" i="7" s="1"/>
  <c r="H279" i="2"/>
  <c r="H245" i="7" s="1"/>
  <c r="G279" i="2"/>
  <c r="G245" i="7" s="1"/>
  <c r="K279" i="2"/>
  <c r="K245" i="7" s="1"/>
  <c r="I279" i="2"/>
  <c r="I245" i="7" s="1"/>
  <c r="E279" i="2"/>
  <c r="E245" i="7" s="1"/>
  <c r="D279" i="2"/>
  <c r="D245" i="7" s="1"/>
  <c r="D278" i="2"/>
  <c r="D244" i="7" s="1"/>
  <c r="I278" i="2"/>
  <c r="I244" i="7" s="1"/>
  <c r="H278" i="2"/>
  <c r="H244" i="7" s="1"/>
  <c r="J278" i="2"/>
  <c r="J244" i="7" s="1"/>
  <c r="G278" i="2"/>
  <c r="G244" i="7" s="1"/>
  <c r="F278" i="2"/>
  <c r="F244" i="7" s="1"/>
  <c r="E278" i="2"/>
  <c r="E244" i="7" s="1"/>
  <c r="K278" i="2"/>
  <c r="K244" i="7" s="1"/>
  <c r="D226" i="2"/>
  <c r="D192" i="7" s="1"/>
  <c r="I226" i="2"/>
  <c r="I192" i="7" s="1"/>
  <c r="H226" i="2"/>
  <c r="H192" i="7" s="1"/>
  <c r="G226" i="2"/>
  <c r="G192" i="7" s="1"/>
  <c r="J226" i="2"/>
  <c r="J192" i="7" s="1"/>
  <c r="K226" i="2"/>
  <c r="K192" i="7" s="1"/>
  <c r="F226" i="2"/>
  <c r="F192" i="7" s="1"/>
  <c r="E226" i="2"/>
  <c r="E192" i="7" s="1"/>
  <c r="D270" i="2"/>
  <c r="D236" i="7" s="1"/>
  <c r="I270" i="2"/>
  <c r="I236" i="7" s="1"/>
  <c r="H270" i="2"/>
  <c r="H236" i="7" s="1"/>
  <c r="F270" i="2"/>
  <c r="F236" i="7" s="1"/>
  <c r="J270" i="2"/>
  <c r="J236" i="7" s="1"/>
  <c r="G270" i="2"/>
  <c r="G236" i="7" s="1"/>
  <c r="K270" i="2"/>
  <c r="K236" i="7" s="1"/>
  <c r="E270" i="2"/>
  <c r="E236" i="7" s="1"/>
  <c r="D262" i="2"/>
  <c r="D228" i="7" s="1"/>
  <c r="I262" i="2"/>
  <c r="I228" i="7" s="1"/>
  <c r="H262" i="2"/>
  <c r="H228" i="7" s="1"/>
  <c r="K262" i="2"/>
  <c r="K228" i="7" s="1"/>
  <c r="J262" i="2"/>
  <c r="J228" i="7" s="1"/>
  <c r="F262" i="2"/>
  <c r="F228" i="7" s="1"/>
  <c r="E262" i="2"/>
  <c r="E228" i="7" s="1"/>
  <c r="G262" i="2"/>
  <c r="G228" i="7" s="1"/>
  <c r="J293" i="2"/>
  <c r="J259" i="7" s="1"/>
  <c r="F293" i="2"/>
  <c r="F259" i="7" s="1"/>
  <c r="H293" i="2"/>
  <c r="H259" i="7" s="1"/>
  <c r="G293" i="2"/>
  <c r="G259" i="7" s="1"/>
  <c r="K293" i="2"/>
  <c r="K259" i="7" s="1"/>
  <c r="I293" i="2"/>
  <c r="I259" i="7" s="1"/>
  <c r="E293" i="2"/>
  <c r="E259" i="7" s="1"/>
  <c r="D293" i="2"/>
  <c r="D259" i="7" s="1"/>
  <c r="J301" i="2"/>
  <c r="J267" i="7" s="1"/>
  <c r="F301" i="2"/>
  <c r="F267" i="7" s="1"/>
  <c r="I301" i="2"/>
  <c r="I267" i="7" s="1"/>
  <c r="H301" i="2"/>
  <c r="H267" i="7" s="1"/>
  <c r="G301" i="2"/>
  <c r="G267" i="7" s="1"/>
  <c r="D301" i="2"/>
  <c r="D267" i="7" s="1"/>
  <c r="K301" i="2"/>
  <c r="K267" i="7" s="1"/>
  <c r="E301" i="2"/>
  <c r="E267" i="7" s="1"/>
  <c r="J309" i="2"/>
  <c r="J275" i="7" s="1"/>
  <c r="F309" i="2"/>
  <c r="F275" i="7" s="1"/>
  <c r="I309" i="2"/>
  <c r="I275" i="7" s="1"/>
  <c r="H309" i="2"/>
  <c r="H275" i="7" s="1"/>
  <c r="G309" i="2"/>
  <c r="G275" i="7" s="1"/>
  <c r="D309" i="2"/>
  <c r="D275" i="7" s="1"/>
  <c r="K309" i="2"/>
  <c r="K275" i="7" s="1"/>
  <c r="E309" i="2"/>
  <c r="E275" i="7" s="1"/>
  <c r="G352" i="2"/>
  <c r="G318" i="7" s="1"/>
  <c r="D352" i="2"/>
  <c r="D318" i="7" s="1"/>
  <c r="H352" i="2"/>
  <c r="H318" i="7" s="1"/>
  <c r="K352" i="2"/>
  <c r="K318" i="7" s="1"/>
  <c r="J352" i="2"/>
  <c r="J318" i="7" s="1"/>
  <c r="I352" i="2"/>
  <c r="I318" i="7" s="1"/>
  <c r="F352" i="2"/>
  <c r="F318" i="7" s="1"/>
  <c r="E352" i="2"/>
  <c r="E318" i="7" s="1"/>
  <c r="I351" i="2"/>
  <c r="I317" i="7" s="1"/>
  <c r="F351" i="2"/>
  <c r="F317" i="7" s="1"/>
  <c r="J351" i="2"/>
  <c r="J317" i="7" s="1"/>
  <c r="K351" i="2"/>
  <c r="K317" i="7" s="1"/>
  <c r="H351" i="2"/>
  <c r="H317" i="7" s="1"/>
  <c r="G351" i="2"/>
  <c r="G317" i="7" s="1"/>
  <c r="E351" i="2"/>
  <c r="E317" i="7" s="1"/>
  <c r="D351" i="2"/>
  <c r="D317" i="7" s="1"/>
  <c r="G344" i="2"/>
  <c r="G310" i="7" s="1"/>
  <c r="D344" i="2"/>
  <c r="D310" i="7" s="1"/>
  <c r="H344" i="2"/>
  <c r="H310" i="7" s="1"/>
  <c r="K344" i="2"/>
  <c r="K310" i="7" s="1"/>
  <c r="J344" i="2"/>
  <c r="J310" i="7" s="1"/>
  <c r="I344" i="2"/>
  <c r="I310" i="7" s="1"/>
  <c r="F344" i="2"/>
  <c r="F310" i="7" s="1"/>
  <c r="E344" i="2"/>
  <c r="E310" i="7" s="1"/>
  <c r="E337" i="2"/>
  <c r="E303" i="7" s="1"/>
  <c r="J337" i="2"/>
  <c r="J303" i="7" s="1"/>
  <c r="F337" i="2"/>
  <c r="F303" i="7" s="1"/>
  <c r="I337" i="2"/>
  <c r="I303" i="7" s="1"/>
  <c r="H337" i="2"/>
  <c r="H303" i="7" s="1"/>
  <c r="G337" i="2"/>
  <c r="G303" i="7" s="1"/>
  <c r="D337" i="2"/>
  <c r="D303" i="7" s="1"/>
  <c r="K337" i="2"/>
  <c r="K303" i="7" s="1"/>
  <c r="D418" i="2"/>
  <c r="D349" i="7" s="1"/>
  <c r="I418" i="2"/>
  <c r="I349" i="7" s="1"/>
  <c r="H418" i="2"/>
  <c r="H349" i="7" s="1"/>
  <c r="E418" i="2"/>
  <c r="E349" i="7" s="1"/>
  <c r="G418" i="2"/>
  <c r="G349" i="7" s="1"/>
  <c r="J418" i="2"/>
  <c r="J349" i="7" s="1"/>
  <c r="K418" i="2"/>
  <c r="K349" i="7" s="1"/>
  <c r="F418" i="2"/>
  <c r="F349" i="7" s="1"/>
  <c r="F241" i="2"/>
  <c r="F207" i="7" s="1"/>
  <c r="K241" i="2"/>
  <c r="K207" i="7" s="1"/>
  <c r="J241" i="2"/>
  <c r="J207" i="7" s="1"/>
  <c r="G241" i="2"/>
  <c r="G207" i="7" s="1"/>
  <c r="E241" i="2"/>
  <c r="E207" i="7" s="1"/>
  <c r="H241" i="2"/>
  <c r="H207" i="7" s="1"/>
  <c r="D241" i="2"/>
  <c r="D207" i="7" s="1"/>
  <c r="I241" i="2"/>
  <c r="I207" i="7" s="1"/>
  <c r="F273" i="2"/>
  <c r="F239" i="7" s="1"/>
  <c r="K273" i="2"/>
  <c r="K239" i="7" s="1"/>
  <c r="J273" i="2"/>
  <c r="J239" i="7" s="1"/>
  <c r="H273" i="2"/>
  <c r="H239" i="7" s="1"/>
  <c r="G273" i="2"/>
  <c r="G239" i="7" s="1"/>
  <c r="E273" i="2"/>
  <c r="E239" i="7" s="1"/>
  <c r="D273" i="2"/>
  <c r="D239" i="7" s="1"/>
  <c r="I273" i="2"/>
  <c r="I239" i="7" s="1"/>
  <c r="J383" i="2"/>
  <c r="F383" i="2"/>
  <c r="H383" i="2"/>
  <c r="D383" i="2"/>
  <c r="I383" i="2"/>
  <c r="K383" i="2"/>
  <c r="G383" i="2"/>
  <c r="E383" i="2"/>
  <c r="H388" i="2"/>
  <c r="D388" i="2"/>
  <c r="I388" i="2"/>
  <c r="E388" i="2"/>
  <c r="J388" i="2"/>
  <c r="G388" i="2"/>
  <c r="F388" i="2"/>
  <c r="K388" i="2"/>
  <c r="F377" i="2"/>
  <c r="J377" i="2"/>
  <c r="H377" i="2"/>
  <c r="D377" i="2"/>
  <c r="I377" i="2"/>
  <c r="E377" i="2"/>
  <c r="K377" i="2"/>
  <c r="G377" i="2"/>
  <c r="I359" i="2"/>
  <c r="I325" i="7" s="1"/>
  <c r="F359" i="2"/>
  <c r="F325" i="7" s="1"/>
  <c r="J359" i="2"/>
  <c r="J325" i="7" s="1"/>
  <c r="K359" i="2"/>
  <c r="K325" i="7" s="1"/>
  <c r="H359" i="2"/>
  <c r="H325" i="7" s="1"/>
  <c r="G359" i="2"/>
  <c r="G325" i="7" s="1"/>
  <c r="E359" i="2"/>
  <c r="E325" i="7" s="1"/>
  <c r="D359" i="2"/>
  <c r="D325" i="7" s="1"/>
  <c r="H452" i="2"/>
  <c r="H383" i="7" s="1"/>
  <c r="E452" i="2"/>
  <c r="E383" i="7" s="1"/>
  <c r="D452" i="2"/>
  <c r="D383" i="7" s="1"/>
  <c r="I452" i="2"/>
  <c r="I383" i="7" s="1"/>
  <c r="K452" i="2"/>
  <c r="K383" i="7" s="1"/>
  <c r="J452" i="2"/>
  <c r="J383" i="7" s="1"/>
  <c r="G452" i="2"/>
  <c r="G383" i="7" s="1"/>
  <c r="F452" i="2"/>
  <c r="F383" i="7" s="1"/>
  <c r="F397" i="2"/>
  <c r="J397" i="2"/>
  <c r="H397" i="2"/>
  <c r="D397" i="2"/>
  <c r="I397" i="2"/>
  <c r="K397" i="2"/>
  <c r="G397" i="2"/>
  <c r="E397" i="2"/>
  <c r="F405" i="2"/>
  <c r="F336" i="7" s="1"/>
  <c r="J405" i="2"/>
  <c r="J336" i="7" s="1"/>
  <c r="H405" i="2"/>
  <c r="H336" i="7" s="1"/>
  <c r="D405" i="2"/>
  <c r="D336" i="7" s="1"/>
  <c r="I405" i="2"/>
  <c r="I336" i="7" s="1"/>
  <c r="K405" i="2"/>
  <c r="K336" i="7" s="1"/>
  <c r="G405" i="2"/>
  <c r="G336" i="7" s="1"/>
  <c r="E405" i="2"/>
  <c r="E336" i="7" s="1"/>
  <c r="F413" i="2"/>
  <c r="F344" i="7" s="1"/>
  <c r="J413" i="2"/>
  <c r="J344" i="7" s="1"/>
  <c r="H413" i="2"/>
  <c r="H344" i="7" s="1"/>
  <c r="D413" i="2"/>
  <c r="D344" i="7" s="1"/>
  <c r="I413" i="2"/>
  <c r="I344" i="7" s="1"/>
  <c r="K413" i="2"/>
  <c r="K344" i="7" s="1"/>
  <c r="G413" i="2"/>
  <c r="G344" i="7" s="1"/>
  <c r="E413" i="2"/>
  <c r="E344" i="7" s="1"/>
  <c r="H460" i="2"/>
  <c r="H391" i="7" s="1"/>
  <c r="E460" i="2"/>
  <c r="E391" i="7" s="1"/>
  <c r="D460" i="2"/>
  <c r="D391" i="7" s="1"/>
  <c r="I460" i="2"/>
  <c r="I391" i="7" s="1"/>
  <c r="J460" i="2"/>
  <c r="J391" i="7" s="1"/>
  <c r="G460" i="2"/>
  <c r="G391" i="7" s="1"/>
  <c r="F460" i="2"/>
  <c r="F391" i="7" s="1"/>
  <c r="K460" i="2"/>
  <c r="K391" i="7" s="1"/>
  <c r="K326" i="2"/>
  <c r="K292" i="7" s="1"/>
  <c r="H326" i="2"/>
  <c r="H292" i="7" s="1"/>
  <c r="D326" i="2"/>
  <c r="D292" i="7" s="1"/>
  <c r="J326" i="2"/>
  <c r="J292" i="7" s="1"/>
  <c r="I326" i="2"/>
  <c r="I292" i="7" s="1"/>
  <c r="G326" i="2"/>
  <c r="G292" i="7" s="1"/>
  <c r="F326" i="2"/>
  <c r="F292" i="7" s="1"/>
  <c r="E326" i="2"/>
  <c r="E292" i="7" s="1"/>
  <c r="K358" i="2"/>
  <c r="K324" i="7" s="1"/>
  <c r="H358" i="2"/>
  <c r="H324" i="7" s="1"/>
  <c r="D358" i="2"/>
  <c r="D324" i="7" s="1"/>
  <c r="J358" i="2"/>
  <c r="J324" i="7" s="1"/>
  <c r="I358" i="2"/>
  <c r="I324" i="7" s="1"/>
  <c r="G358" i="2"/>
  <c r="G324" i="7" s="1"/>
  <c r="F358" i="2"/>
  <c r="F324" i="7" s="1"/>
  <c r="E358" i="2"/>
  <c r="E324" i="7" s="1"/>
  <c r="J419" i="2"/>
  <c r="J350" i="7" s="1"/>
  <c r="G419" i="2"/>
  <c r="G350" i="7" s="1"/>
  <c r="F419" i="2"/>
  <c r="F350" i="7" s="1"/>
  <c r="K419" i="2"/>
  <c r="K350" i="7" s="1"/>
  <c r="E419" i="2"/>
  <c r="E350" i="7" s="1"/>
  <c r="D419" i="2"/>
  <c r="D350" i="7" s="1"/>
  <c r="H419" i="2"/>
  <c r="H350" i="7" s="1"/>
  <c r="I419" i="2"/>
  <c r="I350" i="7" s="1"/>
  <c r="J451" i="2"/>
  <c r="J382" i="7" s="1"/>
  <c r="G451" i="2"/>
  <c r="G382" i="7" s="1"/>
  <c r="F451" i="2"/>
  <c r="F382" i="7" s="1"/>
  <c r="K451" i="2"/>
  <c r="K382" i="7" s="1"/>
  <c r="I451" i="2"/>
  <c r="I382" i="7" s="1"/>
  <c r="H451" i="2"/>
  <c r="H382" i="7" s="1"/>
  <c r="E451" i="2"/>
  <c r="E382" i="7" s="1"/>
  <c r="D451" i="2"/>
  <c r="D382" i="7" s="1"/>
  <c r="J483" i="2"/>
  <c r="J414" i="7" s="1"/>
  <c r="I483" i="2"/>
  <c r="I414" i="7" s="1"/>
  <c r="H483" i="2"/>
  <c r="H414" i="7" s="1"/>
  <c r="G483" i="2"/>
  <c r="G414" i="7" s="1"/>
  <c r="F483" i="2"/>
  <c r="F414" i="7" s="1"/>
  <c r="E483" i="2"/>
  <c r="E414" i="7" s="1"/>
  <c r="D483" i="2"/>
  <c r="D414" i="7" s="1"/>
  <c r="K483" i="2"/>
  <c r="K414" i="7" s="1"/>
  <c r="H523" i="2"/>
  <c r="H454" i="7" s="1"/>
  <c r="E523" i="2"/>
  <c r="E454" i="7" s="1"/>
  <c r="I523" i="2"/>
  <c r="I454" i="7" s="1"/>
  <c r="K523" i="2"/>
  <c r="K454" i="7" s="1"/>
  <c r="J523" i="2"/>
  <c r="J454" i="7" s="1"/>
  <c r="G523" i="2"/>
  <c r="G454" i="7" s="1"/>
  <c r="F523" i="2"/>
  <c r="F454" i="7" s="1"/>
  <c r="D523" i="2"/>
  <c r="D454" i="7" s="1"/>
  <c r="D501" i="2"/>
  <c r="D432" i="7" s="1"/>
  <c r="I501" i="2"/>
  <c r="I432" i="7" s="1"/>
  <c r="E501" i="2"/>
  <c r="E432" i="7" s="1"/>
  <c r="K501" i="2"/>
  <c r="K432" i="7" s="1"/>
  <c r="J501" i="2"/>
  <c r="J432" i="7" s="1"/>
  <c r="H501" i="2"/>
  <c r="H432" i="7" s="1"/>
  <c r="G501" i="2"/>
  <c r="G432" i="7" s="1"/>
  <c r="F501" i="2"/>
  <c r="F432" i="7" s="1"/>
  <c r="E580" i="2"/>
  <c r="E511" i="7" s="1"/>
  <c r="D580" i="2"/>
  <c r="D511" i="7" s="1"/>
  <c r="K580" i="2"/>
  <c r="K511" i="7" s="1"/>
  <c r="J580" i="2"/>
  <c r="J511" i="7" s="1"/>
  <c r="H580" i="2"/>
  <c r="H511" i="7" s="1"/>
  <c r="G580" i="2"/>
  <c r="G511" i="7" s="1"/>
  <c r="F580" i="2"/>
  <c r="F511" i="7" s="1"/>
  <c r="I580" i="2"/>
  <c r="I511" i="7" s="1"/>
  <c r="F441" i="2"/>
  <c r="F372" i="7" s="1"/>
  <c r="K441" i="2"/>
  <c r="K372" i="7" s="1"/>
  <c r="J441" i="2"/>
  <c r="J372" i="7" s="1"/>
  <c r="G441" i="2"/>
  <c r="G372" i="7" s="1"/>
  <c r="I441" i="2"/>
  <c r="I372" i="7" s="1"/>
  <c r="D441" i="2"/>
  <c r="D372" i="7" s="1"/>
  <c r="H441" i="2"/>
  <c r="H372" i="7" s="1"/>
  <c r="E441" i="2"/>
  <c r="E372" i="7" s="1"/>
  <c r="F473" i="2"/>
  <c r="F404" i="7" s="1"/>
  <c r="K473" i="2"/>
  <c r="K404" i="7" s="1"/>
  <c r="J473" i="2"/>
  <c r="J404" i="7" s="1"/>
  <c r="G473" i="2"/>
  <c r="G404" i="7" s="1"/>
  <c r="I473" i="2"/>
  <c r="I404" i="7" s="1"/>
  <c r="H473" i="2"/>
  <c r="H404" i="7" s="1"/>
  <c r="E473" i="2"/>
  <c r="E404" i="7" s="1"/>
  <c r="D473" i="2"/>
  <c r="D404" i="7" s="1"/>
  <c r="H499" i="2"/>
  <c r="H430" i="7" s="1"/>
  <c r="E499" i="2"/>
  <c r="E430" i="7" s="1"/>
  <c r="I499" i="2"/>
  <c r="I430" i="7" s="1"/>
  <c r="F499" i="2"/>
  <c r="F430" i="7" s="1"/>
  <c r="D499" i="2"/>
  <c r="D430" i="7" s="1"/>
  <c r="K499" i="2"/>
  <c r="K430" i="7" s="1"/>
  <c r="J499" i="2"/>
  <c r="J430" i="7" s="1"/>
  <c r="G499" i="2"/>
  <c r="G430" i="7" s="1"/>
  <c r="J494" i="2"/>
  <c r="J425" i="7" s="1"/>
  <c r="D494" i="2"/>
  <c r="D425" i="7" s="1"/>
  <c r="K494" i="2"/>
  <c r="K425" i="7" s="1"/>
  <c r="I494" i="2"/>
  <c r="I425" i="7" s="1"/>
  <c r="H494" i="2"/>
  <c r="H425" i="7" s="1"/>
  <c r="G494" i="2"/>
  <c r="G425" i="7" s="1"/>
  <c r="F494" i="2"/>
  <c r="F425" i="7" s="1"/>
  <c r="E494" i="2"/>
  <c r="E425" i="7" s="1"/>
  <c r="H503" i="2"/>
  <c r="H434" i="7" s="1"/>
  <c r="E503" i="2"/>
  <c r="E434" i="7" s="1"/>
  <c r="I503" i="2"/>
  <c r="I434" i="7" s="1"/>
  <c r="K503" i="2"/>
  <c r="K434" i="7" s="1"/>
  <c r="J503" i="2"/>
  <c r="J434" i="7" s="1"/>
  <c r="G503" i="2"/>
  <c r="G434" i="7" s="1"/>
  <c r="F503" i="2"/>
  <c r="F434" i="7" s="1"/>
  <c r="D503" i="2"/>
  <c r="D434" i="7" s="1"/>
  <c r="J510" i="2"/>
  <c r="J441" i="7" s="1"/>
  <c r="G510" i="2"/>
  <c r="G441" i="7" s="1"/>
  <c r="K510" i="2"/>
  <c r="K441" i="7" s="1"/>
  <c r="F510" i="2"/>
  <c r="F441" i="7" s="1"/>
  <c r="E510" i="2"/>
  <c r="E441" i="7" s="1"/>
  <c r="D510" i="2"/>
  <c r="D441" i="7" s="1"/>
  <c r="I510" i="2"/>
  <c r="I441" i="7" s="1"/>
  <c r="H510" i="2"/>
  <c r="H441" i="7" s="1"/>
  <c r="H535" i="2"/>
  <c r="H466" i="7" s="1"/>
  <c r="D535" i="2"/>
  <c r="D466" i="7" s="1"/>
  <c r="I535" i="2"/>
  <c r="I466" i="7" s="1"/>
  <c r="E535" i="2"/>
  <c r="E466" i="7" s="1"/>
  <c r="J535" i="2"/>
  <c r="J466" i="7" s="1"/>
  <c r="K535" i="2"/>
  <c r="K466" i="7" s="1"/>
  <c r="G535" i="2"/>
  <c r="G466" i="7" s="1"/>
  <c r="F535" i="2"/>
  <c r="F466" i="7" s="1"/>
  <c r="H543" i="2"/>
  <c r="H474" i="7" s="1"/>
  <c r="D543" i="2"/>
  <c r="D474" i="7" s="1"/>
  <c r="I543" i="2"/>
  <c r="I474" i="7" s="1"/>
  <c r="E543" i="2"/>
  <c r="E474" i="7" s="1"/>
  <c r="J543" i="2"/>
  <c r="J474" i="7" s="1"/>
  <c r="K543" i="2"/>
  <c r="K474" i="7" s="1"/>
  <c r="G543" i="2"/>
  <c r="G474" i="7" s="1"/>
  <c r="F543" i="2"/>
  <c r="F474" i="7" s="1"/>
  <c r="F508" i="2"/>
  <c r="F439" i="7" s="1"/>
  <c r="K508" i="2"/>
  <c r="K439" i="7" s="1"/>
  <c r="G508" i="2"/>
  <c r="G439" i="7" s="1"/>
  <c r="J508" i="2"/>
  <c r="J439" i="7" s="1"/>
  <c r="I508" i="2"/>
  <c r="I439" i="7" s="1"/>
  <c r="H508" i="2"/>
  <c r="H439" i="7" s="1"/>
  <c r="E508" i="2"/>
  <c r="E439" i="7" s="1"/>
  <c r="D508" i="2"/>
  <c r="D439" i="7" s="1"/>
  <c r="F555" i="2"/>
  <c r="F486" i="7" s="1"/>
  <c r="K555" i="2"/>
  <c r="K486" i="7" s="1"/>
  <c r="J555" i="2"/>
  <c r="J486" i="7" s="1"/>
  <c r="H555" i="2"/>
  <c r="H486" i="7" s="1"/>
  <c r="G555" i="2"/>
  <c r="G486" i="7" s="1"/>
  <c r="E555" i="2"/>
  <c r="E486" i="7" s="1"/>
  <c r="I555" i="2"/>
  <c r="I486" i="7" s="1"/>
  <c r="D555" i="2"/>
  <c r="D486" i="7" s="1"/>
  <c r="F667" i="2"/>
  <c r="F598" i="7" s="1"/>
  <c r="J667" i="2"/>
  <c r="J598" i="7" s="1"/>
  <c r="H667" i="2"/>
  <c r="H598" i="7" s="1"/>
  <c r="E667" i="2"/>
  <c r="E598" i="7" s="1"/>
  <c r="K667" i="2"/>
  <c r="K598" i="7" s="1"/>
  <c r="G667" i="2"/>
  <c r="G598" i="7" s="1"/>
  <c r="I667" i="2"/>
  <c r="I598" i="7" s="1"/>
  <c r="D667" i="2"/>
  <c r="D598" i="7" s="1"/>
  <c r="H558" i="2"/>
  <c r="H489" i="7" s="1"/>
  <c r="G558" i="2"/>
  <c r="G489" i="7" s="1"/>
  <c r="F558" i="2"/>
  <c r="F489" i="7" s="1"/>
  <c r="D558" i="2"/>
  <c r="D489" i="7" s="1"/>
  <c r="I558" i="2"/>
  <c r="I489" i="7" s="1"/>
  <c r="K558" i="2"/>
  <c r="K489" i="7" s="1"/>
  <c r="J558" i="2"/>
  <c r="J489" i="7" s="1"/>
  <c r="E558" i="2"/>
  <c r="E489" i="7" s="1"/>
  <c r="F551" i="2"/>
  <c r="F482" i="7" s="1"/>
  <c r="G551" i="2"/>
  <c r="G482" i="7" s="1"/>
  <c r="E551" i="2"/>
  <c r="E482" i="7" s="1"/>
  <c r="K551" i="2"/>
  <c r="K482" i="7" s="1"/>
  <c r="H551" i="2"/>
  <c r="H482" i="7" s="1"/>
  <c r="I551" i="2"/>
  <c r="I482" i="7" s="1"/>
  <c r="J551" i="2"/>
  <c r="J482" i="7" s="1"/>
  <c r="D551" i="2"/>
  <c r="D482" i="7" s="1"/>
  <c r="J553" i="2"/>
  <c r="J484" i="7" s="1"/>
  <c r="D553" i="2"/>
  <c r="D484" i="7" s="1"/>
  <c r="I553" i="2"/>
  <c r="I484" i="7" s="1"/>
  <c r="H553" i="2"/>
  <c r="H484" i="7" s="1"/>
  <c r="E553" i="2"/>
  <c r="E484" i="7" s="1"/>
  <c r="G553" i="2"/>
  <c r="G484" i="7" s="1"/>
  <c r="K553" i="2"/>
  <c r="K484" i="7" s="1"/>
  <c r="F553" i="2"/>
  <c r="F484" i="7" s="1"/>
  <c r="D613" i="2"/>
  <c r="D544" i="7" s="1"/>
  <c r="I613" i="2"/>
  <c r="I544" i="7" s="1"/>
  <c r="G613" i="2"/>
  <c r="G544" i="7" s="1"/>
  <c r="K613" i="2"/>
  <c r="K544" i="7" s="1"/>
  <c r="J613" i="2"/>
  <c r="J544" i="7" s="1"/>
  <c r="H613" i="2"/>
  <c r="H544" i="7" s="1"/>
  <c r="E613" i="2"/>
  <c r="E544" i="7" s="1"/>
  <c r="F613" i="2"/>
  <c r="F544" i="7" s="1"/>
  <c r="F663" i="2"/>
  <c r="F594" i="7" s="1"/>
  <c r="J663" i="2"/>
  <c r="J594" i="7" s="1"/>
  <c r="H663" i="2"/>
  <c r="H594" i="7" s="1"/>
  <c r="E663" i="2"/>
  <c r="E594" i="7" s="1"/>
  <c r="K663" i="2"/>
  <c r="K594" i="7" s="1"/>
  <c r="G663" i="2"/>
  <c r="G594" i="7" s="1"/>
  <c r="D663" i="2"/>
  <c r="D594" i="7" s="1"/>
  <c r="I663" i="2"/>
  <c r="I594" i="7" s="1"/>
  <c r="K581" i="2"/>
  <c r="K512" i="7" s="1"/>
  <c r="J581" i="2"/>
  <c r="J512" i="7" s="1"/>
  <c r="I581" i="2"/>
  <c r="I512" i="7" s="1"/>
  <c r="G581" i="2"/>
  <c r="G512" i="7" s="1"/>
  <c r="F581" i="2"/>
  <c r="F512" i="7" s="1"/>
  <c r="E581" i="2"/>
  <c r="E512" i="7" s="1"/>
  <c r="D581" i="2"/>
  <c r="D512" i="7" s="1"/>
  <c r="H581" i="2"/>
  <c r="H512" i="7" s="1"/>
  <c r="H611" i="2"/>
  <c r="H542" i="7" s="1"/>
  <c r="E611" i="2"/>
  <c r="E542" i="7" s="1"/>
  <c r="K611" i="2"/>
  <c r="K542" i="7" s="1"/>
  <c r="G611" i="2"/>
  <c r="G542" i="7" s="1"/>
  <c r="F611" i="2"/>
  <c r="F542" i="7" s="1"/>
  <c r="D611" i="2"/>
  <c r="D542" i="7" s="1"/>
  <c r="I611" i="2"/>
  <c r="I542" i="7" s="1"/>
  <c r="J611" i="2"/>
  <c r="J542" i="7" s="1"/>
  <c r="H654" i="2"/>
  <c r="H585" i="7" s="1"/>
  <c r="D654" i="2"/>
  <c r="D585" i="7" s="1"/>
  <c r="I654" i="2"/>
  <c r="I585" i="7" s="1"/>
  <c r="F654" i="2"/>
  <c r="F585" i="7" s="1"/>
  <c r="K654" i="2"/>
  <c r="K585" i="7" s="1"/>
  <c r="G654" i="2"/>
  <c r="G585" i="7" s="1"/>
  <c r="J654" i="2"/>
  <c r="J585" i="7" s="1"/>
  <c r="E654" i="2"/>
  <c r="E585" i="7" s="1"/>
  <c r="D716" i="2"/>
  <c r="D647" i="7" s="1"/>
  <c r="J716" i="2"/>
  <c r="J647" i="7" s="1"/>
  <c r="H716" i="2"/>
  <c r="H647" i="7" s="1"/>
  <c r="G716" i="2"/>
  <c r="G647" i="7" s="1"/>
  <c r="F716" i="2"/>
  <c r="F647" i="7" s="1"/>
  <c r="E716" i="2"/>
  <c r="E647" i="7" s="1"/>
  <c r="K716" i="2"/>
  <c r="K647" i="7" s="1"/>
  <c r="I716" i="2"/>
  <c r="I647" i="7" s="1"/>
  <c r="I638" i="2"/>
  <c r="I569" i="7" s="1"/>
  <c r="G638" i="2"/>
  <c r="G569" i="7" s="1"/>
  <c r="F638" i="2"/>
  <c r="F569" i="7" s="1"/>
  <c r="E638" i="2"/>
  <c r="E569" i="7" s="1"/>
  <c r="K638" i="2"/>
  <c r="K569" i="7" s="1"/>
  <c r="H638" i="2"/>
  <c r="H569" i="7" s="1"/>
  <c r="D638" i="2"/>
  <c r="D569" i="7" s="1"/>
  <c r="J638" i="2"/>
  <c r="J569" i="7" s="1"/>
  <c r="J673" i="2"/>
  <c r="J604" i="7" s="1"/>
  <c r="F673" i="2"/>
  <c r="F604" i="7" s="1"/>
  <c r="H673" i="2"/>
  <c r="H604" i="7" s="1"/>
  <c r="E673" i="2"/>
  <c r="E604" i="7" s="1"/>
  <c r="I673" i="2"/>
  <c r="I604" i="7" s="1"/>
  <c r="G673" i="2"/>
  <c r="G604" i="7" s="1"/>
  <c r="D673" i="2"/>
  <c r="D604" i="7" s="1"/>
  <c r="K673" i="2"/>
  <c r="K604" i="7" s="1"/>
  <c r="D648" i="2"/>
  <c r="D579" i="7" s="1"/>
  <c r="H648" i="2"/>
  <c r="H579" i="7" s="1"/>
  <c r="I648" i="2"/>
  <c r="I579" i="7" s="1"/>
  <c r="F648" i="2"/>
  <c r="F579" i="7" s="1"/>
  <c r="E648" i="2"/>
  <c r="E579" i="7" s="1"/>
  <c r="K648" i="2"/>
  <c r="K579" i="7" s="1"/>
  <c r="J648" i="2"/>
  <c r="J579" i="7" s="1"/>
  <c r="G648" i="2"/>
  <c r="G579" i="7" s="1"/>
  <c r="F679" i="2"/>
  <c r="F610" i="7" s="1"/>
  <c r="J679" i="2"/>
  <c r="J610" i="7" s="1"/>
  <c r="H679" i="2"/>
  <c r="H610" i="7" s="1"/>
  <c r="I679" i="2"/>
  <c r="I610" i="7" s="1"/>
  <c r="D679" i="2"/>
  <c r="D610" i="7" s="1"/>
  <c r="K679" i="2"/>
  <c r="K610" i="7" s="1"/>
  <c r="E679" i="2"/>
  <c r="E610" i="7" s="1"/>
  <c r="G679" i="2"/>
  <c r="G610" i="7" s="1"/>
  <c r="E640" i="2"/>
  <c r="E571" i="7" s="1"/>
  <c r="K640" i="2"/>
  <c r="K571" i="7" s="1"/>
  <c r="H640" i="2"/>
  <c r="H571" i="7" s="1"/>
  <c r="G640" i="2"/>
  <c r="G571" i="7" s="1"/>
  <c r="D640" i="2"/>
  <c r="D571" i="7" s="1"/>
  <c r="I640" i="2"/>
  <c r="I571" i="7" s="1"/>
  <c r="F640" i="2"/>
  <c r="F571" i="7" s="1"/>
  <c r="J640" i="2"/>
  <c r="J571" i="7" s="1"/>
  <c r="K625" i="2"/>
  <c r="K556" i="7" s="1"/>
  <c r="I625" i="2"/>
  <c r="I556" i="7" s="1"/>
  <c r="H625" i="2"/>
  <c r="H556" i="7" s="1"/>
  <c r="G625" i="2"/>
  <c r="G556" i="7" s="1"/>
  <c r="E625" i="2"/>
  <c r="E556" i="7" s="1"/>
  <c r="J625" i="2"/>
  <c r="J556" i="7" s="1"/>
  <c r="D625" i="2"/>
  <c r="D556" i="7" s="1"/>
  <c r="F625" i="2"/>
  <c r="F556" i="7" s="1"/>
  <c r="F699" i="2"/>
  <c r="F630" i="7" s="1"/>
  <c r="D699" i="2"/>
  <c r="D630" i="7" s="1"/>
  <c r="J699" i="2"/>
  <c r="J630" i="7" s="1"/>
  <c r="I699" i="2"/>
  <c r="I630" i="7" s="1"/>
  <c r="H699" i="2"/>
  <c r="H630" i="7" s="1"/>
  <c r="G699" i="2"/>
  <c r="G630" i="7" s="1"/>
  <c r="E699" i="2"/>
  <c r="E630" i="7" s="1"/>
  <c r="K699" i="2"/>
  <c r="K630" i="7" s="1"/>
  <c r="J713" i="2"/>
  <c r="J644" i="7" s="1"/>
  <c r="H713" i="2"/>
  <c r="H644" i="7" s="1"/>
  <c r="F713" i="2"/>
  <c r="F644" i="7" s="1"/>
  <c r="E713" i="2"/>
  <c r="E644" i="7" s="1"/>
  <c r="D713" i="2"/>
  <c r="D644" i="7" s="1"/>
  <c r="K713" i="2"/>
  <c r="K644" i="7" s="1"/>
  <c r="I713" i="2"/>
  <c r="I644" i="7" s="1"/>
  <c r="G713" i="2"/>
  <c r="G644" i="7" s="1"/>
  <c r="H706" i="2"/>
  <c r="H637" i="7" s="1"/>
  <c r="F706" i="2"/>
  <c r="F637" i="7" s="1"/>
  <c r="D706" i="2"/>
  <c r="D637" i="7" s="1"/>
  <c r="K706" i="2"/>
  <c r="K637" i="7" s="1"/>
  <c r="J706" i="2"/>
  <c r="J637" i="7" s="1"/>
  <c r="I706" i="2"/>
  <c r="I637" i="7" s="1"/>
  <c r="G706" i="2"/>
  <c r="G637" i="7" s="1"/>
  <c r="E706" i="2"/>
  <c r="E637" i="7" s="1"/>
  <c r="F723" i="2"/>
  <c r="F654" i="7" s="1"/>
  <c r="E723" i="2"/>
  <c r="E654" i="7" s="1"/>
  <c r="D723" i="2"/>
  <c r="D654" i="7" s="1"/>
  <c r="K723" i="2"/>
  <c r="K654" i="7" s="1"/>
  <c r="J723" i="2"/>
  <c r="J654" i="7" s="1"/>
  <c r="I723" i="2"/>
  <c r="I654" i="7" s="1"/>
  <c r="H723" i="2"/>
  <c r="H654" i="7" s="1"/>
  <c r="G723" i="2"/>
  <c r="G654" i="7" s="1"/>
  <c r="D49" i="2"/>
  <c r="D15" i="7" s="1"/>
  <c r="J49" i="2"/>
  <c r="J15" i="7" s="1"/>
  <c r="I49" i="2"/>
  <c r="I15" i="7" s="1"/>
  <c r="H49" i="2"/>
  <c r="H15" i="7" s="1"/>
  <c r="G49" i="2"/>
  <c r="G15" i="7" s="1"/>
  <c r="F49" i="2"/>
  <c r="F15" i="7" s="1"/>
  <c r="E49" i="2"/>
  <c r="E15" i="7" s="1"/>
  <c r="K49" i="2"/>
  <c r="K15" i="7" s="1"/>
  <c r="J66" i="2"/>
  <c r="J32" i="7" s="1"/>
  <c r="I66" i="2"/>
  <c r="I32" i="7" s="1"/>
  <c r="H66" i="2"/>
  <c r="H32" i="7" s="1"/>
  <c r="G66" i="2"/>
  <c r="G32" i="7" s="1"/>
  <c r="F66" i="2"/>
  <c r="F32" i="7" s="1"/>
  <c r="E66" i="2"/>
  <c r="E32" i="7" s="1"/>
  <c r="D66" i="2"/>
  <c r="D32" i="7" s="1"/>
  <c r="K66" i="2"/>
  <c r="K32" i="7" s="1"/>
  <c r="J98" i="2"/>
  <c r="J64" i="7" s="1"/>
  <c r="I98" i="2"/>
  <c r="I64" i="7" s="1"/>
  <c r="H98" i="2"/>
  <c r="H64" i="7" s="1"/>
  <c r="G98" i="2"/>
  <c r="G64" i="7" s="1"/>
  <c r="F98" i="2"/>
  <c r="F64" i="7" s="1"/>
  <c r="E98" i="2"/>
  <c r="E64" i="7" s="1"/>
  <c r="D98" i="2"/>
  <c r="D64" i="7" s="1"/>
  <c r="K98" i="2"/>
  <c r="K64" i="7" s="1"/>
  <c r="D123" i="2"/>
  <c r="D89" i="7" s="1"/>
  <c r="H123" i="2"/>
  <c r="H89" i="7" s="1"/>
  <c r="J123" i="2"/>
  <c r="J89" i="7" s="1"/>
  <c r="E123" i="2"/>
  <c r="E89" i="7" s="1"/>
  <c r="K123" i="2"/>
  <c r="K89" i="7" s="1"/>
  <c r="I123" i="2"/>
  <c r="I89" i="7" s="1"/>
  <c r="G123" i="2"/>
  <c r="G89" i="7" s="1"/>
  <c r="F123" i="2"/>
  <c r="F89" i="7" s="1"/>
  <c r="H59" i="2"/>
  <c r="H25" i="7" s="1"/>
  <c r="F59" i="2"/>
  <c r="F25" i="7" s="1"/>
  <c r="E59" i="2"/>
  <c r="E25" i="7" s="1"/>
  <c r="D59" i="2"/>
  <c r="D25" i="7" s="1"/>
  <c r="K59" i="2"/>
  <c r="K25" i="7" s="1"/>
  <c r="J59" i="2"/>
  <c r="J25" i="7" s="1"/>
  <c r="I59" i="2"/>
  <c r="I25" i="7" s="1"/>
  <c r="G59" i="2"/>
  <c r="G25" i="7" s="1"/>
  <c r="H91" i="2"/>
  <c r="H57" i="7" s="1"/>
  <c r="G91" i="2"/>
  <c r="G57" i="7" s="1"/>
  <c r="F91" i="2"/>
  <c r="F57" i="7" s="1"/>
  <c r="E91" i="2"/>
  <c r="E57" i="7" s="1"/>
  <c r="D91" i="2"/>
  <c r="D57" i="7" s="1"/>
  <c r="K91" i="2"/>
  <c r="K57" i="7" s="1"/>
  <c r="J91" i="2"/>
  <c r="J57" i="7" s="1"/>
  <c r="I91" i="2"/>
  <c r="I57" i="7" s="1"/>
  <c r="F118" i="2"/>
  <c r="F84" i="7" s="1"/>
  <c r="J118" i="2"/>
  <c r="J84" i="7" s="1"/>
  <c r="I118" i="2"/>
  <c r="I84" i="7" s="1"/>
  <c r="D118" i="2"/>
  <c r="D84" i="7" s="1"/>
  <c r="K118" i="2"/>
  <c r="K84" i="7" s="1"/>
  <c r="H118" i="2"/>
  <c r="H84" i="7" s="1"/>
  <c r="G118" i="2"/>
  <c r="G84" i="7" s="1"/>
  <c r="E118" i="2"/>
  <c r="E84" i="7" s="1"/>
  <c r="F44" i="2"/>
  <c r="F10" i="7" s="1"/>
  <c r="D44" i="2"/>
  <c r="D10" i="7" s="1"/>
  <c r="K44" i="2"/>
  <c r="K10" i="7" s="1"/>
  <c r="J44" i="2"/>
  <c r="J10" i="7" s="1"/>
  <c r="I44" i="2"/>
  <c r="I10" i="7" s="1"/>
  <c r="H44" i="2"/>
  <c r="H10" i="7" s="1"/>
  <c r="G44" i="2"/>
  <c r="G10" i="7" s="1"/>
  <c r="E44" i="2"/>
  <c r="E10" i="7" s="1"/>
  <c r="F76" i="2"/>
  <c r="F42" i="7" s="1"/>
  <c r="E76" i="2"/>
  <c r="E42" i="7" s="1"/>
  <c r="D76" i="2"/>
  <c r="D42" i="7" s="1"/>
  <c r="K76" i="2"/>
  <c r="K42" i="7" s="1"/>
  <c r="J76" i="2"/>
  <c r="J42" i="7" s="1"/>
  <c r="I76" i="2"/>
  <c r="I42" i="7" s="1"/>
  <c r="H76" i="2"/>
  <c r="H42" i="7" s="1"/>
  <c r="G76" i="2"/>
  <c r="G42" i="7" s="1"/>
  <c r="H145" i="2"/>
  <c r="H111" i="7" s="1"/>
  <c r="D145" i="2"/>
  <c r="D111" i="7" s="1"/>
  <c r="I145" i="2"/>
  <c r="I111" i="7" s="1"/>
  <c r="G145" i="2"/>
  <c r="G111" i="7" s="1"/>
  <c r="E145" i="2"/>
  <c r="E111" i="7" s="1"/>
  <c r="K145" i="2"/>
  <c r="K111" i="7" s="1"/>
  <c r="J145" i="2"/>
  <c r="J111" i="7" s="1"/>
  <c r="F145" i="2"/>
  <c r="F111" i="7" s="1"/>
  <c r="H141" i="2"/>
  <c r="H107" i="7" s="1"/>
  <c r="D141" i="2"/>
  <c r="D107" i="7" s="1"/>
  <c r="J141" i="2"/>
  <c r="J107" i="7" s="1"/>
  <c r="E141" i="2"/>
  <c r="E107" i="7" s="1"/>
  <c r="G141" i="2"/>
  <c r="G107" i="7" s="1"/>
  <c r="F141" i="2"/>
  <c r="F107" i="7" s="1"/>
  <c r="K141" i="2"/>
  <c r="K107" i="7" s="1"/>
  <c r="I141" i="2"/>
  <c r="I107" i="7" s="1"/>
  <c r="D77" i="2"/>
  <c r="D43" i="7" s="1"/>
  <c r="K77" i="2"/>
  <c r="K43" i="7" s="1"/>
  <c r="J77" i="2"/>
  <c r="J43" i="7" s="1"/>
  <c r="I77" i="2"/>
  <c r="I43" i="7" s="1"/>
  <c r="H77" i="2"/>
  <c r="H43" i="7" s="1"/>
  <c r="G77" i="2"/>
  <c r="G43" i="7" s="1"/>
  <c r="F77" i="2"/>
  <c r="F43" i="7" s="1"/>
  <c r="E77" i="2"/>
  <c r="E43" i="7" s="1"/>
  <c r="H169" i="2"/>
  <c r="H135" i="7" s="1"/>
  <c r="E169" i="2"/>
  <c r="E135" i="7" s="1"/>
  <c r="D169" i="2"/>
  <c r="D135" i="7" s="1"/>
  <c r="I169" i="2"/>
  <c r="I135" i="7" s="1"/>
  <c r="J169" i="2"/>
  <c r="J135" i="7" s="1"/>
  <c r="G169" i="2"/>
  <c r="G135" i="7" s="1"/>
  <c r="F169" i="2"/>
  <c r="F135" i="7" s="1"/>
  <c r="K169" i="2"/>
  <c r="K135" i="7" s="1"/>
  <c r="H208" i="2"/>
  <c r="H174" i="7" s="1"/>
  <c r="D208" i="2"/>
  <c r="D174" i="7" s="1"/>
  <c r="F208" i="2"/>
  <c r="F174" i="7" s="1"/>
  <c r="K208" i="2"/>
  <c r="K174" i="7" s="1"/>
  <c r="G208" i="2"/>
  <c r="G174" i="7" s="1"/>
  <c r="J208" i="2"/>
  <c r="J174" i="7" s="1"/>
  <c r="I208" i="2"/>
  <c r="I174" i="7" s="1"/>
  <c r="E208" i="2"/>
  <c r="E174" i="7" s="1"/>
  <c r="J108" i="2"/>
  <c r="J74" i="7" s="1"/>
  <c r="F108" i="2"/>
  <c r="F74" i="7" s="1"/>
  <c r="K108" i="2"/>
  <c r="K74" i="7" s="1"/>
  <c r="I108" i="2"/>
  <c r="I74" i="7" s="1"/>
  <c r="H108" i="2"/>
  <c r="H74" i="7" s="1"/>
  <c r="G108" i="2"/>
  <c r="G74" i="7" s="1"/>
  <c r="E108" i="2"/>
  <c r="E74" i="7" s="1"/>
  <c r="D108" i="2"/>
  <c r="D74" i="7" s="1"/>
  <c r="J128" i="2"/>
  <c r="J94" i="7" s="1"/>
  <c r="F128" i="2"/>
  <c r="F94" i="7" s="1"/>
  <c r="I128" i="2"/>
  <c r="I94" i="7" s="1"/>
  <c r="D128" i="2"/>
  <c r="D94" i="7" s="1"/>
  <c r="K128" i="2"/>
  <c r="K94" i="7" s="1"/>
  <c r="H128" i="2"/>
  <c r="H94" i="7" s="1"/>
  <c r="G128" i="2"/>
  <c r="G94" i="7" s="1"/>
  <c r="E128" i="2"/>
  <c r="E94" i="7" s="1"/>
  <c r="D167" i="2"/>
  <c r="D133" i="7" s="1"/>
  <c r="I167" i="2"/>
  <c r="I133" i="7" s="1"/>
  <c r="H167" i="2"/>
  <c r="H133" i="7" s="1"/>
  <c r="E167" i="2"/>
  <c r="E133" i="7" s="1"/>
  <c r="K167" i="2"/>
  <c r="K133" i="7" s="1"/>
  <c r="G167" i="2"/>
  <c r="G133" i="7" s="1"/>
  <c r="F167" i="2"/>
  <c r="F133" i="7" s="1"/>
  <c r="J167" i="2"/>
  <c r="J133" i="7" s="1"/>
  <c r="D190" i="2"/>
  <c r="D156" i="7" s="1"/>
  <c r="H190" i="2"/>
  <c r="H156" i="7" s="1"/>
  <c r="F190" i="2"/>
  <c r="F156" i="7" s="1"/>
  <c r="K190" i="2"/>
  <c r="K156" i="7" s="1"/>
  <c r="G190" i="2"/>
  <c r="G156" i="7" s="1"/>
  <c r="J190" i="2"/>
  <c r="J156" i="7" s="1"/>
  <c r="E190" i="2"/>
  <c r="E156" i="7" s="1"/>
  <c r="I190" i="2"/>
  <c r="I156" i="7" s="1"/>
  <c r="D163" i="2"/>
  <c r="D129" i="7" s="1"/>
  <c r="I163" i="2"/>
  <c r="I129" i="7" s="1"/>
  <c r="H163" i="2"/>
  <c r="H129" i="7" s="1"/>
  <c r="E163" i="2"/>
  <c r="E129" i="7" s="1"/>
  <c r="K163" i="2"/>
  <c r="K129" i="7" s="1"/>
  <c r="J163" i="2"/>
  <c r="J129" i="7" s="1"/>
  <c r="G163" i="2"/>
  <c r="G129" i="7" s="1"/>
  <c r="F163" i="2"/>
  <c r="F129" i="7" s="1"/>
  <c r="D175" i="2"/>
  <c r="D141" i="7" s="1"/>
  <c r="I175" i="2"/>
  <c r="I141" i="7" s="1"/>
  <c r="H175" i="2"/>
  <c r="H141" i="7" s="1"/>
  <c r="E175" i="2"/>
  <c r="E141" i="7" s="1"/>
  <c r="G175" i="2"/>
  <c r="G141" i="7" s="1"/>
  <c r="F175" i="2"/>
  <c r="F141" i="7" s="1"/>
  <c r="K175" i="2"/>
  <c r="K141" i="7" s="1"/>
  <c r="J175" i="2"/>
  <c r="J141" i="7" s="1"/>
  <c r="D194" i="2"/>
  <c r="D160" i="7" s="1"/>
  <c r="H194" i="2"/>
  <c r="H160" i="7" s="1"/>
  <c r="F194" i="2"/>
  <c r="F160" i="7" s="1"/>
  <c r="K194" i="2"/>
  <c r="K160" i="7" s="1"/>
  <c r="G194" i="2"/>
  <c r="G160" i="7" s="1"/>
  <c r="E194" i="2"/>
  <c r="E160" i="7" s="1"/>
  <c r="J194" i="2"/>
  <c r="J160" i="7" s="1"/>
  <c r="I194" i="2"/>
  <c r="I160" i="7" s="1"/>
  <c r="J183" i="2"/>
  <c r="J149" i="7" s="1"/>
  <c r="F183" i="2"/>
  <c r="F149" i="7" s="1"/>
  <c r="E183" i="2"/>
  <c r="E149" i="7" s="1"/>
  <c r="K183" i="2"/>
  <c r="K149" i="7" s="1"/>
  <c r="G183" i="2"/>
  <c r="G149" i="7" s="1"/>
  <c r="I183" i="2"/>
  <c r="I149" i="7" s="1"/>
  <c r="H183" i="2"/>
  <c r="H149" i="7" s="1"/>
  <c r="D183" i="2"/>
  <c r="D149" i="7" s="1"/>
  <c r="J156" i="2"/>
  <c r="J122" i="7" s="1"/>
  <c r="F156" i="2"/>
  <c r="F122" i="7" s="1"/>
  <c r="K156" i="2"/>
  <c r="K122" i="7" s="1"/>
  <c r="I156" i="2"/>
  <c r="I122" i="7" s="1"/>
  <c r="H156" i="2"/>
  <c r="H122" i="7" s="1"/>
  <c r="G156" i="2"/>
  <c r="G122" i="7" s="1"/>
  <c r="D156" i="2"/>
  <c r="D122" i="7" s="1"/>
  <c r="E156" i="2"/>
  <c r="E122" i="7" s="1"/>
  <c r="D242" i="2"/>
  <c r="D208" i="7" s="1"/>
  <c r="I242" i="2"/>
  <c r="I208" i="7" s="1"/>
  <c r="H242" i="2"/>
  <c r="H208" i="7" s="1"/>
  <c r="J242" i="2"/>
  <c r="J208" i="7" s="1"/>
  <c r="G242" i="2"/>
  <c r="G208" i="7" s="1"/>
  <c r="F242" i="2"/>
  <c r="F208" i="7" s="1"/>
  <c r="E242" i="2"/>
  <c r="E208" i="7" s="1"/>
  <c r="K242" i="2"/>
  <c r="K208" i="7" s="1"/>
  <c r="F283" i="2"/>
  <c r="F249" i="7" s="1"/>
  <c r="J283" i="2"/>
  <c r="J249" i="7" s="1"/>
  <c r="H283" i="2"/>
  <c r="H249" i="7" s="1"/>
  <c r="G283" i="2"/>
  <c r="G249" i="7" s="1"/>
  <c r="K283" i="2"/>
  <c r="K249" i="7" s="1"/>
  <c r="I283" i="2"/>
  <c r="I249" i="7" s="1"/>
  <c r="E283" i="2"/>
  <c r="E249" i="7" s="1"/>
  <c r="D283" i="2"/>
  <c r="D249" i="7" s="1"/>
  <c r="F158" i="2"/>
  <c r="F124" i="7" s="1"/>
  <c r="K158" i="2"/>
  <c r="K124" i="7" s="1"/>
  <c r="J158" i="2"/>
  <c r="J124" i="7" s="1"/>
  <c r="G158" i="2"/>
  <c r="G124" i="7" s="1"/>
  <c r="I158" i="2"/>
  <c r="I124" i="7" s="1"/>
  <c r="E158" i="2"/>
  <c r="E124" i="7" s="1"/>
  <c r="H158" i="2"/>
  <c r="H124" i="7" s="1"/>
  <c r="D158" i="2"/>
  <c r="D124" i="7" s="1"/>
  <c r="J239" i="2"/>
  <c r="J205" i="7" s="1"/>
  <c r="G239" i="2"/>
  <c r="G205" i="7" s="1"/>
  <c r="F239" i="2"/>
  <c r="F205" i="7" s="1"/>
  <c r="H239" i="2"/>
  <c r="H205" i="7" s="1"/>
  <c r="I239" i="2"/>
  <c r="I205" i="7" s="1"/>
  <c r="K239" i="2"/>
  <c r="K205" i="7" s="1"/>
  <c r="D239" i="2"/>
  <c r="D205" i="7" s="1"/>
  <c r="E239" i="2"/>
  <c r="E205" i="7" s="1"/>
  <c r="H276" i="2"/>
  <c r="H242" i="7" s="1"/>
  <c r="E276" i="2"/>
  <c r="E242" i="7" s="1"/>
  <c r="D276" i="2"/>
  <c r="D242" i="7" s="1"/>
  <c r="F276" i="2"/>
  <c r="F242" i="7" s="1"/>
  <c r="K276" i="2"/>
  <c r="K242" i="7" s="1"/>
  <c r="J276" i="2"/>
  <c r="J242" i="7" s="1"/>
  <c r="I276" i="2"/>
  <c r="I242" i="7" s="1"/>
  <c r="G276" i="2"/>
  <c r="G242" i="7" s="1"/>
  <c r="J275" i="2"/>
  <c r="J241" i="7" s="1"/>
  <c r="G275" i="2"/>
  <c r="G241" i="7" s="1"/>
  <c r="F275" i="2"/>
  <c r="F241" i="7" s="1"/>
  <c r="K275" i="2"/>
  <c r="K241" i="7" s="1"/>
  <c r="I275" i="2"/>
  <c r="I241" i="7" s="1"/>
  <c r="H275" i="2"/>
  <c r="H241" i="7" s="1"/>
  <c r="E275" i="2"/>
  <c r="E241" i="7" s="1"/>
  <c r="D275" i="2"/>
  <c r="D241" i="7" s="1"/>
  <c r="H294" i="2"/>
  <c r="H260" i="7" s="1"/>
  <c r="D294" i="2"/>
  <c r="D260" i="7" s="1"/>
  <c r="I294" i="2"/>
  <c r="I260" i="7" s="1"/>
  <c r="G294" i="2"/>
  <c r="G260" i="7" s="1"/>
  <c r="J294" i="2"/>
  <c r="J260" i="7" s="1"/>
  <c r="F294" i="2"/>
  <c r="F260" i="7" s="1"/>
  <c r="E294" i="2"/>
  <c r="E260" i="7" s="1"/>
  <c r="K294" i="2"/>
  <c r="K260" i="7" s="1"/>
  <c r="H302" i="2"/>
  <c r="H268" i="7" s="1"/>
  <c r="D302" i="2"/>
  <c r="D268" i="7" s="1"/>
  <c r="J302" i="2"/>
  <c r="J268" i="7" s="1"/>
  <c r="I302" i="2"/>
  <c r="I268" i="7" s="1"/>
  <c r="G302" i="2"/>
  <c r="G268" i="7" s="1"/>
  <c r="E302" i="2"/>
  <c r="E268" i="7" s="1"/>
  <c r="K302" i="2"/>
  <c r="K268" i="7" s="1"/>
  <c r="F302" i="2"/>
  <c r="F268" i="7" s="1"/>
  <c r="H310" i="2"/>
  <c r="H276" i="7" s="1"/>
  <c r="D310" i="2"/>
  <c r="D276" i="7" s="1"/>
  <c r="J310" i="2"/>
  <c r="J276" i="7" s="1"/>
  <c r="I310" i="2"/>
  <c r="I276" i="7" s="1"/>
  <c r="G310" i="2"/>
  <c r="G276" i="7" s="1"/>
  <c r="E310" i="2"/>
  <c r="E276" i="7" s="1"/>
  <c r="K310" i="2"/>
  <c r="K276" i="7" s="1"/>
  <c r="F310" i="2"/>
  <c r="F276" i="7" s="1"/>
  <c r="E365" i="2"/>
  <c r="E331" i="7" s="1"/>
  <c r="J365" i="2"/>
  <c r="J331" i="7" s="1"/>
  <c r="F365" i="2"/>
  <c r="F331" i="7" s="1"/>
  <c r="K365" i="2"/>
  <c r="K331" i="7" s="1"/>
  <c r="I365" i="2"/>
  <c r="I331" i="7" s="1"/>
  <c r="H365" i="2"/>
  <c r="H331" i="7" s="1"/>
  <c r="G365" i="2"/>
  <c r="G331" i="7" s="1"/>
  <c r="D365" i="2"/>
  <c r="D331" i="7" s="1"/>
  <c r="G364" i="2"/>
  <c r="G330" i="7" s="1"/>
  <c r="D364" i="2"/>
  <c r="D330" i="7" s="1"/>
  <c r="H364" i="2"/>
  <c r="H330" i="7" s="1"/>
  <c r="K364" i="2"/>
  <c r="K330" i="7" s="1"/>
  <c r="J364" i="2"/>
  <c r="J330" i="7" s="1"/>
  <c r="I364" i="2"/>
  <c r="I330" i="7" s="1"/>
  <c r="F364" i="2"/>
  <c r="F330" i="7" s="1"/>
  <c r="E364" i="2"/>
  <c r="E330" i="7" s="1"/>
  <c r="E357" i="2"/>
  <c r="E323" i="7" s="1"/>
  <c r="J357" i="2"/>
  <c r="J323" i="7" s="1"/>
  <c r="F357" i="2"/>
  <c r="F323" i="7" s="1"/>
  <c r="K357" i="2"/>
  <c r="K323" i="7" s="1"/>
  <c r="I357" i="2"/>
  <c r="I323" i="7" s="1"/>
  <c r="H357" i="2"/>
  <c r="H323" i="7" s="1"/>
  <c r="G357" i="2"/>
  <c r="G323" i="7" s="1"/>
  <c r="D357" i="2"/>
  <c r="D323" i="7" s="1"/>
  <c r="I343" i="2"/>
  <c r="I309" i="7" s="1"/>
  <c r="F343" i="2"/>
  <c r="F309" i="7" s="1"/>
  <c r="J343" i="2"/>
  <c r="J309" i="7" s="1"/>
  <c r="H343" i="2"/>
  <c r="H309" i="7" s="1"/>
  <c r="G343" i="2"/>
  <c r="G309" i="7" s="1"/>
  <c r="E343" i="2"/>
  <c r="E309" i="7" s="1"/>
  <c r="D343" i="2"/>
  <c r="D309" i="7" s="1"/>
  <c r="K343" i="2"/>
  <c r="K309" i="7" s="1"/>
  <c r="F213" i="2"/>
  <c r="F179" i="7" s="1"/>
  <c r="K213" i="2"/>
  <c r="K179" i="7" s="1"/>
  <c r="J213" i="2"/>
  <c r="J179" i="7" s="1"/>
  <c r="G213" i="2"/>
  <c r="G179" i="7" s="1"/>
  <c r="H213" i="2"/>
  <c r="H179" i="7" s="1"/>
  <c r="I213" i="2"/>
  <c r="I179" i="7" s="1"/>
  <c r="E213" i="2"/>
  <c r="E179" i="7" s="1"/>
  <c r="D213" i="2"/>
  <c r="D179" i="7" s="1"/>
  <c r="F245" i="2"/>
  <c r="F211" i="7" s="1"/>
  <c r="K245" i="2"/>
  <c r="K211" i="7" s="1"/>
  <c r="J245" i="2"/>
  <c r="J211" i="7" s="1"/>
  <c r="G245" i="2"/>
  <c r="G211" i="7" s="1"/>
  <c r="H245" i="2"/>
  <c r="H211" i="7" s="1"/>
  <c r="I245" i="2"/>
  <c r="I211" i="7" s="1"/>
  <c r="E245" i="2"/>
  <c r="E211" i="7" s="1"/>
  <c r="D245" i="2"/>
  <c r="D211" i="7" s="1"/>
  <c r="F277" i="2"/>
  <c r="F243" i="7" s="1"/>
  <c r="K277" i="2"/>
  <c r="K243" i="7" s="1"/>
  <c r="J277" i="2"/>
  <c r="J243" i="7" s="1"/>
  <c r="G277" i="2"/>
  <c r="G243" i="7" s="1"/>
  <c r="E277" i="2"/>
  <c r="E243" i="7" s="1"/>
  <c r="D277" i="2"/>
  <c r="D243" i="7" s="1"/>
  <c r="I277" i="2"/>
  <c r="I243" i="7" s="1"/>
  <c r="H277" i="2"/>
  <c r="H243" i="7" s="1"/>
  <c r="J391" i="2"/>
  <c r="F391" i="2"/>
  <c r="H391" i="2"/>
  <c r="D391" i="2"/>
  <c r="I391" i="2"/>
  <c r="K391" i="2"/>
  <c r="G391" i="2"/>
  <c r="E391" i="2"/>
  <c r="D426" i="2"/>
  <c r="D357" i="7" s="1"/>
  <c r="I426" i="2"/>
  <c r="I357" i="7" s="1"/>
  <c r="H426" i="2"/>
  <c r="H357" i="7" s="1"/>
  <c r="E426" i="2"/>
  <c r="E357" i="7" s="1"/>
  <c r="J426" i="2"/>
  <c r="J357" i="7" s="1"/>
  <c r="G426" i="2"/>
  <c r="G357" i="7" s="1"/>
  <c r="K426" i="2"/>
  <c r="K357" i="7" s="1"/>
  <c r="F426" i="2"/>
  <c r="F357" i="7" s="1"/>
  <c r="F385" i="2"/>
  <c r="J385" i="2"/>
  <c r="H385" i="2"/>
  <c r="D385" i="2"/>
  <c r="I385" i="2"/>
  <c r="E385" i="2"/>
  <c r="K385" i="2"/>
  <c r="G385" i="2"/>
  <c r="G369" i="2"/>
  <c r="D369" i="2"/>
  <c r="H369" i="2"/>
  <c r="K369" i="2"/>
  <c r="J369" i="2"/>
  <c r="I369" i="2"/>
  <c r="F369" i="2"/>
  <c r="E369" i="2"/>
  <c r="H468" i="2"/>
  <c r="H399" i="7" s="1"/>
  <c r="E468" i="2"/>
  <c r="E399" i="7" s="1"/>
  <c r="D468" i="2"/>
  <c r="D399" i="7" s="1"/>
  <c r="I468" i="2"/>
  <c r="I399" i="7" s="1"/>
  <c r="K468" i="2"/>
  <c r="K399" i="7" s="1"/>
  <c r="J468" i="2"/>
  <c r="J399" i="7" s="1"/>
  <c r="G468" i="2"/>
  <c r="G399" i="7" s="1"/>
  <c r="F468" i="2"/>
  <c r="F399" i="7" s="1"/>
  <c r="D398" i="2"/>
  <c r="H398" i="2"/>
  <c r="I398" i="2"/>
  <c r="E398" i="2"/>
  <c r="J398" i="2"/>
  <c r="K398" i="2"/>
  <c r="G398" i="2"/>
  <c r="F398" i="2"/>
  <c r="D406" i="2"/>
  <c r="D337" i="7" s="1"/>
  <c r="H406" i="2"/>
  <c r="H337" i="7" s="1"/>
  <c r="I406" i="2"/>
  <c r="I337" i="7" s="1"/>
  <c r="E406" i="2"/>
  <c r="E337" i="7" s="1"/>
  <c r="J406" i="2"/>
  <c r="J337" i="7" s="1"/>
  <c r="K406" i="2"/>
  <c r="K337" i="7" s="1"/>
  <c r="G406" i="2"/>
  <c r="G337" i="7" s="1"/>
  <c r="F406" i="2"/>
  <c r="F337" i="7" s="1"/>
  <c r="D414" i="2"/>
  <c r="D345" i="7" s="1"/>
  <c r="H414" i="2"/>
  <c r="H345" i="7" s="1"/>
  <c r="I414" i="2"/>
  <c r="I345" i="7" s="1"/>
  <c r="E414" i="2"/>
  <c r="E345" i="7" s="1"/>
  <c r="J414" i="2"/>
  <c r="J345" i="7" s="1"/>
  <c r="K414" i="2"/>
  <c r="K345" i="7" s="1"/>
  <c r="G414" i="2"/>
  <c r="G345" i="7" s="1"/>
  <c r="F414" i="2"/>
  <c r="F345" i="7" s="1"/>
  <c r="D450" i="2"/>
  <c r="D381" i="7" s="1"/>
  <c r="I450" i="2"/>
  <c r="I381" i="7" s="1"/>
  <c r="H450" i="2"/>
  <c r="H381" i="7" s="1"/>
  <c r="E450" i="2"/>
  <c r="E381" i="7" s="1"/>
  <c r="G450" i="2"/>
  <c r="G381" i="7" s="1"/>
  <c r="F450" i="2"/>
  <c r="F381" i="7" s="1"/>
  <c r="K450" i="2"/>
  <c r="K381" i="7" s="1"/>
  <c r="J450" i="2"/>
  <c r="J381" i="7" s="1"/>
  <c r="K330" i="2"/>
  <c r="K296" i="7" s="1"/>
  <c r="H330" i="2"/>
  <c r="H296" i="7" s="1"/>
  <c r="D330" i="2"/>
  <c r="D296" i="7" s="1"/>
  <c r="I330" i="2"/>
  <c r="I296" i="7" s="1"/>
  <c r="G330" i="2"/>
  <c r="G296" i="7" s="1"/>
  <c r="F330" i="2"/>
  <c r="F296" i="7" s="1"/>
  <c r="E330" i="2"/>
  <c r="E296" i="7" s="1"/>
  <c r="J330" i="2"/>
  <c r="J296" i="7" s="1"/>
  <c r="K362" i="2"/>
  <c r="K328" i="7" s="1"/>
  <c r="H362" i="2"/>
  <c r="H328" i="7" s="1"/>
  <c r="D362" i="2"/>
  <c r="D328" i="7" s="1"/>
  <c r="I362" i="2"/>
  <c r="I328" i="7" s="1"/>
  <c r="G362" i="2"/>
  <c r="G328" i="7" s="1"/>
  <c r="F362" i="2"/>
  <c r="F328" i="7" s="1"/>
  <c r="E362" i="2"/>
  <c r="E328" i="7" s="1"/>
  <c r="J362" i="2"/>
  <c r="J328" i="7" s="1"/>
  <c r="J423" i="2"/>
  <c r="J354" i="7" s="1"/>
  <c r="G423" i="2"/>
  <c r="G354" i="7" s="1"/>
  <c r="F423" i="2"/>
  <c r="F354" i="7" s="1"/>
  <c r="K423" i="2"/>
  <c r="K354" i="7" s="1"/>
  <c r="I423" i="2"/>
  <c r="I354" i="7" s="1"/>
  <c r="H423" i="2"/>
  <c r="H354" i="7" s="1"/>
  <c r="E423" i="2"/>
  <c r="E354" i="7" s="1"/>
  <c r="D423" i="2"/>
  <c r="D354" i="7" s="1"/>
  <c r="J455" i="2"/>
  <c r="J386" i="7" s="1"/>
  <c r="G455" i="2"/>
  <c r="G386" i="7" s="1"/>
  <c r="F455" i="2"/>
  <c r="F386" i="7" s="1"/>
  <c r="K455" i="2"/>
  <c r="K386" i="7" s="1"/>
  <c r="I455" i="2"/>
  <c r="I386" i="7" s="1"/>
  <c r="H455" i="2"/>
  <c r="H386" i="7" s="1"/>
  <c r="E455" i="2"/>
  <c r="E386" i="7" s="1"/>
  <c r="D455" i="2"/>
  <c r="D386" i="7" s="1"/>
  <c r="F488" i="2"/>
  <c r="F419" i="7" s="1"/>
  <c r="K488" i="2"/>
  <c r="K419" i="7" s="1"/>
  <c r="J488" i="2"/>
  <c r="J419" i="7" s="1"/>
  <c r="I488" i="2"/>
  <c r="I419" i="7" s="1"/>
  <c r="H488" i="2"/>
  <c r="H419" i="7" s="1"/>
  <c r="G488" i="2"/>
  <c r="G419" i="7" s="1"/>
  <c r="E488" i="2"/>
  <c r="E419" i="7" s="1"/>
  <c r="D488" i="2"/>
  <c r="D419" i="7" s="1"/>
  <c r="J557" i="2"/>
  <c r="J488" i="7" s="1"/>
  <c r="H557" i="2"/>
  <c r="H488" i="7" s="1"/>
  <c r="G557" i="2"/>
  <c r="G488" i="7" s="1"/>
  <c r="E557" i="2"/>
  <c r="E488" i="7" s="1"/>
  <c r="D557" i="2"/>
  <c r="D488" i="7" s="1"/>
  <c r="I557" i="2"/>
  <c r="I488" i="7" s="1"/>
  <c r="F557" i="2"/>
  <c r="F488" i="7" s="1"/>
  <c r="K557" i="2"/>
  <c r="K488" i="7" s="1"/>
  <c r="D517" i="2"/>
  <c r="D448" i="7" s="1"/>
  <c r="I517" i="2"/>
  <c r="I448" i="7" s="1"/>
  <c r="E517" i="2"/>
  <c r="E448" i="7" s="1"/>
  <c r="K517" i="2"/>
  <c r="K448" i="7" s="1"/>
  <c r="J517" i="2"/>
  <c r="J448" i="7" s="1"/>
  <c r="H517" i="2"/>
  <c r="H448" i="7" s="1"/>
  <c r="G517" i="2"/>
  <c r="G448" i="7" s="1"/>
  <c r="F517" i="2"/>
  <c r="F448" i="7" s="1"/>
  <c r="J606" i="2"/>
  <c r="J537" i="7" s="1"/>
  <c r="G606" i="2"/>
  <c r="G537" i="7" s="1"/>
  <c r="E606" i="2"/>
  <c r="E537" i="7" s="1"/>
  <c r="H606" i="2"/>
  <c r="H537" i="7" s="1"/>
  <c r="F606" i="2"/>
  <c r="F537" i="7" s="1"/>
  <c r="I606" i="2"/>
  <c r="I537" i="7" s="1"/>
  <c r="D606" i="2"/>
  <c r="D537" i="7" s="1"/>
  <c r="K606" i="2"/>
  <c r="K537" i="7" s="1"/>
  <c r="F445" i="2"/>
  <c r="F376" i="7" s="1"/>
  <c r="K445" i="2"/>
  <c r="K376" i="7" s="1"/>
  <c r="J445" i="2"/>
  <c r="J376" i="7" s="1"/>
  <c r="G445" i="2"/>
  <c r="G376" i="7" s="1"/>
  <c r="H445" i="2"/>
  <c r="H376" i="7" s="1"/>
  <c r="E445" i="2"/>
  <c r="E376" i="7" s="1"/>
  <c r="D445" i="2"/>
  <c r="D376" i="7" s="1"/>
  <c r="I445" i="2"/>
  <c r="I376" i="7" s="1"/>
  <c r="F477" i="2"/>
  <c r="F408" i="7" s="1"/>
  <c r="D477" i="2"/>
  <c r="D408" i="7" s="1"/>
  <c r="K477" i="2"/>
  <c r="K408" i="7" s="1"/>
  <c r="J477" i="2"/>
  <c r="J408" i="7" s="1"/>
  <c r="I477" i="2"/>
  <c r="I408" i="7" s="1"/>
  <c r="H477" i="2"/>
  <c r="H408" i="7" s="1"/>
  <c r="G477" i="2"/>
  <c r="G408" i="7" s="1"/>
  <c r="E477" i="2"/>
  <c r="E408" i="7" s="1"/>
  <c r="H515" i="2"/>
  <c r="H446" i="7" s="1"/>
  <c r="E515" i="2"/>
  <c r="E446" i="7" s="1"/>
  <c r="I515" i="2"/>
  <c r="I446" i="7" s="1"/>
  <c r="F515" i="2"/>
  <c r="F446" i="7" s="1"/>
  <c r="D515" i="2"/>
  <c r="D446" i="7" s="1"/>
  <c r="K515" i="2"/>
  <c r="K446" i="7" s="1"/>
  <c r="J515" i="2"/>
  <c r="J446" i="7" s="1"/>
  <c r="G515" i="2"/>
  <c r="G446" i="7" s="1"/>
  <c r="D509" i="2"/>
  <c r="D440" i="7" s="1"/>
  <c r="I509" i="2"/>
  <c r="I440" i="7" s="1"/>
  <c r="E509" i="2"/>
  <c r="E440" i="7" s="1"/>
  <c r="F509" i="2"/>
  <c r="F440" i="7" s="1"/>
  <c r="K509" i="2"/>
  <c r="K440" i="7" s="1"/>
  <c r="J509" i="2"/>
  <c r="J440" i="7" s="1"/>
  <c r="H509" i="2"/>
  <c r="H440" i="7" s="1"/>
  <c r="G509" i="2"/>
  <c r="G440" i="7" s="1"/>
  <c r="H519" i="2"/>
  <c r="H450" i="7" s="1"/>
  <c r="E519" i="2"/>
  <c r="E450" i="7" s="1"/>
  <c r="I519" i="2"/>
  <c r="I450" i="7" s="1"/>
  <c r="K519" i="2"/>
  <c r="K450" i="7" s="1"/>
  <c r="J519" i="2"/>
  <c r="J450" i="7" s="1"/>
  <c r="G519" i="2"/>
  <c r="G450" i="7" s="1"/>
  <c r="F519" i="2"/>
  <c r="F450" i="7" s="1"/>
  <c r="D519" i="2"/>
  <c r="D450" i="7" s="1"/>
  <c r="J514" i="2"/>
  <c r="J445" i="7" s="1"/>
  <c r="G514" i="2"/>
  <c r="G445" i="7" s="1"/>
  <c r="K514" i="2"/>
  <c r="K445" i="7" s="1"/>
  <c r="D514" i="2"/>
  <c r="D445" i="7" s="1"/>
  <c r="I514" i="2"/>
  <c r="I445" i="7" s="1"/>
  <c r="H514" i="2"/>
  <c r="H445" i="7" s="1"/>
  <c r="F514" i="2"/>
  <c r="F445" i="7" s="1"/>
  <c r="E514" i="2"/>
  <c r="E445" i="7" s="1"/>
  <c r="F536" i="2"/>
  <c r="F467" i="7" s="1"/>
  <c r="J536" i="2"/>
  <c r="J467" i="7" s="1"/>
  <c r="H536" i="2"/>
  <c r="H467" i="7" s="1"/>
  <c r="D536" i="2"/>
  <c r="D467" i="7" s="1"/>
  <c r="I536" i="2"/>
  <c r="I467" i="7" s="1"/>
  <c r="G536" i="2"/>
  <c r="G467" i="7" s="1"/>
  <c r="E536" i="2"/>
  <c r="E467" i="7" s="1"/>
  <c r="K536" i="2"/>
  <c r="K467" i="7" s="1"/>
  <c r="F544" i="2"/>
  <c r="F475" i="7" s="1"/>
  <c r="J544" i="2"/>
  <c r="J475" i="7" s="1"/>
  <c r="H544" i="2"/>
  <c r="H475" i="7" s="1"/>
  <c r="D544" i="2"/>
  <c r="D475" i="7" s="1"/>
  <c r="I544" i="2"/>
  <c r="I475" i="7" s="1"/>
  <c r="G544" i="2"/>
  <c r="G475" i="7" s="1"/>
  <c r="E544" i="2"/>
  <c r="E475" i="7" s="1"/>
  <c r="K544" i="2"/>
  <c r="K475" i="7" s="1"/>
  <c r="F512" i="2"/>
  <c r="F443" i="7" s="1"/>
  <c r="K512" i="2"/>
  <c r="K443" i="7" s="1"/>
  <c r="G512" i="2"/>
  <c r="G443" i="7" s="1"/>
  <c r="J512" i="2"/>
  <c r="J443" i="7" s="1"/>
  <c r="I512" i="2"/>
  <c r="I443" i="7" s="1"/>
  <c r="H512" i="2"/>
  <c r="H443" i="7" s="1"/>
  <c r="E512" i="2"/>
  <c r="E443" i="7" s="1"/>
  <c r="D512" i="2"/>
  <c r="D443" i="7" s="1"/>
  <c r="I582" i="2"/>
  <c r="I513" i="7" s="1"/>
  <c r="H582" i="2"/>
  <c r="H513" i="7" s="1"/>
  <c r="K582" i="2"/>
  <c r="K513" i="7" s="1"/>
  <c r="G582" i="2"/>
  <c r="G513" i="7" s="1"/>
  <c r="F582" i="2"/>
  <c r="F513" i="7" s="1"/>
  <c r="E582" i="2"/>
  <c r="E513" i="7" s="1"/>
  <c r="D582" i="2"/>
  <c r="D513" i="7" s="1"/>
  <c r="J582" i="2"/>
  <c r="J513" i="7" s="1"/>
  <c r="I574" i="2"/>
  <c r="I505" i="7" s="1"/>
  <c r="H574" i="2"/>
  <c r="H505" i="7" s="1"/>
  <c r="J574" i="2"/>
  <c r="J505" i="7" s="1"/>
  <c r="G574" i="2"/>
  <c r="G505" i="7" s="1"/>
  <c r="E574" i="2"/>
  <c r="E505" i="7" s="1"/>
  <c r="D574" i="2"/>
  <c r="D505" i="7" s="1"/>
  <c r="K574" i="2"/>
  <c r="K505" i="7" s="1"/>
  <c r="F574" i="2"/>
  <c r="F505" i="7" s="1"/>
  <c r="I570" i="2"/>
  <c r="I501" i="7" s="1"/>
  <c r="H570" i="2"/>
  <c r="H501" i="7" s="1"/>
  <c r="G570" i="2"/>
  <c r="G501" i="7" s="1"/>
  <c r="F570" i="2"/>
  <c r="F501" i="7" s="1"/>
  <c r="D570" i="2"/>
  <c r="D501" i="7" s="1"/>
  <c r="J570" i="2"/>
  <c r="J501" i="7" s="1"/>
  <c r="E570" i="2"/>
  <c r="E501" i="7" s="1"/>
  <c r="K570" i="2"/>
  <c r="K501" i="7" s="1"/>
  <c r="F559" i="2"/>
  <c r="F490" i="7" s="1"/>
  <c r="G559" i="2"/>
  <c r="G490" i="7" s="1"/>
  <c r="E559" i="2"/>
  <c r="E490" i="7" s="1"/>
  <c r="K559" i="2"/>
  <c r="K490" i="7" s="1"/>
  <c r="H559" i="2"/>
  <c r="H490" i="7" s="1"/>
  <c r="I559" i="2"/>
  <c r="I490" i="7" s="1"/>
  <c r="J559" i="2"/>
  <c r="J490" i="7" s="1"/>
  <c r="D559" i="2"/>
  <c r="D490" i="7" s="1"/>
  <c r="K547" i="2"/>
  <c r="K478" i="7" s="1"/>
  <c r="J547" i="2"/>
  <c r="J478" i="7" s="1"/>
  <c r="H547" i="2"/>
  <c r="H478" i="7" s="1"/>
  <c r="D547" i="2"/>
  <c r="D478" i="7" s="1"/>
  <c r="F547" i="2"/>
  <c r="F478" i="7" s="1"/>
  <c r="E547" i="2"/>
  <c r="E478" i="7" s="1"/>
  <c r="I547" i="2"/>
  <c r="I478" i="7" s="1"/>
  <c r="G547" i="2"/>
  <c r="G478" i="7" s="1"/>
  <c r="F675" i="2"/>
  <c r="F606" i="7" s="1"/>
  <c r="J675" i="2"/>
  <c r="J606" i="7" s="1"/>
  <c r="H675" i="2"/>
  <c r="H606" i="7" s="1"/>
  <c r="E675" i="2"/>
  <c r="E606" i="7" s="1"/>
  <c r="K675" i="2"/>
  <c r="K606" i="7" s="1"/>
  <c r="G675" i="2"/>
  <c r="G606" i="7" s="1"/>
  <c r="I675" i="2"/>
  <c r="I606" i="7" s="1"/>
  <c r="D675" i="2"/>
  <c r="D606" i="7" s="1"/>
  <c r="H678" i="2"/>
  <c r="H609" i="7" s="1"/>
  <c r="D678" i="2"/>
  <c r="D609" i="7" s="1"/>
  <c r="J678" i="2"/>
  <c r="J609" i="7" s="1"/>
  <c r="K678" i="2"/>
  <c r="K609" i="7" s="1"/>
  <c r="G678" i="2"/>
  <c r="G609" i="7" s="1"/>
  <c r="I678" i="2"/>
  <c r="I609" i="7" s="1"/>
  <c r="E678" i="2"/>
  <c r="E609" i="7" s="1"/>
  <c r="F678" i="2"/>
  <c r="F609" i="7" s="1"/>
  <c r="K585" i="2"/>
  <c r="K516" i="7" s="1"/>
  <c r="J585" i="2"/>
  <c r="J516" i="7" s="1"/>
  <c r="H585" i="2"/>
  <c r="H516" i="7" s="1"/>
  <c r="G585" i="2"/>
  <c r="G516" i="7" s="1"/>
  <c r="F585" i="2"/>
  <c r="F516" i="7" s="1"/>
  <c r="D585" i="2"/>
  <c r="D516" i="7" s="1"/>
  <c r="E585" i="2"/>
  <c r="E516" i="7" s="1"/>
  <c r="I585" i="2"/>
  <c r="I516" i="7" s="1"/>
  <c r="H615" i="2"/>
  <c r="H546" i="7" s="1"/>
  <c r="E615" i="2"/>
  <c r="E546" i="7" s="1"/>
  <c r="K615" i="2"/>
  <c r="K546" i="7" s="1"/>
  <c r="D615" i="2"/>
  <c r="D546" i="7" s="1"/>
  <c r="J615" i="2"/>
  <c r="J546" i="7" s="1"/>
  <c r="I615" i="2"/>
  <c r="I546" i="7" s="1"/>
  <c r="F615" i="2"/>
  <c r="F546" i="7" s="1"/>
  <c r="G615" i="2"/>
  <c r="G546" i="7" s="1"/>
  <c r="H658" i="2"/>
  <c r="H589" i="7" s="1"/>
  <c r="D658" i="2"/>
  <c r="D589" i="7" s="1"/>
  <c r="I658" i="2"/>
  <c r="I589" i="7" s="1"/>
  <c r="F658" i="2"/>
  <c r="F589" i="7" s="1"/>
  <c r="K658" i="2"/>
  <c r="K589" i="7" s="1"/>
  <c r="G658" i="2"/>
  <c r="G589" i="7" s="1"/>
  <c r="J658" i="2"/>
  <c r="J589" i="7" s="1"/>
  <c r="E658" i="2"/>
  <c r="E589" i="7" s="1"/>
  <c r="F604" i="2"/>
  <c r="F535" i="7" s="1"/>
  <c r="K604" i="2"/>
  <c r="K535" i="7" s="1"/>
  <c r="I604" i="2"/>
  <c r="I535" i="7" s="1"/>
  <c r="D604" i="2"/>
  <c r="D535" i="7" s="1"/>
  <c r="J604" i="2"/>
  <c r="J535" i="7" s="1"/>
  <c r="G604" i="2"/>
  <c r="G535" i="7" s="1"/>
  <c r="E604" i="2"/>
  <c r="E535" i="7" s="1"/>
  <c r="H604" i="2"/>
  <c r="H535" i="7" s="1"/>
  <c r="G639" i="2"/>
  <c r="G570" i="7" s="1"/>
  <c r="E639" i="2"/>
  <c r="E570" i="7" s="1"/>
  <c r="H639" i="2"/>
  <c r="H570" i="7" s="1"/>
  <c r="F639" i="2"/>
  <c r="F570" i="7" s="1"/>
  <c r="K639" i="2"/>
  <c r="K570" i="7" s="1"/>
  <c r="I639" i="2"/>
  <c r="I570" i="7" s="1"/>
  <c r="D639" i="2"/>
  <c r="D570" i="7" s="1"/>
  <c r="J639" i="2"/>
  <c r="J570" i="7" s="1"/>
  <c r="J677" i="2"/>
  <c r="J608" i="7" s="1"/>
  <c r="F677" i="2"/>
  <c r="F608" i="7" s="1"/>
  <c r="D677" i="2"/>
  <c r="D608" i="7" s="1"/>
  <c r="I677" i="2"/>
  <c r="I608" i="7" s="1"/>
  <c r="G677" i="2"/>
  <c r="G608" i="7" s="1"/>
  <c r="K677" i="2"/>
  <c r="K608" i="7" s="1"/>
  <c r="H677" i="2"/>
  <c r="H608" i="7" s="1"/>
  <c r="E677" i="2"/>
  <c r="E608" i="7" s="1"/>
  <c r="D652" i="2"/>
  <c r="D583" i="7" s="1"/>
  <c r="H652" i="2"/>
  <c r="H583" i="7" s="1"/>
  <c r="I652" i="2"/>
  <c r="I583" i="7" s="1"/>
  <c r="F652" i="2"/>
  <c r="F583" i="7" s="1"/>
  <c r="E652" i="2"/>
  <c r="E583" i="7" s="1"/>
  <c r="K652" i="2"/>
  <c r="K583" i="7" s="1"/>
  <c r="J652" i="2"/>
  <c r="J583" i="7" s="1"/>
  <c r="G652" i="2"/>
  <c r="G583" i="7" s="1"/>
  <c r="D692" i="2"/>
  <c r="D623" i="7" s="1"/>
  <c r="J692" i="2"/>
  <c r="J623" i="7" s="1"/>
  <c r="H692" i="2"/>
  <c r="H623" i="7" s="1"/>
  <c r="F692" i="2"/>
  <c r="F623" i="7" s="1"/>
  <c r="I692" i="2"/>
  <c r="I623" i="7" s="1"/>
  <c r="E692" i="2"/>
  <c r="E623" i="7" s="1"/>
  <c r="K692" i="2"/>
  <c r="K623" i="7" s="1"/>
  <c r="G692" i="2"/>
  <c r="G623" i="7" s="1"/>
  <c r="E644" i="2"/>
  <c r="E575" i="7" s="1"/>
  <c r="K644" i="2"/>
  <c r="K575" i="7" s="1"/>
  <c r="J644" i="2"/>
  <c r="J575" i="7" s="1"/>
  <c r="I644" i="2"/>
  <c r="I575" i="7" s="1"/>
  <c r="G644" i="2"/>
  <c r="G575" i="7" s="1"/>
  <c r="D644" i="2"/>
  <c r="D575" i="7" s="1"/>
  <c r="H644" i="2"/>
  <c r="H575" i="7" s="1"/>
  <c r="F644" i="2"/>
  <c r="F575" i="7" s="1"/>
  <c r="K629" i="2"/>
  <c r="K560" i="7" s="1"/>
  <c r="I629" i="2"/>
  <c r="I560" i="7" s="1"/>
  <c r="J629" i="2"/>
  <c r="J560" i="7" s="1"/>
  <c r="G629" i="2"/>
  <c r="G560" i="7" s="1"/>
  <c r="E629" i="2"/>
  <c r="E560" i="7" s="1"/>
  <c r="D629" i="2"/>
  <c r="D560" i="7" s="1"/>
  <c r="H629" i="2"/>
  <c r="H560" i="7" s="1"/>
  <c r="F629" i="2"/>
  <c r="F560" i="7" s="1"/>
  <c r="D708" i="2"/>
  <c r="D639" i="7" s="1"/>
  <c r="J708" i="2"/>
  <c r="J639" i="7" s="1"/>
  <c r="H708" i="2"/>
  <c r="H639" i="7" s="1"/>
  <c r="G708" i="2"/>
  <c r="G639" i="7" s="1"/>
  <c r="F708" i="2"/>
  <c r="F639" i="7" s="1"/>
  <c r="E708" i="2"/>
  <c r="E639" i="7" s="1"/>
  <c r="K708" i="2"/>
  <c r="K639" i="7" s="1"/>
  <c r="I708" i="2"/>
  <c r="I639" i="7" s="1"/>
  <c r="J717" i="2"/>
  <c r="J648" i="7" s="1"/>
  <c r="H717" i="2"/>
  <c r="H648" i="7" s="1"/>
  <c r="F717" i="2"/>
  <c r="F648" i="7" s="1"/>
  <c r="E717" i="2"/>
  <c r="E648" i="7" s="1"/>
  <c r="D717" i="2"/>
  <c r="D648" i="7" s="1"/>
  <c r="K717" i="2"/>
  <c r="K648" i="7" s="1"/>
  <c r="G717" i="2"/>
  <c r="G648" i="7" s="1"/>
  <c r="I717" i="2"/>
  <c r="I648" i="7" s="1"/>
  <c r="H710" i="2"/>
  <c r="H641" i="7" s="1"/>
  <c r="F710" i="2"/>
  <c r="F641" i="7" s="1"/>
  <c r="D710" i="2"/>
  <c r="D641" i="7" s="1"/>
  <c r="K710" i="2"/>
  <c r="K641" i="7" s="1"/>
  <c r="J710" i="2"/>
  <c r="J641" i="7" s="1"/>
  <c r="I710" i="2"/>
  <c r="I641" i="7" s="1"/>
  <c r="G710" i="2"/>
  <c r="G641" i="7" s="1"/>
  <c r="E710" i="2"/>
  <c r="E641" i="7" s="1"/>
  <c r="F727" i="2"/>
  <c r="F658" i="7" s="1"/>
  <c r="E727" i="2"/>
  <c r="E658" i="7" s="1"/>
  <c r="D727" i="2"/>
  <c r="D658" i="7" s="1"/>
  <c r="K727" i="2"/>
  <c r="K658" i="7" s="1"/>
  <c r="J727" i="2"/>
  <c r="J658" i="7" s="1"/>
  <c r="I727" i="2"/>
  <c r="I658" i="7" s="1"/>
  <c r="H727" i="2"/>
  <c r="H658" i="7" s="1"/>
  <c r="G727" i="2"/>
  <c r="G658" i="7" s="1"/>
  <c r="J38" i="2"/>
  <c r="J4" i="7" s="1"/>
  <c r="H38" i="2"/>
  <c r="H4" i="7" s="1"/>
  <c r="G38" i="2"/>
  <c r="G4" i="7" s="1"/>
  <c r="F38" i="2"/>
  <c r="F4" i="7" s="1"/>
  <c r="E38" i="2"/>
  <c r="E4" i="7" s="1"/>
  <c r="D38" i="2"/>
  <c r="D4" i="7" s="1"/>
  <c r="K38" i="2"/>
  <c r="K4" i="7" s="1"/>
  <c r="I38" i="2"/>
  <c r="I4" i="7" s="1"/>
  <c r="J70" i="2"/>
  <c r="J36" i="7" s="1"/>
  <c r="I70" i="2"/>
  <c r="I36" i="7" s="1"/>
  <c r="H70" i="2"/>
  <c r="H36" i="7" s="1"/>
  <c r="G70" i="2"/>
  <c r="G36" i="7" s="1"/>
  <c r="F70" i="2"/>
  <c r="F36" i="7" s="1"/>
  <c r="E70" i="2"/>
  <c r="E36" i="7" s="1"/>
  <c r="D70" i="2"/>
  <c r="D36" i="7" s="1"/>
  <c r="K70" i="2"/>
  <c r="K36" i="7" s="1"/>
  <c r="J102" i="2"/>
  <c r="J68" i="7" s="1"/>
  <c r="I102" i="2"/>
  <c r="I68" i="7" s="1"/>
  <c r="H102" i="2"/>
  <c r="H68" i="7" s="1"/>
  <c r="G102" i="2"/>
  <c r="G68" i="7" s="1"/>
  <c r="F102" i="2"/>
  <c r="F68" i="7" s="1"/>
  <c r="E102" i="2"/>
  <c r="E68" i="7" s="1"/>
  <c r="D102" i="2"/>
  <c r="D68" i="7" s="1"/>
  <c r="K102" i="2"/>
  <c r="K68" i="7" s="1"/>
  <c r="D127" i="2"/>
  <c r="D93" i="7" s="1"/>
  <c r="H127" i="2"/>
  <c r="H93" i="7" s="1"/>
  <c r="J127" i="2"/>
  <c r="J93" i="7" s="1"/>
  <c r="E127" i="2"/>
  <c r="E93" i="7" s="1"/>
  <c r="K127" i="2"/>
  <c r="K93" i="7" s="1"/>
  <c r="I127" i="2"/>
  <c r="I93" i="7" s="1"/>
  <c r="G127" i="2"/>
  <c r="G93" i="7" s="1"/>
  <c r="F127" i="2"/>
  <c r="F93" i="7" s="1"/>
  <c r="H63" i="2"/>
  <c r="H29" i="7" s="1"/>
  <c r="G63" i="2"/>
  <c r="G29" i="7" s="1"/>
  <c r="F63" i="2"/>
  <c r="F29" i="7" s="1"/>
  <c r="E63" i="2"/>
  <c r="E29" i="7" s="1"/>
  <c r="D63" i="2"/>
  <c r="D29" i="7" s="1"/>
  <c r="K63" i="2"/>
  <c r="K29" i="7" s="1"/>
  <c r="J63" i="2"/>
  <c r="J29" i="7" s="1"/>
  <c r="I63" i="2"/>
  <c r="I29" i="7" s="1"/>
  <c r="H95" i="2"/>
  <c r="H61" i="7" s="1"/>
  <c r="G95" i="2"/>
  <c r="G61" i="7" s="1"/>
  <c r="F95" i="2"/>
  <c r="F61" i="7" s="1"/>
  <c r="E95" i="2"/>
  <c r="E61" i="7" s="1"/>
  <c r="D95" i="2"/>
  <c r="D61" i="7" s="1"/>
  <c r="K95" i="2"/>
  <c r="K61" i="7" s="1"/>
  <c r="J95" i="2"/>
  <c r="J61" i="7" s="1"/>
  <c r="I95" i="2"/>
  <c r="I61" i="7" s="1"/>
  <c r="F122" i="2"/>
  <c r="F88" i="7" s="1"/>
  <c r="J122" i="2"/>
  <c r="J88" i="7" s="1"/>
  <c r="I122" i="2"/>
  <c r="I88" i="7" s="1"/>
  <c r="D122" i="2"/>
  <c r="D88" i="7" s="1"/>
  <c r="K122" i="2"/>
  <c r="K88" i="7" s="1"/>
  <c r="H122" i="2"/>
  <c r="H88" i="7" s="1"/>
  <c r="G122" i="2"/>
  <c r="G88" i="7" s="1"/>
  <c r="E122" i="2"/>
  <c r="E88" i="7" s="1"/>
  <c r="F48" i="2"/>
  <c r="F14" i="7" s="1"/>
  <c r="D48" i="2"/>
  <c r="D14" i="7" s="1"/>
  <c r="K48" i="2"/>
  <c r="K14" i="7" s="1"/>
  <c r="J48" i="2"/>
  <c r="J14" i="7" s="1"/>
  <c r="I48" i="2"/>
  <c r="I14" i="7" s="1"/>
  <c r="H48" i="2"/>
  <c r="H14" i="7" s="1"/>
  <c r="G48" i="2"/>
  <c r="G14" i="7" s="1"/>
  <c r="E48" i="2"/>
  <c r="E14" i="7" s="1"/>
  <c r="F80" i="2"/>
  <c r="F46" i="7" s="1"/>
  <c r="E80" i="2"/>
  <c r="E46" i="7" s="1"/>
  <c r="D80" i="2"/>
  <c r="D46" i="7" s="1"/>
  <c r="K80" i="2"/>
  <c r="K46" i="7" s="1"/>
  <c r="J80" i="2"/>
  <c r="J46" i="7" s="1"/>
  <c r="I80" i="2"/>
  <c r="I46" i="7" s="1"/>
  <c r="H80" i="2"/>
  <c r="H46" i="7" s="1"/>
  <c r="G80" i="2"/>
  <c r="G46" i="7" s="1"/>
  <c r="H153" i="2"/>
  <c r="H119" i="7" s="1"/>
  <c r="D153" i="2"/>
  <c r="D119" i="7" s="1"/>
  <c r="I153" i="2"/>
  <c r="I119" i="7" s="1"/>
  <c r="E153" i="2"/>
  <c r="E119" i="7" s="1"/>
  <c r="K153" i="2"/>
  <c r="K119" i="7" s="1"/>
  <c r="G153" i="2"/>
  <c r="G119" i="7" s="1"/>
  <c r="J153" i="2"/>
  <c r="J119" i="7" s="1"/>
  <c r="F153" i="2"/>
  <c r="F119" i="7" s="1"/>
  <c r="H113" i="2"/>
  <c r="H79" i="7" s="1"/>
  <c r="D113" i="2"/>
  <c r="D79" i="7" s="1"/>
  <c r="J113" i="2"/>
  <c r="J79" i="7" s="1"/>
  <c r="E113" i="2"/>
  <c r="E79" i="7" s="1"/>
  <c r="G113" i="2"/>
  <c r="G79" i="7" s="1"/>
  <c r="F113" i="2"/>
  <c r="F79" i="7" s="1"/>
  <c r="K113" i="2"/>
  <c r="K79" i="7" s="1"/>
  <c r="I113" i="2"/>
  <c r="I79" i="7" s="1"/>
  <c r="D147" i="2"/>
  <c r="D113" i="7" s="1"/>
  <c r="H147" i="2"/>
  <c r="H113" i="7" s="1"/>
  <c r="E147" i="2"/>
  <c r="E113" i="7" s="1"/>
  <c r="F147" i="2"/>
  <c r="F113" i="7" s="1"/>
  <c r="K147" i="2"/>
  <c r="K113" i="7" s="1"/>
  <c r="I147" i="2"/>
  <c r="I113" i="7" s="1"/>
  <c r="J147" i="2"/>
  <c r="J113" i="7" s="1"/>
  <c r="G147" i="2"/>
  <c r="G113" i="7" s="1"/>
  <c r="D81" i="2"/>
  <c r="D47" i="7" s="1"/>
  <c r="K81" i="2"/>
  <c r="K47" i="7" s="1"/>
  <c r="J81" i="2"/>
  <c r="J47" i="7" s="1"/>
  <c r="I81" i="2"/>
  <c r="I47" i="7" s="1"/>
  <c r="H81" i="2"/>
  <c r="H47" i="7" s="1"/>
  <c r="G81" i="2"/>
  <c r="G47" i="7" s="1"/>
  <c r="F81" i="2"/>
  <c r="F47" i="7" s="1"/>
  <c r="E81" i="2"/>
  <c r="E47" i="7" s="1"/>
  <c r="H180" i="2"/>
  <c r="H146" i="7" s="1"/>
  <c r="D180" i="2"/>
  <c r="D146" i="7" s="1"/>
  <c r="F180" i="2"/>
  <c r="F146" i="7" s="1"/>
  <c r="K180" i="2"/>
  <c r="K146" i="7" s="1"/>
  <c r="G180" i="2"/>
  <c r="G146" i="7" s="1"/>
  <c r="J180" i="2"/>
  <c r="J146" i="7" s="1"/>
  <c r="I180" i="2"/>
  <c r="I146" i="7" s="1"/>
  <c r="E180" i="2"/>
  <c r="E146" i="7" s="1"/>
  <c r="H212" i="2"/>
  <c r="H178" i="7" s="1"/>
  <c r="D212" i="2"/>
  <c r="D178" i="7" s="1"/>
  <c r="F212" i="2"/>
  <c r="F178" i="7" s="1"/>
  <c r="K212" i="2"/>
  <c r="K178" i="7" s="1"/>
  <c r="G212" i="2"/>
  <c r="G178" i="7" s="1"/>
  <c r="J212" i="2"/>
  <c r="J178" i="7" s="1"/>
  <c r="I212" i="2"/>
  <c r="I178" i="7" s="1"/>
  <c r="E212" i="2"/>
  <c r="E178" i="7" s="1"/>
  <c r="H109" i="2"/>
  <c r="H75" i="7" s="1"/>
  <c r="D109" i="2"/>
  <c r="D75" i="7" s="1"/>
  <c r="K109" i="2"/>
  <c r="K75" i="7" s="1"/>
  <c r="J109" i="2"/>
  <c r="J75" i="7" s="1"/>
  <c r="I109" i="2"/>
  <c r="I75" i="7" s="1"/>
  <c r="G109" i="2"/>
  <c r="G75" i="7" s="1"/>
  <c r="F109" i="2"/>
  <c r="F75" i="7" s="1"/>
  <c r="E109" i="2"/>
  <c r="E75" i="7" s="1"/>
  <c r="J132" i="2"/>
  <c r="J98" i="7" s="1"/>
  <c r="F132" i="2"/>
  <c r="F98" i="7" s="1"/>
  <c r="I132" i="2"/>
  <c r="I98" i="7" s="1"/>
  <c r="D132" i="2"/>
  <c r="D98" i="7" s="1"/>
  <c r="K132" i="2"/>
  <c r="K98" i="7" s="1"/>
  <c r="H132" i="2"/>
  <c r="H98" i="7" s="1"/>
  <c r="G132" i="2"/>
  <c r="G98" i="7" s="1"/>
  <c r="E132" i="2"/>
  <c r="E98" i="7" s="1"/>
  <c r="F185" i="2"/>
  <c r="F151" i="7" s="1"/>
  <c r="J185" i="2"/>
  <c r="J151" i="7" s="1"/>
  <c r="E185" i="2"/>
  <c r="E151" i="7" s="1"/>
  <c r="K185" i="2"/>
  <c r="K151" i="7" s="1"/>
  <c r="G185" i="2"/>
  <c r="G151" i="7" s="1"/>
  <c r="H185" i="2"/>
  <c r="H151" i="7" s="1"/>
  <c r="D185" i="2"/>
  <c r="D151" i="7" s="1"/>
  <c r="I185" i="2"/>
  <c r="I151" i="7" s="1"/>
  <c r="D198" i="2"/>
  <c r="D164" i="7" s="1"/>
  <c r="H198" i="2"/>
  <c r="H164" i="7" s="1"/>
  <c r="F198" i="2"/>
  <c r="F164" i="7" s="1"/>
  <c r="K198" i="2"/>
  <c r="K164" i="7" s="1"/>
  <c r="G198" i="2"/>
  <c r="G164" i="7" s="1"/>
  <c r="J198" i="2"/>
  <c r="J164" i="7" s="1"/>
  <c r="E198" i="2"/>
  <c r="E164" i="7" s="1"/>
  <c r="I198" i="2"/>
  <c r="I164" i="7" s="1"/>
  <c r="J179" i="2"/>
  <c r="J145" i="7" s="1"/>
  <c r="F179" i="2"/>
  <c r="F145" i="7" s="1"/>
  <c r="E179" i="2"/>
  <c r="E145" i="7" s="1"/>
  <c r="K179" i="2"/>
  <c r="K145" i="7" s="1"/>
  <c r="G179" i="2"/>
  <c r="G145" i="7" s="1"/>
  <c r="I179" i="2"/>
  <c r="I145" i="7" s="1"/>
  <c r="H179" i="2"/>
  <c r="H145" i="7" s="1"/>
  <c r="D179" i="2"/>
  <c r="D145" i="7" s="1"/>
  <c r="F181" i="2"/>
  <c r="F147" i="7" s="1"/>
  <c r="J181" i="2"/>
  <c r="J147" i="7" s="1"/>
  <c r="E181" i="2"/>
  <c r="E147" i="7" s="1"/>
  <c r="K181" i="2"/>
  <c r="K147" i="7" s="1"/>
  <c r="G181" i="2"/>
  <c r="G147" i="7" s="1"/>
  <c r="H181" i="2"/>
  <c r="H147" i="7" s="1"/>
  <c r="D181" i="2"/>
  <c r="D147" i="7" s="1"/>
  <c r="I181" i="2"/>
  <c r="I147" i="7" s="1"/>
  <c r="D202" i="2"/>
  <c r="D168" i="7" s="1"/>
  <c r="H202" i="2"/>
  <c r="H168" i="7" s="1"/>
  <c r="F202" i="2"/>
  <c r="F168" i="7" s="1"/>
  <c r="K202" i="2"/>
  <c r="K168" i="7" s="1"/>
  <c r="G202" i="2"/>
  <c r="G168" i="7" s="1"/>
  <c r="E202" i="2"/>
  <c r="E168" i="7" s="1"/>
  <c r="J202" i="2"/>
  <c r="J168" i="7" s="1"/>
  <c r="I202" i="2"/>
  <c r="I168" i="7" s="1"/>
  <c r="J191" i="2"/>
  <c r="J157" i="7" s="1"/>
  <c r="F191" i="2"/>
  <c r="F157" i="7" s="1"/>
  <c r="E191" i="2"/>
  <c r="E157" i="7" s="1"/>
  <c r="K191" i="2"/>
  <c r="K157" i="7" s="1"/>
  <c r="G191" i="2"/>
  <c r="G157" i="7" s="1"/>
  <c r="I191" i="2"/>
  <c r="I157" i="7" s="1"/>
  <c r="H191" i="2"/>
  <c r="H157" i="7" s="1"/>
  <c r="D191" i="2"/>
  <c r="D157" i="7" s="1"/>
  <c r="J160" i="2"/>
  <c r="J126" i="7" s="1"/>
  <c r="G160" i="2"/>
  <c r="G126" i="7" s="1"/>
  <c r="F160" i="2"/>
  <c r="F126" i="7" s="1"/>
  <c r="K160" i="2"/>
  <c r="K126" i="7" s="1"/>
  <c r="I160" i="2"/>
  <c r="I126" i="7" s="1"/>
  <c r="H160" i="2"/>
  <c r="H126" i="7" s="1"/>
  <c r="D160" i="2"/>
  <c r="D126" i="7" s="1"/>
  <c r="E160" i="2"/>
  <c r="E126" i="7" s="1"/>
  <c r="J255" i="2"/>
  <c r="J221" i="7" s="1"/>
  <c r="G255" i="2"/>
  <c r="G221" i="7" s="1"/>
  <c r="F255" i="2"/>
  <c r="F221" i="7" s="1"/>
  <c r="I255" i="2"/>
  <c r="I221" i="7" s="1"/>
  <c r="H255" i="2"/>
  <c r="H221" i="7" s="1"/>
  <c r="K255" i="2"/>
  <c r="K221" i="7" s="1"/>
  <c r="E255" i="2"/>
  <c r="E221" i="7" s="1"/>
  <c r="D255" i="2"/>
  <c r="D221" i="7" s="1"/>
  <c r="D214" i="2"/>
  <c r="D180" i="7" s="1"/>
  <c r="I214" i="2"/>
  <c r="I180" i="7" s="1"/>
  <c r="H214" i="2"/>
  <c r="H180" i="7" s="1"/>
  <c r="J214" i="2"/>
  <c r="J180" i="7" s="1"/>
  <c r="E214" i="2"/>
  <c r="E180" i="7" s="1"/>
  <c r="K214" i="2"/>
  <c r="K180" i="7" s="1"/>
  <c r="G214" i="2"/>
  <c r="G180" i="7" s="1"/>
  <c r="F214" i="2"/>
  <c r="F180" i="7" s="1"/>
  <c r="F162" i="2"/>
  <c r="F128" i="7" s="1"/>
  <c r="K162" i="2"/>
  <c r="K128" i="7" s="1"/>
  <c r="J162" i="2"/>
  <c r="J128" i="7" s="1"/>
  <c r="G162" i="2"/>
  <c r="G128" i="7" s="1"/>
  <c r="E162" i="2"/>
  <c r="E128" i="7" s="1"/>
  <c r="D162" i="2"/>
  <c r="D128" i="7" s="1"/>
  <c r="I162" i="2"/>
  <c r="I128" i="7" s="1"/>
  <c r="H162" i="2"/>
  <c r="H128" i="7" s="1"/>
  <c r="H252" i="2"/>
  <c r="H218" i="7" s="1"/>
  <c r="E252" i="2"/>
  <c r="E218" i="7" s="1"/>
  <c r="D252" i="2"/>
  <c r="D218" i="7" s="1"/>
  <c r="I252" i="2"/>
  <c r="I218" i="7" s="1"/>
  <c r="J252" i="2"/>
  <c r="J218" i="7" s="1"/>
  <c r="K252" i="2"/>
  <c r="K218" i="7" s="1"/>
  <c r="G252" i="2"/>
  <c r="G218" i="7" s="1"/>
  <c r="F252" i="2"/>
  <c r="F218" i="7" s="1"/>
  <c r="J281" i="2"/>
  <c r="J247" i="7" s="1"/>
  <c r="F281" i="2"/>
  <c r="F247" i="7" s="1"/>
  <c r="H281" i="2"/>
  <c r="H247" i="7" s="1"/>
  <c r="G281" i="2"/>
  <c r="G247" i="7" s="1"/>
  <c r="D281" i="2"/>
  <c r="D247" i="7" s="1"/>
  <c r="K281" i="2"/>
  <c r="K247" i="7" s="1"/>
  <c r="I281" i="2"/>
  <c r="I247" i="7" s="1"/>
  <c r="E281" i="2"/>
  <c r="E247" i="7" s="1"/>
  <c r="F287" i="2"/>
  <c r="F253" i="7" s="1"/>
  <c r="J287" i="2"/>
  <c r="J253" i="7" s="1"/>
  <c r="H287" i="2"/>
  <c r="H253" i="7" s="1"/>
  <c r="G287" i="2"/>
  <c r="G253" i="7" s="1"/>
  <c r="K287" i="2"/>
  <c r="K253" i="7" s="1"/>
  <c r="I287" i="2"/>
  <c r="I253" i="7" s="1"/>
  <c r="E287" i="2"/>
  <c r="E253" i="7" s="1"/>
  <c r="D287" i="2"/>
  <c r="D253" i="7" s="1"/>
  <c r="F295" i="2"/>
  <c r="F261" i="7" s="1"/>
  <c r="J295" i="2"/>
  <c r="J261" i="7" s="1"/>
  <c r="H295" i="2"/>
  <c r="H261" i="7" s="1"/>
  <c r="G295" i="2"/>
  <c r="G261" i="7" s="1"/>
  <c r="K295" i="2"/>
  <c r="K261" i="7" s="1"/>
  <c r="I295" i="2"/>
  <c r="I261" i="7" s="1"/>
  <c r="E295" i="2"/>
  <c r="E261" i="7" s="1"/>
  <c r="D295" i="2"/>
  <c r="D261" i="7" s="1"/>
  <c r="F303" i="2"/>
  <c r="F269" i="7" s="1"/>
  <c r="J303" i="2"/>
  <c r="J269" i="7" s="1"/>
  <c r="I303" i="2"/>
  <c r="I269" i="7" s="1"/>
  <c r="H303" i="2"/>
  <c r="H269" i="7" s="1"/>
  <c r="G303" i="2"/>
  <c r="G269" i="7" s="1"/>
  <c r="D303" i="2"/>
  <c r="D269" i="7" s="1"/>
  <c r="K303" i="2"/>
  <c r="K269" i="7" s="1"/>
  <c r="E303" i="2"/>
  <c r="E269" i="7" s="1"/>
  <c r="F311" i="2"/>
  <c r="F277" i="7" s="1"/>
  <c r="J311" i="2"/>
  <c r="J277" i="7" s="1"/>
  <c r="I311" i="2"/>
  <c r="I277" i="7" s="1"/>
  <c r="H311" i="2"/>
  <c r="H277" i="7" s="1"/>
  <c r="G311" i="2"/>
  <c r="G277" i="7" s="1"/>
  <c r="D311" i="2"/>
  <c r="D277" i="7" s="1"/>
  <c r="K311" i="2"/>
  <c r="K277" i="7" s="1"/>
  <c r="E311" i="2"/>
  <c r="E277" i="7" s="1"/>
  <c r="J379" i="2"/>
  <c r="F379" i="2"/>
  <c r="H379" i="2"/>
  <c r="D379" i="2"/>
  <c r="I379" i="2"/>
  <c r="K379" i="2"/>
  <c r="G379" i="2"/>
  <c r="E379" i="2"/>
  <c r="H376" i="2"/>
  <c r="D376" i="2"/>
  <c r="I376" i="2"/>
  <c r="E376" i="2"/>
  <c r="J376" i="2"/>
  <c r="K376" i="2"/>
  <c r="G376" i="2"/>
  <c r="F376" i="2"/>
  <c r="I363" i="2"/>
  <c r="I329" i="7" s="1"/>
  <c r="F363" i="2"/>
  <c r="F329" i="7" s="1"/>
  <c r="J363" i="2"/>
  <c r="J329" i="7" s="1"/>
  <c r="K363" i="2"/>
  <c r="K329" i="7" s="1"/>
  <c r="H363" i="2"/>
  <c r="H329" i="7" s="1"/>
  <c r="G363" i="2"/>
  <c r="G329" i="7" s="1"/>
  <c r="E363" i="2"/>
  <c r="E329" i="7" s="1"/>
  <c r="D363" i="2"/>
  <c r="D329" i="7" s="1"/>
  <c r="G356" i="2"/>
  <c r="G322" i="7" s="1"/>
  <c r="D356" i="2"/>
  <c r="D322" i="7" s="1"/>
  <c r="H356" i="2"/>
  <c r="H322" i="7" s="1"/>
  <c r="J356" i="2"/>
  <c r="J322" i="7" s="1"/>
  <c r="I356" i="2"/>
  <c r="I322" i="7" s="1"/>
  <c r="F356" i="2"/>
  <c r="F322" i="7" s="1"/>
  <c r="E356" i="2"/>
  <c r="E322" i="7" s="1"/>
  <c r="K356" i="2"/>
  <c r="K322" i="7" s="1"/>
  <c r="F217" i="2"/>
  <c r="F183" i="7" s="1"/>
  <c r="K217" i="2"/>
  <c r="K183" i="7" s="1"/>
  <c r="J217" i="2"/>
  <c r="J183" i="7" s="1"/>
  <c r="I217" i="2"/>
  <c r="I183" i="7" s="1"/>
  <c r="H217" i="2"/>
  <c r="H183" i="7" s="1"/>
  <c r="D217" i="2"/>
  <c r="D183" i="7" s="1"/>
  <c r="G217" i="2"/>
  <c r="G183" i="7" s="1"/>
  <c r="E217" i="2"/>
  <c r="E183" i="7" s="1"/>
  <c r="F249" i="2"/>
  <c r="F215" i="7" s="1"/>
  <c r="K249" i="2"/>
  <c r="K215" i="7" s="1"/>
  <c r="J249" i="2"/>
  <c r="J215" i="7" s="1"/>
  <c r="I249" i="2"/>
  <c r="I215" i="7" s="1"/>
  <c r="H249" i="2"/>
  <c r="H215" i="7" s="1"/>
  <c r="D249" i="2"/>
  <c r="D215" i="7" s="1"/>
  <c r="G249" i="2"/>
  <c r="G215" i="7" s="1"/>
  <c r="E249" i="2"/>
  <c r="E215" i="7" s="1"/>
  <c r="E317" i="2"/>
  <c r="E283" i="7" s="1"/>
  <c r="J317" i="2"/>
  <c r="J283" i="7" s="1"/>
  <c r="F317" i="2"/>
  <c r="F283" i="7" s="1"/>
  <c r="H317" i="2"/>
  <c r="H283" i="7" s="1"/>
  <c r="G317" i="2"/>
  <c r="G283" i="7" s="1"/>
  <c r="D317" i="2"/>
  <c r="D283" i="7" s="1"/>
  <c r="K317" i="2"/>
  <c r="K283" i="7" s="1"/>
  <c r="I317" i="2"/>
  <c r="I283" i="7" s="1"/>
  <c r="G316" i="2"/>
  <c r="G282" i="7" s="1"/>
  <c r="D316" i="2"/>
  <c r="D282" i="7" s="1"/>
  <c r="H316" i="2"/>
  <c r="H282" i="7" s="1"/>
  <c r="F316" i="2"/>
  <c r="F282" i="7" s="1"/>
  <c r="E316" i="2"/>
  <c r="E282" i="7" s="1"/>
  <c r="K316" i="2"/>
  <c r="K282" i="7" s="1"/>
  <c r="J316" i="2"/>
  <c r="J282" i="7" s="1"/>
  <c r="I316" i="2"/>
  <c r="I282" i="7" s="1"/>
  <c r="I315" i="2"/>
  <c r="I281" i="7" s="1"/>
  <c r="F315" i="2"/>
  <c r="F281" i="7" s="1"/>
  <c r="J315" i="2"/>
  <c r="J281" i="7" s="1"/>
  <c r="D315" i="2"/>
  <c r="D281" i="7" s="1"/>
  <c r="K315" i="2"/>
  <c r="K281" i="7" s="1"/>
  <c r="G315" i="2"/>
  <c r="G281" i="7" s="1"/>
  <c r="E315" i="2"/>
  <c r="E281" i="7" s="1"/>
  <c r="H315" i="2"/>
  <c r="H281" i="7" s="1"/>
  <c r="F393" i="2"/>
  <c r="J393" i="2"/>
  <c r="H393" i="2"/>
  <c r="D393" i="2"/>
  <c r="I393" i="2"/>
  <c r="E393" i="2"/>
  <c r="K393" i="2"/>
  <c r="G393" i="2"/>
  <c r="D374" i="2"/>
  <c r="H374" i="2"/>
  <c r="I374" i="2"/>
  <c r="E374" i="2"/>
  <c r="J374" i="2"/>
  <c r="K374" i="2"/>
  <c r="G374" i="2"/>
  <c r="F374" i="2"/>
  <c r="D458" i="2"/>
  <c r="D389" i="7" s="1"/>
  <c r="I458" i="2"/>
  <c r="I389" i="7" s="1"/>
  <c r="H458" i="2"/>
  <c r="H389" i="7" s="1"/>
  <c r="E458" i="2"/>
  <c r="E389" i="7" s="1"/>
  <c r="K458" i="2"/>
  <c r="K389" i="7" s="1"/>
  <c r="J458" i="2"/>
  <c r="J389" i="7" s="1"/>
  <c r="G458" i="2"/>
  <c r="G389" i="7" s="1"/>
  <c r="F458" i="2"/>
  <c r="F389" i="7" s="1"/>
  <c r="J399" i="2"/>
  <c r="F399" i="2"/>
  <c r="H399" i="2"/>
  <c r="D399" i="2"/>
  <c r="I399" i="2"/>
  <c r="K399" i="2"/>
  <c r="G399" i="2"/>
  <c r="E399" i="2"/>
  <c r="J407" i="2"/>
  <c r="J338" i="7" s="1"/>
  <c r="F407" i="2"/>
  <c r="F338" i="7" s="1"/>
  <c r="H407" i="2"/>
  <c r="H338" i="7" s="1"/>
  <c r="D407" i="2"/>
  <c r="D338" i="7" s="1"/>
  <c r="I407" i="2"/>
  <c r="I338" i="7" s="1"/>
  <c r="K407" i="2"/>
  <c r="K338" i="7" s="1"/>
  <c r="G407" i="2"/>
  <c r="G338" i="7" s="1"/>
  <c r="E407" i="2"/>
  <c r="E338" i="7" s="1"/>
  <c r="D422" i="2"/>
  <c r="D353" i="7" s="1"/>
  <c r="I422" i="2"/>
  <c r="I353" i="7" s="1"/>
  <c r="H422" i="2"/>
  <c r="H353" i="7" s="1"/>
  <c r="E422" i="2"/>
  <c r="E353" i="7" s="1"/>
  <c r="K422" i="2"/>
  <c r="K353" i="7" s="1"/>
  <c r="F422" i="2"/>
  <c r="F353" i="7" s="1"/>
  <c r="J422" i="2"/>
  <c r="J353" i="7" s="1"/>
  <c r="G422" i="2"/>
  <c r="G353" i="7" s="1"/>
  <c r="D466" i="2"/>
  <c r="D397" i="7" s="1"/>
  <c r="I466" i="2"/>
  <c r="I397" i="7" s="1"/>
  <c r="H466" i="2"/>
  <c r="H397" i="7" s="1"/>
  <c r="E466" i="2"/>
  <c r="E397" i="7" s="1"/>
  <c r="G466" i="2"/>
  <c r="G397" i="7" s="1"/>
  <c r="F466" i="2"/>
  <c r="F397" i="7" s="1"/>
  <c r="K466" i="2"/>
  <c r="K397" i="7" s="1"/>
  <c r="J466" i="2"/>
  <c r="J397" i="7" s="1"/>
  <c r="K334" i="2"/>
  <c r="K300" i="7" s="1"/>
  <c r="H334" i="2"/>
  <c r="H300" i="7" s="1"/>
  <c r="D334" i="2"/>
  <c r="D300" i="7" s="1"/>
  <c r="E334" i="2"/>
  <c r="E300" i="7" s="1"/>
  <c r="J334" i="2"/>
  <c r="J300" i="7" s="1"/>
  <c r="I334" i="2"/>
  <c r="I300" i="7" s="1"/>
  <c r="G334" i="2"/>
  <c r="G300" i="7" s="1"/>
  <c r="F334" i="2"/>
  <c r="F300" i="7" s="1"/>
  <c r="K366" i="2"/>
  <c r="K332" i="7" s="1"/>
  <c r="H366" i="2"/>
  <c r="H332" i="7" s="1"/>
  <c r="D366" i="2"/>
  <c r="D332" i="7" s="1"/>
  <c r="E366" i="2"/>
  <c r="E332" i="7" s="1"/>
  <c r="J366" i="2"/>
  <c r="J332" i="7" s="1"/>
  <c r="I366" i="2"/>
  <c r="I332" i="7" s="1"/>
  <c r="G366" i="2"/>
  <c r="G332" i="7" s="1"/>
  <c r="F366" i="2"/>
  <c r="F332" i="7" s="1"/>
  <c r="J427" i="2"/>
  <c r="J358" i="7" s="1"/>
  <c r="G427" i="2"/>
  <c r="G358" i="7" s="1"/>
  <c r="F427" i="2"/>
  <c r="F358" i="7" s="1"/>
  <c r="K427" i="2"/>
  <c r="K358" i="7" s="1"/>
  <c r="D427" i="2"/>
  <c r="D358" i="7" s="1"/>
  <c r="E427" i="2"/>
  <c r="E358" i="7" s="1"/>
  <c r="I427" i="2"/>
  <c r="I358" i="7" s="1"/>
  <c r="H427" i="2"/>
  <c r="H358" i="7" s="1"/>
  <c r="J459" i="2"/>
  <c r="J390" i="7" s="1"/>
  <c r="G459" i="2"/>
  <c r="G390" i="7" s="1"/>
  <c r="F459" i="2"/>
  <c r="F390" i="7" s="1"/>
  <c r="K459" i="2"/>
  <c r="K390" i="7" s="1"/>
  <c r="D459" i="2"/>
  <c r="D390" i="7" s="1"/>
  <c r="I459" i="2"/>
  <c r="I390" i="7" s="1"/>
  <c r="H459" i="2"/>
  <c r="H390" i="7" s="1"/>
  <c r="E459" i="2"/>
  <c r="E390" i="7" s="1"/>
  <c r="D513" i="2"/>
  <c r="D444" i="7" s="1"/>
  <c r="I513" i="2"/>
  <c r="I444" i="7" s="1"/>
  <c r="E513" i="2"/>
  <c r="E444" i="7" s="1"/>
  <c r="K513" i="2"/>
  <c r="K444" i="7" s="1"/>
  <c r="J513" i="2"/>
  <c r="J444" i="7" s="1"/>
  <c r="H513" i="2"/>
  <c r="H444" i="7" s="1"/>
  <c r="G513" i="2"/>
  <c r="G444" i="7" s="1"/>
  <c r="F513" i="2"/>
  <c r="F444" i="7" s="1"/>
  <c r="E564" i="2"/>
  <c r="E495" i="7" s="1"/>
  <c r="D564" i="2"/>
  <c r="D495" i="7" s="1"/>
  <c r="G564" i="2"/>
  <c r="G495" i="7" s="1"/>
  <c r="F564" i="2"/>
  <c r="F495" i="7" s="1"/>
  <c r="K564" i="2"/>
  <c r="K495" i="7" s="1"/>
  <c r="H564" i="2"/>
  <c r="H495" i="7" s="1"/>
  <c r="J564" i="2"/>
  <c r="J495" i="7" s="1"/>
  <c r="I564" i="2"/>
  <c r="I495" i="7" s="1"/>
  <c r="D601" i="2"/>
  <c r="D532" i="7" s="1"/>
  <c r="I601" i="2"/>
  <c r="I532" i="7" s="1"/>
  <c r="K601" i="2"/>
  <c r="K532" i="7" s="1"/>
  <c r="J601" i="2"/>
  <c r="J532" i="7" s="1"/>
  <c r="G601" i="2"/>
  <c r="G532" i="7" s="1"/>
  <c r="F601" i="2"/>
  <c r="F532" i="7" s="1"/>
  <c r="E601" i="2"/>
  <c r="E532" i="7" s="1"/>
  <c r="H601" i="2"/>
  <c r="H532" i="7" s="1"/>
  <c r="F417" i="2"/>
  <c r="F348" i="7" s="1"/>
  <c r="K417" i="2"/>
  <c r="K348" i="7" s="1"/>
  <c r="J417" i="2"/>
  <c r="J348" i="7" s="1"/>
  <c r="G417" i="2"/>
  <c r="G348" i="7" s="1"/>
  <c r="I417" i="2"/>
  <c r="I348" i="7" s="1"/>
  <c r="D417" i="2"/>
  <c r="D348" i="7" s="1"/>
  <c r="H417" i="2"/>
  <c r="H348" i="7" s="1"/>
  <c r="E417" i="2"/>
  <c r="E348" i="7" s="1"/>
  <c r="F449" i="2"/>
  <c r="F380" i="7" s="1"/>
  <c r="K449" i="2"/>
  <c r="K380" i="7" s="1"/>
  <c r="J449" i="2"/>
  <c r="J380" i="7" s="1"/>
  <c r="G449" i="2"/>
  <c r="G380" i="7" s="1"/>
  <c r="I449" i="2"/>
  <c r="I380" i="7" s="1"/>
  <c r="H449" i="2"/>
  <c r="H380" i="7" s="1"/>
  <c r="E449" i="2"/>
  <c r="E380" i="7" s="1"/>
  <c r="D449" i="2"/>
  <c r="D380" i="7" s="1"/>
  <c r="F481" i="2"/>
  <c r="F412" i="7" s="1"/>
  <c r="E481" i="2"/>
  <c r="E412" i="7" s="1"/>
  <c r="D481" i="2"/>
  <c r="D412" i="7" s="1"/>
  <c r="K481" i="2"/>
  <c r="K412" i="7" s="1"/>
  <c r="J481" i="2"/>
  <c r="J412" i="7" s="1"/>
  <c r="I481" i="2"/>
  <c r="I412" i="7" s="1"/>
  <c r="H481" i="2"/>
  <c r="H412" i="7" s="1"/>
  <c r="G481" i="2"/>
  <c r="G412" i="7" s="1"/>
  <c r="H531" i="2"/>
  <c r="H462" i="7" s="1"/>
  <c r="I531" i="2"/>
  <c r="I462" i="7" s="1"/>
  <c r="E531" i="2"/>
  <c r="E462" i="7" s="1"/>
  <c r="J531" i="2"/>
  <c r="J462" i="7" s="1"/>
  <c r="F531" i="2"/>
  <c r="F462" i="7" s="1"/>
  <c r="D531" i="2"/>
  <c r="D462" i="7" s="1"/>
  <c r="K531" i="2"/>
  <c r="K462" i="7" s="1"/>
  <c r="G531" i="2"/>
  <c r="G462" i="7" s="1"/>
  <c r="D525" i="2"/>
  <c r="D456" i="7" s="1"/>
  <c r="I525" i="2"/>
  <c r="I456" i="7" s="1"/>
  <c r="E525" i="2"/>
  <c r="E456" i="7" s="1"/>
  <c r="F525" i="2"/>
  <c r="F456" i="7" s="1"/>
  <c r="K525" i="2"/>
  <c r="K456" i="7" s="1"/>
  <c r="J525" i="2"/>
  <c r="J456" i="7" s="1"/>
  <c r="H525" i="2"/>
  <c r="H456" i="7" s="1"/>
  <c r="G525" i="2"/>
  <c r="G456" i="7" s="1"/>
  <c r="D552" i="2"/>
  <c r="D483" i="7" s="1"/>
  <c r="F552" i="2"/>
  <c r="F483" i="7" s="1"/>
  <c r="E552" i="2"/>
  <c r="E483" i="7" s="1"/>
  <c r="K552" i="2"/>
  <c r="K483" i="7" s="1"/>
  <c r="J552" i="2"/>
  <c r="J483" i="7" s="1"/>
  <c r="G552" i="2"/>
  <c r="G483" i="7" s="1"/>
  <c r="I552" i="2"/>
  <c r="I483" i="7" s="1"/>
  <c r="H552" i="2"/>
  <c r="H483" i="7" s="1"/>
  <c r="J518" i="2"/>
  <c r="J449" i="7" s="1"/>
  <c r="G518" i="2"/>
  <c r="G449" i="7" s="1"/>
  <c r="K518" i="2"/>
  <c r="K449" i="7" s="1"/>
  <c r="I518" i="2"/>
  <c r="I449" i="7" s="1"/>
  <c r="H518" i="2"/>
  <c r="H449" i="7" s="1"/>
  <c r="F518" i="2"/>
  <c r="F449" i="7" s="1"/>
  <c r="E518" i="2"/>
  <c r="E449" i="7" s="1"/>
  <c r="D518" i="2"/>
  <c r="D449" i="7" s="1"/>
  <c r="D537" i="2"/>
  <c r="D468" i="7" s="1"/>
  <c r="H537" i="2"/>
  <c r="H468" i="7" s="1"/>
  <c r="I537" i="2"/>
  <c r="I468" i="7" s="1"/>
  <c r="E537" i="2"/>
  <c r="E468" i="7" s="1"/>
  <c r="J537" i="2"/>
  <c r="J468" i="7" s="1"/>
  <c r="K537" i="2"/>
  <c r="K468" i="7" s="1"/>
  <c r="G537" i="2"/>
  <c r="G468" i="7" s="1"/>
  <c r="F537" i="2"/>
  <c r="F468" i="7" s="1"/>
  <c r="D545" i="2"/>
  <c r="D476" i="7" s="1"/>
  <c r="H545" i="2"/>
  <c r="H476" i="7" s="1"/>
  <c r="I545" i="2"/>
  <c r="I476" i="7" s="1"/>
  <c r="E545" i="2"/>
  <c r="E476" i="7" s="1"/>
  <c r="J545" i="2"/>
  <c r="J476" i="7" s="1"/>
  <c r="K545" i="2"/>
  <c r="K476" i="7" s="1"/>
  <c r="G545" i="2"/>
  <c r="G476" i="7" s="1"/>
  <c r="F545" i="2"/>
  <c r="F476" i="7" s="1"/>
  <c r="F516" i="2"/>
  <c r="F447" i="7" s="1"/>
  <c r="K516" i="2"/>
  <c r="K447" i="7" s="1"/>
  <c r="G516" i="2"/>
  <c r="G447" i="7" s="1"/>
  <c r="I516" i="2"/>
  <c r="I447" i="7" s="1"/>
  <c r="H516" i="2"/>
  <c r="H447" i="7" s="1"/>
  <c r="E516" i="2"/>
  <c r="E447" i="7" s="1"/>
  <c r="D516" i="2"/>
  <c r="D447" i="7" s="1"/>
  <c r="J516" i="2"/>
  <c r="J447" i="7" s="1"/>
  <c r="G583" i="2"/>
  <c r="G514" i="7" s="1"/>
  <c r="F583" i="2"/>
  <c r="F514" i="7" s="1"/>
  <c r="K583" i="2"/>
  <c r="K514" i="7" s="1"/>
  <c r="I583" i="2"/>
  <c r="I514" i="7" s="1"/>
  <c r="H583" i="2"/>
  <c r="H514" i="7" s="1"/>
  <c r="E583" i="2"/>
  <c r="E514" i="7" s="1"/>
  <c r="J583" i="2"/>
  <c r="J514" i="7" s="1"/>
  <c r="D583" i="2"/>
  <c r="D514" i="7" s="1"/>
  <c r="G575" i="2"/>
  <c r="G506" i="7" s="1"/>
  <c r="F575" i="2"/>
  <c r="F506" i="7" s="1"/>
  <c r="J575" i="2"/>
  <c r="J506" i="7" s="1"/>
  <c r="I575" i="2"/>
  <c r="I506" i="7" s="1"/>
  <c r="E575" i="2"/>
  <c r="E506" i="7" s="1"/>
  <c r="D575" i="2"/>
  <c r="D506" i="7" s="1"/>
  <c r="K575" i="2"/>
  <c r="K506" i="7" s="1"/>
  <c r="H575" i="2"/>
  <c r="H506" i="7" s="1"/>
  <c r="G571" i="2"/>
  <c r="G502" i="7" s="1"/>
  <c r="F571" i="2"/>
  <c r="F502" i="7" s="1"/>
  <c r="I571" i="2"/>
  <c r="I502" i="7" s="1"/>
  <c r="H571" i="2"/>
  <c r="H502" i="7" s="1"/>
  <c r="D571" i="2"/>
  <c r="D502" i="7" s="1"/>
  <c r="J571" i="2"/>
  <c r="J502" i="7" s="1"/>
  <c r="K571" i="2"/>
  <c r="K502" i="7" s="1"/>
  <c r="E571" i="2"/>
  <c r="E502" i="7" s="1"/>
  <c r="I566" i="2"/>
  <c r="I497" i="7" s="1"/>
  <c r="H566" i="2"/>
  <c r="H497" i="7" s="1"/>
  <c r="F566" i="2"/>
  <c r="F497" i="7" s="1"/>
  <c r="E566" i="2"/>
  <c r="E497" i="7" s="1"/>
  <c r="G566" i="2"/>
  <c r="G497" i="7" s="1"/>
  <c r="K566" i="2"/>
  <c r="K497" i="7" s="1"/>
  <c r="D566" i="2"/>
  <c r="D497" i="7" s="1"/>
  <c r="J566" i="2"/>
  <c r="J497" i="7" s="1"/>
  <c r="H554" i="2"/>
  <c r="H485" i="7" s="1"/>
  <c r="K554" i="2"/>
  <c r="K485" i="7" s="1"/>
  <c r="I554" i="2"/>
  <c r="I485" i="7" s="1"/>
  <c r="G554" i="2"/>
  <c r="G485" i="7" s="1"/>
  <c r="D554" i="2"/>
  <c r="D485" i="7" s="1"/>
  <c r="J554" i="2"/>
  <c r="J485" i="7" s="1"/>
  <c r="F554" i="2"/>
  <c r="F485" i="7" s="1"/>
  <c r="E554" i="2"/>
  <c r="E485" i="7" s="1"/>
  <c r="H682" i="2"/>
  <c r="H613" i="7" s="1"/>
  <c r="D682" i="2"/>
  <c r="D613" i="7" s="1"/>
  <c r="J682" i="2"/>
  <c r="J613" i="7" s="1"/>
  <c r="E682" i="2"/>
  <c r="E613" i="7" s="1"/>
  <c r="K682" i="2"/>
  <c r="K613" i="7" s="1"/>
  <c r="G682" i="2"/>
  <c r="G613" i="7" s="1"/>
  <c r="F682" i="2"/>
  <c r="F613" i="7" s="1"/>
  <c r="I682" i="2"/>
  <c r="I613" i="7" s="1"/>
  <c r="D688" i="2"/>
  <c r="D619" i="7" s="1"/>
  <c r="H688" i="2"/>
  <c r="H619" i="7" s="1"/>
  <c r="F688" i="2"/>
  <c r="F619" i="7" s="1"/>
  <c r="K688" i="2"/>
  <c r="K619" i="7" s="1"/>
  <c r="J688" i="2"/>
  <c r="J619" i="7" s="1"/>
  <c r="G688" i="2"/>
  <c r="G619" i="7" s="1"/>
  <c r="E688" i="2"/>
  <c r="E619" i="7" s="1"/>
  <c r="I688" i="2"/>
  <c r="I619" i="7" s="1"/>
  <c r="J590" i="2"/>
  <c r="J521" i="7" s="1"/>
  <c r="K590" i="2"/>
  <c r="K521" i="7" s="1"/>
  <c r="F590" i="2"/>
  <c r="F521" i="7" s="1"/>
  <c r="E590" i="2"/>
  <c r="E521" i="7" s="1"/>
  <c r="I590" i="2"/>
  <c r="I521" i="7" s="1"/>
  <c r="G590" i="2"/>
  <c r="G521" i="7" s="1"/>
  <c r="H590" i="2"/>
  <c r="H521" i="7" s="1"/>
  <c r="D590" i="2"/>
  <c r="D521" i="7" s="1"/>
  <c r="H619" i="2"/>
  <c r="H550" i="7" s="1"/>
  <c r="G619" i="2"/>
  <c r="G550" i="7" s="1"/>
  <c r="E619" i="2"/>
  <c r="E550" i="7" s="1"/>
  <c r="K619" i="2"/>
  <c r="K550" i="7" s="1"/>
  <c r="F619" i="2"/>
  <c r="F550" i="7" s="1"/>
  <c r="D619" i="2"/>
  <c r="D550" i="7" s="1"/>
  <c r="I619" i="2"/>
  <c r="I550" i="7" s="1"/>
  <c r="J619" i="2"/>
  <c r="J550" i="7" s="1"/>
  <c r="H662" i="2"/>
  <c r="H593" i="7" s="1"/>
  <c r="D662" i="2"/>
  <c r="D593" i="7" s="1"/>
  <c r="I662" i="2"/>
  <c r="I593" i="7" s="1"/>
  <c r="F662" i="2"/>
  <c r="F593" i="7" s="1"/>
  <c r="K662" i="2"/>
  <c r="K593" i="7" s="1"/>
  <c r="G662" i="2"/>
  <c r="G593" i="7" s="1"/>
  <c r="J662" i="2"/>
  <c r="J593" i="7" s="1"/>
  <c r="E662" i="2"/>
  <c r="E593" i="7" s="1"/>
  <c r="F608" i="2"/>
  <c r="F539" i="7" s="1"/>
  <c r="K608" i="2"/>
  <c r="K539" i="7" s="1"/>
  <c r="I608" i="2"/>
  <c r="I539" i="7" s="1"/>
  <c r="E608" i="2"/>
  <c r="E539" i="7" s="1"/>
  <c r="D608" i="2"/>
  <c r="D539" i="7" s="1"/>
  <c r="J608" i="2"/>
  <c r="J539" i="7" s="1"/>
  <c r="G608" i="2"/>
  <c r="G539" i="7" s="1"/>
  <c r="H608" i="2"/>
  <c r="H539" i="7" s="1"/>
  <c r="J649" i="2"/>
  <c r="J580" i="7" s="1"/>
  <c r="F649" i="2"/>
  <c r="F580" i="7" s="1"/>
  <c r="H649" i="2"/>
  <c r="H580" i="7" s="1"/>
  <c r="E649" i="2"/>
  <c r="E580" i="7" s="1"/>
  <c r="I649" i="2"/>
  <c r="I580" i="7" s="1"/>
  <c r="G649" i="2"/>
  <c r="G580" i="7" s="1"/>
  <c r="D649" i="2"/>
  <c r="D580" i="7" s="1"/>
  <c r="K649" i="2"/>
  <c r="K580" i="7" s="1"/>
  <c r="D680" i="2"/>
  <c r="D611" i="7" s="1"/>
  <c r="H680" i="2"/>
  <c r="H611" i="7" s="1"/>
  <c r="F680" i="2"/>
  <c r="F611" i="7" s="1"/>
  <c r="K680" i="2"/>
  <c r="K611" i="7" s="1"/>
  <c r="I680" i="2"/>
  <c r="I611" i="7" s="1"/>
  <c r="G680" i="2"/>
  <c r="G611" i="7" s="1"/>
  <c r="J680" i="2"/>
  <c r="J611" i="7" s="1"/>
  <c r="E680" i="2"/>
  <c r="E611" i="7" s="1"/>
  <c r="D656" i="2"/>
  <c r="D587" i="7" s="1"/>
  <c r="H656" i="2"/>
  <c r="H587" i="7" s="1"/>
  <c r="I656" i="2"/>
  <c r="I587" i="7" s="1"/>
  <c r="F656" i="2"/>
  <c r="F587" i="7" s="1"/>
  <c r="E656" i="2"/>
  <c r="E587" i="7" s="1"/>
  <c r="K656" i="2"/>
  <c r="K587" i="7" s="1"/>
  <c r="J656" i="2"/>
  <c r="J587" i="7" s="1"/>
  <c r="G656" i="2"/>
  <c r="G587" i="7" s="1"/>
  <c r="D700" i="2"/>
  <c r="D631" i="7" s="1"/>
  <c r="J700" i="2"/>
  <c r="J631" i="7" s="1"/>
  <c r="H700" i="2"/>
  <c r="H631" i="7" s="1"/>
  <c r="G700" i="2"/>
  <c r="G631" i="7" s="1"/>
  <c r="F700" i="2"/>
  <c r="F631" i="7" s="1"/>
  <c r="E700" i="2"/>
  <c r="E631" i="7" s="1"/>
  <c r="K700" i="2"/>
  <c r="K631" i="7" s="1"/>
  <c r="I700" i="2"/>
  <c r="I631" i="7" s="1"/>
  <c r="F683" i="2"/>
  <c r="F614" i="7" s="1"/>
  <c r="J683" i="2"/>
  <c r="J614" i="7" s="1"/>
  <c r="H683" i="2"/>
  <c r="H614" i="7" s="1"/>
  <c r="E683" i="2"/>
  <c r="E614" i="7" s="1"/>
  <c r="G683" i="2"/>
  <c r="G614" i="7" s="1"/>
  <c r="D683" i="2"/>
  <c r="D614" i="7" s="1"/>
  <c r="K683" i="2"/>
  <c r="K614" i="7" s="1"/>
  <c r="I683" i="2"/>
  <c r="I614" i="7" s="1"/>
  <c r="K633" i="2"/>
  <c r="K564" i="7" s="1"/>
  <c r="I633" i="2"/>
  <c r="I564" i="7" s="1"/>
  <c r="D633" i="2"/>
  <c r="D564" i="7" s="1"/>
  <c r="J633" i="2"/>
  <c r="J564" i="7" s="1"/>
  <c r="G633" i="2"/>
  <c r="G564" i="7" s="1"/>
  <c r="H633" i="2"/>
  <c r="H564" i="7" s="1"/>
  <c r="F633" i="2"/>
  <c r="F564" i="7" s="1"/>
  <c r="E633" i="2"/>
  <c r="E564" i="7" s="1"/>
  <c r="F715" i="2"/>
  <c r="F646" i="7" s="1"/>
  <c r="D715" i="2"/>
  <c r="D646" i="7" s="1"/>
  <c r="J715" i="2"/>
  <c r="J646" i="7" s="1"/>
  <c r="I715" i="2"/>
  <c r="I646" i="7" s="1"/>
  <c r="H715" i="2"/>
  <c r="H646" i="7" s="1"/>
  <c r="G715" i="2"/>
  <c r="G646" i="7" s="1"/>
  <c r="K715" i="2"/>
  <c r="K646" i="7" s="1"/>
  <c r="E715" i="2"/>
  <c r="E646" i="7" s="1"/>
  <c r="J721" i="2"/>
  <c r="J652" i="7" s="1"/>
  <c r="I721" i="2"/>
  <c r="I652" i="7" s="1"/>
  <c r="H721" i="2"/>
  <c r="H652" i="7" s="1"/>
  <c r="G721" i="2"/>
  <c r="G652" i="7" s="1"/>
  <c r="F721" i="2"/>
  <c r="F652" i="7" s="1"/>
  <c r="E721" i="2"/>
  <c r="E652" i="7" s="1"/>
  <c r="D721" i="2"/>
  <c r="D652" i="7" s="1"/>
  <c r="K721" i="2"/>
  <c r="K652" i="7" s="1"/>
  <c r="H714" i="2"/>
  <c r="H645" i="7" s="1"/>
  <c r="F714" i="2"/>
  <c r="F645" i="7" s="1"/>
  <c r="D714" i="2"/>
  <c r="D645" i="7" s="1"/>
  <c r="K714" i="2"/>
  <c r="K645" i="7" s="1"/>
  <c r="J714" i="2"/>
  <c r="J645" i="7" s="1"/>
  <c r="I714" i="2"/>
  <c r="I645" i="7" s="1"/>
  <c r="G714" i="2"/>
  <c r="G645" i="7" s="1"/>
  <c r="E714" i="2"/>
  <c r="E645" i="7" s="1"/>
  <c r="F731" i="2"/>
  <c r="F662" i="7" s="1"/>
  <c r="E731" i="2"/>
  <c r="E662" i="7" s="1"/>
  <c r="D731" i="2"/>
  <c r="D662" i="7" s="1"/>
  <c r="K731" i="2"/>
  <c r="K662" i="7" s="1"/>
  <c r="J731" i="2"/>
  <c r="J662" i="7" s="1"/>
  <c r="I731" i="2"/>
  <c r="I662" i="7" s="1"/>
  <c r="H731" i="2"/>
  <c r="H662" i="7" s="1"/>
  <c r="G731" i="2"/>
  <c r="G662" i="7" s="1"/>
  <c r="D222" i="2" l="1"/>
  <c r="D188" i="7" s="1"/>
  <c r="D150" i="2"/>
  <c r="D116" i="7" s="1"/>
  <c r="D126" i="2"/>
  <c r="D92" i="7" s="1"/>
  <c r="D41" i="2"/>
  <c r="D7" i="7" s="1"/>
  <c r="D189" i="2"/>
  <c r="D155" i="7" s="1"/>
  <c r="D85" i="2"/>
  <c r="D51" i="7" s="1"/>
  <c r="E85" i="2"/>
  <c r="E51" i="7" s="1"/>
  <c r="D253" i="2"/>
  <c r="D219" i="7" s="1"/>
  <c r="D58" i="2"/>
  <c r="D24" i="7" s="1"/>
  <c r="D305" i="2"/>
  <c r="D271" i="7" s="1"/>
  <c r="D71" i="2"/>
  <c r="D37" i="7" s="1"/>
  <c r="D268" i="2"/>
  <c r="D234" i="7" s="1"/>
  <c r="L234" i="7" s="1"/>
  <c r="E67" i="2"/>
  <c r="E33" i="7" s="1"/>
  <c r="D361" i="2"/>
  <c r="D327" i="7" s="1"/>
  <c r="D79" i="2"/>
  <c r="D45" i="7" s="1"/>
  <c r="L45" i="7" s="1"/>
  <c r="E50" i="2"/>
  <c r="E16" i="7" s="1"/>
  <c r="L16" i="7" s="1"/>
  <c r="D168" i="2"/>
  <c r="D134" i="7" s="1"/>
  <c r="D130" i="2"/>
  <c r="D96" i="7" s="1"/>
  <c r="D39" i="2"/>
  <c r="D5" i="7" s="1"/>
  <c r="E136" i="2"/>
  <c r="E102" i="7" s="1"/>
  <c r="D110" i="2"/>
  <c r="D76" i="7" s="1"/>
  <c r="D231" i="2"/>
  <c r="D197" i="7" s="1"/>
  <c r="D140" i="2"/>
  <c r="D106" i="7" s="1"/>
  <c r="L106" i="7" s="1"/>
  <c r="D187" i="2"/>
  <c r="D153" i="7" s="1"/>
  <c r="L153" i="7" s="1"/>
  <c r="D272" i="2"/>
  <c r="D238" i="7" s="1"/>
  <c r="D260" i="2"/>
  <c r="D226" i="7" s="1"/>
  <c r="L226" i="7" s="1"/>
  <c r="D96" i="2"/>
  <c r="D62" i="7" s="1"/>
  <c r="D228" i="2"/>
  <c r="D194" i="7" s="1"/>
  <c r="E209" i="2"/>
  <c r="E175" i="7" s="1"/>
  <c r="D177" i="2"/>
  <c r="D143" i="7" s="1"/>
  <c r="L143" i="7" s="1"/>
  <c r="D60" i="2"/>
  <c r="D26" i="7" s="1"/>
  <c r="L26" i="7" s="1"/>
  <c r="E201" i="2"/>
  <c r="E167" i="7" s="1"/>
  <c r="L167" i="7" s="1"/>
  <c r="D88" i="2"/>
  <c r="D54" i="7" s="1"/>
  <c r="D312" i="2"/>
  <c r="D278" i="7" s="1"/>
  <c r="D288" i="2"/>
  <c r="D254" i="7" s="1"/>
  <c r="D258" i="2"/>
  <c r="D224" i="7" s="1"/>
  <c r="D84" i="2"/>
  <c r="D50" i="7" s="1"/>
  <c r="E244" i="2"/>
  <c r="E210" i="7" s="1"/>
  <c r="L210" i="7" s="1"/>
  <c r="D348" i="2"/>
  <c r="D314" i="7" s="1"/>
  <c r="L314" i="7" s="1"/>
  <c r="D135" i="2"/>
  <c r="D101" i="7" s="1"/>
  <c r="L101" i="7" s="1"/>
  <c r="D166" i="2"/>
  <c r="D132" i="7" s="1"/>
  <c r="E155" i="2"/>
  <c r="E121" i="7" s="1"/>
  <c r="E84" i="2"/>
  <c r="E50" i="7" s="1"/>
  <c r="D69" i="2"/>
  <c r="D35" i="7" s="1"/>
  <c r="D218" i="2"/>
  <c r="D184" i="7" s="1"/>
  <c r="D230" i="2"/>
  <c r="D196" i="7" s="1"/>
  <c r="D139" i="2"/>
  <c r="D105" i="7" s="1"/>
  <c r="L105" i="7" s="1"/>
  <c r="E258" i="2"/>
  <c r="E224" i="7" s="1"/>
  <c r="L224" i="7" s="1"/>
  <c r="E318" i="2"/>
  <c r="E284" i="7" s="1"/>
  <c r="D333" i="2"/>
  <c r="D299" i="7" s="1"/>
  <c r="E284" i="2"/>
  <c r="E250" i="7" s="1"/>
  <c r="E346" i="2"/>
  <c r="E312" i="7" s="1"/>
  <c r="E347" i="2"/>
  <c r="E313" i="7" s="1"/>
  <c r="D319" i="2"/>
  <c r="D285" i="7" s="1"/>
  <c r="D174" i="2"/>
  <c r="D140" i="7" s="1"/>
  <c r="L140" i="7" s="1"/>
  <c r="D257" i="2"/>
  <c r="D223" i="7" s="1"/>
  <c r="L223" i="7" s="1"/>
  <c r="D225" i="2"/>
  <c r="D191" i="7" s="1"/>
  <c r="E274" i="2"/>
  <c r="E240" i="7" s="1"/>
  <c r="D78" i="2"/>
  <c r="D44" i="7" s="1"/>
  <c r="D184" i="2"/>
  <c r="D150" i="7" s="1"/>
  <c r="E250" i="2"/>
  <c r="E216" i="7" s="1"/>
  <c r="D52" i="2"/>
  <c r="D18" i="7" s="1"/>
  <c r="E221" i="2"/>
  <c r="E187" i="7" s="1"/>
  <c r="L187" i="7" s="1"/>
  <c r="E193" i="2"/>
  <c r="E159" i="7" s="1"/>
  <c r="L159" i="7" s="1"/>
  <c r="Y800" i="2"/>
  <c r="Y117" i="2"/>
  <c r="D56" i="2"/>
  <c r="D22" i="7" s="1"/>
  <c r="L22" i="7" s="1"/>
  <c r="D99" i="2"/>
  <c r="D65" i="7" s="1"/>
  <c r="L65" i="7" s="1"/>
  <c r="L631" i="7"/>
  <c r="L587" i="7"/>
  <c r="L476" i="7"/>
  <c r="L468" i="7"/>
  <c r="L397" i="7"/>
  <c r="L623" i="7"/>
  <c r="L583" i="7"/>
  <c r="L448" i="7"/>
  <c r="L381" i="7"/>
  <c r="L345" i="7"/>
  <c r="L521" i="7"/>
  <c r="L606" i="7"/>
  <c r="L490" i="7"/>
  <c r="L419" i="7"/>
  <c r="L482" i="7"/>
  <c r="L598" i="7"/>
  <c r="L486" i="7"/>
  <c r="L454" i="7"/>
  <c r="L497" i="7"/>
  <c r="L376" i="7"/>
  <c r="L604" i="7"/>
  <c r="L569" i="7"/>
  <c r="L512" i="7"/>
  <c r="L594" i="7"/>
  <c r="L506" i="7"/>
  <c r="L462" i="7"/>
  <c r="L348" i="7"/>
  <c r="L560" i="7"/>
  <c r="L505" i="7"/>
  <c r="L441" i="7"/>
  <c r="L372" i="7"/>
  <c r="L539" i="7"/>
  <c r="L501" i="7"/>
  <c r="L446" i="7"/>
  <c r="L571" i="7"/>
  <c r="L475" i="7"/>
  <c r="L467" i="7"/>
  <c r="L344" i="7"/>
  <c r="L336" i="7"/>
  <c r="L662" i="7"/>
  <c r="L645" i="7"/>
  <c r="L564" i="7"/>
  <c r="L658" i="7"/>
  <c r="L641" i="7"/>
  <c r="L654" i="7"/>
  <c r="L637" i="7"/>
  <c r="L391" i="7"/>
  <c r="L633" i="7"/>
  <c r="L620" i="7"/>
  <c r="L566" i="7"/>
  <c r="L375" i="7"/>
  <c r="L367" i="7"/>
  <c r="L629" i="7"/>
  <c r="L612" i="7"/>
  <c r="L565" i="7"/>
  <c r="L527" i="7"/>
  <c r="L359" i="7"/>
  <c r="L351" i="7"/>
  <c r="L371" i="7"/>
  <c r="L625" i="7"/>
  <c r="L519" i="7"/>
  <c r="L395" i="7"/>
  <c r="L403" i="7"/>
  <c r="L379" i="7"/>
  <c r="L363" i="7"/>
  <c r="L649" i="7"/>
  <c r="L616" i="7"/>
  <c r="L416" i="7"/>
  <c r="L387" i="7"/>
  <c r="L355" i="7"/>
  <c r="L646" i="7"/>
  <c r="L593" i="7"/>
  <c r="L613" i="7"/>
  <c r="L495" i="7"/>
  <c r="L589" i="7"/>
  <c r="L408" i="7"/>
  <c r="L484" i="7"/>
  <c r="L474" i="7"/>
  <c r="L466" i="7"/>
  <c r="L425" i="7"/>
  <c r="L511" i="7"/>
  <c r="L332" i="7"/>
  <c r="L75" i="7"/>
  <c r="L178" i="7"/>
  <c r="L146" i="7"/>
  <c r="L79" i="7"/>
  <c r="L119" i="7"/>
  <c r="L330" i="7"/>
  <c r="L276" i="7"/>
  <c r="L268" i="7"/>
  <c r="L174" i="7"/>
  <c r="L107" i="7"/>
  <c r="L111" i="7"/>
  <c r="L10" i="7"/>
  <c r="L310" i="7"/>
  <c r="L115" i="7"/>
  <c r="L123" i="7"/>
  <c r="L170" i="7"/>
  <c r="L4" i="7"/>
  <c r="L14" i="7"/>
  <c r="L261" i="7"/>
  <c r="L325" i="7"/>
  <c r="L68" i="7"/>
  <c r="L283" i="7"/>
  <c r="L126" i="7"/>
  <c r="L64" i="7"/>
  <c r="L32" i="7"/>
  <c r="L239" i="7"/>
  <c r="L50" i="7"/>
  <c r="K669" i="7"/>
  <c r="V2182" i="2"/>
  <c r="I37" i="2"/>
  <c r="I3" i="7" s="1"/>
  <c r="I664" i="7" s="1"/>
  <c r="T2182" i="2"/>
  <c r="G37" i="2"/>
  <c r="G3" i="7" s="1"/>
  <c r="G664" i="7" s="1"/>
  <c r="L215" i="7"/>
  <c r="L183" i="7"/>
  <c r="L277" i="7"/>
  <c r="L275" i="7"/>
  <c r="X2182" i="2"/>
  <c r="K37" i="2"/>
  <c r="K3" i="7" s="1"/>
  <c r="K664" i="7" s="1"/>
  <c r="L61" i="7"/>
  <c r="J669" i="7"/>
  <c r="F669" i="7"/>
  <c r="W2182" i="2"/>
  <c r="J37" i="2"/>
  <c r="J3" i="7" s="1"/>
  <c r="J664" i="7" s="1"/>
  <c r="L300" i="7"/>
  <c r="L328" i="7"/>
  <c r="L296" i="7"/>
  <c r="L324" i="7"/>
  <c r="L292" i="7"/>
  <c r="L70" i="7"/>
  <c r="L38" i="7"/>
  <c r="L214" i="7"/>
  <c r="L320" i="7"/>
  <c r="L288" i="7"/>
  <c r="L222" i="7"/>
  <c r="L230" i="7"/>
  <c r="L186" i="7"/>
  <c r="L238" i="7"/>
  <c r="L131" i="7"/>
  <c r="L139" i="7"/>
  <c r="L66" i="7"/>
  <c r="L34" i="7"/>
  <c r="L316" i="7"/>
  <c r="L284" i="7"/>
  <c r="L62" i="7"/>
  <c r="L30" i="7"/>
  <c r="L312" i="7"/>
  <c r="L280" i="7"/>
  <c r="L194" i="7"/>
  <c r="L182" i="7"/>
  <c r="L58" i="7"/>
  <c r="L308" i="7"/>
  <c r="L190" i="7"/>
  <c r="L206" i="7"/>
  <c r="L198" i="7"/>
  <c r="L127" i="7"/>
  <c r="L54" i="7"/>
  <c r="L304" i="7"/>
  <c r="S2182" i="2"/>
  <c r="F37" i="2"/>
  <c r="F3" i="7" s="1"/>
  <c r="F664" i="7" s="1"/>
  <c r="H669" i="7"/>
  <c r="L208" i="7"/>
  <c r="L160" i="7"/>
  <c r="L141" i="7"/>
  <c r="L89" i="7"/>
  <c r="L228" i="7"/>
  <c r="L236" i="7"/>
  <c r="L192" i="7"/>
  <c r="U2182" i="2"/>
  <c r="H37" i="2"/>
  <c r="H3" i="7" s="1"/>
  <c r="H664" i="7" s="1"/>
  <c r="L253" i="7"/>
  <c r="L211" i="7"/>
  <c r="L179" i="7"/>
  <c r="L323" i="7"/>
  <c r="L245" i="7"/>
  <c r="I669" i="7"/>
  <c r="G669" i="7"/>
  <c r="L485" i="7"/>
  <c r="L502" i="7"/>
  <c r="L390" i="7"/>
  <c r="L358" i="7"/>
  <c r="L247" i="7"/>
  <c r="L29" i="7"/>
  <c r="L648" i="7"/>
  <c r="L488" i="7"/>
  <c r="L57" i="7"/>
  <c r="L644" i="7"/>
  <c r="L610" i="7"/>
  <c r="L430" i="7"/>
  <c r="L53" i="7"/>
  <c r="L640" i="7"/>
  <c r="L435" i="7"/>
  <c r="L114" i="7"/>
  <c r="L49" i="7"/>
  <c r="L661" i="7"/>
  <c r="L636" i="7"/>
  <c r="L545" i="7"/>
  <c r="L415" i="7"/>
  <c r="L406" i="7"/>
  <c r="L374" i="7"/>
  <c r="L327" i="7"/>
  <c r="L199" i="7"/>
  <c r="L225" i="7"/>
  <c r="L110" i="7"/>
  <c r="L657" i="7"/>
  <c r="L632" i="7"/>
  <c r="L500" i="7"/>
  <c r="L411" i="7"/>
  <c r="J665" i="7"/>
  <c r="L41" i="7"/>
  <c r="L653" i="7"/>
  <c r="L628" i="7"/>
  <c r="L555" i="7"/>
  <c r="L301" i="7"/>
  <c r="L237" i="7"/>
  <c r="L134" i="7"/>
  <c r="L69" i="7"/>
  <c r="L37" i="7"/>
  <c r="L451" i="7"/>
  <c r="L422" i="7"/>
  <c r="L295" i="7"/>
  <c r="L251" i="7"/>
  <c r="L193" i="7"/>
  <c r="L33" i="7"/>
  <c r="L338" i="7"/>
  <c r="L281" i="7"/>
  <c r="L98" i="7"/>
  <c r="L88" i="7"/>
  <c r="L535" i="7"/>
  <c r="L546" i="7"/>
  <c r="L478" i="7"/>
  <c r="L445" i="7"/>
  <c r="L94" i="7"/>
  <c r="L84" i="7"/>
  <c r="L25" i="7"/>
  <c r="L489" i="7"/>
  <c r="L90" i="7"/>
  <c r="L80" i="7"/>
  <c r="L21" i="7"/>
  <c r="L567" i="7"/>
  <c r="L541" i="7"/>
  <c r="L481" i="7"/>
  <c r="L473" i="7"/>
  <c r="L493" i="7"/>
  <c r="L235" i="7"/>
  <c r="L203" i="7"/>
  <c r="L86" i="7"/>
  <c r="L108" i="7"/>
  <c r="L17" i="7"/>
  <c r="L463" i="7"/>
  <c r="L342" i="7"/>
  <c r="L334" i="7"/>
  <c r="L229" i="7"/>
  <c r="L82" i="7"/>
  <c r="L104" i="7"/>
  <c r="L13" i="7"/>
  <c r="L471" i="7"/>
  <c r="L461" i="7"/>
  <c r="L429" i="7"/>
  <c r="E665" i="7"/>
  <c r="L313" i="7"/>
  <c r="L78" i="7"/>
  <c r="L100" i="7"/>
  <c r="L9" i="7"/>
  <c r="L423" i="7"/>
  <c r="L407" i="7"/>
  <c r="L340" i="7"/>
  <c r="L307" i="7"/>
  <c r="L197" i="7"/>
  <c r="L96" i="7"/>
  <c r="L5" i="7"/>
  <c r="L624" i="7"/>
  <c r="L492" i="7"/>
  <c r="L477" i="7"/>
  <c r="L469" i="7"/>
  <c r="L494" i="7"/>
  <c r="L465" i="7"/>
  <c r="L102" i="7"/>
  <c r="L92" i="7"/>
  <c r="L412" i="7"/>
  <c r="L218" i="7"/>
  <c r="L46" i="7"/>
  <c r="L608" i="7"/>
  <c r="L399" i="7"/>
  <c r="L242" i="7"/>
  <c r="L135" i="7"/>
  <c r="L42" i="7"/>
  <c r="L383" i="7"/>
  <c r="L202" i="7"/>
  <c r="I665" i="7"/>
  <c r="L282" i="7"/>
  <c r="L322" i="7"/>
  <c r="L609" i="7"/>
  <c r="L260" i="7"/>
  <c r="L630" i="7"/>
  <c r="L585" i="7"/>
  <c r="L318" i="7"/>
  <c r="L71" i="7"/>
  <c r="L103" i="7"/>
  <c r="L6" i="7"/>
  <c r="L650" i="7"/>
  <c r="L638" i="7"/>
  <c r="L581" i="7"/>
  <c r="L417" i="7"/>
  <c r="L343" i="7"/>
  <c r="L335" i="7"/>
  <c r="L347" i="7"/>
  <c r="L290" i="7"/>
  <c r="L166" i="7"/>
  <c r="L99" i="7"/>
  <c r="L617" i="7"/>
  <c r="L306" i="7"/>
  <c r="L326" i="7"/>
  <c r="L298" i="7"/>
  <c r="L252" i="7"/>
  <c r="L162" i="7"/>
  <c r="L95" i="7"/>
  <c r="L634" i="7"/>
  <c r="L605" i="7"/>
  <c r="H665" i="7"/>
  <c r="L286" i="7"/>
  <c r="L272" i="7"/>
  <c r="L264" i="7"/>
  <c r="L256" i="7"/>
  <c r="L248" i="7"/>
  <c r="L158" i="7"/>
  <c r="L91" i="7"/>
  <c r="L642" i="7"/>
  <c r="L601" i="7"/>
  <c r="L626" i="7"/>
  <c r="L499" i="7"/>
  <c r="L470" i="7"/>
  <c r="L302" i="7"/>
  <c r="L154" i="7"/>
  <c r="L87" i="7"/>
  <c r="L621" i="7"/>
  <c r="L597" i="7"/>
  <c r="L503" i="7"/>
  <c r="L507" i="7"/>
  <c r="L515" i="7"/>
  <c r="L339" i="7"/>
  <c r="L294" i="7"/>
  <c r="L150" i="7"/>
  <c r="L83" i="7"/>
  <c r="L18" i="7"/>
  <c r="E669" i="7"/>
  <c r="L611" i="7"/>
  <c r="L619" i="7"/>
  <c r="L483" i="7"/>
  <c r="L456" i="7"/>
  <c r="L532" i="7"/>
  <c r="L444" i="7"/>
  <c r="L353" i="7"/>
  <c r="L389" i="7"/>
  <c r="L180" i="7"/>
  <c r="L168" i="7"/>
  <c r="L164" i="7"/>
  <c r="L47" i="7"/>
  <c r="L113" i="7"/>
  <c r="L93" i="7"/>
  <c r="L639" i="7"/>
  <c r="L440" i="7"/>
  <c r="L337" i="7"/>
  <c r="L357" i="7"/>
  <c r="L129" i="7"/>
  <c r="L156" i="7"/>
  <c r="L133" i="7"/>
  <c r="L43" i="7"/>
  <c r="L15" i="7"/>
  <c r="L579" i="7"/>
  <c r="L647" i="7"/>
  <c r="L544" i="7"/>
  <c r="L432" i="7"/>
  <c r="L349" i="7"/>
  <c r="L244" i="7"/>
  <c r="L137" i="7"/>
  <c r="L152" i="7"/>
  <c r="L125" i="7"/>
  <c r="L148" i="7"/>
  <c r="L73" i="7"/>
  <c r="L39" i="7"/>
  <c r="L85" i="7"/>
  <c r="L607" i="7"/>
  <c r="L615" i="7"/>
  <c r="L428" i="7"/>
  <c r="L424" i="7"/>
  <c r="L274" i="7"/>
  <c r="L266" i="7"/>
  <c r="L258" i="7"/>
  <c r="L232" i="7"/>
  <c r="L117" i="7"/>
  <c r="L67" i="7"/>
  <c r="L35" i="7"/>
  <c r="L81" i="7"/>
  <c r="L643" i="7"/>
  <c r="L603" i="7"/>
  <c r="L528" i="7"/>
  <c r="L472" i="7"/>
  <c r="L479" i="7"/>
  <c r="L413" i="7"/>
  <c r="L452" i="7"/>
  <c r="L420" i="7"/>
  <c r="L393" i="7"/>
  <c r="L250" i="7"/>
  <c r="L204" i="7"/>
  <c r="L184" i="7"/>
  <c r="L63" i="7"/>
  <c r="L31" i="7"/>
  <c r="L220" i="7"/>
  <c r="L109" i="7"/>
  <c r="L659" i="7"/>
  <c r="L599" i="7"/>
  <c r="L548" i="7"/>
  <c r="L520" i="7"/>
  <c r="L536" i="7"/>
  <c r="L409" i="7"/>
  <c r="L436" i="7"/>
  <c r="L377" i="7"/>
  <c r="L401" i="7"/>
  <c r="L341" i="7"/>
  <c r="D665" i="7"/>
  <c r="L333" i="7"/>
  <c r="L365" i="7"/>
  <c r="L373" i="7"/>
  <c r="L196" i="7"/>
  <c r="L212" i="7"/>
  <c r="L246" i="7"/>
  <c r="L200" i="7"/>
  <c r="L59" i="7"/>
  <c r="L27" i="7"/>
  <c r="L655" i="7"/>
  <c r="L627" i="7"/>
  <c r="L595" i="7"/>
  <c r="L540" i="7"/>
  <c r="L524" i="7"/>
  <c r="L491" i="7"/>
  <c r="L464" i="7"/>
  <c r="L361" i="7"/>
  <c r="L385" i="7"/>
  <c r="L240" i="7"/>
  <c r="L77" i="7"/>
  <c r="L19" i="7"/>
  <c r="L55" i="7"/>
  <c r="L23" i="7"/>
  <c r="L11" i="7"/>
  <c r="L651" i="7"/>
  <c r="L635" i="7"/>
  <c r="L591" i="7"/>
  <c r="L487" i="7"/>
  <c r="L460" i="7"/>
  <c r="L369" i="7"/>
  <c r="L405" i="7"/>
  <c r="L278" i="7"/>
  <c r="L270" i="7"/>
  <c r="L262" i="7"/>
  <c r="L254" i="7"/>
  <c r="L176" i="7"/>
  <c r="L172" i="7"/>
  <c r="L216" i="7"/>
  <c r="L51" i="7"/>
  <c r="L188" i="7"/>
  <c r="D155" i="2"/>
  <c r="D121" i="7" s="1"/>
  <c r="L121" i="7" s="1"/>
  <c r="L97" i="7"/>
  <c r="L7" i="7"/>
  <c r="Y953" i="2"/>
  <c r="R2182" i="2"/>
  <c r="E37" i="2"/>
  <c r="E3" i="7" s="1"/>
  <c r="L514" i="7"/>
  <c r="L449" i="7"/>
  <c r="L380" i="7"/>
  <c r="L329" i="7"/>
  <c r="L221" i="7"/>
  <c r="L157" i="7"/>
  <c r="L145" i="7"/>
  <c r="L443" i="7"/>
  <c r="L450" i="7"/>
  <c r="L386" i="7"/>
  <c r="L354" i="7"/>
  <c r="L331" i="7"/>
  <c r="L241" i="7"/>
  <c r="L124" i="7"/>
  <c r="L249" i="7"/>
  <c r="L149" i="7"/>
  <c r="L74" i="7"/>
  <c r="L439" i="7"/>
  <c r="L434" i="7"/>
  <c r="L404" i="7"/>
  <c r="L382" i="7"/>
  <c r="L317" i="7"/>
  <c r="L259" i="7"/>
  <c r="L118" i="7"/>
  <c r="L600" i="7"/>
  <c r="L554" i="7"/>
  <c r="L538" i="7"/>
  <c r="L586" i="7"/>
  <c r="L561" i="7"/>
  <c r="L437" i="7"/>
  <c r="L368" i="7"/>
  <c r="L438" i="7"/>
  <c r="L378" i="7"/>
  <c r="L319" i="7"/>
  <c r="L297" i="7"/>
  <c r="L311" i="7"/>
  <c r="L305" i="7"/>
  <c r="L233" i="7"/>
  <c r="L189" i="7"/>
  <c r="L112" i="7"/>
  <c r="L120" i="7"/>
  <c r="L72" i="7"/>
  <c r="L185" i="7"/>
  <c r="L563" i="7"/>
  <c r="L596" i="7"/>
  <c r="L553" i="7"/>
  <c r="L618" i="7"/>
  <c r="L534" i="7"/>
  <c r="L433" i="7"/>
  <c r="L426" i="7"/>
  <c r="L396" i="7"/>
  <c r="L291" i="7"/>
  <c r="L299" i="7"/>
  <c r="L177" i="7"/>
  <c r="L551" i="7"/>
  <c r="L582" i="7"/>
  <c r="L590" i="7"/>
  <c r="L459" i="7"/>
  <c r="L427" i="7"/>
  <c r="L418" i="7"/>
  <c r="L392" i="7"/>
  <c r="L480" i="7"/>
  <c r="L402" i="7"/>
  <c r="F665" i="7"/>
  <c r="L293" i="7"/>
  <c r="L285" i="7"/>
  <c r="L169" i="7"/>
  <c r="L572" i="7"/>
  <c r="L588" i="7"/>
  <c r="L547" i="7"/>
  <c r="L496" i="7"/>
  <c r="L526" i="7"/>
  <c r="L455" i="7"/>
  <c r="L562" i="7"/>
  <c r="L388" i="7"/>
  <c r="L398" i="7"/>
  <c r="L287" i="7"/>
  <c r="L191" i="7"/>
  <c r="L263" i="7"/>
  <c r="L255" i="7"/>
  <c r="L173" i="7"/>
  <c r="L161" i="7"/>
  <c r="L217" i="7"/>
  <c r="L568" i="7"/>
  <c r="L584" i="7"/>
  <c r="L529" i="7"/>
  <c r="L498" i="7"/>
  <c r="L453" i="7"/>
  <c r="L352" i="7"/>
  <c r="L362" i="7"/>
  <c r="L132" i="7"/>
  <c r="D199" i="2"/>
  <c r="D165" i="7" s="1"/>
  <c r="L165" i="7" s="1"/>
  <c r="L76" i="7"/>
  <c r="L652" i="7"/>
  <c r="L580" i="7"/>
  <c r="L447" i="7"/>
  <c r="L147" i="7"/>
  <c r="L151" i="7"/>
  <c r="L36" i="7"/>
  <c r="L570" i="7"/>
  <c r="L513" i="7"/>
  <c r="L537" i="7"/>
  <c r="L309" i="7"/>
  <c r="L205" i="7"/>
  <c r="L122" i="7"/>
  <c r="L556" i="7"/>
  <c r="L414" i="7"/>
  <c r="L207" i="7"/>
  <c r="L303" i="7"/>
  <c r="L60" i="7"/>
  <c r="L28" i="7"/>
  <c r="L552" i="7"/>
  <c r="L508" i="7"/>
  <c r="L533" i="7"/>
  <c r="L602" i="7"/>
  <c r="L525" i="7"/>
  <c r="L410" i="7"/>
  <c r="L56" i="7"/>
  <c r="L530" i="7"/>
  <c r="L578" i="7"/>
  <c r="L577" i="7"/>
  <c r="L431" i="7"/>
  <c r="L142" i="7"/>
  <c r="L52" i="7"/>
  <c r="L576" i="7"/>
  <c r="L592" i="7"/>
  <c r="L573" i="7"/>
  <c r="L522" i="7"/>
  <c r="L531" i="7"/>
  <c r="L360" i="7"/>
  <c r="L458" i="7"/>
  <c r="L370" i="7"/>
  <c r="G665" i="7"/>
  <c r="L195" i="7"/>
  <c r="L138" i="7"/>
  <c r="L171" i="7"/>
  <c r="L201" i="7"/>
  <c r="L175" i="7"/>
  <c r="L48" i="7"/>
  <c r="L660" i="7"/>
  <c r="L558" i="7"/>
  <c r="L509" i="7"/>
  <c r="L549" i="7"/>
  <c r="L442" i="7"/>
  <c r="L136" i="7"/>
  <c r="L163" i="7"/>
  <c r="L44" i="7"/>
  <c r="L656" i="7"/>
  <c r="L543" i="7"/>
  <c r="L557" i="7"/>
  <c r="L510" i="7"/>
  <c r="L394" i="7"/>
  <c r="L130" i="7"/>
  <c r="L155" i="7"/>
  <c r="L40" i="7"/>
  <c r="D669" i="7"/>
  <c r="L614" i="7"/>
  <c r="L550" i="7"/>
  <c r="L269" i="7"/>
  <c r="L128" i="7"/>
  <c r="L575" i="7"/>
  <c r="L516" i="7"/>
  <c r="L243" i="7"/>
  <c r="L542" i="7"/>
  <c r="L350" i="7"/>
  <c r="L267" i="7"/>
  <c r="L213" i="7"/>
  <c r="L400" i="7"/>
  <c r="L421" i="7"/>
  <c r="L346" i="7"/>
  <c r="L24" i="7"/>
  <c r="L574" i="7"/>
  <c r="L504" i="7"/>
  <c r="L364" i="7"/>
  <c r="L321" i="7"/>
  <c r="L231" i="7"/>
  <c r="L273" i="7"/>
  <c r="L265" i="7"/>
  <c r="L257" i="7"/>
  <c r="L209" i="7"/>
  <c r="L144" i="7"/>
  <c r="L20" i="7"/>
  <c r="L559" i="7"/>
  <c r="K665" i="7"/>
  <c r="L315" i="7"/>
  <c r="L227" i="7"/>
  <c r="L181" i="7"/>
  <c r="L518" i="7"/>
  <c r="L523" i="7"/>
  <c r="L457" i="7"/>
  <c r="L356" i="7"/>
  <c r="L366" i="7"/>
  <c r="L279" i="7"/>
  <c r="L271" i="7"/>
  <c r="L12" i="7"/>
  <c r="L622" i="7"/>
  <c r="L517" i="7"/>
  <c r="L384" i="7"/>
  <c r="L289" i="7"/>
  <c r="L219" i="7"/>
  <c r="L116" i="7"/>
  <c r="L8" i="7"/>
  <c r="Q2182" i="2"/>
  <c r="D37" i="2"/>
  <c r="D3" i="7" s="1"/>
  <c r="Y37" i="2"/>
  <c r="E664" i="7" l="1"/>
  <c r="Y2182" i="2"/>
  <c r="T2183" i="2"/>
  <c r="G671" i="7"/>
  <c r="X2183" i="2"/>
  <c r="K671" i="7"/>
  <c r="I671" i="7"/>
  <c r="V2183" i="2"/>
  <c r="S2183" i="2"/>
  <c r="F671" i="7"/>
  <c r="H671" i="7"/>
  <c r="U2183" i="2"/>
  <c r="W2183" i="2"/>
  <c r="J671" i="7"/>
  <c r="D671" i="7"/>
  <c r="Q2183" i="2"/>
  <c r="E671" i="7"/>
  <c r="R2183" i="2"/>
  <c r="D664" i="7"/>
  <c r="L3" i="7"/>
  <c r="L664" i="7" s="1"/>
  <c r="L665" i="7"/>
  <c r="L669" i="7"/>
  <c r="L666" i="7" l="1"/>
  <c r="L671" i="7"/>
  <c r="Y2183" i="2"/>
</calcChain>
</file>

<file path=xl/sharedStrings.xml><?xml version="1.0" encoding="utf-8"?>
<sst xmlns="http://schemas.openxmlformats.org/spreadsheetml/2006/main" count="18491" uniqueCount="248">
  <si>
    <t>agegrp</t>
  </si>
  <si>
    <t>sex</t>
  </si>
  <si>
    <t>intent</t>
  </si>
  <si>
    <t>nature</t>
  </si>
  <si>
    <t>1</t>
  </si>
  <si>
    <t>2</t>
  </si>
  <si>
    <t>3</t>
  </si>
  <si>
    <t>4</t>
  </si>
  <si>
    <t>5</t>
  </si>
  <si>
    <t>6</t>
  </si>
  <si>
    <t>7</t>
  </si>
  <si>
    <t>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</si>
  <si>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</si>
  <si>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</si>
  <si>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</si>
  <si>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</si>
  <si>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</si>
  <si>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</si>
  <si>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</si>
  <si>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</si>
  <si>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</si>
  <si>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</si>
  <si>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</si>
  <si>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</si>
  <si>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</si>
  <si>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</si>
  <si>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</si>
  <si>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</si>
  <si>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</si>
  <si>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</si>
  <si>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</si>
  <si>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</si>
  <si>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</si>
  <si>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</si>
  <si>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</si>
  <si>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</si>
  <si>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</si>
  <si>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</si>
  <si>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</si>
  <si>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</si>
  <si>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</si>
  <si>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</si>
  <si>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</si>
  <si>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</si>
  <si>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</si>
  <si>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in1</t>
  </si>
  <si>
    <t>in2</t>
  </si>
  <si>
    <t>in3</t>
  </si>
  <si>
    <t>in4</t>
  </si>
  <si>
    <t>un1</t>
  </si>
  <si>
    <t>un2</t>
  </si>
  <si>
    <t>un3</t>
  </si>
  <si>
    <t>un4</t>
  </si>
  <si>
    <t>un5</t>
  </si>
  <si>
    <t>un6</t>
  </si>
  <si>
    <t>hosptype</t>
  </si>
  <si>
    <t>Grand Total</t>
  </si>
  <si>
    <t>agegr</t>
  </si>
  <si>
    <t>origin from R</t>
  </si>
  <si>
    <t>โรงพยาบาลรัฐสังกัดกระทรวงสาธารณสุข</t>
  </si>
  <si>
    <t>โรงพยาบาลรัฐนอกสังกัดกระทรวงสาธารณสุข</t>
  </si>
  <si>
    <t>โรงพยาบาลเอกชน</t>
  </si>
  <si>
    <t xml:space="preserve"> 0-4</t>
  </si>
  <si>
    <t xml:space="preserve"> 5-14</t>
  </si>
  <si>
    <t xml:space="preserve"> 15-29</t>
  </si>
  <si>
    <t xml:space="preserve"> 30-44</t>
  </si>
  <si>
    <t xml:space="preserve"> 45-59</t>
  </si>
  <si>
    <t xml:space="preserve"> 60-69 </t>
  </si>
  <si>
    <t xml:space="preserve"> 70-79</t>
  </si>
  <si>
    <t xml:space="preserve"> 80+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</si>
  <si>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</si>
  <si>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</si>
  <si>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</si>
  <si>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</si>
  <si>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</si>
  <si>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</si>
  <si>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</si>
  <si>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</si>
  <si>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</si>
  <si>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</si>
  <si>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</si>
  <si>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</si>
  <si>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</si>
  <si>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</si>
  <si>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</si>
  <si>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</si>
  <si>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</si>
  <si>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</si>
  <si>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</si>
  <si>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</si>
  <si>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</si>
  <si>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</si>
  <si>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</si>
  <si>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</si>
  <si>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</si>
  <si>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</si>
  <si>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</si>
  <si>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</si>
  <si>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</si>
  <si>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n31</t>
  </si>
  <si>
    <t>n32</t>
  </si>
  <si>
    <t>n33</t>
  </si>
  <si>
    <t>unk</t>
  </si>
  <si>
    <t>1 = govern in MOP</t>
  </si>
  <si>
    <t>1=male</t>
  </si>
  <si>
    <t>V1</t>
  </si>
  <si>
    <t>V2</t>
  </si>
  <si>
    <t>V3</t>
  </si>
  <si>
    <t>V4</t>
  </si>
  <si>
    <t>U1</t>
  </si>
  <si>
    <t>U2</t>
  </si>
  <si>
    <t>U3</t>
  </si>
  <si>
    <t>U4</t>
  </si>
  <si>
    <t>U5</t>
  </si>
  <si>
    <t>U6</t>
  </si>
  <si>
    <t>2=female</t>
  </si>
  <si>
    <t>2 = govern out MOP</t>
  </si>
  <si>
    <t>3 = non gover</t>
  </si>
  <si>
    <t>redistribute_unknown_nature</t>
  </si>
  <si>
    <t>n30</t>
  </si>
  <si>
    <t>from ตัวคูณโรงพยาบาล_2557-1</t>
  </si>
  <si>
    <t>data ปรับค่าจากตัวคูณโรงพยาบาลแล้ว</t>
  </si>
  <si>
    <t>ค่า รพ เอกชน ปี2552</t>
  </si>
  <si>
    <t>ill-define</t>
  </si>
  <si>
    <t>ill_X2</t>
  </si>
  <si>
    <t>ill_X3</t>
  </si>
  <si>
    <t>ill_X4</t>
  </si>
  <si>
    <t>ill_X5</t>
  </si>
  <si>
    <t>ill_X6</t>
  </si>
  <si>
    <t>ill_X7</t>
  </si>
  <si>
    <t>ill_X8</t>
  </si>
  <si>
    <t>Total</t>
  </si>
  <si>
    <t>X2</t>
  </si>
  <si>
    <t>X3</t>
  </si>
  <si>
    <t>X5</t>
  </si>
  <si>
    <t>X6</t>
  </si>
  <si>
    <t>X7</t>
  </si>
  <si>
    <t>X4</t>
  </si>
  <si>
    <t>X8</t>
  </si>
  <si>
    <t>(unk ตัดออกไม่เอาไปคิด เนื่องจากเป็นกลุ่มที่มีอาการบาดเจ้บแต่ไม่ทราบว่าเกิดจากสาเหตุอะไร</t>
  </si>
  <si>
    <t>male_ill-define_X</t>
  </si>
  <si>
    <t>redistribute_ill-define code X</t>
  </si>
  <si>
    <t>female_ill-define_X</t>
  </si>
  <si>
    <t>all</t>
  </si>
  <si>
    <t>data Male&amp;Female_V1:U6</t>
  </si>
  <si>
    <t>male</t>
  </si>
  <si>
    <t>female</t>
  </si>
  <si>
    <t>male_illX</t>
  </si>
  <si>
    <t>female_illX</t>
  </si>
  <si>
    <t>male_unk</t>
  </si>
  <si>
    <t>female_unk</t>
  </si>
  <si>
    <t>all_type</t>
  </si>
  <si>
    <t>total_except_unkgr</t>
  </si>
  <si>
    <t>all_illX8</t>
  </si>
  <si>
    <t>from sheet data_redis_illX</t>
  </si>
  <si>
    <t>before adjust hospital</t>
  </si>
  <si>
    <t>ICD code injury 2009 compare  2004</t>
  </si>
  <si>
    <t>Nature of injury category</t>
  </si>
  <si>
    <t>ICD-10 code 2009</t>
  </si>
  <si>
    <t>Fractured skull</t>
  </si>
  <si>
    <t>S02.0/1/7/9,T90.2</t>
  </si>
  <si>
    <t>Fractured face bones</t>
  </si>
  <si>
    <r>
      <t>S02.2-</t>
    </r>
    <r>
      <rPr>
        <sz val="10"/>
        <color indexed="10"/>
        <rFont val="Arial"/>
        <family val="2"/>
      </rPr>
      <t>S02.5</t>
    </r>
    <r>
      <rPr>
        <sz val="10"/>
        <rFont val="Arial"/>
        <family val="2"/>
      </rPr>
      <t>/6/8</t>
    </r>
  </si>
  <si>
    <t>Fractured vertebral column - no spinal cord lesion</t>
  </si>
  <si>
    <t>S12,S22.0/1,S32.0/7,T08,T91.1,S23.0/1(Fx and dislocation)+S33.0/1</t>
  </si>
  <si>
    <t>Spinal cord lesion (w &amp; w/o fracture)</t>
  </si>
  <si>
    <t>S14.0-S14.2,S24.0-S24.1,S34.0-S34.1,T06.0/1,T09.3,T91.3</t>
  </si>
  <si>
    <t>Fractured rib or sternum</t>
  </si>
  <si>
    <t>S22.2-9</t>
  </si>
  <si>
    <t>Fractured pelvis</t>
  </si>
  <si>
    <r>
      <t>S32.1-5/8,T91.2,S33.4,</t>
    </r>
    <r>
      <rPr>
        <sz val="10"/>
        <color indexed="10"/>
        <rFont val="Arial"/>
        <family val="2"/>
      </rPr>
      <t>S326,T021</t>
    </r>
  </si>
  <si>
    <t>Fractured clavicle, scapula or humerous</t>
  </si>
  <si>
    <t>S42</t>
  </si>
  <si>
    <r>
      <t>Fractured ulna</t>
    </r>
    <r>
      <rPr>
        <sz val="10"/>
        <color indexed="10"/>
        <rFont val="Arial"/>
        <family val="2"/>
      </rPr>
      <t xml:space="preserve"> and</t>
    </r>
    <r>
      <rPr>
        <sz val="10"/>
        <rFont val="Arial"/>
        <family val="2"/>
      </rPr>
      <t>/or radius</t>
    </r>
  </si>
  <si>
    <t>S52,T10,T92.1</t>
  </si>
  <si>
    <t>Fractured hand bones</t>
  </si>
  <si>
    <t>S62,T92.2,S69.7</t>
  </si>
  <si>
    <t>Fractured femur</t>
  </si>
  <si>
    <t>S72,T93.1</t>
  </si>
  <si>
    <t>Fractured patella, tibia or fibula</t>
  </si>
  <si>
    <t>S82.0-4,S82.7/9,T12,T93.2</t>
  </si>
  <si>
    <t>Factured ankle</t>
  </si>
  <si>
    <t>S82.5-6/8</t>
  </si>
  <si>
    <t>Fractured foot bones</t>
  </si>
  <si>
    <t>S92,S997</t>
  </si>
  <si>
    <t>Other dislocation</t>
  </si>
  <si>
    <t>S03.0-3,S13.1-S13.3,S23.1-S23,S33.1-S33.3,S63.0-S63.2,S83.0-S83.1,S93.0-1/3,T03,T11.2,T13.2,T14.3,T92.3,T93.3</t>
  </si>
  <si>
    <t>Dislocation of sholder, elbow or hip</t>
  </si>
  <si>
    <t>S43.0-S43.3, S53.0-S53.1, S73.0</t>
  </si>
  <si>
    <t>Sprains</t>
  </si>
  <si>
    <t>S03.4-S03.5, S13.4-S13.6, S23.3-S23.5, S33.5-S33.7, S43.4-S43.7, S53.4, S63.5-S63.7, S73.1, S83.4-S83.6, S93.4-S93.6</t>
  </si>
  <si>
    <t>Intracranial injury</t>
  </si>
  <si>
    <t>S06,T90.5</t>
  </si>
  <si>
    <t>Internal injuries</t>
  </si>
  <si>
    <r>
      <t>S25-S27,S35-S37,S39.6,T06.5,T91.4/5,</t>
    </r>
    <r>
      <rPr>
        <sz val="10"/>
        <color indexed="10"/>
        <rFont val="Arial"/>
        <family val="2"/>
      </rPr>
      <t>T065</t>
    </r>
  </si>
  <si>
    <t>Open wound (including finger, thumb and toe amps w/o complications)</t>
  </si>
  <si>
    <r>
      <t>S01,</t>
    </r>
    <r>
      <rPr>
        <sz val="10"/>
        <color indexed="10"/>
        <rFont val="Arial"/>
        <family val="2"/>
      </rPr>
      <t>S080</t>
    </r>
    <r>
      <rPr>
        <sz val="10"/>
        <rFont val="Arial"/>
        <family val="2"/>
      </rPr>
      <t>,S11,S21,S31,S41,S51,S61,S71,S81,S91,T01,T11.1,T90.1,</t>
    </r>
    <r>
      <rPr>
        <sz val="10"/>
        <color indexed="10"/>
        <rFont val="Arial"/>
        <family val="2"/>
      </rPr>
      <t>T091,T131,T141</t>
    </r>
  </si>
  <si>
    <t>Injury to eyes</t>
  </si>
  <si>
    <r>
      <t>S05,T90.4,</t>
    </r>
    <r>
      <rPr>
        <sz val="10"/>
        <color indexed="10"/>
        <rFont val="Arial"/>
        <family val="2"/>
      </rPr>
      <t>T26</t>
    </r>
  </si>
  <si>
    <t>Amputated thumb (complicated)</t>
  </si>
  <si>
    <t>S68.0</t>
  </si>
  <si>
    <t>Amputated finger (complicated)</t>
  </si>
  <si>
    <t>S68.1/2</t>
  </si>
  <si>
    <r>
      <t xml:space="preserve">Amputated </t>
    </r>
    <r>
      <rPr>
        <strike/>
        <sz val="10"/>
        <rFont val="Arial"/>
        <family val="2"/>
      </rPr>
      <t xml:space="preserve">arm </t>
    </r>
    <r>
      <rPr>
        <sz val="10"/>
        <color indexed="53"/>
        <rFont val="Arial"/>
        <family val="2"/>
      </rPr>
      <t>upper limb(exclude thumb, finger)</t>
    </r>
  </si>
  <si>
    <t>S48,S58,S68.3-9,T05.0-2,T11.6</t>
  </si>
  <si>
    <t>Amputated toe (complicated)</t>
  </si>
  <si>
    <t>S98.1/2</t>
  </si>
  <si>
    <t>Amputated foot</t>
  </si>
  <si>
    <t>S98.0/3/4,T05.3</t>
  </si>
  <si>
    <r>
      <t>Above</t>
    </r>
    <r>
      <rPr>
        <sz val="10"/>
        <rFont val="Arial"/>
        <family val="2"/>
      </rPr>
      <t xml:space="preserve"> knee and bilateral leg amputation (lower limb amputated except foot and toe)</t>
    </r>
  </si>
  <si>
    <t>S78,S88,T05.4-6,T13.6</t>
  </si>
  <si>
    <t>Crushing</t>
  </si>
  <si>
    <t>S07,S17,S28.0,S38.0/1,S47,S57,S67,S77,S87,S97,T04,T14.7,T92.6,T93.6</t>
  </si>
  <si>
    <t>Burns &lt;20% - explicit mention</t>
  </si>
  <si>
    <r>
      <t>T31.0/1,T32.0/1,</t>
    </r>
    <r>
      <rPr>
        <sz val="10"/>
        <color indexed="10"/>
        <rFont val="Arial"/>
        <family val="2"/>
      </rPr>
      <t>T200,T210,T220,T230,T240,T250,T201,T211,T221,T231,T241,T251,T270-3,T280-4,T290-1,T300-1</t>
    </r>
  </si>
  <si>
    <r>
      <t>Burns &gt;</t>
    </r>
    <r>
      <rPr>
        <sz val="10"/>
        <color indexed="53"/>
        <rFont val="Arial"/>
        <family val="2"/>
      </rPr>
      <t>=</t>
    </r>
    <r>
      <rPr>
        <sz val="10"/>
        <rFont val="Arial"/>
        <family val="2"/>
      </rPr>
      <t>20% and &lt;60% - explicit mention</t>
    </r>
  </si>
  <si>
    <r>
      <t>T31.2-5,T32.2-5</t>
    </r>
    <r>
      <rPr>
        <sz val="10"/>
        <color indexed="10"/>
        <rFont val="Arial"/>
        <family val="2"/>
      </rPr>
      <t>,T202,T212,T222,T232,T242,T252,T292,T302</t>
    </r>
  </si>
  <si>
    <r>
      <t>Burns &gt;</t>
    </r>
    <r>
      <rPr>
        <sz val="10"/>
        <color indexed="53"/>
        <rFont val="Arial"/>
        <family val="2"/>
      </rPr>
      <t>=</t>
    </r>
    <r>
      <rPr>
        <sz val="10"/>
        <rFont val="Arial"/>
        <family val="2"/>
      </rPr>
      <t>60% - explicit mention</t>
    </r>
  </si>
  <si>
    <r>
      <t>T31.6-9,T32.6-T32.9,T95.4</t>
    </r>
    <r>
      <rPr>
        <sz val="10"/>
        <color indexed="10"/>
        <rFont val="Arial"/>
        <family val="2"/>
      </rPr>
      <t>,T203,T213,T223,T233,T243,T253,T293,T303</t>
    </r>
  </si>
  <si>
    <t>Injured nerves</t>
  </si>
  <si>
    <r>
      <t>S04,S14.3-6,S24.2-6,S34.3-6/8,S44,S54,S64,S74,S84,S94,T06.2,T11.3,T13.3,T14.4,</t>
    </r>
    <r>
      <rPr>
        <sz val="10"/>
        <color indexed="10"/>
        <rFont val="Arial"/>
        <family val="2"/>
      </rPr>
      <t>T094</t>
    </r>
  </si>
  <si>
    <t>Poisoning</t>
  </si>
  <si>
    <t>T36-T50,T51-T65,T96-T97</t>
  </si>
  <si>
    <t>Residual</t>
  </si>
  <si>
    <r>
      <t>S09.0,S15,S25,S45,S55,S65,S75,S85,S95,T11.4,T13.4,T15,T19,</t>
    </r>
    <r>
      <rPr>
        <sz val="10"/>
        <color indexed="10"/>
        <rFont val="Arial"/>
        <family val="2"/>
      </rPr>
      <t>S197-9,S297-9,S397-9,S467-9,S497-9,S567-9,S597-9,S667-9,S697-9,S767-9,S797-9,S837-9,S867-9,S897-9,S967-9,S997-9,T058-9,T098-9,T118-9,T138-9,T148-9</t>
    </r>
  </si>
  <si>
    <t>amputation of face</t>
  </si>
  <si>
    <t>S081,S088-9,</t>
  </si>
  <si>
    <t>muscle</t>
  </si>
  <si>
    <t>S16,S290,S390,S46.0-3,S532-3,S560-5,S633-4,S66-5,S761-S764,S832-3,S860-3,S932,S960-1,T063,T064,T095,T115,T135,T146,</t>
  </si>
  <si>
    <t>amputate genital organ</t>
  </si>
  <si>
    <t>S382</t>
  </si>
  <si>
    <t>foreign body</t>
  </si>
  <si>
    <t>T16-T18</t>
  </si>
  <si>
    <t xml:space="preserve">ที่มา: </t>
  </si>
  <si>
    <t>\\ihpp1\BOD\DATA\IHPP_RawData\CodeBook\ICD-10_to GBD last</t>
  </si>
  <si>
    <t>ที่มา:</t>
  </si>
  <si>
    <t>\\ihpp1\BOD\DATA\IHPP_RawData\CodeBook\check_injury_code_correct_last</t>
  </si>
  <si>
    <t>3_15-29</t>
  </si>
  <si>
    <t>4_30-44</t>
  </si>
  <si>
    <t>5_45-59</t>
  </si>
  <si>
    <t>6_60-69</t>
  </si>
  <si>
    <t>7_70-79</t>
  </si>
  <si>
    <t>8_80+</t>
  </si>
  <si>
    <t>ill_X1</t>
  </si>
  <si>
    <t>X1</t>
  </si>
  <si>
    <t>all_illX1</t>
  </si>
  <si>
    <t>Total_male</t>
  </si>
  <si>
    <t>Total_female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</si>
</sst>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0.0"/>
    <numFmt numFmtId="166" formatCode="_-* #,##0_-;\-* #,##0_-;_-* &quot;-&quot;??_-;_-@_-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Tahoma"/>
      <family val="2"/>
      <charset val="222"/>
    </font>
    <font>
      <sz val="10"/>
      <name val="Arial"/>
      <family val="2"/>
    </font>
    <font>
      <b/>
      <sz val="10"/>
      <name val="Arial"/>
      <family val="2"/>
    </font>
    <font>
      <sz val="10"/>
      <color indexed="10"/>
      <name val="Arial"/>
      <family val="2"/>
    </font>
    <font>
      <strike/>
      <sz val="10"/>
      <name val="Arial"/>
      <family val="2"/>
    </font>
    <font>
      <sz val="10"/>
      <color indexed="53"/>
      <name val="Arial"/>
      <family val="2"/>
    </font>
    <font>
      <sz val="11"/>
      <color rgb="FFFF0000"/>
      <name val="Tahoma"/>
      <family val="2"/>
      <charset val="222"/>
    </font>
    <font>
      <u/>
      <sz val="11"/>
      <color theme="1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4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164" fontId="2" fillId="0" borderId="0" applyFont="0" applyFill="0" applyBorder="0" applyAlignment="0" applyProtection="0"/>
    <xf numFmtId="0" fontId="5" fillId="0" borderId="0"/>
    <xf numFmtId="0" fontId="6" fillId="0" borderId="0"/>
    <xf numFmtId="0" fontId="12" fillId="0" borderId="0" applyNumberFormat="0" applyFill="0" applyBorder="0" applyAlignment="0" applyProtection="0"/>
  </cellStyleXfs>
  <cellXfs count="68">
    <xf numFmtId="0" fontId="0" fillId="0" borderId="0" xfId="0"/>
    <xf numFmtId="49" fontId="0" fillId="0" borderId="0" xfId="0" applyNumberFormat="1"/>
    <xf numFmtId="0" fontId="0" fillId="0" borderId="0" xfId="0" applyBorder="1"/>
    <xf numFmtId="0" fontId="0" fillId="2" borderId="0" xfId="0" applyFill="1"/>
    <xf numFmtId="0" fontId="0" fillId="3" borderId="0" xfId="0" applyFill="1"/>
    <xf numFmtId="1" fontId="0" fillId="0" borderId="0" xfId="0" applyNumberFormat="1"/>
    <xf numFmtId="1" fontId="0" fillId="4" borderId="0" xfId="0" applyNumberFormat="1" applyFill="1"/>
    <xf numFmtId="0" fontId="0" fillId="4" borderId="0" xfId="0" applyFill="1"/>
    <xf numFmtId="0" fontId="1" fillId="0" borderId="0" xfId="0" applyFont="1"/>
    <xf numFmtId="165" fontId="0" fillId="0" borderId="0" xfId="0" applyNumberFormat="1"/>
    <xf numFmtId="1" fontId="0" fillId="0" borderId="0" xfId="0" applyNumberFormat="1" applyBorder="1"/>
    <xf numFmtId="2" fontId="0" fillId="0" borderId="0" xfId="0" applyNumberFormat="1"/>
    <xf numFmtId="4" fontId="0" fillId="0" borderId="0" xfId="0" applyNumberFormat="1"/>
    <xf numFmtId="4" fontId="3" fillId="0" borderId="0" xfId="0" applyNumberFormat="1" applyFont="1"/>
    <xf numFmtId="0" fontId="3" fillId="0" borderId="0" xfId="0" applyFont="1"/>
    <xf numFmtId="0" fontId="0" fillId="0" borderId="0" xfId="0" applyFill="1" applyBorder="1"/>
    <xf numFmtId="166" fontId="0" fillId="0" borderId="0" xfId="1" applyNumberFormat="1" applyFont="1" applyBorder="1"/>
    <xf numFmtId="166" fontId="0" fillId="5" borderId="0" xfId="1" applyNumberFormat="1" applyFont="1" applyFill="1" applyBorder="1"/>
    <xf numFmtId="166" fontId="0" fillId="5" borderId="0" xfId="1" applyNumberFormat="1" applyFont="1" applyFill="1"/>
    <xf numFmtId="166" fontId="0" fillId="0" borderId="0" xfId="0" applyNumberFormat="1" applyBorder="1"/>
    <xf numFmtId="2" fontId="1" fillId="0" borderId="0" xfId="0" applyNumberFormat="1" applyFont="1"/>
    <xf numFmtId="2" fontId="0" fillId="5" borderId="0" xfId="0" applyNumberFormat="1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7" borderId="0" xfId="0" applyFont="1" applyFill="1"/>
    <xf numFmtId="0" fontId="3" fillId="3" borderId="0" xfId="0" applyFon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1" fontId="0" fillId="10" borderId="0" xfId="0" applyNumberFormat="1" applyFill="1"/>
    <xf numFmtId="1" fontId="0" fillId="3" borderId="0" xfId="0" applyNumberFormat="1" applyFill="1"/>
    <xf numFmtId="0" fontId="0" fillId="0" borderId="0" xfId="0" applyFill="1"/>
    <xf numFmtId="0" fontId="4" fillId="10" borderId="0" xfId="0" applyFont="1" applyFill="1"/>
    <xf numFmtId="0" fontId="0" fillId="11" borderId="0" xfId="0" applyFill="1"/>
    <xf numFmtId="1" fontId="0" fillId="0" borderId="0" xfId="0" applyNumberFormat="1" applyFill="1"/>
    <xf numFmtId="0" fontId="3" fillId="6" borderId="0" xfId="0" applyFont="1" applyFill="1"/>
    <xf numFmtId="0" fontId="0" fillId="12" borderId="0" xfId="0" applyFill="1"/>
    <xf numFmtId="1" fontId="3" fillId="0" borderId="0" xfId="0" applyNumberFormat="1" applyFont="1" applyFill="1"/>
    <xf numFmtId="1" fontId="0" fillId="5" borderId="0" xfId="0" applyNumberFormat="1" applyFill="1"/>
    <xf numFmtId="167" fontId="0" fillId="0" borderId="0" xfId="0" applyNumberFormat="1"/>
    <xf numFmtId="0" fontId="5" fillId="0" borderId="0" xfId="2"/>
    <xf numFmtId="1" fontId="7" fillId="13" borderId="1" xfId="3" applyNumberFormat="1" applyFont="1" applyFill="1" applyBorder="1"/>
    <xf numFmtId="0" fontId="6" fillId="14" borderId="1" xfId="3" applyFont="1" applyFill="1" applyBorder="1" applyAlignment="1">
      <alignment vertical="top"/>
    </xf>
    <xf numFmtId="1" fontId="6" fillId="13" borderId="0" xfId="3" applyNumberFormat="1" applyFill="1" applyAlignment="1">
      <alignment horizontal="left" vertical="top"/>
    </xf>
    <xf numFmtId="1" fontId="6" fillId="13" borderId="0" xfId="3" applyNumberFormat="1" applyFill="1" applyAlignment="1">
      <alignment vertical="top"/>
    </xf>
    <xf numFmtId="0" fontId="6" fillId="14" borderId="2" xfId="3" applyFont="1" applyFill="1" applyBorder="1" applyAlignment="1">
      <alignment vertical="top"/>
    </xf>
    <xf numFmtId="1" fontId="6" fillId="13" borderId="0" xfId="3" applyNumberFormat="1" applyFont="1" applyFill="1" applyAlignment="1">
      <alignment vertical="top"/>
    </xf>
    <xf numFmtId="0" fontId="6" fillId="14" borderId="0" xfId="3" applyFont="1" applyFill="1" applyBorder="1" applyAlignment="1">
      <alignment vertical="top"/>
    </xf>
    <xf numFmtId="1" fontId="0" fillId="13" borderId="0" xfId="3" applyNumberFormat="1" applyFont="1" applyFill="1" applyAlignment="1">
      <alignment vertical="top"/>
    </xf>
    <xf numFmtId="1" fontId="9" fillId="13" borderId="0" xfId="3" applyNumberFormat="1" applyFont="1" applyFill="1" applyAlignment="1">
      <alignment vertical="top"/>
    </xf>
    <xf numFmtId="1" fontId="6" fillId="13" borderId="0" xfId="3" applyNumberFormat="1" applyFill="1" applyBorder="1" applyAlignment="1">
      <alignment horizontal="left" vertical="top"/>
    </xf>
    <xf numFmtId="1" fontId="6" fillId="13" borderId="0" xfId="3" applyNumberFormat="1" applyFill="1" applyBorder="1" applyAlignment="1">
      <alignment vertical="top"/>
    </xf>
    <xf numFmtId="0" fontId="6" fillId="14" borderId="0" xfId="3" applyFont="1" applyFill="1" applyBorder="1" applyAlignment="1">
      <alignment vertical="top" wrapText="1"/>
    </xf>
    <xf numFmtId="0" fontId="5" fillId="15" borderId="0" xfId="2" applyFill="1" applyAlignment="1">
      <alignment horizontal="left"/>
    </xf>
    <xf numFmtId="1" fontId="6" fillId="16" borderId="0" xfId="3" applyNumberFormat="1" applyFont="1" applyFill="1" applyBorder="1" applyAlignment="1">
      <alignment vertical="top"/>
    </xf>
    <xf numFmtId="0" fontId="5" fillId="15" borderId="0" xfId="2" applyFill="1"/>
    <xf numFmtId="0" fontId="11" fillId="0" borderId="0" xfId="2" applyFont="1"/>
    <xf numFmtId="1" fontId="6" fillId="13" borderId="0" xfId="3" applyNumberFormat="1" applyFont="1" applyFill="1" applyBorder="1" applyAlignment="1">
      <alignment vertical="top"/>
    </xf>
    <xf numFmtId="0" fontId="11" fillId="0" borderId="0" xfId="2" applyFont="1" applyAlignment="1"/>
    <xf numFmtId="0" fontId="5" fillId="15" borderId="1" xfId="2" applyFill="1" applyBorder="1" applyAlignment="1">
      <alignment horizontal="left"/>
    </xf>
    <xf numFmtId="0" fontId="5" fillId="15" borderId="1" xfId="2" applyFill="1" applyBorder="1"/>
    <xf numFmtId="0" fontId="11" fillId="0" borderId="1" xfId="2" applyFont="1" applyBorder="1"/>
    <xf numFmtId="0" fontId="12" fillId="0" borderId="0" xfId="4"/>
    <xf numFmtId="0" fontId="1" fillId="4" borderId="0" xfId="0" applyFont="1" applyFill="1"/>
    <xf numFmtId="1" fontId="3" fillId="0" borderId="0" xfId="0" applyNumberFormat="1" applyFont="1"/>
    <xf numFmtId="0" fontId="3" fillId="4" borderId="0" xfId="0" applyFont="1" applyFill="1"/>
    <xf numFmtId="1" fontId="6" fillId="13" borderId="0" xfId="3" applyNumberFormat="1" applyFill="1" applyAlignment="1">
      <alignment horizontal="left" vertical="top" wrapText="1"/>
    </xf>
  </cellXfs>
  <cellStyles count="5">
    <cellStyle name="Comma" xfId="1" builtinId="3"/>
    <cellStyle name="Hyperlink" xfId="4" builtinId="8"/>
    <cellStyle name="Normal" xfId="0" builtinId="0"/>
    <cellStyle name="Normal_Icdcode injury new" xfId="2"/>
    <cellStyle name="Normal_Injuries-Summary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0.xml"/><Relationship Id="rId117" Type="http://schemas.openxmlformats.org/officeDocument/2006/relationships/externalLink" Target="externalLinks/externalLink111.xml"/><Relationship Id="rId21" Type="http://schemas.openxmlformats.org/officeDocument/2006/relationships/externalLink" Target="externalLinks/externalLink15.xml"/><Relationship Id="rId42" Type="http://schemas.openxmlformats.org/officeDocument/2006/relationships/externalLink" Target="externalLinks/externalLink36.xml"/><Relationship Id="rId47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57.xml"/><Relationship Id="rId68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78.xml"/><Relationship Id="rId89" Type="http://schemas.openxmlformats.org/officeDocument/2006/relationships/externalLink" Target="externalLinks/externalLink83.xml"/><Relationship Id="rId112" Type="http://schemas.openxmlformats.org/officeDocument/2006/relationships/externalLink" Target="externalLinks/externalLink106.xml"/><Relationship Id="rId16" Type="http://schemas.openxmlformats.org/officeDocument/2006/relationships/externalLink" Target="externalLinks/externalLink10.xml"/><Relationship Id="rId107" Type="http://schemas.openxmlformats.org/officeDocument/2006/relationships/externalLink" Target="externalLinks/externalLink101.xml"/><Relationship Id="rId11" Type="http://schemas.openxmlformats.org/officeDocument/2006/relationships/externalLink" Target="externalLinks/externalLink5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47.xml"/><Relationship Id="rId58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68.xml"/><Relationship Id="rId79" Type="http://schemas.openxmlformats.org/officeDocument/2006/relationships/externalLink" Target="externalLinks/externalLink73.xml"/><Relationship Id="rId102" Type="http://schemas.openxmlformats.org/officeDocument/2006/relationships/externalLink" Target="externalLinks/externalLink96.xml"/><Relationship Id="rId123" Type="http://schemas.openxmlformats.org/officeDocument/2006/relationships/externalLink" Target="externalLinks/externalLink117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4.xml"/><Relationship Id="rId95" Type="http://schemas.openxmlformats.org/officeDocument/2006/relationships/externalLink" Target="externalLinks/externalLink89.xml"/><Relationship Id="rId19" Type="http://schemas.openxmlformats.org/officeDocument/2006/relationships/externalLink" Target="externalLinks/externalLink1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37.xml"/><Relationship Id="rId48" Type="http://schemas.openxmlformats.org/officeDocument/2006/relationships/externalLink" Target="externalLinks/externalLink42.xml"/><Relationship Id="rId56" Type="http://schemas.openxmlformats.org/officeDocument/2006/relationships/externalLink" Target="externalLinks/externalLink50.xml"/><Relationship Id="rId64" Type="http://schemas.openxmlformats.org/officeDocument/2006/relationships/externalLink" Target="externalLinks/externalLink58.xml"/><Relationship Id="rId69" Type="http://schemas.openxmlformats.org/officeDocument/2006/relationships/externalLink" Target="externalLinks/externalLink63.xml"/><Relationship Id="rId77" Type="http://schemas.openxmlformats.org/officeDocument/2006/relationships/externalLink" Target="externalLinks/externalLink71.xml"/><Relationship Id="rId100" Type="http://schemas.openxmlformats.org/officeDocument/2006/relationships/externalLink" Target="externalLinks/externalLink94.xml"/><Relationship Id="rId105" Type="http://schemas.openxmlformats.org/officeDocument/2006/relationships/externalLink" Target="externalLinks/externalLink99.xml"/><Relationship Id="rId113" Type="http://schemas.openxmlformats.org/officeDocument/2006/relationships/externalLink" Target="externalLinks/externalLink107.xml"/><Relationship Id="rId118" Type="http://schemas.openxmlformats.org/officeDocument/2006/relationships/externalLink" Target="externalLinks/externalLink112.xml"/><Relationship Id="rId126" Type="http://schemas.openxmlformats.org/officeDocument/2006/relationships/sharedStrings" Target="sharedStrings.xml"/><Relationship Id="rId8" Type="http://schemas.openxmlformats.org/officeDocument/2006/relationships/externalLink" Target="externalLinks/externalLink2.xml"/><Relationship Id="rId51" Type="http://schemas.openxmlformats.org/officeDocument/2006/relationships/externalLink" Target="externalLinks/externalLink45.xml"/><Relationship Id="rId72" Type="http://schemas.openxmlformats.org/officeDocument/2006/relationships/externalLink" Target="externalLinks/externalLink66.xml"/><Relationship Id="rId80" Type="http://schemas.openxmlformats.org/officeDocument/2006/relationships/externalLink" Target="externalLinks/externalLink74.xml"/><Relationship Id="rId85" Type="http://schemas.openxmlformats.org/officeDocument/2006/relationships/externalLink" Target="externalLinks/externalLink79.xml"/><Relationship Id="rId93" Type="http://schemas.openxmlformats.org/officeDocument/2006/relationships/externalLink" Target="externalLinks/externalLink87.xml"/><Relationship Id="rId98" Type="http://schemas.openxmlformats.org/officeDocument/2006/relationships/externalLink" Target="externalLinks/externalLink92.xml"/><Relationship Id="rId121" Type="http://schemas.openxmlformats.org/officeDocument/2006/relationships/externalLink" Target="externalLinks/externalLink115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40.xml"/><Relationship Id="rId59" Type="http://schemas.openxmlformats.org/officeDocument/2006/relationships/externalLink" Target="externalLinks/externalLink53.xml"/><Relationship Id="rId67" Type="http://schemas.openxmlformats.org/officeDocument/2006/relationships/externalLink" Target="externalLinks/externalLink61.xml"/><Relationship Id="rId103" Type="http://schemas.openxmlformats.org/officeDocument/2006/relationships/externalLink" Target="externalLinks/externalLink97.xml"/><Relationship Id="rId108" Type="http://schemas.openxmlformats.org/officeDocument/2006/relationships/externalLink" Target="externalLinks/externalLink102.xml"/><Relationship Id="rId116" Type="http://schemas.openxmlformats.org/officeDocument/2006/relationships/externalLink" Target="externalLinks/externalLink110.xml"/><Relationship Id="rId124" Type="http://schemas.openxmlformats.org/officeDocument/2006/relationships/theme" Target="theme/theme1.xml"/><Relationship Id="rId20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35.xml"/><Relationship Id="rId54" Type="http://schemas.openxmlformats.org/officeDocument/2006/relationships/externalLink" Target="externalLinks/externalLink48.xml"/><Relationship Id="rId62" Type="http://schemas.openxmlformats.org/officeDocument/2006/relationships/externalLink" Target="externalLinks/externalLink56.xml"/><Relationship Id="rId70" Type="http://schemas.openxmlformats.org/officeDocument/2006/relationships/externalLink" Target="externalLinks/externalLink64.xml"/><Relationship Id="rId75" Type="http://schemas.openxmlformats.org/officeDocument/2006/relationships/externalLink" Target="externalLinks/externalLink69.xml"/><Relationship Id="rId83" Type="http://schemas.openxmlformats.org/officeDocument/2006/relationships/externalLink" Target="externalLinks/externalLink77.xml"/><Relationship Id="rId88" Type="http://schemas.openxmlformats.org/officeDocument/2006/relationships/externalLink" Target="externalLinks/externalLink82.xml"/><Relationship Id="rId91" Type="http://schemas.openxmlformats.org/officeDocument/2006/relationships/externalLink" Target="externalLinks/externalLink85.xml"/><Relationship Id="rId96" Type="http://schemas.openxmlformats.org/officeDocument/2006/relationships/externalLink" Target="externalLinks/externalLink90.xml"/><Relationship Id="rId111" Type="http://schemas.openxmlformats.org/officeDocument/2006/relationships/externalLink" Target="externalLinks/externalLink10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30.xml"/><Relationship Id="rId49" Type="http://schemas.openxmlformats.org/officeDocument/2006/relationships/externalLink" Target="externalLinks/externalLink43.xml"/><Relationship Id="rId57" Type="http://schemas.openxmlformats.org/officeDocument/2006/relationships/externalLink" Target="externalLinks/externalLink51.xml"/><Relationship Id="rId106" Type="http://schemas.openxmlformats.org/officeDocument/2006/relationships/externalLink" Target="externalLinks/externalLink100.xml"/><Relationship Id="rId114" Type="http://schemas.openxmlformats.org/officeDocument/2006/relationships/externalLink" Target="externalLinks/externalLink108.xml"/><Relationship Id="rId119" Type="http://schemas.openxmlformats.org/officeDocument/2006/relationships/externalLink" Target="externalLinks/externalLink113.xml"/><Relationship Id="rId127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31" Type="http://schemas.openxmlformats.org/officeDocument/2006/relationships/externalLink" Target="externalLinks/externalLink25.xml"/><Relationship Id="rId44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46.xml"/><Relationship Id="rId60" Type="http://schemas.openxmlformats.org/officeDocument/2006/relationships/externalLink" Target="externalLinks/externalLink54.xml"/><Relationship Id="rId65" Type="http://schemas.openxmlformats.org/officeDocument/2006/relationships/externalLink" Target="externalLinks/externalLink59.xml"/><Relationship Id="rId73" Type="http://schemas.openxmlformats.org/officeDocument/2006/relationships/externalLink" Target="externalLinks/externalLink67.xml"/><Relationship Id="rId78" Type="http://schemas.openxmlformats.org/officeDocument/2006/relationships/externalLink" Target="externalLinks/externalLink72.xml"/><Relationship Id="rId81" Type="http://schemas.openxmlformats.org/officeDocument/2006/relationships/externalLink" Target="externalLinks/externalLink75.xml"/><Relationship Id="rId86" Type="http://schemas.openxmlformats.org/officeDocument/2006/relationships/externalLink" Target="externalLinks/externalLink80.xml"/><Relationship Id="rId94" Type="http://schemas.openxmlformats.org/officeDocument/2006/relationships/externalLink" Target="externalLinks/externalLink88.xml"/><Relationship Id="rId99" Type="http://schemas.openxmlformats.org/officeDocument/2006/relationships/externalLink" Target="externalLinks/externalLink93.xml"/><Relationship Id="rId101" Type="http://schemas.openxmlformats.org/officeDocument/2006/relationships/externalLink" Target="externalLinks/externalLink95.xml"/><Relationship Id="rId122" Type="http://schemas.openxmlformats.org/officeDocument/2006/relationships/externalLink" Target="externalLinks/externalLink11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33.xml"/><Relationship Id="rId109" Type="http://schemas.openxmlformats.org/officeDocument/2006/relationships/externalLink" Target="externalLinks/externalLink103.xml"/><Relationship Id="rId34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44.xml"/><Relationship Id="rId55" Type="http://schemas.openxmlformats.org/officeDocument/2006/relationships/externalLink" Target="externalLinks/externalLink49.xml"/><Relationship Id="rId76" Type="http://schemas.openxmlformats.org/officeDocument/2006/relationships/externalLink" Target="externalLinks/externalLink70.xml"/><Relationship Id="rId97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8.xml"/><Relationship Id="rId120" Type="http://schemas.openxmlformats.org/officeDocument/2006/relationships/externalLink" Target="externalLinks/externalLink114.xml"/><Relationship Id="rId125" Type="http://schemas.openxmlformats.org/officeDocument/2006/relationships/styles" Target="styles.xml"/><Relationship Id="rId7" Type="http://schemas.openxmlformats.org/officeDocument/2006/relationships/externalLink" Target="externalLinks/externalLink1.xml"/><Relationship Id="rId71" Type="http://schemas.openxmlformats.org/officeDocument/2006/relationships/externalLink" Target="externalLinks/externalLink65.xml"/><Relationship Id="rId92" Type="http://schemas.openxmlformats.org/officeDocument/2006/relationships/externalLink" Target="externalLinks/externalLink8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3.xml"/><Relationship Id="rId24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66" Type="http://schemas.openxmlformats.org/officeDocument/2006/relationships/externalLink" Target="externalLinks/externalLink60.xml"/><Relationship Id="rId87" Type="http://schemas.openxmlformats.org/officeDocument/2006/relationships/externalLink" Target="externalLinks/externalLink81.xml"/><Relationship Id="rId110" Type="http://schemas.openxmlformats.org/officeDocument/2006/relationships/externalLink" Target="externalLinks/externalLink104.xml"/><Relationship Id="rId115" Type="http://schemas.openxmlformats.org/officeDocument/2006/relationships/externalLink" Target="externalLinks/externalLink109.xml"/><Relationship Id="rId61" Type="http://schemas.openxmlformats.org/officeDocument/2006/relationships/externalLink" Target="externalLinks/externalLink55.xml"/><Relationship Id="rId82" Type="http://schemas.openxmlformats.org/officeDocument/2006/relationships/externalLink" Target="externalLinks/externalLink7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209550</xdr:colOff>
      <xdr:row>24</xdr:row>
      <xdr:rowOff>161925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15150" cy="473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hpp1\bod\HWS200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oo\DALY57\injury_DALY57\&#3605;&#3633;&#3623;&#3588;&#3641;&#3603;&#3650;&#3619;&#3591;&#3614;&#3618;&#3634;&#3610;&#3634;&#3621;_2557-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unk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V1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V2.csv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V3.csv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V4.csv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U1.csv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U2.csv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U3.csv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U4.csv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U5.csv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U6.csv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unk.csv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V1.csv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V2.csv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V3.csv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V4.csv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U1.csv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U2.csv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U3.csv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U4.csv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U5.csv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U6.csv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unk.csv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V1.csv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V2.csv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V3.csv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V4.csv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U1.csv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U2.csv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U3.csv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U4.csv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U5.csv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U6.csv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unk.csv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V1.csv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V2.csv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V3.csv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V4.csv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U1.csv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U2.csv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U3.csv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U4.csv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U5.csv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U6.csv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unk.csv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V1.csv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V2.csv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V3.csv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V4.csv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U1.csv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U2.csv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U3.csv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U4.csv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U5.csv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U6.csv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unk.csv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V1.csv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V2.csv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V3.csv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V4.csv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U1.csv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U2.csv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U3.csv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U4.csv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U5.csv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U6.csv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ill_X2.csv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ill_X3.csv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ill_X4.csv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ill_X5.csv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ill_X6.csv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ill_X7.csv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ill_X8.csv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ill_X2.csv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ill_X3.csv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ill_X4.csv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ill_X5.csv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ill_X6.csv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ill_X7.csv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ill_X8.csv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ill_X2.csv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ill_X3.csv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ill_X4.csv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ill_X5.csv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ill_X6.csv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ill_X7.csv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ill_X8.csv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ill_X2.csv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ill_X3.csv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ill_X4.csv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ill_X5.csv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ill_X6.csv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ill_X7.csv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ill_X8.csv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ill_X2.csv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ill_X3.csv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ill_X4.csv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ill_X5.csv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ill_X6.csv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ill_X7.csv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ill_X8.csv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ill_X2.csv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ill_X3.csv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ill_X4.csv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ill_X5.csv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ill_X6.csv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ill_X7.csv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ill_X8.csv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1_inj.ill_X1.csv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2_inj.ill_X1.csv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male_hkom3_inj.ill_X1.csv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1_inj.ill_X1.csv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2_inj.ill_X1.csv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_IPD57_120716SSS_priority_nature/table_female_hkom3_inj.ill_X1.csv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&#3605;&#3633;&#3623;&#3588;&#3641;&#3603;&#3650;&#3619;&#3591;&#3614;&#3618;&#3634;&#3610;&#3634;&#3621;_2557_adj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tilization"/>
      <sheetName val="HWS2009"/>
      <sheetName val="HWS2004"/>
      <sheetName val="HWS2009_illLastMonth"/>
      <sheetName val="HWS2009_illYear"/>
    </sheetNames>
    <sheetDataSet>
      <sheetData sheetId="0" refreshError="1">
        <row r="73">
          <cell r="B73" t="str">
            <v>Age group</v>
          </cell>
          <cell r="F73" t="str">
            <v>Total</v>
          </cell>
        </row>
        <row r="74">
          <cell r="A74" t="str">
            <v>Males</v>
          </cell>
          <cell r="B74">
            <v>0</v>
          </cell>
        </row>
        <row r="75">
          <cell r="B75">
            <v>5</v>
          </cell>
        </row>
        <row r="76">
          <cell r="B76">
            <v>15</v>
          </cell>
        </row>
        <row r="77">
          <cell r="B77">
            <v>30</v>
          </cell>
        </row>
        <row r="78">
          <cell r="B78">
            <v>45</v>
          </cell>
        </row>
        <row r="79">
          <cell r="B79">
            <v>60</v>
          </cell>
        </row>
        <row r="80">
          <cell r="B80">
            <v>70</v>
          </cell>
        </row>
        <row r="81">
          <cell r="B81">
            <v>80</v>
          </cell>
        </row>
        <row r="82">
          <cell r="B82" t="str">
            <v>all ages</v>
          </cell>
        </row>
        <row r="83">
          <cell r="A83" t="str">
            <v>Females</v>
          </cell>
          <cell r="B83">
            <v>0</v>
          </cell>
        </row>
        <row r="84">
          <cell r="B84">
            <v>5</v>
          </cell>
        </row>
        <row r="85">
          <cell r="B85">
            <v>15</v>
          </cell>
        </row>
        <row r="86">
          <cell r="B86">
            <v>30</v>
          </cell>
        </row>
        <row r="87">
          <cell r="B87">
            <v>45</v>
          </cell>
        </row>
        <row r="88">
          <cell r="B88">
            <v>60</v>
          </cell>
        </row>
        <row r="89">
          <cell r="B89">
            <v>70</v>
          </cell>
        </row>
        <row r="90">
          <cell r="B90">
            <v>80</v>
          </cell>
        </row>
        <row r="91">
          <cell r="B91" t="str">
            <v>all ages</v>
          </cell>
        </row>
        <row r="92">
          <cell r="A92" t="str">
            <v>Both sexes</v>
          </cell>
          <cell r="B92" t="str">
            <v>all ages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tilization2013"/>
      <sheetName val="Utilization2013 (2)"/>
      <sheetName val="Utilization2013 (SSS)"/>
      <sheetName val="Utilization"/>
      <sheetName val="HWS2009"/>
      <sheetName val="HWS2004"/>
      <sheetName val="HWS2009_illLastMonth"/>
      <sheetName val="HWS2009_illYear"/>
      <sheetName val="HWS2013"/>
      <sheetName val="HWS2013_illYear"/>
      <sheetName val="Sheet1"/>
      <sheetName val="SSS2014"/>
    </sheetNames>
    <sheetDataSet>
      <sheetData sheetId="0">
        <row r="95">
          <cell r="C95">
            <v>1</v>
          </cell>
          <cell r="D95">
            <v>1</v>
          </cell>
          <cell r="F95">
            <v>1</v>
          </cell>
        </row>
        <row r="96">
          <cell r="C96">
            <v>1</v>
          </cell>
          <cell r="D96">
            <v>1</v>
          </cell>
          <cell r="F96">
            <v>1.0255880444967684</v>
          </cell>
        </row>
        <row r="97">
          <cell r="C97">
            <v>1</v>
          </cell>
          <cell r="D97">
            <v>1</v>
          </cell>
          <cell r="F97">
            <v>1</v>
          </cell>
        </row>
        <row r="98">
          <cell r="C98">
            <v>1</v>
          </cell>
          <cell r="D98">
            <v>1.4498521358874679</v>
          </cell>
          <cell r="F98">
            <v>1</v>
          </cell>
        </row>
        <row r="99">
          <cell r="C99">
            <v>1</v>
          </cell>
          <cell r="D99">
            <v>1</v>
          </cell>
          <cell r="F99">
            <v>1</v>
          </cell>
        </row>
        <row r="100">
          <cell r="C100">
            <v>1</v>
          </cell>
          <cell r="D100">
            <v>1.0170452167758635</v>
          </cell>
          <cell r="F100">
            <v>1</v>
          </cell>
        </row>
        <row r="101">
          <cell r="C101">
            <v>1</v>
          </cell>
          <cell r="D101">
            <v>1</v>
          </cell>
          <cell r="F101">
            <v>1</v>
          </cell>
        </row>
        <row r="102">
          <cell r="C102">
            <v>1</v>
          </cell>
          <cell r="D102">
            <v>1</v>
          </cell>
          <cell r="F102">
            <v>1</v>
          </cell>
        </row>
        <row r="104">
          <cell r="C104">
            <v>1</v>
          </cell>
          <cell r="D104">
            <v>1</v>
          </cell>
          <cell r="F104">
            <v>1</v>
          </cell>
        </row>
        <row r="105">
          <cell r="C105">
            <v>1</v>
          </cell>
          <cell r="D105">
            <v>1</v>
          </cell>
          <cell r="F105">
            <v>1</v>
          </cell>
        </row>
        <row r="106">
          <cell r="C106">
            <v>1</v>
          </cell>
          <cell r="D106">
            <v>3.6498144278642464</v>
          </cell>
          <cell r="F106">
            <v>1</v>
          </cell>
        </row>
        <row r="107">
          <cell r="C107">
            <v>1</v>
          </cell>
          <cell r="D107">
            <v>1.0804801836112787</v>
          </cell>
          <cell r="F107">
            <v>1</v>
          </cell>
        </row>
        <row r="108">
          <cell r="C108">
            <v>1</v>
          </cell>
          <cell r="D108">
            <v>1.16972117977729</v>
          </cell>
          <cell r="F108">
            <v>1</v>
          </cell>
        </row>
        <row r="109">
          <cell r="C109">
            <v>1</v>
          </cell>
          <cell r="D109">
            <v>1</v>
          </cell>
          <cell r="F109">
            <v>1</v>
          </cell>
        </row>
        <row r="110">
          <cell r="C110">
            <v>1</v>
          </cell>
          <cell r="D110">
            <v>1</v>
          </cell>
          <cell r="F110">
            <v>1</v>
          </cell>
        </row>
        <row r="111">
          <cell r="C111">
            <v>1</v>
          </cell>
          <cell r="D111">
            <v>1</v>
          </cell>
          <cell r="F11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unk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V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1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1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1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2</v>
          </cell>
          <cell r="C10">
            <v>3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2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9</v>
          </cell>
          <cell r="C20">
            <v>15</v>
          </cell>
          <cell r="D20">
            <v>3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1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1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1</v>
          </cell>
          <cell r="D32">
            <v>1</v>
          </cell>
          <cell r="E32">
            <v>0</v>
          </cell>
        </row>
        <row r="33">
          <cell r="A33" t="str">
            <v>n32</v>
          </cell>
          <cell r="B33">
            <v>51</v>
          </cell>
          <cell r="C33">
            <v>65</v>
          </cell>
          <cell r="D33">
            <v>19</v>
          </cell>
          <cell r="E33">
            <v>1</v>
          </cell>
        </row>
        <row r="34">
          <cell r="A34" t="str">
            <v>n33</v>
          </cell>
          <cell r="B34">
            <v>3</v>
          </cell>
          <cell r="C34">
            <v>1</v>
          </cell>
          <cell r="D34">
            <v>1</v>
          </cell>
          <cell r="E34">
            <v>0</v>
          </cell>
        </row>
        <row r="35">
          <cell r="A35" t="str">
            <v>unk</v>
          </cell>
          <cell r="B35">
            <v>10</v>
          </cell>
          <cell r="C35">
            <v>14</v>
          </cell>
          <cell r="D35">
            <v>3</v>
          </cell>
          <cell r="E35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V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</row>
        <row r="2">
          <cell r="A2" t="str">
            <v>n01</v>
          </cell>
          <cell r="B2">
            <v>22</v>
          </cell>
          <cell r="C2">
            <v>29</v>
          </cell>
          <cell r="D2">
            <v>7</v>
          </cell>
          <cell r="E2">
            <v>0</v>
          </cell>
          <cell r="F2">
            <v>0</v>
          </cell>
        </row>
        <row r="3">
          <cell r="A3" t="str">
            <v>n02</v>
          </cell>
          <cell r="B3">
            <v>91</v>
          </cell>
          <cell r="C3">
            <v>85</v>
          </cell>
          <cell r="D3">
            <v>15</v>
          </cell>
          <cell r="E3">
            <v>0</v>
          </cell>
          <cell r="F3">
            <v>0</v>
          </cell>
        </row>
        <row r="4">
          <cell r="A4" t="str">
            <v>n03</v>
          </cell>
          <cell r="B4">
            <v>2</v>
          </cell>
          <cell r="C4">
            <v>3</v>
          </cell>
          <cell r="D4">
            <v>0</v>
          </cell>
          <cell r="E4">
            <v>0</v>
          </cell>
          <cell r="F4">
            <v>0</v>
          </cell>
        </row>
        <row r="5">
          <cell r="A5" t="str">
            <v>n04</v>
          </cell>
          <cell r="B5">
            <v>8</v>
          </cell>
          <cell r="C5">
            <v>3</v>
          </cell>
          <cell r="D5">
            <v>0</v>
          </cell>
          <cell r="E5">
            <v>0</v>
          </cell>
          <cell r="F5">
            <v>0</v>
          </cell>
        </row>
        <row r="6">
          <cell r="A6" t="str">
            <v>n05</v>
          </cell>
          <cell r="B6">
            <v>7</v>
          </cell>
          <cell r="C6">
            <v>16</v>
          </cell>
          <cell r="D6">
            <v>7</v>
          </cell>
          <cell r="E6">
            <v>1</v>
          </cell>
          <cell r="F6">
            <v>0</v>
          </cell>
        </row>
        <row r="7">
          <cell r="A7" t="str">
            <v>n06</v>
          </cell>
          <cell r="B7">
            <v>4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A8" t="str">
            <v>n07</v>
          </cell>
          <cell r="B8">
            <v>17</v>
          </cell>
          <cell r="C8">
            <v>11</v>
          </cell>
          <cell r="D8">
            <v>7</v>
          </cell>
          <cell r="E8">
            <v>0</v>
          </cell>
          <cell r="F8">
            <v>0</v>
          </cell>
        </row>
        <row r="9">
          <cell r="A9" t="str">
            <v>n08</v>
          </cell>
          <cell r="B9">
            <v>34</v>
          </cell>
          <cell r="C9">
            <v>37</v>
          </cell>
          <cell r="D9">
            <v>17</v>
          </cell>
          <cell r="E9">
            <v>1</v>
          </cell>
          <cell r="F9">
            <v>0</v>
          </cell>
        </row>
        <row r="10">
          <cell r="A10" t="str">
            <v>n09</v>
          </cell>
          <cell r="B10">
            <v>34</v>
          </cell>
          <cell r="C10">
            <v>24</v>
          </cell>
          <cell r="D10">
            <v>8</v>
          </cell>
          <cell r="E10">
            <v>0</v>
          </cell>
          <cell r="F10">
            <v>0</v>
          </cell>
        </row>
        <row r="11">
          <cell r="A11" t="str">
            <v>n10</v>
          </cell>
          <cell r="B11">
            <v>3</v>
          </cell>
          <cell r="C11">
            <v>4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n11</v>
          </cell>
          <cell r="B12">
            <v>9</v>
          </cell>
          <cell r="C12">
            <v>6</v>
          </cell>
          <cell r="D12">
            <v>1</v>
          </cell>
          <cell r="E12">
            <v>0</v>
          </cell>
          <cell r="F12">
            <v>0</v>
          </cell>
        </row>
        <row r="13">
          <cell r="A13" t="str">
            <v>n12</v>
          </cell>
          <cell r="B13">
            <v>2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A14" t="str">
            <v>n13</v>
          </cell>
          <cell r="B14">
            <v>5</v>
          </cell>
          <cell r="C14">
            <v>2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n14</v>
          </cell>
          <cell r="B15">
            <v>0</v>
          </cell>
          <cell r="C15">
            <v>2</v>
          </cell>
          <cell r="D15">
            <v>1</v>
          </cell>
          <cell r="E15">
            <v>0</v>
          </cell>
          <cell r="F15">
            <v>0</v>
          </cell>
        </row>
        <row r="16">
          <cell r="A16" t="str">
            <v>n15</v>
          </cell>
          <cell r="B16">
            <v>1</v>
          </cell>
          <cell r="C16">
            <v>1</v>
          </cell>
          <cell r="D16">
            <v>1</v>
          </cell>
          <cell r="E16">
            <v>0</v>
          </cell>
          <cell r="F16">
            <v>0</v>
          </cell>
        </row>
        <row r="17">
          <cell r="A17" t="str">
            <v>n16</v>
          </cell>
          <cell r="B17">
            <v>2</v>
          </cell>
          <cell r="C17">
            <v>4</v>
          </cell>
          <cell r="D17">
            <v>3</v>
          </cell>
          <cell r="E17">
            <v>0</v>
          </cell>
          <cell r="F17">
            <v>0</v>
          </cell>
        </row>
        <row r="18">
          <cell r="A18" t="str">
            <v>n17</v>
          </cell>
          <cell r="B18">
            <v>244</v>
          </cell>
          <cell r="C18">
            <v>224</v>
          </cell>
          <cell r="D18">
            <v>79</v>
          </cell>
          <cell r="E18">
            <v>3</v>
          </cell>
          <cell r="F18">
            <v>0</v>
          </cell>
        </row>
        <row r="19">
          <cell r="A19" t="str">
            <v>n18</v>
          </cell>
          <cell r="B19">
            <v>98</v>
          </cell>
          <cell r="C19">
            <v>97</v>
          </cell>
          <cell r="D19">
            <v>22</v>
          </cell>
          <cell r="E19">
            <v>0</v>
          </cell>
          <cell r="F19">
            <v>0</v>
          </cell>
        </row>
        <row r="20">
          <cell r="A20" t="str">
            <v>n19</v>
          </cell>
          <cell r="B20">
            <v>270</v>
          </cell>
          <cell r="C20">
            <v>230</v>
          </cell>
          <cell r="D20">
            <v>69</v>
          </cell>
          <cell r="E20">
            <v>1</v>
          </cell>
          <cell r="F20">
            <v>0</v>
          </cell>
        </row>
        <row r="21">
          <cell r="A21" t="str">
            <v>n20</v>
          </cell>
          <cell r="B21">
            <v>13</v>
          </cell>
          <cell r="C21">
            <v>12</v>
          </cell>
          <cell r="D21">
            <v>8</v>
          </cell>
          <cell r="E21">
            <v>1</v>
          </cell>
          <cell r="F21">
            <v>0</v>
          </cell>
        </row>
        <row r="22">
          <cell r="A22" t="str">
            <v>n21</v>
          </cell>
          <cell r="B22">
            <v>0</v>
          </cell>
          <cell r="C22">
            <v>1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n22</v>
          </cell>
          <cell r="B23">
            <v>1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n27</v>
          </cell>
          <cell r="B28">
            <v>1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n29</v>
          </cell>
          <cell r="B30">
            <v>1</v>
          </cell>
          <cell r="C30">
            <v>1</v>
          </cell>
          <cell r="D30">
            <v>1</v>
          </cell>
          <cell r="E30">
            <v>0</v>
          </cell>
          <cell r="F30">
            <v>0</v>
          </cell>
        </row>
        <row r="31">
          <cell r="A31" t="str">
            <v>n30</v>
          </cell>
          <cell r="B31">
            <v>1</v>
          </cell>
          <cell r="C31">
            <v>0</v>
          </cell>
          <cell r="D31">
            <v>1</v>
          </cell>
          <cell r="E31">
            <v>0</v>
          </cell>
          <cell r="F31">
            <v>0</v>
          </cell>
        </row>
        <row r="32">
          <cell r="A32" t="str">
            <v>n31</v>
          </cell>
          <cell r="B32">
            <v>20</v>
          </cell>
          <cell r="C32">
            <v>29</v>
          </cell>
          <cell r="D32">
            <v>5</v>
          </cell>
          <cell r="E32">
            <v>0</v>
          </cell>
          <cell r="F32">
            <v>0</v>
          </cell>
        </row>
        <row r="33">
          <cell r="A33" t="str">
            <v>n32</v>
          </cell>
          <cell r="B33">
            <v>0</v>
          </cell>
          <cell r="C33">
            <v>3</v>
          </cell>
          <cell r="D33">
            <v>1</v>
          </cell>
          <cell r="E33">
            <v>0</v>
          </cell>
          <cell r="F33">
            <v>0</v>
          </cell>
        </row>
        <row r="34">
          <cell r="A34" t="str">
            <v>n33</v>
          </cell>
          <cell r="B34">
            <v>23</v>
          </cell>
          <cell r="C34">
            <v>22</v>
          </cell>
          <cell r="D34">
            <v>4</v>
          </cell>
          <cell r="E34">
            <v>0</v>
          </cell>
          <cell r="F34">
            <v>0</v>
          </cell>
        </row>
        <row r="35">
          <cell r="A35" t="str">
            <v>unk</v>
          </cell>
          <cell r="B35">
            <v>60</v>
          </cell>
          <cell r="C35">
            <v>63</v>
          </cell>
          <cell r="D35">
            <v>22</v>
          </cell>
          <cell r="E35">
            <v>0</v>
          </cell>
          <cell r="F35">
            <v>1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V3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V4"/>
    </sheetNames>
    <sheetDataSet>
      <sheetData sheetId="0">
        <row r="1">
          <cell r="B1" t="str">
            <v>3_15-29</v>
          </cell>
          <cell r="C1" t="str">
            <v>4_30-44</v>
          </cell>
        </row>
        <row r="2">
          <cell r="A2" t="str">
            <v>n01</v>
          </cell>
          <cell r="B2">
            <v>0</v>
          </cell>
          <cell r="C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</row>
        <row r="12">
          <cell r="A12" t="str">
            <v>n11</v>
          </cell>
          <cell r="B12">
            <v>0</v>
          </cell>
          <cell r="C12">
            <v>1</v>
          </cell>
        </row>
        <row r="13">
          <cell r="A13" t="str">
            <v>n12</v>
          </cell>
          <cell r="B13">
            <v>0</v>
          </cell>
          <cell r="C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</row>
        <row r="34">
          <cell r="A34" t="str">
            <v>n33</v>
          </cell>
          <cell r="B34">
            <v>1</v>
          </cell>
          <cell r="C34">
            <v>0</v>
          </cell>
        </row>
        <row r="35">
          <cell r="A35" t="str">
            <v>unk</v>
          </cell>
          <cell r="B35">
            <v>0</v>
          </cell>
          <cell r="C35">
            <v>1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U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88</v>
          </cell>
          <cell r="C2">
            <v>89</v>
          </cell>
          <cell r="D2">
            <v>24</v>
          </cell>
          <cell r="E2">
            <v>2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236</v>
          </cell>
          <cell r="C3">
            <v>276</v>
          </cell>
          <cell r="D3">
            <v>84</v>
          </cell>
          <cell r="E3">
            <v>3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53</v>
          </cell>
          <cell r="C4">
            <v>68</v>
          </cell>
          <cell r="D4">
            <v>36</v>
          </cell>
          <cell r="E4">
            <v>4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30</v>
          </cell>
          <cell r="C5">
            <v>71</v>
          </cell>
          <cell r="D5">
            <v>52</v>
          </cell>
          <cell r="E5">
            <v>3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45</v>
          </cell>
          <cell r="C6">
            <v>200</v>
          </cell>
          <cell r="D6">
            <v>138</v>
          </cell>
          <cell r="E6">
            <v>8</v>
          </cell>
          <cell r="F6">
            <v>2</v>
          </cell>
          <cell r="G6">
            <v>0</v>
          </cell>
        </row>
        <row r="7">
          <cell r="A7" t="str">
            <v>n06</v>
          </cell>
          <cell r="B7">
            <v>46</v>
          </cell>
          <cell r="C7">
            <v>55</v>
          </cell>
          <cell r="D7">
            <v>25</v>
          </cell>
          <cell r="E7">
            <v>3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129</v>
          </cell>
          <cell r="C8">
            <v>239</v>
          </cell>
          <cell r="D8">
            <v>91</v>
          </cell>
          <cell r="E8">
            <v>6</v>
          </cell>
          <cell r="F8">
            <v>1</v>
          </cell>
          <cell r="G8">
            <v>0</v>
          </cell>
        </row>
        <row r="9">
          <cell r="A9" t="str">
            <v>n08</v>
          </cell>
          <cell r="B9">
            <v>203</v>
          </cell>
          <cell r="C9">
            <v>219</v>
          </cell>
          <cell r="D9">
            <v>88</v>
          </cell>
          <cell r="E9">
            <v>8</v>
          </cell>
          <cell r="F9">
            <v>1</v>
          </cell>
          <cell r="G9">
            <v>0</v>
          </cell>
        </row>
        <row r="10">
          <cell r="A10" t="str">
            <v>n09</v>
          </cell>
          <cell r="B10">
            <v>179</v>
          </cell>
          <cell r="C10">
            <v>201</v>
          </cell>
          <cell r="D10">
            <v>88</v>
          </cell>
          <cell r="E10">
            <v>5</v>
          </cell>
          <cell r="F10">
            <v>2</v>
          </cell>
          <cell r="G10">
            <v>0</v>
          </cell>
        </row>
        <row r="11">
          <cell r="A11" t="str">
            <v>n10</v>
          </cell>
          <cell r="B11">
            <v>317</v>
          </cell>
          <cell r="C11">
            <v>231</v>
          </cell>
          <cell r="D11">
            <v>82</v>
          </cell>
          <cell r="E11">
            <v>7</v>
          </cell>
          <cell r="F11">
            <v>3</v>
          </cell>
          <cell r="G11">
            <v>0</v>
          </cell>
        </row>
        <row r="12">
          <cell r="A12" t="str">
            <v>n11</v>
          </cell>
          <cell r="B12">
            <v>256</v>
          </cell>
          <cell r="C12">
            <v>312</v>
          </cell>
          <cell r="D12">
            <v>141</v>
          </cell>
          <cell r="E12">
            <v>23</v>
          </cell>
          <cell r="F12">
            <v>1</v>
          </cell>
          <cell r="G12">
            <v>0</v>
          </cell>
        </row>
        <row r="13">
          <cell r="A13" t="str">
            <v>n12</v>
          </cell>
          <cell r="B13">
            <v>45</v>
          </cell>
          <cell r="C13">
            <v>44</v>
          </cell>
          <cell r="D13">
            <v>24</v>
          </cell>
          <cell r="E13">
            <v>4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115</v>
          </cell>
          <cell r="C14">
            <v>133</v>
          </cell>
          <cell r="D14">
            <v>67</v>
          </cell>
          <cell r="E14">
            <v>3</v>
          </cell>
          <cell r="F14">
            <v>1</v>
          </cell>
          <cell r="G14">
            <v>0</v>
          </cell>
        </row>
        <row r="15">
          <cell r="A15" t="str">
            <v>n14</v>
          </cell>
          <cell r="B15">
            <v>39</v>
          </cell>
          <cell r="C15">
            <v>50</v>
          </cell>
          <cell r="D15">
            <v>9</v>
          </cell>
          <cell r="E15">
            <v>1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39</v>
          </cell>
          <cell r="C16">
            <v>54</v>
          </cell>
          <cell r="D16">
            <v>22</v>
          </cell>
          <cell r="E16">
            <v>2</v>
          </cell>
          <cell r="F16">
            <v>0</v>
          </cell>
          <cell r="G16">
            <v>0</v>
          </cell>
        </row>
        <row r="17">
          <cell r="A17" t="str">
            <v>n16</v>
          </cell>
          <cell r="B17">
            <v>36</v>
          </cell>
          <cell r="C17">
            <v>50</v>
          </cell>
          <cell r="D17">
            <v>19</v>
          </cell>
          <cell r="E17">
            <v>4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1916</v>
          </cell>
          <cell r="C18">
            <v>2097</v>
          </cell>
          <cell r="D18">
            <v>810</v>
          </cell>
          <cell r="E18">
            <v>76</v>
          </cell>
          <cell r="F18">
            <v>0</v>
          </cell>
          <cell r="G18">
            <v>3</v>
          </cell>
        </row>
        <row r="19">
          <cell r="A19" t="str">
            <v>n18</v>
          </cell>
          <cell r="B19">
            <v>71</v>
          </cell>
          <cell r="C19">
            <v>110</v>
          </cell>
          <cell r="D19">
            <v>36</v>
          </cell>
          <cell r="E19">
            <v>3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316</v>
          </cell>
          <cell r="C20">
            <v>341</v>
          </cell>
          <cell r="D20">
            <v>155</v>
          </cell>
          <cell r="E20">
            <v>11</v>
          </cell>
          <cell r="F20">
            <v>0</v>
          </cell>
          <cell r="G20">
            <v>0</v>
          </cell>
        </row>
        <row r="21">
          <cell r="A21" t="str">
            <v>n20</v>
          </cell>
          <cell r="B21">
            <v>12</v>
          </cell>
          <cell r="C21">
            <v>13</v>
          </cell>
          <cell r="D21">
            <v>7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9</v>
          </cell>
          <cell r="C23">
            <v>6</v>
          </cell>
          <cell r="D23">
            <v>3</v>
          </cell>
          <cell r="E23">
            <v>2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1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7</v>
          </cell>
          <cell r="C25">
            <v>4</v>
          </cell>
          <cell r="D25">
            <v>5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1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6</v>
          </cell>
          <cell r="C28">
            <v>5</v>
          </cell>
          <cell r="D28">
            <v>3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5</v>
          </cell>
          <cell r="C30">
            <v>2</v>
          </cell>
          <cell r="D30">
            <v>2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3</v>
          </cell>
          <cell r="C31">
            <v>5</v>
          </cell>
          <cell r="D31">
            <v>1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37</v>
          </cell>
          <cell r="C32">
            <v>27</v>
          </cell>
          <cell r="D32">
            <v>11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4</v>
          </cell>
          <cell r="C33">
            <v>1</v>
          </cell>
          <cell r="D33">
            <v>2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n33</v>
          </cell>
          <cell r="B34">
            <v>31</v>
          </cell>
          <cell r="C34">
            <v>43</v>
          </cell>
          <cell r="D34">
            <v>15</v>
          </cell>
          <cell r="E34">
            <v>1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201</v>
          </cell>
          <cell r="C35">
            <v>239</v>
          </cell>
          <cell r="D35">
            <v>156</v>
          </cell>
          <cell r="E35">
            <v>8</v>
          </cell>
          <cell r="F35">
            <v>0</v>
          </cell>
          <cell r="G35">
            <v>0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U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1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1</v>
          </cell>
          <cell r="C18">
            <v>2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1</v>
          </cell>
          <cell r="E19">
            <v>0</v>
          </cell>
        </row>
        <row r="20">
          <cell r="A20" t="str">
            <v>n19</v>
          </cell>
          <cell r="B20">
            <v>1</v>
          </cell>
          <cell r="C20">
            <v>1</v>
          </cell>
          <cell r="D20">
            <v>1</v>
          </cell>
          <cell r="E20">
            <v>0</v>
          </cell>
        </row>
        <row r="21">
          <cell r="A21" t="str">
            <v>n20</v>
          </cell>
          <cell r="B21">
            <v>3</v>
          </cell>
          <cell r="C21">
            <v>3</v>
          </cell>
          <cell r="D21">
            <v>4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1</v>
          </cell>
          <cell r="C29">
            <v>1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2</v>
          </cell>
          <cell r="D30">
            <v>1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64</v>
          </cell>
          <cell r="C33">
            <v>102</v>
          </cell>
          <cell r="D33">
            <v>58</v>
          </cell>
          <cell r="E33">
            <v>5</v>
          </cell>
        </row>
        <row r="34">
          <cell r="A34" t="str">
            <v>n33</v>
          </cell>
          <cell r="B34">
            <v>2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74</v>
          </cell>
          <cell r="C35">
            <v>97</v>
          </cell>
          <cell r="D35">
            <v>36</v>
          </cell>
          <cell r="E35">
            <v>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U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1</v>
          </cell>
          <cell r="C2">
            <v>11</v>
          </cell>
          <cell r="D2">
            <v>6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19</v>
          </cell>
          <cell r="C3">
            <v>41</v>
          </cell>
          <cell r="D3">
            <v>11</v>
          </cell>
          <cell r="E3">
            <v>2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29</v>
          </cell>
          <cell r="C4">
            <v>67</v>
          </cell>
          <cell r="D4">
            <v>72</v>
          </cell>
          <cell r="E4">
            <v>5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5</v>
          </cell>
          <cell r="C5">
            <v>12</v>
          </cell>
          <cell r="D5">
            <v>11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7</v>
          </cell>
          <cell r="C6">
            <v>41</v>
          </cell>
          <cell r="D6">
            <v>59</v>
          </cell>
          <cell r="E6">
            <v>12</v>
          </cell>
          <cell r="F6">
            <v>2</v>
          </cell>
          <cell r="G6">
            <v>0</v>
          </cell>
        </row>
        <row r="7">
          <cell r="A7" t="str">
            <v>n06</v>
          </cell>
          <cell r="B7">
            <v>1</v>
          </cell>
          <cell r="C7">
            <v>14</v>
          </cell>
          <cell r="D7">
            <v>7</v>
          </cell>
          <cell r="E7">
            <v>1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22</v>
          </cell>
          <cell r="C8">
            <v>33</v>
          </cell>
          <cell r="D8">
            <v>30</v>
          </cell>
          <cell r="E8">
            <v>2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98</v>
          </cell>
          <cell r="C9">
            <v>138</v>
          </cell>
          <cell r="D9">
            <v>79</v>
          </cell>
          <cell r="E9">
            <v>5</v>
          </cell>
          <cell r="F9">
            <v>3</v>
          </cell>
          <cell r="G9">
            <v>0</v>
          </cell>
        </row>
        <row r="10">
          <cell r="A10" t="str">
            <v>n09</v>
          </cell>
          <cell r="B10">
            <v>41</v>
          </cell>
          <cell r="C10">
            <v>52</v>
          </cell>
          <cell r="D10">
            <v>17</v>
          </cell>
          <cell r="E10">
            <v>2</v>
          </cell>
          <cell r="F10">
            <v>0</v>
          </cell>
          <cell r="G10">
            <v>0</v>
          </cell>
        </row>
        <row r="11">
          <cell r="A11" t="str">
            <v>n10</v>
          </cell>
          <cell r="B11">
            <v>13</v>
          </cell>
          <cell r="C11">
            <v>42</v>
          </cell>
          <cell r="D11">
            <v>46</v>
          </cell>
          <cell r="E11">
            <v>8</v>
          </cell>
          <cell r="F11">
            <v>5</v>
          </cell>
          <cell r="G11">
            <v>0</v>
          </cell>
        </row>
        <row r="12">
          <cell r="A12" t="str">
            <v>n11</v>
          </cell>
          <cell r="B12">
            <v>41</v>
          </cell>
          <cell r="C12">
            <v>72</v>
          </cell>
          <cell r="D12">
            <v>47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n12</v>
          </cell>
          <cell r="B13">
            <v>17</v>
          </cell>
          <cell r="C13">
            <v>25</v>
          </cell>
          <cell r="D13">
            <v>8</v>
          </cell>
          <cell r="E13">
            <v>1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13</v>
          </cell>
          <cell r="C14">
            <v>73</v>
          </cell>
          <cell r="D14">
            <v>42</v>
          </cell>
          <cell r="E14">
            <v>2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10</v>
          </cell>
          <cell r="C15">
            <v>24</v>
          </cell>
          <cell r="D15">
            <v>8</v>
          </cell>
          <cell r="E15">
            <v>3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15</v>
          </cell>
          <cell r="C16">
            <v>40</v>
          </cell>
          <cell r="D16">
            <v>15</v>
          </cell>
          <cell r="E16">
            <v>2</v>
          </cell>
          <cell r="F16">
            <v>1</v>
          </cell>
          <cell r="G16">
            <v>0</v>
          </cell>
        </row>
        <row r="17">
          <cell r="A17" t="str">
            <v>n16</v>
          </cell>
          <cell r="B17">
            <v>43</v>
          </cell>
          <cell r="C17">
            <v>57</v>
          </cell>
          <cell r="D17">
            <v>23</v>
          </cell>
          <cell r="E17">
            <v>3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128</v>
          </cell>
          <cell r="C18">
            <v>306</v>
          </cell>
          <cell r="D18">
            <v>239</v>
          </cell>
          <cell r="E18">
            <v>29</v>
          </cell>
          <cell r="F18">
            <v>4</v>
          </cell>
          <cell r="G18">
            <v>1</v>
          </cell>
        </row>
        <row r="19">
          <cell r="A19" t="str">
            <v>n18</v>
          </cell>
          <cell r="B19">
            <v>6</v>
          </cell>
          <cell r="C19">
            <v>16</v>
          </cell>
          <cell r="D19">
            <v>20</v>
          </cell>
          <cell r="E19">
            <v>1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37</v>
          </cell>
          <cell r="C20">
            <v>107</v>
          </cell>
          <cell r="D20">
            <v>87</v>
          </cell>
          <cell r="E20">
            <v>7</v>
          </cell>
          <cell r="F20">
            <v>2</v>
          </cell>
          <cell r="G20">
            <v>0</v>
          </cell>
        </row>
        <row r="21">
          <cell r="A21" t="str">
            <v>n20</v>
          </cell>
          <cell r="B21">
            <v>1</v>
          </cell>
          <cell r="C21">
            <v>3</v>
          </cell>
          <cell r="D21">
            <v>3</v>
          </cell>
          <cell r="E21">
            <v>1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1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1</v>
          </cell>
          <cell r="C30">
            <v>0</v>
          </cell>
          <cell r="D30">
            <v>1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1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0</v>
          </cell>
          <cell r="C32">
            <v>6</v>
          </cell>
          <cell r="D32">
            <v>2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1</v>
          </cell>
          <cell r="C33">
            <v>2</v>
          </cell>
          <cell r="D33">
            <v>0</v>
          </cell>
          <cell r="E33">
            <v>0</v>
          </cell>
          <cell r="F33">
            <v>1</v>
          </cell>
          <cell r="G33">
            <v>0</v>
          </cell>
        </row>
        <row r="34">
          <cell r="A34" t="str">
            <v>n33</v>
          </cell>
          <cell r="B34">
            <v>10</v>
          </cell>
          <cell r="C34">
            <v>29</v>
          </cell>
          <cell r="D34">
            <v>10</v>
          </cell>
          <cell r="E34">
            <v>4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60</v>
          </cell>
          <cell r="C35">
            <v>152</v>
          </cell>
          <cell r="D35">
            <v>81</v>
          </cell>
          <cell r="E35">
            <v>13</v>
          </cell>
          <cell r="F35">
            <v>0</v>
          </cell>
          <cell r="G35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U4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1</v>
          </cell>
          <cell r="C18">
            <v>0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1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2</v>
          </cell>
          <cell r="C29">
            <v>2</v>
          </cell>
          <cell r="D29">
            <v>1</v>
          </cell>
          <cell r="E29">
            <v>0</v>
          </cell>
        </row>
        <row r="30">
          <cell r="A30" t="str">
            <v>n29</v>
          </cell>
          <cell r="B30">
            <v>12</v>
          </cell>
          <cell r="C30">
            <v>14</v>
          </cell>
          <cell r="D30">
            <v>6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2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1</v>
          </cell>
          <cell r="E32">
            <v>0</v>
          </cell>
        </row>
        <row r="33">
          <cell r="A33" t="str">
            <v>n32</v>
          </cell>
          <cell r="B33">
            <v>1</v>
          </cell>
          <cell r="C33">
            <v>0</v>
          </cell>
          <cell r="D33">
            <v>1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0</v>
          </cell>
          <cell r="C35">
            <v>1</v>
          </cell>
          <cell r="D35">
            <v>3</v>
          </cell>
          <cell r="E35">
            <v>1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U5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1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1</v>
          </cell>
          <cell r="C18">
            <v>0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1</v>
          </cell>
          <cell r="C20">
            <v>0</v>
          </cell>
          <cell r="D20">
            <v>1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11</v>
          </cell>
          <cell r="C35">
            <v>15</v>
          </cell>
          <cell r="D35">
            <v>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U6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7</v>
          </cell>
          <cell r="C2">
            <v>6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24</v>
          </cell>
          <cell r="C3">
            <v>23</v>
          </cell>
          <cell r="D3">
            <v>7</v>
          </cell>
          <cell r="E3">
            <v>2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8</v>
          </cell>
          <cell r="C4">
            <v>18</v>
          </cell>
          <cell r="D4">
            <v>13</v>
          </cell>
          <cell r="E4">
            <v>2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4</v>
          </cell>
          <cell r="C5">
            <v>15</v>
          </cell>
          <cell r="D5">
            <v>8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2</v>
          </cell>
          <cell r="C6">
            <v>12</v>
          </cell>
          <cell r="D6">
            <v>11</v>
          </cell>
          <cell r="E6">
            <v>1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4</v>
          </cell>
          <cell r="C7">
            <v>4</v>
          </cell>
          <cell r="D7">
            <v>2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9</v>
          </cell>
          <cell r="C8">
            <v>13</v>
          </cell>
          <cell r="D8">
            <v>6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13</v>
          </cell>
          <cell r="C9">
            <v>34</v>
          </cell>
          <cell r="D9">
            <v>13</v>
          </cell>
          <cell r="E9">
            <v>1</v>
          </cell>
          <cell r="F9">
            <v>0</v>
          </cell>
          <cell r="G9">
            <v>0</v>
          </cell>
        </row>
        <row r="10">
          <cell r="A10" t="str">
            <v>n09</v>
          </cell>
          <cell r="B10">
            <v>173</v>
          </cell>
          <cell r="C10">
            <v>308</v>
          </cell>
          <cell r="D10">
            <v>183</v>
          </cell>
          <cell r="E10">
            <v>18</v>
          </cell>
          <cell r="F10">
            <v>2</v>
          </cell>
          <cell r="G10">
            <v>0</v>
          </cell>
        </row>
        <row r="11">
          <cell r="A11" t="str">
            <v>n10</v>
          </cell>
          <cell r="B11">
            <v>16</v>
          </cell>
          <cell r="C11">
            <v>25</v>
          </cell>
          <cell r="D11">
            <v>15</v>
          </cell>
          <cell r="E11">
            <v>0</v>
          </cell>
          <cell r="F11">
            <v>0</v>
          </cell>
          <cell r="G11">
            <v>0</v>
          </cell>
        </row>
        <row r="12">
          <cell r="A12" t="str">
            <v>n11</v>
          </cell>
          <cell r="B12">
            <v>34</v>
          </cell>
          <cell r="C12">
            <v>60</v>
          </cell>
          <cell r="D12">
            <v>34</v>
          </cell>
          <cell r="E12">
            <v>6</v>
          </cell>
          <cell r="F12">
            <v>1</v>
          </cell>
          <cell r="G12">
            <v>0</v>
          </cell>
        </row>
        <row r="13">
          <cell r="A13" t="str">
            <v>n12</v>
          </cell>
          <cell r="B13">
            <v>7</v>
          </cell>
          <cell r="C13">
            <v>14</v>
          </cell>
          <cell r="D13">
            <v>6</v>
          </cell>
          <cell r="E13">
            <v>2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51</v>
          </cell>
          <cell r="C14">
            <v>89</v>
          </cell>
          <cell r="D14">
            <v>70</v>
          </cell>
          <cell r="E14">
            <v>6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8</v>
          </cell>
          <cell r="C15">
            <v>20</v>
          </cell>
          <cell r="D15">
            <v>7</v>
          </cell>
          <cell r="E15">
            <v>1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12</v>
          </cell>
          <cell r="C16">
            <v>14</v>
          </cell>
          <cell r="D16">
            <v>4</v>
          </cell>
          <cell r="E16">
            <v>0</v>
          </cell>
          <cell r="F16">
            <v>0</v>
          </cell>
          <cell r="G16">
            <v>0</v>
          </cell>
        </row>
        <row r="17">
          <cell r="A17" t="str">
            <v>n16</v>
          </cell>
          <cell r="B17">
            <v>20</v>
          </cell>
          <cell r="C17">
            <v>32</v>
          </cell>
          <cell r="D17">
            <v>8</v>
          </cell>
          <cell r="E17">
            <v>1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79</v>
          </cell>
          <cell r="C18">
            <v>92</v>
          </cell>
          <cell r="D18">
            <v>61</v>
          </cell>
          <cell r="E18">
            <v>3</v>
          </cell>
          <cell r="F18">
            <v>2</v>
          </cell>
          <cell r="G18">
            <v>0</v>
          </cell>
        </row>
        <row r="19">
          <cell r="A19" t="str">
            <v>n18</v>
          </cell>
          <cell r="B19">
            <v>27</v>
          </cell>
          <cell r="C19">
            <v>32</v>
          </cell>
          <cell r="D19">
            <v>38</v>
          </cell>
          <cell r="E19">
            <v>4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341</v>
          </cell>
          <cell r="C20">
            <v>530</v>
          </cell>
          <cell r="D20">
            <v>314</v>
          </cell>
          <cell r="E20">
            <v>25</v>
          </cell>
          <cell r="F20">
            <v>3</v>
          </cell>
          <cell r="G20">
            <v>0</v>
          </cell>
        </row>
        <row r="21">
          <cell r="A21" t="str">
            <v>n20</v>
          </cell>
          <cell r="B21">
            <v>56</v>
          </cell>
          <cell r="C21">
            <v>132</v>
          </cell>
          <cell r="D21">
            <v>79</v>
          </cell>
          <cell r="E21">
            <v>14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4</v>
          </cell>
          <cell r="D22">
            <v>1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13</v>
          </cell>
          <cell r="C23">
            <v>39</v>
          </cell>
          <cell r="D23">
            <v>24</v>
          </cell>
          <cell r="E23">
            <v>3</v>
          </cell>
          <cell r="F23">
            <v>1</v>
          </cell>
          <cell r="G23">
            <v>0</v>
          </cell>
        </row>
        <row r="24">
          <cell r="A24" t="str">
            <v>n23</v>
          </cell>
          <cell r="B24">
            <v>2</v>
          </cell>
          <cell r="C24">
            <v>0</v>
          </cell>
          <cell r="D24">
            <v>1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1</v>
          </cell>
          <cell r="C25">
            <v>6</v>
          </cell>
          <cell r="D25">
            <v>2</v>
          </cell>
          <cell r="E25">
            <v>1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1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3</v>
          </cell>
          <cell r="C28">
            <v>5</v>
          </cell>
          <cell r="D28">
            <v>8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18</v>
          </cell>
          <cell r="C29">
            <v>13</v>
          </cell>
          <cell r="D29">
            <v>19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45</v>
          </cell>
          <cell r="C30">
            <v>64</v>
          </cell>
          <cell r="D30">
            <v>30</v>
          </cell>
          <cell r="E30">
            <v>3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8</v>
          </cell>
          <cell r="C31">
            <v>17</v>
          </cell>
          <cell r="D31">
            <v>15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32</v>
          </cell>
          <cell r="C32">
            <v>49</v>
          </cell>
          <cell r="D32">
            <v>11</v>
          </cell>
          <cell r="E32">
            <v>1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264</v>
          </cell>
          <cell r="C33">
            <v>537</v>
          </cell>
          <cell r="D33">
            <v>307</v>
          </cell>
          <cell r="E33">
            <v>26</v>
          </cell>
          <cell r="F33">
            <v>5</v>
          </cell>
          <cell r="G33">
            <v>0</v>
          </cell>
        </row>
        <row r="34">
          <cell r="A34" t="str">
            <v>n33</v>
          </cell>
          <cell r="B34">
            <v>67</v>
          </cell>
          <cell r="C34">
            <v>77</v>
          </cell>
          <cell r="D34">
            <v>42</v>
          </cell>
          <cell r="E34">
            <v>3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716</v>
          </cell>
          <cell r="C35">
            <v>1377</v>
          </cell>
          <cell r="D35">
            <v>1041</v>
          </cell>
          <cell r="E35">
            <v>162</v>
          </cell>
          <cell r="F35">
            <v>19</v>
          </cell>
          <cell r="G35">
            <v>2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unk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V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1</v>
          </cell>
          <cell r="C18">
            <v>0</v>
          </cell>
          <cell r="D18">
            <v>0</v>
          </cell>
        </row>
        <row r="19">
          <cell r="A19" t="str">
            <v>n18</v>
          </cell>
          <cell r="B19">
            <v>2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7</v>
          </cell>
          <cell r="C33">
            <v>5</v>
          </cell>
          <cell r="D33">
            <v>3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0</v>
          </cell>
          <cell r="C35">
            <v>2</v>
          </cell>
          <cell r="D35">
            <v>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V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3</v>
          </cell>
          <cell r="C2">
            <v>5</v>
          </cell>
          <cell r="D2">
            <v>1</v>
          </cell>
          <cell r="E2">
            <v>0</v>
          </cell>
        </row>
        <row r="3">
          <cell r="A3" t="str">
            <v>n02</v>
          </cell>
          <cell r="B3">
            <v>18</v>
          </cell>
          <cell r="C3">
            <v>17</v>
          </cell>
          <cell r="D3">
            <v>4</v>
          </cell>
          <cell r="E3">
            <v>0</v>
          </cell>
        </row>
        <row r="4">
          <cell r="A4" t="str">
            <v>n03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1</v>
          </cell>
          <cell r="E5">
            <v>1</v>
          </cell>
        </row>
        <row r="6">
          <cell r="A6" t="str">
            <v>n05</v>
          </cell>
          <cell r="B6">
            <v>3</v>
          </cell>
          <cell r="C6">
            <v>1</v>
          </cell>
          <cell r="D6">
            <v>4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3</v>
          </cell>
          <cell r="D8">
            <v>1</v>
          </cell>
          <cell r="E8">
            <v>0</v>
          </cell>
        </row>
        <row r="9">
          <cell r="A9" t="str">
            <v>n08</v>
          </cell>
          <cell r="B9">
            <v>5</v>
          </cell>
          <cell r="C9">
            <v>7</v>
          </cell>
          <cell r="D9">
            <v>1</v>
          </cell>
          <cell r="E9">
            <v>0</v>
          </cell>
        </row>
        <row r="10">
          <cell r="A10" t="str">
            <v>n09</v>
          </cell>
          <cell r="B10">
            <v>7</v>
          </cell>
          <cell r="C10">
            <v>7</v>
          </cell>
          <cell r="D10">
            <v>3</v>
          </cell>
          <cell r="E10">
            <v>1</v>
          </cell>
        </row>
        <row r="11">
          <cell r="A11" t="str">
            <v>n10</v>
          </cell>
          <cell r="B11">
            <v>2</v>
          </cell>
          <cell r="C11">
            <v>0</v>
          </cell>
          <cell r="D11">
            <v>1</v>
          </cell>
          <cell r="E11">
            <v>0</v>
          </cell>
        </row>
        <row r="12">
          <cell r="A12" t="str">
            <v>n11</v>
          </cell>
          <cell r="B12">
            <v>2</v>
          </cell>
          <cell r="C12">
            <v>1</v>
          </cell>
          <cell r="D12">
            <v>1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1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1</v>
          </cell>
          <cell r="C15">
            <v>1</v>
          </cell>
          <cell r="D15">
            <v>1</v>
          </cell>
          <cell r="E15">
            <v>0</v>
          </cell>
        </row>
        <row r="16">
          <cell r="A16" t="str">
            <v>n15</v>
          </cell>
          <cell r="B16">
            <v>1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1</v>
          </cell>
          <cell r="E17">
            <v>0</v>
          </cell>
        </row>
        <row r="18">
          <cell r="A18" t="str">
            <v>n17</v>
          </cell>
          <cell r="B18">
            <v>18</v>
          </cell>
          <cell r="C18">
            <v>25</v>
          </cell>
          <cell r="D18">
            <v>9</v>
          </cell>
          <cell r="E18">
            <v>1</v>
          </cell>
        </row>
        <row r="19">
          <cell r="A19" t="str">
            <v>n18</v>
          </cell>
          <cell r="B19">
            <v>22</v>
          </cell>
          <cell r="C19">
            <v>21</v>
          </cell>
          <cell r="D19">
            <v>9</v>
          </cell>
          <cell r="E19">
            <v>0</v>
          </cell>
        </row>
        <row r="20">
          <cell r="A20" t="str">
            <v>n19</v>
          </cell>
          <cell r="B20">
            <v>33</v>
          </cell>
          <cell r="C20">
            <v>26</v>
          </cell>
          <cell r="D20">
            <v>10</v>
          </cell>
          <cell r="E20">
            <v>0</v>
          </cell>
        </row>
        <row r="21">
          <cell r="A21" t="str">
            <v>n20</v>
          </cell>
          <cell r="B21">
            <v>3</v>
          </cell>
          <cell r="C21">
            <v>6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1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1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1</v>
          </cell>
          <cell r="C30">
            <v>1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6</v>
          </cell>
          <cell r="C32">
            <v>5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3</v>
          </cell>
          <cell r="C34">
            <v>1</v>
          </cell>
          <cell r="D34">
            <v>3</v>
          </cell>
          <cell r="E34">
            <v>1</v>
          </cell>
        </row>
        <row r="35">
          <cell r="A35" t="str">
            <v>unk</v>
          </cell>
          <cell r="B35">
            <v>4</v>
          </cell>
          <cell r="C35">
            <v>11</v>
          </cell>
          <cell r="D35">
            <v>1</v>
          </cell>
          <cell r="E35">
            <v>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V3"/>
    </sheetNames>
    <sheetDataSet>
      <sheetData sheetId="0">
        <row r="1">
          <cell r="B1" t="str">
            <v>4_30-44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1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1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1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0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V4"/>
    </sheetNames>
    <sheetDataSet>
      <sheetData sheetId="0">
        <row r="1">
          <cell r="B1" t="str">
            <v>4_30-44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1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0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0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U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</row>
        <row r="2">
          <cell r="A2" t="str">
            <v>n01</v>
          </cell>
          <cell r="B2">
            <v>22</v>
          </cell>
          <cell r="C2">
            <v>22</v>
          </cell>
          <cell r="D2">
            <v>9</v>
          </cell>
          <cell r="E2">
            <v>0</v>
          </cell>
          <cell r="F2">
            <v>0</v>
          </cell>
        </row>
        <row r="3">
          <cell r="A3" t="str">
            <v>n02</v>
          </cell>
          <cell r="B3">
            <v>105</v>
          </cell>
          <cell r="C3">
            <v>81</v>
          </cell>
          <cell r="D3">
            <v>12</v>
          </cell>
          <cell r="E3">
            <v>2</v>
          </cell>
          <cell r="F3">
            <v>1</v>
          </cell>
        </row>
        <row r="4">
          <cell r="A4" t="str">
            <v>n03</v>
          </cell>
          <cell r="B4">
            <v>12</v>
          </cell>
          <cell r="C4">
            <v>20</v>
          </cell>
          <cell r="D4">
            <v>8</v>
          </cell>
          <cell r="E4">
            <v>0</v>
          </cell>
          <cell r="F4">
            <v>0</v>
          </cell>
        </row>
        <row r="5">
          <cell r="A5" t="str">
            <v>n04</v>
          </cell>
          <cell r="B5">
            <v>0</v>
          </cell>
          <cell r="C5">
            <v>11</v>
          </cell>
          <cell r="D5">
            <v>14</v>
          </cell>
          <cell r="E5">
            <v>1</v>
          </cell>
          <cell r="F5">
            <v>0</v>
          </cell>
        </row>
        <row r="6">
          <cell r="A6" t="str">
            <v>n05</v>
          </cell>
          <cell r="B6">
            <v>15</v>
          </cell>
          <cell r="C6">
            <v>39</v>
          </cell>
          <cell r="D6">
            <v>36</v>
          </cell>
          <cell r="E6">
            <v>10</v>
          </cell>
          <cell r="F6">
            <v>0</v>
          </cell>
        </row>
        <row r="7">
          <cell r="A7" t="str">
            <v>n06</v>
          </cell>
          <cell r="B7">
            <v>11</v>
          </cell>
          <cell r="C7">
            <v>8</v>
          </cell>
          <cell r="D7">
            <v>6</v>
          </cell>
          <cell r="E7">
            <v>0</v>
          </cell>
          <cell r="F7">
            <v>0</v>
          </cell>
        </row>
        <row r="8">
          <cell r="A8" t="str">
            <v>n07</v>
          </cell>
          <cell r="B8">
            <v>36</v>
          </cell>
          <cell r="C8">
            <v>40</v>
          </cell>
          <cell r="D8">
            <v>27</v>
          </cell>
          <cell r="E8">
            <v>1</v>
          </cell>
          <cell r="F8">
            <v>0</v>
          </cell>
        </row>
        <row r="9">
          <cell r="A9" t="str">
            <v>n08</v>
          </cell>
          <cell r="B9">
            <v>41</v>
          </cell>
          <cell r="C9">
            <v>52</v>
          </cell>
          <cell r="D9">
            <v>21</v>
          </cell>
          <cell r="E9">
            <v>1</v>
          </cell>
          <cell r="F9">
            <v>0</v>
          </cell>
        </row>
        <row r="10">
          <cell r="A10" t="str">
            <v>n09</v>
          </cell>
          <cell r="B10">
            <v>41</v>
          </cell>
          <cell r="C10">
            <v>36</v>
          </cell>
          <cell r="D10">
            <v>16</v>
          </cell>
          <cell r="E10">
            <v>1</v>
          </cell>
          <cell r="F10">
            <v>0</v>
          </cell>
        </row>
        <row r="11">
          <cell r="A11" t="str">
            <v>n10</v>
          </cell>
          <cell r="B11">
            <v>54</v>
          </cell>
          <cell r="C11">
            <v>47</v>
          </cell>
          <cell r="D11">
            <v>14</v>
          </cell>
          <cell r="E11">
            <v>0</v>
          </cell>
          <cell r="F11">
            <v>0</v>
          </cell>
        </row>
        <row r="12">
          <cell r="A12" t="str">
            <v>n11</v>
          </cell>
          <cell r="B12">
            <v>44</v>
          </cell>
          <cell r="C12">
            <v>82</v>
          </cell>
          <cell r="D12">
            <v>29</v>
          </cell>
          <cell r="E12">
            <v>1</v>
          </cell>
          <cell r="F12">
            <v>0</v>
          </cell>
        </row>
        <row r="13">
          <cell r="A13" t="str">
            <v>n12</v>
          </cell>
          <cell r="B13">
            <v>7</v>
          </cell>
          <cell r="C13">
            <v>11</v>
          </cell>
          <cell r="D13">
            <v>9</v>
          </cell>
          <cell r="E13">
            <v>0</v>
          </cell>
          <cell r="F13">
            <v>0</v>
          </cell>
        </row>
        <row r="14">
          <cell r="A14" t="str">
            <v>n13</v>
          </cell>
          <cell r="B14">
            <v>18</v>
          </cell>
          <cell r="C14">
            <v>14</v>
          </cell>
          <cell r="D14">
            <v>11</v>
          </cell>
          <cell r="E14">
            <v>4</v>
          </cell>
          <cell r="F14">
            <v>0</v>
          </cell>
        </row>
        <row r="15">
          <cell r="A15" t="str">
            <v>n14</v>
          </cell>
          <cell r="B15">
            <v>2</v>
          </cell>
          <cell r="C15">
            <v>8</v>
          </cell>
          <cell r="D15">
            <v>4</v>
          </cell>
          <cell r="E15">
            <v>0</v>
          </cell>
          <cell r="F15">
            <v>1</v>
          </cell>
        </row>
        <row r="16">
          <cell r="A16" t="str">
            <v>n15</v>
          </cell>
          <cell r="B16">
            <v>5</v>
          </cell>
          <cell r="C16">
            <v>7</v>
          </cell>
          <cell r="D16">
            <v>4</v>
          </cell>
          <cell r="E16">
            <v>1</v>
          </cell>
          <cell r="F16">
            <v>1</v>
          </cell>
        </row>
        <row r="17">
          <cell r="A17" t="str">
            <v>n16</v>
          </cell>
          <cell r="B17">
            <v>6</v>
          </cell>
          <cell r="C17">
            <v>7</v>
          </cell>
          <cell r="D17">
            <v>2</v>
          </cell>
          <cell r="E17">
            <v>0</v>
          </cell>
          <cell r="F17">
            <v>0</v>
          </cell>
        </row>
        <row r="18">
          <cell r="A18" t="str">
            <v>n17</v>
          </cell>
          <cell r="B18">
            <v>193</v>
          </cell>
          <cell r="C18">
            <v>209</v>
          </cell>
          <cell r="D18">
            <v>84</v>
          </cell>
          <cell r="E18">
            <v>9</v>
          </cell>
          <cell r="F18">
            <v>0</v>
          </cell>
        </row>
        <row r="19">
          <cell r="A19" t="str">
            <v>n18</v>
          </cell>
          <cell r="B19">
            <v>15</v>
          </cell>
          <cell r="C19">
            <v>15</v>
          </cell>
          <cell r="D19">
            <v>11</v>
          </cell>
          <cell r="E19">
            <v>3</v>
          </cell>
          <cell r="F19">
            <v>0</v>
          </cell>
        </row>
        <row r="20">
          <cell r="A20" t="str">
            <v>n19</v>
          </cell>
          <cell r="B20">
            <v>29</v>
          </cell>
          <cell r="C20">
            <v>31</v>
          </cell>
          <cell r="D20">
            <v>11</v>
          </cell>
          <cell r="E20">
            <v>4</v>
          </cell>
          <cell r="F20">
            <v>1</v>
          </cell>
        </row>
        <row r="21">
          <cell r="A21" t="str">
            <v>n20</v>
          </cell>
          <cell r="B21">
            <v>2</v>
          </cell>
          <cell r="C21">
            <v>2</v>
          </cell>
          <cell r="D21">
            <v>1</v>
          </cell>
          <cell r="E21">
            <v>0</v>
          </cell>
          <cell r="F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1</v>
          </cell>
          <cell r="F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2</v>
          </cell>
          <cell r="E30">
            <v>0</v>
          </cell>
          <cell r="F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1</v>
          </cell>
          <cell r="E31">
            <v>0</v>
          </cell>
          <cell r="F31">
            <v>0</v>
          </cell>
        </row>
        <row r="32">
          <cell r="A32" t="str">
            <v>n31</v>
          </cell>
          <cell r="B32">
            <v>17</v>
          </cell>
          <cell r="C32">
            <v>14</v>
          </cell>
          <cell r="D32">
            <v>6</v>
          </cell>
          <cell r="E32">
            <v>1</v>
          </cell>
          <cell r="F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>n33</v>
          </cell>
          <cell r="B34">
            <v>8</v>
          </cell>
          <cell r="C34">
            <v>10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unk</v>
          </cell>
          <cell r="B35">
            <v>29</v>
          </cell>
          <cell r="C35">
            <v>28</v>
          </cell>
          <cell r="D35">
            <v>14</v>
          </cell>
          <cell r="E35">
            <v>1</v>
          </cell>
          <cell r="F35">
            <v>0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U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1</v>
          </cell>
          <cell r="D21">
            <v>1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7</v>
          </cell>
          <cell r="C33">
            <v>8</v>
          </cell>
          <cell r="D33">
            <v>3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8</v>
          </cell>
          <cell r="C35">
            <v>9</v>
          </cell>
          <cell r="D35">
            <v>7</v>
          </cell>
          <cell r="E35">
            <v>1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U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3</v>
          </cell>
          <cell r="C3">
            <v>2</v>
          </cell>
          <cell r="D3">
            <v>4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2</v>
          </cell>
          <cell r="C4">
            <v>7</v>
          </cell>
          <cell r="D4">
            <v>9</v>
          </cell>
          <cell r="E4">
            <v>1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6</v>
          </cell>
          <cell r="E5">
            <v>1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1</v>
          </cell>
          <cell r="C6">
            <v>10</v>
          </cell>
          <cell r="D6">
            <v>6</v>
          </cell>
          <cell r="E6">
            <v>4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2</v>
          </cell>
          <cell r="C7">
            <v>1</v>
          </cell>
          <cell r="D7">
            <v>5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4</v>
          </cell>
          <cell r="C8">
            <v>6</v>
          </cell>
          <cell r="D8">
            <v>8</v>
          </cell>
          <cell r="E8">
            <v>3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14</v>
          </cell>
          <cell r="C9">
            <v>14</v>
          </cell>
          <cell r="D9">
            <v>12</v>
          </cell>
          <cell r="E9">
            <v>2</v>
          </cell>
          <cell r="F9">
            <v>2</v>
          </cell>
          <cell r="G9">
            <v>0</v>
          </cell>
        </row>
        <row r="10">
          <cell r="A10" t="str">
            <v>n09</v>
          </cell>
          <cell r="B10">
            <v>6</v>
          </cell>
          <cell r="C10">
            <v>12</v>
          </cell>
          <cell r="D10">
            <v>4</v>
          </cell>
          <cell r="E10">
            <v>0</v>
          </cell>
          <cell r="F10">
            <v>0</v>
          </cell>
          <cell r="G10">
            <v>0</v>
          </cell>
        </row>
        <row r="11">
          <cell r="A11" t="str">
            <v>n10</v>
          </cell>
          <cell r="B11">
            <v>8</v>
          </cell>
          <cell r="C11">
            <v>7</v>
          </cell>
          <cell r="D11">
            <v>13</v>
          </cell>
          <cell r="E11">
            <v>5</v>
          </cell>
          <cell r="F11">
            <v>2</v>
          </cell>
          <cell r="G11">
            <v>1</v>
          </cell>
        </row>
        <row r="12">
          <cell r="A12" t="str">
            <v>n11</v>
          </cell>
          <cell r="B12">
            <v>5</v>
          </cell>
          <cell r="C12">
            <v>9</v>
          </cell>
          <cell r="D12">
            <v>11</v>
          </cell>
          <cell r="E12">
            <v>2</v>
          </cell>
          <cell r="F12">
            <v>0</v>
          </cell>
          <cell r="G12">
            <v>0</v>
          </cell>
        </row>
        <row r="13">
          <cell r="A13" t="str">
            <v>n12</v>
          </cell>
          <cell r="B13">
            <v>10</v>
          </cell>
          <cell r="C13">
            <v>4</v>
          </cell>
          <cell r="D13">
            <v>4</v>
          </cell>
          <cell r="E13">
            <v>0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6</v>
          </cell>
          <cell r="C14">
            <v>4</v>
          </cell>
          <cell r="D14">
            <v>9</v>
          </cell>
          <cell r="E14">
            <v>1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1</v>
          </cell>
          <cell r="C15">
            <v>3</v>
          </cell>
          <cell r="D15">
            <v>2</v>
          </cell>
          <cell r="E15">
            <v>1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0</v>
          </cell>
          <cell r="C16">
            <v>3</v>
          </cell>
          <cell r="D16">
            <v>2</v>
          </cell>
          <cell r="E16">
            <v>0</v>
          </cell>
          <cell r="F16">
            <v>1</v>
          </cell>
          <cell r="G16">
            <v>0</v>
          </cell>
        </row>
        <row r="17">
          <cell r="A17" t="str">
            <v>n16</v>
          </cell>
          <cell r="B17">
            <v>8</v>
          </cell>
          <cell r="C17">
            <v>8</v>
          </cell>
          <cell r="D17">
            <v>2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7</v>
          </cell>
          <cell r="C18">
            <v>31</v>
          </cell>
          <cell r="D18">
            <v>15</v>
          </cell>
          <cell r="E18">
            <v>8</v>
          </cell>
          <cell r="F18">
            <v>1</v>
          </cell>
          <cell r="G18">
            <v>2</v>
          </cell>
        </row>
        <row r="19">
          <cell r="A19" t="str">
            <v>n18</v>
          </cell>
          <cell r="B19">
            <v>3</v>
          </cell>
          <cell r="C19">
            <v>1</v>
          </cell>
          <cell r="D19">
            <v>1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1</v>
          </cell>
          <cell r="C20">
            <v>10</v>
          </cell>
          <cell r="D20">
            <v>5</v>
          </cell>
          <cell r="E20">
            <v>0</v>
          </cell>
          <cell r="F20">
            <v>1</v>
          </cell>
          <cell r="G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1</v>
          </cell>
          <cell r="E21">
            <v>1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0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1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2</v>
          </cell>
          <cell r="C32">
            <v>2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n33</v>
          </cell>
          <cell r="B34">
            <v>5</v>
          </cell>
          <cell r="C34">
            <v>9</v>
          </cell>
          <cell r="D34">
            <v>3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8</v>
          </cell>
          <cell r="C35">
            <v>25</v>
          </cell>
          <cell r="D35">
            <v>10</v>
          </cell>
          <cell r="E35">
            <v>2</v>
          </cell>
          <cell r="F35">
            <v>1</v>
          </cell>
          <cell r="G35">
            <v>0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U4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1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3</v>
          </cell>
          <cell r="C30">
            <v>1</v>
          </cell>
          <cell r="D30">
            <v>1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3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0</v>
          </cell>
          <cell r="C35">
            <v>0</v>
          </cell>
          <cell r="D35">
            <v>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U5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U6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4</v>
          </cell>
          <cell r="C3">
            <v>11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1</v>
          </cell>
          <cell r="C4">
            <v>2</v>
          </cell>
          <cell r="D4">
            <v>1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0</v>
          </cell>
          <cell r="C5">
            <v>1</v>
          </cell>
          <cell r="D5">
            <v>2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0</v>
          </cell>
          <cell r="C6">
            <v>4</v>
          </cell>
          <cell r="D6">
            <v>1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0</v>
          </cell>
          <cell r="C7">
            <v>1</v>
          </cell>
          <cell r="D7">
            <v>4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2</v>
          </cell>
          <cell r="C8">
            <v>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3</v>
          </cell>
          <cell r="C9">
            <v>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A10" t="str">
            <v>n09</v>
          </cell>
          <cell r="B10">
            <v>7</v>
          </cell>
          <cell r="C10">
            <v>21</v>
          </cell>
          <cell r="D10">
            <v>9</v>
          </cell>
          <cell r="E10">
            <v>1</v>
          </cell>
          <cell r="F10">
            <v>1</v>
          </cell>
          <cell r="G10">
            <v>0</v>
          </cell>
        </row>
        <row r="11">
          <cell r="A11" t="str">
            <v>n10</v>
          </cell>
          <cell r="B11">
            <v>4</v>
          </cell>
          <cell r="C11">
            <v>3</v>
          </cell>
          <cell r="D11">
            <v>3</v>
          </cell>
          <cell r="E11">
            <v>2</v>
          </cell>
          <cell r="F11">
            <v>0</v>
          </cell>
          <cell r="G11">
            <v>0</v>
          </cell>
        </row>
        <row r="12">
          <cell r="A12" t="str">
            <v>n11</v>
          </cell>
          <cell r="B12">
            <v>5</v>
          </cell>
          <cell r="C12">
            <v>7</v>
          </cell>
          <cell r="D12">
            <v>4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n12</v>
          </cell>
          <cell r="B13">
            <v>3</v>
          </cell>
          <cell r="C13">
            <v>0</v>
          </cell>
          <cell r="D13">
            <v>1</v>
          </cell>
          <cell r="E13">
            <v>0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9</v>
          </cell>
          <cell r="C14">
            <v>8</v>
          </cell>
          <cell r="D14">
            <v>4</v>
          </cell>
          <cell r="E14">
            <v>1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4</v>
          </cell>
          <cell r="C15">
            <v>5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3</v>
          </cell>
          <cell r="C16">
            <v>0</v>
          </cell>
          <cell r="D16">
            <v>2</v>
          </cell>
          <cell r="E16">
            <v>0</v>
          </cell>
          <cell r="F16">
            <v>1</v>
          </cell>
          <cell r="G16">
            <v>0</v>
          </cell>
        </row>
        <row r="17">
          <cell r="A17" t="str">
            <v>n16</v>
          </cell>
          <cell r="B17">
            <v>2</v>
          </cell>
          <cell r="C17">
            <v>8</v>
          </cell>
          <cell r="D17">
            <v>1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13</v>
          </cell>
          <cell r="C18">
            <v>15</v>
          </cell>
          <cell r="D18">
            <v>8</v>
          </cell>
          <cell r="E18">
            <v>2</v>
          </cell>
          <cell r="F18">
            <v>0</v>
          </cell>
          <cell r="G18">
            <v>0</v>
          </cell>
        </row>
        <row r="19">
          <cell r="A19" t="str">
            <v>n18</v>
          </cell>
          <cell r="B19">
            <v>3</v>
          </cell>
          <cell r="C19">
            <v>12</v>
          </cell>
          <cell r="D19">
            <v>13</v>
          </cell>
          <cell r="E19">
            <v>1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19</v>
          </cell>
          <cell r="C20">
            <v>27</v>
          </cell>
          <cell r="D20">
            <v>19</v>
          </cell>
          <cell r="E20">
            <v>2</v>
          </cell>
          <cell r="F20">
            <v>1</v>
          </cell>
          <cell r="G20">
            <v>0</v>
          </cell>
        </row>
        <row r="21">
          <cell r="A21" t="str">
            <v>n20</v>
          </cell>
          <cell r="B21">
            <v>12</v>
          </cell>
          <cell r="C21">
            <v>29</v>
          </cell>
          <cell r="D21">
            <v>22</v>
          </cell>
          <cell r="E21">
            <v>4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1</v>
          </cell>
          <cell r="D22">
            <v>1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2</v>
          </cell>
          <cell r="C23">
            <v>4</v>
          </cell>
          <cell r="D23">
            <v>2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2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3</v>
          </cell>
          <cell r="C30">
            <v>5</v>
          </cell>
          <cell r="D30">
            <v>3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1</v>
          </cell>
          <cell r="C31">
            <v>1</v>
          </cell>
          <cell r="D31">
            <v>3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7</v>
          </cell>
          <cell r="C32">
            <v>5</v>
          </cell>
          <cell r="D32">
            <v>7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20</v>
          </cell>
          <cell r="C33">
            <v>31</v>
          </cell>
          <cell r="D33">
            <v>32</v>
          </cell>
          <cell r="E33">
            <v>2</v>
          </cell>
          <cell r="F33">
            <v>1</v>
          </cell>
          <cell r="G33">
            <v>0</v>
          </cell>
        </row>
        <row r="34">
          <cell r="A34" t="str">
            <v>n33</v>
          </cell>
          <cell r="B34">
            <v>6</v>
          </cell>
          <cell r="C34">
            <v>11</v>
          </cell>
          <cell r="D34">
            <v>5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151</v>
          </cell>
          <cell r="C35">
            <v>355</v>
          </cell>
          <cell r="D35">
            <v>415</v>
          </cell>
          <cell r="E35">
            <v>115</v>
          </cell>
          <cell r="F35">
            <v>22</v>
          </cell>
          <cell r="G35">
            <v>3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unk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V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1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0</v>
          </cell>
          <cell r="C18">
            <v>1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1</v>
          </cell>
        </row>
        <row r="20">
          <cell r="A20" t="str">
            <v>n19</v>
          </cell>
          <cell r="B20">
            <v>1</v>
          </cell>
          <cell r="C20">
            <v>2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2</v>
          </cell>
          <cell r="D32">
            <v>0</v>
          </cell>
        </row>
        <row r="33">
          <cell r="A33" t="str">
            <v>n32</v>
          </cell>
          <cell r="B33">
            <v>6</v>
          </cell>
          <cell r="C33">
            <v>7</v>
          </cell>
          <cell r="D33">
            <v>4</v>
          </cell>
        </row>
        <row r="34">
          <cell r="A34" t="str">
            <v>n33</v>
          </cell>
          <cell r="B34">
            <v>1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0</v>
          </cell>
          <cell r="C35">
            <v>3</v>
          </cell>
          <cell r="D35">
            <v>2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V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26</v>
          </cell>
          <cell r="C2">
            <v>22</v>
          </cell>
          <cell r="D2">
            <v>7</v>
          </cell>
          <cell r="E2">
            <v>0</v>
          </cell>
        </row>
        <row r="3">
          <cell r="A3" t="str">
            <v>n02</v>
          </cell>
          <cell r="B3">
            <v>144</v>
          </cell>
          <cell r="C3">
            <v>160</v>
          </cell>
          <cell r="D3">
            <v>41</v>
          </cell>
          <cell r="E3">
            <v>3</v>
          </cell>
        </row>
        <row r="4">
          <cell r="A4" t="str">
            <v>n03</v>
          </cell>
          <cell r="B4">
            <v>3</v>
          </cell>
          <cell r="C4">
            <v>3</v>
          </cell>
          <cell r="D4">
            <v>1</v>
          </cell>
          <cell r="E4">
            <v>0</v>
          </cell>
        </row>
        <row r="5">
          <cell r="A5" t="str">
            <v>n04</v>
          </cell>
          <cell r="B5">
            <v>2</v>
          </cell>
          <cell r="C5">
            <v>4</v>
          </cell>
          <cell r="D5">
            <v>3</v>
          </cell>
          <cell r="E5">
            <v>0</v>
          </cell>
        </row>
        <row r="6">
          <cell r="A6" t="str">
            <v>n05</v>
          </cell>
          <cell r="B6">
            <v>9</v>
          </cell>
          <cell r="C6">
            <v>14</v>
          </cell>
          <cell r="D6">
            <v>5</v>
          </cell>
          <cell r="E6">
            <v>1</v>
          </cell>
        </row>
        <row r="7">
          <cell r="A7" t="str">
            <v>n06</v>
          </cell>
          <cell r="B7">
            <v>1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17</v>
          </cell>
          <cell r="C8">
            <v>11</v>
          </cell>
          <cell r="D8">
            <v>4</v>
          </cell>
          <cell r="E8">
            <v>0</v>
          </cell>
        </row>
        <row r="9">
          <cell r="A9" t="str">
            <v>n08</v>
          </cell>
          <cell r="B9">
            <v>45</v>
          </cell>
          <cell r="C9">
            <v>42</v>
          </cell>
          <cell r="D9">
            <v>15</v>
          </cell>
          <cell r="E9">
            <v>1</v>
          </cell>
        </row>
        <row r="10">
          <cell r="A10" t="str">
            <v>n09</v>
          </cell>
          <cell r="B10">
            <v>51</v>
          </cell>
          <cell r="C10">
            <v>46</v>
          </cell>
          <cell r="D10">
            <v>8</v>
          </cell>
          <cell r="E10">
            <v>0</v>
          </cell>
        </row>
        <row r="11">
          <cell r="A11" t="str">
            <v>n10</v>
          </cell>
          <cell r="B11">
            <v>3</v>
          </cell>
          <cell r="C11">
            <v>7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3</v>
          </cell>
          <cell r="C12">
            <v>8</v>
          </cell>
          <cell r="D12">
            <v>2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2</v>
          </cell>
          <cell r="C14">
            <v>4</v>
          </cell>
          <cell r="D14">
            <v>1</v>
          </cell>
          <cell r="E14">
            <v>0</v>
          </cell>
        </row>
        <row r="15">
          <cell r="A15" t="str">
            <v>n14</v>
          </cell>
          <cell r="B15">
            <v>2</v>
          </cell>
          <cell r="C15">
            <v>2</v>
          </cell>
          <cell r="D15">
            <v>2</v>
          </cell>
          <cell r="E15">
            <v>0</v>
          </cell>
        </row>
        <row r="16">
          <cell r="A16" t="str">
            <v>n15</v>
          </cell>
          <cell r="B16">
            <v>1</v>
          </cell>
          <cell r="C16">
            <v>1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3</v>
          </cell>
          <cell r="C17">
            <v>4</v>
          </cell>
          <cell r="D17">
            <v>2</v>
          </cell>
          <cell r="E17">
            <v>0</v>
          </cell>
        </row>
        <row r="18">
          <cell r="A18" t="str">
            <v>n17</v>
          </cell>
          <cell r="B18">
            <v>166</v>
          </cell>
          <cell r="C18">
            <v>193</v>
          </cell>
          <cell r="D18">
            <v>48</v>
          </cell>
          <cell r="E18">
            <v>5</v>
          </cell>
        </row>
        <row r="19">
          <cell r="A19" t="str">
            <v>n18</v>
          </cell>
          <cell r="B19">
            <v>109</v>
          </cell>
          <cell r="C19">
            <v>80</v>
          </cell>
          <cell r="D19">
            <v>14</v>
          </cell>
          <cell r="E19">
            <v>0</v>
          </cell>
        </row>
        <row r="20">
          <cell r="A20" t="str">
            <v>n19</v>
          </cell>
          <cell r="B20">
            <v>374</v>
          </cell>
          <cell r="C20">
            <v>362</v>
          </cell>
          <cell r="D20">
            <v>109</v>
          </cell>
          <cell r="E20">
            <v>6</v>
          </cell>
        </row>
        <row r="21">
          <cell r="A21" t="str">
            <v>n20</v>
          </cell>
          <cell r="B21">
            <v>9</v>
          </cell>
          <cell r="C21">
            <v>14</v>
          </cell>
          <cell r="D21">
            <v>9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1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1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1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1</v>
          </cell>
          <cell r="D30">
            <v>1</v>
          </cell>
          <cell r="E30">
            <v>0</v>
          </cell>
        </row>
        <row r="31">
          <cell r="A31" t="str">
            <v>n30</v>
          </cell>
          <cell r="B31">
            <v>1</v>
          </cell>
          <cell r="C31">
            <v>1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43</v>
          </cell>
          <cell r="C32">
            <v>24</v>
          </cell>
          <cell r="D32">
            <v>5</v>
          </cell>
          <cell r="E32">
            <v>2</v>
          </cell>
        </row>
        <row r="33">
          <cell r="A33" t="str">
            <v>n32</v>
          </cell>
          <cell r="B33">
            <v>1</v>
          </cell>
          <cell r="C33">
            <v>1</v>
          </cell>
          <cell r="D33">
            <v>2</v>
          </cell>
          <cell r="E33">
            <v>0</v>
          </cell>
        </row>
        <row r="34">
          <cell r="A34" t="str">
            <v>n33</v>
          </cell>
          <cell r="B34">
            <v>18</v>
          </cell>
          <cell r="C34">
            <v>24</v>
          </cell>
          <cell r="D34">
            <v>2</v>
          </cell>
          <cell r="E34">
            <v>0</v>
          </cell>
        </row>
        <row r="35">
          <cell r="A35" t="str">
            <v>unk</v>
          </cell>
          <cell r="B35">
            <v>73</v>
          </cell>
          <cell r="C35">
            <v>81</v>
          </cell>
          <cell r="D35">
            <v>26</v>
          </cell>
          <cell r="E35">
            <v>3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V3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V4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U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</row>
        <row r="2">
          <cell r="A2" t="str">
            <v>n01</v>
          </cell>
          <cell r="B2">
            <v>82</v>
          </cell>
          <cell r="C2">
            <v>77</v>
          </cell>
          <cell r="D2">
            <v>29</v>
          </cell>
          <cell r="E2">
            <v>1</v>
          </cell>
          <cell r="F2">
            <v>0</v>
          </cell>
        </row>
        <row r="3">
          <cell r="A3" t="str">
            <v>n02</v>
          </cell>
          <cell r="B3">
            <v>424</v>
          </cell>
          <cell r="C3">
            <v>478</v>
          </cell>
          <cell r="D3">
            <v>129</v>
          </cell>
          <cell r="E3">
            <v>6</v>
          </cell>
          <cell r="F3">
            <v>0</v>
          </cell>
        </row>
        <row r="4">
          <cell r="A4" t="str">
            <v>n03</v>
          </cell>
          <cell r="B4">
            <v>51</v>
          </cell>
          <cell r="C4">
            <v>95</v>
          </cell>
          <cell r="D4">
            <v>47</v>
          </cell>
          <cell r="E4">
            <v>5</v>
          </cell>
          <cell r="F4">
            <v>0</v>
          </cell>
        </row>
        <row r="5">
          <cell r="A5" t="str">
            <v>n04</v>
          </cell>
          <cell r="B5">
            <v>13</v>
          </cell>
          <cell r="C5">
            <v>29</v>
          </cell>
          <cell r="D5">
            <v>16</v>
          </cell>
          <cell r="E5">
            <v>2</v>
          </cell>
          <cell r="F5">
            <v>1</v>
          </cell>
        </row>
        <row r="6">
          <cell r="A6" t="str">
            <v>n05</v>
          </cell>
          <cell r="B6">
            <v>92</v>
          </cell>
          <cell r="C6">
            <v>303</v>
          </cell>
          <cell r="D6">
            <v>228</v>
          </cell>
          <cell r="E6">
            <v>29</v>
          </cell>
          <cell r="F6">
            <v>3</v>
          </cell>
        </row>
        <row r="7">
          <cell r="A7" t="str">
            <v>n06</v>
          </cell>
          <cell r="B7">
            <v>43</v>
          </cell>
          <cell r="C7">
            <v>39</v>
          </cell>
          <cell r="D7">
            <v>20</v>
          </cell>
          <cell r="E7">
            <v>5</v>
          </cell>
          <cell r="F7">
            <v>0</v>
          </cell>
        </row>
        <row r="8">
          <cell r="A8" t="str">
            <v>n07</v>
          </cell>
          <cell r="B8">
            <v>251</v>
          </cell>
          <cell r="C8">
            <v>481</v>
          </cell>
          <cell r="D8">
            <v>171</v>
          </cell>
          <cell r="E8">
            <v>11</v>
          </cell>
          <cell r="F8">
            <v>0</v>
          </cell>
        </row>
        <row r="9">
          <cell r="A9" t="str">
            <v>n08</v>
          </cell>
          <cell r="B9">
            <v>247</v>
          </cell>
          <cell r="C9">
            <v>335</v>
          </cell>
          <cell r="D9">
            <v>92</v>
          </cell>
          <cell r="E9">
            <v>10</v>
          </cell>
          <cell r="F9">
            <v>0</v>
          </cell>
        </row>
        <row r="10">
          <cell r="A10" t="str">
            <v>n09</v>
          </cell>
          <cell r="B10">
            <v>297</v>
          </cell>
          <cell r="C10">
            <v>375</v>
          </cell>
          <cell r="D10">
            <v>111</v>
          </cell>
          <cell r="E10">
            <v>12</v>
          </cell>
          <cell r="F10">
            <v>1</v>
          </cell>
        </row>
        <row r="11">
          <cell r="A11" t="str">
            <v>n10</v>
          </cell>
          <cell r="B11">
            <v>247</v>
          </cell>
          <cell r="C11">
            <v>210</v>
          </cell>
          <cell r="D11">
            <v>73</v>
          </cell>
          <cell r="E11">
            <v>10</v>
          </cell>
          <cell r="F11">
            <v>2</v>
          </cell>
        </row>
        <row r="12">
          <cell r="A12" t="str">
            <v>n11</v>
          </cell>
          <cell r="B12">
            <v>257</v>
          </cell>
          <cell r="C12">
            <v>400</v>
          </cell>
          <cell r="D12">
            <v>170</v>
          </cell>
          <cell r="E12">
            <v>14</v>
          </cell>
          <cell r="F12">
            <v>2</v>
          </cell>
        </row>
        <row r="13">
          <cell r="A13" t="str">
            <v>n12</v>
          </cell>
          <cell r="B13">
            <v>44</v>
          </cell>
          <cell r="C13">
            <v>70</v>
          </cell>
          <cell r="D13">
            <v>25</v>
          </cell>
          <cell r="E13">
            <v>4</v>
          </cell>
          <cell r="F13">
            <v>1</v>
          </cell>
        </row>
        <row r="14">
          <cell r="A14" t="str">
            <v>n13</v>
          </cell>
          <cell r="B14">
            <v>146</v>
          </cell>
          <cell r="C14">
            <v>164</v>
          </cell>
          <cell r="D14">
            <v>78</v>
          </cell>
          <cell r="E14">
            <v>5</v>
          </cell>
          <cell r="F14">
            <v>0</v>
          </cell>
        </row>
        <row r="15">
          <cell r="A15" t="str">
            <v>n14</v>
          </cell>
          <cell r="B15">
            <v>33</v>
          </cell>
          <cell r="C15">
            <v>38</v>
          </cell>
          <cell r="D15">
            <v>15</v>
          </cell>
          <cell r="E15">
            <v>3</v>
          </cell>
          <cell r="F15">
            <v>0</v>
          </cell>
        </row>
        <row r="16">
          <cell r="A16" t="str">
            <v>n15</v>
          </cell>
          <cell r="B16">
            <v>45</v>
          </cell>
          <cell r="C16">
            <v>85</v>
          </cell>
          <cell r="D16">
            <v>43</v>
          </cell>
          <cell r="E16">
            <v>2</v>
          </cell>
          <cell r="F16">
            <v>0</v>
          </cell>
        </row>
        <row r="17">
          <cell r="A17" t="str">
            <v>n16</v>
          </cell>
          <cell r="B17">
            <v>176</v>
          </cell>
          <cell r="C17">
            <v>197</v>
          </cell>
          <cell r="D17">
            <v>77</v>
          </cell>
          <cell r="E17">
            <v>5</v>
          </cell>
          <cell r="F17">
            <v>0</v>
          </cell>
        </row>
        <row r="18">
          <cell r="A18" t="str">
            <v>n17</v>
          </cell>
          <cell r="B18">
            <v>1377</v>
          </cell>
          <cell r="C18">
            <v>1546</v>
          </cell>
          <cell r="D18">
            <v>463</v>
          </cell>
          <cell r="E18">
            <v>56</v>
          </cell>
          <cell r="F18">
            <v>4</v>
          </cell>
        </row>
        <row r="19">
          <cell r="A19" t="str">
            <v>n18</v>
          </cell>
          <cell r="B19">
            <v>68</v>
          </cell>
          <cell r="C19">
            <v>83</v>
          </cell>
          <cell r="D19">
            <v>25</v>
          </cell>
          <cell r="E19">
            <v>5</v>
          </cell>
          <cell r="F19">
            <v>0</v>
          </cell>
        </row>
        <row r="20">
          <cell r="A20" t="str">
            <v>n19</v>
          </cell>
          <cell r="B20">
            <v>847</v>
          </cell>
          <cell r="C20">
            <v>879</v>
          </cell>
          <cell r="D20">
            <v>293</v>
          </cell>
          <cell r="E20">
            <v>27</v>
          </cell>
          <cell r="F20">
            <v>3</v>
          </cell>
        </row>
        <row r="21">
          <cell r="A21" t="str">
            <v>n20</v>
          </cell>
          <cell r="B21">
            <v>10</v>
          </cell>
          <cell r="C21">
            <v>11</v>
          </cell>
          <cell r="D21">
            <v>4</v>
          </cell>
          <cell r="E21">
            <v>1</v>
          </cell>
          <cell r="F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n22</v>
          </cell>
          <cell r="B23">
            <v>4</v>
          </cell>
          <cell r="C23">
            <v>8</v>
          </cell>
          <cell r="D23">
            <v>2</v>
          </cell>
          <cell r="E23">
            <v>1</v>
          </cell>
          <cell r="F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n24</v>
          </cell>
          <cell r="B25">
            <v>5</v>
          </cell>
          <cell r="C25">
            <v>4</v>
          </cell>
          <cell r="D25">
            <v>3</v>
          </cell>
          <cell r="E25">
            <v>0</v>
          </cell>
          <cell r="F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1</v>
          </cell>
          <cell r="E26">
            <v>0</v>
          </cell>
          <cell r="F26">
            <v>0</v>
          </cell>
        </row>
        <row r="27">
          <cell r="A27" t="str">
            <v>n26</v>
          </cell>
          <cell r="B27">
            <v>0</v>
          </cell>
          <cell r="C27">
            <v>1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n27</v>
          </cell>
          <cell r="B28">
            <v>25</v>
          </cell>
          <cell r="C28">
            <v>35</v>
          </cell>
          <cell r="D28">
            <v>12</v>
          </cell>
          <cell r="E28">
            <v>1</v>
          </cell>
          <cell r="F28">
            <v>0</v>
          </cell>
        </row>
        <row r="29">
          <cell r="A29" t="str">
            <v>n28</v>
          </cell>
          <cell r="B29">
            <v>1</v>
          </cell>
          <cell r="C29">
            <v>1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n29</v>
          </cell>
          <cell r="B30">
            <v>2</v>
          </cell>
          <cell r="C30">
            <v>10</v>
          </cell>
          <cell r="D30">
            <v>2</v>
          </cell>
          <cell r="E30">
            <v>1</v>
          </cell>
          <cell r="F30">
            <v>0</v>
          </cell>
        </row>
        <row r="31">
          <cell r="A31" t="str">
            <v>n30</v>
          </cell>
          <cell r="B31">
            <v>9</v>
          </cell>
          <cell r="C31">
            <v>5</v>
          </cell>
          <cell r="D31">
            <v>1</v>
          </cell>
          <cell r="E31">
            <v>0</v>
          </cell>
          <cell r="F31">
            <v>0</v>
          </cell>
        </row>
        <row r="32">
          <cell r="A32" t="str">
            <v>n31</v>
          </cell>
          <cell r="B32">
            <v>50</v>
          </cell>
          <cell r="C32">
            <v>33</v>
          </cell>
          <cell r="D32">
            <v>10</v>
          </cell>
          <cell r="E32">
            <v>2</v>
          </cell>
          <cell r="F32">
            <v>0</v>
          </cell>
        </row>
        <row r="33">
          <cell r="A33" t="str">
            <v>n32</v>
          </cell>
          <cell r="B33">
            <v>1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>n33</v>
          </cell>
          <cell r="B34">
            <v>66</v>
          </cell>
          <cell r="C34">
            <v>94</v>
          </cell>
          <cell r="D34">
            <v>27</v>
          </cell>
          <cell r="E34">
            <v>2</v>
          </cell>
          <cell r="F34">
            <v>0</v>
          </cell>
        </row>
        <row r="35">
          <cell r="A35" t="str">
            <v>unk</v>
          </cell>
          <cell r="B35">
            <v>553</v>
          </cell>
          <cell r="C35">
            <v>726</v>
          </cell>
          <cell r="D35">
            <v>232</v>
          </cell>
          <cell r="E35">
            <v>19</v>
          </cell>
          <cell r="F35">
            <v>1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U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1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n18</v>
          </cell>
          <cell r="B19">
            <v>1</v>
          </cell>
          <cell r="C19">
            <v>2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0</v>
          </cell>
          <cell r="C20">
            <v>1</v>
          </cell>
          <cell r="D20">
            <v>1</v>
          </cell>
          <cell r="E20">
            <v>1</v>
          </cell>
          <cell r="F20">
            <v>0</v>
          </cell>
          <cell r="G20">
            <v>0</v>
          </cell>
        </row>
        <row r="21">
          <cell r="A21" t="str">
            <v>n20</v>
          </cell>
          <cell r="B21">
            <v>2</v>
          </cell>
          <cell r="C21">
            <v>3</v>
          </cell>
          <cell r="D21">
            <v>3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3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2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42</v>
          </cell>
          <cell r="C33">
            <v>66</v>
          </cell>
          <cell r="D33">
            <v>29</v>
          </cell>
          <cell r="E33">
            <v>9</v>
          </cell>
          <cell r="F33">
            <v>1</v>
          </cell>
          <cell r="G33">
            <v>1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69</v>
          </cell>
          <cell r="C35">
            <v>113</v>
          </cell>
          <cell r="D35">
            <v>47</v>
          </cell>
          <cell r="E35">
            <v>9</v>
          </cell>
          <cell r="F35">
            <v>2</v>
          </cell>
          <cell r="G35">
            <v>0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U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3</v>
          </cell>
          <cell r="C2">
            <v>13</v>
          </cell>
          <cell r="D2">
            <v>5</v>
          </cell>
          <cell r="E2">
            <v>2</v>
          </cell>
          <cell r="F2">
            <v>1</v>
          </cell>
          <cell r="G2">
            <v>0</v>
          </cell>
        </row>
        <row r="3">
          <cell r="A3" t="str">
            <v>n02</v>
          </cell>
          <cell r="B3">
            <v>27</v>
          </cell>
          <cell r="C3">
            <v>52</v>
          </cell>
          <cell r="D3">
            <v>20</v>
          </cell>
          <cell r="E3">
            <v>5</v>
          </cell>
          <cell r="F3">
            <v>4</v>
          </cell>
          <cell r="G3">
            <v>0</v>
          </cell>
        </row>
        <row r="4">
          <cell r="A4" t="str">
            <v>n03</v>
          </cell>
          <cell r="B4">
            <v>15</v>
          </cell>
          <cell r="C4">
            <v>55</v>
          </cell>
          <cell r="D4">
            <v>61</v>
          </cell>
          <cell r="E4">
            <v>19</v>
          </cell>
          <cell r="F4">
            <v>6</v>
          </cell>
          <cell r="G4">
            <v>0</v>
          </cell>
        </row>
        <row r="5">
          <cell r="A5" t="str">
            <v>n04</v>
          </cell>
          <cell r="B5">
            <v>2</v>
          </cell>
          <cell r="C5">
            <v>13</v>
          </cell>
          <cell r="D5">
            <v>14</v>
          </cell>
          <cell r="E5">
            <v>1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4</v>
          </cell>
          <cell r="C6">
            <v>35</v>
          </cell>
          <cell r="D6">
            <v>60</v>
          </cell>
          <cell r="E6">
            <v>14</v>
          </cell>
          <cell r="F6">
            <v>2</v>
          </cell>
          <cell r="G6">
            <v>0</v>
          </cell>
        </row>
        <row r="7">
          <cell r="A7" t="str">
            <v>n06</v>
          </cell>
          <cell r="B7">
            <v>4</v>
          </cell>
          <cell r="C7">
            <v>10</v>
          </cell>
          <cell r="D7">
            <v>9</v>
          </cell>
          <cell r="E7">
            <v>2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14</v>
          </cell>
          <cell r="C8">
            <v>49</v>
          </cell>
          <cell r="D8">
            <v>18</v>
          </cell>
          <cell r="E8">
            <v>4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41</v>
          </cell>
          <cell r="C9">
            <v>147</v>
          </cell>
          <cell r="D9">
            <v>53</v>
          </cell>
          <cell r="E9">
            <v>9</v>
          </cell>
          <cell r="F9">
            <v>1</v>
          </cell>
          <cell r="G9">
            <v>0</v>
          </cell>
        </row>
        <row r="10">
          <cell r="A10" t="str">
            <v>n09</v>
          </cell>
          <cell r="B10">
            <v>56</v>
          </cell>
          <cell r="C10">
            <v>79</v>
          </cell>
          <cell r="D10">
            <v>18</v>
          </cell>
          <cell r="E10">
            <v>1</v>
          </cell>
          <cell r="F10">
            <v>1</v>
          </cell>
          <cell r="G10">
            <v>0</v>
          </cell>
        </row>
        <row r="11">
          <cell r="A11" t="str">
            <v>n10</v>
          </cell>
          <cell r="B11">
            <v>10</v>
          </cell>
          <cell r="C11">
            <v>24</v>
          </cell>
          <cell r="D11">
            <v>41</v>
          </cell>
          <cell r="E11">
            <v>16</v>
          </cell>
          <cell r="F11">
            <v>9</v>
          </cell>
          <cell r="G11">
            <v>2</v>
          </cell>
        </row>
        <row r="12">
          <cell r="A12" t="str">
            <v>n11</v>
          </cell>
          <cell r="B12">
            <v>37</v>
          </cell>
          <cell r="C12">
            <v>65</v>
          </cell>
          <cell r="D12">
            <v>42</v>
          </cell>
          <cell r="E12">
            <v>10</v>
          </cell>
          <cell r="F12">
            <v>1</v>
          </cell>
          <cell r="G12">
            <v>2</v>
          </cell>
        </row>
        <row r="13">
          <cell r="A13" t="str">
            <v>n12</v>
          </cell>
          <cell r="B13">
            <v>22</v>
          </cell>
          <cell r="C13">
            <v>36</v>
          </cell>
          <cell r="D13">
            <v>14</v>
          </cell>
          <cell r="E13">
            <v>2</v>
          </cell>
          <cell r="F13">
            <v>1</v>
          </cell>
          <cell r="G13">
            <v>0</v>
          </cell>
        </row>
        <row r="14">
          <cell r="A14" t="str">
            <v>n13</v>
          </cell>
          <cell r="B14">
            <v>27</v>
          </cell>
          <cell r="C14">
            <v>58</v>
          </cell>
          <cell r="D14">
            <v>40</v>
          </cell>
          <cell r="E14">
            <v>5</v>
          </cell>
          <cell r="F14">
            <v>1</v>
          </cell>
          <cell r="G14">
            <v>0</v>
          </cell>
        </row>
        <row r="15">
          <cell r="A15" t="str">
            <v>n14</v>
          </cell>
          <cell r="B15">
            <v>13</v>
          </cell>
          <cell r="C15">
            <v>21</v>
          </cell>
          <cell r="D15">
            <v>7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26</v>
          </cell>
          <cell r="C16">
            <v>26</v>
          </cell>
          <cell r="D16">
            <v>12</v>
          </cell>
          <cell r="E16">
            <v>4</v>
          </cell>
          <cell r="F16">
            <v>1</v>
          </cell>
          <cell r="G16">
            <v>0</v>
          </cell>
        </row>
        <row r="17">
          <cell r="A17" t="str">
            <v>n16</v>
          </cell>
          <cell r="B17">
            <v>74</v>
          </cell>
          <cell r="C17">
            <v>145</v>
          </cell>
          <cell r="D17">
            <v>31</v>
          </cell>
          <cell r="E17">
            <v>3</v>
          </cell>
          <cell r="F17">
            <v>2</v>
          </cell>
          <cell r="G17">
            <v>1</v>
          </cell>
        </row>
        <row r="18">
          <cell r="A18" t="str">
            <v>n17</v>
          </cell>
          <cell r="B18">
            <v>101</v>
          </cell>
          <cell r="C18">
            <v>252</v>
          </cell>
          <cell r="D18">
            <v>138</v>
          </cell>
          <cell r="E18">
            <v>45</v>
          </cell>
          <cell r="F18">
            <v>12</v>
          </cell>
          <cell r="G18">
            <v>4</v>
          </cell>
        </row>
        <row r="19">
          <cell r="A19" t="str">
            <v>n18</v>
          </cell>
          <cell r="B19">
            <v>2</v>
          </cell>
          <cell r="C19">
            <v>17</v>
          </cell>
          <cell r="D19">
            <v>7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91</v>
          </cell>
          <cell r="C20">
            <v>203</v>
          </cell>
          <cell r="D20">
            <v>151</v>
          </cell>
          <cell r="E20">
            <v>30</v>
          </cell>
          <cell r="F20">
            <v>11</v>
          </cell>
          <cell r="G20">
            <v>6</v>
          </cell>
        </row>
        <row r="21">
          <cell r="A21" t="str">
            <v>n20</v>
          </cell>
          <cell r="B21">
            <v>4</v>
          </cell>
          <cell r="C21">
            <v>5</v>
          </cell>
          <cell r="D21">
            <v>3</v>
          </cell>
          <cell r="E21">
            <v>1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0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0</v>
          </cell>
          <cell r="C28">
            <v>4</v>
          </cell>
          <cell r="D28">
            <v>1</v>
          </cell>
          <cell r="E28">
            <v>1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1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5</v>
          </cell>
          <cell r="C32">
            <v>13</v>
          </cell>
          <cell r="D32">
            <v>3</v>
          </cell>
          <cell r="E32">
            <v>0</v>
          </cell>
          <cell r="F32">
            <v>1</v>
          </cell>
          <cell r="G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1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n33</v>
          </cell>
          <cell r="B34">
            <v>20</v>
          </cell>
          <cell r="C34">
            <v>51</v>
          </cell>
          <cell r="D34">
            <v>10</v>
          </cell>
          <cell r="E34">
            <v>3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106</v>
          </cell>
          <cell r="C35">
            <v>304</v>
          </cell>
          <cell r="D35">
            <v>168</v>
          </cell>
          <cell r="E35">
            <v>39</v>
          </cell>
          <cell r="F35">
            <v>13</v>
          </cell>
          <cell r="G35">
            <v>3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U4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1</v>
          </cell>
          <cell r="D20">
            <v>0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2</v>
          </cell>
          <cell r="C29">
            <v>1</v>
          </cell>
          <cell r="D29">
            <v>2</v>
          </cell>
          <cell r="E29">
            <v>0</v>
          </cell>
        </row>
        <row r="30">
          <cell r="A30" t="str">
            <v>n29</v>
          </cell>
          <cell r="B30">
            <v>8</v>
          </cell>
          <cell r="C30">
            <v>12</v>
          </cell>
          <cell r="D30">
            <v>6</v>
          </cell>
          <cell r="E30">
            <v>0</v>
          </cell>
        </row>
        <row r="31">
          <cell r="A31" t="str">
            <v>n30</v>
          </cell>
          <cell r="B31">
            <v>1</v>
          </cell>
          <cell r="C31">
            <v>0</v>
          </cell>
          <cell r="D31">
            <v>2</v>
          </cell>
          <cell r="E31">
            <v>1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0</v>
          </cell>
          <cell r="C35">
            <v>0</v>
          </cell>
          <cell r="D35">
            <v>1</v>
          </cell>
          <cell r="E35">
            <v>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U5"/>
    </sheetNames>
    <sheetDataSet>
      <sheetData sheetId="0">
        <row r="1">
          <cell r="B1" t="str">
            <v>3_15-29</v>
          </cell>
          <cell r="C1" t="str">
            <v>4_30-44</v>
          </cell>
        </row>
        <row r="2">
          <cell r="A2" t="str">
            <v>n01</v>
          </cell>
          <cell r="B2">
            <v>0</v>
          </cell>
          <cell r="C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</row>
        <row r="20">
          <cell r="A20" t="str">
            <v>n19</v>
          </cell>
          <cell r="B20">
            <v>0</v>
          </cell>
          <cell r="C20">
            <v>1</v>
          </cell>
        </row>
        <row r="21">
          <cell r="A21" t="str">
            <v>n20</v>
          </cell>
          <cell r="B21">
            <v>0</v>
          </cell>
          <cell r="C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</row>
        <row r="35">
          <cell r="A35" t="str">
            <v>unk</v>
          </cell>
          <cell r="B35">
            <v>2</v>
          </cell>
          <cell r="C35">
            <v>3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U6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9</v>
          </cell>
          <cell r="C2">
            <v>5</v>
          </cell>
          <cell r="D2">
            <v>3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56</v>
          </cell>
          <cell r="C3">
            <v>66</v>
          </cell>
          <cell r="D3">
            <v>9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7</v>
          </cell>
          <cell r="C4">
            <v>14</v>
          </cell>
          <cell r="D4">
            <v>12</v>
          </cell>
          <cell r="E4">
            <v>1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5</v>
          </cell>
          <cell r="C5">
            <v>11</v>
          </cell>
          <cell r="D5">
            <v>5</v>
          </cell>
          <cell r="E5">
            <v>3</v>
          </cell>
          <cell r="F5">
            <v>1</v>
          </cell>
          <cell r="G5">
            <v>0</v>
          </cell>
        </row>
        <row r="6">
          <cell r="A6" t="str">
            <v>n05</v>
          </cell>
          <cell r="B6">
            <v>9</v>
          </cell>
          <cell r="C6">
            <v>11</v>
          </cell>
          <cell r="D6">
            <v>7</v>
          </cell>
          <cell r="E6">
            <v>5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2</v>
          </cell>
          <cell r="C7">
            <v>5</v>
          </cell>
          <cell r="D7">
            <v>3</v>
          </cell>
          <cell r="E7">
            <v>1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13</v>
          </cell>
          <cell r="C8">
            <v>23</v>
          </cell>
          <cell r="D8">
            <v>8</v>
          </cell>
          <cell r="E8">
            <v>1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22</v>
          </cell>
          <cell r="C9">
            <v>26</v>
          </cell>
          <cell r="D9">
            <v>15</v>
          </cell>
          <cell r="E9">
            <v>0</v>
          </cell>
          <cell r="F9">
            <v>1</v>
          </cell>
          <cell r="G9">
            <v>0</v>
          </cell>
        </row>
        <row r="10">
          <cell r="A10" t="str">
            <v>n09</v>
          </cell>
          <cell r="B10">
            <v>121</v>
          </cell>
          <cell r="C10">
            <v>192</v>
          </cell>
          <cell r="D10">
            <v>83</v>
          </cell>
          <cell r="E10">
            <v>10</v>
          </cell>
          <cell r="F10">
            <v>1</v>
          </cell>
          <cell r="G10">
            <v>0</v>
          </cell>
        </row>
        <row r="11">
          <cell r="A11" t="str">
            <v>n10</v>
          </cell>
          <cell r="B11">
            <v>26</v>
          </cell>
          <cell r="C11">
            <v>24</v>
          </cell>
          <cell r="D11">
            <v>20</v>
          </cell>
          <cell r="E11">
            <v>1</v>
          </cell>
          <cell r="F11">
            <v>2</v>
          </cell>
          <cell r="G11">
            <v>0</v>
          </cell>
        </row>
        <row r="12">
          <cell r="A12" t="str">
            <v>n11</v>
          </cell>
          <cell r="B12">
            <v>36</v>
          </cell>
          <cell r="C12">
            <v>48</v>
          </cell>
          <cell r="D12">
            <v>26</v>
          </cell>
          <cell r="E12">
            <v>3</v>
          </cell>
          <cell r="F12">
            <v>0</v>
          </cell>
          <cell r="G12">
            <v>0</v>
          </cell>
        </row>
        <row r="13">
          <cell r="A13" t="str">
            <v>n12</v>
          </cell>
          <cell r="B13">
            <v>9</v>
          </cell>
          <cell r="C13">
            <v>11</v>
          </cell>
          <cell r="D13">
            <v>3</v>
          </cell>
          <cell r="E13">
            <v>1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32</v>
          </cell>
          <cell r="C14">
            <v>50</v>
          </cell>
          <cell r="D14">
            <v>44</v>
          </cell>
          <cell r="E14">
            <v>6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9</v>
          </cell>
          <cell r="C15">
            <v>13</v>
          </cell>
          <cell r="D15">
            <v>5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14</v>
          </cell>
          <cell r="C16">
            <v>22</v>
          </cell>
          <cell r="D16">
            <v>6</v>
          </cell>
          <cell r="E16">
            <v>0</v>
          </cell>
          <cell r="F16">
            <v>1</v>
          </cell>
          <cell r="G16">
            <v>0</v>
          </cell>
        </row>
        <row r="17">
          <cell r="A17" t="str">
            <v>n16</v>
          </cell>
          <cell r="B17">
            <v>31</v>
          </cell>
          <cell r="C17">
            <v>47</v>
          </cell>
          <cell r="D17">
            <v>10</v>
          </cell>
          <cell r="E17">
            <v>2</v>
          </cell>
          <cell r="F17">
            <v>1</v>
          </cell>
          <cell r="G17">
            <v>0</v>
          </cell>
        </row>
        <row r="18">
          <cell r="A18" t="str">
            <v>n17</v>
          </cell>
          <cell r="B18">
            <v>84</v>
          </cell>
          <cell r="C18">
            <v>82</v>
          </cell>
          <cell r="D18">
            <v>33</v>
          </cell>
          <cell r="E18">
            <v>5</v>
          </cell>
          <cell r="F18">
            <v>0</v>
          </cell>
          <cell r="G18">
            <v>0</v>
          </cell>
        </row>
        <row r="19">
          <cell r="A19" t="str">
            <v>n18</v>
          </cell>
          <cell r="B19">
            <v>27</v>
          </cell>
          <cell r="C19">
            <v>53</v>
          </cell>
          <cell r="D19">
            <v>18</v>
          </cell>
          <cell r="E19">
            <v>3</v>
          </cell>
          <cell r="F19">
            <v>1</v>
          </cell>
          <cell r="G19">
            <v>0</v>
          </cell>
        </row>
        <row r="20">
          <cell r="A20" t="str">
            <v>n19</v>
          </cell>
          <cell r="B20">
            <v>295</v>
          </cell>
          <cell r="C20">
            <v>612</v>
          </cell>
          <cell r="D20">
            <v>268</v>
          </cell>
          <cell r="E20">
            <v>47</v>
          </cell>
          <cell r="F20">
            <v>5</v>
          </cell>
          <cell r="G20">
            <v>0</v>
          </cell>
        </row>
        <row r="21">
          <cell r="A21" t="str">
            <v>n20</v>
          </cell>
          <cell r="B21">
            <v>30</v>
          </cell>
          <cell r="C21">
            <v>55</v>
          </cell>
          <cell r="D21">
            <v>22</v>
          </cell>
          <cell r="E21">
            <v>7</v>
          </cell>
          <cell r="F21">
            <v>1</v>
          </cell>
          <cell r="G21">
            <v>0</v>
          </cell>
        </row>
        <row r="22">
          <cell r="A22" t="str">
            <v>n21</v>
          </cell>
          <cell r="B22">
            <v>1</v>
          </cell>
          <cell r="C22">
            <v>1</v>
          </cell>
          <cell r="D22">
            <v>2</v>
          </cell>
          <cell r="E22">
            <v>1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8</v>
          </cell>
          <cell r="C23">
            <v>18</v>
          </cell>
          <cell r="D23">
            <v>8</v>
          </cell>
          <cell r="E23">
            <v>1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1</v>
          </cell>
          <cell r="D25">
            <v>2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3</v>
          </cell>
          <cell r="C28">
            <v>9</v>
          </cell>
          <cell r="D28">
            <v>6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11</v>
          </cell>
          <cell r="C29">
            <v>10</v>
          </cell>
          <cell r="D29">
            <v>2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16</v>
          </cell>
          <cell r="C30">
            <v>51</v>
          </cell>
          <cell r="D30">
            <v>21</v>
          </cell>
          <cell r="E30">
            <v>4</v>
          </cell>
          <cell r="F30">
            <v>0</v>
          </cell>
          <cell r="G30">
            <v>1</v>
          </cell>
        </row>
        <row r="31">
          <cell r="A31" t="str">
            <v>n30</v>
          </cell>
          <cell r="B31">
            <v>6</v>
          </cell>
          <cell r="C31">
            <v>9</v>
          </cell>
          <cell r="D31">
            <v>8</v>
          </cell>
          <cell r="E31">
            <v>1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49</v>
          </cell>
          <cell r="C32">
            <v>54</v>
          </cell>
          <cell r="D32">
            <v>26</v>
          </cell>
          <cell r="E32">
            <v>3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184</v>
          </cell>
          <cell r="C33">
            <v>382</v>
          </cell>
          <cell r="D33">
            <v>226</v>
          </cell>
          <cell r="E33">
            <v>43</v>
          </cell>
          <cell r="F33">
            <v>12</v>
          </cell>
          <cell r="G33">
            <v>1</v>
          </cell>
        </row>
        <row r="34">
          <cell r="A34" t="str">
            <v>n33</v>
          </cell>
          <cell r="B34">
            <v>30</v>
          </cell>
          <cell r="C34">
            <v>56</v>
          </cell>
          <cell r="D34">
            <v>30</v>
          </cell>
          <cell r="E34">
            <v>3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694</v>
          </cell>
          <cell r="C35">
            <v>1699</v>
          </cell>
          <cell r="D35">
            <v>1200</v>
          </cell>
          <cell r="E35">
            <v>315</v>
          </cell>
          <cell r="F35">
            <v>54</v>
          </cell>
          <cell r="G35">
            <v>6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unk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V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1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</row>
        <row r="19">
          <cell r="A19" t="str">
            <v>n18</v>
          </cell>
          <cell r="B19">
            <v>2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3</v>
          </cell>
          <cell r="C20">
            <v>4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1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1</v>
          </cell>
          <cell r="C30">
            <v>1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87</v>
          </cell>
          <cell r="C33">
            <v>92</v>
          </cell>
          <cell r="D33">
            <v>24</v>
          </cell>
        </row>
        <row r="34">
          <cell r="A34" t="str">
            <v>n33</v>
          </cell>
          <cell r="B34">
            <v>1</v>
          </cell>
          <cell r="C34">
            <v>2</v>
          </cell>
          <cell r="D34">
            <v>0</v>
          </cell>
        </row>
        <row r="35">
          <cell r="A35" t="str">
            <v>unk</v>
          </cell>
          <cell r="B35">
            <v>6</v>
          </cell>
          <cell r="C35">
            <v>6</v>
          </cell>
          <cell r="D35">
            <v>3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V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1</v>
          </cell>
          <cell r="C2">
            <v>4</v>
          </cell>
          <cell r="D2">
            <v>2</v>
          </cell>
          <cell r="E2">
            <v>0</v>
          </cell>
        </row>
        <row r="3">
          <cell r="A3" t="str">
            <v>n02</v>
          </cell>
          <cell r="B3">
            <v>27</v>
          </cell>
          <cell r="C3">
            <v>20</v>
          </cell>
          <cell r="D3">
            <v>9</v>
          </cell>
          <cell r="E3">
            <v>0</v>
          </cell>
        </row>
        <row r="4">
          <cell r="A4" t="str">
            <v>n03</v>
          </cell>
          <cell r="B4">
            <v>1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4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5</v>
          </cell>
          <cell r="C6">
            <v>7</v>
          </cell>
          <cell r="D6">
            <v>3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1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2</v>
          </cell>
          <cell r="C8">
            <v>1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6</v>
          </cell>
          <cell r="C9">
            <v>10</v>
          </cell>
          <cell r="D9">
            <v>2</v>
          </cell>
          <cell r="E9">
            <v>0</v>
          </cell>
        </row>
        <row r="10">
          <cell r="A10" t="str">
            <v>n09</v>
          </cell>
          <cell r="B10">
            <v>4</v>
          </cell>
          <cell r="C10">
            <v>7</v>
          </cell>
          <cell r="D10">
            <v>3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1</v>
          </cell>
          <cell r="C12">
            <v>0</v>
          </cell>
          <cell r="D12">
            <v>1</v>
          </cell>
          <cell r="E12">
            <v>0</v>
          </cell>
        </row>
        <row r="13">
          <cell r="A13" t="str">
            <v>n12</v>
          </cell>
          <cell r="B13">
            <v>1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1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1</v>
          </cell>
          <cell r="C15">
            <v>0</v>
          </cell>
          <cell r="D15">
            <v>3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1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2</v>
          </cell>
          <cell r="C17">
            <v>1</v>
          </cell>
          <cell r="D17">
            <v>1</v>
          </cell>
          <cell r="E17">
            <v>0</v>
          </cell>
        </row>
        <row r="18">
          <cell r="A18" t="str">
            <v>n17</v>
          </cell>
          <cell r="B18">
            <v>56</v>
          </cell>
          <cell r="C18">
            <v>58</v>
          </cell>
          <cell r="D18">
            <v>19</v>
          </cell>
          <cell r="E18">
            <v>0</v>
          </cell>
        </row>
        <row r="19">
          <cell r="A19" t="str">
            <v>n18</v>
          </cell>
          <cell r="B19">
            <v>19</v>
          </cell>
          <cell r="C19">
            <v>10</v>
          </cell>
          <cell r="D19">
            <v>7</v>
          </cell>
          <cell r="E19">
            <v>0</v>
          </cell>
        </row>
        <row r="20">
          <cell r="A20" t="str">
            <v>n19</v>
          </cell>
          <cell r="B20">
            <v>39</v>
          </cell>
          <cell r="C20">
            <v>35</v>
          </cell>
          <cell r="D20">
            <v>21</v>
          </cell>
          <cell r="E20">
            <v>0</v>
          </cell>
        </row>
        <row r="21">
          <cell r="A21" t="str">
            <v>n20</v>
          </cell>
          <cell r="B21">
            <v>8</v>
          </cell>
          <cell r="C21">
            <v>12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1</v>
          </cell>
          <cell r="D23">
            <v>1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2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2</v>
          </cell>
          <cell r="C30">
            <v>2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1</v>
          </cell>
          <cell r="D31">
            <v>1</v>
          </cell>
          <cell r="E31">
            <v>0</v>
          </cell>
        </row>
        <row r="32">
          <cell r="A32" t="str">
            <v>n31</v>
          </cell>
          <cell r="B32">
            <v>5</v>
          </cell>
          <cell r="C32">
            <v>0</v>
          </cell>
          <cell r="D32">
            <v>1</v>
          </cell>
          <cell r="E32">
            <v>0</v>
          </cell>
        </row>
        <row r="33">
          <cell r="A33" t="str">
            <v>n32</v>
          </cell>
          <cell r="B33">
            <v>1</v>
          </cell>
          <cell r="C33">
            <v>1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3</v>
          </cell>
          <cell r="C34">
            <v>10</v>
          </cell>
          <cell r="D34">
            <v>2</v>
          </cell>
          <cell r="E34">
            <v>0</v>
          </cell>
        </row>
        <row r="35">
          <cell r="A35" t="str">
            <v>unk</v>
          </cell>
          <cell r="B35">
            <v>53</v>
          </cell>
          <cell r="C35">
            <v>50</v>
          </cell>
          <cell r="D35">
            <v>15</v>
          </cell>
          <cell r="E35">
            <v>2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V3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V4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U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</row>
        <row r="2">
          <cell r="A2" t="str">
            <v>n01</v>
          </cell>
          <cell r="B2">
            <v>18</v>
          </cell>
          <cell r="C2">
            <v>19</v>
          </cell>
          <cell r="D2">
            <v>11</v>
          </cell>
          <cell r="E2">
            <v>0</v>
          </cell>
          <cell r="F2">
            <v>0</v>
          </cell>
        </row>
        <row r="3">
          <cell r="A3" t="str">
            <v>n02</v>
          </cell>
          <cell r="B3">
            <v>82</v>
          </cell>
          <cell r="C3">
            <v>65</v>
          </cell>
          <cell r="D3">
            <v>25</v>
          </cell>
          <cell r="E3">
            <v>1</v>
          </cell>
          <cell r="F3">
            <v>0</v>
          </cell>
        </row>
        <row r="4">
          <cell r="A4" t="str">
            <v>n03</v>
          </cell>
          <cell r="B4">
            <v>28</v>
          </cell>
          <cell r="C4">
            <v>36</v>
          </cell>
          <cell r="D4">
            <v>28</v>
          </cell>
          <cell r="E4">
            <v>3</v>
          </cell>
          <cell r="F4">
            <v>0</v>
          </cell>
        </row>
        <row r="5">
          <cell r="A5" t="str">
            <v>n04</v>
          </cell>
          <cell r="B5">
            <v>10</v>
          </cell>
          <cell r="C5">
            <v>9</v>
          </cell>
          <cell r="D5">
            <v>7</v>
          </cell>
          <cell r="E5">
            <v>0</v>
          </cell>
          <cell r="F5">
            <v>0</v>
          </cell>
        </row>
        <row r="6">
          <cell r="A6" t="str">
            <v>n05</v>
          </cell>
          <cell r="B6">
            <v>20</v>
          </cell>
          <cell r="C6">
            <v>62</v>
          </cell>
          <cell r="D6">
            <v>42</v>
          </cell>
          <cell r="E6">
            <v>6</v>
          </cell>
          <cell r="F6">
            <v>0</v>
          </cell>
        </row>
        <row r="7">
          <cell r="A7" t="str">
            <v>n06</v>
          </cell>
          <cell r="B7">
            <v>31</v>
          </cell>
          <cell r="C7">
            <v>35</v>
          </cell>
          <cell r="D7">
            <v>17</v>
          </cell>
          <cell r="E7">
            <v>1</v>
          </cell>
          <cell r="F7">
            <v>0</v>
          </cell>
        </row>
        <row r="8">
          <cell r="A8" t="str">
            <v>n07</v>
          </cell>
          <cell r="B8">
            <v>59</v>
          </cell>
          <cell r="C8">
            <v>104</v>
          </cell>
          <cell r="D8">
            <v>42</v>
          </cell>
          <cell r="E8">
            <v>7</v>
          </cell>
          <cell r="F8">
            <v>0</v>
          </cell>
        </row>
        <row r="9">
          <cell r="A9" t="str">
            <v>n08</v>
          </cell>
          <cell r="B9">
            <v>114</v>
          </cell>
          <cell r="C9">
            <v>152</v>
          </cell>
          <cell r="D9">
            <v>92</v>
          </cell>
          <cell r="E9">
            <v>8</v>
          </cell>
          <cell r="F9">
            <v>1</v>
          </cell>
        </row>
        <row r="10">
          <cell r="A10" t="str">
            <v>n09</v>
          </cell>
          <cell r="B10">
            <v>50</v>
          </cell>
          <cell r="C10">
            <v>69</v>
          </cell>
          <cell r="D10">
            <v>44</v>
          </cell>
          <cell r="E10">
            <v>2</v>
          </cell>
          <cell r="F10">
            <v>0</v>
          </cell>
        </row>
        <row r="11">
          <cell r="A11" t="str">
            <v>n10</v>
          </cell>
          <cell r="B11">
            <v>96</v>
          </cell>
          <cell r="C11">
            <v>85</v>
          </cell>
          <cell r="D11">
            <v>54</v>
          </cell>
          <cell r="E11">
            <v>4</v>
          </cell>
          <cell r="F11">
            <v>1</v>
          </cell>
        </row>
        <row r="12">
          <cell r="A12" t="str">
            <v>n11</v>
          </cell>
          <cell r="B12">
            <v>130</v>
          </cell>
          <cell r="C12">
            <v>158</v>
          </cell>
          <cell r="D12">
            <v>101</v>
          </cell>
          <cell r="E12">
            <v>7</v>
          </cell>
          <cell r="F12">
            <v>0</v>
          </cell>
        </row>
        <row r="13">
          <cell r="A13" t="str">
            <v>n12</v>
          </cell>
          <cell r="B13">
            <v>14</v>
          </cell>
          <cell r="C13">
            <v>41</v>
          </cell>
          <cell r="D13">
            <v>13</v>
          </cell>
          <cell r="E13">
            <v>1</v>
          </cell>
          <cell r="F13">
            <v>0</v>
          </cell>
        </row>
        <row r="14">
          <cell r="A14" t="str">
            <v>n13</v>
          </cell>
          <cell r="B14">
            <v>48</v>
          </cell>
          <cell r="C14">
            <v>65</v>
          </cell>
          <cell r="D14">
            <v>48</v>
          </cell>
          <cell r="E14">
            <v>2</v>
          </cell>
          <cell r="F14">
            <v>0</v>
          </cell>
        </row>
        <row r="15">
          <cell r="A15" t="str">
            <v>n14</v>
          </cell>
          <cell r="B15">
            <v>11</v>
          </cell>
          <cell r="C15">
            <v>15</v>
          </cell>
          <cell r="D15">
            <v>6</v>
          </cell>
          <cell r="E15">
            <v>0</v>
          </cell>
          <cell r="F15">
            <v>0</v>
          </cell>
        </row>
        <row r="16">
          <cell r="A16" t="str">
            <v>n15</v>
          </cell>
          <cell r="B16">
            <v>13</v>
          </cell>
          <cell r="C16">
            <v>17</v>
          </cell>
          <cell r="D16">
            <v>6</v>
          </cell>
          <cell r="E16">
            <v>1</v>
          </cell>
          <cell r="F16">
            <v>0</v>
          </cell>
        </row>
        <row r="17">
          <cell r="A17" t="str">
            <v>n16</v>
          </cell>
          <cell r="B17">
            <v>25</v>
          </cell>
          <cell r="C17">
            <v>24</v>
          </cell>
          <cell r="D17">
            <v>15</v>
          </cell>
          <cell r="E17">
            <v>1</v>
          </cell>
          <cell r="F17">
            <v>0</v>
          </cell>
        </row>
        <row r="18">
          <cell r="A18" t="str">
            <v>n17</v>
          </cell>
          <cell r="B18">
            <v>589</v>
          </cell>
          <cell r="C18">
            <v>731</v>
          </cell>
          <cell r="D18">
            <v>348</v>
          </cell>
          <cell r="E18">
            <v>13</v>
          </cell>
          <cell r="F18">
            <v>1</v>
          </cell>
        </row>
        <row r="19">
          <cell r="A19" t="str">
            <v>n18</v>
          </cell>
          <cell r="B19">
            <v>24</v>
          </cell>
          <cell r="C19">
            <v>20</v>
          </cell>
          <cell r="D19">
            <v>14</v>
          </cell>
          <cell r="E19">
            <v>0</v>
          </cell>
          <cell r="F19">
            <v>0</v>
          </cell>
        </row>
        <row r="20">
          <cell r="A20" t="str">
            <v>n19</v>
          </cell>
          <cell r="B20">
            <v>102</v>
          </cell>
          <cell r="C20">
            <v>111</v>
          </cell>
          <cell r="D20">
            <v>66</v>
          </cell>
          <cell r="E20">
            <v>2</v>
          </cell>
          <cell r="F20">
            <v>0</v>
          </cell>
        </row>
        <row r="21">
          <cell r="A21" t="str">
            <v>n20</v>
          </cell>
          <cell r="B21">
            <v>0</v>
          </cell>
          <cell r="C21">
            <v>3</v>
          </cell>
          <cell r="D21">
            <v>1</v>
          </cell>
          <cell r="E21">
            <v>0</v>
          </cell>
          <cell r="F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n22</v>
          </cell>
          <cell r="B23">
            <v>0</v>
          </cell>
          <cell r="C23">
            <v>2</v>
          </cell>
          <cell r="D23">
            <v>3</v>
          </cell>
          <cell r="E23">
            <v>0</v>
          </cell>
          <cell r="F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n24</v>
          </cell>
          <cell r="B25">
            <v>1</v>
          </cell>
          <cell r="C25">
            <v>1</v>
          </cell>
          <cell r="D25">
            <v>4</v>
          </cell>
          <cell r="E25">
            <v>0</v>
          </cell>
          <cell r="F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n26</v>
          </cell>
          <cell r="B27">
            <v>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n27</v>
          </cell>
          <cell r="B28">
            <v>2</v>
          </cell>
          <cell r="C28">
            <v>2</v>
          </cell>
          <cell r="D28">
            <v>1</v>
          </cell>
          <cell r="E28">
            <v>0</v>
          </cell>
          <cell r="F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n29</v>
          </cell>
          <cell r="B30">
            <v>0</v>
          </cell>
          <cell r="C30">
            <v>1</v>
          </cell>
          <cell r="D30">
            <v>1</v>
          </cell>
          <cell r="E30">
            <v>0</v>
          </cell>
          <cell r="F30">
            <v>0</v>
          </cell>
        </row>
        <row r="31">
          <cell r="A31" t="str">
            <v>n30</v>
          </cell>
          <cell r="B31">
            <v>0</v>
          </cell>
          <cell r="C31">
            <v>1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n31</v>
          </cell>
          <cell r="B32">
            <v>8</v>
          </cell>
          <cell r="C32">
            <v>9</v>
          </cell>
          <cell r="D32">
            <v>4</v>
          </cell>
          <cell r="E32">
            <v>0</v>
          </cell>
          <cell r="F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>n33</v>
          </cell>
          <cell r="B34">
            <v>21</v>
          </cell>
          <cell r="C34">
            <v>38</v>
          </cell>
          <cell r="D34">
            <v>9</v>
          </cell>
          <cell r="E34">
            <v>0</v>
          </cell>
          <cell r="F34">
            <v>0</v>
          </cell>
        </row>
        <row r="35">
          <cell r="A35" t="str">
            <v>unk</v>
          </cell>
          <cell r="B35">
            <v>128</v>
          </cell>
          <cell r="C35">
            <v>159</v>
          </cell>
          <cell r="D35">
            <v>64</v>
          </cell>
          <cell r="E35">
            <v>4</v>
          </cell>
          <cell r="F35">
            <v>0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U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2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1</v>
          </cell>
          <cell r="C30">
            <v>0</v>
          </cell>
          <cell r="D30">
            <v>1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73</v>
          </cell>
          <cell r="C33">
            <v>104</v>
          </cell>
          <cell r="D33">
            <v>43</v>
          </cell>
          <cell r="E33">
            <v>3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105</v>
          </cell>
          <cell r="C35">
            <v>134</v>
          </cell>
          <cell r="D35">
            <v>54</v>
          </cell>
          <cell r="E35">
            <v>5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U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0</v>
          </cell>
          <cell r="C2">
            <v>2</v>
          </cell>
          <cell r="D2">
            <v>1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15</v>
          </cell>
          <cell r="C3">
            <v>13</v>
          </cell>
          <cell r="D3">
            <v>8</v>
          </cell>
          <cell r="E3">
            <v>1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13</v>
          </cell>
          <cell r="C4">
            <v>38</v>
          </cell>
          <cell r="D4">
            <v>29</v>
          </cell>
          <cell r="E4">
            <v>4</v>
          </cell>
          <cell r="F4">
            <v>1</v>
          </cell>
          <cell r="G4">
            <v>0</v>
          </cell>
        </row>
        <row r="5">
          <cell r="A5" t="str">
            <v>n04</v>
          </cell>
          <cell r="B5">
            <v>4</v>
          </cell>
          <cell r="C5">
            <v>4</v>
          </cell>
          <cell r="D5">
            <v>3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0</v>
          </cell>
          <cell r="C6">
            <v>8</v>
          </cell>
          <cell r="D6">
            <v>7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6</v>
          </cell>
          <cell r="C7">
            <v>3</v>
          </cell>
          <cell r="D7">
            <v>4</v>
          </cell>
          <cell r="E7">
            <v>1</v>
          </cell>
          <cell r="F7">
            <v>2</v>
          </cell>
          <cell r="G7">
            <v>0</v>
          </cell>
        </row>
        <row r="8">
          <cell r="A8" t="str">
            <v>n07</v>
          </cell>
          <cell r="B8">
            <v>9</v>
          </cell>
          <cell r="C8">
            <v>17</v>
          </cell>
          <cell r="D8">
            <v>17</v>
          </cell>
          <cell r="E8">
            <v>7</v>
          </cell>
          <cell r="F8">
            <v>1</v>
          </cell>
          <cell r="G8">
            <v>0</v>
          </cell>
        </row>
        <row r="9">
          <cell r="A9" t="str">
            <v>n08</v>
          </cell>
          <cell r="B9">
            <v>20</v>
          </cell>
          <cell r="C9">
            <v>86</v>
          </cell>
          <cell r="D9">
            <v>114</v>
          </cell>
          <cell r="E9">
            <v>18</v>
          </cell>
          <cell r="F9">
            <v>3</v>
          </cell>
          <cell r="G9">
            <v>0</v>
          </cell>
        </row>
        <row r="10">
          <cell r="A10" t="str">
            <v>n09</v>
          </cell>
          <cell r="B10">
            <v>9</v>
          </cell>
          <cell r="C10">
            <v>13</v>
          </cell>
          <cell r="D10">
            <v>6</v>
          </cell>
          <cell r="E10">
            <v>2</v>
          </cell>
          <cell r="F10">
            <v>0</v>
          </cell>
          <cell r="G10">
            <v>0</v>
          </cell>
        </row>
        <row r="11">
          <cell r="A11" t="str">
            <v>n10</v>
          </cell>
          <cell r="B11">
            <v>1</v>
          </cell>
          <cell r="C11">
            <v>18</v>
          </cell>
          <cell r="D11">
            <v>27</v>
          </cell>
          <cell r="E11">
            <v>12</v>
          </cell>
          <cell r="F11">
            <v>7</v>
          </cell>
          <cell r="G11">
            <v>0</v>
          </cell>
        </row>
        <row r="12">
          <cell r="A12" t="str">
            <v>n11</v>
          </cell>
          <cell r="B12">
            <v>17</v>
          </cell>
          <cell r="C12">
            <v>39</v>
          </cell>
          <cell r="D12">
            <v>42</v>
          </cell>
          <cell r="E12">
            <v>9</v>
          </cell>
          <cell r="F12">
            <v>1</v>
          </cell>
          <cell r="G12">
            <v>0</v>
          </cell>
        </row>
        <row r="13">
          <cell r="A13" t="str">
            <v>n12</v>
          </cell>
          <cell r="B13">
            <v>3</v>
          </cell>
          <cell r="C13">
            <v>20</v>
          </cell>
          <cell r="D13">
            <v>16</v>
          </cell>
          <cell r="E13">
            <v>2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11</v>
          </cell>
          <cell r="C14">
            <v>24</v>
          </cell>
          <cell r="D14">
            <v>24</v>
          </cell>
          <cell r="E14">
            <v>5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3</v>
          </cell>
          <cell r="C15">
            <v>13</v>
          </cell>
          <cell r="D15">
            <v>4</v>
          </cell>
          <cell r="E15">
            <v>1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5</v>
          </cell>
          <cell r="C16">
            <v>19</v>
          </cell>
          <cell r="D16">
            <v>7</v>
          </cell>
          <cell r="E16">
            <v>0</v>
          </cell>
          <cell r="F16">
            <v>0</v>
          </cell>
          <cell r="G16">
            <v>0</v>
          </cell>
        </row>
        <row r="17">
          <cell r="A17" t="str">
            <v>n16</v>
          </cell>
          <cell r="B17">
            <v>15</v>
          </cell>
          <cell r="C17">
            <v>21</v>
          </cell>
          <cell r="D17">
            <v>15</v>
          </cell>
          <cell r="E17">
            <v>1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72</v>
          </cell>
          <cell r="C18">
            <v>118</v>
          </cell>
          <cell r="D18">
            <v>73</v>
          </cell>
          <cell r="E18">
            <v>10</v>
          </cell>
          <cell r="F18">
            <v>3</v>
          </cell>
          <cell r="G18">
            <v>1</v>
          </cell>
        </row>
        <row r="19">
          <cell r="A19" t="str">
            <v>n18</v>
          </cell>
          <cell r="B19">
            <v>3</v>
          </cell>
          <cell r="C19">
            <v>6</v>
          </cell>
          <cell r="D19">
            <v>2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28</v>
          </cell>
          <cell r="C20">
            <v>25</v>
          </cell>
          <cell r="D20">
            <v>24</v>
          </cell>
          <cell r="E20">
            <v>2</v>
          </cell>
          <cell r="F20">
            <v>0</v>
          </cell>
          <cell r="G20">
            <v>0</v>
          </cell>
        </row>
        <row r="21">
          <cell r="A21" t="str">
            <v>n20</v>
          </cell>
          <cell r="B21">
            <v>2</v>
          </cell>
          <cell r="C21">
            <v>1</v>
          </cell>
          <cell r="D21">
            <v>1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0</v>
          </cell>
          <cell r="C30">
            <v>3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2</v>
          </cell>
          <cell r="C32">
            <v>2</v>
          </cell>
          <cell r="D32">
            <v>1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0</v>
          </cell>
          <cell r="C33">
            <v>3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n33</v>
          </cell>
          <cell r="B34">
            <v>17</v>
          </cell>
          <cell r="C34">
            <v>11</v>
          </cell>
          <cell r="D34">
            <v>7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69</v>
          </cell>
          <cell r="C35">
            <v>88</v>
          </cell>
          <cell r="D35">
            <v>58</v>
          </cell>
          <cell r="E35">
            <v>9</v>
          </cell>
          <cell r="F35">
            <v>1</v>
          </cell>
          <cell r="G35">
            <v>0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U4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1</v>
          </cell>
          <cell r="D29">
            <v>0</v>
          </cell>
        </row>
        <row r="30">
          <cell r="A30" t="str">
            <v>n29</v>
          </cell>
          <cell r="B30">
            <v>1</v>
          </cell>
          <cell r="C30">
            <v>3</v>
          </cell>
          <cell r="D30">
            <v>3</v>
          </cell>
        </row>
        <row r="31">
          <cell r="A31" t="str">
            <v>n30</v>
          </cell>
          <cell r="B31">
            <v>1</v>
          </cell>
          <cell r="C31">
            <v>1</v>
          </cell>
          <cell r="D31">
            <v>1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0</v>
          </cell>
          <cell r="C35">
            <v>0</v>
          </cell>
          <cell r="D35">
            <v>2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U5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1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1</v>
          </cell>
          <cell r="C18">
            <v>0</v>
          </cell>
          <cell r="D18">
            <v>1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0</v>
          </cell>
          <cell r="C35">
            <v>2</v>
          </cell>
          <cell r="D35">
            <v>2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U6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0</v>
          </cell>
          <cell r="C2">
            <v>1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6</v>
          </cell>
          <cell r="C3">
            <v>4</v>
          </cell>
          <cell r="D3">
            <v>4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3</v>
          </cell>
          <cell r="C4">
            <v>4</v>
          </cell>
          <cell r="D4">
            <v>4</v>
          </cell>
          <cell r="E4">
            <v>1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2</v>
          </cell>
          <cell r="C5">
            <v>2</v>
          </cell>
          <cell r="D5">
            <v>3</v>
          </cell>
          <cell r="E5">
            <v>1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3</v>
          </cell>
          <cell r="C6">
            <v>2</v>
          </cell>
          <cell r="D6">
            <v>3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2</v>
          </cell>
          <cell r="C7">
            <v>3</v>
          </cell>
          <cell r="D7">
            <v>2</v>
          </cell>
          <cell r="E7">
            <v>1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1</v>
          </cell>
          <cell r="C8">
            <v>5</v>
          </cell>
          <cell r="D8">
            <v>5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6</v>
          </cell>
          <cell r="C9">
            <v>10</v>
          </cell>
          <cell r="D9">
            <v>7</v>
          </cell>
          <cell r="E9">
            <v>0</v>
          </cell>
          <cell r="F9">
            <v>0</v>
          </cell>
          <cell r="G9">
            <v>0</v>
          </cell>
        </row>
        <row r="10">
          <cell r="A10" t="str">
            <v>n09</v>
          </cell>
          <cell r="B10">
            <v>30</v>
          </cell>
          <cell r="C10">
            <v>83</v>
          </cell>
          <cell r="D10">
            <v>39</v>
          </cell>
          <cell r="E10">
            <v>3</v>
          </cell>
          <cell r="F10">
            <v>0</v>
          </cell>
          <cell r="G10">
            <v>0</v>
          </cell>
        </row>
        <row r="11">
          <cell r="A11" t="str">
            <v>n10</v>
          </cell>
          <cell r="B11">
            <v>4</v>
          </cell>
          <cell r="C11">
            <v>12</v>
          </cell>
          <cell r="D11">
            <v>8</v>
          </cell>
          <cell r="E11">
            <v>1</v>
          </cell>
          <cell r="F11">
            <v>1</v>
          </cell>
          <cell r="G11">
            <v>0</v>
          </cell>
        </row>
        <row r="12">
          <cell r="A12" t="str">
            <v>n11</v>
          </cell>
          <cell r="B12">
            <v>9</v>
          </cell>
          <cell r="C12">
            <v>11</v>
          </cell>
          <cell r="D12">
            <v>5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n12</v>
          </cell>
          <cell r="B13">
            <v>2</v>
          </cell>
          <cell r="C13">
            <v>4</v>
          </cell>
          <cell r="D13">
            <v>2</v>
          </cell>
          <cell r="E13">
            <v>0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8</v>
          </cell>
          <cell r="C14">
            <v>27</v>
          </cell>
          <cell r="D14">
            <v>23</v>
          </cell>
          <cell r="E14">
            <v>1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2</v>
          </cell>
          <cell r="C15">
            <v>11</v>
          </cell>
          <cell r="D15">
            <v>4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1</v>
          </cell>
          <cell r="C16">
            <v>4</v>
          </cell>
          <cell r="D16">
            <v>3</v>
          </cell>
          <cell r="E16">
            <v>0</v>
          </cell>
          <cell r="F16">
            <v>0</v>
          </cell>
          <cell r="G16">
            <v>0</v>
          </cell>
        </row>
        <row r="17">
          <cell r="A17" t="str">
            <v>n16</v>
          </cell>
          <cell r="B17">
            <v>7</v>
          </cell>
          <cell r="C17">
            <v>10</v>
          </cell>
          <cell r="D17">
            <v>2</v>
          </cell>
          <cell r="E17">
            <v>1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19</v>
          </cell>
          <cell r="C18">
            <v>33</v>
          </cell>
          <cell r="D18">
            <v>20</v>
          </cell>
          <cell r="E18">
            <v>1</v>
          </cell>
          <cell r="F18">
            <v>1</v>
          </cell>
          <cell r="G18">
            <v>0</v>
          </cell>
        </row>
        <row r="19">
          <cell r="A19" t="str">
            <v>n18</v>
          </cell>
          <cell r="B19">
            <v>12</v>
          </cell>
          <cell r="C19">
            <v>35</v>
          </cell>
          <cell r="D19">
            <v>13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158</v>
          </cell>
          <cell r="C20">
            <v>275</v>
          </cell>
          <cell r="D20">
            <v>165</v>
          </cell>
          <cell r="E20">
            <v>14</v>
          </cell>
          <cell r="F20">
            <v>1</v>
          </cell>
          <cell r="G20">
            <v>0</v>
          </cell>
        </row>
        <row r="21">
          <cell r="A21" t="str">
            <v>n20</v>
          </cell>
          <cell r="B21">
            <v>12</v>
          </cell>
          <cell r="C21">
            <v>23</v>
          </cell>
          <cell r="D21">
            <v>15</v>
          </cell>
          <cell r="E21">
            <v>1</v>
          </cell>
          <cell r="F21">
            <v>1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1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3</v>
          </cell>
          <cell r="C23">
            <v>6</v>
          </cell>
          <cell r="D23">
            <v>7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1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1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7</v>
          </cell>
          <cell r="C29">
            <v>6</v>
          </cell>
          <cell r="D29">
            <v>2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13</v>
          </cell>
          <cell r="C30">
            <v>28</v>
          </cell>
          <cell r="D30">
            <v>14</v>
          </cell>
          <cell r="E30">
            <v>1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4</v>
          </cell>
          <cell r="C31">
            <v>7</v>
          </cell>
          <cell r="D31">
            <v>1</v>
          </cell>
          <cell r="E31">
            <v>1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8</v>
          </cell>
          <cell r="C32">
            <v>9</v>
          </cell>
          <cell r="D32">
            <v>5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248</v>
          </cell>
          <cell r="C33">
            <v>465</v>
          </cell>
          <cell r="D33">
            <v>292</v>
          </cell>
          <cell r="E33">
            <v>16</v>
          </cell>
          <cell r="F33">
            <v>1</v>
          </cell>
          <cell r="G33">
            <v>0</v>
          </cell>
        </row>
        <row r="34">
          <cell r="A34" t="str">
            <v>n33</v>
          </cell>
          <cell r="B34">
            <v>12</v>
          </cell>
          <cell r="C34">
            <v>16</v>
          </cell>
          <cell r="D34">
            <v>9</v>
          </cell>
          <cell r="E34">
            <v>1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501</v>
          </cell>
          <cell r="C35">
            <v>1070</v>
          </cell>
          <cell r="D35">
            <v>707</v>
          </cell>
          <cell r="E35">
            <v>69</v>
          </cell>
          <cell r="F35">
            <v>6</v>
          </cell>
          <cell r="G35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unk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V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7</v>
          </cell>
          <cell r="C33">
            <v>5</v>
          </cell>
          <cell r="D33">
            <v>3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1</v>
          </cell>
          <cell r="C35">
            <v>0</v>
          </cell>
          <cell r="D35">
            <v>2</v>
          </cell>
          <cell r="E35">
            <v>0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V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2</v>
          </cell>
          <cell r="C3">
            <v>8</v>
          </cell>
          <cell r="D3">
            <v>5</v>
          </cell>
        </row>
        <row r="4">
          <cell r="A4" t="str">
            <v>n03</v>
          </cell>
          <cell r="B4">
            <v>0</v>
          </cell>
          <cell r="C4">
            <v>1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2</v>
          </cell>
          <cell r="C6">
            <v>0</v>
          </cell>
          <cell r="D6">
            <v>4</v>
          </cell>
        </row>
        <row r="7">
          <cell r="A7" t="str">
            <v>n06</v>
          </cell>
          <cell r="B7">
            <v>1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1</v>
          </cell>
          <cell r="D8">
            <v>3</v>
          </cell>
        </row>
        <row r="9">
          <cell r="A9" t="str">
            <v>n08</v>
          </cell>
          <cell r="B9">
            <v>1</v>
          </cell>
          <cell r="C9">
            <v>1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1</v>
          </cell>
        </row>
        <row r="12">
          <cell r="A12" t="str">
            <v>n11</v>
          </cell>
          <cell r="B12">
            <v>0</v>
          </cell>
          <cell r="C12">
            <v>1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1</v>
          </cell>
          <cell r="C18">
            <v>4</v>
          </cell>
          <cell r="D18">
            <v>1</v>
          </cell>
        </row>
        <row r="19">
          <cell r="A19" t="str">
            <v>n18</v>
          </cell>
          <cell r="B19">
            <v>3</v>
          </cell>
          <cell r="C19">
            <v>4</v>
          </cell>
          <cell r="D19">
            <v>0</v>
          </cell>
        </row>
        <row r="20">
          <cell r="A20" t="str">
            <v>n19</v>
          </cell>
          <cell r="B20">
            <v>1</v>
          </cell>
          <cell r="C20">
            <v>4</v>
          </cell>
          <cell r="D20">
            <v>1</v>
          </cell>
        </row>
        <row r="21">
          <cell r="A21" t="str">
            <v>n20</v>
          </cell>
          <cell r="B21">
            <v>2</v>
          </cell>
          <cell r="C21">
            <v>0</v>
          </cell>
          <cell r="D21">
            <v>2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1</v>
          </cell>
          <cell r="D31">
            <v>0</v>
          </cell>
        </row>
        <row r="32">
          <cell r="A32" t="str">
            <v>n31</v>
          </cell>
          <cell r="B32">
            <v>1</v>
          </cell>
          <cell r="C32">
            <v>2</v>
          </cell>
          <cell r="D32">
            <v>0</v>
          </cell>
        </row>
        <row r="33">
          <cell r="A33" t="str">
            <v>n32</v>
          </cell>
          <cell r="B33">
            <v>1</v>
          </cell>
          <cell r="C33">
            <v>0</v>
          </cell>
          <cell r="D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5</v>
          </cell>
          <cell r="C35">
            <v>2</v>
          </cell>
          <cell r="D35">
            <v>1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V3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V4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U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3</v>
          </cell>
          <cell r="C2">
            <v>3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14</v>
          </cell>
          <cell r="C3">
            <v>21</v>
          </cell>
          <cell r="D3">
            <v>11</v>
          </cell>
          <cell r="E3">
            <v>0</v>
          </cell>
        </row>
        <row r="4">
          <cell r="A4" t="str">
            <v>n03</v>
          </cell>
          <cell r="B4">
            <v>2</v>
          </cell>
          <cell r="C4">
            <v>9</v>
          </cell>
          <cell r="D4">
            <v>7</v>
          </cell>
          <cell r="E4">
            <v>0</v>
          </cell>
        </row>
        <row r="5">
          <cell r="A5" t="str">
            <v>n04</v>
          </cell>
          <cell r="B5">
            <v>2</v>
          </cell>
          <cell r="C5">
            <v>3</v>
          </cell>
          <cell r="D5">
            <v>1</v>
          </cell>
          <cell r="E5">
            <v>0</v>
          </cell>
        </row>
        <row r="6">
          <cell r="A6" t="str">
            <v>n05</v>
          </cell>
          <cell r="B6">
            <v>3</v>
          </cell>
          <cell r="C6">
            <v>5</v>
          </cell>
          <cell r="D6">
            <v>13</v>
          </cell>
          <cell r="E6">
            <v>0</v>
          </cell>
        </row>
        <row r="7">
          <cell r="A7" t="str">
            <v>n06</v>
          </cell>
          <cell r="B7">
            <v>5</v>
          </cell>
          <cell r="C7">
            <v>8</v>
          </cell>
          <cell r="D7">
            <v>1</v>
          </cell>
          <cell r="E7">
            <v>0</v>
          </cell>
        </row>
        <row r="8">
          <cell r="A8" t="str">
            <v>n07</v>
          </cell>
          <cell r="B8">
            <v>14</v>
          </cell>
          <cell r="C8">
            <v>23</v>
          </cell>
          <cell r="D8">
            <v>11</v>
          </cell>
          <cell r="E8">
            <v>1</v>
          </cell>
        </row>
        <row r="9">
          <cell r="A9" t="str">
            <v>n08</v>
          </cell>
          <cell r="B9">
            <v>15</v>
          </cell>
          <cell r="C9">
            <v>29</v>
          </cell>
          <cell r="D9">
            <v>17</v>
          </cell>
          <cell r="E9">
            <v>2</v>
          </cell>
        </row>
        <row r="10">
          <cell r="A10" t="str">
            <v>n09</v>
          </cell>
          <cell r="B10">
            <v>8</v>
          </cell>
          <cell r="C10">
            <v>11</v>
          </cell>
          <cell r="D10">
            <v>8</v>
          </cell>
          <cell r="E10">
            <v>0</v>
          </cell>
        </row>
        <row r="11">
          <cell r="A11" t="str">
            <v>n10</v>
          </cell>
          <cell r="B11">
            <v>11</v>
          </cell>
          <cell r="C11">
            <v>13</v>
          </cell>
          <cell r="D11">
            <v>11</v>
          </cell>
          <cell r="E11">
            <v>1</v>
          </cell>
        </row>
        <row r="12">
          <cell r="A12" t="str">
            <v>n11</v>
          </cell>
          <cell r="B12">
            <v>18</v>
          </cell>
          <cell r="C12">
            <v>29</v>
          </cell>
          <cell r="D12">
            <v>17</v>
          </cell>
          <cell r="E12">
            <v>2</v>
          </cell>
        </row>
        <row r="13">
          <cell r="A13" t="str">
            <v>n12</v>
          </cell>
          <cell r="B13">
            <v>2</v>
          </cell>
          <cell r="C13">
            <v>6</v>
          </cell>
          <cell r="D13">
            <v>3</v>
          </cell>
          <cell r="E13">
            <v>0</v>
          </cell>
        </row>
        <row r="14">
          <cell r="A14" t="str">
            <v>n13</v>
          </cell>
          <cell r="B14">
            <v>3</v>
          </cell>
          <cell r="C14">
            <v>11</v>
          </cell>
          <cell r="D14">
            <v>4</v>
          </cell>
          <cell r="E14">
            <v>1</v>
          </cell>
        </row>
        <row r="15">
          <cell r="A15" t="str">
            <v>n14</v>
          </cell>
          <cell r="B15">
            <v>2</v>
          </cell>
          <cell r="C15">
            <v>1</v>
          </cell>
          <cell r="D15">
            <v>1</v>
          </cell>
          <cell r="E15">
            <v>0</v>
          </cell>
        </row>
        <row r="16">
          <cell r="A16" t="str">
            <v>n15</v>
          </cell>
          <cell r="B16">
            <v>2</v>
          </cell>
          <cell r="C16">
            <v>2</v>
          </cell>
          <cell r="D16">
            <v>2</v>
          </cell>
          <cell r="E16">
            <v>0</v>
          </cell>
        </row>
        <row r="17">
          <cell r="A17" t="str">
            <v>n16</v>
          </cell>
          <cell r="B17">
            <v>3</v>
          </cell>
          <cell r="C17">
            <v>3</v>
          </cell>
          <cell r="D17">
            <v>2</v>
          </cell>
          <cell r="E17">
            <v>0</v>
          </cell>
        </row>
        <row r="18">
          <cell r="A18" t="str">
            <v>n17</v>
          </cell>
          <cell r="B18">
            <v>39</v>
          </cell>
          <cell r="C18">
            <v>59</v>
          </cell>
          <cell r="D18">
            <v>27</v>
          </cell>
          <cell r="E18">
            <v>4</v>
          </cell>
        </row>
        <row r="19">
          <cell r="A19" t="str">
            <v>n18</v>
          </cell>
          <cell r="B19">
            <v>8</v>
          </cell>
          <cell r="C19">
            <v>5</v>
          </cell>
          <cell r="D19">
            <v>3</v>
          </cell>
          <cell r="E19">
            <v>0</v>
          </cell>
        </row>
        <row r="20">
          <cell r="A20" t="str">
            <v>n19</v>
          </cell>
          <cell r="B20">
            <v>8</v>
          </cell>
          <cell r="C20">
            <v>16</v>
          </cell>
          <cell r="D20">
            <v>4</v>
          </cell>
          <cell r="E20">
            <v>1</v>
          </cell>
        </row>
        <row r="21">
          <cell r="A21" t="str">
            <v>n20</v>
          </cell>
          <cell r="B21">
            <v>0</v>
          </cell>
          <cell r="C21">
            <v>1</v>
          </cell>
          <cell r="D21">
            <v>1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1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1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2</v>
          </cell>
          <cell r="C32">
            <v>4</v>
          </cell>
          <cell r="D32">
            <v>2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6</v>
          </cell>
          <cell r="C34">
            <v>5</v>
          </cell>
          <cell r="D34">
            <v>2</v>
          </cell>
          <cell r="E34">
            <v>0</v>
          </cell>
        </row>
        <row r="35">
          <cell r="A35" t="str">
            <v>unk</v>
          </cell>
          <cell r="B35">
            <v>9</v>
          </cell>
          <cell r="C35">
            <v>18</v>
          </cell>
          <cell r="D35">
            <v>6</v>
          </cell>
          <cell r="E35">
            <v>1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U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2</v>
          </cell>
          <cell r="D21">
            <v>2</v>
          </cell>
          <cell r="E21">
            <v>1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6</v>
          </cell>
          <cell r="C33">
            <v>7</v>
          </cell>
          <cell r="D33">
            <v>2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15</v>
          </cell>
          <cell r="C35">
            <v>10</v>
          </cell>
          <cell r="D35">
            <v>6</v>
          </cell>
          <cell r="E35">
            <v>1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U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</row>
        <row r="3">
          <cell r="A3" t="str">
            <v>n02</v>
          </cell>
          <cell r="B3">
            <v>6</v>
          </cell>
          <cell r="C3">
            <v>0</v>
          </cell>
          <cell r="D3">
            <v>3</v>
          </cell>
          <cell r="E3">
            <v>0</v>
          </cell>
          <cell r="F3">
            <v>0</v>
          </cell>
        </row>
        <row r="4">
          <cell r="A4" t="str">
            <v>n03</v>
          </cell>
          <cell r="B4">
            <v>1</v>
          </cell>
          <cell r="C4">
            <v>4</v>
          </cell>
          <cell r="D4">
            <v>5</v>
          </cell>
          <cell r="E4">
            <v>5</v>
          </cell>
          <cell r="F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</row>
        <row r="6">
          <cell r="A6" t="str">
            <v>n05</v>
          </cell>
          <cell r="B6">
            <v>0</v>
          </cell>
          <cell r="C6">
            <v>1</v>
          </cell>
          <cell r="D6">
            <v>3</v>
          </cell>
          <cell r="E6">
            <v>0</v>
          </cell>
          <cell r="F6">
            <v>2</v>
          </cell>
        </row>
        <row r="7">
          <cell r="A7" t="str">
            <v>n06</v>
          </cell>
          <cell r="B7">
            <v>1</v>
          </cell>
          <cell r="C7">
            <v>0</v>
          </cell>
          <cell r="D7">
            <v>2</v>
          </cell>
          <cell r="E7">
            <v>0</v>
          </cell>
          <cell r="F7">
            <v>0</v>
          </cell>
        </row>
        <row r="8">
          <cell r="A8" t="str">
            <v>n07</v>
          </cell>
          <cell r="B8">
            <v>1</v>
          </cell>
          <cell r="C8">
            <v>2</v>
          </cell>
          <cell r="D8">
            <v>1</v>
          </cell>
          <cell r="E8">
            <v>4</v>
          </cell>
          <cell r="F8">
            <v>0</v>
          </cell>
        </row>
        <row r="9">
          <cell r="A9" t="str">
            <v>n08</v>
          </cell>
          <cell r="B9">
            <v>4</v>
          </cell>
          <cell r="C9">
            <v>14</v>
          </cell>
          <cell r="D9">
            <v>27</v>
          </cell>
          <cell r="E9">
            <v>7</v>
          </cell>
          <cell r="F9">
            <v>2</v>
          </cell>
        </row>
        <row r="10">
          <cell r="A10" t="str">
            <v>n09</v>
          </cell>
          <cell r="B10">
            <v>0</v>
          </cell>
          <cell r="C10">
            <v>7</v>
          </cell>
          <cell r="D10">
            <v>1</v>
          </cell>
          <cell r="E10">
            <v>1</v>
          </cell>
          <cell r="F10">
            <v>0</v>
          </cell>
        </row>
        <row r="11">
          <cell r="A11" t="str">
            <v>n10</v>
          </cell>
          <cell r="B11">
            <v>2</v>
          </cell>
          <cell r="C11">
            <v>2</v>
          </cell>
          <cell r="D11">
            <v>10</v>
          </cell>
          <cell r="E11">
            <v>7</v>
          </cell>
          <cell r="F11">
            <v>6</v>
          </cell>
        </row>
        <row r="12">
          <cell r="A12" t="str">
            <v>n11</v>
          </cell>
          <cell r="B12">
            <v>0</v>
          </cell>
          <cell r="C12">
            <v>6</v>
          </cell>
          <cell r="D12">
            <v>10</v>
          </cell>
          <cell r="E12">
            <v>3</v>
          </cell>
          <cell r="F12">
            <v>2</v>
          </cell>
        </row>
        <row r="13">
          <cell r="A13" t="str">
            <v>n12</v>
          </cell>
          <cell r="B13">
            <v>4</v>
          </cell>
          <cell r="C13">
            <v>2</v>
          </cell>
          <cell r="D13">
            <v>7</v>
          </cell>
          <cell r="E13">
            <v>1</v>
          </cell>
          <cell r="F13">
            <v>1</v>
          </cell>
        </row>
        <row r="14">
          <cell r="A14" t="str">
            <v>n13</v>
          </cell>
          <cell r="B14">
            <v>0</v>
          </cell>
          <cell r="C14">
            <v>1</v>
          </cell>
          <cell r="D14">
            <v>6</v>
          </cell>
          <cell r="E14">
            <v>0</v>
          </cell>
          <cell r="F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1</v>
          </cell>
          <cell r="E15">
            <v>1</v>
          </cell>
          <cell r="F15">
            <v>0</v>
          </cell>
        </row>
        <row r="16">
          <cell r="A16" t="str">
            <v>n15</v>
          </cell>
          <cell r="B16">
            <v>0</v>
          </cell>
          <cell r="C16">
            <v>2</v>
          </cell>
          <cell r="D16">
            <v>1</v>
          </cell>
          <cell r="E16">
            <v>3</v>
          </cell>
          <cell r="F16">
            <v>0</v>
          </cell>
        </row>
        <row r="17">
          <cell r="A17" t="str">
            <v>n16</v>
          </cell>
          <cell r="B17">
            <v>2</v>
          </cell>
          <cell r="C17">
            <v>1</v>
          </cell>
          <cell r="D17">
            <v>1</v>
          </cell>
          <cell r="E17">
            <v>0</v>
          </cell>
          <cell r="F17">
            <v>0</v>
          </cell>
        </row>
        <row r="18">
          <cell r="A18" t="str">
            <v>n17</v>
          </cell>
          <cell r="B18">
            <v>7</v>
          </cell>
          <cell r="C18">
            <v>9</v>
          </cell>
          <cell r="D18">
            <v>13</v>
          </cell>
          <cell r="E18">
            <v>0</v>
          </cell>
          <cell r="F18">
            <v>2</v>
          </cell>
        </row>
        <row r="19">
          <cell r="A19" t="str">
            <v>n18</v>
          </cell>
          <cell r="B19">
            <v>1</v>
          </cell>
          <cell r="C19">
            <v>1</v>
          </cell>
          <cell r="D19">
            <v>1</v>
          </cell>
          <cell r="E19">
            <v>0</v>
          </cell>
          <cell r="F19">
            <v>0</v>
          </cell>
        </row>
        <row r="20">
          <cell r="A20" t="str">
            <v>n19</v>
          </cell>
          <cell r="B20">
            <v>0</v>
          </cell>
          <cell r="C20">
            <v>3</v>
          </cell>
          <cell r="D20">
            <v>0</v>
          </cell>
          <cell r="E20">
            <v>2</v>
          </cell>
          <cell r="F20">
            <v>0</v>
          </cell>
        </row>
        <row r="21">
          <cell r="A21" t="str">
            <v>n20</v>
          </cell>
          <cell r="B21">
            <v>0</v>
          </cell>
          <cell r="C21">
            <v>2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n31</v>
          </cell>
          <cell r="B32">
            <v>1</v>
          </cell>
          <cell r="C32">
            <v>1</v>
          </cell>
          <cell r="D32">
            <v>1</v>
          </cell>
          <cell r="E32">
            <v>0</v>
          </cell>
          <cell r="F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unk</v>
          </cell>
          <cell r="B35">
            <v>5</v>
          </cell>
          <cell r="C35">
            <v>9</v>
          </cell>
          <cell r="D35">
            <v>8</v>
          </cell>
          <cell r="E35">
            <v>3</v>
          </cell>
          <cell r="F35">
            <v>0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U4"/>
    </sheetNames>
    <sheetDataSet>
      <sheetData sheetId="0">
        <row r="1">
          <cell r="B1" t="str">
            <v>3_15-29</v>
          </cell>
          <cell r="C1" t="str">
            <v>4_30-44</v>
          </cell>
        </row>
        <row r="2">
          <cell r="A2" t="str">
            <v>n01</v>
          </cell>
          <cell r="B2">
            <v>0</v>
          </cell>
          <cell r="C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</row>
        <row r="30">
          <cell r="A30" t="str">
            <v>n29</v>
          </cell>
          <cell r="B30">
            <v>1</v>
          </cell>
          <cell r="C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</row>
        <row r="33">
          <cell r="A33" t="str">
            <v>n32</v>
          </cell>
          <cell r="B33">
            <v>0</v>
          </cell>
          <cell r="C33">
            <v>1</v>
          </cell>
        </row>
        <row r="34">
          <cell r="A34" t="str">
            <v>n33</v>
          </cell>
          <cell r="B34">
            <v>0</v>
          </cell>
          <cell r="C34">
            <v>0</v>
          </cell>
        </row>
        <row r="35">
          <cell r="A35" t="str">
            <v>unk</v>
          </cell>
          <cell r="B35">
            <v>0</v>
          </cell>
          <cell r="C35">
            <v>0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U5"/>
    </sheetNames>
    <sheetDataSet>
      <sheetData sheetId="0">
        <row r="1">
          <cell r="B1" t="str">
            <v>3_15-29</v>
          </cell>
          <cell r="C1" t="str">
            <v>4_30-44</v>
          </cell>
        </row>
        <row r="2">
          <cell r="A2" t="str">
            <v>n01</v>
          </cell>
          <cell r="B2">
            <v>0</v>
          </cell>
          <cell r="C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</row>
        <row r="35">
          <cell r="A35" t="str">
            <v>unk</v>
          </cell>
          <cell r="B35">
            <v>1</v>
          </cell>
          <cell r="C35">
            <v>1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U6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0</v>
          </cell>
          <cell r="C2">
            <v>1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2</v>
          </cell>
          <cell r="C3">
            <v>3</v>
          </cell>
          <cell r="D3">
            <v>3</v>
          </cell>
          <cell r="E3">
            <v>0</v>
          </cell>
          <cell r="F3">
            <v>1</v>
          </cell>
          <cell r="G3">
            <v>0</v>
          </cell>
        </row>
        <row r="4">
          <cell r="A4" t="str">
            <v>n03</v>
          </cell>
          <cell r="B4">
            <v>1</v>
          </cell>
          <cell r="C4">
            <v>3</v>
          </cell>
          <cell r="D4">
            <v>0</v>
          </cell>
          <cell r="E4">
            <v>2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1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0</v>
          </cell>
          <cell r="C7">
            <v>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1</v>
          </cell>
          <cell r="E9">
            <v>0</v>
          </cell>
          <cell r="F9">
            <v>0</v>
          </cell>
          <cell r="G9">
            <v>0</v>
          </cell>
        </row>
        <row r="10">
          <cell r="A10" t="str">
            <v>n09</v>
          </cell>
          <cell r="B10">
            <v>2</v>
          </cell>
          <cell r="C10">
            <v>7</v>
          </cell>
          <cell r="D10">
            <v>8</v>
          </cell>
          <cell r="E10">
            <v>0</v>
          </cell>
          <cell r="F10">
            <v>0</v>
          </cell>
          <cell r="G10">
            <v>0</v>
          </cell>
        </row>
        <row r="11">
          <cell r="A11" t="str">
            <v>n10</v>
          </cell>
          <cell r="B11">
            <v>1</v>
          </cell>
          <cell r="C11">
            <v>0</v>
          </cell>
          <cell r="D11">
            <v>2</v>
          </cell>
          <cell r="E11">
            <v>1</v>
          </cell>
          <cell r="F11">
            <v>1</v>
          </cell>
          <cell r="G11">
            <v>0</v>
          </cell>
        </row>
        <row r="12">
          <cell r="A12" t="str">
            <v>n11</v>
          </cell>
          <cell r="B12">
            <v>2</v>
          </cell>
          <cell r="C12">
            <v>2</v>
          </cell>
          <cell r="D12">
            <v>1</v>
          </cell>
          <cell r="E12">
            <v>0</v>
          </cell>
          <cell r="F12">
            <v>1</v>
          </cell>
          <cell r="G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1</v>
          </cell>
          <cell r="E13">
            <v>0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0</v>
          </cell>
          <cell r="C14">
            <v>2</v>
          </cell>
          <cell r="D14">
            <v>3</v>
          </cell>
          <cell r="E14">
            <v>0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0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2</v>
          </cell>
          <cell r="F16">
            <v>0</v>
          </cell>
          <cell r="G16">
            <v>0</v>
          </cell>
        </row>
        <row r="17">
          <cell r="A17" t="str">
            <v>n16</v>
          </cell>
          <cell r="B17">
            <v>0</v>
          </cell>
          <cell r="C17">
            <v>1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1</v>
          </cell>
          <cell r="C18">
            <v>4</v>
          </cell>
          <cell r="D18">
            <v>2</v>
          </cell>
          <cell r="E18">
            <v>1</v>
          </cell>
          <cell r="F18">
            <v>0</v>
          </cell>
          <cell r="G18">
            <v>0</v>
          </cell>
        </row>
        <row r="19">
          <cell r="A19" t="str">
            <v>n18</v>
          </cell>
          <cell r="B19">
            <v>3</v>
          </cell>
          <cell r="C19">
            <v>16</v>
          </cell>
          <cell r="D19">
            <v>5</v>
          </cell>
          <cell r="E19">
            <v>1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5</v>
          </cell>
          <cell r="C20">
            <v>7</v>
          </cell>
          <cell r="D20">
            <v>6</v>
          </cell>
          <cell r="E20">
            <v>3</v>
          </cell>
          <cell r="F20">
            <v>0</v>
          </cell>
          <cell r="G20">
            <v>0</v>
          </cell>
        </row>
        <row r="21">
          <cell r="A21" t="str">
            <v>n20</v>
          </cell>
          <cell r="B21">
            <v>4</v>
          </cell>
          <cell r="C21">
            <v>4</v>
          </cell>
          <cell r="D21">
            <v>2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0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0</v>
          </cell>
          <cell r="C29">
            <v>1</v>
          </cell>
          <cell r="D29">
            <v>2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0</v>
          </cell>
          <cell r="C30">
            <v>2</v>
          </cell>
          <cell r="D30">
            <v>4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0</v>
          </cell>
          <cell r="C31">
            <v>3</v>
          </cell>
          <cell r="D31">
            <v>1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1</v>
          </cell>
          <cell r="C32">
            <v>4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17</v>
          </cell>
          <cell r="C33">
            <v>30</v>
          </cell>
          <cell r="D33">
            <v>24</v>
          </cell>
          <cell r="E33">
            <v>4</v>
          </cell>
          <cell r="F33">
            <v>0</v>
          </cell>
          <cell r="G33">
            <v>0</v>
          </cell>
        </row>
        <row r="34">
          <cell r="A34" t="str">
            <v>n33</v>
          </cell>
          <cell r="B34">
            <v>3</v>
          </cell>
          <cell r="C34">
            <v>4</v>
          </cell>
          <cell r="D34">
            <v>0</v>
          </cell>
          <cell r="E34">
            <v>1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107</v>
          </cell>
          <cell r="C35">
            <v>413</v>
          </cell>
          <cell r="D35">
            <v>316</v>
          </cell>
          <cell r="E35">
            <v>78</v>
          </cell>
          <cell r="F35">
            <v>7</v>
          </cell>
          <cell r="G35">
            <v>1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unk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V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8_80+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A20" t="str">
            <v>n19</v>
          </cell>
          <cell r="B20">
            <v>0</v>
          </cell>
          <cell r="C20">
            <v>1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1</v>
          </cell>
          <cell r="F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 t="str">
            <v>n32</v>
          </cell>
          <cell r="B33">
            <v>8</v>
          </cell>
          <cell r="C33">
            <v>6</v>
          </cell>
          <cell r="D33">
            <v>4</v>
          </cell>
          <cell r="E33">
            <v>1</v>
          </cell>
          <cell r="F33">
            <v>1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unk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</sheetData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V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3</v>
          </cell>
          <cell r="C2">
            <v>3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47</v>
          </cell>
          <cell r="C3">
            <v>37</v>
          </cell>
          <cell r="D3">
            <v>9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1</v>
          </cell>
          <cell r="E4">
            <v>0</v>
          </cell>
        </row>
        <row r="5">
          <cell r="A5" t="str">
            <v>n04</v>
          </cell>
          <cell r="B5">
            <v>1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5</v>
          </cell>
          <cell r="C6">
            <v>7</v>
          </cell>
          <cell r="D6">
            <v>3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5</v>
          </cell>
          <cell r="C8">
            <v>2</v>
          </cell>
          <cell r="D8">
            <v>2</v>
          </cell>
          <cell r="E8">
            <v>0</v>
          </cell>
        </row>
        <row r="9">
          <cell r="A9" t="str">
            <v>n08</v>
          </cell>
          <cell r="B9">
            <v>7</v>
          </cell>
          <cell r="C9">
            <v>17</v>
          </cell>
          <cell r="D9">
            <v>4</v>
          </cell>
          <cell r="E9">
            <v>1</v>
          </cell>
        </row>
        <row r="10">
          <cell r="A10" t="str">
            <v>n09</v>
          </cell>
          <cell r="B10">
            <v>4</v>
          </cell>
          <cell r="C10">
            <v>11</v>
          </cell>
          <cell r="D10">
            <v>3</v>
          </cell>
          <cell r="E10">
            <v>0</v>
          </cell>
        </row>
        <row r="11">
          <cell r="A11" t="str">
            <v>n10</v>
          </cell>
          <cell r="B11">
            <v>1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2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1</v>
          </cell>
          <cell r="D13">
            <v>1</v>
          </cell>
          <cell r="E13">
            <v>0</v>
          </cell>
        </row>
        <row r="14">
          <cell r="A14" t="str">
            <v>n13</v>
          </cell>
          <cell r="B14">
            <v>1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1</v>
          </cell>
          <cell r="C15">
            <v>2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6</v>
          </cell>
          <cell r="C17">
            <v>6</v>
          </cell>
          <cell r="D17">
            <v>1</v>
          </cell>
          <cell r="E17">
            <v>0</v>
          </cell>
        </row>
        <row r="18">
          <cell r="A18" t="str">
            <v>n17</v>
          </cell>
          <cell r="B18">
            <v>36</v>
          </cell>
          <cell r="C18">
            <v>60</v>
          </cell>
          <cell r="D18">
            <v>12</v>
          </cell>
          <cell r="E18">
            <v>0</v>
          </cell>
        </row>
        <row r="19">
          <cell r="A19" t="str">
            <v>n18</v>
          </cell>
          <cell r="B19">
            <v>10</v>
          </cell>
          <cell r="C19">
            <v>7</v>
          </cell>
          <cell r="D19">
            <v>1</v>
          </cell>
          <cell r="E19">
            <v>0</v>
          </cell>
        </row>
        <row r="20">
          <cell r="A20" t="str">
            <v>n19</v>
          </cell>
          <cell r="B20">
            <v>39</v>
          </cell>
          <cell r="C20">
            <v>46</v>
          </cell>
          <cell r="D20">
            <v>19</v>
          </cell>
          <cell r="E20">
            <v>1</v>
          </cell>
        </row>
        <row r="21">
          <cell r="A21" t="str">
            <v>n20</v>
          </cell>
          <cell r="B21">
            <v>6</v>
          </cell>
          <cell r="C21">
            <v>9</v>
          </cell>
          <cell r="D21">
            <v>2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1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1</v>
          </cell>
          <cell r="C28">
            <v>0</v>
          </cell>
          <cell r="D28">
            <v>1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1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2</v>
          </cell>
          <cell r="C32">
            <v>5</v>
          </cell>
          <cell r="D32">
            <v>2</v>
          </cell>
          <cell r="E32">
            <v>0</v>
          </cell>
        </row>
        <row r="33">
          <cell r="A33" t="str">
            <v>n32</v>
          </cell>
          <cell r="B33">
            <v>1</v>
          </cell>
          <cell r="C33">
            <v>2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6</v>
          </cell>
          <cell r="C34">
            <v>9</v>
          </cell>
          <cell r="D34">
            <v>1</v>
          </cell>
          <cell r="E34">
            <v>0</v>
          </cell>
        </row>
        <row r="35">
          <cell r="A35" t="str">
            <v>unk</v>
          </cell>
          <cell r="B35">
            <v>85</v>
          </cell>
          <cell r="C35">
            <v>74</v>
          </cell>
          <cell r="D35">
            <v>24</v>
          </cell>
          <cell r="E35">
            <v>2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V3"/>
    </sheetNames>
    <sheetDataSet>
      <sheetData sheetId="0">
        <row r="1">
          <cell r="B1" t="str">
            <v>5_45-59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0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1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0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V4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U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</row>
        <row r="2">
          <cell r="A2" t="str">
            <v>n01</v>
          </cell>
          <cell r="B2">
            <v>11</v>
          </cell>
          <cell r="C2">
            <v>20</v>
          </cell>
          <cell r="D2">
            <v>7</v>
          </cell>
          <cell r="E2">
            <v>1</v>
          </cell>
          <cell r="F2">
            <v>0</v>
          </cell>
        </row>
        <row r="3">
          <cell r="A3" t="str">
            <v>n02</v>
          </cell>
          <cell r="B3">
            <v>114</v>
          </cell>
          <cell r="C3">
            <v>112</v>
          </cell>
          <cell r="D3">
            <v>40</v>
          </cell>
          <cell r="E3">
            <v>6</v>
          </cell>
          <cell r="F3">
            <v>0</v>
          </cell>
        </row>
        <row r="4">
          <cell r="A4" t="str">
            <v>n03</v>
          </cell>
          <cell r="B4">
            <v>36</v>
          </cell>
          <cell r="C4">
            <v>59</v>
          </cell>
          <cell r="D4">
            <v>25</v>
          </cell>
          <cell r="E4">
            <v>5</v>
          </cell>
          <cell r="F4">
            <v>0</v>
          </cell>
        </row>
        <row r="5">
          <cell r="A5" t="str">
            <v>n04</v>
          </cell>
          <cell r="B5">
            <v>6</v>
          </cell>
          <cell r="C5">
            <v>10</v>
          </cell>
          <cell r="D5">
            <v>3</v>
          </cell>
          <cell r="E5">
            <v>0</v>
          </cell>
          <cell r="F5">
            <v>0</v>
          </cell>
        </row>
        <row r="6">
          <cell r="A6" t="str">
            <v>n05</v>
          </cell>
          <cell r="B6">
            <v>17</v>
          </cell>
          <cell r="C6">
            <v>67</v>
          </cell>
          <cell r="D6">
            <v>55</v>
          </cell>
          <cell r="E6">
            <v>5</v>
          </cell>
          <cell r="F6">
            <v>0</v>
          </cell>
        </row>
        <row r="7">
          <cell r="A7" t="str">
            <v>n06</v>
          </cell>
          <cell r="B7">
            <v>32</v>
          </cell>
          <cell r="C7">
            <v>44</v>
          </cell>
          <cell r="D7">
            <v>18</v>
          </cell>
          <cell r="E7">
            <v>0</v>
          </cell>
          <cell r="F7">
            <v>0</v>
          </cell>
        </row>
        <row r="8">
          <cell r="A8" t="str">
            <v>n07</v>
          </cell>
          <cell r="B8">
            <v>87</v>
          </cell>
          <cell r="C8">
            <v>109</v>
          </cell>
          <cell r="D8">
            <v>60</v>
          </cell>
          <cell r="E8">
            <v>4</v>
          </cell>
          <cell r="F8">
            <v>0</v>
          </cell>
        </row>
        <row r="9">
          <cell r="A9" t="str">
            <v>n08</v>
          </cell>
          <cell r="B9">
            <v>75</v>
          </cell>
          <cell r="C9">
            <v>151</v>
          </cell>
          <cell r="D9">
            <v>77</v>
          </cell>
          <cell r="E9">
            <v>3</v>
          </cell>
          <cell r="F9">
            <v>0</v>
          </cell>
        </row>
        <row r="10">
          <cell r="A10" t="str">
            <v>n09</v>
          </cell>
          <cell r="B10">
            <v>46</v>
          </cell>
          <cell r="C10">
            <v>77</v>
          </cell>
          <cell r="D10">
            <v>48</v>
          </cell>
          <cell r="E10">
            <v>1</v>
          </cell>
          <cell r="F10">
            <v>0</v>
          </cell>
        </row>
        <row r="11">
          <cell r="A11" t="str">
            <v>n10</v>
          </cell>
          <cell r="B11">
            <v>70</v>
          </cell>
          <cell r="C11">
            <v>49</v>
          </cell>
          <cell r="D11">
            <v>24</v>
          </cell>
          <cell r="E11">
            <v>4</v>
          </cell>
          <cell r="F11">
            <v>0</v>
          </cell>
        </row>
        <row r="12">
          <cell r="A12" t="str">
            <v>n11</v>
          </cell>
          <cell r="B12">
            <v>97</v>
          </cell>
          <cell r="C12">
            <v>137</v>
          </cell>
          <cell r="D12">
            <v>74</v>
          </cell>
          <cell r="E12">
            <v>8</v>
          </cell>
          <cell r="F12">
            <v>1</v>
          </cell>
        </row>
        <row r="13">
          <cell r="A13" t="str">
            <v>n12</v>
          </cell>
          <cell r="B13">
            <v>21</v>
          </cell>
          <cell r="C13">
            <v>31</v>
          </cell>
          <cell r="D13">
            <v>13</v>
          </cell>
          <cell r="E13">
            <v>1</v>
          </cell>
          <cell r="F13">
            <v>0</v>
          </cell>
        </row>
        <row r="14">
          <cell r="A14" t="str">
            <v>n13</v>
          </cell>
          <cell r="B14">
            <v>70</v>
          </cell>
          <cell r="C14">
            <v>74</v>
          </cell>
          <cell r="D14">
            <v>33</v>
          </cell>
          <cell r="E14">
            <v>2</v>
          </cell>
          <cell r="F14">
            <v>1</v>
          </cell>
        </row>
        <row r="15">
          <cell r="A15" t="str">
            <v>n14</v>
          </cell>
          <cell r="B15">
            <v>9</v>
          </cell>
          <cell r="C15">
            <v>15</v>
          </cell>
          <cell r="D15">
            <v>8</v>
          </cell>
          <cell r="E15">
            <v>0</v>
          </cell>
          <cell r="F15">
            <v>0</v>
          </cell>
        </row>
        <row r="16">
          <cell r="A16" t="str">
            <v>n15</v>
          </cell>
          <cell r="B16">
            <v>8</v>
          </cell>
          <cell r="C16">
            <v>20</v>
          </cell>
          <cell r="D16">
            <v>10</v>
          </cell>
          <cell r="E16">
            <v>0</v>
          </cell>
          <cell r="F16">
            <v>0</v>
          </cell>
        </row>
        <row r="17">
          <cell r="A17" t="str">
            <v>n16</v>
          </cell>
          <cell r="B17">
            <v>129</v>
          </cell>
          <cell r="C17">
            <v>169</v>
          </cell>
          <cell r="D17">
            <v>56</v>
          </cell>
          <cell r="E17">
            <v>3</v>
          </cell>
          <cell r="F17">
            <v>0</v>
          </cell>
        </row>
        <row r="18">
          <cell r="A18" t="str">
            <v>n17</v>
          </cell>
          <cell r="B18">
            <v>481</v>
          </cell>
          <cell r="C18">
            <v>554</v>
          </cell>
          <cell r="D18">
            <v>229</v>
          </cell>
          <cell r="E18">
            <v>25</v>
          </cell>
          <cell r="F18">
            <v>1</v>
          </cell>
        </row>
        <row r="19">
          <cell r="A19" t="str">
            <v>n18</v>
          </cell>
          <cell r="B19">
            <v>18</v>
          </cell>
          <cell r="C19">
            <v>22</v>
          </cell>
          <cell r="D19">
            <v>10</v>
          </cell>
          <cell r="E19">
            <v>1</v>
          </cell>
          <cell r="F19">
            <v>0</v>
          </cell>
        </row>
        <row r="20">
          <cell r="A20" t="str">
            <v>n19</v>
          </cell>
          <cell r="B20">
            <v>240</v>
          </cell>
          <cell r="C20">
            <v>339</v>
          </cell>
          <cell r="D20">
            <v>130</v>
          </cell>
          <cell r="E20">
            <v>4</v>
          </cell>
          <cell r="F20">
            <v>1</v>
          </cell>
        </row>
        <row r="21">
          <cell r="A21" t="str">
            <v>n20</v>
          </cell>
          <cell r="B21">
            <v>3</v>
          </cell>
          <cell r="C21">
            <v>0</v>
          </cell>
          <cell r="D21">
            <v>1</v>
          </cell>
          <cell r="E21">
            <v>0</v>
          </cell>
          <cell r="F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n22</v>
          </cell>
          <cell r="B23">
            <v>1</v>
          </cell>
          <cell r="C23">
            <v>2</v>
          </cell>
          <cell r="D23">
            <v>1</v>
          </cell>
          <cell r="E23">
            <v>0</v>
          </cell>
          <cell r="F23">
            <v>0</v>
          </cell>
        </row>
        <row r="24">
          <cell r="A24" t="str">
            <v>n23</v>
          </cell>
          <cell r="B24">
            <v>1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n27</v>
          </cell>
          <cell r="B28">
            <v>15</v>
          </cell>
          <cell r="C28">
            <v>13</v>
          </cell>
          <cell r="D28">
            <v>2</v>
          </cell>
          <cell r="E28">
            <v>2</v>
          </cell>
          <cell r="F28">
            <v>0</v>
          </cell>
        </row>
        <row r="29">
          <cell r="A29" t="str">
            <v>n28</v>
          </cell>
          <cell r="B29">
            <v>1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n29</v>
          </cell>
          <cell r="B30">
            <v>2</v>
          </cell>
          <cell r="C30">
            <v>2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n30</v>
          </cell>
          <cell r="B31">
            <v>1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n31</v>
          </cell>
          <cell r="B32">
            <v>13</v>
          </cell>
          <cell r="C32">
            <v>27</v>
          </cell>
          <cell r="D32">
            <v>6</v>
          </cell>
          <cell r="E32">
            <v>0</v>
          </cell>
          <cell r="F32">
            <v>0</v>
          </cell>
        </row>
        <row r="33">
          <cell r="A33" t="str">
            <v>n32</v>
          </cell>
          <cell r="B33">
            <v>1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>n33</v>
          </cell>
          <cell r="B34">
            <v>60</v>
          </cell>
          <cell r="C34">
            <v>68</v>
          </cell>
          <cell r="D34">
            <v>22</v>
          </cell>
          <cell r="E34">
            <v>1</v>
          </cell>
          <cell r="F34">
            <v>0</v>
          </cell>
        </row>
        <row r="35">
          <cell r="A35" t="str">
            <v>unk</v>
          </cell>
          <cell r="B35">
            <v>481</v>
          </cell>
          <cell r="C35">
            <v>479</v>
          </cell>
          <cell r="D35">
            <v>148</v>
          </cell>
          <cell r="E35">
            <v>16</v>
          </cell>
          <cell r="F35">
            <v>0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U2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n16</v>
          </cell>
          <cell r="B17">
            <v>1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A20" t="str">
            <v>n19</v>
          </cell>
          <cell r="B20">
            <v>0</v>
          </cell>
          <cell r="C20">
            <v>1</v>
          </cell>
          <cell r="D20">
            <v>1</v>
          </cell>
          <cell r="E20">
            <v>0</v>
          </cell>
          <cell r="F20">
            <v>0</v>
          </cell>
        </row>
        <row r="21">
          <cell r="A21" t="str">
            <v>n20</v>
          </cell>
          <cell r="B21">
            <v>0</v>
          </cell>
          <cell r="C21">
            <v>2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n28</v>
          </cell>
          <cell r="B29">
            <v>0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n29</v>
          </cell>
          <cell r="B30">
            <v>1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n30</v>
          </cell>
          <cell r="B31">
            <v>1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 t="str">
            <v>n32</v>
          </cell>
          <cell r="B33">
            <v>58</v>
          </cell>
          <cell r="C33">
            <v>81</v>
          </cell>
          <cell r="D33">
            <v>46</v>
          </cell>
          <cell r="E33">
            <v>8</v>
          </cell>
          <cell r="F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unk</v>
          </cell>
          <cell r="B35">
            <v>99</v>
          </cell>
          <cell r="C35">
            <v>162</v>
          </cell>
          <cell r="D35">
            <v>75</v>
          </cell>
          <cell r="E35">
            <v>10</v>
          </cell>
          <cell r="F35">
            <v>1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U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0</v>
          </cell>
          <cell r="C2">
            <v>3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23</v>
          </cell>
          <cell r="C3">
            <v>27</v>
          </cell>
          <cell r="D3">
            <v>5</v>
          </cell>
          <cell r="E3">
            <v>2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13</v>
          </cell>
          <cell r="C4">
            <v>21</v>
          </cell>
          <cell r="D4">
            <v>44</v>
          </cell>
          <cell r="E4">
            <v>15</v>
          </cell>
          <cell r="F4">
            <v>4</v>
          </cell>
          <cell r="G4">
            <v>0</v>
          </cell>
        </row>
        <row r="5">
          <cell r="A5" t="str">
            <v>n04</v>
          </cell>
          <cell r="B5">
            <v>2</v>
          </cell>
          <cell r="C5">
            <v>3</v>
          </cell>
          <cell r="D5">
            <v>2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3</v>
          </cell>
          <cell r="C6">
            <v>11</v>
          </cell>
          <cell r="D6">
            <v>18</v>
          </cell>
          <cell r="E6">
            <v>3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3</v>
          </cell>
          <cell r="C7">
            <v>12</v>
          </cell>
          <cell r="D7">
            <v>7</v>
          </cell>
          <cell r="E7">
            <v>4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6</v>
          </cell>
          <cell r="C8">
            <v>26</v>
          </cell>
          <cell r="D8">
            <v>18</v>
          </cell>
          <cell r="E8">
            <v>9</v>
          </cell>
          <cell r="F8">
            <v>8</v>
          </cell>
          <cell r="G8">
            <v>0</v>
          </cell>
        </row>
        <row r="9">
          <cell r="A9" t="str">
            <v>n08</v>
          </cell>
          <cell r="B9">
            <v>24</v>
          </cell>
          <cell r="C9">
            <v>77</v>
          </cell>
          <cell r="D9">
            <v>113</v>
          </cell>
          <cell r="E9">
            <v>25</v>
          </cell>
          <cell r="F9">
            <v>0</v>
          </cell>
          <cell r="G9">
            <v>1</v>
          </cell>
        </row>
        <row r="10">
          <cell r="A10" t="str">
            <v>n09</v>
          </cell>
          <cell r="B10">
            <v>11</v>
          </cell>
          <cell r="C10">
            <v>27</v>
          </cell>
          <cell r="D10">
            <v>19</v>
          </cell>
          <cell r="E10">
            <v>2</v>
          </cell>
          <cell r="F10">
            <v>0</v>
          </cell>
          <cell r="G10">
            <v>0</v>
          </cell>
        </row>
        <row r="11">
          <cell r="A11" t="str">
            <v>n10</v>
          </cell>
          <cell r="B11">
            <v>5</v>
          </cell>
          <cell r="C11">
            <v>15</v>
          </cell>
          <cell r="D11">
            <v>35</v>
          </cell>
          <cell r="E11">
            <v>33</v>
          </cell>
          <cell r="F11">
            <v>9</v>
          </cell>
          <cell r="G11">
            <v>1</v>
          </cell>
        </row>
        <row r="12">
          <cell r="A12" t="str">
            <v>n11</v>
          </cell>
          <cell r="B12">
            <v>11</v>
          </cell>
          <cell r="C12">
            <v>44</v>
          </cell>
          <cell r="D12">
            <v>35</v>
          </cell>
          <cell r="E12">
            <v>13</v>
          </cell>
          <cell r="F12">
            <v>0</v>
          </cell>
          <cell r="G12">
            <v>0</v>
          </cell>
        </row>
        <row r="13">
          <cell r="A13" t="str">
            <v>n12</v>
          </cell>
          <cell r="B13">
            <v>14</v>
          </cell>
          <cell r="C13">
            <v>37</v>
          </cell>
          <cell r="D13">
            <v>39</v>
          </cell>
          <cell r="E13">
            <v>7</v>
          </cell>
          <cell r="F13">
            <v>2</v>
          </cell>
          <cell r="G13">
            <v>0</v>
          </cell>
        </row>
        <row r="14">
          <cell r="A14" t="str">
            <v>n13</v>
          </cell>
          <cell r="B14">
            <v>4</v>
          </cell>
          <cell r="C14">
            <v>30</v>
          </cell>
          <cell r="D14">
            <v>10</v>
          </cell>
          <cell r="E14">
            <v>4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6</v>
          </cell>
          <cell r="C15">
            <v>7</v>
          </cell>
          <cell r="D15">
            <v>4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6</v>
          </cell>
          <cell r="C16">
            <v>10</v>
          </cell>
          <cell r="D16">
            <v>10</v>
          </cell>
          <cell r="E16">
            <v>3</v>
          </cell>
          <cell r="F16">
            <v>0</v>
          </cell>
          <cell r="G16">
            <v>0</v>
          </cell>
        </row>
        <row r="17">
          <cell r="A17" t="str">
            <v>n16</v>
          </cell>
          <cell r="B17">
            <v>25</v>
          </cell>
          <cell r="C17">
            <v>67</v>
          </cell>
          <cell r="D17">
            <v>42</v>
          </cell>
          <cell r="E17">
            <v>3</v>
          </cell>
          <cell r="F17">
            <v>2</v>
          </cell>
          <cell r="G17">
            <v>0</v>
          </cell>
        </row>
        <row r="18">
          <cell r="A18" t="str">
            <v>n17</v>
          </cell>
          <cell r="B18">
            <v>79</v>
          </cell>
          <cell r="C18">
            <v>102</v>
          </cell>
          <cell r="D18">
            <v>81</v>
          </cell>
          <cell r="E18">
            <v>17</v>
          </cell>
          <cell r="F18">
            <v>6</v>
          </cell>
          <cell r="G18">
            <v>2</v>
          </cell>
        </row>
        <row r="19">
          <cell r="A19" t="str">
            <v>n18</v>
          </cell>
          <cell r="B19">
            <v>1</v>
          </cell>
          <cell r="C19">
            <v>4</v>
          </cell>
          <cell r="D19">
            <v>6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49</v>
          </cell>
          <cell r="C20">
            <v>77</v>
          </cell>
          <cell r="D20">
            <v>54</v>
          </cell>
          <cell r="E20">
            <v>19</v>
          </cell>
          <cell r="F20">
            <v>2</v>
          </cell>
          <cell r="G20">
            <v>2</v>
          </cell>
        </row>
        <row r="21">
          <cell r="A21" t="str">
            <v>n20</v>
          </cell>
          <cell r="B21">
            <v>2</v>
          </cell>
          <cell r="C21">
            <v>4</v>
          </cell>
          <cell r="D21">
            <v>0</v>
          </cell>
          <cell r="E21">
            <v>2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1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2</v>
          </cell>
          <cell r="C28">
            <v>1</v>
          </cell>
          <cell r="D28">
            <v>1</v>
          </cell>
          <cell r="E28">
            <v>2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1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1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3</v>
          </cell>
          <cell r="C32">
            <v>4</v>
          </cell>
          <cell r="D32">
            <v>2</v>
          </cell>
          <cell r="E32">
            <v>1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0</v>
          </cell>
          <cell r="C33">
            <v>1</v>
          </cell>
          <cell r="D33">
            <v>1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n33</v>
          </cell>
          <cell r="B34">
            <v>15</v>
          </cell>
          <cell r="C34">
            <v>29</v>
          </cell>
          <cell r="D34">
            <v>16</v>
          </cell>
          <cell r="E34">
            <v>2</v>
          </cell>
          <cell r="F34">
            <v>1</v>
          </cell>
          <cell r="G34">
            <v>0</v>
          </cell>
        </row>
        <row r="35">
          <cell r="A35" t="str">
            <v>unk</v>
          </cell>
          <cell r="B35">
            <v>153</v>
          </cell>
          <cell r="C35">
            <v>255</v>
          </cell>
          <cell r="D35">
            <v>180</v>
          </cell>
          <cell r="E35">
            <v>32</v>
          </cell>
          <cell r="F35">
            <v>6</v>
          </cell>
          <cell r="G35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U4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1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n20</v>
          </cell>
          <cell r="B21">
            <v>1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1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6</v>
          </cell>
          <cell r="D30">
            <v>3</v>
          </cell>
          <cell r="E30">
            <v>1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U5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0</v>
          </cell>
          <cell r="C33">
            <v>1</v>
          </cell>
          <cell r="D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2</v>
          </cell>
          <cell r="C35">
            <v>1</v>
          </cell>
          <cell r="D35">
            <v>1</v>
          </cell>
        </row>
      </sheetData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U6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0</v>
          </cell>
          <cell r="C2">
            <v>1</v>
          </cell>
          <cell r="D2">
            <v>1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23</v>
          </cell>
          <cell r="C3">
            <v>16</v>
          </cell>
          <cell r="D3">
            <v>4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4</v>
          </cell>
          <cell r="C4">
            <v>5</v>
          </cell>
          <cell r="D4">
            <v>3</v>
          </cell>
          <cell r="E4">
            <v>1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1</v>
          </cell>
          <cell r="C5">
            <v>3</v>
          </cell>
          <cell r="D5">
            <v>1</v>
          </cell>
          <cell r="E5">
            <v>1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0</v>
          </cell>
          <cell r="C6">
            <v>3</v>
          </cell>
          <cell r="D6">
            <v>4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1</v>
          </cell>
          <cell r="C7">
            <v>0</v>
          </cell>
          <cell r="D7">
            <v>3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3</v>
          </cell>
          <cell r="C8">
            <v>6</v>
          </cell>
          <cell r="D8">
            <v>4</v>
          </cell>
          <cell r="E8">
            <v>1</v>
          </cell>
          <cell r="F8">
            <v>1</v>
          </cell>
          <cell r="G8">
            <v>0</v>
          </cell>
        </row>
        <row r="9">
          <cell r="A9" t="str">
            <v>n08</v>
          </cell>
          <cell r="B9">
            <v>9</v>
          </cell>
          <cell r="C9">
            <v>15</v>
          </cell>
          <cell r="D9">
            <v>10</v>
          </cell>
          <cell r="E9">
            <v>0</v>
          </cell>
          <cell r="F9">
            <v>0</v>
          </cell>
          <cell r="G9">
            <v>0</v>
          </cell>
        </row>
        <row r="10">
          <cell r="A10" t="str">
            <v>n09</v>
          </cell>
          <cell r="B10">
            <v>11</v>
          </cell>
          <cell r="C10">
            <v>47</v>
          </cell>
          <cell r="D10">
            <v>34</v>
          </cell>
          <cell r="E10">
            <v>4</v>
          </cell>
          <cell r="F10">
            <v>0</v>
          </cell>
          <cell r="G10">
            <v>0</v>
          </cell>
        </row>
        <row r="11">
          <cell r="A11" t="str">
            <v>n10</v>
          </cell>
          <cell r="B11">
            <v>13</v>
          </cell>
          <cell r="C11">
            <v>11</v>
          </cell>
          <cell r="D11">
            <v>7</v>
          </cell>
          <cell r="E11">
            <v>6</v>
          </cell>
          <cell r="F11">
            <v>0</v>
          </cell>
          <cell r="G11">
            <v>0</v>
          </cell>
        </row>
        <row r="12">
          <cell r="A12" t="str">
            <v>n11</v>
          </cell>
          <cell r="B12">
            <v>11</v>
          </cell>
          <cell r="C12">
            <v>12</v>
          </cell>
          <cell r="D12">
            <v>11</v>
          </cell>
          <cell r="E12">
            <v>5</v>
          </cell>
          <cell r="F12">
            <v>0</v>
          </cell>
          <cell r="G12">
            <v>0</v>
          </cell>
        </row>
        <row r="13">
          <cell r="A13" t="str">
            <v>n12</v>
          </cell>
          <cell r="B13">
            <v>1</v>
          </cell>
          <cell r="C13">
            <v>10</v>
          </cell>
          <cell r="D13">
            <v>1</v>
          </cell>
          <cell r="E13">
            <v>1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9</v>
          </cell>
          <cell r="C14">
            <v>21</v>
          </cell>
          <cell r="D14">
            <v>10</v>
          </cell>
          <cell r="E14">
            <v>2</v>
          </cell>
          <cell r="F14">
            <v>1</v>
          </cell>
          <cell r="G14">
            <v>0</v>
          </cell>
        </row>
        <row r="15">
          <cell r="A15" t="str">
            <v>n14</v>
          </cell>
          <cell r="B15">
            <v>1</v>
          </cell>
          <cell r="C15">
            <v>5</v>
          </cell>
          <cell r="D15">
            <v>3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1</v>
          </cell>
          <cell r="C16">
            <v>5</v>
          </cell>
          <cell r="D16">
            <v>6</v>
          </cell>
          <cell r="E16">
            <v>1</v>
          </cell>
          <cell r="F16">
            <v>0</v>
          </cell>
          <cell r="G16">
            <v>0</v>
          </cell>
        </row>
        <row r="17">
          <cell r="A17" t="str">
            <v>n16</v>
          </cell>
          <cell r="B17">
            <v>8</v>
          </cell>
          <cell r="C17">
            <v>23</v>
          </cell>
          <cell r="D17">
            <v>13</v>
          </cell>
          <cell r="E17">
            <v>1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26</v>
          </cell>
          <cell r="C18">
            <v>37</v>
          </cell>
          <cell r="D18">
            <v>24</v>
          </cell>
          <cell r="E18">
            <v>3</v>
          </cell>
          <cell r="F18">
            <v>0</v>
          </cell>
          <cell r="G18">
            <v>0</v>
          </cell>
        </row>
        <row r="19">
          <cell r="A19" t="str">
            <v>n18</v>
          </cell>
          <cell r="B19">
            <v>24</v>
          </cell>
          <cell r="C19">
            <v>49</v>
          </cell>
          <cell r="D19">
            <v>17</v>
          </cell>
          <cell r="E19">
            <v>2</v>
          </cell>
          <cell r="F19">
            <v>1</v>
          </cell>
          <cell r="G19">
            <v>0</v>
          </cell>
        </row>
        <row r="20">
          <cell r="A20" t="str">
            <v>n19</v>
          </cell>
          <cell r="B20">
            <v>150</v>
          </cell>
          <cell r="C20">
            <v>248</v>
          </cell>
          <cell r="D20">
            <v>168</v>
          </cell>
          <cell r="E20">
            <v>19</v>
          </cell>
          <cell r="F20">
            <v>2</v>
          </cell>
          <cell r="G20">
            <v>1</v>
          </cell>
        </row>
        <row r="21">
          <cell r="A21" t="str">
            <v>n20</v>
          </cell>
          <cell r="B21">
            <v>10</v>
          </cell>
          <cell r="C21">
            <v>22</v>
          </cell>
          <cell r="D21">
            <v>9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2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1</v>
          </cell>
          <cell r="C23">
            <v>5</v>
          </cell>
          <cell r="D23">
            <v>2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1</v>
          </cell>
          <cell r="C24">
            <v>0</v>
          </cell>
          <cell r="D24">
            <v>1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0</v>
          </cell>
          <cell r="C28">
            <v>1</v>
          </cell>
          <cell r="D28">
            <v>1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4</v>
          </cell>
          <cell r="C29">
            <v>12</v>
          </cell>
          <cell r="D29">
            <v>3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8</v>
          </cell>
          <cell r="C30">
            <v>31</v>
          </cell>
          <cell r="D30">
            <v>20</v>
          </cell>
          <cell r="E30">
            <v>5</v>
          </cell>
          <cell r="F30">
            <v>1</v>
          </cell>
          <cell r="G30">
            <v>0</v>
          </cell>
        </row>
        <row r="31">
          <cell r="A31" t="str">
            <v>n30</v>
          </cell>
          <cell r="B31">
            <v>2</v>
          </cell>
          <cell r="C31">
            <v>8</v>
          </cell>
          <cell r="D31">
            <v>2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8</v>
          </cell>
          <cell r="C32">
            <v>12</v>
          </cell>
          <cell r="D32">
            <v>9</v>
          </cell>
          <cell r="E32">
            <v>1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224</v>
          </cell>
          <cell r="C33">
            <v>477</v>
          </cell>
          <cell r="D33">
            <v>249</v>
          </cell>
          <cell r="E33">
            <v>43</v>
          </cell>
          <cell r="F33">
            <v>4</v>
          </cell>
          <cell r="G33">
            <v>0</v>
          </cell>
        </row>
        <row r="34">
          <cell r="A34" t="str">
            <v>n33</v>
          </cell>
          <cell r="B34">
            <v>14</v>
          </cell>
          <cell r="C34">
            <v>19</v>
          </cell>
          <cell r="D34">
            <v>8</v>
          </cell>
          <cell r="E34">
            <v>2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799</v>
          </cell>
          <cell r="C35">
            <v>1838</v>
          </cell>
          <cell r="D35">
            <v>1161</v>
          </cell>
          <cell r="E35">
            <v>247</v>
          </cell>
          <cell r="F35">
            <v>27</v>
          </cell>
          <cell r="G35">
            <v>0</v>
          </cell>
        </row>
      </sheetData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ill_X2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ill_X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1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1</v>
          </cell>
          <cell r="C18">
            <v>2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10</v>
          </cell>
          <cell r="C33">
            <v>37</v>
          </cell>
          <cell r="D33">
            <v>13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17</v>
          </cell>
          <cell r="C35">
            <v>16</v>
          </cell>
          <cell r="D35">
            <v>12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ill_X4"/>
    </sheetNames>
    <sheetDataSet>
      <sheetData sheetId="0">
        <row r="1">
          <cell r="B1" t="str">
            <v>3_15-29</v>
          </cell>
          <cell r="C1" t="str">
            <v>4_30-44</v>
          </cell>
        </row>
        <row r="2">
          <cell r="A2" t="str">
            <v>n01</v>
          </cell>
          <cell r="B2">
            <v>0</v>
          </cell>
          <cell r="C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</row>
        <row r="16">
          <cell r="A16" t="str">
            <v>n15</v>
          </cell>
          <cell r="B16">
            <v>0</v>
          </cell>
          <cell r="C16">
            <v>1</v>
          </cell>
        </row>
        <row r="17">
          <cell r="A17" t="str">
            <v>n16</v>
          </cell>
          <cell r="B17">
            <v>0</v>
          </cell>
          <cell r="C17">
            <v>0</v>
          </cell>
        </row>
        <row r="18">
          <cell r="A18" t="str">
            <v>n17</v>
          </cell>
          <cell r="B18">
            <v>1</v>
          </cell>
          <cell r="C18">
            <v>1</v>
          </cell>
        </row>
        <row r="19">
          <cell r="A19" t="str">
            <v>n18</v>
          </cell>
          <cell r="B19">
            <v>0</v>
          </cell>
          <cell r="C19">
            <v>0</v>
          </cell>
        </row>
        <row r="20">
          <cell r="A20" t="str">
            <v>n19</v>
          </cell>
          <cell r="B20">
            <v>1</v>
          </cell>
          <cell r="C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</row>
        <row r="34">
          <cell r="A34" t="str">
            <v>n33</v>
          </cell>
          <cell r="B34">
            <v>0</v>
          </cell>
          <cell r="C34">
            <v>1</v>
          </cell>
        </row>
        <row r="35">
          <cell r="A35" t="str">
            <v>unk</v>
          </cell>
          <cell r="B35">
            <v>0</v>
          </cell>
          <cell r="C35">
            <v>2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ill_X5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1</v>
          </cell>
          <cell r="C18">
            <v>0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1</v>
          </cell>
          <cell r="D30">
            <v>0</v>
          </cell>
          <cell r="E30">
            <v>1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1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0</v>
          </cell>
          <cell r="C35">
            <v>0</v>
          </cell>
          <cell r="D35">
            <v>0</v>
          </cell>
          <cell r="E35">
            <v>1</v>
          </cell>
        </row>
      </sheetData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ill_X6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ill_X7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1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1</v>
          </cell>
          <cell r="C10">
            <v>2</v>
          </cell>
          <cell r="D10">
            <v>0</v>
          </cell>
        </row>
        <row r="11">
          <cell r="A11" t="str">
            <v>n10</v>
          </cell>
          <cell r="B11">
            <v>1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2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1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0</v>
          </cell>
          <cell r="C18">
            <v>2</v>
          </cell>
          <cell r="D18">
            <v>1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3</v>
          </cell>
          <cell r="C20">
            <v>5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1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1</v>
          </cell>
          <cell r="C32">
            <v>1</v>
          </cell>
          <cell r="D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1</v>
          </cell>
        </row>
        <row r="34">
          <cell r="A34" t="str">
            <v>n33</v>
          </cell>
          <cell r="B34">
            <v>1</v>
          </cell>
          <cell r="C34">
            <v>2</v>
          </cell>
          <cell r="D34">
            <v>0</v>
          </cell>
        </row>
        <row r="35">
          <cell r="A35" t="str">
            <v>unk</v>
          </cell>
          <cell r="B35">
            <v>2</v>
          </cell>
          <cell r="C35">
            <v>4</v>
          </cell>
          <cell r="D35">
            <v>0</v>
          </cell>
        </row>
      </sheetData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ill_X8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1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1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2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1</v>
          </cell>
          <cell r="E6">
            <v>2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1</v>
          </cell>
          <cell r="D8">
            <v>1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1</v>
          </cell>
        </row>
        <row r="12">
          <cell r="A12" t="str">
            <v>n11</v>
          </cell>
          <cell r="B12">
            <v>0</v>
          </cell>
          <cell r="C12">
            <v>1</v>
          </cell>
          <cell r="D12">
            <v>0</v>
          </cell>
          <cell r="E12">
            <v>1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2</v>
          </cell>
          <cell r="C18">
            <v>5</v>
          </cell>
          <cell r="D18">
            <v>8</v>
          </cell>
          <cell r="E18">
            <v>1</v>
          </cell>
        </row>
        <row r="19">
          <cell r="A19" t="str">
            <v>n18</v>
          </cell>
          <cell r="B19">
            <v>0</v>
          </cell>
          <cell r="C19">
            <v>1</v>
          </cell>
          <cell r="D19">
            <v>1</v>
          </cell>
          <cell r="E19">
            <v>0</v>
          </cell>
        </row>
        <row r="20">
          <cell r="A20" t="str">
            <v>n19</v>
          </cell>
          <cell r="B20">
            <v>2</v>
          </cell>
          <cell r="C20">
            <v>3</v>
          </cell>
          <cell r="D20">
            <v>2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2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1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1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10</v>
          </cell>
          <cell r="C35">
            <v>14</v>
          </cell>
          <cell r="D35">
            <v>6</v>
          </cell>
          <cell r="E35">
            <v>3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ill_X2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ill_X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5</v>
          </cell>
          <cell r="C33">
            <v>4</v>
          </cell>
          <cell r="D33">
            <v>3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2</v>
          </cell>
          <cell r="C35">
            <v>1</v>
          </cell>
          <cell r="D35">
            <v>0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ill_X4"/>
    </sheetNames>
    <sheetDataSet>
      <sheetData sheetId="0">
        <row r="1">
          <cell r="B1" t="str">
            <v>5_45-59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1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0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0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ill_X5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ill_X6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ill_X7"/>
    </sheetNames>
    <sheetDataSet>
      <sheetData sheetId="0">
        <row r="1">
          <cell r="B1" t="str">
            <v>4_30-44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1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1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0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ill_X8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1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1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1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2</v>
          </cell>
          <cell r="D20">
            <v>2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1</v>
          </cell>
          <cell r="E21">
            <v>1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3</v>
          </cell>
          <cell r="C35">
            <v>0</v>
          </cell>
          <cell r="D35">
            <v>2</v>
          </cell>
          <cell r="E35">
            <v>1</v>
          </cell>
        </row>
      </sheetData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ill_X2"/>
    </sheetNames>
    <sheetDataSet>
      <sheetData sheetId="0">
        <row r="1">
          <cell r="B1" t="str">
            <v>4_30-44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1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0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0</v>
          </cell>
        </row>
      </sheetData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ill_X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1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1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1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1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1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21</v>
          </cell>
          <cell r="C33">
            <v>28</v>
          </cell>
          <cell r="D33">
            <v>24</v>
          </cell>
          <cell r="E33">
            <v>5</v>
          </cell>
        </row>
        <row r="34">
          <cell r="A34" t="str">
            <v>n33</v>
          </cell>
          <cell r="B34">
            <v>1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16</v>
          </cell>
          <cell r="C35">
            <v>24</v>
          </cell>
          <cell r="D35">
            <v>5</v>
          </cell>
          <cell r="E35">
            <v>1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ill_X4"/>
    </sheetNames>
    <sheetDataSet>
      <sheetData sheetId="0">
        <row r="1">
          <cell r="B1" t="str">
            <v>5_45-59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1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0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0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ill_X5"/>
    </sheetNames>
    <sheetDataSet>
      <sheetData sheetId="0">
        <row r="1">
          <cell r="B1" t="str">
            <v>4_30-44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1</v>
          </cell>
        </row>
        <row r="20">
          <cell r="A20" t="str">
            <v>n19</v>
          </cell>
          <cell r="B20">
            <v>0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0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ill_X6"/>
    </sheetNames>
    <sheetDataSet>
      <sheetData sheetId="0">
        <row r="1">
          <cell r="B1" t="str">
            <v>3_15-29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0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1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ill_X7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1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1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1</v>
          </cell>
          <cell r="C10">
            <v>0</v>
          </cell>
          <cell r="D10">
            <v>2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1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1</v>
          </cell>
          <cell r="C18">
            <v>0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3</v>
          </cell>
          <cell r="C20">
            <v>2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1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1</v>
          </cell>
          <cell r="C32">
            <v>1</v>
          </cell>
          <cell r="D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</row>
        <row r="34">
          <cell r="A34" t="str">
            <v>n33</v>
          </cell>
          <cell r="B34">
            <v>1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1</v>
          </cell>
          <cell r="C35">
            <v>1</v>
          </cell>
          <cell r="D35">
            <v>1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ill_X8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1</v>
          </cell>
          <cell r="C2">
            <v>0</v>
          </cell>
          <cell r="D2">
            <v>0</v>
          </cell>
          <cell r="E2">
            <v>1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1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1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1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1</v>
          </cell>
          <cell r="C18">
            <v>0</v>
          </cell>
          <cell r="D18">
            <v>2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1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1</v>
          </cell>
          <cell r="C20">
            <v>2</v>
          </cell>
          <cell r="D20">
            <v>1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1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1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1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1</v>
          </cell>
          <cell r="C32">
            <v>0</v>
          </cell>
          <cell r="D32">
            <v>1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1</v>
          </cell>
          <cell r="D34">
            <v>1</v>
          </cell>
          <cell r="E34">
            <v>0</v>
          </cell>
        </row>
        <row r="35">
          <cell r="A35" t="str">
            <v>unk</v>
          </cell>
          <cell r="B35">
            <v>1</v>
          </cell>
          <cell r="C35">
            <v>7</v>
          </cell>
          <cell r="D35">
            <v>1</v>
          </cell>
          <cell r="E35">
            <v>0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ill_X2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ill_X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1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1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23</v>
          </cell>
          <cell r="C33">
            <v>26</v>
          </cell>
          <cell r="D33">
            <v>14</v>
          </cell>
          <cell r="E33">
            <v>1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19</v>
          </cell>
          <cell r="C35">
            <v>20</v>
          </cell>
          <cell r="D35">
            <v>10</v>
          </cell>
          <cell r="E35">
            <v>0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ill_X4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ill_X5"/>
    </sheetNames>
    <sheetDataSet>
      <sheetData sheetId="0">
        <row r="1">
          <cell r="B1" t="str">
            <v>3_15-29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0</v>
          </cell>
        </row>
        <row r="21">
          <cell r="A21" t="str">
            <v>n20</v>
          </cell>
          <cell r="B21">
            <v>1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0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ill_X6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ill_X7"/>
    </sheetNames>
    <sheetDataSet>
      <sheetData sheetId="0">
        <row r="1">
          <cell r="B1" t="str">
            <v>3_15-29</v>
          </cell>
          <cell r="C1" t="str">
            <v>4_30-44</v>
          </cell>
        </row>
        <row r="2">
          <cell r="A2" t="str">
            <v>n01</v>
          </cell>
          <cell r="B2">
            <v>0</v>
          </cell>
          <cell r="C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</row>
        <row r="8">
          <cell r="A8" t="str">
            <v>n07</v>
          </cell>
          <cell r="B8">
            <v>1</v>
          </cell>
          <cell r="C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</row>
        <row r="11">
          <cell r="A11" t="str">
            <v>n10</v>
          </cell>
          <cell r="B11">
            <v>1</v>
          </cell>
          <cell r="C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</row>
        <row r="20">
          <cell r="A20" t="str">
            <v>n19</v>
          </cell>
          <cell r="B20">
            <v>1</v>
          </cell>
          <cell r="C20">
            <v>1</v>
          </cell>
        </row>
        <row r="21">
          <cell r="A21" t="str">
            <v>n20</v>
          </cell>
          <cell r="B21">
            <v>0</v>
          </cell>
          <cell r="C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</row>
        <row r="32">
          <cell r="A32" t="str">
            <v>n31</v>
          </cell>
          <cell r="B32">
            <v>1</v>
          </cell>
          <cell r="C32">
            <v>0</v>
          </cell>
        </row>
        <row r="33">
          <cell r="A33" t="str">
            <v>n32</v>
          </cell>
          <cell r="B33">
            <v>0</v>
          </cell>
          <cell r="C33">
            <v>2</v>
          </cell>
        </row>
        <row r="34">
          <cell r="A34" t="str">
            <v>n33</v>
          </cell>
          <cell r="B34">
            <v>0</v>
          </cell>
          <cell r="C34">
            <v>0</v>
          </cell>
        </row>
        <row r="35">
          <cell r="A35" t="str">
            <v>unk</v>
          </cell>
          <cell r="B35">
            <v>1</v>
          </cell>
          <cell r="C35">
            <v>0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ill_X8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7_70-79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1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1</v>
          </cell>
          <cell r="C17">
            <v>1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1</v>
          </cell>
          <cell r="C18">
            <v>2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2</v>
          </cell>
          <cell r="C20">
            <v>4</v>
          </cell>
          <cell r="D20">
            <v>0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1</v>
          </cell>
          <cell r="D32">
            <v>1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1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1</v>
          </cell>
          <cell r="C35">
            <v>9</v>
          </cell>
          <cell r="D35">
            <v>5</v>
          </cell>
          <cell r="E35">
            <v>1</v>
          </cell>
        </row>
      </sheetData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ill_X2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ill_X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4</v>
          </cell>
          <cell r="C33">
            <v>5</v>
          </cell>
          <cell r="D33">
            <v>1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1</v>
          </cell>
          <cell r="C35">
            <v>2</v>
          </cell>
          <cell r="D35">
            <v>1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ill_X4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ill_X5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ill_X6"/>
    </sheetNames>
    <sheetDataSet>
      <sheetData sheetId="0">
        <row r="1">
          <cell r="B1" t="str">
            <v>3_15-29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0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1</v>
          </cell>
        </row>
      </sheetData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ill_X7"/>
    </sheetNames>
    <sheetDataSet>
      <sheetData sheetId="0">
        <row r="1">
          <cell r="B1" t="str">
            <v>5_45-59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1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0</v>
          </cell>
        </row>
      </sheetData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ill_X8"/>
    </sheetNames>
    <sheetDataSet>
      <sheetData sheetId="0">
        <row r="1">
          <cell r="B1" t="str">
            <v>3_15-29</v>
          </cell>
          <cell r="C1" t="str">
            <v>5_45-59</v>
          </cell>
          <cell r="D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1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1</v>
          </cell>
          <cell r="C18">
            <v>1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1</v>
          </cell>
          <cell r="C35">
            <v>2</v>
          </cell>
          <cell r="D35">
            <v>0</v>
          </cell>
        </row>
      </sheetData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ill_X2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ill_X3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n28</v>
          </cell>
          <cell r="B29">
            <v>0</v>
          </cell>
          <cell r="C29">
            <v>1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 t="str">
            <v>n32</v>
          </cell>
          <cell r="B33">
            <v>20</v>
          </cell>
          <cell r="C33">
            <v>35</v>
          </cell>
          <cell r="D33">
            <v>20</v>
          </cell>
          <cell r="E33">
            <v>4</v>
          </cell>
          <cell r="F33">
            <v>2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unk</v>
          </cell>
          <cell r="B35">
            <v>26</v>
          </cell>
          <cell r="C35">
            <v>21</v>
          </cell>
          <cell r="D35">
            <v>18</v>
          </cell>
          <cell r="E35">
            <v>1</v>
          </cell>
          <cell r="F35">
            <v>0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ill_X4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ill_X5"/>
    </sheetNames>
    <sheetDataSet>
      <sheetData sheetId="0">
        <row r="2">
          <cell r="A2" t="str">
            <v>n01</v>
          </cell>
        </row>
        <row r="3">
          <cell r="A3" t="str">
            <v>n02</v>
          </cell>
        </row>
        <row r="4">
          <cell r="A4" t="str">
            <v>n03</v>
          </cell>
        </row>
        <row r="5">
          <cell r="A5" t="str">
            <v>n04</v>
          </cell>
        </row>
        <row r="6">
          <cell r="A6" t="str">
            <v>n05</v>
          </cell>
        </row>
        <row r="7">
          <cell r="A7" t="str">
            <v>n06</v>
          </cell>
        </row>
        <row r="8">
          <cell r="A8" t="str">
            <v>n07</v>
          </cell>
        </row>
        <row r="9">
          <cell r="A9" t="str">
            <v>n08</v>
          </cell>
        </row>
        <row r="10">
          <cell r="A10" t="str">
            <v>n09</v>
          </cell>
        </row>
        <row r="11">
          <cell r="A11" t="str">
            <v>n10</v>
          </cell>
        </row>
        <row r="12">
          <cell r="A12" t="str">
            <v>n11</v>
          </cell>
        </row>
        <row r="13">
          <cell r="A13" t="str">
            <v>n12</v>
          </cell>
        </row>
        <row r="14">
          <cell r="A14" t="str">
            <v>n13</v>
          </cell>
        </row>
        <row r="15">
          <cell r="A15" t="str">
            <v>n14</v>
          </cell>
        </row>
        <row r="16">
          <cell r="A16" t="str">
            <v>n15</v>
          </cell>
        </row>
        <row r="17">
          <cell r="A17" t="str">
            <v>n16</v>
          </cell>
        </row>
        <row r="18">
          <cell r="A18" t="str">
            <v>n17</v>
          </cell>
        </row>
        <row r="19">
          <cell r="A19" t="str">
            <v>n18</v>
          </cell>
        </row>
        <row r="20">
          <cell r="A20" t="str">
            <v>n19</v>
          </cell>
        </row>
        <row r="21">
          <cell r="A21" t="str">
            <v>n20</v>
          </cell>
        </row>
        <row r="22">
          <cell r="A22" t="str">
            <v>n21</v>
          </cell>
        </row>
        <row r="23">
          <cell r="A23" t="str">
            <v>n22</v>
          </cell>
        </row>
        <row r="24">
          <cell r="A24" t="str">
            <v>n23</v>
          </cell>
        </row>
        <row r="25">
          <cell r="A25" t="str">
            <v>n24</v>
          </cell>
        </row>
        <row r="26">
          <cell r="A26" t="str">
            <v>n25</v>
          </cell>
        </row>
        <row r="27">
          <cell r="A27" t="str">
            <v>n26</v>
          </cell>
        </row>
        <row r="28">
          <cell r="A28" t="str">
            <v>n27</v>
          </cell>
        </row>
        <row r="29">
          <cell r="A29" t="str">
            <v>n28</v>
          </cell>
        </row>
        <row r="30">
          <cell r="A30" t="str">
            <v>n29</v>
          </cell>
        </row>
        <row r="31">
          <cell r="A31" t="str">
            <v>n30</v>
          </cell>
        </row>
        <row r="32">
          <cell r="A32" t="str">
            <v>n31</v>
          </cell>
        </row>
        <row r="33">
          <cell r="A33" t="str">
            <v>n32</v>
          </cell>
        </row>
        <row r="34">
          <cell r="A34" t="str">
            <v>n33</v>
          </cell>
        </row>
        <row r="35">
          <cell r="A35" t="str">
            <v>unk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ill_X6"/>
    </sheetNames>
    <sheetDataSet>
      <sheetData sheetId="0">
        <row r="1">
          <cell r="B1" t="str">
            <v>3_15-29</v>
          </cell>
        </row>
        <row r="2">
          <cell r="A2" t="str">
            <v>n01</v>
          </cell>
          <cell r="B2">
            <v>0</v>
          </cell>
        </row>
        <row r="3">
          <cell r="A3" t="str">
            <v>n02</v>
          </cell>
          <cell r="B3">
            <v>0</v>
          </cell>
        </row>
        <row r="4">
          <cell r="A4" t="str">
            <v>n03</v>
          </cell>
          <cell r="B4">
            <v>0</v>
          </cell>
        </row>
        <row r="5">
          <cell r="A5" t="str">
            <v>n04</v>
          </cell>
          <cell r="B5">
            <v>0</v>
          </cell>
        </row>
        <row r="6">
          <cell r="A6" t="str">
            <v>n05</v>
          </cell>
          <cell r="B6">
            <v>0</v>
          </cell>
        </row>
        <row r="7">
          <cell r="A7" t="str">
            <v>n06</v>
          </cell>
          <cell r="B7">
            <v>0</v>
          </cell>
        </row>
        <row r="8">
          <cell r="A8" t="str">
            <v>n07</v>
          </cell>
          <cell r="B8">
            <v>0</v>
          </cell>
        </row>
        <row r="9">
          <cell r="A9" t="str">
            <v>n08</v>
          </cell>
          <cell r="B9">
            <v>0</v>
          </cell>
        </row>
        <row r="10">
          <cell r="A10" t="str">
            <v>n09</v>
          </cell>
          <cell r="B10">
            <v>0</v>
          </cell>
        </row>
        <row r="11">
          <cell r="A11" t="str">
            <v>n10</v>
          </cell>
          <cell r="B11">
            <v>0</v>
          </cell>
        </row>
        <row r="12">
          <cell r="A12" t="str">
            <v>n11</v>
          </cell>
          <cell r="B12">
            <v>0</v>
          </cell>
        </row>
        <row r="13">
          <cell r="A13" t="str">
            <v>n12</v>
          </cell>
          <cell r="B13">
            <v>0</v>
          </cell>
        </row>
        <row r="14">
          <cell r="A14" t="str">
            <v>n13</v>
          </cell>
          <cell r="B14">
            <v>0</v>
          </cell>
        </row>
        <row r="15">
          <cell r="A15" t="str">
            <v>n14</v>
          </cell>
          <cell r="B15">
            <v>0</v>
          </cell>
        </row>
        <row r="16">
          <cell r="A16" t="str">
            <v>n15</v>
          </cell>
          <cell r="B16">
            <v>0</v>
          </cell>
        </row>
        <row r="17">
          <cell r="A17" t="str">
            <v>n16</v>
          </cell>
          <cell r="B17">
            <v>0</v>
          </cell>
        </row>
        <row r="18">
          <cell r="A18" t="str">
            <v>n17</v>
          </cell>
          <cell r="B18">
            <v>0</v>
          </cell>
        </row>
        <row r="19">
          <cell r="A19" t="str">
            <v>n18</v>
          </cell>
          <cell r="B19">
            <v>0</v>
          </cell>
        </row>
        <row r="20">
          <cell r="A20" t="str">
            <v>n19</v>
          </cell>
          <cell r="B20">
            <v>0</v>
          </cell>
        </row>
        <row r="21">
          <cell r="A21" t="str">
            <v>n20</v>
          </cell>
          <cell r="B21">
            <v>0</v>
          </cell>
        </row>
        <row r="22">
          <cell r="A22" t="str">
            <v>n21</v>
          </cell>
          <cell r="B22">
            <v>0</v>
          </cell>
        </row>
        <row r="23">
          <cell r="A23" t="str">
            <v>n22</v>
          </cell>
          <cell r="B23">
            <v>0</v>
          </cell>
        </row>
        <row r="24">
          <cell r="A24" t="str">
            <v>n23</v>
          </cell>
          <cell r="B24">
            <v>0</v>
          </cell>
        </row>
        <row r="25">
          <cell r="A25" t="str">
            <v>n24</v>
          </cell>
          <cell r="B25">
            <v>0</v>
          </cell>
        </row>
        <row r="26">
          <cell r="A26" t="str">
            <v>n25</v>
          </cell>
          <cell r="B26">
            <v>0</v>
          </cell>
        </row>
        <row r="27">
          <cell r="A27" t="str">
            <v>n26</v>
          </cell>
          <cell r="B27">
            <v>0</v>
          </cell>
        </row>
        <row r="28">
          <cell r="A28" t="str">
            <v>n27</v>
          </cell>
          <cell r="B28">
            <v>0</v>
          </cell>
        </row>
        <row r="29">
          <cell r="A29" t="str">
            <v>n28</v>
          </cell>
          <cell r="B29">
            <v>0</v>
          </cell>
        </row>
        <row r="30">
          <cell r="A30" t="str">
            <v>n29</v>
          </cell>
          <cell r="B30">
            <v>0</v>
          </cell>
        </row>
        <row r="31">
          <cell r="A31" t="str">
            <v>n30</v>
          </cell>
          <cell r="B31">
            <v>0</v>
          </cell>
        </row>
        <row r="32">
          <cell r="A32" t="str">
            <v>n31</v>
          </cell>
          <cell r="B32">
            <v>0</v>
          </cell>
        </row>
        <row r="33">
          <cell r="A33" t="str">
            <v>n32</v>
          </cell>
          <cell r="B33">
            <v>0</v>
          </cell>
        </row>
        <row r="34">
          <cell r="A34" t="str">
            <v>n33</v>
          </cell>
          <cell r="B34">
            <v>0</v>
          </cell>
        </row>
        <row r="35">
          <cell r="A35" t="str">
            <v>unk</v>
          </cell>
          <cell r="B35">
            <v>1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ill_X7"/>
    </sheetNames>
    <sheetDataSet>
      <sheetData sheetId="0">
        <row r="1">
          <cell r="B1" t="str">
            <v>3_15-29</v>
          </cell>
          <cell r="C1" t="str">
            <v>5_45-59</v>
          </cell>
          <cell r="D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</row>
        <row r="18">
          <cell r="A18" t="str">
            <v>n17</v>
          </cell>
          <cell r="B18">
            <v>0</v>
          </cell>
          <cell r="C18">
            <v>1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0</v>
          </cell>
          <cell r="D19">
            <v>0</v>
          </cell>
        </row>
        <row r="20">
          <cell r="A20" t="str">
            <v>n19</v>
          </cell>
          <cell r="B20">
            <v>1</v>
          </cell>
          <cell r="C20">
            <v>0</v>
          </cell>
          <cell r="D20">
            <v>1</v>
          </cell>
        </row>
        <row r="21">
          <cell r="A21" t="str">
            <v>n20</v>
          </cell>
          <cell r="B21">
            <v>1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1</v>
          </cell>
          <cell r="C35">
            <v>2</v>
          </cell>
          <cell r="D35">
            <v>0</v>
          </cell>
        </row>
      </sheetData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ill_X8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7_70-79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1</v>
          </cell>
          <cell r="C3">
            <v>0</v>
          </cell>
          <cell r="D3">
            <v>1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1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1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1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0</v>
          </cell>
          <cell r="D15">
            <v>0</v>
          </cell>
          <cell r="E15">
            <v>1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1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2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2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1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1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1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1</v>
          </cell>
          <cell r="C33">
            <v>0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5</v>
          </cell>
          <cell r="C35">
            <v>8</v>
          </cell>
          <cell r="D35">
            <v>1</v>
          </cell>
          <cell r="E35">
            <v>0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1_inj.ill_X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1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3</v>
          </cell>
          <cell r="C3">
            <v>4</v>
          </cell>
          <cell r="D3">
            <v>1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0</v>
          </cell>
          <cell r="C4">
            <v>3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3</v>
          </cell>
          <cell r="C5">
            <v>3</v>
          </cell>
          <cell r="D5">
            <v>3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0</v>
          </cell>
          <cell r="C6">
            <v>4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1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4</v>
          </cell>
          <cell r="C8">
            <v>1</v>
          </cell>
          <cell r="D8">
            <v>2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1</v>
          </cell>
          <cell r="C9">
            <v>1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A10" t="str">
            <v>n09</v>
          </cell>
          <cell r="B10">
            <v>0</v>
          </cell>
          <cell r="C10">
            <v>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A11" t="str">
            <v>n10</v>
          </cell>
          <cell r="B11">
            <v>0</v>
          </cell>
          <cell r="C11">
            <v>4</v>
          </cell>
          <cell r="D11">
            <v>1</v>
          </cell>
          <cell r="E11">
            <v>1</v>
          </cell>
          <cell r="F11">
            <v>0</v>
          </cell>
          <cell r="G11">
            <v>0</v>
          </cell>
        </row>
        <row r="12">
          <cell r="A12" t="str">
            <v>n11</v>
          </cell>
          <cell r="B12">
            <v>0</v>
          </cell>
          <cell r="C12">
            <v>2</v>
          </cell>
          <cell r="D12">
            <v>1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n12</v>
          </cell>
          <cell r="B13">
            <v>0</v>
          </cell>
          <cell r="C13">
            <v>1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0</v>
          </cell>
          <cell r="C14">
            <v>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1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A17" t="str">
            <v>n16</v>
          </cell>
          <cell r="B17">
            <v>1</v>
          </cell>
          <cell r="C17">
            <v>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6</v>
          </cell>
          <cell r="C18">
            <v>14</v>
          </cell>
          <cell r="D18">
            <v>12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n18</v>
          </cell>
          <cell r="B19">
            <v>1</v>
          </cell>
          <cell r="C19">
            <v>2</v>
          </cell>
          <cell r="D19">
            <v>1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6</v>
          </cell>
          <cell r="C20">
            <v>13</v>
          </cell>
          <cell r="D20">
            <v>6</v>
          </cell>
          <cell r="E20">
            <v>2</v>
          </cell>
          <cell r="F20">
            <v>0</v>
          </cell>
          <cell r="G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0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1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0</v>
          </cell>
          <cell r="C32">
            <v>2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3</v>
          </cell>
          <cell r="C33">
            <v>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n33</v>
          </cell>
          <cell r="B34">
            <v>1</v>
          </cell>
          <cell r="C34">
            <v>1</v>
          </cell>
          <cell r="D34">
            <v>1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43</v>
          </cell>
          <cell r="C35">
            <v>82</v>
          </cell>
          <cell r="D35">
            <v>65</v>
          </cell>
          <cell r="E35">
            <v>9</v>
          </cell>
          <cell r="F35">
            <v>1</v>
          </cell>
          <cell r="G35">
            <v>1</v>
          </cell>
        </row>
      </sheetData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2_inj.ill_X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1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0</v>
          </cell>
          <cell r="C15">
            <v>1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n17</v>
          </cell>
          <cell r="B18">
            <v>1</v>
          </cell>
          <cell r="C18">
            <v>2</v>
          </cell>
          <cell r="D18">
            <v>0</v>
          </cell>
          <cell r="E18">
            <v>0</v>
          </cell>
        </row>
        <row r="19">
          <cell r="A19" t="str">
            <v>n18</v>
          </cell>
          <cell r="B19">
            <v>0</v>
          </cell>
          <cell r="C19">
            <v>2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2</v>
          </cell>
          <cell r="D20">
            <v>1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1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1</v>
          </cell>
          <cell r="E34">
            <v>0</v>
          </cell>
        </row>
        <row r="35">
          <cell r="A35" t="str">
            <v>unk</v>
          </cell>
          <cell r="B35">
            <v>4</v>
          </cell>
          <cell r="C35">
            <v>6</v>
          </cell>
          <cell r="D35">
            <v>8</v>
          </cell>
          <cell r="E35">
            <v>3</v>
          </cell>
        </row>
      </sheetData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male_hkom3_inj.ill_X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  <cell r="F1" t="str">
            <v>7_70-79</v>
          </cell>
          <cell r="G1" t="str">
            <v>8_80+</v>
          </cell>
        </row>
        <row r="2">
          <cell r="A2" t="str">
            <v>n01</v>
          </cell>
          <cell r="B2">
            <v>0</v>
          </cell>
          <cell r="C2">
            <v>1</v>
          </cell>
          <cell r="D2">
            <v>1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n02</v>
          </cell>
          <cell r="B3">
            <v>1</v>
          </cell>
          <cell r="C3">
            <v>0</v>
          </cell>
          <cell r="D3">
            <v>1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n03</v>
          </cell>
          <cell r="B4">
            <v>1</v>
          </cell>
          <cell r="C4">
            <v>4</v>
          </cell>
          <cell r="D4">
            <v>1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n05</v>
          </cell>
          <cell r="B6">
            <v>1</v>
          </cell>
          <cell r="C6">
            <v>1</v>
          </cell>
          <cell r="D6">
            <v>2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n07</v>
          </cell>
          <cell r="B8">
            <v>1</v>
          </cell>
          <cell r="C8">
            <v>0</v>
          </cell>
          <cell r="D8">
            <v>1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n08</v>
          </cell>
          <cell r="B9">
            <v>0</v>
          </cell>
          <cell r="C9">
            <v>1</v>
          </cell>
          <cell r="D9">
            <v>0</v>
          </cell>
          <cell r="E9">
            <v>0</v>
          </cell>
          <cell r="F9">
            <v>1</v>
          </cell>
          <cell r="G9">
            <v>0</v>
          </cell>
        </row>
        <row r="10">
          <cell r="A10" t="str">
            <v>n09</v>
          </cell>
          <cell r="B10">
            <v>1</v>
          </cell>
          <cell r="C10">
            <v>2</v>
          </cell>
          <cell r="D10">
            <v>1</v>
          </cell>
          <cell r="E10">
            <v>0</v>
          </cell>
          <cell r="F10">
            <v>0</v>
          </cell>
          <cell r="G10">
            <v>0</v>
          </cell>
        </row>
        <row r="11">
          <cell r="A11" t="str">
            <v>n10</v>
          </cell>
          <cell r="B11">
            <v>1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A12" t="str">
            <v>n11</v>
          </cell>
          <cell r="B12">
            <v>3</v>
          </cell>
          <cell r="C12">
            <v>2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n12</v>
          </cell>
          <cell r="B13">
            <v>1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A14" t="str">
            <v>n13</v>
          </cell>
          <cell r="B14">
            <v>0</v>
          </cell>
          <cell r="C14">
            <v>1</v>
          </cell>
          <cell r="D14">
            <v>0</v>
          </cell>
          <cell r="E14">
            <v>1</v>
          </cell>
          <cell r="F14">
            <v>0</v>
          </cell>
          <cell r="G14">
            <v>0</v>
          </cell>
        </row>
        <row r="15">
          <cell r="A15" t="str">
            <v>n14</v>
          </cell>
          <cell r="B15">
            <v>2</v>
          </cell>
          <cell r="C15">
            <v>2</v>
          </cell>
          <cell r="D15">
            <v>1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n15</v>
          </cell>
          <cell r="B16">
            <v>3</v>
          </cell>
          <cell r="C16">
            <v>1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</row>
        <row r="17">
          <cell r="A17" t="str">
            <v>n16</v>
          </cell>
          <cell r="B17">
            <v>3</v>
          </cell>
          <cell r="C17">
            <v>5</v>
          </cell>
          <cell r="D17">
            <v>2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n17</v>
          </cell>
          <cell r="B18">
            <v>1</v>
          </cell>
          <cell r="C18">
            <v>9</v>
          </cell>
          <cell r="D18">
            <v>7</v>
          </cell>
          <cell r="E18">
            <v>2</v>
          </cell>
          <cell r="F18">
            <v>0</v>
          </cell>
          <cell r="G18">
            <v>0</v>
          </cell>
        </row>
        <row r="19">
          <cell r="A19" t="str">
            <v>n18</v>
          </cell>
          <cell r="B19">
            <v>0</v>
          </cell>
          <cell r="C19">
            <v>1</v>
          </cell>
          <cell r="D19">
            <v>2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n19</v>
          </cell>
          <cell r="B20">
            <v>3</v>
          </cell>
          <cell r="C20">
            <v>13</v>
          </cell>
          <cell r="D20">
            <v>5</v>
          </cell>
          <cell r="E20">
            <v>0</v>
          </cell>
          <cell r="F20">
            <v>1</v>
          </cell>
          <cell r="G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1</v>
          </cell>
          <cell r="E30">
            <v>0</v>
          </cell>
          <cell r="F30">
            <v>0</v>
          </cell>
          <cell r="G30">
            <v>1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n31</v>
          </cell>
          <cell r="B32">
            <v>1</v>
          </cell>
          <cell r="C32">
            <v>0</v>
          </cell>
          <cell r="D32">
            <v>1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n32</v>
          </cell>
          <cell r="B33">
            <v>0</v>
          </cell>
          <cell r="C33">
            <v>4</v>
          </cell>
          <cell r="D33">
            <v>2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n33</v>
          </cell>
          <cell r="B34">
            <v>0</v>
          </cell>
          <cell r="C34">
            <v>1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unk</v>
          </cell>
          <cell r="B35">
            <v>6</v>
          </cell>
          <cell r="C35">
            <v>55</v>
          </cell>
          <cell r="D35">
            <v>48</v>
          </cell>
          <cell r="E35">
            <v>7</v>
          </cell>
          <cell r="F35">
            <v>2</v>
          </cell>
          <cell r="G35">
            <v>1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1_inj.ill_X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1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2</v>
          </cell>
          <cell r="E4">
            <v>2</v>
          </cell>
        </row>
        <row r="5">
          <cell r="A5" t="str">
            <v>n04</v>
          </cell>
          <cell r="B5">
            <v>1</v>
          </cell>
          <cell r="C5">
            <v>2</v>
          </cell>
          <cell r="D5">
            <v>1</v>
          </cell>
          <cell r="E5">
            <v>0</v>
          </cell>
        </row>
        <row r="6">
          <cell r="A6" t="str">
            <v>n05</v>
          </cell>
          <cell r="B6">
            <v>0</v>
          </cell>
          <cell r="C6">
            <v>1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2</v>
          </cell>
          <cell r="E8">
            <v>1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1</v>
          </cell>
          <cell r="D10">
            <v>0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1</v>
          </cell>
          <cell r="D11">
            <v>3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1</v>
          </cell>
          <cell r="D12">
            <v>1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n14</v>
          </cell>
          <cell r="B15">
            <v>1</v>
          </cell>
          <cell r="C15">
            <v>1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2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n16</v>
          </cell>
          <cell r="B17">
            <v>0</v>
          </cell>
          <cell r="C17">
            <v>2</v>
          </cell>
          <cell r="D17">
            <v>2</v>
          </cell>
          <cell r="E17">
            <v>0</v>
          </cell>
        </row>
        <row r="18">
          <cell r="A18" t="str">
            <v>n17</v>
          </cell>
          <cell r="B18">
            <v>0</v>
          </cell>
          <cell r="C18">
            <v>1</v>
          </cell>
          <cell r="D18">
            <v>3</v>
          </cell>
          <cell r="E18">
            <v>1</v>
          </cell>
        </row>
        <row r="19">
          <cell r="A19" t="str">
            <v>n18</v>
          </cell>
          <cell r="B19">
            <v>0</v>
          </cell>
          <cell r="C19">
            <v>1</v>
          </cell>
          <cell r="D19">
            <v>1</v>
          </cell>
          <cell r="E19">
            <v>0</v>
          </cell>
        </row>
        <row r="20">
          <cell r="A20" t="str">
            <v>n19</v>
          </cell>
          <cell r="B20">
            <v>0</v>
          </cell>
          <cell r="C20">
            <v>5</v>
          </cell>
          <cell r="D20">
            <v>1</v>
          </cell>
          <cell r="E20">
            <v>0</v>
          </cell>
        </row>
        <row r="21">
          <cell r="A21" t="str">
            <v>n20</v>
          </cell>
          <cell r="B21">
            <v>2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1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2</v>
          </cell>
          <cell r="C33">
            <v>1</v>
          </cell>
          <cell r="D33">
            <v>0</v>
          </cell>
          <cell r="E33">
            <v>0</v>
          </cell>
        </row>
        <row r="34">
          <cell r="A34" t="str">
            <v>n33</v>
          </cell>
          <cell r="B34">
            <v>1</v>
          </cell>
          <cell r="C34">
            <v>1</v>
          </cell>
          <cell r="D34">
            <v>0</v>
          </cell>
          <cell r="E34">
            <v>0</v>
          </cell>
        </row>
        <row r="35">
          <cell r="A35" t="str">
            <v>unk</v>
          </cell>
          <cell r="B35">
            <v>44</v>
          </cell>
          <cell r="C35">
            <v>85</v>
          </cell>
          <cell r="D35">
            <v>39</v>
          </cell>
          <cell r="E35">
            <v>3</v>
          </cell>
        </row>
      </sheetData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2_inj.ill_X1"/>
    </sheetNames>
    <sheetDataSet>
      <sheetData sheetId="0">
        <row r="1">
          <cell r="B1" t="str">
            <v>4_30-44</v>
          </cell>
          <cell r="C1" t="str">
            <v>5_45-59</v>
          </cell>
          <cell r="D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n03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</row>
        <row r="6">
          <cell r="A6" t="str">
            <v>n05</v>
          </cell>
          <cell r="B6">
            <v>0</v>
          </cell>
          <cell r="C6">
            <v>0</v>
          </cell>
          <cell r="D6">
            <v>0</v>
          </cell>
        </row>
        <row r="7">
          <cell r="A7" t="str">
            <v>n06</v>
          </cell>
          <cell r="B7">
            <v>1</v>
          </cell>
          <cell r="C7">
            <v>0</v>
          </cell>
          <cell r="D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0</v>
          </cell>
        </row>
        <row r="15">
          <cell r="A15" t="str">
            <v>n14</v>
          </cell>
          <cell r="B15">
            <v>1</v>
          </cell>
          <cell r="C15">
            <v>0</v>
          </cell>
          <cell r="D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2</v>
          </cell>
        </row>
        <row r="17">
          <cell r="A17" t="str">
            <v>n16</v>
          </cell>
          <cell r="B17">
            <v>0</v>
          </cell>
          <cell r="C17">
            <v>1</v>
          </cell>
          <cell r="D17">
            <v>0</v>
          </cell>
        </row>
        <row r="18">
          <cell r="A18" t="str">
            <v>n17</v>
          </cell>
          <cell r="B18">
            <v>0</v>
          </cell>
          <cell r="C18">
            <v>0</v>
          </cell>
          <cell r="D18">
            <v>0</v>
          </cell>
        </row>
        <row r="19">
          <cell r="A19" t="str">
            <v>n18</v>
          </cell>
          <cell r="B19">
            <v>0</v>
          </cell>
          <cell r="C19">
            <v>1</v>
          </cell>
          <cell r="D19">
            <v>0</v>
          </cell>
        </row>
        <row r="20">
          <cell r="A20" t="str">
            <v>n19</v>
          </cell>
          <cell r="B20">
            <v>0</v>
          </cell>
          <cell r="C20">
            <v>0</v>
          </cell>
          <cell r="D20">
            <v>0</v>
          </cell>
        </row>
        <row r="21">
          <cell r="A21" t="str">
            <v>n20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n31</v>
          </cell>
          <cell r="B32">
            <v>0</v>
          </cell>
          <cell r="C32">
            <v>0</v>
          </cell>
          <cell r="D32">
            <v>0</v>
          </cell>
        </row>
        <row r="33">
          <cell r="A33" t="str">
            <v>n32</v>
          </cell>
          <cell r="B33">
            <v>0</v>
          </cell>
          <cell r="C33">
            <v>0</v>
          </cell>
          <cell r="D33">
            <v>0</v>
          </cell>
        </row>
        <row r="34">
          <cell r="A34" t="str">
            <v>n33</v>
          </cell>
          <cell r="B34">
            <v>0</v>
          </cell>
          <cell r="C34">
            <v>0</v>
          </cell>
          <cell r="D34">
            <v>0</v>
          </cell>
        </row>
        <row r="35">
          <cell r="A35" t="str">
            <v>unk</v>
          </cell>
          <cell r="B35">
            <v>10</v>
          </cell>
          <cell r="C35">
            <v>4</v>
          </cell>
          <cell r="D35">
            <v>0</v>
          </cell>
        </row>
      </sheetData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female_hkom3_inj.ill_X1"/>
    </sheetNames>
    <sheetDataSet>
      <sheetData sheetId="0">
        <row r="1">
          <cell r="B1" t="str">
            <v>3_15-29</v>
          </cell>
          <cell r="C1" t="str">
            <v>4_30-44</v>
          </cell>
          <cell r="D1" t="str">
            <v>5_45-59</v>
          </cell>
          <cell r="E1" t="str">
            <v>6_60-69</v>
          </cell>
        </row>
        <row r="2">
          <cell r="A2" t="str">
            <v>n01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n02</v>
          </cell>
          <cell r="B3">
            <v>0</v>
          </cell>
          <cell r="C3">
            <v>0</v>
          </cell>
          <cell r="D3">
            <v>1</v>
          </cell>
          <cell r="E3">
            <v>0</v>
          </cell>
        </row>
        <row r="4">
          <cell r="A4" t="str">
            <v>n03</v>
          </cell>
          <cell r="B4">
            <v>0</v>
          </cell>
          <cell r="C4">
            <v>1</v>
          </cell>
          <cell r="D4">
            <v>1</v>
          </cell>
          <cell r="E4">
            <v>2</v>
          </cell>
        </row>
        <row r="5">
          <cell r="A5" t="str">
            <v>n04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n05</v>
          </cell>
          <cell r="B6">
            <v>1</v>
          </cell>
          <cell r="C6">
            <v>0</v>
          </cell>
          <cell r="D6">
            <v>0</v>
          </cell>
          <cell r="E6">
            <v>0</v>
          </cell>
        </row>
        <row r="7">
          <cell r="A7" t="str">
            <v>n06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n07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n08</v>
          </cell>
          <cell r="B9">
            <v>0</v>
          </cell>
          <cell r="C9">
            <v>0</v>
          </cell>
          <cell r="D9">
            <v>2</v>
          </cell>
          <cell r="E9">
            <v>0</v>
          </cell>
        </row>
        <row r="10">
          <cell r="A10" t="str">
            <v>n09</v>
          </cell>
          <cell r="B10">
            <v>0</v>
          </cell>
          <cell r="C10">
            <v>0</v>
          </cell>
          <cell r="D10">
            <v>1</v>
          </cell>
          <cell r="E10">
            <v>0</v>
          </cell>
        </row>
        <row r="11">
          <cell r="A11" t="str">
            <v>n10</v>
          </cell>
          <cell r="B11">
            <v>0</v>
          </cell>
          <cell r="C11">
            <v>0</v>
          </cell>
          <cell r="D11">
            <v>1</v>
          </cell>
          <cell r="E11">
            <v>0</v>
          </cell>
        </row>
        <row r="12">
          <cell r="A12" t="str">
            <v>n11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n12</v>
          </cell>
          <cell r="B13">
            <v>0</v>
          </cell>
          <cell r="C13">
            <v>0</v>
          </cell>
          <cell r="D13">
            <v>1</v>
          </cell>
          <cell r="E13">
            <v>0</v>
          </cell>
        </row>
        <row r="14">
          <cell r="A14" t="str">
            <v>n13</v>
          </cell>
          <cell r="B14">
            <v>0</v>
          </cell>
          <cell r="C14">
            <v>0</v>
          </cell>
          <cell r="D14">
            <v>1</v>
          </cell>
          <cell r="E14">
            <v>0</v>
          </cell>
        </row>
        <row r="15">
          <cell r="A15" t="str">
            <v>n14</v>
          </cell>
          <cell r="B15">
            <v>1</v>
          </cell>
          <cell r="C15">
            <v>1</v>
          </cell>
          <cell r="D15">
            <v>0</v>
          </cell>
          <cell r="E15">
            <v>0</v>
          </cell>
        </row>
        <row r="16">
          <cell r="A16" t="str">
            <v>n15</v>
          </cell>
          <cell r="B16">
            <v>0</v>
          </cell>
          <cell r="C16">
            <v>0</v>
          </cell>
          <cell r="D16">
            <v>2</v>
          </cell>
          <cell r="E16">
            <v>0</v>
          </cell>
        </row>
        <row r="17">
          <cell r="A17" t="str">
            <v>n16</v>
          </cell>
          <cell r="B17">
            <v>2</v>
          </cell>
          <cell r="C17">
            <v>2</v>
          </cell>
          <cell r="D17">
            <v>1</v>
          </cell>
          <cell r="E17">
            <v>0</v>
          </cell>
        </row>
        <row r="18">
          <cell r="A18" t="str">
            <v>n17</v>
          </cell>
          <cell r="B18">
            <v>1</v>
          </cell>
          <cell r="C18">
            <v>2</v>
          </cell>
          <cell r="D18">
            <v>1</v>
          </cell>
          <cell r="E18">
            <v>1</v>
          </cell>
        </row>
        <row r="19">
          <cell r="A19" t="str">
            <v>n18</v>
          </cell>
          <cell r="B19">
            <v>0</v>
          </cell>
          <cell r="C19">
            <v>1</v>
          </cell>
          <cell r="D19">
            <v>0</v>
          </cell>
          <cell r="E19">
            <v>0</v>
          </cell>
        </row>
        <row r="20">
          <cell r="A20" t="str">
            <v>n19</v>
          </cell>
          <cell r="B20">
            <v>1</v>
          </cell>
          <cell r="C20">
            <v>6</v>
          </cell>
          <cell r="D20">
            <v>2</v>
          </cell>
          <cell r="E20">
            <v>0</v>
          </cell>
        </row>
        <row r="21">
          <cell r="A21" t="str">
            <v>n20</v>
          </cell>
          <cell r="B21">
            <v>0</v>
          </cell>
          <cell r="C21">
            <v>1</v>
          </cell>
          <cell r="D21">
            <v>1</v>
          </cell>
          <cell r="E21">
            <v>0</v>
          </cell>
        </row>
        <row r="22">
          <cell r="A22" t="str">
            <v>n21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</row>
        <row r="23">
          <cell r="A23" t="str">
            <v>n22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n23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n24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n25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n26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A28" t="str">
            <v>n27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A29" t="str">
            <v>n28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</row>
        <row r="30">
          <cell r="A30" t="str">
            <v>n29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</row>
        <row r="31">
          <cell r="A31" t="str">
            <v>n30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>n31</v>
          </cell>
          <cell r="B32">
            <v>0</v>
          </cell>
          <cell r="C32">
            <v>3</v>
          </cell>
          <cell r="D32">
            <v>0</v>
          </cell>
          <cell r="E32">
            <v>0</v>
          </cell>
        </row>
        <row r="33">
          <cell r="A33" t="str">
            <v>n32</v>
          </cell>
          <cell r="B33">
            <v>0</v>
          </cell>
          <cell r="C33">
            <v>2</v>
          </cell>
          <cell r="D33">
            <v>1</v>
          </cell>
          <cell r="E33">
            <v>0</v>
          </cell>
        </row>
        <row r="34">
          <cell r="A34" t="str">
            <v>n33</v>
          </cell>
          <cell r="B34">
            <v>0</v>
          </cell>
          <cell r="C34">
            <v>1</v>
          </cell>
          <cell r="D34">
            <v>1</v>
          </cell>
          <cell r="E34">
            <v>0</v>
          </cell>
        </row>
        <row r="35">
          <cell r="A35" t="str">
            <v>unk</v>
          </cell>
          <cell r="B35">
            <v>32</v>
          </cell>
          <cell r="C35">
            <v>55</v>
          </cell>
          <cell r="D35">
            <v>40</v>
          </cell>
          <cell r="E35">
            <v>7</v>
          </cell>
        </row>
      </sheetData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tilization2014"/>
      <sheetName val="Utilization2013 (SSS)"/>
      <sheetName val="Utilization"/>
      <sheetName val="HWS2009"/>
      <sheetName val="HWS2004"/>
      <sheetName val="HWS2009_illLastMonth"/>
      <sheetName val="HWS2009_illYear"/>
      <sheetName val="HWS2013"/>
      <sheetName val="HWS2013_illYear"/>
      <sheetName val="Sheet1"/>
      <sheetName val="SSS2014"/>
    </sheetNames>
    <sheetDataSet>
      <sheetData sheetId="0">
        <row r="95">
          <cell r="E95">
            <v>2.1935345136549351</v>
          </cell>
        </row>
        <row r="96">
          <cell r="E96">
            <v>5.0899224806201548</v>
          </cell>
        </row>
        <row r="97">
          <cell r="E97">
            <v>1</v>
          </cell>
        </row>
        <row r="98">
          <cell r="E98">
            <v>1.1029178951649214</v>
          </cell>
        </row>
        <row r="99">
          <cell r="E99">
            <v>1</v>
          </cell>
        </row>
        <row r="100">
          <cell r="E100">
            <v>1</v>
          </cell>
        </row>
        <row r="101">
          <cell r="E101">
            <v>1.0702816205533596</v>
          </cell>
        </row>
        <row r="102">
          <cell r="E102">
            <v>1.0968107190035856</v>
          </cell>
        </row>
        <row r="104">
          <cell r="E104">
            <v>1.783541722089208</v>
          </cell>
        </row>
        <row r="105">
          <cell r="E105">
            <v>5.7405033238366574</v>
          </cell>
        </row>
        <row r="106">
          <cell r="E106">
            <v>1.3149866932801064</v>
          </cell>
        </row>
        <row r="107">
          <cell r="E107">
            <v>1.1451424405202268</v>
          </cell>
        </row>
        <row r="108">
          <cell r="E108">
            <v>1.010648596321394</v>
          </cell>
        </row>
        <row r="109">
          <cell r="E109">
            <v>1</v>
          </cell>
        </row>
        <row r="110">
          <cell r="E110">
            <v>1</v>
          </cell>
        </row>
        <row r="111">
          <cell r="E111">
            <v>1.3444034440344403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file:///\\ihpp1\BOD\DATA\IHPP_RawData\CodeBook\check_injury_code_correct_last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file:///\\ihpp1\BOD\DATA\IHPP_RawData\CodeBook\ICD-10_to%20GBD%20las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1"/>
  <sheetViews>
    <sheetView zoomScale="90" zoomScaleNormal="90" workbookViewId="0">
      <pane xSplit="3" ySplit="2" topLeftCell="D642" activePane="bottomRight" state="frozen"/>
      <selection pane="topRight" activeCell="E1" sqref="E1"/>
      <selection pane="bottomLeft" activeCell="A3" sqref="A3"/>
      <selection pane="bottomRight" activeCell="P671" sqref="P671"/>
    </sheetView>
  </sheetViews>
  <sheetFormatPr defaultRowHeight="15" x14ac:dyDescent="0.25"/>
  <cols>
    <col min="1" max="2" width="8.42578125" customWidth="1"/>
    <col min="3" max="3" width="7.140625" customWidth="1"/>
  </cols>
  <sheetData>
    <row r="1" spans="1:12" x14ac:dyDescent="0.25">
      <c r="A1" s="32"/>
      <c r="B1" s="32"/>
      <c r="C1" s="15"/>
      <c r="D1" s="15" t="s">
        <v>57</v>
      </c>
      <c r="E1" s="15"/>
      <c r="F1" s="15"/>
      <c r="G1" s="15"/>
      <c r="H1" s="15"/>
      <c r="I1" s="15"/>
      <c r="J1" s="15"/>
      <c r="K1" s="15"/>
      <c r="L1" s="32"/>
    </row>
    <row r="2" spans="1:12" x14ac:dyDescent="0.25">
      <c r="A2" t="s">
        <v>1</v>
      </c>
      <c r="B2" t="s">
        <v>2</v>
      </c>
      <c r="C2" s="2" t="s">
        <v>3</v>
      </c>
      <c r="D2" s="15" t="s">
        <v>62</v>
      </c>
      <c r="E2" s="15" t="s">
        <v>63</v>
      </c>
      <c r="F2" s="15" t="s">
        <v>64</v>
      </c>
      <c r="G2" s="15" t="s">
        <v>65</v>
      </c>
      <c r="H2" s="15" t="s">
        <v>66</v>
      </c>
      <c r="I2" s="15" t="s">
        <v>67</v>
      </c>
      <c r="J2" s="15" t="s">
        <v>68</v>
      </c>
      <c r="K2" s="15" t="s">
        <v>69</v>
      </c>
      <c r="L2" s="32" t="s">
        <v>56</v>
      </c>
    </row>
    <row r="3" spans="1:12" x14ac:dyDescent="0.25">
      <c r="A3" s="23" t="s">
        <v>104</v>
      </c>
      <c r="B3" s="23" t="s">
        <v>105</v>
      </c>
      <c r="C3" t="s">
        <v>70</v>
      </c>
      <c r="D3" s="5">
        <f>ตัวคูณโรงพยาบาล!D37</f>
        <v>0</v>
      </c>
      <c r="E3" s="5">
        <f>ตัวคูณโรงพยาบาล!E37</f>
        <v>0</v>
      </c>
      <c r="F3" s="5">
        <f>ตัวคูณโรงพยาบาล!F37</f>
        <v>0</v>
      </c>
      <c r="G3" s="5">
        <f>ตัวคูณโรงพยาบาล!G37</f>
        <v>0</v>
      </c>
      <c r="H3" s="5">
        <f>ตัวคูณโรงพยาบาล!H37</f>
        <v>0</v>
      </c>
      <c r="I3" s="5">
        <f>ตัวคูณโรงพยาบาล!I37</f>
        <v>0</v>
      </c>
      <c r="J3" s="5">
        <f>ตัวคูณโรงพยาบาล!J37</f>
        <v>0</v>
      </c>
      <c r="K3" s="5">
        <f>ตัวคูณโรงพยาบาล!K37</f>
        <v>0</v>
      </c>
      <c r="L3" s="5">
        <f>SUM(D3:K3)</f>
        <v>0</v>
      </c>
    </row>
    <row r="4" spans="1:12" x14ac:dyDescent="0.25">
      <c r="C4" t="s">
        <v>71</v>
      </c>
      <c r="D4" s="5">
        <f>ตัวคูณโรงพยาบาล!D38</f>
        <v>0</v>
      </c>
      <c r="E4" s="5">
        <f>ตัวคูณโรงพยาบาล!E38</f>
        <v>0</v>
      </c>
      <c r="F4" s="5">
        <f>ตัวคูณโรงพยาบาล!F38</f>
        <v>3.3492973472845886</v>
      </c>
      <c r="G4" s="5">
        <f>ตัวคูณโรงพยาบาล!G38</f>
        <v>0</v>
      </c>
      <c r="H4" s="5">
        <f>ตัวคูณโรงพยาบาล!H38</f>
        <v>0</v>
      </c>
      <c r="I4" s="5">
        <f>ตัวคูณโรงพยาบาล!I38</f>
        <v>0</v>
      </c>
      <c r="J4" s="5">
        <f>ตัวคูณโรงพยาบาล!J38</f>
        <v>0</v>
      </c>
      <c r="K4" s="5">
        <f>ตัวคูณโรงพยาบาล!K38</f>
        <v>0</v>
      </c>
      <c r="L4" s="5">
        <f t="shared" ref="L4:L67" si="0">SUM(D4:K4)</f>
        <v>3.3492973472845886</v>
      </c>
    </row>
    <row r="5" spans="1:12" x14ac:dyDescent="0.25">
      <c r="C5" t="s">
        <v>72</v>
      </c>
      <c r="D5" s="5">
        <f>ตัวคูณโรงพยาบาล!D39</f>
        <v>0</v>
      </c>
      <c r="E5" s="5">
        <f>ตัวคูณโรงพยาบาล!E39</f>
        <v>0</v>
      </c>
      <c r="F5" s="5">
        <f>ตัวคูณโรงพยาบาล!F39</f>
        <v>0</v>
      </c>
      <c r="G5" s="5">
        <f>ตัวคูณโรงพยาบาล!G39</f>
        <v>1.159300592885792</v>
      </c>
      <c r="H5" s="5">
        <f>ตัวคูณโรงพยาบาล!H39</f>
        <v>0</v>
      </c>
      <c r="I5" s="5">
        <f>ตัวคูณโรงพยาบาล!I39</f>
        <v>0</v>
      </c>
      <c r="J5" s="5">
        <f>ตัวคูณโรงพยาบาล!J39</f>
        <v>0</v>
      </c>
      <c r="K5" s="5">
        <f>ตัวคูณโรงพยาบาล!K39</f>
        <v>0</v>
      </c>
      <c r="L5" s="5">
        <f t="shared" si="0"/>
        <v>1.159300592885792</v>
      </c>
    </row>
    <row r="6" spans="1:12" x14ac:dyDescent="0.25">
      <c r="C6" t="s">
        <v>73</v>
      </c>
      <c r="D6" s="5">
        <f>ตัวคูณโรงพยาบาล!D40</f>
        <v>0</v>
      </c>
      <c r="E6" s="5">
        <f>ตัวคูณโรงพยาบาล!E40</f>
        <v>0</v>
      </c>
      <c r="F6" s="5">
        <f>ตัวคูณโรงพยาบาล!F40</f>
        <v>0</v>
      </c>
      <c r="G6" s="5">
        <f>ตัวคูณโรงพยาบาล!G40</f>
        <v>0</v>
      </c>
      <c r="H6" s="5">
        <f>ตัวคูณโรงพยาบาล!H40</f>
        <v>0</v>
      </c>
      <c r="I6" s="5">
        <f>ตัวคูณโรงพยาบาล!I40</f>
        <v>0</v>
      </c>
      <c r="J6" s="5">
        <f>ตัวคูณโรงพยาบาล!J40</f>
        <v>0</v>
      </c>
      <c r="K6" s="5">
        <f>ตัวคูณโรงพยาบาล!K40</f>
        <v>0</v>
      </c>
      <c r="L6" s="5">
        <f t="shared" si="0"/>
        <v>0</v>
      </c>
    </row>
    <row r="7" spans="1:12" x14ac:dyDescent="0.25">
      <c r="C7" t="s">
        <v>74</v>
      </c>
      <c r="D7" s="5">
        <f>ตัวคูณโรงพยาบาล!D41</f>
        <v>0</v>
      </c>
      <c r="E7" s="5">
        <f>ตัวคูณโรงพยาบาล!E41</f>
        <v>0</v>
      </c>
      <c r="F7" s="5">
        <f>ตัวคูณโรงพยาบาล!F41</f>
        <v>0</v>
      </c>
      <c r="G7" s="5">
        <f>ตัวคูณโรงพยาบาล!G41</f>
        <v>0</v>
      </c>
      <c r="H7" s="5">
        <f>ตัวคูณโรงพยาบาล!H41</f>
        <v>0</v>
      </c>
      <c r="I7" s="5">
        <f>ตัวคูณโรงพยาบาล!I41</f>
        <v>0</v>
      </c>
      <c r="J7" s="5">
        <f>ตัวคูณโรงพยาบาล!J41</f>
        <v>0</v>
      </c>
      <c r="K7" s="5">
        <f>ตัวคูณโรงพยาบาล!K41</f>
        <v>0</v>
      </c>
      <c r="L7" s="5">
        <f t="shared" si="0"/>
        <v>0</v>
      </c>
    </row>
    <row r="8" spans="1:12" x14ac:dyDescent="0.25">
      <c r="C8" t="s">
        <v>75</v>
      </c>
      <c r="D8" s="5">
        <f>ตัวคูณโรงพยาบาล!D42</f>
        <v>0</v>
      </c>
      <c r="E8" s="5">
        <f>ตัวคูณโรงพยาบาล!E42</f>
        <v>0</v>
      </c>
      <c r="F8" s="5">
        <f>ตัวคูณโรงพยาบาล!F42</f>
        <v>0</v>
      </c>
      <c r="G8" s="5">
        <f>ตัวคูณโรงพยาบาล!G42</f>
        <v>0</v>
      </c>
      <c r="H8" s="5">
        <f>ตัวคูณโรงพยาบาล!H42</f>
        <v>1.1185790755416889</v>
      </c>
      <c r="I8" s="5">
        <f>ตัวคูณโรงพยาบาล!I42</f>
        <v>0</v>
      </c>
      <c r="J8" s="5">
        <f>ตัวคูณโรงพยาบาล!J42</f>
        <v>0</v>
      </c>
      <c r="K8" s="5">
        <f>ตัวคูณโรงพยาบาล!K42</f>
        <v>0</v>
      </c>
      <c r="L8" s="5">
        <f t="shared" si="0"/>
        <v>1.1185790755416889</v>
      </c>
    </row>
    <row r="9" spans="1:12" x14ac:dyDescent="0.25">
      <c r="C9" t="s">
        <v>76</v>
      </c>
      <c r="D9" s="5">
        <f>ตัวคูณโรงพยาบาล!D43</f>
        <v>0</v>
      </c>
      <c r="E9" s="5">
        <f>ตัวคูณโรงพยาบาล!E43</f>
        <v>0</v>
      </c>
      <c r="F9" s="5">
        <f>ตัวคูณโรงพยาบาล!F43</f>
        <v>0</v>
      </c>
      <c r="G9" s="5">
        <f>ตัวคูณโรงพยาบาล!G43</f>
        <v>0</v>
      </c>
      <c r="H9" s="5">
        <f>ตัวคูณโรงพยาบาล!H43</f>
        <v>0</v>
      </c>
      <c r="I9" s="5">
        <f>ตัวคูณโรงพยาบาล!I43</f>
        <v>0</v>
      </c>
      <c r="J9" s="5">
        <f>ตัวคูณโรงพยาบาล!J43</f>
        <v>0</v>
      </c>
      <c r="K9" s="5">
        <f>ตัวคูณโรงพยาบาล!K43</f>
        <v>0</v>
      </c>
      <c r="L9" s="5">
        <f t="shared" si="0"/>
        <v>0</v>
      </c>
    </row>
    <row r="10" spans="1:12" x14ac:dyDescent="0.25">
      <c r="C10" t="s">
        <v>77</v>
      </c>
      <c r="D10" s="5">
        <f>ตัวคูณโรงพยาบาล!D44</f>
        <v>0</v>
      </c>
      <c r="E10" s="5">
        <f>ตัวคูณโรงพยาบาล!E44</f>
        <v>0</v>
      </c>
      <c r="F10" s="5">
        <f>ตัวคูณโรงพยาบาล!F44</f>
        <v>0</v>
      </c>
      <c r="G10" s="5">
        <f>ตัวคูณโรงพยาบาล!G44</f>
        <v>0</v>
      </c>
      <c r="H10" s="5">
        <f>ตัวคูณโรงพยาบาล!H44</f>
        <v>0</v>
      </c>
      <c r="I10" s="5">
        <f>ตัวคูณโรงพยาบาล!I44</f>
        <v>0</v>
      </c>
      <c r="J10" s="5">
        <f>ตัวคูณโรงพยาบาล!J44</f>
        <v>0</v>
      </c>
      <c r="K10" s="5">
        <f>ตัวคูณโรงพยาบาล!K44</f>
        <v>0</v>
      </c>
      <c r="L10" s="5">
        <f t="shared" si="0"/>
        <v>0</v>
      </c>
    </row>
    <row r="11" spans="1:12" x14ac:dyDescent="0.25">
      <c r="C11" t="s">
        <v>78</v>
      </c>
      <c r="D11" s="5">
        <f>ตัวคูณโรงพยาบาล!D45</f>
        <v>0</v>
      </c>
      <c r="E11" s="5">
        <f>ตัวคูณโรงพยาบาล!E45</f>
        <v>0</v>
      </c>
      <c r="F11" s="5">
        <f>ตัวคูณโรงพยาบาล!F45</f>
        <v>2.305954785954786</v>
      </c>
      <c r="G11" s="5">
        <f>ตัวคูณโรงพยาบาล!G45</f>
        <v>3.477901778657376</v>
      </c>
      <c r="H11" s="5">
        <f>ตัวคูณโรงพยาบาล!H45</f>
        <v>0</v>
      </c>
      <c r="I11" s="5">
        <f>ตัวคูณโรงพยาบาล!I45</f>
        <v>0</v>
      </c>
      <c r="J11" s="5">
        <f>ตัวคูณโรงพยาบาล!J45</f>
        <v>0</v>
      </c>
      <c r="K11" s="5">
        <f>ตัวคูณโรงพยาบาล!K45</f>
        <v>0</v>
      </c>
      <c r="L11" s="5">
        <f t="shared" si="0"/>
        <v>5.7838565646121616</v>
      </c>
    </row>
    <row r="12" spans="1:12" x14ac:dyDescent="0.25">
      <c r="C12" t="s">
        <v>79</v>
      </c>
      <c r="D12" s="5">
        <f>ตัวคูณโรงพยาบาล!D46</f>
        <v>0</v>
      </c>
      <c r="E12" s="5">
        <f>ตัวคูณโรงพยาบาล!E46</f>
        <v>0</v>
      </c>
      <c r="F12" s="5">
        <f>ตัวคูณโรงพยาบาล!F46</f>
        <v>0</v>
      </c>
      <c r="G12" s="5">
        <f>ตัวคูณโรงพยาบาล!G46</f>
        <v>0</v>
      </c>
      <c r="H12" s="5">
        <f>ตัวคูณโรงพยาบาล!H46</f>
        <v>0</v>
      </c>
      <c r="I12" s="5">
        <f>ตัวคูณโรงพยาบาล!I46</f>
        <v>0</v>
      </c>
      <c r="J12" s="5">
        <f>ตัวคูณโรงพยาบาล!J46</f>
        <v>0</v>
      </c>
      <c r="K12" s="5">
        <f>ตัวคูณโรงพยาบาล!K46</f>
        <v>0</v>
      </c>
      <c r="L12" s="5">
        <f t="shared" si="0"/>
        <v>0</v>
      </c>
    </row>
    <row r="13" spans="1:12" x14ac:dyDescent="0.25">
      <c r="C13" t="s">
        <v>80</v>
      </c>
      <c r="D13" s="5">
        <f>ตัวคูณโรงพยาบาล!D47</f>
        <v>0</v>
      </c>
      <c r="E13" s="5">
        <f>ตัวคูณโรงพยาบาล!E47</f>
        <v>0</v>
      </c>
      <c r="F13" s="5">
        <f>ตัวคูณโรงพยาบาล!F47</f>
        <v>0</v>
      </c>
      <c r="G13" s="5">
        <f>ตัวคูณโรงพยาบาล!G47</f>
        <v>0</v>
      </c>
      <c r="H13" s="5">
        <f>ตัวคูณโรงพยาบาล!H47</f>
        <v>0</v>
      </c>
      <c r="I13" s="5">
        <f>ตัวคูณโรงพยาบาล!I47</f>
        <v>0</v>
      </c>
      <c r="J13" s="5">
        <f>ตัวคูณโรงพยาบาล!J47</f>
        <v>0</v>
      </c>
      <c r="K13" s="5">
        <f>ตัวคูณโรงพยาบาล!K47</f>
        <v>0</v>
      </c>
      <c r="L13" s="5">
        <f t="shared" si="0"/>
        <v>0</v>
      </c>
    </row>
    <row r="14" spans="1:12" x14ac:dyDescent="0.25">
      <c r="C14" t="s">
        <v>81</v>
      </c>
      <c r="D14" s="5">
        <f>ตัวคูณโรงพยาบาล!D48</f>
        <v>0</v>
      </c>
      <c r="E14" s="5">
        <f>ตัวคูณโรงพยาบาล!E48</f>
        <v>0</v>
      </c>
      <c r="F14" s="5">
        <f>ตัวคูณโรงพยาบาล!F48</f>
        <v>0</v>
      </c>
      <c r="G14" s="5">
        <f>ตัวคูณโรงพยาบาล!G48</f>
        <v>0</v>
      </c>
      <c r="H14" s="5">
        <f>ตัวคูณโรงพยาบาล!H48</f>
        <v>0</v>
      </c>
      <c r="I14" s="5">
        <f>ตัวคูณโรงพยาบาล!I48</f>
        <v>0</v>
      </c>
      <c r="J14" s="5">
        <f>ตัวคูณโรงพยาบาล!J48</f>
        <v>0</v>
      </c>
      <c r="K14" s="5">
        <f>ตัวคูณโรงพยาบาล!K48</f>
        <v>0</v>
      </c>
      <c r="L14" s="5">
        <f t="shared" si="0"/>
        <v>0</v>
      </c>
    </row>
    <row r="15" spans="1:12" x14ac:dyDescent="0.25">
      <c r="C15" t="s">
        <v>82</v>
      </c>
      <c r="D15" s="5">
        <f>ตัวคูณโรงพยาบาล!D49</f>
        <v>0</v>
      </c>
      <c r="E15" s="5">
        <f>ตัวคูณโรงพยาบาล!E49</f>
        <v>0</v>
      </c>
      <c r="F15" s="5">
        <f>ตัวคูณโรงพยาบาล!F49</f>
        <v>0</v>
      </c>
      <c r="G15" s="5">
        <f>ตัวคูณโรงพยาบาล!G49</f>
        <v>0</v>
      </c>
      <c r="H15" s="5">
        <f>ตัวคูณโรงพยาบาล!H49</f>
        <v>0</v>
      </c>
      <c r="I15" s="5">
        <f>ตัวคูณโรงพยาบาล!I49</f>
        <v>0</v>
      </c>
      <c r="J15" s="5">
        <f>ตัวคูณโรงพยาบาล!J49</f>
        <v>0</v>
      </c>
      <c r="K15" s="5">
        <f>ตัวคูณโรงพยาบาล!K49</f>
        <v>0</v>
      </c>
      <c r="L15" s="5">
        <f t="shared" si="0"/>
        <v>0</v>
      </c>
    </row>
    <row r="16" spans="1:12" x14ac:dyDescent="0.25">
      <c r="C16" t="s">
        <v>83</v>
      </c>
      <c r="D16" s="5">
        <f>ตัวคูณโรงพยาบาล!D50</f>
        <v>0</v>
      </c>
      <c r="E16" s="5">
        <f>ตัวคูณโรงพยาบาล!E50</f>
        <v>0</v>
      </c>
      <c r="F16" s="5">
        <f>ตัวคูณโรงพยาบาล!F50</f>
        <v>0</v>
      </c>
      <c r="G16" s="5">
        <f>ตัวคูณโรงพยาบาล!G50</f>
        <v>0</v>
      </c>
      <c r="H16" s="5">
        <f>ตัวคูณโรงพยาบาล!H50</f>
        <v>0</v>
      </c>
      <c r="I16" s="5">
        <f>ตัวคูณโรงพยาบาล!I50</f>
        <v>0</v>
      </c>
      <c r="J16" s="5">
        <f>ตัวคูณโรงพยาบาล!J50</f>
        <v>0</v>
      </c>
      <c r="K16" s="5">
        <f>ตัวคูณโรงพยาบาล!K50</f>
        <v>0</v>
      </c>
      <c r="L16" s="5">
        <f t="shared" si="0"/>
        <v>0</v>
      </c>
    </row>
    <row r="17" spans="3:12" x14ac:dyDescent="0.25">
      <c r="C17" t="s">
        <v>84</v>
      </c>
      <c r="D17" s="5">
        <f>ตัวคูณโรงพยาบาล!D51</f>
        <v>0</v>
      </c>
      <c r="E17" s="5">
        <f>ตัวคูณโรงพยาบาล!E51</f>
        <v>0</v>
      </c>
      <c r="F17" s="5">
        <f>ตัวคูณโรงพยาบาล!F51</f>
        <v>0</v>
      </c>
      <c r="G17" s="5">
        <f>ตัวคูณโรงพยาบาล!G51</f>
        <v>0</v>
      </c>
      <c r="H17" s="5">
        <f>ตัวคูณโรงพยาบาล!H51</f>
        <v>0</v>
      </c>
      <c r="I17" s="5">
        <f>ตัวคูณโรงพยาบาล!I51</f>
        <v>0</v>
      </c>
      <c r="J17" s="5">
        <f>ตัวคูณโรงพยาบาล!J51</f>
        <v>0</v>
      </c>
      <c r="K17" s="5">
        <f>ตัวคูณโรงพยาบาล!K51</f>
        <v>0</v>
      </c>
      <c r="L17" s="5">
        <f t="shared" si="0"/>
        <v>0</v>
      </c>
    </row>
    <row r="18" spans="3:12" x14ac:dyDescent="0.25">
      <c r="C18" t="s">
        <v>85</v>
      </c>
      <c r="D18" s="5">
        <f>ตัวคูณโรงพยาบาล!D52</f>
        <v>0</v>
      </c>
      <c r="E18" s="5">
        <f>ตัวคูณโรงพยาบาล!E52</f>
        <v>0</v>
      </c>
      <c r="F18" s="5">
        <f>ตัวคูณโรงพยาบาล!F52</f>
        <v>0</v>
      </c>
      <c r="G18" s="5">
        <f>ตัวคูณโรงพยาบาล!G52</f>
        <v>0</v>
      </c>
      <c r="H18" s="5">
        <f>ตัวคูณโรงพยาบาล!H52</f>
        <v>0</v>
      </c>
      <c r="I18" s="5">
        <f>ตัวคูณโรงพยาบาล!I52</f>
        <v>0</v>
      </c>
      <c r="J18" s="5">
        <f>ตัวคูณโรงพยาบาล!J52</f>
        <v>0</v>
      </c>
      <c r="K18" s="5">
        <f>ตัวคูณโรงพยาบาล!K52</f>
        <v>0</v>
      </c>
      <c r="L18" s="5">
        <f t="shared" si="0"/>
        <v>0</v>
      </c>
    </row>
    <row r="19" spans="3:12" x14ac:dyDescent="0.25">
      <c r="C19" t="s">
        <v>86</v>
      </c>
      <c r="D19" s="5">
        <f>ตัวคูณโรงพยาบาล!D53</f>
        <v>0</v>
      </c>
      <c r="E19" s="5">
        <f>ตัวคูณโรงพยาบาล!E53</f>
        <v>0</v>
      </c>
      <c r="F19" s="5">
        <f>ตัวคูณโรงพยาบาล!F53</f>
        <v>1.0012698412698413</v>
      </c>
      <c r="G19" s="5">
        <f>ตัวคูณโรงพยาบาล!G53</f>
        <v>5.0652512068323805</v>
      </c>
      <c r="H19" s="5">
        <f>ตัวคูณโรงพยาบาล!H53</f>
        <v>0</v>
      </c>
      <c r="I19" s="5">
        <f>ตัวคูณโรงพยาบาล!I53</f>
        <v>0</v>
      </c>
      <c r="J19" s="5">
        <f>ตัวคูณโรงพยาบาล!J53</f>
        <v>0</v>
      </c>
      <c r="K19" s="5">
        <f>ตัวคูณโรงพยาบาล!K53</f>
        <v>0</v>
      </c>
      <c r="L19" s="5">
        <f t="shared" si="0"/>
        <v>6.0665210481022216</v>
      </c>
    </row>
    <row r="20" spans="3:12" x14ac:dyDescent="0.25">
      <c r="C20" t="s">
        <v>87</v>
      </c>
      <c r="D20" s="5">
        <f>ตัวคูณโรงพยาบาล!D54</f>
        <v>0</v>
      </c>
      <c r="E20" s="5">
        <f>ตัวคูณโรงพยาบาล!E54</f>
        <v>0</v>
      </c>
      <c r="F20" s="5">
        <f>ตัวคูณโรงพยาบาล!F54</f>
        <v>2.0025396825396826</v>
      </c>
      <c r="G20" s="5">
        <f>ตัวคูณโรงพยาบาล!G54</f>
        <v>0</v>
      </c>
      <c r="H20" s="5">
        <f>ตัวคูณโรงพยาบาล!H54</f>
        <v>3.0797435112995335</v>
      </c>
      <c r="I20" s="5">
        <f>ตัวคูณโรงพยาบาล!I54</f>
        <v>0</v>
      </c>
      <c r="J20" s="5">
        <f>ตัวคูณโรงพยาบาล!J54</f>
        <v>0</v>
      </c>
      <c r="K20" s="5">
        <f>ตัวคูณโรงพยาบาล!K54</f>
        <v>0</v>
      </c>
      <c r="L20" s="5">
        <f t="shared" si="0"/>
        <v>5.0822831938392161</v>
      </c>
    </row>
    <row r="21" spans="3:12" x14ac:dyDescent="0.25">
      <c r="C21" t="s">
        <v>88</v>
      </c>
      <c r="D21" s="5">
        <f>ตัวคูณโรงพยาบาล!D55</f>
        <v>0</v>
      </c>
      <c r="E21" s="5">
        <f>ตัวคูณโรงพยาบาล!E55</f>
        <v>0</v>
      </c>
      <c r="F21" s="5">
        <f>ตัวคูณโรงพยาบาล!F55</f>
        <v>12.573116491103733</v>
      </c>
      <c r="G21" s="5">
        <f>ตัวคูณโรงพยาบาล!G55</f>
        <v>22.882808935408473</v>
      </c>
      <c r="H21" s="5">
        <f>ตัวคูณโรงพยาบาล!H55</f>
        <v>3.3557372266250662</v>
      </c>
      <c r="I21" s="5">
        <f>ตัวคูณโรงพยาบาล!I55</f>
        <v>0</v>
      </c>
      <c r="J21" s="5">
        <f>ตัวคูณโรงพยาบาล!J55</f>
        <v>0</v>
      </c>
      <c r="K21" s="5">
        <f>ตัวคูณโรงพยาบาล!K55</f>
        <v>0</v>
      </c>
      <c r="L21" s="5">
        <f t="shared" si="0"/>
        <v>38.811662653137276</v>
      </c>
    </row>
    <row r="22" spans="3:12" x14ac:dyDescent="0.25">
      <c r="C22" t="s">
        <v>89</v>
      </c>
      <c r="D22" s="5">
        <f>ตัวคูณโรงพยาบาล!D56</f>
        <v>0</v>
      </c>
      <c r="E22" s="5">
        <f>ตัวคูณโรงพยาบาล!E56</f>
        <v>0</v>
      </c>
      <c r="F22" s="5">
        <f>ตัวคูณโรงพยาบาล!F56</f>
        <v>0</v>
      </c>
      <c r="G22" s="5">
        <f>ตัวคูณโรงพยาบาล!G56</f>
        <v>0</v>
      </c>
      <c r="H22" s="5">
        <f>ตัวคูณโรงพยาบาล!H56</f>
        <v>1.1185790755416889</v>
      </c>
      <c r="I22" s="5">
        <f>ตัวคูณโรงพยาบาล!I56</f>
        <v>0</v>
      </c>
      <c r="J22" s="5">
        <f>ตัวคูณโรงพยาบาล!J56</f>
        <v>0</v>
      </c>
      <c r="K22" s="5">
        <f>ตัวคูณโรงพยาบาล!K56</f>
        <v>0</v>
      </c>
      <c r="L22" s="5">
        <f t="shared" si="0"/>
        <v>1.1185790755416889</v>
      </c>
    </row>
    <row r="23" spans="3:12" x14ac:dyDescent="0.25">
      <c r="C23" t="s">
        <v>90</v>
      </c>
      <c r="D23" s="5">
        <f>ตัวคูณโรงพยาบาล!D57</f>
        <v>0</v>
      </c>
      <c r="E23" s="5">
        <f>ตัวคูณโรงพยาบาล!E57</f>
        <v>0</v>
      </c>
      <c r="F23" s="5">
        <f>ตัวคูณโรงพยาบาล!F57</f>
        <v>0</v>
      </c>
      <c r="G23" s="5">
        <f>ตัวคูณโรงพยาบาล!G57</f>
        <v>0</v>
      </c>
      <c r="H23" s="5">
        <f>ตัวคูณโรงพยาบาล!H57</f>
        <v>0</v>
      </c>
      <c r="I23" s="5">
        <f>ตัวคูณโรงพยาบาล!I57</f>
        <v>0</v>
      </c>
      <c r="J23" s="5">
        <f>ตัวคูณโรงพยาบาล!J57</f>
        <v>0</v>
      </c>
      <c r="K23" s="5">
        <f>ตัวคูณโรงพยาบาล!K57</f>
        <v>0</v>
      </c>
      <c r="L23" s="5">
        <f t="shared" si="0"/>
        <v>0</v>
      </c>
    </row>
    <row r="24" spans="3:12" x14ac:dyDescent="0.25">
      <c r="C24" t="s">
        <v>91</v>
      </c>
      <c r="D24" s="5">
        <f>ตัวคูณโรงพยาบาล!D58</f>
        <v>0</v>
      </c>
      <c r="E24" s="5">
        <f>ตัวคูณโรงพยาบาล!E58</f>
        <v>0</v>
      </c>
      <c r="F24" s="5">
        <f>ตัวคูณโรงพยาบาล!F58</f>
        <v>0</v>
      </c>
      <c r="G24" s="5">
        <f>ตัวคูณโรงพยาบาล!G58</f>
        <v>0</v>
      </c>
      <c r="H24" s="5">
        <f>ตัวคูณโรงพยาบาล!H58</f>
        <v>0</v>
      </c>
      <c r="I24" s="5">
        <f>ตัวคูณโรงพยาบาล!I58</f>
        <v>0</v>
      </c>
      <c r="J24" s="5">
        <f>ตัวคูณโรงพยาบาล!J58</f>
        <v>0</v>
      </c>
      <c r="K24" s="5">
        <f>ตัวคูณโรงพยาบาล!K58</f>
        <v>0</v>
      </c>
      <c r="L24" s="5">
        <f t="shared" si="0"/>
        <v>0</v>
      </c>
    </row>
    <row r="25" spans="3:12" x14ac:dyDescent="0.25">
      <c r="C25" t="s">
        <v>92</v>
      </c>
      <c r="D25" s="5">
        <f>ตัวคูณโรงพยาบาล!D59</f>
        <v>0</v>
      </c>
      <c r="E25" s="5">
        <f>ตัวคูณโรงพยาบาล!E59</f>
        <v>0</v>
      </c>
      <c r="F25" s="5">
        <f>ตัวคูณโรงพยาบาล!F59</f>
        <v>0</v>
      </c>
      <c r="G25" s="5">
        <f>ตัวคูณโรงพยาบาล!G59</f>
        <v>0</v>
      </c>
      <c r="H25" s="5">
        <f>ตัวคูณโรงพยาบาล!H59</f>
        <v>0</v>
      </c>
      <c r="I25" s="5">
        <f>ตัวคูณโรงพยาบาล!I59</f>
        <v>0</v>
      </c>
      <c r="J25" s="5">
        <f>ตัวคูณโรงพยาบาล!J59</f>
        <v>0</v>
      </c>
      <c r="K25" s="5">
        <f>ตัวคูณโรงพยาบาล!K59</f>
        <v>0</v>
      </c>
      <c r="L25" s="5">
        <f t="shared" si="0"/>
        <v>0</v>
      </c>
    </row>
    <row r="26" spans="3:12" x14ac:dyDescent="0.25">
      <c r="C26" t="s">
        <v>93</v>
      </c>
      <c r="D26" s="5">
        <f>ตัวคูณโรงพยาบาล!D60</f>
        <v>0</v>
      </c>
      <c r="E26" s="5">
        <f>ตัวคูณโรงพยาบาล!E60</f>
        <v>0</v>
      </c>
      <c r="F26" s="5">
        <f>ตัวคูณโรงพยาบาล!F60</f>
        <v>0</v>
      </c>
      <c r="G26" s="5">
        <f>ตัวคูณโรงพยาบาล!G60</f>
        <v>0</v>
      </c>
      <c r="H26" s="5">
        <f>ตัวคูณโรงพยาบาล!H60</f>
        <v>0</v>
      </c>
      <c r="I26" s="5">
        <f>ตัวคูณโรงพยาบาล!I60</f>
        <v>0</v>
      </c>
      <c r="J26" s="5">
        <f>ตัวคูณโรงพยาบาล!J60</f>
        <v>0</v>
      </c>
      <c r="K26" s="5">
        <f>ตัวคูณโรงพยาบาล!K60</f>
        <v>0</v>
      </c>
      <c r="L26" s="5">
        <f t="shared" si="0"/>
        <v>0</v>
      </c>
    </row>
    <row r="27" spans="3:12" x14ac:dyDescent="0.25">
      <c r="C27" t="s">
        <v>94</v>
      </c>
      <c r="D27" s="5">
        <f>ตัวคูณโรงพยาบาล!D61</f>
        <v>0</v>
      </c>
      <c r="E27" s="5">
        <f>ตัวคูณโรงพยาบาล!E61</f>
        <v>0</v>
      </c>
      <c r="F27" s="5">
        <f>ตัวคูณโรงพยาบาล!F61</f>
        <v>0</v>
      </c>
      <c r="G27" s="5">
        <f>ตัวคูณโรงพยาบาล!G61</f>
        <v>0</v>
      </c>
      <c r="H27" s="5">
        <f>ตัวคูณโรงพยาบาล!H61</f>
        <v>0</v>
      </c>
      <c r="I27" s="5">
        <f>ตัวคูณโรงพยาบาล!I61</f>
        <v>0</v>
      </c>
      <c r="J27" s="5">
        <f>ตัวคูณโรงพยาบาล!J61</f>
        <v>0</v>
      </c>
      <c r="K27" s="5">
        <f>ตัวคูณโรงพยาบาล!K61</f>
        <v>0</v>
      </c>
      <c r="L27" s="5">
        <f t="shared" si="0"/>
        <v>0</v>
      </c>
    </row>
    <row r="28" spans="3:12" x14ac:dyDescent="0.25">
      <c r="C28" t="s">
        <v>95</v>
      </c>
      <c r="D28" s="5">
        <f>ตัวคูณโรงพยาบาล!D62</f>
        <v>0</v>
      </c>
      <c r="E28" s="5">
        <f>ตัวคูณโรงพยาบาล!E62</f>
        <v>0</v>
      </c>
      <c r="F28" s="5">
        <f>ตัวคูณโรงพยาบาล!F62</f>
        <v>0</v>
      </c>
      <c r="G28" s="5">
        <f>ตัวคูณโรงพยาบาล!G62</f>
        <v>0</v>
      </c>
      <c r="H28" s="5">
        <f>ตัวคูณโรงพยาบาล!H62</f>
        <v>0</v>
      </c>
      <c r="I28" s="5">
        <f>ตัวคูณโรงพยาบาล!I62</f>
        <v>0</v>
      </c>
      <c r="J28" s="5">
        <f>ตัวคูณโรงพยาบาล!J62</f>
        <v>0</v>
      </c>
      <c r="K28" s="5">
        <f>ตัวคูณโรงพยาบาล!K62</f>
        <v>0</v>
      </c>
      <c r="L28" s="5">
        <f t="shared" si="0"/>
        <v>0</v>
      </c>
    </row>
    <row r="29" spans="3:12" x14ac:dyDescent="0.25">
      <c r="C29" t="s">
        <v>96</v>
      </c>
      <c r="D29" s="5">
        <f>ตัวคูณโรงพยาบาล!D63</f>
        <v>0</v>
      </c>
      <c r="E29" s="5">
        <f>ตัวคูณโรงพยาบาล!E63</f>
        <v>0</v>
      </c>
      <c r="F29" s="5">
        <f>ตัวคูณโรงพยาบาล!F63</f>
        <v>0</v>
      </c>
      <c r="G29" s="5">
        <f>ตัวคูณโรงพยาบาล!G63</f>
        <v>0</v>
      </c>
      <c r="H29" s="5">
        <f>ตัวคูณโรงพยาบาล!H63</f>
        <v>0</v>
      </c>
      <c r="I29" s="5">
        <f>ตัวคูณโรงพยาบาล!I63</f>
        <v>0</v>
      </c>
      <c r="J29" s="5">
        <f>ตัวคูณโรงพยาบาล!J63</f>
        <v>0</v>
      </c>
      <c r="K29" s="5">
        <f>ตัวคูณโรงพยาบาล!K63</f>
        <v>0</v>
      </c>
      <c r="L29" s="5">
        <f t="shared" si="0"/>
        <v>0</v>
      </c>
    </row>
    <row r="30" spans="3:12" x14ac:dyDescent="0.25">
      <c r="C30" t="s">
        <v>97</v>
      </c>
      <c r="D30" s="5">
        <f>ตัวคูณโรงพยาบาล!D64</f>
        <v>0</v>
      </c>
      <c r="E30" s="5">
        <f>ตัวคูณโรงพยาบาล!E64</f>
        <v>0</v>
      </c>
      <c r="F30" s="5">
        <f>ตัวคูณโรงพยาบาล!F64</f>
        <v>0</v>
      </c>
      <c r="G30" s="5">
        <f>ตัวคูณโรงพยาบาล!G64</f>
        <v>0</v>
      </c>
      <c r="H30" s="5">
        <f>ตัวคูณโรงพยาบาล!H64</f>
        <v>0</v>
      </c>
      <c r="I30" s="5">
        <f>ตัวคูณโรงพยาบาล!I64</f>
        <v>0</v>
      </c>
      <c r="J30" s="5">
        <f>ตัวคูณโรงพยาบาล!J64</f>
        <v>0</v>
      </c>
      <c r="K30" s="5">
        <f>ตัวคูณโรงพยาบาล!K64</f>
        <v>0</v>
      </c>
      <c r="L30" s="5">
        <f t="shared" si="0"/>
        <v>0</v>
      </c>
    </row>
    <row r="31" spans="3:12" x14ac:dyDescent="0.25">
      <c r="C31" t="s">
        <v>98</v>
      </c>
      <c r="D31" s="5">
        <f>ตัวคูณโรงพยาบาล!D65</f>
        <v>0</v>
      </c>
      <c r="E31" s="5">
        <f>ตัวคูณโรงพยาบาล!E65</f>
        <v>0</v>
      </c>
      <c r="F31" s="5">
        <f>ตัวคูณโรงพยาบาล!F65</f>
        <v>0</v>
      </c>
      <c r="G31" s="5">
        <f>ตัวคูณโรงพยาบาล!G65</f>
        <v>0</v>
      </c>
      <c r="H31" s="5">
        <f>ตัวคูณโรงพยาบาล!H65</f>
        <v>0</v>
      </c>
      <c r="I31" s="5">
        <f>ตัวคูณโรงพยาบาล!I65</f>
        <v>0</v>
      </c>
      <c r="J31" s="5">
        <f>ตัวคูณโรงพยาบาล!J65</f>
        <v>0</v>
      </c>
      <c r="K31" s="5">
        <f>ตัวคูณโรงพยาบาล!K65</f>
        <v>0</v>
      </c>
      <c r="L31" s="5">
        <f t="shared" si="0"/>
        <v>0</v>
      </c>
    </row>
    <row r="32" spans="3:12" x14ac:dyDescent="0.25">
      <c r="C32" t="s">
        <v>119</v>
      </c>
      <c r="D32" s="5">
        <f>ตัวคูณโรงพยาบาล!D66</f>
        <v>0</v>
      </c>
      <c r="E32" s="5">
        <f>ตัวคูณโรงพยาบาล!E66</f>
        <v>0</v>
      </c>
      <c r="F32" s="5">
        <f>ตัวคูณโรงพยาบาล!F66</f>
        <v>0</v>
      </c>
      <c r="G32" s="5">
        <f>ตัวคูณโรงพยาบาล!G66</f>
        <v>1.159300592885792</v>
      </c>
      <c r="H32" s="5">
        <f>ตัวคูณโรงพยาบาล!H66</f>
        <v>0</v>
      </c>
      <c r="I32" s="5">
        <f>ตัวคูณโรงพยาบาล!I66</f>
        <v>0</v>
      </c>
      <c r="J32" s="5">
        <f>ตัวคูณโรงพยาบาล!J66</f>
        <v>0</v>
      </c>
      <c r="K32" s="5">
        <f>ตัวคูณโรงพยาบาล!K66</f>
        <v>0</v>
      </c>
      <c r="L32" s="5">
        <f t="shared" si="0"/>
        <v>1.159300592885792</v>
      </c>
    </row>
    <row r="33" spans="1:12" x14ac:dyDescent="0.25">
      <c r="C33" t="s">
        <v>99</v>
      </c>
      <c r="D33" s="5">
        <f>ตัวคูณโรงพยาบาล!D67</f>
        <v>0</v>
      </c>
      <c r="E33" s="5">
        <f>ตัวคูณโรงพยาบาล!E67</f>
        <v>0</v>
      </c>
      <c r="F33" s="5">
        <f>ตัวคูณโรงพยาบาล!F67</f>
        <v>0</v>
      </c>
      <c r="G33" s="5">
        <f>ตัวคูณโรงพยาบาล!G67</f>
        <v>6.652600635007385</v>
      </c>
      <c r="H33" s="5">
        <f>ตัวคูณโรงพยาบาล!H67</f>
        <v>1.1185790755416889</v>
      </c>
      <c r="I33" s="5">
        <f>ตัวคูณโรงพยาบาล!I67</f>
        <v>0</v>
      </c>
      <c r="J33" s="5">
        <f>ตัวคูณโรงพยาบาล!J67</f>
        <v>0</v>
      </c>
      <c r="K33" s="5">
        <f>ตัวคูณโรงพยาบาล!K67</f>
        <v>0</v>
      </c>
      <c r="L33" s="5">
        <f t="shared" si="0"/>
        <v>7.7711797105490739</v>
      </c>
    </row>
    <row r="34" spans="1:12" x14ac:dyDescent="0.25">
      <c r="C34" t="s">
        <v>100</v>
      </c>
      <c r="D34" s="5">
        <f>ตัวคูณโรงพยาบาล!D68</f>
        <v>0</v>
      </c>
      <c r="E34" s="5">
        <f>ตัวคูณโรงพยาบาล!E68</f>
        <v>0</v>
      </c>
      <c r="F34" s="5">
        <f>ตัวคูณโรงพยาบาล!F68</f>
        <v>78.988655656579098</v>
      </c>
      <c r="G34" s="5">
        <f>ตัวคูณโรงพยาบาล!G68</f>
        <v>101.5931689701268</v>
      </c>
      <c r="H34" s="5">
        <f>ตัวคูณโรงพยาบาล!H68</f>
        <v>36.580568476774765</v>
      </c>
      <c r="I34" s="5">
        <f>ตัวคูณโรงพยาบาล!I68</f>
        <v>1.0062429057888762</v>
      </c>
      <c r="J34" s="5">
        <f>ตัวคูณโรงพยาบาล!J68</f>
        <v>0</v>
      </c>
      <c r="K34" s="5">
        <f>ตัวคูณโรงพยาบาล!K68</f>
        <v>0</v>
      </c>
      <c r="L34" s="5">
        <f t="shared" si="0"/>
        <v>218.16863600926953</v>
      </c>
    </row>
    <row r="35" spans="1:12" x14ac:dyDescent="0.25">
      <c r="C35" t="s">
        <v>101</v>
      </c>
      <c r="D35" s="5">
        <f>ตัวคูณโรงพยาบาล!D69</f>
        <v>0</v>
      </c>
      <c r="E35" s="5">
        <f>ตัวคูณโรงพยาบาล!E69</f>
        <v>0</v>
      </c>
      <c r="F35" s="5">
        <f>ตัวคูณโรงพยาบาล!F69</f>
        <v>5.6552521332393741</v>
      </c>
      <c r="G35" s="5">
        <f>ตัวคูณโรงพยาบาล!G69</f>
        <v>1.159300592885792</v>
      </c>
      <c r="H35" s="5">
        <f>ตัวคูณโรงพยาบาล!H69</f>
        <v>1.1185790755416889</v>
      </c>
      <c r="I35" s="5">
        <f>ตัวคูณโรงพยาบาล!I69</f>
        <v>0</v>
      </c>
      <c r="J35" s="5">
        <f>ตัวคูณโรงพยาบาล!J69</f>
        <v>0</v>
      </c>
      <c r="K35" s="5">
        <f>ตัวคูณโรงพยาบาล!K69</f>
        <v>0</v>
      </c>
      <c r="L35" s="5">
        <f t="shared" si="0"/>
        <v>7.9331318016668551</v>
      </c>
    </row>
    <row r="36" spans="1:12" x14ac:dyDescent="0.25">
      <c r="A36" s="23" t="s">
        <v>104</v>
      </c>
      <c r="B36" s="23" t="s">
        <v>106</v>
      </c>
      <c r="C36" t="s">
        <v>70</v>
      </c>
      <c r="D36" s="5">
        <f>ตัวคูณโรงพยาบาล!D70</f>
        <v>0</v>
      </c>
      <c r="E36" s="5">
        <f>ตัวคูณโรงพยาบาล!E70</f>
        <v>0</v>
      </c>
      <c r="F36" s="5">
        <f>ตัวคูณโรงพยาบาล!F70</f>
        <v>87.706251239857409</v>
      </c>
      <c r="G36" s="5">
        <f>ตัวคูณโรงพยาบาล!G70</f>
        <v>88.796163765824815</v>
      </c>
      <c r="H36" s="5">
        <f>ตัวคูณโรงพยาบาล!H70</f>
        <v>25.461971423469386</v>
      </c>
      <c r="I36" s="5">
        <f>ตัวคูณโรงพยาบาล!I70</f>
        <v>0</v>
      </c>
      <c r="J36" s="5">
        <f>ตัวคูณโรงพยาบาล!J70</f>
        <v>3.0303030303030304E-2</v>
      </c>
      <c r="K36" s="5">
        <f>ตัวคูณโรงพยาบาล!K70</f>
        <v>0</v>
      </c>
      <c r="L36" s="5">
        <f t="shared" si="0"/>
        <v>201.99468945945463</v>
      </c>
    </row>
    <row r="37" spans="1:12" x14ac:dyDescent="0.25">
      <c r="C37" t="s">
        <v>71</v>
      </c>
      <c r="D37" s="5">
        <f>ตัวคูณโรงพยาบาล!D71</f>
        <v>0</v>
      </c>
      <c r="E37" s="5">
        <f>ตัวคูณโรงพยาบาล!E71</f>
        <v>0</v>
      </c>
      <c r="F37" s="5">
        <f>ตัวคูณโรงพยาบาล!F71</f>
        <v>454.27105692795254</v>
      </c>
      <c r="G37" s="5">
        <f>ตัวคูณโรงพยาบาล!G71</f>
        <v>489.21861432944308</v>
      </c>
      <c r="H37" s="5">
        <f>ตัวคูณโรงพยาบาล!H71</f>
        <v>118.92890423357625</v>
      </c>
      <c r="I37" s="5">
        <f>ตัวคูณโรงพยาบาล!I71</f>
        <v>7.7252999003891603</v>
      </c>
      <c r="J37" s="5">
        <f>ตัวคูณโรงพยาบาล!J71</f>
        <v>3.0303030303030304E-2</v>
      </c>
      <c r="K37" s="5">
        <f>ตัวคูณโรงพยาบาล!K71</f>
        <v>0</v>
      </c>
      <c r="L37" s="5">
        <f t="shared" si="0"/>
        <v>1070.1741784216642</v>
      </c>
    </row>
    <row r="38" spans="1:12" x14ac:dyDescent="0.25">
      <c r="C38" t="s">
        <v>72</v>
      </c>
      <c r="D38" s="5">
        <f>ตัวคูณโรงพยาบาล!D72</f>
        <v>0</v>
      </c>
      <c r="E38" s="5">
        <f>ตัวคูณโรงพยาบาล!E72</f>
        <v>0</v>
      </c>
      <c r="F38" s="5">
        <f>ตัวคูณโรงพยาบาล!F72</f>
        <v>11.251501997687324</v>
      </c>
      <c r="G38" s="5">
        <f>ตัวคูณโรงพยาบาล!G72</f>
        <v>11.427375104765478</v>
      </c>
      <c r="H38" s="5">
        <f>ตัวคูณโรงพยาบาล!H72</f>
        <v>2.4026367818648842</v>
      </c>
      <c r="I38" s="5">
        <f>ตัวคูณโรงพยาบาล!I72</f>
        <v>0</v>
      </c>
      <c r="J38" s="5">
        <f>ตัวคูณโรงพยาบาล!J72</f>
        <v>3.0303030303030304E-2</v>
      </c>
      <c r="K38" s="5">
        <f>ตัวคูณโรงพยาบาล!K72</f>
        <v>0</v>
      </c>
      <c r="L38" s="5">
        <f t="shared" si="0"/>
        <v>25.111816914620718</v>
      </c>
    </row>
    <row r="39" spans="1:12" x14ac:dyDescent="0.25">
      <c r="C39" t="s">
        <v>73</v>
      </c>
      <c r="D39" s="5">
        <f>ตัวคูณโรงพยาบาล!D73</f>
        <v>0</v>
      </c>
      <c r="E39" s="5">
        <f>ตัวคูณโรงพยาบาล!E73</f>
        <v>0</v>
      </c>
      <c r="F39" s="5">
        <f>ตัวคูณโรงพยาบาล!F73</f>
        <v>13.239324243447793</v>
      </c>
      <c r="G39" s="5">
        <f>ตัวคูณโรงพยาบาล!G73</f>
        <v>12.709850441317199</v>
      </c>
      <c r="H39" s="5">
        <f>ตัวคูณโรงพยาบาล!H73</f>
        <v>8.2304383443318834</v>
      </c>
      <c r="I39" s="5">
        <f>ตัวคูณโรงพยาบาล!I73</f>
        <v>1.0062429057888762</v>
      </c>
      <c r="J39" s="5">
        <f>ตัวคูณโรงพยาบาล!J73</f>
        <v>3.0303030303030304E-2</v>
      </c>
      <c r="K39" s="5">
        <f>ตัวคูณโรงพยาบาล!K73</f>
        <v>0</v>
      </c>
      <c r="L39" s="5">
        <f t="shared" si="0"/>
        <v>35.216158965188775</v>
      </c>
    </row>
    <row r="40" spans="1:12" x14ac:dyDescent="0.25">
      <c r="C40" t="s">
        <v>74</v>
      </c>
      <c r="D40" s="5">
        <f>ตัวคูณโรงพยาบาล!D74</f>
        <v>0</v>
      </c>
      <c r="E40" s="5">
        <f>ตัวคูณโรงพยาบาล!E74</f>
        <v>0</v>
      </c>
      <c r="F40" s="5">
        <f>ตัวคูณโรงพยาบาล!F74</f>
        <v>31.726742645298621</v>
      </c>
      <c r="G40" s="5">
        <f>ตัวคูณโรงพยาบาล!G74</f>
        <v>51.491576659077893</v>
      </c>
      <c r="H40" s="5">
        <f>ตัวคูณโรงพยาบาล!H74</f>
        <v>23.724281855951304</v>
      </c>
      <c r="I40" s="5">
        <f>ตัวคูณโรงพยาบาล!I74</f>
        <v>3.5813428725852634</v>
      </c>
      <c r="J40" s="5">
        <f>ตัวคูณโรงพยาบาล!J74</f>
        <v>3.0303030303030304E-2</v>
      </c>
      <c r="K40" s="5">
        <f>ตัวคูณโรงพยาบาล!K74</f>
        <v>0</v>
      </c>
      <c r="L40" s="5">
        <f t="shared" si="0"/>
        <v>110.55424706321611</v>
      </c>
    </row>
    <row r="41" spans="1:12" x14ac:dyDescent="0.25">
      <c r="C41" t="s">
        <v>75</v>
      </c>
      <c r="D41" s="5">
        <f>ตัวคูณโรงพยาบาล!D75</f>
        <v>0</v>
      </c>
      <c r="E41" s="5">
        <f>ตัวคูณโรงพยาบาล!E75</f>
        <v>0</v>
      </c>
      <c r="F41" s="5">
        <f>ตัวคูณโรงพยาบาล!F75</f>
        <v>6.6196621217238967</v>
      </c>
      <c r="G41" s="5">
        <f>ตัวคูณโรงพยาบาล!G75</f>
        <v>0</v>
      </c>
      <c r="H41" s="5">
        <f>ตัวคูณโรงพยาบาล!H75</f>
        <v>0</v>
      </c>
      <c r="I41" s="5">
        <f>ตัวคูณโรงพยาบาล!I75</f>
        <v>0</v>
      </c>
      <c r="J41" s="5">
        <f>ตัวคูณโรงพยาบาล!J75</f>
        <v>3.0303030303030304E-2</v>
      </c>
      <c r="K41" s="5">
        <f>ตัวคูณโรงพยาบาล!K75</f>
        <v>0</v>
      </c>
      <c r="L41" s="5">
        <f t="shared" si="0"/>
        <v>6.649965152026927</v>
      </c>
    </row>
    <row r="42" spans="1:12" x14ac:dyDescent="0.25">
      <c r="C42" t="s">
        <v>76</v>
      </c>
      <c r="D42" s="5">
        <f>ตัวคูณโรงพยาบาล!D76</f>
        <v>0</v>
      </c>
      <c r="E42" s="5">
        <f>ตัวคูณโรงพยาบาล!E76</f>
        <v>0</v>
      </c>
      <c r="F42" s="5">
        <f>ตัวคูณโรงพยาบาล!F76</f>
        <v>58.113650008700191</v>
      </c>
      <c r="G42" s="5">
        <f>ตัวคูณโรงพยาบาล!G76</f>
        <v>41.175167676080314</v>
      </c>
      <c r="H42" s="5">
        <f>ตัวคูณโรงพยาบาล!H76</f>
        <v>18.254061077874731</v>
      </c>
      <c r="I42" s="5">
        <f>ตัวคูณโรงพยาบาล!I76</f>
        <v>0</v>
      </c>
      <c r="J42" s="5">
        <f>ตัวคูณโรงพยาบาล!J76</f>
        <v>3.0303030303030304E-2</v>
      </c>
      <c r="K42" s="5">
        <f>ตัวคูณโรงพยาบาล!K76</f>
        <v>0</v>
      </c>
      <c r="L42" s="5">
        <f t="shared" si="0"/>
        <v>117.57318179295825</v>
      </c>
    </row>
    <row r="43" spans="1:12" x14ac:dyDescent="0.25">
      <c r="C43" t="s">
        <v>77</v>
      </c>
      <c r="D43" s="5">
        <f>ตัวคูณโรงพยาบาล!D77</f>
        <v>0</v>
      </c>
      <c r="E43" s="5">
        <f>ตัวคูณโรงพยาบาล!E77</f>
        <v>0</v>
      </c>
      <c r="F43" s="5">
        <f>ตัวคูณโรงพยาบาล!F77</f>
        <v>147.25052900330891</v>
      </c>
      <c r="G43" s="5">
        <f>ตัวคูณโรงพยาบาล!G77</f>
        <v>146.9873991208363</v>
      </c>
      <c r="H43" s="5">
        <f>ตัวคูณโรงพยาบาล!H77</f>
        <v>55.570188466499843</v>
      </c>
      <c r="I43" s="5">
        <f>ตัวคูณโรงพยาบาล!I77</f>
        <v>3.5813428725852634</v>
      </c>
      <c r="J43" s="5">
        <f>ตัวคูณโรงพยาบาล!J77</f>
        <v>3.0303030303030304E-2</v>
      </c>
      <c r="K43" s="5">
        <f>ตัวคูณโรงพยาบาล!K77</f>
        <v>0</v>
      </c>
      <c r="L43" s="5">
        <f t="shared" si="0"/>
        <v>353.41976249353337</v>
      </c>
    </row>
    <row r="44" spans="1:12" x14ac:dyDescent="0.25">
      <c r="C44" t="s">
        <v>78</v>
      </c>
      <c r="D44" s="5">
        <f>ตัวคูณโรงพยาบาล!D78</f>
        <v>0</v>
      </c>
      <c r="E44" s="5">
        <f>ตัวคูณโรงพยาบาล!E78</f>
        <v>0</v>
      </c>
      <c r="F44" s="5">
        <f>ตัวคูณโรงพยาบาล!F78</f>
        <v>163.42202746717803</v>
      </c>
      <c r="G44" s="5">
        <f>ตัวคูณโรงพยาบาล!G78</f>
        <v>142.47750104614465</v>
      </c>
      <c r="H44" s="5">
        <f>ตัวคูณโรงพยาบาล!H78</f>
        <v>30.998376481619864</v>
      </c>
      <c r="I44" s="5">
        <f>ตัวคูณโรงพยาบาล!I78</f>
        <v>1.0062429057888762</v>
      </c>
      <c r="J44" s="5">
        <f>ตัวคูณโรงพยาบาล!J78</f>
        <v>3.0303030303030304E-2</v>
      </c>
      <c r="K44" s="5">
        <f>ตัวคูณโรงพยาบาล!K78</f>
        <v>0</v>
      </c>
      <c r="L44" s="5">
        <f t="shared" si="0"/>
        <v>337.93445093103446</v>
      </c>
    </row>
    <row r="45" spans="1:12" x14ac:dyDescent="0.25">
      <c r="C45" t="s">
        <v>79</v>
      </c>
      <c r="D45" s="5">
        <f>ตัวคูณโรงพยาบาล!D79</f>
        <v>0</v>
      </c>
      <c r="E45" s="5">
        <f>ตัวคูณโรงพยาบาล!E79</f>
        <v>0</v>
      </c>
      <c r="F45" s="5">
        <f>ตัวคูณโรงพยาบาล!F79</f>
        <v>12.318572704758029</v>
      </c>
      <c r="G45" s="5">
        <f>ตัวคูณโรงพยาบาล!G79</f>
        <v>20.89694541949191</v>
      </c>
      <c r="H45" s="5">
        <f>ตัวคูณโรงพยาบาล!H79</f>
        <v>1.02252799873723</v>
      </c>
      <c r="I45" s="5">
        <f>ตัวคูณโรงพยาบาล!I79</f>
        <v>0</v>
      </c>
      <c r="J45" s="5">
        <f>ตัวคูณโรงพยาบาล!J79</f>
        <v>3.0303030303030304E-2</v>
      </c>
      <c r="K45" s="5">
        <f>ตัวคูณโรงพยาบาล!K79</f>
        <v>0</v>
      </c>
      <c r="L45" s="5">
        <f t="shared" si="0"/>
        <v>34.268349153290202</v>
      </c>
    </row>
    <row r="46" spans="1:12" x14ac:dyDescent="0.25">
      <c r="C46" t="s">
        <v>80</v>
      </c>
      <c r="D46" s="5">
        <f>ตัวคูณโรงพยาบาล!D80</f>
        <v>0</v>
      </c>
      <c r="E46" s="5">
        <f>ตัวคูณโรงพยาบาล!E80</f>
        <v>0</v>
      </c>
      <c r="F46" s="5">
        <f>ตัวคูณโรงพยาบาล!F80</f>
        <v>18.720996947182272</v>
      </c>
      <c r="G46" s="5">
        <f>ตัวคูณโรงพยาบาล!G80</f>
        <v>26.507512444724064</v>
      </c>
      <c r="H46" s="5">
        <f>ตัวคูณโรงพยาบาล!H80</f>
        <v>6.9165138412781362</v>
      </c>
      <c r="I46" s="5">
        <f>ตัวคูณโรงพยาบาล!I80</f>
        <v>0</v>
      </c>
      <c r="J46" s="5">
        <f>ตัวคูณโรงพยาบาล!J80</f>
        <v>3.0303030303030304E-2</v>
      </c>
      <c r="K46" s="5">
        <f>ตัวคูณโรงพยาบาล!K80</f>
        <v>0</v>
      </c>
      <c r="L46" s="5">
        <f t="shared" si="0"/>
        <v>52.175326263487506</v>
      </c>
    </row>
    <row r="47" spans="1:12" x14ac:dyDescent="0.25">
      <c r="C47" t="s">
        <v>81</v>
      </c>
      <c r="D47" s="5">
        <f>ตัวคูณโรงพยาบาล!D81</f>
        <v>0</v>
      </c>
      <c r="E47" s="5">
        <f>ตัวคูณโรงพยาบาล!E81</f>
        <v>0</v>
      </c>
      <c r="F47" s="5">
        <f>ตัวคูณโรงพยาบาล!F81</f>
        <v>2.1341414141414141</v>
      </c>
      <c r="G47" s="5">
        <f>ตัวคูณโรงพยาบาล!G81</f>
        <v>0</v>
      </c>
      <c r="H47" s="5">
        <f>ตัวคูณโรงพยาบาล!H81</f>
        <v>0</v>
      </c>
      <c r="I47" s="5">
        <f>ตัวคูณโรงพยาบาล!I81</f>
        <v>0</v>
      </c>
      <c r="J47" s="5">
        <f>ตัวคูณโรงพยาบาล!J81</f>
        <v>3.0303030303030304E-2</v>
      </c>
      <c r="K47" s="5">
        <f>ตัวคูณโรงพยาบาล!K81</f>
        <v>0</v>
      </c>
      <c r="L47" s="5">
        <f t="shared" si="0"/>
        <v>2.1644444444444444</v>
      </c>
    </row>
    <row r="48" spans="1:12" x14ac:dyDescent="0.25">
      <c r="C48" t="s">
        <v>82</v>
      </c>
      <c r="D48" s="5">
        <f>ตัวคูณโรงพยาบาล!D82</f>
        <v>0</v>
      </c>
      <c r="E48" s="5">
        <f>ตัวคูณโรงพยาบาล!E82</f>
        <v>0</v>
      </c>
      <c r="F48" s="5">
        <f>ตัวคูณโรงพยาบาล!F82</f>
        <v>11.069723473847024</v>
      </c>
      <c r="G48" s="5">
        <f>ตัวคูณโรงพยาบาล!G82</f>
        <v>11.633616159066648</v>
      </c>
      <c r="H48" s="5">
        <f>ตัวคูณโรงพยาบาล!H82</f>
        <v>2.4026367818648842</v>
      </c>
      <c r="I48" s="5">
        <f>ตัวคูณโรงพยาบาล!I82</f>
        <v>0</v>
      </c>
      <c r="J48" s="5">
        <f>ตัวคูณโรงพยาบาล!J82</f>
        <v>3.0303030303030304E-2</v>
      </c>
      <c r="K48" s="5">
        <f>ตัวคูณโรงพยาบาล!K82</f>
        <v>0</v>
      </c>
      <c r="L48" s="5">
        <f t="shared" si="0"/>
        <v>25.136279445081588</v>
      </c>
    </row>
    <row r="49" spans="3:12" x14ac:dyDescent="0.25">
      <c r="C49" t="s">
        <v>83</v>
      </c>
      <c r="D49" s="5">
        <f>ตัวคูณโรงพยาบาล!D83</f>
        <v>0</v>
      </c>
      <c r="E49" s="5">
        <f>ตัวคูณโรงพยาบาล!E83</f>
        <v>0</v>
      </c>
      <c r="F49" s="5">
        <f>ตัวคูณโรงพยาบาล!F83</f>
        <v>5.7343699384934892</v>
      </c>
      <c r="G49" s="5">
        <f>ตัวคูณโรงพยาบาล!G83</f>
        <v>7.9808539238735392</v>
      </c>
      <c r="H49" s="5">
        <f>ตัวคูณโรงพยาบาล!H83</f>
        <v>6.9165138412781362</v>
      </c>
      <c r="I49" s="5">
        <f>ตัวคูณโรงพยาบาล!I83</f>
        <v>0</v>
      </c>
      <c r="J49" s="5">
        <f>ตัวคูณโรงพยาบาล!J83</f>
        <v>3.0303030303030304E-2</v>
      </c>
      <c r="K49" s="5">
        <f>ตัวคูณโรงพยาบาล!K83</f>
        <v>0</v>
      </c>
      <c r="L49" s="5">
        <f t="shared" si="0"/>
        <v>20.662040733948196</v>
      </c>
    </row>
    <row r="50" spans="3:12" x14ac:dyDescent="0.25">
      <c r="C50" t="s">
        <v>84</v>
      </c>
      <c r="D50" s="5">
        <f>ตัวคูณโรงพยาบาล!D84</f>
        <v>0</v>
      </c>
      <c r="E50" s="5">
        <f>ตัวคูณโรงพยาบาล!E84</f>
        <v>0</v>
      </c>
      <c r="F50" s="5">
        <f>ตัวคูณโรงพยาบาล!F84</f>
        <v>4.4500613521231269</v>
      </c>
      <c r="G50" s="5">
        <f>ตัวคูณโรงพยาบาล!G84</f>
        <v>3.4465211808919376</v>
      </c>
      <c r="H50" s="5">
        <f>ตัวคูณโรงพยาบาล!H84</f>
        <v>1.0887122788111376</v>
      </c>
      <c r="I50" s="5">
        <f>ตัวคูณโรงพยาบาล!I84</f>
        <v>0</v>
      </c>
      <c r="J50" s="5">
        <f>ตัวคูณโรงพยาบาล!J84</f>
        <v>3.0303030303030304E-2</v>
      </c>
      <c r="K50" s="5">
        <f>ตัวคูณโรงพยาบาล!K84</f>
        <v>0</v>
      </c>
      <c r="L50" s="5">
        <f t="shared" si="0"/>
        <v>9.0155978421292335</v>
      </c>
    </row>
    <row r="51" spans="3:12" x14ac:dyDescent="0.25">
      <c r="C51" t="s">
        <v>85</v>
      </c>
      <c r="D51" s="5">
        <f>ตัวคูณโรงพยาบาล!D85</f>
        <v>0</v>
      </c>
      <c r="E51" s="5">
        <f>ตัวคูณโรงพยาบาล!E85</f>
        <v>0</v>
      </c>
      <c r="F51" s="5">
        <f>ตัวคูณโรงพยาบาล!F85</f>
        <v>9.1882792944646212</v>
      </c>
      <c r="G51" s="5">
        <f>ตัวคูณโรงพยาบาล!G85</f>
        <v>13.78608472356775</v>
      </c>
      <c r="H51" s="5">
        <f>ตัวคูณโรงพยาบาล!H85</f>
        <v>9.0939383989004128</v>
      </c>
      <c r="I51" s="5">
        <f>ตัวคูณโรงพยาบาล!I85</f>
        <v>0</v>
      </c>
      <c r="J51" s="5">
        <f>ตัวคูณโรงพยาบาล!J85</f>
        <v>3.0303030303030304E-2</v>
      </c>
      <c r="K51" s="5">
        <f>ตัวคูณโรงพยาบาล!K85</f>
        <v>0</v>
      </c>
      <c r="L51" s="5">
        <f t="shared" si="0"/>
        <v>32.098605447235812</v>
      </c>
    </row>
    <row r="52" spans="3:12" x14ac:dyDescent="0.25">
      <c r="C52" t="s">
        <v>86</v>
      </c>
      <c r="D52" s="5">
        <f>ตัวคูณโรงพยาบาล!D86</f>
        <v>0</v>
      </c>
      <c r="E52" s="5">
        <f>ตัวคูณโรงพยาบาล!E86</f>
        <v>0</v>
      </c>
      <c r="F52" s="5">
        <f>ตัวคูณโรงพยาบาล!F86</f>
        <v>669.26321956547417</v>
      </c>
      <c r="G52" s="5">
        <f>ตัวคูณโรงพยาบาล!G86</f>
        <v>725.73713971415259</v>
      </c>
      <c r="H52" s="5">
        <f>ตัวคูณโรงพยาบาล!H86</f>
        <v>210.53758754422941</v>
      </c>
      <c r="I52" s="5">
        <f>ตัวคูณโรงพยาบาล!I86</f>
        <v>16.900471457137439</v>
      </c>
      <c r="J52" s="5">
        <f>ตัวคูณโรงพยาบาล!J86</f>
        <v>3.0303030303030304E-2</v>
      </c>
      <c r="K52" s="5">
        <f>ตัวคูณโรงพยาบาล!K86</f>
        <v>0</v>
      </c>
      <c r="L52" s="5">
        <f t="shared" si="0"/>
        <v>1622.4687213112966</v>
      </c>
    </row>
    <row r="53" spans="3:12" x14ac:dyDescent="0.25">
      <c r="C53" t="s">
        <v>87</v>
      </c>
      <c r="D53" s="5">
        <f>ตัวคูณโรงพยาบาล!D87</f>
        <v>0</v>
      </c>
      <c r="E53" s="5">
        <f>ตัวคูณโรงพยาบาล!E87</f>
        <v>0</v>
      </c>
      <c r="F53" s="5">
        <f>ตัวคูณโรงพยาบาล!F87</f>
        <v>383.5687220134555</v>
      </c>
      <c r="G53" s="5">
        <f>ตัวคูณโรงพยาบาล!G87</f>
        <v>316.86172007349734</v>
      </c>
      <c r="H53" s="5">
        <f>ตัวคูณโรงพยาบาล!H87</f>
        <v>66.79133706858849</v>
      </c>
      <c r="I53" s="5">
        <f>ตัวคูณโรงพยาบาล!I87</f>
        <v>0</v>
      </c>
      <c r="J53" s="5">
        <f>ตัวคูณโรงพยาบาล!J87</f>
        <v>3.0303030303030304E-2</v>
      </c>
      <c r="K53" s="5">
        <f>ตัวคูณโรงพยาบาล!K87</f>
        <v>0</v>
      </c>
      <c r="L53" s="5">
        <f t="shared" si="0"/>
        <v>767.2520821858443</v>
      </c>
    </row>
    <row r="54" spans="3:12" x14ac:dyDescent="0.25">
      <c r="C54" t="s">
        <v>88</v>
      </c>
      <c r="D54" s="5">
        <f>ตัวคูณโรงพยาบาล!D88</f>
        <v>0</v>
      </c>
      <c r="E54" s="5">
        <f>ตัวคูณโรงพยาบาล!E88</f>
        <v>0</v>
      </c>
      <c r="F54" s="5">
        <f>ตัวคูณโรงพยาบาล!F88</f>
        <v>1201.5681212592253</v>
      </c>
      <c r="G54" s="5">
        <f>ตัวคูณโรงพยาบาล!G88</f>
        <v>1133.8608428401399</v>
      </c>
      <c r="H54" s="5">
        <f>ตัวคูณโรงพยาบาล!H88</f>
        <v>347.23383644861326</v>
      </c>
      <c r="I54" s="5">
        <f>ตัวคูณโรงพยาบาล!I88</f>
        <v>16.456842706567198</v>
      </c>
      <c r="J54" s="5">
        <f>ตัวคูณโรงพยาบาล!J88</f>
        <v>3.0303030303030304E-2</v>
      </c>
      <c r="K54" s="5">
        <f>ตัวคูณโรงพยาบาล!K88</f>
        <v>0</v>
      </c>
      <c r="L54" s="5">
        <f t="shared" si="0"/>
        <v>2699.1499462848487</v>
      </c>
    </row>
    <row r="55" spans="3:12" x14ac:dyDescent="0.25">
      <c r="C55" t="s">
        <v>89</v>
      </c>
      <c r="D55" s="5">
        <f>ตัวคูณโรงพยาบาล!D89</f>
        <v>0</v>
      </c>
      <c r="E55" s="5">
        <f>ตัวคูณโรงพยาบาล!E89</f>
        <v>0</v>
      </c>
      <c r="F55" s="5">
        <f>ตัวคูณโรงพยาบาล!F89</f>
        <v>38.12916688772286</v>
      </c>
      <c r="G55" s="5">
        <f>ตัวคูณโรงพยาบาล!G89</f>
        <v>52.625697340524013</v>
      </c>
      <c r="H55" s="5">
        <f>ตัวคูณโรงพยาบาล!H89</f>
        <v>30.333429267273061</v>
      </c>
      <c r="I55" s="5">
        <f>ตัวคูณโรงพยาบาล!I89</f>
        <v>1.0062429057888762</v>
      </c>
      <c r="J55" s="5">
        <f>ตัวคูณโรงพยาบาล!J89</f>
        <v>3.0303030303030304E-2</v>
      </c>
      <c r="K55" s="5">
        <f>ตัวคูณโรงพยาบาล!K89</f>
        <v>0</v>
      </c>
      <c r="L55" s="5">
        <f t="shared" si="0"/>
        <v>122.12483943161185</v>
      </c>
    </row>
    <row r="56" spans="3:12" x14ac:dyDescent="0.25">
      <c r="C56" t="s">
        <v>90</v>
      </c>
      <c r="D56" s="5">
        <f>ตัวคูณโรงพยาบาล!D90</f>
        <v>0</v>
      </c>
      <c r="E56" s="5">
        <f>ตัวคูณโรงพยาบาล!E90</f>
        <v>0</v>
      </c>
      <c r="F56" s="5">
        <f>ตัวคูณโรงพยาบาล!F90</f>
        <v>0</v>
      </c>
      <c r="G56" s="5">
        <f>ตัวคูณโรงพยาบาล!G90</f>
        <v>1.0762342822505506</v>
      </c>
      <c r="H56" s="5">
        <f>ตัวคูณโรงพยาบาล!H90</f>
        <v>0</v>
      </c>
      <c r="I56" s="5">
        <f>ตัวคูณโรงพยาบาล!I90</f>
        <v>0</v>
      </c>
      <c r="J56" s="5">
        <f>ตัวคูณโรงพยาบาล!J90</f>
        <v>3.0303030303030304E-2</v>
      </c>
      <c r="K56" s="5">
        <f>ตัวคูณโรงพยาบาล!K90</f>
        <v>0</v>
      </c>
      <c r="L56" s="5">
        <f t="shared" si="0"/>
        <v>1.1065373125535809</v>
      </c>
    </row>
    <row r="57" spans="3:12" x14ac:dyDescent="0.25">
      <c r="C57" t="s">
        <v>91</v>
      </c>
      <c r="D57" s="5">
        <f>ตัวคูณโรงพยาบาล!D91</f>
        <v>0</v>
      </c>
      <c r="E57" s="5">
        <f>ตัวคูณโรงพยาบาล!E91</f>
        <v>0</v>
      </c>
      <c r="F57" s="5">
        <f>ตัวคูณโรงพยาบาล!F91</f>
        <v>2.0986820586820585</v>
      </c>
      <c r="G57" s="5">
        <f>ตัวคูณโรงพยาบาล!G91</f>
        <v>1.0762342822505506</v>
      </c>
      <c r="H57" s="5">
        <f>ตัวคูณโรงพยาบาล!H91</f>
        <v>2.4026367818648842</v>
      </c>
      <c r="I57" s="5">
        <f>ตัวคูณโรงพยาบาล!I91</f>
        <v>0</v>
      </c>
      <c r="J57" s="5">
        <f>ตัวคูณโรงพยาบาล!J91</f>
        <v>3.0303030303030304E-2</v>
      </c>
      <c r="K57" s="5">
        <f>ตัวคูณโรงพยาบาล!K91</f>
        <v>0</v>
      </c>
      <c r="L57" s="5">
        <f t="shared" si="0"/>
        <v>5.6078561531005233</v>
      </c>
    </row>
    <row r="58" spans="3:12" x14ac:dyDescent="0.25">
      <c r="C58" t="s">
        <v>92</v>
      </c>
      <c r="D58" s="5">
        <f>ตัวคูณโรงพยาบาล!D92</f>
        <v>0</v>
      </c>
      <c r="E58" s="5">
        <f>ตัวคูณโรงพยาบาล!E92</f>
        <v>0</v>
      </c>
      <c r="F58" s="5">
        <f>ตัวคูณโรงพยาบาล!F92</f>
        <v>0</v>
      </c>
      <c r="G58" s="5">
        <f>ตัวคูณโรงพยาบาล!G92</f>
        <v>0</v>
      </c>
      <c r="H58" s="5">
        <f>ตัวคูณโรงพยาบาล!H92</f>
        <v>1.02252799873723</v>
      </c>
      <c r="I58" s="5">
        <f>ตัวคูณโรงพยาบาล!I92</f>
        <v>0</v>
      </c>
      <c r="J58" s="5">
        <f>ตัวคูณโรงพยาบาล!J92</f>
        <v>3.0303030303030304E-2</v>
      </c>
      <c r="K58" s="5">
        <f>ตัวคูณโรงพยาบาล!K92</f>
        <v>0</v>
      </c>
      <c r="L58" s="5">
        <f t="shared" si="0"/>
        <v>1.0528310290402603</v>
      </c>
    </row>
    <row r="59" spans="3:12" x14ac:dyDescent="0.25">
      <c r="C59" t="s">
        <v>93</v>
      </c>
      <c r="D59" s="5">
        <f>ตัวคูณโรงพยาบาล!D93</f>
        <v>0</v>
      </c>
      <c r="E59" s="5">
        <f>ตัวคูณโรงพยาบาล!E93</f>
        <v>0</v>
      </c>
      <c r="F59" s="5">
        <f>ตัวคูณโรงพยาบาล!F93</f>
        <v>2.3513792934410689</v>
      </c>
      <c r="G59" s="5">
        <f>ตัวคูณโรงพยาบาล!G93</f>
        <v>0</v>
      </c>
      <c r="H59" s="5">
        <f>ตัวคูณโรงพยาบาล!H93</f>
        <v>0</v>
      </c>
      <c r="I59" s="5">
        <f>ตัวคูณโรงพยาบาล!I93</f>
        <v>0</v>
      </c>
      <c r="J59" s="5">
        <f>ตัวคูณโรงพยาบาล!J93</f>
        <v>3.0303030303030304E-2</v>
      </c>
      <c r="K59" s="5">
        <f>ตัวคูณโรงพยาบาล!K93</f>
        <v>0</v>
      </c>
      <c r="L59" s="5">
        <f t="shared" si="0"/>
        <v>2.3816823237440992</v>
      </c>
    </row>
    <row r="60" spans="3:12" x14ac:dyDescent="0.25">
      <c r="C60" t="s">
        <v>94</v>
      </c>
      <c r="D60" s="5">
        <f>ตัวคูณโรงพยาบาล!D94</f>
        <v>0</v>
      </c>
      <c r="E60" s="5">
        <f>ตัวคูณโรงพยาบาล!E94</f>
        <v>0</v>
      </c>
      <c r="F60" s="5">
        <f>ตัวคูณโรงพยาบาล!F94</f>
        <v>0</v>
      </c>
      <c r="G60" s="5">
        <f>ตัวคูณโรงพยาบาล!G94</f>
        <v>0</v>
      </c>
      <c r="H60" s="5">
        <f>ตัวคูณโรงพยาบาล!H94</f>
        <v>0</v>
      </c>
      <c r="I60" s="5">
        <f>ตัวคูณโรงพยาบาล!I94</f>
        <v>0</v>
      </c>
      <c r="J60" s="5">
        <f>ตัวคูณโรงพยาบาล!J94</f>
        <v>3.0303030303030304E-2</v>
      </c>
      <c r="K60" s="5">
        <f>ตัวคูณโรงพยาบาล!K94</f>
        <v>0</v>
      </c>
      <c r="L60" s="5">
        <f t="shared" si="0"/>
        <v>3.0303030303030304E-2</v>
      </c>
    </row>
    <row r="61" spans="3:12" x14ac:dyDescent="0.25">
      <c r="C61" t="s">
        <v>95</v>
      </c>
      <c r="D61" s="5">
        <f>ตัวคูณโรงพยาบาล!D95</f>
        <v>0</v>
      </c>
      <c r="E61" s="5">
        <f>ตัวคูณโรงพยาบาล!E95</f>
        <v>0</v>
      </c>
      <c r="F61" s="5">
        <f>ตัวคูณโรงพยาบาล!F95</f>
        <v>0</v>
      </c>
      <c r="G61" s="5">
        <f>ตัวคูณโรงพยาบาล!G95</f>
        <v>0</v>
      </c>
      <c r="H61" s="5">
        <f>ตัวคูณโรงพยาบาล!H95</f>
        <v>0</v>
      </c>
      <c r="I61" s="5">
        <f>ตัวคูณโรงพยาบาล!I95</f>
        <v>0</v>
      </c>
      <c r="J61" s="5">
        <f>ตัวคูณโรงพยาบาล!J95</f>
        <v>3.0303030303030304E-2</v>
      </c>
      <c r="K61" s="5">
        <f>ตัวคูณโรงพยาบาล!K95</f>
        <v>0</v>
      </c>
      <c r="L61" s="5">
        <f t="shared" si="0"/>
        <v>3.0303030303030304E-2</v>
      </c>
    </row>
    <row r="62" spans="3:12" x14ac:dyDescent="0.25">
      <c r="C62" t="s">
        <v>96</v>
      </c>
      <c r="D62" s="5">
        <f>ตัวคูณโรงพยาบาล!D96</f>
        <v>0</v>
      </c>
      <c r="E62" s="5">
        <f>ตัวคูณโรงพยาบาล!E96</f>
        <v>0</v>
      </c>
      <c r="F62" s="5">
        <f>ตัวคูณโรงพยาบาล!F96</f>
        <v>1.0670707070707071</v>
      </c>
      <c r="G62" s="5">
        <f>ตัวคูณโรงพยาบาล!G96</f>
        <v>2.3702868986413868</v>
      </c>
      <c r="H62" s="5">
        <f>ตัวคูณโรงพยาบาล!H96</f>
        <v>0</v>
      </c>
      <c r="I62" s="5">
        <f>ตัวคูณโรงพยาบาล!I96</f>
        <v>0</v>
      </c>
      <c r="J62" s="5">
        <f>ตัวคูณโรงพยาบาล!J96</f>
        <v>3.0303030303030304E-2</v>
      </c>
      <c r="K62" s="5">
        <f>ตัวคูณโรงพยาบาล!K96</f>
        <v>0</v>
      </c>
      <c r="L62" s="5">
        <f t="shared" si="0"/>
        <v>3.4676606360151241</v>
      </c>
    </row>
    <row r="63" spans="3:12" x14ac:dyDescent="0.25">
      <c r="C63" t="s">
        <v>97</v>
      </c>
      <c r="D63" s="5">
        <f>ตัวคูณโรงพยาบาล!D97</f>
        <v>0</v>
      </c>
      <c r="E63" s="5">
        <f>ตัวคูณโรงพยาบาล!E97</f>
        <v>0</v>
      </c>
      <c r="F63" s="5">
        <f>ตัวคูณโรงพยาบาล!F97</f>
        <v>0</v>
      </c>
      <c r="G63" s="5">
        <f>ตัวคูณโรงพยาบาล!G97</f>
        <v>0</v>
      </c>
      <c r="H63" s="5">
        <f>ตัวคูณโรงพยาบาล!H97</f>
        <v>0</v>
      </c>
      <c r="I63" s="5">
        <f>ตัวคูณโรงพยาบาล!I97</f>
        <v>0</v>
      </c>
      <c r="J63" s="5">
        <f>ตัวคูณโรงพยาบาล!J97</f>
        <v>3.0303030303030304E-2</v>
      </c>
      <c r="K63" s="5">
        <f>ตัวคูณโรงพยาบาล!K97</f>
        <v>0</v>
      </c>
      <c r="L63" s="5">
        <f t="shared" si="0"/>
        <v>3.0303030303030304E-2</v>
      </c>
    </row>
    <row r="64" spans="3:12" x14ac:dyDescent="0.25">
      <c r="C64" t="s">
        <v>98</v>
      </c>
      <c r="D64" s="5">
        <f>ตัวคูณโรงพยาบาล!D98</f>
        <v>0</v>
      </c>
      <c r="E64" s="5">
        <f>ตัวคูณโรงพยาบาล!E98</f>
        <v>0</v>
      </c>
      <c r="F64" s="5">
        <f>ตัวคูณโรงพยาบาล!F98</f>
        <v>2.0986820586820585</v>
      </c>
      <c r="G64" s="5">
        <f>ตัวคูณโรงพยาบาล!G98</f>
        <v>4.5343327429816016</v>
      </c>
      <c r="H64" s="5">
        <f>ตัวคูณโรงพยาบาล!H98</f>
        <v>3.491349060676022</v>
      </c>
      <c r="I64" s="5">
        <f>ตัวคูณโรงพยาบาล!I98</f>
        <v>0</v>
      </c>
      <c r="J64" s="5">
        <f>ตัวคูณโรงพยาบาล!J98</f>
        <v>3.0303030303030304E-2</v>
      </c>
      <c r="K64" s="5">
        <f>ตัวคูณโรงพยาบาล!K98</f>
        <v>0</v>
      </c>
      <c r="L64" s="5">
        <f t="shared" si="0"/>
        <v>10.154666892642712</v>
      </c>
    </row>
    <row r="65" spans="1:12" x14ac:dyDescent="0.25">
      <c r="C65" t="s">
        <v>119</v>
      </c>
      <c r="D65" s="5">
        <f>ตัวคูณโรงพยาบาล!D99</f>
        <v>0</v>
      </c>
      <c r="E65" s="5">
        <f>ตัวคูณโรงพยาบาล!E99</f>
        <v>0</v>
      </c>
      <c r="F65" s="5">
        <f>ตัวคูณโรงพยาบาล!F99</f>
        <v>3.4184500005117759</v>
      </c>
      <c r="G65" s="5">
        <f>ตัวคูณโรงพยาบาล!G99</f>
        <v>2.3702868986413868</v>
      </c>
      <c r="H65" s="5">
        <f>ตัวคูณโรงพยาบาล!H99</f>
        <v>1.0887122788111376</v>
      </c>
      <c r="I65" s="5">
        <f>ตัวคูณโรงพยาบาล!I99</f>
        <v>0</v>
      </c>
      <c r="J65" s="5">
        <f>ตัวคูณโรงพยาบาล!J99</f>
        <v>3.0303030303030304E-2</v>
      </c>
      <c r="K65" s="5">
        <f>ตัวคูณโรงพยาบาล!K99</f>
        <v>0</v>
      </c>
      <c r="L65" s="5">
        <f t="shared" si="0"/>
        <v>6.9077522082673308</v>
      </c>
    </row>
    <row r="66" spans="1:12" x14ac:dyDescent="0.25">
      <c r="C66" t="s">
        <v>99</v>
      </c>
      <c r="D66" s="5">
        <f>ตัวคูณโรงพยาบาล!D100</f>
        <v>0</v>
      </c>
      <c r="E66" s="5">
        <f>ตัวคูณโรงพยาบาล!E100</f>
        <v>0</v>
      </c>
      <c r="F66" s="5">
        <f>ตัวคูณโรงพยาบาล!F100</f>
        <v>128.64039186904822</v>
      </c>
      <c r="G66" s="5">
        <f>ตัวคูณโรงพยาบาล!G100</f>
        <v>93.536737563107579</v>
      </c>
      <c r="H66" s="5">
        <f>ตัวคูณโรงพยาบาล!H100</f>
        <v>17.45674530338011</v>
      </c>
      <c r="I66" s="5">
        <f>ตัวคูณโรงพยาบาล!I100</f>
        <v>5.1501999335927744</v>
      </c>
      <c r="J66" s="5">
        <f>ตัวคูณโรงพยาบาล!J100</f>
        <v>3.0303030303030304E-2</v>
      </c>
      <c r="K66" s="5">
        <f>ตัวคูณโรงพยาบาล!K100</f>
        <v>0</v>
      </c>
      <c r="L66" s="5">
        <f t="shared" si="0"/>
        <v>244.8143776994317</v>
      </c>
    </row>
    <row r="67" spans="1:12" x14ac:dyDescent="0.25">
      <c r="C67" t="s">
        <v>100</v>
      </c>
      <c r="D67" s="5">
        <f>ตัวคูณโรงพยาบาล!D101</f>
        <v>0</v>
      </c>
      <c r="E67" s="5">
        <f>ตัวคูณโรงพยาบาล!E101</f>
        <v>0</v>
      </c>
      <c r="F67" s="5">
        <f>ตัวคูณโรงพยาบาล!F101</f>
        <v>2.3513792934410689</v>
      </c>
      <c r="G67" s="5">
        <f>ตัวคูณโรงพยาบาล!G101</f>
        <v>5.5989897453930393</v>
      </c>
      <c r="H67" s="5">
        <f>ตัวคูณโรงพยาบาล!H101</f>
        <v>5.8939858425409062</v>
      </c>
      <c r="I67" s="5">
        <f>ตัวคูณโรงพยาบาล!I101</f>
        <v>0</v>
      </c>
      <c r="J67" s="5">
        <f>ตัวคูณโรงพยาบาล!J101</f>
        <v>3.0303030303030304E-2</v>
      </c>
      <c r="K67" s="5">
        <f>ตัวคูณโรงพยาบาล!K101</f>
        <v>0</v>
      </c>
      <c r="L67" s="5">
        <f t="shared" si="0"/>
        <v>13.874657911678046</v>
      </c>
    </row>
    <row r="68" spans="1:12" x14ac:dyDescent="0.25">
      <c r="C68" t="s">
        <v>101</v>
      </c>
      <c r="D68" s="5">
        <f>ตัวคูณโรงพยาบาล!D102</f>
        <v>0</v>
      </c>
      <c r="E68" s="5">
        <f>ตัวคูณโรงพยาบาล!E102</f>
        <v>0</v>
      </c>
      <c r="F68" s="5">
        <f>ตัวคูณโรงพยาบาล!F102</f>
        <v>69.962287599399559</v>
      </c>
      <c r="G68" s="5">
        <f>ตัวคูณโรงพยาบาล!G102</f>
        <v>81.651851338995073</v>
      </c>
      <c r="H68" s="5">
        <f>ตัวคูณโรงพยาบาล!H102</f>
        <v>12.22770667518601</v>
      </c>
      <c r="I68" s="5">
        <f>ตัวคูณโรงพยาบาล!I102</f>
        <v>1.0062429057888762</v>
      </c>
      <c r="J68" s="5">
        <f>ตัวคูณโรงพยาบาล!J102</f>
        <v>3.0303030303030304E-2</v>
      </c>
      <c r="K68" s="5">
        <f>ตัวคูณโรงพยาบาล!K102</f>
        <v>0</v>
      </c>
      <c r="L68" s="5">
        <f t="shared" ref="L68:L131" si="1">SUM(D68:K68)</f>
        <v>164.87839154967253</v>
      </c>
    </row>
    <row r="69" spans="1:12" x14ac:dyDescent="0.25">
      <c r="A69" s="23" t="s">
        <v>104</v>
      </c>
      <c r="B69" s="23" t="s">
        <v>107</v>
      </c>
      <c r="C69" t="s">
        <v>70</v>
      </c>
      <c r="D69" s="5">
        <f>ตัวคูณโรงพยาบาล!D103</f>
        <v>0</v>
      </c>
      <c r="E69" s="5">
        <f>ตัวคูณโรงพยาบาล!E103</f>
        <v>0</v>
      </c>
      <c r="F69" s="5">
        <f>ตัวคูณโรงพยาบาล!F103</f>
        <v>0</v>
      </c>
      <c r="G69" s="5">
        <f>ตัวคูณโรงพยาบาล!G103</f>
        <v>0</v>
      </c>
      <c r="H69" s="5">
        <f>ตัวคูณโรงพยาบาล!H103</f>
        <v>0</v>
      </c>
      <c r="I69" s="5">
        <f>ตัวคูณโรงพยาบาล!I103</f>
        <v>0</v>
      </c>
      <c r="J69" s="5">
        <f>ตัวคูณโรงพยาบาล!J103</f>
        <v>0</v>
      </c>
      <c r="K69" s="5">
        <f>ตัวคูณโรงพยาบาล!K103</f>
        <v>0</v>
      </c>
      <c r="L69" s="5">
        <f t="shared" si="1"/>
        <v>0</v>
      </c>
    </row>
    <row r="70" spans="1:12" x14ac:dyDescent="0.25">
      <c r="C70" t="s">
        <v>71</v>
      </c>
      <c r="D70" s="5">
        <f>ตัวคูณโรงพยาบาล!D104</f>
        <v>0</v>
      </c>
      <c r="E70" s="5">
        <f>ตัวคูณโรงพยาบาล!E104</f>
        <v>0</v>
      </c>
      <c r="F70" s="5">
        <f>ตัวคูณโรงพยาบาล!F104</f>
        <v>0</v>
      </c>
      <c r="G70" s="5">
        <f>ตัวคูณโรงพยาบาล!G104</f>
        <v>0</v>
      </c>
      <c r="H70" s="5">
        <f>ตัวคูณโรงพยาบาล!H104</f>
        <v>0</v>
      </c>
      <c r="I70" s="5">
        <f>ตัวคูณโรงพยาบาล!I104</f>
        <v>0</v>
      </c>
      <c r="J70" s="5">
        <f>ตัวคูณโรงพยาบาล!J104</f>
        <v>0</v>
      </c>
      <c r="K70" s="5">
        <f>ตัวคูณโรงพยาบาล!K104</f>
        <v>0</v>
      </c>
      <c r="L70" s="5">
        <f t="shared" si="1"/>
        <v>0</v>
      </c>
    </row>
    <row r="71" spans="1:12" x14ac:dyDescent="0.25">
      <c r="C71" t="s">
        <v>72</v>
      </c>
      <c r="D71" s="5">
        <f>ตัวคูณโรงพยาบาล!D105</f>
        <v>0</v>
      </c>
      <c r="E71" s="5">
        <f>ตัวคูณโรงพยาบาล!E105</f>
        <v>0</v>
      </c>
      <c r="F71" s="5">
        <f>ตัวคูณโรงพยาบาล!F105</f>
        <v>0</v>
      </c>
      <c r="G71" s="5">
        <f>ตัวคูณโรงพยาบาล!G105</f>
        <v>0</v>
      </c>
      <c r="H71" s="5">
        <f>ตัวคูณโรงพยาบาล!H105</f>
        <v>0</v>
      </c>
      <c r="I71" s="5">
        <f>ตัวคูณโรงพยาบาล!I105</f>
        <v>0</v>
      </c>
      <c r="J71" s="5">
        <f>ตัวคูณโรงพยาบาล!J105</f>
        <v>0</v>
      </c>
      <c r="K71" s="5">
        <f>ตัวคูณโรงพยาบาล!K105</f>
        <v>0</v>
      </c>
      <c r="L71" s="5">
        <f t="shared" si="1"/>
        <v>0</v>
      </c>
    </row>
    <row r="72" spans="1:12" x14ac:dyDescent="0.25">
      <c r="C72" t="s">
        <v>73</v>
      </c>
      <c r="D72" s="5">
        <f>ตัวคูณโรงพยาบาล!D106</f>
        <v>0</v>
      </c>
      <c r="E72" s="5">
        <f>ตัวคูณโรงพยาบาล!E106</f>
        <v>0</v>
      </c>
      <c r="F72" s="5">
        <f>ตัวคูณโรงพยาบาล!F106</f>
        <v>0</v>
      </c>
      <c r="G72" s="5">
        <f>ตัวคูณโรงพยาบาล!G106</f>
        <v>0</v>
      </c>
      <c r="H72" s="5">
        <f>ตัวคูณโรงพยาบาล!H106</f>
        <v>0</v>
      </c>
      <c r="I72" s="5">
        <f>ตัวคูณโรงพยาบาล!I106</f>
        <v>0</v>
      </c>
      <c r="J72" s="5">
        <f>ตัวคูณโรงพยาบาล!J106</f>
        <v>0</v>
      </c>
      <c r="K72" s="5">
        <f>ตัวคูณโรงพยาบาล!K106</f>
        <v>0</v>
      </c>
      <c r="L72" s="5">
        <f t="shared" si="1"/>
        <v>0</v>
      </c>
    </row>
    <row r="73" spans="1:12" x14ac:dyDescent="0.25">
      <c r="C73" t="s">
        <v>74</v>
      </c>
      <c r="D73" s="5">
        <f>ตัวคูณโรงพยาบาล!D107</f>
        <v>0</v>
      </c>
      <c r="E73" s="5">
        <f>ตัวคูณโรงพยาบาล!E107</f>
        <v>0</v>
      </c>
      <c r="F73" s="5">
        <f>ตัวคูณโรงพยาบาล!F107</f>
        <v>0</v>
      </c>
      <c r="G73" s="5">
        <f>ตัวคูณโรงพยาบาล!G107</f>
        <v>0</v>
      </c>
      <c r="H73" s="5">
        <f>ตัวคูณโรงพยาบาล!H107</f>
        <v>0</v>
      </c>
      <c r="I73" s="5">
        <f>ตัวคูณโรงพยาบาล!I107</f>
        <v>0</v>
      </c>
      <c r="J73" s="5">
        <f>ตัวคูณโรงพยาบาล!J107</f>
        <v>0</v>
      </c>
      <c r="K73" s="5">
        <f>ตัวคูณโรงพยาบาล!K107</f>
        <v>0</v>
      </c>
      <c r="L73" s="5">
        <f t="shared" si="1"/>
        <v>0</v>
      </c>
    </row>
    <row r="74" spans="1:12" x14ac:dyDescent="0.25">
      <c r="C74" t="s">
        <v>75</v>
      </c>
      <c r="D74" s="5">
        <f>ตัวคูณโรงพยาบาล!D108</f>
        <v>0</v>
      </c>
      <c r="E74" s="5">
        <f>ตัวคูณโรงพยาบาล!E108</f>
        <v>0</v>
      </c>
      <c r="F74" s="5">
        <f>ตัวคูณโรงพยาบาล!F108</f>
        <v>0</v>
      </c>
      <c r="G74" s="5">
        <f>ตัวคูณโรงพยาบาล!G108</f>
        <v>0</v>
      </c>
      <c r="H74" s="5">
        <f>ตัวคูณโรงพยาบาล!H108</f>
        <v>0</v>
      </c>
      <c r="I74" s="5">
        <f>ตัวคูณโรงพยาบาล!I108</f>
        <v>0</v>
      </c>
      <c r="J74" s="5">
        <f>ตัวคูณโรงพยาบาล!J108</f>
        <v>0</v>
      </c>
      <c r="K74" s="5">
        <f>ตัวคูณโรงพยาบาล!K108</f>
        <v>0</v>
      </c>
      <c r="L74" s="5">
        <f t="shared" si="1"/>
        <v>0</v>
      </c>
    </row>
    <row r="75" spans="1:12" x14ac:dyDescent="0.25">
      <c r="C75" t="s">
        <v>76</v>
      </c>
      <c r="D75" s="5">
        <f>ตัวคูณโรงพยาบาล!D109</f>
        <v>0</v>
      </c>
      <c r="E75" s="5">
        <f>ตัวคูณโรงพยาบาล!E109</f>
        <v>0</v>
      </c>
      <c r="F75" s="5">
        <f>ตัวคูณโรงพยาบาล!F109</f>
        <v>0</v>
      </c>
      <c r="G75" s="5">
        <f>ตัวคูณโรงพยาบาล!G109</f>
        <v>1.0017257550178202</v>
      </c>
      <c r="H75" s="5">
        <f>ตัวคูณโรงพยาบาล!H109</f>
        <v>0</v>
      </c>
      <c r="I75" s="5">
        <f>ตัวคูณโรงพยาบาล!I109</f>
        <v>0</v>
      </c>
      <c r="J75" s="5">
        <f>ตัวคูณโรงพยาบาล!J109</f>
        <v>0</v>
      </c>
      <c r="K75" s="5">
        <f>ตัวคูณโรงพยาบาล!K109</f>
        <v>0</v>
      </c>
      <c r="L75" s="5">
        <f t="shared" si="1"/>
        <v>1.0017257550178202</v>
      </c>
    </row>
    <row r="76" spans="1:12" x14ac:dyDescent="0.25">
      <c r="C76" t="s">
        <v>77</v>
      </c>
      <c r="D76" s="5">
        <f>ตัวคูณโรงพยาบาล!D110</f>
        <v>0</v>
      </c>
      <c r="E76" s="5">
        <f>ตัวคูณโรงพยาบาล!E110</f>
        <v>0</v>
      </c>
      <c r="F76" s="5">
        <f>ตัวคูณโรงพยาบาล!F110</f>
        <v>0</v>
      </c>
      <c r="G76" s="5">
        <f>ตัวคูณโรงพยาบาล!G110</f>
        <v>0</v>
      </c>
      <c r="H76" s="5">
        <f>ตัวคูณโรงพยาบาล!H110</f>
        <v>0</v>
      </c>
      <c r="I76" s="5">
        <f>ตัวคูณโรงพยาบาล!I110</f>
        <v>0</v>
      </c>
      <c r="J76" s="5">
        <f>ตัวคูณโรงพยาบาล!J110</f>
        <v>0</v>
      </c>
      <c r="K76" s="5">
        <f>ตัวคูณโรงพยาบาล!K110</f>
        <v>0</v>
      </c>
      <c r="L76" s="5">
        <f t="shared" si="1"/>
        <v>0</v>
      </c>
    </row>
    <row r="77" spans="1:12" x14ac:dyDescent="0.25">
      <c r="C77" t="s">
        <v>78</v>
      </c>
      <c r="D77" s="5">
        <f>ตัวคูณโรงพยาบาล!D111</f>
        <v>0</v>
      </c>
      <c r="E77" s="5">
        <f>ตัวคูณโรงพยาบาล!E111</f>
        <v>0</v>
      </c>
      <c r="F77" s="5">
        <f>ตัวคูณโรงพยาบาล!F111</f>
        <v>0</v>
      </c>
      <c r="G77" s="5">
        <f>ตัวคูณโรงพยาบาล!G111</f>
        <v>0</v>
      </c>
      <c r="H77" s="5">
        <f>ตัวคูณโรงพยาบาล!H111</f>
        <v>0</v>
      </c>
      <c r="I77" s="5">
        <f>ตัวคูณโรงพยาบาล!I111</f>
        <v>0</v>
      </c>
      <c r="J77" s="5">
        <f>ตัวคูณโรงพยาบาล!J111</f>
        <v>0</v>
      </c>
      <c r="K77" s="5">
        <f>ตัวคูณโรงพยาบาล!K111</f>
        <v>0</v>
      </c>
      <c r="L77" s="5">
        <f t="shared" si="1"/>
        <v>0</v>
      </c>
    </row>
    <row r="78" spans="1:12" x14ac:dyDescent="0.25">
      <c r="C78" t="s">
        <v>79</v>
      </c>
      <c r="D78" s="5">
        <f>ตัวคูณโรงพยาบาล!D112</f>
        <v>0</v>
      </c>
      <c r="E78" s="5">
        <f>ตัวคูณโรงพยาบาล!E112</f>
        <v>0</v>
      </c>
      <c r="F78" s="5">
        <f>ตัวคูณโรงพยาบาล!F112</f>
        <v>0</v>
      </c>
      <c r="G78" s="5">
        <f>ตัวคูณโรงพยาบาล!G112</f>
        <v>0</v>
      </c>
      <c r="H78" s="5">
        <f>ตัวคูณโรงพยาบาล!H112</f>
        <v>0</v>
      </c>
      <c r="I78" s="5">
        <f>ตัวคูณโรงพยาบาล!I112</f>
        <v>0</v>
      </c>
      <c r="J78" s="5">
        <f>ตัวคูณโรงพยาบาล!J112</f>
        <v>0</v>
      </c>
      <c r="K78" s="5">
        <f>ตัวคูณโรงพยาบาล!K112</f>
        <v>0</v>
      </c>
      <c r="L78" s="5">
        <f t="shared" si="1"/>
        <v>0</v>
      </c>
    </row>
    <row r="79" spans="1:12" x14ac:dyDescent="0.25">
      <c r="C79" t="s">
        <v>80</v>
      </c>
      <c r="D79" s="5">
        <f>ตัวคูณโรงพยาบาล!D113</f>
        <v>0</v>
      </c>
      <c r="E79" s="5">
        <f>ตัวคูณโรงพยาบาล!E113</f>
        <v>0</v>
      </c>
      <c r="F79" s="5">
        <f>ตัวคูณโรงพยาบาล!F113</f>
        <v>0</v>
      </c>
      <c r="G79" s="5">
        <f>ตัวคูณโรงพยาบาล!G113</f>
        <v>0</v>
      </c>
      <c r="H79" s="5">
        <f>ตัวคูณโรงพยาบาล!H113</f>
        <v>0</v>
      </c>
      <c r="I79" s="5">
        <f>ตัวคูณโรงพยาบาล!I113</f>
        <v>0</v>
      </c>
      <c r="J79" s="5">
        <f>ตัวคูณโรงพยาบาล!J113</f>
        <v>0</v>
      </c>
      <c r="K79" s="5">
        <f>ตัวคูณโรงพยาบาล!K113</f>
        <v>0</v>
      </c>
      <c r="L79" s="5">
        <f t="shared" si="1"/>
        <v>0</v>
      </c>
    </row>
    <row r="80" spans="1:12" x14ac:dyDescent="0.25">
      <c r="C80" t="s">
        <v>81</v>
      </c>
      <c r="D80" s="5">
        <f>ตัวคูณโรงพยาบาล!D114</f>
        <v>0</v>
      </c>
      <c r="E80" s="5">
        <f>ตัวคูณโรงพยาบาล!E114</f>
        <v>0</v>
      </c>
      <c r="F80" s="5">
        <f>ตัวคูณโรงพยาบาล!F114</f>
        <v>0</v>
      </c>
      <c r="G80" s="5">
        <f>ตัวคูณโรงพยาบาล!G114</f>
        <v>0</v>
      </c>
      <c r="H80" s="5">
        <f>ตัวคูณโรงพยาบาล!H114</f>
        <v>0</v>
      </c>
      <c r="I80" s="5">
        <f>ตัวคูณโรงพยาบาล!I114</f>
        <v>0</v>
      </c>
      <c r="J80" s="5">
        <f>ตัวคูณโรงพยาบาล!J114</f>
        <v>0</v>
      </c>
      <c r="K80" s="5">
        <f>ตัวคูณโรงพยาบาล!K114</f>
        <v>0</v>
      </c>
      <c r="L80" s="5">
        <f t="shared" si="1"/>
        <v>0</v>
      </c>
    </row>
    <row r="81" spans="3:12" x14ac:dyDescent="0.25">
      <c r="C81" t="s">
        <v>82</v>
      </c>
      <c r="D81" s="5">
        <f>ตัวคูณโรงพยาบาล!D115</f>
        <v>0</v>
      </c>
      <c r="E81" s="5">
        <f>ตัวคูณโรงพยาบาล!E115</f>
        <v>0</v>
      </c>
      <c r="F81" s="5">
        <f>ตัวคูณโรงพยาบาล!F115</f>
        <v>0</v>
      </c>
      <c r="G81" s="5">
        <f>ตัวคูณโรงพยาบาล!G115</f>
        <v>0</v>
      </c>
      <c r="H81" s="5">
        <f>ตัวคูณโรงพยาบาล!H115</f>
        <v>0</v>
      </c>
      <c r="I81" s="5">
        <f>ตัวคูณโรงพยาบาล!I115</f>
        <v>0</v>
      </c>
      <c r="J81" s="5">
        <f>ตัวคูณโรงพยาบาล!J115</f>
        <v>0</v>
      </c>
      <c r="K81" s="5">
        <f>ตัวคูณโรงพยาบาล!K115</f>
        <v>0</v>
      </c>
      <c r="L81" s="5">
        <f t="shared" si="1"/>
        <v>0</v>
      </c>
    </row>
    <row r="82" spans="3:12" x14ac:dyDescent="0.25">
      <c r="C82" t="s">
        <v>83</v>
      </c>
      <c r="D82" s="5">
        <f>ตัวคูณโรงพยาบาล!D116</f>
        <v>0</v>
      </c>
      <c r="E82" s="5">
        <f>ตัวคูณโรงพยาบาล!E116</f>
        <v>0</v>
      </c>
      <c r="F82" s="5">
        <f>ตัวคูณโรงพยาบาล!F116</f>
        <v>0</v>
      </c>
      <c r="G82" s="5">
        <f>ตัวคูณโรงพยาบาล!G116</f>
        <v>0</v>
      </c>
      <c r="H82" s="5">
        <f>ตัวคูณโรงพยาบาล!H116</f>
        <v>0</v>
      </c>
      <c r="I82" s="5">
        <f>ตัวคูณโรงพยาบาล!I116</f>
        <v>0</v>
      </c>
      <c r="J82" s="5">
        <f>ตัวคูณโรงพยาบาล!J116</f>
        <v>0</v>
      </c>
      <c r="K82" s="5">
        <f>ตัวคูณโรงพยาบาล!K116</f>
        <v>0</v>
      </c>
      <c r="L82" s="5">
        <f t="shared" si="1"/>
        <v>0</v>
      </c>
    </row>
    <row r="83" spans="3:12" x14ac:dyDescent="0.25">
      <c r="C83" t="s">
        <v>84</v>
      </c>
      <c r="D83" s="5">
        <f>ตัวคูณโรงพยาบาล!D117</f>
        <v>0</v>
      </c>
      <c r="E83" s="5">
        <f>ตัวคูณโรงพยาบาล!E117</f>
        <v>0</v>
      </c>
      <c r="F83" s="5">
        <f>ตัวคูณโรงพยาบาล!F117</f>
        <v>0</v>
      </c>
      <c r="G83" s="5">
        <f>ตัวคูณโรงพยาบาล!G117</f>
        <v>0</v>
      </c>
      <c r="H83" s="5">
        <f>ตัวคูณโรงพยาบาล!H117</f>
        <v>0</v>
      </c>
      <c r="I83" s="5">
        <f>ตัวคูณโรงพยาบาล!I117</f>
        <v>0</v>
      </c>
      <c r="J83" s="5">
        <f>ตัวคูณโรงพยาบาล!J117</f>
        <v>0</v>
      </c>
      <c r="K83" s="5">
        <f>ตัวคูณโรงพยาบาล!K117</f>
        <v>0</v>
      </c>
      <c r="L83" s="5">
        <f t="shared" si="1"/>
        <v>0</v>
      </c>
    </row>
    <row r="84" spans="3:12" x14ac:dyDescent="0.25">
      <c r="C84" t="s">
        <v>85</v>
      </c>
      <c r="D84" s="5">
        <f>ตัวคูณโรงพยาบาล!D118</f>
        <v>0</v>
      </c>
      <c r="E84" s="5">
        <f>ตัวคูณโรงพยาบาล!E118</f>
        <v>0</v>
      </c>
      <c r="F84" s="5">
        <f>ตัวคูณโรงพยาบาล!F118</f>
        <v>0</v>
      </c>
      <c r="G84" s="5">
        <f>ตัวคูณโรงพยาบาล!G118</f>
        <v>0</v>
      </c>
      <c r="H84" s="5">
        <f>ตัวคูณโรงพยาบาล!H118</f>
        <v>0</v>
      </c>
      <c r="I84" s="5">
        <f>ตัวคูณโรงพยาบาล!I118</f>
        <v>0</v>
      </c>
      <c r="J84" s="5">
        <f>ตัวคูณโรงพยาบาล!J118</f>
        <v>0</v>
      </c>
      <c r="K84" s="5">
        <f>ตัวคูณโรงพยาบาล!K118</f>
        <v>0</v>
      </c>
      <c r="L84" s="5">
        <f t="shared" si="1"/>
        <v>0</v>
      </c>
    </row>
    <row r="85" spans="3:12" x14ac:dyDescent="0.25">
      <c r="C85" t="s">
        <v>86</v>
      </c>
      <c r="D85" s="5">
        <f>ตัวคูณโรงพยาบาล!D119</f>
        <v>0</v>
      </c>
      <c r="E85" s="5">
        <f>ตัวคูณโรงพยาบาล!E119</f>
        <v>0</v>
      </c>
      <c r="F85" s="5">
        <f>ตัวคูณโรงพยาบาล!F119</f>
        <v>0</v>
      </c>
      <c r="G85" s="5">
        <f>ตัวคูณโรงพยาบาล!G119</f>
        <v>0</v>
      </c>
      <c r="H85" s="5">
        <f>ตัวคูณโรงพยาบาล!H119</f>
        <v>0</v>
      </c>
      <c r="I85" s="5">
        <f>ตัวคูณโรงพยาบาล!I119</f>
        <v>0</v>
      </c>
      <c r="J85" s="5">
        <f>ตัวคูณโรงพยาบาล!J119</f>
        <v>0</v>
      </c>
      <c r="K85" s="5">
        <f>ตัวคูณโรงพยาบาล!K119</f>
        <v>0</v>
      </c>
      <c r="L85" s="5">
        <f t="shared" si="1"/>
        <v>0</v>
      </c>
    </row>
    <row r="86" spans="3:12" x14ac:dyDescent="0.25">
      <c r="C86" t="s">
        <v>87</v>
      </c>
      <c r="D86" s="5">
        <f>ตัวคูณโรงพยาบาล!D120</f>
        <v>0</v>
      </c>
      <c r="E86" s="5">
        <f>ตัวคูณโรงพยาบาล!E120</f>
        <v>0</v>
      </c>
      <c r="F86" s="5">
        <f>ตัวคูณโรงพยาบาล!F120</f>
        <v>0</v>
      </c>
      <c r="G86" s="5">
        <f>ตัวคูณโรงพยาบาล!G120</f>
        <v>0</v>
      </c>
      <c r="H86" s="5">
        <f>ตัวคูณโรงพยาบาล!H120</f>
        <v>0</v>
      </c>
      <c r="I86" s="5">
        <f>ตัวคูณโรงพยาบาล!I120</f>
        <v>0</v>
      </c>
      <c r="J86" s="5">
        <f>ตัวคูณโรงพยาบาล!J120</f>
        <v>0</v>
      </c>
      <c r="K86" s="5">
        <f>ตัวคูณโรงพยาบาล!K120</f>
        <v>0</v>
      </c>
      <c r="L86" s="5">
        <f t="shared" si="1"/>
        <v>0</v>
      </c>
    </row>
    <row r="87" spans="3:12" x14ac:dyDescent="0.25">
      <c r="C87" t="s">
        <v>88</v>
      </c>
      <c r="D87" s="5">
        <f>ตัวคูณโรงพยาบาล!D121</f>
        <v>0</v>
      </c>
      <c r="E87" s="5">
        <f>ตัวคูณโรงพยาบาล!E121</f>
        <v>0</v>
      </c>
      <c r="F87" s="5">
        <f>ตัวคูณโรงพยาบาล!F121</f>
        <v>0</v>
      </c>
      <c r="G87" s="5">
        <f>ตัวคูณโรงพยาบาล!G121</f>
        <v>1.0017257550178202</v>
      </c>
      <c r="H87" s="5">
        <f>ตัวคูณโรงพยาบาล!H121</f>
        <v>0</v>
      </c>
      <c r="I87" s="5">
        <f>ตัวคูณโรงพยาบาล!I121</f>
        <v>0</v>
      </c>
      <c r="J87" s="5">
        <f>ตัวคูณโรงพยาบาล!J121</f>
        <v>0</v>
      </c>
      <c r="K87" s="5">
        <f>ตัวคูณโรงพยาบาล!K121</f>
        <v>0</v>
      </c>
      <c r="L87" s="5">
        <f t="shared" si="1"/>
        <v>1.0017257550178202</v>
      </c>
    </row>
    <row r="88" spans="3:12" x14ac:dyDescent="0.25">
      <c r="C88" t="s">
        <v>89</v>
      </c>
      <c r="D88" s="5">
        <f>ตัวคูณโรงพยาบาล!D122</f>
        <v>0</v>
      </c>
      <c r="E88" s="5">
        <f>ตัวคูณโรงพยาบาล!E122</f>
        <v>0</v>
      </c>
      <c r="F88" s="5">
        <f>ตัวคูณโรงพยาบาล!F122</f>
        <v>0</v>
      </c>
      <c r="G88" s="5">
        <f>ตัวคูณโรงพยาบาล!G122</f>
        <v>0</v>
      </c>
      <c r="H88" s="5">
        <f>ตัวคูณโรงพยาบาล!H122</f>
        <v>0</v>
      </c>
      <c r="I88" s="5">
        <f>ตัวคูณโรงพยาบาล!I122</f>
        <v>0</v>
      </c>
      <c r="J88" s="5">
        <f>ตัวคูณโรงพยาบาล!J122</f>
        <v>0</v>
      </c>
      <c r="K88" s="5">
        <f>ตัวคูณโรงพยาบาล!K122</f>
        <v>0</v>
      </c>
      <c r="L88" s="5">
        <f t="shared" si="1"/>
        <v>0</v>
      </c>
    </row>
    <row r="89" spans="3:12" x14ac:dyDescent="0.25">
      <c r="C89" t="s">
        <v>90</v>
      </c>
      <c r="D89" s="5">
        <f>ตัวคูณโรงพยาบาล!D123</f>
        <v>0</v>
      </c>
      <c r="E89" s="5">
        <f>ตัวคูณโรงพยาบาล!E123</f>
        <v>0</v>
      </c>
      <c r="F89" s="5">
        <f>ตัวคูณโรงพยาบาล!F123</f>
        <v>0</v>
      </c>
      <c r="G89" s="5">
        <f>ตัวคูณโรงพยาบาล!G123</f>
        <v>0</v>
      </c>
      <c r="H89" s="5">
        <f>ตัวคูณโรงพยาบาล!H123</f>
        <v>0</v>
      </c>
      <c r="I89" s="5">
        <f>ตัวคูณโรงพยาบาล!I123</f>
        <v>0</v>
      </c>
      <c r="J89" s="5">
        <f>ตัวคูณโรงพยาบาล!J123</f>
        <v>0</v>
      </c>
      <c r="K89" s="5">
        <f>ตัวคูณโรงพยาบาล!K123</f>
        <v>0</v>
      </c>
      <c r="L89" s="5">
        <f t="shared" si="1"/>
        <v>0</v>
      </c>
    </row>
    <row r="90" spans="3:12" x14ac:dyDescent="0.25">
      <c r="C90" t="s">
        <v>91</v>
      </c>
      <c r="D90" s="5">
        <f>ตัวคูณโรงพยาบาล!D124</f>
        <v>0</v>
      </c>
      <c r="E90" s="5">
        <f>ตัวคูณโรงพยาบาล!E124</f>
        <v>0</v>
      </c>
      <c r="F90" s="5">
        <f>ตัวคูณโรงพยาบาล!F124</f>
        <v>0</v>
      </c>
      <c r="G90" s="5">
        <f>ตัวคูณโรงพยาบาล!G124</f>
        <v>0</v>
      </c>
      <c r="H90" s="5">
        <f>ตัวคูณโรงพยาบาล!H124</f>
        <v>0</v>
      </c>
      <c r="I90" s="5">
        <f>ตัวคูณโรงพยาบาล!I124</f>
        <v>0</v>
      </c>
      <c r="J90" s="5">
        <f>ตัวคูณโรงพยาบาล!J124</f>
        <v>0</v>
      </c>
      <c r="K90" s="5">
        <f>ตัวคูณโรงพยาบาล!K124</f>
        <v>0</v>
      </c>
      <c r="L90" s="5">
        <f t="shared" si="1"/>
        <v>0</v>
      </c>
    </row>
    <row r="91" spans="3:12" x14ac:dyDescent="0.25">
      <c r="C91" t="s">
        <v>92</v>
      </c>
      <c r="D91" s="5">
        <f>ตัวคูณโรงพยาบาล!D125</f>
        <v>0</v>
      </c>
      <c r="E91" s="5">
        <f>ตัวคูณโรงพยาบาล!E125</f>
        <v>0</v>
      </c>
      <c r="F91" s="5">
        <f>ตัวคูณโรงพยาบาล!F125</f>
        <v>0</v>
      </c>
      <c r="G91" s="5">
        <f>ตัวคูณโรงพยาบาล!G125</f>
        <v>0</v>
      </c>
      <c r="H91" s="5">
        <f>ตัวคูณโรงพยาบาล!H125</f>
        <v>0</v>
      </c>
      <c r="I91" s="5">
        <f>ตัวคูณโรงพยาบาล!I125</f>
        <v>0</v>
      </c>
      <c r="J91" s="5">
        <f>ตัวคูณโรงพยาบาล!J125</f>
        <v>0</v>
      </c>
      <c r="K91" s="5">
        <f>ตัวคูณโรงพยาบาล!K125</f>
        <v>0</v>
      </c>
      <c r="L91" s="5">
        <f t="shared" si="1"/>
        <v>0</v>
      </c>
    </row>
    <row r="92" spans="3:12" x14ac:dyDescent="0.25">
      <c r="C92" t="s">
        <v>93</v>
      </c>
      <c r="D92" s="5">
        <f>ตัวคูณโรงพยาบาล!D126</f>
        <v>0</v>
      </c>
      <c r="E92" s="5">
        <f>ตัวคูณโรงพยาบาล!E126</f>
        <v>0</v>
      </c>
      <c r="F92" s="5">
        <f>ตัวคูณโรงพยาบาล!F126</f>
        <v>0</v>
      </c>
      <c r="G92" s="5">
        <f>ตัวคูณโรงพยาบาล!G126</f>
        <v>0</v>
      </c>
      <c r="H92" s="5">
        <f>ตัวคูณโรงพยาบาล!H126</f>
        <v>0</v>
      </c>
      <c r="I92" s="5">
        <f>ตัวคูณโรงพยาบาล!I126</f>
        <v>0</v>
      </c>
      <c r="J92" s="5">
        <f>ตัวคูณโรงพยาบาล!J126</f>
        <v>0</v>
      </c>
      <c r="K92" s="5">
        <f>ตัวคูณโรงพยาบาล!K126</f>
        <v>0</v>
      </c>
      <c r="L92" s="5">
        <f t="shared" si="1"/>
        <v>0</v>
      </c>
    </row>
    <row r="93" spans="3:12" x14ac:dyDescent="0.25">
      <c r="C93" t="s">
        <v>94</v>
      </c>
      <c r="D93" s="5">
        <f>ตัวคูณโรงพยาบาล!D127</f>
        <v>0</v>
      </c>
      <c r="E93" s="5">
        <f>ตัวคูณโรงพยาบาล!E127</f>
        <v>0</v>
      </c>
      <c r="F93" s="5">
        <f>ตัวคูณโรงพยาบาล!F127</f>
        <v>0</v>
      </c>
      <c r="G93" s="5">
        <f>ตัวคูณโรงพยาบาล!G127</f>
        <v>0</v>
      </c>
      <c r="H93" s="5">
        <f>ตัวคูณโรงพยาบาล!H127</f>
        <v>0</v>
      </c>
      <c r="I93" s="5">
        <f>ตัวคูณโรงพยาบาล!I127</f>
        <v>0</v>
      </c>
      <c r="J93" s="5">
        <f>ตัวคูณโรงพยาบาล!J127</f>
        <v>0</v>
      </c>
      <c r="K93" s="5">
        <f>ตัวคูณโรงพยาบาล!K127</f>
        <v>0</v>
      </c>
      <c r="L93" s="5">
        <f t="shared" si="1"/>
        <v>0</v>
      </c>
    </row>
    <row r="94" spans="3:12" x14ac:dyDescent="0.25">
      <c r="C94" t="s">
        <v>95</v>
      </c>
      <c r="D94" s="5">
        <f>ตัวคูณโรงพยาบาล!D128</f>
        <v>0</v>
      </c>
      <c r="E94" s="5">
        <f>ตัวคูณโรงพยาบาล!E128</f>
        <v>0</v>
      </c>
      <c r="F94" s="5">
        <f>ตัวคูณโรงพยาบาล!F128</f>
        <v>0</v>
      </c>
      <c r="G94" s="5">
        <f>ตัวคูณโรงพยาบาล!G128</f>
        <v>0</v>
      </c>
      <c r="H94" s="5">
        <f>ตัวคูณโรงพยาบาล!H128</f>
        <v>0</v>
      </c>
      <c r="I94" s="5">
        <f>ตัวคูณโรงพยาบาล!I128</f>
        <v>0</v>
      </c>
      <c r="J94" s="5">
        <f>ตัวคูณโรงพยาบาล!J128</f>
        <v>0</v>
      </c>
      <c r="K94" s="5">
        <f>ตัวคูณโรงพยาบาล!K128</f>
        <v>0</v>
      </c>
      <c r="L94" s="5">
        <f t="shared" si="1"/>
        <v>0</v>
      </c>
    </row>
    <row r="95" spans="3:12" x14ac:dyDescent="0.25">
      <c r="C95" t="s">
        <v>96</v>
      </c>
      <c r="D95" s="5">
        <f>ตัวคูณโรงพยาบาล!D129</f>
        <v>0</v>
      </c>
      <c r="E95" s="5">
        <f>ตัวคูณโรงพยาบาล!E129</f>
        <v>0</v>
      </c>
      <c r="F95" s="5">
        <f>ตัวคูณโรงพยาบาล!F129</f>
        <v>0</v>
      </c>
      <c r="G95" s="5">
        <f>ตัวคูณโรงพยาบาล!G129</f>
        <v>0</v>
      </c>
      <c r="H95" s="5">
        <f>ตัวคูณโรงพยาบาล!H129</f>
        <v>0</v>
      </c>
      <c r="I95" s="5">
        <f>ตัวคูณโรงพยาบาล!I129</f>
        <v>0</v>
      </c>
      <c r="J95" s="5">
        <f>ตัวคูณโรงพยาบาล!J129</f>
        <v>0</v>
      </c>
      <c r="K95" s="5">
        <f>ตัวคูณโรงพยาบาล!K129</f>
        <v>0</v>
      </c>
      <c r="L95" s="5">
        <f t="shared" si="1"/>
        <v>0</v>
      </c>
    </row>
    <row r="96" spans="3:12" x14ac:dyDescent="0.25">
      <c r="C96" t="s">
        <v>97</v>
      </c>
      <c r="D96" s="5">
        <f>ตัวคูณโรงพยาบาล!D130</f>
        <v>0</v>
      </c>
      <c r="E96" s="5">
        <f>ตัวคูณโรงพยาบาล!E130</f>
        <v>0</v>
      </c>
      <c r="F96" s="5">
        <f>ตัวคูณโรงพยาบาล!F130</f>
        <v>0</v>
      </c>
      <c r="G96" s="5">
        <f>ตัวคูณโรงพยาบาล!G130</f>
        <v>0</v>
      </c>
      <c r="H96" s="5">
        <f>ตัวคูณโรงพยาบาล!H130</f>
        <v>0</v>
      </c>
      <c r="I96" s="5">
        <f>ตัวคูณโรงพยาบาล!I130</f>
        <v>0</v>
      </c>
      <c r="J96" s="5">
        <f>ตัวคูณโรงพยาบาล!J130</f>
        <v>0</v>
      </c>
      <c r="K96" s="5">
        <f>ตัวคูณโรงพยาบาล!K130</f>
        <v>0</v>
      </c>
      <c r="L96" s="5">
        <f t="shared" si="1"/>
        <v>0</v>
      </c>
    </row>
    <row r="97" spans="1:12" x14ac:dyDescent="0.25">
      <c r="C97" t="s">
        <v>98</v>
      </c>
      <c r="D97" s="5">
        <f>ตัวคูณโรงพยาบาล!D131</f>
        <v>0</v>
      </c>
      <c r="E97" s="5">
        <f>ตัวคูณโรงพยาบาล!E131</f>
        <v>0</v>
      </c>
      <c r="F97" s="5">
        <f>ตัวคูณโรงพยาบาล!F131</f>
        <v>0</v>
      </c>
      <c r="G97" s="5">
        <f>ตัวคูณโรงพยาบาล!G131</f>
        <v>0</v>
      </c>
      <c r="H97" s="5">
        <f>ตัวคูณโรงพยาบาล!H131</f>
        <v>0</v>
      </c>
      <c r="I97" s="5">
        <f>ตัวคูณโรงพยาบาล!I131</f>
        <v>0</v>
      </c>
      <c r="J97" s="5">
        <f>ตัวคูณโรงพยาบาล!J131</f>
        <v>0</v>
      </c>
      <c r="K97" s="5">
        <f>ตัวคูณโรงพยาบาล!K131</f>
        <v>0</v>
      </c>
      <c r="L97" s="5">
        <f t="shared" si="1"/>
        <v>0</v>
      </c>
    </row>
    <row r="98" spans="1:12" x14ac:dyDescent="0.25">
      <c r="C98" t="s">
        <v>119</v>
      </c>
      <c r="D98" s="5">
        <f>ตัวคูณโรงพยาบาล!D132</f>
        <v>0</v>
      </c>
      <c r="E98" s="5">
        <f>ตัวคูณโรงพยาบาล!E132</f>
        <v>0</v>
      </c>
      <c r="F98" s="5">
        <f>ตัวคูณโรงพยาบาล!F132</f>
        <v>0</v>
      </c>
      <c r="G98" s="5">
        <f>ตัวคูณโรงพยาบาล!G132</f>
        <v>0</v>
      </c>
      <c r="H98" s="5">
        <f>ตัวคูณโรงพยาบาล!H132</f>
        <v>0</v>
      </c>
      <c r="I98" s="5">
        <f>ตัวคูณโรงพยาบาล!I132</f>
        <v>0</v>
      </c>
      <c r="J98" s="5">
        <f>ตัวคูณโรงพยาบาล!J132</f>
        <v>0</v>
      </c>
      <c r="K98" s="5">
        <f>ตัวคูณโรงพยาบาล!K132</f>
        <v>0</v>
      </c>
      <c r="L98" s="5">
        <f t="shared" si="1"/>
        <v>0</v>
      </c>
    </row>
    <row r="99" spans="1:12" x14ac:dyDescent="0.25">
      <c r="C99" t="s">
        <v>99</v>
      </c>
      <c r="D99" s="5">
        <f>ตัวคูณโรงพยาบาล!D133</f>
        <v>0</v>
      </c>
      <c r="E99" s="5">
        <f>ตัวคูณโรงพยาบาล!E133</f>
        <v>0</v>
      </c>
      <c r="F99" s="5">
        <f>ตัวคูณโรงพยาบาล!F133</f>
        <v>0</v>
      </c>
      <c r="G99" s="5">
        <f>ตัวคูณโรงพยาบาล!G133</f>
        <v>1.0017257550178202</v>
      </c>
      <c r="H99" s="5">
        <f>ตัวคูณโรงพยาบาล!H133</f>
        <v>0</v>
      </c>
      <c r="I99" s="5">
        <f>ตัวคูณโรงพยาบาล!I133</f>
        <v>0</v>
      </c>
      <c r="J99" s="5">
        <f>ตัวคูณโรงพยาบาล!J133</f>
        <v>0</v>
      </c>
      <c r="K99" s="5">
        <f>ตัวคูณโรงพยาบาล!K133</f>
        <v>0</v>
      </c>
      <c r="L99" s="5">
        <f t="shared" si="1"/>
        <v>1.0017257550178202</v>
      </c>
    </row>
    <row r="100" spans="1:12" x14ac:dyDescent="0.25">
      <c r="C100" t="s">
        <v>100</v>
      </c>
      <c r="D100" s="5">
        <f>ตัวคูณโรงพยาบาล!D134</f>
        <v>0</v>
      </c>
      <c r="E100" s="5">
        <f>ตัวคูณโรงพยาบาล!E134</f>
        <v>0</v>
      </c>
      <c r="F100" s="5">
        <f>ตัวคูณโรงพยาบาล!F134</f>
        <v>0</v>
      </c>
      <c r="G100" s="5">
        <f>ตัวคูณโรงพยาบาล!G134</f>
        <v>0</v>
      </c>
      <c r="H100" s="5">
        <f>ตัวคูณโรงพยาบาล!H134</f>
        <v>0</v>
      </c>
      <c r="I100" s="5">
        <f>ตัวคูณโรงพยาบาล!I134</f>
        <v>0</v>
      </c>
      <c r="J100" s="5">
        <f>ตัวคูณโรงพยาบาล!J134</f>
        <v>0</v>
      </c>
      <c r="K100" s="5">
        <f>ตัวคูณโรงพยาบาล!K134</f>
        <v>0</v>
      </c>
      <c r="L100" s="5">
        <f t="shared" si="1"/>
        <v>0</v>
      </c>
    </row>
    <row r="101" spans="1:12" x14ac:dyDescent="0.25">
      <c r="C101" t="s">
        <v>101</v>
      </c>
      <c r="D101" s="5">
        <f>ตัวคูณโรงพยาบาล!D135</f>
        <v>0</v>
      </c>
      <c r="E101" s="5">
        <f>ตัวคูณโรงพยาบาล!E135</f>
        <v>0</v>
      </c>
      <c r="F101" s="5">
        <f>ตัวคูณโรงพยาบาล!F135</f>
        <v>0</v>
      </c>
      <c r="G101" s="5">
        <f>ตัวคูณโรงพยาบาล!G135</f>
        <v>0</v>
      </c>
      <c r="H101" s="5">
        <f>ตัวคูณโรงพยาบาล!H135</f>
        <v>0</v>
      </c>
      <c r="I101" s="5">
        <f>ตัวคูณโรงพยาบาล!I135</f>
        <v>0</v>
      </c>
      <c r="J101" s="5">
        <f>ตัวคูณโรงพยาบาล!J135</f>
        <v>0</v>
      </c>
      <c r="K101" s="5">
        <f>ตัวคูณโรงพยาบาล!K135</f>
        <v>0</v>
      </c>
      <c r="L101" s="5">
        <f t="shared" si="1"/>
        <v>0</v>
      </c>
    </row>
    <row r="102" spans="1:12" x14ac:dyDescent="0.25">
      <c r="A102" s="23" t="s">
        <v>104</v>
      </c>
      <c r="B102" s="23" t="s">
        <v>108</v>
      </c>
      <c r="C102" t="s">
        <v>70</v>
      </c>
      <c r="D102" s="5">
        <f>ตัวคูณโรงพยาบาล!D136</f>
        <v>0</v>
      </c>
      <c r="E102" s="5">
        <f>ตัวคูณโรงพยาบาล!E136</f>
        <v>0</v>
      </c>
      <c r="F102" s="5">
        <f>ตัวคูณโรงพยาบาล!F136</f>
        <v>0</v>
      </c>
      <c r="G102" s="5">
        <f>ตัวคูณโรงพยาบาล!G136</f>
        <v>0</v>
      </c>
      <c r="H102" s="5">
        <f>ตัวคูณโรงพยาบาล!H136</f>
        <v>0</v>
      </c>
      <c r="I102" s="5">
        <f>ตัวคูณโรงพยาบาล!I136</f>
        <v>0</v>
      </c>
      <c r="J102" s="5">
        <f>ตัวคูณโรงพยาบาล!J136</f>
        <v>0</v>
      </c>
      <c r="K102" s="5">
        <f>ตัวคูณโรงพยาบาล!K136</f>
        <v>0</v>
      </c>
      <c r="L102" s="5">
        <f t="shared" si="1"/>
        <v>0</v>
      </c>
    </row>
    <row r="103" spans="1:12" x14ac:dyDescent="0.25">
      <c r="C103" t="s">
        <v>71</v>
      </c>
      <c r="D103" s="5">
        <f>ตัวคูณโรงพยาบาล!D137</f>
        <v>0</v>
      </c>
      <c r="E103" s="5">
        <f>ตัวคูณโรงพยาบาล!E137</f>
        <v>0</v>
      </c>
      <c r="F103" s="5">
        <f>ตัวคูณโรงพยาบาล!F137</f>
        <v>0</v>
      </c>
      <c r="G103" s="5">
        <f>ตัวคูณโรงพยาบาล!G137</f>
        <v>0</v>
      </c>
      <c r="H103" s="5">
        <f>ตัวคูณโรงพยาบาล!H137</f>
        <v>0</v>
      </c>
      <c r="I103" s="5">
        <f>ตัวคูณโรงพยาบาล!I137</f>
        <v>0</v>
      </c>
      <c r="J103" s="5">
        <f>ตัวคูณโรงพยาบาล!J137</f>
        <v>0</v>
      </c>
      <c r="K103" s="5">
        <f>ตัวคูณโรงพยาบาล!K137</f>
        <v>0</v>
      </c>
      <c r="L103" s="5">
        <f t="shared" si="1"/>
        <v>0</v>
      </c>
    </row>
    <row r="104" spans="1:12" x14ac:dyDescent="0.25">
      <c r="C104" t="s">
        <v>72</v>
      </c>
      <c r="D104" s="5">
        <f>ตัวคูณโรงพยาบาล!D138</f>
        <v>0</v>
      </c>
      <c r="E104" s="5">
        <f>ตัวคูณโรงพยาบาล!E138</f>
        <v>0</v>
      </c>
      <c r="F104" s="5">
        <f>ตัวคูณโรงพยาบาล!F138</f>
        <v>0</v>
      </c>
      <c r="G104" s="5">
        <f>ตัวคูณโรงพยาบาล!G138</f>
        <v>1.0017257550178202</v>
      </c>
      <c r="H104" s="5">
        <f>ตัวคูณโรงพยาบาล!H138</f>
        <v>0</v>
      </c>
      <c r="I104" s="5">
        <f>ตัวคูณโรงพยาบาล!I138</f>
        <v>0</v>
      </c>
      <c r="J104" s="5">
        <f>ตัวคูณโรงพยาบาล!J138</f>
        <v>0</v>
      </c>
      <c r="K104" s="5">
        <f>ตัวคูณโรงพยาบาล!K138</f>
        <v>0</v>
      </c>
      <c r="L104" s="5">
        <f t="shared" si="1"/>
        <v>1.0017257550178202</v>
      </c>
    </row>
    <row r="105" spans="1:12" x14ac:dyDescent="0.25">
      <c r="C105" t="s">
        <v>73</v>
      </c>
      <c r="D105" s="5">
        <f>ตัวคูณโรงพยาบาล!D139</f>
        <v>0</v>
      </c>
      <c r="E105" s="5">
        <f>ตัวคูณโรงพยาบาล!E139</f>
        <v>0</v>
      </c>
      <c r="F105" s="5">
        <f>ตัวคูณโรงพยาบาล!F139</f>
        <v>0</v>
      </c>
      <c r="G105" s="5">
        <f>ตัวคูณโรงพยาบาล!G139</f>
        <v>0</v>
      </c>
      <c r="H105" s="5">
        <f>ตัวคูณโรงพยาบาล!H139</f>
        <v>0</v>
      </c>
      <c r="I105" s="5">
        <f>ตัวคูณโรงพยาบาล!I139</f>
        <v>0</v>
      </c>
      <c r="J105" s="5">
        <f>ตัวคูณโรงพยาบาล!J139</f>
        <v>0</v>
      </c>
      <c r="K105" s="5">
        <f>ตัวคูณโรงพยาบาล!K139</f>
        <v>0</v>
      </c>
      <c r="L105" s="5">
        <f t="shared" si="1"/>
        <v>0</v>
      </c>
    </row>
    <row r="106" spans="1:12" x14ac:dyDescent="0.25">
      <c r="C106" t="s">
        <v>74</v>
      </c>
      <c r="D106" s="5">
        <f>ตัวคูณโรงพยาบาล!D140</f>
        <v>0</v>
      </c>
      <c r="E106" s="5">
        <f>ตัวคูณโรงพยาบาล!E140</f>
        <v>0</v>
      </c>
      <c r="F106" s="5">
        <f>ตัวคูณโรงพยาบาล!F140</f>
        <v>0</v>
      </c>
      <c r="G106" s="5">
        <f>ตัวคูณโรงพยาบาล!G140</f>
        <v>0</v>
      </c>
      <c r="H106" s="5">
        <f>ตัวคูณโรงพยาบาล!H140</f>
        <v>0</v>
      </c>
      <c r="I106" s="5">
        <f>ตัวคูณโรงพยาบาล!I140</f>
        <v>0</v>
      </c>
      <c r="J106" s="5">
        <f>ตัวคูณโรงพยาบาล!J140</f>
        <v>0</v>
      </c>
      <c r="K106" s="5">
        <f>ตัวคูณโรงพยาบาล!K140</f>
        <v>0</v>
      </c>
      <c r="L106" s="5">
        <f t="shared" si="1"/>
        <v>0</v>
      </c>
    </row>
    <row r="107" spans="1:12" x14ac:dyDescent="0.25">
      <c r="C107" t="s">
        <v>75</v>
      </c>
      <c r="D107" s="5">
        <f>ตัวคูณโรงพยาบาล!D141</f>
        <v>0</v>
      </c>
      <c r="E107" s="5">
        <f>ตัวคูณโรงพยาบาล!E141</f>
        <v>0</v>
      </c>
      <c r="F107" s="5">
        <f>ตัวคูณโรงพยาบาล!F141</f>
        <v>0</v>
      </c>
      <c r="G107" s="5">
        <f>ตัวคูณโรงพยาบาล!G141</f>
        <v>0</v>
      </c>
      <c r="H107" s="5">
        <f>ตัวคูณโรงพยาบาล!H141</f>
        <v>0</v>
      </c>
      <c r="I107" s="5">
        <f>ตัวคูณโรงพยาบาล!I141</f>
        <v>0</v>
      </c>
      <c r="J107" s="5">
        <f>ตัวคูณโรงพยาบาล!J141</f>
        <v>0</v>
      </c>
      <c r="K107" s="5">
        <f>ตัวคูณโรงพยาบาล!K141</f>
        <v>0</v>
      </c>
      <c r="L107" s="5">
        <f t="shared" si="1"/>
        <v>0</v>
      </c>
    </row>
    <row r="108" spans="1:12" x14ac:dyDescent="0.25">
      <c r="C108" t="s">
        <v>76</v>
      </c>
      <c r="D108" s="5">
        <f>ตัวคูณโรงพยาบาล!D142</f>
        <v>0</v>
      </c>
      <c r="E108" s="5">
        <f>ตัวคูณโรงพยาบาล!E142</f>
        <v>0</v>
      </c>
      <c r="F108" s="5">
        <f>ตัวคูณโรงพยาบาล!F142</f>
        <v>0</v>
      </c>
      <c r="G108" s="5">
        <f>ตัวคูณโรงพยาบาล!G142</f>
        <v>0</v>
      </c>
      <c r="H108" s="5">
        <f>ตัวคูณโรงพยาบาล!H142</f>
        <v>0</v>
      </c>
      <c r="I108" s="5">
        <f>ตัวคูณโรงพยาบาล!I142</f>
        <v>0</v>
      </c>
      <c r="J108" s="5">
        <f>ตัวคูณโรงพยาบาล!J142</f>
        <v>0</v>
      </c>
      <c r="K108" s="5">
        <f>ตัวคูณโรงพยาบาล!K142</f>
        <v>0</v>
      </c>
      <c r="L108" s="5">
        <f t="shared" si="1"/>
        <v>0</v>
      </c>
    </row>
    <row r="109" spans="1:12" x14ac:dyDescent="0.25">
      <c r="C109" t="s">
        <v>77</v>
      </c>
      <c r="D109" s="5">
        <f>ตัวคูณโรงพยาบาล!D143</f>
        <v>0</v>
      </c>
      <c r="E109" s="5">
        <f>ตัวคูณโรงพยาบาล!E143</f>
        <v>0</v>
      </c>
      <c r="F109" s="5">
        <f>ตัวคูณโรงพยาบาล!F143</f>
        <v>0</v>
      </c>
      <c r="G109" s="5">
        <f>ตัวคูณโรงพยาบาล!G143</f>
        <v>0</v>
      </c>
      <c r="H109" s="5">
        <f>ตัวคูณโรงพยาบาล!H143</f>
        <v>0</v>
      </c>
      <c r="I109" s="5">
        <f>ตัวคูณโรงพยาบาล!I143</f>
        <v>0</v>
      </c>
      <c r="J109" s="5">
        <f>ตัวคูณโรงพยาบาล!J143</f>
        <v>0</v>
      </c>
      <c r="K109" s="5">
        <f>ตัวคูณโรงพยาบาล!K143</f>
        <v>0</v>
      </c>
      <c r="L109" s="5">
        <f t="shared" si="1"/>
        <v>0</v>
      </c>
    </row>
    <row r="110" spans="1:12" x14ac:dyDescent="0.25">
      <c r="C110" t="s">
        <v>78</v>
      </c>
      <c r="D110" s="5">
        <f>ตัวคูณโรงพยาบาล!D144</f>
        <v>0</v>
      </c>
      <c r="E110" s="5">
        <f>ตัวคูณโรงพยาบาล!E144</f>
        <v>0</v>
      </c>
      <c r="F110" s="5">
        <f>ตัวคูณโรงพยาบาล!F144</f>
        <v>0</v>
      </c>
      <c r="G110" s="5">
        <f>ตัวคูณโรงพยาบาล!G144</f>
        <v>0</v>
      </c>
      <c r="H110" s="5">
        <f>ตัวคูณโรงพยาบาล!H144</f>
        <v>0</v>
      </c>
      <c r="I110" s="5">
        <f>ตัวคูณโรงพยาบาล!I144</f>
        <v>0</v>
      </c>
      <c r="J110" s="5">
        <f>ตัวคูณโรงพยาบาล!J144</f>
        <v>0</v>
      </c>
      <c r="K110" s="5">
        <f>ตัวคูณโรงพยาบาล!K144</f>
        <v>0</v>
      </c>
      <c r="L110" s="5">
        <f t="shared" si="1"/>
        <v>0</v>
      </c>
    </row>
    <row r="111" spans="1:12" x14ac:dyDescent="0.25">
      <c r="C111" t="s">
        <v>79</v>
      </c>
      <c r="D111" s="5">
        <f>ตัวคูณโรงพยาบาล!D145</f>
        <v>0</v>
      </c>
      <c r="E111" s="5">
        <f>ตัวคูณโรงพยาบาล!E145</f>
        <v>0</v>
      </c>
      <c r="F111" s="5">
        <f>ตัวคูณโรงพยาบาล!F145</f>
        <v>0</v>
      </c>
      <c r="G111" s="5">
        <f>ตัวคูณโรงพยาบาล!G145</f>
        <v>0</v>
      </c>
      <c r="H111" s="5">
        <f>ตัวคูณโรงพยาบาล!H145</f>
        <v>0</v>
      </c>
      <c r="I111" s="5">
        <f>ตัวคูณโรงพยาบาล!I145</f>
        <v>0</v>
      </c>
      <c r="J111" s="5">
        <f>ตัวคูณโรงพยาบาล!J145</f>
        <v>0</v>
      </c>
      <c r="K111" s="5">
        <f>ตัวคูณโรงพยาบาล!K145</f>
        <v>0</v>
      </c>
      <c r="L111" s="5">
        <f t="shared" si="1"/>
        <v>0</v>
      </c>
    </row>
    <row r="112" spans="1:12" x14ac:dyDescent="0.25">
      <c r="C112" t="s">
        <v>80</v>
      </c>
      <c r="D112" s="5">
        <f>ตัวคูณโรงพยาบาล!D146</f>
        <v>0</v>
      </c>
      <c r="E112" s="5">
        <f>ตัวคูณโรงพยาบาล!E146</f>
        <v>0</v>
      </c>
      <c r="F112" s="5">
        <f>ตัวคูณโรงพยาบาล!F146</f>
        <v>0</v>
      </c>
      <c r="G112" s="5">
        <f>ตัวคูณโรงพยาบาล!G146</f>
        <v>2.0034515100356405</v>
      </c>
      <c r="H112" s="5">
        <f>ตัวคูณโรงพยาบาล!H146</f>
        <v>0</v>
      </c>
      <c r="I112" s="5">
        <f>ตัวคูณโรงพยาบาล!I146</f>
        <v>0</v>
      </c>
      <c r="J112" s="5">
        <f>ตัวคูณโรงพยาบาล!J146</f>
        <v>0</v>
      </c>
      <c r="K112" s="5">
        <f>ตัวคูณโรงพยาบาล!K146</f>
        <v>0</v>
      </c>
      <c r="L112" s="5">
        <f t="shared" si="1"/>
        <v>2.0034515100356405</v>
      </c>
    </row>
    <row r="113" spans="3:12" x14ac:dyDescent="0.25">
      <c r="C113" t="s">
        <v>81</v>
      </c>
      <c r="D113" s="5">
        <f>ตัวคูณโรงพยาบาล!D147</f>
        <v>0</v>
      </c>
      <c r="E113" s="5">
        <f>ตัวคูณโรงพยาบาล!E147</f>
        <v>0</v>
      </c>
      <c r="F113" s="5">
        <f>ตัวคูณโรงพยาบาล!F147</f>
        <v>0</v>
      </c>
      <c r="G113" s="5">
        <f>ตัวคูณโรงพยาบาล!G147</f>
        <v>0</v>
      </c>
      <c r="H113" s="5">
        <f>ตัวคูณโรงพยาบาล!H147</f>
        <v>0</v>
      </c>
      <c r="I113" s="5">
        <f>ตัวคูณโรงพยาบาล!I147</f>
        <v>0</v>
      </c>
      <c r="J113" s="5">
        <f>ตัวคูณโรงพยาบาล!J147</f>
        <v>0</v>
      </c>
      <c r="K113" s="5">
        <f>ตัวคูณโรงพยาบาล!K147</f>
        <v>0</v>
      </c>
      <c r="L113" s="5">
        <f t="shared" si="1"/>
        <v>0</v>
      </c>
    </row>
    <row r="114" spans="3:12" x14ac:dyDescent="0.25">
      <c r="C114" t="s">
        <v>82</v>
      </c>
      <c r="D114" s="5">
        <f>ตัวคูณโรงพยาบาล!D148</f>
        <v>0</v>
      </c>
      <c r="E114" s="5">
        <f>ตัวคูณโรงพยาบาล!E148</f>
        <v>0</v>
      </c>
      <c r="F114" s="5">
        <f>ตัวคูณโรงพยาบาล!F148</f>
        <v>0</v>
      </c>
      <c r="G114" s="5">
        <f>ตัวคูณโรงพยาบาล!G148</f>
        <v>0</v>
      </c>
      <c r="H114" s="5">
        <f>ตัวคูณโรงพยาบาล!H148</f>
        <v>0</v>
      </c>
      <c r="I114" s="5">
        <f>ตัวคูณโรงพยาบาล!I148</f>
        <v>0</v>
      </c>
      <c r="J114" s="5">
        <f>ตัวคูณโรงพยาบาล!J148</f>
        <v>0</v>
      </c>
      <c r="K114" s="5">
        <f>ตัวคูณโรงพยาบาล!K148</f>
        <v>0</v>
      </c>
      <c r="L114" s="5">
        <f t="shared" si="1"/>
        <v>0</v>
      </c>
    </row>
    <row r="115" spans="3:12" x14ac:dyDescent="0.25">
      <c r="C115" t="s">
        <v>83</v>
      </c>
      <c r="D115" s="5">
        <f>ตัวคูณโรงพยาบาล!D149</f>
        <v>0</v>
      </c>
      <c r="E115" s="5">
        <f>ตัวคูณโรงพยาบาล!E149</f>
        <v>0</v>
      </c>
      <c r="F115" s="5">
        <f>ตัวคูณโรงพยาบาล!F149</f>
        <v>0</v>
      </c>
      <c r="G115" s="5">
        <f>ตัวคูณโรงพยาบาล!G149</f>
        <v>0</v>
      </c>
      <c r="H115" s="5">
        <f>ตัวคูณโรงพยาบาล!H149</f>
        <v>0</v>
      </c>
      <c r="I115" s="5">
        <f>ตัวคูณโรงพยาบาล!I149</f>
        <v>0</v>
      </c>
      <c r="J115" s="5">
        <f>ตัวคูณโรงพยาบาล!J149</f>
        <v>0</v>
      </c>
      <c r="K115" s="5">
        <f>ตัวคูณโรงพยาบาล!K149</f>
        <v>0</v>
      </c>
      <c r="L115" s="5">
        <f t="shared" si="1"/>
        <v>0</v>
      </c>
    </row>
    <row r="116" spans="3:12" x14ac:dyDescent="0.25">
      <c r="C116" t="s">
        <v>84</v>
      </c>
      <c r="D116" s="5">
        <f>ตัวคูณโรงพยาบาล!D150</f>
        <v>0</v>
      </c>
      <c r="E116" s="5">
        <f>ตัวคูณโรงพยาบาล!E150</f>
        <v>0</v>
      </c>
      <c r="F116" s="5">
        <f>ตัวคูณโรงพยาบาล!F150</f>
        <v>0</v>
      </c>
      <c r="G116" s="5">
        <f>ตัวคูณโรงพยาบาล!G150</f>
        <v>0</v>
      </c>
      <c r="H116" s="5">
        <f>ตัวคูณโรงพยาบาล!H150</f>
        <v>0</v>
      </c>
      <c r="I116" s="5">
        <f>ตัวคูณโรงพยาบาล!I150</f>
        <v>0</v>
      </c>
      <c r="J116" s="5">
        <f>ตัวคูณโรงพยาบาล!J150</f>
        <v>0</v>
      </c>
      <c r="K116" s="5">
        <f>ตัวคูณโรงพยาบาล!K150</f>
        <v>0</v>
      </c>
      <c r="L116" s="5">
        <f t="shared" si="1"/>
        <v>0</v>
      </c>
    </row>
    <row r="117" spans="3:12" x14ac:dyDescent="0.25">
      <c r="C117" t="s">
        <v>85</v>
      </c>
      <c r="D117" s="5">
        <f>ตัวคูณโรงพยาบาล!D151</f>
        <v>0</v>
      </c>
      <c r="E117" s="5">
        <f>ตัวคูณโรงพยาบาล!E151</f>
        <v>0</v>
      </c>
      <c r="F117" s="5">
        <f>ตัวคูณโรงพยาบาล!F151</f>
        <v>0</v>
      </c>
      <c r="G117" s="5">
        <f>ตัวคูณโรงพยาบาล!G151</f>
        <v>0</v>
      </c>
      <c r="H117" s="5">
        <f>ตัวคูณโรงพยาบาล!H151</f>
        <v>0</v>
      </c>
      <c r="I117" s="5">
        <f>ตัวคูณโรงพยาบาล!I151</f>
        <v>0</v>
      </c>
      <c r="J117" s="5">
        <f>ตัวคูณโรงพยาบาล!J151</f>
        <v>0</v>
      </c>
      <c r="K117" s="5">
        <f>ตัวคูณโรงพยาบาล!K151</f>
        <v>0</v>
      </c>
      <c r="L117" s="5">
        <f t="shared" si="1"/>
        <v>0</v>
      </c>
    </row>
    <row r="118" spans="3:12" x14ac:dyDescent="0.25">
      <c r="C118" t="s">
        <v>86</v>
      </c>
      <c r="D118" s="5">
        <f>ตัวคูณโรงพยาบาล!D152</f>
        <v>0</v>
      </c>
      <c r="E118" s="5">
        <f>ตัวคูณโรงพยาบาล!E152</f>
        <v>0</v>
      </c>
      <c r="F118" s="5">
        <f>ตัวคูณโรงพยาบาล!F152</f>
        <v>0</v>
      </c>
      <c r="G118" s="5">
        <f>ตัวคูณโรงพยาบาล!G152</f>
        <v>0</v>
      </c>
      <c r="H118" s="5">
        <f>ตัวคูณโรงพยาบาล!H152</f>
        <v>0</v>
      </c>
      <c r="I118" s="5">
        <f>ตัวคูณโรงพยาบาล!I152</f>
        <v>0</v>
      </c>
      <c r="J118" s="5">
        <f>ตัวคูณโรงพยาบาล!J152</f>
        <v>0</v>
      </c>
      <c r="K118" s="5">
        <f>ตัวคูณโรงพยาบาล!K152</f>
        <v>0</v>
      </c>
      <c r="L118" s="5">
        <f t="shared" si="1"/>
        <v>0</v>
      </c>
    </row>
    <row r="119" spans="3:12" x14ac:dyDescent="0.25">
      <c r="C119" t="s">
        <v>87</v>
      </c>
      <c r="D119" s="5">
        <f>ตัวคูณโรงพยาบาล!D153</f>
        <v>0</v>
      </c>
      <c r="E119" s="5">
        <f>ตัวคูณโรงพยาบาล!E153</f>
        <v>0</v>
      </c>
      <c r="F119" s="5">
        <f>ตัวคูณโรงพยาบาล!F153</f>
        <v>0</v>
      </c>
      <c r="G119" s="5">
        <f>ตัวคูณโรงพยาบาล!G153</f>
        <v>0</v>
      </c>
      <c r="H119" s="5">
        <f>ตัวคูณโรงพยาบาล!H153</f>
        <v>0</v>
      </c>
      <c r="I119" s="5">
        <f>ตัวคูณโรงพยาบาล!I153</f>
        <v>0</v>
      </c>
      <c r="J119" s="5">
        <f>ตัวคูณโรงพยาบาล!J153</f>
        <v>0</v>
      </c>
      <c r="K119" s="5">
        <f>ตัวคูณโรงพยาบาล!K153</f>
        <v>0</v>
      </c>
      <c r="L119" s="5">
        <f t="shared" si="1"/>
        <v>0</v>
      </c>
    </row>
    <row r="120" spans="3:12" x14ac:dyDescent="0.25">
      <c r="C120" t="s">
        <v>88</v>
      </c>
      <c r="D120" s="5">
        <f>ตัวคูณโรงพยาบาล!D154</f>
        <v>0</v>
      </c>
      <c r="E120" s="5">
        <f>ตัวคูณโรงพยาบาล!E154</f>
        <v>0</v>
      </c>
      <c r="F120" s="5">
        <f>ตัวคูณโรงพยาบาล!F154</f>
        <v>0</v>
      </c>
      <c r="G120" s="5">
        <f>ตัวคูณโรงพยาบาล!G154</f>
        <v>0</v>
      </c>
      <c r="H120" s="5">
        <f>ตัวคูณโรงพยาบาล!H154</f>
        <v>0</v>
      </c>
      <c r="I120" s="5">
        <f>ตัวคูณโรงพยาบาล!I154</f>
        <v>0</v>
      </c>
      <c r="J120" s="5">
        <f>ตัวคูณโรงพยาบาล!J154</f>
        <v>0</v>
      </c>
      <c r="K120" s="5">
        <f>ตัวคูณโรงพยาบาล!K154</f>
        <v>0</v>
      </c>
      <c r="L120" s="5">
        <f t="shared" si="1"/>
        <v>0</v>
      </c>
    </row>
    <row r="121" spans="3:12" x14ac:dyDescent="0.25">
      <c r="C121" t="s">
        <v>89</v>
      </c>
      <c r="D121" s="5">
        <f>ตัวคูณโรงพยาบาล!D155</f>
        <v>0</v>
      </c>
      <c r="E121" s="5">
        <f>ตัวคูณโรงพยาบาล!E155</f>
        <v>0</v>
      </c>
      <c r="F121" s="5">
        <f>ตัวคูณโรงพยาบาล!F155</f>
        <v>0</v>
      </c>
      <c r="G121" s="5">
        <f>ตัวคูณโรงพยาบาล!G155</f>
        <v>0</v>
      </c>
      <c r="H121" s="5">
        <f>ตัวคูณโรงพยาบาล!H155</f>
        <v>0</v>
      </c>
      <c r="I121" s="5">
        <f>ตัวคูณโรงพยาบาล!I155</f>
        <v>0</v>
      </c>
      <c r="J121" s="5">
        <f>ตัวคูณโรงพยาบาล!J155</f>
        <v>0</v>
      </c>
      <c r="K121" s="5">
        <f>ตัวคูณโรงพยาบาล!K155</f>
        <v>0</v>
      </c>
      <c r="L121" s="5">
        <f t="shared" si="1"/>
        <v>0</v>
      </c>
    </row>
    <row r="122" spans="3:12" x14ac:dyDescent="0.25">
      <c r="C122" t="s">
        <v>90</v>
      </c>
      <c r="D122" s="5">
        <f>ตัวคูณโรงพยาบาล!D156</f>
        <v>0</v>
      </c>
      <c r="E122" s="5">
        <f>ตัวคูณโรงพยาบาล!E156</f>
        <v>0</v>
      </c>
      <c r="F122" s="5">
        <f>ตัวคูณโรงพยาบาล!F156</f>
        <v>0</v>
      </c>
      <c r="G122" s="5">
        <f>ตัวคูณโรงพยาบาล!G156</f>
        <v>0</v>
      </c>
      <c r="H122" s="5">
        <f>ตัวคูณโรงพยาบาล!H156</f>
        <v>0</v>
      </c>
      <c r="I122" s="5">
        <f>ตัวคูณโรงพยาบาล!I156</f>
        <v>0</v>
      </c>
      <c r="J122" s="5">
        <f>ตัวคูณโรงพยาบาล!J156</f>
        <v>0</v>
      </c>
      <c r="K122" s="5">
        <f>ตัวคูณโรงพยาบาล!K156</f>
        <v>0</v>
      </c>
      <c r="L122" s="5">
        <f t="shared" si="1"/>
        <v>0</v>
      </c>
    </row>
    <row r="123" spans="3:12" x14ac:dyDescent="0.25">
      <c r="C123" t="s">
        <v>91</v>
      </c>
      <c r="D123" s="5">
        <f>ตัวคูณโรงพยาบาล!D157</f>
        <v>0</v>
      </c>
      <c r="E123" s="5">
        <f>ตัวคูณโรงพยาบาล!E157</f>
        <v>0</v>
      </c>
      <c r="F123" s="5">
        <f>ตัวคูณโรงพยาบาล!F157</f>
        <v>0</v>
      </c>
      <c r="G123" s="5">
        <f>ตัวคูณโรงพยาบาล!G157</f>
        <v>0</v>
      </c>
      <c r="H123" s="5">
        <f>ตัวคูณโรงพยาบาล!H157</f>
        <v>0</v>
      </c>
      <c r="I123" s="5">
        <f>ตัวคูณโรงพยาบาล!I157</f>
        <v>0</v>
      </c>
      <c r="J123" s="5">
        <f>ตัวคูณโรงพยาบาล!J157</f>
        <v>0</v>
      </c>
      <c r="K123" s="5">
        <f>ตัวคูณโรงพยาบาล!K157</f>
        <v>0</v>
      </c>
      <c r="L123" s="5">
        <f t="shared" si="1"/>
        <v>0</v>
      </c>
    </row>
    <row r="124" spans="3:12" x14ac:dyDescent="0.25">
      <c r="C124" t="s">
        <v>92</v>
      </c>
      <c r="D124" s="5">
        <f>ตัวคูณโรงพยาบาล!D158</f>
        <v>0</v>
      </c>
      <c r="E124" s="5">
        <f>ตัวคูณโรงพยาบาล!E158</f>
        <v>0</v>
      </c>
      <c r="F124" s="5">
        <f>ตัวคูณโรงพยาบาล!F158</f>
        <v>0</v>
      </c>
      <c r="G124" s="5">
        <f>ตัวคูณโรงพยาบาล!G158</f>
        <v>0</v>
      </c>
      <c r="H124" s="5">
        <f>ตัวคูณโรงพยาบาล!H158</f>
        <v>0</v>
      </c>
      <c r="I124" s="5">
        <f>ตัวคูณโรงพยาบาล!I158</f>
        <v>0</v>
      </c>
      <c r="J124" s="5">
        <f>ตัวคูณโรงพยาบาล!J158</f>
        <v>0</v>
      </c>
      <c r="K124" s="5">
        <f>ตัวคูณโรงพยาบาล!K158</f>
        <v>0</v>
      </c>
      <c r="L124" s="5">
        <f t="shared" si="1"/>
        <v>0</v>
      </c>
    </row>
    <row r="125" spans="3:12" x14ac:dyDescent="0.25">
      <c r="C125" t="s">
        <v>93</v>
      </c>
      <c r="D125" s="5">
        <f>ตัวคูณโรงพยาบาล!D159</f>
        <v>0</v>
      </c>
      <c r="E125" s="5">
        <f>ตัวคูณโรงพยาบาล!E159</f>
        <v>0</v>
      </c>
      <c r="F125" s="5">
        <f>ตัวคูณโรงพยาบาล!F159</f>
        <v>0</v>
      </c>
      <c r="G125" s="5">
        <f>ตัวคูณโรงพยาบาล!G159</f>
        <v>0</v>
      </c>
      <c r="H125" s="5">
        <f>ตัวคูณโรงพยาบาล!H159</f>
        <v>0</v>
      </c>
      <c r="I125" s="5">
        <f>ตัวคูณโรงพยาบาล!I159</f>
        <v>0</v>
      </c>
      <c r="J125" s="5">
        <f>ตัวคูณโรงพยาบาล!J159</f>
        <v>0</v>
      </c>
      <c r="K125" s="5">
        <f>ตัวคูณโรงพยาบาล!K159</f>
        <v>0</v>
      </c>
      <c r="L125" s="5">
        <f t="shared" si="1"/>
        <v>0</v>
      </c>
    </row>
    <row r="126" spans="3:12" x14ac:dyDescent="0.25">
      <c r="C126" t="s">
        <v>94</v>
      </c>
      <c r="D126" s="5">
        <f>ตัวคูณโรงพยาบาล!D160</f>
        <v>0</v>
      </c>
      <c r="E126" s="5">
        <f>ตัวคูณโรงพยาบาล!E160</f>
        <v>0</v>
      </c>
      <c r="F126" s="5">
        <f>ตัวคูณโรงพยาบาล!F160</f>
        <v>0</v>
      </c>
      <c r="G126" s="5">
        <f>ตัวคูณโรงพยาบาล!G160</f>
        <v>0</v>
      </c>
      <c r="H126" s="5">
        <f>ตัวคูณโรงพยาบาล!H160</f>
        <v>0</v>
      </c>
      <c r="I126" s="5">
        <f>ตัวคูณโรงพยาบาล!I160</f>
        <v>0</v>
      </c>
      <c r="J126" s="5">
        <f>ตัวคูณโรงพยาบาล!J160</f>
        <v>0</v>
      </c>
      <c r="K126" s="5">
        <f>ตัวคูณโรงพยาบาล!K160</f>
        <v>0</v>
      </c>
      <c r="L126" s="5">
        <f t="shared" si="1"/>
        <v>0</v>
      </c>
    </row>
    <row r="127" spans="3:12" x14ac:dyDescent="0.25">
      <c r="C127" t="s">
        <v>95</v>
      </c>
      <c r="D127" s="5">
        <f>ตัวคูณโรงพยาบาล!D161</f>
        <v>0</v>
      </c>
      <c r="E127" s="5">
        <f>ตัวคูณโรงพยาบาล!E161</f>
        <v>0</v>
      </c>
      <c r="F127" s="5">
        <f>ตัวคูณโรงพยาบาล!F161</f>
        <v>0</v>
      </c>
      <c r="G127" s="5">
        <f>ตัวคูณโรงพยาบาล!G161</f>
        <v>0</v>
      </c>
      <c r="H127" s="5">
        <f>ตัวคูณโรงพยาบาล!H161</f>
        <v>0</v>
      </c>
      <c r="I127" s="5">
        <f>ตัวคูณโรงพยาบาล!I161</f>
        <v>0</v>
      </c>
      <c r="J127" s="5">
        <f>ตัวคูณโรงพยาบาล!J161</f>
        <v>0</v>
      </c>
      <c r="K127" s="5">
        <f>ตัวคูณโรงพยาบาล!K161</f>
        <v>0</v>
      </c>
      <c r="L127" s="5">
        <f t="shared" si="1"/>
        <v>0</v>
      </c>
    </row>
    <row r="128" spans="3:12" x14ac:dyDescent="0.25">
      <c r="C128" t="s">
        <v>96</v>
      </c>
      <c r="D128" s="5">
        <f>ตัวคูณโรงพยาบาล!D162</f>
        <v>0</v>
      </c>
      <c r="E128" s="5">
        <f>ตัวคูณโรงพยาบาล!E162</f>
        <v>0</v>
      </c>
      <c r="F128" s="5">
        <f>ตัวคูณโรงพยาบาล!F162</f>
        <v>0</v>
      </c>
      <c r="G128" s="5">
        <f>ตัวคูณโรงพยาบาล!G162</f>
        <v>0</v>
      </c>
      <c r="H128" s="5">
        <f>ตัวคูณโรงพยาบาล!H162</f>
        <v>0</v>
      </c>
      <c r="I128" s="5">
        <f>ตัวคูณโรงพยาบาล!I162</f>
        <v>0</v>
      </c>
      <c r="J128" s="5">
        <f>ตัวคูณโรงพยาบาล!J162</f>
        <v>0</v>
      </c>
      <c r="K128" s="5">
        <f>ตัวคูณโรงพยาบาล!K162</f>
        <v>0</v>
      </c>
      <c r="L128" s="5">
        <f t="shared" si="1"/>
        <v>0</v>
      </c>
    </row>
    <row r="129" spans="1:12" x14ac:dyDescent="0.25">
      <c r="C129" t="s">
        <v>97</v>
      </c>
      <c r="D129" s="5">
        <f>ตัวคูณโรงพยาบาล!D163</f>
        <v>0</v>
      </c>
      <c r="E129" s="5">
        <f>ตัวคูณโรงพยาบาล!E163</f>
        <v>0</v>
      </c>
      <c r="F129" s="5">
        <f>ตัวคูณโรงพยาบาล!F163</f>
        <v>0</v>
      </c>
      <c r="G129" s="5">
        <f>ตัวคูณโรงพยาบาล!G163</f>
        <v>0</v>
      </c>
      <c r="H129" s="5">
        <f>ตัวคูณโรงพยาบาล!H163</f>
        <v>0</v>
      </c>
      <c r="I129" s="5">
        <f>ตัวคูณโรงพยาบาล!I163</f>
        <v>0</v>
      </c>
      <c r="J129" s="5">
        <f>ตัวคูณโรงพยาบาล!J163</f>
        <v>0</v>
      </c>
      <c r="K129" s="5">
        <f>ตัวคูณโรงพยาบาล!K163</f>
        <v>0</v>
      </c>
      <c r="L129" s="5">
        <f t="shared" si="1"/>
        <v>0</v>
      </c>
    </row>
    <row r="130" spans="1:12" x14ac:dyDescent="0.25">
      <c r="C130" t="s">
        <v>98</v>
      </c>
      <c r="D130" s="5">
        <f>ตัวคูณโรงพยาบาล!D164</f>
        <v>0</v>
      </c>
      <c r="E130" s="5">
        <f>ตัวคูณโรงพยาบาล!E164</f>
        <v>0</v>
      </c>
      <c r="F130" s="5">
        <f>ตัวคูณโรงพยาบาล!F164</f>
        <v>0</v>
      </c>
      <c r="G130" s="5">
        <f>ตัวคูณโรงพยาบาล!G164</f>
        <v>0</v>
      </c>
      <c r="H130" s="5">
        <f>ตัวคูณโรงพยาบาล!H164</f>
        <v>0</v>
      </c>
      <c r="I130" s="5">
        <f>ตัวคูณโรงพยาบาล!I164</f>
        <v>0</v>
      </c>
      <c r="J130" s="5">
        <f>ตัวคูณโรงพยาบาล!J164</f>
        <v>0</v>
      </c>
      <c r="K130" s="5">
        <f>ตัวคูณโรงพยาบาล!K164</f>
        <v>0</v>
      </c>
      <c r="L130" s="5">
        <f t="shared" si="1"/>
        <v>0</v>
      </c>
    </row>
    <row r="131" spans="1:12" x14ac:dyDescent="0.25">
      <c r="C131" t="s">
        <v>119</v>
      </c>
      <c r="D131" s="5">
        <f>ตัวคูณโรงพยาบาล!D165</f>
        <v>0</v>
      </c>
      <c r="E131" s="5">
        <f>ตัวคูณโรงพยาบาล!E165</f>
        <v>0</v>
      </c>
      <c r="F131" s="5">
        <f>ตัวคูณโรงพยาบาล!F165</f>
        <v>0</v>
      </c>
      <c r="G131" s="5">
        <f>ตัวคูณโรงพยาบาล!G165</f>
        <v>0</v>
      </c>
      <c r="H131" s="5">
        <f>ตัวคูณโรงพยาบาล!H165</f>
        <v>0</v>
      </c>
      <c r="I131" s="5">
        <f>ตัวคูณโรงพยาบาล!I165</f>
        <v>0</v>
      </c>
      <c r="J131" s="5">
        <f>ตัวคูณโรงพยาบาล!J165</f>
        <v>0</v>
      </c>
      <c r="K131" s="5">
        <f>ตัวคูณโรงพยาบาล!K165</f>
        <v>0</v>
      </c>
      <c r="L131" s="5">
        <f t="shared" si="1"/>
        <v>0</v>
      </c>
    </row>
    <row r="132" spans="1:12" x14ac:dyDescent="0.25">
      <c r="C132" t="s">
        <v>99</v>
      </c>
      <c r="D132" s="5">
        <f>ตัวคูณโรงพยาบาล!D166</f>
        <v>0</v>
      </c>
      <c r="E132" s="5">
        <f>ตัวคูณโรงพยาบาล!E166</f>
        <v>0</v>
      </c>
      <c r="F132" s="5">
        <f>ตัวคูณโรงพยาบาล!F166</f>
        <v>0</v>
      </c>
      <c r="G132" s="5">
        <f>ตัวคูณโรงพยาบาล!G166</f>
        <v>0</v>
      </c>
      <c r="H132" s="5">
        <f>ตัวคูณโรงพยาบาล!H166</f>
        <v>0</v>
      </c>
      <c r="I132" s="5">
        <f>ตัวคูณโรงพยาบาล!I166</f>
        <v>0</v>
      </c>
      <c r="J132" s="5">
        <f>ตัวคูณโรงพยาบาล!J166</f>
        <v>0</v>
      </c>
      <c r="K132" s="5">
        <f>ตัวคูณโรงพยาบาล!K166</f>
        <v>0</v>
      </c>
      <c r="L132" s="5">
        <f t="shared" ref="L132:L195" si="2">SUM(D132:K132)</f>
        <v>0</v>
      </c>
    </row>
    <row r="133" spans="1:12" x14ac:dyDescent="0.25">
      <c r="C133" t="s">
        <v>100</v>
      </c>
      <c r="D133" s="5">
        <f>ตัวคูณโรงพยาบาล!D167</f>
        <v>0</v>
      </c>
      <c r="E133" s="5">
        <f>ตัวคูณโรงพยาบาล!E167</f>
        <v>0</v>
      </c>
      <c r="F133" s="5">
        <f>ตัวคูณโรงพยาบาล!F167</f>
        <v>0</v>
      </c>
      <c r="G133" s="5">
        <f>ตัวคูณโรงพยาบาล!G167</f>
        <v>0</v>
      </c>
      <c r="H133" s="5">
        <f>ตัวคูณโรงพยาบาล!H167</f>
        <v>0</v>
      </c>
      <c r="I133" s="5">
        <f>ตัวคูณโรงพยาบาล!I167</f>
        <v>0</v>
      </c>
      <c r="J133" s="5">
        <f>ตัวคูณโรงพยาบาล!J167</f>
        <v>0</v>
      </c>
      <c r="K133" s="5">
        <f>ตัวคูณโรงพยาบาล!K167</f>
        <v>0</v>
      </c>
      <c r="L133" s="5">
        <f t="shared" si="2"/>
        <v>0</v>
      </c>
    </row>
    <row r="134" spans="1:12" x14ac:dyDescent="0.25">
      <c r="C134" t="s">
        <v>101</v>
      </c>
      <c r="D134" s="5">
        <f>ตัวคูณโรงพยาบาล!D168</f>
        <v>0</v>
      </c>
      <c r="E134" s="5">
        <f>ตัวคูณโรงพยาบาล!E168</f>
        <v>0</v>
      </c>
      <c r="F134" s="5">
        <f>ตัวคูณโรงพยาบาล!F168</f>
        <v>1.0012698412698413</v>
      </c>
      <c r="G134" s="5">
        <f>ตัวคูณโรงพยาบาล!G168</f>
        <v>0</v>
      </c>
      <c r="H134" s="5">
        <f>ตัวคูณโรงพยาบาล!H168</f>
        <v>0</v>
      </c>
      <c r="I134" s="5">
        <f>ตัวคูณโรงพยาบาล!I168</f>
        <v>0</v>
      </c>
      <c r="J134" s="5">
        <f>ตัวคูณโรงพยาบาล!J168</f>
        <v>0</v>
      </c>
      <c r="K134" s="5">
        <f>ตัวคูณโรงพยาบาล!K168</f>
        <v>0</v>
      </c>
      <c r="L134" s="5">
        <f t="shared" si="2"/>
        <v>1.0012698412698413</v>
      </c>
    </row>
    <row r="135" spans="1:12" x14ac:dyDescent="0.25">
      <c r="A135" s="23" t="s">
        <v>104</v>
      </c>
      <c r="B135" s="23" t="s">
        <v>109</v>
      </c>
      <c r="C135" t="s">
        <v>70</v>
      </c>
      <c r="D135" s="5">
        <f>ตัวคูณโรงพยาบาล!D169</f>
        <v>0</v>
      </c>
      <c r="E135" s="5">
        <f>ตัวคูณโรงพยาบาล!E169</f>
        <v>0</v>
      </c>
      <c r="F135" s="5">
        <f>ตัวคูณโรงพยาบาล!F169</f>
        <v>317.6587086561745</v>
      </c>
      <c r="G135" s="5">
        <f>ตัวคูณโรงพยาบาล!G169</f>
        <v>308.96334824437884</v>
      </c>
      <c r="H135" s="5">
        <f>ตัวคูณโรงพยาบาล!H169</f>
        <v>107.51264351252485</v>
      </c>
      <c r="I135" s="5">
        <f>ตัวคูณโรงพยาบาล!I169</f>
        <v>4.5649490204333389</v>
      </c>
      <c r="J135" s="5">
        <f>ตัวคูณโรงพยาบาล!J169</f>
        <v>0</v>
      </c>
      <c r="K135" s="5">
        <f>ตัวคูณโรงพยาบาล!K169</f>
        <v>0</v>
      </c>
      <c r="L135" s="5">
        <f t="shared" si="2"/>
        <v>738.69964943351158</v>
      </c>
    </row>
    <row r="136" spans="1:12" x14ac:dyDescent="0.25">
      <c r="C136" t="s">
        <v>71</v>
      </c>
      <c r="D136" s="5">
        <f>ตัวคูณโรงพยาบาล!D170</f>
        <v>0</v>
      </c>
      <c r="E136" s="5">
        <f>ตัวคูณโรงพยาบาล!E170</f>
        <v>0</v>
      </c>
      <c r="F136" s="5">
        <f>ตัวคูณโรงพยาบาล!F170</f>
        <v>1402.2080444311975</v>
      </c>
      <c r="G136" s="5">
        <f>ตัวคูณโรงพยาบาล!G170</f>
        <v>1566.1874388877995</v>
      </c>
      <c r="H136" s="5">
        <f>ตัวคูณโรงพยาบาล!H170</f>
        <v>423.59473318118512</v>
      </c>
      <c r="I136" s="5">
        <f>ตัวคูณโรงพยาบาล!I170</f>
        <v>19.88525256279182</v>
      </c>
      <c r="J136" s="5">
        <f>ตัวคูณโรงพยาบาล!J170</f>
        <v>1.0186567164179106</v>
      </c>
      <c r="K136" s="5">
        <f>ตัวคูณโรงพยาบาล!K170</f>
        <v>0</v>
      </c>
      <c r="L136" s="5">
        <f t="shared" si="2"/>
        <v>3412.8941257793917</v>
      </c>
    </row>
    <row r="137" spans="1:12" x14ac:dyDescent="0.25">
      <c r="C137" t="s">
        <v>72</v>
      </c>
      <c r="D137" s="5">
        <f>ตัวคูณโรงพยาบาล!D171</f>
        <v>0</v>
      </c>
      <c r="E137" s="5">
        <f>ตัวคูณโรงพยาบาล!E171</f>
        <v>0</v>
      </c>
      <c r="F137" s="5">
        <f>ตัวคูณโรงพยาบาล!F171</f>
        <v>193.97273749183802</v>
      </c>
      <c r="G137" s="5">
        <f>ตัวคูณโรงพยาบาล!G171</f>
        <v>329.32000858683034</v>
      </c>
      <c r="H137" s="5">
        <f>ตัวคูณโรงพยาบาล!H171</f>
        <v>164.08983908726807</v>
      </c>
      <c r="I137" s="5">
        <f>ตัวคูณโรงพยาบาล!I171</f>
        <v>16.426824483569515</v>
      </c>
      <c r="J137" s="5">
        <f>ตัวคูณโรงพยาบาล!J171</f>
        <v>0</v>
      </c>
      <c r="K137" s="5">
        <f>ตัวคูณโรงพยาบาล!K171</f>
        <v>0</v>
      </c>
      <c r="L137" s="5">
        <f t="shared" si="2"/>
        <v>703.80940964950594</v>
      </c>
    </row>
    <row r="138" spans="1:12" x14ac:dyDescent="0.25">
      <c r="C138" t="s">
        <v>73</v>
      </c>
      <c r="D138" s="5">
        <f>ตัวคูณโรงพยาบาล!D172</f>
        <v>0</v>
      </c>
      <c r="E138" s="5">
        <f>ตัวคูณโรงพยาบาล!E172</f>
        <v>0</v>
      </c>
      <c r="F138" s="5">
        <f>ตัวคูณโรงพยาบาล!F172</f>
        <v>63.631229709021511</v>
      </c>
      <c r="G138" s="5">
        <f>ตัวคูณโรงพยาบาล!G172</f>
        <v>158.99339571387893</v>
      </c>
      <c r="H138" s="5">
        <f>ตัวคูณโรงพยาบาล!H172</f>
        <v>111.35936681679908</v>
      </c>
      <c r="I138" s="5">
        <f>ตัวคูณโรงพยาบาล!I172</f>
        <v>9.1097976218109267</v>
      </c>
      <c r="J138" s="5">
        <f>ตัวคูณโรงพยาบาล!J172</f>
        <v>2.3658974100308057</v>
      </c>
      <c r="K138" s="5">
        <f>ตัวคูณโรงพยาบาล!K172</f>
        <v>0</v>
      </c>
      <c r="L138" s="5">
        <f t="shared" si="2"/>
        <v>345.45968727154127</v>
      </c>
    </row>
    <row r="139" spans="1:12" x14ac:dyDescent="0.25">
      <c r="C139" t="s">
        <v>74</v>
      </c>
      <c r="D139" s="5">
        <f>ตัวคูณโรงพยาบาล!D173</f>
        <v>0</v>
      </c>
      <c r="E139" s="5">
        <f>ตัวคูณโรงพยาบาล!E173</f>
        <v>0</v>
      </c>
      <c r="F139" s="5">
        <f>ตัวคูณโรงพยาบาล!F173</f>
        <v>289.52521668803058</v>
      </c>
      <c r="G139" s="5">
        <f>ตัวคูณโรงพยาบาล!G173</f>
        <v>1006.4202675149807</v>
      </c>
      <c r="H139" s="5">
        <f>ตัวคูณโรงพยาบาล!H173</f>
        <v>752.89071580776272</v>
      </c>
      <c r="I139" s="5">
        <f>ตัวคูณโรงพยาบาล!I173</f>
        <v>89.529713278028098</v>
      </c>
      <c r="J139" s="5">
        <f>ตัวคูณโรงพยาบาล!J173</f>
        <v>9.1350056629282381</v>
      </c>
      <c r="K139" s="5">
        <f>ตัวคูณโรงพยาบาล!K173</f>
        <v>0</v>
      </c>
      <c r="L139" s="5">
        <f t="shared" si="2"/>
        <v>2147.50091895173</v>
      </c>
    </row>
    <row r="140" spans="1:12" x14ac:dyDescent="0.25">
      <c r="C140" t="s">
        <v>75</v>
      </c>
      <c r="D140" s="5">
        <f>ตัวคูณโรงพยาบาล!D174</f>
        <v>0</v>
      </c>
      <c r="E140" s="5">
        <f>ตัวคูณโรงพยาบาล!E174</f>
        <v>0</v>
      </c>
      <c r="F140" s="5">
        <f>ตัวคูณโรงพยาบาล!F174</f>
        <v>165.8589496697407</v>
      </c>
      <c r="G140" s="5">
        <f>ตัวคูณโรงพยาบาล!G174</f>
        <v>163.72086787608646</v>
      </c>
      <c r="H140" s="5">
        <f>ตัวคูณโรงพยาบาล!H174</f>
        <v>83.183670712691907</v>
      </c>
      <c r="I140" s="5">
        <f>ตัวคูณโรงพยาบาล!I174</f>
        <v>15.360504380469985</v>
      </c>
      <c r="J140" s="5">
        <f>ตัวคูณโรงพยาบาล!J174</f>
        <v>0</v>
      </c>
      <c r="K140" s="5">
        <f>ตัวคูณโรงพยาบาล!K174</f>
        <v>0</v>
      </c>
      <c r="L140" s="5">
        <f t="shared" si="2"/>
        <v>428.12399263898902</v>
      </c>
    </row>
    <row r="141" spans="1:12" x14ac:dyDescent="0.25">
      <c r="C141" t="s">
        <v>76</v>
      </c>
      <c r="D141" s="5">
        <f>ตัวคูณโรงพยาบาล!D175</f>
        <v>0</v>
      </c>
      <c r="E141" s="5">
        <f>ตัวคูณโรงพยาบาล!E175</f>
        <v>0</v>
      </c>
      <c r="F141" s="5">
        <f>ตัวคูณโรงพยาบาล!F175</f>
        <v>791.29932077540957</v>
      </c>
      <c r="G141" s="5">
        <f>ตัวคูณโรงพยาบาล!G175</f>
        <v>1491.3439882227449</v>
      </c>
      <c r="H141" s="5">
        <f>ตัวคูณโรงพยาบาล!H175</f>
        <v>550.97245467408914</v>
      </c>
      <c r="I141" s="5">
        <f>ตัวคูณโรงพยาบาล!I175</f>
        <v>34.199537259218026</v>
      </c>
      <c r="J141" s="5">
        <f>ตัวคูณโรงพยาบาล!J175</f>
        <v>1.0186567164179106</v>
      </c>
      <c r="K141" s="5">
        <f>ตัวคูณโรงพยาบาล!K175</f>
        <v>0</v>
      </c>
      <c r="L141" s="5">
        <f t="shared" si="2"/>
        <v>2868.8339576478797</v>
      </c>
    </row>
    <row r="142" spans="1:12" x14ac:dyDescent="0.25">
      <c r="C142" t="s">
        <v>77</v>
      </c>
      <c r="D142" s="5">
        <f>ตัวคูณโรงพยาบาล!D176</f>
        <v>0</v>
      </c>
      <c r="E142" s="5">
        <f>ตัวคูณโรงพยาบาล!E176</f>
        <v>0</v>
      </c>
      <c r="F142" s="5">
        <f>ตัวคูณโรงพยาบาล!F176</f>
        <v>864.80100819462371</v>
      </c>
      <c r="G142" s="5">
        <f>ตัวคูณโรงพยาบาล!G176</f>
        <v>1119.7771640361425</v>
      </c>
      <c r="H142" s="5">
        <f>ตัวคูณโรงพยาบาล!H176</f>
        <v>346.06661438700257</v>
      </c>
      <c r="I142" s="5">
        <f>ตัวคูณโรงพยาบาล!I176</f>
        <v>33.899868651182807</v>
      </c>
      <c r="J142" s="5">
        <f>ตัวคูณโรงพยาบาล!J176</f>
        <v>1.0186567164179106</v>
      </c>
      <c r="K142" s="5">
        <f>ตัวคูณโรงพยาบาล!K176</f>
        <v>0</v>
      </c>
      <c r="L142" s="5">
        <f t="shared" si="2"/>
        <v>2365.5633119853692</v>
      </c>
    </row>
    <row r="143" spans="1:12" x14ac:dyDescent="0.25">
      <c r="C143" t="s">
        <v>78</v>
      </c>
      <c r="D143" s="5">
        <f>ตัวคูณโรงพยาบาล!D177</f>
        <v>0</v>
      </c>
      <c r="E143" s="5">
        <f>ตัวคูณโรงพยาบาล!E177</f>
        <v>0</v>
      </c>
      <c r="F143" s="5">
        <f>ตัวคูณโรงพยาบาล!F177</f>
        <v>962.45408943406051</v>
      </c>
      <c r="G143" s="5">
        <f>ตัวคูณโรงพยาบาล!G177</f>
        <v>1183.3136715975138</v>
      </c>
      <c r="H143" s="5">
        <f>ตัวคูณโรงพยาบาล!H177</f>
        <v>387.72779797125867</v>
      </c>
      <c r="I143" s="5">
        <f>ตัวคูณโรงพยาบาล!I177</f>
        <v>35.565525970352773</v>
      </c>
      <c r="J143" s="5">
        <f>ตัวคูณโรงพยาบาล!J177</f>
        <v>4.4032108428666268</v>
      </c>
      <c r="K143" s="5">
        <f>ตัวคูณโรงพยาบาล!K177</f>
        <v>0</v>
      </c>
      <c r="L143" s="5">
        <f t="shared" si="2"/>
        <v>2573.4642958160516</v>
      </c>
    </row>
    <row r="144" spans="1:12" x14ac:dyDescent="0.25">
      <c r="C144" t="s">
        <v>79</v>
      </c>
      <c r="D144" s="5">
        <f>ตัวคูณโรงพยาบาล!D178</f>
        <v>0</v>
      </c>
      <c r="E144" s="5">
        <f>ตัวคูณโรงพยาบาล!E178</f>
        <v>0</v>
      </c>
      <c r="F144" s="5">
        <f>ตัวคูณโรงพยาบาล!F178</f>
        <v>998.75512849889878</v>
      </c>
      <c r="G144" s="5">
        <f>ตัวคูณโรงพยาบาล!G178</f>
        <v>816.53659074611471</v>
      </c>
      <c r="H144" s="5">
        <f>ตัวคูณโรงพยาบาล!H178</f>
        <v>285.11189066671994</v>
      </c>
      <c r="I144" s="5">
        <f>ตัวคูณโรงพยาบาล!I178</f>
        <v>31.787328864039502</v>
      </c>
      <c r="J144" s="5">
        <f>ตัวคูณโรงพยาบาล!J178</f>
        <v>7.7877649693153428</v>
      </c>
      <c r="K144" s="5">
        <f>ตัวคูณโรงพยาบาล!K178</f>
        <v>0</v>
      </c>
      <c r="L144" s="5">
        <f t="shared" si="2"/>
        <v>2139.9787037450883</v>
      </c>
    </row>
    <row r="145" spans="3:12" x14ac:dyDescent="0.25">
      <c r="C145" t="s">
        <v>80</v>
      </c>
      <c r="D145" s="5">
        <f>ตัวคูณโรงพยาบาล!D179</f>
        <v>0</v>
      </c>
      <c r="E145" s="5">
        <f>ตัวคูณโรงพยาบาล!E179</f>
        <v>0</v>
      </c>
      <c r="F145" s="5">
        <f>ตัวคูณโรงพยาบาล!F179</f>
        <v>948.47564894349489</v>
      </c>
      <c r="G145" s="5">
        <f>ตัวคูณโรงพยาบาล!G179</f>
        <v>1411.551958123554</v>
      </c>
      <c r="H145" s="5">
        <f>ตัวคูณโรงพยาบาล!H179</f>
        <v>605.40309304891196</v>
      </c>
      <c r="I145" s="5">
        <f>ตัวคูณโรงพยาบาล!I179</f>
        <v>59.623905454612881</v>
      </c>
      <c r="J145" s="5">
        <f>ตัวคูณโรงพยาบาล!J179</f>
        <v>5.7504515364795221</v>
      </c>
      <c r="K145" s="5">
        <f>ตัวคูณโรงพยาบาล!K179</f>
        <v>0</v>
      </c>
      <c r="L145" s="5">
        <f t="shared" si="2"/>
        <v>3030.805057107053</v>
      </c>
    </row>
    <row r="146" spans="3:12" x14ac:dyDescent="0.25">
      <c r="C146" t="s">
        <v>81</v>
      </c>
      <c r="D146" s="5">
        <f>ตัวคูณโรงพยาบาล!D180</f>
        <v>0</v>
      </c>
      <c r="E146" s="5">
        <f>ตัวคูณโรงพยาบาล!E180</f>
        <v>0</v>
      </c>
      <c r="F146" s="5">
        <f>ตัวคูณโรงพยาบาล!F180</f>
        <v>163.06075916983062</v>
      </c>
      <c r="G146" s="5">
        <f>ตัวคูณโรงพยาบาล!G180</f>
        <v>232.25492611009651</v>
      </c>
      <c r="H146" s="5">
        <f>ตัวคูณโรงพยาบาล!H180</f>
        <v>97.626108311559079</v>
      </c>
      <c r="I146" s="5">
        <f>ตัวคูณโรงพยาบาล!I180</f>
        <v>13.994515669335236</v>
      </c>
      <c r="J146" s="5">
        <f>ตัวคูณโรงพยาบาล!J180</f>
        <v>2.3658974100308057</v>
      </c>
      <c r="K146" s="5">
        <f>ตัวคูณโรงพยาบาล!K180</f>
        <v>0</v>
      </c>
      <c r="L146" s="5">
        <f t="shared" si="2"/>
        <v>509.30220667085223</v>
      </c>
    </row>
    <row r="147" spans="3:12" x14ac:dyDescent="0.25">
      <c r="C147" t="s">
        <v>82</v>
      </c>
      <c r="D147" s="5">
        <f>ตัวคูณโรงพยาบาล!D181</f>
        <v>0</v>
      </c>
      <c r="E147" s="5">
        <f>ตัวคูณโรงพยาบาล!E181</f>
        <v>0</v>
      </c>
      <c r="F147" s="5">
        <f>ตัวคูณโรงพยาบาล!F181</f>
        <v>499.3598243836658</v>
      </c>
      <c r="G147" s="5">
        <f>ตัวคูณโรงพยาบาล!G181</f>
        <v>563.53726847215785</v>
      </c>
      <c r="H147" s="5">
        <f>ตัวคูณโรงพยาบาล!H181</f>
        <v>277.85544587764895</v>
      </c>
      <c r="I147" s="5">
        <f>ตัวคูณโรงพยาบาล!I181</f>
        <v>19.545383116645095</v>
      </c>
      <c r="J147" s="5">
        <f>ตัวคูณโรงพยาบาล!J181</f>
        <v>1.0186567164179106</v>
      </c>
      <c r="K147" s="5">
        <f>ตัวคูณโรงพยาบาล!K181</f>
        <v>0</v>
      </c>
      <c r="L147" s="5">
        <f t="shared" si="2"/>
        <v>1361.3165785665356</v>
      </c>
    </row>
    <row r="148" spans="3:12" x14ac:dyDescent="0.25">
      <c r="C148" t="s">
        <v>83</v>
      </c>
      <c r="D148" s="5">
        <f>ตัวคูณโรงพยาบาล!D182</f>
        <v>0</v>
      </c>
      <c r="E148" s="5">
        <f>ตัวคูณโรงพยาบาล!E182</f>
        <v>0</v>
      </c>
      <c r="F148" s="5">
        <f>ตัวคูณโรงพยาบาล!F182</f>
        <v>124.42095251331904</v>
      </c>
      <c r="G148" s="5">
        <f>ตัวคูณโรงพยาบาล!G182</f>
        <v>155.92800925127679</v>
      </c>
      <c r="H148" s="5">
        <f>ตัวคูณโรงพยาบาล!H182</f>
        <v>51.175213070734124</v>
      </c>
      <c r="I148" s="5">
        <f>ตัวคูณโรงพยาบาล!I182</f>
        <v>8.3632465458023653</v>
      </c>
      <c r="J148" s="5">
        <f>ตัวคูณโรงพยาบาล!J182</f>
        <v>1.0186567164179106</v>
      </c>
      <c r="K148" s="5">
        <f>ตัวคูณโรงพยาบาล!K182</f>
        <v>0</v>
      </c>
      <c r="L148" s="5">
        <f t="shared" si="2"/>
        <v>340.90607809755028</v>
      </c>
    </row>
    <row r="149" spans="3:12" x14ac:dyDescent="0.25">
      <c r="C149" t="s">
        <v>84</v>
      </c>
      <c r="D149" s="5">
        <f>ตัวคูณโรงพยาบาล!D183</f>
        <v>0</v>
      </c>
      <c r="E149" s="5">
        <f>ตัวคูณโรงพยาบาล!E183</f>
        <v>0</v>
      </c>
      <c r="F149" s="5">
        <f>ตัวคูณโรงพยาบาล!F183</f>
        <v>157.08770040648636</v>
      </c>
      <c r="G149" s="5">
        <f>ตัวคูณโรงพยาบาล!G183</f>
        <v>275.95860660371079</v>
      </c>
      <c r="H149" s="5">
        <f>ตัวคูณโรงพยาบาล!H183</f>
        <v>134.62436494649657</v>
      </c>
      <c r="I149" s="5">
        <f>ตัวคูณโรงพยาบาล!I183</f>
        <v>8.0434775187113949</v>
      </c>
      <c r="J149" s="5">
        <f>ตัวคูณโรงพยาบาล!J183</f>
        <v>1.0186567164179106</v>
      </c>
      <c r="K149" s="5">
        <f>ตัวคูณโรงพยาบาล!K183</f>
        <v>0</v>
      </c>
      <c r="L149" s="5">
        <f t="shared" si="2"/>
        <v>576.73280619182299</v>
      </c>
    </row>
    <row r="150" spans="3:12" x14ac:dyDescent="0.25">
      <c r="C150" t="s">
        <v>85</v>
      </c>
      <c r="D150" s="5">
        <f>ตัวคูณโรงพยาบาล!D184</f>
        <v>0</v>
      </c>
      <c r="E150" s="5">
        <f>ตัวคูณโรงพยาบาล!E184</f>
        <v>0</v>
      </c>
      <c r="F150" s="5">
        <f>ตัวคูณโรงพยาบาล!F184</f>
        <v>477.17640300847842</v>
      </c>
      <c r="G150" s="5">
        <f>ตัวคูณโรงพยาบาล!G184</f>
        <v>550.12704975208351</v>
      </c>
      <c r="H150" s="5">
        <f>ตัวคูณโรงพยาบาล!H184</f>
        <v>213.25303098295703</v>
      </c>
      <c r="I150" s="5">
        <f>ตัวคูณโรงพยาบาล!I184</f>
        <v>16.426824483569515</v>
      </c>
      <c r="J150" s="5">
        <f>ตัวคูณโรงพยาบาล!J184</f>
        <v>0</v>
      </c>
      <c r="K150" s="5">
        <f>ตัวคูณโรงพยาบาล!K184</f>
        <v>0</v>
      </c>
      <c r="L150" s="5">
        <f t="shared" si="2"/>
        <v>1256.9833082270884</v>
      </c>
    </row>
    <row r="151" spans="3:12" x14ac:dyDescent="0.25">
      <c r="C151" t="s">
        <v>86</v>
      </c>
      <c r="D151" s="5">
        <f>ตัวคูณโรงพยาบาล!D185</f>
        <v>0</v>
      </c>
      <c r="E151" s="5">
        <f>ตัวคูณโรงพยาบาล!E185</f>
        <v>0</v>
      </c>
      <c r="F151" s="5">
        <f>ตัวคูณโรงพยาบาล!F185</f>
        <v>5611.4160451906391</v>
      </c>
      <c r="G151" s="5">
        <f>ตัวคูณโรงพยาบาล!G185</f>
        <v>6290.4086748273057</v>
      </c>
      <c r="H151" s="5">
        <f>ตัวคูณโรงพยาบาล!H185</f>
        <v>2120.8777997096417</v>
      </c>
      <c r="I151" s="5">
        <f>ตัวคูณโรงพยาบาล!I185</f>
        <v>226.66559858907792</v>
      </c>
      <c r="J151" s="5">
        <f>ตัวคูณโรงพยาบาล!J185</f>
        <v>9.4635896401232227</v>
      </c>
      <c r="K151" s="5">
        <f>ตัวคูณโรงพยาบาล!K185</f>
        <v>3.2307692307692304</v>
      </c>
      <c r="L151" s="5">
        <f t="shared" si="2"/>
        <v>14262.062477187557</v>
      </c>
    </row>
    <row r="152" spans="3:12" x14ac:dyDescent="0.25">
      <c r="C152" t="s">
        <v>87</v>
      </c>
      <c r="D152" s="5">
        <f>ตัวคูณโรงพยาบาล!D186</f>
        <v>0</v>
      </c>
      <c r="E152" s="5">
        <f>ตัวคูณโรงพยาบาล!E186</f>
        <v>0</v>
      </c>
      <c r="F152" s="5">
        <f>ตัวคูณโรงพยาบาล!F186</f>
        <v>257.93142549487794</v>
      </c>
      <c r="G152" s="5">
        <f>ตัวคูณโรงพยาบาล!G186</f>
        <v>338.82144622260773</v>
      </c>
      <c r="H152" s="5">
        <f>ตัวคูณโรงพยาบาล!H186</f>
        <v>112.89381065415515</v>
      </c>
      <c r="I152" s="5">
        <f>ตัวคูณโรงพยาบาล!I186</f>
        <v>18.499163432601318</v>
      </c>
      <c r="J152" s="5">
        <f>ตัวคูณโรงพยาบาล!J186</f>
        <v>0</v>
      </c>
      <c r="K152" s="5">
        <f>ตัวคูณโรงพยาบาล!K186</f>
        <v>0</v>
      </c>
      <c r="L152" s="5">
        <f t="shared" si="2"/>
        <v>728.14584580424219</v>
      </c>
    </row>
    <row r="153" spans="3:12" x14ac:dyDescent="0.25">
      <c r="C153" t="s">
        <v>88</v>
      </c>
      <c r="D153" s="5">
        <f>ตัวคูณโรงพยาบาล!D187</f>
        <v>0</v>
      </c>
      <c r="E153" s="5">
        <f>ตัวคูณโรงพยาบาล!E187</f>
        <v>0</v>
      </c>
      <c r="F153" s="5">
        <f>ตัวคูณโรงพยาบาล!F187</f>
        <v>2447.1764312161008</v>
      </c>
      <c r="G153" s="5">
        <f>ตัวคูณโรงพยาบาล!G187</f>
        <v>2579.5260176761635</v>
      </c>
      <c r="H153" s="5">
        <f>ตัวคูณโรงพยาบาล!H187</f>
        <v>905.67361148895736</v>
      </c>
      <c r="I153" s="5">
        <f>ตัวคูณโรงพยาบาล!I187</f>
        <v>81.586737854595469</v>
      </c>
      <c r="J153" s="5">
        <f>ตัวคูณโรงพยาบาล!J187</f>
        <v>8.1163489465103265</v>
      </c>
      <c r="K153" s="5">
        <f>ตัวคูณโรงพยาบาล!K187</f>
        <v>0</v>
      </c>
      <c r="L153" s="5">
        <f t="shared" si="2"/>
        <v>6022.0791471823277</v>
      </c>
    </row>
    <row r="154" spans="3:12" x14ac:dyDescent="0.25">
      <c r="C154" t="s">
        <v>89</v>
      </c>
      <c r="D154" s="5">
        <f>ตัวคูณโรงพยาบาล!D188</f>
        <v>0</v>
      </c>
      <c r="E154" s="5">
        <f>ตัวคูณโรงพยาบาล!E188</f>
        <v>0</v>
      </c>
      <c r="F154" s="5">
        <f>ตัวคูณโรงพยาบาล!F188</f>
        <v>39.359697851769369</v>
      </c>
      <c r="G154" s="5">
        <f>ตัวคูณโรงพยาบาล!G188</f>
        <v>43.241463902848999</v>
      </c>
      <c r="H154" s="5">
        <f>ตัวคูณโรงพยาบาล!H188</f>
        <v>18.616032946802406</v>
      </c>
      <c r="I154" s="5">
        <f>ตัวคูณโรงพยาบาล!I188</f>
        <v>2.4323088142342781</v>
      </c>
      <c r="J154" s="5">
        <f>ตัวคูณโรงพยาบาล!J188</f>
        <v>0</v>
      </c>
      <c r="K154" s="5">
        <f>ตัวคูณโรงพยาบาล!K188</f>
        <v>0</v>
      </c>
      <c r="L154" s="5">
        <f t="shared" si="2"/>
        <v>103.64950351565506</v>
      </c>
    </row>
    <row r="155" spans="3:12" x14ac:dyDescent="0.25">
      <c r="C155" t="s">
        <v>90</v>
      </c>
      <c r="D155" s="5">
        <f>ตัวคูณโรงพยาบาล!D189</f>
        <v>0</v>
      </c>
      <c r="E155" s="5">
        <f>ตัวคูณโรงพยาบาล!E189</f>
        <v>0</v>
      </c>
      <c r="F155" s="5">
        <f>ตัวคูณโรงพยาบาล!F189</f>
        <v>0</v>
      </c>
      <c r="G155" s="5">
        <f>ตัวคูณโรงพยาบาล!G189</f>
        <v>0</v>
      </c>
      <c r="H155" s="5">
        <f>ตัวคูณโรงพยาบาล!H189</f>
        <v>0</v>
      </c>
      <c r="I155" s="5">
        <f>ตัวคูณโรงพยาบาล!I189</f>
        <v>1.0462196840437774</v>
      </c>
      <c r="J155" s="5">
        <f>ตัวคูณโรงพยาบาล!J189</f>
        <v>0</v>
      </c>
      <c r="K155" s="5">
        <f>ตัวคูณโรงพยาบาล!K189</f>
        <v>0</v>
      </c>
      <c r="L155" s="5">
        <f t="shared" si="2"/>
        <v>1.0462196840437774</v>
      </c>
    </row>
    <row r="156" spans="3:12" x14ac:dyDescent="0.25">
      <c r="C156" t="s">
        <v>91</v>
      </c>
      <c r="D156" s="5">
        <f>ตัวคูณโรงพยาบาล!D190</f>
        <v>0</v>
      </c>
      <c r="E156" s="5">
        <f>ตัวคูณโรงพยาบาล!E190</f>
        <v>0</v>
      </c>
      <c r="F156" s="5">
        <f>ตัวคูณโรงพยาบาล!F190</f>
        <v>19.335325973975749</v>
      </c>
      <c r="G156" s="5">
        <f>ตัวคูณโรงพยาบาล!G190</f>
        <v>26.255141026437432</v>
      </c>
      <c r="H156" s="5">
        <f>ตัวคูณโรงพยาบาล!H190</f>
        <v>8.2302073240987763</v>
      </c>
      <c r="I156" s="5">
        <f>ตัวคูณโรงพยาบาล!I190</f>
        <v>4.5649490204333389</v>
      </c>
      <c r="J156" s="5">
        <f>ตัวคูณโรงพยาบาล!J190</f>
        <v>0</v>
      </c>
      <c r="K156" s="5">
        <f>ตัวคูณโรงพยาบาล!K190</f>
        <v>0</v>
      </c>
      <c r="L156" s="5">
        <f t="shared" si="2"/>
        <v>58.385623344945301</v>
      </c>
    </row>
    <row r="157" spans="3:12" x14ac:dyDescent="0.25">
      <c r="C157" t="s">
        <v>92</v>
      </c>
      <c r="D157" s="5">
        <f>ตัวคูณโรงพยาบาล!D191</f>
        <v>0</v>
      </c>
      <c r="E157" s="5">
        <f>ตัวคูณโรงพยาบาล!E191</f>
        <v>0</v>
      </c>
      <c r="F157" s="5">
        <f>ตัวคูณโรงพยาบาล!F191</f>
        <v>1.0552270581337733</v>
      </c>
      <c r="G157" s="5">
        <f>ตัวคูณโรงพยาบาล!G191</f>
        <v>0</v>
      </c>
      <c r="H157" s="5">
        <f>ตัวคูณโรงพยาบาล!H191</f>
        <v>0</v>
      </c>
      <c r="I157" s="5">
        <f>ตัวคูณโรงพยาบาล!I191</f>
        <v>0</v>
      </c>
      <c r="J157" s="5">
        <f>ตัวคูณโรงพยาบาล!J191</f>
        <v>0</v>
      </c>
      <c r="K157" s="5">
        <f>ตัวคูณโรงพยาบาล!K191</f>
        <v>0</v>
      </c>
      <c r="L157" s="5">
        <f t="shared" si="2"/>
        <v>1.0552270581337733</v>
      </c>
    </row>
    <row r="158" spans="3:12" x14ac:dyDescent="0.25">
      <c r="C158" t="s">
        <v>93</v>
      </c>
      <c r="D158" s="5">
        <f>ตัวคูณโรงพยาบาล!D192</f>
        <v>0</v>
      </c>
      <c r="E158" s="5">
        <f>ตัวคูณโรงพยาบาล!E192</f>
        <v>0</v>
      </c>
      <c r="F158" s="5">
        <f>ตัวคูณโรงพยาบาล!F192</f>
        <v>19.684442470401152</v>
      </c>
      <c r="G158" s="5">
        <f>ตัวคูณโรงพยาบาล!G192</f>
        <v>14.188974277102254</v>
      </c>
      <c r="H158" s="5">
        <f>ตัวคูณโรงพยาบาล!H192</f>
        <v>12.893134273417481</v>
      </c>
      <c r="I158" s="5">
        <f>ตัวคูณโรงพยาบาล!I192</f>
        <v>0</v>
      </c>
      <c r="J158" s="5">
        <f>ตัวคูณโรงพยาบาล!J192</f>
        <v>0</v>
      </c>
      <c r="K158" s="5">
        <f>ตัวคูณโรงพยาบาล!K192</f>
        <v>0</v>
      </c>
      <c r="L158" s="5">
        <f t="shared" si="2"/>
        <v>46.766551020920886</v>
      </c>
    </row>
    <row r="159" spans="3:12" x14ac:dyDescent="0.25">
      <c r="C159" t="s">
        <v>94</v>
      </c>
      <c r="D159" s="5">
        <f>ตัวคูณโรงพยาบาล!D193</f>
        <v>0</v>
      </c>
      <c r="E159" s="5">
        <f>ตัวคูณโรงพยาบาล!E193</f>
        <v>0</v>
      </c>
      <c r="F159" s="5">
        <f>ตัวคูณโรงพยาบาล!F193</f>
        <v>1.0552270581337733</v>
      </c>
      <c r="G159" s="5">
        <f>ตัวคูณโรงพยาบาล!G193</f>
        <v>0</v>
      </c>
      <c r="H159" s="5">
        <f>ตัวคูณโรงพยาบาล!H193</f>
        <v>2.4716338002414351</v>
      </c>
      <c r="I159" s="5">
        <f>ตัวคูณโรงพยาบาล!I193</f>
        <v>0</v>
      </c>
      <c r="J159" s="5">
        <f>ตัวคูณโรงพยาบาล!J193</f>
        <v>0</v>
      </c>
      <c r="K159" s="5">
        <f>ตัวคูณโรงพยาบาล!K193</f>
        <v>0</v>
      </c>
      <c r="L159" s="5">
        <f t="shared" si="2"/>
        <v>3.5268608583752084</v>
      </c>
    </row>
    <row r="160" spans="3:12" x14ac:dyDescent="0.25">
      <c r="C160" t="s">
        <v>95</v>
      </c>
      <c r="D160" s="5">
        <f>ตัวคูณโรงพยาบาล!D194</f>
        <v>0</v>
      </c>
      <c r="E160" s="5">
        <f>ตัวคูณโรงพยาบาล!E194</f>
        <v>0</v>
      </c>
      <c r="F160" s="5">
        <f>ตัวคูณโรงพยาบาล!F194</f>
        <v>0</v>
      </c>
      <c r="G160" s="5">
        <f>ตัวคูณโรงพยาบาล!G194</f>
        <v>2.4858398053920263</v>
      </c>
      <c r="H160" s="5">
        <f>ตัวคูณโรงพยาบาล!H194</f>
        <v>0</v>
      </c>
      <c r="I160" s="5">
        <f>ตัวคูณโรงพยาบาล!I194</f>
        <v>0</v>
      </c>
      <c r="J160" s="5">
        <f>ตัวคูณโรงพยาบาล!J194</f>
        <v>0</v>
      </c>
      <c r="K160" s="5">
        <f>ตัวคูณโรงพยาบาล!K194</f>
        <v>0</v>
      </c>
      <c r="L160" s="5">
        <f t="shared" si="2"/>
        <v>2.4858398053920263</v>
      </c>
    </row>
    <row r="161" spans="1:12" x14ac:dyDescent="0.25">
      <c r="C161" t="s">
        <v>96</v>
      </c>
      <c r="D161" s="5">
        <f>ตัวคูณโรงพยาบาล!D195</f>
        <v>0</v>
      </c>
      <c r="E161" s="5">
        <f>ตัวคูณโรงพยาบาล!E195</f>
        <v>0</v>
      </c>
      <c r="F161" s="5">
        <f>ตัวคูณโรงพยาบาล!F195</f>
        <v>67.820627666126327</v>
      </c>
      <c r="G161" s="5">
        <f>ตัวคูณโรงพยาบาล!G195</f>
        <v>92.311412008138589</v>
      </c>
      <c r="H161" s="5">
        <f>ตัวคูณโรงพยาบาล!H195</f>
        <v>32.946545326513125</v>
      </c>
      <c r="I161" s="5">
        <f>ตัวคูณโรงพยาบาล!I195</f>
        <v>2.4323088142342781</v>
      </c>
      <c r="J161" s="5">
        <f>ตัวคูณโรงพยาบาล!J195</f>
        <v>0</v>
      </c>
      <c r="K161" s="5">
        <f>ตัวคูณโรงพยาบาล!K195</f>
        <v>0</v>
      </c>
      <c r="L161" s="5">
        <f t="shared" si="2"/>
        <v>195.51089381501234</v>
      </c>
    </row>
    <row r="162" spans="1:12" x14ac:dyDescent="0.25">
      <c r="C162" t="s">
        <v>97</v>
      </c>
      <c r="D162" s="5">
        <f>ตัวคูณโรงพยาบาล!D196</f>
        <v>0</v>
      </c>
      <c r="E162" s="5">
        <f>ตัวคูณโรงพยาบาล!E196</f>
        <v>0</v>
      </c>
      <c r="F162" s="5">
        <f>ตัวคูณโรงพยาบาล!F196</f>
        <v>2.4595706126929473</v>
      </c>
      <c r="G162" s="5">
        <f>ตัวคูณโรงพยาบาล!G196</f>
        <v>2.4858398053920263</v>
      </c>
      <c r="H162" s="5">
        <f>ตัวคูณโรงพยาบาล!H196</f>
        <v>0</v>
      </c>
      <c r="I162" s="5">
        <f>ตัวคูณโรงพยาบาล!I196</f>
        <v>0</v>
      </c>
      <c r="J162" s="5">
        <f>ตัวคูณโรงพยาบาล!J196</f>
        <v>0</v>
      </c>
      <c r="K162" s="5">
        <f>ตัวคูณโรงพยาบาล!K196</f>
        <v>0</v>
      </c>
      <c r="L162" s="5">
        <f t="shared" si="2"/>
        <v>4.9454104180849736</v>
      </c>
    </row>
    <row r="163" spans="1:12" x14ac:dyDescent="0.25">
      <c r="C163" t="s">
        <v>98</v>
      </c>
      <c r="D163" s="5">
        <f>ตัวคูณโรงพยาบาล!D197</f>
        <v>0</v>
      </c>
      <c r="E163" s="5">
        <f>ตัวคูณโรงพยาบาล!E197</f>
        <v>0</v>
      </c>
      <c r="F163" s="5">
        <f>ตัวคูณโรงพยาบาล!F197</f>
        <v>10.195276516054761</v>
      </c>
      <c r="G163" s="5">
        <f>ตัวคูณโรงพยาบาล!G197</f>
        <v>26.98120558168733</v>
      </c>
      <c r="H163" s="5">
        <f>ตัวคูณโรงพยาบาล!H197</f>
        <v>9.2545041976925795</v>
      </c>
      <c r="I163" s="5">
        <f>ตัวคูณโรงพยาบาล!I197</f>
        <v>2.4323088142342781</v>
      </c>
      <c r="J163" s="5">
        <f>ตัวคูณโรงพยาบาล!J197</f>
        <v>0</v>
      </c>
      <c r="K163" s="5">
        <f>ตัวคูณโรงพยาบาล!K197</f>
        <v>0</v>
      </c>
      <c r="L163" s="5">
        <f t="shared" si="2"/>
        <v>48.863295109668954</v>
      </c>
    </row>
    <row r="164" spans="1:12" x14ac:dyDescent="0.25">
      <c r="C164" t="s">
        <v>119</v>
      </c>
      <c r="D164" s="5">
        <f>ตัวคูณโรงพยาบาล!D198</f>
        <v>0</v>
      </c>
      <c r="E164" s="5">
        <f>ตัวคูณโรงพยาบาล!E198</f>
        <v>0</v>
      </c>
      <c r="F164" s="5">
        <f>ตัวคูณโรงพยาบาล!F198</f>
        <v>25.301816688637853</v>
      </c>
      <c r="G164" s="5">
        <f>ตัวคูณโรงพยาบาล!G198</f>
        <v>17.736217846377812</v>
      </c>
      <c r="H164" s="5">
        <f>ตัวคูณโรงพยาบาล!H198</f>
        <v>4.6272520988462897</v>
      </c>
      <c r="I164" s="5">
        <f>ตัวคูณโรงพยาบาล!I198</f>
        <v>0</v>
      </c>
      <c r="J164" s="5">
        <f>ตัวคูณโรงพยาบาล!J198</f>
        <v>0</v>
      </c>
      <c r="K164" s="5">
        <f>ตัวคูณโรงพยาบาล!K198</f>
        <v>0</v>
      </c>
      <c r="L164" s="5">
        <f t="shared" si="2"/>
        <v>47.66528663386196</v>
      </c>
    </row>
    <row r="165" spans="1:12" x14ac:dyDescent="0.25">
      <c r="C165" t="s">
        <v>99</v>
      </c>
      <c r="D165" s="5">
        <f>ตัวคูณโรงพยาบาล!D199</f>
        <v>0</v>
      </c>
      <c r="E165" s="5">
        <f>ตัวคูณโรงพยาบาล!E199</f>
        <v>0</v>
      </c>
      <c r="F165" s="5">
        <f>ตัวคูณโรงพยาบาล!F199</f>
        <v>179.88270151709122</v>
      </c>
      <c r="G165" s="5">
        <f>ตัวคูณโรงพยาบาล!G199</f>
        <v>125.38345499414751</v>
      </c>
      <c r="H165" s="5">
        <f>ตัวคูณโรงพยาบาล!H199</f>
        <v>43.128280666736657</v>
      </c>
      <c r="I165" s="5">
        <f>ตัวคูณโรงพยาบาล!I199</f>
        <v>5.9108373125123332</v>
      </c>
      <c r="J165" s="5">
        <f>ตัวคูณโรงพยาบาล!J199</f>
        <v>0</v>
      </c>
      <c r="K165" s="5">
        <f>ตัวคูณโรงพยาบาล!K199</f>
        <v>0</v>
      </c>
      <c r="L165" s="5">
        <f t="shared" si="2"/>
        <v>354.3052744904877</v>
      </c>
    </row>
    <row r="166" spans="1:12" x14ac:dyDescent="0.25">
      <c r="C166" t="s">
        <v>100</v>
      </c>
      <c r="D166" s="5">
        <f>ตัวคูณโรงพยาบาล!D200</f>
        <v>0</v>
      </c>
      <c r="E166" s="5">
        <f>ตัวคูณโรงพยาบาล!E200</f>
        <v>0</v>
      </c>
      <c r="F166" s="5">
        <f>ตัวคูณโรงพยาบาล!F200</f>
        <v>6.6804788452280404</v>
      </c>
      <c r="G166" s="5">
        <f>ตัวคูณโรงพยาบาล!G200</f>
        <v>1.061403763883537</v>
      </c>
      <c r="H166" s="5">
        <f>ตัวคูณโรงพยาบาล!H200</f>
        <v>2.1912931490772709</v>
      </c>
      <c r="I166" s="5">
        <f>ตัวคูณโรงพยาบาล!I200</f>
        <v>0</v>
      </c>
      <c r="J166" s="5">
        <f>ตัวคูณโรงพยาบาล!J200</f>
        <v>0</v>
      </c>
      <c r="K166" s="5">
        <f>ตัวคูณโรงพยาบาล!K200</f>
        <v>0</v>
      </c>
      <c r="L166" s="5">
        <f t="shared" si="2"/>
        <v>9.9331757581888489</v>
      </c>
    </row>
    <row r="167" spans="1:12" x14ac:dyDescent="0.25">
      <c r="C167" t="s">
        <v>101</v>
      </c>
      <c r="D167" s="5">
        <f>ตัวคูณโรงพยาบาล!D201</f>
        <v>0</v>
      </c>
      <c r="E167" s="5">
        <f>ตัวคูณโรงพยาบาล!E201</f>
        <v>0</v>
      </c>
      <c r="F167" s="5">
        <f>ตัวคูณโรงพยาบาล!F201</f>
        <v>203.44876734881996</v>
      </c>
      <c r="G167" s="5">
        <f>ตัวคูณโรงพยาบาล!G201</f>
        <v>289.80418911909618</v>
      </c>
      <c r="H167" s="5">
        <f>ตัวคูณโรงพยาบาล!H201</f>
        <v>83.168811224598272</v>
      </c>
      <c r="I167" s="5">
        <f>ตัวคูณโรงพยาบาล!I201</f>
        <v>5.9309377315680871</v>
      </c>
      <c r="J167" s="5">
        <f>ตัวคูณโรงพยาบาล!J201</f>
        <v>0</v>
      </c>
      <c r="K167" s="5">
        <f>ตัวคูณโรงพยาบาล!K201</f>
        <v>0</v>
      </c>
      <c r="L167" s="5">
        <f t="shared" si="2"/>
        <v>582.3527054240825</v>
      </c>
    </row>
    <row r="168" spans="1:12" x14ac:dyDescent="0.25">
      <c r="A168" s="23" t="s">
        <v>104</v>
      </c>
      <c r="B168" s="23" t="s">
        <v>110</v>
      </c>
      <c r="C168" t="s">
        <v>70</v>
      </c>
      <c r="D168" s="5">
        <f>ตัวคูณโรงพยาบาล!D202</f>
        <v>0</v>
      </c>
      <c r="E168" s="5">
        <f>ตัวคูณโรงพยาบาล!E202</f>
        <v>0</v>
      </c>
      <c r="F168" s="5">
        <f>ตัวคูณโรงพยาบาล!F202</f>
        <v>0</v>
      </c>
      <c r="G168" s="5">
        <f>ตัวคูณโรงพยาบาล!G202</f>
        <v>0</v>
      </c>
      <c r="H168" s="5">
        <f>ตัวคูณโรงพยาบาล!H202</f>
        <v>0</v>
      </c>
      <c r="I168" s="5">
        <f>ตัวคูณโรงพยาบาล!I202</f>
        <v>3.093036759922476E-2</v>
      </c>
      <c r="J168" s="5">
        <f>ตัวคูณโรงพยาบาล!J202</f>
        <v>0</v>
      </c>
      <c r="K168" s="5">
        <f>ตัวคูณโรงพยาบาล!K202</f>
        <v>0</v>
      </c>
      <c r="L168" s="5">
        <f t="shared" si="2"/>
        <v>3.093036759922476E-2</v>
      </c>
    </row>
    <row r="169" spans="1:12" x14ac:dyDescent="0.25">
      <c r="C169" t="s">
        <v>71</v>
      </c>
      <c r="D169" s="5">
        <f>ตัวคูณโรงพยาบาล!D203</f>
        <v>0</v>
      </c>
      <c r="E169" s="5">
        <f>ตัวคูณโรงพยาบาล!E203</f>
        <v>0</v>
      </c>
      <c r="F169" s="5">
        <f>ตัวคูณโรงพยาบาล!F203</f>
        <v>0</v>
      </c>
      <c r="G169" s="5">
        <f>ตัวคูณโรงพยาบาล!G203</f>
        <v>0</v>
      </c>
      <c r="H169" s="5">
        <f>ตัวคูณโรงพยาบาล!H203</f>
        <v>0</v>
      </c>
      <c r="I169" s="5">
        <f>ตัวคูณโรงพยาบาล!I203</f>
        <v>3.093036759922476E-2</v>
      </c>
      <c r="J169" s="5">
        <f>ตัวคูณโรงพยาบาล!J203</f>
        <v>0</v>
      </c>
      <c r="K169" s="5">
        <f>ตัวคูณโรงพยาบาล!K203</f>
        <v>0</v>
      </c>
      <c r="L169" s="5">
        <f t="shared" si="2"/>
        <v>3.093036759922476E-2</v>
      </c>
    </row>
    <row r="170" spans="1:12" x14ac:dyDescent="0.25">
      <c r="C170" t="s">
        <v>72</v>
      </c>
      <c r="D170" s="5">
        <f>ตัวคูณโรงพยาบาล!D204</f>
        <v>0</v>
      </c>
      <c r="E170" s="5">
        <f>ตัวคูณโรงพยาบาล!E204</f>
        <v>0</v>
      </c>
      <c r="F170" s="5">
        <f>ตัวคูณโรงพยาบาล!F204</f>
        <v>0</v>
      </c>
      <c r="G170" s="5">
        <f>ตัวคูณโรงพยาบาล!G204</f>
        <v>0</v>
      </c>
      <c r="H170" s="5">
        <f>ตัวคูณโรงพยาบาล!H204</f>
        <v>0</v>
      </c>
      <c r="I170" s="5">
        <f>ตัวคูณโรงพยาบาล!I204</f>
        <v>3.093036759922476E-2</v>
      </c>
      <c r="J170" s="5">
        <f>ตัวคูณโรงพยาบาล!J204</f>
        <v>0</v>
      </c>
      <c r="K170" s="5">
        <f>ตัวคูณโรงพยาบาล!K204</f>
        <v>0</v>
      </c>
      <c r="L170" s="5">
        <f t="shared" si="2"/>
        <v>3.093036759922476E-2</v>
      </c>
    </row>
    <row r="171" spans="1:12" x14ac:dyDescent="0.25">
      <c r="C171" t="s">
        <v>73</v>
      </c>
      <c r="D171" s="5">
        <f>ตัวคูณโรงพยาบาล!D205</f>
        <v>0</v>
      </c>
      <c r="E171" s="5">
        <f>ตัวคูณโรงพยาบาล!E205</f>
        <v>0</v>
      </c>
      <c r="F171" s="5">
        <f>ตัวคูณโรงพยาบาล!F205</f>
        <v>0</v>
      </c>
      <c r="G171" s="5">
        <f>ตัวคูณโรงพยาบาล!G205</f>
        <v>0</v>
      </c>
      <c r="H171" s="5">
        <f>ตัวคูณโรงพยาบาล!H205</f>
        <v>0</v>
      </c>
      <c r="I171" s="5">
        <f>ตัวคูณโรงพยาบาล!I205</f>
        <v>3.093036759922476E-2</v>
      </c>
      <c r="J171" s="5">
        <f>ตัวคูณโรงพยาบาล!J205</f>
        <v>0</v>
      </c>
      <c r="K171" s="5">
        <f>ตัวคูณโรงพยาบาล!K205</f>
        <v>0</v>
      </c>
      <c r="L171" s="5">
        <f t="shared" si="2"/>
        <v>3.093036759922476E-2</v>
      </c>
    </row>
    <row r="172" spans="1:12" x14ac:dyDescent="0.25">
      <c r="C172" t="s">
        <v>74</v>
      </c>
      <c r="D172" s="5">
        <f>ตัวคูณโรงพยาบาล!D206</f>
        <v>0</v>
      </c>
      <c r="E172" s="5">
        <f>ตัวคูณโรงพยาบาล!E206</f>
        <v>0</v>
      </c>
      <c r="F172" s="5">
        <f>ตัวคูณโรงพยาบาล!F206</f>
        <v>0</v>
      </c>
      <c r="G172" s="5">
        <f>ตัวคูณโรงพยาบาล!G206</f>
        <v>1.8893579184100879</v>
      </c>
      <c r="H172" s="5">
        <f>ตัวคูณโรงพยาบาล!H206</f>
        <v>1.8571428571428572</v>
      </c>
      <c r="I172" s="5">
        <f>ตัวคูณโรงพยาบาล!I206</f>
        <v>3.093036759922476E-2</v>
      </c>
      <c r="J172" s="5">
        <f>ตัวคูณโรงพยาบาล!J206</f>
        <v>0</v>
      </c>
      <c r="K172" s="5">
        <f>ตัวคูณโรงพยาบาล!K206</f>
        <v>0</v>
      </c>
      <c r="L172" s="5">
        <f t="shared" si="2"/>
        <v>3.7774311431521701</v>
      </c>
    </row>
    <row r="173" spans="1:12" x14ac:dyDescent="0.25">
      <c r="C173" t="s">
        <v>75</v>
      </c>
      <c r="D173" s="5">
        <f>ตัวคูณโรงพยาบาล!D207</f>
        <v>0</v>
      </c>
      <c r="E173" s="5">
        <f>ตัวคูณโรงพยาบาล!E207</f>
        <v>0</v>
      </c>
      <c r="F173" s="5">
        <f>ตัวคูณโรงพยาบาล!F207</f>
        <v>0</v>
      </c>
      <c r="G173" s="5">
        <f>ตัวคูณโรงพยาบาล!G207</f>
        <v>0</v>
      </c>
      <c r="H173" s="5">
        <f>ตัวคูณโรงพยาบาล!H207</f>
        <v>0</v>
      </c>
      <c r="I173" s="5">
        <f>ตัวคูณโรงพยาบาล!I207</f>
        <v>3.093036759922476E-2</v>
      </c>
      <c r="J173" s="5">
        <f>ตัวคูณโรงพยาบาล!J207</f>
        <v>0</v>
      </c>
      <c r="K173" s="5">
        <f>ตัวคูณโรงพยาบาล!K207</f>
        <v>0</v>
      </c>
      <c r="L173" s="5">
        <f t="shared" si="2"/>
        <v>3.093036759922476E-2</v>
      </c>
    </row>
    <row r="174" spans="1:12" x14ac:dyDescent="0.25">
      <c r="C174" t="s">
        <v>76</v>
      </c>
      <c r="D174" s="5">
        <f>ตัวคูณโรงพยาบาล!D208</f>
        <v>0</v>
      </c>
      <c r="E174" s="5">
        <f>ตัวคูณโรงพยาบาล!E208</f>
        <v>0</v>
      </c>
      <c r="F174" s="5">
        <f>ตัวคูณโรงพยาบาล!F208</f>
        <v>3.7194715666322811</v>
      </c>
      <c r="G174" s="5">
        <f>ตัวคูณโรงพยาบาล!G208</f>
        <v>0</v>
      </c>
      <c r="H174" s="5">
        <f>ตัวคูณโรงพยาบาล!H208</f>
        <v>0</v>
      </c>
      <c r="I174" s="5">
        <f>ตัวคูณโรงพยาบาล!I208</f>
        <v>3.093036759922476E-2</v>
      </c>
      <c r="J174" s="5">
        <f>ตัวคูณโรงพยาบาล!J208</f>
        <v>0</v>
      </c>
      <c r="K174" s="5">
        <f>ตัวคูณโรงพยาบาล!K208</f>
        <v>0</v>
      </c>
      <c r="L174" s="5">
        <f t="shared" si="2"/>
        <v>3.750401934231506</v>
      </c>
    </row>
    <row r="175" spans="1:12" x14ac:dyDescent="0.25">
      <c r="C175" t="s">
        <v>77</v>
      </c>
      <c r="D175" s="5">
        <f>ตัวคูณโรงพยาบาล!D209</f>
        <v>0</v>
      </c>
      <c r="E175" s="5">
        <f>ตัวคูณโรงพยาบาล!E209</f>
        <v>0</v>
      </c>
      <c r="F175" s="5">
        <f>ตัวคูณโรงพยาบาล!F209</f>
        <v>0</v>
      </c>
      <c r="G175" s="5">
        <f>ตัวคูณโรงพยาบาล!G209</f>
        <v>0</v>
      </c>
      <c r="H175" s="5">
        <f>ตัวคูณโรงพยาบาล!H209</f>
        <v>0</v>
      </c>
      <c r="I175" s="5">
        <f>ตัวคูณโรงพยาบาล!I209</f>
        <v>3.093036759922476E-2</v>
      </c>
      <c r="J175" s="5">
        <f>ตัวคูณโรงพยาบาล!J209</f>
        <v>0</v>
      </c>
      <c r="K175" s="5">
        <f>ตัวคูณโรงพยาบาล!K209</f>
        <v>0</v>
      </c>
      <c r="L175" s="5">
        <f t="shared" si="2"/>
        <v>3.093036759922476E-2</v>
      </c>
    </row>
    <row r="176" spans="1:12" x14ac:dyDescent="0.25">
      <c r="C176" t="s">
        <v>78</v>
      </c>
      <c r="D176" s="5">
        <f>ตัวคูณโรงพยาบาล!D210</f>
        <v>0</v>
      </c>
      <c r="E176" s="5">
        <f>ตัวคูณโรงพยาบาล!E210</f>
        <v>0</v>
      </c>
      <c r="F176" s="5">
        <f>ตัวคูณโรงพยาบาล!F210</f>
        <v>0</v>
      </c>
      <c r="G176" s="5">
        <f>ตัวคูณโรงพยาบาล!G210</f>
        <v>0</v>
      </c>
      <c r="H176" s="5">
        <f>ตัวคูณโรงพยาบาล!H210</f>
        <v>0</v>
      </c>
      <c r="I176" s="5">
        <f>ตัวคูณโรงพยาบาล!I210</f>
        <v>3.093036759922476E-2</v>
      </c>
      <c r="J176" s="5">
        <f>ตัวคูณโรงพยาบาล!J210</f>
        <v>0</v>
      </c>
      <c r="K176" s="5">
        <f>ตัวคูณโรงพยาบาล!K210</f>
        <v>0</v>
      </c>
      <c r="L176" s="5">
        <f t="shared" si="2"/>
        <v>3.093036759922476E-2</v>
      </c>
    </row>
    <row r="177" spans="3:12" x14ac:dyDescent="0.25">
      <c r="C177" t="s">
        <v>79</v>
      </c>
      <c r="D177" s="5">
        <f>ตัวคูณโรงพยาบาล!D211</f>
        <v>0</v>
      </c>
      <c r="E177" s="5">
        <f>ตัวคูณโรงพยาบาล!E211</f>
        <v>0</v>
      </c>
      <c r="F177" s="5">
        <f>ตัวคูณโรงพยาบาล!F211</f>
        <v>0</v>
      </c>
      <c r="G177" s="5">
        <f>ตัวคูณโรงพยาบาล!G211</f>
        <v>0</v>
      </c>
      <c r="H177" s="5">
        <f>ตัวคูณโรงพยาบาล!H211</f>
        <v>0</v>
      </c>
      <c r="I177" s="5">
        <f>ตัวคูณโรงพยาบาล!I211</f>
        <v>3.093036759922476E-2</v>
      </c>
      <c r="J177" s="5">
        <f>ตัวคูณโรงพยาบาล!J211</f>
        <v>0</v>
      </c>
      <c r="K177" s="5">
        <f>ตัวคูณโรงพยาบาล!K211</f>
        <v>0</v>
      </c>
      <c r="L177" s="5">
        <f t="shared" si="2"/>
        <v>3.093036759922476E-2</v>
      </c>
    </row>
    <row r="178" spans="3:12" x14ac:dyDescent="0.25">
      <c r="C178" t="s">
        <v>80</v>
      </c>
      <c r="D178" s="5">
        <f>ตัวคูณโรงพยาบาล!D212</f>
        <v>0</v>
      </c>
      <c r="E178" s="5">
        <f>ตัวคูณโรงพยาบาล!E212</f>
        <v>0</v>
      </c>
      <c r="F178" s="5">
        <f>ตัวคูณโรงพยาบาล!F212</f>
        <v>0</v>
      </c>
      <c r="G178" s="5">
        <f>ตัวคูณโรงพยาบาล!G212</f>
        <v>0</v>
      </c>
      <c r="H178" s="5">
        <f>ตัวคูณโรงพยาบาล!H212</f>
        <v>0</v>
      </c>
      <c r="I178" s="5">
        <f>ตัวคูณโรงพยาบาล!I212</f>
        <v>3.093036759922476E-2</v>
      </c>
      <c r="J178" s="5">
        <f>ตัวคูณโรงพยาบาล!J212</f>
        <v>0</v>
      </c>
      <c r="K178" s="5">
        <f>ตัวคูณโรงพยาบาล!K212</f>
        <v>0</v>
      </c>
      <c r="L178" s="5">
        <f t="shared" si="2"/>
        <v>3.093036759922476E-2</v>
      </c>
    </row>
    <row r="179" spans="3:12" x14ac:dyDescent="0.25">
      <c r="C179" t="s">
        <v>81</v>
      </c>
      <c r="D179" s="5">
        <f>ตัวคูณโรงพยาบาล!D213</f>
        <v>0</v>
      </c>
      <c r="E179" s="5">
        <f>ตัวคูณโรงพยาบาล!E213</f>
        <v>0</v>
      </c>
      <c r="F179" s="5">
        <f>ตัวคูณโรงพยาบาล!F213</f>
        <v>0</v>
      </c>
      <c r="G179" s="5">
        <f>ตัวคูณโรงพยาบาล!G213</f>
        <v>4.0088734215072952</v>
      </c>
      <c r="H179" s="5">
        <f>ตัวคูณโรงพยาบาล!H213</f>
        <v>0</v>
      </c>
      <c r="I179" s="5">
        <f>ตัวคูณโรงพยาบาล!I213</f>
        <v>3.093036759922476E-2</v>
      </c>
      <c r="J179" s="5">
        <f>ตัวคูณโรงพยาบาล!J213</f>
        <v>0</v>
      </c>
      <c r="K179" s="5">
        <f>ตัวคูณโรงพยาบาล!K213</f>
        <v>0</v>
      </c>
      <c r="L179" s="5">
        <f t="shared" si="2"/>
        <v>4.0398037891065197</v>
      </c>
    </row>
    <row r="180" spans="3:12" x14ac:dyDescent="0.25">
      <c r="C180" t="s">
        <v>82</v>
      </c>
      <c r="D180" s="5">
        <f>ตัวคูณโรงพยาบาล!D214</f>
        <v>0</v>
      </c>
      <c r="E180" s="5">
        <f>ตัวคูณโรงพยาบาล!E214</f>
        <v>0</v>
      </c>
      <c r="F180" s="5">
        <f>ตัวคูณโรงพยาบาล!F214</f>
        <v>0</v>
      </c>
      <c r="G180" s="5">
        <f>ตัวคูณโรงพยาบาล!G214</f>
        <v>0</v>
      </c>
      <c r="H180" s="5">
        <f>ตัวคูณโรงพยาบาล!H214</f>
        <v>0</v>
      </c>
      <c r="I180" s="5">
        <f>ตัวคูณโรงพยาบาล!I214</f>
        <v>3.093036759922476E-2</v>
      </c>
      <c r="J180" s="5">
        <f>ตัวคูณโรงพยาบาล!J214</f>
        <v>0</v>
      </c>
      <c r="K180" s="5">
        <f>ตัวคูณโรงพยาบาล!K214</f>
        <v>0</v>
      </c>
      <c r="L180" s="5">
        <f t="shared" si="2"/>
        <v>3.093036759922476E-2</v>
      </c>
    </row>
    <row r="181" spans="3:12" x14ac:dyDescent="0.25">
      <c r="C181" t="s">
        <v>83</v>
      </c>
      <c r="D181" s="5">
        <f>ตัวคูณโรงพยาบาล!D215</f>
        <v>0</v>
      </c>
      <c r="E181" s="5">
        <f>ตัวคูณโรงพยาบาล!E215</f>
        <v>0</v>
      </c>
      <c r="F181" s="5">
        <f>ตัวคูณโรงพยาบาล!F215</f>
        <v>0</v>
      </c>
      <c r="G181" s="5">
        <f>ตัวคูณโรงพยาบาล!G215</f>
        <v>0</v>
      </c>
      <c r="H181" s="5">
        <f>ตัวคูณโรงพยาบาล!H215</f>
        <v>0</v>
      </c>
      <c r="I181" s="5">
        <f>ตัวคูณโรงพยาบาล!I215</f>
        <v>3.093036759922476E-2</v>
      </c>
      <c r="J181" s="5">
        <f>ตัวคูณโรงพยาบาล!J215</f>
        <v>0</v>
      </c>
      <c r="K181" s="5">
        <f>ตัวคูณโรงพยาบาล!K215</f>
        <v>0</v>
      </c>
      <c r="L181" s="5">
        <f t="shared" si="2"/>
        <v>3.093036759922476E-2</v>
      </c>
    </row>
    <row r="182" spans="3:12" x14ac:dyDescent="0.25">
      <c r="C182" t="s">
        <v>84</v>
      </c>
      <c r="D182" s="5">
        <f>ตัวคูณโรงพยาบาล!D216</f>
        <v>0</v>
      </c>
      <c r="E182" s="5">
        <f>ตัวคูณโรงพยาบาล!E216</f>
        <v>0</v>
      </c>
      <c r="F182" s="5">
        <f>ตัวคูณโรงพยาบาล!F216</f>
        <v>0</v>
      </c>
      <c r="G182" s="5">
        <f>ตัวคูณโรงพยาบาล!G216</f>
        <v>0</v>
      </c>
      <c r="H182" s="5">
        <f>ตัวคูณโรงพยาบาล!H216</f>
        <v>0</v>
      </c>
      <c r="I182" s="5">
        <f>ตัวคูณโรงพยาบาล!I216</f>
        <v>3.093036759922476E-2</v>
      </c>
      <c r="J182" s="5">
        <f>ตัวคูณโรงพยาบาล!J216</f>
        <v>0</v>
      </c>
      <c r="K182" s="5">
        <f>ตัวคูณโรงพยาบาล!K216</f>
        <v>0</v>
      </c>
      <c r="L182" s="5">
        <f t="shared" si="2"/>
        <v>3.093036759922476E-2</v>
      </c>
    </row>
    <row r="183" spans="3:12" x14ac:dyDescent="0.25">
      <c r="C183" t="s">
        <v>85</v>
      </c>
      <c r="D183" s="5">
        <f>ตัวคูณโรงพยาบาล!D217</f>
        <v>0</v>
      </c>
      <c r="E183" s="5">
        <f>ตัวคูณโรงพยาบาล!E217</f>
        <v>0</v>
      </c>
      <c r="F183" s="5">
        <f>ตัวคูณโรงพยาบาล!F217</f>
        <v>0</v>
      </c>
      <c r="G183" s="5">
        <f>ตัวคูณโรงพยาบาล!G217</f>
        <v>0</v>
      </c>
      <c r="H183" s="5">
        <f>ตัวคูณโรงพยาบาล!H217</f>
        <v>5.1474054808163672</v>
      </c>
      <c r="I183" s="5">
        <f>ตัวคูณโรงพยาบาล!I217</f>
        <v>3.093036759922476E-2</v>
      </c>
      <c r="J183" s="5">
        <f>ตัวคูณโรงพยาบาล!J217</f>
        <v>0</v>
      </c>
      <c r="K183" s="5">
        <f>ตัวคูณโรงพยาบาล!K217</f>
        <v>0</v>
      </c>
      <c r="L183" s="5">
        <f t="shared" si="2"/>
        <v>5.1783358484155917</v>
      </c>
    </row>
    <row r="184" spans="3:12" x14ac:dyDescent="0.25">
      <c r="C184" t="s">
        <v>86</v>
      </c>
      <c r="D184" s="5">
        <f>ตัวคูณโรงพยาบาล!D218</f>
        <v>0</v>
      </c>
      <c r="E184" s="5">
        <f>ตัวคูณโรงพยาบาล!E218</f>
        <v>0</v>
      </c>
      <c r="F184" s="5">
        <f>ตัวคูณโรงพยาบาล!F218</f>
        <v>4.5891318377237926</v>
      </c>
      <c r="G184" s="5">
        <f>ตัวคูณโรงพยาบาล!G218</f>
        <v>6.5992286573329952</v>
      </c>
      <c r="H184" s="5">
        <f>ตัวคูณโรงพยาบาล!H218</f>
        <v>2.599744608776219</v>
      </c>
      <c r="I184" s="5">
        <f>ตัวคูณโรงพยาบาล!I218</f>
        <v>3.093036759922476E-2</v>
      </c>
      <c r="J184" s="5">
        <f>ตัวคูณโรงพยาบาล!J218</f>
        <v>0</v>
      </c>
      <c r="K184" s="5">
        <f>ตัวคูณโรงพยาบาล!K218</f>
        <v>0</v>
      </c>
      <c r="L184" s="5">
        <f t="shared" si="2"/>
        <v>13.819035471432233</v>
      </c>
    </row>
    <row r="185" spans="3:12" x14ac:dyDescent="0.25">
      <c r="C185" t="s">
        <v>87</v>
      </c>
      <c r="D185" s="5">
        <f>ตัวคูณโรงพยาบาล!D219</f>
        <v>0</v>
      </c>
      <c r="E185" s="5">
        <f>ตัวคูณโรงพยาบาล!E219</f>
        <v>0</v>
      </c>
      <c r="F185" s="5">
        <f>ตัวคูณโรงพยาบาล!F219</f>
        <v>5.3886634008673813</v>
      </c>
      <c r="G185" s="5">
        <f>ตัวคูณโรงพยาบาล!G219</f>
        <v>11.046091956575852</v>
      </c>
      <c r="H185" s="5">
        <f>ตัวคูณโรงพยาบาล!H219</f>
        <v>1.5815259928397114</v>
      </c>
      <c r="I185" s="5">
        <f>ตัวคูณโรงพยาบาล!I219</f>
        <v>3.093036759922476E-2</v>
      </c>
      <c r="J185" s="5">
        <f>ตัวคูณโรงพยาบาล!J219</f>
        <v>0</v>
      </c>
      <c r="K185" s="5">
        <f>ตัวคูณโรงพยาบาล!K219</f>
        <v>0</v>
      </c>
      <c r="L185" s="5">
        <f t="shared" si="2"/>
        <v>18.04721171788217</v>
      </c>
    </row>
    <row r="186" spans="3:12" x14ac:dyDescent="0.25">
      <c r="C186" t="s">
        <v>88</v>
      </c>
      <c r="D186" s="5">
        <f>ตัวคูณโรงพยาบาล!D220</f>
        <v>0</v>
      </c>
      <c r="E186" s="5">
        <f>ตัวคูณโรงพยาบาล!E220</f>
        <v>0</v>
      </c>
      <c r="F186" s="5">
        <f>ตัวคูณโรงพยาบาล!F220</f>
        <v>2.0436772922692459</v>
      </c>
      <c r="G186" s="5">
        <f>ตัวคูณโรงพยาบาล!G220</f>
        <v>7.4124038966980139</v>
      </c>
      <c r="H186" s="5">
        <f>ตัวคูณโรงพยาบาล!H220</f>
        <v>9.3286760824322972</v>
      </c>
      <c r="I186" s="5">
        <f>ตัวคูณโรงพยาบาล!I220</f>
        <v>4.2849265364273768</v>
      </c>
      <c r="J186" s="5">
        <f>ตัวคูณโรงพยาบาล!J220</f>
        <v>0</v>
      </c>
      <c r="K186" s="5">
        <f>ตัวคูณโรงพยาบาล!K220</f>
        <v>0</v>
      </c>
      <c r="L186" s="5">
        <f t="shared" si="2"/>
        <v>23.069683807826934</v>
      </c>
    </row>
    <row r="187" spans="3:12" x14ac:dyDescent="0.25">
      <c r="C187" t="s">
        <v>89</v>
      </c>
      <c r="D187" s="5">
        <f>ตัวคูณโรงพยาบาล!D221</f>
        <v>0</v>
      </c>
      <c r="E187" s="5">
        <f>ตัวคูณโรงพยาบาล!E221</f>
        <v>0</v>
      </c>
      <c r="F187" s="5">
        <f>ตัวคูณโรงพยาบาล!F221</f>
        <v>16.908358678542502</v>
      </c>
      <c r="G187" s="5">
        <f>ตัวคูณโรงพยาบาล!G221</f>
        <v>24.262169459107728</v>
      </c>
      <c r="H187" s="5">
        <f>ตัวคูณโรงพยาบาล!H221</f>
        <v>27.167052856446524</v>
      </c>
      <c r="I187" s="5">
        <f>ตัวคูณโรงพยาบาล!I221</f>
        <v>3.093036759922476E-2</v>
      </c>
      <c r="J187" s="5">
        <f>ตัวคูณโรงพยาบาล!J221</f>
        <v>0</v>
      </c>
      <c r="K187" s="5">
        <f>ตัวคูณโรงพยาบาล!K221</f>
        <v>0</v>
      </c>
      <c r="L187" s="5">
        <f t="shared" si="2"/>
        <v>68.36851136169598</v>
      </c>
    </row>
    <row r="188" spans="3:12" x14ac:dyDescent="0.25">
      <c r="C188" t="s">
        <v>90</v>
      </c>
      <c r="D188" s="5">
        <f>ตัวคูณโรงพยาบาล!D222</f>
        <v>0</v>
      </c>
      <c r="E188" s="5">
        <f>ตัวคูณโรงพยาบาล!E222</f>
        <v>0</v>
      </c>
      <c r="F188" s="5">
        <f>ตัวคูณโรงพยาบาล!F222</f>
        <v>0</v>
      </c>
      <c r="G188" s="5">
        <f>ตัวคูณโรงพยาบาล!G222</f>
        <v>0</v>
      </c>
      <c r="H188" s="5">
        <f>ตัวคูณโรงพยาบาล!H222</f>
        <v>0</v>
      </c>
      <c r="I188" s="5">
        <f>ตัวคูณโรงพยาบาล!I222</f>
        <v>3.093036759922476E-2</v>
      </c>
      <c r="J188" s="5">
        <f>ตัวคูณโรงพยาบาล!J222</f>
        <v>0</v>
      </c>
      <c r="K188" s="5">
        <f>ตัวคูณโรงพยาบาล!K222</f>
        <v>0</v>
      </c>
      <c r="L188" s="5">
        <f t="shared" si="2"/>
        <v>3.093036759922476E-2</v>
      </c>
    </row>
    <row r="189" spans="3:12" x14ac:dyDescent="0.25">
      <c r="C189" t="s">
        <v>91</v>
      </c>
      <c r="D189" s="5">
        <f>ตัวคูณโรงพยาบาล!D223</f>
        <v>0</v>
      </c>
      <c r="E189" s="5">
        <f>ตัวคูณโรงพยาบาล!E223</f>
        <v>0</v>
      </c>
      <c r="F189" s="5">
        <f>ตัวคูณโรงพยาบาล!F223</f>
        <v>0</v>
      </c>
      <c r="G189" s="5">
        <f>ตัวคูณโรงพยาบาล!G223</f>
        <v>0</v>
      </c>
      <c r="H189" s="5">
        <f>ตัวคูณโรงพยาบาล!H223</f>
        <v>0</v>
      </c>
      <c r="I189" s="5">
        <f>ตัวคูณโรงพยาบาล!I223</f>
        <v>3.093036759922476E-2</v>
      </c>
      <c r="J189" s="5">
        <f>ตัวคูณโรงพยาบาล!J223</f>
        <v>0</v>
      </c>
      <c r="K189" s="5">
        <f>ตัวคูณโรงพยาบาล!K223</f>
        <v>0</v>
      </c>
      <c r="L189" s="5">
        <f t="shared" si="2"/>
        <v>3.093036759922476E-2</v>
      </c>
    </row>
    <row r="190" spans="3:12" x14ac:dyDescent="0.25">
      <c r="C190" t="s">
        <v>92</v>
      </c>
      <c r="D190" s="5">
        <f>ตัวคูณโรงพยาบาล!D224</f>
        <v>0</v>
      </c>
      <c r="E190" s="5">
        <f>ตัวคูณโรงพยาบาล!E224</f>
        <v>0</v>
      </c>
      <c r="F190" s="5">
        <f>ตัวคูณโรงพยาบาล!F224</f>
        <v>0</v>
      </c>
      <c r="G190" s="5">
        <f>ตัวคูณโรงพยาบาล!G224</f>
        <v>0</v>
      </c>
      <c r="H190" s="5">
        <f>ตัวคูณโรงพยาบาล!H224</f>
        <v>0</v>
      </c>
      <c r="I190" s="5">
        <f>ตัวคูณโรงพยาบาล!I224</f>
        <v>3.093036759922476E-2</v>
      </c>
      <c r="J190" s="5">
        <f>ตัวคูณโรงพยาบาล!J224</f>
        <v>0</v>
      </c>
      <c r="K190" s="5">
        <f>ตัวคูณโรงพยาบาล!K224</f>
        <v>0</v>
      </c>
      <c r="L190" s="5">
        <f t="shared" si="2"/>
        <v>3.093036759922476E-2</v>
      </c>
    </row>
    <row r="191" spans="3:12" x14ac:dyDescent="0.25">
      <c r="C191" t="s">
        <v>93</v>
      </c>
      <c r="D191" s="5">
        <f>ตัวคูณโรงพยาบาล!D225</f>
        <v>0</v>
      </c>
      <c r="E191" s="5">
        <f>ตัวคูณโรงพยาบาล!E225</f>
        <v>0</v>
      </c>
      <c r="F191" s="5">
        <f>ตัวคูณโรงพยาบาล!F225</f>
        <v>0</v>
      </c>
      <c r="G191" s="5">
        <f>ตัวคูณโรงพยาบาล!G225</f>
        <v>0</v>
      </c>
      <c r="H191" s="5">
        <f>ตัวคูณโรงพยาบาล!H225</f>
        <v>0</v>
      </c>
      <c r="I191" s="5">
        <f>ตัวคูณโรงพยาบาล!I225</f>
        <v>3.093036759922476E-2</v>
      </c>
      <c r="J191" s="5">
        <f>ตัวคูณโรงพยาบาล!J225</f>
        <v>0</v>
      </c>
      <c r="K191" s="5">
        <f>ตัวคูณโรงพยาบาล!K225</f>
        <v>0</v>
      </c>
      <c r="L191" s="5">
        <f t="shared" si="2"/>
        <v>3.093036759922476E-2</v>
      </c>
    </row>
    <row r="192" spans="3:12" x14ac:dyDescent="0.25">
      <c r="C192" t="s">
        <v>94</v>
      </c>
      <c r="D192" s="5">
        <f>ตัวคูณโรงพยาบาล!D226</f>
        <v>0</v>
      </c>
      <c r="E192" s="5">
        <f>ตัวคูณโรงพยาบาล!E226</f>
        <v>0</v>
      </c>
      <c r="F192" s="5">
        <f>ตัวคูณโรงพยาบาล!F226</f>
        <v>0</v>
      </c>
      <c r="G192" s="5">
        <f>ตัวคูณโรงพยาบาล!G226</f>
        <v>0</v>
      </c>
      <c r="H192" s="5">
        <f>ตัวคูณโรงพยาบาล!H226</f>
        <v>0</v>
      </c>
      <c r="I192" s="5">
        <f>ตัวคูณโรงพยาบาล!I226</f>
        <v>3.093036759922476E-2</v>
      </c>
      <c r="J192" s="5">
        <f>ตัวคูณโรงพยาบาล!J226</f>
        <v>0</v>
      </c>
      <c r="K192" s="5">
        <f>ตัวคูณโรงพยาบาล!K226</f>
        <v>0</v>
      </c>
      <c r="L192" s="5">
        <f t="shared" si="2"/>
        <v>3.093036759922476E-2</v>
      </c>
    </row>
    <row r="193" spans="1:12" x14ac:dyDescent="0.25">
      <c r="C193" t="s">
        <v>95</v>
      </c>
      <c r="D193" s="5">
        <f>ตัวคูณโรงพยาบาล!D227</f>
        <v>0</v>
      </c>
      <c r="E193" s="5">
        <f>ตัวคูณโรงพยาบาล!E227</f>
        <v>0</v>
      </c>
      <c r="F193" s="5">
        <f>ตัวคูณโรงพยาบาล!F227</f>
        <v>0</v>
      </c>
      <c r="G193" s="5">
        <f>ตัวคูณโรงพยาบาล!G227</f>
        <v>0</v>
      </c>
      <c r="H193" s="5">
        <f>ตัวคูณโรงพยาบาล!H227</f>
        <v>0</v>
      </c>
      <c r="I193" s="5">
        <f>ตัวคูณโรงพยาบาล!I227</f>
        <v>3.093036759922476E-2</v>
      </c>
      <c r="J193" s="5">
        <f>ตัวคูณโรงพยาบาล!J227</f>
        <v>0</v>
      </c>
      <c r="K193" s="5">
        <f>ตัวคูณโรงพยาบาล!K227</f>
        <v>0</v>
      </c>
      <c r="L193" s="5">
        <f t="shared" si="2"/>
        <v>3.093036759922476E-2</v>
      </c>
    </row>
    <row r="194" spans="1:12" x14ac:dyDescent="0.25">
      <c r="C194" t="s">
        <v>96</v>
      </c>
      <c r="D194" s="5">
        <f>ตัวคูณโรงพยาบาล!D228</f>
        <v>0</v>
      </c>
      <c r="E194" s="5">
        <f>ตัวคูณโรงพยาบาล!E228</f>
        <v>0</v>
      </c>
      <c r="F194" s="5">
        <f>ตัวคูณโรงพยาบาล!F228</f>
        <v>0</v>
      </c>
      <c r="G194" s="5">
        <f>ตัวคูณโรงพยาบาล!G228</f>
        <v>0</v>
      </c>
      <c r="H194" s="5">
        <f>ตัวคูณโรงพยาบาล!H228</f>
        <v>0</v>
      </c>
      <c r="I194" s="5">
        <f>ตัวคูณโรงพยาบาล!I228</f>
        <v>3.093036759922476E-2</v>
      </c>
      <c r="J194" s="5">
        <f>ตัวคูณโรงพยาบาล!J228</f>
        <v>0</v>
      </c>
      <c r="K194" s="5">
        <f>ตัวคูณโรงพยาบาล!K228</f>
        <v>0</v>
      </c>
      <c r="L194" s="5">
        <f t="shared" si="2"/>
        <v>3.093036759922476E-2</v>
      </c>
    </row>
    <row r="195" spans="1:12" x14ac:dyDescent="0.25">
      <c r="C195" t="s">
        <v>97</v>
      </c>
      <c r="D195" s="5">
        <f>ตัวคูณโรงพยาบาล!D229</f>
        <v>0</v>
      </c>
      <c r="E195" s="5">
        <f>ตัวคูณโรงพยาบาล!E229</f>
        <v>0</v>
      </c>
      <c r="F195" s="5">
        <f>ตัวคูณโรงพยาบาล!F229</f>
        <v>18.20966749487139</v>
      </c>
      <c r="G195" s="5">
        <f>ตัวคูณโรงพยาบาล!G229</f>
        <v>23.981541831561792</v>
      </c>
      <c r="H195" s="5">
        <f>ตัวคูณโรงพยาบาล!H229</f>
        <v>0</v>
      </c>
      <c r="I195" s="5">
        <f>ตัวคูณโรงพยาบาล!I229</f>
        <v>3.093036759922476E-2</v>
      </c>
      <c r="J195" s="5">
        <f>ตัวคูณโรงพยาบาล!J229</f>
        <v>0</v>
      </c>
      <c r="K195" s="5">
        <f>ตัวคูณโรงพยาบาล!K229</f>
        <v>0</v>
      </c>
      <c r="L195" s="5">
        <f t="shared" si="2"/>
        <v>42.222139694032407</v>
      </c>
    </row>
    <row r="196" spans="1:12" x14ac:dyDescent="0.25">
      <c r="C196" t="s">
        <v>119</v>
      </c>
      <c r="D196" s="5">
        <f>ตัวคูณโรงพยาบาล!D230</f>
        <v>0</v>
      </c>
      <c r="E196" s="5">
        <f>ตัวคูณโรงพยาบาล!E230</f>
        <v>0</v>
      </c>
      <c r="F196" s="5">
        <f>ตัวคูณโรงพยาบาล!F230</f>
        <v>0</v>
      </c>
      <c r="G196" s="5">
        <f>ตัวคูณโรงพยาบาล!G230</f>
        <v>3.7787158368201759</v>
      </c>
      <c r="H196" s="5">
        <f>ตัวคูณโรงพยาบาล!H230</f>
        <v>11.876336954472446</v>
      </c>
      <c r="I196" s="5">
        <f>ตัวคูณโรงพยาบาล!I230</f>
        <v>3.093036759922476E-2</v>
      </c>
      <c r="J196" s="5">
        <f>ตัวคูณโรงพยาบาล!J230</f>
        <v>0</v>
      </c>
      <c r="K196" s="5">
        <f>ตัวคูณโรงพยาบาล!K230</f>
        <v>0</v>
      </c>
      <c r="L196" s="5">
        <f t="shared" ref="L196:L259" si="3">SUM(D196:K196)</f>
        <v>15.685983158891847</v>
      </c>
    </row>
    <row r="197" spans="1:12" x14ac:dyDescent="0.25">
      <c r="C197" t="s">
        <v>98</v>
      </c>
      <c r="D197" s="5">
        <f>ตัวคูณโรงพยาบาล!D231</f>
        <v>0</v>
      </c>
      <c r="E197" s="5">
        <f>ตัวคูณโรงพยาบาล!E231</f>
        <v>0</v>
      </c>
      <c r="F197" s="5">
        <f>ตัวคูณโรงพยาบาล!F231</f>
        <v>0</v>
      </c>
      <c r="G197" s="5">
        <f>ตัวคูณโรงพยาบาล!G231</f>
        <v>0</v>
      </c>
      <c r="H197" s="5">
        <f>ตัวคูณโรงพยาบาล!H231</f>
        <v>0</v>
      </c>
      <c r="I197" s="5">
        <f>ตัวคูณโรงพยาบาล!I231</f>
        <v>3.093036759922476E-2</v>
      </c>
      <c r="J197" s="5">
        <f>ตัวคูณโรงพยาบาล!J231</f>
        <v>0</v>
      </c>
      <c r="K197" s="5">
        <f>ตัวคูณโรงพยาบาล!K231</f>
        <v>0</v>
      </c>
      <c r="L197" s="5">
        <f t="shared" si="3"/>
        <v>3.093036759922476E-2</v>
      </c>
    </row>
    <row r="198" spans="1:12" x14ac:dyDescent="0.25">
      <c r="C198" t="s">
        <v>99</v>
      </c>
      <c r="D198" s="5">
        <f>ตัวคูณโรงพยาบาล!D232</f>
        <v>0</v>
      </c>
      <c r="E198" s="5">
        <f>ตัวคูณโรงพยาบาล!E232</f>
        <v>0</v>
      </c>
      <c r="F198" s="5">
        <f>ตัวคูณโรงพยาบาล!F232</f>
        <v>0</v>
      </c>
      <c r="G198" s="5">
        <f>ตัวคูณโรงพยาบาล!G232</f>
        <v>0</v>
      </c>
      <c r="H198" s="5">
        <f>ตัวคูณโรงพยาบาล!H232</f>
        <v>0</v>
      </c>
      <c r="I198" s="5">
        <f>ตัวคูณโรงพยาบาล!I232</f>
        <v>3.093036759922476E-2</v>
      </c>
      <c r="J198" s="5">
        <f>ตัวคูณโรงพยาบาล!J232</f>
        <v>0</v>
      </c>
      <c r="K198" s="5">
        <f>ตัวคูณโรงพยาบาล!K232</f>
        <v>0</v>
      </c>
      <c r="L198" s="5">
        <f t="shared" si="3"/>
        <v>3.093036759922476E-2</v>
      </c>
    </row>
    <row r="199" spans="1:12" x14ac:dyDescent="0.25">
      <c r="C199" t="s">
        <v>100</v>
      </c>
      <c r="D199" s="5">
        <f>ตัวคูณโรงพยาบาล!D233</f>
        <v>0</v>
      </c>
      <c r="E199" s="5">
        <f>ตัวคูณโรงพยาบาล!E233</f>
        <v>0</v>
      </c>
      <c r="F199" s="5">
        <f>ตัวคูณโรงพยาบาล!F233</f>
        <v>482.80027074240826</v>
      </c>
      <c r="G199" s="5">
        <f>ตัวคูณโรงพยาบาล!G233</f>
        <v>742.86314737863313</v>
      </c>
      <c r="H199" s="5">
        <f>ตัวคูณโรงพยาบาล!H233</f>
        <v>338.93695778345142</v>
      </c>
      <c r="I199" s="5">
        <f>ตัวคูณโรงพยาบาล!I233</f>
        <v>58.623017884403126</v>
      </c>
      <c r="J199" s="5">
        <f>ตัวคูณโรงพยาบาล!J233</f>
        <v>6.7033759950872831</v>
      </c>
      <c r="K199" s="5">
        <f>ตัวคูณโรงพยาบาล!K233</f>
        <v>2.3622679377822378</v>
      </c>
      <c r="L199" s="5">
        <f t="shared" si="3"/>
        <v>1632.2890377217655</v>
      </c>
    </row>
    <row r="200" spans="1:12" x14ac:dyDescent="0.25">
      <c r="C200" t="s">
        <v>101</v>
      </c>
      <c r="D200" s="5">
        <f>ตัวคูณโรงพยาบาล!D234</f>
        <v>0</v>
      </c>
      <c r="E200" s="5">
        <f>ตัวคูณโรงพยาบาล!E234</f>
        <v>0</v>
      </c>
      <c r="F200" s="5">
        <f>ตัวคูณโรงพยาบาล!F234</f>
        <v>7.8068261511707728</v>
      </c>
      <c r="G200" s="5">
        <f>ตัวคูณโรงพยาบาล!G234</f>
        <v>0</v>
      </c>
      <c r="H200" s="5">
        <f>ตัวคูณโรงพยาบาล!H234</f>
        <v>0</v>
      </c>
      <c r="I200" s="5">
        <f>ตัวคูณโรงพยาบาล!I234</f>
        <v>3.093036759922476E-2</v>
      </c>
      <c r="J200" s="5">
        <f>ตัวคูณโรงพยาบาล!J234</f>
        <v>0</v>
      </c>
      <c r="K200" s="5">
        <f>ตัวคูณโรงพยาบาล!K234</f>
        <v>0</v>
      </c>
      <c r="L200" s="5">
        <f t="shared" si="3"/>
        <v>7.8377565187699973</v>
      </c>
    </row>
    <row r="201" spans="1:12" x14ac:dyDescent="0.25">
      <c r="A201" s="23" t="s">
        <v>104</v>
      </c>
      <c r="B201" s="23" t="s">
        <v>111</v>
      </c>
      <c r="C201" t="s">
        <v>70</v>
      </c>
      <c r="D201" s="5">
        <f>ตัวคูณโรงพยาบาล!D235</f>
        <v>0</v>
      </c>
      <c r="E201" s="5">
        <f>ตัวคูณโรงพยาบาล!E235</f>
        <v>0</v>
      </c>
      <c r="F201" s="5">
        <f>ตัวคูณโรงพยาบาล!F235</f>
        <v>8.9238256401673901</v>
      </c>
      <c r="G201" s="5">
        <f>ตัวคูณโรงพยาบาล!G235</f>
        <v>47.794907450932229</v>
      </c>
      <c r="H201" s="5">
        <f>ตัวคูณโรงพยาบาล!H235</f>
        <v>20.322945195802255</v>
      </c>
      <c r="I201" s="5">
        <f>ตัวคูณโรงพยาบาล!I235</f>
        <v>5.4645445879683665</v>
      </c>
      <c r="J201" s="5">
        <f>ตัวคูณโรงพยาบาล!J235</f>
        <v>2.7723838992027652</v>
      </c>
      <c r="K201" s="5">
        <f>ตัวคูณโรงพยาบาล!K235</f>
        <v>0</v>
      </c>
      <c r="L201" s="5">
        <f t="shared" si="3"/>
        <v>85.278606774073012</v>
      </c>
    </row>
    <row r="202" spans="1:12" x14ac:dyDescent="0.25">
      <c r="C202" t="s">
        <v>71</v>
      </c>
      <c r="D202" s="5">
        <f>ตัวคูณโรงพยาบาล!D236</f>
        <v>0</v>
      </c>
      <c r="E202" s="5">
        <f>ตัวคูณโรงพยาบาล!E236</f>
        <v>0</v>
      </c>
      <c r="F202" s="5">
        <f>ตัวคูณโรงพยาบาล!F236</f>
        <v>94.769900410618575</v>
      </c>
      <c r="G202" s="5">
        <f>ตัวคูณโรงพยาบาล!G236</f>
        <v>190.13745887743286</v>
      </c>
      <c r="H202" s="5">
        <f>ตัวคูณโรงพยาบาล!H236</f>
        <v>71.196813863161225</v>
      </c>
      <c r="I202" s="5">
        <f>ตัวคูณโรงพยาบาล!I236</f>
        <v>15.997635235915695</v>
      </c>
      <c r="J202" s="5">
        <f>ตัวคูณโรงพยาบาล!J236</f>
        <v>11.089535596811061</v>
      </c>
      <c r="K202" s="5">
        <f>ตัวคูณโรงพยาบาล!K236</f>
        <v>0</v>
      </c>
      <c r="L202" s="5">
        <f t="shared" si="3"/>
        <v>383.19134398393942</v>
      </c>
    </row>
    <row r="203" spans="1:12" x14ac:dyDescent="0.25">
      <c r="C203" t="s">
        <v>72</v>
      </c>
      <c r="D203" s="5">
        <f>ตัวคูณโรงพยาบาล!D237</f>
        <v>0</v>
      </c>
      <c r="E203" s="5">
        <f>ตัวคูณโรงพยาบาล!E237</f>
        <v>0</v>
      </c>
      <c r="F203" s="5">
        <f>ตัวคูณโรงพยาบาล!F237</f>
        <v>73.600402235119333</v>
      </c>
      <c r="G203" s="5">
        <f>ตัวคูณโรงพยาบาล!G237</f>
        <v>233.84419623178894</v>
      </c>
      <c r="H203" s="5">
        <f>ตัวคูณโรงพยาบาล!H237</f>
        <v>257.51264621914959</v>
      </c>
      <c r="I203" s="5">
        <f>ตัวคูณโรงพยาบาล!I237</f>
        <v>58.844953381859071</v>
      </c>
      <c r="J203" s="5">
        <f>ตัวคูณโรงพยาบาล!J237</f>
        <v>16.634303395216591</v>
      </c>
      <c r="K203" s="5">
        <f>ตัวคูณโรงพยาบาล!K237</f>
        <v>0</v>
      </c>
      <c r="L203" s="5">
        <f t="shared" si="3"/>
        <v>640.43650146313348</v>
      </c>
    </row>
    <row r="204" spans="1:12" x14ac:dyDescent="0.25">
      <c r="C204" t="s">
        <v>73</v>
      </c>
      <c r="D204" s="5">
        <f>ตัวคูณโรงพยาบาล!D238</f>
        <v>0</v>
      </c>
      <c r="E204" s="5">
        <f>ตัวคูณโรงพยาบาล!E238</f>
        <v>0</v>
      </c>
      <c r="F204" s="5">
        <f>ตัวคูณโรงพยาบาล!F238</f>
        <v>10.785290660496845</v>
      </c>
      <c r="G204" s="5">
        <f>ตัวคูณโรงพยาบาล!G238</f>
        <v>48.934468738779316</v>
      </c>
      <c r="H204" s="5">
        <f>ตัวคูณโรงพยาบาล!H238</f>
        <v>57.042493083911978</v>
      </c>
      <c r="I204" s="5">
        <f>ตัวคูณโรงพยาบาล!I238</f>
        <v>3.823367675156836</v>
      </c>
      <c r="J204" s="5">
        <f>ตัวคูณโรงพยาบาล!J238</f>
        <v>0</v>
      </c>
      <c r="K204" s="5">
        <f>ตัวคูณโรงพยาบาล!K238</f>
        <v>0</v>
      </c>
      <c r="L204" s="5">
        <f t="shared" si="3"/>
        <v>120.58562015834497</v>
      </c>
    </row>
    <row r="205" spans="1:12" x14ac:dyDescent="0.25">
      <c r="C205" t="s">
        <v>74</v>
      </c>
      <c r="D205" s="5">
        <f>ตัวคูณโรงพยาบาล!D239</f>
        <v>0</v>
      </c>
      <c r="E205" s="5">
        <f>ตัวคูณโรงพยาบาล!E239</f>
        <v>0</v>
      </c>
      <c r="F205" s="5">
        <f>ตัวคูณโรงพยาบาล!F239</f>
        <v>19.320963682955163</v>
      </c>
      <c r="G205" s="5">
        <f>ตัวคูณโรงพยาบาล!G239</f>
        <v>153.5346286388413</v>
      </c>
      <c r="H205" s="5">
        <f>ตัวคูณโรงพยาบาล!H239</f>
        <v>235.98285765950374</v>
      </c>
      <c r="I205" s="5">
        <f>ตัวคูณโรงพยาบาล!I239</f>
        <v>56.633836236437844</v>
      </c>
      <c r="J205" s="5">
        <f>ตัวคูณโรงพยาบาล!J239</f>
        <v>7.5820812312413519</v>
      </c>
      <c r="K205" s="5">
        <f>ตัวคูณโรงพยาบาล!K239</f>
        <v>0</v>
      </c>
      <c r="L205" s="5">
        <f t="shared" si="3"/>
        <v>473.05436744897941</v>
      </c>
    </row>
    <row r="206" spans="1:12" x14ac:dyDescent="0.25">
      <c r="C206" t="s">
        <v>75</v>
      </c>
      <c r="D206" s="5">
        <f>ตัวคูณโรงพยาบาล!D240</f>
        <v>0</v>
      </c>
      <c r="E206" s="5">
        <f>ตัวคูณโรงพยาบาล!E240</f>
        <v>0</v>
      </c>
      <c r="F206" s="5">
        <f>ตัวคูณโรงพยาบาล!F240</f>
        <v>13.723295113880695</v>
      </c>
      <c r="G206" s="5">
        <f>ตัวคูณโรงพยาบาล!G240</f>
        <v>44.264986255877439</v>
      </c>
      <c r="H206" s="5">
        <f>ตัวคูณโรงพยาบาล!H240</f>
        <v>37.849065446977754</v>
      </c>
      <c r="I206" s="5">
        <f>ตัวคูณโรงพยาบาล!I240</f>
        <v>6.6326814709657551</v>
      </c>
      <c r="J206" s="5">
        <f>ตัวคูณโรงพยาบาล!J240</f>
        <v>0</v>
      </c>
      <c r="K206" s="5">
        <f>ตัวคูณโรงพยาบาล!K240</f>
        <v>0</v>
      </c>
      <c r="L206" s="5">
        <f t="shared" si="3"/>
        <v>102.47002828770164</v>
      </c>
    </row>
    <row r="207" spans="1:12" x14ac:dyDescent="0.25">
      <c r="C207" t="s">
        <v>76</v>
      </c>
      <c r="D207" s="5">
        <f>ตัวคูณโรงพยาบาล!D241</f>
        <v>0</v>
      </c>
      <c r="E207" s="5">
        <f>ตัวคูณโรงพยาบาล!E241</f>
        <v>0</v>
      </c>
      <c r="F207" s="5">
        <f>ตัวคูณโรงพยาบาล!F241</f>
        <v>65.382547094311818</v>
      </c>
      <c r="G207" s="5">
        <f>ตัวคูณโรงพยาบาล!G241</f>
        <v>177.63713292192796</v>
      </c>
      <c r="H207" s="5">
        <f>ตัวคูณโรงพยาบาล!H241</f>
        <v>91.341718054673208</v>
      </c>
      <c r="I207" s="5">
        <f>ตัวคูณโรงพยาบาล!I241</f>
        <v>16.538649085449467</v>
      </c>
      <c r="J207" s="5">
        <f>ตัวคูณโรงพยาบาล!J241</f>
        <v>0</v>
      </c>
      <c r="K207" s="5">
        <f>ตัวคูณโรงพยาบาล!K241</f>
        <v>0</v>
      </c>
      <c r="L207" s="5">
        <f t="shared" si="3"/>
        <v>350.90004715636246</v>
      </c>
    </row>
    <row r="208" spans="1:12" x14ac:dyDescent="0.25">
      <c r="C208" t="s">
        <v>77</v>
      </c>
      <c r="D208" s="5">
        <f>ตัวคูณโรงพยาบาล!D242</f>
        <v>0</v>
      </c>
      <c r="E208" s="5">
        <f>ตัวคูณโรงพยาบาล!E242</f>
        <v>0</v>
      </c>
      <c r="F208" s="5">
        <f>ตัวคูณโรงพยาบาล!F242</f>
        <v>231.45444824559519</v>
      </c>
      <c r="G208" s="5">
        <f>ตัวคูณโรงพยาบาล!G242</f>
        <v>572.60126311732984</v>
      </c>
      <c r="H208" s="5">
        <f>ตัวคูณโรงพยาบาล!H242</f>
        <v>245.81495424354389</v>
      </c>
      <c r="I208" s="5">
        <f>ตัวคูณโรงพยาบาล!I242</f>
        <v>32.613325823189896</v>
      </c>
      <c r="J208" s="5">
        <f>ตัวคูณโรงพยาบาล!J242</f>
        <v>8.156712257411721</v>
      </c>
      <c r="K208" s="5">
        <f>ตัวคูณโรงพยาบาล!K242</f>
        <v>0</v>
      </c>
      <c r="L208" s="5">
        <f t="shared" si="3"/>
        <v>1090.6407036870705</v>
      </c>
    </row>
    <row r="209" spans="3:12" x14ac:dyDescent="0.25">
      <c r="C209" t="s">
        <v>78</v>
      </c>
      <c r="D209" s="5">
        <f>ตัวคูณโรงพยาบาล!D243</f>
        <v>0</v>
      </c>
      <c r="E209" s="5">
        <f>ตัวคูณโรงพยาบาล!E243</f>
        <v>0</v>
      </c>
      <c r="F209" s="5">
        <f>ตัวคูณโรงพยาบาล!F243</f>
        <v>198.09305752771002</v>
      </c>
      <c r="G209" s="5">
        <f>ตัวคูณโรงพยาบาล!G243</f>
        <v>287.78695147494506</v>
      </c>
      <c r="H209" s="5">
        <f>ตัวคูณโรงพยาบาล!H243</f>
        <v>72.436822214927474</v>
      </c>
      <c r="I209" s="5">
        <f>ตัวคูณโรงพยาบาล!I243</f>
        <v>5.06854605997896</v>
      </c>
      <c r="J209" s="5">
        <f>ตัวคูณโรงพยาบาล!J243</f>
        <v>2.7723838992027652</v>
      </c>
      <c r="K209" s="5">
        <f>ตัวคูณโรงพยาบาล!K243</f>
        <v>0</v>
      </c>
      <c r="L209" s="5">
        <f t="shared" si="3"/>
        <v>566.15776117676432</v>
      </c>
    </row>
    <row r="210" spans="3:12" x14ac:dyDescent="0.25">
      <c r="C210" t="s">
        <v>79</v>
      </c>
      <c r="D210" s="5">
        <f>ตัวคูณโรงพยาบาล!D244</f>
        <v>0</v>
      </c>
      <c r="E210" s="5">
        <f>ตัวคูณโรงพยาบาล!E244</f>
        <v>0</v>
      </c>
      <c r="F210" s="5">
        <f>ตัวคูณโรงพยาบาล!F244</f>
        <v>49.321715922319768</v>
      </c>
      <c r="G210" s="5">
        <f>ตัวคูณโรงพยาบาล!G244</f>
        <v>121.27426158768542</v>
      </c>
      <c r="H210" s="5">
        <f>ตัวคูณโรงพยาบาล!H244</f>
        <v>177.39507122195923</v>
      </c>
      <c r="I210" s="5">
        <f>ตัวคูณโรงพยาบาล!I244</f>
        <v>58.516928673589305</v>
      </c>
      <c r="J210" s="5">
        <f>ตัวคูณโรงพยาบาล!J244</f>
        <v>32.373096883869664</v>
      </c>
      <c r="K210" s="5">
        <f>ตัวคูณโรงพยาบาล!K244</f>
        <v>6.7463661276004467</v>
      </c>
      <c r="L210" s="5">
        <f t="shared" si="3"/>
        <v>445.62744041702376</v>
      </c>
    </row>
    <row r="211" spans="3:12" x14ac:dyDescent="0.25">
      <c r="C211" t="s">
        <v>80</v>
      </c>
      <c r="D211" s="5">
        <f>ตัวคูณโรงพยาบาล!D245</f>
        <v>0</v>
      </c>
      <c r="E211" s="5">
        <f>ตัวคูณโรงพยาบาล!E245</f>
        <v>0</v>
      </c>
      <c r="F211" s="5">
        <f>ตัวคูณโรงพยาบาล!F245</f>
        <v>147.54516936806166</v>
      </c>
      <c r="G211" s="5">
        <f>ตัวคูณโรงพยาบาล!G245</f>
        <v>269.04138736566517</v>
      </c>
      <c r="H211" s="5">
        <f>ตัวคูณโรงพยาบาล!H245</f>
        <v>179.03410216381218</v>
      </c>
      <c r="I211" s="5">
        <f>ตัวคูณโรงพยาบาล!I245</f>
        <v>29.504913702187139</v>
      </c>
      <c r="J211" s="5">
        <f>ตัวคูณโรงพยาบาล!J245</f>
        <v>2.7723838992027652</v>
      </c>
      <c r="K211" s="5">
        <f>ตัวคูณโรงพยาบาล!K245</f>
        <v>5.6694430506773701</v>
      </c>
      <c r="L211" s="5">
        <f t="shared" si="3"/>
        <v>633.56739954960631</v>
      </c>
    </row>
    <row r="212" spans="3:12" x14ac:dyDescent="0.25">
      <c r="C212" t="s">
        <v>81</v>
      </c>
      <c r="D212" s="5">
        <f>ตัวคูณโรงพยาบาล!D246</f>
        <v>0</v>
      </c>
      <c r="E212" s="5">
        <f>ตัวคูณโรงพยาบาล!E246</f>
        <v>0</v>
      </c>
      <c r="F212" s="5">
        <f>ตัวคูณโรงพยาบาล!F246</f>
        <v>87.213885068984183</v>
      </c>
      <c r="G212" s="5">
        <f>ตัวคูณโรงพยาบาล!G246</f>
        <v>130.88439639729177</v>
      </c>
      <c r="H212" s="5">
        <f>ตัวคูณโรงพยาบาล!H246</f>
        <v>51.493872843242087</v>
      </c>
      <c r="I212" s="5">
        <f>ตัวคูณโรงพยาบาล!I246</f>
        <v>6.6326814709657551</v>
      </c>
      <c r="J212" s="5">
        <f>ตัวคูณโรงพยาบาล!J246</f>
        <v>2.7723838992027652</v>
      </c>
      <c r="K212" s="5">
        <f>ตัวคูณโรงพยาบาล!K246</f>
        <v>0</v>
      </c>
      <c r="L212" s="5">
        <f t="shared" si="3"/>
        <v>278.99721967968651</v>
      </c>
    </row>
    <row r="213" spans="3:12" x14ac:dyDescent="0.25">
      <c r="C213" t="s">
        <v>82</v>
      </c>
      <c r="D213" s="5">
        <f>ตัวคูณโรงพยาบาล!D247</f>
        <v>0</v>
      </c>
      <c r="E213" s="5">
        <f>ตัวคูณโรงพยาบาล!E247</f>
        <v>0</v>
      </c>
      <c r="F213" s="5">
        <f>ตัวคูณโรงพยาบาล!F247</f>
        <v>91.369098427538944</v>
      </c>
      <c r="G213" s="5">
        <f>ตัวคูณโรงพยาบาล!G247</f>
        <v>245.2536560802223</v>
      </c>
      <c r="H213" s="5">
        <f>ตัวคูณโรงพยาบาล!H247</f>
        <v>165.80245557958739</v>
      </c>
      <c r="I213" s="5">
        <f>ตัวคูณโรงพยาบาล!I247</f>
        <v>17.088730617088348</v>
      </c>
      <c r="J213" s="5">
        <f>ตัวคูณโรงพยาบาล!J247</f>
        <v>2.7723838992027652</v>
      </c>
      <c r="K213" s="5">
        <f>ตัวคูณโรงพยาบาล!K247</f>
        <v>0</v>
      </c>
      <c r="L213" s="5">
        <f t="shared" si="3"/>
        <v>522.28632460363974</v>
      </c>
    </row>
    <row r="214" spans="3:12" x14ac:dyDescent="0.25">
      <c r="C214" t="s">
        <v>83</v>
      </c>
      <c r="D214" s="5">
        <f>ตัวคูณโรงพยาบาล!D248</f>
        <v>0</v>
      </c>
      <c r="E214" s="5">
        <f>ตัวคูณโรงพยาบาล!E248</f>
        <v>0</v>
      </c>
      <c r="F214" s="5">
        <f>ตัวคูณโรงพยาบาล!F248</f>
        <v>46.092440603457341</v>
      </c>
      <c r="G214" s="5">
        <f>ตัวคูณโรงพยาบาล!G248</f>
        <v>87.872271004728688</v>
      </c>
      <c r="H214" s="5">
        <f>ตัวคูณโรงพยาบาล!H248</f>
        <v>30.20845376928159</v>
      </c>
      <c r="I214" s="5">
        <f>ตัวคูณโรงพยาบาล!I248</f>
        <v>4.5955060301648185</v>
      </c>
      <c r="J214" s="5">
        <f>ตัวคูณโรงพยาบาล!J248</f>
        <v>0</v>
      </c>
      <c r="K214" s="5">
        <f>ตัวคูณโรงพยาบาล!K248</f>
        <v>0</v>
      </c>
      <c r="L214" s="5">
        <f t="shared" si="3"/>
        <v>168.76867140763244</v>
      </c>
    </row>
    <row r="215" spans="3:12" x14ac:dyDescent="0.25">
      <c r="C215" t="s">
        <v>84</v>
      </c>
      <c r="D215" s="5">
        <f>ตัวคูณโรงพยาบาล!D249</f>
        <v>0</v>
      </c>
      <c r="E215" s="5">
        <f>ตัวคูณโรงพยาบาล!E249</f>
        <v>0</v>
      </c>
      <c r="F215" s="5">
        <f>ตัวคูณโรงพยาบาล!F249</f>
        <v>84.407929735859952</v>
      </c>
      <c r="G215" s="5">
        <f>ตัวคูณโรงพยาบาล!G249</f>
        <v>121.33335415564656</v>
      </c>
      <c r="H215" s="5">
        <f>ตัวคูณโรงพยาบาล!H249</f>
        <v>51.646778301998978</v>
      </c>
      <c r="I215" s="5">
        <f>ตัวคูณโรงพยาบาล!I249</f>
        <v>13.26536294193151</v>
      </c>
      <c r="J215" s="5">
        <f>ตัวคูณโรงพยาบาล!J249</f>
        <v>4.9552197200982881</v>
      </c>
      <c r="K215" s="5">
        <f>ตัวคูณโรงพยาบาล!K249</f>
        <v>0</v>
      </c>
      <c r="L215" s="5">
        <f t="shared" si="3"/>
        <v>275.60864485553526</v>
      </c>
    </row>
    <row r="216" spans="3:12" x14ac:dyDescent="0.25">
      <c r="C216" t="s">
        <v>85</v>
      </c>
      <c r="D216" s="5">
        <f>ตัวคูณโรงพยาบาล!D250</f>
        <v>0</v>
      </c>
      <c r="E216" s="5">
        <f>ตัวคูณโรงพยาบาล!E250</f>
        <v>0</v>
      </c>
      <c r="F216" s="5">
        <f>ตัวคูณโรงพยาบาล!F250</f>
        <v>249.36881004666128</v>
      </c>
      <c r="G216" s="5">
        <f>ตัวคูณโรงพยาบาล!G250</f>
        <v>467.7426856385008</v>
      </c>
      <c r="H216" s="5">
        <f>ตัวคูณโรงพยาบาล!H250</f>
        <v>112.36635585970355</v>
      </c>
      <c r="I216" s="5">
        <f>ตัวคูณโรงพยาบาล!I250</f>
        <v>11.701227530944715</v>
      </c>
      <c r="J216" s="5">
        <f>ตัวคูณโรงพยาบาล!J250</f>
        <v>5.5447677984055304</v>
      </c>
      <c r="K216" s="5">
        <f>ตัวคูณโรงพยาบาล!K250</f>
        <v>2.834721525338685</v>
      </c>
      <c r="L216" s="5">
        <f t="shared" si="3"/>
        <v>849.55856839955436</v>
      </c>
    </row>
    <row r="217" spans="3:12" x14ac:dyDescent="0.25">
      <c r="C217" t="s">
        <v>86</v>
      </c>
      <c r="D217" s="5">
        <f>ตัวคูณโรงพยาบาล!D251</f>
        <v>0</v>
      </c>
      <c r="E217" s="5">
        <f>ตัวคูณโรงพยาบาล!E251</f>
        <v>0</v>
      </c>
      <c r="F217" s="5">
        <f>ตัวคูณโรงพยาบาล!F251</f>
        <v>414.40209776808092</v>
      </c>
      <c r="G217" s="5">
        <f>ตัวคูณโรงพยาบาล!G251</f>
        <v>1070.7047395615455</v>
      </c>
      <c r="H217" s="5">
        <f>ตัวคูณโรงพยาบาล!H251</f>
        <v>661.49428197180191</v>
      </c>
      <c r="I217" s="5">
        <f>ตัวคูณโรงพยาบาล!I251</f>
        <v>165.55698588559375</v>
      </c>
      <c r="J217" s="5">
        <f>ตัวคูณโรงพยาบาล!J251</f>
        <v>38.50741276058244</v>
      </c>
      <c r="K217" s="5">
        <f>ตัวคูณโรงพยาบาล!K251</f>
        <v>14.569655332123972</v>
      </c>
      <c r="L217" s="5">
        <f t="shared" si="3"/>
        <v>2365.2351732797288</v>
      </c>
    </row>
    <row r="218" spans="3:12" x14ac:dyDescent="0.25">
      <c r="C218" t="s">
        <v>87</v>
      </c>
      <c r="D218" s="5">
        <f>ตัวคูณโรงพยาบาล!D252</f>
        <v>0</v>
      </c>
      <c r="E218" s="5">
        <f>ตัวคูณโรงพยาบาล!E252</f>
        <v>0</v>
      </c>
      <c r="F218" s="5">
        <f>ตัวคูณโรงพยาบาล!F252</f>
        <v>15.19660751650107</v>
      </c>
      <c r="G218" s="5">
        <f>ตัวคูณโรงพยาบาล!G252</f>
        <v>65.530119061748522</v>
      </c>
      <c r="H218" s="5">
        <f>ตัวคูณโรงพยาบาล!H252</f>
        <v>42.491764697300972</v>
      </c>
      <c r="I218" s="5">
        <f>ตัวคูณโรงพยาบาล!I252</f>
        <v>1.1681368829973884</v>
      </c>
      <c r="J218" s="5">
        <f>ตัวคูณโรงพยาบาล!J252</f>
        <v>0</v>
      </c>
      <c r="K218" s="5">
        <f>ตัวคูณโรงพยาบาล!K252</f>
        <v>0</v>
      </c>
      <c r="L218" s="5">
        <f t="shared" si="3"/>
        <v>124.38662815854796</v>
      </c>
    </row>
    <row r="219" spans="3:12" x14ac:dyDescent="0.25">
      <c r="C219" t="s">
        <v>88</v>
      </c>
      <c r="D219" s="5">
        <f>ตัวคูณโรงพยาบาล!D253</f>
        <v>0</v>
      </c>
      <c r="E219" s="5">
        <f>ตัวคูณโรงพยาบาล!E253</f>
        <v>0</v>
      </c>
      <c r="F219" s="5">
        <f>ตัวคูณโรงพยาบาล!F253</f>
        <v>280.22792422482149</v>
      </c>
      <c r="G219" s="5">
        <f>ตัวคูณโรงพยาบาล!G253</f>
        <v>684.40991916099483</v>
      </c>
      <c r="H219" s="5">
        <f>ตัวคูณโรงพยาบาล!H253</f>
        <v>514.19041695063368</v>
      </c>
      <c r="I219" s="5">
        <f>ตัวคูณโรงพยาบาล!I253</f>
        <v>90.145127000507216</v>
      </c>
      <c r="J219" s="5">
        <f>ตัวคูณโรงพยาบาล!J253</f>
        <v>33.697715428543852</v>
      </c>
      <c r="K219" s="5">
        <f>ตัวคูณโรงพยาบาล!K253</f>
        <v>17.008329152032111</v>
      </c>
      <c r="L219" s="5">
        <f t="shared" si="3"/>
        <v>1619.6794319175333</v>
      </c>
    </row>
    <row r="220" spans="3:12" x14ac:dyDescent="0.25">
      <c r="C220" t="s">
        <v>89</v>
      </c>
      <c r="D220" s="5">
        <f>ตัวคูณโรงพยาบาล!D254</f>
        <v>0</v>
      </c>
      <c r="E220" s="5">
        <f>ตัวคูณโรงพยาบาล!E254</f>
        <v>0</v>
      </c>
      <c r="F220" s="5">
        <f>ตัวคูณโรงพยาบาล!F254</f>
        <v>11.526428527885866</v>
      </c>
      <c r="G220" s="5">
        <f>ตัวคูณโรงพยาบาล!G254</f>
        <v>16.980119742239058</v>
      </c>
      <c r="H220" s="5">
        <f>ตัวคูณโรงพยาบาล!H254</f>
        <v>12.625780630294512</v>
      </c>
      <c r="I220" s="5">
        <f>ตัวคูณโรงพยาบาล!I254</f>
        <v>4.9915045581542241</v>
      </c>
      <c r="J220" s="5">
        <f>ตัวคูณโรงพยาบาล!J254</f>
        <v>0</v>
      </c>
      <c r="K220" s="5">
        <f>ตัวคูณโรงพยาบาล!K254</f>
        <v>0</v>
      </c>
      <c r="L220" s="5">
        <f t="shared" si="3"/>
        <v>46.123833458573664</v>
      </c>
    </row>
    <row r="221" spans="3:12" x14ac:dyDescent="0.25">
      <c r="C221" t="s">
        <v>90</v>
      </c>
      <c r="D221" s="5">
        <f>ตัวคูณโรงพยาบาล!D255</f>
        <v>0</v>
      </c>
      <c r="E221" s="5">
        <f>ตัวคูณโรงพยาบาล!E255</f>
        <v>0</v>
      </c>
      <c r="F221" s="5">
        <f>ตัวคูณโรงพยาบาล!F255</f>
        <v>0</v>
      </c>
      <c r="G221" s="5">
        <f>ตัวคูณโรงพยาบาล!G255</f>
        <v>0</v>
      </c>
      <c r="H221" s="5">
        <f>ตัวคูณโรงพยาบาล!H255</f>
        <v>0</v>
      </c>
      <c r="I221" s="5">
        <f>ตัวคูณโรงพยาบาล!I255</f>
        <v>0</v>
      </c>
      <c r="J221" s="5">
        <f>ตัวคูณโรงพยาบาล!J255</f>
        <v>0</v>
      </c>
      <c r="K221" s="5">
        <f>ตัวคูณโรงพยาบาล!K255</f>
        <v>0</v>
      </c>
      <c r="L221" s="5">
        <f t="shared" si="3"/>
        <v>0</v>
      </c>
    </row>
    <row r="222" spans="3:12" x14ac:dyDescent="0.25">
      <c r="C222" t="s">
        <v>91</v>
      </c>
      <c r="D222" s="5">
        <f>ตัวคูณโรงพยาบาล!D256</f>
        <v>0</v>
      </c>
      <c r="E222" s="5">
        <f>ตัวคูณโรงพยาบาล!E256</f>
        <v>0</v>
      </c>
      <c r="F222" s="5">
        <f>ตัวคูณโรงพยาบาล!F256</f>
        <v>0</v>
      </c>
      <c r="G222" s="5">
        <f>ตัวคูณโรงพยาบาล!G256</f>
        <v>3.9005436443621706</v>
      </c>
      <c r="H222" s="5">
        <f>ตัวคูณโรงพยาบาล!H256</f>
        <v>0</v>
      </c>
      <c r="I222" s="5">
        <f>ตัวคูณโรงพยาบาล!I256</f>
        <v>0</v>
      </c>
      <c r="J222" s="5">
        <f>ตัวคูณโรงพยาบาล!J256</f>
        <v>0</v>
      </c>
      <c r="K222" s="5">
        <f>ตัวคูณโรงพยาบาล!K256</f>
        <v>0</v>
      </c>
      <c r="L222" s="5">
        <f t="shared" si="3"/>
        <v>3.9005436443621706</v>
      </c>
    </row>
    <row r="223" spans="3:12" x14ac:dyDescent="0.25">
      <c r="C223" t="s">
        <v>92</v>
      </c>
      <c r="D223" s="5">
        <f>ตัวคูณโรงพยาบาล!D257</f>
        <v>0</v>
      </c>
      <c r="E223" s="5">
        <f>ตัวคูณโรงพยาบาล!E257</f>
        <v>0</v>
      </c>
      <c r="F223" s="5">
        <f>ตัวคูณโรงพยาบาล!F257</f>
        <v>0</v>
      </c>
      <c r="G223" s="5">
        <f>ตัวคูณโรงพยาบาล!G257</f>
        <v>0</v>
      </c>
      <c r="H223" s="5">
        <f>ตัวคูณโรงพยาบาล!H257</f>
        <v>0</v>
      </c>
      <c r="I223" s="5">
        <f>ตัวคูณโรงพยาบาล!I257</f>
        <v>0</v>
      </c>
      <c r="J223" s="5">
        <f>ตัวคูณโรงพยาบาล!J257</f>
        <v>0</v>
      </c>
      <c r="K223" s="5">
        <f>ตัวคูณโรงพยาบาล!K257</f>
        <v>0</v>
      </c>
      <c r="L223" s="5">
        <f t="shared" si="3"/>
        <v>0</v>
      </c>
    </row>
    <row r="224" spans="3:12" x14ac:dyDescent="0.25">
      <c r="C224" t="s">
        <v>93</v>
      </c>
      <c r="D224" s="5">
        <f>ตัวคูณโรงพยาบาล!D258</f>
        <v>0</v>
      </c>
      <c r="E224" s="5">
        <f>ตัวคูณโรงพยาบาล!E258</f>
        <v>0</v>
      </c>
      <c r="F224" s="5">
        <f>ตัวคูณโรงพยาบาล!F258</f>
        <v>0</v>
      </c>
      <c r="G224" s="5">
        <f>ตัวคูณโรงพยาบาล!G258</f>
        <v>0</v>
      </c>
      <c r="H224" s="5">
        <f>ตัวคูณโรงพยาบาล!H258</f>
        <v>0</v>
      </c>
      <c r="I224" s="5">
        <f>ตัวคูณโรงพยาบาล!I258</f>
        <v>0</v>
      </c>
      <c r="J224" s="5">
        <f>ตัวคูณโรงพยาบาล!J258</f>
        <v>0</v>
      </c>
      <c r="K224" s="5">
        <f>ตัวคูณโรงพยาบาล!K258</f>
        <v>0</v>
      </c>
      <c r="L224" s="5">
        <f t="shared" si="3"/>
        <v>0</v>
      </c>
    </row>
    <row r="225" spans="1:12" x14ac:dyDescent="0.25">
      <c r="C225" t="s">
        <v>94</v>
      </c>
      <c r="D225" s="5">
        <f>ตัวคูณโรงพยาบาล!D259</f>
        <v>0</v>
      </c>
      <c r="E225" s="5">
        <f>ตัวคูณโรงพยาบาล!E259</f>
        <v>0</v>
      </c>
      <c r="F225" s="5">
        <f>ตัวคูณโรงพยาบาล!F259</f>
        <v>0</v>
      </c>
      <c r="G225" s="5">
        <f>ตัวคูณโรงพยาบาล!G259</f>
        <v>0</v>
      </c>
      <c r="H225" s="5">
        <f>ตัวคูณโรงพยาบาล!H259</f>
        <v>0</v>
      </c>
      <c r="I225" s="5">
        <f>ตัวคูณโรงพยาบาล!I259</f>
        <v>0</v>
      </c>
      <c r="J225" s="5">
        <f>ตัวคูณโรงพยาบาล!J259</f>
        <v>0</v>
      </c>
      <c r="K225" s="5">
        <f>ตัวคูณโรงพยาบาล!K259</f>
        <v>0</v>
      </c>
      <c r="L225" s="5">
        <f t="shared" si="3"/>
        <v>0</v>
      </c>
    </row>
    <row r="226" spans="1:12" x14ac:dyDescent="0.25">
      <c r="C226" t="s">
        <v>95</v>
      </c>
      <c r="D226" s="5">
        <f>ตัวคูณโรงพยาบาล!D260</f>
        <v>0</v>
      </c>
      <c r="E226" s="5">
        <f>ตัวคูณโรงพยาบาล!E260</f>
        <v>0</v>
      </c>
      <c r="F226" s="5">
        <f>ตัวคูณโรงพยาบาล!F260</f>
        <v>0</v>
      </c>
      <c r="G226" s="5">
        <f>ตัวคูณโรงพยาบาล!G260</f>
        <v>0</v>
      </c>
      <c r="H226" s="5">
        <f>ตัวคูณโรงพยาบาล!H260</f>
        <v>0</v>
      </c>
      <c r="I226" s="5">
        <f>ตัวคูณโรงพยาบาล!I260</f>
        <v>0</v>
      </c>
      <c r="J226" s="5">
        <f>ตัวคูณโรงพยาบาล!J260</f>
        <v>0</v>
      </c>
      <c r="K226" s="5">
        <f>ตัวคูณโรงพยาบาล!K260</f>
        <v>0</v>
      </c>
      <c r="L226" s="5">
        <f t="shared" si="3"/>
        <v>0</v>
      </c>
    </row>
    <row r="227" spans="1:12" x14ac:dyDescent="0.25">
      <c r="C227" t="s">
        <v>96</v>
      </c>
      <c r="D227" s="5">
        <f>ตัวคูณโรงพยาบาล!D261</f>
        <v>0</v>
      </c>
      <c r="E227" s="5">
        <f>ตัวคูณโรงพยาบาล!E261</f>
        <v>0</v>
      </c>
      <c r="F227" s="5">
        <f>ตัวคูณโรงพยาบาล!F261</f>
        <v>0</v>
      </c>
      <c r="G227" s="5">
        <f>ตัวคูณโรงพยาบาล!G261</f>
        <v>10.849148702958232</v>
      </c>
      <c r="H227" s="5">
        <f>ตัวคูณโรงพยาบาล!H261</f>
        <v>3.8415131717774242</v>
      </c>
      <c r="I227" s="5">
        <f>ตัวคูณโรงพยาบาล!I261</f>
        <v>2.7322722939841833</v>
      </c>
      <c r="J227" s="5">
        <f>ตัวคูณโรงพยาบาล!J261</f>
        <v>0</v>
      </c>
      <c r="K227" s="5">
        <f>ตัวคูณโรงพยาบาล!K261</f>
        <v>0</v>
      </c>
      <c r="L227" s="5">
        <f t="shared" si="3"/>
        <v>17.422934168719841</v>
      </c>
    </row>
    <row r="228" spans="1:12" x14ac:dyDescent="0.25">
      <c r="C228" t="s">
        <v>97</v>
      </c>
      <c r="D228" s="5">
        <f>ตัวคูณโรงพยาบาล!D262</f>
        <v>0</v>
      </c>
      <c r="E228" s="5">
        <f>ตัวคูณโรงพยาบาล!E262</f>
        <v>0</v>
      </c>
      <c r="F228" s="5">
        <f>ตัวคูณโรงพยาบาล!F262</f>
        <v>1.0984332929974154</v>
      </c>
      <c r="G228" s="5">
        <f>ตัวคูณโรงพยาบาล!G262</f>
        <v>0</v>
      </c>
      <c r="H228" s="5">
        <f>ตัวคูณโรงพยาบาล!H262</f>
        <v>0</v>
      </c>
      <c r="I228" s="5">
        <f>ตัวคูณโรงพยาบาล!I262</f>
        <v>0</v>
      </c>
      <c r="J228" s="5">
        <f>ตัวคูณโรงพยาบาล!J262</f>
        <v>0</v>
      </c>
      <c r="K228" s="5">
        <f>ตัวคูณโรงพยาบาล!K262</f>
        <v>0</v>
      </c>
      <c r="L228" s="5">
        <f t="shared" si="3"/>
        <v>1.0984332929974154</v>
      </c>
    </row>
    <row r="229" spans="1:12" x14ac:dyDescent="0.25">
      <c r="C229" t="s">
        <v>98</v>
      </c>
      <c r="D229" s="5">
        <f>ตัวคูณโรงพยาบาล!D263</f>
        <v>0</v>
      </c>
      <c r="E229" s="5">
        <f>ตัวคูณโรงพยาบาล!E263</f>
        <v>0</v>
      </c>
      <c r="F229" s="5">
        <f>ตัวคูณโรงพยาบาล!F263</f>
        <v>1.1160169770119805</v>
      </c>
      <c r="G229" s="5">
        <f>ตัวคูณโรงพยาบาล!G263</f>
        <v>0</v>
      </c>
      <c r="H229" s="5">
        <f>ตัวคูณโรงพยาบาล!H263</f>
        <v>1.1153793369151355</v>
      </c>
      <c r="I229" s="5">
        <f>ตัวคูณโรงพยาบาล!I263</f>
        <v>0</v>
      </c>
      <c r="J229" s="5">
        <f>ตัวคูณโรงพยาบาล!J263</f>
        <v>0</v>
      </c>
      <c r="K229" s="5">
        <f>ตัวคูณโรงพยาบาล!K263</f>
        <v>0</v>
      </c>
      <c r="L229" s="5">
        <f t="shared" si="3"/>
        <v>2.231396313927116</v>
      </c>
    </row>
    <row r="230" spans="1:12" x14ac:dyDescent="0.25">
      <c r="C230" t="s">
        <v>119</v>
      </c>
      <c r="D230" s="5">
        <f>ตัวคูณโรงพยาบาล!D264</f>
        <v>0</v>
      </c>
      <c r="E230" s="5">
        <f>ตัวคูณโรงพยาบาล!E264</f>
        <v>0</v>
      </c>
      <c r="F230" s="5">
        <f>ตัวคูณโรงพยาบาล!F264</f>
        <v>0</v>
      </c>
      <c r="G230" s="5">
        <f>ตัวคูณโรงพยาบาล!G264</f>
        <v>0</v>
      </c>
      <c r="H230" s="5">
        <f>ตัวคูณโรงพยาบาล!H264</f>
        <v>3.8415131717774242</v>
      </c>
      <c r="I230" s="5">
        <f>ตัวคูณโรงพยาบาล!I264</f>
        <v>0</v>
      </c>
      <c r="J230" s="5">
        <f>ตัวคูณโรงพยาบาล!J264</f>
        <v>0</v>
      </c>
      <c r="K230" s="5">
        <f>ตัวคูณโรงพยาบาล!K264</f>
        <v>0</v>
      </c>
      <c r="L230" s="5">
        <f t="shared" si="3"/>
        <v>3.8415131717774242</v>
      </c>
    </row>
    <row r="231" spans="1:12" x14ac:dyDescent="0.25">
      <c r="C231" t="s">
        <v>99</v>
      </c>
      <c r="D231" s="5">
        <f>ตัวคูณโรงพยาบาล!D265</f>
        <v>0</v>
      </c>
      <c r="E231" s="5">
        <f>ตัวคูณโรงพยาบาล!E265</f>
        <v>0</v>
      </c>
      <c r="F231" s="5">
        <f>ตัวคูณโรงพยาบาล!F265</f>
        <v>15.209881024587183</v>
      </c>
      <c r="G231" s="5">
        <f>ตัวคูณโรงพยาบาล!G265</f>
        <v>44.47361394894201</v>
      </c>
      <c r="H231" s="5">
        <f>ตัวคูณโรงพยาบาล!H265</f>
        <v>10.409160178417137</v>
      </c>
      <c r="I231" s="5">
        <f>ตัวคูณโรงพยาบาล!I265</f>
        <v>0</v>
      </c>
      <c r="J231" s="5">
        <f>ตัวคูณโรงพยาบาล!J265</f>
        <v>2.7723838992027652</v>
      </c>
      <c r="K231" s="5">
        <f>ตัวคูณโรงพยาบาล!K265</f>
        <v>0</v>
      </c>
      <c r="L231" s="5">
        <f t="shared" si="3"/>
        <v>72.865039051149097</v>
      </c>
    </row>
    <row r="232" spans="1:12" x14ac:dyDescent="0.25">
      <c r="C232" t="s">
        <v>100</v>
      </c>
      <c r="D232" s="5">
        <f>ตัวคูณโรงพยาบาล!D266</f>
        <v>0</v>
      </c>
      <c r="E232" s="5">
        <f>ตัวคูณโรงพยาบาล!E266</f>
        <v>0</v>
      </c>
      <c r="F232" s="5">
        <f>ตัวคูณโรงพยาบาล!F266</f>
        <v>1.1160169770119805</v>
      </c>
      <c r="G232" s="5">
        <f>ตัวคูณโรงพยาบาล!G266</f>
        <v>2.2791225756941782</v>
      </c>
      <c r="H232" s="5">
        <f>ตัวคูณโรงพยาบาล!H266</f>
        <v>2.726133834862289</v>
      </c>
      <c r="I232" s="5">
        <f>ตัวคูณโรงพยาบาล!I266</f>
        <v>0</v>
      </c>
      <c r="J232" s="5">
        <f>ตัวคูณโรงพยาบาล!J266</f>
        <v>1.0186567164179106</v>
      </c>
      <c r="K232" s="5">
        <f>ตัวคูณโรงพยาบาล!K266</f>
        <v>0</v>
      </c>
      <c r="L232" s="5">
        <f t="shared" si="3"/>
        <v>7.1399301039863579</v>
      </c>
    </row>
    <row r="233" spans="1:12" x14ac:dyDescent="0.25">
      <c r="C233" t="s">
        <v>101</v>
      </c>
      <c r="D233" s="5">
        <f>ตัวคูณโรงพยาบาล!D267</f>
        <v>0</v>
      </c>
      <c r="E233" s="5">
        <f>ตัวคูณโรงพยาบาล!E267</f>
        <v>0</v>
      </c>
      <c r="F233" s="5">
        <f>ตัวคูณโรงพยาบาล!F267</f>
        <v>68.704393989476287</v>
      </c>
      <c r="G233" s="5">
        <f>ตัวคูณโรงพยาบาล!G267</f>
        <v>183.73489819455324</v>
      </c>
      <c r="H233" s="5">
        <f>ตัวคูณโรงพยาบาล!H267</f>
        <v>41.718855062660964</v>
      </c>
      <c r="I233" s="5">
        <f>ตัวคูณโรงพยาบาล!I267</f>
        <v>12.869364413942105</v>
      </c>
      <c r="J233" s="5">
        <f>ตัวคูณโรงพยาบาล!J267</f>
        <v>0</v>
      </c>
      <c r="K233" s="5">
        <f>ตัวคูณโรงพยาบาล!K267</f>
        <v>0</v>
      </c>
      <c r="L233" s="5">
        <f t="shared" si="3"/>
        <v>307.02751166063257</v>
      </c>
    </row>
    <row r="234" spans="1:12" x14ac:dyDescent="0.25">
      <c r="A234" s="23" t="s">
        <v>104</v>
      </c>
      <c r="B234" s="23" t="s">
        <v>112</v>
      </c>
      <c r="C234" t="s">
        <v>70</v>
      </c>
      <c r="D234" s="5">
        <f>ตัวคูณโรงพยาบาล!D268</f>
        <v>0</v>
      </c>
      <c r="E234" s="5">
        <f>ตัวคูณโรงพยาบาล!E268</f>
        <v>0</v>
      </c>
      <c r="F234" s="5">
        <f>ตัวคูณโรงพยาบาล!F268</f>
        <v>0</v>
      </c>
      <c r="G234" s="5">
        <f>ตัวคูณโรงพยาบาล!G268</f>
        <v>0</v>
      </c>
      <c r="H234" s="5">
        <f>ตัวคูณโรงพยาบาล!H268</f>
        <v>0</v>
      </c>
      <c r="I234" s="5">
        <f>ตัวคูณโรงพยาบาล!I268</f>
        <v>3.093036759922476E-2</v>
      </c>
      <c r="J234" s="5">
        <f>ตัวคูณโรงพยาบาล!J268</f>
        <v>0</v>
      </c>
      <c r="K234" s="5">
        <f>ตัวคูณโรงพยาบาล!K268</f>
        <v>0</v>
      </c>
      <c r="L234" s="5">
        <f t="shared" si="3"/>
        <v>3.093036759922476E-2</v>
      </c>
    </row>
    <row r="235" spans="1:12" x14ac:dyDescent="0.25">
      <c r="C235" t="s">
        <v>71</v>
      </c>
      <c r="D235" s="5">
        <f>ตัวคูณโรงพยาบาล!D269</f>
        <v>0</v>
      </c>
      <c r="E235" s="5">
        <f>ตัวคูณโรงพยาบาล!E269</f>
        <v>0</v>
      </c>
      <c r="F235" s="5">
        <f>ตัวคูณโรงพยาบาล!F269</f>
        <v>0</v>
      </c>
      <c r="G235" s="5">
        <f>ตัวคูณโรงพยาบาล!G269</f>
        <v>0</v>
      </c>
      <c r="H235" s="5">
        <f>ตัวคูณโรงพยาบาล!H269</f>
        <v>0</v>
      </c>
      <c r="I235" s="5">
        <f>ตัวคูณโรงพยาบาล!I269</f>
        <v>3.093036759922476E-2</v>
      </c>
      <c r="J235" s="5">
        <f>ตัวคูณโรงพยาบาล!J269</f>
        <v>0</v>
      </c>
      <c r="K235" s="5">
        <f>ตัวคูณโรงพยาบาล!K269</f>
        <v>0</v>
      </c>
      <c r="L235" s="5">
        <f t="shared" si="3"/>
        <v>3.093036759922476E-2</v>
      </c>
    </row>
    <row r="236" spans="1:12" x14ac:dyDescent="0.25">
      <c r="C236" t="s">
        <v>72</v>
      </c>
      <c r="D236" s="5">
        <f>ตัวคูณโรงพยาบาล!D270</f>
        <v>0</v>
      </c>
      <c r="E236" s="5">
        <f>ตัวคูณโรงพยาบาล!E270</f>
        <v>0</v>
      </c>
      <c r="F236" s="5">
        <f>ตัวคูณโรงพยาบาล!F270</f>
        <v>0</v>
      </c>
      <c r="G236" s="5">
        <f>ตัวคูณโรงพยาบาล!G270</f>
        <v>0</v>
      </c>
      <c r="H236" s="5">
        <f>ตัวคูณโรงพยาบาล!H270</f>
        <v>0</v>
      </c>
      <c r="I236" s="5">
        <f>ตัวคูณโรงพยาบาล!I270</f>
        <v>3.093036759922476E-2</v>
      </c>
      <c r="J236" s="5">
        <f>ตัวคูณโรงพยาบาล!J270</f>
        <v>0</v>
      </c>
      <c r="K236" s="5">
        <f>ตัวคูณโรงพยาบาล!K270</f>
        <v>0</v>
      </c>
      <c r="L236" s="5">
        <f t="shared" si="3"/>
        <v>3.093036759922476E-2</v>
      </c>
    </row>
    <row r="237" spans="1:12" x14ac:dyDescent="0.25">
      <c r="C237" t="s">
        <v>73</v>
      </c>
      <c r="D237" s="5">
        <f>ตัวคูณโรงพยาบาล!D271</f>
        <v>0</v>
      </c>
      <c r="E237" s="5">
        <f>ตัวคูณโรงพยาบาล!E271</f>
        <v>0</v>
      </c>
      <c r="F237" s="5">
        <f>ตัวคูณโรงพยาบาล!F271</f>
        <v>0</v>
      </c>
      <c r="G237" s="5">
        <f>ตัวคูณโรงพยาบาล!G271</f>
        <v>0</v>
      </c>
      <c r="H237" s="5">
        <f>ตัวคูณโรงพยาบาล!H271</f>
        <v>0</v>
      </c>
      <c r="I237" s="5">
        <f>ตัวคูณโรงพยาบาล!I271</f>
        <v>3.093036759922476E-2</v>
      </c>
      <c r="J237" s="5">
        <f>ตัวคูณโรงพยาบาล!J271</f>
        <v>0</v>
      </c>
      <c r="K237" s="5">
        <f>ตัวคูณโรงพยาบาล!K271</f>
        <v>0</v>
      </c>
      <c r="L237" s="5">
        <f t="shared" si="3"/>
        <v>3.093036759922476E-2</v>
      </c>
    </row>
    <row r="238" spans="1:12" x14ac:dyDescent="0.25">
      <c r="C238" t="s">
        <v>74</v>
      </c>
      <c r="D238" s="5">
        <f>ตัวคูณโรงพยาบาล!D272</f>
        <v>0</v>
      </c>
      <c r="E238" s="5">
        <f>ตัวคูณโรงพยาบาล!E272</f>
        <v>0</v>
      </c>
      <c r="F238" s="5">
        <f>ตัวคูณโรงพยาบาล!F272</f>
        <v>0</v>
      </c>
      <c r="G238" s="5">
        <f>ตัวคูณโรงพยาบาล!G272</f>
        <v>0</v>
      </c>
      <c r="H238" s="5">
        <f>ตัวคูณโรงพยาบาล!H272</f>
        <v>0</v>
      </c>
      <c r="I238" s="5">
        <f>ตัวคูณโรงพยาบาล!I272</f>
        <v>3.093036759922476E-2</v>
      </c>
      <c r="J238" s="5">
        <f>ตัวคูณโรงพยาบาล!J272</f>
        <v>0</v>
      </c>
      <c r="K238" s="5">
        <f>ตัวคูณโรงพยาบาล!K272</f>
        <v>0</v>
      </c>
      <c r="L238" s="5">
        <f t="shared" si="3"/>
        <v>3.093036759922476E-2</v>
      </c>
    </row>
    <row r="239" spans="1:12" x14ac:dyDescent="0.25">
      <c r="C239" t="s">
        <v>75</v>
      </c>
      <c r="D239" s="5">
        <f>ตัวคูณโรงพยาบาล!D273</f>
        <v>0</v>
      </c>
      <c r="E239" s="5">
        <f>ตัวคูณโรงพยาบาล!E273</f>
        <v>0</v>
      </c>
      <c r="F239" s="5">
        <f>ตัวคูณโรงพยาบาล!F273</f>
        <v>0</v>
      </c>
      <c r="G239" s="5">
        <f>ตัวคูณโรงพยาบาล!G273</f>
        <v>0</v>
      </c>
      <c r="H239" s="5">
        <f>ตัวคูณโรงพยาบาล!H273</f>
        <v>0</v>
      </c>
      <c r="I239" s="5">
        <f>ตัวคูณโรงพยาบาล!I273</f>
        <v>3.093036759922476E-2</v>
      </c>
      <c r="J239" s="5">
        <f>ตัวคูณโรงพยาบาล!J273</f>
        <v>0</v>
      </c>
      <c r="K239" s="5">
        <f>ตัวคูณโรงพยาบาล!K273</f>
        <v>0</v>
      </c>
      <c r="L239" s="5">
        <f t="shared" si="3"/>
        <v>3.093036759922476E-2</v>
      </c>
    </row>
    <row r="240" spans="1:12" x14ac:dyDescent="0.25">
      <c r="C240" t="s">
        <v>76</v>
      </c>
      <c r="D240" s="5">
        <f>ตัวคูณโรงพยาบาล!D274</f>
        <v>0</v>
      </c>
      <c r="E240" s="5">
        <f>ตัวคูณโรงพยาบาล!E274</f>
        <v>0</v>
      </c>
      <c r="F240" s="5">
        <f>ตัวคูณโรงพยาบาล!F274</f>
        <v>0</v>
      </c>
      <c r="G240" s="5">
        <f>ตัวคูณโรงพยาบาล!G274</f>
        <v>0</v>
      </c>
      <c r="H240" s="5">
        <f>ตัวคูณโรงพยาบาล!H274</f>
        <v>0</v>
      </c>
      <c r="I240" s="5">
        <f>ตัวคูณโรงพยาบาล!I274</f>
        <v>3.093036759922476E-2</v>
      </c>
      <c r="J240" s="5">
        <f>ตัวคูณโรงพยาบาล!J274</f>
        <v>0</v>
      </c>
      <c r="K240" s="5">
        <f>ตัวคูณโรงพยาบาล!K274</f>
        <v>0</v>
      </c>
      <c r="L240" s="5">
        <f t="shared" si="3"/>
        <v>3.093036759922476E-2</v>
      </c>
    </row>
    <row r="241" spans="3:12" x14ac:dyDescent="0.25">
      <c r="C241" t="s">
        <v>77</v>
      </c>
      <c r="D241" s="5">
        <f>ตัวคูณโรงพยาบาล!D275</f>
        <v>0</v>
      </c>
      <c r="E241" s="5">
        <f>ตัวคูณโรงพยาบาล!E275</f>
        <v>0</v>
      </c>
      <c r="F241" s="5">
        <f>ตัวคูณโรงพยาบาล!F275</f>
        <v>0</v>
      </c>
      <c r="G241" s="5">
        <f>ตัวคูณโรงพยาบาล!G275</f>
        <v>0</v>
      </c>
      <c r="H241" s="5">
        <f>ตัวคูณโรงพยาบาล!H275</f>
        <v>0</v>
      </c>
      <c r="I241" s="5">
        <f>ตัวคูณโรงพยาบาล!I275</f>
        <v>3.093036759922476E-2</v>
      </c>
      <c r="J241" s="5">
        <f>ตัวคูณโรงพยาบาล!J275</f>
        <v>0</v>
      </c>
      <c r="K241" s="5">
        <f>ตัวคูณโรงพยาบาล!K275</f>
        <v>0</v>
      </c>
      <c r="L241" s="5">
        <f t="shared" si="3"/>
        <v>3.093036759922476E-2</v>
      </c>
    </row>
    <row r="242" spans="3:12" x14ac:dyDescent="0.25">
      <c r="C242" t="s">
        <v>78</v>
      </c>
      <c r="D242" s="5">
        <f>ตัวคูณโรงพยาบาล!D276</f>
        <v>0</v>
      </c>
      <c r="E242" s="5">
        <f>ตัวคูณโรงพยาบาล!E276</f>
        <v>0</v>
      </c>
      <c r="F242" s="5">
        <f>ตัวคูณโรงพยาบาล!F276</f>
        <v>0</v>
      </c>
      <c r="G242" s="5">
        <f>ตัวคูณโรงพยาบาล!G276</f>
        <v>0</v>
      </c>
      <c r="H242" s="5">
        <f>ตัวคูณโรงพยาบาล!H276</f>
        <v>0</v>
      </c>
      <c r="I242" s="5">
        <f>ตัวคูณโรงพยาบาล!I276</f>
        <v>3.093036759922476E-2</v>
      </c>
      <c r="J242" s="5">
        <f>ตัวคูณโรงพยาบาล!J276</f>
        <v>0</v>
      </c>
      <c r="K242" s="5">
        <f>ตัวคูณโรงพยาบาล!K276</f>
        <v>0</v>
      </c>
      <c r="L242" s="5">
        <f t="shared" si="3"/>
        <v>3.093036759922476E-2</v>
      </c>
    </row>
    <row r="243" spans="3:12" x14ac:dyDescent="0.25">
      <c r="C243" t="s">
        <v>79</v>
      </c>
      <c r="D243" s="5">
        <f>ตัวคูณโรงพยาบาล!D277</f>
        <v>0</v>
      </c>
      <c r="E243" s="5">
        <f>ตัวคูณโรงพยาบาล!E277</f>
        <v>0</v>
      </c>
      <c r="F243" s="5">
        <f>ตัวคูณโรงพยาบาล!F277</f>
        <v>1.0078408564615462</v>
      </c>
      <c r="G243" s="5">
        <f>ตัวคูณโรงพยาบาล!G277</f>
        <v>0</v>
      </c>
      <c r="H243" s="5">
        <f>ตัวคูณโรงพยาบาล!H277</f>
        <v>0</v>
      </c>
      <c r="I243" s="5">
        <f>ตัวคูณโรงพยาบาล!I277</f>
        <v>3.093036759922476E-2</v>
      </c>
      <c r="J243" s="5">
        <f>ตัวคูณโรงพยาบาล!J277</f>
        <v>0</v>
      </c>
      <c r="K243" s="5">
        <f>ตัวคูณโรงพยาบาล!K277</f>
        <v>0</v>
      </c>
      <c r="L243" s="5">
        <f t="shared" si="3"/>
        <v>1.0387712240607709</v>
      </c>
    </row>
    <row r="244" spans="3:12" x14ac:dyDescent="0.25">
      <c r="C244" t="s">
        <v>80</v>
      </c>
      <c r="D244" s="5">
        <f>ตัวคูณโรงพยาบาล!D278</f>
        <v>0</v>
      </c>
      <c r="E244" s="5">
        <f>ตัวคูณโรงพยาบาล!E278</f>
        <v>0</v>
      </c>
      <c r="F244" s="5">
        <f>ตัวคูณโรงพยาบาล!F278</f>
        <v>0</v>
      </c>
      <c r="G244" s="5">
        <f>ตัวคูณโรงพยาบาล!G278</f>
        <v>0</v>
      </c>
      <c r="H244" s="5">
        <f>ตัวคูณโรงพยาบาล!H278</f>
        <v>0</v>
      </c>
      <c r="I244" s="5">
        <f>ตัวคูณโรงพยาบาล!I278</f>
        <v>3.093036759922476E-2</v>
      </c>
      <c r="J244" s="5">
        <f>ตัวคูณโรงพยาบาล!J278</f>
        <v>0</v>
      </c>
      <c r="K244" s="5">
        <f>ตัวคูณโรงพยาบาล!K278</f>
        <v>0</v>
      </c>
      <c r="L244" s="5">
        <f t="shared" si="3"/>
        <v>3.093036759922476E-2</v>
      </c>
    </row>
    <row r="245" spans="3:12" x14ac:dyDescent="0.25">
      <c r="C245" t="s">
        <v>81</v>
      </c>
      <c r="D245" s="5">
        <f>ตัวคูณโรงพยาบาล!D279</f>
        <v>0</v>
      </c>
      <c r="E245" s="5">
        <f>ตัวคูณโรงพยาบาล!E279</f>
        <v>0</v>
      </c>
      <c r="F245" s="5">
        <f>ตัวคูณโรงพยาบาล!F279</f>
        <v>0</v>
      </c>
      <c r="G245" s="5">
        <f>ตัวคูณโรงพยาบาล!G279</f>
        <v>0</v>
      </c>
      <c r="H245" s="5">
        <f>ตัวคูณโรงพยาบาล!H279</f>
        <v>0</v>
      </c>
      <c r="I245" s="5">
        <f>ตัวคูณโรงพยาบาล!I279</f>
        <v>3.093036759922476E-2</v>
      </c>
      <c r="J245" s="5">
        <f>ตัวคูณโรงพยาบาล!J279</f>
        <v>0</v>
      </c>
      <c r="K245" s="5">
        <f>ตัวคูณโรงพยาบาล!K279</f>
        <v>0</v>
      </c>
      <c r="L245" s="5">
        <f t="shared" si="3"/>
        <v>3.093036759922476E-2</v>
      </c>
    </row>
    <row r="246" spans="3:12" x14ac:dyDescent="0.25">
      <c r="C246" t="s">
        <v>82</v>
      </c>
      <c r="D246" s="5">
        <f>ตัวคูณโรงพยาบาล!D280</f>
        <v>0</v>
      </c>
      <c r="E246" s="5">
        <f>ตัวคูณโรงพยาบาล!E280</f>
        <v>0</v>
      </c>
      <c r="F246" s="5">
        <f>ตัวคูณโรงพยาบาล!F280</f>
        <v>0</v>
      </c>
      <c r="G246" s="5">
        <f>ตัวคูณโรงพยาบาล!G280</f>
        <v>0</v>
      </c>
      <c r="H246" s="5">
        <f>ตัวคูณโรงพยาบาล!H280</f>
        <v>0</v>
      </c>
      <c r="I246" s="5">
        <f>ตัวคูณโรงพยาบาล!I280</f>
        <v>3.093036759922476E-2</v>
      </c>
      <c r="J246" s="5">
        <f>ตัวคูณโรงพยาบาล!J280</f>
        <v>0</v>
      </c>
      <c r="K246" s="5">
        <f>ตัวคูณโรงพยาบาล!K280</f>
        <v>0</v>
      </c>
      <c r="L246" s="5">
        <f t="shared" si="3"/>
        <v>3.093036759922476E-2</v>
      </c>
    </row>
    <row r="247" spans="3:12" x14ac:dyDescent="0.25">
      <c r="C247" t="s">
        <v>83</v>
      </c>
      <c r="D247" s="5">
        <f>ตัวคูณโรงพยาบาล!D281</f>
        <v>0</v>
      </c>
      <c r="E247" s="5">
        <f>ตัวคูณโรงพยาบาล!E281</f>
        <v>0</v>
      </c>
      <c r="F247" s="5">
        <f>ตัวคูณโรงพยาบาล!F281</f>
        <v>0</v>
      </c>
      <c r="G247" s="5">
        <f>ตัวคูณโรงพยาบาล!G281</f>
        <v>0</v>
      </c>
      <c r="H247" s="5">
        <f>ตัวคูณโรงพยาบาล!H281</f>
        <v>0</v>
      </c>
      <c r="I247" s="5">
        <f>ตัวคูณโรงพยาบาล!I281</f>
        <v>3.093036759922476E-2</v>
      </c>
      <c r="J247" s="5">
        <f>ตัวคูณโรงพยาบาล!J281</f>
        <v>0</v>
      </c>
      <c r="K247" s="5">
        <f>ตัวคูณโรงพยาบาล!K281</f>
        <v>0</v>
      </c>
      <c r="L247" s="5">
        <f t="shared" si="3"/>
        <v>3.093036759922476E-2</v>
      </c>
    </row>
    <row r="248" spans="3:12" x14ac:dyDescent="0.25">
      <c r="C248" t="s">
        <v>84</v>
      </c>
      <c r="D248" s="5">
        <f>ตัวคูณโรงพยาบาล!D282</f>
        <v>0</v>
      </c>
      <c r="E248" s="5">
        <f>ตัวคูณโรงพยาบาล!E282</f>
        <v>0</v>
      </c>
      <c r="F248" s="5">
        <f>ตัวคูณโรงพยาบาล!F282</f>
        <v>0</v>
      </c>
      <c r="G248" s="5">
        <f>ตัวคูณโรงพยาบาล!G282</f>
        <v>0</v>
      </c>
      <c r="H248" s="5">
        <f>ตัวคูณโรงพยาบาล!H282</f>
        <v>0</v>
      </c>
      <c r="I248" s="5">
        <f>ตัวคูณโรงพยาบาล!I282</f>
        <v>3.093036759922476E-2</v>
      </c>
      <c r="J248" s="5">
        <f>ตัวคูณโรงพยาบาล!J282</f>
        <v>0</v>
      </c>
      <c r="K248" s="5">
        <f>ตัวคูณโรงพยาบาล!K282</f>
        <v>0</v>
      </c>
      <c r="L248" s="5">
        <f t="shared" si="3"/>
        <v>3.093036759922476E-2</v>
      </c>
    </row>
    <row r="249" spans="3:12" x14ac:dyDescent="0.25">
      <c r="C249" t="s">
        <v>85</v>
      </c>
      <c r="D249" s="5">
        <f>ตัวคูณโรงพยาบาล!D283</f>
        <v>0</v>
      </c>
      <c r="E249" s="5">
        <f>ตัวคูณโรงพยาบาล!E283</f>
        <v>0</v>
      </c>
      <c r="F249" s="5">
        <f>ตัวคูณโรงพยาบาล!F283</f>
        <v>0</v>
      </c>
      <c r="G249" s="5">
        <f>ตัวคูณโรงพยาบาล!G283</f>
        <v>0</v>
      </c>
      <c r="H249" s="5">
        <f>ตัวคูณโรงพยาบาล!H283</f>
        <v>0</v>
      </c>
      <c r="I249" s="5">
        <f>ตัวคูณโรงพยาบาล!I283</f>
        <v>3.093036759922476E-2</v>
      </c>
      <c r="J249" s="5">
        <f>ตัวคูณโรงพยาบาล!J283</f>
        <v>0</v>
      </c>
      <c r="K249" s="5">
        <f>ตัวคูณโรงพยาบาล!K283</f>
        <v>0</v>
      </c>
      <c r="L249" s="5">
        <f t="shared" si="3"/>
        <v>3.093036759922476E-2</v>
      </c>
    </row>
    <row r="250" spans="3:12" x14ac:dyDescent="0.25">
      <c r="C250" t="s">
        <v>86</v>
      </c>
      <c r="D250" s="5">
        <f>ตัวคูณโรงพยาบาล!D284</f>
        <v>0</v>
      </c>
      <c r="E250" s="5">
        <f>ตัวคูณโรงพยาบาล!E284</f>
        <v>0</v>
      </c>
      <c r="F250" s="5">
        <f>ตัวคูณโรงพยาบาล!F284</f>
        <v>2.007840856461546</v>
      </c>
      <c r="G250" s="5">
        <f>ตัวคูณโรงพยาบาล!G284</f>
        <v>0</v>
      </c>
      <c r="H250" s="5">
        <f>ตัวคูณโรงพยาบาล!H284</f>
        <v>0</v>
      </c>
      <c r="I250" s="5">
        <f>ตัวคูณโรงพยาบาล!I284</f>
        <v>3.093036759922476E-2</v>
      </c>
      <c r="J250" s="5">
        <f>ตัวคูณโรงพยาบาล!J284</f>
        <v>0</v>
      </c>
      <c r="K250" s="5">
        <f>ตัวคูณโรงพยาบาล!K284</f>
        <v>0</v>
      </c>
      <c r="L250" s="5">
        <f t="shared" si="3"/>
        <v>2.0387712240607709</v>
      </c>
    </row>
    <row r="251" spans="3:12" x14ac:dyDescent="0.25">
      <c r="C251" t="s">
        <v>87</v>
      </c>
      <c r="D251" s="5">
        <f>ตัวคูณโรงพยาบาล!D285</f>
        <v>0</v>
      </c>
      <c r="E251" s="5">
        <f>ตัวคูณโรงพยาบาล!E285</f>
        <v>0</v>
      </c>
      <c r="F251" s="5">
        <f>ตัวคูณโรงพยาบาล!F285</f>
        <v>0</v>
      </c>
      <c r="G251" s="5">
        <f>ตัวคูณโรงพยาบาล!G285</f>
        <v>2.1935345136549351</v>
      </c>
      <c r="H251" s="5">
        <f>ตัวคูณโรงพยาบาล!H285</f>
        <v>0</v>
      </c>
      <c r="I251" s="5">
        <f>ตัวคูณโรงพยาบาล!I285</f>
        <v>3.093036759922476E-2</v>
      </c>
      <c r="J251" s="5">
        <f>ตัวคูณโรงพยาบาล!J285</f>
        <v>0</v>
      </c>
      <c r="K251" s="5">
        <f>ตัวคูณโรงพยาบาล!K285</f>
        <v>0</v>
      </c>
      <c r="L251" s="5">
        <f t="shared" si="3"/>
        <v>2.2244648812541601</v>
      </c>
    </row>
    <row r="252" spans="3:12" x14ac:dyDescent="0.25">
      <c r="C252" t="s">
        <v>88</v>
      </c>
      <c r="D252" s="5">
        <f>ตัวคูณโรงพยาบาล!D286</f>
        <v>0</v>
      </c>
      <c r="E252" s="5">
        <f>ตัวคูณโรงพยาบาล!E286</f>
        <v>0</v>
      </c>
      <c r="F252" s="5">
        <f>ตัวคูณโรงพยาบาล!F286</f>
        <v>0</v>
      </c>
      <c r="G252" s="5">
        <f>ตัวคูณโรงพยาบาล!G286</f>
        <v>2.2209073775126056</v>
      </c>
      <c r="H252" s="5">
        <f>ตัวคูณโรงพยาบาล!H286</f>
        <v>0</v>
      </c>
      <c r="I252" s="5">
        <f>ตัวคูณโรงพยาบาล!I286</f>
        <v>3.093036759922476E-2</v>
      </c>
      <c r="J252" s="5">
        <f>ตัวคูณโรงพยาบาล!J286</f>
        <v>0</v>
      </c>
      <c r="K252" s="5">
        <f>ตัวคูณโรงพยาบาล!K286</f>
        <v>0</v>
      </c>
      <c r="L252" s="5">
        <f t="shared" si="3"/>
        <v>2.2518377451118305</v>
      </c>
    </row>
    <row r="253" spans="3:12" x14ac:dyDescent="0.25">
      <c r="C253" t="s">
        <v>89</v>
      </c>
      <c r="D253" s="5">
        <f>ตัวคูณโรงพยาบาล!D287</f>
        <v>0</v>
      </c>
      <c r="E253" s="5">
        <f>ตัวคูณโรงพยาบาล!E287</f>
        <v>0</v>
      </c>
      <c r="F253" s="5">
        <f>ตัวคูณโรงพยาบาล!F287</f>
        <v>0</v>
      </c>
      <c r="G253" s="5">
        <f>ตัวคูณโรงพยาบาล!G287</f>
        <v>0</v>
      </c>
      <c r="H253" s="5">
        <f>ตัวคูณโรงพยาบาล!H287</f>
        <v>1.2722671972101638</v>
      </c>
      <c r="I253" s="5">
        <f>ตัวคูณโรงพยาบาล!I287</f>
        <v>3.093036759922476E-2</v>
      </c>
      <c r="J253" s="5">
        <f>ตัวคูณโรงพยาบาล!J287</f>
        <v>0</v>
      </c>
      <c r="K253" s="5">
        <f>ตัวคูณโรงพยาบาล!K287</f>
        <v>0</v>
      </c>
      <c r="L253" s="5">
        <f t="shared" si="3"/>
        <v>1.3031975648093885</v>
      </c>
    </row>
    <row r="254" spans="3:12" x14ac:dyDescent="0.25">
      <c r="C254" t="s">
        <v>90</v>
      </c>
      <c r="D254" s="5">
        <f>ตัวคูณโรงพยาบาล!D288</f>
        <v>0</v>
      </c>
      <c r="E254" s="5">
        <f>ตัวคูณโรงพยาบาล!E288</f>
        <v>0</v>
      </c>
      <c r="F254" s="5">
        <f>ตัวคูณโรงพยาบาล!F288</f>
        <v>0</v>
      </c>
      <c r="G254" s="5">
        <f>ตัวคูณโรงพยาบาล!G288</f>
        <v>0</v>
      </c>
      <c r="H254" s="5">
        <f>ตัวคูณโรงพยาบาล!H288</f>
        <v>0</v>
      </c>
      <c r="I254" s="5">
        <f>ตัวคูณโรงพยาบาล!I288</f>
        <v>3.093036759922476E-2</v>
      </c>
      <c r="J254" s="5">
        <f>ตัวคูณโรงพยาบาล!J288</f>
        <v>0</v>
      </c>
      <c r="K254" s="5">
        <f>ตัวคูณโรงพยาบาล!K288</f>
        <v>0</v>
      </c>
      <c r="L254" s="5">
        <f t="shared" si="3"/>
        <v>3.093036759922476E-2</v>
      </c>
    </row>
    <row r="255" spans="3:12" x14ac:dyDescent="0.25">
      <c r="C255" t="s">
        <v>91</v>
      </c>
      <c r="D255" s="5">
        <f>ตัวคูณโรงพยาบาล!D289</f>
        <v>0</v>
      </c>
      <c r="E255" s="5">
        <f>ตัวคูณโรงพยาบาล!E289</f>
        <v>0</v>
      </c>
      <c r="F255" s="5">
        <f>ตัวคูณโรงพยาบาล!F289</f>
        <v>0</v>
      </c>
      <c r="G255" s="5">
        <f>ตัวคูณโรงพยาบาล!G289</f>
        <v>0</v>
      </c>
      <c r="H255" s="5">
        <f>ตัวคูณโรงพยาบาล!H289</f>
        <v>0</v>
      </c>
      <c r="I255" s="5">
        <f>ตัวคูณโรงพยาบาล!I289</f>
        <v>3.093036759922476E-2</v>
      </c>
      <c r="J255" s="5">
        <f>ตัวคูณโรงพยาบาล!J289</f>
        <v>0</v>
      </c>
      <c r="K255" s="5">
        <f>ตัวคูณโรงพยาบาล!K289</f>
        <v>0</v>
      </c>
      <c r="L255" s="5">
        <f t="shared" si="3"/>
        <v>3.093036759922476E-2</v>
      </c>
    </row>
    <row r="256" spans="3:12" x14ac:dyDescent="0.25">
      <c r="C256" t="s">
        <v>92</v>
      </c>
      <c r="D256" s="5">
        <f>ตัวคูณโรงพยาบาล!D290</f>
        <v>0</v>
      </c>
      <c r="E256" s="5">
        <f>ตัวคูณโรงพยาบาล!E290</f>
        <v>0</v>
      </c>
      <c r="F256" s="5">
        <f>ตัวคูณโรงพยาบาล!F290</f>
        <v>0</v>
      </c>
      <c r="G256" s="5">
        <f>ตัวคูณโรงพยาบาล!G290</f>
        <v>0</v>
      </c>
      <c r="H256" s="5">
        <f>ตัวคูณโรงพยาบาล!H290</f>
        <v>0</v>
      </c>
      <c r="I256" s="5">
        <f>ตัวคูณโรงพยาบาล!I290</f>
        <v>3.093036759922476E-2</v>
      </c>
      <c r="J256" s="5">
        <f>ตัวคูณโรงพยาบาล!J290</f>
        <v>0</v>
      </c>
      <c r="K256" s="5">
        <f>ตัวคูณโรงพยาบาล!K290</f>
        <v>0</v>
      </c>
      <c r="L256" s="5">
        <f t="shared" si="3"/>
        <v>3.093036759922476E-2</v>
      </c>
    </row>
    <row r="257" spans="1:12" x14ac:dyDescent="0.25">
      <c r="C257" t="s">
        <v>93</v>
      </c>
      <c r="D257" s="5">
        <f>ตัวคูณโรงพยาบาล!D291</f>
        <v>0</v>
      </c>
      <c r="E257" s="5">
        <f>ตัวคูณโรงพยาบาล!E291</f>
        <v>0</v>
      </c>
      <c r="F257" s="5">
        <f>ตัวคูณโรงพยาบาล!F291</f>
        <v>0</v>
      </c>
      <c r="G257" s="5">
        <f>ตัวคูณโรงพยาบาล!G291</f>
        <v>0</v>
      </c>
      <c r="H257" s="5">
        <f>ตัวคูณโรงพยาบาล!H291</f>
        <v>0</v>
      </c>
      <c r="I257" s="5">
        <f>ตัวคูณโรงพยาบาล!I291</f>
        <v>3.093036759922476E-2</v>
      </c>
      <c r="J257" s="5">
        <f>ตัวคูณโรงพยาบาล!J291</f>
        <v>0</v>
      </c>
      <c r="K257" s="5">
        <f>ตัวคูณโรงพยาบาล!K291</f>
        <v>0</v>
      </c>
      <c r="L257" s="5">
        <f t="shared" si="3"/>
        <v>3.093036759922476E-2</v>
      </c>
    </row>
    <row r="258" spans="1:12" x14ac:dyDescent="0.25">
      <c r="C258" t="s">
        <v>94</v>
      </c>
      <c r="D258" s="5">
        <f>ตัวคูณโรงพยาบาล!D292</f>
        <v>0</v>
      </c>
      <c r="E258" s="5">
        <f>ตัวคูณโรงพยาบาล!E292</f>
        <v>0</v>
      </c>
      <c r="F258" s="5">
        <f>ตัวคูณโรงพยาบาล!F292</f>
        <v>0</v>
      </c>
      <c r="G258" s="5">
        <f>ตัวคูณโรงพยาบาล!G292</f>
        <v>0</v>
      </c>
      <c r="H258" s="5">
        <f>ตัวคูณโรงพยาบาล!H292</f>
        <v>0</v>
      </c>
      <c r="I258" s="5">
        <f>ตัวคูณโรงพยาบาล!I292</f>
        <v>3.093036759922476E-2</v>
      </c>
      <c r="J258" s="5">
        <f>ตัวคูณโรงพยาบาล!J292</f>
        <v>0</v>
      </c>
      <c r="K258" s="5">
        <f>ตัวคูณโรงพยาบาล!K292</f>
        <v>0</v>
      </c>
      <c r="L258" s="5">
        <f t="shared" si="3"/>
        <v>3.093036759922476E-2</v>
      </c>
    </row>
    <row r="259" spans="1:12" x14ac:dyDescent="0.25">
      <c r="C259" t="s">
        <v>95</v>
      </c>
      <c r="D259" s="5">
        <f>ตัวคูณโรงพยาบาล!D293</f>
        <v>0</v>
      </c>
      <c r="E259" s="5">
        <f>ตัวคูณโรงพยาบาล!E293</f>
        <v>0</v>
      </c>
      <c r="F259" s="5">
        <f>ตัวคูณโรงพยาบาล!F293</f>
        <v>0</v>
      </c>
      <c r="G259" s="5">
        <f>ตัวคูณโรงพยาบาล!G293</f>
        <v>0</v>
      </c>
      <c r="H259" s="5">
        <f>ตัวคูณโรงพยาบาล!H293</f>
        <v>0</v>
      </c>
      <c r="I259" s="5">
        <f>ตัวคูณโรงพยาบาล!I293</f>
        <v>3.093036759922476E-2</v>
      </c>
      <c r="J259" s="5">
        <f>ตัวคูณโรงพยาบาล!J293</f>
        <v>0</v>
      </c>
      <c r="K259" s="5">
        <f>ตัวคูณโรงพยาบาล!K293</f>
        <v>0</v>
      </c>
      <c r="L259" s="5">
        <f t="shared" si="3"/>
        <v>3.093036759922476E-2</v>
      </c>
    </row>
    <row r="260" spans="1:12" x14ac:dyDescent="0.25">
      <c r="C260" t="s">
        <v>96</v>
      </c>
      <c r="D260" s="5">
        <f>ตัวคูณโรงพยาบาล!D294</f>
        <v>0</v>
      </c>
      <c r="E260" s="5">
        <f>ตัวคูณโรงพยาบาล!E294</f>
        <v>0</v>
      </c>
      <c r="F260" s="5">
        <f>ตัวคูณโรงพยาบาล!F294</f>
        <v>0</v>
      </c>
      <c r="G260" s="5">
        <f>ตัวคูณโรงพยาบาล!G294</f>
        <v>0</v>
      </c>
      <c r="H260" s="5">
        <f>ตัวคูณโรงพยาบาล!H294</f>
        <v>0</v>
      </c>
      <c r="I260" s="5">
        <f>ตัวคูณโรงพยาบาล!I294</f>
        <v>3.093036759922476E-2</v>
      </c>
      <c r="J260" s="5">
        <f>ตัวคูณโรงพยาบาล!J294</f>
        <v>0</v>
      </c>
      <c r="K260" s="5">
        <f>ตัวคูณโรงพยาบาล!K294</f>
        <v>0</v>
      </c>
      <c r="L260" s="5">
        <f t="shared" ref="L260:L323" si="4">SUM(D260:K260)</f>
        <v>3.093036759922476E-2</v>
      </c>
    </row>
    <row r="261" spans="1:12" x14ac:dyDescent="0.25">
      <c r="C261" t="s">
        <v>97</v>
      </c>
      <c r="D261" s="5">
        <f>ตัวคูณโรงพยาบาล!D295</f>
        <v>0</v>
      </c>
      <c r="E261" s="5">
        <f>ตัวคูณโรงพยาบาล!E295</f>
        <v>0</v>
      </c>
      <c r="F261" s="5">
        <f>ตัวคูณโรงพยาบาล!F295</f>
        <v>6.4371491187629939</v>
      </c>
      <c r="G261" s="5">
        <f>ตัวคูณโรงพยาบาล!G295</f>
        <v>4.3724250070896442</v>
      </c>
      <c r="H261" s="5">
        <f>ตัวคูณโรงพยาบาล!H295</f>
        <v>6.1840083307120484</v>
      </c>
      <c r="I261" s="5">
        <f>ตัวคูณโรงพยาบาล!I295</f>
        <v>3.093036759922476E-2</v>
      </c>
      <c r="J261" s="5">
        <f>ตัวคูณโรงพยาบาล!J295</f>
        <v>0</v>
      </c>
      <c r="K261" s="5">
        <f>ตัวคูณโรงพยาบาล!K295</f>
        <v>0</v>
      </c>
      <c r="L261" s="5">
        <f t="shared" si="4"/>
        <v>17.024512824163914</v>
      </c>
    </row>
    <row r="262" spans="1:12" x14ac:dyDescent="0.25">
      <c r="C262" t="s">
        <v>98</v>
      </c>
      <c r="D262" s="5">
        <f>ตัวคูณโรงพยาบาล!D296</f>
        <v>0</v>
      </c>
      <c r="E262" s="5">
        <f>ตัวคูณโรงพยาบาล!E296</f>
        <v>0</v>
      </c>
      <c r="F262" s="5">
        <f>ตัวคูณโรงพยาบาล!F296</f>
        <v>32.803482470282802</v>
      </c>
      <c r="G262" s="5">
        <f>ตัวคูณโรงพยาบาล!G296</f>
        <v>43.72399082169737</v>
      </c>
      <c r="H262" s="5">
        <f>ตัวคูณโรงพยาบาล!H296</f>
        <v>23.386640341534765</v>
      </c>
      <c r="I262" s="5">
        <f>ตัวคูณโรงพยาบาล!I296</f>
        <v>2.0309303675992245</v>
      </c>
      <c r="J262" s="5">
        <f>ตัวคูณโรงพยาบาล!J296</f>
        <v>0</v>
      </c>
      <c r="K262" s="5">
        <f>ตัวคูณโรงพยาบาล!K296</f>
        <v>0</v>
      </c>
      <c r="L262" s="5">
        <f t="shared" si="4"/>
        <v>101.94504400111417</v>
      </c>
    </row>
    <row r="263" spans="1:12" x14ac:dyDescent="0.25">
      <c r="C263" t="s">
        <v>119</v>
      </c>
      <c r="D263" s="5">
        <f>ตัวคูณโรงพยาบาล!D297</f>
        <v>0</v>
      </c>
      <c r="E263" s="5">
        <f>ตัวคูณโรงพยาบาล!E297</f>
        <v>0</v>
      </c>
      <c r="F263" s="5">
        <f>ตัวคูณโรงพยาบาล!F297</f>
        <v>2.210733702919951</v>
      </c>
      <c r="G263" s="5">
        <f>ตัวคูณโรงพยาบาล!G297</f>
        <v>0</v>
      </c>
      <c r="H263" s="5">
        <f>ตัวคูณโรงพยาบาล!H297</f>
        <v>10.509716801226606</v>
      </c>
      <c r="I263" s="5">
        <f>ตัวคูณโรงพยาบาล!I297</f>
        <v>4.5088210716288586</v>
      </c>
      <c r="J263" s="5">
        <f>ตัวคูณโรงพยาบาล!J297</f>
        <v>0</v>
      </c>
      <c r="K263" s="5">
        <f>ตัวคูณโรงพยาบาล!K297</f>
        <v>0</v>
      </c>
      <c r="L263" s="5">
        <f t="shared" si="4"/>
        <v>17.229271575775414</v>
      </c>
    </row>
    <row r="264" spans="1:12" x14ac:dyDescent="0.25">
      <c r="C264" t="s">
        <v>99</v>
      </c>
      <c r="D264" s="5">
        <f>ตัวคูณโรงพยาบาล!D298</f>
        <v>0</v>
      </c>
      <c r="E264" s="5">
        <f>ตัวคูณโรงพยาบาล!E298</f>
        <v>0</v>
      </c>
      <c r="F264" s="5">
        <f>ตัวคูณโรงพยาบาล!F298</f>
        <v>0</v>
      </c>
      <c r="G264" s="5">
        <f>ตัวคูณโรงพยาบาล!G298</f>
        <v>0</v>
      </c>
      <c r="H264" s="5">
        <f>ตัวคูณโรงพยาบาล!H298</f>
        <v>1.2722671972101638</v>
      </c>
      <c r="I264" s="5">
        <f>ตัวคูณโรงพยาบาล!I298</f>
        <v>3.093036759922476E-2</v>
      </c>
      <c r="J264" s="5">
        <f>ตัวคูณโรงพยาบาล!J298</f>
        <v>0</v>
      </c>
      <c r="K264" s="5">
        <f>ตัวคูณโรงพยาบาล!K298</f>
        <v>0</v>
      </c>
      <c r="L264" s="5">
        <f t="shared" si="4"/>
        <v>1.3031975648093885</v>
      </c>
    </row>
    <row r="265" spans="1:12" x14ac:dyDescent="0.25">
      <c r="C265" t="s">
        <v>100</v>
      </c>
      <c r="D265" s="5">
        <f>ตัวคูณโรงพยาบาล!D299</f>
        <v>0</v>
      </c>
      <c r="E265" s="5">
        <f>ตัวคูณโรงพยาบาล!E299</f>
        <v>0</v>
      </c>
      <c r="F265" s="5">
        <f>ตัวคูณโรงพยาบาล!F299</f>
        <v>1.0078408564615462</v>
      </c>
      <c r="G265" s="5">
        <f>ตัวคูณโรงพยาบาล!G299</f>
        <v>0</v>
      </c>
      <c r="H265" s="5">
        <f>ตัวคูณโรงพยาบาล!H299</f>
        <v>2.272267197210164</v>
      </c>
      <c r="I265" s="5">
        <f>ตัวคูณโรงพยาบาล!I299</f>
        <v>3.093036759922476E-2</v>
      </c>
      <c r="J265" s="5">
        <f>ตัวคูณโรงพยาบาล!J299</f>
        <v>0</v>
      </c>
      <c r="K265" s="5">
        <f>ตัวคูณโรงพยาบาล!K299</f>
        <v>0</v>
      </c>
      <c r="L265" s="5">
        <f t="shared" si="4"/>
        <v>3.311038421270935</v>
      </c>
    </row>
    <row r="266" spans="1:12" x14ac:dyDescent="0.25">
      <c r="C266" t="s">
        <v>101</v>
      </c>
      <c r="D266" s="5">
        <f>ตัวคูณโรงพยาบาล!D300</f>
        <v>0</v>
      </c>
      <c r="E266" s="5">
        <f>ตัวคูณโรงพยาบาล!E300</f>
        <v>0</v>
      </c>
      <c r="F266" s="5">
        <f>ตัวคูณโรงพยาบาล!F300</f>
        <v>0</v>
      </c>
      <c r="G266" s="5">
        <f>ตัวคูณโรงพยาบาล!G300</f>
        <v>0</v>
      </c>
      <c r="H266" s="5">
        <f>ตัวคูณโรงพยาบาล!H300</f>
        <v>0</v>
      </c>
      <c r="I266" s="5">
        <f>ตัวคูณโรงพยาบาล!I300</f>
        <v>3.093036759922476E-2</v>
      </c>
      <c r="J266" s="5">
        <f>ตัวคูณโรงพยาบาล!J300</f>
        <v>0</v>
      </c>
      <c r="K266" s="5">
        <f>ตัวคูณโรงพยาบาล!K300</f>
        <v>0</v>
      </c>
      <c r="L266" s="5">
        <f t="shared" si="4"/>
        <v>3.093036759922476E-2</v>
      </c>
    </row>
    <row r="267" spans="1:12" x14ac:dyDescent="0.25">
      <c r="A267" s="23" t="s">
        <v>104</v>
      </c>
      <c r="B267" s="23" t="s">
        <v>113</v>
      </c>
      <c r="C267" t="s">
        <v>70</v>
      </c>
      <c r="D267" s="5">
        <f>ตัวคูณโรงพยาบาล!D301</f>
        <v>0</v>
      </c>
      <c r="E267" s="5">
        <f>ตัวคูณโรงพยาบาล!E301</f>
        <v>0</v>
      </c>
      <c r="F267" s="5">
        <f>ตัวคูณโรงพยาบาล!F301</f>
        <v>0.20045460362105566</v>
      </c>
      <c r="G267" s="5">
        <f>ตัวคูณโรงพยาบาล!G301</f>
        <v>0.46021767477583703</v>
      </c>
      <c r="H267" s="5">
        <f>ตัวคูณโรงพยาบาล!H301</f>
        <v>0</v>
      </c>
      <c r="I267" s="5">
        <f>ตัวคูณโรงพยาบาล!I301</f>
        <v>0</v>
      </c>
      <c r="J267" s="5">
        <f>ตัวคูณโรงพยาบาล!J301</f>
        <v>0</v>
      </c>
      <c r="K267" s="5">
        <f>ตัวคูณโรงพยาบาล!K301</f>
        <v>0</v>
      </c>
      <c r="L267" s="5">
        <f t="shared" si="4"/>
        <v>0.66067227839689269</v>
      </c>
    </row>
    <row r="268" spans="1:12" x14ac:dyDescent="0.25">
      <c r="C268" t="s">
        <v>71</v>
      </c>
      <c r="D268" s="5">
        <f>ตัวคูณโรงพยาบาล!D302</f>
        <v>0</v>
      </c>
      <c r="E268" s="5">
        <f>ตัวคูณโรงพยาบาล!E302</f>
        <v>0</v>
      </c>
      <c r="F268" s="5">
        <f>ตัวคูณโรงพยาบาล!F302</f>
        <v>0.20045460362105566</v>
      </c>
      <c r="G268" s="5">
        <f>ตัวคูณโรงพยาบาล!G302</f>
        <v>0.46021767477583703</v>
      </c>
      <c r="H268" s="5">
        <f>ตัวคูณโรงพยาบาล!H302</f>
        <v>0</v>
      </c>
      <c r="I268" s="5">
        <f>ตัวคูณโรงพยาบาล!I302</f>
        <v>0</v>
      </c>
      <c r="J268" s="5">
        <f>ตัวคูณโรงพยาบาล!J302</f>
        <v>0</v>
      </c>
      <c r="K268" s="5">
        <f>ตัวคูณโรงพยาบาล!K302</f>
        <v>0</v>
      </c>
      <c r="L268" s="5">
        <f t="shared" si="4"/>
        <v>0.66067227839689269</v>
      </c>
    </row>
    <row r="269" spans="1:12" x14ac:dyDescent="0.25">
      <c r="C269" t="s">
        <v>72</v>
      </c>
      <c r="D269" s="5">
        <f>ตัวคูณโรงพยาบาล!D303</f>
        <v>0</v>
      </c>
      <c r="E269" s="5">
        <f>ตัวคูณโรงพยาบาล!E303</f>
        <v>0</v>
      </c>
      <c r="F269" s="5">
        <f>ตัวคูณโรงพยาบาล!F303</f>
        <v>0.20045460362105566</v>
      </c>
      <c r="G269" s="5">
        <f>ตัวคูณโรงพยาบาล!G303</f>
        <v>0.46021767477583703</v>
      </c>
      <c r="H269" s="5">
        <f>ตัวคูณโรงพยาบาล!H303</f>
        <v>0</v>
      </c>
      <c r="I269" s="5">
        <f>ตัวคูณโรงพยาบาล!I303</f>
        <v>0</v>
      </c>
      <c r="J269" s="5">
        <f>ตัวคูณโรงพยาบาล!J303</f>
        <v>0</v>
      </c>
      <c r="K269" s="5">
        <f>ตัวคูณโรงพยาบาล!K303</f>
        <v>0</v>
      </c>
      <c r="L269" s="5">
        <f t="shared" si="4"/>
        <v>0.66067227839689269</v>
      </c>
    </row>
    <row r="270" spans="1:12" x14ac:dyDescent="0.25">
      <c r="C270" t="s">
        <v>73</v>
      </c>
      <c r="D270" s="5">
        <f>ตัวคูณโรงพยาบาล!D304</f>
        <v>0</v>
      </c>
      <c r="E270" s="5">
        <f>ตัวคูณโรงพยาบาล!E304</f>
        <v>0</v>
      </c>
      <c r="F270" s="5">
        <f>ตัวคูณโรงพยาบาล!F304</f>
        <v>0.20045460362105566</v>
      </c>
      <c r="G270" s="5">
        <f>ตัวคูณโรงพยาบาล!G304</f>
        <v>0.46021767477583703</v>
      </c>
      <c r="H270" s="5">
        <f>ตัวคูณโรงพยาบาล!H304</f>
        <v>0</v>
      </c>
      <c r="I270" s="5">
        <f>ตัวคูณโรงพยาบาล!I304</f>
        <v>0</v>
      </c>
      <c r="J270" s="5">
        <f>ตัวคูณโรงพยาบาล!J304</f>
        <v>0</v>
      </c>
      <c r="K270" s="5">
        <f>ตัวคูณโรงพยาบาล!K304</f>
        <v>0</v>
      </c>
      <c r="L270" s="5">
        <f t="shared" si="4"/>
        <v>0.66067227839689269</v>
      </c>
    </row>
    <row r="271" spans="1:12" x14ac:dyDescent="0.25">
      <c r="C271" t="s">
        <v>74</v>
      </c>
      <c r="D271" s="5">
        <f>ตัวคูณโรงพยาบาล!D305</f>
        <v>0</v>
      </c>
      <c r="E271" s="5">
        <f>ตัวคูณโรงพยาบาล!E305</f>
        <v>0</v>
      </c>
      <c r="F271" s="5">
        <f>ตัวคูณโรงพยาบาล!F305</f>
        <v>0.20045460362105566</v>
      </c>
      <c r="G271" s="5">
        <f>ตัวคูณโรงพยาบาล!G305</f>
        <v>0.46021767477583703</v>
      </c>
      <c r="H271" s="5">
        <f>ตัวคูณโรงพยาบาล!H305</f>
        <v>0</v>
      </c>
      <c r="I271" s="5">
        <f>ตัวคูณโรงพยาบาล!I305</f>
        <v>0</v>
      </c>
      <c r="J271" s="5">
        <f>ตัวคูณโรงพยาบาล!J305</f>
        <v>0</v>
      </c>
      <c r="K271" s="5">
        <f>ตัวคูณโรงพยาบาล!K305</f>
        <v>0</v>
      </c>
      <c r="L271" s="5">
        <f t="shared" si="4"/>
        <v>0.66067227839689269</v>
      </c>
    </row>
    <row r="272" spans="1:12" x14ac:dyDescent="0.25">
      <c r="C272" t="s">
        <v>75</v>
      </c>
      <c r="D272" s="5">
        <f>ตัวคูณโรงพยาบาล!D306</f>
        <v>0</v>
      </c>
      <c r="E272" s="5">
        <f>ตัวคูณโรงพยาบาล!E306</f>
        <v>0</v>
      </c>
      <c r="F272" s="5">
        <f>ตัวคูณโรงพยาบาล!F306</f>
        <v>0.20045460362105566</v>
      </c>
      <c r="G272" s="5">
        <f>ตัวคูณโรงพยาบาล!G306</f>
        <v>0.46021767477583703</v>
      </c>
      <c r="H272" s="5">
        <f>ตัวคูณโรงพยาบาล!H306</f>
        <v>0</v>
      </c>
      <c r="I272" s="5">
        <f>ตัวคูณโรงพยาบาล!I306</f>
        <v>0</v>
      </c>
      <c r="J272" s="5">
        <f>ตัวคูณโรงพยาบาล!J306</f>
        <v>0</v>
      </c>
      <c r="K272" s="5">
        <f>ตัวคูณโรงพยาบาล!K306</f>
        <v>0</v>
      </c>
      <c r="L272" s="5">
        <f t="shared" si="4"/>
        <v>0.66067227839689269</v>
      </c>
    </row>
    <row r="273" spans="3:12" x14ac:dyDescent="0.25">
      <c r="C273" t="s">
        <v>76</v>
      </c>
      <c r="D273" s="5">
        <f>ตัวคูณโรงพยาบาล!D307</f>
        <v>0</v>
      </c>
      <c r="E273" s="5">
        <f>ตัวคูณโรงพยาบาล!E307</f>
        <v>0</v>
      </c>
      <c r="F273" s="5">
        <f>ตัวคูณโรงพยาบาล!F307</f>
        <v>0.20045460362105566</v>
      </c>
      <c r="G273" s="5">
        <f>ตัวคูณโรงพยาบาล!G307</f>
        <v>0.46021767477583703</v>
      </c>
      <c r="H273" s="5">
        <f>ตัวคูณโรงพยาบาล!H307</f>
        <v>0</v>
      </c>
      <c r="I273" s="5">
        <f>ตัวคูณโรงพยาบาล!I307</f>
        <v>0</v>
      </c>
      <c r="J273" s="5">
        <f>ตัวคูณโรงพยาบาล!J307</f>
        <v>0</v>
      </c>
      <c r="K273" s="5">
        <f>ตัวคูณโรงพยาบาล!K307</f>
        <v>0</v>
      </c>
      <c r="L273" s="5">
        <f t="shared" si="4"/>
        <v>0.66067227839689269</v>
      </c>
    </row>
    <row r="274" spans="3:12" x14ac:dyDescent="0.25">
      <c r="C274" t="s">
        <v>77</v>
      </c>
      <c r="D274" s="5">
        <f>ตัวคูณโรงพยาบาล!D308</f>
        <v>0</v>
      </c>
      <c r="E274" s="5">
        <f>ตัวคูณโรงพยาบาล!E308</f>
        <v>0</v>
      </c>
      <c r="F274" s="5">
        <f>ตัวคูณโรงพยาบาล!F308</f>
        <v>0.20045460362105566</v>
      </c>
      <c r="G274" s="5">
        <f>ตัวคูณโรงพยาบาล!G308</f>
        <v>0.46021767477583703</v>
      </c>
      <c r="H274" s="5">
        <f>ตัวคูณโรงพยาบาล!H308</f>
        <v>0</v>
      </c>
      <c r="I274" s="5">
        <f>ตัวคูณโรงพยาบาล!I308</f>
        <v>0</v>
      </c>
      <c r="J274" s="5">
        <f>ตัวคูณโรงพยาบาล!J308</f>
        <v>0</v>
      </c>
      <c r="K274" s="5">
        <f>ตัวคูณโรงพยาบาล!K308</f>
        <v>0</v>
      </c>
      <c r="L274" s="5">
        <f t="shared" si="4"/>
        <v>0.66067227839689269</v>
      </c>
    </row>
    <row r="275" spans="3:12" x14ac:dyDescent="0.25">
      <c r="C275" t="s">
        <v>78</v>
      </c>
      <c r="D275" s="5">
        <f>ตัวคูณโรงพยาบาล!D309</f>
        <v>0</v>
      </c>
      <c r="E275" s="5">
        <f>ตัวคูณโรงพยาบาล!E309</f>
        <v>0</v>
      </c>
      <c r="F275" s="5">
        <f>ตัวคูณโรงพยาบาล!F309</f>
        <v>0.20045460362105566</v>
      </c>
      <c r="G275" s="5">
        <f>ตัวคูณโรงพยาบาล!G309</f>
        <v>0.46021767477583703</v>
      </c>
      <c r="H275" s="5">
        <f>ตัวคูณโรงพยาบาล!H309</f>
        <v>0</v>
      </c>
      <c r="I275" s="5">
        <f>ตัวคูณโรงพยาบาล!I309</f>
        <v>0</v>
      </c>
      <c r="J275" s="5">
        <f>ตัวคูณโรงพยาบาล!J309</f>
        <v>0</v>
      </c>
      <c r="K275" s="5">
        <f>ตัวคูณโรงพยาบาล!K309</f>
        <v>0</v>
      </c>
      <c r="L275" s="5">
        <f t="shared" si="4"/>
        <v>0.66067227839689269</v>
      </c>
    </row>
    <row r="276" spans="3:12" x14ac:dyDescent="0.25">
      <c r="C276" t="s">
        <v>79</v>
      </c>
      <c r="D276" s="5">
        <f>ตัวคูณโรงพยาบาล!D310</f>
        <v>0</v>
      </c>
      <c r="E276" s="5">
        <f>ตัวคูณโรงพยาบาล!E310</f>
        <v>0</v>
      </c>
      <c r="F276" s="5">
        <f>ตัวคูณโรงพยาบาล!F310</f>
        <v>0.20045460362105566</v>
      </c>
      <c r="G276" s="5">
        <f>ตัวคูณโรงพยาบาล!G310</f>
        <v>0.46021767477583703</v>
      </c>
      <c r="H276" s="5">
        <f>ตัวคูณโรงพยาบาล!H310</f>
        <v>0</v>
      </c>
      <c r="I276" s="5">
        <f>ตัวคูณโรงพยาบาล!I310</f>
        <v>0</v>
      </c>
      <c r="J276" s="5">
        <f>ตัวคูณโรงพยาบาล!J310</f>
        <v>0</v>
      </c>
      <c r="K276" s="5">
        <f>ตัวคูณโรงพยาบาล!K310</f>
        <v>0</v>
      </c>
      <c r="L276" s="5">
        <f t="shared" si="4"/>
        <v>0.66067227839689269</v>
      </c>
    </row>
    <row r="277" spans="3:12" x14ac:dyDescent="0.25">
      <c r="C277" t="s">
        <v>80</v>
      </c>
      <c r="D277" s="5">
        <f>ตัวคูณโรงพยาบาล!D311</f>
        <v>0</v>
      </c>
      <c r="E277" s="5">
        <f>ตัวคูณโรงพยาบาล!E311</f>
        <v>0</v>
      </c>
      <c r="F277" s="5">
        <f>ตัวคูณโรงพยาบาล!F311</f>
        <v>0.20045460362105566</v>
      </c>
      <c r="G277" s="5">
        <f>ตัวคูณโรงพยาบาล!G311</f>
        <v>0.46021767477583703</v>
      </c>
      <c r="H277" s="5">
        <f>ตัวคูณโรงพยาบาล!H311</f>
        <v>0</v>
      </c>
      <c r="I277" s="5">
        <f>ตัวคูณโรงพยาบาล!I311</f>
        <v>0</v>
      </c>
      <c r="J277" s="5">
        <f>ตัวคูณโรงพยาบาล!J311</f>
        <v>0</v>
      </c>
      <c r="K277" s="5">
        <f>ตัวคูณโรงพยาบาล!K311</f>
        <v>0</v>
      </c>
      <c r="L277" s="5">
        <f t="shared" si="4"/>
        <v>0.66067227839689269</v>
      </c>
    </row>
    <row r="278" spans="3:12" x14ac:dyDescent="0.25">
      <c r="C278" t="s">
        <v>81</v>
      </c>
      <c r="D278" s="5">
        <f>ตัวคูณโรงพยาบาล!D312</f>
        <v>0</v>
      </c>
      <c r="E278" s="5">
        <f>ตัวคูณโรงพยาบาล!E312</f>
        <v>0</v>
      </c>
      <c r="F278" s="5">
        <f>ตัวคูณโรงพยาบาล!F312</f>
        <v>0.20045460362105566</v>
      </c>
      <c r="G278" s="5">
        <f>ตัวคูณโรงพยาบาล!G312</f>
        <v>0.46021767477583703</v>
      </c>
      <c r="H278" s="5">
        <f>ตัวคูณโรงพยาบาล!H312</f>
        <v>0</v>
      </c>
      <c r="I278" s="5">
        <f>ตัวคูณโรงพยาบาล!I312</f>
        <v>0</v>
      </c>
      <c r="J278" s="5">
        <f>ตัวคูณโรงพยาบาล!J312</f>
        <v>0</v>
      </c>
      <c r="K278" s="5">
        <f>ตัวคูณโรงพยาบาล!K312</f>
        <v>0</v>
      </c>
      <c r="L278" s="5">
        <f t="shared" si="4"/>
        <v>0.66067227839689269</v>
      </c>
    </row>
    <row r="279" spans="3:12" x14ac:dyDescent="0.25">
      <c r="C279" t="s">
        <v>82</v>
      </c>
      <c r="D279" s="5">
        <f>ตัวคูณโรงพยาบาล!D313</f>
        <v>0</v>
      </c>
      <c r="E279" s="5">
        <f>ตัวคูณโรงพยาบาล!E313</f>
        <v>0</v>
      </c>
      <c r="F279" s="5">
        <f>ตัวคูณโรงพยาบาล!F313</f>
        <v>0.20045460362105566</v>
      </c>
      <c r="G279" s="5">
        <f>ตัวคูณโรงพยาบาล!G313</f>
        <v>0.46021767477583703</v>
      </c>
      <c r="H279" s="5">
        <f>ตัวคูณโรงพยาบาล!H313</f>
        <v>0</v>
      </c>
      <c r="I279" s="5">
        <f>ตัวคูณโรงพยาบาล!I313</f>
        <v>0</v>
      </c>
      <c r="J279" s="5">
        <f>ตัวคูณโรงพยาบาล!J313</f>
        <v>0</v>
      </c>
      <c r="K279" s="5">
        <f>ตัวคูณโรงพยาบาล!K313</f>
        <v>0</v>
      </c>
      <c r="L279" s="5">
        <f t="shared" si="4"/>
        <v>0.66067227839689269</v>
      </c>
    </row>
    <row r="280" spans="3:12" x14ac:dyDescent="0.25">
      <c r="C280" t="s">
        <v>83</v>
      </c>
      <c r="D280" s="5">
        <f>ตัวคูณโรงพยาบาล!D314</f>
        <v>0</v>
      </c>
      <c r="E280" s="5">
        <f>ตัวคูณโรงพยาบาล!E314</f>
        <v>0</v>
      </c>
      <c r="F280" s="5">
        <f>ตัวคูณโรงพยาบาล!F314</f>
        <v>4.9037119337749369</v>
      </c>
      <c r="G280" s="5">
        <f>ตัวคูณโรงพยาบาล!G314</f>
        <v>0.46021767477583703</v>
      </c>
      <c r="H280" s="5">
        <f>ตัวคูณโรงพยาบาล!H314</f>
        <v>0</v>
      </c>
      <c r="I280" s="5">
        <f>ตัวคูณโรงพยาบาล!I314</f>
        <v>0</v>
      </c>
      <c r="J280" s="5">
        <f>ตัวคูณโรงพยาบาล!J314</f>
        <v>0</v>
      </c>
      <c r="K280" s="5">
        <f>ตัวคูณโรงพยาบาล!K314</f>
        <v>0</v>
      </c>
      <c r="L280" s="5">
        <f t="shared" si="4"/>
        <v>5.3639296085507739</v>
      </c>
    </row>
    <row r="281" spans="3:12" x14ac:dyDescent="0.25">
      <c r="C281" t="s">
        <v>84</v>
      </c>
      <c r="D281" s="5">
        <f>ตัวคูณโรงพยาบาล!D315</f>
        <v>0</v>
      </c>
      <c r="E281" s="5">
        <f>ตัวคูณโรงพยาบาล!E315</f>
        <v>0</v>
      </c>
      <c r="F281" s="5">
        <f>ตัวคูณโรงพยาบาล!F315</f>
        <v>0.20045460362105566</v>
      </c>
      <c r="G281" s="5">
        <f>ตัวคูณโรงพยาบาล!G315</f>
        <v>0.46021767477583703</v>
      </c>
      <c r="H281" s="5">
        <f>ตัวคูณโรงพยาบาล!H315</f>
        <v>0</v>
      </c>
      <c r="I281" s="5">
        <f>ตัวคูณโรงพยาบาล!I315</f>
        <v>0</v>
      </c>
      <c r="J281" s="5">
        <f>ตัวคูณโรงพยาบาล!J315</f>
        <v>0</v>
      </c>
      <c r="K281" s="5">
        <f>ตัวคูณโรงพยาบาล!K315</f>
        <v>0</v>
      </c>
      <c r="L281" s="5">
        <f t="shared" si="4"/>
        <v>0.66067227839689269</v>
      </c>
    </row>
    <row r="282" spans="3:12" x14ac:dyDescent="0.25">
      <c r="C282" t="s">
        <v>85</v>
      </c>
      <c r="D282" s="5">
        <f>ตัวคูณโรงพยาบาล!D316</f>
        <v>0</v>
      </c>
      <c r="E282" s="5">
        <f>ตัวคูณโรงพยาบาล!E316</f>
        <v>0</v>
      </c>
      <c r="F282" s="5">
        <f>ตัวคูณโรงพยาบาล!F316</f>
        <v>0.20045460362105566</v>
      </c>
      <c r="G282" s="5">
        <f>ตัวคูณโรงพยาบาล!G316</f>
        <v>0.46021767477583703</v>
      </c>
      <c r="H282" s="5">
        <f>ตัวคูณโรงพยาบาล!H316</f>
        <v>0</v>
      </c>
      <c r="I282" s="5">
        <f>ตัวคูณโรงพยาบาล!I316</f>
        <v>0</v>
      </c>
      <c r="J282" s="5">
        <f>ตัวคูณโรงพยาบาล!J316</f>
        <v>0</v>
      </c>
      <c r="K282" s="5">
        <f>ตัวคูณโรงพยาบาล!K316</f>
        <v>0</v>
      </c>
      <c r="L282" s="5">
        <f t="shared" si="4"/>
        <v>0.66067227839689269</v>
      </c>
    </row>
    <row r="283" spans="3:12" x14ac:dyDescent="0.25">
      <c r="C283" t="s">
        <v>86</v>
      </c>
      <c r="D283" s="5">
        <f>ตัวคูณโรงพยาบาล!D317</f>
        <v>0</v>
      </c>
      <c r="E283" s="5">
        <f>ตัวคูณโรงพยาบาล!E317</f>
        <v>0</v>
      </c>
      <c r="F283" s="5">
        <f>ตัวคูณโรงพยาบาล!F317</f>
        <v>4.9037119337749369</v>
      </c>
      <c r="G283" s="5">
        <f>ตัวคูณโรงพยาบาล!G317</f>
        <v>0.46021767477583703</v>
      </c>
      <c r="H283" s="5">
        <f>ตัวคูณโรงพยาบาล!H317</f>
        <v>0</v>
      </c>
      <c r="I283" s="5">
        <f>ตัวคูณโรงพยาบาล!I317</f>
        <v>0</v>
      </c>
      <c r="J283" s="5">
        <f>ตัวคูณโรงพยาบาล!J317</f>
        <v>0</v>
      </c>
      <c r="K283" s="5">
        <f>ตัวคูณโรงพยาบาล!K317</f>
        <v>0</v>
      </c>
      <c r="L283" s="5">
        <f t="shared" si="4"/>
        <v>5.3639296085507739</v>
      </c>
    </row>
    <row r="284" spans="3:12" x14ac:dyDescent="0.25">
      <c r="C284" t="s">
        <v>87</v>
      </c>
      <c r="D284" s="5">
        <f>ตัวคูณโรงพยาบาล!D318</f>
        <v>0</v>
      </c>
      <c r="E284" s="5">
        <f>ตัวคูณโรงพยาบาล!E318</f>
        <v>0</v>
      </c>
      <c r="F284" s="5">
        <f>ตัวคูณโรงพยาบาล!F318</f>
        <v>0.20045460362105566</v>
      </c>
      <c r="G284" s="5">
        <f>ตัวคูณโรงพยาบาล!G318</f>
        <v>0.46021767477583703</v>
      </c>
      <c r="H284" s="5">
        <f>ตัวคูณโรงพยาบาล!H318</f>
        <v>0</v>
      </c>
      <c r="I284" s="5">
        <f>ตัวคูณโรงพยาบาล!I318</f>
        <v>0</v>
      </c>
      <c r="J284" s="5">
        <f>ตัวคูณโรงพยาบาล!J318</f>
        <v>0</v>
      </c>
      <c r="K284" s="5">
        <f>ตัวคูณโรงพยาบาล!K318</f>
        <v>0</v>
      </c>
      <c r="L284" s="5">
        <f t="shared" si="4"/>
        <v>0.66067227839689269</v>
      </c>
    </row>
    <row r="285" spans="3:12" x14ac:dyDescent="0.25">
      <c r="C285" t="s">
        <v>88</v>
      </c>
      <c r="D285" s="5">
        <f>ตัวคูณโรงพยาบาล!D319</f>
        <v>0</v>
      </c>
      <c r="E285" s="5">
        <f>ตัวคูณโรงพยาบาล!E319</f>
        <v>0</v>
      </c>
      <c r="F285" s="5">
        <f>ตัวคูณโรงพยาบาล!F319</f>
        <v>4.9037119337749369</v>
      </c>
      <c r="G285" s="5">
        <f>ตัวคูณโรงพยาบาล!G319</f>
        <v>9.3438471848262594</v>
      </c>
      <c r="H285" s="5">
        <f>ตัวคูณโรงพยาบาล!H319</f>
        <v>8.1425100621450497</v>
      </c>
      <c r="I285" s="5">
        <f>ตัวคูณโรงพยาบาล!I319</f>
        <v>0</v>
      </c>
      <c r="J285" s="5">
        <f>ตัวคูณโรงพยาบาล!J319</f>
        <v>0</v>
      </c>
      <c r="K285" s="5">
        <f>ตัวคูณโรงพยาบาล!K319</f>
        <v>0</v>
      </c>
      <c r="L285" s="5">
        <f t="shared" si="4"/>
        <v>22.390069180746245</v>
      </c>
    </row>
    <row r="286" spans="3:12" x14ac:dyDescent="0.25">
      <c r="C286" t="s">
        <v>89</v>
      </c>
      <c r="D286" s="5">
        <f>ตัวคูณโรงพยาบาล!D320</f>
        <v>0</v>
      </c>
      <c r="E286" s="5">
        <f>ตัวคูณโรงพยาบาล!E320</f>
        <v>0</v>
      </c>
      <c r="F286" s="5">
        <f>ตัวคูณโรงพยาบาล!F320</f>
        <v>0.20045460362105566</v>
      </c>
      <c r="G286" s="5">
        <f>ตัวคูณโรงพยาบาล!G320</f>
        <v>0.46021767477583703</v>
      </c>
      <c r="H286" s="5">
        <f>ตัวคูณโรงพยาบาล!H320</f>
        <v>0</v>
      </c>
      <c r="I286" s="5">
        <f>ตัวคูณโรงพยาบาล!I320</f>
        <v>0</v>
      </c>
      <c r="J286" s="5">
        <f>ตัวคูณโรงพยาบาล!J320</f>
        <v>0</v>
      </c>
      <c r="K286" s="5">
        <f>ตัวคูณโรงพยาบาล!K320</f>
        <v>0</v>
      </c>
      <c r="L286" s="5">
        <f t="shared" si="4"/>
        <v>0.66067227839689269</v>
      </c>
    </row>
    <row r="287" spans="3:12" x14ac:dyDescent="0.25">
      <c r="C287" t="s">
        <v>90</v>
      </c>
      <c r="D287" s="5">
        <f>ตัวคูณโรงพยาบาล!D321</f>
        <v>0</v>
      </c>
      <c r="E287" s="5">
        <f>ตัวคูณโรงพยาบาล!E321</f>
        <v>0</v>
      </c>
      <c r="F287" s="5">
        <f>ตัวคูณโรงพยาบาล!F321</f>
        <v>0.20045460362105566</v>
      </c>
      <c r="G287" s="5">
        <f>ตัวคูณโรงพยาบาล!G321</f>
        <v>0.46021767477583703</v>
      </c>
      <c r="H287" s="5">
        <f>ตัวคูณโรงพยาบาล!H321</f>
        <v>0</v>
      </c>
      <c r="I287" s="5">
        <f>ตัวคูณโรงพยาบาล!I321</f>
        <v>0</v>
      </c>
      <c r="J287" s="5">
        <f>ตัวคูณโรงพยาบาล!J321</f>
        <v>0</v>
      </c>
      <c r="K287" s="5">
        <f>ตัวคูณโรงพยาบาล!K321</f>
        <v>0</v>
      </c>
      <c r="L287" s="5">
        <f t="shared" si="4"/>
        <v>0.66067227839689269</v>
      </c>
    </row>
    <row r="288" spans="3:12" x14ac:dyDescent="0.25">
      <c r="C288" t="s">
        <v>91</v>
      </c>
      <c r="D288" s="5">
        <f>ตัวคูณโรงพยาบาล!D322</f>
        <v>0</v>
      </c>
      <c r="E288" s="5">
        <f>ตัวคูณโรงพยาบาล!E322</f>
        <v>0</v>
      </c>
      <c r="F288" s="5">
        <f>ตัวคูณโรงพยาบาล!F322</f>
        <v>0.20045460362105566</v>
      </c>
      <c r="G288" s="5">
        <f>ตัวคูณโรงพยาบาล!G322</f>
        <v>0.46021767477583703</v>
      </c>
      <c r="H288" s="5">
        <f>ตัวคูณโรงพยาบาล!H322</f>
        <v>0</v>
      </c>
      <c r="I288" s="5">
        <f>ตัวคูณโรงพยาบาล!I322</f>
        <v>0</v>
      </c>
      <c r="J288" s="5">
        <f>ตัวคูณโรงพยาบาล!J322</f>
        <v>0</v>
      </c>
      <c r="K288" s="5">
        <f>ตัวคูณโรงพยาบาล!K322</f>
        <v>0</v>
      </c>
      <c r="L288" s="5">
        <f t="shared" si="4"/>
        <v>0.66067227839689269</v>
      </c>
    </row>
    <row r="289" spans="1:12" x14ac:dyDescent="0.25">
      <c r="C289" t="s">
        <v>92</v>
      </c>
      <c r="D289" s="5">
        <f>ตัวคูณโรงพยาบาล!D323</f>
        <v>0</v>
      </c>
      <c r="E289" s="5">
        <f>ตัวคูณโรงพยาบาล!E323</f>
        <v>0</v>
      </c>
      <c r="F289" s="5">
        <f>ตัวคูณโรงพยาบาล!F323</f>
        <v>0.20045460362105566</v>
      </c>
      <c r="G289" s="5">
        <f>ตัวคูณโรงพยาบาล!G323</f>
        <v>0.46021767477583703</v>
      </c>
      <c r="H289" s="5">
        <f>ตัวคูณโรงพยาบาล!H323</f>
        <v>0</v>
      </c>
      <c r="I289" s="5">
        <f>ตัวคูณโรงพยาบาล!I323</f>
        <v>0</v>
      </c>
      <c r="J289" s="5">
        <f>ตัวคูณโรงพยาบาล!J323</f>
        <v>0</v>
      </c>
      <c r="K289" s="5">
        <f>ตัวคูณโรงพยาบาล!K323</f>
        <v>0</v>
      </c>
      <c r="L289" s="5">
        <f t="shared" si="4"/>
        <v>0.66067227839689269</v>
      </c>
    </row>
    <row r="290" spans="1:12" x14ac:dyDescent="0.25">
      <c r="C290" t="s">
        <v>93</v>
      </c>
      <c r="D290" s="5">
        <f>ตัวคูณโรงพยาบาล!D324</f>
        <v>0</v>
      </c>
      <c r="E290" s="5">
        <f>ตัวคูณโรงพยาบาล!E324</f>
        <v>0</v>
      </c>
      <c r="F290" s="5">
        <f>ตัวคูณโรงพยาบาล!F324</f>
        <v>0.20045460362105566</v>
      </c>
      <c r="G290" s="5">
        <f>ตัวคูณโรงพยาบาล!G324</f>
        <v>0.46021767477583703</v>
      </c>
      <c r="H290" s="5">
        <f>ตัวคูณโรงพยาบาล!H324</f>
        <v>0</v>
      </c>
      <c r="I290" s="5">
        <f>ตัวคูณโรงพยาบาล!I324</f>
        <v>0</v>
      </c>
      <c r="J290" s="5">
        <f>ตัวคูณโรงพยาบาล!J324</f>
        <v>0</v>
      </c>
      <c r="K290" s="5">
        <f>ตัวคูณโรงพยาบาล!K324</f>
        <v>0</v>
      </c>
      <c r="L290" s="5">
        <f t="shared" si="4"/>
        <v>0.66067227839689269</v>
      </c>
    </row>
    <row r="291" spans="1:12" x14ac:dyDescent="0.25">
      <c r="C291" t="s">
        <v>94</v>
      </c>
      <c r="D291" s="5">
        <f>ตัวคูณโรงพยาบาล!D325</f>
        <v>0</v>
      </c>
      <c r="E291" s="5">
        <f>ตัวคูณโรงพยาบาล!E325</f>
        <v>0</v>
      </c>
      <c r="F291" s="5">
        <f>ตัวคูณโรงพยาบาล!F325</f>
        <v>0.20045460362105566</v>
      </c>
      <c r="G291" s="5">
        <f>ตัวคูณโรงพยาบาล!G325</f>
        <v>0.46021767477583703</v>
      </c>
      <c r="H291" s="5">
        <f>ตัวคูณโรงพยาบาล!H325</f>
        <v>0</v>
      </c>
      <c r="I291" s="5">
        <f>ตัวคูณโรงพยาบาล!I325</f>
        <v>0</v>
      </c>
      <c r="J291" s="5">
        <f>ตัวคูณโรงพยาบาล!J325</f>
        <v>0</v>
      </c>
      <c r="K291" s="5">
        <f>ตัวคูณโรงพยาบาล!K325</f>
        <v>0</v>
      </c>
      <c r="L291" s="5">
        <f t="shared" si="4"/>
        <v>0.66067227839689269</v>
      </c>
    </row>
    <row r="292" spans="1:12" x14ac:dyDescent="0.25">
      <c r="C292" t="s">
        <v>95</v>
      </c>
      <c r="D292" s="5">
        <f>ตัวคูณโรงพยาบาล!D326</f>
        <v>0</v>
      </c>
      <c r="E292" s="5">
        <f>ตัวคูณโรงพยาบาล!E326</f>
        <v>0</v>
      </c>
      <c r="F292" s="5">
        <f>ตัวคูณโรงพยาบาล!F326</f>
        <v>0.20045460362105566</v>
      </c>
      <c r="G292" s="5">
        <f>ตัวคูณโรงพยาบาล!G326</f>
        <v>0.46021767477583703</v>
      </c>
      <c r="H292" s="5">
        <f>ตัวคูณโรงพยาบาล!H326</f>
        <v>0</v>
      </c>
      <c r="I292" s="5">
        <f>ตัวคูณโรงพยาบาล!I326</f>
        <v>0</v>
      </c>
      <c r="J292" s="5">
        <f>ตัวคูณโรงพยาบาล!J326</f>
        <v>0</v>
      </c>
      <c r="K292" s="5">
        <f>ตัวคูณโรงพยาบาล!K326</f>
        <v>0</v>
      </c>
      <c r="L292" s="5">
        <f t="shared" si="4"/>
        <v>0.66067227839689269</v>
      </c>
    </row>
    <row r="293" spans="1:12" x14ac:dyDescent="0.25">
      <c r="C293" t="s">
        <v>96</v>
      </c>
      <c r="D293" s="5">
        <f>ตัวคูณโรงพยาบาล!D327</f>
        <v>0</v>
      </c>
      <c r="E293" s="5">
        <f>ตัวคูณโรงพยาบาล!E327</f>
        <v>0</v>
      </c>
      <c r="F293" s="5">
        <f>ตัวคูณโรงพยาบาล!F327</f>
        <v>0.20045460362105566</v>
      </c>
      <c r="G293" s="5">
        <f>ตัวคูณโรงพยาบาล!G327</f>
        <v>0.46021767477583703</v>
      </c>
      <c r="H293" s="5">
        <f>ตัวคูณโรงพยาบาล!H327</f>
        <v>0</v>
      </c>
      <c r="I293" s="5">
        <f>ตัวคูณโรงพยาบาล!I327</f>
        <v>0</v>
      </c>
      <c r="J293" s="5">
        <f>ตัวคูณโรงพยาบาล!J327</f>
        <v>0</v>
      </c>
      <c r="K293" s="5">
        <f>ตัวคูณโรงพยาบาล!K327</f>
        <v>0</v>
      </c>
      <c r="L293" s="5">
        <f t="shared" si="4"/>
        <v>0.66067227839689269</v>
      </c>
    </row>
    <row r="294" spans="1:12" x14ac:dyDescent="0.25">
      <c r="C294" t="s">
        <v>97</v>
      </c>
      <c r="D294" s="5">
        <f>ตัวคูณโรงพยาบาล!D328</f>
        <v>0</v>
      </c>
      <c r="E294" s="5">
        <f>ตัวคูณโรงพยาบาล!E328</f>
        <v>0</v>
      </c>
      <c r="F294" s="5">
        <f>ตัวคูณโรงพยาบาล!F328</f>
        <v>0.20045460362105566</v>
      </c>
      <c r="G294" s="5">
        <f>ตัวคูณโรงพยาบาล!G328</f>
        <v>0.46021767477583703</v>
      </c>
      <c r="H294" s="5">
        <f>ตัวคูณโรงพยาบาล!H328</f>
        <v>0</v>
      </c>
      <c r="I294" s="5">
        <f>ตัวคูณโรงพยาบาล!I328</f>
        <v>0</v>
      </c>
      <c r="J294" s="5">
        <f>ตัวคูณโรงพยาบาล!J328</f>
        <v>0</v>
      </c>
      <c r="K294" s="5">
        <f>ตัวคูณโรงพยาบาล!K328</f>
        <v>0</v>
      </c>
      <c r="L294" s="5">
        <f t="shared" si="4"/>
        <v>0.66067227839689269</v>
      </c>
    </row>
    <row r="295" spans="1:12" x14ac:dyDescent="0.25">
      <c r="C295" t="s">
        <v>98</v>
      </c>
      <c r="D295" s="5">
        <f>ตัวคูณโรงพยาบาล!D329</f>
        <v>0</v>
      </c>
      <c r="E295" s="5">
        <f>ตัวคูณโรงพยาบาล!E329</f>
        <v>0</v>
      </c>
      <c r="F295" s="5">
        <f>ตัวคูณโรงพยาบาล!F329</f>
        <v>0.20045460362105566</v>
      </c>
      <c r="G295" s="5">
        <f>ตัวคูณโรงพยาบาล!G329</f>
        <v>0.46021767477583703</v>
      </c>
      <c r="H295" s="5">
        <f>ตัวคูณโรงพยาบาล!H329</f>
        <v>0</v>
      </c>
      <c r="I295" s="5">
        <f>ตัวคูณโรงพยาบาล!I329</f>
        <v>0</v>
      </c>
      <c r="J295" s="5">
        <f>ตัวคูณโรงพยาบาล!J329</f>
        <v>0</v>
      </c>
      <c r="K295" s="5">
        <f>ตัวคูณโรงพยาบาล!K329</f>
        <v>0</v>
      </c>
      <c r="L295" s="5">
        <f t="shared" si="4"/>
        <v>0.66067227839689269</v>
      </c>
    </row>
    <row r="296" spans="1:12" x14ac:dyDescent="0.25">
      <c r="C296" t="s">
        <v>119</v>
      </c>
      <c r="D296" s="5">
        <f>ตัวคูณโรงพยาบาล!D330</f>
        <v>0</v>
      </c>
      <c r="E296" s="5">
        <f>ตัวคูณโรงพยาบาล!E330</f>
        <v>0</v>
      </c>
      <c r="F296" s="5">
        <f>ตัวคูณโรงพยาบาล!F330</f>
        <v>0.20045460362105566</v>
      </c>
      <c r="G296" s="5">
        <f>ตัวคูณโรงพยาบาล!G330</f>
        <v>0.46021767477583703</v>
      </c>
      <c r="H296" s="5">
        <f>ตัวคูณโรงพยาบาล!H330</f>
        <v>0</v>
      </c>
      <c r="I296" s="5">
        <f>ตัวคูณโรงพยาบาล!I330</f>
        <v>0</v>
      </c>
      <c r="J296" s="5">
        <f>ตัวคูณโรงพยาบาล!J330</f>
        <v>0</v>
      </c>
      <c r="K296" s="5">
        <f>ตัวคูณโรงพยาบาล!K330</f>
        <v>0</v>
      </c>
      <c r="L296" s="5">
        <f t="shared" si="4"/>
        <v>0.66067227839689269</v>
      </c>
    </row>
    <row r="297" spans="1:12" x14ac:dyDescent="0.25">
      <c r="C297" t="s">
        <v>99</v>
      </c>
      <c r="D297" s="5">
        <f>ตัวคูณโรงพยาบาล!D331</f>
        <v>0</v>
      </c>
      <c r="E297" s="5">
        <f>ตัวคูณโรงพยาบาล!E331</f>
        <v>0</v>
      </c>
      <c r="F297" s="5">
        <f>ตัวคูณโรงพยาบาล!F331</f>
        <v>0.20045460362105566</v>
      </c>
      <c r="G297" s="5">
        <f>ตัวคูณโรงพยาบาล!G331</f>
        <v>0.46021767477583703</v>
      </c>
      <c r="H297" s="5">
        <f>ตัวคูณโรงพยาบาล!H331</f>
        <v>0</v>
      </c>
      <c r="I297" s="5">
        <f>ตัวคูณโรงพยาบาล!I331</f>
        <v>0</v>
      </c>
      <c r="J297" s="5">
        <f>ตัวคูณโรงพยาบาล!J331</f>
        <v>0</v>
      </c>
      <c r="K297" s="5">
        <f>ตัวคูณโรงพยาบาล!K331</f>
        <v>0</v>
      </c>
      <c r="L297" s="5">
        <f t="shared" si="4"/>
        <v>0.66067227839689269</v>
      </c>
    </row>
    <row r="298" spans="1:12" x14ac:dyDescent="0.25">
      <c r="C298" t="s">
        <v>100</v>
      </c>
      <c r="D298" s="5">
        <f>ตัวคูณโรงพยาบาล!D332</f>
        <v>0</v>
      </c>
      <c r="E298" s="5">
        <f>ตัวคูณโรงพยาบาล!E332</f>
        <v>0</v>
      </c>
      <c r="F298" s="5">
        <f>ตัวคูณโรงพยาบาล!F332</f>
        <v>0.20045460362105566</v>
      </c>
      <c r="G298" s="5">
        <f>ตัวคูณโรงพยาบาล!G332</f>
        <v>0.46021767477583703</v>
      </c>
      <c r="H298" s="5">
        <f>ตัวคูณโรงพยาบาล!H332</f>
        <v>0</v>
      </c>
      <c r="I298" s="5">
        <f>ตัวคูณโรงพยาบาล!I332</f>
        <v>0</v>
      </c>
      <c r="J298" s="5">
        <f>ตัวคูณโรงพยาบาล!J332</f>
        <v>0</v>
      </c>
      <c r="K298" s="5">
        <f>ตัวคูณโรงพยาบาล!K332</f>
        <v>0</v>
      </c>
      <c r="L298" s="5">
        <f t="shared" si="4"/>
        <v>0.66067227839689269</v>
      </c>
    </row>
    <row r="299" spans="1:12" x14ac:dyDescent="0.25">
      <c r="C299" t="s">
        <v>101</v>
      </c>
      <c r="D299" s="5">
        <f>ตัวคูณโรงพยาบาล!D333</f>
        <v>0</v>
      </c>
      <c r="E299" s="5">
        <f>ตัวคูณโรงพยาบาล!E333</f>
        <v>0</v>
      </c>
      <c r="F299" s="5">
        <f>ตัวคูณโรงพยาบาล!F333</f>
        <v>0.20045460362105566</v>
      </c>
      <c r="G299" s="5">
        <f>ตัวคูณโรงพยาบาล!G333</f>
        <v>0.46021767477583703</v>
      </c>
      <c r="H299" s="5">
        <f>ตัวคูณโรงพยาบาล!H333</f>
        <v>0</v>
      </c>
      <c r="I299" s="5">
        <f>ตัวคูณโรงพยาบาล!I333</f>
        <v>0</v>
      </c>
      <c r="J299" s="5">
        <f>ตัวคูณโรงพยาบาล!J333</f>
        <v>0</v>
      </c>
      <c r="K299" s="5">
        <f>ตัวคูณโรงพยาบาล!K333</f>
        <v>0</v>
      </c>
      <c r="L299" s="5">
        <f t="shared" si="4"/>
        <v>0.66067227839689269</v>
      </c>
    </row>
    <row r="300" spans="1:12" x14ac:dyDescent="0.25">
      <c r="A300" s="36" t="s">
        <v>104</v>
      </c>
      <c r="B300" s="23" t="s">
        <v>114</v>
      </c>
      <c r="C300" t="s">
        <v>70</v>
      </c>
      <c r="D300" s="5">
        <f>ตัวคูณโรงพยาบาล!D334</f>
        <v>0</v>
      </c>
      <c r="E300" s="5">
        <f>ตัวคูณโรงพยาบาล!E334</f>
        <v>0</v>
      </c>
      <c r="F300" s="5">
        <f>ตัวคูณโรงพยาบาล!F334</f>
        <v>45.226070253692718</v>
      </c>
      <c r="G300" s="5">
        <f>ตัวคูณโรงพยาบาล!G334</f>
        <v>30.461197573511036</v>
      </c>
      <c r="H300" s="5">
        <f>ตัวคูณโรงพยาบาล!H334</f>
        <v>18.9467630823208</v>
      </c>
      <c r="I300" s="5">
        <f>ตัวคูณโรงพยาบาล!I334</f>
        <v>0</v>
      </c>
      <c r="J300" s="5">
        <f>ตัวคูณโรงพยาบาล!J334</f>
        <v>0</v>
      </c>
      <c r="K300" s="5">
        <f>ตัวคูณโรงพยาบาล!K334</f>
        <v>0.16317016317016317</v>
      </c>
      <c r="L300" s="5">
        <f t="shared" si="4"/>
        <v>94.797201072694719</v>
      </c>
    </row>
    <row r="301" spans="1:12" x14ac:dyDescent="0.25">
      <c r="A301" s="14"/>
      <c r="C301" t="s">
        <v>71</v>
      </c>
      <c r="D301" s="5">
        <f>ตัวคูณโรงพยาบาล!D335</f>
        <v>0</v>
      </c>
      <c r="E301" s="5">
        <f>ตัวคูณโรงพยาบาล!E335</f>
        <v>0</v>
      </c>
      <c r="F301" s="5">
        <f>ตัวคูณโรงพยาบาล!F335</f>
        <v>244.41502890269143</v>
      </c>
      <c r="G301" s="5">
        <f>ตัวคูณโรงพยาบาล!G335</f>
        <v>340.00506196617573</v>
      </c>
      <c r="H301" s="5">
        <f>ตัวคูณโรงพยาบาล!H335</f>
        <v>58.64821793525747</v>
      </c>
      <c r="I301" s="5">
        <f>ตัวคูณโรงพยาบาล!I335</f>
        <v>4.7300830450521776</v>
      </c>
      <c r="J301" s="5">
        <f>ตัวคูณโรงพยาบาล!J335</f>
        <v>0</v>
      </c>
      <c r="K301" s="5">
        <f>ตัวคูณโรงพยาบาล!K335</f>
        <v>0.16317016317016317</v>
      </c>
      <c r="L301" s="5">
        <f t="shared" si="4"/>
        <v>647.96156201234703</v>
      </c>
    </row>
    <row r="302" spans="1:12" x14ac:dyDescent="0.25">
      <c r="A302" s="14"/>
      <c r="C302" t="s">
        <v>72</v>
      </c>
      <c r="D302" s="5">
        <f>ตัวคูณโรงพยาบาล!D336</f>
        <v>0</v>
      </c>
      <c r="E302" s="5">
        <f>ตัวคูณโรงพยาบาล!E336</f>
        <v>0</v>
      </c>
      <c r="F302" s="5">
        <f>ตัวคูณโรงพยาบาล!F336</f>
        <v>39.335257643923249</v>
      </c>
      <c r="G302" s="5">
        <f>ตัวคูณโรงพยาบาล!G336</f>
        <v>92.531006229462818</v>
      </c>
      <c r="H302" s="5">
        <f>ตัวคูณโรงพยาบาล!H336</f>
        <v>88.717929320865281</v>
      </c>
      <c r="I302" s="5">
        <f>ตัวคูณโรงพยาบาล!I336</f>
        <v>11.608948041045069</v>
      </c>
      <c r="J302" s="5">
        <f>ตัวคูณโรงพยาบาล!J336</f>
        <v>0</v>
      </c>
      <c r="K302" s="5">
        <f>ตัวคูณโรงพยาบาล!K336</f>
        <v>0.16317016317016317</v>
      </c>
      <c r="L302" s="5">
        <f t="shared" si="4"/>
        <v>232.35631139846654</v>
      </c>
    </row>
    <row r="303" spans="1:12" x14ac:dyDescent="0.25">
      <c r="A303" s="14"/>
      <c r="C303" t="s">
        <v>73</v>
      </c>
      <c r="D303" s="5">
        <f>ตัวคูณโรงพยาบาล!D337</f>
        <v>0</v>
      </c>
      <c r="E303" s="5">
        <f>ตัวคูณโรงพยาบาล!E337</f>
        <v>0</v>
      </c>
      <c r="F303" s="5">
        <f>ตัวคูณโรงพยาบาล!F337</f>
        <v>23.926098053728733</v>
      </c>
      <c r="G303" s="5">
        <f>ตัวคูณโรงพยาบาล!G337</f>
        <v>72.581610937250034</v>
      </c>
      <c r="H303" s="5">
        <f>ตัวคูณโรงพยาบาล!H337</f>
        <v>47.797406116125117</v>
      </c>
      <c r="I303" s="5">
        <f>ตัวคูณโรงพยาบาล!I337</f>
        <v>20.636594987978672</v>
      </c>
      <c r="J303" s="5">
        <f>ตัวคูณโรงพยาบาล!J337</f>
        <v>6.8752574308587526</v>
      </c>
      <c r="K303" s="5">
        <f>ตัวคูณโรงพยาบาล!K337</f>
        <v>0.16317016317016317</v>
      </c>
      <c r="L303" s="5">
        <f t="shared" si="4"/>
        <v>171.98013768911147</v>
      </c>
    </row>
    <row r="304" spans="1:12" x14ac:dyDescent="0.25">
      <c r="A304" s="14"/>
      <c r="C304" t="s">
        <v>74</v>
      </c>
      <c r="D304" s="5">
        <f>ตัวคูณโรงพยาบาล!D338</f>
        <v>0</v>
      </c>
      <c r="E304" s="5">
        <f>ตัวคูณโรงพยาบาล!E338</f>
        <v>0</v>
      </c>
      <c r="F304" s="5">
        <f>ตัวคูณโรงพยาบาล!F338</f>
        <v>35.042529653810774</v>
      </c>
      <c r="G304" s="5">
        <f>ตัวคูณโรงพยาบาล!G338</f>
        <v>75.652491417858755</v>
      </c>
      <c r="H304" s="5">
        <f>ตัวคูณโรงพยาบาล!H338</f>
        <v>59.550562434724043</v>
      </c>
      <c r="I304" s="5">
        <f>ตัวคูณโรงพยาบาล!I338</f>
        <v>36.75936650249055</v>
      </c>
      <c r="J304" s="5">
        <f>ตัวคูณโรงพยาบาล!J338</f>
        <v>0</v>
      </c>
      <c r="K304" s="5">
        <f>ตัวคูณโรงพยาบาล!K338</f>
        <v>0.16317016317016317</v>
      </c>
      <c r="L304" s="5">
        <f t="shared" si="4"/>
        <v>207.16812017205427</v>
      </c>
    </row>
    <row r="305" spans="1:12" x14ac:dyDescent="0.25">
      <c r="A305" s="14"/>
      <c r="C305" t="s">
        <v>75</v>
      </c>
      <c r="D305" s="5">
        <f>ตัวคูณโรงพยาบาล!D339</f>
        <v>0</v>
      </c>
      <c r="E305" s="5">
        <f>ตัวคูณโรงพยาบาล!E339</f>
        <v>0</v>
      </c>
      <c r="F305" s="5">
        <f>ตัวคูณโรงพยาบาล!F339</f>
        <v>13.274030072061164</v>
      </c>
      <c r="G305" s="5">
        <f>ตัวคูณโรงพยาบาล!G339</f>
        <v>30.86219959728912</v>
      </c>
      <c r="H305" s="5">
        <f>ตัวคูณโรงพยาบาล!H339</f>
        <v>34.511697282747726</v>
      </c>
      <c r="I305" s="5">
        <f>ตัวคูณโรงพยาบาล!I339</f>
        <v>6.8788649959928918</v>
      </c>
      <c r="J305" s="5">
        <f>ตัวคูณโรงพยาบาล!J339</f>
        <v>0</v>
      </c>
      <c r="K305" s="5">
        <f>ตัวคูณโรงพยาบาล!K339</f>
        <v>0.16317016317016317</v>
      </c>
      <c r="L305" s="5">
        <f t="shared" si="4"/>
        <v>85.689962111261067</v>
      </c>
    </row>
    <row r="306" spans="1:12" x14ac:dyDescent="0.25">
      <c r="A306" s="14"/>
      <c r="C306" t="s">
        <v>76</v>
      </c>
      <c r="D306" s="5">
        <f>ตัวคูณโรงพยาบาล!D340</f>
        <v>0</v>
      </c>
      <c r="E306" s="5">
        <f>ตัวคูณโรงพยาบาล!E340</f>
        <v>0</v>
      </c>
      <c r="F306" s="5">
        <f>ตัวคูณโรงพยาบาล!F340</f>
        <v>64.317685979795769</v>
      </c>
      <c r="G306" s="5">
        <f>ตัวคูณโรงพยาบาล!G340</f>
        <v>121.72368997293714</v>
      </c>
      <c r="H306" s="5">
        <f>ตัวคูณโรงพยาบาล!H340</f>
        <v>54.471905487120843</v>
      </c>
      <c r="I306" s="5">
        <f>ตัวคูณโรงพยาบาล!I340</f>
        <v>6.8788649959928918</v>
      </c>
      <c r="J306" s="5">
        <f>ตัวคูณโรงพยาบาล!J340</f>
        <v>0</v>
      </c>
      <c r="K306" s="5">
        <f>ตัวคูณโรงพยาบาล!K340</f>
        <v>0.16317016317016317</v>
      </c>
      <c r="L306" s="5">
        <f t="shared" si="4"/>
        <v>247.55531659901678</v>
      </c>
    </row>
    <row r="307" spans="1:12" x14ac:dyDescent="0.25">
      <c r="A307" s="14"/>
      <c r="C307" t="s">
        <v>77</v>
      </c>
      <c r="D307" s="5">
        <f>ตัวคูณโรงพยาบาล!D341</f>
        <v>0</v>
      </c>
      <c r="E307" s="5">
        <f>ตัวคูณโรงพยาบาล!E341</f>
        <v>0</v>
      </c>
      <c r="F307" s="5">
        <f>ตัวคูณโรงพยาบาล!F341</f>
        <v>105.83167086054794</v>
      </c>
      <c r="G307" s="5">
        <f>ตัวคูณโรงพยาบาล!G341</f>
        <v>173.52658335075785</v>
      </c>
      <c r="H307" s="5">
        <f>ตัวคูณโรงพยาบาล!H341</f>
        <v>100.15760147648922</v>
      </c>
      <c r="I307" s="5">
        <f>ตัวคูณโรงพยาบาล!I341</f>
        <v>2.3650415225260888</v>
      </c>
      <c r="J307" s="5">
        <f>ตัวคูณโรงพยาบาล!J341</f>
        <v>6.8752574308587526</v>
      </c>
      <c r="K307" s="5">
        <f>ตัวคูณโรงพยาบาล!K341</f>
        <v>0.16317016317016317</v>
      </c>
      <c r="L307" s="5">
        <f t="shared" si="4"/>
        <v>388.91932480435003</v>
      </c>
    </row>
    <row r="308" spans="1:12" x14ac:dyDescent="0.25">
      <c r="A308" s="14"/>
      <c r="C308" t="s">
        <v>78</v>
      </c>
      <c r="D308" s="5">
        <f>ตัวคูณโรงพยาบาล!D342</f>
        <v>0</v>
      </c>
      <c r="E308" s="5">
        <f>ตัวคูณโรงพยาบาล!E342</f>
        <v>0</v>
      </c>
      <c r="F308" s="5">
        <f>ตัวคูณโรงพยาบาล!F342</f>
        <v>715.26421536061764</v>
      </c>
      <c r="G308" s="5">
        <f>ตัวคูณโรงพยาบาล!G342</f>
        <v>1353.7302891052393</v>
      </c>
      <c r="H308" s="5">
        <f>ตัวคูณโรงพยาบาล!H342</f>
        <v>795.51094605164394</v>
      </c>
      <c r="I308" s="5">
        <f>ตัวคูณโรงพยาบาล!I342</f>
        <v>120.20548249877679</v>
      </c>
      <c r="J308" s="5">
        <f>ตัวคูณโรงพยาบาล!J342</f>
        <v>18.298764893545318</v>
      </c>
      <c r="K308" s="5">
        <f>ตัวคูณโรงพยาบาล!K342</f>
        <v>0.16317016317016317</v>
      </c>
      <c r="L308" s="5">
        <f t="shared" si="4"/>
        <v>3003.1728680729934</v>
      </c>
    </row>
    <row r="309" spans="1:12" x14ac:dyDescent="0.25">
      <c r="A309" s="14"/>
      <c r="C309" t="s">
        <v>79</v>
      </c>
      <c r="D309" s="5">
        <f>ตัวคูณโรงพยาบาล!D343</f>
        <v>0</v>
      </c>
      <c r="E309" s="5">
        <f>ตัวคูณโรงพยาบาล!E343</f>
        <v>0</v>
      </c>
      <c r="F309" s="5">
        <f>ตัวคูณโรงพยาบาล!F343</f>
        <v>126.79904625078349</v>
      </c>
      <c r="G309" s="5">
        <f>ตัวคูณโรงพยาบาล!G343</f>
        <v>147.98652899098852</v>
      </c>
      <c r="H309" s="5">
        <f>ตัวคูณโรงพยาบาล!H343</f>
        <v>140.99866901295064</v>
      </c>
      <c r="I309" s="5">
        <f>ตัวคูณโรงพยาบาล!I343</f>
        <v>24.571035262749458</v>
      </c>
      <c r="J309" s="5">
        <f>ตัวคูณโรงพยาบาล!J343</f>
        <v>13.750514861717505</v>
      </c>
      <c r="K309" s="5">
        <f>ตัวคูณโรงพยาบาล!K343</f>
        <v>0.16317016317016317</v>
      </c>
      <c r="L309" s="5">
        <f t="shared" si="4"/>
        <v>454.2689645423597</v>
      </c>
    </row>
    <row r="310" spans="1:12" x14ac:dyDescent="0.25">
      <c r="A310" s="14"/>
      <c r="C310" t="s">
        <v>80</v>
      </c>
      <c r="D310" s="5">
        <f>ตัวคูณโรงพยาบาล!D344</f>
        <v>0</v>
      </c>
      <c r="E310" s="5">
        <f>ตัวคูณโรงพยาบาล!E344</f>
        <v>0</v>
      </c>
      <c r="F310" s="5">
        <f>ตัวคูณโรงพยาบาล!F344</f>
        <v>190.9680004204146</v>
      </c>
      <c r="G310" s="5">
        <f>ตัวคูณโรงพยาบาล!G344</f>
        <v>320.12080911825501</v>
      </c>
      <c r="H310" s="5">
        <f>ตัวคูณโรงพยาบาล!H344</f>
        <v>209.90235905212501</v>
      </c>
      <c r="I310" s="5">
        <f>ตัวคูณโรงพยาบาล!I344</f>
        <v>34.826844123135203</v>
      </c>
      <c r="J310" s="5">
        <f>ตัวคูณโรงพยาบาล!J344</f>
        <v>2.4011194029850742</v>
      </c>
      <c r="K310" s="5">
        <f>ตัวคูณโรงพยาบาล!K344</f>
        <v>0.16317016317016317</v>
      </c>
      <c r="L310" s="5">
        <f t="shared" si="4"/>
        <v>758.38230228008501</v>
      </c>
    </row>
    <row r="311" spans="1:12" x14ac:dyDescent="0.25">
      <c r="A311" s="14"/>
      <c r="C311" t="s">
        <v>81</v>
      </c>
      <c r="D311" s="5">
        <f>ตัวคูณโรงพยาบาล!D345</f>
        <v>0</v>
      </c>
      <c r="E311" s="5">
        <f>ตัวคูณโรงพยาบาล!E345</f>
        <v>0</v>
      </c>
      <c r="F311" s="5">
        <f>ตัวคูณโรงพยาบาล!F345</f>
        <v>49.163732480230969</v>
      </c>
      <c r="G311" s="5">
        <f>ตัวคูณโรงพยาบาล!G345</f>
        <v>68.312734504197479</v>
      </c>
      <c r="H311" s="5">
        <f>ตัวคูณโรงพยาบาล!H345</f>
        <v>31.06971138560781</v>
      </c>
      <c r="I311" s="5">
        <f>ตัวคูณโรงพยาบาล!I345</f>
        <v>11.608948041045069</v>
      </c>
      <c r="J311" s="5">
        <f>ตัวคูณโรงพยาบาล!J345</f>
        <v>0</v>
      </c>
      <c r="K311" s="5">
        <f>ตัวคูณโรงพยาบาล!K345</f>
        <v>0.16317016317016317</v>
      </c>
      <c r="L311" s="5">
        <f t="shared" si="4"/>
        <v>160.31829657425146</v>
      </c>
    </row>
    <row r="312" spans="1:12" x14ac:dyDescent="0.25">
      <c r="A312" s="14"/>
      <c r="C312" t="s">
        <v>82</v>
      </c>
      <c r="D312" s="5">
        <f>ตัวคูณโรงพยาบาล!D346</f>
        <v>0</v>
      </c>
      <c r="E312" s="5">
        <f>ตัวคูณโรงพยาบาล!E346</f>
        <v>0</v>
      </c>
      <c r="F312" s="5">
        <f>ตัวคูณโรงพยาบาล!F346</f>
        <v>211.53952970892641</v>
      </c>
      <c r="G312" s="5">
        <f>ตัวคูณโรงพยาบาล!G346</f>
        <v>372.83810806445211</v>
      </c>
      <c r="H312" s="5">
        <f>ตัวคูณโรงพยาบาล!H346</f>
        <v>366.97322606513148</v>
      </c>
      <c r="I312" s="5">
        <f>ตัวคูณโรงพยาบาล!I346</f>
        <v>64.309524244492152</v>
      </c>
      <c r="J312" s="5">
        <f>ตัวคูณโรงพยาบาล!J346</f>
        <v>0</v>
      </c>
      <c r="K312" s="5">
        <f>ตัวคูณโรงพยาบาล!K346</f>
        <v>0.16317016317016317</v>
      </c>
      <c r="L312" s="5">
        <f t="shared" si="4"/>
        <v>1015.8235582461724</v>
      </c>
    </row>
    <row r="313" spans="1:12" x14ac:dyDescent="0.25">
      <c r="A313" s="14"/>
      <c r="C313" t="s">
        <v>83</v>
      </c>
      <c r="D313" s="5">
        <f>ตัวคูณโรงพยาบาล!D347</f>
        <v>0</v>
      </c>
      <c r="E313" s="5">
        <f>ตัวคูณโรงพยาบาล!E347</f>
        <v>0</v>
      </c>
      <c r="F313" s="5">
        <f>ตัวคูณโรงพยาบาล!F347</f>
        <v>52.842024852768347</v>
      </c>
      <c r="G313" s="5">
        <f>ตัวคูณโรงพยาบาล!G347</f>
        <v>99.569920974536558</v>
      </c>
      <c r="H313" s="5">
        <f>ตัวคูณโรงพยาบาล!H347</f>
        <v>38.207010327616587</v>
      </c>
      <c r="I313" s="5">
        <f>ตัวคูณโรงพยาบาล!I347</f>
        <v>2.3650415225260888</v>
      </c>
      <c r="J313" s="5">
        <f>ตัวคูณโรงพยาบาล!J347</f>
        <v>0</v>
      </c>
      <c r="K313" s="5">
        <f>ตัวคูณโรงพยาบาล!K347</f>
        <v>0.16317016317016317</v>
      </c>
      <c r="L313" s="5">
        <f t="shared" si="4"/>
        <v>193.14716784061775</v>
      </c>
    </row>
    <row r="314" spans="1:12" x14ac:dyDescent="0.25">
      <c r="A314" s="14"/>
      <c r="C314" t="s">
        <v>84</v>
      </c>
      <c r="D314" s="5">
        <f>ตัวคูณโรงพยาบาล!D348</f>
        <v>0</v>
      </c>
      <c r="E314" s="5">
        <f>ตัวคูณโรงพยาบาล!E348</f>
        <v>0</v>
      </c>
      <c r="F314" s="5">
        <f>ตัวคูณโรงพยาบาล!F348</f>
        <v>74.63299338836373</v>
      </c>
      <c r="G314" s="5">
        <f>ตัวคูณโรงพยาบาล!G348</f>
        <v>113.90872176511409</v>
      </c>
      <c r="H314" s="5">
        <f>ตัวคูณโรงพยาบาล!H348</f>
        <v>45.675993264855066</v>
      </c>
      <c r="I314" s="5">
        <f>ตัวคูณโรงพยาบาล!I348</f>
        <v>0</v>
      </c>
      <c r="J314" s="5">
        <f>ตัวคูณโรงพยาบาล!J348</f>
        <v>13.49652608757517</v>
      </c>
      <c r="K314" s="5">
        <f>ตัวคูณโรงพยาบาล!K348</f>
        <v>0.16317016317016317</v>
      </c>
      <c r="L314" s="5">
        <f t="shared" si="4"/>
        <v>247.8774046690782</v>
      </c>
    </row>
    <row r="315" spans="1:12" x14ac:dyDescent="0.25">
      <c r="A315" s="14"/>
      <c r="C315" t="s">
        <v>85</v>
      </c>
      <c r="D315" s="5">
        <f>ตัวคูณโรงพยาบาล!D349</f>
        <v>0</v>
      </c>
      <c r="E315" s="5">
        <f>ตัวคูณโรงพยาบาล!E349</f>
        <v>0</v>
      </c>
      <c r="F315" s="5">
        <f>ตัวคูณโรงพยาบาล!F349</f>
        <v>145.2048852682455</v>
      </c>
      <c r="G315" s="5">
        <f>ตัวคูณโรงพยาบาล!G349</f>
        <v>267.91322503525993</v>
      </c>
      <c r="H315" s="5">
        <f>ตัวคูณโรงพยาบาล!H349</f>
        <v>69.457682075569494</v>
      </c>
      <c r="I315" s="5">
        <f>ตัวคูณโรงพยาบาล!I349</f>
        <v>16.122771514511872</v>
      </c>
      <c r="J315" s="5">
        <f>ตัวคูณโรงพยาบาล!J349</f>
        <v>6.8752574308587526</v>
      </c>
      <c r="K315" s="5">
        <f>ตัวคูณโรงพยาบาล!K349</f>
        <v>0.16317016317016317</v>
      </c>
      <c r="L315" s="5">
        <f t="shared" si="4"/>
        <v>505.73699148761574</v>
      </c>
    </row>
    <row r="316" spans="1:12" x14ac:dyDescent="0.25">
      <c r="A316" s="14"/>
      <c r="C316" t="s">
        <v>86</v>
      </c>
      <c r="D316" s="5">
        <f>ตัวคูณโรงพยาบาล!D350</f>
        <v>0</v>
      </c>
      <c r="E316" s="5">
        <f>ตัวคูณโรงพยาบาล!E350</f>
        <v>0</v>
      </c>
      <c r="F316" s="5">
        <f>ตัวคูณโรงพยาบาล!F350</f>
        <v>450.39217904820561</v>
      </c>
      <c r="G316" s="5">
        <f>ตัวคูณโรงพยาบาล!G350</f>
        <v>531.40594924854474</v>
      </c>
      <c r="H316" s="5">
        <f>ตัวคูณโรงพยาบาล!H350</f>
        <v>311.05348114989033</v>
      </c>
      <c r="I316" s="5">
        <f>ตัวคูณโรงพยาบาล!I350</f>
        <v>59.181619814299289</v>
      </c>
      <c r="J316" s="5">
        <f>ตัวคูณโรงพยาบาล!J350</f>
        <v>4.8022388059701484</v>
      </c>
      <c r="K316" s="5">
        <f>ตัวคูณโรงพยาบาล!K350</f>
        <v>0.16317016317016317</v>
      </c>
      <c r="L316" s="5">
        <f t="shared" si="4"/>
        <v>1356.9986382300801</v>
      </c>
    </row>
    <row r="317" spans="1:12" x14ac:dyDescent="0.25">
      <c r="A317" s="14"/>
      <c r="C317" t="s">
        <v>87</v>
      </c>
      <c r="D317" s="5">
        <f>ตัวคูณโรงพยาบาล!D351</f>
        <v>0</v>
      </c>
      <c r="E317" s="5">
        <f>ตัวคูณโรงพยาบาล!E351</f>
        <v>0</v>
      </c>
      <c r="F317" s="5">
        <f>ตัวคูณโรงพยาบาล!F351</f>
        <v>143.93939745831699</v>
      </c>
      <c r="G317" s="5">
        <f>ตัวคูณโรงพยาบาล!G351</f>
        <v>303.36877006105868</v>
      </c>
      <c r="H317" s="5">
        <f>ตัวคูณโรงพยาบาล!H351</f>
        <v>211.27276054098411</v>
      </c>
      <c r="I317" s="5">
        <f>ตัวคูณโรงพยาบาล!I351</f>
        <v>38.942846211461315</v>
      </c>
      <c r="J317" s="5">
        <f>ตัวคูณโรงพยาบาล!J351</f>
        <v>6.8752574308587526</v>
      </c>
      <c r="K317" s="5">
        <f>ตัวคูณโรงพยาบาล!K351</f>
        <v>0.16317016317016317</v>
      </c>
      <c r="L317" s="5">
        <f t="shared" si="4"/>
        <v>704.56220186585006</v>
      </c>
    </row>
    <row r="318" spans="1:12" x14ac:dyDescent="0.25">
      <c r="A318" s="14"/>
      <c r="C318" t="s">
        <v>88</v>
      </c>
      <c r="D318" s="5">
        <f>ตัวคูณโรงพยาบาล!D352</f>
        <v>0</v>
      </c>
      <c r="E318" s="5">
        <f>ตัวคูณโรงพยาบาล!E352</f>
        <v>0</v>
      </c>
      <c r="F318" s="5">
        <f>ตัวคูณโรงพยาบาล!F352</f>
        <v>1625.3925247105376</v>
      </c>
      <c r="G318" s="5">
        <f>ตัวคูณโรงพยาบาล!G352</f>
        <v>3481.05203687227</v>
      </c>
      <c r="H318" s="5">
        <f>ตัวคูณโรงพยาบาล!H352</f>
        <v>2011.183955288619</v>
      </c>
      <c r="I318" s="5">
        <f>ตัวคูณโรงพยาบาล!I352</f>
        <v>400.12486314157474</v>
      </c>
      <c r="J318" s="5">
        <f>ตัวคูณโรงพยาบาล!J352</f>
        <v>48.200914019965403</v>
      </c>
      <c r="K318" s="5">
        <f>ตัวคูณโรงพยาบาล!K352</f>
        <v>0.16317016317016317</v>
      </c>
      <c r="L318" s="5">
        <f t="shared" si="4"/>
        <v>7566.1174641961379</v>
      </c>
    </row>
    <row r="319" spans="1:12" x14ac:dyDescent="0.25">
      <c r="A319" s="14"/>
      <c r="C319" t="s">
        <v>89</v>
      </c>
      <c r="D319" s="5">
        <f>ตัวคูณโรงพยาบาล!D353</f>
        <v>0</v>
      </c>
      <c r="E319" s="5">
        <f>ตัวคูณโรงพยาบาล!E353</f>
        <v>0</v>
      </c>
      <c r="F319" s="5">
        <f>ตัวคูณโรงพยาบาล!F353</f>
        <v>218.55935388090154</v>
      </c>
      <c r="G319" s="5">
        <f>ตัวคูณโรงพยาบาล!G353</f>
        <v>518.90770758153053</v>
      </c>
      <c r="H319" s="5">
        <f>ตัวคูณโรงพยาบาล!H353</f>
        <v>340.86014631968345</v>
      </c>
      <c r="I319" s="5">
        <f>ตัวคูณโรงพยาบาล!I353</f>
        <v>116.6469768208286</v>
      </c>
      <c r="J319" s="5">
        <f>ตัวคูณโรงพยาบาล!J353</f>
        <v>6.8752574308587526</v>
      </c>
      <c r="K319" s="5">
        <f>ตัวคูณโรงพยาบาล!K353</f>
        <v>0.16317016317016317</v>
      </c>
      <c r="L319" s="5">
        <f t="shared" si="4"/>
        <v>1202.0126121969729</v>
      </c>
    </row>
    <row r="320" spans="1:12" x14ac:dyDescent="0.25">
      <c r="A320" s="14"/>
      <c r="C320" t="s">
        <v>90</v>
      </c>
      <c r="D320" s="5">
        <f>ตัวคูณโรงพยาบาล!D354</f>
        <v>0</v>
      </c>
      <c r="E320" s="5">
        <f>ตัวคูณโรงพยาบาล!E354</f>
        <v>0</v>
      </c>
      <c r="F320" s="5">
        <f>ตัวคูณโรงพยาบาล!F354</f>
        <v>3.5506893272225239</v>
      </c>
      <c r="G320" s="5">
        <f>ตัวคูณโรงพยาบาล!G354</f>
        <v>13.281840593319441</v>
      </c>
      <c r="H320" s="5">
        <f>ตัวคูณโรงพยาบาล!H354</f>
        <v>15.919766042222239</v>
      </c>
      <c r="I320" s="5">
        <f>ตัวคูณโรงพยาบาล!I354</f>
        <v>6.8788649959928918</v>
      </c>
      <c r="J320" s="5">
        <f>ตัวคูณโรงพยาบาล!J354</f>
        <v>0</v>
      </c>
      <c r="K320" s="5">
        <f>ตัวคูณโรงพยาบาล!K354</f>
        <v>0.16317016317016317</v>
      </c>
      <c r="L320" s="5">
        <f t="shared" si="4"/>
        <v>39.794331121927264</v>
      </c>
    </row>
    <row r="321" spans="1:12" x14ac:dyDescent="0.25">
      <c r="A321" s="14"/>
      <c r="C321" t="s">
        <v>91</v>
      </c>
      <c r="D321" s="5">
        <f>ตัวคูณโรงพยาบาล!D355</f>
        <v>0</v>
      </c>
      <c r="E321" s="5">
        <f>ตัวคูณโรงพยาบาล!E355</f>
        <v>0</v>
      </c>
      <c r="F321" s="5">
        <f>ตัวคูณโรงพยาบาล!F355</f>
        <v>52.736890761299271</v>
      </c>
      <c r="G321" s="5">
        <f>ตัวคูณโรงพยาบาล!G355</f>
        <v>148.47898935827592</v>
      </c>
      <c r="H321" s="5">
        <f>ตัวคูณโรงพยาบาล!H355</f>
        <v>94.797088976645568</v>
      </c>
      <c r="I321" s="5">
        <f>ตัวคูณโรงพยาบาล!I355</f>
        <v>13.973989563571156</v>
      </c>
      <c r="J321" s="5">
        <f>ตัวคูณโรงพยาบาล!J355</f>
        <v>2.4011194029850742</v>
      </c>
      <c r="K321" s="5">
        <f>ตัวคูณโรงพยาบาล!K355</f>
        <v>0.16317016317016317</v>
      </c>
      <c r="L321" s="5">
        <f t="shared" si="4"/>
        <v>312.55124822594718</v>
      </c>
    </row>
    <row r="322" spans="1:12" x14ac:dyDescent="0.25">
      <c r="A322" s="14"/>
      <c r="C322" t="s">
        <v>92</v>
      </c>
      <c r="D322" s="5">
        <f>ตัวคูณโรงพยาบาล!D356</f>
        <v>0</v>
      </c>
      <c r="E322" s="5">
        <f>ตัวคูณโรงพยาบาล!E356</f>
        <v>0</v>
      </c>
      <c r="F322" s="5">
        <f>ตัวคูณโรงพยาบาล!F356</f>
        <v>3.086325708808058</v>
      </c>
      <c r="G322" s="5">
        <f>ตัวคูณโรงพยาบาล!G356</f>
        <v>0</v>
      </c>
      <c r="H322" s="5">
        <f>ตัวคูณโรงพยาบาล!H356</f>
        <v>1.8079286882950696</v>
      </c>
      <c r="I322" s="5">
        <f>ตัวคูณโรงพยาบาล!I356</f>
        <v>0</v>
      </c>
      <c r="J322" s="5">
        <f>ตัวคูณโรงพยาบาล!J356</f>
        <v>0</v>
      </c>
      <c r="K322" s="5">
        <f>ตัวคูณโรงพยาบาล!K356</f>
        <v>0.16317016317016317</v>
      </c>
      <c r="L322" s="5">
        <f t="shared" si="4"/>
        <v>5.0574245602732901</v>
      </c>
    </row>
    <row r="323" spans="1:12" x14ac:dyDescent="0.25">
      <c r="A323" s="14"/>
      <c r="C323" t="s">
        <v>93</v>
      </c>
      <c r="D323" s="5">
        <f>ตัวคูณโรงพยาบาล!D357</f>
        <v>0</v>
      </c>
      <c r="E323" s="5">
        <f>ตัวคูณโรงพยาบาล!E357</f>
        <v>0</v>
      </c>
      <c r="F323" s="5">
        <f>ตัวคูณโรงพยาบาล!F357</f>
        <v>1.543162854404029</v>
      </c>
      <c r="G323" s="5">
        <f>ตัวคูณโรงพยาบาล!G357</f>
        <v>13.880838569541357</v>
      </c>
      <c r="H323" s="5">
        <f>ตัวคูณโรงพยาบาล!H357</f>
        <v>13.836461180410577</v>
      </c>
      <c r="I323" s="5">
        <f>ตัวคูณโรงพยาบาล!I357</f>
        <v>2.3650415225260888</v>
      </c>
      <c r="J323" s="5">
        <f>ตัวคูณโรงพยาบาล!J357</f>
        <v>0</v>
      </c>
      <c r="K323" s="5">
        <f>ตัวคูณโรงพยาบาล!K357</f>
        <v>0.16317016317016317</v>
      </c>
      <c r="L323" s="5">
        <f t="shared" si="4"/>
        <v>31.788674290052217</v>
      </c>
    </row>
    <row r="324" spans="1:12" x14ac:dyDescent="0.25">
      <c r="A324" s="14"/>
      <c r="C324" t="s">
        <v>94</v>
      </c>
      <c r="D324" s="5">
        <f>ตัวคูณโรงพยาบาล!D358</f>
        <v>0</v>
      </c>
      <c r="E324" s="5">
        <f>ตัวคูณโรงพยาบาล!E358</f>
        <v>0</v>
      </c>
      <c r="F324" s="5">
        <f>ตัวคูณโรงพยาบาล!F358</f>
        <v>0</v>
      </c>
      <c r="G324" s="5">
        <f>ตัวคูณโรงพยาบาล!G358</f>
        <v>0</v>
      </c>
      <c r="H324" s="5">
        <f>ตัวคูณโรงพยาบาล!H358</f>
        <v>0</v>
      </c>
      <c r="I324" s="5">
        <f>ตัวคูณโรงพยาบาล!I358</f>
        <v>0</v>
      </c>
      <c r="J324" s="5">
        <f>ตัวคูณโรงพยาบาล!J358</f>
        <v>0</v>
      </c>
      <c r="K324" s="5">
        <f>ตัวคูณโรงพยาบาล!K358</f>
        <v>0.16317016317016317</v>
      </c>
      <c r="L324" s="5">
        <f t="shared" ref="L324:L387" si="5">SUM(D324:K324)</f>
        <v>0.16317016317016317</v>
      </c>
    </row>
    <row r="325" spans="1:12" x14ac:dyDescent="0.25">
      <c r="A325" s="14"/>
      <c r="C325" t="s">
        <v>95</v>
      </c>
      <c r="D325" s="5">
        <f>ตัวคูณโรงพยาบาล!D359</f>
        <v>0</v>
      </c>
      <c r="E325" s="5">
        <f>ตัวคูณโรงพยาบาล!E359</f>
        <v>0</v>
      </c>
      <c r="F325" s="5">
        <f>ตัวคูณโรงพยาบาล!F359</f>
        <v>0</v>
      </c>
      <c r="G325" s="5">
        <f>ตัวคูณโรงพยาบาล!G359</f>
        <v>1.6226248030914894</v>
      </c>
      <c r="H325" s="5">
        <f>ตัวคูณโรงพยาบาล!H359</f>
        <v>0</v>
      </c>
      <c r="I325" s="5">
        <f>ตัวคูณโรงพยาบาล!I359</f>
        <v>0</v>
      </c>
      <c r="J325" s="5">
        <f>ตัวคูณโรงพยาบาล!J359</f>
        <v>0</v>
      </c>
      <c r="K325" s="5">
        <f>ตัวคูณโรงพยาบาล!K359</f>
        <v>0.16317016317016317</v>
      </c>
      <c r="L325" s="5">
        <f t="shared" si="5"/>
        <v>1.7857949662616526</v>
      </c>
    </row>
    <row r="326" spans="1:12" x14ac:dyDescent="0.25">
      <c r="A326" s="14"/>
      <c r="C326" t="s">
        <v>96</v>
      </c>
      <c r="D326" s="5">
        <f>ตัวคูณโรงพยาบาล!D360</f>
        <v>0</v>
      </c>
      <c r="E326" s="5">
        <f>ตัวคูณโรงพยาบาล!E360</f>
        <v>0</v>
      </c>
      <c r="F326" s="5">
        <f>ตัวคูณโรงพยาบาล!F360</f>
        <v>15.281556544879658</v>
      </c>
      <c r="G326" s="5">
        <f>ตัวคูณโรงพยาบาล!G360</f>
        <v>46.685598441055902</v>
      </c>
      <c r="H326" s="5">
        <f>ตัวคูณโรงพยาบาล!H360</f>
        <v>45.125240917821877</v>
      </c>
      <c r="I326" s="5">
        <f>ตัวคูณโรงพยาบาล!I360</f>
        <v>0</v>
      </c>
      <c r="J326" s="5">
        <f>ตัวคูณโรงพยาบาล!J360</f>
        <v>0</v>
      </c>
      <c r="K326" s="5">
        <f>ตัวคูณโรงพยาบาล!K360</f>
        <v>0.16317016317016317</v>
      </c>
      <c r="L326" s="5">
        <f t="shared" si="5"/>
        <v>107.2555660669276</v>
      </c>
    </row>
    <row r="327" spans="1:12" x14ac:dyDescent="0.25">
      <c r="A327" s="14"/>
      <c r="C327" t="s">
        <v>97</v>
      </c>
      <c r="D327" s="5">
        <f>ตัวคูณโรงพยาบาล!D361</f>
        <v>0</v>
      </c>
      <c r="E327" s="5">
        <f>ตัวคูณโรงพยาบาล!E361</f>
        <v>0</v>
      </c>
      <c r="F327" s="5">
        <f>ตัวคูณโรงพยาบาล!F361</f>
        <v>71.104773014986989</v>
      </c>
      <c r="G327" s="5">
        <f>ตัวคูณโรงพยาบาล!G361</f>
        <v>67.837523210035698</v>
      </c>
      <c r="H327" s="5">
        <f>ตัวคูณโรงพยาบาล!H361</f>
        <v>44.571248881426762</v>
      </c>
      <c r="I327" s="5">
        <f>ตัวคูณโรงพยาบาล!I361</f>
        <v>0</v>
      </c>
      <c r="J327" s="5">
        <f>ตัวคูณโรงพยาบาล!J361</f>
        <v>0</v>
      </c>
      <c r="K327" s="5">
        <f>ตัวคูณโรงพยาบาล!K361</f>
        <v>0.16317016317016317</v>
      </c>
      <c r="L327" s="5">
        <f t="shared" si="5"/>
        <v>183.67671526961959</v>
      </c>
    </row>
    <row r="328" spans="1:12" x14ac:dyDescent="0.25">
      <c r="A328" s="14"/>
      <c r="C328" t="s">
        <v>98</v>
      </c>
      <c r="D328" s="5">
        <f>ตัวคูณโรงพยาบาล!D362</f>
        <v>0</v>
      </c>
      <c r="E328" s="5">
        <f>ตัวคูณโรงพยาบาล!E362</f>
        <v>0</v>
      </c>
      <c r="F328" s="5">
        <f>ตัวคูณโรงพยาบาล!F362</f>
        <v>132.65874623814173</v>
      </c>
      <c r="G328" s="5">
        <f>ตัวคูณโรงพยาบาล!G362</f>
        <v>328.47882284827409</v>
      </c>
      <c r="H328" s="5">
        <f>ตัวคูณโรงพยาบาล!H362</f>
        <v>173.22790123928689</v>
      </c>
      <c r="I328" s="5">
        <f>ตัวคูณโรงพยาบาล!I362</f>
        <v>34.610584551549834</v>
      </c>
      <c r="J328" s="5">
        <f>ตัวคูณโรงพยาบาล!J362</f>
        <v>0</v>
      </c>
      <c r="K328" s="5">
        <f>ตัวคูณโรงพยาบาล!K362</f>
        <v>9.6122419142991138</v>
      </c>
      <c r="L328" s="5">
        <f t="shared" si="5"/>
        <v>678.58829679155178</v>
      </c>
    </row>
    <row r="329" spans="1:12" x14ac:dyDescent="0.25">
      <c r="A329" s="14"/>
      <c r="C329" t="s">
        <v>119</v>
      </c>
      <c r="D329" s="5">
        <f>ตัวคูณโรงพยาบาล!D363</f>
        <v>0</v>
      </c>
      <c r="E329" s="5">
        <f>ตัวคูณโรงพยาบาล!E363</f>
        <v>0</v>
      </c>
      <c r="F329" s="5">
        <f>ตัวคูณโรงพยาบาล!F363</f>
        <v>35.784568316700728</v>
      </c>
      <c r="G329" s="5">
        <f>ตัวคูณโรงพยาบาล!G363</f>
        <v>67.536681041448176</v>
      </c>
      <c r="H329" s="5">
        <f>ตัวคูณโรงพยาบาล!H363</f>
        <v>79.675046190027999</v>
      </c>
      <c r="I329" s="5">
        <f>ตัวคูณโรงพยาบาล!I363</f>
        <v>6.8788649959928918</v>
      </c>
      <c r="J329" s="5">
        <f>ตัวคูณโรงพยาบาล!J363</f>
        <v>0</v>
      </c>
      <c r="K329" s="5">
        <f>ตัวคูณโรงพยาบาล!K363</f>
        <v>0.16317016317016317</v>
      </c>
      <c r="L329" s="5">
        <f t="shared" si="5"/>
        <v>190.03833070733995</v>
      </c>
    </row>
    <row r="330" spans="1:12" x14ac:dyDescent="0.25">
      <c r="A330" s="14"/>
      <c r="C330" t="s">
        <v>99</v>
      </c>
      <c r="D330" s="5">
        <f>ตัวคูณโรงพยาบาล!D364</f>
        <v>0</v>
      </c>
      <c r="E330" s="5">
        <f>ตัวคูณโรงพยาบาล!E364</f>
        <v>0</v>
      </c>
      <c r="F330" s="5">
        <f>ตัวคูณโรงพยาบาล!F364</f>
        <v>242.02862132962781</v>
      </c>
      <c r="G330" s="5">
        <f>ตัวคูณโรงพยาบาล!G364</f>
        <v>320.58330486361433</v>
      </c>
      <c r="H330" s="5">
        <f>ตัวคูณโรงพยาบาล!H364</f>
        <v>179.99369987165863</v>
      </c>
      <c r="I330" s="5">
        <f>ตัวคูณโรงพยาบาล!I364</f>
        <v>23.00163651050476</v>
      </c>
      <c r="J330" s="5">
        <f>ตัวคูณโรงพยาบาล!J364</f>
        <v>0</v>
      </c>
      <c r="K330" s="5">
        <f>ตัวคูณโรงพยาบาล!K364</f>
        <v>0.16317016317016317</v>
      </c>
      <c r="L330" s="5">
        <f t="shared" si="5"/>
        <v>765.77043273857589</v>
      </c>
    </row>
    <row r="331" spans="1:12" x14ac:dyDescent="0.25">
      <c r="A331" s="14"/>
      <c r="C331" t="s">
        <v>100</v>
      </c>
      <c r="D331" s="5">
        <f>ตัวคูณโรงพยาบาล!D365</f>
        <v>0</v>
      </c>
      <c r="E331" s="5">
        <f>ตัวคูณโรงพยาบาล!E365</f>
        <v>0</v>
      </c>
      <c r="F331" s="5">
        <f>ตัวคูณโรงพยาบาล!F365</f>
        <v>1103.4244201342749</v>
      </c>
      <c r="G331" s="5">
        <f>ตัวคูณโรงพยาบาล!G365</f>
        <v>2536.8076046680276</v>
      </c>
      <c r="H331" s="5">
        <f>ตัวคูณโรงพยาบาล!H365</f>
        <v>1835.4818107417118</v>
      </c>
      <c r="I331" s="5">
        <f>ตัวคูณโรงพยาบาล!I365</f>
        <v>374.97444468012924</v>
      </c>
      <c r="J331" s="5">
        <f>ตัวคูณโรงพยาบาล!J365</f>
        <v>101.12995484194681</v>
      </c>
      <c r="K331" s="5">
        <f>ตัวคูณโรงพยาบาล!K365</f>
        <v>9.6122419142991138</v>
      </c>
      <c r="L331" s="5">
        <f t="shared" si="5"/>
        <v>5961.4304769803903</v>
      </c>
    </row>
    <row r="332" spans="1:12" x14ac:dyDescent="0.25">
      <c r="A332" s="14"/>
      <c r="C332" t="s">
        <v>101</v>
      </c>
      <c r="D332" s="5">
        <f>ตัวคูณโรงพยาบาล!D366</f>
        <v>0</v>
      </c>
      <c r="E332" s="5">
        <f>ตัวคูณโรงพยาบาล!E366</f>
        <v>0</v>
      </c>
      <c r="F332" s="5">
        <f>ตัวคูณโรงพยาบาล!F366</f>
        <v>226.44109449840755</v>
      </c>
      <c r="G332" s="5">
        <f>ตัวคูณโรงพยาบาล!G366</f>
        <v>388.70923715652526</v>
      </c>
      <c r="H332" s="5">
        <f>ตัวคูณโรงพยาบาล!H366</f>
        <v>248.69822971623321</v>
      </c>
      <c r="I332" s="5">
        <f>ตัวคูณโรงพยาบาล!I366</f>
        <v>27.731719555556936</v>
      </c>
      <c r="J332" s="5">
        <f>ตัวคูณโรงพยาบาล!J366</f>
        <v>0</v>
      </c>
      <c r="K332" s="5">
        <f>ตัวคูณโรงพยาบาล!K366</f>
        <v>0.16317016317016317</v>
      </c>
      <c r="L332" s="5">
        <f t="shared" si="5"/>
        <v>891.74345108989314</v>
      </c>
    </row>
    <row r="333" spans="1:12" x14ac:dyDescent="0.25">
      <c r="A333" s="24" t="s">
        <v>115</v>
      </c>
      <c r="B333" s="24" t="s">
        <v>105</v>
      </c>
      <c r="C333" t="s">
        <v>70</v>
      </c>
      <c r="D333" s="5">
        <f>ตัวคูณโรงพยาบาล!D402</f>
        <v>0</v>
      </c>
      <c r="E333" s="5">
        <f>ตัวคูณโรงพยาบาล!E402</f>
        <v>0</v>
      </c>
      <c r="F333" s="5">
        <f>ตัวคูณโรงพยาบาล!F402</f>
        <v>0</v>
      </c>
      <c r="G333" s="5">
        <f>ตัวคูณโรงพยาบาล!G402</f>
        <v>0</v>
      </c>
      <c r="H333" s="5">
        <f>ตัวคูณโรงพยาบาล!H402</f>
        <v>0</v>
      </c>
      <c r="I333" s="5">
        <f>ตัวคูณโรงพยาบาล!I402</f>
        <v>0</v>
      </c>
      <c r="J333" s="5">
        <f>ตัวคูณโรงพยาบาล!J402</f>
        <v>0</v>
      </c>
      <c r="K333" s="5">
        <f>ตัวคูณโรงพยาบาล!K402</f>
        <v>0</v>
      </c>
      <c r="L333" s="5">
        <f t="shared" si="5"/>
        <v>0</v>
      </c>
    </row>
    <row r="334" spans="1:12" x14ac:dyDescent="0.25">
      <c r="C334" t="s">
        <v>71</v>
      </c>
      <c r="D334" s="5">
        <f>ตัวคูณโรงพยาบาล!D403</f>
        <v>0</v>
      </c>
      <c r="E334" s="5">
        <f>ตัวคูณโรงพยาบาล!E403</f>
        <v>0</v>
      </c>
      <c r="F334" s="5">
        <f>ตัวคูณโรงพยาบาล!F403</f>
        <v>0</v>
      </c>
      <c r="G334" s="5">
        <f>ตัวคูณโรงพยาบาล!G403</f>
        <v>0</v>
      </c>
      <c r="H334" s="5">
        <f>ตัวคูณโรงพยาบาล!H403</f>
        <v>0</v>
      </c>
      <c r="I334" s="5">
        <f>ตัวคูณโรงพยาบาล!I403</f>
        <v>0</v>
      </c>
      <c r="J334" s="5">
        <f>ตัวคูณโรงพยาบาล!J403</f>
        <v>0</v>
      </c>
      <c r="K334" s="5">
        <f>ตัวคูณโรงพยาบาล!K403</f>
        <v>0</v>
      </c>
      <c r="L334" s="5">
        <f t="shared" si="5"/>
        <v>0</v>
      </c>
    </row>
    <row r="335" spans="1:12" x14ac:dyDescent="0.25">
      <c r="C335" t="s">
        <v>72</v>
      </c>
      <c r="D335" s="5">
        <f>ตัวคูณโรงพยาบาล!D404</f>
        <v>0</v>
      </c>
      <c r="E335" s="5">
        <f>ตัวคูณโรงพยาบาล!E404</f>
        <v>0</v>
      </c>
      <c r="F335" s="5">
        <f>ตัวคูณโรงพยาบาล!F404</f>
        <v>0</v>
      </c>
      <c r="G335" s="5">
        <f>ตัวคูณโรงพยาบาล!G404</f>
        <v>0</v>
      </c>
      <c r="H335" s="5">
        <f>ตัวคูณโรงพยาบาล!H404</f>
        <v>0</v>
      </c>
      <c r="I335" s="5">
        <f>ตัวคูณโรงพยาบาล!I404</f>
        <v>0</v>
      </c>
      <c r="J335" s="5">
        <f>ตัวคูณโรงพยาบาล!J404</f>
        <v>0</v>
      </c>
      <c r="K335" s="5">
        <f>ตัวคูณโรงพยาบาล!K404</f>
        <v>0</v>
      </c>
      <c r="L335" s="5">
        <f t="shared" si="5"/>
        <v>0</v>
      </c>
    </row>
    <row r="336" spans="1:12" x14ac:dyDescent="0.25">
      <c r="C336" t="s">
        <v>73</v>
      </c>
      <c r="D336" s="5">
        <f>ตัวคูณโรงพยาบาล!D405</f>
        <v>0</v>
      </c>
      <c r="E336" s="5">
        <f>ตัวคูณโรงพยาบาล!E405</f>
        <v>0</v>
      </c>
      <c r="F336" s="5">
        <f>ตัวคูณโรงพยาบาล!F405</f>
        <v>0</v>
      </c>
      <c r="G336" s="5">
        <f>ตัวคูณโรงพยาบาล!G405</f>
        <v>0</v>
      </c>
      <c r="H336" s="5">
        <f>ตัวคูณโรงพยาบาล!H405</f>
        <v>0</v>
      </c>
      <c r="I336" s="5">
        <f>ตัวคูณโรงพยาบาล!I405</f>
        <v>0</v>
      </c>
      <c r="J336" s="5">
        <f>ตัวคูณโรงพยาบาล!J405</f>
        <v>0</v>
      </c>
      <c r="K336" s="5">
        <f>ตัวคูณโรงพยาบาล!K405</f>
        <v>0</v>
      </c>
      <c r="L336" s="5">
        <f t="shared" si="5"/>
        <v>0</v>
      </c>
    </row>
    <row r="337" spans="3:12" x14ac:dyDescent="0.25">
      <c r="C337" t="s">
        <v>74</v>
      </c>
      <c r="D337" s="5">
        <f>ตัวคูณโรงพยาบาล!D406</f>
        <v>0</v>
      </c>
      <c r="E337" s="5">
        <f>ตัวคูณโรงพยาบาล!E406</f>
        <v>0</v>
      </c>
      <c r="F337" s="5">
        <f>ตัวคูณโรงพยาบาล!F406</f>
        <v>0</v>
      </c>
      <c r="G337" s="5">
        <f>ตัวคูณโรงพยาบาล!G406</f>
        <v>0</v>
      </c>
      <c r="H337" s="5">
        <f>ตัวคูณโรงพยาบาล!H406</f>
        <v>0</v>
      </c>
      <c r="I337" s="5">
        <f>ตัวคูณโรงพยาบาล!I406</f>
        <v>0</v>
      </c>
      <c r="J337" s="5">
        <f>ตัวคูณโรงพยาบาล!J406</f>
        <v>0</v>
      </c>
      <c r="K337" s="5">
        <f>ตัวคูณโรงพยาบาล!K406</f>
        <v>0</v>
      </c>
      <c r="L337" s="5">
        <f t="shared" si="5"/>
        <v>0</v>
      </c>
    </row>
    <row r="338" spans="3:12" x14ac:dyDescent="0.25">
      <c r="C338" t="s">
        <v>75</v>
      </c>
      <c r="D338" s="5">
        <f>ตัวคูณโรงพยาบาล!D407</f>
        <v>0</v>
      </c>
      <c r="E338" s="5">
        <f>ตัวคูณโรงพยาบาล!E407</f>
        <v>0</v>
      </c>
      <c r="F338" s="5">
        <f>ตัวคูณโรงพยาบาล!F407</f>
        <v>0</v>
      </c>
      <c r="G338" s="5">
        <f>ตัวคูณโรงพยาบาล!G407</f>
        <v>0</v>
      </c>
      <c r="H338" s="5">
        <f>ตัวคูณโรงพยาบาล!H407</f>
        <v>0</v>
      </c>
      <c r="I338" s="5">
        <f>ตัวคูณโรงพยาบาล!I407</f>
        <v>0</v>
      </c>
      <c r="J338" s="5">
        <f>ตัวคูณโรงพยาบาล!J407</f>
        <v>0</v>
      </c>
      <c r="K338" s="5">
        <f>ตัวคูณโรงพยาบาล!K407</f>
        <v>0</v>
      </c>
      <c r="L338" s="5">
        <f t="shared" si="5"/>
        <v>0</v>
      </c>
    </row>
    <row r="339" spans="3:12" x14ac:dyDescent="0.25">
      <c r="C339" t="s">
        <v>76</v>
      </c>
      <c r="D339" s="5">
        <f>ตัวคูณโรงพยาบาล!D408</f>
        <v>0</v>
      </c>
      <c r="E339" s="5">
        <f>ตัวคูณโรงพยาบาล!E408</f>
        <v>0</v>
      </c>
      <c r="F339" s="5">
        <f>ตัวคูณโรงพยาบาล!F408</f>
        <v>0</v>
      </c>
      <c r="G339" s="5">
        <f>ตัวคูณโรงพยาบาล!G408</f>
        <v>0</v>
      </c>
      <c r="H339" s="5">
        <f>ตัวคูณโรงพยาบาล!H408</f>
        <v>0</v>
      </c>
      <c r="I339" s="5">
        <f>ตัวคูณโรงพยาบาล!I408</f>
        <v>0</v>
      </c>
      <c r="J339" s="5">
        <f>ตัวคูณโรงพยาบาล!J408</f>
        <v>0</v>
      </c>
      <c r="K339" s="5">
        <f>ตัวคูณโรงพยาบาล!K408</f>
        <v>0</v>
      </c>
      <c r="L339" s="5">
        <f t="shared" si="5"/>
        <v>0</v>
      </c>
    </row>
    <row r="340" spans="3:12" x14ac:dyDescent="0.25">
      <c r="C340" t="s">
        <v>77</v>
      </c>
      <c r="D340" s="5">
        <f>ตัวคูณโรงพยาบาล!D409</f>
        <v>0</v>
      </c>
      <c r="E340" s="5">
        <f>ตัวคูณโรงพยาบาล!E409</f>
        <v>0</v>
      </c>
      <c r="F340" s="5">
        <f>ตัวคูณโรงพยาบาล!F409</f>
        <v>0</v>
      </c>
      <c r="G340" s="5">
        <f>ตัวคูณโรงพยาบาล!G409</f>
        <v>0</v>
      </c>
      <c r="H340" s="5">
        <f>ตัวคูณโรงพยาบาล!H409</f>
        <v>0</v>
      </c>
      <c r="I340" s="5">
        <f>ตัวคูณโรงพยาบาล!I409</f>
        <v>0</v>
      </c>
      <c r="J340" s="5">
        <f>ตัวคูณโรงพยาบาล!J409</f>
        <v>0</v>
      </c>
      <c r="K340" s="5">
        <f>ตัวคูณโรงพยาบาล!K409</f>
        <v>0</v>
      </c>
      <c r="L340" s="5">
        <f t="shared" si="5"/>
        <v>0</v>
      </c>
    </row>
    <row r="341" spans="3:12" x14ac:dyDescent="0.25">
      <c r="C341" t="s">
        <v>78</v>
      </c>
      <c r="D341" s="5">
        <f>ตัวคูณโรงพยาบาล!D410</f>
        <v>0</v>
      </c>
      <c r="E341" s="5">
        <f>ตัวคูณโรงพยาบาล!E410</f>
        <v>0</v>
      </c>
      <c r="F341" s="5">
        <f>ตัวคูณโรงพยาบาล!F410</f>
        <v>0</v>
      </c>
      <c r="G341" s="5">
        <f>ตัวคูณโรงพยาบาล!G410</f>
        <v>0</v>
      </c>
      <c r="H341" s="5">
        <f>ตัวคูณโรงพยาบาล!H410</f>
        <v>0</v>
      </c>
      <c r="I341" s="5">
        <f>ตัวคูณโรงพยาบาล!I410</f>
        <v>0</v>
      </c>
      <c r="J341" s="5">
        <f>ตัวคูณโรงพยาบาล!J410</f>
        <v>0</v>
      </c>
      <c r="K341" s="5">
        <f>ตัวคูณโรงพยาบาล!K410</f>
        <v>0</v>
      </c>
      <c r="L341" s="5">
        <f t="shared" si="5"/>
        <v>0</v>
      </c>
    </row>
    <row r="342" spans="3:12" x14ac:dyDescent="0.25">
      <c r="C342" t="s">
        <v>79</v>
      </c>
      <c r="D342" s="5">
        <f>ตัวคูณโรงพยาบาล!D411</f>
        <v>0</v>
      </c>
      <c r="E342" s="5">
        <f>ตัวคูณโรงพยาบาล!E411</f>
        <v>0</v>
      </c>
      <c r="F342" s="5">
        <f>ตัวคูณโรงพยาบาล!F411</f>
        <v>0</v>
      </c>
      <c r="G342" s="5">
        <f>ตัวคูณโรงพยาบาล!G411</f>
        <v>0</v>
      </c>
      <c r="H342" s="5">
        <f>ตัวคูณโรงพยาบาล!H411</f>
        <v>0</v>
      </c>
      <c r="I342" s="5">
        <f>ตัวคูณโรงพยาบาล!I411</f>
        <v>0</v>
      </c>
      <c r="J342" s="5">
        <f>ตัวคูณโรงพยาบาล!J411</f>
        <v>0</v>
      </c>
      <c r="K342" s="5">
        <f>ตัวคูณโรงพยาบาล!K411</f>
        <v>0</v>
      </c>
      <c r="L342" s="5">
        <f t="shared" si="5"/>
        <v>0</v>
      </c>
    </row>
    <row r="343" spans="3:12" x14ac:dyDescent="0.25">
      <c r="C343" t="s">
        <v>80</v>
      </c>
      <c r="D343" s="5">
        <f>ตัวคูณโรงพยาบาล!D412</f>
        <v>0</v>
      </c>
      <c r="E343" s="5">
        <f>ตัวคูณโรงพยาบาล!E412</f>
        <v>0</v>
      </c>
      <c r="F343" s="5">
        <f>ตัวคูณโรงพยาบาล!F412</f>
        <v>0</v>
      </c>
      <c r="G343" s="5">
        <f>ตัวคูณโรงพยาบาล!G412</f>
        <v>0</v>
      </c>
      <c r="H343" s="5">
        <f>ตัวคูณโรงพยาบาล!H412</f>
        <v>0</v>
      </c>
      <c r="I343" s="5">
        <f>ตัวคูณโรงพยาบาล!I412</f>
        <v>0</v>
      </c>
      <c r="J343" s="5">
        <f>ตัวคูณโรงพยาบาล!J412</f>
        <v>0</v>
      </c>
      <c r="K343" s="5">
        <f>ตัวคูณโรงพยาบาล!K412</f>
        <v>0</v>
      </c>
      <c r="L343" s="5">
        <f t="shared" si="5"/>
        <v>0</v>
      </c>
    </row>
    <row r="344" spans="3:12" x14ac:dyDescent="0.25">
      <c r="C344" t="s">
        <v>81</v>
      </c>
      <c r="D344" s="5">
        <f>ตัวคูณโรงพยาบาล!D413</f>
        <v>0</v>
      </c>
      <c r="E344" s="5">
        <f>ตัวคูณโรงพยาบาล!E413</f>
        <v>0</v>
      </c>
      <c r="F344" s="5">
        <f>ตัวคูณโรงพยาบาล!F413</f>
        <v>0</v>
      </c>
      <c r="G344" s="5">
        <f>ตัวคูณโรงพยาบาล!G413</f>
        <v>0</v>
      </c>
      <c r="H344" s="5">
        <f>ตัวคูณโรงพยาบาล!H413</f>
        <v>0</v>
      </c>
      <c r="I344" s="5">
        <f>ตัวคูณโรงพยาบาล!I413</f>
        <v>0</v>
      </c>
      <c r="J344" s="5">
        <f>ตัวคูณโรงพยาบาล!J413</f>
        <v>0</v>
      </c>
      <c r="K344" s="5">
        <f>ตัวคูณโรงพยาบาล!K413</f>
        <v>0</v>
      </c>
      <c r="L344" s="5">
        <f t="shared" si="5"/>
        <v>0</v>
      </c>
    </row>
    <row r="345" spans="3:12" x14ac:dyDescent="0.25">
      <c r="C345" t="s">
        <v>82</v>
      </c>
      <c r="D345" s="5">
        <f>ตัวคูณโรงพยาบาล!D414</f>
        <v>0</v>
      </c>
      <c r="E345" s="5">
        <f>ตัวคูณโรงพยาบาล!E414</f>
        <v>0</v>
      </c>
      <c r="F345" s="5">
        <f>ตัวคูณโรงพยาบาล!F414</f>
        <v>0</v>
      </c>
      <c r="G345" s="5">
        <f>ตัวคูณโรงพยาบาล!G414</f>
        <v>0</v>
      </c>
      <c r="H345" s="5">
        <f>ตัวคูณโรงพยาบาล!H414</f>
        <v>1.1217513682564504</v>
      </c>
      <c r="I345" s="5">
        <f>ตัวคูณโรงพยาบาล!I414</f>
        <v>0</v>
      </c>
      <c r="J345" s="5">
        <f>ตัวคูณโรงพยาบาล!J414</f>
        <v>0</v>
      </c>
      <c r="K345" s="5">
        <f>ตัวคูณโรงพยาบาล!K414</f>
        <v>0</v>
      </c>
      <c r="L345" s="5">
        <f t="shared" si="5"/>
        <v>1.1217513682564504</v>
      </c>
    </row>
    <row r="346" spans="3:12" x14ac:dyDescent="0.25">
      <c r="C346" t="s">
        <v>83</v>
      </c>
      <c r="D346" s="5">
        <f>ตัวคูณโรงพยาบาล!D415</f>
        <v>0</v>
      </c>
      <c r="E346" s="5">
        <f>ตัวคูณโรงพยาบาล!E415</f>
        <v>0</v>
      </c>
      <c r="F346" s="5">
        <f>ตัวคูณโรงพยาบาล!F415</f>
        <v>0</v>
      </c>
      <c r="G346" s="5">
        <f>ตัวคูณโรงพยาบาล!G415</f>
        <v>0</v>
      </c>
      <c r="H346" s="5">
        <f>ตัวคูณโรงพยาบาล!H415</f>
        <v>0</v>
      </c>
      <c r="I346" s="5">
        <f>ตัวคูณโรงพยาบาล!I415</f>
        <v>0</v>
      </c>
      <c r="J346" s="5">
        <f>ตัวคูณโรงพยาบาล!J415</f>
        <v>0</v>
      </c>
      <c r="K346" s="5">
        <f>ตัวคูณโรงพยาบาล!K415</f>
        <v>0</v>
      </c>
      <c r="L346" s="5">
        <f t="shared" si="5"/>
        <v>0</v>
      </c>
    </row>
    <row r="347" spans="3:12" x14ac:dyDescent="0.25">
      <c r="C347" t="s">
        <v>84</v>
      </c>
      <c r="D347" s="5">
        <f>ตัวคูณโรงพยาบาล!D416</f>
        <v>0</v>
      </c>
      <c r="E347" s="5">
        <f>ตัวคูณโรงพยาบาล!E416</f>
        <v>0</v>
      </c>
      <c r="F347" s="5">
        <f>ตัวคูณโรงพยาบาล!F416</f>
        <v>0</v>
      </c>
      <c r="G347" s="5">
        <f>ตัวคูณโรงพยาบาล!G416</f>
        <v>0</v>
      </c>
      <c r="H347" s="5">
        <f>ตัวคูณโรงพยาบาล!H416</f>
        <v>0</v>
      </c>
      <c r="I347" s="5">
        <f>ตัวคูณโรงพยาบาล!I416</f>
        <v>0</v>
      </c>
      <c r="J347" s="5">
        <f>ตัวคูณโรงพยาบาล!J416</f>
        <v>0</v>
      </c>
      <c r="K347" s="5">
        <f>ตัวคูณโรงพยาบาล!K416</f>
        <v>0</v>
      </c>
      <c r="L347" s="5">
        <f t="shared" si="5"/>
        <v>0</v>
      </c>
    </row>
    <row r="348" spans="3:12" x14ac:dyDescent="0.25">
      <c r="C348" t="s">
        <v>85</v>
      </c>
      <c r="D348" s="5">
        <f>ตัวคูณโรงพยาบาล!D417</f>
        <v>0</v>
      </c>
      <c r="E348" s="5">
        <f>ตัวคูณโรงพยาบาล!E417</f>
        <v>0</v>
      </c>
      <c r="F348" s="5">
        <f>ตัวคูณโรงพยาบาล!F417</f>
        <v>0</v>
      </c>
      <c r="G348" s="5">
        <f>ตัวคูณโรงพยาบาล!G417</f>
        <v>0</v>
      </c>
      <c r="H348" s="5">
        <f>ตัวคูณโรงพยาบาล!H417</f>
        <v>0</v>
      </c>
      <c r="I348" s="5">
        <f>ตัวคูณโรงพยาบาล!I417</f>
        <v>0</v>
      </c>
      <c r="J348" s="5">
        <f>ตัวคูณโรงพยาบาล!J417</f>
        <v>0</v>
      </c>
      <c r="K348" s="5">
        <f>ตัวคูณโรงพยาบาล!K417</f>
        <v>0</v>
      </c>
      <c r="L348" s="5">
        <f t="shared" si="5"/>
        <v>0</v>
      </c>
    </row>
    <row r="349" spans="3:12" x14ac:dyDescent="0.25">
      <c r="C349" t="s">
        <v>86</v>
      </c>
      <c r="D349" s="5">
        <f>ตัวคูณโรงพยาบาล!D418</f>
        <v>0</v>
      </c>
      <c r="E349" s="5">
        <f>ตัวคูณโรงพยาบาล!E418</f>
        <v>0</v>
      </c>
      <c r="F349" s="5">
        <f>ตัวคูณโรงพยาบาล!F418</f>
        <v>0</v>
      </c>
      <c r="G349" s="5">
        <f>ตัวคูณโรงพยาบาล!G418</f>
        <v>0</v>
      </c>
      <c r="H349" s="5">
        <f>ตัวคูณโรงพยาบาล!H418</f>
        <v>0</v>
      </c>
      <c r="I349" s="5">
        <f>ตัวคูณโรงพยาบาล!I418</f>
        <v>0</v>
      </c>
      <c r="J349" s="5">
        <f>ตัวคูณโรงพยาบาล!J418</f>
        <v>0</v>
      </c>
      <c r="K349" s="5">
        <f>ตัวคูณโรงพยาบาล!K418</f>
        <v>0</v>
      </c>
      <c r="L349" s="5">
        <f t="shared" si="5"/>
        <v>0</v>
      </c>
    </row>
    <row r="350" spans="3:12" x14ac:dyDescent="0.25">
      <c r="C350" t="s">
        <v>87</v>
      </c>
      <c r="D350" s="5">
        <f>ตัวคูณโรงพยาบาล!D419</f>
        <v>0</v>
      </c>
      <c r="E350" s="5">
        <f>ตัวคูณโรงพยาบาล!E419</f>
        <v>0</v>
      </c>
      <c r="F350" s="5">
        <f>ตัวคูณโรงพยาบาล!F419</f>
        <v>2.131719025122925</v>
      </c>
      <c r="G350" s="5">
        <f>ตัวคูณโรงพยาบาล!G419</f>
        <v>0</v>
      </c>
      <c r="H350" s="5">
        <f>ตัวคูณโรงพยาบาล!H419</f>
        <v>0</v>
      </c>
      <c r="I350" s="5">
        <f>ตัวคูณโรงพยาบาล!I419</f>
        <v>0</v>
      </c>
      <c r="J350" s="5">
        <f>ตัวคูณโรงพยาบาล!J419</f>
        <v>0</v>
      </c>
      <c r="K350" s="5">
        <f>ตัวคูณโรงพยาบาล!K419</f>
        <v>0</v>
      </c>
      <c r="L350" s="5">
        <f t="shared" si="5"/>
        <v>2.131719025122925</v>
      </c>
    </row>
    <row r="351" spans="3:12" x14ac:dyDescent="0.25">
      <c r="C351" t="s">
        <v>88</v>
      </c>
      <c r="D351" s="5">
        <f>ตัวคูณโรงพยาบาล!D420</f>
        <v>0</v>
      </c>
      <c r="E351" s="5">
        <f>ตัวคูณโรงพยาบาล!E420</f>
        <v>0</v>
      </c>
      <c r="F351" s="5">
        <f>ตัวคูณโรงพยาบาล!F420</f>
        <v>3.1975785376843877</v>
      </c>
      <c r="G351" s="5">
        <f>ตัวคูณโรงพยาบาล!G420</f>
        <v>6.4499158641727412</v>
      </c>
      <c r="H351" s="5">
        <f>ตัวคูณโรงพยาบาล!H420</f>
        <v>0</v>
      </c>
      <c r="I351" s="5">
        <f>ตัวคูณโรงพยาบาล!I420</f>
        <v>1.000925925925926</v>
      </c>
      <c r="J351" s="5">
        <f>ตัวคูณโรงพยาบาล!J420</f>
        <v>0</v>
      </c>
      <c r="K351" s="5">
        <f>ตัวคูณโรงพยาบาล!K420</f>
        <v>0</v>
      </c>
      <c r="L351" s="5">
        <f t="shared" si="5"/>
        <v>10.648420327783056</v>
      </c>
    </row>
    <row r="352" spans="3:12" x14ac:dyDescent="0.25">
      <c r="C352" t="s">
        <v>89</v>
      </c>
      <c r="D352" s="5">
        <f>ตัวคูณโรงพยาบาล!D421</f>
        <v>0</v>
      </c>
      <c r="E352" s="5">
        <f>ตัวคูณโรงพยาบาล!E421</f>
        <v>0</v>
      </c>
      <c r="F352" s="5">
        <f>ตัวคูณโรงพยาบาล!F421</f>
        <v>0</v>
      </c>
      <c r="G352" s="5">
        <f>ตัวคูณโรงพยาบาล!G421</f>
        <v>1.0626990189470531</v>
      </c>
      <c r="H352" s="5">
        <f>ตัวคูณโรงพยาบาล!H421</f>
        <v>0</v>
      </c>
      <c r="I352" s="5">
        <f>ตัวคูณโรงพยาบาล!I421</f>
        <v>0</v>
      </c>
      <c r="J352" s="5">
        <f>ตัวคูณโรงพยาบาล!J421</f>
        <v>0</v>
      </c>
      <c r="K352" s="5">
        <f>ตัวคูณโรงพยาบาล!K421</f>
        <v>0</v>
      </c>
      <c r="L352" s="5">
        <f t="shared" si="5"/>
        <v>1.0626990189470531</v>
      </c>
    </row>
    <row r="353" spans="1:12" x14ac:dyDescent="0.25">
      <c r="C353" t="s">
        <v>90</v>
      </c>
      <c r="D353" s="5">
        <f>ตัวคูณโรงพยาบาล!D422</f>
        <v>0</v>
      </c>
      <c r="E353" s="5">
        <f>ตัวคูณโรงพยาบาล!E422</f>
        <v>0</v>
      </c>
      <c r="F353" s="5">
        <f>ตัวคูณโรงพยาบาล!F422</f>
        <v>0</v>
      </c>
      <c r="G353" s="5">
        <f>ตัวคูณโรงพยาบาล!G422</f>
        <v>0</v>
      </c>
      <c r="H353" s="5">
        <f>ตัวคูณโรงพยาบาล!H422</f>
        <v>0</v>
      </c>
      <c r="I353" s="5">
        <f>ตัวคูณโรงพยาบาล!I422</f>
        <v>0</v>
      </c>
      <c r="J353" s="5">
        <f>ตัวคูณโรงพยาบาล!J422</f>
        <v>0</v>
      </c>
      <c r="K353" s="5">
        <f>ตัวคูณโรงพยาบาล!K422</f>
        <v>0</v>
      </c>
      <c r="L353" s="5">
        <f t="shared" si="5"/>
        <v>0</v>
      </c>
    </row>
    <row r="354" spans="1:12" x14ac:dyDescent="0.25">
      <c r="C354" t="s">
        <v>91</v>
      </c>
      <c r="D354" s="5">
        <f>ตัวคูณโรงพยาบาล!D423</f>
        <v>0</v>
      </c>
      <c r="E354" s="5">
        <f>ตัวคูณโรงพยาบาล!E423</f>
        <v>0</v>
      </c>
      <c r="F354" s="5">
        <f>ตัวคูณโรงพยาบาล!F423</f>
        <v>0</v>
      </c>
      <c r="G354" s="5">
        <f>ตัวคูณโรงพยาบาล!G423</f>
        <v>0</v>
      </c>
      <c r="H354" s="5">
        <f>ตัวคูณโรงพยาบาล!H423</f>
        <v>0</v>
      </c>
      <c r="I354" s="5">
        <f>ตัวคูณโรงพยาบาล!I423</f>
        <v>0</v>
      </c>
      <c r="J354" s="5">
        <f>ตัวคูณโรงพยาบาล!J423</f>
        <v>0</v>
      </c>
      <c r="K354" s="5">
        <f>ตัวคูณโรงพยาบาล!K423</f>
        <v>0</v>
      </c>
      <c r="L354" s="5">
        <f t="shared" si="5"/>
        <v>0</v>
      </c>
    </row>
    <row r="355" spans="1:12" x14ac:dyDescent="0.25">
      <c r="C355" t="s">
        <v>92</v>
      </c>
      <c r="D355" s="5">
        <f>ตัวคูณโรงพยาบาล!D424</f>
        <v>0</v>
      </c>
      <c r="E355" s="5">
        <f>ตัวคูณโรงพยาบาล!E424</f>
        <v>0</v>
      </c>
      <c r="F355" s="5">
        <f>ตัวคูณโรงพยาบาล!F424</f>
        <v>0</v>
      </c>
      <c r="G355" s="5">
        <f>ตัวคูณโรงพยาบาล!G424</f>
        <v>0</v>
      </c>
      <c r="H355" s="5">
        <f>ตัวคูณโรงพยาบาล!H424</f>
        <v>0</v>
      </c>
      <c r="I355" s="5">
        <f>ตัวคูณโรงพยาบาล!I424</f>
        <v>0</v>
      </c>
      <c r="J355" s="5">
        <f>ตัวคูณโรงพยาบาล!J424</f>
        <v>0</v>
      </c>
      <c r="K355" s="5">
        <f>ตัวคูณโรงพยาบาล!K424</f>
        <v>0</v>
      </c>
      <c r="L355" s="5">
        <f t="shared" si="5"/>
        <v>0</v>
      </c>
    </row>
    <row r="356" spans="1:12" x14ac:dyDescent="0.25">
      <c r="C356" t="s">
        <v>93</v>
      </c>
      <c r="D356" s="5">
        <f>ตัวคูณโรงพยาบาล!D425</f>
        <v>0</v>
      </c>
      <c r="E356" s="5">
        <f>ตัวคูณโรงพยาบาล!E425</f>
        <v>0</v>
      </c>
      <c r="F356" s="5">
        <f>ตัวคูณโรงพยาบาล!F425</f>
        <v>0</v>
      </c>
      <c r="G356" s="5">
        <f>ตัวคูณโรงพยาบาล!G425</f>
        <v>0</v>
      </c>
      <c r="H356" s="5">
        <f>ตัวคูณโรงพยาบาล!H425</f>
        <v>0</v>
      </c>
      <c r="I356" s="5">
        <f>ตัวคูณโรงพยาบาล!I425</f>
        <v>0</v>
      </c>
      <c r="J356" s="5">
        <f>ตัวคูณโรงพยาบาล!J425</f>
        <v>0</v>
      </c>
      <c r="K356" s="5">
        <f>ตัวคูณโรงพยาบาล!K425</f>
        <v>0</v>
      </c>
      <c r="L356" s="5">
        <f t="shared" si="5"/>
        <v>0</v>
      </c>
    </row>
    <row r="357" spans="1:12" x14ac:dyDescent="0.25">
      <c r="C357" t="s">
        <v>94</v>
      </c>
      <c r="D357" s="5">
        <f>ตัวคูณโรงพยาบาล!D426</f>
        <v>0</v>
      </c>
      <c r="E357" s="5">
        <f>ตัวคูณโรงพยาบาล!E426</f>
        <v>0</v>
      </c>
      <c r="F357" s="5">
        <f>ตัวคูณโรงพยาบาล!F426</f>
        <v>0</v>
      </c>
      <c r="G357" s="5">
        <f>ตัวคูณโรงพยาบาล!G426</f>
        <v>0</v>
      </c>
      <c r="H357" s="5">
        <f>ตัวคูณโรงพยาบาล!H426</f>
        <v>0</v>
      </c>
      <c r="I357" s="5">
        <f>ตัวคูณโรงพยาบาล!I426</f>
        <v>0</v>
      </c>
      <c r="J357" s="5">
        <f>ตัวคูณโรงพยาบาล!J426</f>
        <v>0</v>
      </c>
      <c r="K357" s="5">
        <f>ตัวคูณโรงพยาบาล!K426</f>
        <v>0</v>
      </c>
      <c r="L357" s="5">
        <f t="shared" si="5"/>
        <v>0</v>
      </c>
    </row>
    <row r="358" spans="1:12" x14ac:dyDescent="0.25">
      <c r="C358" t="s">
        <v>95</v>
      </c>
      <c r="D358" s="5">
        <f>ตัวคูณโรงพยาบาล!D427</f>
        <v>0</v>
      </c>
      <c r="E358" s="5">
        <f>ตัวคูณโรงพยาบาล!E427</f>
        <v>0</v>
      </c>
      <c r="F358" s="5">
        <f>ตัวคูณโรงพยาบาล!F427</f>
        <v>0</v>
      </c>
      <c r="G358" s="5">
        <f>ตัวคูณโรงพยาบาล!G427</f>
        <v>0</v>
      </c>
      <c r="H358" s="5">
        <f>ตัวคูณโรงพยาบาล!H427</f>
        <v>0</v>
      </c>
      <c r="I358" s="5">
        <f>ตัวคูณโรงพยาบาล!I427</f>
        <v>0</v>
      </c>
      <c r="J358" s="5">
        <f>ตัวคูณโรงพยาบาล!J427</f>
        <v>0</v>
      </c>
      <c r="K358" s="5">
        <f>ตัวคูณโรงพยาบาล!K427</f>
        <v>0</v>
      </c>
      <c r="L358" s="5">
        <f t="shared" si="5"/>
        <v>0</v>
      </c>
    </row>
    <row r="359" spans="1:12" x14ac:dyDescent="0.25">
      <c r="C359" t="s">
        <v>96</v>
      </c>
      <c r="D359" s="5">
        <f>ตัวคูณโรงพยาบาล!D428</f>
        <v>0</v>
      </c>
      <c r="E359" s="5">
        <f>ตัวคูณโรงพยาบาล!E428</f>
        <v>0</v>
      </c>
      <c r="F359" s="5">
        <f>ตัวคูณโรงพยาบาล!F428</f>
        <v>0</v>
      </c>
      <c r="G359" s="5">
        <f>ตัวคูณโรงพยาบาล!G428</f>
        <v>0</v>
      </c>
      <c r="H359" s="5">
        <f>ตัวคูณโรงพยาบาล!H428</f>
        <v>0</v>
      </c>
      <c r="I359" s="5">
        <f>ตัวคูณโรงพยาบาล!I428</f>
        <v>0</v>
      </c>
      <c r="J359" s="5">
        <f>ตัวคูณโรงพยาบาล!J428</f>
        <v>0</v>
      </c>
      <c r="K359" s="5">
        <f>ตัวคูณโรงพยาบาล!K428</f>
        <v>0</v>
      </c>
      <c r="L359" s="5">
        <f t="shared" si="5"/>
        <v>0</v>
      </c>
    </row>
    <row r="360" spans="1:12" x14ac:dyDescent="0.25">
      <c r="C360" t="s">
        <v>97</v>
      </c>
      <c r="D360" s="5">
        <f>ตัวคูณโรงพยาบาล!D429</f>
        <v>0</v>
      </c>
      <c r="E360" s="5">
        <f>ตัวคูณโรงพยาบาล!E429</f>
        <v>0</v>
      </c>
      <c r="F360" s="5">
        <f>ตัวคูณโรงพยาบาล!F429</f>
        <v>0</v>
      </c>
      <c r="G360" s="5">
        <f>ตัวคูณโรงพยาบาล!G429</f>
        <v>0</v>
      </c>
      <c r="H360" s="5">
        <f>ตัวคูณโรงพยาบาล!H429</f>
        <v>0</v>
      </c>
      <c r="I360" s="5">
        <f>ตัวคูณโรงพยาบาล!I429</f>
        <v>0</v>
      </c>
      <c r="J360" s="5">
        <f>ตัวคูณโรงพยาบาล!J429</f>
        <v>0</v>
      </c>
      <c r="K360" s="5">
        <f>ตัวคูณโรงพยาบาล!K429</f>
        <v>0</v>
      </c>
      <c r="L360" s="5">
        <f t="shared" si="5"/>
        <v>0</v>
      </c>
    </row>
    <row r="361" spans="1:12" x14ac:dyDescent="0.25">
      <c r="C361" t="s">
        <v>98</v>
      </c>
      <c r="D361" s="5">
        <f>ตัวคูณโรงพยาบาล!D430</f>
        <v>0</v>
      </c>
      <c r="E361" s="5">
        <f>ตัวคูณโรงพยาบาล!E430</f>
        <v>0</v>
      </c>
      <c r="F361" s="5">
        <f>ตัวคูณโรงพยาบาล!F430</f>
        <v>1.0658595125614625</v>
      </c>
      <c r="G361" s="5">
        <f>ตัวคูณโรงพยาบาล!G430</f>
        <v>1.0626990189470531</v>
      </c>
      <c r="H361" s="5">
        <f>ตัวคูณโรงพยาบาล!H430</f>
        <v>0</v>
      </c>
      <c r="I361" s="5">
        <f>ตัวคูณโรงพยาบาล!I430</f>
        <v>2.1955655641305416</v>
      </c>
      <c r="J361" s="5">
        <f>ตัวคูณโรงพยาบาล!J430</f>
        <v>0</v>
      </c>
      <c r="K361" s="5">
        <f>ตัวคูณโรงพยาบาล!K430</f>
        <v>0</v>
      </c>
      <c r="L361" s="5">
        <f t="shared" si="5"/>
        <v>4.324124095639057</v>
      </c>
    </row>
    <row r="362" spans="1:12" x14ac:dyDescent="0.25">
      <c r="C362" t="s">
        <v>119</v>
      </c>
      <c r="D362" s="5">
        <f>ตัวคูณโรงพยาบาล!D431</f>
        <v>0</v>
      </c>
      <c r="E362" s="5">
        <f>ตัวคูณโรงพยาบาล!E431</f>
        <v>0</v>
      </c>
      <c r="F362" s="5">
        <f>ตัวคูณโรงพยาบาล!F431</f>
        <v>0</v>
      </c>
      <c r="G362" s="5">
        <f>ตัวคูณโรงพยาบาล!G431</f>
        <v>0</v>
      </c>
      <c r="H362" s="5">
        <f>ตัวคูณโรงพยาบาล!H431</f>
        <v>0</v>
      </c>
      <c r="I362" s="5">
        <f>ตัวคูณโรงพยาบาล!I431</f>
        <v>0</v>
      </c>
      <c r="J362" s="5">
        <f>ตัวคูณโรงพยาบาล!J431</f>
        <v>0</v>
      </c>
      <c r="K362" s="5">
        <f>ตัวคูณโรงพยาบาล!K431</f>
        <v>0</v>
      </c>
      <c r="L362" s="5">
        <f t="shared" si="5"/>
        <v>0</v>
      </c>
    </row>
    <row r="363" spans="1:12" x14ac:dyDescent="0.25">
      <c r="C363" t="s">
        <v>99</v>
      </c>
      <c r="D363" s="5">
        <f>ตัวคูณโรงพยาบาล!D432</f>
        <v>0</v>
      </c>
      <c r="E363" s="5">
        <f>ตัวคูณโรงพยาบาล!E432</f>
        <v>0</v>
      </c>
      <c r="F363" s="5">
        <f>ตัวคูณโรงพยาบาล!F432</f>
        <v>0</v>
      </c>
      <c r="G363" s="5">
        <f>ตัวคูณโรงพยาบาล!G432</f>
        <v>0</v>
      </c>
      <c r="H363" s="5">
        <f>ตัวคูณโรงพยาบาล!H432</f>
        <v>0</v>
      </c>
      <c r="I363" s="5">
        <f>ตัวคูณโรงพยาบาล!I432</f>
        <v>0</v>
      </c>
      <c r="J363" s="5">
        <f>ตัวคูณโรงพยาบาล!J432</f>
        <v>0</v>
      </c>
      <c r="K363" s="5">
        <f>ตัวคูณโรงพยาบาล!K432</f>
        <v>0</v>
      </c>
      <c r="L363" s="5">
        <f t="shared" si="5"/>
        <v>0</v>
      </c>
    </row>
    <row r="364" spans="1:12" x14ac:dyDescent="0.25">
      <c r="C364" t="s">
        <v>100</v>
      </c>
      <c r="D364" s="5">
        <f>ตัวคูณโรงพยาบาล!D433</f>
        <v>0</v>
      </c>
      <c r="E364" s="5">
        <f>ตัวคูณโรงพยาบาล!E433</f>
        <v>0</v>
      </c>
      <c r="F364" s="5">
        <f>ตัวคูณโรงพยาบาล!F433</f>
        <v>118.3267983261921</v>
      </c>
      <c r="G364" s="5">
        <f>ตัวคูณโรงพยาบาล!G433</f>
        <v>115.97575969488442</v>
      </c>
      <c r="H364" s="5">
        <f>ตัวคูณโรงพยาบาล!H433</f>
        <v>40.717709810764568</v>
      </c>
      <c r="I364" s="5">
        <f>ตัวคูณโรงพยาบาล!I433</f>
        <v>2.1955655641305416</v>
      </c>
      <c r="J364" s="5">
        <f>ตัวคูณโรงพยาบาล!J433</f>
        <v>0</v>
      </c>
      <c r="K364" s="5">
        <f>ตัวคูณโรงพยาบาล!K433</f>
        <v>2.1935345136549351</v>
      </c>
      <c r="L364" s="5">
        <f t="shared" si="5"/>
        <v>279.40936790962655</v>
      </c>
    </row>
    <row r="365" spans="1:12" x14ac:dyDescent="0.25">
      <c r="C365" t="s">
        <v>101</v>
      </c>
      <c r="D365" s="5">
        <f>ตัวคูณโรงพยาบาล!D434</f>
        <v>0</v>
      </c>
      <c r="E365" s="5">
        <f>ตัวคูณโรงพยาบาล!E434</f>
        <v>0</v>
      </c>
      <c r="F365" s="5">
        <f>ตัวคูณโรงพยาบาล!F434</f>
        <v>1.0658595125614625</v>
      </c>
      <c r="G365" s="5">
        <f>ตัวคูณโรงพยาบาล!G434</f>
        <v>2.1253980378941062</v>
      </c>
      <c r="H365" s="5">
        <f>ตัวคูณโรงพยาบาล!H434</f>
        <v>0</v>
      </c>
      <c r="I365" s="5">
        <f>ตัวคูณโรงพยาบาล!I434</f>
        <v>0</v>
      </c>
      <c r="J365" s="5">
        <f>ตัวคูณโรงพยาบาล!J434</f>
        <v>0</v>
      </c>
      <c r="K365" s="5">
        <f>ตัวคูณโรงพยาบาล!K434</f>
        <v>0</v>
      </c>
      <c r="L365" s="5">
        <f t="shared" si="5"/>
        <v>3.1912575504555685</v>
      </c>
    </row>
    <row r="366" spans="1:12" x14ac:dyDescent="0.25">
      <c r="A366" s="24" t="s">
        <v>115</v>
      </c>
      <c r="B366" s="24" t="s">
        <v>106</v>
      </c>
      <c r="C366" t="s">
        <v>70</v>
      </c>
      <c r="D366" s="5">
        <f>ตัวคูณโรงพยาบาล!D435</f>
        <v>0</v>
      </c>
      <c r="E366" s="5">
        <f>ตัวคูณโรงพยาบาล!E435</f>
        <v>0</v>
      </c>
      <c r="F366" s="5">
        <f>ตัวคูณโรงพยาบาล!F435</f>
        <v>10.953769061498987</v>
      </c>
      <c r="G366" s="5">
        <f>ตัวคูณโรงพยาบาล!G435</f>
        <v>13.844471512826106</v>
      </c>
      <c r="H366" s="5">
        <f>ตัวคูณโรงพยาบาล!H435</f>
        <v>2.3984815439693841</v>
      </c>
      <c r="I366" s="5">
        <f>ตัวคูณโรงพยาบาล!I435</f>
        <v>6.0662177328843998E-2</v>
      </c>
      <c r="J366" s="5">
        <f>ตัวคูณโรงพยาบาล!J435</f>
        <v>0</v>
      </c>
      <c r="K366" s="5">
        <f>ตัวคูณโรงพยาบาล!K435</f>
        <v>0</v>
      </c>
      <c r="L366" s="5">
        <f t="shared" si="5"/>
        <v>27.257384295623321</v>
      </c>
    </row>
    <row r="367" spans="1:12" x14ac:dyDescent="0.25">
      <c r="C367" t="s">
        <v>71</v>
      </c>
      <c r="D367" s="5">
        <f>ตัวคูณโรงพยาบาล!D436</f>
        <v>0</v>
      </c>
      <c r="E367" s="5">
        <f>ตัวคูณโรงพยาบาล!E436</f>
        <v>0</v>
      </c>
      <c r="F367" s="5">
        <f>ตัวคูณโรงพยาบาล!F436</f>
        <v>188.80319509815723</v>
      </c>
      <c r="G367" s="5">
        <f>ตัวคูณโรงพยาบาล!G436</f>
        <v>141.91995125104904</v>
      </c>
      <c r="H367" s="5">
        <f>ตัวคูณโรงพยาบาล!H436</f>
        <v>43.522185597090356</v>
      </c>
      <c r="I367" s="5">
        <f>ตัวคูณโรงพยาบาล!I436</f>
        <v>6.0662177328843998E-2</v>
      </c>
      <c r="J367" s="5">
        <f>ตัวคูณโรงพยาบาล!J436</f>
        <v>0</v>
      </c>
      <c r="K367" s="5">
        <f>ตัวคูณโรงพยาบาล!K436</f>
        <v>0</v>
      </c>
      <c r="L367" s="5">
        <f t="shared" si="5"/>
        <v>374.30599412362545</v>
      </c>
    </row>
    <row r="368" spans="1:12" x14ac:dyDescent="0.25">
      <c r="C368" t="s">
        <v>72</v>
      </c>
      <c r="D368" s="5">
        <f>ตัวคูณโรงพยาบาล!D437</f>
        <v>0</v>
      </c>
      <c r="E368" s="5">
        <f>ตัวคูณโรงพยาบาล!E437</f>
        <v>0</v>
      </c>
      <c r="F368" s="5">
        <f>ตัวคูณโรงพยาบาล!F437</f>
        <v>1.2813875255752067</v>
      </c>
      <c r="G368" s="5">
        <f>ตัวคูณโรงพยาบาล!G437</f>
        <v>1.0768089290518705</v>
      </c>
      <c r="H368" s="5">
        <f>ตัวคูณโรงพยาบาล!H437</f>
        <v>3.0474024973052236</v>
      </c>
      <c r="I368" s="5">
        <f>ตัวคูณโรงพยาบาล!I437</f>
        <v>6.0662177328843998E-2</v>
      </c>
      <c r="J368" s="5">
        <f>ตัวคูณโรงพยาบาล!J437</f>
        <v>0</v>
      </c>
      <c r="K368" s="5">
        <f>ตัวคูณโรงพยาบาล!K437</f>
        <v>0</v>
      </c>
      <c r="L368" s="5">
        <f t="shared" si="5"/>
        <v>5.4662611292611452</v>
      </c>
    </row>
    <row r="369" spans="3:12" x14ac:dyDescent="0.25">
      <c r="C369" t="s">
        <v>73</v>
      </c>
      <c r="D369" s="5">
        <f>ตัวคูณโรงพยาบาล!D438</f>
        <v>0</v>
      </c>
      <c r="E369" s="5">
        <f>ตัวคูณโรงพยาบาล!E438</f>
        <v>0</v>
      </c>
      <c r="F369" s="5">
        <f>ตัวคูณโรงพยาบาล!F438</f>
        <v>8.3496772809420872</v>
      </c>
      <c r="G369" s="5">
        <f>ตัวคูณโรงพยาบาล!G438</f>
        <v>0</v>
      </c>
      <c r="H369" s="5">
        <f>ตัวคูณโรงพยาบาล!H438</f>
        <v>0</v>
      </c>
      <c r="I369" s="5">
        <f>ตัวคูณโรงพยาบาล!I438</f>
        <v>6.0662177328843998E-2</v>
      </c>
      <c r="J369" s="5">
        <f>ตัวคูณโรงพยาบาล!J438</f>
        <v>0</v>
      </c>
      <c r="K369" s="5">
        <f>ตัวคูณโรงพยาบาล!K438</f>
        <v>0</v>
      </c>
      <c r="L369" s="5">
        <f t="shared" si="5"/>
        <v>8.410339458270931</v>
      </c>
    </row>
    <row r="370" spans="3:12" x14ac:dyDescent="0.25">
      <c r="C370" t="s">
        <v>74</v>
      </c>
      <c r="D370" s="5">
        <f>ตัวคูณโรงพยาบาล!D439</f>
        <v>0</v>
      </c>
      <c r="E370" s="5">
        <f>ตัวคูณโรงพยาบาล!E439</f>
        <v>0</v>
      </c>
      <c r="F370" s="5">
        <f>ตัวคูณโรงพยาบาล!F439</f>
        <v>25.199328032569735</v>
      </c>
      <c r="G370" s="5">
        <f>ตัวคูณโรงพยาบาล!G439</f>
        <v>29.325346235872104</v>
      </c>
      <c r="H370" s="5">
        <f>ตัวคูณโรงพยาบาล!H439</f>
        <v>16.981846746654643</v>
      </c>
      <c r="I370" s="5">
        <f>ตัวคูณโรงพยาบาล!I439</f>
        <v>6.0662177328843998E-2</v>
      </c>
      <c r="J370" s="5">
        <f>ตัวคูณโรงพยาบาล!J439</f>
        <v>0</v>
      </c>
      <c r="K370" s="5">
        <f>ตัวคูณโรงพยาบาล!K439</f>
        <v>0</v>
      </c>
      <c r="L370" s="5">
        <f t="shared" si="5"/>
        <v>71.567183192425333</v>
      </c>
    </row>
    <row r="371" spans="3:12" x14ac:dyDescent="0.25">
      <c r="C371" t="s">
        <v>75</v>
      </c>
      <c r="D371" s="5">
        <f>ตัวคูณโรงพยาบาล!D440</f>
        <v>0</v>
      </c>
      <c r="E371" s="5">
        <f>ตัวคูณโรงพยาบาล!E440</f>
        <v>0</v>
      </c>
      <c r="F371" s="5">
        <f>ตัวคูณโรงพยาบาล!F440</f>
        <v>1.3358772557436998</v>
      </c>
      <c r="G371" s="5">
        <f>ตัวคูณโรงพยาบาล!G440</f>
        <v>1.2764659831666325</v>
      </c>
      <c r="H371" s="5">
        <f>ตัวคูณโรงพยาบาล!H440</f>
        <v>0</v>
      </c>
      <c r="I371" s="5">
        <f>ตัวคูณโรงพยาบาล!I440</f>
        <v>6.0662177328843998E-2</v>
      </c>
      <c r="J371" s="5">
        <f>ตัวคูณโรงพยาบาล!J440</f>
        <v>0</v>
      </c>
      <c r="K371" s="5">
        <f>ตัวคูณโรงพยาบาล!K440</f>
        <v>0</v>
      </c>
      <c r="L371" s="5">
        <f t="shared" si="5"/>
        <v>2.6730054162391763</v>
      </c>
    </row>
    <row r="372" spans="3:12" x14ac:dyDescent="0.25">
      <c r="C372" t="s">
        <v>76</v>
      </c>
      <c r="D372" s="5">
        <f>ตัวคูณโรงพยาบาล!D441</f>
        <v>0</v>
      </c>
      <c r="E372" s="5">
        <f>ตัวคูณโรงพยาบาล!E441</f>
        <v>0</v>
      </c>
      <c r="F372" s="5">
        <f>ตัวคูณโรงพยาบาล!F441</f>
        <v>18.683410944356716</v>
      </c>
      <c r="G372" s="5">
        <f>ตัวคูณโรงพยาบาล!G441</f>
        <v>8.1790132989915527</v>
      </c>
      <c r="H372" s="5">
        <f>ตัวคูณโรงพยาบาล!H441</f>
        <v>9.2762426986991198</v>
      </c>
      <c r="I372" s="5">
        <f>ตัวคูณโรงพยาบาล!I441</f>
        <v>6.0662177328843998E-2</v>
      </c>
      <c r="J372" s="5">
        <f>ตัวคูณโรงพยาบาล!J441</f>
        <v>0</v>
      </c>
      <c r="K372" s="5">
        <f>ตัวคูณโรงพยาบาล!K441</f>
        <v>0</v>
      </c>
      <c r="L372" s="5">
        <f t="shared" si="5"/>
        <v>36.19932911937623</v>
      </c>
    </row>
    <row r="373" spans="3:12" x14ac:dyDescent="0.25">
      <c r="C373" t="s">
        <v>77</v>
      </c>
      <c r="D373" s="5">
        <f>ตัวคูณโรงพยาบาล!D442</f>
        <v>0</v>
      </c>
      <c r="E373" s="5">
        <f>ตัวคูณโรงพยาบาล!E442</f>
        <v>0</v>
      </c>
      <c r="F373" s="5">
        <f>ตัวคูณโรงพยาบาล!F442</f>
        <v>31.593092659683762</v>
      </c>
      <c r="G373" s="5">
        <f>ตัวคูณโรงพยาบาล!G442</f>
        <v>63.360245048289123</v>
      </c>
      <c r="H373" s="5">
        <f>ตัวคูณโรงพยาบาล!H442</f>
        <v>14.588091533190278</v>
      </c>
      <c r="I373" s="5">
        <f>ตัวคูณโรงพยาบาล!I442</f>
        <v>4.451793305589927</v>
      </c>
      <c r="J373" s="5">
        <f>ตัวคูณโรงพยาบาล!J442</f>
        <v>0</v>
      </c>
      <c r="K373" s="5">
        <f>ตัวคูณโรงพยาบาล!K442</f>
        <v>0</v>
      </c>
      <c r="L373" s="5">
        <f t="shared" si="5"/>
        <v>113.99322254675309</v>
      </c>
    </row>
    <row r="374" spans="3:12" x14ac:dyDescent="0.25">
      <c r="C374" t="s">
        <v>78</v>
      </c>
      <c r="D374" s="5">
        <f>ตัวคูณโรงพยาบาล!D443</f>
        <v>0</v>
      </c>
      <c r="E374" s="5">
        <f>ตัวคูณโรงพยาบาล!E443</f>
        <v>0</v>
      </c>
      <c r="F374" s="5">
        <f>ตัวคูณโรงพยาบาล!F443</f>
        <v>18.022058816865869</v>
      </c>
      <c r="G374" s="5">
        <f>ตัวคูณโรงพยาบาล!G443</f>
        <v>40.976823009418212</v>
      </c>
      <c r="H374" s="5">
        <f>ตัวคูณโรงพยาบาล!H443</f>
        <v>12.739929807869746</v>
      </c>
      <c r="I374" s="5">
        <f>ตัวคูณโรงพยาบาล!I443</f>
        <v>6.0662177328843998E-2</v>
      </c>
      <c r="J374" s="5">
        <f>ตัวคูณโรงพยาบาล!J443</f>
        <v>0</v>
      </c>
      <c r="K374" s="5">
        <f>ตัวคูณโรงพยาบาล!K443</f>
        <v>0</v>
      </c>
      <c r="L374" s="5">
        <f t="shared" si="5"/>
        <v>71.79947381148267</v>
      </c>
    </row>
    <row r="375" spans="3:12" x14ac:dyDescent="0.25">
      <c r="C375" t="s">
        <v>79</v>
      </c>
      <c r="D375" s="5">
        <f>ตัวคูณโรงพยาบาล!D444</f>
        <v>0</v>
      </c>
      <c r="E375" s="5">
        <f>ตัวคูณโรงพยาบาล!E444</f>
        <v>0</v>
      </c>
      <c r="F375" s="5">
        <f>ตัวคูณโรงพยาบาล!F444</f>
        <v>3.2241271786412602</v>
      </c>
      <c r="G375" s="5">
        <f>ตัวคูณโรงพยาบาล!G444</f>
        <v>0</v>
      </c>
      <c r="H375" s="5">
        <f>ตัวคูณโรงพยาบาล!H444</f>
        <v>1.0604792346962242</v>
      </c>
      <c r="I375" s="5">
        <f>ตัวคูณโรงพยาบาล!I444</f>
        <v>6.0662177328843998E-2</v>
      </c>
      <c r="J375" s="5">
        <f>ตัวคูณโรงพยาบาล!J444</f>
        <v>0</v>
      </c>
      <c r="K375" s="5">
        <f>ตัวคูณโรงพยาบาล!K444</f>
        <v>0</v>
      </c>
      <c r="L375" s="5">
        <f t="shared" si="5"/>
        <v>4.3452685906663282</v>
      </c>
    </row>
    <row r="376" spans="3:12" x14ac:dyDescent="0.25">
      <c r="C376" t="s">
        <v>80</v>
      </c>
      <c r="D376" s="5">
        <f>ตัวคูณโรงพยาบาล!D445</f>
        <v>0</v>
      </c>
      <c r="E376" s="5">
        <f>ตัวคูณโรงพยาบาล!E445</f>
        <v>0</v>
      </c>
      <c r="F376" s="5">
        <f>ตัวคูณโรงพยาบาล!F445</f>
        <v>1.2813875255752067</v>
      </c>
      <c r="G376" s="5">
        <f>ตัวคูณโรงพยาบาล!G445</f>
        <v>6.9025473158249211</v>
      </c>
      <c r="H376" s="5">
        <f>ตัวคูณโรงพยาบาล!H445</f>
        <v>1.199240771984692</v>
      </c>
      <c r="I376" s="5">
        <f>ตัวคูณโรงพยาบาล!I445</f>
        <v>6.0662177328843998E-2</v>
      </c>
      <c r="J376" s="5">
        <f>ตัวคูณโรงพยาบาล!J445</f>
        <v>0</v>
      </c>
      <c r="K376" s="5">
        <f>ตัวคูณโรงพยาบาล!K445</f>
        <v>0</v>
      </c>
      <c r="L376" s="5">
        <f t="shared" si="5"/>
        <v>9.4438377907136637</v>
      </c>
    </row>
    <row r="377" spans="3:12" x14ac:dyDescent="0.25">
      <c r="C377" t="s">
        <v>81</v>
      </c>
      <c r="D377" s="5">
        <f>ตัวคูณโรงพยาบาล!D446</f>
        <v>0</v>
      </c>
      <c r="E377" s="5">
        <f>ตัวคูณโรงพยาบาล!E446</f>
        <v>0</v>
      </c>
      <c r="F377" s="5">
        <f>ตัวคูณโรงพยาบาล!F446</f>
        <v>1.2813875255752067</v>
      </c>
      <c r="G377" s="5">
        <f>ตัวคูณโรงพยาบาล!G446</f>
        <v>2.9128691933865252</v>
      </c>
      <c r="H377" s="5">
        <f>ตัวคูณโรงพยาบาล!H446</f>
        <v>3.0474024973052236</v>
      </c>
      <c r="I377" s="5">
        <f>ตัวคูณโรงพยาบาล!I446</f>
        <v>6.0662177328843998E-2</v>
      </c>
      <c r="J377" s="5">
        <f>ตัวคูณโรงพยาบาล!J446</f>
        <v>0</v>
      </c>
      <c r="K377" s="5">
        <f>ตัวคูณโรงพยาบาล!K446</f>
        <v>0</v>
      </c>
      <c r="L377" s="5">
        <f t="shared" si="5"/>
        <v>7.3023213935957996</v>
      </c>
    </row>
    <row r="378" spans="3:12" x14ac:dyDescent="0.25">
      <c r="C378" t="s">
        <v>82</v>
      </c>
      <c r="D378" s="5">
        <f>ตัวคูณโรงพยาบาล!D447</f>
        <v>0</v>
      </c>
      <c r="E378" s="5">
        <f>ตัวคูณโรงพยาบาล!E447</f>
        <v>0</v>
      </c>
      <c r="F378" s="5">
        <f>ตัวคูณโรงพยาบาล!F447</f>
        <v>3.2241271786412602</v>
      </c>
      <c r="G378" s="5">
        <f>ตัวคูณโรงพยาบาล!G447</f>
        <v>1.2764659831666325</v>
      </c>
      <c r="H378" s="5">
        <f>ตัวคูณโรงพยาบาล!H447</f>
        <v>0</v>
      </c>
      <c r="I378" s="5">
        <f>ตัวคูณโรงพยาบาล!I447</f>
        <v>6.0662177328843998E-2</v>
      </c>
      <c r="J378" s="5">
        <f>ตัวคูณโรงพยาบาล!J447</f>
        <v>0</v>
      </c>
      <c r="K378" s="5">
        <f>ตัวคูณโรงพยาบาล!K447</f>
        <v>0</v>
      </c>
      <c r="L378" s="5">
        <f t="shared" si="5"/>
        <v>4.5612553391367365</v>
      </c>
    </row>
    <row r="379" spans="3:12" x14ac:dyDescent="0.25">
      <c r="C379" t="s">
        <v>83</v>
      </c>
      <c r="D379" s="5">
        <f>ตัวคูณโรงพยาบาล!D448</f>
        <v>0</v>
      </c>
      <c r="E379" s="5">
        <f>ตัวคูณโรงพยาบาล!E448</f>
        <v>0</v>
      </c>
      <c r="F379" s="5">
        <f>ตัวคูณโรงพยาบาล!F448</f>
        <v>4.5055147042164672</v>
      </c>
      <c r="G379" s="5">
        <f>ตัวคูณโรงพยาบาล!G448</f>
        <v>5.8257383867730503</v>
      </c>
      <c r="H379" s="5">
        <f>ตัวคูณโรงพยาบาล!H448</f>
        <v>3.5977223159540759</v>
      </c>
      <c r="I379" s="5">
        <f>ตัวคูณโรงพยาบาล!I448</f>
        <v>6.0662177328843998E-2</v>
      </c>
      <c r="J379" s="5">
        <f>ตัวคูณโรงพยาบาล!J448</f>
        <v>0</v>
      </c>
      <c r="K379" s="5">
        <f>ตัวคูณโรงพยาบาล!K448</f>
        <v>0</v>
      </c>
      <c r="L379" s="5">
        <f t="shared" si="5"/>
        <v>13.989637584272437</v>
      </c>
    </row>
    <row r="380" spans="3:12" x14ac:dyDescent="0.25">
      <c r="C380" t="s">
        <v>84</v>
      </c>
      <c r="D380" s="5">
        <f>ตัวคูณโรงพยาบาล!D449</f>
        <v>0</v>
      </c>
      <c r="E380" s="5">
        <f>ตัวคูณโรงพยาบาล!E449</f>
        <v>0</v>
      </c>
      <c r="F380" s="5">
        <f>ตัวคูณโรงพยาบาล!F449</f>
        <v>0</v>
      </c>
      <c r="G380" s="5">
        <f>ตัวคูณโรงพยาบาล!G449</f>
        <v>1.2764659831666325</v>
      </c>
      <c r="H380" s="5">
        <f>ตัวคูณโรงพยาบาล!H449</f>
        <v>0</v>
      </c>
      <c r="I380" s="5">
        <f>ตัวคูณโรงพยาบาล!I449</f>
        <v>6.0662177328843998E-2</v>
      </c>
      <c r="J380" s="5">
        <f>ตัวคูณโรงพยาบาล!J449</f>
        <v>0</v>
      </c>
      <c r="K380" s="5">
        <f>ตัวคูณโรงพยาบาล!K449</f>
        <v>0</v>
      </c>
      <c r="L380" s="5">
        <f t="shared" si="5"/>
        <v>1.3371281604954766</v>
      </c>
    </row>
    <row r="381" spans="3:12" x14ac:dyDescent="0.25">
      <c r="C381" t="s">
        <v>85</v>
      </c>
      <c r="D381" s="5">
        <f>ตัวคูณโรงพยาบาล!D450</f>
        <v>0</v>
      </c>
      <c r="E381" s="5">
        <f>ตัวคูณโรงพยาบาล!E450</f>
        <v>0</v>
      </c>
      <c r="F381" s="5">
        <f>ตัวคูณโรงพยาบาล!F450</f>
        <v>21.907538122997973</v>
      </c>
      <c r="G381" s="5">
        <f>ตัวคูณโรงพยาบาล!G450</f>
        <v>18.753681143485785</v>
      </c>
      <c r="H381" s="5">
        <f>ตัวคูณโรงพยาบาล!H450</f>
        <v>4.2466432692899154</v>
      </c>
      <c r="I381" s="5">
        <f>ตัวคูณโรงพยาบาล!I450</f>
        <v>6.0662177328843998E-2</v>
      </c>
      <c r="J381" s="5">
        <f>ตัวคูณโรงพยาบาล!J450</f>
        <v>0</v>
      </c>
      <c r="K381" s="5">
        <f>ตัวคูณโรงพยาบาล!K450</f>
        <v>0</v>
      </c>
      <c r="L381" s="5">
        <f t="shared" si="5"/>
        <v>44.968524713102518</v>
      </c>
    </row>
    <row r="382" spans="3:12" x14ac:dyDescent="0.25">
      <c r="C382" t="s">
        <v>86</v>
      </c>
      <c r="D382" s="5">
        <f>ตัวคูณโรงพยาบาล!D451</f>
        <v>0</v>
      </c>
      <c r="E382" s="5">
        <f>ตัวคูณโรงพยาบาล!E451</f>
        <v>0</v>
      </c>
      <c r="F382" s="5">
        <f>ตัวคูณโรงพยาบาล!F451</f>
        <v>189.16215711904064</v>
      </c>
      <c r="G382" s="5">
        <f>ตัวคูณโรงพยาบาล!G451</f>
        <v>253.11441434306369</v>
      </c>
      <c r="H382" s="5">
        <f>ตัวคูณโรงพยาบาล!H451</f>
        <v>60.414883870068053</v>
      </c>
      <c r="I382" s="5">
        <f>ตัวคูณโรงพยาบาล!I451</f>
        <v>6.0662177328843998E-2</v>
      </c>
      <c r="J382" s="5">
        <f>ตัวคูณโรงพยาบาล!J451</f>
        <v>0</v>
      </c>
      <c r="K382" s="5">
        <f>ตัวคูณโรงพยาบาล!K451</f>
        <v>0</v>
      </c>
      <c r="L382" s="5">
        <f t="shared" si="5"/>
        <v>502.7521175095012</v>
      </c>
    </row>
    <row r="383" spans="3:12" x14ac:dyDescent="0.25">
      <c r="C383" t="s">
        <v>87</v>
      </c>
      <c r="D383" s="5">
        <f>ตัวคูณโรงพยาบาล!D452</f>
        <v>0</v>
      </c>
      <c r="E383" s="5">
        <f>ตัวคูณโรงพยาบาล!E452</f>
        <v>0</v>
      </c>
      <c r="F383" s="5">
        <f>ตัวคูณโรงพยาบาล!F452</f>
        <v>60.595266539572634</v>
      </c>
      <c r="G383" s="5">
        <f>ตัวคูณโรงพยาบาล!G452</f>
        <v>37.461979901579483</v>
      </c>
      <c r="H383" s="5">
        <f>ตัวคูณโรงพยาบาล!H452</f>
        <v>11.442087901198068</v>
      </c>
      <c r="I383" s="5">
        <f>ตัวคูณโรงพยาบาล!I452</f>
        <v>6.0662177328843998E-2</v>
      </c>
      <c r="J383" s="5">
        <f>ตัวคูณโรงพยาบาล!J452</f>
        <v>0</v>
      </c>
      <c r="K383" s="5">
        <f>ตัวคูณโรงพยาบาล!K452</f>
        <v>0</v>
      </c>
      <c r="L383" s="5">
        <f t="shared" si="5"/>
        <v>109.55999651967903</v>
      </c>
    </row>
    <row r="384" spans="3:12" x14ac:dyDescent="0.25">
      <c r="C384" t="s">
        <v>88</v>
      </c>
      <c r="D384" s="5">
        <f>ตัวคูณโรงพยาบาล!D453</f>
        <v>0</v>
      </c>
      <c r="E384" s="5">
        <f>ตัวคูณโรงพยาบาล!E453</f>
        <v>0</v>
      </c>
      <c r="F384" s="5">
        <f>ตัวคูณโรงพยาบาล!F453</f>
        <v>177.05095072018588</v>
      </c>
      <c r="G384" s="5">
        <f>ตัวคูณโรงพยาบาล!G453</f>
        <v>182.97552802281976</v>
      </c>
      <c r="H384" s="5">
        <f>ตัวคูณโรงพยาบาล!H453</f>
        <v>84.145182895174003</v>
      </c>
      <c r="I384" s="5">
        <f>ตัวคูณโรงพยาบาล!I453</f>
        <v>4.451793305589927</v>
      </c>
      <c r="J384" s="5">
        <f>ตัวคูณโรงพยาบาล!J453</f>
        <v>0</v>
      </c>
      <c r="K384" s="5">
        <f>ตัวคูณโรงพยาบาล!K453</f>
        <v>0</v>
      </c>
      <c r="L384" s="5">
        <f t="shared" si="5"/>
        <v>448.62345494376962</v>
      </c>
    </row>
    <row r="385" spans="1:12" x14ac:dyDescent="0.25">
      <c r="C385" t="s">
        <v>89</v>
      </c>
      <c r="D385" s="5">
        <f>ตัวคูณโรงพยาบาล!D454</f>
        <v>0</v>
      </c>
      <c r="E385" s="5">
        <f>ตัวคูณโรงพยาบาล!E454</f>
        <v>0</v>
      </c>
      <c r="F385" s="5">
        <f>ตัวคูณโรงพยาบาล!F454</f>
        <v>32.267617787936615</v>
      </c>
      <c r="G385" s="5">
        <f>ตัวคูณโรงพยาบาล!G454</f>
        <v>41.533414538478318</v>
      </c>
      <c r="H385" s="5">
        <f>ตัวคูณโรงพยาบาล!H454</f>
        <v>8.2157634640028956</v>
      </c>
      <c r="I385" s="5">
        <f>ตัวคูณโรงพยาบาล!I454</f>
        <v>6.0662177328843998E-2</v>
      </c>
      <c r="J385" s="5">
        <f>ตัวคูณโรงพยาบาล!J454</f>
        <v>0</v>
      </c>
      <c r="K385" s="5">
        <f>ตัวคูณโรงพยาบาล!K454</f>
        <v>0</v>
      </c>
      <c r="L385" s="5">
        <f t="shared" si="5"/>
        <v>82.077457967746682</v>
      </c>
    </row>
    <row r="386" spans="1:12" x14ac:dyDescent="0.25">
      <c r="C386" t="s">
        <v>90</v>
      </c>
      <c r="D386" s="5">
        <f>ตัวคูณโรงพยาบาล!D455</f>
        <v>0</v>
      </c>
      <c r="E386" s="5">
        <f>ตัวคูณโรงพยาบาล!E455</f>
        <v>0</v>
      </c>
      <c r="F386" s="5">
        <f>ตัวคูณโรงพยาบาล!F455</f>
        <v>0</v>
      </c>
      <c r="G386" s="5">
        <f>ตัวคูณโรงพยาบาล!G455</f>
        <v>0</v>
      </c>
      <c r="H386" s="5">
        <f>ตัวคูณโรงพยาบาล!H455</f>
        <v>0</v>
      </c>
      <c r="I386" s="5">
        <f>ตัวคูณโรงพยาบาล!I455</f>
        <v>6.0662177328843998E-2</v>
      </c>
      <c r="J386" s="5">
        <f>ตัวคูณโรงพยาบาล!J455</f>
        <v>0</v>
      </c>
      <c r="K386" s="5">
        <f>ตัวคูณโรงพยาบาล!K455</f>
        <v>0</v>
      </c>
      <c r="L386" s="5">
        <f t="shared" si="5"/>
        <v>6.0662177328843998E-2</v>
      </c>
    </row>
    <row r="387" spans="1:12" x14ac:dyDescent="0.25">
      <c r="C387" t="s">
        <v>91</v>
      </c>
      <c r="D387" s="5">
        <f>ตัวคูณโรงพยาบาล!D456</f>
        <v>0</v>
      </c>
      <c r="E387" s="5">
        <f>ตัวคูณโรงพยาบาล!E456</f>
        <v>0</v>
      </c>
      <c r="F387" s="5">
        <f>ตัวคูณโรงพยาบาล!F456</f>
        <v>0</v>
      </c>
      <c r="G387" s="5">
        <f>ตัวคูณโรงพยาบาล!G456</f>
        <v>1.2764659831666325</v>
      </c>
      <c r="H387" s="5">
        <f>ตัวคูณโรงพยาบาล!H456</f>
        <v>1.199240771984692</v>
      </c>
      <c r="I387" s="5">
        <f>ตัวคูณโรงพยาบาล!I456</f>
        <v>6.0662177328843998E-2</v>
      </c>
      <c r="J387" s="5">
        <f>ตัวคูณโรงพยาบาล!J456</f>
        <v>0</v>
      </c>
      <c r="K387" s="5">
        <f>ตัวคูณโรงพยาบาล!K456</f>
        <v>0</v>
      </c>
      <c r="L387" s="5">
        <f t="shared" si="5"/>
        <v>2.5363689324801681</v>
      </c>
    </row>
    <row r="388" spans="1:12" x14ac:dyDescent="0.25">
      <c r="C388" t="s">
        <v>92</v>
      </c>
      <c r="D388" s="5">
        <f>ตัวคูณโรงพยาบาล!D457</f>
        <v>0</v>
      </c>
      <c r="E388" s="5">
        <f>ตัวคูณโรงพยาบาล!E457</f>
        <v>0</v>
      </c>
      <c r="F388" s="5">
        <f>ตัวคูณโรงพยาบาล!F457</f>
        <v>0</v>
      </c>
      <c r="G388" s="5">
        <f>ตัวคูณโรงพยาบาล!G457</f>
        <v>2.9128691933865252</v>
      </c>
      <c r="H388" s="5">
        <f>ตัวคูณโรงพยาบาล!H457</f>
        <v>0</v>
      </c>
      <c r="I388" s="5">
        <f>ตัวคูณโรงพยาบาล!I457</f>
        <v>6.0662177328843998E-2</v>
      </c>
      <c r="J388" s="5">
        <f>ตัวคูณโรงพยาบาล!J457</f>
        <v>0</v>
      </c>
      <c r="K388" s="5">
        <f>ตัวคูณโรงพยาบาล!K457</f>
        <v>0</v>
      </c>
      <c r="L388" s="5">
        <f t="shared" ref="L388:L451" si="6">SUM(D388:K388)</f>
        <v>2.973531370715369</v>
      </c>
    </row>
    <row r="389" spans="1:12" x14ac:dyDescent="0.25">
      <c r="C389" t="s">
        <v>93</v>
      </c>
      <c r="D389" s="5">
        <f>ตัวคูณโรงพยาบาล!D458</f>
        <v>0</v>
      </c>
      <c r="E389" s="5">
        <f>ตัวคูณโรงพยาบาล!E458</f>
        <v>0</v>
      </c>
      <c r="F389" s="5">
        <f>ตัวคูณโรงพยาบาล!F458</f>
        <v>0</v>
      </c>
      <c r="G389" s="5">
        <f>ตัวคูณโรงพยาบาล!G458</f>
        <v>0</v>
      </c>
      <c r="H389" s="5">
        <f>ตัวคูณโรงพยาบาล!H458</f>
        <v>0</v>
      </c>
      <c r="I389" s="5">
        <f>ตัวคูณโรงพยาบาล!I458</f>
        <v>6.0662177328843998E-2</v>
      </c>
      <c r="J389" s="5">
        <f>ตัวคูณโรงพยาบาล!J458</f>
        <v>0</v>
      </c>
      <c r="K389" s="5">
        <f>ตัวคูณโรงพยาบาล!K458</f>
        <v>0</v>
      </c>
      <c r="L389" s="5">
        <f t="shared" si="6"/>
        <v>6.0662177328843998E-2</v>
      </c>
    </row>
    <row r="390" spans="1:12" x14ac:dyDescent="0.25">
      <c r="C390" t="s">
        <v>94</v>
      </c>
      <c r="D390" s="5">
        <f>ตัวคูณโรงพยาบาล!D459</f>
        <v>0</v>
      </c>
      <c r="E390" s="5">
        <f>ตัวคูณโรงพยาบาล!E459</f>
        <v>0</v>
      </c>
      <c r="F390" s="5">
        <f>ตัวคูณโรงพยาบาล!F459</f>
        <v>0</v>
      </c>
      <c r="G390" s="5">
        <f>ตัวคูณโรงพยาบาล!G459</f>
        <v>0</v>
      </c>
      <c r="H390" s="5">
        <f>ตัวคูณโรงพยาบาล!H459</f>
        <v>0</v>
      </c>
      <c r="I390" s="5">
        <f>ตัวคูณโรงพยาบาล!I459</f>
        <v>6.0662177328843998E-2</v>
      </c>
      <c r="J390" s="5">
        <f>ตัวคูณโรงพยาบาล!J459</f>
        <v>0</v>
      </c>
      <c r="K390" s="5">
        <f>ตัวคูณโรงพยาบาล!K459</f>
        <v>0</v>
      </c>
      <c r="L390" s="5">
        <f t="shared" si="6"/>
        <v>6.0662177328843998E-2</v>
      </c>
    </row>
    <row r="391" spans="1:12" x14ac:dyDescent="0.25">
      <c r="C391" t="s">
        <v>95</v>
      </c>
      <c r="D391" s="5">
        <f>ตัวคูณโรงพยาบาล!D460</f>
        <v>0</v>
      </c>
      <c r="E391" s="5">
        <f>ตัวคูณโรงพยาบาล!E460</f>
        <v>0</v>
      </c>
      <c r="F391" s="5">
        <f>ตัวคูณโรงพยาบาล!F460</f>
        <v>0</v>
      </c>
      <c r="G391" s="5">
        <f>ตัวคูณโรงพยาบาล!G460</f>
        <v>0</v>
      </c>
      <c r="H391" s="5">
        <f>ตัวคูณโรงพยาบาล!H460</f>
        <v>0</v>
      </c>
      <c r="I391" s="5">
        <f>ตัวคูณโรงพยาบาล!I460</f>
        <v>6.0662177328843998E-2</v>
      </c>
      <c r="J391" s="5">
        <f>ตัวคูณโรงพยาบาล!J460</f>
        <v>0</v>
      </c>
      <c r="K391" s="5">
        <f>ตัวคูณโรงพยาบาล!K460</f>
        <v>0</v>
      </c>
      <c r="L391" s="5">
        <f t="shared" si="6"/>
        <v>6.0662177328843998E-2</v>
      </c>
    </row>
    <row r="392" spans="1:12" x14ac:dyDescent="0.25">
      <c r="C392" t="s">
        <v>96</v>
      </c>
      <c r="D392" s="5">
        <f>ตัวคูณโรงพยาบาล!D461</f>
        <v>0</v>
      </c>
      <c r="E392" s="5">
        <f>ตัวคูณโรงพยาบาล!E461</f>
        <v>0</v>
      </c>
      <c r="F392" s="5">
        <f>ตัวคูณโรงพยาบาล!F461</f>
        <v>3.2241271786412602</v>
      </c>
      <c r="G392" s="5">
        <f>ตัวคูณโรงพยาบาล!G461</f>
        <v>0</v>
      </c>
      <c r="H392" s="5">
        <f>ตัวคูณโรงพยาบาล!H461</f>
        <v>3.0474024973052236</v>
      </c>
      <c r="I392" s="5">
        <f>ตัวคูณโรงพยาบาล!I461</f>
        <v>6.0662177328843998E-2</v>
      </c>
      <c r="J392" s="5">
        <f>ตัวคูณโรงพยาบาล!J461</f>
        <v>0</v>
      </c>
      <c r="K392" s="5">
        <f>ตัวคูณโรงพยาบาล!K461</f>
        <v>0</v>
      </c>
      <c r="L392" s="5">
        <f t="shared" si="6"/>
        <v>6.3321918532753276</v>
      </c>
    </row>
    <row r="393" spans="1:12" x14ac:dyDescent="0.25">
      <c r="C393" t="s">
        <v>97</v>
      </c>
      <c r="D393" s="5">
        <f>ตัวคูณโรงพยาบาล!D462</f>
        <v>0</v>
      </c>
      <c r="E393" s="5">
        <f>ตัวคูณโรงพยาบาล!E462</f>
        <v>0</v>
      </c>
      <c r="F393" s="5">
        <f>ตัวคูณโรงพยาบาล!F462</f>
        <v>2.5627750511504135</v>
      </c>
      <c r="G393" s="5">
        <f>ตัวคูณโรงพยาบาล!G462</f>
        <v>0</v>
      </c>
      <c r="H393" s="5">
        <f>ตัวคูณโรงพยาบาล!H462</f>
        <v>0</v>
      </c>
      <c r="I393" s="5">
        <f>ตัวคูณโรงพยาบาล!I462</f>
        <v>6.0662177328843998E-2</v>
      </c>
      <c r="J393" s="5">
        <f>ตัวคูณโรงพยาบาล!J462</f>
        <v>0</v>
      </c>
      <c r="K393" s="5">
        <f>ตัวคูณโรงพยาบาล!K462</f>
        <v>0</v>
      </c>
      <c r="L393" s="5">
        <f t="shared" si="6"/>
        <v>2.6234372284792573</v>
      </c>
    </row>
    <row r="394" spans="1:12" x14ac:dyDescent="0.25">
      <c r="C394" t="s">
        <v>98</v>
      </c>
      <c r="D394" s="5">
        <f>ตัวคูณโรงพยาบาล!D463</f>
        <v>0</v>
      </c>
      <c r="E394" s="5">
        <f>ตัวคูณโรงพยาบาล!E463</f>
        <v>0</v>
      </c>
      <c r="F394" s="5">
        <f>ตัวคูณโรงพยาบาล!F463</f>
        <v>2.5627750511504135</v>
      </c>
      <c r="G394" s="5">
        <f>ตัวคูณโรงพยาบาล!G463</f>
        <v>5.4658011597197902</v>
      </c>
      <c r="H394" s="5">
        <f>ตัวคูณโรงพยาบาล!H463</f>
        <v>0</v>
      </c>
      <c r="I394" s="5">
        <f>ตัวคูณโรงพยาบาล!I463</f>
        <v>6.0662177328843998E-2</v>
      </c>
      <c r="J394" s="5">
        <f>ตัวคูณโรงพยาบาล!J463</f>
        <v>0</v>
      </c>
      <c r="K394" s="5">
        <f>ตัวคูณโรงพยาบาล!K463</f>
        <v>0</v>
      </c>
      <c r="L394" s="5">
        <f t="shared" si="6"/>
        <v>8.0892383881990479</v>
      </c>
    </row>
    <row r="395" spans="1:12" x14ac:dyDescent="0.25">
      <c r="C395" t="s">
        <v>119</v>
      </c>
      <c r="D395" s="5">
        <f>ตัวคูณโรงพยาบาล!D464</f>
        <v>0</v>
      </c>
      <c r="E395" s="5">
        <f>ตัวคูณโรงพยาบาล!E464</f>
        <v>0</v>
      </c>
      <c r="F395" s="5">
        <f>ตัวคูณโรงพยาบาล!F464</f>
        <v>0</v>
      </c>
      <c r="G395" s="5">
        <f>ตัวคูณโรงพยาบาล!G464</f>
        <v>2.3532749122185033</v>
      </c>
      <c r="H395" s="5">
        <f>ตัวคูณโรงพยาบาล!H464</f>
        <v>1.199240771984692</v>
      </c>
      <c r="I395" s="5">
        <f>ตัวคูณโรงพยาบาล!I464</f>
        <v>6.0662177328843998E-2</v>
      </c>
      <c r="J395" s="5">
        <f>ตัวคูณโรงพยาบาล!J464</f>
        <v>0</v>
      </c>
      <c r="K395" s="5">
        <f>ตัวคูณโรงพยาบาล!K464</f>
        <v>0</v>
      </c>
      <c r="L395" s="5">
        <f t="shared" si="6"/>
        <v>3.6131778615320389</v>
      </c>
    </row>
    <row r="396" spans="1:12" x14ac:dyDescent="0.25">
      <c r="C396" t="s">
        <v>99</v>
      </c>
      <c r="D396" s="5">
        <f>ตัวคูณโรงพยาบาล!D465</f>
        <v>0</v>
      </c>
      <c r="E396" s="5">
        <f>ตัวคูณโรงพยาบาล!E465</f>
        <v>0</v>
      </c>
      <c r="F396" s="5">
        <f>ตัวคูณโรงพยาบาล!F465</f>
        <v>14.191069240902255</v>
      </c>
      <c r="G396" s="5">
        <f>ตัวคูณโรงพยาบาล!G465</f>
        <v>16.717963825036367</v>
      </c>
      <c r="H396" s="5">
        <f>ตัวคูณโรงพยาบาล!H465</f>
        <v>7.294045766595139</v>
      </c>
      <c r="I396" s="5">
        <f>ตัวคูณโรงพยาบาล!I465</f>
        <v>6.0662177328843998E-2</v>
      </c>
      <c r="J396" s="5">
        <f>ตัวคูณโรงพยาบาล!J465</f>
        <v>0</v>
      </c>
      <c r="K396" s="5">
        <f>ตัวคูณโรงพยาบาล!K465</f>
        <v>0</v>
      </c>
      <c r="L396" s="5">
        <f t="shared" si="6"/>
        <v>38.263741009862606</v>
      </c>
    </row>
    <row r="397" spans="1:12" x14ac:dyDescent="0.25">
      <c r="C397" t="s">
        <v>100</v>
      </c>
      <c r="D397" s="5">
        <f>ตัวคูณโรงพยาบาล!D466</f>
        <v>0</v>
      </c>
      <c r="E397" s="5">
        <f>ตัวคูณโรงพยาบาล!E466</f>
        <v>0</v>
      </c>
      <c r="F397" s="5">
        <f>ตัวคูณโรงพยาบาล!F466</f>
        <v>5.8413919599601662</v>
      </c>
      <c r="G397" s="5">
        <f>ตัวคูณโรงพยาบาล!G466</f>
        <v>7.1022043699396828</v>
      </c>
      <c r="H397" s="5">
        <f>ตัวคูณโรงพยาบาล!H466</f>
        <v>0</v>
      </c>
      <c r="I397" s="5">
        <f>ตัวคูณโรงพยาบาล!I466</f>
        <v>6.0662177328843998E-2</v>
      </c>
      <c r="J397" s="5">
        <f>ตัวคูณโรงพยาบาล!J466</f>
        <v>0</v>
      </c>
      <c r="K397" s="5">
        <f>ตัวคูณโรงพยาบาล!K466</f>
        <v>0</v>
      </c>
      <c r="L397" s="5">
        <f t="shared" si="6"/>
        <v>13.004258507228693</v>
      </c>
    </row>
    <row r="398" spans="1:12" x14ac:dyDescent="0.25">
      <c r="C398" t="s">
        <v>101</v>
      </c>
      <c r="D398" s="5">
        <f>ตัวคูณโรงพยาบาล!D467</f>
        <v>0</v>
      </c>
      <c r="E398" s="5">
        <f>ตัวคูณโรงพยาบาล!E467</f>
        <v>0</v>
      </c>
      <c r="F398" s="5">
        <f>ตัวคูณโรงพยาบาล!F467</f>
        <v>23.188925648573179</v>
      </c>
      <c r="G398" s="5">
        <f>ตัวคูณโรงพยาบาล!G467</f>
        <v>38.98048257214505</v>
      </c>
      <c r="H398" s="5">
        <f>ตัวคูณโรงพยาบาล!H467</f>
        <v>5.4458840412746081</v>
      </c>
      <c r="I398" s="5">
        <f>ตัวคูณโรงพยาบาล!I467</f>
        <v>6.0662177328843998E-2</v>
      </c>
      <c r="J398" s="5">
        <f>ตัวคูณโรงพยาบาล!J467</f>
        <v>0</v>
      </c>
      <c r="K398" s="5">
        <f>ตัวคูณโรงพยาบาล!K467</f>
        <v>0</v>
      </c>
      <c r="L398" s="5">
        <f t="shared" si="6"/>
        <v>67.675954439321686</v>
      </c>
    </row>
    <row r="399" spans="1:12" x14ac:dyDescent="0.25">
      <c r="A399" s="24" t="s">
        <v>115</v>
      </c>
      <c r="B399" s="24" t="s">
        <v>107</v>
      </c>
      <c r="C399" t="s">
        <v>70</v>
      </c>
      <c r="D399" s="5">
        <f>ตัวคูณโรงพยาบาล!D468</f>
        <v>0</v>
      </c>
      <c r="E399" s="5">
        <f>ตัวคูณโรงพยาบาล!E468</f>
        <v>0</v>
      </c>
      <c r="F399" s="5">
        <f>ตัวคูณโรงพยาบาล!F468</f>
        <v>0</v>
      </c>
      <c r="G399" s="5">
        <f>ตัวคูณโรงพยาบาล!G468</f>
        <v>0</v>
      </c>
      <c r="H399" s="5">
        <f>ตัวคูณโรงพยาบาล!H468</f>
        <v>0</v>
      </c>
      <c r="I399" s="5">
        <f>ตัวคูณโรงพยาบาล!I468</f>
        <v>0</v>
      </c>
      <c r="J399" s="5">
        <f>ตัวคูณโรงพยาบาล!J468</f>
        <v>0</v>
      </c>
      <c r="K399" s="5">
        <f>ตัวคูณโรงพยาบาล!K468</f>
        <v>0</v>
      </c>
      <c r="L399" s="5">
        <f t="shared" si="6"/>
        <v>0</v>
      </c>
    </row>
    <row r="400" spans="1:12" x14ac:dyDescent="0.25">
      <c r="C400" t="s">
        <v>71</v>
      </c>
      <c r="D400" s="5">
        <f>ตัวคูณโรงพยาบาล!D469</f>
        <v>0</v>
      </c>
      <c r="E400" s="5">
        <f>ตัวคูณโรงพยาบาล!E469</f>
        <v>0</v>
      </c>
      <c r="F400" s="5">
        <f>ตัวคูณโรงพยาบาล!F469</f>
        <v>0</v>
      </c>
      <c r="G400" s="5">
        <f>ตัวคูณโรงพยาบาล!G469</f>
        <v>0</v>
      </c>
      <c r="H400" s="5">
        <f>ตัวคูณโรงพยาบาล!H469</f>
        <v>0</v>
      </c>
      <c r="I400" s="5">
        <f>ตัวคูณโรงพยาบาล!I469</f>
        <v>0</v>
      </c>
      <c r="J400" s="5">
        <f>ตัวคูณโรงพยาบาล!J469</f>
        <v>0</v>
      </c>
      <c r="K400" s="5">
        <f>ตัวคูณโรงพยาบาล!K469</f>
        <v>0</v>
      </c>
      <c r="L400" s="5">
        <f t="shared" si="6"/>
        <v>0</v>
      </c>
    </row>
    <row r="401" spans="3:12" x14ac:dyDescent="0.25">
      <c r="C401" t="s">
        <v>72</v>
      </c>
      <c r="D401" s="5">
        <f>ตัวคูณโรงพยาบาล!D470</f>
        <v>0</v>
      </c>
      <c r="E401" s="5">
        <f>ตัวคูณโรงพยาบาล!E470</f>
        <v>0</v>
      </c>
      <c r="F401" s="5">
        <f>ตัวคูณโรงพยาบาล!F470</f>
        <v>0</v>
      </c>
      <c r="G401" s="5">
        <f>ตัวคูณโรงพยาบาล!G470</f>
        <v>0</v>
      </c>
      <c r="H401" s="5">
        <f>ตัวคูณโรงพยาบาล!H470</f>
        <v>0</v>
      </c>
      <c r="I401" s="5">
        <f>ตัวคูณโรงพยาบาล!I470</f>
        <v>0</v>
      </c>
      <c r="J401" s="5">
        <f>ตัวคูณโรงพยาบาล!J470</f>
        <v>0</v>
      </c>
      <c r="K401" s="5">
        <f>ตัวคูณโรงพยาบาล!K470</f>
        <v>0</v>
      </c>
      <c r="L401" s="5">
        <f t="shared" si="6"/>
        <v>0</v>
      </c>
    </row>
    <row r="402" spans="3:12" x14ac:dyDescent="0.25">
      <c r="C402" t="s">
        <v>73</v>
      </c>
      <c r="D402" s="5">
        <f>ตัวคูณโรงพยาบาล!D471</f>
        <v>0</v>
      </c>
      <c r="E402" s="5">
        <f>ตัวคูณโรงพยาบาล!E471</f>
        <v>0</v>
      </c>
      <c r="F402" s="5">
        <f>ตัวคูณโรงพยาบาล!F471</f>
        <v>0</v>
      </c>
      <c r="G402" s="5">
        <f>ตัวคูณโรงพยาบาล!G471</f>
        <v>0</v>
      </c>
      <c r="H402" s="5">
        <f>ตัวคูณโรงพยาบาล!H471</f>
        <v>0</v>
      </c>
      <c r="I402" s="5">
        <f>ตัวคูณโรงพยาบาล!I471</f>
        <v>0</v>
      </c>
      <c r="J402" s="5">
        <f>ตัวคูณโรงพยาบาล!J471</f>
        <v>0</v>
      </c>
      <c r="K402" s="5">
        <f>ตัวคูณโรงพยาบาล!K471</f>
        <v>0</v>
      </c>
      <c r="L402" s="5">
        <f t="shared" si="6"/>
        <v>0</v>
      </c>
    </row>
    <row r="403" spans="3:12" x14ac:dyDescent="0.25">
      <c r="C403" t="s">
        <v>74</v>
      </c>
      <c r="D403" s="5">
        <f>ตัวคูณโรงพยาบาล!D472</f>
        <v>0</v>
      </c>
      <c r="E403" s="5">
        <f>ตัวคูณโรงพยาบาล!E472</f>
        <v>0</v>
      </c>
      <c r="F403" s="5">
        <f>ตัวคูณโรงพยาบาล!F472</f>
        <v>0</v>
      </c>
      <c r="G403" s="5">
        <f>ตัวคูณโรงพยาบาล!G472</f>
        <v>0</v>
      </c>
      <c r="H403" s="5">
        <f>ตัวคูณโรงพยาบาล!H472</f>
        <v>0</v>
      </c>
      <c r="I403" s="5">
        <f>ตัวคูณโรงพยาบาล!I472</f>
        <v>0</v>
      </c>
      <c r="J403" s="5">
        <f>ตัวคูณโรงพยาบาล!J472</f>
        <v>0</v>
      </c>
      <c r="K403" s="5">
        <f>ตัวคูณโรงพยาบาล!K472</f>
        <v>0</v>
      </c>
      <c r="L403" s="5">
        <f t="shared" si="6"/>
        <v>0</v>
      </c>
    </row>
    <row r="404" spans="3:12" x14ac:dyDescent="0.25">
      <c r="C404" t="s">
        <v>75</v>
      </c>
      <c r="D404" s="5">
        <f>ตัวคูณโรงพยาบาล!D473</f>
        <v>0</v>
      </c>
      <c r="E404" s="5">
        <f>ตัวคูณโรงพยาบาล!E473</f>
        <v>0</v>
      </c>
      <c r="F404" s="5">
        <f>ตัวคูณโรงพยาบาล!F473</f>
        <v>0</v>
      </c>
      <c r="G404" s="5">
        <f>ตัวคูณโรงพยาบาล!G473</f>
        <v>0</v>
      </c>
      <c r="H404" s="5">
        <f>ตัวคูณโรงพยาบาล!H473</f>
        <v>0</v>
      </c>
      <c r="I404" s="5">
        <f>ตัวคูณโรงพยาบาล!I473</f>
        <v>0</v>
      </c>
      <c r="J404" s="5">
        <f>ตัวคูณโรงพยาบาล!J473</f>
        <v>0</v>
      </c>
      <c r="K404" s="5">
        <f>ตัวคูณโรงพยาบาล!K473</f>
        <v>0</v>
      </c>
      <c r="L404" s="5">
        <f t="shared" si="6"/>
        <v>0</v>
      </c>
    </row>
    <row r="405" spans="3:12" x14ac:dyDescent="0.25">
      <c r="C405" t="s">
        <v>76</v>
      </c>
      <c r="D405" s="5">
        <f>ตัวคูณโรงพยาบาล!D474</f>
        <v>0</v>
      </c>
      <c r="E405" s="5">
        <f>ตัวคูณโรงพยาบาล!E474</f>
        <v>0</v>
      </c>
      <c r="F405" s="5">
        <f>ตัวคูณโรงพยาบาล!F474</f>
        <v>0</v>
      </c>
      <c r="G405" s="5">
        <f>ตัวคูณโรงพยาบาล!G474</f>
        <v>0</v>
      </c>
      <c r="H405" s="5">
        <f>ตัวคูณโรงพยาบาล!H474</f>
        <v>0</v>
      </c>
      <c r="I405" s="5">
        <f>ตัวคูณโรงพยาบาล!I474</f>
        <v>0</v>
      </c>
      <c r="J405" s="5">
        <f>ตัวคูณโรงพยาบาล!J474</f>
        <v>0</v>
      </c>
      <c r="K405" s="5">
        <f>ตัวคูณโรงพยาบาล!K474</f>
        <v>0</v>
      </c>
      <c r="L405" s="5">
        <f t="shared" si="6"/>
        <v>0</v>
      </c>
    </row>
    <row r="406" spans="3:12" x14ac:dyDescent="0.25">
      <c r="C406" t="s">
        <v>77</v>
      </c>
      <c r="D406" s="5">
        <f>ตัวคูณโรงพยาบาล!D475</f>
        <v>0</v>
      </c>
      <c r="E406" s="5">
        <f>ตัวคูณโรงพยาบาล!E475</f>
        <v>0</v>
      </c>
      <c r="F406" s="5">
        <f>ตัวคูณโรงพยาบาล!F475</f>
        <v>0</v>
      </c>
      <c r="G406" s="5">
        <f>ตัวคูณโรงพยาบาล!G475</f>
        <v>0</v>
      </c>
      <c r="H406" s="5">
        <f>ตัวคูณโรงพยาบาล!H475</f>
        <v>0</v>
      </c>
      <c r="I406" s="5">
        <f>ตัวคูณโรงพยาบาล!I475</f>
        <v>0</v>
      </c>
      <c r="J406" s="5">
        <f>ตัวคูณโรงพยาบาล!J475</f>
        <v>0</v>
      </c>
      <c r="K406" s="5">
        <f>ตัวคูณโรงพยาบาล!K475</f>
        <v>0</v>
      </c>
      <c r="L406" s="5">
        <f t="shared" si="6"/>
        <v>0</v>
      </c>
    </row>
    <row r="407" spans="3:12" x14ac:dyDescent="0.25">
      <c r="C407" t="s">
        <v>78</v>
      </c>
      <c r="D407" s="5">
        <f>ตัวคูณโรงพยาบาล!D476</f>
        <v>0</v>
      </c>
      <c r="E407" s="5">
        <f>ตัวคูณโรงพยาบาล!E476</f>
        <v>0</v>
      </c>
      <c r="F407" s="5">
        <f>ตัวคูณโรงพยาบาล!F476</f>
        <v>0</v>
      </c>
      <c r="G407" s="5">
        <f>ตัวคูณโรงพยาบาล!G476</f>
        <v>0</v>
      </c>
      <c r="H407" s="5">
        <f>ตัวคูณโรงพยาบาล!H476</f>
        <v>0</v>
      </c>
      <c r="I407" s="5">
        <f>ตัวคูณโรงพยาบาล!I476</f>
        <v>0</v>
      </c>
      <c r="J407" s="5">
        <f>ตัวคูณโรงพยาบาล!J476</f>
        <v>0</v>
      </c>
      <c r="K407" s="5">
        <f>ตัวคูณโรงพยาบาล!K476</f>
        <v>0</v>
      </c>
      <c r="L407" s="5">
        <f t="shared" si="6"/>
        <v>0</v>
      </c>
    </row>
    <row r="408" spans="3:12" x14ac:dyDescent="0.25">
      <c r="C408" t="s">
        <v>79</v>
      </c>
      <c r="D408" s="5">
        <f>ตัวคูณโรงพยาบาล!D477</f>
        <v>0</v>
      </c>
      <c r="E408" s="5">
        <f>ตัวคูณโรงพยาบาล!E477</f>
        <v>0</v>
      </c>
      <c r="F408" s="5">
        <f>ตัวคูณโรงพยาบาล!F477</f>
        <v>0</v>
      </c>
      <c r="G408" s="5">
        <f>ตัวคูณโรงพยาบาล!G477</f>
        <v>0</v>
      </c>
      <c r="H408" s="5">
        <f>ตัวคูณโรงพยาบาล!H477</f>
        <v>0</v>
      </c>
      <c r="I408" s="5">
        <f>ตัวคูณโรงพยาบาล!I477</f>
        <v>0</v>
      </c>
      <c r="J408" s="5">
        <f>ตัวคูณโรงพยาบาล!J477</f>
        <v>0</v>
      </c>
      <c r="K408" s="5">
        <f>ตัวคูณโรงพยาบาล!K477</f>
        <v>0</v>
      </c>
      <c r="L408" s="5">
        <f t="shared" si="6"/>
        <v>0</v>
      </c>
    </row>
    <row r="409" spans="3:12" x14ac:dyDescent="0.25">
      <c r="C409" t="s">
        <v>80</v>
      </c>
      <c r="D409" s="5">
        <f>ตัวคูณโรงพยาบาล!D478</f>
        <v>0</v>
      </c>
      <c r="E409" s="5">
        <f>ตัวคูณโรงพยาบาล!E478</f>
        <v>0</v>
      </c>
      <c r="F409" s="5">
        <f>ตัวคูณโรงพยาบาล!F478</f>
        <v>0</v>
      </c>
      <c r="G409" s="5">
        <f>ตัวคูณโรงพยาบาล!G478</f>
        <v>0</v>
      </c>
      <c r="H409" s="5">
        <f>ตัวคูณโรงพยาบาล!H478</f>
        <v>0</v>
      </c>
      <c r="I409" s="5">
        <f>ตัวคูณโรงพยาบาล!I478</f>
        <v>0</v>
      </c>
      <c r="J409" s="5">
        <f>ตัวคูณโรงพยาบาล!J478</f>
        <v>0</v>
      </c>
      <c r="K409" s="5">
        <f>ตัวคูณโรงพยาบาล!K478</f>
        <v>0</v>
      </c>
      <c r="L409" s="5">
        <f t="shared" si="6"/>
        <v>0</v>
      </c>
    </row>
    <row r="410" spans="3:12" x14ac:dyDescent="0.25">
      <c r="C410" t="s">
        <v>81</v>
      </c>
      <c r="D410" s="5">
        <f>ตัวคูณโรงพยาบาล!D479</f>
        <v>0</v>
      </c>
      <c r="E410" s="5">
        <f>ตัวคูณโรงพยาบาล!E479</f>
        <v>0</v>
      </c>
      <c r="F410" s="5">
        <f>ตัวคูณโรงพยาบาล!F479</f>
        <v>0</v>
      </c>
      <c r="G410" s="5">
        <f>ตัวคูณโรงพยาบาล!G479</f>
        <v>0</v>
      </c>
      <c r="H410" s="5">
        <f>ตัวคูณโรงพยาบาล!H479</f>
        <v>0</v>
      </c>
      <c r="I410" s="5">
        <f>ตัวคูณโรงพยาบาล!I479</f>
        <v>0</v>
      </c>
      <c r="J410" s="5">
        <f>ตัวคูณโรงพยาบาล!J479</f>
        <v>0</v>
      </c>
      <c r="K410" s="5">
        <f>ตัวคูณโรงพยาบาล!K479</f>
        <v>0</v>
      </c>
      <c r="L410" s="5">
        <f t="shared" si="6"/>
        <v>0</v>
      </c>
    </row>
    <row r="411" spans="3:12" x14ac:dyDescent="0.25">
      <c r="C411" t="s">
        <v>82</v>
      </c>
      <c r="D411" s="5">
        <f>ตัวคูณโรงพยาบาล!D480</f>
        <v>0</v>
      </c>
      <c r="E411" s="5">
        <f>ตัวคูณโรงพยาบาล!E480</f>
        <v>0</v>
      </c>
      <c r="F411" s="5">
        <f>ตัวคูณโรงพยาบาล!F480</f>
        <v>0</v>
      </c>
      <c r="G411" s="5">
        <f>ตัวคูณโรงพยาบาล!G480</f>
        <v>0</v>
      </c>
      <c r="H411" s="5">
        <f>ตัวคูณโรงพยาบาล!H480</f>
        <v>0</v>
      </c>
      <c r="I411" s="5">
        <f>ตัวคูณโรงพยาบาล!I480</f>
        <v>0</v>
      </c>
      <c r="J411" s="5">
        <f>ตัวคูณโรงพยาบาล!J480</f>
        <v>0</v>
      </c>
      <c r="K411" s="5">
        <f>ตัวคูณโรงพยาบาล!K480</f>
        <v>0</v>
      </c>
      <c r="L411" s="5">
        <f t="shared" si="6"/>
        <v>0</v>
      </c>
    </row>
    <row r="412" spans="3:12" x14ac:dyDescent="0.25">
      <c r="C412" t="s">
        <v>83</v>
      </c>
      <c r="D412" s="5">
        <f>ตัวคูณโรงพยาบาล!D481</f>
        <v>0</v>
      </c>
      <c r="E412" s="5">
        <f>ตัวคูณโรงพยาบาล!E481</f>
        <v>0</v>
      </c>
      <c r="F412" s="5">
        <f>ตัวคูณโรงพยาบาล!F481</f>
        <v>0</v>
      </c>
      <c r="G412" s="5">
        <f>ตัวคูณโรงพยาบาล!G481</f>
        <v>0</v>
      </c>
      <c r="H412" s="5">
        <f>ตัวคูณโรงพยาบาล!H481</f>
        <v>0</v>
      </c>
      <c r="I412" s="5">
        <f>ตัวคูณโรงพยาบาล!I481</f>
        <v>0</v>
      </c>
      <c r="J412" s="5">
        <f>ตัวคูณโรงพยาบาล!J481</f>
        <v>0</v>
      </c>
      <c r="K412" s="5">
        <f>ตัวคูณโรงพยาบาล!K481</f>
        <v>0</v>
      </c>
      <c r="L412" s="5">
        <f t="shared" si="6"/>
        <v>0</v>
      </c>
    </row>
    <row r="413" spans="3:12" x14ac:dyDescent="0.25">
      <c r="C413" t="s">
        <v>84</v>
      </c>
      <c r="D413" s="5">
        <f>ตัวคูณโรงพยาบาล!D482</f>
        <v>0</v>
      </c>
      <c r="E413" s="5">
        <f>ตัวคูณโรงพยาบาล!E482</f>
        <v>0</v>
      </c>
      <c r="F413" s="5">
        <f>ตัวคูณโรงพยาบาล!F482</f>
        <v>0</v>
      </c>
      <c r="G413" s="5">
        <f>ตัวคูณโรงพยาบาล!G482</f>
        <v>0</v>
      </c>
      <c r="H413" s="5">
        <f>ตัวคูณโรงพยาบาล!H482</f>
        <v>0</v>
      </c>
      <c r="I413" s="5">
        <f>ตัวคูณโรงพยาบาล!I482</f>
        <v>0</v>
      </c>
      <c r="J413" s="5">
        <f>ตัวคูณโรงพยาบาล!J482</f>
        <v>0</v>
      </c>
      <c r="K413" s="5">
        <f>ตัวคูณโรงพยาบาล!K482</f>
        <v>0</v>
      </c>
      <c r="L413" s="5">
        <f t="shared" si="6"/>
        <v>0</v>
      </c>
    </row>
    <row r="414" spans="3:12" x14ac:dyDescent="0.25">
      <c r="C414" t="s">
        <v>85</v>
      </c>
      <c r="D414" s="5">
        <f>ตัวคูณโรงพยาบาล!D483</f>
        <v>0</v>
      </c>
      <c r="E414" s="5">
        <f>ตัวคูณโรงพยาบาล!E483</f>
        <v>0</v>
      </c>
      <c r="F414" s="5">
        <f>ตัวคูณโรงพยาบาล!F483</f>
        <v>0</v>
      </c>
      <c r="G414" s="5">
        <f>ตัวคูณโรงพยาบาล!G483</f>
        <v>0</v>
      </c>
      <c r="H414" s="5">
        <f>ตัวคูณโรงพยาบาล!H483</f>
        <v>0</v>
      </c>
      <c r="I414" s="5">
        <f>ตัวคูณโรงพยาบาล!I483</f>
        <v>0</v>
      </c>
      <c r="J414" s="5">
        <f>ตัวคูณโรงพยาบาล!J483</f>
        <v>0</v>
      </c>
      <c r="K414" s="5">
        <f>ตัวคูณโรงพยาบาล!K483</f>
        <v>0</v>
      </c>
      <c r="L414" s="5">
        <f t="shared" si="6"/>
        <v>0</v>
      </c>
    </row>
    <row r="415" spans="3:12" x14ac:dyDescent="0.25">
      <c r="C415" t="s">
        <v>86</v>
      </c>
      <c r="D415" s="5">
        <f>ตัวคูณโรงพยาบาล!D484</f>
        <v>0</v>
      </c>
      <c r="E415" s="5">
        <f>ตัวคูณโรงพยาบาล!E484</f>
        <v>0</v>
      </c>
      <c r="F415" s="5">
        <f>ตัวคูณโรงพยาบาล!F484</f>
        <v>0</v>
      </c>
      <c r="G415" s="5">
        <f>ตัวคูณโรงพยาบาล!G484</f>
        <v>0</v>
      </c>
      <c r="H415" s="5">
        <f>ตัวคูณโรงพยาบาล!H484</f>
        <v>0</v>
      </c>
      <c r="I415" s="5">
        <f>ตัวคูณโรงพยาบาล!I484</f>
        <v>0</v>
      </c>
      <c r="J415" s="5">
        <f>ตัวคูณโรงพยาบาล!J484</f>
        <v>0</v>
      </c>
      <c r="K415" s="5">
        <f>ตัวคูณโรงพยาบาล!K484</f>
        <v>0</v>
      </c>
      <c r="L415" s="5">
        <f t="shared" si="6"/>
        <v>0</v>
      </c>
    </row>
    <row r="416" spans="3:12" x14ac:dyDescent="0.25">
      <c r="C416" t="s">
        <v>87</v>
      </c>
      <c r="D416" s="5">
        <f>ตัวคูณโรงพยาบาล!D485</f>
        <v>0</v>
      </c>
      <c r="E416" s="5">
        <f>ตัวคูณโรงพยาบาล!E485</f>
        <v>0</v>
      </c>
      <c r="F416" s="5">
        <f>ตัวคูณโรงพยาบาล!F485</f>
        <v>0</v>
      </c>
      <c r="G416" s="5">
        <f>ตัวคูณโรงพยาบาล!G485</f>
        <v>0</v>
      </c>
      <c r="H416" s="5">
        <f>ตัวคูณโรงพยาบาล!H485</f>
        <v>0</v>
      </c>
      <c r="I416" s="5">
        <f>ตัวคูณโรงพยาบาล!I485</f>
        <v>0</v>
      </c>
      <c r="J416" s="5">
        <f>ตัวคูณโรงพยาบาล!J485</f>
        <v>0</v>
      </c>
      <c r="K416" s="5">
        <f>ตัวคูณโรงพยาบาล!K485</f>
        <v>0</v>
      </c>
      <c r="L416" s="5">
        <f t="shared" si="6"/>
        <v>0</v>
      </c>
    </row>
    <row r="417" spans="1:12" x14ac:dyDescent="0.25">
      <c r="C417" t="s">
        <v>88</v>
      </c>
      <c r="D417" s="5">
        <f>ตัวคูณโรงพยาบาล!D486</f>
        <v>0</v>
      </c>
      <c r="E417" s="5">
        <f>ตัวคูณโรงพยาบาล!E486</f>
        <v>0</v>
      </c>
      <c r="F417" s="5">
        <f>ตัวคูณโรงพยาบาล!F486</f>
        <v>0</v>
      </c>
      <c r="G417" s="5">
        <f>ตัวคูณโรงพยาบาล!G486</f>
        <v>0</v>
      </c>
      <c r="H417" s="5">
        <f>ตัวคูณโรงพยาบาล!H486</f>
        <v>0</v>
      </c>
      <c r="I417" s="5">
        <f>ตัวคูณโรงพยาบาล!I486</f>
        <v>0</v>
      </c>
      <c r="J417" s="5">
        <f>ตัวคูณโรงพยาบาล!J486</f>
        <v>0</v>
      </c>
      <c r="K417" s="5">
        <f>ตัวคูณโรงพยาบาล!K486</f>
        <v>0</v>
      </c>
      <c r="L417" s="5">
        <f t="shared" si="6"/>
        <v>0</v>
      </c>
    </row>
    <row r="418" spans="1:12" x14ac:dyDescent="0.25">
      <c r="C418" t="s">
        <v>89</v>
      </c>
      <c r="D418" s="5">
        <f>ตัวคูณโรงพยาบาล!D487</f>
        <v>0</v>
      </c>
      <c r="E418" s="5">
        <f>ตัวคูณโรงพยาบาล!E487</f>
        <v>0</v>
      </c>
      <c r="F418" s="5">
        <f>ตัวคูณโรงพยาบาล!F487</f>
        <v>0</v>
      </c>
      <c r="G418" s="5">
        <f>ตัวคูณโรงพยาบาล!G487</f>
        <v>0</v>
      </c>
      <c r="H418" s="5">
        <f>ตัวคูณโรงพยาบาล!H487</f>
        <v>0</v>
      </c>
      <c r="I418" s="5">
        <f>ตัวคูณโรงพยาบาล!I487</f>
        <v>0</v>
      </c>
      <c r="J418" s="5">
        <f>ตัวคูณโรงพยาบาล!J487</f>
        <v>0</v>
      </c>
      <c r="K418" s="5">
        <f>ตัวคูณโรงพยาบาล!K487</f>
        <v>0</v>
      </c>
      <c r="L418" s="5">
        <f t="shared" si="6"/>
        <v>0</v>
      </c>
    </row>
    <row r="419" spans="1:12" x14ac:dyDescent="0.25">
      <c r="C419" t="s">
        <v>90</v>
      </c>
      <c r="D419" s="5">
        <f>ตัวคูณโรงพยาบาล!D488</f>
        <v>0</v>
      </c>
      <c r="E419" s="5">
        <f>ตัวคูณโรงพยาบาล!E488</f>
        <v>0</v>
      </c>
      <c r="F419" s="5">
        <f>ตัวคูณโรงพยาบาล!F488</f>
        <v>0</v>
      </c>
      <c r="G419" s="5">
        <f>ตัวคูณโรงพยาบาล!G488</f>
        <v>0</v>
      </c>
      <c r="H419" s="5">
        <f>ตัวคูณโรงพยาบาล!H488</f>
        <v>0</v>
      </c>
      <c r="I419" s="5">
        <f>ตัวคูณโรงพยาบาล!I488</f>
        <v>0</v>
      </c>
      <c r="J419" s="5">
        <f>ตัวคูณโรงพยาบาล!J488</f>
        <v>0</v>
      </c>
      <c r="K419" s="5">
        <f>ตัวคูณโรงพยาบาล!K488</f>
        <v>0</v>
      </c>
      <c r="L419" s="5">
        <f t="shared" si="6"/>
        <v>0</v>
      </c>
    </row>
    <row r="420" spans="1:12" x14ac:dyDescent="0.25">
      <c r="C420" t="s">
        <v>91</v>
      </c>
      <c r="D420" s="5">
        <f>ตัวคูณโรงพยาบาล!D489</f>
        <v>0</v>
      </c>
      <c r="E420" s="5">
        <f>ตัวคูณโรงพยาบาล!E489</f>
        <v>0</v>
      </c>
      <c r="F420" s="5">
        <f>ตัวคูณโรงพยาบาล!F489</f>
        <v>0</v>
      </c>
      <c r="G420" s="5">
        <f>ตัวคูณโรงพยาบาล!G489</f>
        <v>0</v>
      </c>
      <c r="H420" s="5">
        <f>ตัวคูณโรงพยาบาล!H489</f>
        <v>0</v>
      </c>
      <c r="I420" s="5">
        <f>ตัวคูณโรงพยาบาล!I489</f>
        <v>0</v>
      </c>
      <c r="J420" s="5">
        <f>ตัวคูณโรงพยาบาล!J489</f>
        <v>0</v>
      </c>
      <c r="K420" s="5">
        <f>ตัวคูณโรงพยาบาล!K489</f>
        <v>0</v>
      </c>
      <c r="L420" s="5">
        <f t="shared" si="6"/>
        <v>0</v>
      </c>
    </row>
    <row r="421" spans="1:12" x14ac:dyDescent="0.25">
      <c r="C421" t="s">
        <v>92</v>
      </c>
      <c r="D421" s="5">
        <f>ตัวคูณโรงพยาบาล!D490</f>
        <v>0</v>
      </c>
      <c r="E421" s="5">
        <f>ตัวคูณโรงพยาบาล!E490</f>
        <v>0</v>
      </c>
      <c r="F421" s="5">
        <f>ตัวคูณโรงพยาบาล!F490</f>
        <v>0</v>
      </c>
      <c r="G421" s="5">
        <f>ตัวคูณโรงพยาบาล!G490</f>
        <v>0</v>
      </c>
      <c r="H421" s="5">
        <f>ตัวคูณโรงพยาบาล!H490</f>
        <v>0</v>
      </c>
      <c r="I421" s="5">
        <f>ตัวคูณโรงพยาบาล!I490</f>
        <v>0</v>
      </c>
      <c r="J421" s="5">
        <f>ตัวคูณโรงพยาบาล!J490</f>
        <v>0</v>
      </c>
      <c r="K421" s="5">
        <f>ตัวคูณโรงพยาบาล!K490</f>
        <v>0</v>
      </c>
      <c r="L421" s="5">
        <f t="shared" si="6"/>
        <v>0</v>
      </c>
    </row>
    <row r="422" spans="1:12" x14ac:dyDescent="0.25">
      <c r="C422" t="s">
        <v>93</v>
      </c>
      <c r="D422" s="5">
        <f>ตัวคูณโรงพยาบาล!D491</f>
        <v>0</v>
      </c>
      <c r="E422" s="5">
        <f>ตัวคูณโรงพยาบาล!E491</f>
        <v>0</v>
      </c>
      <c r="F422" s="5">
        <f>ตัวคูณโรงพยาบาล!F491</f>
        <v>0</v>
      </c>
      <c r="G422" s="5">
        <f>ตัวคูณโรงพยาบาล!G491</f>
        <v>0</v>
      </c>
      <c r="H422" s="5">
        <f>ตัวคูณโรงพยาบาล!H491</f>
        <v>0</v>
      </c>
      <c r="I422" s="5">
        <f>ตัวคูณโรงพยาบาล!I491</f>
        <v>0</v>
      </c>
      <c r="J422" s="5">
        <f>ตัวคูณโรงพยาบาล!J491</f>
        <v>0</v>
      </c>
      <c r="K422" s="5">
        <f>ตัวคูณโรงพยาบาล!K491</f>
        <v>0</v>
      </c>
      <c r="L422" s="5">
        <f t="shared" si="6"/>
        <v>0</v>
      </c>
    </row>
    <row r="423" spans="1:12" x14ac:dyDescent="0.25">
      <c r="C423" t="s">
        <v>94</v>
      </c>
      <c r="D423" s="5">
        <f>ตัวคูณโรงพยาบาล!D492</f>
        <v>0</v>
      </c>
      <c r="E423" s="5">
        <f>ตัวคูณโรงพยาบาล!E492</f>
        <v>0</v>
      </c>
      <c r="F423" s="5">
        <f>ตัวคูณโรงพยาบาล!F492</f>
        <v>0</v>
      </c>
      <c r="G423" s="5">
        <f>ตัวคูณโรงพยาบาล!G492</f>
        <v>0</v>
      </c>
      <c r="H423" s="5">
        <f>ตัวคูณโรงพยาบาล!H492</f>
        <v>0</v>
      </c>
      <c r="I423" s="5">
        <f>ตัวคูณโรงพยาบาล!I492</f>
        <v>0</v>
      </c>
      <c r="J423" s="5">
        <f>ตัวคูณโรงพยาบาล!J492</f>
        <v>0</v>
      </c>
      <c r="K423" s="5">
        <f>ตัวคูณโรงพยาบาล!K492</f>
        <v>0</v>
      </c>
      <c r="L423" s="5">
        <f t="shared" si="6"/>
        <v>0</v>
      </c>
    </row>
    <row r="424" spans="1:12" x14ac:dyDescent="0.25">
      <c r="C424" t="s">
        <v>95</v>
      </c>
      <c r="D424" s="5">
        <f>ตัวคูณโรงพยาบาล!D493</f>
        <v>0</v>
      </c>
      <c r="E424" s="5">
        <f>ตัวคูณโรงพยาบาล!E493</f>
        <v>0</v>
      </c>
      <c r="F424" s="5">
        <f>ตัวคูณโรงพยาบาล!F493</f>
        <v>0</v>
      </c>
      <c r="G424" s="5">
        <f>ตัวคูณโรงพยาบาล!G493</f>
        <v>0</v>
      </c>
      <c r="H424" s="5">
        <f>ตัวคูณโรงพยาบาล!H493</f>
        <v>0</v>
      </c>
      <c r="I424" s="5">
        <f>ตัวคูณโรงพยาบาล!I493</f>
        <v>0</v>
      </c>
      <c r="J424" s="5">
        <f>ตัวคูณโรงพยาบาล!J493</f>
        <v>0</v>
      </c>
      <c r="K424" s="5">
        <f>ตัวคูณโรงพยาบาล!K493</f>
        <v>0</v>
      </c>
      <c r="L424" s="5">
        <f t="shared" si="6"/>
        <v>0</v>
      </c>
    </row>
    <row r="425" spans="1:12" x14ac:dyDescent="0.25">
      <c r="C425" t="s">
        <v>96</v>
      </c>
      <c r="D425" s="5">
        <f>ตัวคูณโรงพยาบาล!D494</f>
        <v>0</v>
      </c>
      <c r="E425" s="5">
        <f>ตัวคูณโรงพยาบาล!E494</f>
        <v>0</v>
      </c>
      <c r="F425" s="5">
        <f>ตัวคูณโรงพยาบาล!F494</f>
        <v>0</v>
      </c>
      <c r="G425" s="5">
        <f>ตัวคูณโรงพยาบาล!G494</f>
        <v>0</v>
      </c>
      <c r="H425" s="5">
        <f>ตัวคูณโรงพยาบาล!H494</f>
        <v>0</v>
      </c>
      <c r="I425" s="5">
        <f>ตัวคูณโรงพยาบาล!I494</f>
        <v>0</v>
      </c>
      <c r="J425" s="5">
        <f>ตัวคูณโรงพยาบาล!J494</f>
        <v>0</v>
      </c>
      <c r="K425" s="5">
        <f>ตัวคูณโรงพยาบาล!K494</f>
        <v>0</v>
      </c>
      <c r="L425" s="5">
        <f t="shared" si="6"/>
        <v>0</v>
      </c>
    </row>
    <row r="426" spans="1:12" x14ac:dyDescent="0.25">
      <c r="C426" t="s">
        <v>97</v>
      </c>
      <c r="D426" s="5">
        <f>ตัวคูณโรงพยาบาล!D495</f>
        <v>0</v>
      </c>
      <c r="E426" s="5">
        <f>ตัวคูณโรงพยาบาล!E495</f>
        <v>0</v>
      </c>
      <c r="F426" s="5">
        <f>ตัวคูณโรงพยาบาล!F495</f>
        <v>0</v>
      </c>
      <c r="G426" s="5">
        <f>ตัวคูณโรงพยาบาล!G495</f>
        <v>0</v>
      </c>
      <c r="H426" s="5">
        <f>ตัวคูณโรงพยาบาล!H495</f>
        <v>0</v>
      </c>
      <c r="I426" s="5">
        <f>ตัวคูณโรงพยาบาล!I495</f>
        <v>0</v>
      </c>
      <c r="J426" s="5">
        <f>ตัวคูณโรงพยาบาล!J495</f>
        <v>0</v>
      </c>
      <c r="K426" s="5">
        <f>ตัวคูณโรงพยาบาล!K495</f>
        <v>0</v>
      </c>
      <c r="L426" s="5">
        <f t="shared" si="6"/>
        <v>0</v>
      </c>
    </row>
    <row r="427" spans="1:12" x14ac:dyDescent="0.25">
      <c r="C427" t="s">
        <v>98</v>
      </c>
      <c r="D427" s="5">
        <f>ตัวคูณโรงพยาบาล!D496</f>
        <v>0</v>
      </c>
      <c r="E427" s="5">
        <f>ตัวคูณโรงพยาบาล!E496</f>
        <v>0</v>
      </c>
      <c r="F427" s="5">
        <f>ตัวคูณโรงพยาบาล!F496</f>
        <v>0</v>
      </c>
      <c r="G427" s="5">
        <f>ตัวคูณโรงพยาบาล!G496</f>
        <v>0</v>
      </c>
      <c r="H427" s="5">
        <f>ตัวคูณโรงพยาบาล!H496</f>
        <v>0</v>
      </c>
      <c r="I427" s="5">
        <f>ตัวคูณโรงพยาบาล!I496</f>
        <v>0</v>
      </c>
      <c r="J427" s="5">
        <f>ตัวคูณโรงพยาบาล!J496</f>
        <v>0</v>
      </c>
      <c r="K427" s="5">
        <f>ตัวคูณโรงพยาบาล!K496</f>
        <v>0</v>
      </c>
      <c r="L427" s="5">
        <f t="shared" si="6"/>
        <v>0</v>
      </c>
    </row>
    <row r="428" spans="1:12" x14ac:dyDescent="0.25">
      <c r="C428" t="s">
        <v>119</v>
      </c>
      <c r="D428" s="5">
        <f>ตัวคูณโรงพยาบาล!D497</f>
        <v>0</v>
      </c>
      <c r="E428" s="5">
        <f>ตัวคูณโรงพยาบาล!E497</f>
        <v>0</v>
      </c>
      <c r="F428" s="5">
        <f>ตัวคูณโรงพยาบาล!F497</f>
        <v>0</v>
      </c>
      <c r="G428" s="5">
        <f>ตัวคูณโรงพยาบาล!G497</f>
        <v>0</v>
      </c>
      <c r="H428" s="5">
        <f>ตัวคูณโรงพยาบาล!H497</f>
        <v>0</v>
      </c>
      <c r="I428" s="5">
        <f>ตัวคูณโรงพยาบาล!I497</f>
        <v>0</v>
      </c>
      <c r="J428" s="5">
        <f>ตัวคูณโรงพยาบาล!J497</f>
        <v>0</v>
      </c>
      <c r="K428" s="5">
        <f>ตัวคูณโรงพยาบาล!K497</f>
        <v>0</v>
      </c>
      <c r="L428" s="5">
        <f t="shared" si="6"/>
        <v>0</v>
      </c>
    </row>
    <row r="429" spans="1:12" x14ac:dyDescent="0.25">
      <c r="C429" t="s">
        <v>99</v>
      </c>
      <c r="D429" s="5">
        <f>ตัวคูณโรงพยาบาล!D498</f>
        <v>0</v>
      </c>
      <c r="E429" s="5">
        <f>ตัวคูณโรงพยาบาล!E498</f>
        <v>0</v>
      </c>
      <c r="F429" s="5">
        <f>ตัวคูณโรงพยาบาล!F498</f>
        <v>0</v>
      </c>
      <c r="G429" s="5">
        <f>ตัวคูณโรงพยาบาล!G498</f>
        <v>0</v>
      </c>
      <c r="H429" s="5">
        <f>ตัวคูณโรงพยาบาล!H498</f>
        <v>0</v>
      </c>
      <c r="I429" s="5">
        <f>ตัวคูณโรงพยาบาล!I498</f>
        <v>0</v>
      </c>
      <c r="J429" s="5">
        <f>ตัวคูณโรงพยาบาล!J498</f>
        <v>0</v>
      </c>
      <c r="K429" s="5">
        <f>ตัวคูณโรงพยาบาล!K498</f>
        <v>0</v>
      </c>
      <c r="L429" s="5">
        <f t="shared" si="6"/>
        <v>0</v>
      </c>
    </row>
    <row r="430" spans="1:12" x14ac:dyDescent="0.25">
      <c r="C430" t="s">
        <v>100</v>
      </c>
      <c r="D430" s="5">
        <f>ตัวคูณโรงพยาบาล!D499</f>
        <v>0</v>
      </c>
      <c r="E430" s="5">
        <f>ตัวคูณโรงพยาบาล!E499</f>
        <v>0</v>
      </c>
      <c r="F430" s="5">
        <f>ตัวคูณโรงพยาบาล!F499</f>
        <v>0</v>
      </c>
      <c r="G430" s="5">
        <f>ตัวคูณโรงพยาบาล!G499</f>
        <v>0</v>
      </c>
      <c r="H430" s="5">
        <f>ตัวคูณโรงพยาบาล!H499</f>
        <v>2.1969645910805098</v>
      </c>
      <c r="I430" s="5">
        <f>ตัวคูณโรงพยาบาล!I499</f>
        <v>0</v>
      </c>
      <c r="J430" s="5">
        <f>ตัวคูณโรงพยาบาล!J499</f>
        <v>0</v>
      </c>
      <c r="K430" s="5">
        <f>ตัวคูณโรงพยาบาล!K499</f>
        <v>0</v>
      </c>
      <c r="L430" s="5">
        <f t="shared" si="6"/>
        <v>2.1969645910805098</v>
      </c>
    </row>
    <row r="431" spans="1:12" x14ac:dyDescent="0.25">
      <c r="C431" t="s">
        <v>101</v>
      </c>
      <c r="D431" s="5">
        <f>ตัวคูณโรงพยาบาล!D500</f>
        <v>0</v>
      </c>
      <c r="E431" s="5">
        <f>ตัวคูณโรงพยาบาล!E500</f>
        <v>0</v>
      </c>
      <c r="F431" s="5">
        <f>ตัวคูณโรงพยาบาล!F500</f>
        <v>0</v>
      </c>
      <c r="G431" s="5">
        <f>ตัวคูณโรงพยาบาล!G500</f>
        <v>0</v>
      </c>
      <c r="H431" s="5">
        <f>ตัวคูณโรงพยาบาล!H500</f>
        <v>0</v>
      </c>
      <c r="I431" s="5">
        <f>ตัวคูณโรงพยาบาล!I500</f>
        <v>0</v>
      </c>
      <c r="J431" s="5">
        <f>ตัวคูณโรงพยาบาล!J500</f>
        <v>0</v>
      </c>
      <c r="K431" s="5">
        <f>ตัวคูณโรงพยาบาล!K500</f>
        <v>0</v>
      </c>
      <c r="L431" s="5">
        <f t="shared" si="6"/>
        <v>0</v>
      </c>
    </row>
    <row r="432" spans="1:12" x14ac:dyDescent="0.25">
      <c r="A432" s="24" t="s">
        <v>115</v>
      </c>
      <c r="B432" s="24" t="s">
        <v>108</v>
      </c>
      <c r="C432" t="s">
        <v>70</v>
      </c>
      <c r="D432" s="5">
        <f>ตัวคูณโรงพยาบาล!D501</f>
        <v>0</v>
      </c>
      <c r="E432" s="5">
        <f>ตัวคูณโรงพยาบาล!E501</f>
        <v>0</v>
      </c>
      <c r="F432" s="5">
        <f>ตัวคูณโรงพยาบาล!F501</f>
        <v>0</v>
      </c>
      <c r="G432" s="5">
        <f>ตัวคูณโรงพยาบาล!G501</f>
        <v>0</v>
      </c>
      <c r="H432" s="5">
        <f>ตัวคูณโรงพยาบาล!H501</f>
        <v>0</v>
      </c>
      <c r="I432" s="5">
        <f>ตัวคูณโรงพยาบาล!I501</f>
        <v>0</v>
      </c>
      <c r="J432" s="5">
        <f>ตัวคูณโรงพยาบาล!J501</f>
        <v>0</v>
      </c>
      <c r="K432" s="5">
        <f>ตัวคูณโรงพยาบาล!K501</f>
        <v>0</v>
      </c>
      <c r="L432" s="5">
        <f t="shared" si="6"/>
        <v>0</v>
      </c>
    </row>
    <row r="433" spans="3:12" x14ac:dyDescent="0.25">
      <c r="C433" t="s">
        <v>71</v>
      </c>
      <c r="D433" s="5">
        <f>ตัวคูณโรงพยาบาล!D502</f>
        <v>0</v>
      </c>
      <c r="E433" s="5">
        <f>ตัวคูณโรงพยาบาล!E502</f>
        <v>0</v>
      </c>
      <c r="F433" s="5">
        <f>ตัวคูณโรงพยาบาล!F502</f>
        <v>0</v>
      </c>
      <c r="G433" s="5">
        <f>ตัวคูณโรงพยาบาล!G502</f>
        <v>0</v>
      </c>
      <c r="H433" s="5">
        <f>ตัวคูณโรงพยาบาล!H502</f>
        <v>0</v>
      </c>
      <c r="I433" s="5">
        <f>ตัวคูณโรงพยาบาล!I502</f>
        <v>0</v>
      </c>
      <c r="J433" s="5">
        <f>ตัวคูณโรงพยาบาล!J502</f>
        <v>0</v>
      </c>
      <c r="K433" s="5">
        <f>ตัวคูณโรงพยาบาล!K502</f>
        <v>0</v>
      </c>
      <c r="L433" s="5">
        <f t="shared" si="6"/>
        <v>0</v>
      </c>
    </row>
    <row r="434" spans="3:12" x14ac:dyDescent="0.25">
      <c r="C434" t="s">
        <v>72</v>
      </c>
      <c r="D434" s="5">
        <f>ตัวคูณโรงพยาบาล!D503</f>
        <v>0</v>
      </c>
      <c r="E434" s="5">
        <f>ตัวคูณโรงพยาบาล!E503</f>
        <v>0</v>
      </c>
      <c r="F434" s="5">
        <f>ตัวคูณโรงพยาบาล!F503</f>
        <v>0</v>
      </c>
      <c r="G434" s="5">
        <f>ตัวคูณโรงพยาบาล!G503</f>
        <v>0</v>
      </c>
      <c r="H434" s="5">
        <f>ตัวคูณโรงพยาบาล!H503</f>
        <v>0</v>
      </c>
      <c r="I434" s="5">
        <f>ตัวคูณโรงพยาบาล!I503</f>
        <v>0</v>
      </c>
      <c r="J434" s="5">
        <f>ตัวคูณโรงพยาบาล!J503</f>
        <v>0</v>
      </c>
      <c r="K434" s="5">
        <f>ตัวคูณโรงพยาบาล!K503</f>
        <v>0</v>
      </c>
      <c r="L434" s="5">
        <f t="shared" si="6"/>
        <v>0</v>
      </c>
    </row>
    <row r="435" spans="3:12" x14ac:dyDescent="0.25">
      <c r="C435" t="s">
        <v>73</v>
      </c>
      <c r="D435" s="5">
        <f>ตัวคูณโรงพยาบาล!D504</f>
        <v>0</v>
      </c>
      <c r="E435" s="5">
        <f>ตัวคูณโรงพยาบาล!E504</f>
        <v>0</v>
      </c>
      <c r="F435" s="5">
        <f>ตัวคูณโรงพยาบาล!F504</f>
        <v>0</v>
      </c>
      <c r="G435" s="5">
        <f>ตัวคูณโรงพยาบาล!G504</f>
        <v>0</v>
      </c>
      <c r="H435" s="5">
        <f>ตัวคูณโรงพยาบาล!H504</f>
        <v>0</v>
      </c>
      <c r="I435" s="5">
        <f>ตัวคูณโรงพยาบาล!I504</f>
        <v>0</v>
      </c>
      <c r="J435" s="5">
        <f>ตัวคูณโรงพยาบาล!J504</f>
        <v>0</v>
      </c>
      <c r="K435" s="5">
        <f>ตัวคูณโรงพยาบาล!K504</f>
        <v>0</v>
      </c>
      <c r="L435" s="5">
        <f t="shared" si="6"/>
        <v>0</v>
      </c>
    </row>
    <row r="436" spans="3:12" x14ac:dyDescent="0.25">
      <c r="C436" t="s">
        <v>74</v>
      </c>
      <c r="D436" s="5">
        <f>ตัวคูณโรงพยาบาล!D505</f>
        <v>0</v>
      </c>
      <c r="E436" s="5">
        <f>ตัวคูณโรงพยาบาล!E505</f>
        <v>0</v>
      </c>
      <c r="F436" s="5">
        <f>ตัวคูณโรงพยาบาล!F505</f>
        <v>0</v>
      </c>
      <c r="G436" s="5">
        <f>ตัวคูณโรงพยาบาล!G505</f>
        <v>0</v>
      </c>
      <c r="H436" s="5">
        <f>ตัวคูณโรงพยาบาล!H505</f>
        <v>0</v>
      </c>
      <c r="I436" s="5">
        <f>ตัวคูณโรงพยาบาล!I505</f>
        <v>0</v>
      </c>
      <c r="J436" s="5">
        <f>ตัวคูณโรงพยาบาล!J505</f>
        <v>0</v>
      </c>
      <c r="K436" s="5">
        <f>ตัวคูณโรงพยาบาล!K505</f>
        <v>0</v>
      </c>
      <c r="L436" s="5">
        <f t="shared" si="6"/>
        <v>0</v>
      </c>
    </row>
    <row r="437" spans="3:12" x14ac:dyDescent="0.25">
      <c r="C437" t="s">
        <v>75</v>
      </c>
      <c r="D437" s="5">
        <f>ตัวคูณโรงพยาบาล!D506</f>
        <v>0</v>
      </c>
      <c r="E437" s="5">
        <f>ตัวคูณโรงพยาบาล!E506</f>
        <v>0</v>
      </c>
      <c r="F437" s="5">
        <f>ตัวคูณโรงพยาบาล!F506</f>
        <v>0</v>
      </c>
      <c r="G437" s="5">
        <f>ตัวคูณโรงพยาบาล!G506</f>
        <v>0</v>
      </c>
      <c r="H437" s="5">
        <f>ตัวคูณโรงพยาบาล!H506</f>
        <v>0</v>
      </c>
      <c r="I437" s="5">
        <f>ตัวคูณโรงพยาบาล!I506</f>
        <v>0</v>
      </c>
      <c r="J437" s="5">
        <f>ตัวคูณโรงพยาบาล!J506</f>
        <v>0</v>
      </c>
      <c r="K437" s="5">
        <f>ตัวคูณโรงพยาบาล!K506</f>
        <v>0</v>
      </c>
      <c r="L437" s="5">
        <f t="shared" si="6"/>
        <v>0</v>
      </c>
    </row>
    <row r="438" spans="3:12" x14ac:dyDescent="0.25">
      <c r="C438" t="s">
        <v>76</v>
      </c>
      <c r="D438" s="5">
        <f>ตัวคูณโรงพยาบาล!D507</f>
        <v>0</v>
      </c>
      <c r="E438" s="5">
        <f>ตัวคูณโรงพยาบาล!E507</f>
        <v>0</v>
      </c>
      <c r="F438" s="5">
        <f>ตัวคูณโรงพยาบาล!F507</f>
        <v>0</v>
      </c>
      <c r="G438" s="5">
        <f>ตัวคูณโรงพยาบาล!G507</f>
        <v>0</v>
      </c>
      <c r="H438" s="5">
        <f>ตัวคูณโรงพยาบาล!H507</f>
        <v>0</v>
      </c>
      <c r="I438" s="5">
        <f>ตัวคูณโรงพยาบาล!I507</f>
        <v>0</v>
      </c>
      <c r="J438" s="5">
        <f>ตัวคูณโรงพยาบาล!J507</f>
        <v>0</v>
      </c>
      <c r="K438" s="5">
        <f>ตัวคูณโรงพยาบาล!K507</f>
        <v>0</v>
      </c>
      <c r="L438" s="5">
        <f t="shared" si="6"/>
        <v>0</v>
      </c>
    </row>
    <row r="439" spans="3:12" x14ac:dyDescent="0.25">
      <c r="C439" t="s">
        <v>77</v>
      </c>
      <c r="D439" s="5">
        <f>ตัวคูณโรงพยาบาล!D508</f>
        <v>0</v>
      </c>
      <c r="E439" s="5">
        <f>ตัวคูณโรงพยาบาล!E508</f>
        <v>0</v>
      </c>
      <c r="F439" s="5">
        <f>ตัวคูณโรงพยาบาล!F508</f>
        <v>0</v>
      </c>
      <c r="G439" s="5">
        <f>ตัวคูณโรงพยาบาล!G508</f>
        <v>0</v>
      </c>
      <c r="H439" s="5">
        <f>ตัวคูณโรงพยาบาล!H508</f>
        <v>0</v>
      </c>
      <c r="I439" s="5">
        <f>ตัวคูณโรงพยาบาล!I508</f>
        <v>0</v>
      </c>
      <c r="J439" s="5">
        <f>ตัวคูณโรงพยาบาล!J508</f>
        <v>0</v>
      </c>
      <c r="K439" s="5">
        <f>ตัวคูณโรงพยาบาล!K508</f>
        <v>0</v>
      </c>
      <c r="L439" s="5">
        <f t="shared" si="6"/>
        <v>0</v>
      </c>
    </row>
    <row r="440" spans="3:12" x14ac:dyDescent="0.25">
      <c r="C440" t="s">
        <v>78</v>
      </c>
      <c r="D440" s="5">
        <f>ตัวคูณโรงพยาบาล!D509</f>
        <v>0</v>
      </c>
      <c r="E440" s="5">
        <f>ตัวคูณโรงพยาบาล!E509</f>
        <v>0</v>
      </c>
      <c r="F440" s="5">
        <f>ตัวคูณโรงพยาบาล!F509</f>
        <v>0</v>
      </c>
      <c r="G440" s="5">
        <f>ตัวคูณโรงพยาบาล!G509</f>
        <v>0</v>
      </c>
      <c r="H440" s="5">
        <f>ตัวคูณโรงพยาบาล!H509</f>
        <v>0</v>
      </c>
      <c r="I440" s="5">
        <f>ตัวคูณโรงพยาบาล!I509</f>
        <v>0</v>
      </c>
      <c r="J440" s="5">
        <f>ตัวคูณโรงพยาบาล!J509</f>
        <v>0</v>
      </c>
      <c r="K440" s="5">
        <f>ตัวคูณโรงพยาบาล!K509</f>
        <v>0</v>
      </c>
      <c r="L440" s="5">
        <f t="shared" si="6"/>
        <v>0</v>
      </c>
    </row>
    <row r="441" spans="3:12" x14ac:dyDescent="0.25">
      <c r="C441" t="s">
        <v>79</v>
      </c>
      <c r="D441" s="5">
        <f>ตัวคูณโรงพยาบาล!D510</f>
        <v>0</v>
      </c>
      <c r="E441" s="5">
        <f>ตัวคูณโรงพยาบาล!E510</f>
        <v>0</v>
      </c>
      <c r="F441" s="5">
        <f>ตัวคูณโรงพยาบาล!F510</f>
        <v>0</v>
      </c>
      <c r="G441" s="5">
        <f>ตัวคูณโรงพยาบาล!G510</f>
        <v>0</v>
      </c>
      <c r="H441" s="5">
        <f>ตัวคูณโรงพยาบาล!H510</f>
        <v>0</v>
      </c>
      <c r="I441" s="5">
        <f>ตัวคูณโรงพยาบาล!I510</f>
        <v>0</v>
      </c>
      <c r="J441" s="5">
        <f>ตัวคูณโรงพยาบาล!J510</f>
        <v>0</v>
      </c>
      <c r="K441" s="5">
        <f>ตัวคูณโรงพยาบาล!K510</f>
        <v>0</v>
      </c>
      <c r="L441" s="5">
        <f t="shared" si="6"/>
        <v>0</v>
      </c>
    </row>
    <row r="442" spans="3:12" x14ac:dyDescent="0.25">
      <c r="C442" t="s">
        <v>80</v>
      </c>
      <c r="D442" s="5">
        <f>ตัวคูณโรงพยาบาล!D511</f>
        <v>0</v>
      </c>
      <c r="E442" s="5">
        <f>ตัวคูณโรงพยาบาล!E511</f>
        <v>0</v>
      </c>
      <c r="F442" s="5">
        <f>ตัวคูณโรงพยาบาล!F511</f>
        <v>0</v>
      </c>
      <c r="G442" s="5">
        <f>ตัวคูณโรงพยาบาล!G511</f>
        <v>0</v>
      </c>
      <c r="H442" s="5">
        <f>ตัวคูณโรงพยาบาล!H511</f>
        <v>0</v>
      </c>
      <c r="I442" s="5">
        <f>ตัวคูณโรงพยาบาล!I511</f>
        <v>0</v>
      </c>
      <c r="J442" s="5">
        <f>ตัวคูณโรงพยาบาล!J511</f>
        <v>0</v>
      </c>
      <c r="K442" s="5">
        <f>ตัวคูณโรงพยาบาล!K511</f>
        <v>0</v>
      </c>
      <c r="L442" s="5">
        <f t="shared" si="6"/>
        <v>0</v>
      </c>
    </row>
    <row r="443" spans="3:12" x14ac:dyDescent="0.25">
      <c r="C443" t="s">
        <v>81</v>
      </c>
      <c r="D443" s="5">
        <f>ตัวคูณโรงพยาบาล!D512</f>
        <v>0</v>
      </c>
      <c r="E443" s="5">
        <f>ตัวคูณโรงพยาบาล!E512</f>
        <v>0</v>
      </c>
      <c r="F443" s="5">
        <f>ตัวคูณโรงพยาบาล!F512</f>
        <v>0</v>
      </c>
      <c r="G443" s="5">
        <f>ตัวคูณโรงพยาบาล!G512</f>
        <v>0</v>
      </c>
      <c r="H443" s="5">
        <f>ตัวคูณโรงพยาบาล!H512</f>
        <v>0</v>
      </c>
      <c r="I443" s="5">
        <f>ตัวคูณโรงพยาบาล!I512</f>
        <v>0</v>
      </c>
      <c r="J443" s="5">
        <f>ตัวคูณโรงพยาบาล!J512</f>
        <v>0</v>
      </c>
      <c r="K443" s="5">
        <f>ตัวคูณโรงพยาบาล!K512</f>
        <v>0</v>
      </c>
      <c r="L443" s="5">
        <f t="shared" si="6"/>
        <v>0</v>
      </c>
    </row>
    <row r="444" spans="3:12" x14ac:dyDescent="0.25">
      <c r="C444" t="s">
        <v>82</v>
      </c>
      <c r="D444" s="5">
        <f>ตัวคูณโรงพยาบาล!D513</f>
        <v>0</v>
      </c>
      <c r="E444" s="5">
        <f>ตัวคูณโรงพยาบาล!E513</f>
        <v>0</v>
      </c>
      <c r="F444" s="5">
        <f>ตัวคูณโรงพยาบาล!F513</f>
        <v>0</v>
      </c>
      <c r="G444" s="5">
        <f>ตัวคูณโรงพยาบาล!G513</f>
        <v>0</v>
      </c>
      <c r="H444" s="5">
        <f>ตัวคูณโรงพยาบาล!H513</f>
        <v>0</v>
      </c>
      <c r="I444" s="5">
        <f>ตัวคูณโรงพยาบาล!I513</f>
        <v>0</v>
      </c>
      <c r="J444" s="5">
        <f>ตัวคูณโรงพยาบาล!J513</f>
        <v>0</v>
      </c>
      <c r="K444" s="5">
        <f>ตัวคูณโรงพยาบาล!K513</f>
        <v>0</v>
      </c>
      <c r="L444" s="5">
        <f t="shared" si="6"/>
        <v>0</v>
      </c>
    </row>
    <row r="445" spans="3:12" x14ac:dyDescent="0.25">
      <c r="C445" t="s">
        <v>83</v>
      </c>
      <c r="D445" s="5">
        <f>ตัวคูณโรงพยาบาล!D514</f>
        <v>0</v>
      </c>
      <c r="E445" s="5">
        <f>ตัวคูณโรงพยาบาล!E514</f>
        <v>0</v>
      </c>
      <c r="F445" s="5">
        <f>ตัวคูณโรงพยาบาล!F514</f>
        <v>0</v>
      </c>
      <c r="G445" s="5">
        <f>ตัวคูณโรงพยาบาล!G514</f>
        <v>0</v>
      </c>
      <c r="H445" s="5">
        <f>ตัวคูณโรงพยาบาล!H514</f>
        <v>0</v>
      </c>
      <c r="I445" s="5">
        <f>ตัวคูณโรงพยาบาล!I514</f>
        <v>0</v>
      </c>
      <c r="J445" s="5">
        <f>ตัวคูณโรงพยาบาล!J514</f>
        <v>0</v>
      </c>
      <c r="K445" s="5">
        <f>ตัวคูณโรงพยาบาล!K514</f>
        <v>0</v>
      </c>
      <c r="L445" s="5">
        <f t="shared" si="6"/>
        <v>0</v>
      </c>
    </row>
    <row r="446" spans="3:12" x14ac:dyDescent="0.25">
      <c r="C446" t="s">
        <v>84</v>
      </c>
      <c r="D446" s="5">
        <f>ตัวคูณโรงพยาบาล!D515</f>
        <v>0</v>
      </c>
      <c r="E446" s="5">
        <f>ตัวคูณโรงพยาบาล!E515</f>
        <v>0</v>
      </c>
      <c r="F446" s="5">
        <f>ตัวคูณโรงพยาบาล!F515</f>
        <v>0</v>
      </c>
      <c r="G446" s="5">
        <f>ตัวคูณโรงพยาบาล!G515</f>
        <v>0</v>
      </c>
      <c r="H446" s="5">
        <f>ตัวคูณโรงพยาบาล!H515</f>
        <v>0</v>
      </c>
      <c r="I446" s="5">
        <f>ตัวคูณโรงพยาบาล!I515</f>
        <v>0</v>
      </c>
      <c r="J446" s="5">
        <f>ตัวคูณโรงพยาบาล!J515</f>
        <v>0</v>
      </c>
      <c r="K446" s="5">
        <f>ตัวคูณโรงพยาบาล!K515</f>
        <v>0</v>
      </c>
      <c r="L446" s="5">
        <f t="shared" si="6"/>
        <v>0</v>
      </c>
    </row>
    <row r="447" spans="3:12" x14ac:dyDescent="0.25">
      <c r="C447" t="s">
        <v>85</v>
      </c>
      <c r="D447" s="5">
        <f>ตัวคูณโรงพยาบาล!D516</f>
        <v>0</v>
      </c>
      <c r="E447" s="5">
        <f>ตัวคูณโรงพยาบาล!E516</f>
        <v>0</v>
      </c>
      <c r="F447" s="5">
        <f>ตัวคูณโรงพยาบาล!F516</f>
        <v>0</v>
      </c>
      <c r="G447" s="5">
        <f>ตัวคูณโรงพยาบาล!G516</f>
        <v>0</v>
      </c>
      <c r="H447" s="5">
        <f>ตัวคูณโรงพยาบาล!H516</f>
        <v>0</v>
      </c>
      <c r="I447" s="5">
        <f>ตัวคูณโรงพยาบาล!I516</f>
        <v>0</v>
      </c>
      <c r="J447" s="5">
        <f>ตัวคูณโรงพยาบาล!J516</f>
        <v>0</v>
      </c>
      <c r="K447" s="5">
        <f>ตัวคูณโรงพยาบาล!K516</f>
        <v>0</v>
      </c>
      <c r="L447" s="5">
        <f t="shared" si="6"/>
        <v>0</v>
      </c>
    </row>
    <row r="448" spans="3:12" x14ac:dyDescent="0.25">
      <c r="C448" t="s">
        <v>86</v>
      </c>
      <c r="D448" s="5">
        <f>ตัวคูณโรงพยาบาล!D517</f>
        <v>0</v>
      </c>
      <c r="E448" s="5">
        <f>ตัวคูณโรงพยาบาล!E517</f>
        <v>0</v>
      </c>
      <c r="F448" s="5">
        <f>ตัวคูณโรงพยาบาล!F517</f>
        <v>0</v>
      </c>
      <c r="G448" s="5">
        <f>ตัวคูณโรงพยาบาล!G517</f>
        <v>0</v>
      </c>
      <c r="H448" s="5">
        <f>ตัวคูณโรงพยาบาล!H517</f>
        <v>0</v>
      </c>
      <c r="I448" s="5">
        <f>ตัวคูณโรงพยาบาล!I517</f>
        <v>0</v>
      </c>
      <c r="J448" s="5">
        <f>ตัวคูณโรงพยาบาล!J517</f>
        <v>0</v>
      </c>
      <c r="K448" s="5">
        <f>ตัวคูณโรงพยาบาล!K517</f>
        <v>0</v>
      </c>
      <c r="L448" s="5">
        <f t="shared" si="6"/>
        <v>0</v>
      </c>
    </row>
    <row r="449" spans="3:12" x14ac:dyDescent="0.25">
      <c r="C449" t="s">
        <v>87</v>
      </c>
      <c r="D449" s="5">
        <f>ตัวคูณโรงพยาบาล!D518</f>
        <v>0</v>
      </c>
      <c r="E449" s="5">
        <f>ตัวคูณโรงพยาบาล!E518</f>
        <v>0</v>
      </c>
      <c r="F449" s="5">
        <f>ตัวคูณโรงพยาบาล!F518</f>
        <v>0</v>
      </c>
      <c r="G449" s="5">
        <f>ตัวคูณโรงพยาบาล!G518</f>
        <v>0</v>
      </c>
      <c r="H449" s="5">
        <f>ตัวคูณโรงพยาบาล!H518</f>
        <v>0</v>
      </c>
      <c r="I449" s="5">
        <f>ตัวคูณโรงพยาบาล!I518</f>
        <v>0</v>
      </c>
      <c r="J449" s="5">
        <f>ตัวคูณโรงพยาบาล!J518</f>
        <v>0</v>
      </c>
      <c r="K449" s="5">
        <f>ตัวคูณโรงพยาบาล!K518</f>
        <v>0</v>
      </c>
      <c r="L449" s="5">
        <f t="shared" si="6"/>
        <v>0</v>
      </c>
    </row>
    <row r="450" spans="3:12" x14ac:dyDescent="0.25">
      <c r="C450" t="s">
        <v>88</v>
      </c>
      <c r="D450" s="5">
        <f>ตัวคูณโรงพยาบาล!D519</f>
        <v>0</v>
      </c>
      <c r="E450" s="5">
        <f>ตัวคูณโรงพยาบาล!E519</f>
        <v>0</v>
      </c>
      <c r="F450" s="5">
        <f>ตัวคูณโรงพยาบาล!F519</f>
        <v>0</v>
      </c>
      <c r="G450" s="5">
        <f>ตัวคูณโรงพยาบาล!G519</f>
        <v>0</v>
      </c>
      <c r="H450" s="5">
        <f>ตัวคูณโรงพยาบาล!H519</f>
        <v>0</v>
      </c>
      <c r="I450" s="5">
        <f>ตัวคูณโรงพยาบาล!I519</f>
        <v>0</v>
      </c>
      <c r="J450" s="5">
        <f>ตัวคูณโรงพยาบาล!J519</f>
        <v>0</v>
      </c>
      <c r="K450" s="5">
        <f>ตัวคูณโรงพยาบาล!K519</f>
        <v>0</v>
      </c>
      <c r="L450" s="5">
        <f t="shared" si="6"/>
        <v>0</v>
      </c>
    </row>
    <row r="451" spans="3:12" x14ac:dyDescent="0.25">
      <c r="C451" t="s">
        <v>89</v>
      </c>
      <c r="D451" s="5">
        <f>ตัวคูณโรงพยาบาล!D520</f>
        <v>0</v>
      </c>
      <c r="E451" s="5">
        <f>ตัวคูณโรงพยาบาล!E520</f>
        <v>0</v>
      </c>
      <c r="F451" s="5">
        <f>ตัวคูณโรงพยาบาล!F520</f>
        <v>0</v>
      </c>
      <c r="G451" s="5">
        <f>ตัวคูณโรงพยาบาล!G520</f>
        <v>0</v>
      </c>
      <c r="H451" s="5">
        <f>ตัวคูณโรงพยาบาล!H520</f>
        <v>0</v>
      </c>
      <c r="I451" s="5">
        <f>ตัวคูณโรงพยาบาล!I520</f>
        <v>0</v>
      </c>
      <c r="J451" s="5">
        <f>ตัวคูณโรงพยาบาล!J520</f>
        <v>0</v>
      </c>
      <c r="K451" s="5">
        <f>ตัวคูณโรงพยาบาล!K520</f>
        <v>0</v>
      </c>
      <c r="L451" s="5">
        <f t="shared" si="6"/>
        <v>0</v>
      </c>
    </row>
    <row r="452" spans="3:12" x14ac:dyDescent="0.25">
      <c r="C452" t="s">
        <v>90</v>
      </c>
      <c r="D452" s="5">
        <f>ตัวคูณโรงพยาบาล!D521</f>
        <v>0</v>
      </c>
      <c r="E452" s="5">
        <f>ตัวคูณโรงพยาบาล!E521</f>
        <v>0</v>
      </c>
      <c r="F452" s="5">
        <f>ตัวคูณโรงพยาบาล!F521</f>
        <v>0</v>
      </c>
      <c r="G452" s="5">
        <f>ตัวคูณโรงพยาบาล!G521</f>
        <v>0</v>
      </c>
      <c r="H452" s="5">
        <f>ตัวคูณโรงพยาบาล!H521</f>
        <v>0</v>
      </c>
      <c r="I452" s="5">
        <f>ตัวคูณโรงพยาบาล!I521</f>
        <v>0</v>
      </c>
      <c r="J452" s="5">
        <f>ตัวคูณโรงพยาบาล!J521</f>
        <v>0</v>
      </c>
      <c r="K452" s="5">
        <f>ตัวคูณโรงพยาบาล!K521</f>
        <v>0</v>
      </c>
      <c r="L452" s="5">
        <f t="shared" ref="L452:L515" si="7">SUM(D452:K452)</f>
        <v>0</v>
      </c>
    </row>
    <row r="453" spans="3:12" x14ac:dyDescent="0.25">
      <c r="C453" t="s">
        <v>91</v>
      </c>
      <c r="D453" s="5">
        <f>ตัวคูณโรงพยาบาล!D522</f>
        <v>0</v>
      </c>
      <c r="E453" s="5">
        <f>ตัวคูณโรงพยาบาล!E522</f>
        <v>0</v>
      </c>
      <c r="F453" s="5">
        <f>ตัวคูณโรงพยาบาล!F522</f>
        <v>0</v>
      </c>
      <c r="G453" s="5">
        <f>ตัวคูณโรงพยาบาล!G522</f>
        <v>0</v>
      </c>
      <c r="H453" s="5">
        <f>ตัวคูณโรงพยาบาล!H522</f>
        <v>0</v>
      </c>
      <c r="I453" s="5">
        <f>ตัวคูณโรงพยาบาล!I522</f>
        <v>0</v>
      </c>
      <c r="J453" s="5">
        <f>ตัวคูณโรงพยาบาล!J522</f>
        <v>0</v>
      </c>
      <c r="K453" s="5">
        <f>ตัวคูณโรงพยาบาล!K522</f>
        <v>0</v>
      </c>
      <c r="L453" s="5">
        <f t="shared" si="7"/>
        <v>0</v>
      </c>
    </row>
    <row r="454" spans="3:12" x14ac:dyDescent="0.25">
      <c r="C454" t="s">
        <v>92</v>
      </c>
      <c r="D454" s="5">
        <f>ตัวคูณโรงพยาบาล!D523</f>
        <v>0</v>
      </c>
      <c r="E454" s="5">
        <f>ตัวคูณโรงพยาบาล!E523</f>
        <v>0</v>
      </c>
      <c r="F454" s="5">
        <f>ตัวคูณโรงพยาบาล!F523</f>
        <v>0</v>
      </c>
      <c r="G454" s="5">
        <f>ตัวคูณโรงพยาบาล!G523</f>
        <v>0</v>
      </c>
      <c r="H454" s="5">
        <f>ตัวคูณโรงพยาบาล!H523</f>
        <v>0</v>
      </c>
      <c r="I454" s="5">
        <f>ตัวคูณโรงพยาบาล!I523</f>
        <v>0</v>
      </c>
      <c r="J454" s="5">
        <f>ตัวคูณโรงพยาบาล!J523</f>
        <v>0</v>
      </c>
      <c r="K454" s="5">
        <f>ตัวคูณโรงพยาบาล!K523</f>
        <v>0</v>
      </c>
      <c r="L454" s="5">
        <f t="shared" si="7"/>
        <v>0</v>
      </c>
    </row>
    <row r="455" spans="3:12" x14ac:dyDescent="0.25">
      <c r="C455" t="s">
        <v>93</v>
      </c>
      <c r="D455" s="5">
        <f>ตัวคูณโรงพยาบาล!D524</f>
        <v>0</v>
      </c>
      <c r="E455" s="5">
        <f>ตัวคูณโรงพยาบาล!E524</f>
        <v>0</v>
      </c>
      <c r="F455" s="5">
        <f>ตัวคูณโรงพยาบาล!F524</f>
        <v>0</v>
      </c>
      <c r="G455" s="5">
        <f>ตัวคูณโรงพยาบาล!G524</f>
        <v>0</v>
      </c>
      <c r="H455" s="5">
        <f>ตัวคูณโรงพยาบาล!H524</f>
        <v>0</v>
      </c>
      <c r="I455" s="5">
        <f>ตัวคูณโรงพยาบาล!I524</f>
        <v>0</v>
      </c>
      <c r="J455" s="5">
        <f>ตัวคูณโรงพยาบาล!J524</f>
        <v>0</v>
      </c>
      <c r="K455" s="5">
        <f>ตัวคูณโรงพยาบาล!K524</f>
        <v>0</v>
      </c>
      <c r="L455" s="5">
        <f t="shared" si="7"/>
        <v>0</v>
      </c>
    </row>
    <row r="456" spans="3:12" x14ac:dyDescent="0.25">
      <c r="C456" t="s">
        <v>94</v>
      </c>
      <c r="D456" s="5">
        <f>ตัวคูณโรงพยาบาล!D525</f>
        <v>0</v>
      </c>
      <c r="E456" s="5">
        <f>ตัวคูณโรงพยาบาล!E525</f>
        <v>0</v>
      </c>
      <c r="F456" s="5">
        <f>ตัวคูณโรงพยาบาล!F525</f>
        <v>0</v>
      </c>
      <c r="G456" s="5">
        <f>ตัวคูณโรงพยาบาล!G525</f>
        <v>0</v>
      </c>
      <c r="H456" s="5">
        <f>ตัวคูณโรงพยาบาล!H525</f>
        <v>0</v>
      </c>
      <c r="I456" s="5">
        <f>ตัวคูณโรงพยาบาล!I525</f>
        <v>0</v>
      </c>
      <c r="J456" s="5">
        <f>ตัวคูณโรงพยาบาล!J525</f>
        <v>0</v>
      </c>
      <c r="K456" s="5">
        <f>ตัวคูณโรงพยาบาล!K525</f>
        <v>0</v>
      </c>
      <c r="L456" s="5">
        <f t="shared" si="7"/>
        <v>0</v>
      </c>
    </row>
    <row r="457" spans="3:12" x14ac:dyDescent="0.25">
      <c r="C457" t="s">
        <v>95</v>
      </c>
      <c r="D457" s="5">
        <f>ตัวคูณโรงพยาบาล!D526</f>
        <v>0</v>
      </c>
      <c r="E457" s="5">
        <f>ตัวคูณโรงพยาบาล!E526</f>
        <v>0</v>
      </c>
      <c r="F457" s="5">
        <f>ตัวคูณโรงพยาบาล!F526</f>
        <v>0</v>
      </c>
      <c r="G457" s="5">
        <f>ตัวคูณโรงพยาบาล!G526</f>
        <v>0</v>
      </c>
      <c r="H457" s="5">
        <f>ตัวคูณโรงพยาบาล!H526</f>
        <v>0</v>
      </c>
      <c r="I457" s="5">
        <f>ตัวคูณโรงพยาบาล!I526</f>
        <v>0</v>
      </c>
      <c r="J457" s="5">
        <f>ตัวคูณโรงพยาบาล!J526</f>
        <v>0</v>
      </c>
      <c r="K457" s="5">
        <f>ตัวคูณโรงพยาบาล!K526</f>
        <v>0</v>
      </c>
      <c r="L457" s="5">
        <f t="shared" si="7"/>
        <v>0</v>
      </c>
    </row>
    <row r="458" spans="3:12" x14ac:dyDescent="0.25">
      <c r="C458" t="s">
        <v>96</v>
      </c>
      <c r="D458" s="5">
        <f>ตัวคูณโรงพยาบาล!D527</f>
        <v>0</v>
      </c>
      <c r="E458" s="5">
        <f>ตัวคูณโรงพยาบาล!E527</f>
        <v>0</v>
      </c>
      <c r="F458" s="5">
        <f>ตัวคูณโรงพยาบาล!F527</f>
        <v>0</v>
      </c>
      <c r="G458" s="5">
        <f>ตัวคูณโรงพยาบาล!G527</f>
        <v>0</v>
      </c>
      <c r="H458" s="5">
        <f>ตัวคูณโรงพยาบาล!H527</f>
        <v>0</v>
      </c>
      <c r="I458" s="5">
        <f>ตัวคูณโรงพยาบาล!I527</f>
        <v>0</v>
      </c>
      <c r="J458" s="5">
        <f>ตัวคูณโรงพยาบาล!J527</f>
        <v>0</v>
      </c>
      <c r="K458" s="5">
        <f>ตัวคูณโรงพยาบาล!K527</f>
        <v>0</v>
      </c>
      <c r="L458" s="5">
        <f t="shared" si="7"/>
        <v>0</v>
      </c>
    </row>
    <row r="459" spans="3:12" x14ac:dyDescent="0.25">
      <c r="C459" t="s">
        <v>97</v>
      </c>
      <c r="D459" s="5">
        <f>ตัวคูณโรงพยาบาล!D528</f>
        <v>0</v>
      </c>
      <c r="E459" s="5">
        <f>ตัวคูณโรงพยาบาล!E528</f>
        <v>0</v>
      </c>
      <c r="F459" s="5">
        <f>ตัวคูณโรงพยาบาล!F528</f>
        <v>0</v>
      </c>
      <c r="G459" s="5">
        <f>ตัวคูณโรงพยาบาล!G528</f>
        <v>0</v>
      </c>
      <c r="H459" s="5">
        <f>ตัวคูณโรงพยาบาล!H528</f>
        <v>0</v>
      </c>
      <c r="I459" s="5">
        <f>ตัวคูณโรงพยาบาล!I528</f>
        <v>0</v>
      </c>
      <c r="J459" s="5">
        <f>ตัวคูณโรงพยาบาล!J528</f>
        <v>0</v>
      </c>
      <c r="K459" s="5">
        <f>ตัวคูณโรงพยาบาล!K528</f>
        <v>0</v>
      </c>
      <c r="L459" s="5">
        <f t="shared" si="7"/>
        <v>0</v>
      </c>
    </row>
    <row r="460" spans="3:12" x14ac:dyDescent="0.25">
      <c r="C460" t="s">
        <v>98</v>
      </c>
      <c r="D460" s="5">
        <f>ตัวคูณโรงพยาบาล!D529</f>
        <v>0</v>
      </c>
      <c r="E460" s="5">
        <f>ตัวคูณโรงพยาบาล!E529</f>
        <v>0</v>
      </c>
      <c r="F460" s="5">
        <f>ตัวคูณโรงพยาบาล!F529</f>
        <v>0</v>
      </c>
      <c r="G460" s="5">
        <f>ตัวคูณโรงพยาบาล!G529</f>
        <v>0</v>
      </c>
      <c r="H460" s="5">
        <f>ตัวคูณโรงพยาบาล!H529</f>
        <v>0</v>
      </c>
      <c r="I460" s="5">
        <f>ตัวคูณโรงพยาบาล!I529</f>
        <v>0</v>
      </c>
      <c r="J460" s="5">
        <f>ตัวคูณโรงพยาบาล!J529</f>
        <v>0</v>
      </c>
      <c r="K460" s="5">
        <f>ตัวคูณโรงพยาบาล!K529</f>
        <v>0</v>
      </c>
      <c r="L460" s="5">
        <f t="shared" si="7"/>
        <v>0</v>
      </c>
    </row>
    <row r="461" spans="3:12" x14ac:dyDescent="0.25">
      <c r="C461" t="s">
        <v>119</v>
      </c>
      <c r="D461" s="5">
        <f>ตัวคูณโรงพยาบาล!D530</f>
        <v>0</v>
      </c>
      <c r="E461" s="5">
        <f>ตัวคูณโรงพยาบาล!E530</f>
        <v>0</v>
      </c>
      <c r="F461" s="5">
        <f>ตัวคูณโรงพยาบาล!F530</f>
        <v>0</v>
      </c>
      <c r="G461" s="5">
        <f>ตัวคูณโรงพยาบาล!G530</f>
        <v>0</v>
      </c>
      <c r="H461" s="5">
        <f>ตัวคูณโรงพยาบาล!H530</f>
        <v>0</v>
      </c>
      <c r="I461" s="5">
        <f>ตัวคูณโรงพยาบาล!I530</f>
        <v>0</v>
      </c>
      <c r="J461" s="5">
        <f>ตัวคูณโรงพยาบาล!J530</f>
        <v>0</v>
      </c>
      <c r="K461" s="5">
        <f>ตัวคูณโรงพยาบาล!K530</f>
        <v>0</v>
      </c>
      <c r="L461" s="5">
        <f t="shared" si="7"/>
        <v>0</v>
      </c>
    </row>
    <row r="462" spans="3:12" x14ac:dyDescent="0.25">
      <c r="C462" t="s">
        <v>99</v>
      </c>
      <c r="D462" s="5">
        <f>ตัวคูณโรงพยาบาล!D531</f>
        <v>0</v>
      </c>
      <c r="E462" s="5">
        <f>ตัวคูณโรงพยาบาล!E531</f>
        <v>0</v>
      </c>
      <c r="F462" s="5">
        <f>ตัวคูณโรงพยาบาล!F531</f>
        <v>0</v>
      </c>
      <c r="G462" s="5">
        <f>ตัวคูณโรงพยาบาล!G531</f>
        <v>0</v>
      </c>
      <c r="H462" s="5">
        <f>ตัวคูณโรงพยาบาล!H531</f>
        <v>0</v>
      </c>
      <c r="I462" s="5">
        <f>ตัวคูณโรงพยาบาล!I531</f>
        <v>0</v>
      </c>
      <c r="J462" s="5">
        <f>ตัวคูณโรงพยาบาล!J531</f>
        <v>0</v>
      </c>
      <c r="K462" s="5">
        <f>ตัวคูณโรงพยาบาล!K531</f>
        <v>0</v>
      </c>
      <c r="L462" s="5">
        <f t="shared" si="7"/>
        <v>0</v>
      </c>
    </row>
    <row r="463" spans="3:12" x14ac:dyDescent="0.25">
      <c r="C463" t="s">
        <v>100</v>
      </c>
      <c r="D463" s="5">
        <f>ตัวคูณโรงพยาบาล!D532</f>
        <v>0</v>
      </c>
      <c r="E463" s="5">
        <f>ตัวคูณโรงพยาบาล!E532</f>
        <v>0</v>
      </c>
      <c r="F463" s="5">
        <f>ตัวคูณโรงพยาบาล!F532</f>
        <v>0</v>
      </c>
      <c r="G463" s="5">
        <f>ตัวคูณโรงพยาบาล!G532</f>
        <v>0</v>
      </c>
      <c r="H463" s="5">
        <f>ตัวคูณโรงพยาบาล!H532</f>
        <v>0</v>
      </c>
      <c r="I463" s="5">
        <f>ตัวคูณโรงพยาบาล!I532</f>
        <v>0</v>
      </c>
      <c r="J463" s="5">
        <f>ตัวคูณโรงพยาบาล!J532</f>
        <v>0</v>
      </c>
      <c r="K463" s="5">
        <f>ตัวคูณโรงพยาบาล!K532</f>
        <v>0</v>
      </c>
      <c r="L463" s="5">
        <f t="shared" si="7"/>
        <v>0</v>
      </c>
    </row>
    <row r="464" spans="3:12" x14ac:dyDescent="0.25">
      <c r="C464" t="s">
        <v>101</v>
      </c>
      <c r="D464" s="5">
        <f>ตัวคูณโรงพยาบาล!D533</f>
        <v>0</v>
      </c>
      <c r="E464" s="5">
        <f>ตัวคูณโรงพยาบาล!E533</f>
        <v>0</v>
      </c>
      <c r="F464" s="5">
        <f>ตัวคูณโรงพยาบาล!F533</f>
        <v>0</v>
      </c>
      <c r="G464" s="5">
        <f>ตัวคูณโรงพยาบาล!G533</f>
        <v>0</v>
      </c>
      <c r="H464" s="5">
        <f>ตัวคูณโรงพยาบาล!H533</f>
        <v>0</v>
      </c>
      <c r="I464" s="5">
        <f>ตัวคูณโรงพยาบาล!I533</f>
        <v>0</v>
      </c>
      <c r="J464" s="5">
        <f>ตัวคูณโรงพยาบาล!J533</f>
        <v>0</v>
      </c>
      <c r="K464" s="5">
        <f>ตัวคูณโรงพยาบาล!K533</f>
        <v>0</v>
      </c>
      <c r="L464" s="5">
        <f t="shared" si="7"/>
        <v>0</v>
      </c>
    </row>
    <row r="465" spans="1:12" x14ac:dyDescent="0.25">
      <c r="A465" s="24" t="s">
        <v>115</v>
      </c>
      <c r="B465" s="24" t="s">
        <v>109</v>
      </c>
      <c r="C465" t="s">
        <v>70</v>
      </c>
      <c r="D465" s="5">
        <f>ตัวคูณโรงพยาบาล!D534</f>
        <v>0</v>
      </c>
      <c r="E465" s="5">
        <f>ตัวคูณโรงพยาบาล!E534</f>
        <v>0</v>
      </c>
      <c r="F465" s="5">
        <f>ตัวคูณโรงพยาบาล!F534</f>
        <v>54.546391001081929</v>
      </c>
      <c r="G465" s="5">
        <f>ตัวคูณโรงพยาบาล!G534</f>
        <v>78.719089071852409</v>
      </c>
      <c r="H465" s="5">
        <f>ตัวคูณโรงพยาบาล!H534</f>
        <v>29.957393000077367</v>
      </c>
      <c r="I465" s="5">
        <f>ตัวคูณโรงพยาบาล!I534</f>
        <v>2.7048966103344059</v>
      </c>
      <c r="J465" s="5">
        <f>ตัวคูณโรงพยาบาล!J534</f>
        <v>0</v>
      </c>
      <c r="K465" s="5">
        <f>ตัวคูณโรงพยาบาล!K534</f>
        <v>0</v>
      </c>
      <c r="L465" s="5">
        <f t="shared" si="7"/>
        <v>165.9277696833461</v>
      </c>
    </row>
    <row r="466" spans="1:12" x14ac:dyDescent="0.25">
      <c r="C466" t="s">
        <v>71</v>
      </c>
      <c r="D466" s="5">
        <f>ตัวคูณโรงพยาบาล!D535</f>
        <v>0</v>
      </c>
      <c r="E466" s="5">
        <f>ตัวคูณโรงพยาบาล!E535</f>
        <v>0</v>
      </c>
      <c r="F466" s="5">
        <f>ตัวคูณโรงพยาบาล!F535</f>
        <v>431.98803615864631</v>
      </c>
      <c r="G466" s="5">
        <f>ตัวคูณโรงพยาบาล!G535</f>
        <v>399.68803806552665</v>
      </c>
      <c r="H466" s="5">
        <f>ตัวคูณโรงพยาบาล!H535</f>
        <v>141.85362782406432</v>
      </c>
      <c r="I466" s="5">
        <f>ตัวคูณโรงพยาบาล!I535</f>
        <v>17.31710814322944</v>
      </c>
      <c r="J466" s="5">
        <f>ตัวคูณโรงพยาบาล!J535</f>
        <v>0</v>
      </c>
      <c r="K466" s="5">
        <f>ตัวคูณโรงพยาบาล!K535</f>
        <v>0</v>
      </c>
      <c r="L466" s="5">
        <f t="shared" si="7"/>
        <v>990.84681019146672</v>
      </c>
    </row>
    <row r="467" spans="1:12" x14ac:dyDescent="0.25">
      <c r="C467" t="s">
        <v>72</v>
      </c>
      <c r="D467" s="5">
        <f>ตัวคูณโรงพยาบาล!D536</f>
        <v>0</v>
      </c>
      <c r="E467" s="5">
        <f>ตัวคูณโรงพยาบาล!E536</f>
        <v>0</v>
      </c>
      <c r="F467" s="5">
        <f>ตัวคูณโรงพยาบาล!F536</f>
        <v>136.14964572410128</v>
      </c>
      <c r="G467" s="5">
        <f>ตัวคูณโรงพยาบาล!G536</f>
        <v>210.25239371759065</v>
      </c>
      <c r="H467" s="5">
        <f>ตัวคูณโรงพยาบาล!H536</f>
        <v>102.18563549976479</v>
      </c>
      <c r="I467" s="5">
        <f>ตัวคูณโรงพยาบาล!I536</f>
        <v>16.787668495341027</v>
      </c>
      <c r="J467" s="5">
        <f>ตัวคูณโรงพยาบาล!J536</f>
        <v>0</v>
      </c>
      <c r="K467" s="5">
        <f>ตัวคูณโรงพยาบาล!K536</f>
        <v>0</v>
      </c>
      <c r="L467" s="5">
        <f t="shared" si="7"/>
        <v>465.37534343679778</v>
      </c>
    </row>
    <row r="468" spans="1:12" x14ac:dyDescent="0.25">
      <c r="C468" t="s">
        <v>73</v>
      </c>
      <c r="D468" s="5">
        <f>ตัวคูณโรงพยาบาล!D537</f>
        <v>0</v>
      </c>
      <c r="E468" s="5">
        <f>ตัวคูณโรงพยาบาล!E537</f>
        <v>0</v>
      </c>
      <c r="F468" s="5">
        <f>ตัวคูณโรงพยาบาล!F537</f>
        <v>30.34090814500135</v>
      </c>
      <c r="G468" s="5">
        <f>ตัวคูณโรงพยาบาล!G537</f>
        <v>40.43607428665738</v>
      </c>
      <c r="H468" s="5">
        <f>ตัวคูณโรงพยาบาล!H537</f>
        <v>16.371624105471877</v>
      </c>
      <c r="I468" s="5">
        <f>ตัวคูณโรงพยาบาล!I537</f>
        <v>0</v>
      </c>
      <c r="J468" s="5">
        <f>ตัวคูณโรงพยาบาล!J537</f>
        <v>0</v>
      </c>
      <c r="K468" s="5">
        <f>ตัวคูณโรงพยาบาล!K537</f>
        <v>0</v>
      </c>
      <c r="L468" s="5">
        <f t="shared" si="7"/>
        <v>87.148606537130604</v>
      </c>
    </row>
    <row r="469" spans="1:12" x14ac:dyDescent="0.25">
      <c r="C469" t="s">
        <v>74</v>
      </c>
      <c r="D469" s="5">
        <f>ตัวคูณโรงพยาบาล!D538</f>
        <v>0</v>
      </c>
      <c r="E469" s="5">
        <f>ตัวคูณโรงพยาบาล!E538</f>
        <v>0</v>
      </c>
      <c r="F469" s="5">
        <f>ตัวคูณโรงพยาบาล!F538</f>
        <v>73.947149232481252</v>
      </c>
      <c r="G469" s="5">
        <f>ตัวคูณโรงพยาบาล!G538</f>
        <v>256.40520289333608</v>
      </c>
      <c r="H469" s="5">
        <f>ตัวคูณโรงพยาบาล!H538</f>
        <v>201.05241949264973</v>
      </c>
      <c r="I469" s="5">
        <f>ตัวคูณโรงพยาบาล!I538</f>
        <v>20.050853939010018</v>
      </c>
      <c r="J469" s="5">
        <f>ตัวคูณโรงพยาบาล!J538</f>
        <v>0</v>
      </c>
      <c r="K469" s="5">
        <f>ตัวคูณโรงพยาบาล!K538</f>
        <v>0</v>
      </c>
      <c r="L469" s="5">
        <f t="shared" si="7"/>
        <v>551.45562555747711</v>
      </c>
    </row>
    <row r="470" spans="1:12" x14ac:dyDescent="0.25">
      <c r="C470" t="s">
        <v>75</v>
      </c>
      <c r="D470" s="5">
        <f>ตัวคูณโรงพยาบาล!D539</f>
        <v>0</v>
      </c>
      <c r="E470" s="5">
        <f>ตัวคูณโรงพยาบาล!E539</f>
        <v>0</v>
      </c>
      <c r="F470" s="5">
        <f>ตัวคูณโรงพยาบาล!F539</f>
        <v>131.18795811905574</v>
      </c>
      <c r="G470" s="5">
        <f>ตัวคูณโรงพยาบาล!G539</f>
        <v>167.19584258593284</v>
      </c>
      <c r="H470" s="5">
        <f>ตัวคูณโรงพยาบาล!H539</f>
        <v>65.876230688541625</v>
      </c>
      <c r="I470" s="5">
        <f>ตัวคูณโรงพยาบาล!I539</f>
        <v>1.0877284812229977</v>
      </c>
      <c r="J470" s="5">
        <f>ตัวคูณโรงพยาบาล!J539</f>
        <v>0</v>
      </c>
      <c r="K470" s="5">
        <f>ตัวคูณโรงพยาบาล!K539</f>
        <v>0</v>
      </c>
      <c r="L470" s="5">
        <f t="shared" si="7"/>
        <v>365.34775987475319</v>
      </c>
    </row>
    <row r="471" spans="1:12" x14ac:dyDescent="0.25">
      <c r="C471" t="s">
        <v>76</v>
      </c>
      <c r="D471" s="5">
        <f>ตัวคูณโรงพยาบาล!D540</f>
        <v>0</v>
      </c>
      <c r="E471" s="5">
        <f>ตัวคูณโรงพยาบาล!E540</f>
        <v>0</v>
      </c>
      <c r="F471" s="5">
        <f>ตัวคูณโรงพยาบาล!F540</f>
        <v>329.27596787866855</v>
      </c>
      <c r="G471" s="5">
        <f>ตัวคูณโรงพยาบาล!G540</f>
        <v>436.73519360576347</v>
      </c>
      <c r="H471" s="5">
        <f>ตัวคูณโรงพยาบาล!H540</f>
        <v>211.82859498084639</v>
      </c>
      <c r="I471" s="5">
        <f>ตัวคูณโรงพยาบาล!I540</f>
        <v>19.537241028282256</v>
      </c>
      <c r="J471" s="5">
        <f>ตัวคูณโรงพยาบาล!J540</f>
        <v>0</v>
      </c>
      <c r="K471" s="5">
        <f>ตัวคูณโรงพยาบาล!K540</f>
        <v>0</v>
      </c>
      <c r="L471" s="5">
        <f t="shared" si="7"/>
        <v>997.37699749356068</v>
      </c>
    </row>
    <row r="472" spans="1:12" x14ac:dyDescent="0.25">
      <c r="C472" t="s">
        <v>77</v>
      </c>
      <c r="D472" s="5">
        <f>ตัวคูณโรงพยาบาล!D541</f>
        <v>0</v>
      </c>
      <c r="E472" s="5">
        <f>ตัวคูณโรงพยาบาล!E541</f>
        <v>0</v>
      </c>
      <c r="F472" s="5">
        <f>ตัวคูณโรงพยาบาล!F541</f>
        <v>356.47853302463125</v>
      </c>
      <c r="G472" s="5">
        <f>ตัวคูณโรงพยาบาล!G541</f>
        <v>610.66060351428621</v>
      </c>
      <c r="H472" s="5">
        <f>ตัวคูณโรงพยาบาล!H541</f>
        <v>316.13889170782909</v>
      </c>
      <c r="I472" s="5">
        <f>ตัวคูณโรงพยาบาล!I541</f>
        <v>19.023628117554502</v>
      </c>
      <c r="J472" s="5">
        <f>ตัวคูณโรงพยาบาล!J541</f>
        <v>1.0214285714285714</v>
      </c>
      <c r="K472" s="5">
        <f>ตัวคูณโรงพยาบาล!K541</f>
        <v>0</v>
      </c>
      <c r="L472" s="5">
        <f t="shared" si="7"/>
        <v>1303.3230849357296</v>
      </c>
    </row>
    <row r="473" spans="1:12" x14ac:dyDescent="0.25">
      <c r="C473" t="s">
        <v>78</v>
      </c>
      <c r="D473" s="5">
        <f>ตัวคูณโรงพยาบาล!D542</f>
        <v>0</v>
      </c>
      <c r="E473" s="5">
        <f>ตัวคูณโรงพยาบาล!E542</f>
        <v>0</v>
      </c>
      <c r="F473" s="5">
        <f>ตัวคูณโรงพยาบาล!F542</f>
        <v>195.43472823583733</v>
      </c>
      <c r="G473" s="5">
        <f>ตัวคูณโรงพยาบาล!G542</f>
        <v>297.89050808048347</v>
      </c>
      <c r="H473" s="5">
        <f>ตัวคูณโรงพยาบาล!H542</f>
        <v>179.87297211615166</v>
      </c>
      <c r="I473" s="5">
        <f>ตัวคูณโรงพยาบาล!I542</f>
        <v>4.8803535727804013</v>
      </c>
      <c r="J473" s="5">
        <f>ตัวคูณโรงพยาบาล!J542</f>
        <v>0</v>
      </c>
      <c r="K473" s="5">
        <f>ตัวคูณโรงพยาบาล!K542</f>
        <v>0</v>
      </c>
      <c r="L473" s="5">
        <f t="shared" si="7"/>
        <v>678.07856200525293</v>
      </c>
    </row>
    <row r="474" spans="1:12" x14ac:dyDescent="0.25">
      <c r="C474" t="s">
        <v>79</v>
      </c>
      <c r="D474" s="5">
        <f>ตัวคูณโรงพยาบาล!D543</f>
        <v>0</v>
      </c>
      <c r="E474" s="5">
        <f>ตัวคูณโรงพยาบาล!E543</f>
        <v>0</v>
      </c>
      <c r="F474" s="5">
        <f>ตัวคูณโรงพยาบาล!F543</f>
        <v>318.06406190367346</v>
      </c>
      <c r="G474" s="5">
        <f>ตัวคูณโรงพยาบาล!G543</f>
        <v>241.43778385967744</v>
      </c>
      <c r="H474" s="5">
        <f>ตัวคูณโรงพยาบาล!H543</f>
        <v>131.98418508788112</v>
      </c>
      <c r="I474" s="5">
        <f>ตัวคูณโรงพยาบาล!I543</f>
        <v>16.274055584613265</v>
      </c>
      <c r="J474" s="5">
        <f>ตัวคูณโรงพยาบาล!J543</f>
        <v>1.0214285714285714</v>
      </c>
      <c r="K474" s="5">
        <f>ตัวคูณโรงพยาบาล!K543</f>
        <v>0</v>
      </c>
      <c r="L474" s="5">
        <f t="shared" si="7"/>
        <v>708.78151500727392</v>
      </c>
    </row>
    <row r="475" spans="1:12" x14ac:dyDescent="0.25">
      <c r="C475" t="s">
        <v>80</v>
      </c>
      <c r="D475" s="5">
        <f>ตัวคูณโรงพยาบาล!D544</f>
        <v>0</v>
      </c>
      <c r="E475" s="5">
        <f>ตัวคูณโรงพยาบาล!E544</f>
        <v>0</v>
      </c>
      <c r="F475" s="5">
        <f>ตัวคูณโรงพยาบาล!F544</f>
        <v>440.35614373428876</v>
      </c>
      <c r="G475" s="5">
        <f>ตัวคูณโรงพยาบาล!G544</f>
        <v>579.14095483446022</v>
      </c>
      <c r="H475" s="5">
        <f>ตัวคูณโรงพยาบาล!H544</f>
        <v>318.14444552928245</v>
      </c>
      <c r="I475" s="5">
        <f>ตัวคูณโรงพยาบาล!I544</f>
        <v>31.460382688003531</v>
      </c>
      <c r="J475" s="5">
        <f>ตัวคูณโรงพยาบาล!J544</f>
        <v>2.2405388246618263</v>
      </c>
      <c r="K475" s="5">
        <f>ตัวคูณโรงพยาบาล!K544</f>
        <v>0</v>
      </c>
      <c r="L475" s="5">
        <f t="shared" si="7"/>
        <v>1371.3424656106968</v>
      </c>
    </row>
    <row r="476" spans="1:12" x14ac:dyDescent="0.25">
      <c r="C476" t="s">
        <v>81</v>
      </c>
      <c r="D476" s="5">
        <f>ตัวคูณโรงพยาบาล!D545</f>
        <v>0</v>
      </c>
      <c r="E476" s="5">
        <f>ตัวคูณโรงพยาบาล!E545</f>
        <v>0</v>
      </c>
      <c r="F476" s="5">
        <f>ตัวคูณโรงพยาบาล!F545</f>
        <v>77.742185420736746</v>
      </c>
      <c r="G476" s="5">
        <f>ตัวคูณโรงพยาบาล!G545</f>
        <v>136.22940804869754</v>
      </c>
      <c r="H476" s="5">
        <f>ตัวคูณโรงพยาบาล!H545</f>
        <v>50.770427877411379</v>
      </c>
      <c r="I476" s="5">
        <f>ตัวคูณโรงพยาบาล!I545</f>
        <v>3.7926250915574036</v>
      </c>
      <c r="J476" s="5">
        <f>ตัวคูณโรงพยาบาล!J545</f>
        <v>0</v>
      </c>
      <c r="K476" s="5">
        <f>ตัวคูณโรงพยาบาล!K545</f>
        <v>0</v>
      </c>
      <c r="L476" s="5">
        <f t="shared" si="7"/>
        <v>268.53464643840306</v>
      </c>
    </row>
    <row r="477" spans="1:12" x14ac:dyDescent="0.25">
      <c r="C477" t="s">
        <v>82</v>
      </c>
      <c r="D477" s="5">
        <f>ตัวคูณโรงพยาบาล!D546</f>
        <v>0</v>
      </c>
      <c r="E477" s="5">
        <f>ตัวคูณโรงพยาบาล!E546</f>
        <v>0</v>
      </c>
      <c r="F477" s="5">
        <f>ตัวคูณโรงพยาบาล!F546</f>
        <v>256.69356940505872</v>
      </c>
      <c r="G477" s="5">
        <f>ตัวคูณโรงพยาบาล!G546</f>
        <v>285.3017750439526</v>
      </c>
      <c r="H477" s="5">
        <f>ตัวคูณโรงพยาบาล!H546</f>
        <v>141.28738662258553</v>
      </c>
      <c r="I477" s="5">
        <f>ตัวคูณโรงพยาบาล!I546</f>
        <v>8.6888054014984561</v>
      </c>
      <c r="J477" s="5">
        <f>ตัวคูณโรงพยาบาล!J546</f>
        <v>2.2405388246618263</v>
      </c>
      <c r="K477" s="5">
        <f>ตัวคูณโรงพยาบาล!K546</f>
        <v>0</v>
      </c>
      <c r="L477" s="5">
        <f t="shared" si="7"/>
        <v>694.21207529775711</v>
      </c>
    </row>
    <row r="478" spans="1:12" x14ac:dyDescent="0.25">
      <c r="C478" t="s">
        <v>83</v>
      </c>
      <c r="D478" s="5">
        <f>ตัวคูณโรงพยาบาล!D547</f>
        <v>0</v>
      </c>
      <c r="E478" s="5">
        <f>ตัวคูณโรงพยาบาล!E547</f>
        <v>0</v>
      </c>
      <c r="F478" s="5">
        <f>ตัวคูณโรงพยาบาล!F547</f>
        <v>40.041287260701004</v>
      </c>
      <c r="G478" s="5">
        <f>ตัวคูณโรงพยาบาล!G547</f>
        <v>58.510151545270773</v>
      </c>
      <c r="H478" s="5">
        <f>ตัวคูณโรงพยาบาล!H547</f>
        <v>28.182730033317092</v>
      </c>
      <c r="I478" s="5">
        <f>ตัวคูณโรงพยาบาล!I547</f>
        <v>0</v>
      </c>
      <c r="J478" s="5">
        <f>ตัวคูณโรงพยาบาล!J547</f>
        <v>0</v>
      </c>
      <c r="K478" s="5">
        <f>ตัวคูณโรงพยาบาล!K547</f>
        <v>0</v>
      </c>
      <c r="L478" s="5">
        <f t="shared" si="7"/>
        <v>126.73416883928886</v>
      </c>
    </row>
    <row r="479" spans="1:12" x14ac:dyDescent="0.25">
      <c r="C479" t="s">
        <v>84</v>
      </c>
      <c r="D479" s="5">
        <f>ตัวคูณโรงพยาบาล!D548</f>
        <v>0</v>
      </c>
      <c r="E479" s="5">
        <f>ตัวคูณโรงพยาบาล!E548</f>
        <v>0</v>
      </c>
      <c r="F479" s="5">
        <f>ตัวคูณโรงพยาบาล!F548</f>
        <v>39.375936928581254</v>
      </c>
      <c r="G479" s="5">
        <f>ตัวคูณโรงพยาบาล!G548</f>
        <v>75.425802502429462</v>
      </c>
      <c r="H479" s="5">
        <f>ตัวคูณโรงพยาบาล!H548</f>
        <v>34.398803771939505</v>
      </c>
      <c r="I479" s="5">
        <f>ตัวคูณโรงพยาบาล!I548</f>
        <v>1.0877284812229977</v>
      </c>
      <c r="J479" s="5">
        <f>ตัวคูณโรงพยาบาล!J548</f>
        <v>0</v>
      </c>
      <c r="K479" s="5">
        <f>ตัวคูณโรงพยาบาล!K548</f>
        <v>0</v>
      </c>
      <c r="L479" s="5">
        <f t="shared" si="7"/>
        <v>150.28827168417322</v>
      </c>
    </row>
    <row r="480" spans="1:12" x14ac:dyDescent="0.25">
      <c r="C480" t="s">
        <v>85</v>
      </c>
      <c r="D480" s="5">
        <f>ตัวคูณโรงพยาบาล!D549</f>
        <v>0</v>
      </c>
      <c r="E480" s="5">
        <f>ตัวคูณโรงพยาบาล!E549</f>
        <v>0</v>
      </c>
      <c r="F480" s="5">
        <f>ตัวคูณโรงพยาบาล!F549</f>
        <v>400.50797776260089</v>
      </c>
      <c r="G480" s="5">
        <f>ตัวคูณโรงพยาบาล!G549</f>
        <v>490.18469083123938</v>
      </c>
      <c r="H480" s="5">
        <f>ตัวคูณโรงพยาบาล!H549</f>
        <v>162.76078262746327</v>
      </c>
      <c r="I480" s="5">
        <f>ตัวคูณโรงพยาบาล!I549</f>
        <v>9.202418312226218</v>
      </c>
      <c r="J480" s="5">
        <f>ตัวคูณโรงพยาบาล!J549</f>
        <v>0</v>
      </c>
      <c r="K480" s="5">
        <f>ตัวคูณโรงพยาบาล!K549</f>
        <v>0</v>
      </c>
      <c r="L480" s="5">
        <f t="shared" si="7"/>
        <v>1062.6558695335298</v>
      </c>
    </row>
    <row r="481" spans="3:12" x14ac:dyDescent="0.25">
      <c r="C481" t="s">
        <v>86</v>
      </c>
      <c r="D481" s="5">
        <f>ตัวคูณโรงพยาบาล!D550</f>
        <v>0</v>
      </c>
      <c r="E481" s="5">
        <f>ตัวคูณโรงพยาบาล!E550</f>
        <v>0</v>
      </c>
      <c r="F481" s="5">
        <f>ตัวคูณโรงพยาบาล!F550</f>
        <v>2068.7289654191063</v>
      </c>
      <c r="G481" s="5">
        <f>ตัวคูณโรงพยาบาล!G550</f>
        <v>2380.3088141531271</v>
      </c>
      <c r="H481" s="5">
        <f>ตัวคูณโรงพยาบาล!H550</f>
        <v>995.78451458827692</v>
      </c>
      <c r="I481" s="5">
        <f>ตัวคูณโรงพยาบาล!I550</f>
        <v>86.177106387793728</v>
      </c>
      <c r="J481" s="5">
        <f>ตัวคูณโรงพยาบาล!J550</f>
        <v>3.2619673960903977</v>
      </c>
      <c r="K481" s="5">
        <f>ตัวคูณโรงพยาบาล!K550</f>
        <v>0</v>
      </c>
      <c r="L481" s="5">
        <f t="shared" si="7"/>
        <v>5534.2613679443948</v>
      </c>
    </row>
    <row r="482" spans="3:12" x14ac:dyDescent="0.25">
      <c r="C482" t="s">
        <v>87</v>
      </c>
      <c r="D482" s="5">
        <f>ตัวคูณโรงพยาบาล!D551</f>
        <v>0</v>
      </c>
      <c r="E482" s="5">
        <f>ตัวคูณโรงพยาบาล!E551</f>
        <v>0</v>
      </c>
      <c r="F482" s="5">
        <f>ตัวคูณโรงพยาบาล!F551</f>
        <v>86.554218109925259</v>
      </c>
      <c r="G482" s="5">
        <f>ตัวคูณโรงพยาบาล!G551</f>
        <v>87.44312216287554</v>
      </c>
      <c r="H482" s="5">
        <f>ตัวคูณโรงพยาบาล!H551</f>
        <v>44.116727052997604</v>
      </c>
      <c r="I482" s="5">
        <f>ตัวคูณโรงพยาบาล!I551</f>
        <v>2.7048966103344059</v>
      </c>
      <c r="J482" s="5">
        <f>ตัวคูณโรงพยาบาล!J551</f>
        <v>0</v>
      </c>
      <c r="K482" s="5">
        <f>ตัวคูณโรงพยาบาล!K551</f>
        <v>0</v>
      </c>
      <c r="L482" s="5">
        <f t="shared" si="7"/>
        <v>220.81896393613277</v>
      </c>
    </row>
    <row r="483" spans="3:12" x14ac:dyDescent="0.25">
      <c r="C483" t="s">
        <v>88</v>
      </c>
      <c r="D483" s="5">
        <f>ตัวคูณโรงพยาบาล!D552</f>
        <v>0</v>
      </c>
      <c r="E483" s="5">
        <f>ตัวคูณโรงพยาบาล!E552</f>
        <v>0</v>
      </c>
      <c r="F483" s="5">
        <f>ตัวคูณโรงพยาบาล!F552</f>
        <v>808.78474588275174</v>
      </c>
      <c r="G483" s="5">
        <f>ตัวคูณโรงพยาบาล!G552</f>
        <v>1063.4913500760665</v>
      </c>
      <c r="H483" s="5">
        <f>ตัวคูณโรงพยาบาล!H552</f>
        <v>410.90485709221173</v>
      </c>
      <c r="I483" s="5">
        <f>ตัวคูณโรงพยาบาล!I552</f>
        <v>14.09859862216727</v>
      </c>
      <c r="J483" s="5">
        <f>ตัวคูณโรงพยาบาล!J552</f>
        <v>2.2405388246618263</v>
      </c>
      <c r="K483" s="5">
        <f>ตัวคูณโรงพยาบาล!K552</f>
        <v>0</v>
      </c>
      <c r="L483" s="5">
        <f t="shared" si="7"/>
        <v>2299.5200904978592</v>
      </c>
    </row>
    <row r="484" spans="3:12" x14ac:dyDescent="0.25">
      <c r="C484" t="s">
        <v>89</v>
      </c>
      <c r="D484" s="5">
        <f>ตัวคูณโรงพยาบาล!D553</f>
        <v>0</v>
      </c>
      <c r="E484" s="5">
        <f>ตัวคูณโรงพยาบาล!E553</f>
        <v>0</v>
      </c>
      <c r="F484" s="5">
        <f>ตัวคูณโรงพยาบาล!F553</f>
        <v>8.5997608129367453</v>
      </c>
      <c r="G484" s="5">
        <f>ตัวคูณโรงพยาบาล!G553</f>
        <v>4.3971151703952982</v>
      </c>
      <c r="H484" s="5">
        <f>ตัวคูณโรงพยาบาล!H553</f>
        <v>4.7197780176400794</v>
      </c>
      <c r="I484" s="5">
        <f>ตัวคูณโรงพยาบาล!I553</f>
        <v>0</v>
      </c>
      <c r="J484" s="5">
        <f>ตัวคูณโรงพยาบาล!J553</f>
        <v>0</v>
      </c>
      <c r="K484" s="5">
        <f>ตัวคูณโรงพยาบาล!K553</f>
        <v>0</v>
      </c>
      <c r="L484" s="5">
        <f t="shared" si="7"/>
        <v>17.71665400097212</v>
      </c>
    </row>
    <row r="485" spans="3:12" x14ac:dyDescent="0.25">
      <c r="C485" t="s">
        <v>90</v>
      </c>
      <c r="D485" s="5">
        <f>ตัวคูณโรงพยาบาล!D554</f>
        <v>0</v>
      </c>
      <c r="E485" s="5">
        <f>ตัวคูณโรงพยาบาล!E554</f>
        <v>0</v>
      </c>
      <c r="F485" s="5">
        <f>ตัวคูณโรงพยาบาล!F554</f>
        <v>0</v>
      </c>
      <c r="G485" s="5">
        <f>ตัวคูณโรงพยาบาล!G554</f>
        <v>1.0856293674782374</v>
      </c>
      <c r="H485" s="5">
        <f>ตัวคูณโรงพยาบาล!H554</f>
        <v>0</v>
      </c>
      <c r="I485" s="5">
        <f>ตัวคูณโรงพยาบาล!I554</f>
        <v>0</v>
      </c>
      <c r="J485" s="5">
        <f>ตัวคูณโรงพยาบาล!J554</f>
        <v>0</v>
      </c>
      <c r="K485" s="5">
        <f>ตัวคูณโรงพยาบาล!K554</f>
        <v>0</v>
      </c>
      <c r="L485" s="5">
        <f t="shared" si="7"/>
        <v>1.0856293674782374</v>
      </c>
    </row>
    <row r="486" spans="3:12" x14ac:dyDescent="0.25">
      <c r="C486" t="s">
        <v>91</v>
      </c>
      <c r="D486" s="5">
        <f>ตัวคูณโรงพยาบาล!D555</f>
        <v>0</v>
      </c>
      <c r="E486" s="5">
        <f>ตัวคูณโรงพยาบาล!E555</f>
        <v>0</v>
      </c>
      <c r="F486" s="5">
        <f>ตัวคูณโรงพยาบาล!F555</f>
        <v>2.8665869376455815</v>
      </c>
      <c r="G486" s="5">
        <f>ตัวคูณโรงพยาบาล!G555</f>
        <v>7.6566029570390048</v>
      </c>
      <c r="H486" s="5">
        <f>ตัวคูณโรงพยาบาล!H555</f>
        <v>5.825923043915898</v>
      </c>
      <c r="I486" s="5">
        <f>ตัวคูณโรงพยาบาล!I555</f>
        <v>0</v>
      </c>
      <c r="J486" s="5">
        <f>ตัวคูณโรงพยาบาล!J555</f>
        <v>0</v>
      </c>
      <c r="K486" s="5">
        <f>ตัวคูณโรงพยาบาล!K555</f>
        <v>0</v>
      </c>
      <c r="L486" s="5">
        <f t="shared" si="7"/>
        <v>16.349112938600484</v>
      </c>
    </row>
    <row r="487" spans="3:12" x14ac:dyDescent="0.25">
      <c r="C487" t="s">
        <v>92</v>
      </c>
      <c r="D487" s="5">
        <f>ตัวคูณโรงพยาบาล!D556</f>
        <v>0</v>
      </c>
      <c r="E487" s="5">
        <f>ตัวคูณโรงพยาบาล!E556</f>
        <v>0</v>
      </c>
      <c r="F487" s="5">
        <f>ตัวคูณโรงพยาบาล!F556</f>
        <v>2.8665869376455815</v>
      </c>
      <c r="G487" s="5">
        <f>ตัวคูณโรงพยาบาล!G556</f>
        <v>0</v>
      </c>
      <c r="H487" s="5">
        <f>ตัวคูณโรงพยาบาล!H556</f>
        <v>0</v>
      </c>
      <c r="I487" s="5">
        <f>ตัวคูณโรงพยาบาล!I556</f>
        <v>0</v>
      </c>
      <c r="J487" s="5">
        <f>ตัวคูณโรงพยาบาล!J556</f>
        <v>0</v>
      </c>
      <c r="K487" s="5">
        <f>ตัวคูณโรงพยาบาล!K556</f>
        <v>0</v>
      </c>
      <c r="L487" s="5">
        <f t="shared" si="7"/>
        <v>2.8665869376455815</v>
      </c>
    </row>
    <row r="488" spans="3:12" x14ac:dyDescent="0.25">
      <c r="C488" t="s">
        <v>93</v>
      </c>
      <c r="D488" s="5">
        <f>ตัวคูณโรงพยาบาล!D557</f>
        <v>0</v>
      </c>
      <c r="E488" s="5">
        <f>ตัวคูณโรงพยาบาล!E557</f>
        <v>0</v>
      </c>
      <c r="F488" s="5">
        <f>ตัวคูณโรงพยาบาล!F557</f>
        <v>1.1006183027629148</v>
      </c>
      <c r="G488" s="5">
        <f>ตัวคูณโรงพยาบาล!G557</f>
        <v>1.1038286009723537</v>
      </c>
      <c r="H488" s="5">
        <f>ตัวคูณโรงพยาบาล!H557</f>
        <v>4.3296273229335664</v>
      </c>
      <c r="I488" s="5">
        <f>ตัวคูณโรงพยาบาล!I557</f>
        <v>0</v>
      </c>
      <c r="J488" s="5">
        <f>ตัวคูณโรงพยาบาล!J557</f>
        <v>0</v>
      </c>
      <c r="K488" s="5">
        <f>ตัวคูณโรงพยาบาล!K557</f>
        <v>0</v>
      </c>
      <c r="L488" s="5">
        <f t="shared" si="7"/>
        <v>6.5340742266688352</v>
      </c>
    </row>
    <row r="489" spans="3:12" x14ac:dyDescent="0.25">
      <c r="C489" t="s">
        <v>94</v>
      </c>
      <c r="D489" s="5">
        <f>ตัวคูณโรงพยาบาล!D558</f>
        <v>0</v>
      </c>
      <c r="E489" s="5">
        <f>ตัวคูณโรงพยาบาล!E558</f>
        <v>0</v>
      </c>
      <c r="F489" s="5">
        <f>ตัวคูณโรงพยาบาล!F558</f>
        <v>0</v>
      </c>
      <c r="G489" s="5">
        <f>ตัวคูณโรงพยาบาล!G558</f>
        <v>0</v>
      </c>
      <c r="H489" s="5">
        <f>ตัวคูณโรงพยาบาล!H558</f>
        <v>0</v>
      </c>
      <c r="I489" s="5">
        <f>ตัวคูณโรงพยาบาล!I558</f>
        <v>0</v>
      </c>
      <c r="J489" s="5">
        <f>ตัวคูณโรงพยาบาล!J558</f>
        <v>0</v>
      </c>
      <c r="K489" s="5">
        <f>ตัวคูณโรงพยาบาล!K558</f>
        <v>0</v>
      </c>
      <c r="L489" s="5">
        <f t="shared" si="7"/>
        <v>0</v>
      </c>
    </row>
    <row r="490" spans="3:12" x14ac:dyDescent="0.25">
      <c r="C490" t="s">
        <v>95</v>
      </c>
      <c r="D490" s="5">
        <f>ตัวคูณโรงพยาบาล!D559</f>
        <v>0</v>
      </c>
      <c r="E490" s="5">
        <f>ตัวคูณโรงพยาบาล!E559</f>
        <v>0</v>
      </c>
      <c r="F490" s="5">
        <f>ตัวคูณโรงพยาบาล!F559</f>
        <v>1.1006183027629148</v>
      </c>
      <c r="G490" s="5">
        <f>ตัวคูณโรงพยาบาล!G559</f>
        <v>0</v>
      </c>
      <c r="H490" s="5">
        <f>ตัวคูณโรงพยาบาล!H559</f>
        <v>0</v>
      </c>
      <c r="I490" s="5">
        <f>ตัวคูณโรงพยาบาล!I559</f>
        <v>0</v>
      </c>
      <c r="J490" s="5">
        <f>ตัวคูณโรงพยาบาล!J559</f>
        <v>0</v>
      </c>
      <c r="K490" s="5">
        <f>ตัวคูณโรงพยาบาล!K559</f>
        <v>0</v>
      </c>
      <c r="L490" s="5">
        <f t="shared" si="7"/>
        <v>1.1006183027629148</v>
      </c>
    </row>
    <row r="491" spans="3:12" x14ac:dyDescent="0.25">
      <c r="C491" t="s">
        <v>96</v>
      </c>
      <c r="D491" s="5">
        <f>ตัวคูณโรงพยาบาล!D560</f>
        <v>0</v>
      </c>
      <c r="E491" s="5">
        <f>ตัวคูณโรงพยาบาล!E560</f>
        <v>0</v>
      </c>
      <c r="F491" s="5">
        <f>ตัวคูณโรงพยาบาล!F560</f>
        <v>45.200040670209553</v>
      </c>
      <c r="G491" s="5">
        <f>ตัวคูณโรงพยาบาล!G560</f>
        <v>37.625804610057642</v>
      </c>
      <c r="H491" s="5">
        <f>ตัวคูณโรงพยาบาล!H560</f>
        <v>6.2398119341648357</v>
      </c>
      <c r="I491" s="5">
        <f>ตัวคูณโรงพยาบาล!I560</f>
        <v>5.4097932206688117</v>
      </c>
      <c r="J491" s="5">
        <f>ตัวคูณโรงพยาบาล!J560</f>
        <v>0</v>
      </c>
      <c r="K491" s="5">
        <f>ตัวคูณโรงพยาบาล!K560</f>
        <v>0</v>
      </c>
      <c r="L491" s="5">
        <f t="shared" si="7"/>
        <v>94.475450435100853</v>
      </c>
    </row>
    <row r="492" spans="3:12" x14ac:dyDescent="0.25">
      <c r="C492" t="s">
        <v>97</v>
      </c>
      <c r="D492" s="5">
        <f>ตัวคูณโรงพยาบาล!D561</f>
        <v>0</v>
      </c>
      <c r="E492" s="5">
        <f>ตัวคูณโรงพยาบาล!E561</f>
        <v>0</v>
      </c>
      <c r="F492" s="5">
        <f>ตัวคูณโรงพยาบาล!F561</f>
        <v>2.8665869376455815</v>
      </c>
      <c r="G492" s="5">
        <f>ตัวคูณโรงพยาบาล!G561</f>
        <v>1.0856293674782374</v>
      </c>
      <c r="H492" s="5">
        <f>ตัวคูณโรงพยาบาล!H561</f>
        <v>0</v>
      </c>
      <c r="I492" s="5">
        <f>ตัวคูณโรงพยาบาล!I561</f>
        <v>0</v>
      </c>
      <c r="J492" s="5">
        <f>ตัวคูณโรงพยาบาล!J561</f>
        <v>0</v>
      </c>
      <c r="K492" s="5">
        <f>ตัวคูณโรงพยาบาล!K561</f>
        <v>0</v>
      </c>
      <c r="L492" s="5">
        <f t="shared" si="7"/>
        <v>3.9522163051238186</v>
      </c>
    </row>
    <row r="493" spans="3:12" x14ac:dyDescent="0.25">
      <c r="C493" t="s">
        <v>98</v>
      </c>
      <c r="D493" s="5">
        <f>ตัวคูณโรงพยาบาล!D562</f>
        <v>0</v>
      </c>
      <c r="E493" s="5">
        <f>ตัวคูณโรงพยาบาล!E562</f>
        <v>0</v>
      </c>
      <c r="F493" s="5">
        <f>ตัวคูณโรงพยาบาล!F562</f>
        <v>5.733173875291163</v>
      </c>
      <c r="G493" s="5">
        <f>ตัวคูณโรงพยาบาล!G562</f>
        <v>6.5527743560666512</v>
      </c>
      <c r="H493" s="5">
        <f>ตัวคูณโรงพยาบาล!H562</f>
        <v>1.0824068307333916</v>
      </c>
      <c r="I493" s="5">
        <f>ตัวคูณโรงพยาบาล!I562</f>
        <v>0</v>
      </c>
      <c r="J493" s="5">
        <f>ตัวคูณโรงพยาบาล!J562</f>
        <v>0</v>
      </c>
      <c r="K493" s="5">
        <f>ตัวคูณโรงพยาบาล!K562</f>
        <v>0</v>
      </c>
      <c r="L493" s="5">
        <f t="shared" si="7"/>
        <v>13.368355062091206</v>
      </c>
    </row>
    <row r="494" spans="3:12" x14ac:dyDescent="0.25">
      <c r="C494" t="s">
        <v>119</v>
      </c>
      <c r="D494" s="5">
        <f>ตัวคูณโรงพยาบาล!D563</f>
        <v>0</v>
      </c>
      <c r="E494" s="5">
        <f>ตัวคูณโรงพยาบาล!E563</f>
        <v>0</v>
      </c>
      <c r="F494" s="5">
        <f>ตัวคูณโรงพยาบาล!F563</f>
        <v>2.8665869376455815</v>
      </c>
      <c r="G494" s="5">
        <f>ตัวคูณโรงพยาบาล!G563</f>
        <v>1.1038286009723537</v>
      </c>
      <c r="H494" s="5">
        <f>ตัวคูณโรงพยาบาล!H563</f>
        <v>0</v>
      </c>
      <c r="I494" s="5">
        <f>ตัวคูณโรงพยาบาล!I563</f>
        <v>0</v>
      </c>
      <c r="J494" s="5">
        <f>ตัวคูณโรงพยาบาล!J563</f>
        <v>0</v>
      </c>
      <c r="K494" s="5">
        <f>ตัวคูณโรงพยาบาล!K563</f>
        <v>0</v>
      </c>
      <c r="L494" s="5">
        <f t="shared" si="7"/>
        <v>3.9704155386179352</v>
      </c>
    </row>
    <row r="495" spans="3:12" x14ac:dyDescent="0.25">
      <c r="C495" t="s">
        <v>99</v>
      </c>
      <c r="D495" s="5">
        <f>ตัวคูณโรงพยาบาล!D564</f>
        <v>0</v>
      </c>
      <c r="E495" s="5">
        <f>ตัวคูณโรงพยาบาล!E564</f>
        <v>0</v>
      </c>
      <c r="F495" s="5">
        <f>ตัวคูณโรงพยาบาล!F564</f>
        <v>48.205780102994595</v>
      </c>
      <c r="G495" s="5">
        <f>ตัวคูณโรงพยาบาล!G564</f>
        <v>87.837742572437136</v>
      </c>
      <c r="H495" s="5">
        <f>ตัวคูณโรงพยาบาล!H564</f>
        <v>21.919179903609834</v>
      </c>
      <c r="I495" s="5">
        <f>ตัวคูณโรงพยาบาล!I564</f>
        <v>0</v>
      </c>
      <c r="J495" s="5">
        <f>ตัวคูณโรงพยาบาล!J564</f>
        <v>0</v>
      </c>
      <c r="K495" s="5">
        <f>ตัวคูณโรงพยาบาล!K564</f>
        <v>0</v>
      </c>
      <c r="L495" s="5">
        <f t="shared" si="7"/>
        <v>157.96270257904158</v>
      </c>
    </row>
    <row r="496" spans="3:12" x14ac:dyDescent="0.25">
      <c r="C496" t="s">
        <v>100</v>
      </c>
      <c r="D496" s="5">
        <f>ตัวคูณโรงพยาบาล!D565</f>
        <v>0</v>
      </c>
      <c r="E496" s="5">
        <f>ตัวคูณโรงพยาบาล!E565</f>
        <v>0</v>
      </c>
      <c r="F496" s="5">
        <f>ตัวคูณโรงพยาบาล!F565</f>
        <v>2.8665869376455815</v>
      </c>
      <c r="G496" s="5">
        <f>ตัวคูณโรงพยาบาล!G565</f>
        <v>0</v>
      </c>
      <c r="H496" s="5">
        <f>ตัวคูณโรงพยาบาล!H565</f>
        <v>0</v>
      </c>
      <c r="I496" s="5">
        <f>ตัวคูณโรงพยาบาล!I565</f>
        <v>0</v>
      </c>
      <c r="J496" s="5">
        <f>ตัวคูณโรงพยาบาล!J565</f>
        <v>0</v>
      </c>
      <c r="K496" s="5">
        <f>ตัวคูณโรงพยาบาล!K565</f>
        <v>0</v>
      </c>
      <c r="L496" s="5">
        <f t="shared" si="7"/>
        <v>2.8665869376455815</v>
      </c>
    </row>
    <row r="497" spans="1:12" x14ac:dyDescent="0.25">
      <c r="C497" t="s">
        <v>101</v>
      </c>
      <c r="D497" s="5">
        <f>ตัวคูณโรงพยาบาล!D566</f>
        <v>0</v>
      </c>
      <c r="E497" s="5">
        <f>ตัวคูณโรงพยาบาล!E566</f>
        <v>0</v>
      </c>
      <c r="F497" s="5">
        <f>ตัวคูณโรงพยาบาล!F566</f>
        <v>201.51381109125225</v>
      </c>
      <c r="G497" s="5">
        <f>ตัวคูณโรงพยาบาล!G566</f>
        <v>232.63778934754677</v>
      </c>
      <c r="H497" s="5">
        <f>ตัวคูณโรงพยาบาล!H566</f>
        <v>68.590454884728345</v>
      </c>
      <c r="I497" s="5">
        <f>ตัวคูณโรงพยาบาล!I566</f>
        <v>2.7048966103344059</v>
      </c>
      <c r="J497" s="5">
        <f>ตัวคูณโรงพยาบาล!J566</f>
        <v>0</v>
      </c>
      <c r="K497" s="5">
        <f>ตัวคูณโรงพยาบาล!K566</f>
        <v>0</v>
      </c>
      <c r="L497" s="5">
        <f t="shared" si="7"/>
        <v>505.44695193386178</v>
      </c>
    </row>
    <row r="498" spans="1:12" x14ac:dyDescent="0.25">
      <c r="A498" s="24" t="s">
        <v>115</v>
      </c>
      <c r="B498" s="24" t="s">
        <v>110</v>
      </c>
      <c r="C498" t="s">
        <v>70</v>
      </c>
      <c r="D498" s="5">
        <f>ตัวคูณโรงพยาบาล!D567</f>
        <v>0</v>
      </c>
      <c r="E498" s="5">
        <f>ตัวคูณโรงพยาบาล!E567</f>
        <v>0</v>
      </c>
      <c r="F498" s="5">
        <f>ตัวคูณโรงพยาบาล!F567</f>
        <v>0</v>
      </c>
      <c r="G498" s="5">
        <f>ตัวคูณโรงพยาบาล!G567</f>
        <v>0</v>
      </c>
      <c r="H498" s="5">
        <f>ตัวคูณโรงพยาบาล!H567</f>
        <v>0</v>
      </c>
      <c r="I498" s="5">
        <f>ตัวคูณโรงพยาบาล!I567</f>
        <v>0</v>
      </c>
      <c r="J498" s="5">
        <f>ตัวคูณโรงพยาบาล!J567</f>
        <v>6.7895115898843228E-2</v>
      </c>
      <c r="K498" s="5">
        <f>ตัวคูณโรงพยาบาล!K567</f>
        <v>0</v>
      </c>
      <c r="L498" s="5">
        <f t="shared" si="7"/>
        <v>6.7895115898843228E-2</v>
      </c>
    </row>
    <row r="499" spans="1:12" x14ac:dyDescent="0.25">
      <c r="C499" t="s">
        <v>71</v>
      </c>
      <c r="D499" s="5">
        <f>ตัวคูณโรงพยาบาล!D568</f>
        <v>0</v>
      </c>
      <c r="E499" s="5">
        <f>ตัวคูณโรงพยาบาล!E568</f>
        <v>0</v>
      </c>
      <c r="F499" s="5">
        <f>ตัวคูณโรงพยาบาล!F568</f>
        <v>0</v>
      </c>
      <c r="G499" s="5">
        <f>ตัวคูณโรงพยาบาล!G568</f>
        <v>0</v>
      </c>
      <c r="H499" s="5">
        <f>ตัวคูณโรงพยาบาล!H568</f>
        <v>0</v>
      </c>
      <c r="I499" s="5">
        <f>ตัวคูณโรงพยาบาล!I568</f>
        <v>0</v>
      </c>
      <c r="J499" s="5">
        <f>ตัวคูณโรงพยาบาล!J568</f>
        <v>6.7895115898843228E-2</v>
      </c>
      <c r="K499" s="5">
        <f>ตัวคูณโรงพยาบาล!K568</f>
        <v>0</v>
      </c>
      <c r="L499" s="5">
        <f t="shared" si="7"/>
        <v>6.7895115898843228E-2</v>
      </c>
    </row>
    <row r="500" spans="1:12" x14ac:dyDescent="0.25">
      <c r="C500" t="s">
        <v>72</v>
      </c>
      <c r="D500" s="5">
        <f>ตัวคูณโรงพยาบาล!D569</f>
        <v>0</v>
      </c>
      <c r="E500" s="5">
        <f>ตัวคูณโรงพยาบาล!E569</f>
        <v>0</v>
      </c>
      <c r="F500" s="5">
        <f>ตัวคูณโรงพยาบาล!F569</f>
        <v>0</v>
      </c>
      <c r="G500" s="5">
        <f>ตัวคูณโรงพยาบาล!G569</f>
        <v>0</v>
      </c>
      <c r="H500" s="5">
        <f>ตัวคูณโรงพยาบาล!H569</f>
        <v>0</v>
      </c>
      <c r="I500" s="5">
        <f>ตัวคูณโรงพยาบาล!I569</f>
        <v>0</v>
      </c>
      <c r="J500" s="5">
        <f>ตัวคูณโรงพยาบาล!J569</f>
        <v>6.7895115898843228E-2</v>
      </c>
      <c r="K500" s="5">
        <f>ตัวคูณโรงพยาบาล!K569</f>
        <v>0</v>
      </c>
      <c r="L500" s="5">
        <f t="shared" si="7"/>
        <v>6.7895115898843228E-2</v>
      </c>
    </row>
    <row r="501" spans="1:12" x14ac:dyDescent="0.25">
      <c r="C501" t="s">
        <v>73</v>
      </c>
      <c r="D501" s="5">
        <f>ตัวคูณโรงพยาบาล!D570</f>
        <v>0</v>
      </c>
      <c r="E501" s="5">
        <f>ตัวคูณโรงพยาบาล!E570</f>
        <v>0</v>
      </c>
      <c r="F501" s="5">
        <f>ตัวคูณโรงพยาบาล!F570</f>
        <v>0</v>
      </c>
      <c r="G501" s="5">
        <f>ตัวคูณโรงพยาบาล!G570</f>
        <v>0</v>
      </c>
      <c r="H501" s="5">
        <f>ตัวคูณโรงพยาบาล!H570</f>
        <v>0</v>
      </c>
      <c r="I501" s="5">
        <f>ตัวคูณโรงพยาบาล!I570</f>
        <v>0</v>
      </c>
      <c r="J501" s="5">
        <f>ตัวคูณโรงพยาบาล!J570</f>
        <v>6.7895115898843228E-2</v>
      </c>
      <c r="K501" s="5">
        <f>ตัวคูณโรงพยาบาล!K570</f>
        <v>0</v>
      </c>
      <c r="L501" s="5">
        <f t="shared" si="7"/>
        <v>6.7895115898843228E-2</v>
      </c>
    </row>
    <row r="502" spans="1:12" x14ac:dyDescent="0.25">
      <c r="C502" t="s">
        <v>74</v>
      </c>
      <c r="D502" s="5">
        <f>ตัวคูณโรงพยาบาล!D571</f>
        <v>0</v>
      </c>
      <c r="E502" s="5">
        <f>ตัวคูณโรงพยาบาล!E571</f>
        <v>0</v>
      </c>
      <c r="F502" s="5">
        <f>ตัวคูณโรงพยาบาล!F571</f>
        <v>0</v>
      </c>
      <c r="G502" s="5">
        <f>ตัวคูณโรงพยาบาล!G571</f>
        <v>0</v>
      </c>
      <c r="H502" s="5">
        <f>ตัวคูณโรงพยาบาล!H571</f>
        <v>0</v>
      </c>
      <c r="I502" s="5">
        <f>ตัวคูณโรงพยาบาล!I571</f>
        <v>0</v>
      </c>
      <c r="J502" s="5">
        <f>ตัวคูณโรงพยาบาล!J571</f>
        <v>6.7895115898843228E-2</v>
      </c>
      <c r="K502" s="5">
        <f>ตัวคูณโรงพยาบาล!K571</f>
        <v>0</v>
      </c>
      <c r="L502" s="5">
        <f t="shared" si="7"/>
        <v>6.7895115898843228E-2</v>
      </c>
    </row>
    <row r="503" spans="1:12" x14ac:dyDescent="0.25">
      <c r="C503" t="s">
        <v>75</v>
      </c>
      <c r="D503" s="5">
        <f>ตัวคูณโรงพยาบาล!D572</f>
        <v>0</v>
      </c>
      <c r="E503" s="5">
        <f>ตัวคูณโรงพยาบาล!E572</f>
        <v>0</v>
      </c>
      <c r="F503" s="5">
        <f>ตัวคูณโรงพยาบาล!F572</f>
        <v>0</v>
      </c>
      <c r="G503" s="5">
        <f>ตัวคูณโรงพยาบาล!G572</f>
        <v>0</v>
      </c>
      <c r="H503" s="5">
        <f>ตัวคูณโรงพยาบาล!H572</f>
        <v>0</v>
      </c>
      <c r="I503" s="5">
        <f>ตัวคูณโรงพยาบาล!I572</f>
        <v>0</v>
      </c>
      <c r="J503" s="5">
        <f>ตัวคูณโรงพยาบาล!J572</f>
        <v>6.7895115898843228E-2</v>
      </c>
      <c r="K503" s="5">
        <f>ตัวคูณโรงพยาบาล!K572</f>
        <v>0</v>
      </c>
      <c r="L503" s="5">
        <f t="shared" si="7"/>
        <v>6.7895115898843228E-2</v>
      </c>
    </row>
    <row r="504" spans="1:12" x14ac:dyDescent="0.25">
      <c r="C504" t="s">
        <v>76</v>
      </c>
      <c r="D504" s="5">
        <f>ตัวคูณโรงพยาบาล!D573</f>
        <v>0</v>
      </c>
      <c r="E504" s="5">
        <f>ตัวคูณโรงพยาบาล!E573</f>
        <v>0</v>
      </c>
      <c r="F504" s="5">
        <f>ตัวคูณโรงพยาบาล!F573</f>
        <v>0</v>
      </c>
      <c r="G504" s="5">
        <f>ตัวคูณโรงพยาบาล!G573</f>
        <v>0</v>
      </c>
      <c r="H504" s="5">
        <f>ตัวคูณโรงพยาบาล!H573</f>
        <v>0</v>
      </c>
      <c r="I504" s="5">
        <f>ตัวคูณโรงพยาบาล!I573</f>
        <v>0</v>
      </c>
      <c r="J504" s="5">
        <f>ตัวคูณโรงพยาบาล!J573</f>
        <v>6.7895115898843228E-2</v>
      </c>
      <c r="K504" s="5">
        <f>ตัวคูณโรงพยาบาล!K573</f>
        <v>0</v>
      </c>
      <c r="L504" s="5">
        <f t="shared" si="7"/>
        <v>6.7895115898843228E-2</v>
      </c>
    </row>
    <row r="505" spans="1:12" x14ac:dyDescent="0.25">
      <c r="C505" t="s">
        <v>77</v>
      </c>
      <c r="D505" s="5">
        <f>ตัวคูณโรงพยาบาล!D574</f>
        <v>0</v>
      </c>
      <c r="E505" s="5">
        <f>ตัวคูณโรงพยาบาล!E574</f>
        <v>0</v>
      </c>
      <c r="F505" s="5">
        <f>ตัวคูณโรงพยาบาล!F574</f>
        <v>0</v>
      </c>
      <c r="G505" s="5">
        <f>ตัวคูณโรงพยาบาล!G574</f>
        <v>0</v>
      </c>
      <c r="H505" s="5">
        <f>ตัวคูณโรงพยาบาล!H574</f>
        <v>0</v>
      </c>
      <c r="I505" s="5">
        <f>ตัวคูณโรงพยาบาล!I574</f>
        <v>0</v>
      </c>
      <c r="J505" s="5">
        <f>ตัวคูณโรงพยาบาล!J574</f>
        <v>6.7895115898843228E-2</v>
      </c>
      <c r="K505" s="5">
        <f>ตัวคูณโรงพยาบาล!K574</f>
        <v>0</v>
      </c>
      <c r="L505" s="5">
        <f t="shared" si="7"/>
        <v>6.7895115898843228E-2</v>
      </c>
    </row>
    <row r="506" spans="1:12" x14ac:dyDescent="0.25">
      <c r="C506" t="s">
        <v>78</v>
      </c>
      <c r="D506" s="5">
        <f>ตัวคูณโรงพยาบาล!D575</f>
        <v>0</v>
      </c>
      <c r="E506" s="5">
        <f>ตัวคูณโรงพยาบาล!E575</f>
        <v>0</v>
      </c>
      <c r="F506" s="5">
        <f>ตัวคูณโรงพยาบาล!F575</f>
        <v>0</v>
      </c>
      <c r="G506" s="5">
        <f>ตัวคูณโรงพยาบาล!G575</f>
        <v>0</v>
      </c>
      <c r="H506" s="5">
        <f>ตัวคูณโรงพยาบาล!H575</f>
        <v>0</v>
      </c>
      <c r="I506" s="5">
        <f>ตัวคูณโรงพยาบาล!I575</f>
        <v>0</v>
      </c>
      <c r="J506" s="5">
        <f>ตัวคูณโรงพยาบาล!J575</f>
        <v>6.7895115898843228E-2</v>
      </c>
      <c r="K506" s="5">
        <f>ตัวคูณโรงพยาบาล!K575</f>
        <v>0</v>
      </c>
      <c r="L506" s="5">
        <f t="shared" si="7"/>
        <v>6.7895115898843228E-2</v>
      </c>
    </row>
    <row r="507" spans="1:12" x14ac:dyDescent="0.25">
      <c r="C507" t="s">
        <v>79</v>
      </c>
      <c r="D507" s="5">
        <f>ตัวคูณโรงพยาบาล!D576</f>
        <v>0</v>
      </c>
      <c r="E507" s="5">
        <f>ตัวคูณโรงพยาบาล!E576</f>
        <v>0</v>
      </c>
      <c r="F507" s="5">
        <f>ตัวคูณโรงพยาบาล!F576</f>
        <v>0</v>
      </c>
      <c r="G507" s="5">
        <f>ตัวคูณโรงพยาบาล!G576</f>
        <v>0</v>
      </c>
      <c r="H507" s="5">
        <f>ตัวคูณโรงพยาบาล!H576</f>
        <v>0</v>
      </c>
      <c r="I507" s="5">
        <f>ตัวคูณโรงพยาบาล!I576</f>
        <v>0</v>
      </c>
      <c r="J507" s="5">
        <f>ตัวคูณโรงพยาบาล!J576</f>
        <v>6.7895115898843228E-2</v>
      </c>
      <c r="K507" s="5">
        <f>ตัวคูณโรงพยาบาล!K576</f>
        <v>0</v>
      </c>
      <c r="L507" s="5">
        <f t="shared" si="7"/>
        <v>6.7895115898843228E-2</v>
      </c>
    </row>
    <row r="508" spans="1:12" x14ac:dyDescent="0.25">
      <c r="C508" t="s">
        <v>80</v>
      </c>
      <c r="D508" s="5">
        <f>ตัวคูณโรงพยาบาล!D577</f>
        <v>0</v>
      </c>
      <c r="E508" s="5">
        <f>ตัวคูณโรงพยาบาล!E577</f>
        <v>0</v>
      </c>
      <c r="F508" s="5">
        <f>ตัวคูณโรงพยาบาล!F577</f>
        <v>0</v>
      </c>
      <c r="G508" s="5">
        <f>ตัวคูณโรงพยาบาล!G577</f>
        <v>0</v>
      </c>
      <c r="H508" s="5">
        <f>ตัวคูณโรงพยาบาล!H577</f>
        <v>0</v>
      </c>
      <c r="I508" s="5">
        <f>ตัวคูณโรงพยาบาล!I577</f>
        <v>0</v>
      </c>
      <c r="J508" s="5">
        <f>ตัวคูณโรงพยาบาล!J577</f>
        <v>6.7895115898843228E-2</v>
      </c>
      <c r="K508" s="5">
        <f>ตัวคูณโรงพยาบาล!K577</f>
        <v>0</v>
      </c>
      <c r="L508" s="5">
        <f t="shared" si="7"/>
        <v>6.7895115898843228E-2</v>
      </c>
    </row>
    <row r="509" spans="1:12" x14ac:dyDescent="0.25">
      <c r="C509" t="s">
        <v>81</v>
      </c>
      <c r="D509" s="5">
        <f>ตัวคูณโรงพยาบาล!D578</f>
        <v>0</v>
      </c>
      <c r="E509" s="5">
        <f>ตัวคูณโรงพยาบาล!E578</f>
        <v>0</v>
      </c>
      <c r="F509" s="5">
        <f>ตัวคูณโรงพยาบาล!F578</f>
        <v>0</v>
      </c>
      <c r="G509" s="5">
        <f>ตัวคูณโรงพยาบาล!G578</f>
        <v>0</v>
      </c>
      <c r="H509" s="5">
        <f>ตัวคูณโรงพยาบาล!H578</f>
        <v>0</v>
      </c>
      <c r="I509" s="5">
        <f>ตัวคูณโรงพยาบาล!I578</f>
        <v>0</v>
      </c>
      <c r="J509" s="5">
        <f>ตัวคูณโรงพยาบาล!J578</f>
        <v>6.7895115898843228E-2</v>
      </c>
      <c r="K509" s="5">
        <f>ตัวคูณโรงพยาบาล!K578</f>
        <v>0</v>
      </c>
      <c r="L509" s="5">
        <f t="shared" si="7"/>
        <v>6.7895115898843228E-2</v>
      </c>
    </row>
    <row r="510" spans="1:12" x14ac:dyDescent="0.25">
      <c r="C510" t="s">
        <v>82</v>
      </c>
      <c r="D510" s="5">
        <f>ตัวคูณโรงพยาบาล!D579</f>
        <v>0</v>
      </c>
      <c r="E510" s="5">
        <f>ตัวคูณโรงพยาบาล!E579</f>
        <v>0</v>
      </c>
      <c r="F510" s="5">
        <f>ตัวคูณโรงพยาบาล!F579</f>
        <v>0</v>
      </c>
      <c r="G510" s="5">
        <f>ตัวคูณโรงพยาบาล!G579</f>
        <v>0</v>
      </c>
      <c r="H510" s="5">
        <f>ตัวคูณโรงพยาบาล!H579</f>
        <v>0</v>
      </c>
      <c r="I510" s="5">
        <f>ตัวคูณโรงพยาบาล!I579</f>
        <v>0</v>
      </c>
      <c r="J510" s="5">
        <f>ตัวคูณโรงพยาบาล!J579</f>
        <v>6.7895115898843228E-2</v>
      </c>
      <c r="K510" s="5">
        <f>ตัวคูณโรงพยาบาล!K579</f>
        <v>0</v>
      </c>
      <c r="L510" s="5">
        <f t="shared" si="7"/>
        <v>6.7895115898843228E-2</v>
      </c>
    </row>
    <row r="511" spans="1:12" x14ac:dyDescent="0.25">
      <c r="C511" t="s">
        <v>83</v>
      </c>
      <c r="D511" s="5">
        <f>ตัวคูณโรงพยาบาล!D580</f>
        <v>0</v>
      </c>
      <c r="E511" s="5">
        <f>ตัวคูณโรงพยาบาล!E580</f>
        <v>0</v>
      </c>
      <c r="F511" s="5">
        <f>ตัวคูณโรงพยาบาล!F580</f>
        <v>0</v>
      </c>
      <c r="G511" s="5">
        <f>ตัวคูณโรงพยาบาล!G580</f>
        <v>0</v>
      </c>
      <c r="H511" s="5">
        <f>ตัวคูณโรงพยาบาล!H580</f>
        <v>0</v>
      </c>
      <c r="I511" s="5">
        <f>ตัวคูณโรงพยาบาล!I580</f>
        <v>0</v>
      </c>
      <c r="J511" s="5">
        <f>ตัวคูณโรงพยาบาล!J580</f>
        <v>6.7895115898843228E-2</v>
      </c>
      <c r="K511" s="5">
        <f>ตัวคูณโรงพยาบาล!K580</f>
        <v>0</v>
      </c>
      <c r="L511" s="5">
        <f t="shared" si="7"/>
        <v>6.7895115898843228E-2</v>
      </c>
    </row>
    <row r="512" spans="1:12" x14ac:dyDescent="0.25">
      <c r="C512" t="s">
        <v>84</v>
      </c>
      <c r="D512" s="5">
        <f>ตัวคูณโรงพยาบาล!D581</f>
        <v>0</v>
      </c>
      <c r="E512" s="5">
        <f>ตัวคูณโรงพยาบาล!E581</f>
        <v>0</v>
      </c>
      <c r="F512" s="5">
        <f>ตัวคูณโรงพยาบาล!F581</f>
        <v>0</v>
      </c>
      <c r="G512" s="5">
        <f>ตัวคูณโรงพยาบาล!G581</f>
        <v>0</v>
      </c>
      <c r="H512" s="5">
        <f>ตัวคูณโรงพยาบาล!H581</f>
        <v>0</v>
      </c>
      <c r="I512" s="5">
        <f>ตัวคูณโรงพยาบาล!I581</f>
        <v>0</v>
      </c>
      <c r="J512" s="5">
        <f>ตัวคูณโรงพยาบาล!J581</f>
        <v>6.7895115898843228E-2</v>
      </c>
      <c r="K512" s="5">
        <f>ตัวคูณโรงพยาบาล!K581</f>
        <v>0</v>
      </c>
      <c r="L512" s="5">
        <f t="shared" si="7"/>
        <v>6.7895115898843228E-2</v>
      </c>
    </row>
    <row r="513" spans="3:12" x14ac:dyDescent="0.25">
      <c r="C513" t="s">
        <v>85</v>
      </c>
      <c r="D513" s="5">
        <f>ตัวคูณโรงพยาบาล!D582</f>
        <v>0</v>
      </c>
      <c r="E513" s="5">
        <f>ตัวคูณโรงพยาบาล!E582</f>
        <v>0</v>
      </c>
      <c r="F513" s="5">
        <f>ตัวคูณโรงพยาบาล!F582</f>
        <v>7.5936421568819075</v>
      </c>
      <c r="G513" s="5">
        <f>ตัวคูณโรงพยาบาล!G582</f>
        <v>0</v>
      </c>
      <c r="H513" s="5">
        <f>ตัวคูณโรงพยาบาล!H582</f>
        <v>0</v>
      </c>
      <c r="I513" s="5">
        <f>ตัวคูณโรงพยาบาล!I582</f>
        <v>0</v>
      </c>
      <c r="J513" s="5">
        <f>ตัวคูณโรงพยาบาล!J582</f>
        <v>6.7895115898843228E-2</v>
      </c>
      <c r="K513" s="5">
        <f>ตัวคูณโรงพยาบาล!K582</f>
        <v>0</v>
      </c>
      <c r="L513" s="5">
        <f t="shared" si="7"/>
        <v>7.6615372727807509</v>
      </c>
    </row>
    <row r="514" spans="3:12" x14ac:dyDescent="0.25">
      <c r="C514" t="s">
        <v>86</v>
      </c>
      <c r="D514" s="5">
        <f>ตัวคูณโรงพยาบาล!D583</f>
        <v>0</v>
      </c>
      <c r="E514" s="5">
        <f>ตัวคูณโรงพยาบาล!E583</f>
        <v>0</v>
      </c>
      <c r="F514" s="5">
        <f>ตัวคูณโรงพยาบาล!F583</f>
        <v>0</v>
      </c>
      <c r="G514" s="5">
        <f>ตัวคูณโรงพยาบาล!G583</f>
        <v>0</v>
      </c>
      <c r="H514" s="5">
        <f>ตัวคูณโรงพยาบาล!H583</f>
        <v>0</v>
      </c>
      <c r="I514" s="5">
        <f>ตัวคูณโรงพยาบาล!I583</f>
        <v>0</v>
      </c>
      <c r="J514" s="5">
        <f>ตัวคูณโรงพยาบาล!J583</f>
        <v>6.7895115898843228E-2</v>
      </c>
      <c r="K514" s="5">
        <f>ตัวคูณโรงพยาบาล!K583</f>
        <v>0</v>
      </c>
      <c r="L514" s="5">
        <f t="shared" si="7"/>
        <v>6.7895115898843228E-2</v>
      </c>
    </row>
    <row r="515" spans="3:12" x14ac:dyDescent="0.25">
      <c r="C515" t="s">
        <v>87</v>
      </c>
      <c r="D515" s="5">
        <f>ตัวคูณโรงพยาบาล!D584</f>
        <v>0</v>
      </c>
      <c r="E515" s="5">
        <f>ตัวคูณโรงพยาบาล!E584</f>
        <v>0</v>
      </c>
      <c r="F515" s="5">
        <f>ตัวคูณโรงพยาบาล!F584</f>
        <v>0</v>
      </c>
      <c r="G515" s="5">
        <f>ตัวคูณโรงพยาบาล!G584</f>
        <v>0</v>
      </c>
      <c r="H515" s="5">
        <f>ตัวคูณโรงพยาบาล!H584</f>
        <v>0</v>
      </c>
      <c r="I515" s="5">
        <f>ตัวคูณโรงพยาบาล!I584</f>
        <v>0</v>
      </c>
      <c r="J515" s="5">
        <f>ตัวคูณโรงพยาบาล!J584</f>
        <v>6.7895115898843228E-2</v>
      </c>
      <c r="K515" s="5">
        <f>ตัวคูณโรงพยาบาล!K584</f>
        <v>0</v>
      </c>
      <c r="L515" s="5">
        <f t="shared" si="7"/>
        <v>6.7895115898843228E-2</v>
      </c>
    </row>
    <row r="516" spans="3:12" x14ac:dyDescent="0.25">
      <c r="C516" t="s">
        <v>88</v>
      </c>
      <c r="D516" s="5">
        <f>ตัวคูณโรงพยาบาล!D585</f>
        <v>0</v>
      </c>
      <c r="E516" s="5">
        <f>ตัวคูณโรงพยาบาล!E585</f>
        <v>0</v>
      </c>
      <c r="F516" s="5">
        <f>ตัวคูณโรงพยาบาล!F585</f>
        <v>4.193416269640986</v>
      </c>
      <c r="G516" s="5">
        <f>ตัวคูณโรงพยาบาล!G585</f>
        <v>6.4364984337621998</v>
      </c>
      <c r="H516" s="5">
        <f>ตัวคูณโรงพยาบาล!H585</f>
        <v>5.7930527885197458</v>
      </c>
      <c r="I516" s="5">
        <f>ตัวคูณโรงพยาบาล!I585</f>
        <v>2.2919992997198877</v>
      </c>
      <c r="J516" s="5">
        <f>ตัวคูณโรงพยาบาล!J585</f>
        <v>6.7895115898843228E-2</v>
      </c>
      <c r="K516" s="5">
        <f>ตัวคูณโรงพยาบาล!K585</f>
        <v>0</v>
      </c>
      <c r="L516" s="5">
        <f t="shared" ref="L516:L579" si="8">SUM(D516:K516)</f>
        <v>18.782861907541662</v>
      </c>
    </row>
    <row r="517" spans="3:12" x14ac:dyDescent="0.25">
      <c r="C517" t="s">
        <v>89</v>
      </c>
      <c r="D517" s="5">
        <f>ตัวคูณโรงพยาบาล!D586</f>
        <v>0</v>
      </c>
      <c r="E517" s="5">
        <f>ตัวคูณโรงพยาบาล!E586</f>
        <v>0</v>
      </c>
      <c r="F517" s="5">
        <f>ตัวคูณโรงพยาบาล!F586</f>
        <v>0</v>
      </c>
      <c r="G517" s="5">
        <f>ตัวคูณโรงพยาบาล!G586</f>
        <v>17.169281573046096</v>
      </c>
      <c r="H517" s="5">
        <f>ตัวคูณโรงพยาบาล!H586</f>
        <v>9.5106820925399536</v>
      </c>
      <c r="I517" s="5">
        <f>ตัวคูณโรงพยาบาล!I586</f>
        <v>2.0373327108621226</v>
      </c>
      <c r="J517" s="5">
        <f>ตัวคูณโรงพยาบาล!J586</f>
        <v>6.7895115898843228E-2</v>
      </c>
      <c r="K517" s="5">
        <f>ตัวคูณโรงพยาบาล!K586</f>
        <v>0</v>
      </c>
      <c r="L517" s="5">
        <f t="shared" si="8"/>
        <v>28.785191492347018</v>
      </c>
    </row>
    <row r="518" spans="3:12" x14ac:dyDescent="0.25">
      <c r="C518" t="s">
        <v>90</v>
      </c>
      <c r="D518" s="5">
        <f>ตัวคูณโรงพยาบาล!D587</f>
        <v>0</v>
      </c>
      <c r="E518" s="5">
        <f>ตัวคูณโรงพยาบาล!E587</f>
        <v>0</v>
      </c>
      <c r="F518" s="5">
        <f>ตัวคูณโรงพยาบาล!F587</f>
        <v>0</v>
      </c>
      <c r="G518" s="5">
        <f>ตัวคูณโรงพยาบาล!G587</f>
        <v>0</v>
      </c>
      <c r="H518" s="5">
        <f>ตัวคูณโรงพยาบาล!H587</f>
        <v>0</v>
      </c>
      <c r="I518" s="5">
        <f>ตัวคูณโรงพยาบาล!I587</f>
        <v>0</v>
      </c>
      <c r="J518" s="5">
        <f>ตัวคูณโรงพยาบาล!J587</f>
        <v>6.7895115898843228E-2</v>
      </c>
      <c r="K518" s="5">
        <f>ตัวคูณโรงพยาบาล!K587</f>
        <v>0</v>
      </c>
      <c r="L518" s="5">
        <f t="shared" si="8"/>
        <v>6.7895115898843228E-2</v>
      </c>
    </row>
    <row r="519" spans="3:12" x14ac:dyDescent="0.25">
      <c r="C519" t="s">
        <v>91</v>
      </c>
      <c r="D519" s="5">
        <f>ตัวคูณโรงพยาบาล!D588</f>
        <v>0</v>
      </c>
      <c r="E519" s="5">
        <f>ตัวคูณโรงพยาบาล!E588</f>
        <v>0</v>
      </c>
      <c r="F519" s="5">
        <f>ตัวคูณโรงพยาบาล!F588</f>
        <v>0</v>
      </c>
      <c r="G519" s="5">
        <f>ตัวคูณโรงพยาบาล!G588</f>
        <v>0</v>
      </c>
      <c r="H519" s="5">
        <f>ตัวคูณโรงพยาบาล!H588</f>
        <v>0</v>
      </c>
      <c r="I519" s="5">
        <f>ตัวคูณโรงพยาบาล!I588</f>
        <v>0</v>
      </c>
      <c r="J519" s="5">
        <f>ตัวคูณโรงพยาบาล!J588</f>
        <v>6.7895115898843228E-2</v>
      </c>
      <c r="K519" s="5">
        <f>ตัวคูณโรงพยาบาล!K588</f>
        <v>0</v>
      </c>
      <c r="L519" s="5">
        <f t="shared" si="8"/>
        <v>6.7895115898843228E-2</v>
      </c>
    </row>
    <row r="520" spans="3:12" x14ac:dyDescent="0.25">
      <c r="C520" t="s">
        <v>92</v>
      </c>
      <c r="D520" s="5">
        <f>ตัวคูณโรงพยาบาล!D589</f>
        <v>0</v>
      </c>
      <c r="E520" s="5">
        <f>ตัวคูณโรงพยาบาล!E589</f>
        <v>0</v>
      </c>
      <c r="F520" s="5">
        <f>ตัวคูณโรงพยาบาล!F589</f>
        <v>0</v>
      </c>
      <c r="G520" s="5">
        <f>ตัวคูณโรงพยาบาล!G589</f>
        <v>0</v>
      </c>
      <c r="H520" s="5">
        <f>ตัวคูณโรงพยาบาล!H589</f>
        <v>0</v>
      </c>
      <c r="I520" s="5">
        <f>ตัวคูณโรงพยาบาล!I589</f>
        <v>0</v>
      </c>
      <c r="J520" s="5">
        <f>ตัวคูณโรงพยาบาล!J589</f>
        <v>6.7895115898843228E-2</v>
      </c>
      <c r="K520" s="5">
        <f>ตัวคูณโรงพยาบาล!K589</f>
        <v>0</v>
      </c>
      <c r="L520" s="5">
        <f t="shared" si="8"/>
        <v>6.7895115898843228E-2</v>
      </c>
    </row>
    <row r="521" spans="3:12" x14ac:dyDescent="0.25">
      <c r="C521" t="s">
        <v>93</v>
      </c>
      <c r="D521" s="5">
        <f>ตัวคูณโรงพยาบาล!D590</f>
        <v>0</v>
      </c>
      <c r="E521" s="5">
        <f>ตัวคูณโรงพยาบาล!E590</f>
        <v>0</v>
      </c>
      <c r="F521" s="5">
        <f>ตัวคูณโรงพยาบาล!F590</f>
        <v>0</v>
      </c>
      <c r="G521" s="5">
        <f>ตัวคูณโรงพยาบาล!G590</f>
        <v>0</v>
      </c>
      <c r="H521" s="5">
        <f>ตัวคูณโรงพยาบาล!H590</f>
        <v>0</v>
      </c>
      <c r="I521" s="5">
        <f>ตัวคูณโรงพยาบาล!I590</f>
        <v>0</v>
      </c>
      <c r="J521" s="5">
        <f>ตัวคูณโรงพยาบาล!J590</f>
        <v>6.7895115898843228E-2</v>
      </c>
      <c r="K521" s="5">
        <f>ตัวคูณโรงพยาบาล!K590</f>
        <v>0</v>
      </c>
      <c r="L521" s="5">
        <f t="shared" si="8"/>
        <v>6.7895115898843228E-2</v>
      </c>
    </row>
    <row r="522" spans="3:12" x14ac:dyDescent="0.25">
      <c r="C522" t="s">
        <v>94</v>
      </c>
      <c r="D522" s="5">
        <f>ตัวคูณโรงพยาบาล!D591</f>
        <v>0</v>
      </c>
      <c r="E522" s="5">
        <f>ตัวคูณโรงพยาบาล!E591</f>
        <v>0</v>
      </c>
      <c r="F522" s="5">
        <f>ตัวคูณโรงพยาบาล!F591</f>
        <v>0</v>
      </c>
      <c r="G522" s="5">
        <f>ตัวคูณโรงพยาบาล!G591</f>
        <v>0</v>
      </c>
      <c r="H522" s="5">
        <f>ตัวคูณโรงพยาบาล!H591</f>
        <v>0</v>
      </c>
      <c r="I522" s="5">
        <f>ตัวคูณโรงพยาบาล!I591</f>
        <v>0</v>
      </c>
      <c r="J522" s="5">
        <f>ตัวคูณโรงพยาบาล!J591</f>
        <v>6.7895115898843228E-2</v>
      </c>
      <c r="K522" s="5">
        <f>ตัวคูณโรงพยาบาล!K591</f>
        <v>0</v>
      </c>
      <c r="L522" s="5">
        <f t="shared" si="8"/>
        <v>6.7895115898843228E-2</v>
      </c>
    </row>
    <row r="523" spans="3:12" x14ac:dyDescent="0.25">
      <c r="C523" t="s">
        <v>95</v>
      </c>
      <c r="D523" s="5">
        <f>ตัวคูณโรงพยาบาล!D592</f>
        <v>0</v>
      </c>
      <c r="E523" s="5">
        <f>ตัวคูณโรงพยาบาล!E592</f>
        <v>0</v>
      </c>
      <c r="F523" s="5">
        <f>ตัวคูณโรงพยาบาล!F592</f>
        <v>0</v>
      </c>
      <c r="G523" s="5">
        <f>ตัวคูณโรงพยาบาล!G592</f>
        <v>0</v>
      </c>
      <c r="H523" s="5">
        <f>ตัวคูณโรงพยาบาล!H592</f>
        <v>0</v>
      </c>
      <c r="I523" s="5">
        <f>ตัวคูณโรงพยาบาล!I592</f>
        <v>0</v>
      </c>
      <c r="J523" s="5">
        <f>ตัวคูณโรงพยาบาล!J592</f>
        <v>6.7895115898843228E-2</v>
      </c>
      <c r="K523" s="5">
        <f>ตัวคูณโรงพยาบาล!K592</f>
        <v>0</v>
      </c>
      <c r="L523" s="5">
        <f t="shared" si="8"/>
        <v>6.7895115898843228E-2</v>
      </c>
    </row>
    <row r="524" spans="3:12" x14ac:dyDescent="0.25">
      <c r="C524" t="s">
        <v>96</v>
      </c>
      <c r="D524" s="5">
        <f>ตัวคูณโรงพยาบาล!D593</f>
        <v>0</v>
      </c>
      <c r="E524" s="5">
        <f>ตัวคูณโรงพยาบาล!E593</f>
        <v>0</v>
      </c>
      <c r="F524" s="5">
        <f>ตัวคูณโรงพยาบาล!F593</f>
        <v>0</v>
      </c>
      <c r="G524" s="5">
        <f>ตัวคูณโรงพยาบาล!G593</f>
        <v>0</v>
      </c>
      <c r="H524" s="5">
        <f>ตัวคูณโรงพยาบาล!H593</f>
        <v>0</v>
      </c>
      <c r="I524" s="5">
        <f>ตัวคูณโรงพยาบาล!I593</f>
        <v>0</v>
      </c>
      <c r="J524" s="5">
        <f>ตัวคูณโรงพยาบาล!J593</f>
        <v>6.7895115898843228E-2</v>
      </c>
      <c r="K524" s="5">
        <f>ตัวคูณโรงพยาบาล!K593</f>
        <v>0</v>
      </c>
      <c r="L524" s="5">
        <f t="shared" si="8"/>
        <v>6.7895115898843228E-2</v>
      </c>
    </row>
    <row r="525" spans="3:12" x14ac:dyDescent="0.25">
      <c r="C525" t="s">
        <v>97</v>
      </c>
      <c r="D525" s="5">
        <f>ตัวคูณโรงพยาบาล!D594</f>
        <v>0</v>
      </c>
      <c r="E525" s="5">
        <f>ตัวคูณโรงพยาบาล!E594</f>
        <v>0</v>
      </c>
      <c r="F525" s="5">
        <f>ตัวคูณโรงพยาบาล!F594</f>
        <v>0</v>
      </c>
      <c r="G525" s="5">
        <f>ตัวคูณโรงพยาบาล!G594</f>
        <v>16.34609318081138</v>
      </c>
      <c r="H525" s="5">
        <f>ตัวคูณโรงพยาบาล!H594</f>
        <v>0</v>
      </c>
      <c r="I525" s="5">
        <f>ตัวคูณโรงพยาบาล!I594</f>
        <v>0</v>
      </c>
      <c r="J525" s="5">
        <f>ตัวคูณโรงพยาบาล!J594</f>
        <v>6.7895115898843228E-2</v>
      </c>
      <c r="K525" s="5">
        <f>ตัวคูณโรงพยาบาล!K594</f>
        <v>0</v>
      </c>
      <c r="L525" s="5">
        <f t="shared" si="8"/>
        <v>16.413988296710222</v>
      </c>
    </row>
    <row r="526" spans="3:12" x14ac:dyDescent="0.25">
      <c r="C526" t="s">
        <v>119</v>
      </c>
      <c r="D526" s="5">
        <f>ตัวคูณโรงพยาบาล!D595</f>
        <v>0</v>
      </c>
      <c r="E526" s="5">
        <f>ตัวคูณโรงพยาบาล!E595</f>
        <v>0</v>
      </c>
      <c r="F526" s="5">
        <f>ตัวคูณโรงพยาบาล!F595</f>
        <v>8.2670584265228939</v>
      </c>
      <c r="G526" s="5">
        <f>ตัวคูณโรงพยาบาล!G595</f>
        <v>0</v>
      </c>
      <c r="H526" s="5">
        <f>ตัวคูณโรงพยาบาล!H595</f>
        <v>2.2117865331488265</v>
      </c>
      <c r="I526" s="5">
        <f>ตัวคูณโรงพยาบาล!I595</f>
        <v>0</v>
      </c>
      <c r="J526" s="5">
        <f>ตัวคูณโรงพยาบาล!J595</f>
        <v>6.7895115898843228E-2</v>
      </c>
      <c r="K526" s="5">
        <f>ตัวคูณโรงพยาบาล!K595</f>
        <v>0</v>
      </c>
      <c r="L526" s="5">
        <f t="shared" si="8"/>
        <v>10.546740075570563</v>
      </c>
    </row>
    <row r="527" spans="3:12" x14ac:dyDescent="0.25">
      <c r="C527" t="s">
        <v>98</v>
      </c>
      <c r="D527" s="5">
        <f>ตัวคูณโรงพยาบาล!D596</f>
        <v>0</v>
      </c>
      <c r="E527" s="5">
        <f>ตัวคูณโรงพยาบาล!E596</f>
        <v>0</v>
      </c>
      <c r="F527" s="5">
        <f>ตัวคูณโรงพยาบาล!F596</f>
        <v>5.8336421568819077</v>
      </c>
      <c r="G527" s="5">
        <f>ตัวคูณโรงพยาบาล!G596</f>
        <v>0</v>
      </c>
      <c r="H527" s="5">
        <f>ตัวคูณโรงพยาบาล!H596</f>
        <v>0</v>
      </c>
      <c r="I527" s="5">
        <f>ตัวคูณโรงพยาบาล!I596</f>
        <v>0</v>
      </c>
      <c r="J527" s="5">
        <f>ตัวคูณโรงพยาบาล!J596</f>
        <v>6.7895115898843228E-2</v>
      </c>
      <c r="K527" s="5">
        <f>ตัวคูณโรงพยาบาล!K596</f>
        <v>0</v>
      </c>
      <c r="L527" s="5">
        <f t="shared" si="8"/>
        <v>5.9015372727807511</v>
      </c>
    </row>
    <row r="528" spans="3:12" x14ac:dyDescent="0.25">
      <c r="C528" t="s">
        <v>99</v>
      </c>
      <c r="D528" s="5">
        <f>ตัวคูณโรงพยาบาล!D597</f>
        <v>0</v>
      </c>
      <c r="E528" s="5">
        <f>ตัวคูณโรงพยาบาล!E597</f>
        <v>0</v>
      </c>
      <c r="F528" s="5">
        <f>ตัวคูณโรงพยาบาล!F597</f>
        <v>0</v>
      </c>
      <c r="G528" s="5">
        <f>ตัวคูณโรงพยาบาล!G597</f>
        <v>0</v>
      </c>
      <c r="H528" s="5">
        <f>ตัวคูณโรงพยาบาล!H597</f>
        <v>0</v>
      </c>
      <c r="I528" s="5">
        <f>ตัวคูณโรงพยาบาล!I597</f>
        <v>0</v>
      </c>
      <c r="J528" s="5">
        <f>ตัวคูณโรงพยาบาล!J597</f>
        <v>6.7895115898843228E-2</v>
      </c>
      <c r="K528" s="5">
        <f>ตัวคูณโรงพยาบาล!K597</f>
        <v>0</v>
      </c>
      <c r="L528" s="5">
        <f t="shared" si="8"/>
        <v>6.7895115898843228E-2</v>
      </c>
    </row>
    <row r="529" spans="1:12" x14ac:dyDescent="0.25">
      <c r="C529" t="s">
        <v>100</v>
      </c>
      <c r="D529" s="5">
        <f>ตัวคูณโรงพยาบาล!D598</f>
        <v>0</v>
      </c>
      <c r="E529" s="5">
        <f>ตัวคูณโรงพยาบาล!E598</f>
        <v>0</v>
      </c>
      <c r="F529" s="5">
        <f>ตัวคูณโรงพยาบาล!F598</f>
        <v>683.6656127704282</v>
      </c>
      <c r="G529" s="5">
        <f>ตัวคูณโรงพยาบาล!G598</f>
        <v>953.12652581193674</v>
      </c>
      <c r="H529" s="5">
        <f>ตัวคูณโรงพยาบาล!H598</f>
        <v>476.02866974243767</v>
      </c>
      <c r="I529" s="5">
        <f>ตัวคูณโรงพยาบาล!I598</f>
        <v>59.064307021102465</v>
      </c>
      <c r="J529" s="5">
        <f>ตัวคูณโรงพยาบาล!J598</f>
        <v>4.4549641432087128</v>
      </c>
      <c r="K529" s="5">
        <f>ตัวคูณโรงพยาบาล!K598</f>
        <v>0</v>
      </c>
      <c r="L529" s="5">
        <f t="shared" si="8"/>
        <v>2176.340079489114</v>
      </c>
    </row>
    <row r="530" spans="1:12" x14ac:dyDescent="0.25">
      <c r="C530" t="s">
        <v>101</v>
      </c>
      <c r="D530" s="5">
        <f>ตัวคูณโรงพยาบาล!D599</f>
        <v>0</v>
      </c>
      <c r="E530" s="5">
        <f>ตัวคูณโรงพยาบาล!E599</f>
        <v>0</v>
      </c>
      <c r="F530" s="5">
        <f>ตัวคูณโรงพยาบาล!F599</f>
        <v>0</v>
      </c>
      <c r="G530" s="5">
        <f>ตัวคูณโรงพยาบาล!G599</f>
        <v>0</v>
      </c>
      <c r="H530" s="5">
        <f>ตัวคูณโรงพยาบาล!H599</f>
        <v>0</v>
      </c>
      <c r="I530" s="5">
        <f>ตัวคูณโรงพยาบาล!I599</f>
        <v>0</v>
      </c>
      <c r="J530" s="5">
        <f>ตัวคูณโรงพยาบาล!J599</f>
        <v>6.7895115898843228E-2</v>
      </c>
      <c r="K530" s="5">
        <f>ตัวคูณโรงพยาบาล!K599</f>
        <v>0</v>
      </c>
      <c r="L530" s="5">
        <f t="shared" si="8"/>
        <v>6.7895115898843228E-2</v>
      </c>
    </row>
    <row r="531" spans="1:12" x14ac:dyDescent="0.25">
      <c r="A531" s="24" t="s">
        <v>115</v>
      </c>
      <c r="B531" s="24" t="s">
        <v>111</v>
      </c>
      <c r="C531" t="s">
        <v>70</v>
      </c>
      <c r="D531" s="5">
        <f>ตัวคูณโรงพยาบาล!D600</f>
        <v>0</v>
      </c>
      <c r="E531" s="5">
        <f>ตัวคูณโรงพยาบาล!E600</f>
        <v>0</v>
      </c>
      <c r="F531" s="5">
        <f>ตัวคูณโรงพยาบาล!F600</f>
        <v>0</v>
      </c>
      <c r="G531" s="5">
        <f>ตัวคูณโรงพยาบาล!G600</f>
        <v>11.756472660359536</v>
      </c>
      <c r="H531" s="5">
        <f>ตัวคูณโรงพยาบาล!H600</f>
        <v>7.0345038211080793</v>
      </c>
      <c r="I531" s="5">
        <f>ตัวคูณโรงพยาบาล!I600</f>
        <v>0</v>
      </c>
      <c r="J531" s="5">
        <f>ตัวคูณโรงพยาบาล!J600</f>
        <v>0</v>
      </c>
      <c r="K531" s="5">
        <f>ตัวคูณโรงพยาบาล!K600</f>
        <v>0</v>
      </c>
      <c r="L531" s="5">
        <f t="shared" si="8"/>
        <v>18.790976481467617</v>
      </c>
    </row>
    <row r="532" spans="1:12" x14ac:dyDescent="0.25">
      <c r="C532" t="s">
        <v>71</v>
      </c>
      <c r="D532" s="5">
        <f>ตัวคูณโรงพยาบาล!D601</f>
        <v>0</v>
      </c>
      <c r="E532" s="5">
        <f>ตัวคูณโรงพยาบาล!E601</f>
        <v>0</v>
      </c>
      <c r="F532" s="5">
        <f>ตัวคูณโรงพยาบาล!F601</f>
        <v>103.0689643422748</v>
      </c>
      <c r="G532" s="5">
        <f>ตัวคูณโรงพยาบาล!G601</f>
        <v>99.837475214369263</v>
      </c>
      <c r="H532" s="5">
        <f>ตัวคูณโรงพยาบาล!H601</f>
        <v>27.248196001850502</v>
      </c>
      <c r="I532" s="5">
        <f>ตัวคูณโรงพยาบาล!I601</f>
        <v>6.4713521264002516</v>
      </c>
      <c r="J532" s="5">
        <f>ตัวคูณโรงพยาบาล!J601</f>
        <v>0</v>
      </c>
      <c r="K532" s="5">
        <f>ตัวคูณโรงพยาบาล!K601</f>
        <v>0</v>
      </c>
      <c r="L532" s="5">
        <f t="shared" si="8"/>
        <v>236.6259876848948</v>
      </c>
    </row>
    <row r="533" spans="1:12" x14ac:dyDescent="0.25">
      <c r="C533" t="s">
        <v>72</v>
      </c>
      <c r="D533" s="5">
        <f>ตัวคูณโรงพยาบาล!D602</f>
        <v>0</v>
      </c>
      <c r="E533" s="5">
        <f>ตัวคูณโรงพยาบาล!E602</f>
        <v>0</v>
      </c>
      <c r="F533" s="5">
        <f>ตัวคูณโรงพยาบาล!F602</f>
        <v>61.252934158635995</v>
      </c>
      <c r="G533" s="5">
        <f>ตัวคูณโรงพยาบาล!G602</f>
        <v>115.65678822240045</v>
      </c>
      <c r="H533" s="5">
        <f>ตัวคูณโรงพยาบาล!H602</f>
        <v>168.36193458929836</v>
      </c>
      <c r="I533" s="5">
        <f>ตัวคูณโรงพยาบาล!I602</f>
        <v>50.084712239263489</v>
      </c>
      <c r="J533" s="5">
        <f>ตัวคูณโรงพยาบาล!J602</f>
        <v>11.621886719230256</v>
      </c>
      <c r="K533" s="5">
        <f>ตัวคูณโรงพยาบาล!K602</f>
        <v>0</v>
      </c>
      <c r="L533" s="5">
        <f t="shared" si="8"/>
        <v>406.9782559288285</v>
      </c>
    </row>
    <row r="534" spans="1:12" x14ac:dyDescent="0.25">
      <c r="C534" t="s">
        <v>73</v>
      </c>
      <c r="D534" s="5">
        <f>ตัวคูณโรงพยาบาล!D603</f>
        <v>0</v>
      </c>
      <c r="E534" s="5">
        <f>ตัวคูณโรงพยาบาล!E603</f>
        <v>0</v>
      </c>
      <c r="F534" s="5">
        <f>ตัวคูณโรงพยาบาล!F603</f>
        <v>11.818100475765426</v>
      </c>
      <c r="G534" s="5">
        <f>ตัวคูณโรงพยาบาล!G603</f>
        <v>14.144784151906165</v>
      </c>
      <c r="H534" s="5">
        <f>ตัวคูณโรงพยาบาล!H603</f>
        <v>9.3425440274587537</v>
      </c>
      <c r="I534" s="5">
        <f>ตัวคูณโรงพยาบาล!I603</f>
        <v>0</v>
      </c>
      <c r="J534" s="5">
        <f>ตัวคูณโรงพยาบาล!J603</f>
        <v>0</v>
      </c>
      <c r="K534" s="5">
        <f>ตัวคูณโรงพยาบาล!K603</f>
        <v>0</v>
      </c>
      <c r="L534" s="5">
        <f t="shared" si="8"/>
        <v>35.305428655130342</v>
      </c>
    </row>
    <row r="535" spans="1:12" x14ac:dyDescent="0.25">
      <c r="C535" t="s">
        <v>74</v>
      </c>
      <c r="D535" s="5">
        <f>ตัวคูณโรงพยาบาล!D604</f>
        <v>0</v>
      </c>
      <c r="E535" s="5">
        <f>ตัวคูณโรงพยาบาล!E604</f>
        <v>0</v>
      </c>
      <c r="F535" s="5">
        <f>ตัวคูณโรงพยาบาล!F604</f>
        <v>9.9974755042003061</v>
      </c>
      <c r="G535" s="5">
        <f>ตัวคูณโรงพยาบาล!G604</f>
        <v>45.078605677164873</v>
      </c>
      <c r="H535" s="5">
        <f>ตัวคูณโรงพยาบาล!H604</f>
        <v>64.317320065237993</v>
      </c>
      <c r="I535" s="5">
        <f>ตัวคูณโรงพยาบาล!I604</f>
        <v>7.9956687124761947</v>
      </c>
      <c r="J535" s="5">
        <f>ตัวคูณโรงพยาบาล!J604</f>
        <v>2.0428571428571427</v>
      </c>
      <c r="K535" s="5">
        <f>ตัวคูณโรงพยาบาล!K604</f>
        <v>0</v>
      </c>
      <c r="L535" s="5">
        <f t="shared" si="8"/>
        <v>129.43192710193651</v>
      </c>
    </row>
    <row r="536" spans="1:12" x14ac:dyDescent="0.25">
      <c r="C536" t="s">
        <v>75</v>
      </c>
      <c r="D536" s="5">
        <f>ตัวคูณโรงพยาบาล!D605</f>
        <v>0</v>
      </c>
      <c r="E536" s="5">
        <f>ตัวคูณโรงพยาบาล!E605</f>
        <v>0</v>
      </c>
      <c r="F536" s="5">
        <f>ตัวคูณโรงพยาบาล!F605</f>
        <v>18.910061400279176</v>
      </c>
      <c r="G536" s="5">
        <f>ตัวคูณโรงพยาบาล!G605</f>
        <v>41.055111912571569</v>
      </c>
      <c r="H536" s="5">
        <f>ตัวคูณโรงพยาบาล!H605</f>
        <v>27.407657346543246</v>
      </c>
      <c r="I536" s="5">
        <f>ตัวคูณโรงพยาบาล!I605</f>
        <v>11.801797934717715</v>
      </c>
      <c r="J536" s="5">
        <f>ตัวคูณโรงพยาบาล!J605</f>
        <v>2.1563492063492062</v>
      </c>
      <c r="K536" s="5">
        <f>ตัวคูณโรงพยาบาล!K605</f>
        <v>0</v>
      </c>
      <c r="L536" s="5">
        <f t="shared" si="8"/>
        <v>101.33097780046091</v>
      </c>
    </row>
    <row r="537" spans="1:12" x14ac:dyDescent="0.25">
      <c r="C537" t="s">
        <v>76</v>
      </c>
      <c r="D537" s="5">
        <f>ตัวคูณโรงพยาบาล!D606</f>
        <v>0</v>
      </c>
      <c r="E537" s="5">
        <f>ตัวคูณโรงพยาบาล!E606</f>
        <v>0</v>
      </c>
      <c r="F537" s="5">
        <f>ตัวคูณโรงพยาบาล!F606</f>
        <v>32.772374509203402</v>
      </c>
      <c r="G537" s="5">
        <f>ตัวคูณโรงพยาบาล!G606</f>
        <v>103.84224865852026</v>
      </c>
      <c r="H537" s="5">
        <f>ตัวคูณโรงพยาบาล!H606</f>
        <v>73.64763717591407</v>
      </c>
      <c r="I537" s="5">
        <f>ตัวคูณโรงพยาบาล!I606</f>
        <v>36.407545087649197</v>
      </c>
      <c r="J537" s="5">
        <f>ตัวคูณโรงพยาบาล!J606</f>
        <v>22.165598835285909</v>
      </c>
      <c r="K537" s="5">
        <f>ตัวคูณโรงพยาบาล!K606</f>
        <v>0</v>
      </c>
      <c r="L537" s="5">
        <f t="shared" si="8"/>
        <v>268.83540426657282</v>
      </c>
    </row>
    <row r="538" spans="1:12" x14ac:dyDescent="0.25">
      <c r="C538" t="s">
        <v>77</v>
      </c>
      <c r="D538" s="5">
        <f>ตัวคูณโรงพยาบาล!D607</f>
        <v>0</v>
      </c>
      <c r="E538" s="5">
        <f>ตัวคูณโรงพยาบาล!E607</f>
        <v>0</v>
      </c>
      <c r="F538" s="5">
        <f>ตัวคูณโรงพยาบาล!F607</f>
        <v>110.47703081161937</v>
      </c>
      <c r="G538" s="5">
        <f>ตัวคูณโรงพยาบาล!G607</f>
        <v>359.60296009067076</v>
      </c>
      <c r="H538" s="5">
        <f>ตัวคูณโรงพยาบาล!H607</f>
        <v>493.63905475973189</v>
      </c>
      <c r="I538" s="5">
        <f>ตัวคูณโรงพยาบาล!I607</f>
        <v>94.926727095830401</v>
      </c>
      <c r="J538" s="5">
        <f>ตัวคูณโรงพยาบาล!J607</f>
        <v>5.2773809523809518</v>
      </c>
      <c r="K538" s="5">
        <f>ตัวคูณโรงพยาบาล!K607</f>
        <v>2.1935345136549351</v>
      </c>
      <c r="L538" s="5">
        <f t="shared" si="8"/>
        <v>1066.1166882238883</v>
      </c>
    </row>
    <row r="539" spans="1:12" x14ac:dyDescent="0.25">
      <c r="C539" t="s">
        <v>78</v>
      </c>
      <c r="D539" s="5">
        <f>ตัวคูณโรงพยาบาล!D608</f>
        <v>0</v>
      </c>
      <c r="E539" s="5">
        <f>ตัวคูณโรงพยาบาล!E608</f>
        <v>0</v>
      </c>
      <c r="F539" s="5">
        <f>ตัวคูณโรงพยาบาล!F608</f>
        <v>48.251922996239543</v>
      </c>
      <c r="G539" s="5">
        <f>ตัวคูณโรงพยาบาล!G608</f>
        <v>108.06552319168645</v>
      </c>
      <c r="H539" s="5">
        <f>ตัวคูณโรงพยาบาล!H608</f>
        <v>63.893657899951727</v>
      </c>
      <c r="I539" s="5">
        <f>ตัวคูณโรงพยาบาล!I608</f>
        <v>8.7208071253933142</v>
      </c>
      <c r="J539" s="5">
        <f>ตัวคูณโรงพยาบาล!J608</f>
        <v>0</v>
      </c>
      <c r="K539" s="5">
        <f>ตัวคูณโรงพยาบาล!K608</f>
        <v>0</v>
      </c>
      <c r="L539" s="5">
        <f t="shared" si="8"/>
        <v>228.93191121327106</v>
      </c>
    </row>
    <row r="540" spans="1:12" x14ac:dyDescent="0.25">
      <c r="C540" t="s">
        <v>79</v>
      </c>
      <c r="D540" s="5">
        <f>ตัวคูณโรงพยาบาล!D609</f>
        <v>0</v>
      </c>
      <c r="E540" s="5">
        <f>ตัวคูณโรงพยาบาล!E609</f>
        <v>0</v>
      </c>
      <c r="F540" s="5">
        <f>ตัวคูณโรงพยาบาล!F609</f>
        <v>20.316559748503881</v>
      </c>
      <c r="G540" s="5">
        <f>ตัวคูณโรงพยาบาล!G609</f>
        <v>70.686480118646244</v>
      </c>
      <c r="H540" s="5">
        <f>ตัวคูณโรงพยาบาล!H609</f>
        <v>145.11642745494359</v>
      </c>
      <c r="I540" s="5">
        <f>ตัวคูณโรงพยาบาล!I609</f>
        <v>109.40307242060351</v>
      </c>
      <c r="J540" s="5">
        <f>ตัวคูณโรงพยาบาล!J609</f>
        <v>37.399145911918872</v>
      </c>
      <c r="K540" s="5">
        <f>ตัวคูณโรงพยาบาล!K609</f>
        <v>2.1935345136549351</v>
      </c>
      <c r="L540" s="5">
        <f t="shared" si="8"/>
        <v>385.11522016827104</v>
      </c>
    </row>
    <row r="541" spans="1:12" x14ac:dyDescent="0.25">
      <c r="C541" t="s">
        <v>80</v>
      </c>
      <c r="D541" s="5">
        <f>ตัวคูณโรงพยาบาล!D610</f>
        <v>0</v>
      </c>
      <c r="E541" s="5">
        <f>ตัวคูณโรงพยาบาล!E610</f>
        <v>0</v>
      </c>
      <c r="F541" s="5">
        <f>ตัวคูณโรงพยาบาล!F610</f>
        <v>58.558156608836661</v>
      </c>
      <c r="G541" s="5">
        <f>ตัวคูณโรงพยาบาล!G610</f>
        <v>191.02438377973476</v>
      </c>
      <c r="H541" s="5">
        <f>ตัวคูณโรงพยาบาล!H610</f>
        <v>162.42672900257364</v>
      </c>
      <c r="I541" s="5">
        <f>ตัวคูณโรงพยาบาล!I610</f>
        <v>48.241700659539426</v>
      </c>
      <c r="J541" s="5">
        <f>ตัวคูณโรงพยาบาล!J610</f>
        <v>3.121031746031746</v>
      </c>
      <c r="K541" s="5">
        <f>ตัวคูณโรงพยาบาล!K610</f>
        <v>0</v>
      </c>
      <c r="L541" s="5">
        <f t="shared" si="8"/>
        <v>463.37200179671623</v>
      </c>
    </row>
    <row r="542" spans="1:12" x14ac:dyDescent="0.25">
      <c r="C542" t="s">
        <v>81</v>
      </c>
      <c r="D542" s="5">
        <f>ตัวคูณโรงพยาบาล!D611</f>
        <v>0</v>
      </c>
      <c r="E542" s="5">
        <f>ตัวคูณโรงพยาบาล!E611</f>
        <v>0</v>
      </c>
      <c r="F542" s="5">
        <f>ตัวคูณโรงพยาบาล!F611</f>
        <v>55.251366037516142</v>
      </c>
      <c r="G542" s="5">
        <f>ตัวคูณโรงพยาบาล!G611</f>
        <v>141.77464018148754</v>
      </c>
      <c r="H542" s="5">
        <f>ตัวคูณโรงพยาบาล!H611</f>
        <v>140.86834787426443</v>
      </c>
      <c r="I542" s="5">
        <f>ตัวคูณโรงพยาบาล!I611</f>
        <v>22.04692164618697</v>
      </c>
      <c r="J542" s="5">
        <f>ตัวคูณโรงพยาบาล!J611</f>
        <v>6.293284629456398</v>
      </c>
      <c r="K542" s="5">
        <f>ตัวคูณโรงพยาบาล!K611</f>
        <v>0</v>
      </c>
      <c r="L542" s="5">
        <f t="shared" si="8"/>
        <v>366.2345603689115</v>
      </c>
    </row>
    <row r="543" spans="1:12" x14ac:dyDescent="0.25">
      <c r="C543" t="s">
        <v>82</v>
      </c>
      <c r="D543" s="5">
        <f>ตัวคูณโรงพยาบาล!D612</f>
        <v>0</v>
      </c>
      <c r="E543" s="5">
        <f>ตัวคูณโรงพยาบาล!E612</f>
        <v>0</v>
      </c>
      <c r="F543" s="5">
        <f>ตัวคูณโรงพยาบาล!F612</f>
        <v>27.50103855625477</v>
      </c>
      <c r="G543" s="5">
        <f>ตัวคูณโรงพยาบาล!G612</f>
        <v>123.51678501201965</v>
      </c>
      <c r="H543" s="5">
        <f>ตัวคูณโรงพยาบาล!H612</f>
        <v>63.728552829103691</v>
      </c>
      <c r="I543" s="5">
        <f>ตัวคูณโรงพยาบาล!I612</f>
        <v>16.36542320704887</v>
      </c>
      <c r="J543" s="5">
        <f>ตัวคูณโรงพยาบาล!J612</f>
        <v>0</v>
      </c>
      <c r="K543" s="5">
        <f>ตัวคูณโรงพยาบาล!K612</f>
        <v>0</v>
      </c>
      <c r="L543" s="5">
        <f t="shared" si="8"/>
        <v>231.11179960442701</v>
      </c>
    </row>
    <row r="544" spans="1:12" x14ac:dyDescent="0.25">
      <c r="C544" t="s">
        <v>83</v>
      </c>
      <c r="D544" s="5">
        <f>ตัวคูณโรงพยาบาล!D613</f>
        <v>0</v>
      </c>
      <c r="E544" s="5">
        <f>ตัวคูณโรงพยาบาล!E613</f>
        <v>0</v>
      </c>
      <c r="F544" s="5">
        <f>ตัวคูณโรงพยาบาล!F613</f>
        <v>23.859788613124529</v>
      </c>
      <c r="G544" s="5">
        <f>ตัวคูณโรงพยาบาล!G613</f>
        <v>37.383067422283212</v>
      </c>
      <c r="H544" s="5">
        <f>ตัวคูณโรงพยาบาล!H613</f>
        <v>17.481989809105482</v>
      </c>
      <c r="I544" s="5">
        <f>ตัวคูณโรงพยาบาล!I613</f>
        <v>2.2494549989930617</v>
      </c>
      <c r="J544" s="5">
        <f>ตัวคูณโรงพยาบาล!J613</f>
        <v>0</v>
      </c>
      <c r="K544" s="5">
        <f>ตัวคูณโรงพยาบาล!K613</f>
        <v>0</v>
      </c>
      <c r="L544" s="5">
        <f t="shared" si="8"/>
        <v>80.974300843506285</v>
      </c>
    </row>
    <row r="545" spans="3:12" x14ac:dyDescent="0.25">
      <c r="C545" t="s">
        <v>84</v>
      </c>
      <c r="D545" s="5">
        <f>ตัวคูณโรงพยาบาล!D614</f>
        <v>0</v>
      </c>
      <c r="E545" s="5">
        <f>ตัวคูณโรงพยาบาล!E614</f>
        <v>0</v>
      </c>
      <c r="F545" s="5">
        <f>ตัวคูณโรงพยาบาล!F614</f>
        <v>26.436347016273807</v>
      </c>
      <c r="G545" s="5">
        <f>ตัวคูณโรงพยาบาล!G614</f>
        <v>56.26703391639807</v>
      </c>
      <c r="H545" s="5">
        <f>ตัวคูณโรงพยาบาล!H614</f>
        <v>38.585501272429724</v>
      </c>
      <c r="I545" s="5">
        <f>ตัวคูณโรงพยาบาล!I614</f>
        <v>11.321314755207013</v>
      </c>
      <c r="J545" s="5">
        <f>ตัวคูณโรงพยาบาล!J614</f>
        <v>0</v>
      </c>
      <c r="K545" s="5">
        <f>ตัวคูณโรงพยาบาล!K614</f>
        <v>0</v>
      </c>
      <c r="L545" s="5">
        <f t="shared" si="8"/>
        <v>132.6101969603086</v>
      </c>
    </row>
    <row r="546" spans="3:12" x14ac:dyDescent="0.25">
      <c r="C546" t="s">
        <v>85</v>
      </c>
      <c r="D546" s="5">
        <f>ตัวคูณโรงพยาบาล!D615</f>
        <v>0</v>
      </c>
      <c r="E546" s="5">
        <f>ตัวคูณโรงพยาบาล!E615</f>
        <v>0</v>
      </c>
      <c r="F546" s="5">
        <f>ตัวคูณโรงพยาบาล!F615</f>
        <v>105.00230526521753</v>
      </c>
      <c r="G546" s="5">
        <f>ตัวคูณโรงพยาบาล!G615</f>
        <v>235.47497219005888</v>
      </c>
      <c r="H546" s="5">
        <f>ตัวคูณโรงพยาบาล!H615</f>
        <v>141.90540158475631</v>
      </c>
      <c r="I546" s="5">
        <f>ตัวคูณโรงพยาบาล!I615</f>
        <v>9.1365750305589835</v>
      </c>
      <c r="J546" s="5">
        <f>ตัวคูณโรงพยาบาล!J615</f>
        <v>5.2718560580278266</v>
      </c>
      <c r="K546" s="5">
        <f>ตัวคูณโรงพยาบาล!K615</f>
        <v>0</v>
      </c>
      <c r="L546" s="5">
        <f t="shared" si="8"/>
        <v>496.79111012861949</v>
      </c>
    </row>
    <row r="547" spans="3:12" x14ac:dyDescent="0.25">
      <c r="C547" t="s">
        <v>86</v>
      </c>
      <c r="D547" s="5">
        <f>ตัวคูณโรงพยาบาล!D616</f>
        <v>0</v>
      </c>
      <c r="E547" s="5">
        <f>ตัวคูณโรงพยาบาล!E616</f>
        <v>0</v>
      </c>
      <c r="F547" s="5">
        <f>ตัวคูณโรงพยาบาล!F616</f>
        <v>364.30333226373267</v>
      </c>
      <c r="G547" s="5">
        <f>ตัวคูณโรงพยาบาล!G616</f>
        <v>470.00677656886921</v>
      </c>
      <c r="H547" s="5">
        <f>ตัวคูณโรงพยาบาล!H616</f>
        <v>336.76730359507815</v>
      </c>
      <c r="I547" s="5">
        <f>ตัวคูณโรงพยาบาล!I616</f>
        <v>56.717852551526313</v>
      </c>
      <c r="J547" s="5">
        <f>ตัวคูณโรงพยาบาล!J616</f>
        <v>21.092949126464433</v>
      </c>
      <c r="K547" s="5">
        <f>ตัวคูณโรงพยาบาล!K616</f>
        <v>5.3870690273098703</v>
      </c>
      <c r="L547" s="5">
        <f t="shared" si="8"/>
        <v>1254.2752831329806</v>
      </c>
    </row>
    <row r="548" spans="3:12" x14ac:dyDescent="0.25">
      <c r="C548" t="s">
        <v>87</v>
      </c>
      <c r="D548" s="5">
        <f>ตัวคูณโรงพยาบาล!D617</f>
        <v>0</v>
      </c>
      <c r="E548" s="5">
        <f>ตัวคูณโรงพยาบาล!E617</f>
        <v>0</v>
      </c>
      <c r="F548" s="5">
        <f>ตัวคูณโรงพยาบาล!F617</f>
        <v>8.3802401260883865</v>
      </c>
      <c r="G548" s="5">
        <f>ตัวคูณโรงพยาบาล!G617</f>
        <v>20.831251458388124</v>
      </c>
      <c r="H548" s="5">
        <f>ตัวคูณโรงพยาบาล!H617</f>
        <v>21.054433320687554</v>
      </c>
      <c r="I548" s="5">
        <f>ตัวคูณโรงพยาบาล!I617</f>
        <v>0</v>
      </c>
      <c r="J548" s="5">
        <f>ตัวคูณโรงพยาบาล!J617</f>
        <v>0</v>
      </c>
      <c r="K548" s="5">
        <f>ตัวคูณโรงพยาบาล!K617</f>
        <v>0</v>
      </c>
      <c r="L548" s="5">
        <f t="shared" si="8"/>
        <v>50.26592490516407</v>
      </c>
    </row>
    <row r="549" spans="3:12" x14ac:dyDescent="0.25">
      <c r="C549" t="s">
        <v>88</v>
      </c>
      <c r="D549" s="5">
        <f>ตัวคูณโรงพยาบาล!D618</f>
        <v>0</v>
      </c>
      <c r="E549" s="5">
        <f>ตัวคูณโรงพยาบาล!E618</f>
        <v>0</v>
      </c>
      <c r="F549" s="5">
        <f>ตัวคูณโรงพยาบาล!F618</f>
        <v>199.36391754602818</v>
      </c>
      <c r="G549" s="5">
        <f>ตัวคูณโรงพยาบาล!G618</f>
        <v>273.82966991985722</v>
      </c>
      <c r="H549" s="5">
        <f>ตัวคูณโรงพยาบาล!H618</f>
        <v>186.4695428603921</v>
      </c>
      <c r="I549" s="5">
        <f>ตัวคูณโรงพยาบาล!I618</f>
        <v>55.138145177002031</v>
      </c>
      <c r="J549" s="5">
        <f>ตัวคูณโรงพยาบาล!J618</f>
        <v>5.2718560580278266</v>
      </c>
      <c r="K549" s="5">
        <f>ตัวคูณโรงพยาบาล!K618</f>
        <v>4.3870690273098703</v>
      </c>
      <c r="L549" s="5">
        <f t="shared" si="8"/>
        <v>724.46020058861723</v>
      </c>
    </row>
    <row r="550" spans="3:12" x14ac:dyDescent="0.25">
      <c r="C550" t="s">
        <v>89</v>
      </c>
      <c r="D550" s="5">
        <f>ตัวคูณโรงพยาบาล!D619</f>
        <v>0</v>
      </c>
      <c r="E550" s="5">
        <f>ตัวคูณโรงพยาบาล!E619</f>
        <v>0</v>
      </c>
      <c r="F550" s="5">
        <f>ตัวคูณโรงพยาบาล!F619</f>
        <v>9.2415420726161486</v>
      </c>
      <c r="G550" s="5">
        <f>ตัวคูณโรงพยาบาล!G619</f>
        <v>16.035908154852578</v>
      </c>
      <c r="H550" s="5">
        <f>ตัวคูณโรงพยาบาล!H619</f>
        <v>1.1540201031753368</v>
      </c>
      <c r="I550" s="5">
        <f>ตัวคูณโรงพยาบาล!I619</f>
        <v>5.3304458083174628</v>
      </c>
      <c r="J550" s="5">
        <f>ตัวคูณโรงพยาบาล!J619</f>
        <v>0</v>
      </c>
      <c r="K550" s="5">
        <f>ตัวคูณโรงพยาบาล!K619</f>
        <v>0</v>
      </c>
      <c r="L550" s="5">
        <f t="shared" si="8"/>
        <v>31.761916138961528</v>
      </c>
    </row>
    <row r="551" spans="3:12" x14ac:dyDescent="0.25">
      <c r="C551" t="s">
        <v>90</v>
      </c>
      <c r="D551" s="5">
        <f>ตัวคูณโรงพยาบาล!D620</f>
        <v>0</v>
      </c>
      <c r="E551" s="5">
        <f>ตัวคูณโรงพยาบาล!E620</f>
        <v>0</v>
      </c>
      <c r="F551" s="5">
        <f>ตัวคูณโรงพยาบาล!F620</f>
        <v>0</v>
      </c>
      <c r="G551" s="5">
        <f>ตัวคูณโรงพยาบาล!G620</f>
        <v>0</v>
      </c>
      <c r="H551" s="5">
        <f>ตัวคูณโรงพยาบาล!H620</f>
        <v>0</v>
      </c>
      <c r="I551" s="5">
        <f>ตัวคูณโรงพยาบาล!I620</f>
        <v>0</v>
      </c>
      <c r="J551" s="5">
        <f>ตัวคูณโรงพยาบาล!J620</f>
        <v>0</v>
      </c>
      <c r="K551" s="5">
        <f>ตัวคูณโรงพยาบาล!K620</f>
        <v>0</v>
      </c>
      <c r="L551" s="5">
        <f t="shared" si="8"/>
        <v>0</v>
      </c>
    </row>
    <row r="552" spans="3:12" x14ac:dyDescent="0.25">
      <c r="C552" t="s">
        <v>91</v>
      </c>
      <c r="D552" s="5">
        <f>ตัวคูณโรงพยาบาล!D621</f>
        <v>0</v>
      </c>
      <c r="E552" s="5">
        <f>ตัวคูณโรงพยาบาล!E621</f>
        <v>0</v>
      </c>
      <c r="F552" s="5">
        <f>ตัวคูณโรงพยาบาล!F621</f>
        <v>0</v>
      </c>
      <c r="G552" s="5">
        <f>ตัวคูณโรงพยาบาล!G621</f>
        <v>0</v>
      </c>
      <c r="H552" s="5">
        <f>ตัวคูณโรงพยาบาล!H621</f>
        <v>2.9402418589663712</v>
      </c>
      <c r="I552" s="5">
        <f>ตัวคูณโรงพยาบาล!I621</f>
        <v>0</v>
      </c>
      <c r="J552" s="5">
        <f>ตัวคูณโรงพยาบาล!J621</f>
        <v>0</v>
      </c>
      <c r="K552" s="5">
        <f>ตัวคูณโรงพยาบาล!K621</f>
        <v>0</v>
      </c>
      <c r="L552" s="5">
        <f t="shared" si="8"/>
        <v>2.9402418589663712</v>
      </c>
    </row>
    <row r="553" spans="3:12" x14ac:dyDescent="0.25">
      <c r="C553" t="s">
        <v>92</v>
      </c>
      <c r="D553" s="5">
        <f>ตัวคูณโรงพยาบาล!D622</f>
        <v>0</v>
      </c>
      <c r="E553" s="5">
        <f>ตัวคูณโรงพยาบาล!E622</f>
        <v>0</v>
      </c>
      <c r="F553" s="5">
        <f>ตัวคูณโรงพยาบาล!F622</f>
        <v>0</v>
      </c>
      <c r="G553" s="5">
        <f>ตัวคูณโรงพยาบาล!G622</f>
        <v>0</v>
      </c>
      <c r="H553" s="5">
        <f>ตัวคูณโรงพยาบาล!H622</f>
        <v>0</v>
      </c>
      <c r="I553" s="5">
        <f>ตัวคูณโรงพยาบาล!I622</f>
        <v>0</v>
      </c>
      <c r="J553" s="5">
        <f>ตัวคูณโรงพยาบาล!J622</f>
        <v>0</v>
      </c>
      <c r="K553" s="5">
        <f>ตัวคูณโรงพยาบาล!K622</f>
        <v>0</v>
      </c>
      <c r="L553" s="5">
        <f t="shared" si="8"/>
        <v>0</v>
      </c>
    </row>
    <row r="554" spans="3:12" x14ac:dyDescent="0.25">
      <c r="C554" t="s">
        <v>93</v>
      </c>
      <c r="D554" s="5">
        <f>ตัวคูณโรงพยาบาล!D623</f>
        <v>0</v>
      </c>
      <c r="E554" s="5">
        <f>ตัวคูณโรงพยาบาล!E623</f>
        <v>0</v>
      </c>
      <c r="F554" s="5">
        <f>ตัวคูณโรงพยาบาล!F623</f>
        <v>0</v>
      </c>
      <c r="G554" s="5">
        <f>ตัวคูณโรงพยาบาล!G623</f>
        <v>0</v>
      </c>
      <c r="H554" s="5">
        <f>ตัวคูณโรงพยาบาล!H623</f>
        <v>0</v>
      </c>
      <c r="I554" s="5">
        <f>ตัวคูณโรงพยาบาล!I623</f>
        <v>0</v>
      </c>
      <c r="J554" s="5">
        <f>ตัวคูณโรงพยาบาล!J623</f>
        <v>0</v>
      </c>
      <c r="K554" s="5">
        <f>ตัวคูณโรงพยาบาล!K623</f>
        <v>0</v>
      </c>
      <c r="L554" s="5">
        <f t="shared" si="8"/>
        <v>0</v>
      </c>
    </row>
    <row r="555" spans="3:12" x14ac:dyDescent="0.25">
      <c r="C555" t="s">
        <v>94</v>
      </c>
      <c r="D555" s="5">
        <f>ตัวคูณโรงพยาบาล!D624</f>
        <v>0</v>
      </c>
      <c r="E555" s="5">
        <f>ตัวคูณโรงพยาบาล!E624</f>
        <v>0</v>
      </c>
      <c r="F555" s="5">
        <f>ตัวคูณโรงพยาบาล!F624</f>
        <v>0</v>
      </c>
      <c r="G555" s="5">
        <f>ตัวคูณโรงพยาบาล!G624</f>
        <v>0</v>
      </c>
      <c r="H555" s="5">
        <f>ตัวคูณโรงพยาบาล!H624</f>
        <v>0</v>
      </c>
      <c r="I555" s="5">
        <f>ตัวคูณโรงพยาบาล!I624</f>
        <v>0</v>
      </c>
      <c r="J555" s="5">
        <f>ตัวคูณโรงพยาบาล!J624</f>
        <v>0</v>
      </c>
      <c r="K555" s="5">
        <f>ตัวคูณโรงพยาบาล!K624</f>
        <v>0</v>
      </c>
      <c r="L555" s="5">
        <f t="shared" si="8"/>
        <v>0</v>
      </c>
    </row>
    <row r="556" spans="3:12" x14ac:dyDescent="0.25">
      <c r="C556" t="s">
        <v>95</v>
      </c>
      <c r="D556" s="5">
        <f>ตัวคูณโรงพยาบาล!D625</f>
        <v>0</v>
      </c>
      <c r="E556" s="5">
        <f>ตัวคูณโรงพยาบาล!E625</f>
        <v>0</v>
      </c>
      <c r="F556" s="5">
        <f>ตัวคูณโรงพยาบาล!F625</f>
        <v>0</v>
      </c>
      <c r="G556" s="5">
        <f>ตัวคูณโรงพยาบาล!G625</f>
        <v>0</v>
      </c>
      <c r="H556" s="5">
        <f>ตัวคูณโรงพยาบาล!H625</f>
        <v>0</v>
      </c>
      <c r="I556" s="5">
        <f>ตัวคูณโรงพยาบาล!I625</f>
        <v>0</v>
      </c>
      <c r="J556" s="5">
        <f>ตัวคูณโรงพยาบาล!J625</f>
        <v>0</v>
      </c>
      <c r="K556" s="5">
        <f>ตัวคูณโรงพยาบาล!K625</f>
        <v>0</v>
      </c>
      <c r="L556" s="5">
        <f t="shared" si="8"/>
        <v>0</v>
      </c>
    </row>
    <row r="557" spans="3:12" x14ac:dyDescent="0.25">
      <c r="C557" t="s">
        <v>96</v>
      </c>
      <c r="D557" s="5">
        <f>ตัวคูณโรงพยาบาล!D626</f>
        <v>0</v>
      </c>
      <c r="E557" s="5">
        <f>ตัวคูณโรงพยาบาล!E626</f>
        <v>0</v>
      </c>
      <c r="F557" s="5">
        <f>ตัวคูณโรงพยาบาล!F626</f>
        <v>6.6649836694668698</v>
      </c>
      <c r="G557" s="5">
        <f>ตัวคูณโรงพยาบาล!G626</f>
        <v>3.1227203896043019</v>
      </c>
      <c r="H557" s="5">
        <f>ตัวคูณโรงพยาบาล!H626</f>
        <v>2.9402418589663712</v>
      </c>
      <c r="I557" s="5">
        <f>ตัวคูณโรงพยาบาล!I626</f>
        <v>5.3304458083174628</v>
      </c>
      <c r="J557" s="5">
        <f>ตัวคูณโรงพยาบาล!J626</f>
        <v>0</v>
      </c>
      <c r="K557" s="5">
        <f>ตัวคูณโรงพยาบาล!K626</f>
        <v>0</v>
      </c>
      <c r="L557" s="5">
        <f t="shared" si="8"/>
        <v>18.058391726355005</v>
      </c>
    </row>
    <row r="558" spans="3:12" x14ac:dyDescent="0.25">
      <c r="C558" t="s">
        <v>97</v>
      </c>
      <c r="D558" s="5">
        <f>ตัวคูณโรงพยาบาล!D627</f>
        <v>0</v>
      </c>
      <c r="E558" s="5">
        <f>ตัวคูณโรงพยาบาล!E627</f>
        <v>0</v>
      </c>
      <c r="F558" s="5">
        <f>ตัวคูณโรงพยาบาล!F627</f>
        <v>0</v>
      </c>
      <c r="G558" s="5">
        <f>ตัวคูณโรงพยาบาล!G627</f>
        <v>0</v>
      </c>
      <c r="H558" s="5">
        <f>ตัวคูณโรงพยาบาล!H627</f>
        <v>2.9402418589663712</v>
      </c>
      <c r="I558" s="5">
        <f>ตัวคูณโรงพยาบาล!I627</f>
        <v>0</v>
      </c>
      <c r="J558" s="5">
        <f>ตัวคูณโรงพยาบาล!J627</f>
        <v>0</v>
      </c>
      <c r="K558" s="5">
        <f>ตัวคูณโรงพยาบาล!K627</f>
        <v>0</v>
      </c>
      <c r="L558" s="5">
        <f t="shared" si="8"/>
        <v>2.9402418589663712</v>
      </c>
    </row>
    <row r="559" spans="3:12" x14ac:dyDescent="0.25">
      <c r="C559" t="s">
        <v>98</v>
      </c>
      <c r="D559" s="5">
        <f>ตัวคูณโรงพยาบาล!D628</f>
        <v>0</v>
      </c>
      <c r="E559" s="5">
        <f>ตัวคูณโรงพยาบาล!E628</f>
        <v>0</v>
      </c>
      <c r="F559" s="5">
        <f>ตัวคูณโรงพยาบาล!F628</f>
        <v>0</v>
      </c>
      <c r="G559" s="5">
        <f>ตัวคูณโรงพยาบาล!G628</f>
        <v>3.5824672373199458</v>
      </c>
      <c r="H559" s="5">
        <f>ตัวคูณโรงพยาบาล!H628</f>
        <v>2.9402418589663712</v>
      </c>
      <c r="I559" s="5">
        <f>ตัวคูณโรงพยาบาล!I628</f>
        <v>0</v>
      </c>
      <c r="J559" s="5">
        <f>ตัวคูณโรงพยาบาล!J628</f>
        <v>0</v>
      </c>
      <c r="K559" s="5">
        <f>ตัวคูณโรงพยาบาล!K628</f>
        <v>0</v>
      </c>
      <c r="L559" s="5">
        <f t="shared" si="8"/>
        <v>6.5227090962863166</v>
      </c>
    </row>
    <row r="560" spans="3:12" x14ac:dyDescent="0.25">
      <c r="C560" t="s">
        <v>119</v>
      </c>
      <c r="D560" s="5">
        <f>ตัวคูณโรงพยาบาล!D629</f>
        <v>0</v>
      </c>
      <c r="E560" s="5">
        <f>ตัวคูณโรงพยาบาล!E629</f>
        <v>0</v>
      </c>
      <c r="F560" s="5">
        <f>ตัวคูณโรงพยาบาล!F629</f>
        <v>0</v>
      </c>
      <c r="G560" s="5">
        <f>ตัวคูณโรงพยาบาล!G629</f>
        <v>0</v>
      </c>
      <c r="H560" s="5">
        <f>ตัวคูณโรงพยาบาล!H629</f>
        <v>0</v>
      </c>
      <c r="I560" s="5">
        <f>ตัวคูณโรงพยาบาล!I629</f>
        <v>0</v>
      </c>
      <c r="J560" s="5">
        <f>ตัวคูณโรงพยาบาล!J629</f>
        <v>0</v>
      </c>
      <c r="K560" s="5">
        <f>ตัวคูณโรงพยาบาล!K629</f>
        <v>0</v>
      </c>
      <c r="L560" s="5">
        <f t="shared" si="8"/>
        <v>0</v>
      </c>
    </row>
    <row r="561" spans="1:12" x14ac:dyDescent="0.25">
      <c r="C561" t="s">
        <v>99</v>
      </c>
      <c r="D561" s="5">
        <f>ตัวคูณโรงพยาบาล!D630</f>
        <v>0</v>
      </c>
      <c r="E561" s="5">
        <f>ตัวคูณโรงพยาบาล!E630</f>
        <v>0</v>
      </c>
      <c r="F561" s="5">
        <f>ตัวคูณโรงพยาบาล!F630</f>
        <v>13.75694459398062</v>
      </c>
      <c r="G561" s="5">
        <f>ตัวคูณโรงพยาบาล!G630</f>
        <v>16.054628475294866</v>
      </c>
      <c r="H561" s="5">
        <f>ตัวคูณโรงพยาบาล!H630</f>
        <v>8.1394457816467298</v>
      </c>
      <c r="I561" s="5">
        <f>ตัวคูณโรงพยาบาล!I630</f>
        <v>2.6652229041587314</v>
      </c>
      <c r="J561" s="5">
        <f>ตัวคูณโรงพยาบาล!J630</f>
        <v>0</v>
      </c>
      <c r="K561" s="5">
        <f>ตัวคูณโรงพยาบาล!K630</f>
        <v>0</v>
      </c>
      <c r="L561" s="5">
        <f t="shared" si="8"/>
        <v>40.616241755080949</v>
      </c>
    </row>
    <row r="562" spans="1:12" x14ac:dyDescent="0.25">
      <c r="C562" t="s">
        <v>100</v>
      </c>
      <c r="D562" s="5">
        <f>ตัวคูณโรงพยาบาล!D631</f>
        <v>0</v>
      </c>
      <c r="E562" s="5">
        <f>ตัวคูณโรงพยาบาล!E631</f>
        <v>0</v>
      </c>
      <c r="F562" s="5">
        <f>ตัวคูณโรงพยาบาล!F631</f>
        <v>0</v>
      </c>
      <c r="G562" s="5">
        <f>ตัวคูณโรงพยาบาล!G631</f>
        <v>6.7051876269242481</v>
      </c>
      <c r="H562" s="5">
        <f>ตัวคูณโรงพยาบาล!H631</f>
        <v>2.9402418589663712</v>
      </c>
      <c r="I562" s="5">
        <f>ตัวคูณโรงพยาบาล!I631</f>
        <v>0</v>
      </c>
      <c r="J562" s="5">
        <f>ตัวคูณโรงพยาบาล!J631</f>
        <v>0</v>
      </c>
      <c r="K562" s="5">
        <f>ตัวคูณโรงพยาบาล!K631</f>
        <v>0</v>
      </c>
      <c r="L562" s="5">
        <f t="shared" si="8"/>
        <v>9.6454294858906202</v>
      </c>
    </row>
    <row r="563" spans="1:12" x14ac:dyDescent="0.25">
      <c r="C563" t="s">
        <v>101</v>
      </c>
      <c r="D563" s="5">
        <f>ตัวคูณโรงพยาบาล!D632</f>
        <v>0</v>
      </c>
      <c r="E563" s="5">
        <f>ตัวคูณโรงพยาบาล!E632</f>
        <v>0</v>
      </c>
      <c r="F563" s="5">
        <f>ตัวคูณโรงพยาบาล!F632</f>
        <v>71.888123947770396</v>
      </c>
      <c r="G563" s="5">
        <f>ตัวคูณโรงพยาบาล!G632</f>
        <v>103.69460450203124</v>
      </c>
      <c r="H563" s="5">
        <f>ตัวคูณโรงพยาบาล!H632</f>
        <v>55.1220104656893</v>
      </c>
      <c r="I563" s="5">
        <f>ตัวคูณโรงพยาบาล!I632</f>
        <v>5.3304458083174628</v>
      </c>
      <c r="J563" s="5">
        <f>ตัวคูณโรงพยาบาล!J632</f>
        <v>2.6359280290139133</v>
      </c>
      <c r="K563" s="5">
        <f>ตัวคูณโรงพยาบาล!K632</f>
        <v>0</v>
      </c>
      <c r="L563" s="5">
        <f t="shared" si="8"/>
        <v>238.6711127528223</v>
      </c>
    </row>
    <row r="564" spans="1:12" x14ac:dyDescent="0.25">
      <c r="A564" s="24" t="s">
        <v>115</v>
      </c>
      <c r="B564" s="24" t="s">
        <v>112</v>
      </c>
      <c r="C564" t="s">
        <v>70</v>
      </c>
      <c r="D564" s="5">
        <f>ตัวคูณโรงพยาบาล!D633</f>
        <v>0</v>
      </c>
      <c r="E564" s="5">
        <f>ตัวคูณโรงพยาบาล!E633</f>
        <v>0</v>
      </c>
      <c r="F564" s="5">
        <f>ตัวคูณโรงพยาบาล!F633</f>
        <v>0</v>
      </c>
      <c r="G564" s="5">
        <f>ตัวคูณโรงพยาบาล!G633</f>
        <v>0</v>
      </c>
      <c r="H564" s="5">
        <f>ตัวคูณโรงพยาบาล!H633</f>
        <v>0</v>
      </c>
      <c r="I564" s="5">
        <f>ตัวคูณโรงพยาบาล!I633</f>
        <v>0</v>
      </c>
      <c r="J564" s="5">
        <f>ตัวคูณโรงพยาบาล!J633</f>
        <v>0</v>
      </c>
      <c r="K564" s="5">
        <f>ตัวคูณโรงพยาบาล!K633</f>
        <v>0</v>
      </c>
      <c r="L564" s="5">
        <f t="shared" si="8"/>
        <v>0</v>
      </c>
    </row>
    <row r="565" spans="1:12" x14ac:dyDescent="0.25">
      <c r="C565" t="s">
        <v>71</v>
      </c>
      <c r="D565" s="5">
        <f>ตัวคูณโรงพยาบาล!D634</f>
        <v>0</v>
      </c>
      <c r="E565" s="5">
        <f>ตัวคูณโรงพยาบาล!E634</f>
        <v>0</v>
      </c>
      <c r="F565" s="5">
        <f>ตัวคูณโรงพยาบาล!F634</f>
        <v>0</v>
      </c>
      <c r="G565" s="5">
        <f>ตัวคูณโรงพยาบาล!G634</f>
        <v>0</v>
      </c>
      <c r="H565" s="5">
        <f>ตัวคูณโรงพยาบาล!H634</f>
        <v>0</v>
      </c>
      <c r="I565" s="5">
        <f>ตัวคูณโรงพยาบาล!I634</f>
        <v>0</v>
      </c>
      <c r="J565" s="5">
        <f>ตัวคูณโรงพยาบาล!J634</f>
        <v>0</v>
      </c>
      <c r="K565" s="5">
        <f>ตัวคูณโรงพยาบาล!K634</f>
        <v>0</v>
      </c>
      <c r="L565" s="5">
        <f t="shared" si="8"/>
        <v>0</v>
      </c>
    </row>
    <row r="566" spans="1:12" x14ac:dyDescent="0.25">
      <c r="C566" t="s">
        <v>72</v>
      </c>
      <c r="D566" s="5">
        <f>ตัวคูณโรงพยาบาล!D635</f>
        <v>0</v>
      </c>
      <c r="E566" s="5">
        <f>ตัวคูณโรงพยาบาล!E635</f>
        <v>0</v>
      </c>
      <c r="F566" s="5">
        <f>ตัวคูณโรงพยาบาล!F635</f>
        <v>0</v>
      </c>
      <c r="G566" s="5">
        <f>ตัวคูณโรงพยาบาล!G635</f>
        <v>0</v>
      </c>
      <c r="H566" s="5">
        <f>ตัวคูณโรงพยาบาล!H635</f>
        <v>0</v>
      </c>
      <c r="I566" s="5">
        <f>ตัวคูณโรงพยาบาล!I635</f>
        <v>0</v>
      </c>
      <c r="J566" s="5">
        <f>ตัวคูณโรงพยาบาล!J635</f>
        <v>0</v>
      </c>
      <c r="K566" s="5">
        <f>ตัวคูณโรงพยาบาล!K635</f>
        <v>0</v>
      </c>
      <c r="L566" s="5">
        <f t="shared" si="8"/>
        <v>0</v>
      </c>
    </row>
    <row r="567" spans="1:12" x14ac:dyDescent="0.25">
      <c r="C567" t="s">
        <v>73</v>
      </c>
      <c r="D567" s="5">
        <f>ตัวคูณโรงพยาบาล!D636</f>
        <v>0</v>
      </c>
      <c r="E567" s="5">
        <f>ตัวคูณโรงพยาบาล!E636</f>
        <v>0</v>
      </c>
      <c r="F567" s="5">
        <f>ตัวคูณโรงพยาบาล!F636</f>
        <v>0</v>
      </c>
      <c r="G567" s="5">
        <f>ตัวคูณโรงพยาบาล!G636</f>
        <v>0</v>
      </c>
      <c r="H567" s="5">
        <f>ตัวคูณโรงพยาบาล!H636</f>
        <v>0</v>
      </c>
      <c r="I567" s="5">
        <f>ตัวคูณโรงพยาบาล!I636</f>
        <v>0</v>
      </c>
      <c r="J567" s="5">
        <f>ตัวคูณโรงพยาบาล!J636</f>
        <v>0</v>
      </c>
      <c r="K567" s="5">
        <f>ตัวคูณโรงพยาบาล!K636</f>
        <v>0</v>
      </c>
      <c r="L567" s="5">
        <f t="shared" si="8"/>
        <v>0</v>
      </c>
    </row>
    <row r="568" spans="1:12" x14ac:dyDescent="0.25">
      <c r="C568" t="s">
        <v>74</v>
      </c>
      <c r="D568" s="5">
        <f>ตัวคูณโรงพยาบาล!D637</f>
        <v>0</v>
      </c>
      <c r="E568" s="5">
        <f>ตัวคูณโรงพยาบาล!E637</f>
        <v>0</v>
      </c>
      <c r="F568" s="5">
        <f>ตัวคูณโรงพยาบาล!F637</f>
        <v>0</v>
      </c>
      <c r="G568" s="5">
        <f>ตัวคูณโรงพยาบาล!G637</f>
        <v>0</v>
      </c>
      <c r="H568" s="5">
        <f>ตัวคูณโรงพยาบาล!H637</f>
        <v>0</v>
      </c>
      <c r="I568" s="5">
        <f>ตัวคูณโรงพยาบาล!I637</f>
        <v>0</v>
      </c>
      <c r="J568" s="5">
        <f>ตัวคูณโรงพยาบาล!J637</f>
        <v>0</v>
      </c>
      <c r="K568" s="5">
        <f>ตัวคูณโรงพยาบาล!K637</f>
        <v>0</v>
      </c>
      <c r="L568" s="5">
        <f t="shared" si="8"/>
        <v>0</v>
      </c>
    </row>
    <row r="569" spans="1:12" x14ac:dyDescent="0.25">
      <c r="C569" t="s">
        <v>75</v>
      </c>
      <c r="D569" s="5">
        <f>ตัวคูณโรงพยาบาล!D638</f>
        <v>0</v>
      </c>
      <c r="E569" s="5">
        <f>ตัวคูณโรงพยาบาล!E638</f>
        <v>0</v>
      </c>
      <c r="F569" s="5">
        <f>ตัวคูณโรงพยาบาล!F638</f>
        <v>0</v>
      </c>
      <c r="G569" s="5">
        <f>ตัวคูณโรงพยาบาล!G638</f>
        <v>0</v>
      </c>
      <c r="H569" s="5">
        <f>ตัวคูณโรงพยาบาล!H638</f>
        <v>0</v>
      </c>
      <c r="I569" s="5">
        <f>ตัวคูณโรงพยาบาล!I638</f>
        <v>0</v>
      </c>
      <c r="J569" s="5">
        <f>ตัวคูณโรงพยาบาล!J638</f>
        <v>0</v>
      </c>
      <c r="K569" s="5">
        <f>ตัวคูณโรงพยาบาล!K638</f>
        <v>0</v>
      </c>
      <c r="L569" s="5">
        <f t="shared" si="8"/>
        <v>0</v>
      </c>
    </row>
    <row r="570" spans="1:12" x14ac:dyDescent="0.25">
      <c r="C570" t="s">
        <v>76</v>
      </c>
      <c r="D570" s="5">
        <f>ตัวคูณโรงพยาบาล!D639</f>
        <v>0</v>
      </c>
      <c r="E570" s="5">
        <f>ตัวคูณโรงพยาบาล!E639</f>
        <v>0</v>
      </c>
      <c r="F570" s="5">
        <f>ตัวคูณโรงพยาบาล!F639</f>
        <v>0</v>
      </c>
      <c r="G570" s="5">
        <f>ตัวคูณโรงพยาบาล!G639</f>
        <v>0</v>
      </c>
      <c r="H570" s="5">
        <f>ตัวคูณโรงพยาบาล!H639</f>
        <v>0</v>
      </c>
      <c r="I570" s="5">
        <f>ตัวคูณโรงพยาบาล!I639</f>
        <v>0</v>
      </c>
      <c r="J570" s="5">
        <f>ตัวคูณโรงพยาบาล!J639</f>
        <v>0</v>
      </c>
      <c r="K570" s="5">
        <f>ตัวคูณโรงพยาบาล!K639</f>
        <v>0</v>
      </c>
      <c r="L570" s="5">
        <f t="shared" si="8"/>
        <v>0</v>
      </c>
    </row>
    <row r="571" spans="1:12" x14ac:dyDescent="0.25">
      <c r="C571" t="s">
        <v>77</v>
      </c>
      <c r="D571" s="5">
        <f>ตัวคูณโรงพยาบาล!D640</f>
        <v>0</v>
      </c>
      <c r="E571" s="5">
        <f>ตัวคูณโรงพยาบาล!E640</f>
        <v>0</v>
      </c>
      <c r="F571" s="5">
        <f>ตัวคูณโรงพยาบาล!F640</f>
        <v>0</v>
      </c>
      <c r="G571" s="5">
        <f>ตัวคูณโรงพยาบาล!G640</f>
        <v>0</v>
      </c>
      <c r="H571" s="5">
        <f>ตัวคูณโรงพยาบาล!H640</f>
        <v>0</v>
      </c>
      <c r="I571" s="5">
        <f>ตัวคูณโรงพยาบาล!I640</f>
        <v>0</v>
      </c>
      <c r="J571" s="5">
        <f>ตัวคูณโรงพยาบาล!J640</f>
        <v>0</v>
      </c>
      <c r="K571" s="5">
        <f>ตัวคูณโรงพยาบาล!K640</f>
        <v>0</v>
      </c>
      <c r="L571" s="5">
        <f t="shared" si="8"/>
        <v>0</v>
      </c>
    </row>
    <row r="572" spans="1:12" x14ac:dyDescent="0.25">
      <c r="C572" t="s">
        <v>78</v>
      </c>
      <c r="D572" s="5">
        <f>ตัวคูณโรงพยาบาล!D641</f>
        <v>0</v>
      </c>
      <c r="E572" s="5">
        <f>ตัวคูณโรงพยาบาล!E641</f>
        <v>0</v>
      </c>
      <c r="F572" s="5">
        <f>ตัวคูณโรงพยาบาล!F641</f>
        <v>0</v>
      </c>
      <c r="G572" s="5">
        <f>ตัวคูณโรงพยาบาล!G641</f>
        <v>0</v>
      </c>
      <c r="H572" s="5">
        <f>ตัวคูณโรงพยาบาล!H641</f>
        <v>0</v>
      </c>
      <c r="I572" s="5">
        <f>ตัวคูณโรงพยาบาล!I641</f>
        <v>0</v>
      </c>
      <c r="J572" s="5">
        <f>ตัวคูณโรงพยาบาล!J641</f>
        <v>0</v>
      </c>
      <c r="K572" s="5">
        <f>ตัวคูณโรงพยาบาล!K641</f>
        <v>0</v>
      </c>
      <c r="L572" s="5">
        <f t="shared" si="8"/>
        <v>0</v>
      </c>
    </row>
    <row r="573" spans="1:12" x14ac:dyDescent="0.25">
      <c r="C573" t="s">
        <v>79</v>
      </c>
      <c r="D573" s="5">
        <f>ตัวคูณโรงพยาบาล!D642</f>
        <v>0</v>
      </c>
      <c r="E573" s="5">
        <f>ตัวคูณโรงพยาบาล!E642</f>
        <v>0</v>
      </c>
      <c r="F573" s="5">
        <f>ตัวคูณโรงพยาบาล!F642</f>
        <v>0</v>
      </c>
      <c r="G573" s="5">
        <f>ตัวคูณโรงพยาบาล!G642</f>
        <v>0</v>
      </c>
      <c r="H573" s="5">
        <f>ตัวคูณโรงพยาบาล!H642</f>
        <v>0</v>
      </c>
      <c r="I573" s="5">
        <f>ตัวคูณโรงพยาบาล!I642</f>
        <v>0</v>
      </c>
      <c r="J573" s="5">
        <f>ตัวคูณโรงพยาบาล!J642</f>
        <v>0</v>
      </c>
      <c r="K573" s="5">
        <f>ตัวคูณโรงพยาบาล!K642</f>
        <v>0</v>
      </c>
      <c r="L573" s="5">
        <f t="shared" si="8"/>
        <v>0</v>
      </c>
    </row>
    <row r="574" spans="1:12" x14ac:dyDescent="0.25">
      <c r="C574" t="s">
        <v>80</v>
      </c>
      <c r="D574" s="5">
        <f>ตัวคูณโรงพยาบาล!D643</f>
        <v>0</v>
      </c>
      <c r="E574" s="5">
        <f>ตัวคูณโรงพยาบาล!E643</f>
        <v>0</v>
      </c>
      <c r="F574" s="5">
        <f>ตัวคูณโรงพยาบาล!F643</f>
        <v>0</v>
      </c>
      <c r="G574" s="5">
        <f>ตัวคูณโรงพยาบาล!G643</f>
        <v>0</v>
      </c>
      <c r="H574" s="5">
        <f>ตัวคูณโรงพยาบาล!H643</f>
        <v>0</v>
      </c>
      <c r="I574" s="5">
        <f>ตัวคูณโรงพยาบาล!I643</f>
        <v>0</v>
      </c>
      <c r="J574" s="5">
        <f>ตัวคูณโรงพยาบาล!J643</f>
        <v>0</v>
      </c>
      <c r="K574" s="5">
        <f>ตัวคูณโรงพยาบาล!K643</f>
        <v>0</v>
      </c>
      <c r="L574" s="5">
        <f t="shared" si="8"/>
        <v>0</v>
      </c>
    </row>
    <row r="575" spans="1:12" x14ac:dyDescent="0.25">
      <c r="C575" t="s">
        <v>81</v>
      </c>
      <c r="D575" s="5">
        <f>ตัวคูณโรงพยาบาล!D644</f>
        <v>0</v>
      </c>
      <c r="E575" s="5">
        <f>ตัวคูณโรงพยาบาล!E644</f>
        <v>0</v>
      </c>
      <c r="F575" s="5">
        <f>ตัวคูณโรงพยาบาล!F644</f>
        <v>0</v>
      </c>
      <c r="G575" s="5">
        <f>ตัวคูณโรงพยาบาล!G644</f>
        <v>0</v>
      </c>
      <c r="H575" s="5">
        <f>ตัวคูณโรงพยาบาล!H644</f>
        <v>0</v>
      </c>
      <c r="I575" s="5">
        <f>ตัวคูณโรงพยาบาล!I644</f>
        <v>0</v>
      </c>
      <c r="J575" s="5">
        <f>ตัวคูณโรงพยาบาล!J644</f>
        <v>0</v>
      </c>
      <c r="K575" s="5">
        <f>ตัวคูณโรงพยาบาล!K644</f>
        <v>0</v>
      </c>
      <c r="L575" s="5">
        <f t="shared" si="8"/>
        <v>0</v>
      </c>
    </row>
    <row r="576" spans="1:12" x14ac:dyDescent="0.25">
      <c r="C576" t="s">
        <v>82</v>
      </c>
      <c r="D576" s="5">
        <f>ตัวคูณโรงพยาบาล!D645</f>
        <v>0</v>
      </c>
      <c r="E576" s="5">
        <f>ตัวคูณโรงพยาบาล!E645</f>
        <v>0</v>
      </c>
      <c r="F576" s="5">
        <f>ตัวคูณโรงพยาบาล!F645</f>
        <v>0</v>
      </c>
      <c r="G576" s="5">
        <f>ตัวคูณโรงพยาบาล!G645</f>
        <v>0</v>
      </c>
      <c r="H576" s="5">
        <f>ตัวคูณโรงพยาบาล!H645</f>
        <v>0</v>
      </c>
      <c r="I576" s="5">
        <f>ตัวคูณโรงพยาบาล!I645</f>
        <v>0</v>
      </c>
      <c r="J576" s="5">
        <f>ตัวคูณโรงพยาบาล!J645</f>
        <v>0</v>
      </c>
      <c r="K576" s="5">
        <f>ตัวคูณโรงพยาบาล!K645</f>
        <v>0</v>
      </c>
      <c r="L576" s="5">
        <f t="shared" si="8"/>
        <v>0</v>
      </c>
    </row>
    <row r="577" spans="3:12" x14ac:dyDescent="0.25">
      <c r="C577" t="s">
        <v>83</v>
      </c>
      <c r="D577" s="5">
        <f>ตัวคูณโรงพยาบาล!D646</f>
        <v>0</v>
      </c>
      <c r="E577" s="5">
        <f>ตัวคูณโรงพยาบาล!E646</f>
        <v>0</v>
      </c>
      <c r="F577" s="5">
        <f>ตัวคูณโรงพยาบาล!F646</f>
        <v>0</v>
      </c>
      <c r="G577" s="5">
        <f>ตัวคูณโรงพยาบาล!G646</f>
        <v>0</v>
      </c>
      <c r="H577" s="5">
        <f>ตัวคูณโรงพยาบาล!H646</f>
        <v>0</v>
      </c>
      <c r="I577" s="5">
        <f>ตัวคูณโรงพยาบาล!I646</f>
        <v>0</v>
      </c>
      <c r="J577" s="5">
        <f>ตัวคูณโรงพยาบาล!J646</f>
        <v>0</v>
      </c>
      <c r="K577" s="5">
        <f>ตัวคูณโรงพยาบาล!K646</f>
        <v>0</v>
      </c>
      <c r="L577" s="5">
        <f t="shared" si="8"/>
        <v>0</v>
      </c>
    </row>
    <row r="578" spans="3:12" x14ac:dyDescent="0.25">
      <c r="C578" t="s">
        <v>84</v>
      </c>
      <c r="D578" s="5">
        <f>ตัวคูณโรงพยาบาล!D647</f>
        <v>0</v>
      </c>
      <c r="E578" s="5">
        <f>ตัวคูณโรงพยาบาล!E647</f>
        <v>0</v>
      </c>
      <c r="F578" s="5">
        <f>ตัวคูณโรงพยาบาล!F647</f>
        <v>0</v>
      </c>
      <c r="G578" s="5">
        <f>ตัวคูณโรงพยาบาล!G647</f>
        <v>0</v>
      </c>
      <c r="H578" s="5">
        <f>ตัวคูณโรงพยาบาล!H647</f>
        <v>0</v>
      </c>
      <c r="I578" s="5">
        <f>ตัวคูณโรงพยาบาล!I647</f>
        <v>0</v>
      </c>
      <c r="J578" s="5">
        <f>ตัวคูณโรงพยาบาล!J647</f>
        <v>0</v>
      </c>
      <c r="K578" s="5">
        <f>ตัวคูณโรงพยาบาล!K647</f>
        <v>0</v>
      </c>
      <c r="L578" s="5">
        <f t="shared" si="8"/>
        <v>0</v>
      </c>
    </row>
    <row r="579" spans="3:12" x14ac:dyDescent="0.25">
      <c r="C579" t="s">
        <v>85</v>
      </c>
      <c r="D579" s="5">
        <f>ตัวคูณโรงพยาบาล!D648</f>
        <v>0</v>
      </c>
      <c r="E579" s="5">
        <f>ตัวคูณโรงพยาบาล!E648</f>
        <v>0</v>
      </c>
      <c r="F579" s="5">
        <f>ตัวคูณโรงพยาบาล!F648</f>
        <v>0</v>
      </c>
      <c r="G579" s="5">
        <f>ตัวคูณโรงพยาบาล!G648</f>
        <v>0</v>
      </c>
      <c r="H579" s="5">
        <f>ตัวคูณโรงพยาบาล!H648</f>
        <v>0</v>
      </c>
      <c r="I579" s="5">
        <f>ตัวคูณโรงพยาบาล!I648</f>
        <v>0</v>
      </c>
      <c r="J579" s="5">
        <f>ตัวคูณโรงพยาบาล!J648</f>
        <v>0</v>
      </c>
      <c r="K579" s="5">
        <f>ตัวคูณโรงพยาบาล!K648</f>
        <v>0</v>
      </c>
      <c r="L579" s="5">
        <f t="shared" si="8"/>
        <v>0</v>
      </c>
    </row>
    <row r="580" spans="3:12" x14ac:dyDescent="0.25">
      <c r="C580" t="s">
        <v>86</v>
      </c>
      <c r="D580" s="5">
        <f>ตัวคูณโรงพยาบาล!D649</f>
        <v>0</v>
      </c>
      <c r="E580" s="5">
        <f>ตัวคูณโรงพยาบาล!E649</f>
        <v>0</v>
      </c>
      <c r="F580" s="5">
        <f>ตัวคูณโรงพยาบาล!F649</f>
        <v>0</v>
      </c>
      <c r="G580" s="5">
        <f>ตัวคูณโรงพยาบาล!G649</f>
        <v>2.2320115536433431</v>
      </c>
      <c r="H580" s="5">
        <f>ตัวคูณโรงพยาบาล!H649</f>
        <v>0</v>
      </c>
      <c r="I580" s="5">
        <f>ตัวคูณโรงพยาบาล!I649</f>
        <v>0</v>
      </c>
      <c r="J580" s="5">
        <f>ตัวคูณโรงพยาบาล!J649</f>
        <v>0</v>
      </c>
      <c r="K580" s="5">
        <f>ตัวคูณโรงพยาบาล!K649</f>
        <v>0</v>
      </c>
      <c r="L580" s="5">
        <f t="shared" ref="L580:L643" si="9">SUM(D580:K580)</f>
        <v>2.2320115536433431</v>
      </c>
    </row>
    <row r="581" spans="3:12" x14ac:dyDescent="0.25">
      <c r="C581" t="s">
        <v>87</v>
      </c>
      <c r="D581" s="5">
        <f>ตัวคูณโรงพยาบาล!D650</f>
        <v>0</v>
      </c>
      <c r="E581" s="5">
        <f>ตัวคูณโรงพยาบาล!E650</f>
        <v>0</v>
      </c>
      <c r="F581" s="5">
        <f>ตัวคูณโรงพยาบาล!F650</f>
        <v>0</v>
      </c>
      <c r="G581" s="5">
        <f>ตัวคูณโรงพยาบาล!G650</f>
        <v>0</v>
      </c>
      <c r="H581" s="5">
        <f>ตัวคูณโรงพยาบาล!H650</f>
        <v>0</v>
      </c>
      <c r="I581" s="5">
        <f>ตัวคูณโรงพยาบาล!I650</f>
        <v>0</v>
      </c>
      <c r="J581" s="5">
        <f>ตัวคูณโรงพยาบาล!J650</f>
        <v>0</v>
      </c>
      <c r="K581" s="5">
        <f>ตัวคูณโรงพยาบาล!K650</f>
        <v>0</v>
      </c>
      <c r="L581" s="5">
        <f t="shared" si="9"/>
        <v>0</v>
      </c>
    </row>
    <row r="582" spans="3:12" x14ac:dyDescent="0.25">
      <c r="C582" t="s">
        <v>88</v>
      </c>
      <c r="D582" s="5">
        <f>ตัวคูณโรงพยาบาล!D651</f>
        <v>0</v>
      </c>
      <c r="E582" s="5">
        <f>ตัวคูณโรงพยาบาล!E651</f>
        <v>0</v>
      </c>
      <c r="F582" s="5">
        <f>ตัวคูณโรงพยาบาล!F651</f>
        <v>0</v>
      </c>
      <c r="G582" s="5">
        <f>ตัวคูณโรงพยาบาล!G651</f>
        <v>0</v>
      </c>
      <c r="H582" s="5">
        <f>ตัวคูณโรงพยาบาล!H651</f>
        <v>0</v>
      </c>
      <c r="I582" s="5">
        <f>ตัวคูณโรงพยาบาล!I651</f>
        <v>0</v>
      </c>
      <c r="J582" s="5">
        <f>ตัวคูณโรงพยาบาล!J651</f>
        <v>0</v>
      </c>
      <c r="K582" s="5">
        <f>ตัวคูณโรงพยาบาล!K651</f>
        <v>0</v>
      </c>
      <c r="L582" s="5">
        <f t="shared" si="9"/>
        <v>0</v>
      </c>
    </row>
    <row r="583" spans="3:12" x14ac:dyDescent="0.25">
      <c r="C583" t="s">
        <v>89</v>
      </c>
      <c r="D583" s="5">
        <f>ตัวคูณโรงพยาบาล!D652</f>
        <v>0</v>
      </c>
      <c r="E583" s="5">
        <f>ตัวคูณโรงพยาบาล!E652</f>
        <v>0</v>
      </c>
      <c r="F583" s="5">
        <f>ตัวคูณโรงพยาบาล!F652</f>
        <v>3.2240760723112269</v>
      </c>
      <c r="G583" s="5">
        <f>ตัวคูณโรงพยาบาล!G652</f>
        <v>0</v>
      </c>
      <c r="H583" s="5">
        <f>ตัวคูณโรงพยาบาล!H652</f>
        <v>0</v>
      </c>
      <c r="I583" s="5">
        <f>ตัวคูณโรงพยาบาล!I652</f>
        <v>0</v>
      </c>
      <c r="J583" s="5">
        <f>ตัวคูณโรงพยาบาล!J652</f>
        <v>0</v>
      </c>
      <c r="K583" s="5">
        <f>ตัวคูณโรงพยาบาล!K652</f>
        <v>0</v>
      </c>
      <c r="L583" s="5">
        <f t="shared" si="9"/>
        <v>3.2240760723112269</v>
      </c>
    </row>
    <row r="584" spans="3:12" x14ac:dyDescent="0.25">
      <c r="C584" t="s">
        <v>90</v>
      </c>
      <c r="D584" s="5">
        <f>ตัวคูณโรงพยาบาล!D653</f>
        <v>0</v>
      </c>
      <c r="E584" s="5">
        <f>ตัวคูณโรงพยาบาล!E653</f>
        <v>0</v>
      </c>
      <c r="F584" s="5">
        <f>ตัวคูณโรงพยาบาล!F653</f>
        <v>0</v>
      </c>
      <c r="G584" s="5">
        <f>ตัวคูณโรงพยาบาล!G653</f>
        <v>0</v>
      </c>
      <c r="H584" s="5">
        <f>ตัวคูณโรงพยาบาล!H653</f>
        <v>0</v>
      </c>
      <c r="I584" s="5">
        <f>ตัวคูณโรงพยาบาล!I653</f>
        <v>0</v>
      </c>
      <c r="J584" s="5">
        <f>ตัวคูณโรงพยาบาล!J653</f>
        <v>0</v>
      </c>
      <c r="K584" s="5">
        <f>ตัวคูณโรงพยาบาล!K653</f>
        <v>0</v>
      </c>
      <c r="L584" s="5">
        <f t="shared" si="9"/>
        <v>0</v>
      </c>
    </row>
    <row r="585" spans="3:12" x14ac:dyDescent="0.25">
      <c r="C585" t="s">
        <v>91</v>
      </c>
      <c r="D585" s="5">
        <f>ตัวคูณโรงพยาบาล!D654</f>
        <v>0</v>
      </c>
      <c r="E585" s="5">
        <f>ตัวคูณโรงพยาบาล!E654</f>
        <v>0</v>
      </c>
      <c r="F585" s="5">
        <f>ตัวคูณโรงพยาบาล!F654</f>
        <v>0</v>
      </c>
      <c r="G585" s="5">
        <f>ตัวคูณโรงพยาบาล!G654</f>
        <v>0</v>
      </c>
      <c r="H585" s="5">
        <f>ตัวคูณโรงพยาบาล!H654</f>
        <v>0</v>
      </c>
      <c r="I585" s="5">
        <f>ตัวคูณโรงพยาบาล!I654</f>
        <v>0</v>
      </c>
      <c r="J585" s="5">
        <f>ตัวคูณโรงพยาบาล!J654</f>
        <v>0</v>
      </c>
      <c r="K585" s="5">
        <f>ตัวคูณโรงพยาบาล!K654</f>
        <v>0</v>
      </c>
      <c r="L585" s="5">
        <f t="shared" si="9"/>
        <v>0</v>
      </c>
    </row>
    <row r="586" spans="3:12" x14ac:dyDescent="0.25">
      <c r="C586" t="s">
        <v>92</v>
      </c>
      <c r="D586" s="5">
        <f>ตัวคูณโรงพยาบาล!D655</f>
        <v>0</v>
      </c>
      <c r="E586" s="5">
        <f>ตัวคูณโรงพยาบาล!E655</f>
        <v>0</v>
      </c>
      <c r="F586" s="5">
        <f>ตัวคูณโรงพยาบาล!F655</f>
        <v>0</v>
      </c>
      <c r="G586" s="5">
        <f>ตัวคูณโรงพยาบาล!G655</f>
        <v>0</v>
      </c>
      <c r="H586" s="5">
        <f>ตัวคูณโรงพยาบาล!H655</f>
        <v>0</v>
      </c>
      <c r="I586" s="5">
        <f>ตัวคูณโรงพยาบาล!I655</f>
        <v>0</v>
      </c>
      <c r="J586" s="5">
        <f>ตัวคูณโรงพยาบาล!J655</f>
        <v>0</v>
      </c>
      <c r="K586" s="5">
        <f>ตัวคูณโรงพยาบาล!K655</f>
        <v>0</v>
      </c>
      <c r="L586" s="5">
        <f t="shared" si="9"/>
        <v>0</v>
      </c>
    </row>
    <row r="587" spans="3:12" x14ac:dyDescent="0.25">
      <c r="C587" t="s">
        <v>93</v>
      </c>
      <c r="D587" s="5">
        <f>ตัวคูณโรงพยาบาล!D656</f>
        <v>0</v>
      </c>
      <c r="E587" s="5">
        <f>ตัวคูณโรงพยาบาล!E656</f>
        <v>0</v>
      </c>
      <c r="F587" s="5">
        <f>ตัวคูณโรงพยาบาล!F656</f>
        <v>0</v>
      </c>
      <c r="G587" s="5">
        <f>ตัวคูณโรงพยาบาล!G656</f>
        <v>0</v>
      </c>
      <c r="H587" s="5">
        <f>ตัวคูณโรงพยาบาล!H656</f>
        <v>0</v>
      </c>
      <c r="I587" s="5">
        <f>ตัวคูณโรงพยาบาล!I656</f>
        <v>0</v>
      </c>
      <c r="J587" s="5">
        <f>ตัวคูณโรงพยาบาล!J656</f>
        <v>0</v>
      </c>
      <c r="K587" s="5">
        <f>ตัวคูณโรงพยาบาล!K656</f>
        <v>0</v>
      </c>
      <c r="L587" s="5">
        <f t="shared" si="9"/>
        <v>0</v>
      </c>
    </row>
    <row r="588" spans="3:12" x14ac:dyDescent="0.25">
      <c r="C588" t="s">
        <v>94</v>
      </c>
      <c r="D588" s="5">
        <f>ตัวคูณโรงพยาบาล!D657</f>
        <v>0</v>
      </c>
      <c r="E588" s="5">
        <f>ตัวคูณโรงพยาบาล!E657</f>
        <v>0</v>
      </c>
      <c r="F588" s="5">
        <f>ตัวคูณโรงพยาบาล!F657</f>
        <v>0</v>
      </c>
      <c r="G588" s="5">
        <f>ตัวคูณโรงพยาบาล!G657</f>
        <v>0</v>
      </c>
      <c r="H588" s="5">
        <f>ตัวคูณโรงพยาบาล!H657</f>
        <v>0</v>
      </c>
      <c r="I588" s="5">
        <f>ตัวคูณโรงพยาบาล!I657</f>
        <v>0</v>
      </c>
      <c r="J588" s="5">
        <f>ตัวคูณโรงพยาบาล!J657</f>
        <v>0</v>
      </c>
      <c r="K588" s="5">
        <f>ตัวคูณโรงพยาบาล!K657</f>
        <v>0</v>
      </c>
      <c r="L588" s="5">
        <f t="shared" si="9"/>
        <v>0</v>
      </c>
    </row>
    <row r="589" spans="3:12" x14ac:dyDescent="0.25">
      <c r="C589" t="s">
        <v>95</v>
      </c>
      <c r="D589" s="5">
        <f>ตัวคูณโรงพยาบาล!D658</f>
        <v>0</v>
      </c>
      <c r="E589" s="5">
        <f>ตัวคูณโรงพยาบาล!E658</f>
        <v>0</v>
      </c>
      <c r="F589" s="5">
        <f>ตัวคูณโรงพยาบาล!F658</f>
        <v>0</v>
      </c>
      <c r="G589" s="5">
        <f>ตัวคูณโรงพยาบาล!G658</f>
        <v>0</v>
      </c>
      <c r="H589" s="5">
        <f>ตัวคูณโรงพยาบาล!H658</f>
        <v>0</v>
      </c>
      <c r="I589" s="5">
        <f>ตัวคูณโรงพยาบาล!I658</f>
        <v>0</v>
      </c>
      <c r="J589" s="5">
        <f>ตัวคูณโรงพยาบาล!J658</f>
        <v>0</v>
      </c>
      <c r="K589" s="5">
        <f>ตัวคูณโรงพยาบาล!K658</f>
        <v>0</v>
      </c>
      <c r="L589" s="5">
        <f t="shared" si="9"/>
        <v>0</v>
      </c>
    </row>
    <row r="590" spans="3:12" x14ac:dyDescent="0.25">
      <c r="C590" t="s">
        <v>96</v>
      </c>
      <c r="D590" s="5">
        <f>ตัวคูณโรงพยาบาล!D659</f>
        <v>0</v>
      </c>
      <c r="E590" s="5">
        <f>ตัวคูณโรงพยาบาล!E659</f>
        <v>0</v>
      </c>
      <c r="F590" s="5">
        <f>ตัวคูณโรงพยาบาล!F659</f>
        <v>0</v>
      </c>
      <c r="G590" s="5">
        <f>ตัวคูณโรงพยาบาล!G659</f>
        <v>0</v>
      </c>
      <c r="H590" s="5">
        <f>ตัวคูณโรงพยาบาล!H659</f>
        <v>0</v>
      </c>
      <c r="I590" s="5">
        <f>ตัวคูณโรงพยาบาล!I659</f>
        <v>0</v>
      </c>
      <c r="J590" s="5">
        <f>ตัวคูณโรงพยาบาล!J659</f>
        <v>0</v>
      </c>
      <c r="K590" s="5">
        <f>ตัวคูณโรงพยาบาล!K659</f>
        <v>0</v>
      </c>
      <c r="L590" s="5">
        <f t="shared" si="9"/>
        <v>0</v>
      </c>
    </row>
    <row r="591" spans="3:12" x14ac:dyDescent="0.25">
      <c r="C591" t="s">
        <v>97</v>
      </c>
      <c r="D591" s="5">
        <f>ตัวคูณโรงพยาบาล!D660</f>
        <v>0</v>
      </c>
      <c r="E591" s="5">
        <f>ตัวคูณโรงพยาบาล!E660</f>
        <v>0</v>
      </c>
      <c r="F591" s="5">
        <f>ตัวคูณโรงพยาบาล!F660</f>
        <v>0</v>
      </c>
      <c r="G591" s="5">
        <f>ตัวคูณโรงพยาบาล!G660</f>
        <v>3.2495526681090081</v>
      </c>
      <c r="H591" s="5">
        <f>ตัวคูณโรงพยาบาล!H660</f>
        <v>0</v>
      </c>
      <c r="I591" s="5">
        <f>ตัวคูณโรงพยาบาล!I660</f>
        <v>0</v>
      </c>
      <c r="J591" s="5">
        <f>ตัวคูณโรงพยาบาล!J660</f>
        <v>0</v>
      </c>
      <c r="K591" s="5">
        <f>ตัวคูณโรงพยาบาล!K660</f>
        <v>0</v>
      </c>
      <c r="L591" s="5">
        <f t="shared" si="9"/>
        <v>3.2495526681090081</v>
      </c>
    </row>
    <row r="592" spans="3:12" x14ac:dyDescent="0.25">
      <c r="C592" t="s">
        <v>98</v>
      </c>
      <c r="D592" s="5">
        <f>ตัวคูณโรงพยาบาล!D661</f>
        <v>0</v>
      </c>
      <c r="E592" s="5">
        <f>ตัวคูณโรงพยาบาล!E661</f>
        <v>0</v>
      </c>
      <c r="F592" s="5">
        <f>ตัวคูณโรงพยาบาล!F661</f>
        <v>2.0278468913674876</v>
      </c>
      <c r="G592" s="5">
        <f>ตัวคูณโรงพยาบาล!G661</f>
        <v>16.444692665257058</v>
      </c>
      <c r="H592" s="5">
        <f>ตัวคูณโรงพยาบาล!H661</f>
        <v>11.273647657890892</v>
      </c>
      <c r="I592" s="5">
        <f>ตัวคูณโรงพยาบาล!I661</f>
        <v>2.2344798085371185</v>
      </c>
      <c r="J592" s="5">
        <f>ตัวคูณโรงพยาบาล!J661</f>
        <v>0</v>
      </c>
      <c r="K592" s="5">
        <f>ตัวคูณโรงพยาบาล!K661</f>
        <v>0</v>
      </c>
      <c r="L592" s="5">
        <f t="shared" si="9"/>
        <v>31.980667023052554</v>
      </c>
    </row>
    <row r="593" spans="1:12" x14ac:dyDescent="0.25">
      <c r="C593" t="s">
        <v>119</v>
      </c>
      <c r="D593" s="5">
        <f>ตัวคูณโรงพยาบาล!D662</f>
        <v>0</v>
      </c>
      <c r="E593" s="5">
        <f>ตัวคูณโรงพยาบาล!E662</f>
        <v>0</v>
      </c>
      <c r="F593" s="5">
        <f>ตัวคูณโรงพยาบาล!F662</f>
        <v>1.0139234456837438</v>
      </c>
      <c r="G593" s="5">
        <f>ตัวคูณโรงพยาบาล!G662</f>
        <v>1.017541114465665</v>
      </c>
      <c r="H593" s="5">
        <f>ตัวคูณโรงพยาบาล!H662</f>
        <v>1.5261327078726903</v>
      </c>
      <c r="I593" s="5">
        <f>ตัวคูณโรงพยาบาล!I662</f>
        <v>0</v>
      </c>
      <c r="J593" s="5">
        <f>ตัวคูณโรงพยาบาล!J662</f>
        <v>0</v>
      </c>
      <c r="K593" s="5">
        <f>ตัวคูณโรงพยาบาล!K662</f>
        <v>0</v>
      </c>
      <c r="L593" s="5">
        <f t="shared" si="9"/>
        <v>3.5575972680220991</v>
      </c>
    </row>
    <row r="594" spans="1:12" x14ac:dyDescent="0.25">
      <c r="C594" t="s">
        <v>99</v>
      </c>
      <c r="D594" s="5">
        <f>ตัวคูณโรงพยาบาล!D663</f>
        <v>0</v>
      </c>
      <c r="E594" s="5">
        <f>ตัวคูณโรงพยาบาล!E663</f>
        <v>0</v>
      </c>
      <c r="F594" s="5">
        <f>ตัวคูณโรงพยาบาล!F663</f>
        <v>0</v>
      </c>
      <c r="G594" s="5">
        <f>ตัวคูณโรงพยาบาล!G663</f>
        <v>0</v>
      </c>
      <c r="H594" s="5">
        <f>ตัวคูณโรงพยาบาล!H663</f>
        <v>0</v>
      </c>
      <c r="I594" s="5">
        <f>ตัวคูณโรงพยาบาล!I663</f>
        <v>0</v>
      </c>
      <c r="J594" s="5">
        <f>ตัวคูณโรงพยาบาล!J663</f>
        <v>0</v>
      </c>
      <c r="K594" s="5">
        <f>ตัวคูณโรงพยาบาล!K663</f>
        <v>0</v>
      </c>
      <c r="L594" s="5">
        <f t="shared" si="9"/>
        <v>0</v>
      </c>
    </row>
    <row r="595" spans="1:12" x14ac:dyDescent="0.25">
      <c r="C595" t="s">
        <v>100</v>
      </c>
      <c r="D595" s="5">
        <f>ตัวคูณโรงพยาบาล!D664</f>
        <v>0</v>
      </c>
      <c r="E595" s="5">
        <f>ตัวคูณโรงพยาบาล!E664</f>
        <v>0</v>
      </c>
      <c r="F595" s="5">
        <f>ตัวคูณโรงพยาบาล!F664</f>
        <v>0</v>
      </c>
      <c r="G595" s="5">
        <f>ตัวคูณโรงพยาบาล!G664</f>
        <v>1.017541114465665</v>
      </c>
      <c r="H595" s="5">
        <f>ตัวคูณโรงพยาบาล!H664</f>
        <v>0</v>
      </c>
      <c r="I595" s="5">
        <f>ตัวคูณโรงพยาบาล!I664</f>
        <v>0</v>
      </c>
      <c r="J595" s="5">
        <f>ตัวคูณโรงพยาบาล!J664</f>
        <v>0</v>
      </c>
      <c r="K595" s="5">
        <f>ตัวคูณโรงพยาบาล!K664</f>
        <v>0</v>
      </c>
      <c r="L595" s="5">
        <f t="shared" si="9"/>
        <v>1.017541114465665</v>
      </c>
    </row>
    <row r="596" spans="1:12" x14ac:dyDescent="0.25">
      <c r="C596" t="s">
        <v>101</v>
      </c>
      <c r="D596" s="5">
        <f>ตัวคูณโรงพยาบาล!D665</f>
        <v>0</v>
      </c>
      <c r="E596" s="5">
        <f>ตัวคูณโรงพยาบาล!E665</f>
        <v>0</v>
      </c>
      <c r="F596" s="5">
        <f>ตัวคูณโรงพยาบาล!F665</f>
        <v>0</v>
      </c>
      <c r="G596" s="5">
        <f>ตัวคูณโรงพยาบาล!G665</f>
        <v>0</v>
      </c>
      <c r="H596" s="5">
        <f>ตัวคูณโรงพยาบาล!H665</f>
        <v>0</v>
      </c>
      <c r="I596" s="5">
        <f>ตัวคูณโรงพยาบาล!I665</f>
        <v>0</v>
      </c>
      <c r="J596" s="5">
        <f>ตัวคูณโรงพยาบาล!J665</f>
        <v>0</v>
      </c>
      <c r="K596" s="5">
        <f>ตัวคูณโรงพยาบาล!K665</f>
        <v>0</v>
      </c>
      <c r="L596" s="5">
        <f t="shared" si="9"/>
        <v>0</v>
      </c>
    </row>
    <row r="597" spans="1:12" x14ac:dyDescent="0.25">
      <c r="A597" s="24" t="s">
        <v>115</v>
      </c>
      <c r="B597" s="24" t="s">
        <v>113</v>
      </c>
      <c r="C597" t="s">
        <v>70</v>
      </c>
      <c r="D597" s="5">
        <f>ตัวคูณโรงพยาบาล!D666</f>
        <v>0</v>
      </c>
      <c r="E597" s="5">
        <f>ตัวคูณโรงพยาบาล!E666</f>
        <v>0</v>
      </c>
      <c r="F597" s="5">
        <f>ตัวคูณโรงพยาบาล!F666</f>
        <v>0.26229121527154953</v>
      </c>
      <c r="G597" s="5">
        <f>ตัวคูณโรงพยาบาล!G666</f>
        <v>3.083457922623228E-2</v>
      </c>
      <c r="H597" s="5">
        <f>ตัวคูณโรงพยาบาล!H666</f>
        <v>0</v>
      </c>
      <c r="I597" s="5">
        <f>ตัวคูณโรงพยาบาล!I666</f>
        <v>6.771150934960965E-2</v>
      </c>
      <c r="J597" s="5">
        <f>ตัวคูณโรงพยาบาล!J666</f>
        <v>0</v>
      </c>
      <c r="K597" s="5">
        <f>ตัวคูณโรงพยาบาล!K666</f>
        <v>0</v>
      </c>
      <c r="L597" s="5">
        <f t="shared" si="9"/>
        <v>0.36083730384739143</v>
      </c>
    </row>
    <row r="598" spans="1:12" x14ac:dyDescent="0.25">
      <c r="C598" t="s">
        <v>71</v>
      </c>
      <c r="D598" s="5">
        <f>ตัวคูณโรงพยาบาล!D667</f>
        <v>0</v>
      </c>
      <c r="E598" s="5">
        <f>ตัวคูณโรงพยาบาล!E667</f>
        <v>0</v>
      </c>
      <c r="F598" s="5">
        <f>ตัวคูณโรงพยาบาล!F667</f>
        <v>0.26229121527154953</v>
      </c>
      <c r="G598" s="5">
        <f>ตัวคูณโรงพยาบาล!G667</f>
        <v>3.083457922623228E-2</v>
      </c>
      <c r="H598" s="5">
        <f>ตัวคูณโรงพยาบาล!H667</f>
        <v>0</v>
      </c>
      <c r="I598" s="5">
        <f>ตัวคูณโรงพยาบาล!I667</f>
        <v>6.771150934960965E-2</v>
      </c>
      <c r="J598" s="5">
        <f>ตัวคูณโรงพยาบาล!J667</f>
        <v>0</v>
      </c>
      <c r="K598" s="5">
        <f>ตัวคูณโรงพยาบาล!K667</f>
        <v>0</v>
      </c>
      <c r="L598" s="5">
        <f t="shared" si="9"/>
        <v>0.36083730384739143</v>
      </c>
    </row>
    <row r="599" spans="1:12" x14ac:dyDescent="0.25">
      <c r="C599" t="s">
        <v>72</v>
      </c>
      <c r="D599" s="5">
        <f>ตัวคูณโรงพยาบาล!D668</f>
        <v>0</v>
      </c>
      <c r="E599" s="5">
        <f>ตัวคูณโรงพยาบาล!E668</f>
        <v>0</v>
      </c>
      <c r="F599" s="5">
        <f>ตัวคูณโรงพยาบาล!F668</f>
        <v>0.26229121527154953</v>
      </c>
      <c r="G599" s="5">
        <f>ตัวคูณโรงพยาบาล!G668</f>
        <v>3.083457922623228E-2</v>
      </c>
      <c r="H599" s="5">
        <f>ตัวคูณโรงพยาบาล!H668</f>
        <v>0</v>
      </c>
      <c r="I599" s="5">
        <f>ตัวคูณโรงพยาบาล!I668</f>
        <v>6.771150934960965E-2</v>
      </c>
      <c r="J599" s="5">
        <f>ตัวคูณโรงพยาบาล!J668</f>
        <v>0</v>
      </c>
      <c r="K599" s="5">
        <f>ตัวคูณโรงพยาบาล!K668</f>
        <v>0</v>
      </c>
      <c r="L599" s="5">
        <f t="shared" si="9"/>
        <v>0.36083730384739143</v>
      </c>
    </row>
    <row r="600" spans="1:12" x14ac:dyDescent="0.25">
      <c r="C600" t="s">
        <v>73</v>
      </c>
      <c r="D600" s="5">
        <f>ตัวคูณโรงพยาบาล!D669</f>
        <v>0</v>
      </c>
      <c r="E600" s="5">
        <f>ตัวคูณโรงพยาบาล!E669</f>
        <v>0</v>
      </c>
      <c r="F600" s="5">
        <f>ตัวคูณโรงพยาบาล!F669</f>
        <v>0.26229121527154953</v>
      </c>
      <c r="G600" s="5">
        <f>ตัวคูณโรงพยาบาล!G669</f>
        <v>3.0834579226232282</v>
      </c>
      <c r="H600" s="5">
        <f>ตัวคูณโรงพยาบาล!H669</f>
        <v>0</v>
      </c>
      <c r="I600" s="5">
        <f>ตัวคูณโรงพยาบาล!I669</f>
        <v>6.771150934960965E-2</v>
      </c>
      <c r="J600" s="5">
        <f>ตัวคูณโรงพยาบาล!J669</f>
        <v>0</v>
      </c>
      <c r="K600" s="5">
        <f>ตัวคูณโรงพยาบาล!K669</f>
        <v>0</v>
      </c>
      <c r="L600" s="5">
        <f t="shared" si="9"/>
        <v>3.4134606472443876</v>
      </c>
    </row>
    <row r="601" spans="1:12" x14ac:dyDescent="0.25">
      <c r="C601" t="s">
        <v>74</v>
      </c>
      <c r="D601" s="5">
        <f>ตัวคูณโรงพยาบาล!D670</f>
        <v>0</v>
      </c>
      <c r="E601" s="5">
        <f>ตัวคูณโรงพยาบาล!E670</f>
        <v>0</v>
      </c>
      <c r="F601" s="5">
        <f>ตัวคูณโรงพยาบาล!F670</f>
        <v>0.26229121527154953</v>
      </c>
      <c r="G601" s="5">
        <f>ตัวคูณโรงพยาบาล!G670</f>
        <v>3.083457922623228E-2</v>
      </c>
      <c r="H601" s="5">
        <f>ตัวคูณโรงพยาบาล!H670</f>
        <v>0</v>
      </c>
      <c r="I601" s="5">
        <f>ตัวคูณโรงพยาบาล!I670</f>
        <v>6.771150934960965E-2</v>
      </c>
      <c r="J601" s="5">
        <f>ตัวคูณโรงพยาบาล!J670</f>
        <v>0</v>
      </c>
      <c r="K601" s="5">
        <f>ตัวคูณโรงพยาบาล!K670</f>
        <v>0</v>
      </c>
      <c r="L601" s="5">
        <f t="shared" si="9"/>
        <v>0.36083730384739143</v>
      </c>
    </row>
    <row r="602" spans="1:12" x14ac:dyDescent="0.25">
      <c r="C602" t="s">
        <v>75</v>
      </c>
      <c r="D602" s="5">
        <f>ตัวคูณโรงพยาบาล!D671</f>
        <v>0</v>
      </c>
      <c r="E602" s="5">
        <f>ตัวคูณโรงพยาบาล!E671</f>
        <v>0</v>
      </c>
      <c r="F602" s="5">
        <f>ตัวคูณโรงพยาบาล!F671</f>
        <v>0.26229121527154953</v>
      </c>
      <c r="G602" s="5">
        <f>ตัวคูณโรงพยาบาล!G671</f>
        <v>3.083457922623228E-2</v>
      </c>
      <c r="H602" s="5">
        <f>ตัวคูณโรงพยาบาล!H671</f>
        <v>0</v>
      </c>
      <c r="I602" s="5">
        <f>ตัวคูณโรงพยาบาล!I671</f>
        <v>6.771150934960965E-2</v>
      </c>
      <c r="J602" s="5">
        <f>ตัวคูณโรงพยาบาล!J671</f>
        <v>0</v>
      </c>
      <c r="K602" s="5">
        <f>ตัวคูณโรงพยาบาล!K671</f>
        <v>0</v>
      </c>
      <c r="L602" s="5">
        <f t="shared" si="9"/>
        <v>0.36083730384739143</v>
      </c>
    </row>
    <row r="603" spans="1:12" x14ac:dyDescent="0.25">
      <c r="C603" t="s">
        <v>76</v>
      </c>
      <c r="D603" s="5">
        <f>ตัวคูณโรงพยาบาล!D672</f>
        <v>0</v>
      </c>
      <c r="E603" s="5">
        <f>ตัวคูณโรงพยาบาล!E672</f>
        <v>0</v>
      </c>
      <c r="F603" s="5">
        <f>ตัวคูณโรงพยาบาล!F672</f>
        <v>0.26229121527154953</v>
      </c>
      <c r="G603" s="5">
        <f>ตัวคูณโรงพยาบาล!G672</f>
        <v>3.083457922623228E-2</v>
      </c>
      <c r="H603" s="5">
        <f>ตัวคูณโรงพยาบาล!H672</f>
        <v>0</v>
      </c>
      <c r="I603" s="5">
        <f>ตัวคูณโรงพยาบาล!I672</f>
        <v>6.771150934960965E-2</v>
      </c>
      <c r="J603" s="5">
        <f>ตัวคูณโรงพยาบาล!J672</f>
        <v>0</v>
      </c>
      <c r="K603" s="5">
        <f>ตัวคูณโรงพยาบาล!K672</f>
        <v>0</v>
      </c>
      <c r="L603" s="5">
        <f t="shared" si="9"/>
        <v>0.36083730384739143</v>
      </c>
    </row>
    <row r="604" spans="1:12" x14ac:dyDescent="0.25">
      <c r="C604" t="s">
        <v>77</v>
      </c>
      <c r="D604" s="5">
        <f>ตัวคูณโรงพยาบาล!D673</f>
        <v>0</v>
      </c>
      <c r="E604" s="5">
        <f>ตัวคูณโรงพยาบาล!E673</f>
        <v>0</v>
      </c>
      <c r="F604" s="5">
        <f>ตัวคูณโรงพยาบาล!F673</f>
        <v>0.26229121527154953</v>
      </c>
      <c r="G604" s="5">
        <f>ตัวคูณโรงพยาบาล!G673</f>
        <v>3.083457922623228E-2</v>
      </c>
      <c r="H604" s="5">
        <f>ตัวคูณโรงพยาบาล!H673</f>
        <v>0</v>
      </c>
      <c r="I604" s="5">
        <f>ตัวคูณโรงพยาบาล!I673</f>
        <v>6.771150934960965E-2</v>
      </c>
      <c r="J604" s="5">
        <f>ตัวคูณโรงพยาบาล!J673</f>
        <v>0</v>
      </c>
      <c r="K604" s="5">
        <f>ตัวคูณโรงพยาบาล!K673</f>
        <v>0</v>
      </c>
      <c r="L604" s="5">
        <f t="shared" si="9"/>
        <v>0.36083730384739143</v>
      </c>
    </row>
    <row r="605" spans="1:12" x14ac:dyDescent="0.25">
      <c r="C605" t="s">
        <v>78</v>
      </c>
      <c r="D605" s="5">
        <f>ตัวคูณโรงพยาบาล!D674</f>
        <v>0</v>
      </c>
      <c r="E605" s="5">
        <f>ตัวคูณโรงพยาบาล!E674</f>
        <v>0</v>
      </c>
      <c r="F605" s="5">
        <f>ตัวคูณโรงพยาบาล!F674</f>
        <v>0.26229121527154953</v>
      </c>
      <c r="G605" s="5">
        <f>ตัวคูณโรงพยาบาล!G674</f>
        <v>3.083457922623228E-2</v>
      </c>
      <c r="H605" s="5">
        <f>ตัวคูณโรงพยาบาล!H674</f>
        <v>0</v>
      </c>
      <c r="I605" s="5">
        <f>ตัวคูณโรงพยาบาล!I674</f>
        <v>6.771150934960965E-2</v>
      </c>
      <c r="J605" s="5">
        <f>ตัวคูณโรงพยาบาล!J674</f>
        <v>0</v>
      </c>
      <c r="K605" s="5">
        <f>ตัวคูณโรงพยาบาล!K674</f>
        <v>0</v>
      </c>
      <c r="L605" s="5">
        <f t="shared" si="9"/>
        <v>0.36083730384739143</v>
      </c>
    </row>
    <row r="606" spans="1:12" x14ac:dyDescent="0.25">
      <c r="C606" t="s">
        <v>79</v>
      </c>
      <c r="D606" s="5">
        <f>ตัวคูณโรงพยาบาล!D675</f>
        <v>0</v>
      </c>
      <c r="E606" s="5">
        <f>ตัวคูณโรงพยาบาล!E675</f>
        <v>0</v>
      </c>
      <c r="F606" s="5">
        <f>ตัวคูณโรงพยาบาล!F675</f>
        <v>0.26229121527154953</v>
      </c>
      <c r="G606" s="5">
        <f>ตัวคูณโรงพยาบาล!G675</f>
        <v>3.083457922623228E-2</v>
      </c>
      <c r="H606" s="5">
        <f>ตัวคูณโรงพยาบาล!H675</f>
        <v>0</v>
      </c>
      <c r="I606" s="5">
        <f>ตัวคูณโรงพยาบาล!I675</f>
        <v>6.771150934960965E-2</v>
      </c>
      <c r="J606" s="5">
        <f>ตัวคูณโรงพยาบาล!J675</f>
        <v>0</v>
      </c>
      <c r="K606" s="5">
        <f>ตัวคูณโรงพยาบาล!K675</f>
        <v>0</v>
      </c>
      <c r="L606" s="5">
        <f t="shared" si="9"/>
        <v>0.36083730384739143</v>
      </c>
    </row>
    <row r="607" spans="1:12" x14ac:dyDescent="0.25">
      <c r="C607" t="s">
        <v>80</v>
      </c>
      <c r="D607" s="5">
        <f>ตัวคูณโรงพยาบาล!D676</f>
        <v>0</v>
      </c>
      <c r="E607" s="5">
        <f>ตัวคูณโรงพยาบาล!E676</f>
        <v>0</v>
      </c>
      <c r="F607" s="5">
        <f>ตัวคูณโรงพยาบาล!F676</f>
        <v>0.26229121527154953</v>
      </c>
      <c r="G607" s="5">
        <f>ตัวคูณโรงพยาบาล!G676</f>
        <v>3.083457922623228E-2</v>
      </c>
      <c r="H607" s="5">
        <f>ตัวคูณโรงพยาบาล!H676</f>
        <v>0</v>
      </c>
      <c r="I607" s="5">
        <f>ตัวคูณโรงพยาบาล!I676</f>
        <v>6.771150934960965E-2</v>
      </c>
      <c r="J607" s="5">
        <f>ตัวคูณโรงพยาบาล!J676</f>
        <v>0</v>
      </c>
      <c r="K607" s="5">
        <f>ตัวคูณโรงพยาบาล!K676</f>
        <v>0</v>
      </c>
      <c r="L607" s="5">
        <f t="shared" si="9"/>
        <v>0.36083730384739143</v>
      </c>
    </row>
    <row r="608" spans="1:12" x14ac:dyDescent="0.25">
      <c r="C608" t="s">
        <v>81</v>
      </c>
      <c r="D608" s="5">
        <f>ตัวคูณโรงพยาบาล!D677</f>
        <v>0</v>
      </c>
      <c r="E608" s="5">
        <f>ตัวคูณโรงพยาบาล!E677</f>
        <v>0</v>
      </c>
      <c r="F608" s="5">
        <f>ตัวคูณโรงพยาบาล!F677</f>
        <v>0.26229121527154953</v>
      </c>
      <c r="G608" s="5">
        <f>ตัวคูณโรงพยาบาล!G677</f>
        <v>3.083457922623228E-2</v>
      </c>
      <c r="H608" s="5">
        <f>ตัวคูณโรงพยาบาล!H677</f>
        <v>0</v>
      </c>
      <c r="I608" s="5">
        <f>ตัวคูณโรงพยาบาล!I677</f>
        <v>6.771150934960965E-2</v>
      </c>
      <c r="J608" s="5">
        <f>ตัวคูณโรงพยาบาล!J677</f>
        <v>0</v>
      </c>
      <c r="K608" s="5">
        <f>ตัวคูณโรงพยาบาล!K677</f>
        <v>0</v>
      </c>
      <c r="L608" s="5">
        <f t="shared" si="9"/>
        <v>0.36083730384739143</v>
      </c>
    </row>
    <row r="609" spans="3:12" x14ac:dyDescent="0.25">
      <c r="C609" t="s">
        <v>82</v>
      </c>
      <c r="D609" s="5">
        <f>ตัวคูณโรงพยาบาล!D678</f>
        <v>0</v>
      </c>
      <c r="E609" s="5">
        <f>ตัวคูณโรงพยาบาล!E678</f>
        <v>0</v>
      </c>
      <c r="F609" s="5">
        <f>ตัวคูณโรงพยาบาล!F678</f>
        <v>0.26229121527154953</v>
      </c>
      <c r="G609" s="5">
        <f>ตัวคูณโรงพยาบาล!G678</f>
        <v>3.083457922623228E-2</v>
      </c>
      <c r="H609" s="5">
        <f>ตัวคูณโรงพยาบาล!H678</f>
        <v>0</v>
      </c>
      <c r="I609" s="5">
        <f>ตัวคูณโรงพยาบาล!I678</f>
        <v>6.771150934960965E-2</v>
      </c>
      <c r="J609" s="5">
        <f>ตัวคูณโรงพยาบาล!J678</f>
        <v>0</v>
      </c>
      <c r="K609" s="5">
        <f>ตัวคูณโรงพยาบาล!K678</f>
        <v>0</v>
      </c>
      <c r="L609" s="5">
        <f t="shared" si="9"/>
        <v>0.36083730384739143</v>
      </c>
    </row>
    <row r="610" spans="3:12" x14ac:dyDescent="0.25">
      <c r="C610" t="s">
        <v>83</v>
      </c>
      <c r="D610" s="5">
        <f>ตัวคูณโรงพยาบาล!D679</f>
        <v>0</v>
      </c>
      <c r="E610" s="5">
        <f>ตัวคูณโรงพยาบาล!E679</f>
        <v>0</v>
      </c>
      <c r="F610" s="5">
        <f>ตัวคูณโรงพยาบาล!F679</f>
        <v>0.26229121527154953</v>
      </c>
      <c r="G610" s="5">
        <f>ตัวคูณโรงพยาบาล!G679</f>
        <v>3.083457922623228E-2</v>
      </c>
      <c r="H610" s="5">
        <f>ตัวคูณโรงพยาบาล!H679</f>
        <v>0</v>
      </c>
      <c r="I610" s="5">
        <f>ตัวคูณโรงพยาบาล!I679</f>
        <v>6.771150934960965E-2</v>
      </c>
      <c r="J610" s="5">
        <f>ตัวคูณโรงพยาบาล!J679</f>
        <v>0</v>
      </c>
      <c r="K610" s="5">
        <f>ตัวคูณโรงพยาบาล!K679</f>
        <v>0</v>
      </c>
      <c r="L610" s="5">
        <f t="shared" si="9"/>
        <v>0.36083730384739143</v>
      </c>
    </row>
    <row r="611" spans="3:12" x14ac:dyDescent="0.25">
      <c r="C611" t="s">
        <v>84</v>
      </c>
      <c r="D611" s="5">
        <f>ตัวคูณโรงพยาบาล!D680</f>
        <v>0</v>
      </c>
      <c r="E611" s="5">
        <f>ตัวคูณโรงพยาบาล!E680</f>
        <v>0</v>
      </c>
      <c r="F611" s="5">
        <f>ตัวคูณโรงพยาบาล!F680</f>
        <v>0.26229121527154953</v>
      </c>
      <c r="G611" s="5">
        <f>ตัวคูณโรงพยาบาล!G680</f>
        <v>3.083457922623228E-2</v>
      </c>
      <c r="H611" s="5">
        <f>ตัวคูณโรงพยาบาล!H680</f>
        <v>0</v>
      </c>
      <c r="I611" s="5">
        <f>ตัวคูณโรงพยาบาล!I680</f>
        <v>6.771150934960965E-2</v>
      </c>
      <c r="J611" s="5">
        <f>ตัวคูณโรงพยาบาล!J680</f>
        <v>0</v>
      </c>
      <c r="K611" s="5">
        <f>ตัวคูณโรงพยาบาล!K680</f>
        <v>0</v>
      </c>
      <c r="L611" s="5">
        <f t="shared" si="9"/>
        <v>0.36083730384739143</v>
      </c>
    </row>
    <row r="612" spans="3:12" x14ac:dyDescent="0.25">
      <c r="C612" t="s">
        <v>85</v>
      </c>
      <c r="D612" s="5">
        <f>ตัวคูณโรงพยาบาล!D681</f>
        <v>0</v>
      </c>
      <c r="E612" s="5">
        <f>ตัวคูณโรงพยาบาล!E681</f>
        <v>0</v>
      </c>
      <c r="F612" s="5">
        <f>ตัวคูณโรงพยาบาล!F681</f>
        <v>0.26229121527154953</v>
      </c>
      <c r="G612" s="5">
        <f>ตัวคูณโรงพยาบาล!G681</f>
        <v>3.083457922623228E-2</v>
      </c>
      <c r="H612" s="5">
        <f>ตัวคูณโรงพยาบาล!H681</f>
        <v>0</v>
      </c>
      <c r="I612" s="5">
        <f>ตัวคูณโรงพยาบาล!I681</f>
        <v>6.771150934960965E-2</v>
      </c>
      <c r="J612" s="5">
        <f>ตัวคูณโรงพยาบาล!J681</f>
        <v>0</v>
      </c>
      <c r="K612" s="5">
        <f>ตัวคูณโรงพยาบาล!K681</f>
        <v>0</v>
      </c>
      <c r="L612" s="5">
        <f t="shared" si="9"/>
        <v>0.36083730384739143</v>
      </c>
    </row>
    <row r="613" spans="3:12" x14ac:dyDescent="0.25">
      <c r="C613" t="s">
        <v>86</v>
      </c>
      <c r="D613" s="5">
        <f>ตัวคูณโรงพยาบาล!D682</f>
        <v>0</v>
      </c>
      <c r="E613" s="5">
        <f>ตัวคูณโรงพยาบาล!E682</f>
        <v>0</v>
      </c>
      <c r="F613" s="5">
        <f>ตัวคูณโรงพยาบาล!F682</f>
        <v>1.2762146609552933</v>
      </c>
      <c r="G613" s="5">
        <f>ตัวคูณโรงพยาบาล!G682</f>
        <v>3.083457922623228E-2</v>
      </c>
      <c r="H613" s="5">
        <f>ตัวคูณโรงพยาบาล!H682</f>
        <v>3.0522654157453806</v>
      </c>
      <c r="I613" s="5">
        <f>ตัวคูณโรงพยาบาล!I682</f>
        <v>6.771150934960965E-2</v>
      </c>
      <c r="J613" s="5">
        <f>ตัวคูณโรงพยาบาล!J682</f>
        <v>0</v>
      </c>
      <c r="K613" s="5">
        <f>ตัวคูณโรงพยาบาล!K682</f>
        <v>0</v>
      </c>
      <c r="L613" s="5">
        <f t="shared" si="9"/>
        <v>4.4270261652765157</v>
      </c>
    </row>
    <row r="614" spans="3:12" x14ac:dyDescent="0.25">
      <c r="C614" t="s">
        <v>87</v>
      </c>
      <c r="D614" s="5">
        <f>ตัวคูณโรงพยาบาล!D683</f>
        <v>0</v>
      </c>
      <c r="E614" s="5">
        <f>ตัวคูณโรงพยาบาล!E683</f>
        <v>0</v>
      </c>
      <c r="F614" s="5">
        <f>ตัวคูณโรงพยาบาล!F683</f>
        <v>0.26229121527154953</v>
      </c>
      <c r="G614" s="5">
        <f>ตัวคูณโรงพยาบาล!G683</f>
        <v>3.083457922623228E-2</v>
      </c>
      <c r="H614" s="5">
        <f>ตัวคูณโรงพยาบาล!H683</f>
        <v>0</v>
      </c>
      <c r="I614" s="5">
        <f>ตัวคูณโรงพยาบาล!I683</f>
        <v>6.771150934960965E-2</v>
      </c>
      <c r="J614" s="5">
        <f>ตัวคูณโรงพยาบาล!J683</f>
        <v>0</v>
      </c>
      <c r="K614" s="5">
        <f>ตัวคูณโรงพยาบาล!K683</f>
        <v>0</v>
      </c>
      <c r="L614" s="5">
        <f t="shared" si="9"/>
        <v>0.36083730384739143</v>
      </c>
    </row>
    <row r="615" spans="3:12" x14ac:dyDescent="0.25">
      <c r="C615" t="s">
        <v>88</v>
      </c>
      <c r="D615" s="5">
        <f>ตัวคูณโรงพยาบาล!D684</f>
        <v>0</v>
      </c>
      <c r="E615" s="5">
        <f>ตัวคูณโรงพยาบาล!E684</f>
        <v>0</v>
      </c>
      <c r="F615" s="5">
        <f>ตัวคูณโรงพยาบาล!F684</f>
        <v>0.26229121527154953</v>
      </c>
      <c r="G615" s="5">
        <f>ตัวคูณโรงพยาบาล!G684</f>
        <v>3.083457922623228E-2</v>
      </c>
      <c r="H615" s="5">
        <f>ตัวคูณโรงพยาบาล!H684</f>
        <v>0</v>
      </c>
      <c r="I615" s="5">
        <f>ตัวคูณโรงพยาบาล!I684</f>
        <v>6.771150934960965E-2</v>
      </c>
      <c r="J615" s="5">
        <f>ตัวคูณโรงพยาบาล!J684</f>
        <v>0</v>
      </c>
      <c r="K615" s="5">
        <f>ตัวคูณโรงพยาบาล!K684</f>
        <v>0</v>
      </c>
      <c r="L615" s="5">
        <f t="shared" si="9"/>
        <v>0.36083730384739143</v>
      </c>
    </row>
    <row r="616" spans="3:12" x14ac:dyDescent="0.25">
      <c r="C616" t="s">
        <v>89</v>
      </c>
      <c r="D616" s="5">
        <f>ตัวคูณโรงพยาบาล!D685</f>
        <v>0</v>
      </c>
      <c r="E616" s="5">
        <f>ตัวคูณโรงพยาบาล!E685</f>
        <v>0</v>
      </c>
      <c r="F616" s="5">
        <f>ตัวคูณโรงพยาบาล!F685</f>
        <v>0.26229121527154953</v>
      </c>
      <c r="G616" s="5">
        <f>ตัวคูณโรงพยาบาล!G685</f>
        <v>3.083457922623228E-2</v>
      </c>
      <c r="H616" s="5">
        <f>ตัวคูณโรงพยาบาล!H685</f>
        <v>0</v>
      </c>
      <c r="I616" s="5">
        <f>ตัวคูณโรงพยาบาล!I685</f>
        <v>6.771150934960965E-2</v>
      </c>
      <c r="J616" s="5">
        <f>ตัวคูณโรงพยาบาล!J685</f>
        <v>0</v>
      </c>
      <c r="K616" s="5">
        <f>ตัวคูณโรงพยาบาล!K685</f>
        <v>0</v>
      </c>
      <c r="L616" s="5">
        <f t="shared" si="9"/>
        <v>0.36083730384739143</v>
      </c>
    </row>
    <row r="617" spans="3:12" x14ac:dyDescent="0.25">
      <c r="C617" t="s">
        <v>90</v>
      </c>
      <c r="D617" s="5">
        <f>ตัวคูณโรงพยาบาล!D686</f>
        <v>0</v>
      </c>
      <c r="E617" s="5">
        <f>ตัวคูณโรงพยาบาล!E686</f>
        <v>0</v>
      </c>
      <c r="F617" s="5">
        <f>ตัวคูณโรงพยาบาล!F686</f>
        <v>0.26229121527154953</v>
      </c>
      <c r="G617" s="5">
        <f>ตัวคูณโรงพยาบาล!G686</f>
        <v>3.083457922623228E-2</v>
      </c>
      <c r="H617" s="5">
        <f>ตัวคูณโรงพยาบาล!H686</f>
        <v>0</v>
      </c>
      <c r="I617" s="5">
        <f>ตัวคูณโรงพยาบาล!I686</f>
        <v>6.771150934960965E-2</v>
      </c>
      <c r="J617" s="5">
        <f>ตัวคูณโรงพยาบาล!J686</f>
        <v>0</v>
      </c>
      <c r="K617" s="5">
        <f>ตัวคูณโรงพยาบาล!K686</f>
        <v>0</v>
      </c>
      <c r="L617" s="5">
        <f t="shared" si="9"/>
        <v>0.36083730384739143</v>
      </c>
    </row>
    <row r="618" spans="3:12" x14ac:dyDescent="0.25">
      <c r="C618" t="s">
        <v>91</v>
      </c>
      <c r="D618" s="5">
        <f>ตัวคูณโรงพยาบาล!D687</f>
        <v>0</v>
      </c>
      <c r="E618" s="5">
        <f>ตัวคูณโรงพยาบาล!E687</f>
        <v>0</v>
      </c>
      <c r="F618" s="5">
        <f>ตัวคูณโรงพยาบาล!F687</f>
        <v>0.26229121527154953</v>
      </c>
      <c r="G618" s="5">
        <f>ตัวคูณโรงพยาบาล!G687</f>
        <v>3.083457922623228E-2</v>
      </c>
      <c r="H618" s="5">
        <f>ตัวคูณโรงพยาบาล!H687</f>
        <v>0</v>
      </c>
      <c r="I618" s="5">
        <f>ตัวคูณโรงพยาบาล!I687</f>
        <v>6.771150934960965E-2</v>
      </c>
      <c r="J618" s="5">
        <f>ตัวคูณโรงพยาบาล!J687</f>
        <v>0</v>
      </c>
      <c r="K618" s="5">
        <f>ตัวคูณโรงพยาบาล!K687</f>
        <v>0</v>
      </c>
      <c r="L618" s="5">
        <f t="shared" si="9"/>
        <v>0.36083730384739143</v>
      </c>
    </row>
    <row r="619" spans="3:12" x14ac:dyDescent="0.25">
      <c r="C619" t="s">
        <v>92</v>
      </c>
      <c r="D619" s="5">
        <f>ตัวคูณโรงพยาบาล!D688</f>
        <v>0</v>
      </c>
      <c r="E619" s="5">
        <f>ตัวคูณโรงพยาบาล!E688</f>
        <v>0</v>
      </c>
      <c r="F619" s="5">
        <f>ตัวคูณโรงพยาบาล!F688</f>
        <v>0.26229121527154953</v>
      </c>
      <c r="G619" s="5">
        <f>ตัวคูณโรงพยาบาล!G688</f>
        <v>3.083457922623228E-2</v>
      </c>
      <c r="H619" s="5">
        <f>ตัวคูณโรงพยาบาล!H688</f>
        <v>0</v>
      </c>
      <c r="I619" s="5">
        <f>ตัวคูณโรงพยาบาล!I688</f>
        <v>6.771150934960965E-2</v>
      </c>
      <c r="J619" s="5">
        <f>ตัวคูณโรงพยาบาล!J688</f>
        <v>0</v>
      </c>
      <c r="K619" s="5">
        <f>ตัวคูณโรงพยาบาล!K688</f>
        <v>0</v>
      </c>
      <c r="L619" s="5">
        <f t="shared" si="9"/>
        <v>0.36083730384739143</v>
      </c>
    </row>
    <row r="620" spans="3:12" x14ac:dyDescent="0.25">
      <c r="C620" t="s">
        <v>93</v>
      </c>
      <c r="D620" s="5">
        <f>ตัวคูณโรงพยาบาล!D689</f>
        <v>0</v>
      </c>
      <c r="E620" s="5">
        <f>ตัวคูณโรงพยาบาล!E689</f>
        <v>0</v>
      </c>
      <c r="F620" s="5">
        <f>ตัวคูณโรงพยาบาล!F689</f>
        <v>0.26229121527154953</v>
      </c>
      <c r="G620" s="5">
        <f>ตัวคูณโรงพยาบาล!G689</f>
        <v>3.083457922623228E-2</v>
      </c>
      <c r="H620" s="5">
        <f>ตัวคูณโรงพยาบาล!H689</f>
        <v>0</v>
      </c>
      <c r="I620" s="5">
        <f>ตัวคูณโรงพยาบาล!I689</f>
        <v>6.771150934960965E-2</v>
      </c>
      <c r="J620" s="5">
        <f>ตัวคูณโรงพยาบาล!J689</f>
        <v>0</v>
      </c>
      <c r="K620" s="5">
        <f>ตัวคูณโรงพยาบาล!K689</f>
        <v>0</v>
      </c>
      <c r="L620" s="5">
        <f t="shared" si="9"/>
        <v>0.36083730384739143</v>
      </c>
    </row>
    <row r="621" spans="3:12" x14ac:dyDescent="0.25">
      <c r="C621" t="s">
        <v>94</v>
      </c>
      <c r="D621" s="5">
        <f>ตัวคูณโรงพยาบาล!D690</f>
        <v>0</v>
      </c>
      <c r="E621" s="5">
        <f>ตัวคูณโรงพยาบาล!E690</f>
        <v>0</v>
      </c>
      <c r="F621" s="5">
        <f>ตัวคูณโรงพยาบาล!F690</f>
        <v>0.26229121527154953</v>
      </c>
      <c r="G621" s="5">
        <f>ตัวคูณโรงพยาบาล!G690</f>
        <v>3.083457922623228E-2</v>
      </c>
      <c r="H621" s="5">
        <f>ตัวคูณโรงพยาบาล!H690</f>
        <v>0</v>
      </c>
      <c r="I621" s="5">
        <f>ตัวคูณโรงพยาบาล!I690</f>
        <v>6.771150934960965E-2</v>
      </c>
      <c r="J621" s="5">
        <f>ตัวคูณโรงพยาบาล!J690</f>
        <v>0</v>
      </c>
      <c r="K621" s="5">
        <f>ตัวคูณโรงพยาบาล!K690</f>
        <v>0</v>
      </c>
      <c r="L621" s="5">
        <f t="shared" si="9"/>
        <v>0.36083730384739143</v>
      </c>
    </row>
    <row r="622" spans="3:12" x14ac:dyDescent="0.25">
      <c r="C622" t="s">
        <v>95</v>
      </c>
      <c r="D622" s="5">
        <f>ตัวคูณโรงพยาบาล!D691</f>
        <v>0</v>
      </c>
      <c r="E622" s="5">
        <f>ตัวคูณโรงพยาบาล!E691</f>
        <v>0</v>
      </c>
      <c r="F622" s="5">
        <f>ตัวคูณโรงพยาบาล!F691</f>
        <v>0.26229121527154953</v>
      </c>
      <c r="G622" s="5">
        <f>ตัวคูณโรงพยาบาล!G691</f>
        <v>3.083457922623228E-2</v>
      </c>
      <c r="H622" s="5">
        <f>ตัวคูณโรงพยาบาล!H691</f>
        <v>0</v>
      </c>
      <c r="I622" s="5">
        <f>ตัวคูณโรงพยาบาล!I691</f>
        <v>6.771150934960965E-2</v>
      </c>
      <c r="J622" s="5">
        <f>ตัวคูณโรงพยาบาล!J691</f>
        <v>0</v>
      </c>
      <c r="K622" s="5">
        <f>ตัวคูณโรงพยาบาล!K691</f>
        <v>0</v>
      </c>
      <c r="L622" s="5">
        <f t="shared" si="9"/>
        <v>0.36083730384739143</v>
      </c>
    </row>
    <row r="623" spans="3:12" x14ac:dyDescent="0.25">
      <c r="C623" t="s">
        <v>96</v>
      </c>
      <c r="D623" s="5">
        <f>ตัวคูณโรงพยาบาล!D692</f>
        <v>0</v>
      </c>
      <c r="E623" s="5">
        <f>ตัวคูณโรงพยาบาล!E692</f>
        <v>0</v>
      </c>
      <c r="F623" s="5">
        <f>ตัวคูณโรงพยาบาล!F692</f>
        <v>0.26229121527154953</v>
      </c>
      <c r="G623" s="5">
        <f>ตัวคูณโรงพยาบาล!G692</f>
        <v>3.083457922623228E-2</v>
      </c>
      <c r="H623" s="5">
        <f>ตัวคูณโรงพยาบาล!H692</f>
        <v>0</v>
      </c>
      <c r="I623" s="5">
        <f>ตัวคูณโรงพยาบาล!I692</f>
        <v>6.771150934960965E-2</v>
      </c>
      <c r="J623" s="5">
        <f>ตัวคูณโรงพยาบาล!J692</f>
        <v>0</v>
      </c>
      <c r="K623" s="5">
        <f>ตัวคูณโรงพยาบาล!K692</f>
        <v>0</v>
      </c>
      <c r="L623" s="5">
        <f t="shared" si="9"/>
        <v>0.36083730384739143</v>
      </c>
    </row>
    <row r="624" spans="3:12" x14ac:dyDescent="0.25">
      <c r="C624" t="s">
        <v>97</v>
      </c>
      <c r="D624" s="5">
        <f>ตัวคูณโรงพยาบาล!D693</f>
        <v>0</v>
      </c>
      <c r="E624" s="5">
        <f>ตัวคูณโรงพยาบาล!E693</f>
        <v>0</v>
      </c>
      <c r="F624" s="5">
        <f>ตัวคูณโรงพยาบาล!F693</f>
        <v>0.26229121527154953</v>
      </c>
      <c r="G624" s="5">
        <f>ตัวคูณโรงพยาบาล!G693</f>
        <v>3.083457922623228E-2</v>
      </c>
      <c r="H624" s="5">
        <f>ตัวคูณโรงพยาบาล!H693</f>
        <v>0</v>
      </c>
      <c r="I624" s="5">
        <f>ตัวคูณโรงพยาบาล!I693</f>
        <v>6.771150934960965E-2</v>
      </c>
      <c r="J624" s="5">
        <f>ตัวคูณโรงพยาบาล!J693</f>
        <v>0</v>
      </c>
      <c r="K624" s="5">
        <f>ตัวคูณโรงพยาบาล!K693</f>
        <v>0</v>
      </c>
      <c r="L624" s="5">
        <f t="shared" si="9"/>
        <v>0.36083730384739143</v>
      </c>
    </row>
    <row r="625" spans="1:12" x14ac:dyDescent="0.25">
      <c r="C625" t="s">
        <v>98</v>
      </c>
      <c r="D625" s="5">
        <f>ตัวคูณโรงพยาบาล!D694</f>
        <v>0</v>
      </c>
      <c r="E625" s="5">
        <f>ตัวคูณโรงพยาบาล!E694</f>
        <v>0</v>
      </c>
      <c r="F625" s="5">
        <f>ตัวคูณโรงพยาบาล!F694</f>
        <v>0.26229121527154953</v>
      </c>
      <c r="G625" s="5">
        <f>ตัวคูณโรงพยาบาล!G694</f>
        <v>3.083457922623228E-2</v>
      </c>
      <c r="H625" s="5">
        <f>ตัวคูณโรงพยาบาล!H694</f>
        <v>0</v>
      </c>
      <c r="I625" s="5">
        <f>ตัวคูณโรงพยาบาล!I694</f>
        <v>6.771150934960965E-2</v>
      </c>
      <c r="J625" s="5">
        <f>ตัวคูณโรงพยาบาล!J694</f>
        <v>0</v>
      </c>
      <c r="K625" s="5">
        <f>ตัวคูณโรงพยาบาล!K694</f>
        <v>0</v>
      </c>
      <c r="L625" s="5">
        <f t="shared" si="9"/>
        <v>0.36083730384739143</v>
      </c>
    </row>
    <row r="626" spans="1:12" x14ac:dyDescent="0.25">
      <c r="C626" t="s">
        <v>119</v>
      </c>
      <c r="D626" s="5">
        <f>ตัวคูณโรงพยาบาล!D695</f>
        <v>0</v>
      </c>
      <c r="E626" s="5">
        <f>ตัวคูณโรงพยาบาล!E695</f>
        <v>0</v>
      </c>
      <c r="F626" s="5">
        <f>ตัวคูณโรงพยาบาล!F695</f>
        <v>0.26229121527154953</v>
      </c>
      <c r="G626" s="5">
        <f>ตัวคูณโรงพยาบาล!G695</f>
        <v>3.083457922623228E-2</v>
      </c>
      <c r="H626" s="5">
        <f>ตัวคูณโรงพยาบาล!H695</f>
        <v>0</v>
      </c>
      <c r="I626" s="5">
        <f>ตัวคูณโรงพยาบาล!I695</f>
        <v>6.771150934960965E-2</v>
      </c>
      <c r="J626" s="5">
        <f>ตัวคูณโรงพยาบาล!J695</f>
        <v>0</v>
      </c>
      <c r="K626" s="5">
        <f>ตัวคูณโรงพยาบาล!K695</f>
        <v>0</v>
      </c>
      <c r="L626" s="5">
        <f t="shared" si="9"/>
        <v>0.36083730384739143</v>
      </c>
    </row>
    <row r="627" spans="1:12" x14ac:dyDescent="0.25">
      <c r="C627" t="s">
        <v>99</v>
      </c>
      <c r="D627" s="5">
        <f>ตัวคูณโรงพยาบาล!D696</f>
        <v>0</v>
      </c>
      <c r="E627" s="5">
        <f>ตัวคูณโรงพยาบาล!E696</f>
        <v>0</v>
      </c>
      <c r="F627" s="5">
        <f>ตัวคูณโรงพยาบาล!F696</f>
        <v>0.26229121527154953</v>
      </c>
      <c r="G627" s="5">
        <f>ตัวคูณโรงพยาบาล!G696</f>
        <v>3.083457922623228E-2</v>
      </c>
      <c r="H627" s="5">
        <f>ตัวคูณโรงพยาบาล!H696</f>
        <v>0</v>
      </c>
      <c r="I627" s="5">
        <f>ตัวคูณโรงพยาบาล!I696</f>
        <v>6.771150934960965E-2</v>
      </c>
      <c r="J627" s="5">
        <f>ตัวคูณโรงพยาบาล!J696</f>
        <v>0</v>
      </c>
      <c r="K627" s="5">
        <f>ตัวคูณโรงพยาบาล!K696</f>
        <v>0</v>
      </c>
      <c r="L627" s="5">
        <f t="shared" si="9"/>
        <v>0.36083730384739143</v>
      </c>
    </row>
    <row r="628" spans="1:12" x14ac:dyDescent="0.25">
      <c r="C628" t="s">
        <v>100</v>
      </c>
      <c r="D628" s="5">
        <f>ตัวคูณโรงพยาบาล!D697</f>
        <v>0</v>
      </c>
      <c r="E628" s="5">
        <f>ตัวคูณโรงพยาบาล!E697</f>
        <v>0</v>
      </c>
      <c r="F628" s="5">
        <f>ตัวคูณโรงพยาบาล!F697</f>
        <v>0.26229121527154953</v>
      </c>
      <c r="G628" s="5">
        <f>ตัวคูณโรงพยาบาล!G697</f>
        <v>4.4948576865129182</v>
      </c>
      <c r="H628" s="5">
        <f>ตัวคูณโรงพยาบาล!H697</f>
        <v>0</v>
      </c>
      <c r="I628" s="5">
        <f>ตัวคูณโรงพยาบาล!I697</f>
        <v>6.771150934960965E-2</v>
      </c>
      <c r="J628" s="5">
        <f>ตัวคูณโรงพยาบาล!J697</f>
        <v>0</v>
      </c>
      <c r="K628" s="5">
        <f>ตัวคูณโรงพยาบาล!K697</f>
        <v>0</v>
      </c>
      <c r="L628" s="5">
        <f t="shared" si="9"/>
        <v>4.8248604111340772</v>
      </c>
    </row>
    <row r="629" spans="1:12" x14ac:dyDescent="0.25">
      <c r="C629" t="s">
        <v>101</v>
      </c>
      <c r="D629" s="5">
        <f>ตัวคูณโรงพยาบาล!D698</f>
        <v>0</v>
      </c>
      <c r="E629" s="5">
        <f>ตัวคูณโรงพยาบาล!E698</f>
        <v>0</v>
      </c>
      <c r="F629" s="5">
        <f>ตัวคูณโรงพยาบาล!F698</f>
        <v>0.26229121527154953</v>
      </c>
      <c r="G629" s="5">
        <f>ตัวคูณโรงพยาบาล!G698</f>
        <v>3.083457922623228E-2</v>
      </c>
      <c r="H629" s="5">
        <f>ตัวคูณโรงพยาบาล!H698</f>
        <v>0</v>
      </c>
      <c r="I629" s="5">
        <f>ตัวคูณโรงพยาบาล!I698</f>
        <v>6.771150934960965E-2</v>
      </c>
      <c r="J629" s="5">
        <f>ตัวคูณโรงพยาบาล!J698</f>
        <v>0</v>
      </c>
      <c r="K629" s="5">
        <f>ตัวคูณโรงพยาบาล!K698</f>
        <v>0</v>
      </c>
      <c r="L629" s="5">
        <f t="shared" si="9"/>
        <v>0.36083730384739143</v>
      </c>
    </row>
    <row r="630" spans="1:12" x14ac:dyDescent="0.25">
      <c r="A630" s="25" t="s">
        <v>115</v>
      </c>
      <c r="B630" s="24" t="s">
        <v>114</v>
      </c>
      <c r="C630" t="s">
        <v>70</v>
      </c>
      <c r="D630" s="5">
        <f>ตัวคูณโรงพยาบาล!D699</f>
        <v>0</v>
      </c>
      <c r="E630" s="5">
        <f>ตัวคูณโรงพยาบาล!E699</f>
        <v>0</v>
      </c>
      <c r="F630" s="5">
        <f>ตัวคูณโรงพยาบาล!F699</f>
        <v>0</v>
      </c>
      <c r="G630" s="5">
        <f>ตัวคูณโรงพยาบาล!G699</f>
        <v>13.264680887246421</v>
      </c>
      <c r="H630" s="5">
        <f>ตัวคูณโรงพยาบาล!H699</f>
        <v>6.3380280852704152</v>
      </c>
      <c r="I630" s="5">
        <f>ตัวคูณโรงพยาบาล!I699</f>
        <v>0</v>
      </c>
      <c r="J630" s="5">
        <f>ตัวคูณโรงพยาบาล!J699</f>
        <v>0</v>
      </c>
      <c r="K630" s="5">
        <f>ตัวคูณโรงพยาบาล!K699</f>
        <v>6.0606060606060608E-2</v>
      </c>
      <c r="L630" s="5">
        <f t="shared" si="9"/>
        <v>19.663315033122899</v>
      </c>
    </row>
    <row r="631" spans="1:12" x14ac:dyDescent="0.25">
      <c r="A631" s="14"/>
      <c r="C631" t="s">
        <v>71</v>
      </c>
      <c r="D631" s="5">
        <f>ตัวคูณโรงพยาบาล!D700</f>
        <v>0</v>
      </c>
      <c r="E631" s="5">
        <f>ตัวคูณโรงพยาบาล!E700</f>
        <v>0</v>
      </c>
      <c r="F631" s="5">
        <f>ตัวคูณโรงพยาบาล!F700</f>
        <v>141.48757803326987</v>
      </c>
      <c r="G631" s="5">
        <f>ตัวคูณโรงพยาบาล!G700</f>
        <v>119.1288211784194</v>
      </c>
      <c r="H631" s="5">
        <f>ตัวคูณโรงพยาบาล!H700</f>
        <v>51.249228917596596</v>
      </c>
      <c r="I631" s="5">
        <f>ตัวคูณโรงพยาบาล!I700</f>
        <v>0</v>
      </c>
      <c r="J631" s="5">
        <f>ตัวคูณโรงพยาบาล!J700</f>
        <v>3.4047619047619042</v>
      </c>
      <c r="K631" s="5">
        <f>ตัวคูณโรงพยาบาล!K700</f>
        <v>6.0606060606060608E-2</v>
      </c>
      <c r="L631" s="5">
        <f t="shared" si="9"/>
        <v>315.33099609465387</v>
      </c>
    </row>
    <row r="632" spans="1:12" x14ac:dyDescent="0.25">
      <c r="A632" s="14"/>
      <c r="C632" t="s">
        <v>72</v>
      </c>
      <c r="D632" s="5">
        <f>ตัวคูณโรงพยาบาล!D701</f>
        <v>0</v>
      </c>
      <c r="E632" s="5">
        <f>ตัวคูณโรงพยาบาล!E701</f>
        <v>0</v>
      </c>
      <c r="F632" s="5">
        <f>ตัวคูณโรงพยาบาล!F701</f>
        <v>30.598824348728492</v>
      </c>
      <c r="G632" s="5">
        <f>ตัวคูณโรงพยาบาล!G701</f>
        <v>53.700960762653203</v>
      </c>
      <c r="H632" s="5">
        <f>ตัวคูณโรงพยาบาล!H701</f>
        <v>27.463176142319007</v>
      </c>
      <c r="I632" s="5">
        <f>ตัวคูณโรงพยาบาล!I701</f>
        <v>22.41623206869923</v>
      </c>
      <c r="J632" s="5">
        <f>ตัวคูณโรงพยาบาล!J701</f>
        <v>0</v>
      </c>
      <c r="K632" s="5">
        <f>ตัวคูณโรงพยาบาล!K701</f>
        <v>6.0606060606060608E-2</v>
      </c>
      <c r="L632" s="5">
        <f t="shared" si="9"/>
        <v>134.23979938300599</v>
      </c>
    </row>
    <row r="633" spans="1:12" x14ac:dyDescent="0.25">
      <c r="A633" s="14"/>
      <c r="C633" t="s">
        <v>73</v>
      </c>
      <c r="D633" s="5">
        <f>ตัวคูณโรงพยาบาล!D702</f>
        <v>0</v>
      </c>
      <c r="E633" s="5">
        <f>ตัวคูณโรงพยาบาล!E702</f>
        <v>0</v>
      </c>
      <c r="F633" s="5">
        <f>ตัวคูณโรงพยาบาล!F702</f>
        <v>12.65709372374595</v>
      </c>
      <c r="G633" s="5">
        <f>ตัวคูณโรงพยาบาล!G702</f>
        <v>21.865848891303678</v>
      </c>
      <c r="H633" s="5">
        <f>ตัวคูณโรงพยาบาล!H702</f>
        <v>12.674847000151235</v>
      </c>
      <c r="I633" s="5">
        <f>ตัวคูณโรงพยาบาล!I702</f>
        <v>10.446902392384258</v>
      </c>
      <c r="J633" s="5">
        <f>ตัวคูณโรงพยาบาล!J702</f>
        <v>0</v>
      </c>
      <c r="K633" s="5">
        <f>ตัวคูณโรงพยาบาล!K702</f>
        <v>6.0606060606060608E-2</v>
      </c>
      <c r="L633" s="5">
        <f t="shared" si="9"/>
        <v>57.705298068191183</v>
      </c>
    </row>
    <row r="634" spans="1:12" x14ac:dyDescent="0.25">
      <c r="A634" s="14"/>
      <c r="C634" t="s">
        <v>74</v>
      </c>
      <c r="D634" s="5">
        <f>ตัวคูณโรงพยาบาล!D703</f>
        <v>0</v>
      </c>
      <c r="E634" s="5">
        <f>ตัวคูณโรงพยาบาล!E703</f>
        <v>0</v>
      </c>
      <c r="F634" s="5">
        <f>ตัวคูณโรงพยาบาล!F703</f>
        <v>5.6512342734599077</v>
      </c>
      <c r="G634" s="5">
        <f>ตัวคูณโรงพยาบาล!G703</f>
        <v>21.865848891303678</v>
      </c>
      <c r="H634" s="5">
        <f>ตัวคูณโรงพยาบาล!H703</f>
        <v>31.68893125596248</v>
      </c>
      <c r="I634" s="5">
        <f>ตัวคูณโรงพยาบาล!I703</f>
        <v>0</v>
      </c>
      <c r="J634" s="5">
        <f>ตัวคูณโรงพยาบาล!J703</f>
        <v>0</v>
      </c>
      <c r="K634" s="5">
        <f>ตัวคูณโรงพยาบาล!K703</f>
        <v>6.0606060606060608E-2</v>
      </c>
      <c r="L634" s="5">
        <f t="shared" si="9"/>
        <v>59.266620481332126</v>
      </c>
    </row>
    <row r="635" spans="1:12" x14ac:dyDescent="0.25">
      <c r="A635" s="14"/>
      <c r="C635" t="s">
        <v>75</v>
      </c>
      <c r="D635" s="5">
        <f>ตัวคูณโรงพยาบาล!D704</f>
        <v>0</v>
      </c>
      <c r="E635" s="5">
        <f>ตัวคูณโรงพยาบาล!E704</f>
        <v>0</v>
      </c>
      <c r="F635" s="5">
        <f>ตัวคูณโรงพยาบาล!F704</f>
        <v>9.1201514713607974</v>
      </c>
      <c r="G635" s="5">
        <f>ตัวคูณโรงพยาบาล!G704</f>
        <v>11.3385805364533</v>
      </c>
      <c r="H635" s="5">
        <f>ตัวคูณโรงพยาบาล!H704</f>
        <v>23.238630199065124</v>
      </c>
      <c r="I635" s="5">
        <f>ตัวคูณโรงพยาบาล!I704</f>
        <v>2.5806214337586884</v>
      </c>
      <c r="J635" s="5">
        <f>ตัวคูณโรงพยาบาล!J704</f>
        <v>0</v>
      </c>
      <c r="K635" s="5">
        <f>ตัวคูณโรงพยาบาล!K704</f>
        <v>6.0606060606060608E-2</v>
      </c>
      <c r="L635" s="5">
        <f t="shared" si="9"/>
        <v>46.338589701243968</v>
      </c>
    </row>
    <row r="636" spans="1:12" x14ac:dyDescent="0.25">
      <c r="A636" s="14"/>
      <c r="C636" t="s">
        <v>76</v>
      </c>
      <c r="D636" s="5">
        <f>ตัวคูณโรงพยาบาล!D705</f>
        <v>0</v>
      </c>
      <c r="E636" s="5">
        <f>ตัวคูณโรงพยาบาล!E705</f>
        <v>0</v>
      </c>
      <c r="F636" s="5">
        <f>ตัวคูณโรงพยาบาล!F705</f>
        <v>19.191730624982544</v>
      </c>
      <c r="G636" s="5">
        <f>ตัวคูณโรงพยาบาล!G705</f>
        <v>51.048391359329578</v>
      </c>
      <c r="H636" s="5">
        <f>ตัวคูณโรงพยาบาล!H705</f>
        <v>41.729485429218755</v>
      </c>
      <c r="I636" s="5">
        <f>ตัวคูณโรงพยาบาล!I705</f>
        <v>13.850945796783055</v>
      </c>
      <c r="J636" s="5">
        <f>ตัวคูณโรงพยาบาล!J705</f>
        <v>8.2899936512487589</v>
      </c>
      <c r="K636" s="5">
        <f>ตัวคูณโรงพยาบาล!K705</f>
        <v>6.0606060606060608E-2</v>
      </c>
      <c r="L636" s="5">
        <f t="shared" si="9"/>
        <v>134.17115292216874</v>
      </c>
    </row>
    <row r="637" spans="1:12" x14ac:dyDescent="0.25">
      <c r="A637" s="14"/>
      <c r="C637" t="s">
        <v>77</v>
      </c>
      <c r="D637" s="5">
        <f>ตัวคูณโรงพยาบาล!D706</f>
        <v>0</v>
      </c>
      <c r="E637" s="5">
        <f>ตัวคูณโรงพยาบาล!E706</f>
        <v>0</v>
      </c>
      <c r="F637" s="5">
        <f>ตัวคูณโรงพยาบาล!F706</f>
        <v>59.476426148407526</v>
      </c>
      <c r="G637" s="5">
        <f>ตัวคูณโรงพยาบาล!G706</f>
        <v>109.32924445651837</v>
      </c>
      <c r="H637" s="5">
        <f>ตัวคูณโรงพยาบาล!H706</f>
        <v>83.982199884095124</v>
      </c>
      <c r="I637" s="5">
        <f>ตัวคูณโรงพยาบาล!I706</f>
        <v>0</v>
      </c>
      <c r="J637" s="5">
        <f>ตัวคูณโรงพยาบาล!J706</f>
        <v>0</v>
      </c>
      <c r="K637" s="5">
        <f>ตัวคูณโรงพยาบาล!K706</f>
        <v>6.0606060606060608E-2</v>
      </c>
      <c r="L637" s="5">
        <f t="shared" si="9"/>
        <v>252.84847654962709</v>
      </c>
    </row>
    <row r="638" spans="1:12" x14ac:dyDescent="0.25">
      <c r="A638" s="14"/>
      <c r="C638" t="s">
        <v>78</v>
      </c>
      <c r="D638" s="5">
        <f>ตัวคูณโรงพยาบาล!D707</f>
        <v>0</v>
      </c>
      <c r="E638" s="5">
        <f>ตัวคูณโรงพยาบาล!E707</f>
        <v>0</v>
      </c>
      <c r="F638" s="5">
        <f>ตัวคูณโรงพยาบาล!F707</f>
        <v>122.46550875229883</v>
      </c>
      <c r="G638" s="5">
        <f>ตัวคูณโรงพยาบาล!G707</f>
        <v>483.60396310147394</v>
      </c>
      <c r="H638" s="5">
        <f>ตัวคูณโรงพยาบาล!H707</f>
        <v>344.39966663266398</v>
      </c>
      <c r="I638" s="5">
        <f>ตัวคูณโรงพยาบาล!I707</f>
        <v>39.206988135778346</v>
      </c>
      <c r="J638" s="5">
        <f>ตัวคูณโรงพยาบาล!J707</f>
        <v>0</v>
      </c>
      <c r="K638" s="5">
        <f>ตัวคูณโรงพยาบาล!K707</f>
        <v>6.0606060606060608E-2</v>
      </c>
      <c r="L638" s="5">
        <f t="shared" si="9"/>
        <v>989.73673268282107</v>
      </c>
    </row>
    <row r="639" spans="1:12" x14ac:dyDescent="0.25">
      <c r="A639" s="14"/>
      <c r="C639" t="s">
        <v>79</v>
      </c>
      <c r="D639" s="5">
        <f>ตัวคูณโรงพยาบาล!D708</f>
        <v>0</v>
      </c>
      <c r="E639" s="5">
        <f>ตัวคูณโรงพยาบาล!E708</f>
        <v>0</v>
      </c>
      <c r="F639" s="5">
        <f>ตัวคูณโรงพยาบาล!F708</f>
        <v>81.906526708036196</v>
      </c>
      <c r="G639" s="5">
        <f>ตัวคูณโรงพยาบาล!G708</f>
        <v>89.559182174152681</v>
      </c>
      <c r="H639" s="5">
        <f>ตัวคูณโรงพยาบาล!H708</f>
        <v>72.896396829913215</v>
      </c>
      <c r="I639" s="5">
        <f>ตัวคูณโรงพยาบาล!I708</f>
        <v>55.76297202366959</v>
      </c>
      <c r="J639" s="5">
        <f>ตัวคูณโรงพยาบาล!J708</f>
        <v>5.6519047619047615</v>
      </c>
      <c r="K639" s="5">
        <f>ตัวคูณโรงพยาบาล!K708</f>
        <v>6.0606060606060608E-2</v>
      </c>
      <c r="L639" s="5">
        <f t="shared" si="9"/>
        <v>305.8375885582825</v>
      </c>
    </row>
    <row r="640" spans="1:12" x14ac:dyDescent="0.25">
      <c r="A640" s="14"/>
      <c r="C640" t="s">
        <v>80</v>
      </c>
      <c r="D640" s="5">
        <f>ตัวคูณโรงพยาบาล!D709</f>
        <v>0</v>
      </c>
      <c r="E640" s="5">
        <f>ตัวคูณโรงพยาบาล!E709</f>
        <v>0</v>
      </c>
      <c r="F640" s="5">
        <f>ตัวคูณโรงพยาบาล!F709</f>
        <v>82.906868838079475</v>
      </c>
      <c r="G640" s="5">
        <f>ตัวคูณโรงพยาบาล!G709</f>
        <v>104.1077261985247</v>
      </c>
      <c r="H640" s="5">
        <f>ตัวคูณโรงพยาบาล!H709</f>
        <v>86.09568202611166</v>
      </c>
      <c r="I640" s="5">
        <f>ตัวคูณโรงพยาบาล!I709</f>
        <v>39.331404793127845</v>
      </c>
      <c r="J640" s="5">
        <f>ตัวคูณโรงพยาบาล!J709</f>
        <v>3.4047619047619042</v>
      </c>
      <c r="K640" s="5">
        <f>ตัวคูณโรงพยาบาล!K709</f>
        <v>6.0606060606060608E-2</v>
      </c>
      <c r="L640" s="5">
        <f t="shared" si="9"/>
        <v>315.90704982121167</v>
      </c>
    </row>
    <row r="641" spans="1:12" x14ac:dyDescent="0.25">
      <c r="A641" s="14"/>
      <c r="C641" t="s">
        <v>81</v>
      </c>
      <c r="D641" s="5">
        <f>ตัวคูณโรงพยาบาล!D710</f>
        <v>0</v>
      </c>
      <c r="E641" s="5">
        <f>ตัวคูณโรงพยาบาล!E710</f>
        <v>0</v>
      </c>
      <c r="F641" s="5">
        <f>ตัวคูณโรงพยาบาล!F710</f>
        <v>9.1201514713607974</v>
      </c>
      <c r="G641" s="5">
        <f>ตัวคูณโรงพยาบาล!G710</f>
        <v>67.523647024704161</v>
      </c>
      <c r="H641" s="5">
        <f>ตัวคูณโรงพยาบาล!H710</f>
        <v>16.378582258526688</v>
      </c>
      <c r="I641" s="5">
        <f>ตัวคูณโรงพยาบาล!I710</f>
        <v>7.8662809586255698</v>
      </c>
      <c r="J641" s="5">
        <f>ตัวคูณโรงพยาบาล!J710</f>
        <v>0</v>
      </c>
      <c r="K641" s="5">
        <f>ตัวคูณโรงพยาบาล!K710</f>
        <v>6.0606060606060608E-2</v>
      </c>
      <c r="L641" s="5">
        <f t="shared" si="9"/>
        <v>100.94926777382328</v>
      </c>
    </row>
    <row r="642" spans="1:12" x14ac:dyDescent="0.25">
      <c r="A642" s="14"/>
      <c r="C642" t="s">
        <v>82</v>
      </c>
      <c r="D642" s="5">
        <f>ตัวคูณโรงพยาบาล!D711</f>
        <v>0</v>
      </c>
      <c r="E642" s="5">
        <f>ตัวคูณโรงพยาบาล!E711</f>
        <v>0</v>
      </c>
      <c r="F642" s="5">
        <f>ตัวคูณโรงพยาบาล!F711</f>
        <v>63.243915664047471</v>
      </c>
      <c r="G642" s="5">
        <f>ตัวคูณโรงพยาบาล!G711</f>
        <v>189.81470767109113</v>
      </c>
      <c r="H642" s="5">
        <f>ตัวคูณโรงพยาบาล!H711</f>
        <v>129.41058389013094</v>
      </c>
      <c r="I642" s="5">
        <f>ตัวคูณโรงพยาบาล!I711</f>
        <v>18.313183351009826</v>
      </c>
      <c r="J642" s="5">
        <f>ตัวคูณโรงพยาบาล!J711</f>
        <v>8.2899936512487589</v>
      </c>
      <c r="K642" s="5">
        <f>ตัวคูณโรงพยาบาล!K711</f>
        <v>6.0606060606060608E-2</v>
      </c>
      <c r="L642" s="5">
        <f t="shared" si="9"/>
        <v>409.13299028813418</v>
      </c>
    </row>
    <row r="643" spans="1:12" x14ac:dyDescent="0.25">
      <c r="A643" s="14"/>
      <c r="C643" t="s">
        <v>83</v>
      </c>
      <c r="D643" s="5">
        <f>ตัวคูณโรงพยาบาล!D712</f>
        <v>0</v>
      </c>
      <c r="E643" s="5">
        <f>ตัวคูณโรงพยาบาล!E712</f>
        <v>0</v>
      </c>
      <c r="F643" s="5">
        <f>ตัวคูณโรงพยาบาล!F712</f>
        <v>9.1201514713607974</v>
      </c>
      <c r="G643" s="5">
        <f>ตัวคูณโรงพยาบาล!G712</f>
        <v>57.166064927998619</v>
      </c>
      <c r="H643" s="5">
        <f>ตัวคูณโรงพยาบาล!H712</f>
        <v>27.463176142319007</v>
      </c>
      <c r="I643" s="5">
        <f>ตัวคูณโรงพยาบาล!I712</f>
        <v>0</v>
      </c>
      <c r="J643" s="5">
        <f>ตัวคูณโรงพยาบาล!J712</f>
        <v>0</v>
      </c>
      <c r="K643" s="5">
        <f>ตัวคูณโรงพยาบาล!K712</f>
        <v>6.0606060606060608E-2</v>
      </c>
      <c r="L643" s="5">
        <f t="shared" si="9"/>
        <v>93.80999860228448</v>
      </c>
    </row>
    <row r="644" spans="1:12" x14ac:dyDescent="0.25">
      <c r="A644" s="14"/>
      <c r="C644" t="s">
        <v>84</v>
      </c>
      <c r="D644" s="5">
        <f>ตัวคูณโรงพยาบาล!D713</f>
        <v>0</v>
      </c>
      <c r="E644" s="5">
        <f>ตัวคูณโรงพยาบาล!E713</f>
        <v>0</v>
      </c>
      <c r="F644" s="5">
        <f>ตัวคูณโรงพยาบาล!F713</f>
        <v>7.2364067135408279</v>
      </c>
      <c r="G644" s="5">
        <f>ตัวคูณโรงพยาบาล!G713</f>
        <v>37.783710472083158</v>
      </c>
      <c r="H644" s="5">
        <f>ตัวคูณโรงพยาบาล!H713</f>
        <v>44.364987426503312</v>
      </c>
      <c r="I644" s="5">
        <f>ตัวคูณโรงพยาบาล!I713</f>
        <v>19.83561063494054</v>
      </c>
      <c r="J644" s="5">
        <f>ตัวคูณโรงพยาบาล!J713</f>
        <v>0</v>
      </c>
      <c r="K644" s="5">
        <f>ตัวคูณโรงพยาบาล!K713</f>
        <v>6.0606060606060608E-2</v>
      </c>
      <c r="L644" s="5">
        <f t="shared" ref="L644:L662" si="10">SUM(D644:K644)</f>
        <v>109.28132130767389</v>
      </c>
    </row>
    <row r="645" spans="1:12" x14ac:dyDescent="0.25">
      <c r="A645" s="14"/>
      <c r="C645" t="s">
        <v>85</v>
      </c>
      <c r="D645" s="5">
        <f>ตัวคูณโรงพยาบาล!D714</f>
        <v>0</v>
      </c>
      <c r="E645" s="5">
        <f>ตัวคูณโรงพยาบาล!E714</f>
        <v>0</v>
      </c>
      <c r="F645" s="5">
        <f>ตัวคูณโรงพยาบาล!F714</f>
        <v>56.007508950506647</v>
      </c>
      <c r="G645" s="5">
        <f>ตัวคูณโรงพยาบาล!G714</f>
        <v>162.21889303756865</v>
      </c>
      <c r="H645" s="5">
        <f>ตัวคูณโรงพยาบาล!H714</f>
        <v>86.618911051769288</v>
      </c>
      <c r="I645" s="5">
        <f>ตัวคูณโรงพยาบาล!I714</f>
        <v>10.446902392384258</v>
      </c>
      <c r="J645" s="5">
        <f>ตัวคูณโรงพยาบาล!J714</f>
        <v>0</v>
      </c>
      <c r="K645" s="5">
        <f>ตัวคูณโรงพยาบาล!K714</f>
        <v>6.0606060606060608E-2</v>
      </c>
      <c r="L645" s="5">
        <f t="shared" si="10"/>
        <v>315.35282149283483</v>
      </c>
    </row>
    <row r="646" spans="1:12" x14ac:dyDescent="0.25">
      <c r="A646" s="14"/>
      <c r="C646" t="s">
        <v>86</v>
      </c>
      <c r="D646" s="5">
        <f>ตัวคูณโรงพยาบาล!D715</f>
        <v>0</v>
      </c>
      <c r="E646" s="5">
        <f>ตัวคูณโรงพยาบาล!E715</f>
        <v>0</v>
      </c>
      <c r="F646" s="5">
        <f>ตัวคูณโรงพยาบาล!F715</f>
        <v>178.4973034997069</v>
      </c>
      <c r="G646" s="5">
        <f>ตัวคูณโรงพยาบาล!G715</f>
        <v>307.65966571238494</v>
      </c>
      <c r="H646" s="5">
        <f>ตัวคูณโรงพยาบาล!H715</f>
        <v>212.57075347999836</v>
      </c>
      <c r="I646" s="5">
        <f>ตัวคูณโรงพยาบาล!I715</f>
        <v>32.164129147792885</v>
      </c>
      <c r="J646" s="5">
        <f>ตัวคูณโรงพยาบาล!J715</f>
        <v>2.2471428571428573</v>
      </c>
      <c r="K646" s="5">
        <f>ตัวคูณโรงพยาบาล!K715</f>
        <v>6.0606060606060608E-2</v>
      </c>
      <c r="L646" s="5">
        <f t="shared" si="10"/>
        <v>733.19960075763197</v>
      </c>
    </row>
    <row r="647" spans="1:12" x14ac:dyDescent="0.25">
      <c r="A647" s="14"/>
      <c r="C647" t="s">
        <v>87</v>
      </c>
      <c r="D647" s="5">
        <f>ตัวคูณโรงพยาบาล!D716</f>
        <v>0</v>
      </c>
      <c r="E647" s="5">
        <f>ตัวคูณโรงพยาบาล!E716</f>
        <v>0</v>
      </c>
      <c r="F647" s="5">
        <f>ตัวคูณโรงพยาบาล!F716</f>
        <v>161.6796507882957</v>
      </c>
      <c r="G647" s="5">
        <f>ตัวคูณโรงพยาบาล!G716</f>
        <v>446.72640156068655</v>
      </c>
      <c r="H647" s="5">
        <f>ตัวคูณโรงพยาบาล!H716</f>
        <v>164.28606723075927</v>
      </c>
      <c r="I647" s="5">
        <f>ตัวคูณโรงพยาบาล!I716</f>
        <v>21.717226755408625</v>
      </c>
      <c r="J647" s="5">
        <f>ตัวคูณโรงพยาบาล!J716</f>
        <v>8.2899936512487589</v>
      </c>
      <c r="K647" s="5">
        <f>ตัวคูณโรงพยาบาล!K716</f>
        <v>6.0606060606060608E-2</v>
      </c>
      <c r="L647" s="5">
        <f t="shared" si="10"/>
        <v>802.75994604700497</v>
      </c>
    </row>
    <row r="648" spans="1:12" x14ac:dyDescent="0.25">
      <c r="A648" s="14"/>
      <c r="C648" t="s">
        <v>88</v>
      </c>
      <c r="D648" s="5">
        <f>ตัวคูณโรงพยาบาล!D717</f>
        <v>0</v>
      </c>
      <c r="E648" s="5">
        <f>ตัวคูณโรงพยาบาล!E717</f>
        <v>0</v>
      </c>
      <c r="F648" s="5">
        <f>ตัวคูณโรงพยาบาล!F717</f>
        <v>1122.7559781260923</v>
      </c>
      <c r="G648" s="5">
        <f>ตัวคูณโรงพยาบาล!G717</f>
        <v>2066.2505606510213</v>
      </c>
      <c r="H648" s="5">
        <f>ตัวคูณโรงพยาบาล!H717</f>
        <v>1449.2098080238893</v>
      </c>
      <c r="I648" s="5">
        <f>ตัวคูณโรงพยาบาล!I717</f>
        <v>205.73556731463486</v>
      </c>
      <c r="J648" s="5">
        <f>ตัวคูณโรงพยาบาล!J717</f>
        <v>18.827130159640376</v>
      </c>
      <c r="K648" s="5">
        <f>ตัวคูณโรงพยาบาล!K717</f>
        <v>2.2541405742609957</v>
      </c>
      <c r="L648" s="5">
        <f t="shared" si="10"/>
        <v>4865.0331848495398</v>
      </c>
    </row>
    <row r="649" spans="1:12" x14ac:dyDescent="0.25">
      <c r="A649" s="14"/>
      <c r="C649" t="s">
        <v>89</v>
      </c>
      <c r="D649" s="5">
        <f>ตัวคูณโรงพยาบาล!D718</f>
        <v>0</v>
      </c>
      <c r="E649" s="5">
        <f>ตัวคูณโรงพยาบาล!E718</f>
        <v>0</v>
      </c>
      <c r="F649" s="5">
        <f>ตัวคูณโรงพยาบาล!F718</f>
        <v>93.56962743107124</v>
      </c>
      <c r="G649" s="5">
        <f>ตัวคูณโรงพยาบาล!G718</f>
        <v>198.33042125586655</v>
      </c>
      <c r="H649" s="5">
        <f>ตัวคูณโรงพยาบาล!H718</f>
        <v>100.35836380184264</v>
      </c>
      <c r="I649" s="5">
        <f>ตัวคูณโรงพยาบาล!I718</f>
        <v>2.5806214337586884</v>
      </c>
      <c r="J649" s="5">
        <f>ตัวคูณโรงพยาบาล!J718</f>
        <v>2.2471428571428573</v>
      </c>
      <c r="K649" s="5">
        <f>ตัวคูณโรงพยาบาล!K718</f>
        <v>6.0606060606060608E-2</v>
      </c>
      <c r="L649" s="5">
        <f t="shared" si="10"/>
        <v>397.14678284028804</v>
      </c>
    </row>
    <row r="650" spans="1:12" x14ac:dyDescent="0.25">
      <c r="A650" s="14"/>
      <c r="C650" t="s">
        <v>90</v>
      </c>
      <c r="D650" s="5">
        <f>ตัวคูณโรงพยาบาล!D719</f>
        <v>0</v>
      </c>
      <c r="E650" s="5">
        <f>ตัวคูณโรงพยาบาล!E719</f>
        <v>0</v>
      </c>
      <c r="F650" s="5">
        <f>ตัวคูณโรงพยาบาล!F719</f>
        <v>0</v>
      </c>
      <c r="G650" s="5">
        <f>ตัวคูณโรงพยาบาล!G719</f>
        <v>0</v>
      </c>
      <c r="H650" s="5">
        <f>ตัวคูณโรงพยาบาล!H719</f>
        <v>12.67605617054083</v>
      </c>
      <c r="I650" s="5">
        <f>ตัวคูณโรงพยาบาล!I719</f>
        <v>2.5806214337586884</v>
      </c>
      <c r="J650" s="5">
        <f>ตัวคูณโรงพยาบาล!J719</f>
        <v>0</v>
      </c>
      <c r="K650" s="5">
        <f>ตัวคูณโรงพยาบาล!K719</f>
        <v>6.0606060606060608E-2</v>
      </c>
      <c r="L650" s="5">
        <f t="shared" si="10"/>
        <v>15.317283664905579</v>
      </c>
    </row>
    <row r="651" spans="1:12" x14ac:dyDescent="0.25">
      <c r="A651" s="14"/>
      <c r="C651" t="s">
        <v>91</v>
      </c>
      <c r="D651" s="5">
        <f>ตัวคูณโรงพยาบาล!D720</f>
        <v>0</v>
      </c>
      <c r="E651" s="5">
        <f>ตัวคูณโรงพยาบาล!E720</f>
        <v>0</v>
      </c>
      <c r="F651" s="5">
        <f>ตัวคูณโรงพยาบาล!F720</f>
        <v>11.003896229180766</v>
      </c>
      <c r="G651" s="5">
        <f>ตัวคูณโรงพยาบาล!G720</f>
        <v>47.111347528670919</v>
      </c>
      <c r="H651" s="5">
        <f>ตัวคูณโรงพยาบาล!H720</f>
        <v>27.461966971929414</v>
      </c>
      <c r="I651" s="5">
        <f>ตัวคูณโรงพยาบาล!I720</f>
        <v>0</v>
      </c>
      <c r="J651" s="5">
        <f>ตัวคูณโรงพยาบาล!J720</f>
        <v>0</v>
      </c>
      <c r="K651" s="5">
        <f>ตัวคูณโรงพยาบาล!K720</f>
        <v>6.0606060606060608E-2</v>
      </c>
      <c r="L651" s="5">
        <f t="shared" si="10"/>
        <v>85.637816790387163</v>
      </c>
    </row>
    <row r="652" spans="1:12" x14ac:dyDescent="0.25">
      <c r="A652" s="14"/>
      <c r="C652" t="s">
        <v>92</v>
      </c>
      <c r="D652" s="5">
        <f>ตัวคูณโรงพยาบาล!D721</f>
        <v>0</v>
      </c>
      <c r="E652" s="5">
        <f>ตัวคูณโรงพยาบาล!E721</f>
        <v>0</v>
      </c>
      <c r="F652" s="5">
        <f>ตัวคูณโรงพยาบาล!F721</f>
        <v>5.3526619557208583</v>
      </c>
      <c r="G652" s="5">
        <f>ตัวคูณโรงพยาบาล!G721</f>
        <v>0</v>
      </c>
      <c r="H652" s="5">
        <f>ตัวคูณโรงพยาบาล!H721</f>
        <v>6.3380280852704152</v>
      </c>
      <c r="I652" s="5">
        <f>ตัวคูณโรงพยาบาล!I721</f>
        <v>0</v>
      </c>
      <c r="J652" s="5">
        <f>ตัวคูณโรงพยาบาล!J721</f>
        <v>0</v>
      </c>
      <c r="K652" s="5">
        <f>ตัวคูณโรงพยาบาล!K721</f>
        <v>6.0606060606060608E-2</v>
      </c>
      <c r="L652" s="5">
        <f t="shared" si="10"/>
        <v>11.751296101597335</v>
      </c>
    </row>
    <row r="653" spans="1:12" x14ac:dyDescent="0.25">
      <c r="A653" s="14"/>
      <c r="C653" t="s">
        <v>93</v>
      </c>
      <c r="D653" s="5">
        <f>ตัวคูณโรงพยาบาล!D722</f>
        <v>0</v>
      </c>
      <c r="E653" s="5">
        <f>ตัวคูณโรงพยาบาล!E722</f>
        <v>0</v>
      </c>
      <c r="F653" s="5">
        <f>ตัวคูณโรงพยาบาล!F722</f>
        <v>1.8837447578199693</v>
      </c>
      <c r="G653" s="5">
        <f>ตัวคูณโรงพยาบาล!G722</f>
        <v>0</v>
      </c>
      <c r="H653" s="5">
        <f>ตัวคูณโรงพยาบาล!H722</f>
        <v>12.154036315272808</v>
      </c>
      <c r="I653" s="5">
        <f>ตัวคูณโรงพยาบาล!I722</f>
        <v>0</v>
      </c>
      <c r="J653" s="5">
        <f>ตัวคูณโรงพยาบาล!J722</f>
        <v>0</v>
      </c>
      <c r="K653" s="5">
        <f>ตัวคูณโรงพยาบาล!K722</f>
        <v>6.0606060606060608E-2</v>
      </c>
      <c r="L653" s="5">
        <f t="shared" si="10"/>
        <v>14.098387133698838</v>
      </c>
    </row>
    <row r="654" spans="1:12" x14ac:dyDescent="0.25">
      <c r="A654" s="14"/>
      <c r="C654" t="s">
        <v>94</v>
      </c>
      <c r="D654" s="5">
        <f>ตัวคูณโรงพยาบาล!D723</f>
        <v>0</v>
      </c>
      <c r="E654" s="5">
        <f>ตัวคูณโรงพยาบาล!E723</f>
        <v>0</v>
      </c>
      <c r="F654" s="5">
        <f>ตัวคูณโรงพยาบาล!F723</f>
        <v>0</v>
      </c>
      <c r="G654" s="5">
        <f>ตัวคูณโรงพยาบาล!G723</f>
        <v>0</v>
      </c>
      <c r="H654" s="5">
        <f>ตัวคูณโรงพยาบาล!H723</f>
        <v>0</v>
      </c>
      <c r="I654" s="5">
        <f>ตัวคูณโรงพยาบาล!I723</f>
        <v>0</v>
      </c>
      <c r="J654" s="5">
        <f>ตัวคูณโรงพยาบาล!J723</f>
        <v>0</v>
      </c>
      <c r="K654" s="5">
        <f>ตัวคูณโรงพยาบาล!K723</f>
        <v>6.0606060606060608E-2</v>
      </c>
      <c r="L654" s="5">
        <f t="shared" si="10"/>
        <v>6.0606060606060608E-2</v>
      </c>
    </row>
    <row r="655" spans="1:12" x14ac:dyDescent="0.25">
      <c r="A655" s="14"/>
      <c r="C655" t="s">
        <v>95</v>
      </c>
      <c r="D655" s="5">
        <f>ตัวคูณโรงพยาบาล!D724</f>
        <v>0</v>
      </c>
      <c r="E655" s="5">
        <f>ตัวคูณโรงพยาบาล!E724</f>
        <v>0</v>
      </c>
      <c r="F655" s="5">
        <f>ตัวคูณโรงพยาบาล!F724</f>
        <v>0</v>
      </c>
      <c r="G655" s="5">
        <f>ตัวคูณโรงพยาบาล!G724</f>
        <v>0</v>
      </c>
      <c r="H655" s="5">
        <f>ตัวคูณโรงพยาบาล!H724</f>
        <v>0</v>
      </c>
      <c r="I655" s="5">
        <f>ตัวคูณโรงพยาบาล!I724</f>
        <v>0</v>
      </c>
      <c r="J655" s="5">
        <f>ตัวคูณโรงพยาบาล!J724</f>
        <v>0</v>
      </c>
      <c r="K655" s="5">
        <f>ตัวคูณโรงพยาบาล!K724</f>
        <v>6.0606060606060608E-2</v>
      </c>
      <c r="L655" s="5">
        <f t="shared" si="10"/>
        <v>6.0606060606060608E-2</v>
      </c>
    </row>
    <row r="656" spans="1:12" x14ac:dyDescent="0.25">
      <c r="A656" s="14"/>
      <c r="C656" t="s">
        <v>96</v>
      </c>
      <c r="D656" s="5">
        <f>ตัวคูณโรงพยาบาล!D725</f>
        <v>0</v>
      </c>
      <c r="E656" s="5">
        <f>ตัวคูณโรงพยาบาล!E725</f>
        <v>0</v>
      </c>
      <c r="F656" s="5">
        <f>ตัวคูณโรงพยาบาล!F725</f>
        <v>1.8837447578199693</v>
      </c>
      <c r="G656" s="5">
        <f>ตัวคูณโรงพยาบาล!G725</f>
        <v>5.9479873105241996</v>
      </c>
      <c r="H656" s="5">
        <f>ตัวคูณโรงพยาบาล!H725</f>
        <v>6.3380280852704152</v>
      </c>
      <c r="I656" s="5">
        <f>ตัวคูณโรงพยาบาล!I725</f>
        <v>0</v>
      </c>
      <c r="J656" s="5">
        <f>ตัวคูณโรงพยาบาล!J725</f>
        <v>0</v>
      </c>
      <c r="K656" s="5">
        <f>ตัวคูณโรงพยาบาล!K725</f>
        <v>6.0606060606060608E-2</v>
      </c>
      <c r="L656" s="5">
        <f t="shared" si="10"/>
        <v>14.230366214220645</v>
      </c>
    </row>
    <row r="657" spans="1:12" x14ac:dyDescent="0.25">
      <c r="A657" s="14"/>
      <c r="C657" t="s">
        <v>97</v>
      </c>
      <c r="D657" s="5">
        <f>ตัวคูณโรงพยาบาล!D726</f>
        <v>0</v>
      </c>
      <c r="E657" s="5">
        <f>ตัวคูณโรงพยาบาล!E726</f>
        <v>0</v>
      </c>
      <c r="F657" s="5">
        <f>ตัวคูณโรงพยาบาล!F726</f>
        <v>34.596861127623214</v>
      </c>
      <c r="G657" s="5">
        <f>ตัวคูณโรงพยาบาล!G726</f>
        <v>88.747258702340318</v>
      </c>
      <c r="H657" s="5">
        <f>ตัวคูณโรงพยาบาล!H726</f>
        <v>34.870646659069905</v>
      </c>
      <c r="I657" s="5">
        <f>ตัวคูณโรงพยาบาล!I726</f>
        <v>0</v>
      </c>
      <c r="J657" s="5">
        <f>ตัวคูณโรงพยาบาล!J726</f>
        <v>0</v>
      </c>
      <c r="K657" s="5">
        <f>ตัวคูณโรงพยาบาล!K726</f>
        <v>6.0606060606060608E-2</v>
      </c>
      <c r="L657" s="5">
        <f t="shared" si="10"/>
        <v>158.27537254963948</v>
      </c>
    </row>
    <row r="658" spans="1:12" x14ac:dyDescent="0.25">
      <c r="A658" s="14"/>
      <c r="C658" t="s">
        <v>98</v>
      </c>
      <c r="D658" s="5">
        <f>ตัวคูณโรงพยาบาล!D727</f>
        <v>0</v>
      </c>
      <c r="E658" s="5">
        <f>ตัวคูณโรงพยาบาล!E727</f>
        <v>0</v>
      </c>
      <c r="F658" s="5">
        <f>ตัวคูณโรงพยาบาล!F727</f>
        <v>67.309977497426473</v>
      </c>
      <c r="G658" s="5">
        <f>ตัวคูณโรงพยาบาล!G727</f>
        <v>251.30552425619862</v>
      </c>
      <c r="H658" s="5">
        <f>ตัวคูณโรงพยาบาล!H727</f>
        <v>179.59641622819504</v>
      </c>
      <c r="I658" s="5">
        <f>ตัวคูณโรงพยาบาล!I727</f>
        <v>41.912026226886532</v>
      </c>
      <c r="J658" s="5">
        <f>ตัวคูณโรงพยาบาล!J727</f>
        <v>8.2899936512487589</v>
      </c>
      <c r="K658" s="5">
        <f>ตัวคูณโรงพยาบาล!K727</f>
        <v>6.0606060606060608E-2</v>
      </c>
      <c r="L658" s="5">
        <f t="shared" si="10"/>
        <v>548.47454392056147</v>
      </c>
    </row>
    <row r="659" spans="1:12" x14ac:dyDescent="0.25">
      <c r="A659" s="14"/>
      <c r="C659" t="s">
        <v>119</v>
      </c>
      <c r="D659" s="5">
        <f>ตัวคูณโรงพยาบาล!D728</f>
        <v>0</v>
      </c>
      <c r="E659" s="5">
        <f>ตัวคูณโรงพยาบาล!E728</f>
        <v>0</v>
      </c>
      <c r="F659" s="5">
        <f>ตัวคูณโรงพยาบาล!F728</f>
        <v>18.240302942721595</v>
      </c>
      <c r="G659" s="5">
        <f>ตัวคูณโรงพยาบาล!G728</f>
        <v>77.577753133822426</v>
      </c>
      <c r="H659" s="5">
        <f>ตัวคูณโรงพยาบาล!H728</f>
        <v>20.604337372170164</v>
      </c>
      <c r="I659" s="5">
        <f>ตัวคูณโรงพยาบาล!I728</f>
        <v>2.5806214337586884</v>
      </c>
      <c r="J659" s="5">
        <f>ตัวคูณโรงพยาบาล!J728</f>
        <v>0</v>
      </c>
      <c r="K659" s="5">
        <f>ตัวคูณโรงพยาบาล!K728</f>
        <v>6.0606060606060608E-2</v>
      </c>
      <c r="L659" s="5">
        <f t="shared" si="10"/>
        <v>119.06362094307894</v>
      </c>
    </row>
    <row r="660" spans="1:12" x14ac:dyDescent="0.25">
      <c r="A660" s="14"/>
      <c r="C660" t="s">
        <v>99</v>
      </c>
      <c r="D660" s="5">
        <f>ตัวคูณโรงพยาบาล!D729</f>
        <v>0</v>
      </c>
      <c r="E660" s="5">
        <f>ตัวคูณโรงพยาบาล!E729</f>
        <v>0</v>
      </c>
      <c r="F660" s="5">
        <f>ตัวคูณโรงพยาบาล!F729</f>
        <v>62.678195960711776</v>
      </c>
      <c r="G660" s="5">
        <f>ตัวคูณโรงพยาบาล!G729</f>
        <v>110.69733943250698</v>
      </c>
      <c r="H660" s="5">
        <f>ตัวคูณโรงพยาบาล!H729</f>
        <v>67.603617625568447</v>
      </c>
      <c r="I660" s="5">
        <f>ตัวคูณโรงพยาบาล!I729</f>
        <v>7.8662809586255698</v>
      </c>
      <c r="J660" s="5">
        <f>ตัวคูณโรงพยาบาล!J729</f>
        <v>0</v>
      </c>
      <c r="K660" s="5">
        <f>ตัวคูณโรงพยาบาล!K729</f>
        <v>6.0606060606060608E-2</v>
      </c>
      <c r="L660" s="5">
        <f t="shared" si="10"/>
        <v>248.90604003801883</v>
      </c>
    </row>
    <row r="661" spans="1:12" x14ac:dyDescent="0.25">
      <c r="A661" s="14"/>
      <c r="C661" t="s">
        <v>100</v>
      </c>
      <c r="D661" s="5">
        <f>ตัวคูณโรงพยาบาล!D730</f>
        <v>0</v>
      </c>
      <c r="E661" s="5">
        <f>ตัวคูณโรงพยาบาล!E730</f>
        <v>0</v>
      </c>
      <c r="F661" s="5">
        <f>ตัวคูณโรงพยาบาล!F730</f>
        <v>1726.292996311372</v>
      </c>
      <c r="G661" s="5">
        <f>ตัวคูณโรงพยาบาล!G730</f>
        <v>3933.4511681632198</v>
      </c>
      <c r="H661" s="5">
        <f>ตัวคูณโรงพยาบาล!H730</f>
        <v>2334.5368984674569</v>
      </c>
      <c r="I661" s="5">
        <f>ตัวคูณโรงพยาบาล!I730</f>
        <v>403.47868351366844</v>
      </c>
      <c r="J661" s="5">
        <f>ตัวคูณโรงพยาบาล!J730</f>
        <v>35.40711746213789</v>
      </c>
      <c r="K661" s="5">
        <f>ตัวคูณโรงพยาบาล!K730</f>
        <v>6.0606060606060608E-2</v>
      </c>
      <c r="L661" s="5">
        <f t="shared" si="10"/>
        <v>8433.227469978463</v>
      </c>
    </row>
    <row r="662" spans="1:12" x14ac:dyDescent="0.25">
      <c r="A662" s="14"/>
      <c r="C662" t="s">
        <v>101</v>
      </c>
      <c r="D662" s="5">
        <f>ตัวคูณโรงพยาบาล!D731</f>
        <v>0</v>
      </c>
      <c r="E662" s="5">
        <f>ตัวคูณโรงพยาบาล!E731</f>
        <v>0</v>
      </c>
      <c r="F662" s="5">
        <f>ตัวคูณโรงพยาบาล!F731</f>
        <v>108.1530312310871</v>
      </c>
      <c r="G662" s="5">
        <f>ตัวคูณโรงพยาบาล!G731</f>
        <v>166.40985496523516</v>
      </c>
      <c r="H662" s="5">
        <f>ตัวคูณโรงพยาบาล!H731</f>
        <v>69.714681426805782</v>
      </c>
      <c r="I662" s="5">
        <f>ตัวคูณโรงพยาบาล!I731</f>
        <v>24.297848189167311</v>
      </c>
      <c r="J662" s="5">
        <f>ตัวคูณโรงพยาบาล!J731</f>
        <v>0</v>
      </c>
      <c r="K662" s="5">
        <f>ตัวคูณโรงพยาบาล!K731</f>
        <v>6.0606060606060608E-2</v>
      </c>
      <c r="L662" s="5">
        <f t="shared" si="10"/>
        <v>368.63602187290144</v>
      </c>
    </row>
    <row r="664" spans="1:12" x14ac:dyDescent="0.25">
      <c r="C664" t="s">
        <v>145</v>
      </c>
      <c r="D664" s="5">
        <f>SUM(D3:D332)</f>
        <v>0</v>
      </c>
      <c r="E664" s="5">
        <f t="shared" ref="E664:L664" si="11">SUM(E3:E332)</f>
        <v>0</v>
      </c>
      <c r="F664" s="5">
        <f t="shared" si="11"/>
        <v>30312.503994643768</v>
      </c>
      <c r="G664" s="5">
        <f t="shared" si="11"/>
        <v>43459.206503451205</v>
      </c>
      <c r="H664" s="5">
        <f t="shared" si="11"/>
        <v>20377.940992096577</v>
      </c>
      <c r="I664" s="5">
        <f t="shared" si="11"/>
        <v>2987.1852630923963</v>
      </c>
      <c r="J664" s="5">
        <f t="shared" si="11"/>
        <v>478.25472736667899</v>
      </c>
      <c r="K664" s="5">
        <f t="shared" si="11"/>
        <v>76.704311243197381</v>
      </c>
      <c r="L664" s="5">
        <f t="shared" si="11"/>
        <v>97691.795791893659</v>
      </c>
    </row>
    <row r="665" spans="1:12" x14ac:dyDescent="0.25">
      <c r="C665" t="s">
        <v>146</v>
      </c>
      <c r="D665" s="5">
        <f>SUM(D333:D662)</f>
        <v>0</v>
      </c>
      <c r="E665" s="5">
        <f t="shared" ref="E665:L665" si="12">SUM(E333:E662)</f>
        <v>0</v>
      </c>
      <c r="F665" s="5">
        <f t="shared" si="12"/>
        <v>13994.716209128461</v>
      </c>
      <c r="G665" s="5">
        <f t="shared" si="12"/>
        <v>22318.161334217875</v>
      </c>
      <c r="H665" s="5">
        <f t="shared" si="12"/>
        <v>12600.447134889771</v>
      </c>
      <c r="I665" s="5">
        <f t="shared" si="12"/>
        <v>1917.6868566956246</v>
      </c>
      <c r="J665" s="5">
        <f t="shared" si="12"/>
        <v>247.3541097924367</v>
      </c>
      <c r="K665" s="5">
        <f t="shared" si="12"/>
        <v>20.548276109239538</v>
      </c>
      <c r="L665" s="5">
        <f t="shared" si="12"/>
        <v>51098.913920833482</v>
      </c>
    </row>
    <row r="666" spans="1:12" x14ac:dyDescent="0.25">
      <c r="L666" s="5">
        <f>SUM(L664:L665)</f>
        <v>148790.70971272714</v>
      </c>
    </row>
    <row r="668" spans="1:12" x14ac:dyDescent="0.25">
      <c r="C668" s="8" t="s">
        <v>155</v>
      </c>
      <c r="D668" s="8"/>
      <c r="E668" s="8"/>
    </row>
    <row r="669" spans="1:12" x14ac:dyDescent="0.25">
      <c r="C669" s="27" t="str">
        <f>data_redis_illX!C1986</f>
        <v>male</v>
      </c>
      <c r="D669" s="27">
        <f>data_redis_illX!E1986</f>
        <v>0</v>
      </c>
      <c r="E669" s="27">
        <f>data_redis_illX!F1986</f>
        <v>0</v>
      </c>
      <c r="F669" s="27">
        <f>data_redis_illX!G1986</f>
        <v>19129.999999999964</v>
      </c>
      <c r="G669" s="27">
        <f>data_redis_illX!H1986</f>
        <v>27109.999999999971</v>
      </c>
      <c r="H669" s="27">
        <f>data_redis_illX!I1986</f>
        <v>13210.999999999989</v>
      </c>
      <c r="I669" s="27">
        <f>data_redis_illX!J1986</f>
        <v>1806.0000000000011</v>
      </c>
      <c r="J669" s="27">
        <f>data_redis_illX!K1986</f>
        <v>274</v>
      </c>
      <c r="K669" s="27">
        <f>data_redis_illX!L1986</f>
        <v>42.000000000000007</v>
      </c>
      <c r="L669" s="27">
        <f>data_redis_illX!M1986</f>
        <v>61572.999999999927</v>
      </c>
    </row>
    <row r="670" spans="1:12" x14ac:dyDescent="0.25">
      <c r="C670" s="27" t="str">
        <f>data_redis_illX!C1987</f>
        <v>female</v>
      </c>
      <c r="D670" s="27">
        <f>data_redis_illX!E1987</f>
        <v>0</v>
      </c>
      <c r="E670" s="27">
        <f>data_redis_illX!F1987</f>
        <v>0</v>
      </c>
      <c r="F670" s="27">
        <f>data_redis_illX!G1987</f>
        <v>8601.0000000000018</v>
      </c>
      <c r="G670" s="27">
        <f>data_redis_illX!H1987</f>
        <v>13690</v>
      </c>
      <c r="H670" s="27">
        <f>data_redis_illX!I1987</f>
        <v>7871.9999999999982</v>
      </c>
      <c r="I670" s="27">
        <f>data_redis_illX!J1987</f>
        <v>1107</v>
      </c>
      <c r="J670" s="27">
        <f>data_redis_illX!K1987</f>
        <v>144.99999999999997</v>
      </c>
      <c r="K670" s="27">
        <f>data_redis_illX!L1987</f>
        <v>10.999999999999998</v>
      </c>
      <c r="L670" s="27">
        <f>data_redis_illX!M1987</f>
        <v>31426</v>
      </c>
    </row>
    <row r="671" spans="1:12" x14ac:dyDescent="0.25">
      <c r="C671" s="27"/>
      <c r="D671" s="27">
        <f>data_redis_illX!E1988</f>
        <v>0</v>
      </c>
      <c r="E671" s="27">
        <f>data_redis_illX!F1988</f>
        <v>0</v>
      </c>
      <c r="F671" s="27">
        <f>data_redis_illX!G1988</f>
        <v>27730.999999999964</v>
      </c>
      <c r="G671" s="27">
        <f>data_redis_illX!H1988</f>
        <v>40799.999999999971</v>
      </c>
      <c r="H671" s="27">
        <f>data_redis_illX!I1988</f>
        <v>21082.999999999985</v>
      </c>
      <c r="I671" s="27">
        <f>data_redis_illX!J1988</f>
        <v>2913.0000000000009</v>
      </c>
      <c r="J671" s="27">
        <f>data_redis_illX!K1988</f>
        <v>419</v>
      </c>
      <c r="K671" s="27">
        <f>data_redis_illX!L1988</f>
        <v>53.000000000000007</v>
      </c>
      <c r="L671" s="27">
        <f>data_redis_illX!M1988</f>
        <v>92998.999999999927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84"/>
  <sheetViews>
    <sheetView tabSelected="1" topLeftCell="O1" zoomScale="90" zoomScaleNormal="90" workbookViewId="0">
      <pane ySplit="3" topLeftCell="A4" activePane="bottomLeft" state="frozen"/>
      <selection activeCell="G1" sqref="G1"/>
      <selection pane="bottomLeft" activeCell="AG14" sqref="AG14"/>
    </sheetView>
  </sheetViews>
  <sheetFormatPr defaultRowHeight="15" x14ac:dyDescent="0.25"/>
  <cols>
    <col min="4" max="11" width="8.85546875" customWidth="1"/>
    <col min="14" max="14" width="16.5703125" customWidth="1"/>
    <col min="16" max="16" width="13.140625" style="2" customWidth="1"/>
    <col min="17" max="18" width="10.42578125" style="2" bestFit="1" customWidth="1"/>
    <col min="19" max="21" width="11.42578125" style="2" bestFit="1" customWidth="1"/>
    <col min="22" max="24" width="10.42578125" style="2" bestFit="1" customWidth="1"/>
    <col min="25" max="25" width="10.42578125" customWidth="1"/>
    <col min="31" max="33" width="16.28515625" customWidth="1"/>
  </cols>
  <sheetData>
    <row r="1" spans="1:35" x14ac:dyDescent="0.25">
      <c r="A1" s="22" t="s">
        <v>121</v>
      </c>
      <c r="B1" s="22"/>
      <c r="C1" s="22"/>
      <c r="D1" s="22"/>
      <c r="M1" s="4" t="s">
        <v>154</v>
      </c>
      <c r="N1" s="4"/>
      <c r="AC1" s="4" t="s">
        <v>120</v>
      </c>
      <c r="AD1" s="4"/>
      <c r="AE1" s="4"/>
    </row>
    <row r="2" spans="1:35" x14ac:dyDescent="0.25">
      <c r="D2" t="s">
        <v>0</v>
      </c>
      <c r="Q2" s="2" t="s">
        <v>57</v>
      </c>
    </row>
    <row r="3" spans="1:3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M3" t="s">
        <v>1</v>
      </c>
      <c r="N3" t="s">
        <v>55</v>
      </c>
      <c r="O3" t="s">
        <v>2</v>
      </c>
      <c r="P3" s="2" t="s">
        <v>3</v>
      </c>
      <c r="Q3" s="2" t="s">
        <v>62</v>
      </c>
      <c r="R3" s="2" t="s">
        <v>63</v>
      </c>
      <c r="S3" s="2" t="s">
        <v>64</v>
      </c>
      <c r="T3" s="2" t="s">
        <v>65</v>
      </c>
      <c r="U3" s="2" t="s">
        <v>66</v>
      </c>
      <c r="V3" s="2" t="s">
        <v>67</v>
      </c>
      <c r="W3" s="2" t="s">
        <v>68</v>
      </c>
      <c r="X3" s="2" t="s">
        <v>69</v>
      </c>
      <c r="Y3" t="s">
        <v>56</v>
      </c>
      <c r="AD3" t="str">
        <f>[1]Utilization!B73</f>
        <v>Age group</v>
      </c>
      <c r="AE3" t="s">
        <v>59</v>
      </c>
      <c r="AF3" t="s">
        <v>60</v>
      </c>
      <c r="AG3" t="s">
        <v>61</v>
      </c>
      <c r="AH3" t="str">
        <f>[1]Utilization!F73</f>
        <v>Total</v>
      </c>
      <c r="AI3" s="8" t="s">
        <v>122</v>
      </c>
    </row>
    <row r="4" spans="1:35" x14ac:dyDescent="0.25">
      <c r="A4">
        <v>1</v>
      </c>
      <c r="B4" s="1" t="s">
        <v>102</v>
      </c>
      <c r="C4" t="s">
        <v>12</v>
      </c>
      <c r="D4" s="5">
        <f t="array" ref="D4:K4">(Q4:X4*AE$4:AE$11+Q367:Y367*AF$4:AF$11+Q730:Y730*AG$4:AG$11)</f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M4">
        <v>1</v>
      </c>
      <c r="N4" t="s">
        <v>103</v>
      </c>
      <c r="O4" t="s">
        <v>102</v>
      </c>
      <c r="P4" s="2" t="s">
        <v>12</v>
      </c>
      <c r="Q4" s="10"/>
      <c r="R4" s="10"/>
      <c r="S4" s="10"/>
      <c r="T4" s="10"/>
      <c r="U4" s="10"/>
      <c r="V4" s="10"/>
      <c r="W4" s="10"/>
      <c r="X4" s="10"/>
      <c r="Y4" s="5">
        <f>SUM(Q4:X4)</f>
        <v>0</v>
      </c>
      <c r="AC4" t="str">
        <f>[1]Utilization!A74</f>
        <v>Males</v>
      </c>
      <c r="AD4">
        <f>[1]Utilization!B74</f>
        <v>0</v>
      </c>
      <c r="AE4" s="13">
        <f>[2]Utilization2013!C95</f>
        <v>1</v>
      </c>
      <c r="AF4" s="13">
        <f>[2]Utilization2013!D95</f>
        <v>1</v>
      </c>
      <c r="AG4" s="13">
        <f>[117]Utilization2014!E95</f>
        <v>2.1935345136549351</v>
      </c>
      <c r="AH4" s="12">
        <f>[2]Utilization2013!F95</f>
        <v>1</v>
      </c>
      <c r="AI4" s="21">
        <v>2.112174392523364</v>
      </c>
    </row>
    <row r="5" spans="1:35" x14ac:dyDescent="0.25">
      <c r="C5" t="s">
        <v>13</v>
      </c>
      <c r="D5" s="5">
        <f t="array" ref="D5:K5">(Q5:X5*AE$4:AE$11+Q368:Y368*AF$4:AF$11+Q731:Y731*AG$4:AG$11)</f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P5" s="2" t="s">
        <v>13</v>
      </c>
      <c r="Q5" s="10"/>
      <c r="R5" s="10"/>
      <c r="S5" s="10"/>
      <c r="T5" s="10"/>
      <c r="U5" s="10"/>
      <c r="V5" s="10"/>
      <c r="W5" s="10"/>
      <c r="X5" s="10"/>
      <c r="Y5" s="5">
        <f t="shared" ref="Y5:Y68" si="0">SUM(Q5:X5)</f>
        <v>0</v>
      </c>
      <c r="AD5">
        <f>[1]Utilization!B75</f>
        <v>5</v>
      </c>
      <c r="AE5" s="13">
        <f>[2]Utilization2013!C96</f>
        <v>1</v>
      </c>
      <c r="AF5" s="13">
        <f>[2]Utilization2013!D96</f>
        <v>1</v>
      </c>
      <c r="AG5" s="13">
        <f>[117]Utilization2014!E96</f>
        <v>5.0899224806201548</v>
      </c>
      <c r="AH5" s="12">
        <f>[2]Utilization2013!F96</f>
        <v>1.0255880444967684</v>
      </c>
      <c r="AI5" s="21">
        <v>3.5697226942726541</v>
      </c>
    </row>
    <row r="6" spans="1:35" x14ac:dyDescent="0.25">
      <c r="C6" t="s">
        <v>14</v>
      </c>
      <c r="D6" s="5">
        <f t="array" ref="D6:K6">(Q6:X6*AE$4:AE$11+Q369:Y369*AF$4:AF$11+Q732:Y732*AG$4:AG$11)</f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P6" s="2" t="s">
        <v>14</v>
      </c>
      <c r="Q6" s="10"/>
      <c r="R6" s="10"/>
      <c r="S6" s="10"/>
      <c r="T6" s="10"/>
      <c r="U6" s="10"/>
      <c r="V6" s="10"/>
      <c r="W6" s="10"/>
      <c r="X6" s="10"/>
      <c r="Y6" s="5">
        <f t="shared" si="0"/>
        <v>0</v>
      </c>
      <c r="AD6">
        <f>[1]Utilization!B76</f>
        <v>15</v>
      </c>
      <c r="AE6" s="13">
        <f>[2]Utilization2013!C97</f>
        <v>1</v>
      </c>
      <c r="AF6" s="13">
        <f>[2]Utilization2013!D97</f>
        <v>1</v>
      </c>
      <c r="AG6" s="13">
        <f>[117]Utilization2014!E97</f>
        <v>1</v>
      </c>
      <c r="AH6" s="12">
        <f>[2]Utilization2013!F97</f>
        <v>1</v>
      </c>
      <c r="AI6" s="21">
        <v>1</v>
      </c>
    </row>
    <row r="7" spans="1:35" x14ac:dyDescent="0.25">
      <c r="C7" t="s">
        <v>15</v>
      </c>
      <c r="D7" s="5">
        <f t="array" ref="D7:K7">(Q7:X7*AE$4:AE$11+Q370:Y370*AF$4:AF$11+Q733:Y733*AG$4:AG$11)</f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P7" s="2" t="s">
        <v>15</v>
      </c>
      <c r="Q7" s="10"/>
      <c r="R7" s="10"/>
      <c r="S7" s="10"/>
      <c r="T7" s="10"/>
      <c r="U7" s="10"/>
      <c r="V7" s="10"/>
      <c r="W7" s="10"/>
      <c r="X7" s="10"/>
      <c r="Y7" s="5">
        <f t="shared" si="0"/>
        <v>0</v>
      </c>
      <c r="AD7">
        <f>[1]Utilization!B77</f>
        <v>30</v>
      </c>
      <c r="AE7" s="13">
        <f>[2]Utilization2013!C98</f>
        <v>1</v>
      </c>
      <c r="AF7" s="13">
        <f>[2]Utilization2013!D98</f>
        <v>1.4498521358874679</v>
      </c>
      <c r="AG7" s="13">
        <f>[117]Utilization2014!E98</f>
        <v>1.1029178951649214</v>
      </c>
      <c r="AH7" s="12">
        <f>[2]Utilization2013!F98</f>
        <v>1</v>
      </c>
      <c r="AI7" s="21">
        <v>1.0996873672836609</v>
      </c>
    </row>
    <row r="8" spans="1:35" x14ac:dyDescent="0.25">
      <c r="C8" t="s">
        <v>16</v>
      </c>
      <c r="D8" s="5">
        <f t="array" ref="D8:K8">(Q8:X8*AE$4:AE$11+Q371:Y371*AF$4:AF$11+Q734:Y734*AG$4:AG$11)</f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P8" s="2" t="s">
        <v>16</v>
      </c>
      <c r="Q8" s="10"/>
      <c r="R8" s="10"/>
      <c r="S8" s="10"/>
      <c r="T8" s="10"/>
      <c r="U8" s="10"/>
      <c r="V8" s="10"/>
      <c r="W8" s="10"/>
      <c r="X8" s="10"/>
      <c r="Y8" s="5">
        <f t="shared" si="0"/>
        <v>0</v>
      </c>
      <c r="AD8">
        <f>[1]Utilization!B78</f>
        <v>45</v>
      </c>
      <c r="AE8" s="13">
        <f>[2]Utilization2013!C99</f>
        <v>1</v>
      </c>
      <c r="AF8" s="13">
        <f>[2]Utilization2013!D99</f>
        <v>1</v>
      </c>
      <c r="AG8" s="13">
        <f>[117]Utilization2014!E99</f>
        <v>1</v>
      </c>
      <c r="AH8" s="12">
        <f>[2]Utilization2013!F99</f>
        <v>1</v>
      </c>
      <c r="AI8" s="21">
        <v>1.7494740652058232</v>
      </c>
    </row>
    <row r="9" spans="1:35" x14ac:dyDescent="0.25">
      <c r="C9" t="s">
        <v>17</v>
      </c>
      <c r="D9" s="5">
        <f t="array" ref="D9:K9">(Q9:X9*AE$4:AE$11+Q372:Y372*AF$4:AF$11+Q735:Y735*AG$4:AG$11)</f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P9" s="2" t="s">
        <v>17</v>
      </c>
      <c r="Q9" s="10"/>
      <c r="R9" s="10"/>
      <c r="S9" s="10"/>
      <c r="T9" s="10"/>
      <c r="U9" s="10"/>
      <c r="V9" s="10"/>
      <c r="W9" s="10"/>
      <c r="X9" s="10"/>
      <c r="Y9" s="5">
        <f t="shared" si="0"/>
        <v>0</v>
      </c>
      <c r="AD9">
        <f>[1]Utilization!B79</f>
        <v>60</v>
      </c>
      <c r="AE9" s="13">
        <f>[2]Utilization2013!C100</f>
        <v>1</v>
      </c>
      <c r="AF9" s="13">
        <f>[2]Utilization2013!D100</f>
        <v>1.0170452167758635</v>
      </c>
      <c r="AG9" s="13">
        <f>[117]Utilization2014!E100</f>
        <v>1</v>
      </c>
      <c r="AH9" s="12">
        <f>[2]Utilization2013!F100</f>
        <v>1</v>
      </c>
      <c r="AI9" s="21">
        <v>1.1697509058988764</v>
      </c>
    </row>
    <row r="10" spans="1:35" x14ac:dyDescent="0.25">
      <c r="C10" t="s">
        <v>18</v>
      </c>
      <c r="D10" s="5">
        <f t="array" ref="D10:K10">(Q10:X10*AE$4:AE$11+Q373:Y373*AF$4:AF$11+Q736:Y736*AG$4:AG$11)</f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P10" s="2" t="s">
        <v>18</v>
      </c>
      <c r="Q10" s="10"/>
      <c r="R10" s="10"/>
      <c r="S10" s="10"/>
      <c r="T10" s="10"/>
      <c r="U10" s="10"/>
      <c r="V10" s="10"/>
      <c r="W10" s="10"/>
      <c r="X10" s="10"/>
      <c r="Y10" s="5">
        <f t="shared" si="0"/>
        <v>0</v>
      </c>
      <c r="AD10">
        <f>[1]Utilization!B80</f>
        <v>70</v>
      </c>
      <c r="AE10" s="13">
        <f>[2]Utilization2013!C101</f>
        <v>1</v>
      </c>
      <c r="AF10" s="13">
        <f>[2]Utilization2013!D101</f>
        <v>1</v>
      </c>
      <c r="AG10" s="13">
        <f>[117]Utilization2014!E101</f>
        <v>1.0702816205533596</v>
      </c>
      <c r="AH10" s="12">
        <f>[2]Utilization2013!F101</f>
        <v>1</v>
      </c>
      <c r="AI10" s="21">
        <v>2.5978016771970136</v>
      </c>
    </row>
    <row r="11" spans="1:35" x14ac:dyDescent="0.25">
      <c r="C11" t="s">
        <v>19</v>
      </c>
      <c r="D11" s="5">
        <f t="array" ref="D11:K11">(Q11:X11*AE$4:AE$11+Q374:Y374*AF$4:AF$11+Q737:Y737*AG$4:AG$11)</f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P11" s="2" t="s">
        <v>19</v>
      </c>
      <c r="Q11" s="10"/>
      <c r="R11" s="10"/>
      <c r="S11" s="10"/>
      <c r="T11" s="10"/>
      <c r="U11" s="10"/>
      <c r="V11" s="10"/>
      <c r="W11" s="10"/>
      <c r="X11" s="10"/>
      <c r="Y11" s="5">
        <f t="shared" si="0"/>
        <v>0</v>
      </c>
      <c r="AD11">
        <f>[1]Utilization!B81</f>
        <v>80</v>
      </c>
      <c r="AE11" s="13">
        <f>[2]Utilization2013!C102</f>
        <v>1</v>
      </c>
      <c r="AF11" s="13">
        <f>[2]Utilization2013!D102</f>
        <v>1</v>
      </c>
      <c r="AG11" s="13">
        <f>[117]Utilization2014!E102</f>
        <v>1.0968107190035856</v>
      </c>
      <c r="AH11" s="12">
        <f>[2]Utilization2013!F102</f>
        <v>1</v>
      </c>
      <c r="AI11" s="21">
        <v>3.8861853196527223</v>
      </c>
    </row>
    <row r="12" spans="1:35" x14ac:dyDescent="0.25">
      <c r="C12" t="s">
        <v>20</v>
      </c>
      <c r="D12" s="5">
        <f t="array" ref="D12:K12">(Q12:X12*AE$4:AE$11+Q375:Y375*AF$4:AF$11+Q738:Y738*AG$4:AG$11)</f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P12" s="2" t="s">
        <v>20</v>
      </c>
      <c r="Q12" s="10"/>
      <c r="R12" s="10"/>
      <c r="S12" s="10"/>
      <c r="T12" s="10"/>
      <c r="U12" s="10"/>
      <c r="V12" s="10"/>
      <c r="W12" s="10"/>
      <c r="X12" s="10"/>
      <c r="Y12" s="5">
        <f t="shared" si="0"/>
        <v>0</v>
      </c>
      <c r="AD12" t="str">
        <f>[1]Utilization!B82</f>
        <v>all ages</v>
      </c>
      <c r="AE12" s="13">
        <f>[2]Utilization2013!C103</f>
        <v>0</v>
      </c>
      <c r="AF12" s="13">
        <f>[2]Utilization2013!D103</f>
        <v>0</v>
      </c>
      <c r="AG12" s="13">
        <f>[2]Utilization2013!E103</f>
        <v>0</v>
      </c>
      <c r="AH12" s="12">
        <f>[2]Utilization2013!F103</f>
        <v>0</v>
      </c>
      <c r="AI12" s="21">
        <v>1.3891362668867349</v>
      </c>
    </row>
    <row r="13" spans="1:35" x14ac:dyDescent="0.25">
      <c r="C13" t="s">
        <v>21</v>
      </c>
      <c r="D13" s="5">
        <f t="array" ref="D13:K13">(Q13:X13*AE$4:AE$11+Q376:Y376*AF$4:AF$11+Q739:Y739*AG$4:AG$11)</f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P13" s="2" t="s">
        <v>21</v>
      </c>
      <c r="Q13" s="10"/>
      <c r="R13" s="10"/>
      <c r="S13" s="10"/>
      <c r="T13" s="10"/>
      <c r="U13" s="10"/>
      <c r="V13" s="10"/>
      <c r="W13" s="10"/>
      <c r="X13" s="10"/>
      <c r="Y13" s="5">
        <f t="shared" si="0"/>
        <v>0</v>
      </c>
      <c r="AC13" t="str">
        <f>[1]Utilization!A83</f>
        <v>Females</v>
      </c>
      <c r="AD13">
        <f>[1]Utilization!B83</f>
        <v>0</v>
      </c>
      <c r="AE13" s="13">
        <f>[2]Utilization2013!C104</f>
        <v>1</v>
      </c>
      <c r="AF13" s="13">
        <f>[2]Utilization2013!D104</f>
        <v>1</v>
      </c>
      <c r="AG13" s="13">
        <f>[117]Utilization2014!E104</f>
        <v>1.783541722089208</v>
      </c>
      <c r="AH13" s="12">
        <f>[2]Utilization2013!F104</f>
        <v>1</v>
      </c>
      <c r="AI13" s="21">
        <v>1.2433980817803263</v>
      </c>
    </row>
    <row r="14" spans="1:35" x14ac:dyDescent="0.25">
      <c r="C14" t="s">
        <v>22</v>
      </c>
      <c r="D14" s="5">
        <f t="array" ref="D14:K14">(Q14:X14*AE$4:AE$11+Q377:Y377*AF$4:AF$11+Q740:Y740*AG$4:AG$11)</f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P14" s="2" t="s">
        <v>22</v>
      </c>
      <c r="Q14" s="10"/>
      <c r="R14" s="10"/>
      <c r="S14" s="10"/>
      <c r="T14" s="10"/>
      <c r="U14" s="10"/>
      <c r="V14" s="10"/>
      <c r="W14" s="10"/>
      <c r="X14" s="10"/>
      <c r="Y14" s="5">
        <f t="shared" si="0"/>
        <v>0</v>
      </c>
      <c r="AD14">
        <f>[1]Utilization!B84</f>
        <v>5</v>
      </c>
      <c r="AE14" s="13">
        <f>[2]Utilization2013!C105</f>
        <v>1</v>
      </c>
      <c r="AF14" s="13">
        <f>[2]Utilization2013!D105</f>
        <v>1</v>
      </c>
      <c r="AG14" s="13">
        <f>[117]Utilization2014!E105</f>
        <v>5.7405033238366574</v>
      </c>
      <c r="AH14" s="12">
        <f>[2]Utilization2013!F105</f>
        <v>1</v>
      </c>
      <c r="AI14" s="21">
        <v>4.7511676122931439</v>
      </c>
    </row>
    <row r="15" spans="1:35" x14ac:dyDescent="0.25">
      <c r="C15" t="s">
        <v>23</v>
      </c>
      <c r="D15" s="5">
        <f t="array" ref="D15:K15">(Q15:X15*AE$4:AE$11+Q378:Y378*AF$4:AF$11+Q741:Y741*AG$4:AG$11)</f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P15" s="2" t="s">
        <v>23</v>
      </c>
      <c r="Q15" s="10"/>
      <c r="R15" s="10"/>
      <c r="S15" s="10"/>
      <c r="T15" s="10"/>
      <c r="U15" s="10"/>
      <c r="V15" s="10"/>
      <c r="W15" s="10"/>
      <c r="X15" s="10"/>
      <c r="Y15" s="5">
        <f t="shared" si="0"/>
        <v>0</v>
      </c>
      <c r="AD15">
        <f>[1]Utilization!B85</f>
        <v>15</v>
      </c>
      <c r="AE15" s="13">
        <f>[2]Utilization2013!C106</f>
        <v>1</v>
      </c>
      <c r="AF15" s="13">
        <f>[2]Utilization2013!D106</f>
        <v>3.6498144278642464</v>
      </c>
      <c r="AG15" s="13">
        <f>[117]Utilization2014!E106</f>
        <v>1.3149866932801064</v>
      </c>
      <c r="AH15" s="12">
        <f>[2]Utilization2013!F106</f>
        <v>1</v>
      </c>
      <c r="AI15" s="21">
        <v>1</v>
      </c>
    </row>
    <row r="16" spans="1:35" x14ac:dyDescent="0.25">
      <c r="C16" t="s">
        <v>24</v>
      </c>
      <c r="D16" s="5">
        <f t="array" ref="D16:K16">(Q16:X16*AE$4:AE$11+Q379:Y379*AF$4:AF$11+Q742:Y742*AG$4:AG$11)</f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P16" s="2" t="s">
        <v>24</v>
      </c>
      <c r="Q16" s="10"/>
      <c r="R16" s="10"/>
      <c r="S16" s="10"/>
      <c r="T16" s="10"/>
      <c r="U16" s="10"/>
      <c r="V16" s="10"/>
      <c r="W16" s="10"/>
      <c r="X16" s="10"/>
      <c r="Y16" s="5">
        <f t="shared" si="0"/>
        <v>0</v>
      </c>
      <c r="AD16">
        <f>[1]Utilization!B86</f>
        <v>30</v>
      </c>
      <c r="AE16" s="13">
        <f>[2]Utilization2013!C107</f>
        <v>1</v>
      </c>
      <c r="AF16" s="13">
        <f>[2]Utilization2013!D107</f>
        <v>1.0804801836112787</v>
      </c>
      <c r="AG16" s="13">
        <f>[117]Utilization2014!E107</f>
        <v>1.1451424405202268</v>
      </c>
      <c r="AH16" s="12">
        <f>[2]Utilization2013!F107</f>
        <v>1</v>
      </c>
      <c r="AI16" s="21">
        <v>1.0622144901525692</v>
      </c>
    </row>
    <row r="17" spans="3:35" x14ac:dyDescent="0.25">
      <c r="C17" t="s">
        <v>25</v>
      </c>
      <c r="D17" s="5">
        <f t="array" ref="D17:K17">(Q17:X17*AE$4:AE$11+Q380:Y380*AF$4:AF$11+Q743:Y743*AG$4:AG$11)</f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P17" s="2" t="s">
        <v>25</v>
      </c>
      <c r="Q17" s="10"/>
      <c r="R17" s="10"/>
      <c r="S17" s="10"/>
      <c r="T17" s="10"/>
      <c r="U17" s="10"/>
      <c r="V17" s="10"/>
      <c r="W17" s="10"/>
      <c r="X17" s="10"/>
      <c r="Y17" s="5">
        <f t="shared" si="0"/>
        <v>0</v>
      </c>
      <c r="AD17">
        <f>[1]Utilization!B87</f>
        <v>45</v>
      </c>
      <c r="AE17" s="13">
        <f>[2]Utilization2013!C108</f>
        <v>1</v>
      </c>
      <c r="AF17" s="13">
        <f>[2]Utilization2013!D108</f>
        <v>1.16972117977729</v>
      </c>
      <c r="AG17" s="13">
        <f>[117]Utilization2014!E108</f>
        <v>1.010648596321394</v>
      </c>
      <c r="AH17" s="12">
        <f>[2]Utilization2013!F108</f>
        <v>1</v>
      </c>
      <c r="AI17" s="21">
        <v>1.8503252854773748</v>
      </c>
    </row>
    <row r="18" spans="3:35" x14ac:dyDescent="0.25">
      <c r="C18" t="s">
        <v>26</v>
      </c>
      <c r="D18" s="5">
        <f t="array" ref="D18:K18">(Q18:X18*AE$4:AE$11+Q381:Y381*AF$4:AF$11+Q744:Y744*AG$4:AG$11)</f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P18" s="2" t="s">
        <v>26</v>
      </c>
      <c r="Q18" s="10"/>
      <c r="R18" s="10"/>
      <c r="S18" s="10"/>
      <c r="T18" s="10"/>
      <c r="U18" s="10"/>
      <c r="V18" s="10"/>
      <c r="W18" s="10"/>
      <c r="X18" s="10"/>
      <c r="Y18" s="5">
        <f t="shared" si="0"/>
        <v>0</v>
      </c>
      <c r="AD18">
        <f>[1]Utilization!B88</f>
        <v>60</v>
      </c>
      <c r="AE18" s="13">
        <f>[2]Utilization2013!C109</f>
        <v>1</v>
      </c>
      <c r="AF18" s="13">
        <f>[2]Utilization2013!D109</f>
        <v>1</v>
      </c>
      <c r="AG18" s="13">
        <f>[117]Utilization2014!E109</f>
        <v>1</v>
      </c>
      <c r="AH18" s="12">
        <f>[2]Utilization2013!F109</f>
        <v>1</v>
      </c>
      <c r="AI18" s="21">
        <v>1.1991073197578426</v>
      </c>
    </row>
    <row r="19" spans="3:35" x14ac:dyDescent="0.25">
      <c r="C19" t="s">
        <v>27</v>
      </c>
      <c r="D19" s="5">
        <f t="array" ref="D19:K19">(Q19:X19*AE$4:AE$11+Q382:Y382*AF$4:AF$11+Q745:Y745*AG$4:AG$11)</f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P19" s="2" t="s">
        <v>27</v>
      </c>
      <c r="Q19" s="10"/>
      <c r="R19" s="10"/>
      <c r="S19" s="10"/>
      <c r="T19" s="10"/>
      <c r="U19" s="10"/>
      <c r="V19" s="10"/>
      <c r="W19" s="10"/>
      <c r="X19" s="10"/>
      <c r="Y19" s="5">
        <f t="shared" si="0"/>
        <v>0</v>
      </c>
      <c r="AD19">
        <f>[1]Utilization!B89</f>
        <v>70</v>
      </c>
      <c r="AE19" s="13">
        <f>[2]Utilization2013!C110</f>
        <v>1</v>
      </c>
      <c r="AF19" s="13">
        <f>[2]Utilization2013!D110</f>
        <v>1</v>
      </c>
      <c r="AG19" s="13">
        <f>[117]Utilization2014!E110</f>
        <v>1</v>
      </c>
      <c r="AH19" s="12">
        <f>[2]Utilization2013!F110</f>
        <v>1</v>
      </c>
      <c r="AI19" s="21">
        <v>1.7504360986364007</v>
      </c>
    </row>
    <row r="20" spans="3:35" x14ac:dyDescent="0.25">
      <c r="C20" t="s">
        <v>28</v>
      </c>
      <c r="D20" s="5">
        <f t="array" ref="D20:K20">(Q20:X20*AE$4:AE$11+Q383:Y383*AF$4:AF$11+Q746:Y746*AG$4:AG$11)</f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P20" s="2" t="s">
        <v>28</v>
      </c>
      <c r="Q20" s="10"/>
      <c r="R20" s="10"/>
      <c r="S20" s="10"/>
      <c r="T20" s="10"/>
      <c r="U20" s="10"/>
      <c r="V20" s="10"/>
      <c r="W20" s="10"/>
      <c r="X20" s="10"/>
      <c r="Y20" s="5">
        <f t="shared" si="0"/>
        <v>0</v>
      </c>
      <c r="AD20">
        <f>[1]Utilization!B90</f>
        <v>80</v>
      </c>
      <c r="AE20" s="13">
        <f>[2]Utilization2013!C111</f>
        <v>1</v>
      </c>
      <c r="AF20" s="13">
        <f>[2]Utilization2013!D111</f>
        <v>1</v>
      </c>
      <c r="AG20" s="13">
        <f>[117]Utilization2014!E111</f>
        <v>1.3444034440344403</v>
      </c>
      <c r="AH20" s="12">
        <f>[2]Utilization2013!F111</f>
        <v>1</v>
      </c>
      <c r="AI20" s="21">
        <v>3.8123161503221188</v>
      </c>
    </row>
    <row r="21" spans="3:35" x14ac:dyDescent="0.25">
      <c r="C21" t="s">
        <v>29</v>
      </c>
      <c r="D21" s="5">
        <f t="array" ref="D21:K21">(Q21:X21*AE$4:AE$11+Q384:Y384*AF$4:AF$11+Q747:Y747*AG$4:AG$11)</f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P21" s="2" t="s">
        <v>29</v>
      </c>
      <c r="Q21" s="10"/>
      <c r="R21" s="10"/>
      <c r="S21" s="10"/>
      <c r="T21" s="10"/>
      <c r="U21" s="10"/>
      <c r="V21" s="10"/>
      <c r="W21" s="10"/>
      <c r="X21" s="10"/>
      <c r="Y21" s="5">
        <f t="shared" si="0"/>
        <v>0</v>
      </c>
      <c r="AD21" t="str">
        <f>[1]Utilization!B91</f>
        <v>all ages</v>
      </c>
      <c r="AE21" s="14"/>
      <c r="AF21" s="14"/>
      <c r="AG21" s="14"/>
    </row>
    <row r="22" spans="3:35" x14ac:dyDescent="0.25">
      <c r="C22" t="s">
        <v>30</v>
      </c>
      <c r="D22" s="5">
        <f t="array" ref="D22:K22">(Q22:X22*AE$4:AE$11+Q385:Y385*AF$4:AF$11+Q748:Y748*AG$4:AG$11)</f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P22" s="2" t="s">
        <v>30</v>
      </c>
      <c r="Q22" s="10"/>
      <c r="R22" s="10"/>
      <c r="S22" s="10"/>
      <c r="T22" s="10"/>
      <c r="U22" s="10"/>
      <c r="V22" s="10"/>
      <c r="W22" s="10"/>
      <c r="X22" s="10"/>
      <c r="Y22" s="5">
        <f t="shared" si="0"/>
        <v>0</v>
      </c>
      <c r="AC22" t="str">
        <f>[1]Utilization!A92</f>
        <v>Both sexes</v>
      </c>
      <c r="AD22" t="str">
        <f>[1]Utilization!B92</f>
        <v>all ages</v>
      </c>
      <c r="AE22" s="20"/>
      <c r="AF22" s="20"/>
      <c r="AG22" s="20"/>
    </row>
    <row r="23" spans="3:35" x14ac:dyDescent="0.25">
      <c r="C23" t="s">
        <v>31</v>
      </c>
      <c r="D23" s="5">
        <f t="array" ref="D23:K23">(Q23:X23*AE$4:AE$11+Q386:Y386*AF$4:AF$11+Q749:Y749*AG$4:AG$11)</f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P23" s="2" t="s">
        <v>31</v>
      </c>
      <c r="Q23" s="10"/>
      <c r="R23" s="10"/>
      <c r="S23" s="10"/>
      <c r="T23" s="10"/>
      <c r="U23" s="10"/>
      <c r="V23" s="10"/>
      <c r="W23" s="10"/>
      <c r="X23" s="10"/>
      <c r="Y23" s="5">
        <f t="shared" si="0"/>
        <v>0</v>
      </c>
      <c r="AE23" s="11"/>
      <c r="AF23" s="11"/>
      <c r="AG23" s="11"/>
    </row>
    <row r="24" spans="3:35" x14ac:dyDescent="0.25">
      <c r="C24" t="s">
        <v>32</v>
      </c>
      <c r="D24" s="5">
        <f t="array" ref="D24:K24">(Q24:X24*AE$4:AE$11+Q387:Y387*AF$4:AF$11+Q750:Y750*AG$4:AG$11)</f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P24" s="2" t="s">
        <v>32</v>
      </c>
      <c r="Q24" s="10"/>
      <c r="R24" s="10"/>
      <c r="S24" s="10"/>
      <c r="T24" s="10"/>
      <c r="U24" s="10"/>
      <c r="V24" s="10"/>
      <c r="W24" s="10"/>
      <c r="X24" s="10"/>
      <c r="Y24" s="5">
        <f t="shared" si="0"/>
        <v>0</v>
      </c>
      <c r="AE24" s="11"/>
      <c r="AF24" s="11"/>
      <c r="AG24" s="11"/>
    </row>
    <row r="25" spans="3:35" x14ac:dyDescent="0.25">
      <c r="C25" t="s">
        <v>33</v>
      </c>
      <c r="D25" s="5">
        <f t="array" ref="D25:K25">(Q25:X25*AE$4:AE$11+Q388:Y388*AF$4:AF$11+Q751:Y751*AG$4:AG$11)</f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P25" s="2" t="s">
        <v>33</v>
      </c>
      <c r="Q25" s="10"/>
      <c r="R25" s="10"/>
      <c r="S25" s="10"/>
      <c r="T25" s="10"/>
      <c r="U25" s="10"/>
      <c r="V25" s="10"/>
      <c r="W25" s="10"/>
      <c r="X25" s="10"/>
      <c r="Y25" s="5">
        <f t="shared" si="0"/>
        <v>0</v>
      </c>
      <c r="AE25" s="11"/>
      <c r="AF25" s="11"/>
      <c r="AG25" s="11"/>
    </row>
    <row r="26" spans="3:35" x14ac:dyDescent="0.25">
      <c r="C26" t="s">
        <v>34</v>
      </c>
      <c r="D26" s="5">
        <f t="array" ref="D26:K26">(Q26:X26*AE$4:AE$11+Q389:Y389*AF$4:AF$11+Q752:Y752*AG$4:AG$11)</f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P26" s="2" t="s">
        <v>34</v>
      </c>
      <c r="Q26" s="10"/>
      <c r="R26" s="10"/>
      <c r="S26" s="10"/>
      <c r="T26" s="10"/>
      <c r="U26" s="10"/>
      <c r="V26" s="10"/>
      <c r="W26" s="10"/>
      <c r="X26" s="10"/>
      <c r="Y26" s="5">
        <f t="shared" si="0"/>
        <v>0</v>
      </c>
      <c r="AE26" s="11"/>
      <c r="AF26" s="11"/>
      <c r="AG26" s="11"/>
    </row>
    <row r="27" spans="3:35" x14ac:dyDescent="0.25">
      <c r="C27" t="s">
        <v>35</v>
      </c>
      <c r="D27" s="5">
        <f t="array" ref="D27:K27">(Q27:X27*AE$4:AE$11+Q390:Y390*AF$4:AF$11+Q753:Y753*AG$4:AG$11)</f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P27" s="2" t="s">
        <v>35</v>
      </c>
      <c r="Q27" s="10"/>
      <c r="R27" s="10"/>
      <c r="S27" s="10"/>
      <c r="T27" s="10"/>
      <c r="U27" s="10"/>
      <c r="V27" s="10"/>
      <c r="W27" s="10"/>
      <c r="X27" s="10"/>
      <c r="Y27" s="5">
        <f t="shared" si="0"/>
        <v>0</v>
      </c>
      <c r="AE27" s="11"/>
      <c r="AF27" s="11"/>
      <c r="AG27" s="11"/>
    </row>
    <row r="28" spans="3:35" x14ac:dyDescent="0.25">
      <c r="C28" t="s">
        <v>36</v>
      </c>
      <c r="D28" s="5">
        <f t="array" ref="D28:K28">(Q28:X28*AE$4:AE$11+Q391:Y391*AF$4:AF$11+Q754:Y754*AG$4:AG$11)</f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P28" s="2" t="s">
        <v>36</v>
      </c>
      <c r="Q28" s="10"/>
      <c r="R28" s="10"/>
      <c r="S28" s="10"/>
      <c r="T28" s="10"/>
      <c r="U28" s="10"/>
      <c r="V28" s="10"/>
      <c r="W28" s="10"/>
      <c r="X28" s="10"/>
      <c r="Y28" s="5">
        <f t="shared" si="0"/>
        <v>0</v>
      </c>
      <c r="AE28" s="11"/>
      <c r="AF28" s="11"/>
      <c r="AG28" s="11"/>
    </row>
    <row r="29" spans="3:35" x14ac:dyDescent="0.25">
      <c r="C29" t="s">
        <v>37</v>
      </c>
      <c r="D29" s="5">
        <f t="array" ref="D29:K29">(Q29:X29*AE$4:AE$11+Q392:Y392*AF$4:AF$11+Q755:Y755*AG$4:AG$11)</f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P29" s="2" t="s">
        <v>37</v>
      </c>
      <c r="Q29" s="10"/>
      <c r="R29" s="10"/>
      <c r="S29" s="10"/>
      <c r="T29" s="10"/>
      <c r="U29" s="10"/>
      <c r="V29" s="10"/>
      <c r="W29" s="10"/>
      <c r="X29" s="10"/>
      <c r="Y29" s="5">
        <f t="shared" si="0"/>
        <v>0</v>
      </c>
      <c r="AE29" s="11"/>
      <c r="AF29" s="11"/>
      <c r="AG29" s="11"/>
    </row>
    <row r="30" spans="3:35" x14ac:dyDescent="0.25">
      <c r="C30" t="s">
        <v>38</v>
      </c>
      <c r="D30" s="5">
        <f t="array" ref="D30:K30">(Q30:X30*AE$4:AE$11+Q393:Y393*AF$4:AF$11+Q756:Y756*AG$4:AG$11)</f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P30" s="2" t="s">
        <v>38</v>
      </c>
      <c r="Q30" s="10"/>
      <c r="R30" s="10"/>
      <c r="S30" s="10"/>
      <c r="T30" s="10"/>
      <c r="U30" s="10"/>
      <c r="V30" s="10"/>
      <c r="W30" s="10"/>
      <c r="X30" s="10"/>
      <c r="Y30" s="5">
        <f t="shared" si="0"/>
        <v>0</v>
      </c>
      <c r="AE30" s="11"/>
      <c r="AF30" s="11"/>
      <c r="AG30" s="11"/>
    </row>
    <row r="31" spans="3:35" x14ac:dyDescent="0.25">
      <c r="C31" t="s">
        <v>39</v>
      </c>
      <c r="D31" s="5">
        <f t="array" ref="D31:K31">(Q31:X31*AE$4:AE$11+Q394:Y394*AF$4:AF$11+Q757:Y757*AG$4:AG$11)</f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P31" s="2" t="s">
        <v>39</v>
      </c>
      <c r="Q31" s="10"/>
      <c r="R31" s="10"/>
      <c r="S31" s="10"/>
      <c r="T31" s="10"/>
      <c r="U31" s="10"/>
      <c r="V31" s="10"/>
      <c r="W31" s="10"/>
      <c r="X31" s="10"/>
      <c r="Y31" s="5">
        <f t="shared" si="0"/>
        <v>0</v>
      </c>
      <c r="AE31" s="11"/>
      <c r="AF31" s="11"/>
      <c r="AG31" s="11"/>
    </row>
    <row r="32" spans="3:35" x14ac:dyDescent="0.25">
      <c r="C32" t="s">
        <v>40</v>
      </c>
      <c r="D32" s="5">
        <f t="array" ref="D32:K32">(Q32:X32*AE$4:AE$11+Q395:Y395*AF$4:AF$11+Q758:Y758*AG$4:AG$11)</f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P32" s="2" t="s">
        <v>40</v>
      </c>
      <c r="Q32" s="10"/>
      <c r="R32" s="10"/>
      <c r="S32" s="10"/>
      <c r="T32" s="10"/>
      <c r="U32" s="10"/>
      <c r="V32" s="10"/>
      <c r="W32" s="10"/>
      <c r="X32" s="10"/>
      <c r="Y32" s="5">
        <f t="shared" si="0"/>
        <v>0</v>
      </c>
      <c r="AE32" s="11"/>
      <c r="AF32" s="11"/>
      <c r="AG32" s="11"/>
    </row>
    <row r="33" spans="1:33" x14ac:dyDescent="0.25">
      <c r="C33" t="s">
        <v>41</v>
      </c>
      <c r="D33" s="5">
        <f t="array" ref="D33:K33">(Q33:X33*AE$4:AE$11+Q396:Y396*AF$4:AF$11+Q759:Y759*AG$4:AG$11)</f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P33" s="2" t="s">
        <v>41</v>
      </c>
      <c r="Q33" s="10"/>
      <c r="R33" s="10"/>
      <c r="S33" s="10"/>
      <c r="T33" s="10"/>
      <c r="U33" s="10"/>
      <c r="V33" s="10"/>
      <c r="W33" s="10"/>
      <c r="X33" s="10"/>
      <c r="Y33" s="5">
        <f t="shared" si="0"/>
        <v>0</v>
      </c>
      <c r="AE33" s="11"/>
      <c r="AF33" s="11"/>
      <c r="AG33" s="11"/>
    </row>
    <row r="34" spans="1:33" x14ac:dyDescent="0.25">
      <c r="C34" t="s">
        <v>42</v>
      </c>
      <c r="D34" s="5">
        <f t="array" ref="D34:K34">(Q34:X34*AE$4:AE$11+Q397:Y397*AF$4:AF$11+Q760:Y760*AG$4:AG$11)</f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P34" s="2" t="s">
        <v>42</v>
      </c>
      <c r="Q34" s="10"/>
      <c r="R34" s="10"/>
      <c r="S34" s="10"/>
      <c r="T34" s="10"/>
      <c r="U34" s="10"/>
      <c r="V34" s="10"/>
      <c r="W34" s="10"/>
      <c r="X34" s="10"/>
      <c r="Y34" s="5">
        <f t="shared" si="0"/>
        <v>0</v>
      </c>
      <c r="AE34" s="11"/>
      <c r="AF34" s="11"/>
      <c r="AG34" s="11"/>
    </row>
    <row r="35" spans="1:33" x14ac:dyDescent="0.25">
      <c r="C35" t="s">
        <v>43</v>
      </c>
      <c r="D35" s="5">
        <f t="array" ref="D35:K35">(Q35:X35*AE$4:AE$11+Q398:Y398*AF$4:AF$11+Q761:Y761*AG$4:AG$11)</f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P35" s="2" t="s">
        <v>43</v>
      </c>
      <c r="Q35" s="10"/>
      <c r="R35" s="10"/>
      <c r="S35" s="10"/>
      <c r="T35" s="10"/>
      <c r="U35" s="10"/>
      <c r="V35" s="10"/>
      <c r="W35" s="10"/>
      <c r="X35" s="10"/>
      <c r="Y35" s="5">
        <f t="shared" si="0"/>
        <v>0</v>
      </c>
      <c r="AE35" s="11"/>
      <c r="AF35" s="11"/>
      <c r="AG35" s="11"/>
    </row>
    <row r="36" spans="1:33" x14ac:dyDescent="0.25">
      <c r="C36" t="s">
        <v>44</v>
      </c>
      <c r="D36" s="5">
        <f t="array" ref="D36:K36">(Q36:X36*AE$4:AE$11+Q399:Y399*AF$4:AF$11+Q762:Y762*AG$4:AG$11)</f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P36" s="2" t="s">
        <v>44</v>
      </c>
      <c r="Q36" s="10"/>
      <c r="R36" s="10"/>
      <c r="S36" s="10"/>
      <c r="T36" s="10"/>
      <c r="U36" s="10"/>
      <c r="V36" s="10"/>
      <c r="W36" s="10"/>
      <c r="X36" s="10"/>
      <c r="Y36" s="5">
        <f t="shared" si="0"/>
        <v>0</v>
      </c>
      <c r="AE36" s="11"/>
      <c r="AF36" s="11"/>
      <c r="AG36" s="11"/>
    </row>
    <row r="37" spans="1:33" x14ac:dyDescent="0.25">
      <c r="A37">
        <v>1</v>
      </c>
      <c r="B37" t="s">
        <v>45</v>
      </c>
      <c r="C37" t="s">
        <v>12</v>
      </c>
      <c r="D37" s="5">
        <f t="array" ref="D37:K37">(Q37:X37*AE$4:AE$11+Q400:Y400*AF$4:AF$11+Q763:Y763*AG$4:AG$11)</f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M37">
        <v>1</v>
      </c>
      <c r="N37" t="s">
        <v>103</v>
      </c>
      <c r="O37" t="s">
        <v>45</v>
      </c>
      <c r="P37" s="2" t="s">
        <v>12</v>
      </c>
      <c r="Q37" s="10">
        <f>data_redis_illX!E3</f>
        <v>0</v>
      </c>
      <c r="R37" s="10">
        <f>data_redis_illX!F3</f>
        <v>0</v>
      </c>
      <c r="S37" s="10">
        <f>data_redis_illX!G3</f>
        <v>0</v>
      </c>
      <c r="T37" s="10">
        <f>data_redis_illX!H3</f>
        <v>0</v>
      </c>
      <c r="U37" s="10">
        <f>data_redis_illX!I3</f>
        <v>0</v>
      </c>
      <c r="V37" s="10">
        <f>data_redis_illX!J3</f>
        <v>0</v>
      </c>
      <c r="W37" s="10">
        <f>data_redis_illX!K3</f>
        <v>0</v>
      </c>
      <c r="X37" s="10">
        <f>data_redis_illX!L3</f>
        <v>0</v>
      </c>
      <c r="Y37" s="5">
        <f t="shared" si="0"/>
        <v>0</v>
      </c>
      <c r="AE37" s="11"/>
      <c r="AF37" s="11"/>
      <c r="AG37" s="11"/>
    </row>
    <row r="38" spans="1:33" x14ac:dyDescent="0.25">
      <c r="C38" t="s">
        <v>13</v>
      </c>
      <c r="D38" s="5">
        <f t="array" ref="D38:K38">(Q38:X38*AE$4:AE$11+Q401:Y401*AF$4:AF$11+Q764:Y764*AG$4:AG$11)</f>
        <v>0</v>
      </c>
      <c r="E38" s="5">
        <v>0</v>
      </c>
      <c r="F38" s="5">
        <v>3.3492973472845886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P38" s="2" t="s">
        <v>13</v>
      </c>
      <c r="Q38" s="10">
        <f>data_redis_illX!E4</f>
        <v>0</v>
      </c>
      <c r="R38" s="10">
        <f>data_redis_illX!F4</f>
        <v>0</v>
      </c>
      <c r="S38" s="10">
        <f>data_redis_illX!G4</f>
        <v>1.152977392977393</v>
      </c>
      <c r="T38" s="10">
        <f>data_redis_illX!H4</f>
        <v>0</v>
      </c>
      <c r="U38" s="10">
        <f>data_redis_illX!I4</f>
        <v>0</v>
      </c>
      <c r="V38" s="10">
        <f>data_redis_illX!J4</f>
        <v>0</v>
      </c>
      <c r="W38" s="10">
        <f>data_redis_illX!K4</f>
        <v>0</v>
      </c>
      <c r="X38" s="10">
        <f>data_redis_illX!L4</f>
        <v>0</v>
      </c>
      <c r="Y38" s="5">
        <f t="shared" si="0"/>
        <v>1.152977392977393</v>
      </c>
      <c r="AE38" s="11"/>
      <c r="AF38" s="11"/>
      <c r="AG38" s="11"/>
    </row>
    <row r="39" spans="1:33" x14ac:dyDescent="0.25">
      <c r="C39" t="s">
        <v>14</v>
      </c>
      <c r="D39" s="5">
        <f t="array" ref="D39:K39">(Q39:X39*AE$4:AE$11+Q402:Y402*AF$4:AF$11+Q765:Y765*AG$4:AG$11)</f>
        <v>0</v>
      </c>
      <c r="E39" s="5">
        <v>0</v>
      </c>
      <c r="F39" s="5">
        <v>0</v>
      </c>
      <c r="G39" s="5">
        <v>1.159300592885792</v>
      </c>
      <c r="H39" s="5">
        <v>0</v>
      </c>
      <c r="I39" s="5">
        <v>0</v>
      </c>
      <c r="J39" s="5">
        <v>0</v>
      </c>
      <c r="K39" s="5">
        <v>0</v>
      </c>
      <c r="P39" s="2" t="s">
        <v>14</v>
      </c>
      <c r="Q39" s="10">
        <f>data_redis_illX!E5</f>
        <v>0</v>
      </c>
      <c r="R39" s="10">
        <f>data_redis_illX!F5</f>
        <v>0</v>
      </c>
      <c r="S39" s="10">
        <f>data_redis_illX!G5</f>
        <v>0</v>
      </c>
      <c r="T39" s="10">
        <f>data_redis_illX!H5</f>
        <v>1.159300592885792</v>
      </c>
      <c r="U39" s="10">
        <f>data_redis_illX!I5</f>
        <v>0</v>
      </c>
      <c r="V39" s="10">
        <f>data_redis_illX!J5</f>
        <v>0</v>
      </c>
      <c r="W39" s="10">
        <f>data_redis_illX!K5</f>
        <v>0</v>
      </c>
      <c r="X39" s="10">
        <f>data_redis_illX!L5</f>
        <v>0</v>
      </c>
      <c r="Y39" s="5">
        <f t="shared" si="0"/>
        <v>1.159300592885792</v>
      </c>
    </row>
    <row r="40" spans="1:33" x14ac:dyDescent="0.25">
      <c r="C40" t="s">
        <v>15</v>
      </c>
      <c r="D40" s="5">
        <f t="array" ref="D40:K40">(Q40:X40*AE$4:AE$11+Q403:Y403*AF$4:AF$11+Q766:Y766*AG$4:AG$11)</f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P40" s="2" t="s">
        <v>15</v>
      </c>
      <c r="Q40" s="10">
        <f>data_redis_illX!E6</f>
        <v>0</v>
      </c>
      <c r="R40" s="10">
        <f>data_redis_illX!F6</f>
        <v>0</v>
      </c>
      <c r="S40" s="10">
        <f>data_redis_illX!G6</f>
        <v>0</v>
      </c>
      <c r="T40" s="10">
        <f>data_redis_illX!H6</f>
        <v>0</v>
      </c>
      <c r="U40" s="10">
        <f>data_redis_illX!I6</f>
        <v>0</v>
      </c>
      <c r="V40" s="10">
        <f>data_redis_illX!J6</f>
        <v>0</v>
      </c>
      <c r="W40" s="10">
        <f>data_redis_illX!K6</f>
        <v>0</v>
      </c>
      <c r="X40" s="10">
        <f>data_redis_illX!L6</f>
        <v>0</v>
      </c>
      <c r="Y40" s="5">
        <f t="shared" si="0"/>
        <v>0</v>
      </c>
    </row>
    <row r="41" spans="1:33" x14ac:dyDescent="0.25">
      <c r="C41" t="s">
        <v>16</v>
      </c>
      <c r="D41" s="5">
        <f t="array" ref="D41:K41">(Q41:X41*AE$4:AE$11+Q404:Y404*AF$4:AF$11+Q767:Y767*AG$4:AG$11)</f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P41" s="2" t="s">
        <v>16</v>
      </c>
      <c r="Q41" s="10">
        <f>data_redis_illX!E7</f>
        <v>0</v>
      </c>
      <c r="R41" s="10">
        <f>data_redis_illX!F7</f>
        <v>0</v>
      </c>
      <c r="S41" s="10">
        <f>data_redis_illX!G7</f>
        <v>0</v>
      </c>
      <c r="T41" s="10">
        <f>data_redis_illX!H7</f>
        <v>0</v>
      </c>
      <c r="U41" s="10">
        <f>data_redis_illX!I7</f>
        <v>0</v>
      </c>
      <c r="V41" s="10">
        <f>data_redis_illX!J7</f>
        <v>0</v>
      </c>
      <c r="W41" s="10">
        <f>data_redis_illX!K7</f>
        <v>0</v>
      </c>
      <c r="X41" s="10">
        <f>data_redis_illX!L7</f>
        <v>0</v>
      </c>
      <c r="Y41" s="5">
        <f t="shared" si="0"/>
        <v>0</v>
      </c>
    </row>
    <row r="42" spans="1:33" x14ac:dyDescent="0.25">
      <c r="C42" t="s">
        <v>17</v>
      </c>
      <c r="D42" s="5">
        <f t="array" ref="D42:K42">(Q42:X42*AE$4:AE$11+Q405:Y405*AF$4:AF$11+Q768:Y768*AG$4:AG$11)</f>
        <v>0</v>
      </c>
      <c r="E42" s="5">
        <v>0</v>
      </c>
      <c r="F42" s="5">
        <v>0</v>
      </c>
      <c r="G42" s="5">
        <v>0</v>
      </c>
      <c r="H42" s="5">
        <v>1.1185790755416889</v>
      </c>
      <c r="I42" s="5">
        <v>0</v>
      </c>
      <c r="J42" s="5">
        <v>0</v>
      </c>
      <c r="K42" s="5">
        <v>0</v>
      </c>
      <c r="P42" s="2" t="s">
        <v>17</v>
      </c>
      <c r="Q42" s="10">
        <f>data_redis_illX!E8</f>
        <v>0</v>
      </c>
      <c r="R42" s="10">
        <f>data_redis_illX!F8</f>
        <v>0</v>
      </c>
      <c r="S42" s="10">
        <f>data_redis_illX!G8</f>
        <v>0</v>
      </c>
      <c r="T42" s="10">
        <f>data_redis_illX!H8</f>
        <v>0</v>
      </c>
      <c r="U42" s="10">
        <f>data_redis_illX!I8</f>
        <v>1.1185790755416889</v>
      </c>
      <c r="V42" s="10">
        <f>data_redis_illX!J8</f>
        <v>0</v>
      </c>
      <c r="W42" s="10">
        <f>data_redis_illX!K8</f>
        <v>0</v>
      </c>
      <c r="X42" s="10">
        <f>data_redis_illX!L8</f>
        <v>0</v>
      </c>
      <c r="Y42" s="5">
        <f t="shared" si="0"/>
        <v>1.1185790755416889</v>
      </c>
    </row>
    <row r="43" spans="1:33" x14ac:dyDescent="0.25">
      <c r="C43" t="s">
        <v>18</v>
      </c>
      <c r="D43" s="5">
        <f t="array" ref="D43:K43">(Q43:X43*AE$4:AE$11+Q406:Y406*AF$4:AF$11+Q769:Y769*AG$4:AG$11)</f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P43" s="2" t="s">
        <v>18</v>
      </c>
      <c r="Q43" s="10">
        <f>data_redis_illX!E9</f>
        <v>0</v>
      </c>
      <c r="R43" s="10">
        <f>data_redis_illX!F9</f>
        <v>0</v>
      </c>
      <c r="S43" s="10">
        <f>data_redis_illX!G9</f>
        <v>0</v>
      </c>
      <c r="T43" s="10">
        <f>data_redis_illX!H9</f>
        <v>0</v>
      </c>
      <c r="U43" s="10">
        <f>data_redis_illX!I9</f>
        <v>0</v>
      </c>
      <c r="V43" s="10">
        <f>data_redis_illX!J9</f>
        <v>0</v>
      </c>
      <c r="W43" s="10">
        <f>data_redis_illX!K9</f>
        <v>0</v>
      </c>
      <c r="X43" s="10">
        <f>data_redis_illX!L9</f>
        <v>0</v>
      </c>
      <c r="Y43" s="5">
        <f t="shared" si="0"/>
        <v>0</v>
      </c>
    </row>
    <row r="44" spans="1:33" x14ac:dyDescent="0.25">
      <c r="C44" t="s">
        <v>19</v>
      </c>
      <c r="D44" s="5">
        <f t="array" ref="D44:K44">(Q44:X44*AE$4:AE$11+Q407:Y407*AF$4:AF$11+Q770:Y770*AG$4:AG$11)</f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P44" s="2" t="s">
        <v>19</v>
      </c>
      <c r="Q44" s="10">
        <f>data_redis_illX!E10</f>
        <v>0</v>
      </c>
      <c r="R44" s="10">
        <f>data_redis_illX!F10</f>
        <v>0</v>
      </c>
      <c r="S44" s="10">
        <f>data_redis_illX!G10</f>
        <v>0</v>
      </c>
      <c r="T44" s="10">
        <f>data_redis_illX!H10</f>
        <v>0</v>
      </c>
      <c r="U44" s="10">
        <f>data_redis_illX!I10</f>
        <v>0</v>
      </c>
      <c r="V44" s="10">
        <f>data_redis_illX!J10</f>
        <v>0</v>
      </c>
      <c r="W44" s="10">
        <f>data_redis_illX!K10</f>
        <v>0</v>
      </c>
      <c r="X44" s="10">
        <f>data_redis_illX!L10</f>
        <v>0</v>
      </c>
      <c r="Y44" s="5">
        <f t="shared" si="0"/>
        <v>0</v>
      </c>
    </row>
    <row r="45" spans="1:33" x14ac:dyDescent="0.25">
      <c r="C45" t="s">
        <v>20</v>
      </c>
      <c r="D45" s="5">
        <f t="array" ref="D45:K45">(Q45:X45*AE$4:AE$11+Q408:Y408*AF$4:AF$11+Q771:Y771*AG$4:AG$11)</f>
        <v>0</v>
      </c>
      <c r="E45" s="5">
        <v>0</v>
      </c>
      <c r="F45" s="5">
        <v>2.305954785954786</v>
      </c>
      <c r="G45" s="5">
        <v>3.477901778657376</v>
      </c>
      <c r="H45" s="5">
        <v>0</v>
      </c>
      <c r="I45" s="5">
        <v>0</v>
      </c>
      <c r="J45" s="5">
        <v>0</v>
      </c>
      <c r="K45" s="5">
        <v>0</v>
      </c>
      <c r="P45" s="2" t="s">
        <v>20</v>
      </c>
      <c r="Q45" s="10">
        <f>data_redis_illX!E11</f>
        <v>0</v>
      </c>
      <c r="R45" s="10">
        <f>data_redis_illX!F11</f>
        <v>0</v>
      </c>
      <c r="S45" s="10">
        <f>data_redis_illX!G11</f>
        <v>2.305954785954786</v>
      </c>
      <c r="T45" s="10">
        <f>data_redis_illX!H11</f>
        <v>3.477901778657376</v>
      </c>
      <c r="U45" s="10">
        <f>data_redis_illX!I11</f>
        <v>0</v>
      </c>
      <c r="V45" s="10">
        <f>data_redis_illX!J11</f>
        <v>0</v>
      </c>
      <c r="W45" s="10">
        <f>data_redis_illX!K11</f>
        <v>0</v>
      </c>
      <c r="X45" s="10">
        <f>data_redis_illX!L11</f>
        <v>0</v>
      </c>
      <c r="Y45" s="5">
        <f t="shared" si="0"/>
        <v>5.7838565646121616</v>
      </c>
    </row>
    <row r="46" spans="1:33" x14ac:dyDescent="0.25">
      <c r="C46" t="s">
        <v>21</v>
      </c>
      <c r="D46" s="5">
        <f t="array" ref="D46:K46">(Q46:X46*AE$4:AE$11+Q409:Y409*AF$4:AF$11+Q772:Y772*AG$4:AG$11)</f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P46" s="2" t="s">
        <v>21</v>
      </c>
      <c r="Q46" s="10">
        <f>data_redis_illX!E12</f>
        <v>0</v>
      </c>
      <c r="R46" s="10">
        <f>data_redis_illX!F12</f>
        <v>0</v>
      </c>
      <c r="S46" s="10">
        <f>data_redis_illX!G12</f>
        <v>0</v>
      </c>
      <c r="T46" s="10">
        <f>data_redis_illX!H12</f>
        <v>0</v>
      </c>
      <c r="U46" s="10">
        <f>data_redis_illX!I12</f>
        <v>0</v>
      </c>
      <c r="V46" s="10">
        <f>data_redis_illX!J12</f>
        <v>0</v>
      </c>
      <c r="W46" s="10">
        <f>data_redis_illX!K12</f>
        <v>0</v>
      </c>
      <c r="X46" s="10">
        <f>data_redis_illX!L12</f>
        <v>0</v>
      </c>
      <c r="Y46" s="5">
        <f t="shared" si="0"/>
        <v>0</v>
      </c>
    </row>
    <row r="47" spans="1:33" x14ac:dyDescent="0.25">
      <c r="C47" t="s">
        <v>22</v>
      </c>
      <c r="D47" s="5">
        <f t="array" ref="D47:K47">(Q47:X47*AE$4:AE$11+Q410:Y410*AF$4:AF$11+Q773:Y773*AG$4:AG$11)</f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P47" s="2" t="s">
        <v>22</v>
      </c>
      <c r="Q47" s="10">
        <f>data_redis_illX!E13</f>
        <v>0</v>
      </c>
      <c r="R47" s="10">
        <f>data_redis_illX!F13</f>
        <v>0</v>
      </c>
      <c r="S47" s="10">
        <f>data_redis_illX!G13</f>
        <v>0</v>
      </c>
      <c r="T47" s="10">
        <f>data_redis_illX!H13</f>
        <v>0</v>
      </c>
      <c r="U47" s="10">
        <f>data_redis_illX!I13</f>
        <v>0</v>
      </c>
      <c r="V47" s="10">
        <f>data_redis_illX!J13</f>
        <v>0</v>
      </c>
      <c r="W47" s="10">
        <f>data_redis_illX!K13</f>
        <v>0</v>
      </c>
      <c r="X47" s="10">
        <f>data_redis_illX!L13</f>
        <v>0</v>
      </c>
      <c r="Y47" s="5">
        <f t="shared" si="0"/>
        <v>0</v>
      </c>
    </row>
    <row r="48" spans="1:33" x14ac:dyDescent="0.25">
      <c r="C48" t="s">
        <v>23</v>
      </c>
      <c r="D48" s="5">
        <f t="array" ref="D48:K48">(Q48:X48*AE$4:AE$11+Q411:Y411*AF$4:AF$11+Q774:Y774*AG$4:AG$11)</f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P48" s="2" t="s">
        <v>23</v>
      </c>
      <c r="Q48" s="10">
        <f>data_redis_illX!E14</f>
        <v>0</v>
      </c>
      <c r="R48" s="10">
        <f>data_redis_illX!F14</f>
        <v>0</v>
      </c>
      <c r="S48" s="10">
        <f>data_redis_illX!G14</f>
        <v>0</v>
      </c>
      <c r="T48" s="10">
        <f>data_redis_illX!H14</f>
        <v>0</v>
      </c>
      <c r="U48" s="10">
        <f>data_redis_illX!I14</f>
        <v>0</v>
      </c>
      <c r="V48" s="10">
        <f>data_redis_illX!J14</f>
        <v>0</v>
      </c>
      <c r="W48" s="10">
        <f>data_redis_illX!K14</f>
        <v>0</v>
      </c>
      <c r="X48" s="10">
        <f>data_redis_illX!L14</f>
        <v>0</v>
      </c>
      <c r="Y48" s="5">
        <f t="shared" si="0"/>
        <v>0</v>
      </c>
    </row>
    <row r="49" spans="3:25" x14ac:dyDescent="0.25">
      <c r="C49" t="s">
        <v>24</v>
      </c>
      <c r="D49" s="5">
        <f t="array" ref="D49:K49">(Q49:X49*AE$4:AE$11+Q412:Y412*AF$4:AF$11+Q775:Y775*AG$4:AG$11)</f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P49" s="2" t="s">
        <v>24</v>
      </c>
      <c r="Q49" s="10">
        <f>data_redis_illX!E15</f>
        <v>0</v>
      </c>
      <c r="R49" s="10">
        <f>data_redis_illX!F15</f>
        <v>0</v>
      </c>
      <c r="S49" s="10">
        <f>data_redis_illX!G15</f>
        <v>0</v>
      </c>
      <c r="T49" s="10">
        <f>data_redis_illX!H15</f>
        <v>0</v>
      </c>
      <c r="U49" s="10">
        <f>data_redis_illX!I15</f>
        <v>0</v>
      </c>
      <c r="V49" s="10">
        <f>data_redis_illX!J15</f>
        <v>0</v>
      </c>
      <c r="W49" s="10">
        <f>data_redis_illX!K15</f>
        <v>0</v>
      </c>
      <c r="X49" s="10">
        <f>data_redis_illX!L15</f>
        <v>0</v>
      </c>
      <c r="Y49" s="5">
        <f t="shared" si="0"/>
        <v>0</v>
      </c>
    </row>
    <row r="50" spans="3:25" x14ac:dyDescent="0.25">
      <c r="C50" t="s">
        <v>25</v>
      </c>
      <c r="D50" s="5">
        <f t="array" ref="D50:K50">(Q50:X50*AE$4:AE$11+Q413:Y413*AF$4:AF$11+Q776:Y776*AG$4:AG$11)</f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P50" s="2" t="s">
        <v>25</v>
      </c>
      <c r="Q50" s="10">
        <f>data_redis_illX!E16</f>
        <v>0</v>
      </c>
      <c r="R50" s="10">
        <f>data_redis_illX!F16</f>
        <v>0</v>
      </c>
      <c r="S50" s="10">
        <f>data_redis_illX!G16</f>
        <v>0</v>
      </c>
      <c r="T50" s="10">
        <f>data_redis_illX!H16</f>
        <v>0</v>
      </c>
      <c r="U50" s="10">
        <f>data_redis_illX!I16</f>
        <v>0</v>
      </c>
      <c r="V50" s="10">
        <f>data_redis_illX!J16</f>
        <v>0</v>
      </c>
      <c r="W50" s="10">
        <f>data_redis_illX!K16</f>
        <v>0</v>
      </c>
      <c r="X50" s="10">
        <f>data_redis_illX!L16</f>
        <v>0</v>
      </c>
      <c r="Y50" s="5">
        <f t="shared" si="0"/>
        <v>0</v>
      </c>
    </row>
    <row r="51" spans="3:25" x14ac:dyDescent="0.25">
      <c r="C51" t="s">
        <v>26</v>
      </c>
      <c r="D51" s="5">
        <f t="array" ref="D51:K51">(Q51:X51*AE$4:AE$11+Q414:Y414*AF$4:AF$11+Q777:Y777*AG$4:AG$11)</f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P51" s="2" t="s">
        <v>26</v>
      </c>
      <c r="Q51" s="10">
        <f>data_redis_illX!E17</f>
        <v>0</v>
      </c>
      <c r="R51" s="10">
        <f>data_redis_illX!F17</f>
        <v>0</v>
      </c>
      <c r="S51" s="10">
        <f>data_redis_illX!G17</f>
        <v>0</v>
      </c>
      <c r="T51" s="10">
        <f>data_redis_illX!H17</f>
        <v>0</v>
      </c>
      <c r="U51" s="10">
        <f>data_redis_illX!I17</f>
        <v>0</v>
      </c>
      <c r="V51" s="10">
        <f>data_redis_illX!J17</f>
        <v>0</v>
      </c>
      <c r="W51" s="10">
        <f>data_redis_illX!K17</f>
        <v>0</v>
      </c>
      <c r="X51" s="10">
        <f>data_redis_illX!L17</f>
        <v>0</v>
      </c>
      <c r="Y51" s="5">
        <f t="shared" si="0"/>
        <v>0</v>
      </c>
    </row>
    <row r="52" spans="3:25" x14ac:dyDescent="0.25">
      <c r="C52" t="s">
        <v>27</v>
      </c>
      <c r="D52" s="5">
        <f t="array" ref="D52:K52">(Q52:X52*AE$4:AE$11+Q415:Y415*AF$4:AF$11+Q778:Y778*AG$4:AG$11)</f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P52" s="2" t="s">
        <v>27</v>
      </c>
      <c r="Q52" s="10">
        <f>data_redis_illX!E18</f>
        <v>0</v>
      </c>
      <c r="R52" s="10">
        <f>data_redis_illX!F18</f>
        <v>0</v>
      </c>
      <c r="S52" s="10">
        <f>data_redis_illX!G18</f>
        <v>0</v>
      </c>
      <c r="T52" s="10">
        <f>data_redis_illX!H18</f>
        <v>0</v>
      </c>
      <c r="U52" s="10">
        <f>data_redis_illX!I18</f>
        <v>0</v>
      </c>
      <c r="V52" s="10">
        <f>data_redis_illX!J18</f>
        <v>0</v>
      </c>
      <c r="W52" s="10">
        <f>data_redis_illX!K18</f>
        <v>0</v>
      </c>
      <c r="X52" s="10">
        <f>data_redis_illX!L18</f>
        <v>0</v>
      </c>
      <c r="Y52" s="5">
        <f t="shared" si="0"/>
        <v>0</v>
      </c>
    </row>
    <row r="53" spans="3:25" x14ac:dyDescent="0.25">
      <c r="C53" t="s">
        <v>28</v>
      </c>
      <c r="D53" s="5">
        <f t="array" ref="D53:K53">(Q53:X53*AE$4:AE$11+Q416:Y416*AF$4:AF$11+Q779:Y779*AG$4:AG$11)</f>
        <v>0</v>
      </c>
      <c r="E53" s="5">
        <v>0</v>
      </c>
      <c r="F53" s="5">
        <v>1.0012698412698413</v>
      </c>
      <c r="G53" s="5">
        <v>5.0652512068323805</v>
      </c>
      <c r="H53" s="5">
        <v>0</v>
      </c>
      <c r="I53" s="5">
        <v>0</v>
      </c>
      <c r="J53" s="5">
        <v>0</v>
      </c>
      <c r="K53" s="5">
        <v>0</v>
      </c>
      <c r="P53" s="2" t="s">
        <v>28</v>
      </c>
      <c r="Q53" s="10">
        <f>data_redis_illX!E19</f>
        <v>0</v>
      </c>
      <c r="R53" s="10">
        <f>data_redis_illX!F19</f>
        <v>0</v>
      </c>
      <c r="S53" s="10">
        <f>data_redis_illX!G19</f>
        <v>0</v>
      </c>
      <c r="T53" s="10">
        <f>data_redis_illX!H19</f>
        <v>2.318601185771584</v>
      </c>
      <c r="U53" s="10">
        <f>data_redis_illX!I19</f>
        <v>0</v>
      </c>
      <c r="V53" s="10">
        <f>data_redis_illX!J19</f>
        <v>0</v>
      </c>
      <c r="W53" s="10">
        <f>data_redis_illX!K19</f>
        <v>0</v>
      </c>
      <c r="X53" s="10">
        <f>data_redis_illX!L19</f>
        <v>0</v>
      </c>
      <c r="Y53" s="5">
        <f t="shared" si="0"/>
        <v>2.318601185771584</v>
      </c>
    </row>
    <row r="54" spans="3:25" x14ac:dyDescent="0.25">
      <c r="C54" t="s">
        <v>29</v>
      </c>
      <c r="D54" s="5">
        <f t="array" ref="D54:K54">(Q54:X54*AE$4:AE$11+Q417:Y417*AF$4:AF$11+Q780:Y780*AG$4:AG$11)</f>
        <v>0</v>
      </c>
      <c r="E54" s="5">
        <v>0</v>
      </c>
      <c r="F54" s="5">
        <v>2.0025396825396826</v>
      </c>
      <c r="G54" s="5">
        <v>0</v>
      </c>
      <c r="H54" s="5">
        <v>3.0797435112995335</v>
      </c>
      <c r="I54" s="5">
        <v>0</v>
      </c>
      <c r="J54" s="5">
        <v>0</v>
      </c>
      <c r="K54" s="5">
        <v>0</v>
      </c>
      <c r="P54" s="2" t="s">
        <v>29</v>
      </c>
      <c r="Q54" s="10">
        <f>data_redis_illX!E20</f>
        <v>0</v>
      </c>
      <c r="R54" s="10">
        <f>data_redis_illX!F20</f>
        <v>0</v>
      </c>
      <c r="S54" s="10">
        <f>data_redis_illX!G20</f>
        <v>0</v>
      </c>
      <c r="T54" s="10">
        <f>data_redis_illX!H20</f>
        <v>0</v>
      </c>
      <c r="U54" s="10">
        <f>data_redis_illX!I20</f>
        <v>0</v>
      </c>
      <c r="V54" s="10">
        <f>data_redis_illX!J20</f>
        <v>0</v>
      </c>
      <c r="W54" s="10">
        <f>data_redis_illX!K20</f>
        <v>0</v>
      </c>
      <c r="X54" s="10">
        <f>data_redis_illX!L20</f>
        <v>0</v>
      </c>
      <c r="Y54" s="5">
        <f t="shared" si="0"/>
        <v>0</v>
      </c>
    </row>
    <row r="55" spans="3:25" x14ac:dyDescent="0.25">
      <c r="C55" t="s">
        <v>30</v>
      </c>
      <c r="D55" s="5">
        <f t="array" ref="D55:K55">(Q55:X55*AE$4:AE$11+Q418:Y418*AF$4:AF$11+Q781:Y781*AG$4:AG$11)</f>
        <v>0</v>
      </c>
      <c r="E55" s="5">
        <v>0</v>
      </c>
      <c r="F55" s="5">
        <v>12.573116491103733</v>
      </c>
      <c r="G55" s="5">
        <v>22.882808935408473</v>
      </c>
      <c r="H55" s="5">
        <v>3.3557372266250662</v>
      </c>
      <c r="I55" s="5">
        <v>0</v>
      </c>
      <c r="J55" s="5">
        <v>0</v>
      </c>
      <c r="K55" s="5">
        <v>0</v>
      </c>
      <c r="P55" s="2" t="s">
        <v>30</v>
      </c>
      <c r="Q55" s="10">
        <f>data_redis_illX!E21</f>
        <v>0</v>
      </c>
      <c r="R55" s="10">
        <f>data_redis_illX!F21</f>
        <v>0</v>
      </c>
      <c r="S55" s="10">
        <f>data_redis_illX!G21</f>
        <v>10.376796536796537</v>
      </c>
      <c r="T55" s="10">
        <f>data_redis_illX!H21</f>
        <v>17.38950889328688</v>
      </c>
      <c r="U55" s="10">
        <f>data_redis_illX!I21</f>
        <v>3.3557372266250662</v>
      </c>
      <c r="V55" s="10">
        <f>data_redis_illX!J21</f>
        <v>0</v>
      </c>
      <c r="W55" s="10">
        <f>data_redis_illX!K21</f>
        <v>0</v>
      </c>
      <c r="X55" s="10">
        <f>data_redis_illX!L21</f>
        <v>0</v>
      </c>
      <c r="Y55" s="5">
        <f t="shared" si="0"/>
        <v>31.122042656708484</v>
      </c>
    </row>
    <row r="56" spans="3:25" x14ac:dyDescent="0.25">
      <c r="C56" t="s">
        <v>31</v>
      </c>
      <c r="D56" s="5">
        <f t="array" ref="D56:K56">(Q56:X56*AE$4:AE$11+Q419:Y419*AF$4:AF$11+Q782:Y782*AG$4:AG$11)</f>
        <v>0</v>
      </c>
      <c r="E56" s="5">
        <v>0</v>
      </c>
      <c r="F56" s="5">
        <v>0</v>
      </c>
      <c r="G56" s="5">
        <v>0</v>
      </c>
      <c r="H56" s="5">
        <v>1.1185790755416889</v>
      </c>
      <c r="I56" s="5">
        <v>0</v>
      </c>
      <c r="J56" s="5">
        <v>0</v>
      </c>
      <c r="K56" s="5">
        <v>0</v>
      </c>
      <c r="P56" s="2" t="s">
        <v>31</v>
      </c>
      <c r="Q56" s="10">
        <f>data_redis_illX!E22</f>
        <v>0</v>
      </c>
      <c r="R56" s="10">
        <f>data_redis_illX!F22</f>
        <v>0</v>
      </c>
      <c r="S56" s="10">
        <f>data_redis_illX!G22</f>
        <v>0</v>
      </c>
      <c r="T56" s="10">
        <f>data_redis_illX!H22</f>
        <v>0</v>
      </c>
      <c r="U56" s="10">
        <f>data_redis_illX!I22</f>
        <v>1.1185790755416889</v>
      </c>
      <c r="V56" s="10">
        <f>data_redis_illX!J22</f>
        <v>0</v>
      </c>
      <c r="W56" s="10">
        <f>data_redis_illX!K22</f>
        <v>0</v>
      </c>
      <c r="X56" s="10">
        <f>data_redis_illX!L22</f>
        <v>0</v>
      </c>
      <c r="Y56" s="5">
        <f t="shared" si="0"/>
        <v>1.1185790755416889</v>
      </c>
    </row>
    <row r="57" spans="3:25" x14ac:dyDescent="0.25">
      <c r="C57" t="s">
        <v>32</v>
      </c>
      <c r="D57" s="5">
        <f t="array" ref="D57:K57">(Q57:X57*AE$4:AE$11+Q420:Y420*AF$4:AF$11+Q783:Y783*AG$4:AG$11)</f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P57" s="2" t="s">
        <v>32</v>
      </c>
      <c r="Q57" s="10">
        <f>data_redis_illX!E23</f>
        <v>0</v>
      </c>
      <c r="R57" s="10">
        <f>data_redis_illX!F23</f>
        <v>0</v>
      </c>
      <c r="S57" s="10">
        <f>data_redis_illX!G23</f>
        <v>0</v>
      </c>
      <c r="T57" s="10">
        <f>data_redis_illX!H23</f>
        <v>0</v>
      </c>
      <c r="U57" s="10">
        <f>data_redis_illX!I23</f>
        <v>0</v>
      </c>
      <c r="V57" s="10">
        <f>data_redis_illX!J23</f>
        <v>0</v>
      </c>
      <c r="W57" s="10">
        <f>data_redis_illX!K23</f>
        <v>0</v>
      </c>
      <c r="X57" s="10">
        <f>data_redis_illX!L23</f>
        <v>0</v>
      </c>
      <c r="Y57" s="5">
        <f t="shared" si="0"/>
        <v>0</v>
      </c>
    </row>
    <row r="58" spans="3:25" x14ac:dyDescent="0.25">
      <c r="C58" t="s">
        <v>33</v>
      </c>
      <c r="D58" s="5">
        <f t="array" ref="D58:K58">(Q58:X58*AE$4:AE$11+Q421:Y421*AF$4:AF$11+Q784:Y784*AG$4:AG$11)</f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P58" s="2" t="s">
        <v>33</v>
      </c>
      <c r="Q58" s="10">
        <f>data_redis_illX!E24</f>
        <v>0</v>
      </c>
      <c r="R58" s="10">
        <f>data_redis_illX!F24</f>
        <v>0</v>
      </c>
      <c r="S58" s="10">
        <f>data_redis_illX!G24</f>
        <v>0</v>
      </c>
      <c r="T58" s="10">
        <f>data_redis_illX!H24</f>
        <v>0</v>
      </c>
      <c r="U58" s="10">
        <f>data_redis_illX!I24</f>
        <v>0</v>
      </c>
      <c r="V58" s="10">
        <f>data_redis_illX!J24</f>
        <v>0</v>
      </c>
      <c r="W58" s="10">
        <f>data_redis_illX!K24</f>
        <v>0</v>
      </c>
      <c r="X58" s="10">
        <f>data_redis_illX!L24</f>
        <v>0</v>
      </c>
      <c r="Y58" s="5">
        <f t="shared" si="0"/>
        <v>0</v>
      </c>
    </row>
    <row r="59" spans="3:25" x14ac:dyDescent="0.25">
      <c r="C59" t="s">
        <v>34</v>
      </c>
      <c r="D59" s="5">
        <f t="array" ref="D59:K59">(Q59:X59*AE$4:AE$11+Q422:Y422*AF$4:AF$11+Q785:Y785*AG$4:AG$11)</f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P59" s="2" t="s">
        <v>34</v>
      </c>
      <c r="Q59" s="10">
        <f>data_redis_illX!E25</f>
        <v>0</v>
      </c>
      <c r="R59" s="10">
        <f>data_redis_illX!F25</f>
        <v>0</v>
      </c>
      <c r="S59" s="10">
        <f>data_redis_illX!G25</f>
        <v>0</v>
      </c>
      <c r="T59" s="10">
        <f>data_redis_illX!H25</f>
        <v>0</v>
      </c>
      <c r="U59" s="10">
        <f>data_redis_illX!I25</f>
        <v>0</v>
      </c>
      <c r="V59" s="10">
        <f>data_redis_illX!J25</f>
        <v>0</v>
      </c>
      <c r="W59" s="10">
        <f>data_redis_illX!K25</f>
        <v>0</v>
      </c>
      <c r="X59" s="10">
        <f>data_redis_illX!L25</f>
        <v>0</v>
      </c>
      <c r="Y59" s="5">
        <f t="shared" si="0"/>
        <v>0</v>
      </c>
    </row>
    <row r="60" spans="3:25" x14ac:dyDescent="0.25">
      <c r="C60" t="s">
        <v>35</v>
      </c>
      <c r="D60" s="5">
        <f t="array" ref="D60:K60">(Q60:X60*AE$4:AE$11+Q423:Y423*AF$4:AF$11+Q786:Y786*AG$4:AG$11)</f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P60" s="2" t="s">
        <v>35</v>
      </c>
      <c r="Q60" s="10">
        <f>data_redis_illX!E26</f>
        <v>0</v>
      </c>
      <c r="R60" s="10">
        <f>data_redis_illX!F26</f>
        <v>0</v>
      </c>
      <c r="S60" s="10">
        <f>data_redis_illX!G26</f>
        <v>0</v>
      </c>
      <c r="T60" s="10">
        <f>data_redis_illX!H26</f>
        <v>0</v>
      </c>
      <c r="U60" s="10">
        <f>data_redis_illX!I26</f>
        <v>0</v>
      </c>
      <c r="V60" s="10">
        <f>data_redis_illX!J26</f>
        <v>0</v>
      </c>
      <c r="W60" s="10">
        <f>data_redis_illX!K26</f>
        <v>0</v>
      </c>
      <c r="X60" s="10">
        <f>data_redis_illX!L26</f>
        <v>0</v>
      </c>
      <c r="Y60" s="5">
        <f t="shared" si="0"/>
        <v>0</v>
      </c>
    </row>
    <row r="61" spans="3:25" x14ac:dyDescent="0.25">
      <c r="C61" t="s">
        <v>36</v>
      </c>
      <c r="D61" s="5">
        <f t="array" ref="D61:K61">(Q61:X61*AE$4:AE$11+Q424:Y424*AF$4:AF$11+Q787:Y787*AG$4:AG$11)</f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P61" s="2" t="s">
        <v>36</v>
      </c>
      <c r="Q61" s="10">
        <f>data_redis_illX!E27</f>
        <v>0</v>
      </c>
      <c r="R61" s="10">
        <f>data_redis_illX!F27</f>
        <v>0</v>
      </c>
      <c r="S61" s="10">
        <f>data_redis_illX!G27</f>
        <v>0</v>
      </c>
      <c r="T61" s="10">
        <f>data_redis_illX!H27</f>
        <v>0</v>
      </c>
      <c r="U61" s="10">
        <f>data_redis_illX!I27</f>
        <v>0</v>
      </c>
      <c r="V61" s="10">
        <f>data_redis_illX!J27</f>
        <v>0</v>
      </c>
      <c r="W61" s="10">
        <f>data_redis_illX!K27</f>
        <v>0</v>
      </c>
      <c r="X61" s="10">
        <f>data_redis_illX!L27</f>
        <v>0</v>
      </c>
      <c r="Y61" s="5">
        <f t="shared" si="0"/>
        <v>0</v>
      </c>
    </row>
    <row r="62" spans="3:25" x14ac:dyDescent="0.25">
      <c r="C62" t="s">
        <v>37</v>
      </c>
      <c r="D62" s="5">
        <f t="array" ref="D62:K62">(Q62:X62*AE$4:AE$11+Q425:Y425*AF$4:AF$11+Q788:Y788*AG$4:AG$11)</f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P62" s="2" t="s">
        <v>37</v>
      </c>
      <c r="Q62" s="10">
        <f>data_redis_illX!E28</f>
        <v>0</v>
      </c>
      <c r="R62" s="10">
        <f>data_redis_illX!F28</f>
        <v>0</v>
      </c>
      <c r="S62" s="10">
        <f>data_redis_illX!G28</f>
        <v>0</v>
      </c>
      <c r="T62" s="10">
        <f>data_redis_illX!H28</f>
        <v>0</v>
      </c>
      <c r="U62" s="10">
        <f>data_redis_illX!I28</f>
        <v>0</v>
      </c>
      <c r="V62" s="10">
        <f>data_redis_illX!J28</f>
        <v>0</v>
      </c>
      <c r="W62" s="10">
        <f>data_redis_illX!K28</f>
        <v>0</v>
      </c>
      <c r="X62" s="10">
        <f>data_redis_illX!L28</f>
        <v>0</v>
      </c>
      <c r="Y62" s="5">
        <f t="shared" si="0"/>
        <v>0</v>
      </c>
    </row>
    <row r="63" spans="3:25" x14ac:dyDescent="0.25">
      <c r="C63" t="s">
        <v>38</v>
      </c>
      <c r="D63" s="5">
        <f t="array" ref="D63:K63">(Q63:X63*AE$4:AE$11+Q426:Y426*AF$4:AF$11+Q789:Y789*AG$4:AG$11)</f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P63" s="2" t="s">
        <v>38</v>
      </c>
      <c r="Q63" s="10">
        <f>data_redis_illX!E29</f>
        <v>0</v>
      </c>
      <c r="R63" s="10">
        <f>data_redis_illX!F29</f>
        <v>0</v>
      </c>
      <c r="S63" s="10">
        <f>data_redis_illX!G29</f>
        <v>0</v>
      </c>
      <c r="T63" s="10">
        <f>data_redis_illX!H29</f>
        <v>0</v>
      </c>
      <c r="U63" s="10">
        <f>data_redis_illX!I29</f>
        <v>0</v>
      </c>
      <c r="V63" s="10">
        <f>data_redis_illX!J29</f>
        <v>0</v>
      </c>
      <c r="W63" s="10">
        <f>data_redis_illX!K29</f>
        <v>0</v>
      </c>
      <c r="X63" s="10">
        <f>data_redis_illX!L29</f>
        <v>0</v>
      </c>
      <c r="Y63" s="5">
        <f t="shared" si="0"/>
        <v>0</v>
      </c>
    </row>
    <row r="64" spans="3:25" x14ac:dyDescent="0.25">
      <c r="C64" t="s">
        <v>39</v>
      </c>
      <c r="D64" s="5">
        <f t="array" ref="D64:K64">(Q64:X64*AE$4:AE$11+Q427:Y427*AF$4:AF$11+Q790:Y790*AG$4:AG$11)</f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P64" s="2" t="s">
        <v>39</v>
      </c>
      <c r="Q64" s="10">
        <f>data_redis_illX!E30</f>
        <v>0</v>
      </c>
      <c r="R64" s="10">
        <f>data_redis_illX!F30</f>
        <v>0</v>
      </c>
      <c r="S64" s="10">
        <f>data_redis_illX!G30</f>
        <v>0</v>
      </c>
      <c r="T64" s="10">
        <f>data_redis_illX!H30</f>
        <v>0</v>
      </c>
      <c r="U64" s="10">
        <f>data_redis_illX!I30</f>
        <v>0</v>
      </c>
      <c r="V64" s="10">
        <f>data_redis_illX!J30</f>
        <v>0</v>
      </c>
      <c r="W64" s="10">
        <f>data_redis_illX!K30</f>
        <v>0</v>
      </c>
      <c r="X64" s="10">
        <f>data_redis_illX!L30</f>
        <v>0</v>
      </c>
      <c r="Y64" s="5">
        <f t="shared" si="0"/>
        <v>0</v>
      </c>
    </row>
    <row r="65" spans="1:25" x14ac:dyDescent="0.25">
      <c r="C65" t="s">
        <v>40</v>
      </c>
      <c r="D65" s="5">
        <f t="array" ref="D65:K65">(Q65:X65*AE$4:AE$11+Q428:Y428*AF$4:AF$11+Q791:Y791*AG$4:AG$11)</f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P65" s="2" t="s">
        <v>40</v>
      </c>
      <c r="Q65" s="10">
        <f>data_redis_illX!E31</f>
        <v>0</v>
      </c>
      <c r="R65" s="10">
        <f>data_redis_illX!F31</f>
        <v>0</v>
      </c>
      <c r="S65" s="10">
        <f>data_redis_illX!G31</f>
        <v>0</v>
      </c>
      <c r="T65" s="10">
        <f>data_redis_illX!H31</f>
        <v>0</v>
      </c>
      <c r="U65" s="10">
        <f>data_redis_illX!I31</f>
        <v>0</v>
      </c>
      <c r="V65" s="10">
        <f>data_redis_illX!J31</f>
        <v>0</v>
      </c>
      <c r="W65" s="10">
        <f>data_redis_illX!K31</f>
        <v>0</v>
      </c>
      <c r="X65" s="10">
        <f>data_redis_illX!L31</f>
        <v>0</v>
      </c>
      <c r="Y65" s="5">
        <f t="shared" si="0"/>
        <v>0</v>
      </c>
    </row>
    <row r="66" spans="1:25" x14ac:dyDescent="0.25">
      <c r="C66" t="s">
        <v>41</v>
      </c>
      <c r="D66" s="5">
        <f t="array" ref="D66:K66">(Q66:X66*AE$4:AE$11+Q429:Y429*AF$4:AF$11+Q792:Y792*AG$4:AG$11)</f>
        <v>0</v>
      </c>
      <c r="E66" s="5">
        <v>0</v>
      </c>
      <c r="F66" s="5">
        <v>0</v>
      </c>
      <c r="G66" s="5">
        <v>1.159300592885792</v>
      </c>
      <c r="H66" s="5">
        <v>0</v>
      </c>
      <c r="I66" s="5">
        <v>0</v>
      </c>
      <c r="J66" s="5">
        <v>0</v>
      </c>
      <c r="K66" s="5">
        <v>0</v>
      </c>
      <c r="P66" s="2" t="s">
        <v>41</v>
      </c>
      <c r="Q66" s="10">
        <f>data_redis_illX!E32</f>
        <v>0</v>
      </c>
      <c r="R66" s="10">
        <f>data_redis_illX!F32</f>
        <v>0</v>
      </c>
      <c r="S66" s="10">
        <f>data_redis_illX!G32</f>
        <v>0</v>
      </c>
      <c r="T66" s="10">
        <f>data_redis_illX!H32</f>
        <v>1.159300592885792</v>
      </c>
      <c r="U66" s="10">
        <f>data_redis_illX!I32</f>
        <v>0</v>
      </c>
      <c r="V66" s="10">
        <f>data_redis_illX!J32</f>
        <v>0</v>
      </c>
      <c r="W66" s="10">
        <f>data_redis_illX!K32</f>
        <v>0</v>
      </c>
      <c r="X66" s="10">
        <f>data_redis_illX!L32</f>
        <v>0</v>
      </c>
      <c r="Y66" s="5">
        <f t="shared" si="0"/>
        <v>1.159300592885792</v>
      </c>
    </row>
    <row r="67" spans="1:25" x14ac:dyDescent="0.25">
      <c r="C67" t="s">
        <v>42</v>
      </c>
      <c r="D67" s="5">
        <f t="array" ref="D67:K67">(Q67:X67*AE$4:AE$11+Q430:Y430*AF$4:AF$11+Q793:Y793*AG$4:AG$11)</f>
        <v>0</v>
      </c>
      <c r="E67" s="5">
        <v>0</v>
      </c>
      <c r="F67" s="5">
        <v>0</v>
      </c>
      <c r="G67" s="5">
        <v>6.652600635007385</v>
      </c>
      <c r="H67" s="5">
        <v>1.1185790755416889</v>
      </c>
      <c r="I67" s="5">
        <v>0</v>
      </c>
      <c r="J67" s="5">
        <v>0</v>
      </c>
      <c r="K67" s="5">
        <v>0</v>
      </c>
      <c r="P67" s="2" t="s">
        <v>42</v>
      </c>
      <c r="Q67" s="10">
        <f>data_redis_illX!E33</f>
        <v>0</v>
      </c>
      <c r="R67" s="10">
        <f>data_redis_illX!F33</f>
        <v>0</v>
      </c>
      <c r="S67" s="10">
        <f>data_redis_illX!G33</f>
        <v>0</v>
      </c>
      <c r="T67" s="10">
        <f>data_redis_illX!H33</f>
        <v>1.159300592885792</v>
      </c>
      <c r="U67" s="10">
        <f>data_redis_illX!I33</f>
        <v>1.1185790755416889</v>
      </c>
      <c r="V67" s="10">
        <f>data_redis_illX!J33</f>
        <v>0</v>
      </c>
      <c r="W67" s="10">
        <f>data_redis_illX!K33</f>
        <v>0</v>
      </c>
      <c r="X67" s="10">
        <f>data_redis_illX!L33</f>
        <v>0</v>
      </c>
      <c r="Y67" s="5">
        <f t="shared" si="0"/>
        <v>2.2778796684274809</v>
      </c>
    </row>
    <row r="68" spans="1:25" x14ac:dyDescent="0.25">
      <c r="C68" t="s">
        <v>43</v>
      </c>
      <c r="D68" s="5">
        <f t="array" ref="D68:K68">(Q68:X68*AE$4:AE$11+Q431:Y431*AF$4:AF$11+Q794:Y794*AG$4:AG$11)</f>
        <v>0</v>
      </c>
      <c r="E68" s="5">
        <v>0</v>
      </c>
      <c r="F68" s="5">
        <v>78.988655656579098</v>
      </c>
      <c r="G68" s="5">
        <v>101.5931689701268</v>
      </c>
      <c r="H68" s="5">
        <v>36.580568476774765</v>
      </c>
      <c r="I68" s="5">
        <v>1.0062429057888762</v>
      </c>
      <c r="J68" s="5">
        <v>0</v>
      </c>
      <c r="K68" s="5">
        <v>0</v>
      </c>
      <c r="P68" s="2" t="s">
        <v>43</v>
      </c>
      <c r="Q68" s="10">
        <f>data_redis_illX!E34</f>
        <v>0</v>
      </c>
      <c r="R68" s="10">
        <f>data_redis_illX!F34</f>
        <v>0</v>
      </c>
      <c r="S68" s="10">
        <f>data_redis_illX!G34</f>
        <v>58.80184704184704</v>
      </c>
      <c r="T68" s="10">
        <f>data_redis_illX!H34</f>
        <v>75.354538537576488</v>
      </c>
      <c r="U68" s="10">
        <f>data_redis_illX!I34</f>
        <v>21.253002435292089</v>
      </c>
      <c r="V68" s="10">
        <f>data_redis_illX!J34</f>
        <v>1.0062429057888762</v>
      </c>
      <c r="W68" s="10">
        <f>data_redis_illX!K34</f>
        <v>0</v>
      </c>
      <c r="X68" s="10">
        <f>data_redis_illX!L34</f>
        <v>0</v>
      </c>
      <c r="Y68" s="5">
        <f t="shared" si="0"/>
        <v>156.41563092050447</v>
      </c>
    </row>
    <row r="69" spans="1:25" x14ac:dyDescent="0.25">
      <c r="C69" t="s">
        <v>44</v>
      </c>
      <c r="D69" s="5">
        <f t="array" ref="D69:K69">(Q69:X69*AE$4:AE$11+Q432:Y432*AF$4:AF$11+Q795:Y795*AG$4:AG$11)</f>
        <v>0</v>
      </c>
      <c r="E69" s="5">
        <v>0</v>
      </c>
      <c r="F69" s="5">
        <v>5.6552521332393741</v>
      </c>
      <c r="G69" s="5">
        <v>1.159300592885792</v>
      </c>
      <c r="H69" s="5">
        <v>1.1185790755416889</v>
      </c>
      <c r="I69" s="5">
        <v>0</v>
      </c>
      <c r="J69" s="5">
        <v>0</v>
      </c>
      <c r="K69" s="5">
        <v>0</v>
      </c>
      <c r="P69" s="2" t="s">
        <v>44</v>
      </c>
      <c r="Q69" s="10">
        <f>data_redis_illX!E35</f>
        <v>0</v>
      </c>
      <c r="R69" s="10">
        <f>data_redis_illX!F35</f>
        <v>0</v>
      </c>
      <c r="S69" s="10">
        <f>data_redis_illX!G35</f>
        <v>3.4589321789321787</v>
      </c>
      <c r="T69" s="10">
        <f>data_redis_illX!H35</f>
        <v>1.159300592885792</v>
      </c>
      <c r="U69" s="10">
        <f>data_redis_illX!I35</f>
        <v>1.1185790755416889</v>
      </c>
      <c r="V69" s="10">
        <f>data_redis_illX!J35</f>
        <v>0</v>
      </c>
      <c r="W69" s="10">
        <f>data_redis_illX!K35</f>
        <v>0</v>
      </c>
      <c r="X69" s="10">
        <f>data_redis_illX!L35</f>
        <v>0</v>
      </c>
      <c r="Y69" s="5">
        <f t="shared" ref="Y69:Y132" si="1">SUM(Q69:X69)</f>
        <v>5.7368118473596592</v>
      </c>
    </row>
    <row r="70" spans="1:25" x14ac:dyDescent="0.25">
      <c r="A70">
        <v>1</v>
      </c>
      <c r="B70" t="s">
        <v>46</v>
      </c>
      <c r="C70" t="s">
        <v>12</v>
      </c>
      <c r="D70" s="5">
        <f t="array" ref="D70:K70">(Q70:X70*AE$4:AE$11+Q433:Y433*AF$4:AF$11+Q796:Y796*AG$4:AG$11)</f>
        <v>0</v>
      </c>
      <c r="E70" s="5">
        <v>0</v>
      </c>
      <c r="F70" s="5">
        <v>87.706251239857409</v>
      </c>
      <c r="G70" s="5">
        <v>88.796163765824815</v>
      </c>
      <c r="H70" s="5">
        <v>25.461971423469386</v>
      </c>
      <c r="I70" s="5">
        <v>0</v>
      </c>
      <c r="J70" s="5">
        <v>3.0303030303030304E-2</v>
      </c>
      <c r="K70" s="5">
        <v>0</v>
      </c>
      <c r="M70">
        <v>1</v>
      </c>
      <c r="N70" t="s">
        <v>103</v>
      </c>
      <c r="O70" t="s">
        <v>46</v>
      </c>
      <c r="P70" s="2" t="s">
        <v>12</v>
      </c>
      <c r="Q70" s="10">
        <f>data_redis_illX!E36</f>
        <v>0</v>
      </c>
      <c r="R70" s="10">
        <f>data_redis_illX!F36</f>
        <v>0</v>
      </c>
      <c r="S70" s="10">
        <f>data_redis_illX!G36</f>
        <v>23.475555555555555</v>
      </c>
      <c r="T70" s="10">
        <f>data_redis_illX!H36</f>
        <v>31.210794185265971</v>
      </c>
      <c r="U70" s="10">
        <f>data_redis_illX!I36</f>
        <v>7.6209859516779641</v>
      </c>
      <c r="V70" s="10">
        <f>data_redis_illX!J36</f>
        <v>0</v>
      </c>
      <c r="W70" s="10">
        <f>data_redis_illX!K36</f>
        <v>3.0303030303030304E-2</v>
      </c>
      <c r="X70" s="10">
        <f>data_redis_illX!L36</f>
        <v>0</v>
      </c>
      <c r="Y70" s="5">
        <f t="shared" si="1"/>
        <v>62.337638722802524</v>
      </c>
    </row>
    <row r="71" spans="1:25" x14ac:dyDescent="0.25">
      <c r="C71" t="s">
        <v>13</v>
      </c>
      <c r="D71" s="5">
        <f t="array" ref="D71:K71">(Q71:X71*AE$4:AE$11+Q434:Y434*AF$4:AF$11+Q797:Y797*AG$4:AG$11)</f>
        <v>0</v>
      </c>
      <c r="E71" s="5">
        <v>0</v>
      </c>
      <c r="F71" s="5">
        <v>454.27105692795254</v>
      </c>
      <c r="G71" s="5">
        <v>489.21861432944308</v>
      </c>
      <c r="H71" s="5">
        <v>118.92890423357625</v>
      </c>
      <c r="I71" s="5">
        <v>7.7252999003891603</v>
      </c>
      <c r="J71" s="5">
        <v>3.0303030303030304E-2</v>
      </c>
      <c r="K71" s="5">
        <v>0</v>
      </c>
      <c r="P71" s="2" t="s">
        <v>13</v>
      </c>
      <c r="Q71" s="10">
        <f>data_redis_illX!E37</f>
        <v>0</v>
      </c>
      <c r="R71" s="10">
        <f>data_redis_illX!F37</f>
        <v>0</v>
      </c>
      <c r="S71" s="10">
        <f>data_redis_illX!G37</f>
        <v>97.10343434343433</v>
      </c>
      <c r="T71" s="10">
        <f>data_redis_illX!H37</f>
        <v>91.479913991296812</v>
      </c>
      <c r="U71" s="10">
        <f>data_redis_illX!I37</f>
        <v>16.330684182167065</v>
      </c>
      <c r="V71" s="10">
        <f>data_redis_illX!J37</f>
        <v>0</v>
      </c>
      <c r="W71" s="10">
        <f>data_redis_illX!K37</f>
        <v>3.0303030303030304E-2</v>
      </c>
      <c r="X71" s="10">
        <f>data_redis_illX!L37</f>
        <v>0</v>
      </c>
      <c r="Y71" s="5">
        <f t="shared" si="1"/>
        <v>204.94433554720123</v>
      </c>
    </row>
    <row r="72" spans="1:25" x14ac:dyDescent="0.25">
      <c r="C72" t="s">
        <v>14</v>
      </c>
      <c r="D72" s="5">
        <f t="array" ref="D72:K72">(Q72:X72*AE$4:AE$11+Q435:Y435*AF$4:AF$11+Q798:Y798*AG$4:AG$11)</f>
        <v>0</v>
      </c>
      <c r="E72" s="5">
        <v>0</v>
      </c>
      <c r="F72" s="5">
        <v>11.251501997687324</v>
      </c>
      <c r="G72" s="5">
        <v>11.427375104765478</v>
      </c>
      <c r="H72" s="5">
        <v>2.4026367818648842</v>
      </c>
      <c r="I72" s="5">
        <v>0</v>
      </c>
      <c r="J72" s="5">
        <v>3.0303030303030304E-2</v>
      </c>
      <c r="K72" s="5">
        <v>0</v>
      </c>
      <c r="P72" s="2" t="s">
        <v>14</v>
      </c>
      <c r="Q72" s="10">
        <f>data_redis_illX!E38</f>
        <v>0</v>
      </c>
      <c r="R72" s="10">
        <f>data_redis_illX!F38</f>
        <v>0</v>
      </c>
      <c r="S72" s="10">
        <f>data_redis_illX!G38</f>
        <v>2.1341414141414141</v>
      </c>
      <c r="T72" s="10">
        <f>data_redis_illX!H38</f>
        <v>3.2287028467516521</v>
      </c>
      <c r="U72" s="10">
        <f>data_redis_illX!I38</f>
        <v>0</v>
      </c>
      <c r="V72" s="10">
        <f>data_redis_illX!J38</f>
        <v>0</v>
      </c>
      <c r="W72" s="10">
        <f>data_redis_illX!K38</f>
        <v>3.0303030303030304E-2</v>
      </c>
      <c r="X72" s="10">
        <f>data_redis_illX!L38</f>
        <v>0</v>
      </c>
      <c r="Y72" s="5">
        <f t="shared" si="1"/>
        <v>5.3931472911960965</v>
      </c>
    </row>
    <row r="73" spans="1:25" x14ac:dyDescent="0.25">
      <c r="C73" t="s">
        <v>15</v>
      </c>
      <c r="D73" s="5">
        <f t="array" ref="D73:K73">(Q73:X73*AE$4:AE$11+Q436:Y436*AF$4:AF$11+Q799:Y799*AG$4:AG$11)</f>
        <v>0</v>
      </c>
      <c r="E73" s="5">
        <v>0</v>
      </c>
      <c r="F73" s="5">
        <v>13.239324243447793</v>
      </c>
      <c r="G73" s="5">
        <v>12.709850441317199</v>
      </c>
      <c r="H73" s="5">
        <v>8.2304383443318834</v>
      </c>
      <c r="I73" s="5">
        <v>1.0062429057888762</v>
      </c>
      <c r="J73" s="5">
        <v>3.0303030303030304E-2</v>
      </c>
      <c r="K73" s="5">
        <v>0</v>
      </c>
      <c r="P73" s="2" t="s">
        <v>15</v>
      </c>
      <c r="Q73" s="10">
        <f>data_redis_illX!E39</f>
        <v>0</v>
      </c>
      <c r="R73" s="10">
        <f>data_redis_illX!F39</f>
        <v>0</v>
      </c>
      <c r="S73" s="10">
        <f>data_redis_illX!G39</f>
        <v>8.5365656565656565</v>
      </c>
      <c r="T73" s="10">
        <f>data_redis_illX!H39</f>
        <v>3.2287028467516521</v>
      </c>
      <c r="U73" s="10">
        <f>data_redis_illX!I39</f>
        <v>0</v>
      </c>
      <c r="V73" s="10">
        <f>data_redis_illX!J39</f>
        <v>0</v>
      </c>
      <c r="W73" s="10">
        <f>data_redis_illX!K39</f>
        <v>3.0303030303030304E-2</v>
      </c>
      <c r="X73" s="10">
        <f>data_redis_illX!L39</f>
        <v>0</v>
      </c>
      <c r="Y73" s="5">
        <f t="shared" si="1"/>
        <v>11.79557153362034</v>
      </c>
    </row>
    <row r="74" spans="1:25" x14ac:dyDescent="0.25">
      <c r="C74" t="s">
        <v>16</v>
      </c>
      <c r="D74" s="5">
        <f t="array" ref="D74:K74">(Q74:X74*AE$4:AE$11+Q437:Y437*AF$4:AF$11+Q800:Y800*AG$4:AG$11)</f>
        <v>0</v>
      </c>
      <c r="E74" s="5">
        <v>0</v>
      </c>
      <c r="F74" s="5">
        <v>31.726742645298621</v>
      </c>
      <c r="G74" s="5">
        <v>51.491576659077893</v>
      </c>
      <c r="H74" s="5">
        <v>23.724281855951304</v>
      </c>
      <c r="I74" s="5">
        <v>3.5813428725852634</v>
      </c>
      <c r="J74" s="5">
        <v>3.0303030303030304E-2</v>
      </c>
      <c r="K74" s="5">
        <v>0</v>
      </c>
      <c r="P74" s="2" t="s">
        <v>16</v>
      </c>
      <c r="Q74" s="10">
        <f>data_redis_illX!E40</f>
        <v>0</v>
      </c>
      <c r="R74" s="10">
        <f>data_redis_illX!F40</f>
        <v>0</v>
      </c>
      <c r="S74" s="10">
        <f>data_redis_illX!G40</f>
        <v>7.4694949494949494</v>
      </c>
      <c r="T74" s="10">
        <f>data_redis_illX!H40</f>
        <v>17.21974851600881</v>
      </c>
      <c r="U74" s="10">
        <f>data_redis_illX!I40</f>
        <v>7.6209859516779641</v>
      </c>
      <c r="V74" s="10">
        <f>data_redis_illX!J40</f>
        <v>1.0062429057888762</v>
      </c>
      <c r="W74" s="10">
        <f>data_redis_illX!K40</f>
        <v>3.0303030303030304E-2</v>
      </c>
      <c r="X74" s="10">
        <f>data_redis_illX!L40</f>
        <v>0</v>
      </c>
      <c r="Y74" s="5">
        <f t="shared" si="1"/>
        <v>33.346775353273628</v>
      </c>
    </row>
    <row r="75" spans="1:25" x14ac:dyDescent="0.25">
      <c r="C75" t="s">
        <v>17</v>
      </c>
      <c r="D75" s="5">
        <f t="array" ref="D75:K75">(Q75:X75*AE$4:AE$11+Q438:Y438*AF$4:AF$11+Q801:Y801*AG$4:AG$11)</f>
        <v>0</v>
      </c>
      <c r="E75" s="5">
        <v>0</v>
      </c>
      <c r="F75" s="5">
        <v>6.6196621217238967</v>
      </c>
      <c r="G75" s="5">
        <v>0</v>
      </c>
      <c r="H75" s="5">
        <v>0</v>
      </c>
      <c r="I75" s="5">
        <v>0</v>
      </c>
      <c r="J75" s="5">
        <v>3.0303030303030304E-2</v>
      </c>
      <c r="K75" s="5">
        <v>0</v>
      </c>
      <c r="P75" s="2" t="s">
        <v>17</v>
      </c>
      <c r="Q75" s="10">
        <f>data_redis_illX!E41</f>
        <v>0</v>
      </c>
      <c r="R75" s="10">
        <f>data_redis_illX!F41</f>
        <v>0</v>
      </c>
      <c r="S75" s="10">
        <f>data_redis_illX!G41</f>
        <v>4.2682828282828282</v>
      </c>
      <c r="T75" s="10">
        <f>data_redis_illX!H41</f>
        <v>0</v>
      </c>
      <c r="U75" s="10">
        <f>data_redis_illX!I41</f>
        <v>0</v>
      </c>
      <c r="V75" s="10">
        <f>data_redis_illX!J41</f>
        <v>0</v>
      </c>
      <c r="W75" s="10">
        <f>data_redis_illX!K41</f>
        <v>3.0303030303030304E-2</v>
      </c>
      <c r="X75" s="10">
        <f>data_redis_illX!L41</f>
        <v>0</v>
      </c>
      <c r="Y75" s="5">
        <f t="shared" si="1"/>
        <v>4.2985858585858585</v>
      </c>
    </row>
    <row r="76" spans="1:25" x14ac:dyDescent="0.25">
      <c r="C76" t="s">
        <v>18</v>
      </c>
      <c r="D76" s="5">
        <f t="array" ref="D76:K76">(Q76:X76*AE$4:AE$11+Q439:Y439*AF$4:AF$11+Q802:Y802*AG$4:AG$11)</f>
        <v>0</v>
      </c>
      <c r="E76" s="5">
        <v>0</v>
      </c>
      <c r="F76" s="5">
        <v>58.113650008700191</v>
      </c>
      <c r="G76" s="5">
        <v>41.175167676080314</v>
      </c>
      <c r="H76" s="5">
        <v>18.254061077874731</v>
      </c>
      <c r="I76" s="5">
        <v>0</v>
      </c>
      <c r="J76" s="5">
        <v>3.0303030303030304E-2</v>
      </c>
      <c r="K76" s="5">
        <v>0</v>
      </c>
      <c r="P76" s="2" t="s">
        <v>18</v>
      </c>
      <c r="Q76" s="10">
        <f>data_redis_illX!E42</f>
        <v>0</v>
      </c>
      <c r="R76" s="10">
        <f>data_redis_illX!F42</f>
        <v>0</v>
      </c>
      <c r="S76" s="10">
        <f>data_redis_illX!G42</f>
        <v>18.140202020202022</v>
      </c>
      <c r="T76" s="10">
        <f>data_redis_illX!H42</f>
        <v>11.838577104756059</v>
      </c>
      <c r="U76" s="10">
        <f>data_redis_illX!I42</f>
        <v>7.6209859516779641</v>
      </c>
      <c r="V76" s="10">
        <f>data_redis_illX!J42</f>
        <v>0</v>
      </c>
      <c r="W76" s="10">
        <f>data_redis_illX!K42</f>
        <v>3.0303030303030304E-2</v>
      </c>
      <c r="X76" s="10">
        <f>data_redis_illX!L42</f>
        <v>0</v>
      </c>
      <c r="Y76" s="5">
        <f t="shared" si="1"/>
        <v>37.630068106939078</v>
      </c>
    </row>
    <row r="77" spans="1:25" x14ac:dyDescent="0.25">
      <c r="C77" t="s">
        <v>19</v>
      </c>
      <c r="D77" s="5">
        <f t="array" ref="D77:K77">(Q77:X77*AE$4:AE$11+Q440:Y440*AF$4:AF$11+Q803:Y803*AG$4:AG$11)</f>
        <v>0</v>
      </c>
      <c r="E77" s="5">
        <v>0</v>
      </c>
      <c r="F77" s="5">
        <v>147.25052900330891</v>
      </c>
      <c r="G77" s="5">
        <v>146.9873991208363</v>
      </c>
      <c r="H77" s="5">
        <v>55.570188466499843</v>
      </c>
      <c r="I77" s="5">
        <v>3.5813428725852634</v>
      </c>
      <c r="J77" s="5">
        <v>3.0303030303030304E-2</v>
      </c>
      <c r="K77" s="5">
        <v>0</v>
      </c>
      <c r="P77" s="2" t="s">
        <v>19</v>
      </c>
      <c r="Q77" s="10">
        <f>data_redis_illX!E43</f>
        <v>0</v>
      </c>
      <c r="R77" s="10">
        <f>data_redis_illX!F43</f>
        <v>0</v>
      </c>
      <c r="S77" s="10">
        <f>data_redis_illX!G43</f>
        <v>36.280404040404044</v>
      </c>
      <c r="T77" s="10">
        <f>data_redis_illX!H43</f>
        <v>39.820668443270371</v>
      </c>
      <c r="U77" s="10">
        <f>data_redis_illX!I43</f>
        <v>18.508108739789343</v>
      </c>
      <c r="V77" s="10">
        <f>data_redis_illX!J43</f>
        <v>1.0062429057888762</v>
      </c>
      <c r="W77" s="10">
        <f>data_redis_illX!K43</f>
        <v>3.0303030303030304E-2</v>
      </c>
      <c r="X77" s="10">
        <f>data_redis_illX!L43</f>
        <v>0</v>
      </c>
      <c r="Y77" s="5">
        <f t="shared" si="1"/>
        <v>95.645727159555676</v>
      </c>
    </row>
    <row r="78" spans="1:25" x14ac:dyDescent="0.25">
      <c r="C78" t="s">
        <v>20</v>
      </c>
      <c r="D78" s="5">
        <f t="array" ref="D78:K78">(Q78:X78*AE$4:AE$11+Q441:Y441*AF$4:AF$11+Q804:Y804*AG$4:AG$11)</f>
        <v>0</v>
      </c>
      <c r="E78" s="5">
        <v>0</v>
      </c>
      <c r="F78" s="5">
        <v>163.42202746717803</v>
      </c>
      <c r="G78" s="5">
        <v>142.47750104614465</v>
      </c>
      <c r="H78" s="5">
        <v>30.998376481619864</v>
      </c>
      <c r="I78" s="5">
        <v>1.0062429057888762</v>
      </c>
      <c r="J78" s="5">
        <v>3.0303030303030304E-2</v>
      </c>
      <c r="K78" s="5">
        <v>0</v>
      </c>
      <c r="P78" s="2" t="s">
        <v>20</v>
      </c>
      <c r="Q78" s="10">
        <f>data_redis_illX!E44</f>
        <v>0</v>
      </c>
      <c r="R78" s="10">
        <f>data_redis_illX!F44</f>
        <v>0</v>
      </c>
      <c r="S78" s="10">
        <f>data_redis_illX!G44</f>
        <v>36.280404040404044</v>
      </c>
      <c r="T78" s="10">
        <f>data_redis_illX!H44</f>
        <v>25.829622774013217</v>
      </c>
      <c r="U78" s="10">
        <f>data_redis_illX!I44</f>
        <v>8.7096982304891011</v>
      </c>
      <c r="V78" s="10">
        <f>data_redis_illX!J44</f>
        <v>0</v>
      </c>
      <c r="W78" s="10">
        <f>data_redis_illX!K44</f>
        <v>3.0303030303030304E-2</v>
      </c>
      <c r="X78" s="10">
        <f>data_redis_illX!L44</f>
        <v>0</v>
      </c>
      <c r="Y78" s="5">
        <f t="shared" si="1"/>
        <v>70.850028075209394</v>
      </c>
    </row>
    <row r="79" spans="1:25" x14ac:dyDescent="0.25">
      <c r="C79" t="s">
        <v>21</v>
      </c>
      <c r="D79" s="5">
        <f t="array" ref="D79:K79">(Q79:X79*AE$4:AE$11+Q442:Y442*AF$4:AF$11+Q805:Y805*AG$4:AG$11)</f>
        <v>0</v>
      </c>
      <c r="E79" s="5">
        <v>0</v>
      </c>
      <c r="F79" s="5">
        <v>12.318572704758029</v>
      </c>
      <c r="G79" s="5">
        <v>20.89694541949191</v>
      </c>
      <c r="H79" s="5">
        <v>1.02252799873723</v>
      </c>
      <c r="I79" s="5">
        <v>0</v>
      </c>
      <c r="J79" s="5">
        <v>3.0303030303030304E-2</v>
      </c>
      <c r="K79" s="5">
        <v>0</v>
      </c>
      <c r="P79" s="2" t="s">
        <v>21</v>
      </c>
      <c r="Q79" s="10">
        <f>data_redis_illX!E45</f>
        <v>0</v>
      </c>
      <c r="R79" s="10">
        <f>data_redis_illX!F45</f>
        <v>0</v>
      </c>
      <c r="S79" s="10">
        <f>data_redis_illX!G45</f>
        <v>3.2012121212121212</v>
      </c>
      <c r="T79" s="10">
        <f>data_redis_illX!H45</f>
        <v>4.3049371290022025</v>
      </c>
      <c r="U79" s="10">
        <f>data_redis_illX!I45</f>
        <v>0</v>
      </c>
      <c r="V79" s="10">
        <f>data_redis_illX!J45</f>
        <v>0</v>
      </c>
      <c r="W79" s="10">
        <f>data_redis_illX!K45</f>
        <v>3.0303030303030304E-2</v>
      </c>
      <c r="X79" s="10">
        <f>data_redis_illX!L45</f>
        <v>0</v>
      </c>
      <c r="Y79" s="5">
        <f t="shared" si="1"/>
        <v>7.5364522805173539</v>
      </c>
    </row>
    <row r="80" spans="1:25" x14ac:dyDescent="0.25">
      <c r="C80" t="s">
        <v>22</v>
      </c>
      <c r="D80" s="5">
        <f t="array" ref="D80:K80">(Q80:X80*AE$4:AE$11+Q443:Y443*AF$4:AF$11+Q806:Y806*AG$4:AG$11)</f>
        <v>0</v>
      </c>
      <c r="E80" s="5">
        <v>0</v>
      </c>
      <c r="F80" s="5">
        <v>18.720996947182272</v>
      </c>
      <c r="G80" s="5">
        <v>26.507512444724064</v>
      </c>
      <c r="H80" s="5">
        <v>6.9165138412781362</v>
      </c>
      <c r="I80" s="5">
        <v>0</v>
      </c>
      <c r="J80" s="5">
        <v>3.0303030303030304E-2</v>
      </c>
      <c r="K80" s="5">
        <v>0</v>
      </c>
      <c r="P80" s="2" t="s">
        <v>22</v>
      </c>
      <c r="Q80" s="10">
        <f>data_redis_illX!E46</f>
        <v>0</v>
      </c>
      <c r="R80" s="10">
        <f>data_redis_illX!F46</f>
        <v>0</v>
      </c>
      <c r="S80" s="10">
        <f>data_redis_illX!G46</f>
        <v>9.6036363636363635</v>
      </c>
      <c r="T80" s="10">
        <f>data_redis_illX!H46</f>
        <v>6.4574056935033042</v>
      </c>
      <c r="U80" s="10">
        <f>data_redis_illX!I46</f>
        <v>1.0887122788111376</v>
      </c>
      <c r="V80" s="10">
        <f>data_redis_illX!J46</f>
        <v>0</v>
      </c>
      <c r="W80" s="10">
        <f>data_redis_illX!K46</f>
        <v>3.0303030303030304E-2</v>
      </c>
      <c r="X80" s="10">
        <f>data_redis_illX!L46</f>
        <v>0</v>
      </c>
      <c r="Y80" s="5">
        <f t="shared" si="1"/>
        <v>17.180057366253834</v>
      </c>
    </row>
    <row r="81" spans="3:25" x14ac:dyDescent="0.25">
      <c r="C81" t="s">
        <v>23</v>
      </c>
      <c r="D81" s="5">
        <f t="array" ref="D81:K81">(Q81:X81*AE$4:AE$11+Q444:Y444*AF$4:AF$11+Q807:Y807*AG$4:AG$11)</f>
        <v>0</v>
      </c>
      <c r="E81" s="5">
        <v>0</v>
      </c>
      <c r="F81" s="5">
        <v>2.1341414141414141</v>
      </c>
      <c r="G81" s="5">
        <v>0</v>
      </c>
      <c r="H81" s="5">
        <v>0</v>
      </c>
      <c r="I81" s="5">
        <v>0</v>
      </c>
      <c r="J81" s="5">
        <v>3.0303030303030304E-2</v>
      </c>
      <c r="K81" s="5">
        <v>0</v>
      </c>
      <c r="P81" s="2" t="s">
        <v>23</v>
      </c>
      <c r="Q81" s="10">
        <f>data_redis_illX!E47</f>
        <v>0</v>
      </c>
      <c r="R81" s="10">
        <f>data_redis_illX!F47</f>
        <v>0</v>
      </c>
      <c r="S81" s="10">
        <f>data_redis_illX!G47</f>
        <v>2.1341414141414141</v>
      </c>
      <c r="T81" s="10">
        <f>data_redis_illX!H47</f>
        <v>0</v>
      </c>
      <c r="U81" s="10">
        <f>data_redis_illX!I47</f>
        <v>0</v>
      </c>
      <c r="V81" s="10">
        <f>data_redis_illX!J47</f>
        <v>0</v>
      </c>
      <c r="W81" s="10">
        <f>data_redis_illX!K47</f>
        <v>3.0303030303030304E-2</v>
      </c>
      <c r="X81" s="10">
        <f>data_redis_illX!L47</f>
        <v>0</v>
      </c>
      <c r="Y81" s="5">
        <f t="shared" si="1"/>
        <v>2.1644444444444444</v>
      </c>
    </row>
    <row r="82" spans="3:25" x14ac:dyDescent="0.25">
      <c r="C82" t="s">
        <v>24</v>
      </c>
      <c r="D82" s="5">
        <f t="array" ref="D82:K82">(Q82:X82*AE$4:AE$11+Q445:Y445*AF$4:AF$11+Q808:Y808*AG$4:AG$11)</f>
        <v>0</v>
      </c>
      <c r="E82" s="5">
        <v>0</v>
      </c>
      <c r="F82" s="5">
        <v>11.069723473847024</v>
      </c>
      <c r="G82" s="5">
        <v>11.633616159066648</v>
      </c>
      <c r="H82" s="5">
        <v>2.4026367818648842</v>
      </c>
      <c r="I82" s="5">
        <v>0</v>
      </c>
      <c r="J82" s="5">
        <v>3.0303030303030304E-2</v>
      </c>
      <c r="K82" s="5">
        <v>0</v>
      </c>
      <c r="P82" s="2" t="s">
        <v>24</v>
      </c>
      <c r="Q82" s="10">
        <f>data_redis_illX!E48</f>
        <v>0</v>
      </c>
      <c r="R82" s="10">
        <f>data_redis_illX!F48</f>
        <v>0</v>
      </c>
      <c r="S82" s="10">
        <f>data_redis_illX!G48</f>
        <v>5.3353535353535353</v>
      </c>
      <c r="T82" s="10">
        <f>data_redis_illX!H48</f>
        <v>2.1524685645011012</v>
      </c>
      <c r="U82" s="10">
        <f>data_redis_illX!I48</f>
        <v>0</v>
      </c>
      <c r="V82" s="10">
        <f>data_redis_illX!J48</f>
        <v>0</v>
      </c>
      <c r="W82" s="10">
        <f>data_redis_illX!K48</f>
        <v>3.0303030303030304E-2</v>
      </c>
      <c r="X82" s="10">
        <f>data_redis_illX!L48</f>
        <v>0</v>
      </c>
      <c r="Y82" s="5">
        <f t="shared" si="1"/>
        <v>7.5181251301576664</v>
      </c>
    </row>
    <row r="83" spans="3:25" x14ac:dyDescent="0.25">
      <c r="C83" t="s">
        <v>25</v>
      </c>
      <c r="D83" s="5">
        <f t="array" ref="D83:K83">(Q83:X83*AE$4:AE$11+Q446:Y446*AF$4:AF$11+Q809:Y809*AG$4:AG$11)</f>
        <v>0</v>
      </c>
      <c r="E83" s="5">
        <v>0</v>
      </c>
      <c r="F83" s="5">
        <v>5.7343699384934892</v>
      </c>
      <c r="G83" s="5">
        <v>7.9808539238735392</v>
      </c>
      <c r="H83" s="5">
        <v>6.9165138412781362</v>
      </c>
      <c r="I83" s="5">
        <v>0</v>
      </c>
      <c r="J83" s="5">
        <v>3.0303030303030304E-2</v>
      </c>
      <c r="K83" s="5">
        <v>0</v>
      </c>
      <c r="P83" s="2" t="s">
        <v>25</v>
      </c>
      <c r="Q83" s="10">
        <f>data_redis_illX!E49</f>
        <v>0</v>
      </c>
      <c r="R83" s="10">
        <f>data_redis_illX!F49</f>
        <v>0</v>
      </c>
      <c r="S83" s="10">
        <f>data_redis_illX!G49</f>
        <v>0</v>
      </c>
      <c r="T83" s="10">
        <f>data_redis_illX!H49</f>
        <v>2.1524685645011012</v>
      </c>
      <c r="U83" s="10">
        <f>data_redis_illX!I49</f>
        <v>1.0887122788111376</v>
      </c>
      <c r="V83" s="10">
        <f>data_redis_illX!J49</f>
        <v>0</v>
      </c>
      <c r="W83" s="10">
        <f>data_redis_illX!K49</f>
        <v>3.0303030303030304E-2</v>
      </c>
      <c r="X83" s="10">
        <f>data_redis_illX!L49</f>
        <v>0</v>
      </c>
      <c r="Y83" s="5">
        <f t="shared" si="1"/>
        <v>3.2714838736152689</v>
      </c>
    </row>
    <row r="84" spans="3:25" x14ac:dyDescent="0.25">
      <c r="C84" t="s">
        <v>26</v>
      </c>
      <c r="D84" s="5">
        <f t="array" ref="D84:K84">(Q84:X84*AE$4:AE$11+Q447:Y447*AF$4:AF$11+Q810:Y810*AG$4:AG$11)</f>
        <v>0</v>
      </c>
      <c r="E84" s="5">
        <v>0</v>
      </c>
      <c r="F84" s="5">
        <v>4.4500613521231269</v>
      </c>
      <c r="G84" s="5">
        <v>3.4465211808919376</v>
      </c>
      <c r="H84" s="5">
        <v>1.0887122788111376</v>
      </c>
      <c r="I84" s="5">
        <v>0</v>
      </c>
      <c r="J84" s="5">
        <v>3.0303030303030304E-2</v>
      </c>
      <c r="K84" s="5">
        <v>0</v>
      </c>
      <c r="P84" s="2" t="s">
        <v>26</v>
      </c>
      <c r="Q84" s="10">
        <f>data_redis_illX!E50</f>
        <v>0</v>
      </c>
      <c r="R84" s="10">
        <f>data_redis_illX!F50</f>
        <v>0</v>
      </c>
      <c r="S84" s="10">
        <f>data_redis_illX!G50</f>
        <v>1.0670707070707071</v>
      </c>
      <c r="T84" s="10">
        <f>data_redis_illX!H50</f>
        <v>1.0762342822505506</v>
      </c>
      <c r="U84" s="10">
        <f>data_redis_illX!I50</f>
        <v>1.0887122788111376</v>
      </c>
      <c r="V84" s="10">
        <f>data_redis_illX!J50</f>
        <v>0</v>
      </c>
      <c r="W84" s="10">
        <f>data_redis_illX!K50</f>
        <v>3.0303030303030304E-2</v>
      </c>
      <c r="X84" s="10">
        <f>data_redis_illX!L50</f>
        <v>0</v>
      </c>
      <c r="Y84" s="5">
        <f t="shared" si="1"/>
        <v>3.2623202984354256</v>
      </c>
    </row>
    <row r="85" spans="3:25" x14ac:dyDescent="0.25">
      <c r="C85" t="s">
        <v>27</v>
      </c>
      <c r="D85" s="5">
        <f t="array" ref="D85:K85">(Q85:X85*AE$4:AE$11+Q448:Y448*AF$4:AF$11+Q811:Y811*AG$4:AG$11)</f>
        <v>0</v>
      </c>
      <c r="E85" s="5">
        <v>0</v>
      </c>
      <c r="F85" s="5">
        <v>9.1882792944646212</v>
      </c>
      <c r="G85" s="5">
        <v>13.78608472356775</v>
      </c>
      <c r="H85" s="5">
        <v>9.0939383989004128</v>
      </c>
      <c r="I85" s="5">
        <v>0</v>
      </c>
      <c r="J85" s="5">
        <v>3.0303030303030304E-2</v>
      </c>
      <c r="K85" s="5">
        <v>0</v>
      </c>
      <c r="P85" s="2" t="s">
        <v>27</v>
      </c>
      <c r="Q85" s="10">
        <f>data_redis_illX!E51</f>
        <v>0</v>
      </c>
      <c r="R85" s="10">
        <f>data_redis_illX!F51</f>
        <v>0</v>
      </c>
      <c r="S85" s="10">
        <f>data_redis_illX!G51</f>
        <v>2.1341414141414141</v>
      </c>
      <c r="T85" s="10">
        <f>data_redis_illX!H51</f>
        <v>4.3049371290022025</v>
      </c>
      <c r="U85" s="10">
        <f>data_redis_illX!I51</f>
        <v>3.2661368364334136</v>
      </c>
      <c r="V85" s="10">
        <f>data_redis_illX!J51</f>
        <v>0</v>
      </c>
      <c r="W85" s="10">
        <f>data_redis_illX!K51</f>
        <v>3.0303030303030304E-2</v>
      </c>
      <c r="X85" s="10">
        <f>data_redis_illX!L51</f>
        <v>0</v>
      </c>
      <c r="Y85" s="5">
        <f t="shared" si="1"/>
        <v>9.7355184098800613</v>
      </c>
    </row>
    <row r="86" spans="3:25" x14ac:dyDescent="0.25">
      <c r="C86" t="s">
        <v>28</v>
      </c>
      <c r="D86" s="5">
        <f t="array" ref="D86:K86">(Q86:X86*AE$4:AE$11+Q449:Y449*AF$4:AF$11+Q812:Y812*AG$4:AG$11)</f>
        <v>0</v>
      </c>
      <c r="E86" s="5">
        <v>0</v>
      </c>
      <c r="F86" s="5">
        <v>669.26321956547417</v>
      </c>
      <c r="G86" s="5">
        <v>725.73713971415259</v>
      </c>
      <c r="H86" s="5">
        <v>210.53758754422941</v>
      </c>
      <c r="I86" s="5">
        <v>16.900471457137439</v>
      </c>
      <c r="J86" s="5">
        <v>3.0303030303030304E-2</v>
      </c>
      <c r="K86" s="5">
        <v>0</v>
      </c>
      <c r="P86" s="2" t="s">
        <v>28</v>
      </c>
      <c r="Q86" s="10">
        <f>data_redis_illX!E52</f>
        <v>0</v>
      </c>
      <c r="R86" s="10">
        <f>data_redis_illX!F52</f>
        <v>0</v>
      </c>
      <c r="S86" s="10">
        <f>data_redis_illX!G52</f>
        <v>260.36525252525252</v>
      </c>
      <c r="T86" s="10">
        <f>data_redis_illX!H52</f>
        <v>241.07647922412337</v>
      </c>
      <c r="U86" s="10">
        <f>data_redis_illX!I52</f>
        <v>86.008270026079884</v>
      </c>
      <c r="V86" s="10">
        <f>data_redis_illX!J52</f>
        <v>3.0187287173666286</v>
      </c>
      <c r="W86" s="10">
        <f>data_redis_illX!K52</f>
        <v>3.0303030303030304E-2</v>
      </c>
      <c r="X86" s="10">
        <f>data_redis_illX!L52</f>
        <v>0</v>
      </c>
      <c r="Y86" s="5">
        <f t="shared" si="1"/>
        <v>590.49903352312549</v>
      </c>
    </row>
    <row r="87" spans="3:25" x14ac:dyDescent="0.25">
      <c r="C87" t="s">
        <v>29</v>
      </c>
      <c r="D87" s="5">
        <f t="array" ref="D87:K87">(Q87:X87*AE$4:AE$11+Q450:Y450*AF$4:AF$11+Q813:Y813*AG$4:AG$11)</f>
        <v>0</v>
      </c>
      <c r="E87" s="5">
        <v>0</v>
      </c>
      <c r="F87" s="5">
        <v>383.5687220134555</v>
      </c>
      <c r="G87" s="5">
        <v>316.86172007349734</v>
      </c>
      <c r="H87" s="5">
        <v>66.79133706858849</v>
      </c>
      <c r="I87" s="5">
        <v>0</v>
      </c>
      <c r="J87" s="5">
        <v>3.0303030303030304E-2</v>
      </c>
      <c r="K87" s="5">
        <v>0</v>
      </c>
      <c r="P87" s="2" t="s">
        <v>29</v>
      </c>
      <c r="Q87" s="10">
        <f>data_redis_illX!E53</f>
        <v>0</v>
      </c>
      <c r="R87" s="10">
        <f>data_redis_illX!F53</f>
        <v>0</v>
      </c>
      <c r="S87" s="10">
        <f>data_redis_illX!G53</f>
        <v>104.5729292929293</v>
      </c>
      <c r="T87" s="10">
        <f>data_redis_illX!H53</f>
        <v>104.39472537830342</v>
      </c>
      <c r="U87" s="10">
        <f>data_redis_illX!I53</f>
        <v>23.951670133845031</v>
      </c>
      <c r="V87" s="10">
        <f>data_redis_illX!J53</f>
        <v>0</v>
      </c>
      <c r="W87" s="10">
        <f>data_redis_illX!K53</f>
        <v>3.0303030303030304E-2</v>
      </c>
      <c r="X87" s="10">
        <f>data_redis_illX!L53</f>
        <v>0</v>
      </c>
      <c r="Y87" s="5">
        <f t="shared" si="1"/>
        <v>232.94962783538077</v>
      </c>
    </row>
    <row r="88" spans="3:25" x14ac:dyDescent="0.25">
      <c r="C88" t="s">
        <v>30</v>
      </c>
      <c r="D88" s="5">
        <f t="array" ref="D88:K88">(Q88:X88*AE$4:AE$11+Q451:Y451*AF$4:AF$11+Q814:Y814*AG$4:AG$11)</f>
        <v>0</v>
      </c>
      <c r="E88" s="5">
        <v>0</v>
      </c>
      <c r="F88" s="5">
        <v>1201.5681212592253</v>
      </c>
      <c r="G88" s="5">
        <v>1133.8608428401399</v>
      </c>
      <c r="H88" s="5">
        <v>347.23383644861326</v>
      </c>
      <c r="I88" s="5">
        <v>16.456842706567198</v>
      </c>
      <c r="J88" s="5">
        <v>3.0303030303030304E-2</v>
      </c>
      <c r="K88" s="5">
        <v>0</v>
      </c>
      <c r="P88" s="2" t="s">
        <v>30</v>
      </c>
      <c r="Q88" s="10">
        <f>data_redis_illX!E54</f>
        <v>0</v>
      </c>
      <c r="R88" s="10">
        <f>data_redis_illX!F54</f>
        <v>0</v>
      </c>
      <c r="S88" s="10">
        <f>data_redis_illX!G54</f>
        <v>288.10909090909092</v>
      </c>
      <c r="T88" s="10">
        <f>data_redis_illX!H54</f>
        <v>247.53388491762666</v>
      </c>
      <c r="U88" s="10">
        <f>data_redis_illX!I54</f>
        <v>75.121147237968515</v>
      </c>
      <c r="V88" s="10">
        <f>data_redis_illX!J54</f>
        <v>1.0062429057888762</v>
      </c>
      <c r="W88" s="10">
        <f>data_redis_illX!K54</f>
        <v>3.0303030303030304E-2</v>
      </c>
      <c r="X88" s="10">
        <f>data_redis_illX!L54</f>
        <v>0</v>
      </c>
      <c r="Y88" s="5">
        <f t="shared" si="1"/>
        <v>611.80066900077804</v>
      </c>
    </row>
    <row r="89" spans="3:25" x14ac:dyDescent="0.25">
      <c r="C89" t="s">
        <v>31</v>
      </c>
      <c r="D89" s="5">
        <f t="array" ref="D89:K89">(Q89:X89*AE$4:AE$11+Q452:Y452*AF$4:AF$11+Q815:Y815*AG$4:AG$11)</f>
        <v>0</v>
      </c>
      <c r="E89" s="5">
        <v>0</v>
      </c>
      <c r="F89" s="5">
        <v>38.12916688772286</v>
      </c>
      <c r="G89" s="5">
        <v>52.625697340524013</v>
      </c>
      <c r="H89" s="5">
        <v>30.333429267273061</v>
      </c>
      <c r="I89" s="5">
        <v>1.0062429057888762</v>
      </c>
      <c r="J89" s="5">
        <v>3.0303030303030304E-2</v>
      </c>
      <c r="K89" s="5">
        <v>0</v>
      </c>
      <c r="P89" s="2" t="s">
        <v>31</v>
      </c>
      <c r="Q89" s="10">
        <f>data_redis_illX!E55</f>
        <v>0</v>
      </c>
      <c r="R89" s="10">
        <f>data_redis_illX!F55</f>
        <v>0</v>
      </c>
      <c r="S89" s="10">
        <f>data_redis_illX!G55</f>
        <v>13.871919191919192</v>
      </c>
      <c r="T89" s="10">
        <f>data_redis_illX!H55</f>
        <v>12.914811387006608</v>
      </c>
      <c r="U89" s="10">
        <f>data_redis_illX!I55</f>
        <v>8.7096982304891011</v>
      </c>
      <c r="V89" s="10">
        <f>data_redis_illX!J55</f>
        <v>1.0062429057888762</v>
      </c>
      <c r="W89" s="10">
        <f>data_redis_illX!K55</f>
        <v>3.0303030303030304E-2</v>
      </c>
      <c r="X89" s="10">
        <f>data_redis_illX!L55</f>
        <v>0</v>
      </c>
      <c r="Y89" s="5">
        <f t="shared" si="1"/>
        <v>36.532974745506806</v>
      </c>
    </row>
    <row r="90" spans="3:25" x14ac:dyDescent="0.25">
      <c r="C90" t="s">
        <v>32</v>
      </c>
      <c r="D90" s="5">
        <f t="array" ref="D90:K90">(Q90:X90*AE$4:AE$11+Q453:Y453*AF$4:AF$11+Q816:Y816*AG$4:AG$11)</f>
        <v>0</v>
      </c>
      <c r="E90" s="5">
        <v>0</v>
      </c>
      <c r="F90" s="5">
        <v>0</v>
      </c>
      <c r="G90" s="5">
        <v>1.0762342822505506</v>
      </c>
      <c r="H90" s="5">
        <v>0</v>
      </c>
      <c r="I90" s="5">
        <v>0</v>
      </c>
      <c r="J90" s="5">
        <v>3.0303030303030304E-2</v>
      </c>
      <c r="K90" s="5">
        <v>0</v>
      </c>
      <c r="P90" s="2" t="s">
        <v>32</v>
      </c>
      <c r="Q90" s="10">
        <f>data_redis_illX!E56</f>
        <v>0</v>
      </c>
      <c r="R90" s="10">
        <f>data_redis_illX!F56</f>
        <v>0</v>
      </c>
      <c r="S90" s="10">
        <f>data_redis_illX!G56</f>
        <v>0</v>
      </c>
      <c r="T90" s="10">
        <f>data_redis_illX!H56</f>
        <v>1.0762342822505506</v>
      </c>
      <c r="U90" s="10">
        <f>data_redis_illX!I56</f>
        <v>0</v>
      </c>
      <c r="V90" s="10">
        <f>data_redis_illX!J56</f>
        <v>0</v>
      </c>
      <c r="W90" s="10">
        <f>data_redis_illX!K56</f>
        <v>3.0303030303030304E-2</v>
      </c>
      <c r="X90" s="10">
        <f>data_redis_illX!L56</f>
        <v>0</v>
      </c>
      <c r="Y90" s="5">
        <f t="shared" si="1"/>
        <v>1.1065373125535809</v>
      </c>
    </row>
    <row r="91" spans="3:25" x14ac:dyDescent="0.25">
      <c r="C91" t="s">
        <v>33</v>
      </c>
      <c r="D91" s="5">
        <f t="array" ref="D91:K91">(Q91:X91*AE$4:AE$11+Q454:Y454*AF$4:AF$11+Q817:Y817*AG$4:AG$11)</f>
        <v>0</v>
      </c>
      <c r="E91" s="5">
        <v>0</v>
      </c>
      <c r="F91" s="5">
        <v>2.0986820586820585</v>
      </c>
      <c r="G91" s="5">
        <v>1.0762342822505506</v>
      </c>
      <c r="H91" s="5">
        <v>2.4026367818648842</v>
      </c>
      <c r="I91" s="5">
        <v>0</v>
      </c>
      <c r="J91" s="5">
        <v>3.0303030303030304E-2</v>
      </c>
      <c r="K91" s="5">
        <v>0</v>
      </c>
      <c r="P91" s="2" t="s">
        <v>33</v>
      </c>
      <c r="Q91" s="10">
        <f>data_redis_illX!E57</f>
        <v>0</v>
      </c>
      <c r="R91" s="10">
        <f>data_redis_illX!F57</f>
        <v>0</v>
      </c>
      <c r="S91" s="10">
        <f>data_redis_illX!G57</f>
        <v>1.0670707070707071</v>
      </c>
      <c r="T91" s="10">
        <f>data_redis_illX!H57</f>
        <v>1.0762342822505506</v>
      </c>
      <c r="U91" s="10">
        <f>data_redis_illX!I57</f>
        <v>0</v>
      </c>
      <c r="V91" s="10">
        <f>data_redis_illX!J57</f>
        <v>0</v>
      </c>
      <c r="W91" s="10">
        <f>data_redis_illX!K57</f>
        <v>3.0303030303030304E-2</v>
      </c>
      <c r="X91" s="10">
        <f>data_redis_illX!L57</f>
        <v>0</v>
      </c>
      <c r="Y91" s="5">
        <f t="shared" si="1"/>
        <v>2.1736080196242877</v>
      </c>
    </row>
    <row r="92" spans="3:25" x14ac:dyDescent="0.25">
      <c r="C92" t="s">
        <v>34</v>
      </c>
      <c r="D92" s="5">
        <f t="array" ref="D92:K92">(Q92:X92*AE$4:AE$11+Q455:Y455*AF$4:AF$11+Q818:Y818*AG$4:AG$11)</f>
        <v>0</v>
      </c>
      <c r="E92" s="5">
        <v>0</v>
      </c>
      <c r="F92" s="5">
        <v>0</v>
      </c>
      <c r="G92" s="5">
        <v>0</v>
      </c>
      <c r="H92" s="5">
        <v>1.02252799873723</v>
      </c>
      <c r="I92" s="5">
        <v>0</v>
      </c>
      <c r="J92" s="5">
        <v>3.0303030303030304E-2</v>
      </c>
      <c r="K92" s="5">
        <v>0</v>
      </c>
      <c r="P92" s="2" t="s">
        <v>34</v>
      </c>
      <c r="Q92" s="10">
        <f>data_redis_illX!E58</f>
        <v>0</v>
      </c>
      <c r="R92" s="10">
        <f>data_redis_illX!F58</f>
        <v>0</v>
      </c>
      <c r="S92" s="10">
        <f>data_redis_illX!G58</f>
        <v>0</v>
      </c>
      <c r="T92" s="10">
        <f>data_redis_illX!H58</f>
        <v>0</v>
      </c>
      <c r="U92" s="10">
        <f>data_redis_illX!I58</f>
        <v>0</v>
      </c>
      <c r="V92" s="10">
        <f>data_redis_illX!J58</f>
        <v>0</v>
      </c>
      <c r="W92" s="10">
        <f>data_redis_illX!K58</f>
        <v>3.0303030303030304E-2</v>
      </c>
      <c r="X92" s="10">
        <f>data_redis_illX!L58</f>
        <v>0</v>
      </c>
      <c r="Y92" s="5">
        <f t="shared" si="1"/>
        <v>3.0303030303030304E-2</v>
      </c>
    </row>
    <row r="93" spans="3:25" x14ac:dyDescent="0.25">
      <c r="C93" t="s">
        <v>35</v>
      </c>
      <c r="D93" s="5">
        <f t="array" ref="D93:K93">(Q93:X93*AE$4:AE$11+Q456:Y456*AF$4:AF$11+Q819:Y819*AG$4:AG$11)</f>
        <v>0</v>
      </c>
      <c r="E93" s="5">
        <v>0</v>
      </c>
      <c r="F93" s="5">
        <v>2.3513792934410689</v>
      </c>
      <c r="G93" s="5">
        <v>0</v>
      </c>
      <c r="H93" s="5">
        <v>0</v>
      </c>
      <c r="I93" s="5">
        <v>0</v>
      </c>
      <c r="J93" s="5">
        <v>3.0303030303030304E-2</v>
      </c>
      <c r="K93" s="5">
        <v>0</v>
      </c>
      <c r="P93" s="2" t="s">
        <v>35</v>
      </c>
      <c r="Q93" s="10">
        <f>data_redis_illX!E59</f>
        <v>0</v>
      </c>
      <c r="R93" s="10">
        <f>data_redis_illX!F59</f>
        <v>0</v>
      </c>
      <c r="S93" s="10">
        <f>data_redis_illX!G59</f>
        <v>0</v>
      </c>
      <c r="T93" s="10">
        <f>data_redis_illX!H59</f>
        <v>0</v>
      </c>
      <c r="U93" s="10">
        <f>data_redis_illX!I59</f>
        <v>0</v>
      </c>
      <c r="V93" s="10">
        <f>data_redis_illX!J59</f>
        <v>0</v>
      </c>
      <c r="W93" s="10">
        <f>data_redis_illX!K59</f>
        <v>3.0303030303030304E-2</v>
      </c>
      <c r="X93" s="10">
        <f>data_redis_illX!L59</f>
        <v>0</v>
      </c>
      <c r="Y93" s="5">
        <f t="shared" si="1"/>
        <v>3.0303030303030304E-2</v>
      </c>
    </row>
    <row r="94" spans="3:25" x14ac:dyDescent="0.25">
      <c r="C94" t="s">
        <v>36</v>
      </c>
      <c r="D94" s="5">
        <f t="array" ref="D94:K94">(Q94:X94*AE$4:AE$11+Q457:Y457*AF$4:AF$11+Q820:Y820*AG$4:AG$11)</f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3.0303030303030304E-2</v>
      </c>
      <c r="K94" s="5">
        <v>0</v>
      </c>
      <c r="P94" s="2" t="s">
        <v>36</v>
      </c>
      <c r="Q94" s="10">
        <f>data_redis_illX!E60</f>
        <v>0</v>
      </c>
      <c r="R94" s="10">
        <f>data_redis_illX!F60</f>
        <v>0</v>
      </c>
      <c r="S94" s="10">
        <f>data_redis_illX!G60</f>
        <v>0</v>
      </c>
      <c r="T94" s="10">
        <f>data_redis_illX!H60</f>
        <v>0</v>
      </c>
      <c r="U94" s="10">
        <f>data_redis_illX!I60</f>
        <v>0</v>
      </c>
      <c r="V94" s="10">
        <f>data_redis_illX!J60</f>
        <v>0</v>
      </c>
      <c r="W94" s="10">
        <f>data_redis_illX!K60</f>
        <v>3.0303030303030304E-2</v>
      </c>
      <c r="X94" s="10">
        <f>data_redis_illX!L60</f>
        <v>0</v>
      </c>
      <c r="Y94" s="5">
        <f t="shared" si="1"/>
        <v>3.0303030303030304E-2</v>
      </c>
    </row>
    <row r="95" spans="3:25" x14ac:dyDescent="0.25">
      <c r="C95" t="s">
        <v>37</v>
      </c>
      <c r="D95" s="5">
        <f t="array" ref="D95:K95">(Q95:X95*AE$4:AE$11+Q458:Y458*AF$4:AF$11+Q821:Y821*AG$4:AG$11)</f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3.0303030303030304E-2</v>
      </c>
      <c r="K95" s="5">
        <v>0</v>
      </c>
      <c r="P95" s="2" t="s">
        <v>37</v>
      </c>
      <c r="Q95" s="10">
        <f>data_redis_illX!E61</f>
        <v>0</v>
      </c>
      <c r="R95" s="10">
        <f>data_redis_illX!F61</f>
        <v>0</v>
      </c>
      <c r="S95" s="10">
        <f>data_redis_illX!G61</f>
        <v>0</v>
      </c>
      <c r="T95" s="10">
        <f>data_redis_illX!H61</f>
        <v>0</v>
      </c>
      <c r="U95" s="10">
        <f>data_redis_illX!I61</f>
        <v>0</v>
      </c>
      <c r="V95" s="10">
        <f>data_redis_illX!J61</f>
        <v>0</v>
      </c>
      <c r="W95" s="10">
        <f>data_redis_illX!K61</f>
        <v>3.0303030303030304E-2</v>
      </c>
      <c r="X95" s="10">
        <f>data_redis_illX!L61</f>
        <v>0</v>
      </c>
      <c r="Y95" s="5">
        <f t="shared" si="1"/>
        <v>3.0303030303030304E-2</v>
      </c>
    </row>
    <row r="96" spans="3:25" x14ac:dyDescent="0.25">
      <c r="C96" t="s">
        <v>38</v>
      </c>
      <c r="D96" s="5">
        <f t="array" ref="D96:K96">(Q96:X96*AE$4:AE$11+Q459:Y459*AF$4:AF$11+Q822:Y822*AG$4:AG$11)</f>
        <v>0</v>
      </c>
      <c r="E96" s="5">
        <v>0</v>
      </c>
      <c r="F96" s="5">
        <v>1.0670707070707071</v>
      </c>
      <c r="G96" s="5">
        <v>2.3702868986413868</v>
      </c>
      <c r="H96" s="5">
        <v>0</v>
      </c>
      <c r="I96" s="5">
        <v>0</v>
      </c>
      <c r="J96" s="5">
        <v>3.0303030303030304E-2</v>
      </c>
      <c r="K96" s="5">
        <v>0</v>
      </c>
      <c r="P96" s="2" t="s">
        <v>38</v>
      </c>
      <c r="Q96" s="10">
        <f>data_redis_illX!E62</f>
        <v>0</v>
      </c>
      <c r="R96" s="10">
        <f>data_redis_illX!F62</f>
        <v>0</v>
      </c>
      <c r="S96" s="10">
        <f>data_redis_illX!G62</f>
        <v>1.0670707070707071</v>
      </c>
      <c r="T96" s="10">
        <f>data_redis_illX!H62</f>
        <v>0</v>
      </c>
      <c r="U96" s="10">
        <f>data_redis_illX!I62</f>
        <v>0</v>
      </c>
      <c r="V96" s="10">
        <f>data_redis_illX!J62</f>
        <v>0</v>
      </c>
      <c r="W96" s="10">
        <f>data_redis_illX!K62</f>
        <v>3.0303030303030304E-2</v>
      </c>
      <c r="X96" s="10">
        <f>data_redis_illX!L62</f>
        <v>0</v>
      </c>
      <c r="Y96" s="5">
        <f t="shared" si="1"/>
        <v>1.0973737373737373</v>
      </c>
    </row>
    <row r="97" spans="1:25" x14ac:dyDescent="0.25">
      <c r="C97" t="s">
        <v>39</v>
      </c>
      <c r="D97" s="5">
        <f t="array" ref="D97:K97">(Q97:X97*AE$4:AE$11+Q460:Y460*AF$4:AF$11+Q823:Y823*AG$4:AG$11)</f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3.0303030303030304E-2</v>
      </c>
      <c r="K97" s="5">
        <v>0</v>
      </c>
      <c r="P97" s="2" t="s">
        <v>39</v>
      </c>
      <c r="Q97" s="10">
        <f>data_redis_illX!E63</f>
        <v>0</v>
      </c>
      <c r="R97" s="10">
        <f>data_redis_illX!F63</f>
        <v>0</v>
      </c>
      <c r="S97" s="10">
        <f>data_redis_illX!G63</f>
        <v>0</v>
      </c>
      <c r="T97" s="10">
        <f>data_redis_illX!H63</f>
        <v>0</v>
      </c>
      <c r="U97" s="10">
        <f>data_redis_illX!I63</f>
        <v>0</v>
      </c>
      <c r="V97" s="10">
        <f>data_redis_illX!J63</f>
        <v>0</v>
      </c>
      <c r="W97" s="10">
        <f>data_redis_illX!K63</f>
        <v>3.0303030303030304E-2</v>
      </c>
      <c r="X97" s="10">
        <f>data_redis_illX!L63</f>
        <v>0</v>
      </c>
      <c r="Y97" s="5">
        <f t="shared" si="1"/>
        <v>3.0303030303030304E-2</v>
      </c>
    </row>
    <row r="98" spans="1:25" x14ac:dyDescent="0.25">
      <c r="C98" t="s">
        <v>40</v>
      </c>
      <c r="D98" s="5">
        <f t="array" ref="D98:K98">(Q98:X98*AE$4:AE$11+Q461:Y461*AF$4:AF$11+Q824:Y824*AG$4:AG$11)</f>
        <v>0</v>
      </c>
      <c r="E98" s="5">
        <v>0</v>
      </c>
      <c r="F98" s="5">
        <v>2.0986820586820585</v>
      </c>
      <c r="G98" s="5">
        <v>4.5343327429816016</v>
      </c>
      <c r="H98" s="5">
        <v>3.491349060676022</v>
      </c>
      <c r="I98" s="5">
        <v>0</v>
      </c>
      <c r="J98" s="5">
        <v>3.0303030303030304E-2</v>
      </c>
      <c r="K98" s="5">
        <v>0</v>
      </c>
      <c r="P98" s="2" t="s">
        <v>40</v>
      </c>
      <c r="Q98" s="10">
        <f>data_redis_illX!E64</f>
        <v>0</v>
      </c>
      <c r="R98" s="10">
        <f>data_redis_illX!F64</f>
        <v>0</v>
      </c>
      <c r="S98" s="10">
        <f>data_redis_illX!G64</f>
        <v>1.0670707070707071</v>
      </c>
      <c r="T98" s="10">
        <f>data_redis_illX!H64</f>
        <v>1.0762342822505506</v>
      </c>
      <c r="U98" s="10">
        <f>data_redis_illX!I64</f>
        <v>1.0887122788111376</v>
      </c>
      <c r="V98" s="10">
        <f>data_redis_illX!J64</f>
        <v>0</v>
      </c>
      <c r="W98" s="10">
        <f>data_redis_illX!K64</f>
        <v>3.0303030303030304E-2</v>
      </c>
      <c r="X98" s="10">
        <f>data_redis_illX!L64</f>
        <v>0</v>
      </c>
      <c r="Y98" s="5">
        <f t="shared" si="1"/>
        <v>3.2623202984354256</v>
      </c>
    </row>
    <row r="99" spans="1:25" x14ac:dyDescent="0.25">
      <c r="C99" t="s">
        <v>41</v>
      </c>
      <c r="D99" s="5">
        <f t="array" ref="D99:K99">(Q99:X99*AE$4:AE$11+Q462:Y462*AF$4:AF$11+Q825:Y825*AG$4:AG$11)</f>
        <v>0</v>
      </c>
      <c r="E99" s="5">
        <v>0</v>
      </c>
      <c r="F99" s="5">
        <v>3.4184500005117759</v>
      </c>
      <c r="G99" s="5">
        <v>2.3702868986413868</v>
      </c>
      <c r="H99" s="5">
        <v>1.0887122788111376</v>
      </c>
      <c r="I99" s="5">
        <v>0</v>
      </c>
      <c r="J99" s="5">
        <v>3.0303030303030304E-2</v>
      </c>
      <c r="K99" s="5">
        <v>0</v>
      </c>
      <c r="P99" s="2" t="s">
        <v>41</v>
      </c>
      <c r="Q99" s="10">
        <f>data_redis_illX!E65</f>
        <v>0</v>
      </c>
      <c r="R99" s="10">
        <f>data_redis_illX!F65</f>
        <v>0</v>
      </c>
      <c r="S99" s="10">
        <f>data_redis_illX!G65</f>
        <v>1.0670707070707071</v>
      </c>
      <c r="T99" s="10">
        <f>data_redis_illX!H65</f>
        <v>0</v>
      </c>
      <c r="U99" s="10">
        <f>data_redis_illX!I65</f>
        <v>1.0887122788111376</v>
      </c>
      <c r="V99" s="10">
        <f>data_redis_illX!J65</f>
        <v>0</v>
      </c>
      <c r="W99" s="10">
        <f>data_redis_illX!K65</f>
        <v>3.0303030303030304E-2</v>
      </c>
      <c r="X99" s="10">
        <f>data_redis_illX!L65</f>
        <v>0</v>
      </c>
      <c r="Y99" s="5">
        <f t="shared" si="1"/>
        <v>2.1860860161848752</v>
      </c>
    </row>
    <row r="100" spans="1:25" x14ac:dyDescent="0.25">
      <c r="C100" t="s">
        <v>42</v>
      </c>
      <c r="D100" s="5">
        <f t="array" ref="D100:K100">(Q100:X100*AE$4:AE$11+Q463:Y463*AF$4:AF$11+Q826:Y826*AG$4:AG$11)</f>
        <v>0</v>
      </c>
      <c r="E100" s="5">
        <v>0</v>
      </c>
      <c r="F100" s="5">
        <v>128.64039186904822</v>
      </c>
      <c r="G100" s="5">
        <v>93.536737563107579</v>
      </c>
      <c r="H100" s="5">
        <v>17.45674530338011</v>
      </c>
      <c r="I100" s="5">
        <v>5.1501999335927744</v>
      </c>
      <c r="J100" s="5">
        <v>3.0303030303030304E-2</v>
      </c>
      <c r="K100" s="5">
        <v>0</v>
      </c>
      <c r="P100" s="2" t="s">
        <v>42</v>
      </c>
      <c r="Q100" s="10">
        <f>data_redis_illX!E66</f>
        <v>0</v>
      </c>
      <c r="R100" s="10">
        <f>data_redis_illX!F66</f>
        <v>0</v>
      </c>
      <c r="S100" s="10">
        <f>data_redis_illX!G66</f>
        <v>21.341414141414141</v>
      </c>
      <c r="T100" s="10">
        <f>data_redis_illX!H66</f>
        <v>31.210794185265971</v>
      </c>
      <c r="U100" s="10">
        <f>data_redis_illX!I66</f>
        <v>5.4435613940556893</v>
      </c>
      <c r="V100" s="10">
        <f>data_redis_illX!J66</f>
        <v>0</v>
      </c>
      <c r="W100" s="10">
        <f>data_redis_illX!K66</f>
        <v>3.0303030303030304E-2</v>
      </c>
      <c r="X100" s="10">
        <f>data_redis_illX!L66</f>
        <v>0</v>
      </c>
      <c r="Y100" s="5">
        <f t="shared" si="1"/>
        <v>58.026072751038839</v>
      </c>
    </row>
    <row r="101" spans="1:25" x14ac:dyDescent="0.25">
      <c r="C101" t="s">
        <v>43</v>
      </c>
      <c r="D101" s="5">
        <f t="array" ref="D101:K101">(Q101:X101*AE$4:AE$11+Q464:Y464*AF$4:AF$11+Q827:Y827*AG$4:AG$11)</f>
        <v>0</v>
      </c>
      <c r="E101" s="5">
        <v>0</v>
      </c>
      <c r="F101" s="5">
        <v>2.3513792934410689</v>
      </c>
      <c r="G101" s="5">
        <v>5.5989897453930393</v>
      </c>
      <c r="H101" s="5">
        <v>5.8939858425409062</v>
      </c>
      <c r="I101" s="5">
        <v>0</v>
      </c>
      <c r="J101" s="5">
        <v>3.0303030303030304E-2</v>
      </c>
      <c r="K101" s="5">
        <v>0</v>
      </c>
      <c r="P101" s="2" t="s">
        <v>43</v>
      </c>
      <c r="Q101" s="10">
        <f>data_redis_illX!E67</f>
        <v>0</v>
      </c>
      <c r="R101" s="10">
        <f>data_redis_illX!F67</f>
        <v>0</v>
      </c>
      <c r="S101" s="10">
        <f>data_redis_illX!G67</f>
        <v>0</v>
      </c>
      <c r="T101" s="10">
        <f>data_redis_illX!H67</f>
        <v>3.2287028467516521</v>
      </c>
      <c r="U101" s="10">
        <f>data_redis_illX!I67</f>
        <v>1.0887122788111376</v>
      </c>
      <c r="V101" s="10">
        <f>data_redis_illX!J67</f>
        <v>0</v>
      </c>
      <c r="W101" s="10">
        <f>data_redis_illX!K67</f>
        <v>3.0303030303030304E-2</v>
      </c>
      <c r="X101" s="10">
        <f>data_redis_illX!L67</f>
        <v>0</v>
      </c>
      <c r="Y101" s="5">
        <f t="shared" si="1"/>
        <v>4.3477181558658202</v>
      </c>
    </row>
    <row r="102" spans="1:25" x14ac:dyDescent="0.25">
      <c r="C102" t="s">
        <v>44</v>
      </c>
      <c r="D102" s="5">
        <f t="array" ref="D102:K102">(Q102:X102*AE$4:AE$11+Q465:Y465*AF$4:AF$11+Q828:Y828*AG$4:AG$11)</f>
        <v>0</v>
      </c>
      <c r="E102" s="5">
        <v>0</v>
      </c>
      <c r="F102" s="5">
        <v>69.962287599399559</v>
      </c>
      <c r="G102" s="5">
        <v>81.651851338995073</v>
      </c>
      <c r="H102" s="5">
        <v>12.22770667518601</v>
      </c>
      <c r="I102" s="5">
        <v>1.0062429057888762</v>
      </c>
      <c r="J102" s="5">
        <v>3.0303030303030304E-2</v>
      </c>
      <c r="K102" s="5">
        <v>0</v>
      </c>
      <c r="P102" s="2" t="s">
        <v>44</v>
      </c>
      <c r="Q102" s="10">
        <f>data_redis_illX!E68</f>
        <v>0</v>
      </c>
      <c r="R102" s="10">
        <f>data_redis_illX!F68</f>
        <v>0</v>
      </c>
      <c r="S102" s="10">
        <f>data_redis_illX!G68</f>
        <v>24.542626262626264</v>
      </c>
      <c r="T102" s="10">
        <f>data_redis_illX!H68</f>
        <v>23.677154209512118</v>
      </c>
      <c r="U102" s="10">
        <f>data_redis_illX!I68</f>
        <v>4.3548491152445505</v>
      </c>
      <c r="V102" s="10">
        <f>data_redis_illX!J68</f>
        <v>0</v>
      </c>
      <c r="W102" s="10">
        <f>data_redis_illX!K68</f>
        <v>3.0303030303030304E-2</v>
      </c>
      <c r="X102" s="10">
        <f>data_redis_illX!L68</f>
        <v>0</v>
      </c>
      <c r="Y102" s="5">
        <f t="shared" si="1"/>
        <v>52.604932617685961</v>
      </c>
    </row>
    <row r="103" spans="1:25" x14ac:dyDescent="0.25">
      <c r="A103">
        <v>1</v>
      </c>
      <c r="B103" t="s">
        <v>47</v>
      </c>
      <c r="C103" t="s">
        <v>12</v>
      </c>
      <c r="D103" s="5">
        <f t="array" ref="D103:K103">(Q103:X103*AE$4:AE$11+Q466:Y466*AF$4:AF$11+Q829:Y829*AG$4:AG$11)</f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M103">
        <v>1</v>
      </c>
      <c r="N103" t="s">
        <v>103</v>
      </c>
      <c r="O103" t="s">
        <v>47</v>
      </c>
      <c r="P103" s="2" t="s">
        <v>12</v>
      </c>
      <c r="Q103" s="10">
        <f>data_redis_illX!E69</f>
        <v>0</v>
      </c>
      <c r="R103" s="10">
        <f>data_redis_illX!F69</f>
        <v>0</v>
      </c>
      <c r="S103" s="10">
        <f>data_redis_illX!G69</f>
        <v>0</v>
      </c>
      <c r="T103" s="10">
        <f>data_redis_illX!H69</f>
        <v>0</v>
      </c>
      <c r="U103" s="10">
        <f>data_redis_illX!I69</f>
        <v>0</v>
      </c>
      <c r="V103" s="10">
        <f>data_redis_illX!J69</f>
        <v>0</v>
      </c>
      <c r="W103" s="10">
        <f>data_redis_illX!K69</f>
        <v>0</v>
      </c>
      <c r="X103" s="10">
        <f>data_redis_illX!L69</f>
        <v>0</v>
      </c>
      <c r="Y103" s="5">
        <f t="shared" si="1"/>
        <v>0</v>
      </c>
    </row>
    <row r="104" spans="1:25" x14ac:dyDescent="0.25">
      <c r="C104" t="s">
        <v>13</v>
      </c>
      <c r="D104" s="5">
        <f t="array" ref="D104:K104">(Q104:X104*AE$4:AE$11+Q467:Y467*AF$4:AF$11+Q830:Y830*AG$4:AG$11)</f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P104" s="2" t="s">
        <v>13</v>
      </c>
      <c r="Q104" s="10">
        <f>data_redis_illX!E70</f>
        <v>0</v>
      </c>
      <c r="R104" s="10">
        <f>data_redis_illX!F70</f>
        <v>0</v>
      </c>
      <c r="S104" s="10">
        <f>data_redis_illX!G70</f>
        <v>0</v>
      </c>
      <c r="T104" s="10">
        <f>data_redis_illX!H70</f>
        <v>0</v>
      </c>
      <c r="U104" s="10">
        <f>data_redis_illX!I70</f>
        <v>0</v>
      </c>
      <c r="V104" s="10">
        <f>data_redis_illX!J70</f>
        <v>0</v>
      </c>
      <c r="W104" s="10">
        <f>data_redis_illX!K70</f>
        <v>0</v>
      </c>
      <c r="X104" s="10">
        <f>data_redis_illX!L70</f>
        <v>0</v>
      </c>
      <c r="Y104" s="5">
        <f t="shared" si="1"/>
        <v>0</v>
      </c>
    </row>
    <row r="105" spans="1:25" x14ac:dyDescent="0.25">
      <c r="C105" t="s">
        <v>14</v>
      </c>
      <c r="D105" s="5">
        <f t="array" ref="D105:K105">(Q105:X105*AE$4:AE$11+Q468:Y468*AF$4:AF$11+Q831:Y831*AG$4:AG$11)</f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P105" s="2" t="s">
        <v>14</v>
      </c>
      <c r="Q105" s="10">
        <f>data_redis_illX!E71</f>
        <v>0</v>
      </c>
      <c r="R105" s="10">
        <f>data_redis_illX!F71</f>
        <v>0</v>
      </c>
      <c r="S105" s="10">
        <f>data_redis_illX!G71</f>
        <v>0</v>
      </c>
      <c r="T105" s="10">
        <f>data_redis_illX!H71</f>
        <v>0</v>
      </c>
      <c r="U105" s="10">
        <f>data_redis_illX!I71</f>
        <v>0</v>
      </c>
      <c r="V105" s="10">
        <f>data_redis_illX!J71</f>
        <v>0</v>
      </c>
      <c r="W105" s="10">
        <f>data_redis_illX!K71</f>
        <v>0</v>
      </c>
      <c r="X105" s="10">
        <f>data_redis_illX!L71</f>
        <v>0</v>
      </c>
      <c r="Y105" s="5">
        <f t="shared" si="1"/>
        <v>0</v>
      </c>
    </row>
    <row r="106" spans="1:25" x14ac:dyDescent="0.25">
      <c r="C106" t="s">
        <v>15</v>
      </c>
      <c r="D106" s="5">
        <f t="array" ref="D106:K106">(Q106:X106*AE$4:AE$11+Q469:Y469*AF$4:AF$11+Q832:Y832*AG$4:AG$11)</f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P106" s="2" t="s">
        <v>15</v>
      </c>
      <c r="Q106" s="10">
        <f>data_redis_illX!E72</f>
        <v>0</v>
      </c>
      <c r="R106" s="10">
        <f>data_redis_illX!F72</f>
        <v>0</v>
      </c>
      <c r="S106" s="10">
        <f>data_redis_illX!G72</f>
        <v>0</v>
      </c>
      <c r="T106" s="10">
        <f>data_redis_illX!H72</f>
        <v>0</v>
      </c>
      <c r="U106" s="10">
        <f>data_redis_illX!I72</f>
        <v>0</v>
      </c>
      <c r="V106" s="10">
        <f>data_redis_illX!J72</f>
        <v>0</v>
      </c>
      <c r="W106" s="10">
        <f>data_redis_illX!K72</f>
        <v>0</v>
      </c>
      <c r="X106" s="10">
        <f>data_redis_illX!L72</f>
        <v>0</v>
      </c>
      <c r="Y106" s="5">
        <f t="shared" si="1"/>
        <v>0</v>
      </c>
    </row>
    <row r="107" spans="1:25" x14ac:dyDescent="0.25">
      <c r="C107" t="s">
        <v>16</v>
      </c>
      <c r="D107" s="5">
        <f t="array" ref="D107:K107">(Q107:X107*AE$4:AE$11+Q470:Y470*AF$4:AF$11+Q833:Y833*AG$4:AG$11)</f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P107" s="2" t="s">
        <v>16</v>
      </c>
      <c r="Q107" s="10">
        <f>data_redis_illX!E73</f>
        <v>0</v>
      </c>
      <c r="R107" s="10">
        <f>data_redis_illX!F73</f>
        <v>0</v>
      </c>
      <c r="S107" s="10">
        <f>data_redis_illX!G73</f>
        <v>0</v>
      </c>
      <c r="T107" s="10">
        <f>data_redis_illX!H73</f>
        <v>0</v>
      </c>
      <c r="U107" s="10">
        <f>data_redis_illX!I73</f>
        <v>0</v>
      </c>
      <c r="V107" s="10">
        <f>data_redis_illX!J73</f>
        <v>0</v>
      </c>
      <c r="W107" s="10">
        <f>data_redis_illX!K73</f>
        <v>0</v>
      </c>
      <c r="X107" s="10">
        <f>data_redis_illX!L73</f>
        <v>0</v>
      </c>
      <c r="Y107" s="5">
        <f t="shared" si="1"/>
        <v>0</v>
      </c>
    </row>
    <row r="108" spans="1:25" x14ac:dyDescent="0.25">
      <c r="C108" t="s">
        <v>17</v>
      </c>
      <c r="D108" s="5">
        <f t="array" ref="D108:K108">(Q108:X108*AE$4:AE$11+Q471:Y471*AF$4:AF$11+Q834:Y834*AG$4:AG$11)</f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P108" s="2" t="s">
        <v>17</v>
      </c>
      <c r="Q108" s="10">
        <f>data_redis_illX!E74</f>
        <v>0</v>
      </c>
      <c r="R108" s="10">
        <f>data_redis_illX!F74</f>
        <v>0</v>
      </c>
      <c r="S108" s="10">
        <f>data_redis_illX!G74</f>
        <v>0</v>
      </c>
      <c r="T108" s="10">
        <f>data_redis_illX!H74</f>
        <v>0</v>
      </c>
      <c r="U108" s="10">
        <f>data_redis_illX!I74</f>
        <v>0</v>
      </c>
      <c r="V108" s="10">
        <f>data_redis_illX!J74</f>
        <v>0</v>
      </c>
      <c r="W108" s="10">
        <f>data_redis_illX!K74</f>
        <v>0</v>
      </c>
      <c r="X108" s="10">
        <f>data_redis_illX!L74</f>
        <v>0</v>
      </c>
      <c r="Y108" s="5">
        <f t="shared" si="1"/>
        <v>0</v>
      </c>
    </row>
    <row r="109" spans="1:25" x14ac:dyDescent="0.25">
      <c r="C109" t="s">
        <v>18</v>
      </c>
      <c r="D109" s="5">
        <f t="array" ref="D109:K109">(Q109:X109*AE$4:AE$11+Q472:Y472*AF$4:AF$11+Q835:Y835*AG$4:AG$11)</f>
        <v>0</v>
      </c>
      <c r="E109" s="5">
        <v>0</v>
      </c>
      <c r="F109" s="5">
        <v>0</v>
      </c>
      <c r="G109" s="5">
        <v>1.0017257550178202</v>
      </c>
      <c r="H109" s="5">
        <v>0</v>
      </c>
      <c r="I109" s="5">
        <v>0</v>
      </c>
      <c r="J109" s="5">
        <v>0</v>
      </c>
      <c r="K109" s="5">
        <v>0</v>
      </c>
      <c r="P109" s="2" t="s">
        <v>18</v>
      </c>
      <c r="Q109" s="10">
        <f>data_redis_illX!E75</f>
        <v>0</v>
      </c>
      <c r="R109" s="10">
        <f>data_redis_illX!F75</f>
        <v>0</v>
      </c>
      <c r="S109" s="10">
        <f>data_redis_illX!G75</f>
        <v>0</v>
      </c>
      <c r="T109" s="10">
        <f>data_redis_illX!H75</f>
        <v>0</v>
      </c>
      <c r="U109" s="10">
        <f>data_redis_illX!I75</f>
        <v>0</v>
      </c>
      <c r="V109" s="10">
        <f>data_redis_illX!J75</f>
        <v>0</v>
      </c>
      <c r="W109" s="10">
        <f>data_redis_illX!K75</f>
        <v>0</v>
      </c>
      <c r="X109" s="10">
        <f>data_redis_illX!L75</f>
        <v>0</v>
      </c>
      <c r="Y109" s="5">
        <f t="shared" si="1"/>
        <v>0</v>
      </c>
    </row>
    <row r="110" spans="1:25" x14ac:dyDescent="0.25">
      <c r="C110" t="s">
        <v>19</v>
      </c>
      <c r="D110" s="5">
        <f t="array" ref="D110:K110">(Q110:X110*AE$4:AE$11+Q473:Y473*AF$4:AF$11+Q836:Y836*AG$4:AG$11)</f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P110" s="2" t="s">
        <v>19</v>
      </c>
      <c r="Q110" s="10">
        <f>data_redis_illX!E76</f>
        <v>0</v>
      </c>
      <c r="R110" s="10">
        <f>data_redis_illX!F76</f>
        <v>0</v>
      </c>
      <c r="S110" s="10">
        <f>data_redis_illX!G76</f>
        <v>0</v>
      </c>
      <c r="T110" s="10">
        <f>data_redis_illX!H76</f>
        <v>0</v>
      </c>
      <c r="U110" s="10">
        <f>data_redis_illX!I76</f>
        <v>0</v>
      </c>
      <c r="V110" s="10">
        <f>data_redis_illX!J76</f>
        <v>0</v>
      </c>
      <c r="W110" s="10">
        <f>data_redis_illX!K76</f>
        <v>0</v>
      </c>
      <c r="X110" s="10">
        <f>data_redis_illX!L76</f>
        <v>0</v>
      </c>
      <c r="Y110" s="5">
        <f t="shared" si="1"/>
        <v>0</v>
      </c>
    </row>
    <row r="111" spans="1:25" x14ac:dyDescent="0.25">
      <c r="C111" t="s">
        <v>20</v>
      </c>
      <c r="D111" s="5">
        <f t="array" ref="D111:K111">(Q111:X111*AE$4:AE$11+Q474:Y474*AF$4:AF$11+Q837:Y837*AG$4:AG$11)</f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P111" s="2" t="s">
        <v>20</v>
      </c>
      <c r="Q111" s="10">
        <f>data_redis_illX!E77</f>
        <v>0</v>
      </c>
      <c r="R111" s="10">
        <f>data_redis_illX!F77</f>
        <v>0</v>
      </c>
      <c r="S111" s="10">
        <f>data_redis_illX!G77</f>
        <v>0</v>
      </c>
      <c r="T111" s="10">
        <f>data_redis_illX!H77</f>
        <v>0</v>
      </c>
      <c r="U111" s="10">
        <f>data_redis_illX!I77</f>
        <v>0</v>
      </c>
      <c r="V111" s="10">
        <f>data_redis_illX!J77</f>
        <v>0</v>
      </c>
      <c r="W111" s="10">
        <f>data_redis_illX!K77</f>
        <v>0</v>
      </c>
      <c r="X111" s="10">
        <f>data_redis_illX!L77</f>
        <v>0</v>
      </c>
      <c r="Y111" s="5">
        <f t="shared" si="1"/>
        <v>0</v>
      </c>
    </row>
    <row r="112" spans="1:25" x14ac:dyDescent="0.25">
      <c r="C112" t="s">
        <v>21</v>
      </c>
      <c r="D112" s="5">
        <f t="array" ref="D112:K112">(Q112:X112*AE$4:AE$11+Q475:Y475*AF$4:AF$11+Q838:Y838*AG$4:AG$11)</f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P112" s="2" t="s">
        <v>21</v>
      </c>
      <c r="Q112" s="10">
        <f>data_redis_illX!E78</f>
        <v>0</v>
      </c>
      <c r="R112" s="10">
        <f>data_redis_illX!F78</f>
        <v>0</v>
      </c>
      <c r="S112" s="10">
        <f>data_redis_illX!G78</f>
        <v>0</v>
      </c>
      <c r="T112" s="10">
        <f>data_redis_illX!H78</f>
        <v>0</v>
      </c>
      <c r="U112" s="10">
        <f>data_redis_illX!I78</f>
        <v>0</v>
      </c>
      <c r="V112" s="10">
        <f>data_redis_illX!J78</f>
        <v>0</v>
      </c>
      <c r="W112" s="10">
        <f>data_redis_illX!K78</f>
        <v>0</v>
      </c>
      <c r="X112" s="10">
        <f>data_redis_illX!L78</f>
        <v>0</v>
      </c>
      <c r="Y112" s="5">
        <f t="shared" si="1"/>
        <v>0</v>
      </c>
    </row>
    <row r="113" spans="3:25" x14ac:dyDescent="0.25">
      <c r="C113" t="s">
        <v>22</v>
      </c>
      <c r="D113" s="5">
        <f t="array" ref="D113:K113">(Q113:X113*AE$4:AE$11+Q476:Y476*AF$4:AF$11+Q839:Y839*AG$4:AG$11)</f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P113" s="2" t="s">
        <v>22</v>
      </c>
      <c r="Q113" s="10">
        <f>data_redis_illX!E79</f>
        <v>0</v>
      </c>
      <c r="R113" s="10">
        <f>data_redis_illX!F79</f>
        <v>0</v>
      </c>
      <c r="S113" s="10">
        <f>data_redis_illX!G79</f>
        <v>0</v>
      </c>
      <c r="T113" s="10">
        <f>data_redis_illX!H79</f>
        <v>0</v>
      </c>
      <c r="U113" s="10">
        <f>data_redis_illX!I79</f>
        <v>0</v>
      </c>
      <c r="V113" s="10">
        <f>data_redis_illX!J79</f>
        <v>0</v>
      </c>
      <c r="W113" s="10">
        <f>data_redis_illX!K79</f>
        <v>0</v>
      </c>
      <c r="X113" s="10">
        <f>data_redis_illX!L79</f>
        <v>0</v>
      </c>
      <c r="Y113" s="5">
        <f t="shared" si="1"/>
        <v>0</v>
      </c>
    </row>
    <row r="114" spans="3:25" x14ac:dyDescent="0.25">
      <c r="C114" t="s">
        <v>23</v>
      </c>
      <c r="D114" s="5">
        <f t="array" ref="D114:K114">(Q114:X114*AE$4:AE$11+Q477:Y477*AF$4:AF$11+Q840:Y840*AG$4:AG$11)</f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P114" s="2" t="s">
        <v>23</v>
      </c>
      <c r="Q114" s="10">
        <f>data_redis_illX!E80</f>
        <v>0</v>
      </c>
      <c r="R114" s="10">
        <f>data_redis_illX!F80</f>
        <v>0</v>
      </c>
      <c r="S114" s="10">
        <f>data_redis_illX!G80</f>
        <v>0</v>
      </c>
      <c r="T114" s="10">
        <f>data_redis_illX!H80</f>
        <v>0</v>
      </c>
      <c r="U114" s="10">
        <f>data_redis_illX!I80</f>
        <v>0</v>
      </c>
      <c r="V114" s="10">
        <f>data_redis_illX!J80</f>
        <v>0</v>
      </c>
      <c r="W114" s="10">
        <f>data_redis_illX!K80</f>
        <v>0</v>
      </c>
      <c r="X114" s="10">
        <f>data_redis_illX!L80</f>
        <v>0</v>
      </c>
      <c r="Y114" s="5">
        <f t="shared" si="1"/>
        <v>0</v>
      </c>
    </row>
    <row r="115" spans="3:25" x14ac:dyDescent="0.25">
      <c r="C115" t="s">
        <v>24</v>
      </c>
      <c r="D115" s="5">
        <f t="array" ref="D115:K115">(Q115:X115*AE$4:AE$11+Q478:Y478*AF$4:AF$11+Q841:Y841*AG$4:AG$11)</f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P115" s="2" t="s">
        <v>24</v>
      </c>
      <c r="Q115" s="10">
        <f>data_redis_illX!E81</f>
        <v>0</v>
      </c>
      <c r="R115" s="10">
        <f>data_redis_illX!F81</f>
        <v>0</v>
      </c>
      <c r="S115" s="10">
        <f>data_redis_illX!G81</f>
        <v>0</v>
      </c>
      <c r="T115" s="10">
        <f>data_redis_illX!H81</f>
        <v>0</v>
      </c>
      <c r="U115" s="10">
        <f>data_redis_illX!I81</f>
        <v>0</v>
      </c>
      <c r="V115" s="10">
        <f>data_redis_illX!J81</f>
        <v>0</v>
      </c>
      <c r="W115" s="10">
        <f>data_redis_illX!K81</f>
        <v>0</v>
      </c>
      <c r="X115" s="10">
        <f>data_redis_illX!L81</f>
        <v>0</v>
      </c>
      <c r="Y115" s="5">
        <f t="shared" si="1"/>
        <v>0</v>
      </c>
    </row>
    <row r="116" spans="3:25" x14ac:dyDescent="0.25">
      <c r="C116" t="s">
        <v>25</v>
      </c>
      <c r="D116" s="5">
        <f t="array" ref="D116:K116">(Q116:X116*AE$4:AE$11+Q479:Y479*AF$4:AF$11+Q842:Y842*AG$4:AG$11)</f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P116" s="2" t="s">
        <v>25</v>
      </c>
      <c r="Q116" s="10">
        <f>data_redis_illX!E82</f>
        <v>0</v>
      </c>
      <c r="R116" s="10">
        <f>data_redis_illX!F82</f>
        <v>0</v>
      </c>
      <c r="S116" s="10">
        <f>data_redis_illX!G82</f>
        <v>0</v>
      </c>
      <c r="T116" s="10">
        <f>data_redis_illX!H82</f>
        <v>0</v>
      </c>
      <c r="U116" s="10">
        <f>data_redis_illX!I82</f>
        <v>0</v>
      </c>
      <c r="V116" s="10">
        <f>data_redis_illX!J82</f>
        <v>0</v>
      </c>
      <c r="W116" s="10">
        <f>data_redis_illX!K82</f>
        <v>0</v>
      </c>
      <c r="X116" s="10">
        <f>data_redis_illX!L82</f>
        <v>0</v>
      </c>
      <c r="Y116" s="5">
        <f t="shared" si="1"/>
        <v>0</v>
      </c>
    </row>
    <row r="117" spans="3:25" x14ac:dyDescent="0.25">
      <c r="C117" t="s">
        <v>26</v>
      </c>
      <c r="D117" s="5">
        <f t="array" ref="D117:K117">(Q117:X117*AE$4:AE$11+Q480:Y480*AF$4:AF$11+Q843:Y843*AG$4:AG$11)</f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P117" s="2" t="s">
        <v>26</v>
      </c>
      <c r="Q117" s="10">
        <f>data_redis_illX!E83</f>
        <v>0</v>
      </c>
      <c r="R117" s="10">
        <f>data_redis_illX!F83</f>
        <v>0</v>
      </c>
      <c r="S117" s="10">
        <f>data_redis_illX!G83</f>
        <v>0</v>
      </c>
      <c r="T117" s="10">
        <f>data_redis_illX!H83</f>
        <v>0</v>
      </c>
      <c r="U117" s="10">
        <f>data_redis_illX!I83</f>
        <v>0</v>
      </c>
      <c r="V117" s="10">
        <f>data_redis_illX!J83</f>
        <v>0</v>
      </c>
      <c r="W117" s="10">
        <f>data_redis_illX!K83</f>
        <v>0</v>
      </c>
      <c r="X117" s="10">
        <f>data_redis_illX!L83</f>
        <v>0</v>
      </c>
      <c r="Y117" s="5">
        <f t="shared" si="1"/>
        <v>0</v>
      </c>
    </row>
    <row r="118" spans="3:25" x14ac:dyDescent="0.25">
      <c r="C118" t="s">
        <v>27</v>
      </c>
      <c r="D118" s="5">
        <f t="array" ref="D118:K118">(Q118:X118*AE$4:AE$11+Q481:Y481*AF$4:AF$11+Q844:Y844*AG$4:AG$11)</f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P118" s="2" t="s">
        <v>27</v>
      </c>
      <c r="Q118" s="10">
        <f>data_redis_illX!E84</f>
        <v>0</v>
      </c>
      <c r="R118" s="10">
        <f>data_redis_illX!F84</f>
        <v>0</v>
      </c>
      <c r="S118" s="10">
        <f>data_redis_illX!G84</f>
        <v>0</v>
      </c>
      <c r="T118" s="10">
        <f>data_redis_illX!H84</f>
        <v>0</v>
      </c>
      <c r="U118" s="10">
        <f>data_redis_illX!I84</f>
        <v>0</v>
      </c>
      <c r="V118" s="10">
        <f>data_redis_illX!J84</f>
        <v>0</v>
      </c>
      <c r="W118" s="10">
        <f>data_redis_illX!K84</f>
        <v>0</v>
      </c>
      <c r="X118" s="10">
        <f>data_redis_illX!L84</f>
        <v>0</v>
      </c>
      <c r="Y118" s="5">
        <f t="shared" si="1"/>
        <v>0</v>
      </c>
    </row>
    <row r="119" spans="3:25" x14ac:dyDescent="0.25">
      <c r="C119" t="s">
        <v>28</v>
      </c>
      <c r="D119" s="5">
        <f t="array" ref="D119:K119">(Q119:X119*AE$4:AE$11+Q482:Y482*AF$4:AF$11+Q845:Y845*AG$4:AG$11)</f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P119" s="2" t="s">
        <v>28</v>
      </c>
      <c r="Q119" s="10">
        <f>data_redis_illX!E85</f>
        <v>0</v>
      </c>
      <c r="R119" s="10">
        <f>data_redis_illX!F85</f>
        <v>0</v>
      </c>
      <c r="S119" s="10">
        <f>data_redis_illX!G85</f>
        <v>0</v>
      </c>
      <c r="T119" s="10">
        <f>data_redis_illX!H85</f>
        <v>0</v>
      </c>
      <c r="U119" s="10">
        <f>data_redis_illX!I85</f>
        <v>0</v>
      </c>
      <c r="V119" s="10">
        <f>data_redis_illX!J85</f>
        <v>0</v>
      </c>
      <c r="W119" s="10">
        <f>data_redis_illX!K85</f>
        <v>0</v>
      </c>
      <c r="X119" s="10">
        <f>data_redis_illX!L85</f>
        <v>0</v>
      </c>
      <c r="Y119" s="5">
        <f t="shared" si="1"/>
        <v>0</v>
      </c>
    </row>
    <row r="120" spans="3:25" x14ac:dyDescent="0.25">
      <c r="C120" t="s">
        <v>29</v>
      </c>
      <c r="D120" s="5">
        <f t="array" ref="D120:K120">(Q120:X120*AE$4:AE$11+Q483:Y483*AF$4:AF$11+Q846:Y846*AG$4:AG$11)</f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P120" s="2" t="s">
        <v>29</v>
      </c>
      <c r="Q120" s="10">
        <f>data_redis_illX!E86</f>
        <v>0</v>
      </c>
      <c r="R120" s="10">
        <f>data_redis_illX!F86</f>
        <v>0</v>
      </c>
      <c r="S120" s="10">
        <f>data_redis_illX!G86</f>
        <v>0</v>
      </c>
      <c r="T120" s="10">
        <f>data_redis_illX!H86</f>
        <v>0</v>
      </c>
      <c r="U120" s="10">
        <f>data_redis_illX!I86</f>
        <v>0</v>
      </c>
      <c r="V120" s="10">
        <f>data_redis_illX!J86</f>
        <v>0</v>
      </c>
      <c r="W120" s="10">
        <f>data_redis_illX!K86</f>
        <v>0</v>
      </c>
      <c r="X120" s="10">
        <f>data_redis_illX!L86</f>
        <v>0</v>
      </c>
      <c r="Y120" s="5">
        <f t="shared" si="1"/>
        <v>0</v>
      </c>
    </row>
    <row r="121" spans="3:25" x14ac:dyDescent="0.25">
      <c r="C121" t="s">
        <v>30</v>
      </c>
      <c r="D121" s="5">
        <f t="array" ref="D121:K121">(Q121:X121*AE$4:AE$11+Q484:Y484*AF$4:AF$11+Q847:Y847*AG$4:AG$11)</f>
        <v>0</v>
      </c>
      <c r="E121" s="5">
        <v>0</v>
      </c>
      <c r="F121" s="5">
        <v>0</v>
      </c>
      <c r="G121" s="5">
        <v>1.0017257550178202</v>
      </c>
      <c r="H121" s="5">
        <v>0</v>
      </c>
      <c r="I121" s="5">
        <v>0</v>
      </c>
      <c r="J121" s="5">
        <v>0</v>
      </c>
      <c r="K121" s="5">
        <v>0</v>
      </c>
      <c r="P121" s="2" t="s">
        <v>30</v>
      </c>
      <c r="Q121" s="10">
        <f>data_redis_illX!E87</f>
        <v>0</v>
      </c>
      <c r="R121" s="10">
        <f>data_redis_illX!F87</f>
        <v>0</v>
      </c>
      <c r="S121" s="10">
        <f>data_redis_illX!G87</f>
        <v>0</v>
      </c>
      <c r="T121" s="10">
        <f>data_redis_illX!H87</f>
        <v>0</v>
      </c>
      <c r="U121" s="10">
        <f>data_redis_illX!I87</f>
        <v>0</v>
      </c>
      <c r="V121" s="10">
        <f>data_redis_illX!J87</f>
        <v>0</v>
      </c>
      <c r="W121" s="10">
        <f>data_redis_illX!K87</f>
        <v>0</v>
      </c>
      <c r="X121" s="10">
        <f>data_redis_illX!L87</f>
        <v>0</v>
      </c>
      <c r="Y121" s="5">
        <f t="shared" si="1"/>
        <v>0</v>
      </c>
    </row>
    <row r="122" spans="3:25" x14ac:dyDescent="0.25">
      <c r="C122" t="s">
        <v>31</v>
      </c>
      <c r="D122" s="5">
        <f t="array" ref="D122:K122">(Q122:X122*AE$4:AE$11+Q485:Y485*AF$4:AF$11+Q848:Y848*AG$4:AG$11)</f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P122" s="2" t="s">
        <v>31</v>
      </c>
      <c r="Q122" s="10">
        <f>data_redis_illX!E88</f>
        <v>0</v>
      </c>
      <c r="R122" s="10">
        <f>data_redis_illX!F88</f>
        <v>0</v>
      </c>
      <c r="S122" s="10">
        <f>data_redis_illX!G88</f>
        <v>0</v>
      </c>
      <c r="T122" s="10">
        <f>data_redis_illX!H88</f>
        <v>0</v>
      </c>
      <c r="U122" s="10">
        <f>data_redis_illX!I88</f>
        <v>0</v>
      </c>
      <c r="V122" s="10">
        <f>data_redis_illX!J88</f>
        <v>0</v>
      </c>
      <c r="W122" s="10">
        <f>data_redis_illX!K88</f>
        <v>0</v>
      </c>
      <c r="X122" s="10">
        <f>data_redis_illX!L88</f>
        <v>0</v>
      </c>
      <c r="Y122" s="5">
        <f t="shared" si="1"/>
        <v>0</v>
      </c>
    </row>
    <row r="123" spans="3:25" x14ac:dyDescent="0.25">
      <c r="C123" t="s">
        <v>32</v>
      </c>
      <c r="D123" s="5">
        <f t="array" ref="D123:K123">(Q123:X123*AE$4:AE$11+Q486:Y486*AF$4:AF$11+Q849:Y849*AG$4:AG$11)</f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P123" s="2" t="s">
        <v>32</v>
      </c>
      <c r="Q123" s="10">
        <f>data_redis_illX!E89</f>
        <v>0</v>
      </c>
      <c r="R123" s="10">
        <f>data_redis_illX!F89</f>
        <v>0</v>
      </c>
      <c r="S123" s="10">
        <f>data_redis_illX!G89</f>
        <v>0</v>
      </c>
      <c r="T123" s="10">
        <f>data_redis_illX!H89</f>
        <v>0</v>
      </c>
      <c r="U123" s="10">
        <f>data_redis_illX!I89</f>
        <v>0</v>
      </c>
      <c r="V123" s="10">
        <f>data_redis_illX!J89</f>
        <v>0</v>
      </c>
      <c r="W123" s="10">
        <f>data_redis_illX!K89</f>
        <v>0</v>
      </c>
      <c r="X123" s="10">
        <f>data_redis_illX!L89</f>
        <v>0</v>
      </c>
      <c r="Y123" s="5">
        <f t="shared" si="1"/>
        <v>0</v>
      </c>
    </row>
    <row r="124" spans="3:25" x14ac:dyDescent="0.25">
      <c r="C124" t="s">
        <v>33</v>
      </c>
      <c r="D124" s="5">
        <f t="array" ref="D124:K124">(Q124:X124*AE$4:AE$11+Q487:Y487*AF$4:AF$11+Q850:Y850*AG$4:AG$11)</f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P124" s="2" t="s">
        <v>33</v>
      </c>
      <c r="Q124" s="10">
        <f>data_redis_illX!E90</f>
        <v>0</v>
      </c>
      <c r="R124" s="10">
        <f>data_redis_illX!F90</f>
        <v>0</v>
      </c>
      <c r="S124" s="10">
        <f>data_redis_illX!G90</f>
        <v>0</v>
      </c>
      <c r="T124" s="10">
        <f>data_redis_illX!H90</f>
        <v>0</v>
      </c>
      <c r="U124" s="10">
        <f>data_redis_illX!I90</f>
        <v>0</v>
      </c>
      <c r="V124" s="10">
        <f>data_redis_illX!J90</f>
        <v>0</v>
      </c>
      <c r="W124" s="10">
        <f>data_redis_illX!K90</f>
        <v>0</v>
      </c>
      <c r="X124" s="10">
        <f>data_redis_illX!L90</f>
        <v>0</v>
      </c>
      <c r="Y124" s="5">
        <f t="shared" si="1"/>
        <v>0</v>
      </c>
    </row>
    <row r="125" spans="3:25" x14ac:dyDescent="0.25">
      <c r="C125" t="s">
        <v>34</v>
      </c>
      <c r="D125" s="5">
        <f t="array" ref="D125:K125">(Q125:X125*AE$4:AE$11+Q488:Y488*AF$4:AF$11+Q851:Y851*AG$4:AG$11)</f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P125" s="2" t="s">
        <v>34</v>
      </c>
      <c r="Q125" s="10">
        <f>data_redis_illX!E91</f>
        <v>0</v>
      </c>
      <c r="R125" s="10">
        <f>data_redis_illX!F91</f>
        <v>0</v>
      </c>
      <c r="S125" s="10">
        <f>data_redis_illX!G91</f>
        <v>0</v>
      </c>
      <c r="T125" s="10">
        <f>data_redis_illX!H91</f>
        <v>0</v>
      </c>
      <c r="U125" s="10">
        <f>data_redis_illX!I91</f>
        <v>0</v>
      </c>
      <c r="V125" s="10">
        <f>data_redis_illX!J91</f>
        <v>0</v>
      </c>
      <c r="W125" s="10">
        <f>data_redis_illX!K91</f>
        <v>0</v>
      </c>
      <c r="X125" s="10">
        <f>data_redis_illX!L91</f>
        <v>0</v>
      </c>
      <c r="Y125" s="5">
        <f t="shared" si="1"/>
        <v>0</v>
      </c>
    </row>
    <row r="126" spans="3:25" x14ac:dyDescent="0.25">
      <c r="C126" t="s">
        <v>35</v>
      </c>
      <c r="D126" s="5">
        <f t="array" ref="D126:K126">(Q126:X126*AE$4:AE$11+Q489:Y489*AF$4:AF$11+Q852:Y852*AG$4:AG$11)</f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P126" s="2" t="s">
        <v>35</v>
      </c>
      <c r="Q126" s="10">
        <f>data_redis_illX!E92</f>
        <v>0</v>
      </c>
      <c r="R126" s="10">
        <f>data_redis_illX!F92</f>
        <v>0</v>
      </c>
      <c r="S126" s="10">
        <f>data_redis_illX!G92</f>
        <v>0</v>
      </c>
      <c r="T126" s="10">
        <f>data_redis_illX!H92</f>
        <v>0</v>
      </c>
      <c r="U126" s="10">
        <f>data_redis_illX!I92</f>
        <v>0</v>
      </c>
      <c r="V126" s="10">
        <f>data_redis_illX!J92</f>
        <v>0</v>
      </c>
      <c r="W126" s="10">
        <f>data_redis_illX!K92</f>
        <v>0</v>
      </c>
      <c r="X126" s="10">
        <f>data_redis_illX!L92</f>
        <v>0</v>
      </c>
      <c r="Y126" s="5">
        <f t="shared" si="1"/>
        <v>0</v>
      </c>
    </row>
    <row r="127" spans="3:25" x14ac:dyDescent="0.25">
      <c r="C127" t="s">
        <v>36</v>
      </c>
      <c r="D127" s="5">
        <f t="array" ref="D127:K127">(Q127:X127*AE$4:AE$11+Q490:Y490*AF$4:AF$11+Q853:Y853*AG$4:AG$11)</f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P127" s="2" t="s">
        <v>36</v>
      </c>
      <c r="Q127" s="10">
        <f>data_redis_illX!E93</f>
        <v>0</v>
      </c>
      <c r="R127" s="10">
        <f>data_redis_illX!F93</f>
        <v>0</v>
      </c>
      <c r="S127" s="10">
        <f>data_redis_illX!G93</f>
        <v>0</v>
      </c>
      <c r="T127" s="10">
        <f>data_redis_illX!H93</f>
        <v>0</v>
      </c>
      <c r="U127" s="10">
        <f>data_redis_illX!I93</f>
        <v>0</v>
      </c>
      <c r="V127" s="10">
        <f>data_redis_illX!J93</f>
        <v>0</v>
      </c>
      <c r="W127" s="10">
        <f>data_redis_illX!K93</f>
        <v>0</v>
      </c>
      <c r="X127" s="10">
        <f>data_redis_illX!L93</f>
        <v>0</v>
      </c>
      <c r="Y127" s="5">
        <f t="shared" si="1"/>
        <v>0</v>
      </c>
    </row>
    <row r="128" spans="3:25" x14ac:dyDescent="0.25">
      <c r="C128" t="s">
        <v>37</v>
      </c>
      <c r="D128" s="5">
        <f t="array" ref="D128:K128">(Q128:X128*AE$4:AE$11+Q491:Y491*AF$4:AF$11+Q854:Y854*AG$4:AG$11)</f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P128" s="2" t="s">
        <v>37</v>
      </c>
      <c r="Q128" s="10">
        <f>data_redis_illX!E94</f>
        <v>0</v>
      </c>
      <c r="R128" s="10">
        <f>data_redis_illX!F94</f>
        <v>0</v>
      </c>
      <c r="S128" s="10">
        <f>data_redis_illX!G94</f>
        <v>0</v>
      </c>
      <c r="T128" s="10">
        <f>data_redis_illX!H94</f>
        <v>0</v>
      </c>
      <c r="U128" s="10">
        <f>data_redis_illX!I94</f>
        <v>0</v>
      </c>
      <c r="V128" s="10">
        <f>data_redis_illX!J94</f>
        <v>0</v>
      </c>
      <c r="W128" s="10">
        <f>data_redis_illX!K94</f>
        <v>0</v>
      </c>
      <c r="X128" s="10">
        <f>data_redis_illX!L94</f>
        <v>0</v>
      </c>
      <c r="Y128" s="5">
        <f t="shared" si="1"/>
        <v>0</v>
      </c>
    </row>
    <row r="129" spans="1:25" x14ac:dyDescent="0.25">
      <c r="C129" t="s">
        <v>38</v>
      </c>
      <c r="D129" s="5">
        <f t="array" ref="D129:K129">(Q129:X129*AE$4:AE$11+Q492:Y492*AF$4:AF$11+Q855:Y855*AG$4:AG$11)</f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P129" s="2" t="s">
        <v>38</v>
      </c>
      <c r="Q129" s="10">
        <f>data_redis_illX!E95</f>
        <v>0</v>
      </c>
      <c r="R129" s="10">
        <f>data_redis_illX!F95</f>
        <v>0</v>
      </c>
      <c r="S129" s="10">
        <f>data_redis_illX!G95</f>
        <v>0</v>
      </c>
      <c r="T129" s="10">
        <f>data_redis_illX!H95</f>
        <v>0</v>
      </c>
      <c r="U129" s="10">
        <f>data_redis_illX!I95</f>
        <v>0</v>
      </c>
      <c r="V129" s="10">
        <f>data_redis_illX!J95</f>
        <v>0</v>
      </c>
      <c r="W129" s="10">
        <f>data_redis_illX!K95</f>
        <v>0</v>
      </c>
      <c r="X129" s="10">
        <f>data_redis_illX!L95</f>
        <v>0</v>
      </c>
      <c r="Y129" s="5">
        <f t="shared" si="1"/>
        <v>0</v>
      </c>
    </row>
    <row r="130" spans="1:25" x14ac:dyDescent="0.25">
      <c r="C130" t="s">
        <v>39</v>
      </c>
      <c r="D130" s="5">
        <f t="array" ref="D130:K130">(Q130:X130*AE$4:AE$11+Q493:Y493*AF$4:AF$11+Q856:Y856*AG$4:AG$11)</f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P130" s="2" t="s">
        <v>39</v>
      </c>
      <c r="Q130" s="10">
        <f>data_redis_illX!E96</f>
        <v>0</v>
      </c>
      <c r="R130" s="10">
        <f>data_redis_illX!F96</f>
        <v>0</v>
      </c>
      <c r="S130" s="10">
        <f>data_redis_illX!G96</f>
        <v>0</v>
      </c>
      <c r="T130" s="10">
        <f>data_redis_illX!H96</f>
        <v>0</v>
      </c>
      <c r="U130" s="10">
        <f>data_redis_illX!I96</f>
        <v>0</v>
      </c>
      <c r="V130" s="10">
        <f>data_redis_illX!J96</f>
        <v>0</v>
      </c>
      <c r="W130" s="10">
        <f>data_redis_illX!K96</f>
        <v>0</v>
      </c>
      <c r="X130" s="10">
        <f>data_redis_illX!L96</f>
        <v>0</v>
      </c>
      <c r="Y130" s="5">
        <f t="shared" si="1"/>
        <v>0</v>
      </c>
    </row>
    <row r="131" spans="1:25" x14ac:dyDescent="0.25">
      <c r="C131" t="s">
        <v>40</v>
      </c>
      <c r="D131" s="5">
        <f t="array" ref="D131:K131">(Q131:X131*AE$4:AE$11+Q494:Y494*AF$4:AF$11+Q857:Y857*AG$4:AG$11)</f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P131" s="2" t="s">
        <v>40</v>
      </c>
      <c r="Q131" s="10">
        <f>data_redis_illX!E97</f>
        <v>0</v>
      </c>
      <c r="R131" s="10">
        <f>data_redis_illX!F97</f>
        <v>0</v>
      </c>
      <c r="S131" s="10">
        <f>data_redis_illX!G97</f>
        <v>0</v>
      </c>
      <c r="T131" s="10">
        <f>data_redis_illX!H97</f>
        <v>0</v>
      </c>
      <c r="U131" s="10">
        <f>data_redis_illX!I97</f>
        <v>0</v>
      </c>
      <c r="V131" s="10">
        <f>data_redis_illX!J97</f>
        <v>0</v>
      </c>
      <c r="W131" s="10">
        <f>data_redis_illX!K97</f>
        <v>0</v>
      </c>
      <c r="X131" s="10">
        <f>data_redis_illX!L97</f>
        <v>0</v>
      </c>
      <c r="Y131" s="5">
        <f t="shared" si="1"/>
        <v>0</v>
      </c>
    </row>
    <row r="132" spans="1:25" x14ac:dyDescent="0.25">
      <c r="C132" t="s">
        <v>41</v>
      </c>
      <c r="D132" s="5">
        <f t="array" ref="D132:K132">(Q132:X132*AE$4:AE$11+Q495:Y495*AF$4:AF$11+Q858:Y858*AG$4:AG$11)</f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P132" s="2" t="s">
        <v>41</v>
      </c>
      <c r="Q132" s="10">
        <f>data_redis_illX!E98</f>
        <v>0</v>
      </c>
      <c r="R132" s="10">
        <f>data_redis_illX!F98</f>
        <v>0</v>
      </c>
      <c r="S132" s="10">
        <f>data_redis_illX!G98</f>
        <v>0</v>
      </c>
      <c r="T132" s="10">
        <f>data_redis_illX!H98</f>
        <v>0</v>
      </c>
      <c r="U132" s="10">
        <f>data_redis_illX!I98</f>
        <v>0</v>
      </c>
      <c r="V132" s="10">
        <f>data_redis_illX!J98</f>
        <v>0</v>
      </c>
      <c r="W132" s="10">
        <f>data_redis_illX!K98</f>
        <v>0</v>
      </c>
      <c r="X132" s="10">
        <f>data_redis_illX!L98</f>
        <v>0</v>
      </c>
      <c r="Y132" s="5">
        <f t="shared" si="1"/>
        <v>0</v>
      </c>
    </row>
    <row r="133" spans="1:25" x14ac:dyDescent="0.25">
      <c r="C133" t="s">
        <v>42</v>
      </c>
      <c r="D133" s="5">
        <f t="array" ref="D133:K133">(Q133:X133*AE$4:AE$11+Q496:Y496*AF$4:AF$11+Q859:Y859*AG$4:AG$11)</f>
        <v>0</v>
      </c>
      <c r="E133" s="5">
        <v>0</v>
      </c>
      <c r="F133" s="5">
        <v>0</v>
      </c>
      <c r="G133" s="5">
        <v>1.0017257550178202</v>
      </c>
      <c r="H133" s="5">
        <v>0</v>
      </c>
      <c r="I133" s="5">
        <v>0</v>
      </c>
      <c r="J133" s="5">
        <v>0</v>
      </c>
      <c r="K133" s="5">
        <v>0</v>
      </c>
      <c r="P133" s="2" t="s">
        <v>42</v>
      </c>
      <c r="Q133" s="10">
        <f>data_redis_illX!E99</f>
        <v>0</v>
      </c>
      <c r="R133" s="10">
        <f>data_redis_illX!F99</f>
        <v>0</v>
      </c>
      <c r="S133" s="10">
        <f>data_redis_illX!G99</f>
        <v>0</v>
      </c>
      <c r="T133" s="10">
        <f>data_redis_illX!H99</f>
        <v>0</v>
      </c>
      <c r="U133" s="10">
        <f>data_redis_illX!I99</f>
        <v>0</v>
      </c>
      <c r="V133" s="10">
        <f>data_redis_illX!J99</f>
        <v>0</v>
      </c>
      <c r="W133" s="10">
        <f>data_redis_illX!K99</f>
        <v>0</v>
      </c>
      <c r="X133" s="10">
        <f>data_redis_illX!L99</f>
        <v>0</v>
      </c>
      <c r="Y133" s="5">
        <f t="shared" ref="Y133:Y196" si="2">SUM(Q133:X133)</f>
        <v>0</v>
      </c>
    </row>
    <row r="134" spans="1:25" x14ac:dyDescent="0.25">
      <c r="C134" t="s">
        <v>43</v>
      </c>
      <c r="D134" s="5">
        <f t="array" ref="D134:K134">(Q134:X134*AE$4:AE$11+Q497:Y497*AF$4:AF$11+Q860:Y860*AG$4:AG$11)</f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P134" s="2" t="s">
        <v>43</v>
      </c>
      <c r="Q134" s="10">
        <f>data_redis_illX!E100</f>
        <v>0</v>
      </c>
      <c r="R134" s="10">
        <f>data_redis_illX!F100</f>
        <v>0</v>
      </c>
      <c r="S134" s="10">
        <f>data_redis_illX!G100</f>
        <v>0</v>
      </c>
      <c r="T134" s="10">
        <f>data_redis_illX!H100</f>
        <v>0</v>
      </c>
      <c r="U134" s="10">
        <f>data_redis_illX!I100</f>
        <v>0</v>
      </c>
      <c r="V134" s="10">
        <f>data_redis_illX!J100</f>
        <v>0</v>
      </c>
      <c r="W134" s="10">
        <f>data_redis_illX!K100</f>
        <v>0</v>
      </c>
      <c r="X134" s="10">
        <f>data_redis_illX!L100</f>
        <v>0</v>
      </c>
      <c r="Y134" s="5">
        <f t="shared" si="2"/>
        <v>0</v>
      </c>
    </row>
    <row r="135" spans="1:25" x14ac:dyDescent="0.25">
      <c r="C135" t="s">
        <v>44</v>
      </c>
      <c r="D135" s="5">
        <f t="array" ref="D135:K135">(Q135:X135*AE$4:AE$11+Q498:Y498*AF$4:AF$11+Q861:Y861*AG$4:AG$11)</f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P135" s="2" t="s">
        <v>44</v>
      </c>
      <c r="Q135" s="10">
        <f>data_redis_illX!E101</f>
        <v>0</v>
      </c>
      <c r="R135" s="10">
        <f>data_redis_illX!F101</f>
        <v>0</v>
      </c>
      <c r="S135" s="10">
        <f>data_redis_illX!G101</f>
        <v>0</v>
      </c>
      <c r="T135" s="10">
        <f>data_redis_illX!H101</f>
        <v>0</v>
      </c>
      <c r="U135" s="10">
        <f>data_redis_illX!I101</f>
        <v>0</v>
      </c>
      <c r="V135" s="10">
        <f>data_redis_illX!J101</f>
        <v>0</v>
      </c>
      <c r="W135" s="10">
        <f>data_redis_illX!K101</f>
        <v>0</v>
      </c>
      <c r="X135" s="10">
        <f>data_redis_illX!L101</f>
        <v>0</v>
      </c>
      <c r="Y135" s="5">
        <f t="shared" si="2"/>
        <v>0</v>
      </c>
    </row>
    <row r="136" spans="1:25" x14ac:dyDescent="0.25">
      <c r="A136">
        <v>1</v>
      </c>
      <c r="B136" t="s">
        <v>48</v>
      </c>
      <c r="C136" t="s">
        <v>12</v>
      </c>
      <c r="D136" s="5">
        <f t="array" ref="D136:K136">(Q136:X136*AE$4:AE$11+Q499:Y499*AF$4:AF$11+Q862:Y862*AG$4:AG$11)</f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M136">
        <v>1</v>
      </c>
      <c r="N136" t="s">
        <v>103</v>
      </c>
      <c r="O136" t="s">
        <v>48</v>
      </c>
      <c r="P136" s="2" t="s">
        <v>12</v>
      </c>
      <c r="Q136" s="10">
        <f>data_redis_illX!E102</f>
        <v>0</v>
      </c>
      <c r="R136" s="10">
        <f>data_redis_illX!F102</f>
        <v>0</v>
      </c>
      <c r="S136" s="10">
        <f>data_redis_illX!G102</f>
        <v>0</v>
      </c>
      <c r="T136" s="10">
        <f>data_redis_illX!H102</f>
        <v>0</v>
      </c>
      <c r="U136" s="10">
        <f>data_redis_illX!I102</f>
        <v>0</v>
      </c>
      <c r="V136" s="10">
        <f>data_redis_illX!J102</f>
        <v>0</v>
      </c>
      <c r="W136" s="10">
        <f>data_redis_illX!K102</f>
        <v>0</v>
      </c>
      <c r="X136" s="10">
        <f>data_redis_illX!L102</f>
        <v>0</v>
      </c>
      <c r="Y136" s="5">
        <f t="shared" si="2"/>
        <v>0</v>
      </c>
    </row>
    <row r="137" spans="1:25" x14ac:dyDescent="0.25">
      <c r="C137" t="s">
        <v>13</v>
      </c>
      <c r="D137" s="5">
        <f t="array" ref="D137:K137">(Q137:X137*AE$4:AE$11+Q500:Y500*AF$4:AF$11+Q863:Y863*AG$4:AG$11)</f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P137" s="2" t="s">
        <v>13</v>
      </c>
      <c r="Q137" s="10">
        <f>data_redis_illX!E103</f>
        <v>0</v>
      </c>
      <c r="R137" s="10">
        <f>data_redis_illX!F103</f>
        <v>0</v>
      </c>
      <c r="S137" s="10">
        <f>data_redis_illX!G103</f>
        <v>0</v>
      </c>
      <c r="T137" s="10">
        <f>data_redis_illX!H103</f>
        <v>0</v>
      </c>
      <c r="U137" s="10">
        <f>data_redis_illX!I103</f>
        <v>0</v>
      </c>
      <c r="V137" s="10">
        <f>data_redis_illX!J103</f>
        <v>0</v>
      </c>
      <c r="W137" s="10">
        <f>data_redis_illX!K103</f>
        <v>0</v>
      </c>
      <c r="X137" s="10">
        <f>data_redis_illX!L103</f>
        <v>0</v>
      </c>
      <c r="Y137" s="5">
        <f t="shared" si="2"/>
        <v>0</v>
      </c>
    </row>
    <row r="138" spans="1:25" x14ac:dyDescent="0.25">
      <c r="C138" t="s">
        <v>14</v>
      </c>
      <c r="D138" s="5">
        <f t="array" ref="D138:K138">(Q138:X138*AE$4:AE$11+Q501:Y501*AF$4:AF$11+Q864:Y864*AG$4:AG$11)</f>
        <v>0</v>
      </c>
      <c r="E138" s="5">
        <v>0</v>
      </c>
      <c r="F138" s="5">
        <v>0</v>
      </c>
      <c r="G138" s="5">
        <v>1.0017257550178202</v>
      </c>
      <c r="H138" s="5">
        <v>0</v>
      </c>
      <c r="I138" s="5">
        <v>0</v>
      </c>
      <c r="J138" s="5">
        <v>0</v>
      </c>
      <c r="K138" s="5">
        <v>0</v>
      </c>
      <c r="P138" s="2" t="s">
        <v>14</v>
      </c>
      <c r="Q138" s="10">
        <f>data_redis_illX!E104</f>
        <v>0</v>
      </c>
      <c r="R138" s="10">
        <f>data_redis_illX!F104</f>
        <v>0</v>
      </c>
      <c r="S138" s="10">
        <f>data_redis_illX!G104</f>
        <v>0</v>
      </c>
      <c r="T138" s="10">
        <f>data_redis_illX!H104</f>
        <v>0</v>
      </c>
      <c r="U138" s="10">
        <f>data_redis_illX!I104</f>
        <v>0</v>
      </c>
      <c r="V138" s="10">
        <f>data_redis_illX!J104</f>
        <v>0</v>
      </c>
      <c r="W138" s="10">
        <f>data_redis_illX!K104</f>
        <v>0</v>
      </c>
      <c r="X138" s="10">
        <f>data_redis_illX!L104</f>
        <v>0</v>
      </c>
      <c r="Y138" s="5">
        <f t="shared" si="2"/>
        <v>0</v>
      </c>
    </row>
    <row r="139" spans="1:25" x14ac:dyDescent="0.25">
      <c r="C139" t="s">
        <v>15</v>
      </c>
      <c r="D139" s="5">
        <f t="array" ref="D139:K139">(Q139:X139*AE$4:AE$11+Q502:Y502*AF$4:AF$11+Q865:Y865*AG$4:AG$11)</f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P139" s="2" t="s">
        <v>15</v>
      </c>
      <c r="Q139" s="10">
        <f>data_redis_illX!E105</f>
        <v>0</v>
      </c>
      <c r="R139" s="10">
        <f>data_redis_illX!F105</f>
        <v>0</v>
      </c>
      <c r="S139" s="10">
        <f>data_redis_illX!G105</f>
        <v>0</v>
      </c>
      <c r="T139" s="10">
        <f>data_redis_illX!H105</f>
        <v>0</v>
      </c>
      <c r="U139" s="10">
        <f>data_redis_illX!I105</f>
        <v>0</v>
      </c>
      <c r="V139" s="10">
        <f>data_redis_illX!J105</f>
        <v>0</v>
      </c>
      <c r="W139" s="10">
        <f>data_redis_illX!K105</f>
        <v>0</v>
      </c>
      <c r="X139" s="10">
        <f>data_redis_illX!L105</f>
        <v>0</v>
      </c>
      <c r="Y139" s="5">
        <f t="shared" si="2"/>
        <v>0</v>
      </c>
    </row>
    <row r="140" spans="1:25" x14ac:dyDescent="0.25">
      <c r="C140" t="s">
        <v>16</v>
      </c>
      <c r="D140" s="5">
        <f t="array" ref="D140:K140">(Q140:X140*AE$4:AE$11+Q503:Y503*AF$4:AF$11+Q866:Y866*AG$4:AG$11)</f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P140" s="2" t="s">
        <v>16</v>
      </c>
      <c r="Q140" s="10">
        <f>data_redis_illX!E106</f>
        <v>0</v>
      </c>
      <c r="R140" s="10">
        <f>data_redis_illX!F106</f>
        <v>0</v>
      </c>
      <c r="S140" s="10">
        <f>data_redis_illX!G106</f>
        <v>0</v>
      </c>
      <c r="T140" s="10">
        <f>data_redis_illX!H106</f>
        <v>0</v>
      </c>
      <c r="U140" s="10">
        <f>data_redis_illX!I106</f>
        <v>0</v>
      </c>
      <c r="V140" s="10">
        <f>data_redis_illX!J106</f>
        <v>0</v>
      </c>
      <c r="W140" s="10">
        <f>data_redis_illX!K106</f>
        <v>0</v>
      </c>
      <c r="X140" s="10">
        <f>data_redis_illX!L106</f>
        <v>0</v>
      </c>
      <c r="Y140" s="5">
        <f t="shared" si="2"/>
        <v>0</v>
      </c>
    </row>
    <row r="141" spans="1:25" x14ac:dyDescent="0.25">
      <c r="C141" t="s">
        <v>17</v>
      </c>
      <c r="D141" s="5">
        <f t="array" ref="D141:K141">(Q141:X141*AE$4:AE$11+Q504:Y504*AF$4:AF$11+Q867:Y867*AG$4:AG$11)</f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P141" s="2" t="s">
        <v>17</v>
      </c>
      <c r="Q141" s="10">
        <f>data_redis_illX!E107</f>
        <v>0</v>
      </c>
      <c r="R141" s="10">
        <f>data_redis_illX!F107</f>
        <v>0</v>
      </c>
      <c r="S141" s="10">
        <f>data_redis_illX!G107</f>
        <v>0</v>
      </c>
      <c r="T141" s="10">
        <f>data_redis_illX!H107</f>
        <v>0</v>
      </c>
      <c r="U141" s="10">
        <f>data_redis_illX!I107</f>
        <v>0</v>
      </c>
      <c r="V141" s="10">
        <f>data_redis_illX!J107</f>
        <v>0</v>
      </c>
      <c r="W141" s="10">
        <f>data_redis_illX!K107</f>
        <v>0</v>
      </c>
      <c r="X141" s="10">
        <f>data_redis_illX!L107</f>
        <v>0</v>
      </c>
      <c r="Y141" s="5">
        <f t="shared" si="2"/>
        <v>0</v>
      </c>
    </row>
    <row r="142" spans="1:25" x14ac:dyDescent="0.25">
      <c r="C142" t="s">
        <v>18</v>
      </c>
      <c r="D142" s="5">
        <f t="array" ref="D142:K142">(Q142:X142*AE$4:AE$11+Q505:Y505*AF$4:AF$11+Q868:Y868*AG$4:AG$11)</f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P142" s="2" t="s">
        <v>18</v>
      </c>
      <c r="Q142" s="10">
        <f>data_redis_illX!E108</f>
        <v>0</v>
      </c>
      <c r="R142" s="10">
        <f>data_redis_illX!F108</f>
        <v>0</v>
      </c>
      <c r="S142" s="10">
        <f>data_redis_illX!G108</f>
        <v>0</v>
      </c>
      <c r="T142" s="10">
        <f>data_redis_illX!H108</f>
        <v>0</v>
      </c>
      <c r="U142" s="10">
        <f>data_redis_illX!I108</f>
        <v>0</v>
      </c>
      <c r="V142" s="10">
        <f>data_redis_illX!J108</f>
        <v>0</v>
      </c>
      <c r="W142" s="10">
        <f>data_redis_illX!K108</f>
        <v>0</v>
      </c>
      <c r="X142" s="10">
        <f>data_redis_illX!L108</f>
        <v>0</v>
      </c>
      <c r="Y142" s="5">
        <f t="shared" si="2"/>
        <v>0</v>
      </c>
    </row>
    <row r="143" spans="1:25" x14ac:dyDescent="0.25">
      <c r="C143" t="s">
        <v>19</v>
      </c>
      <c r="D143" s="5">
        <f t="array" ref="D143:K143">(Q143:X143*AE$4:AE$11+Q506:Y506*AF$4:AF$11+Q869:Y869*AG$4:AG$11)</f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P143" s="2" t="s">
        <v>19</v>
      </c>
      <c r="Q143" s="10">
        <f>data_redis_illX!E109</f>
        <v>0</v>
      </c>
      <c r="R143" s="10">
        <f>data_redis_illX!F109</f>
        <v>0</v>
      </c>
      <c r="S143" s="10">
        <f>data_redis_illX!G109</f>
        <v>0</v>
      </c>
      <c r="T143" s="10">
        <f>data_redis_illX!H109</f>
        <v>0</v>
      </c>
      <c r="U143" s="10">
        <f>data_redis_illX!I109</f>
        <v>0</v>
      </c>
      <c r="V143" s="10">
        <f>data_redis_illX!J109</f>
        <v>0</v>
      </c>
      <c r="W143" s="10">
        <f>data_redis_illX!K109</f>
        <v>0</v>
      </c>
      <c r="X143" s="10">
        <f>data_redis_illX!L109</f>
        <v>0</v>
      </c>
      <c r="Y143" s="5">
        <f t="shared" si="2"/>
        <v>0</v>
      </c>
    </row>
    <row r="144" spans="1:25" x14ac:dyDescent="0.25">
      <c r="C144" t="s">
        <v>20</v>
      </c>
      <c r="D144" s="5">
        <f t="array" ref="D144:K144">(Q144:X144*AE$4:AE$11+Q507:Y507*AF$4:AF$11+Q870:Y870*AG$4:AG$11)</f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P144" s="2" t="s">
        <v>20</v>
      </c>
      <c r="Q144" s="10">
        <f>data_redis_illX!E110</f>
        <v>0</v>
      </c>
      <c r="R144" s="10">
        <f>data_redis_illX!F110</f>
        <v>0</v>
      </c>
      <c r="S144" s="10">
        <f>data_redis_illX!G110</f>
        <v>0</v>
      </c>
      <c r="T144" s="10">
        <f>data_redis_illX!H110</f>
        <v>0</v>
      </c>
      <c r="U144" s="10">
        <f>data_redis_illX!I110</f>
        <v>0</v>
      </c>
      <c r="V144" s="10">
        <f>data_redis_illX!J110</f>
        <v>0</v>
      </c>
      <c r="W144" s="10">
        <f>data_redis_illX!K110</f>
        <v>0</v>
      </c>
      <c r="X144" s="10">
        <f>data_redis_illX!L110</f>
        <v>0</v>
      </c>
      <c r="Y144" s="5">
        <f t="shared" si="2"/>
        <v>0</v>
      </c>
    </row>
    <row r="145" spans="3:25" x14ac:dyDescent="0.25">
      <c r="C145" t="s">
        <v>21</v>
      </c>
      <c r="D145" s="5">
        <f t="array" ref="D145:K145">(Q145:X145*AE$4:AE$11+Q508:Y508*AF$4:AF$11+Q871:Y871*AG$4:AG$11)</f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P145" s="2" t="s">
        <v>21</v>
      </c>
      <c r="Q145" s="10">
        <f>data_redis_illX!E111</f>
        <v>0</v>
      </c>
      <c r="R145" s="10">
        <f>data_redis_illX!F111</f>
        <v>0</v>
      </c>
      <c r="S145" s="10">
        <f>data_redis_illX!G111</f>
        <v>0</v>
      </c>
      <c r="T145" s="10">
        <f>data_redis_illX!H111</f>
        <v>0</v>
      </c>
      <c r="U145" s="10">
        <f>data_redis_illX!I111</f>
        <v>0</v>
      </c>
      <c r="V145" s="10">
        <f>data_redis_illX!J111</f>
        <v>0</v>
      </c>
      <c r="W145" s="10">
        <f>data_redis_illX!K111</f>
        <v>0</v>
      </c>
      <c r="X145" s="10">
        <f>data_redis_illX!L111</f>
        <v>0</v>
      </c>
      <c r="Y145" s="5">
        <f t="shared" si="2"/>
        <v>0</v>
      </c>
    </row>
    <row r="146" spans="3:25" x14ac:dyDescent="0.25">
      <c r="C146" t="s">
        <v>22</v>
      </c>
      <c r="D146" s="5">
        <f t="array" ref="D146:K146">(Q146:X146*AE$4:AE$11+Q509:Y509*AF$4:AF$11+Q872:Y872*AG$4:AG$11)</f>
        <v>0</v>
      </c>
      <c r="E146" s="5">
        <v>0</v>
      </c>
      <c r="F146" s="5">
        <v>0</v>
      </c>
      <c r="G146" s="5">
        <v>2.0034515100356405</v>
      </c>
      <c r="H146" s="5">
        <v>0</v>
      </c>
      <c r="I146" s="5">
        <v>0</v>
      </c>
      <c r="J146" s="5">
        <v>0</v>
      </c>
      <c r="K146" s="5">
        <v>0</v>
      </c>
      <c r="P146" s="2" t="s">
        <v>22</v>
      </c>
      <c r="Q146" s="10">
        <f>data_redis_illX!E112</f>
        <v>0</v>
      </c>
      <c r="R146" s="10">
        <f>data_redis_illX!F112</f>
        <v>0</v>
      </c>
      <c r="S146" s="10">
        <f>data_redis_illX!G112</f>
        <v>0</v>
      </c>
      <c r="T146" s="10">
        <f>data_redis_illX!H112</f>
        <v>2.0034515100356405</v>
      </c>
      <c r="U146" s="10">
        <f>data_redis_illX!I112</f>
        <v>0</v>
      </c>
      <c r="V146" s="10">
        <f>data_redis_illX!J112</f>
        <v>0</v>
      </c>
      <c r="W146" s="10">
        <f>data_redis_illX!K112</f>
        <v>0</v>
      </c>
      <c r="X146" s="10">
        <f>data_redis_illX!L112</f>
        <v>0</v>
      </c>
      <c r="Y146" s="5">
        <f t="shared" si="2"/>
        <v>2.0034515100356405</v>
      </c>
    </row>
    <row r="147" spans="3:25" x14ac:dyDescent="0.25">
      <c r="C147" t="s">
        <v>23</v>
      </c>
      <c r="D147" s="5">
        <f t="array" ref="D147:K147">(Q147:X147*AE$4:AE$11+Q510:Y510*AF$4:AF$11+Q873:Y873*AG$4:AG$11)</f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P147" s="2" t="s">
        <v>23</v>
      </c>
      <c r="Q147" s="10">
        <f>data_redis_illX!E113</f>
        <v>0</v>
      </c>
      <c r="R147" s="10">
        <f>data_redis_illX!F113</f>
        <v>0</v>
      </c>
      <c r="S147" s="10">
        <f>data_redis_illX!G113</f>
        <v>0</v>
      </c>
      <c r="T147" s="10">
        <f>data_redis_illX!H113</f>
        <v>0</v>
      </c>
      <c r="U147" s="10">
        <f>data_redis_illX!I113</f>
        <v>0</v>
      </c>
      <c r="V147" s="10">
        <f>data_redis_illX!J113</f>
        <v>0</v>
      </c>
      <c r="W147" s="10">
        <f>data_redis_illX!K113</f>
        <v>0</v>
      </c>
      <c r="X147" s="10">
        <f>data_redis_illX!L113</f>
        <v>0</v>
      </c>
      <c r="Y147" s="5">
        <f t="shared" si="2"/>
        <v>0</v>
      </c>
    </row>
    <row r="148" spans="3:25" x14ac:dyDescent="0.25">
      <c r="C148" t="s">
        <v>24</v>
      </c>
      <c r="D148" s="5">
        <f t="array" ref="D148:K148">(Q148:X148*AE$4:AE$11+Q511:Y511*AF$4:AF$11+Q874:Y874*AG$4:AG$11)</f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P148" s="2" t="s">
        <v>24</v>
      </c>
      <c r="Q148" s="10">
        <f>data_redis_illX!E114</f>
        <v>0</v>
      </c>
      <c r="R148" s="10">
        <f>data_redis_illX!F114</f>
        <v>0</v>
      </c>
      <c r="S148" s="10">
        <f>data_redis_illX!G114</f>
        <v>0</v>
      </c>
      <c r="T148" s="10">
        <f>data_redis_illX!H114</f>
        <v>0</v>
      </c>
      <c r="U148" s="10">
        <f>data_redis_illX!I114</f>
        <v>0</v>
      </c>
      <c r="V148" s="10">
        <f>data_redis_illX!J114</f>
        <v>0</v>
      </c>
      <c r="W148" s="10">
        <f>data_redis_illX!K114</f>
        <v>0</v>
      </c>
      <c r="X148" s="10">
        <f>data_redis_illX!L114</f>
        <v>0</v>
      </c>
      <c r="Y148" s="5">
        <f t="shared" si="2"/>
        <v>0</v>
      </c>
    </row>
    <row r="149" spans="3:25" x14ac:dyDescent="0.25">
      <c r="C149" t="s">
        <v>25</v>
      </c>
      <c r="D149" s="5">
        <f t="array" ref="D149:K149">(Q149:X149*AE$4:AE$11+Q512:Y512*AF$4:AF$11+Q875:Y875*AG$4:AG$11)</f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P149" s="2" t="s">
        <v>25</v>
      </c>
      <c r="Q149" s="10">
        <f>data_redis_illX!E115</f>
        <v>0</v>
      </c>
      <c r="R149" s="10">
        <f>data_redis_illX!F115</f>
        <v>0</v>
      </c>
      <c r="S149" s="10">
        <f>data_redis_illX!G115</f>
        <v>0</v>
      </c>
      <c r="T149" s="10">
        <f>data_redis_illX!H115</f>
        <v>0</v>
      </c>
      <c r="U149" s="10">
        <f>data_redis_illX!I115</f>
        <v>0</v>
      </c>
      <c r="V149" s="10">
        <f>data_redis_illX!J115</f>
        <v>0</v>
      </c>
      <c r="W149" s="10">
        <f>data_redis_illX!K115</f>
        <v>0</v>
      </c>
      <c r="X149" s="10">
        <f>data_redis_illX!L115</f>
        <v>0</v>
      </c>
      <c r="Y149" s="5">
        <f t="shared" si="2"/>
        <v>0</v>
      </c>
    </row>
    <row r="150" spans="3:25" x14ac:dyDescent="0.25">
      <c r="C150" t="s">
        <v>26</v>
      </c>
      <c r="D150" s="5">
        <f t="array" ref="D150:K150">(Q150:X150*AE$4:AE$11+Q513:Y513*AF$4:AF$11+Q876:Y876*AG$4:AG$11)</f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P150" s="2" t="s">
        <v>26</v>
      </c>
      <c r="Q150" s="10">
        <f>data_redis_illX!E116</f>
        <v>0</v>
      </c>
      <c r="R150" s="10">
        <f>data_redis_illX!F116</f>
        <v>0</v>
      </c>
      <c r="S150" s="10">
        <f>data_redis_illX!G116</f>
        <v>0</v>
      </c>
      <c r="T150" s="10">
        <f>data_redis_illX!H116</f>
        <v>0</v>
      </c>
      <c r="U150" s="10">
        <f>data_redis_illX!I116</f>
        <v>0</v>
      </c>
      <c r="V150" s="10">
        <f>data_redis_illX!J116</f>
        <v>0</v>
      </c>
      <c r="W150" s="10">
        <f>data_redis_illX!K116</f>
        <v>0</v>
      </c>
      <c r="X150" s="10">
        <f>data_redis_illX!L116</f>
        <v>0</v>
      </c>
      <c r="Y150" s="5">
        <f t="shared" si="2"/>
        <v>0</v>
      </c>
    </row>
    <row r="151" spans="3:25" x14ac:dyDescent="0.25">
      <c r="C151" t="s">
        <v>27</v>
      </c>
      <c r="D151" s="5">
        <f t="array" ref="D151:K151">(Q151:X151*AE$4:AE$11+Q514:Y514*AF$4:AF$11+Q877:Y877*AG$4:AG$11)</f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P151" s="2" t="s">
        <v>27</v>
      </c>
      <c r="Q151" s="10">
        <f>data_redis_illX!E117</f>
        <v>0</v>
      </c>
      <c r="R151" s="10">
        <f>data_redis_illX!F117</f>
        <v>0</v>
      </c>
      <c r="S151" s="10">
        <f>data_redis_illX!G117</f>
        <v>0</v>
      </c>
      <c r="T151" s="10">
        <f>data_redis_illX!H117</f>
        <v>0</v>
      </c>
      <c r="U151" s="10">
        <f>data_redis_illX!I117</f>
        <v>0</v>
      </c>
      <c r="V151" s="10">
        <f>data_redis_illX!J117</f>
        <v>0</v>
      </c>
      <c r="W151" s="10">
        <f>data_redis_illX!K117</f>
        <v>0</v>
      </c>
      <c r="X151" s="10">
        <f>data_redis_illX!L117</f>
        <v>0</v>
      </c>
      <c r="Y151" s="5">
        <f t="shared" si="2"/>
        <v>0</v>
      </c>
    </row>
    <row r="152" spans="3:25" x14ac:dyDescent="0.25">
      <c r="C152" t="s">
        <v>28</v>
      </c>
      <c r="D152" s="5">
        <f t="array" ref="D152:K152">(Q152:X152*AE$4:AE$11+Q515:Y515*AF$4:AF$11+Q878:Y878*AG$4:AG$11)</f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P152" s="2" t="s">
        <v>28</v>
      </c>
      <c r="Q152" s="10">
        <f>data_redis_illX!E118</f>
        <v>0</v>
      </c>
      <c r="R152" s="10">
        <f>data_redis_illX!F118</f>
        <v>0</v>
      </c>
      <c r="S152" s="10">
        <f>data_redis_illX!G118</f>
        <v>0</v>
      </c>
      <c r="T152" s="10">
        <f>data_redis_illX!H118</f>
        <v>0</v>
      </c>
      <c r="U152" s="10">
        <f>data_redis_illX!I118</f>
        <v>0</v>
      </c>
      <c r="V152" s="10">
        <f>data_redis_illX!J118</f>
        <v>0</v>
      </c>
      <c r="W152" s="10">
        <f>data_redis_illX!K118</f>
        <v>0</v>
      </c>
      <c r="X152" s="10">
        <f>data_redis_illX!L118</f>
        <v>0</v>
      </c>
      <c r="Y152" s="5">
        <f t="shared" si="2"/>
        <v>0</v>
      </c>
    </row>
    <row r="153" spans="3:25" x14ac:dyDescent="0.25">
      <c r="C153" t="s">
        <v>29</v>
      </c>
      <c r="D153" s="5">
        <f t="array" ref="D153:K153">(Q153:X153*AE$4:AE$11+Q516:Y516*AF$4:AF$11+Q879:Y879*AG$4:AG$11)</f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P153" s="2" t="s">
        <v>29</v>
      </c>
      <c r="Q153" s="10">
        <f>data_redis_illX!E119</f>
        <v>0</v>
      </c>
      <c r="R153" s="10">
        <f>data_redis_illX!F119</f>
        <v>0</v>
      </c>
      <c r="S153" s="10">
        <f>data_redis_illX!G119</f>
        <v>0</v>
      </c>
      <c r="T153" s="10">
        <f>data_redis_illX!H119</f>
        <v>0</v>
      </c>
      <c r="U153" s="10">
        <f>data_redis_illX!I119</f>
        <v>0</v>
      </c>
      <c r="V153" s="10">
        <f>data_redis_illX!J119</f>
        <v>0</v>
      </c>
      <c r="W153" s="10">
        <f>data_redis_illX!K119</f>
        <v>0</v>
      </c>
      <c r="X153" s="10">
        <f>data_redis_illX!L119</f>
        <v>0</v>
      </c>
      <c r="Y153" s="5">
        <f t="shared" si="2"/>
        <v>0</v>
      </c>
    </row>
    <row r="154" spans="3:25" x14ac:dyDescent="0.25">
      <c r="C154" t="s">
        <v>30</v>
      </c>
      <c r="D154" s="5">
        <f t="array" ref="D154:K154">(Q154:X154*AE$4:AE$11+Q517:Y517*AF$4:AF$11+Q880:Y880*AG$4:AG$11)</f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P154" s="2" t="s">
        <v>30</v>
      </c>
      <c r="Q154" s="10">
        <f>data_redis_illX!E120</f>
        <v>0</v>
      </c>
      <c r="R154" s="10">
        <f>data_redis_illX!F120</f>
        <v>0</v>
      </c>
      <c r="S154" s="10">
        <f>data_redis_illX!G120</f>
        <v>0</v>
      </c>
      <c r="T154" s="10">
        <f>data_redis_illX!H120</f>
        <v>0</v>
      </c>
      <c r="U154" s="10">
        <f>data_redis_illX!I120</f>
        <v>0</v>
      </c>
      <c r="V154" s="10">
        <f>data_redis_illX!J120</f>
        <v>0</v>
      </c>
      <c r="W154" s="10">
        <f>data_redis_illX!K120</f>
        <v>0</v>
      </c>
      <c r="X154" s="10">
        <f>data_redis_illX!L120</f>
        <v>0</v>
      </c>
      <c r="Y154" s="5">
        <f t="shared" si="2"/>
        <v>0</v>
      </c>
    </row>
    <row r="155" spans="3:25" x14ac:dyDescent="0.25">
      <c r="C155" t="s">
        <v>31</v>
      </c>
      <c r="D155" s="5">
        <f t="array" ref="D155:K155">(Q155:X155*AE$4:AE$11+Q518:Y518*AF$4:AF$11+Q881:Y881*AG$4:AG$11)</f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P155" s="2" t="s">
        <v>31</v>
      </c>
      <c r="Q155" s="10">
        <f>data_redis_illX!E121</f>
        <v>0</v>
      </c>
      <c r="R155" s="10">
        <f>data_redis_illX!F121</f>
        <v>0</v>
      </c>
      <c r="S155" s="10">
        <f>data_redis_illX!G121</f>
        <v>0</v>
      </c>
      <c r="T155" s="10">
        <f>data_redis_illX!H121</f>
        <v>0</v>
      </c>
      <c r="U155" s="10">
        <f>data_redis_illX!I121</f>
        <v>0</v>
      </c>
      <c r="V155" s="10">
        <f>data_redis_illX!J121</f>
        <v>0</v>
      </c>
      <c r="W155" s="10">
        <f>data_redis_illX!K121</f>
        <v>0</v>
      </c>
      <c r="X155" s="10">
        <f>data_redis_illX!L121</f>
        <v>0</v>
      </c>
      <c r="Y155" s="5">
        <f t="shared" si="2"/>
        <v>0</v>
      </c>
    </row>
    <row r="156" spans="3:25" x14ac:dyDescent="0.25">
      <c r="C156" t="s">
        <v>32</v>
      </c>
      <c r="D156" s="5">
        <f t="array" ref="D156:K156">(Q156:X156*AE$4:AE$11+Q519:Y519*AF$4:AF$11+Q882:Y882*AG$4:AG$11)</f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P156" s="2" t="s">
        <v>32</v>
      </c>
      <c r="Q156" s="10">
        <f>data_redis_illX!E122</f>
        <v>0</v>
      </c>
      <c r="R156" s="10">
        <f>data_redis_illX!F122</f>
        <v>0</v>
      </c>
      <c r="S156" s="10">
        <f>data_redis_illX!G122</f>
        <v>0</v>
      </c>
      <c r="T156" s="10">
        <f>data_redis_illX!H122</f>
        <v>0</v>
      </c>
      <c r="U156" s="10">
        <f>data_redis_illX!I122</f>
        <v>0</v>
      </c>
      <c r="V156" s="10">
        <f>data_redis_illX!J122</f>
        <v>0</v>
      </c>
      <c r="W156" s="10">
        <f>data_redis_illX!K122</f>
        <v>0</v>
      </c>
      <c r="X156" s="10">
        <f>data_redis_illX!L122</f>
        <v>0</v>
      </c>
      <c r="Y156" s="5">
        <f t="shared" si="2"/>
        <v>0</v>
      </c>
    </row>
    <row r="157" spans="3:25" x14ac:dyDescent="0.25">
      <c r="C157" t="s">
        <v>33</v>
      </c>
      <c r="D157" s="5">
        <f t="array" ref="D157:K157">(Q157:X157*AE$4:AE$11+Q520:Y520*AF$4:AF$11+Q883:Y883*AG$4:AG$11)</f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P157" s="2" t="s">
        <v>33</v>
      </c>
      <c r="Q157" s="10">
        <f>data_redis_illX!E123</f>
        <v>0</v>
      </c>
      <c r="R157" s="10">
        <f>data_redis_illX!F123</f>
        <v>0</v>
      </c>
      <c r="S157" s="10">
        <f>data_redis_illX!G123</f>
        <v>0</v>
      </c>
      <c r="T157" s="10">
        <f>data_redis_illX!H123</f>
        <v>0</v>
      </c>
      <c r="U157" s="10">
        <f>data_redis_illX!I123</f>
        <v>0</v>
      </c>
      <c r="V157" s="10">
        <f>data_redis_illX!J123</f>
        <v>0</v>
      </c>
      <c r="W157" s="10">
        <f>data_redis_illX!K123</f>
        <v>0</v>
      </c>
      <c r="X157" s="10">
        <f>data_redis_illX!L123</f>
        <v>0</v>
      </c>
      <c r="Y157" s="5">
        <f t="shared" si="2"/>
        <v>0</v>
      </c>
    </row>
    <row r="158" spans="3:25" x14ac:dyDescent="0.25">
      <c r="C158" t="s">
        <v>34</v>
      </c>
      <c r="D158" s="5">
        <f t="array" ref="D158:K158">(Q158:X158*AE$4:AE$11+Q521:Y521*AF$4:AF$11+Q884:Y884*AG$4:AG$11)</f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P158" s="2" t="s">
        <v>34</v>
      </c>
      <c r="Q158" s="10">
        <f>data_redis_illX!E124</f>
        <v>0</v>
      </c>
      <c r="R158" s="10">
        <f>data_redis_illX!F124</f>
        <v>0</v>
      </c>
      <c r="S158" s="10">
        <f>data_redis_illX!G124</f>
        <v>0</v>
      </c>
      <c r="T158" s="10">
        <f>data_redis_illX!H124</f>
        <v>0</v>
      </c>
      <c r="U158" s="10">
        <f>data_redis_illX!I124</f>
        <v>0</v>
      </c>
      <c r="V158" s="10">
        <f>data_redis_illX!J124</f>
        <v>0</v>
      </c>
      <c r="W158" s="10">
        <f>data_redis_illX!K124</f>
        <v>0</v>
      </c>
      <c r="X158" s="10">
        <f>data_redis_illX!L124</f>
        <v>0</v>
      </c>
      <c r="Y158" s="5">
        <f t="shared" si="2"/>
        <v>0</v>
      </c>
    </row>
    <row r="159" spans="3:25" x14ac:dyDescent="0.25">
      <c r="C159" t="s">
        <v>35</v>
      </c>
      <c r="D159" s="5">
        <f t="array" ref="D159:K159">(Q159:X159*AE$4:AE$11+Q522:Y522*AF$4:AF$11+Q885:Y885*AG$4:AG$11)</f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P159" s="2" t="s">
        <v>35</v>
      </c>
      <c r="Q159" s="10">
        <f>data_redis_illX!E125</f>
        <v>0</v>
      </c>
      <c r="R159" s="10">
        <f>data_redis_illX!F125</f>
        <v>0</v>
      </c>
      <c r="S159" s="10">
        <f>data_redis_illX!G125</f>
        <v>0</v>
      </c>
      <c r="T159" s="10">
        <f>data_redis_illX!H125</f>
        <v>0</v>
      </c>
      <c r="U159" s="10">
        <f>data_redis_illX!I125</f>
        <v>0</v>
      </c>
      <c r="V159" s="10">
        <f>data_redis_illX!J125</f>
        <v>0</v>
      </c>
      <c r="W159" s="10">
        <f>data_redis_illX!K125</f>
        <v>0</v>
      </c>
      <c r="X159" s="10">
        <f>data_redis_illX!L125</f>
        <v>0</v>
      </c>
      <c r="Y159" s="5">
        <f t="shared" si="2"/>
        <v>0</v>
      </c>
    </row>
    <row r="160" spans="3:25" x14ac:dyDescent="0.25">
      <c r="C160" t="s">
        <v>36</v>
      </c>
      <c r="D160" s="5">
        <f t="array" ref="D160:K160">(Q160:X160*AE$4:AE$11+Q523:Y523*AF$4:AF$11+Q886:Y886*AG$4:AG$11)</f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P160" s="2" t="s">
        <v>36</v>
      </c>
      <c r="Q160" s="10">
        <f>data_redis_illX!E126</f>
        <v>0</v>
      </c>
      <c r="R160" s="10">
        <f>data_redis_illX!F126</f>
        <v>0</v>
      </c>
      <c r="S160" s="10">
        <f>data_redis_illX!G126</f>
        <v>0</v>
      </c>
      <c r="T160" s="10">
        <f>data_redis_illX!H126</f>
        <v>0</v>
      </c>
      <c r="U160" s="10">
        <f>data_redis_illX!I126</f>
        <v>0</v>
      </c>
      <c r="V160" s="10">
        <f>data_redis_illX!J126</f>
        <v>0</v>
      </c>
      <c r="W160" s="10">
        <f>data_redis_illX!K126</f>
        <v>0</v>
      </c>
      <c r="X160" s="10">
        <f>data_redis_illX!L126</f>
        <v>0</v>
      </c>
      <c r="Y160" s="5">
        <f t="shared" si="2"/>
        <v>0</v>
      </c>
    </row>
    <row r="161" spans="1:25" x14ac:dyDescent="0.25">
      <c r="C161" t="s">
        <v>37</v>
      </c>
      <c r="D161" s="5">
        <f t="array" ref="D161:K161">(Q161:X161*AE$4:AE$11+Q524:Y524*AF$4:AF$11+Q887:Y887*AG$4:AG$11)</f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P161" s="2" t="s">
        <v>37</v>
      </c>
      <c r="Q161" s="10">
        <f>data_redis_illX!E127</f>
        <v>0</v>
      </c>
      <c r="R161" s="10">
        <f>data_redis_illX!F127</f>
        <v>0</v>
      </c>
      <c r="S161" s="10">
        <f>data_redis_illX!G127</f>
        <v>0</v>
      </c>
      <c r="T161" s="10">
        <f>data_redis_illX!H127</f>
        <v>0</v>
      </c>
      <c r="U161" s="10">
        <f>data_redis_illX!I127</f>
        <v>0</v>
      </c>
      <c r="V161" s="10">
        <f>data_redis_illX!J127</f>
        <v>0</v>
      </c>
      <c r="W161" s="10">
        <f>data_redis_illX!K127</f>
        <v>0</v>
      </c>
      <c r="X161" s="10">
        <f>data_redis_illX!L127</f>
        <v>0</v>
      </c>
      <c r="Y161" s="5">
        <f t="shared" si="2"/>
        <v>0</v>
      </c>
    </row>
    <row r="162" spans="1:25" x14ac:dyDescent="0.25">
      <c r="C162" t="s">
        <v>38</v>
      </c>
      <c r="D162" s="5">
        <f t="array" ref="D162:K162">(Q162:X162*AE$4:AE$11+Q525:Y525*AF$4:AF$11+Q888:Y888*AG$4:AG$11)</f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P162" s="2" t="s">
        <v>38</v>
      </c>
      <c r="Q162" s="10">
        <f>data_redis_illX!E128</f>
        <v>0</v>
      </c>
      <c r="R162" s="10">
        <f>data_redis_illX!F128</f>
        <v>0</v>
      </c>
      <c r="S162" s="10">
        <f>data_redis_illX!G128</f>
        <v>0</v>
      </c>
      <c r="T162" s="10">
        <f>data_redis_illX!H128</f>
        <v>0</v>
      </c>
      <c r="U162" s="10">
        <f>data_redis_illX!I128</f>
        <v>0</v>
      </c>
      <c r="V162" s="10">
        <f>data_redis_illX!J128</f>
        <v>0</v>
      </c>
      <c r="W162" s="10">
        <f>data_redis_illX!K128</f>
        <v>0</v>
      </c>
      <c r="X162" s="10">
        <f>data_redis_illX!L128</f>
        <v>0</v>
      </c>
      <c r="Y162" s="5">
        <f t="shared" si="2"/>
        <v>0</v>
      </c>
    </row>
    <row r="163" spans="1:25" x14ac:dyDescent="0.25">
      <c r="C163" t="s">
        <v>39</v>
      </c>
      <c r="D163" s="5">
        <f t="array" ref="D163:K163">(Q163:X163*AE$4:AE$11+Q526:Y526*AF$4:AF$11+Q889:Y889*AG$4:AG$11)</f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P163" s="2" t="s">
        <v>39</v>
      </c>
      <c r="Q163" s="10">
        <f>data_redis_illX!E129</f>
        <v>0</v>
      </c>
      <c r="R163" s="10">
        <f>data_redis_illX!F129</f>
        <v>0</v>
      </c>
      <c r="S163" s="10">
        <f>data_redis_illX!G129</f>
        <v>0</v>
      </c>
      <c r="T163" s="10">
        <f>data_redis_illX!H129</f>
        <v>0</v>
      </c>
      <c r="U163" s="10">
        <f>data_redis_illX!I129</f>
        <v>0</v>
      </c>
      <c r="V163" s="10">
        <f>data_redis_illX!J129</f>
        <v>0</v>
      </c>
      <c r="W163" s="10">
        <f>data_redis_illX!K129</f>
        <v>0</v>
      </c>
      <c r="X163" s="10">
        <f>data_redis_illX!L129</f>
        <v>0</v>
      </c>
      <c r="Y163" s="5">
        <f t="shared" si="2"/>
        <v>0</v>
      </c>
    </row>
    <row r="164" spans="1:25" x14ac:dyDescent="0.25">
      <c r="C164" t="s">
        <v>40</v>
      </c>
      <c r="D164" s="5">
        <f t="array" ref="D164:K164">(Q164:X164*AE$4:AE$11+Q527:Y527*AF$4:AF$11+Q890:Y890*AG$4:AG$11)</f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P164" s="2" t="s">
        <v>40</v>
      </c>
      <c r="Q164" s="10">
        <f>data_redis_illX!E130</f>
        <v>0</v>
      </c>
      <c r="R164" s="10">
        <f>data_redis_illX!F130</f>
        <v>0</v>
      </c>
      <c r="S164" s="10">
        <f>data_redis_illX!G130</f>
        <v>0</v>
      </c>
      <c r="T164" s="10">
        <f>data_redis_illX!H130</f>
        <v>0</v>
      </c>
      <c r="U164" s="10">
        <f>data_redis_illX!I130</f>
        <v>0</v>
      </c>
      <c r="V164" s="10">
        <f>data_redis_illX!J130</f>
        <v>0</v>
      </c>
      <c r="W164" s="10">
        <f>data_redis_illX!K130</f>
        <v>0</v>
      </c>
      <c r="X164" s="10">
        <f>data_redis_illX!L130</f>
        <v>0</v>
      </c>
      <c r="Y164" s="5">
        <f t="shared" si="2"/>
        <v>0</v>
      </c>
    </row>
    <row r="165" spans="1:25" x14ac:dyDescent="0.25">
      <c r="C165" t="s">
        <v>41</v>
      </c>
      <c r="D165" s="5">
        <f t="array" ref="D165:K165">(Q165:X165*AE$4:AE$11+Q528:Y528*AF$4:AF$11+Q891:Y891*AG$4:AG$11)</f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P165" s="2" t="s">
        <v>41</v>
      </c>
      <c r="Q165" s="10">
        <f>data_redis_illX!E131</f>
        <v>0</v>
      </c>
      <c r="R165" s="10">
        <f>data_redis_illX!F131</f>
        <v>0</v>
      </c>
      <c r="S165" s="10">
        <f>data_redis_illX!G131</f>
        <v>0</v>
      </c>
      <c r="T165" s="10">
        <f>data_redis_illX!H131</f>
        <v>0</v>
      </c>
      <c r="U165" s="10">
        <f>data_redis_illX!I131</f>
        <v>0</v>
      </c>
      <c r="V165" s="10">
        <f>data_redis_illX!J131</f>
        <v>0</v>
      </c>
      <c r="W165" s="10">
        <f>data_redis_illX!K131</f>
        <v>0</v>
      </c>
      <c r="X165" s="10">
        <f>data_redis_illX!L131</f>
        <v>0</v>
      </c>
      <c r="Y165" s="5">
        <f t="shared" si="2"/>
        <v>0</v>
      </c>
    </row>
    <row r="166" spans="1:25" x14ac:dyDescent="0.25">
      <c r="C166" t="s">
        <v>42</v>
      </c>
      <c r="D166" s="5">
        <f t="array" ref="D166:K166">(Q166:X166*AE$4:AE$11+Q529:Y529*AF$4:AF$11+Q892:Y892*AG$4:AG$11)</f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P166" s="2" t="s">
        <v>42</v>
      </c>
      <c r="Q166" s="10">
        <f>data_redis_illX!E132</f>
        <v>0</v>
      </c>
      <c r="R166" s="10">
        <f>data_redis_illX!F132</f>
        <v>0</v>
      </c>
      <c r="S166" s="10">
        <f>data_redis_illX!G132</f>
        <v>0</v>
      </c>
      <c r="T166" s="10">
        <f>data_redis_illX!H132</f>
        <v>0</v>
      </c>
      <c r="U166" s="10">
        <f>data_redis_illX!I132</f>
        <v>0</v>
      </c>
      <c r="V166" s="10">
        <f>data_redis_illX!J132</f>
        <v>0</v>
      </c>
      <c r="W166" s="10">
        <f>data_redis_illX!K132</f>
        <v>0</v>
      </c>
      <c r="X166" s="10">
        <f>data_redis_illX!L132</f>
        <v>0</v>
      </c>
      <c r="Y166" s="5">
        <f t="shared" si="2"/>
        <v>0</v>
      </c>
    </row>
    <row r="167" spans="1:25" x14ac:dyDescent="0.25">
      <c r="C167" t="s">
        <v>43</v>
      </c>
      <c r="D167" s="5">
        <f t="array" ref="D167:K167">(Q167:X167*AE$4:AE$11+Q530:Y530*AF$4:AF$11+Q893:Y893*AG$4:AG$11)</f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P167" s="2" t="s">
        <v>43</v>
      </c>
      <c r="Q167" s="10">
        <f>data_redis_illX!E133</f>
        <v>0</v>
      </c>
      <c r="R167" s="10">
        <f>data_redis_illX!F133</f>
        <v>0</v>
      </c>
      <c r="S167" s="10">
        <f>data_redis_illX!G133</f>
        <v>0</v>
      </c>
      <c r="T167" s="10">
        <f>data_redis_illX!H133</f>
        <v>0</v>
      </c>
      <c r="U167" s="10">
        <f>data_redis_illX!I133</f>
        <v>0</v>
      </c>
      <c r="V167" s="10">
        <f>data_redis_illX!J133</f>
        <v>0</v>
      </c>
      <c r="W167" s="10">
        <f>data_redis_illX!K133</f>
        <v>0</v>
      </c>
      <c r="X167" s="10">
        <f>data_redis_illX!L133</f>
        <v>0</v>
      </c>
      <c r="Y167" s="5">
        <f t="shared" si="2"/>
        <v>0</v>
      </c>
    </row>
    <row r="168" spans="1:25" x14ac:dyDescent="0.25">
      <c r="C168" t="s">
        <v>44</v>
      </c>
      <c r="D168" s="5">
        <f t="array" ref="D168:K168">(Q168:X168*AE$4:AE$11+Q531:Y531*AF$4:AF$11+Q894:Y894*AG$4:AG$11)</f>
        <v>0</v>
      </c>
      <c r="E168" s="5">
        <v>0</v>
      </c>
      <c r="F168" s="5">
        <v>1.0012698412698413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P168" s="2" t="s">
        <v>44</v>
      </c>
      <c r="Q168" s="10">
        <f>data_redis_illX!E134</f>
        <v>0</v>
      </c>
      <c r="R168" s="10">
        <f>data_redis_illX!F134</f>
        <v>0</v>
      </c>
      <c r="S168" s="10">
        <f>data_redis_illX!G134</f>
        <v>1.0012698412698413</v>
      </c>
      <c r="T168" s="10">
        <f>data_redis_illX!H134</f>
        <v>0</v>
      </c>
      <c r="U168" s="10">
        <f>data_redis_illX!I134</f>
        <v>0</v>
      </c>
      <c r="V168" s="10">
        <f>data_redis_illX!J134</f>
        <v>0</v>
      </c>
      <c r="W168" s="10">
        <f>data_redis_illX!K134</f>
        <v>0</v>
      </c>
      <c r="X168" s="10">
        <f>data_redis_illX!L134</f>
        <v>0</v>
      </c>
      <c r="Y168" s="5">
        <f t="shared" si="2"/>
        <v>1.0012698412698413</v>
      </c>
    </row>
    <row r="169" spans="1:25" x14ac:dyDescent="0.25">
      <c r="A169">
        <v>1</v>
      </c>
      <c r="B169" t="s">
        <v>49</v>
      </c>
      <c r="C169" t="s">
        <v>12</v>
      </c>
      <c r="D169" s="5">
        <f t="array" ref="D169:K169">(Q169:X169*AE$4:AE$11+Q532:Y532*AF$4:AF$11+Q895:Y895*AG$4:AG$11)</f>
        <v>0</v>
      </c>
      <c r="E169" s="5">
        <v>0</v>
      </c>
      <c r="F169" s="5">
        <v>317.6587086561745</v>
      </c>
      <c r="G169" s="5">
        <v>308.96334824437884</v>
      </c>
      <c r="H169" s="5">
        <v>107.51264351252485</v>
      </c>
      <c r="I169" s="5">
        <v>4.5649490204333389</v>
      </c>
      <c r="J169" s="5">
        <v>0</v>
      </c>
      <c r="K169" s="5">
        <v>0</v>
      </c>
      <c r="M169">
        <v>1</v>
      </c>
      <c r="N169" t="s">
        <v>103</v>
      </c>
      <c r="O169" t="s">
        <v>49</v>
      </c>
      <c r="P169" s="2" t="s">
        <v>12</v>
      </c>
      <c r="Q169" s="10">
        <f>data_redis_illX!E135</f>
        <v>0</v>
      </c>
      <c r="R169" s="10">
        <f>data_redis_illX!F135</f>
        <v>0</v>
      </c>
      <c r="S169" s="10">
        <f>data_redis_illX!G135</f>
        <v>92.859981115772044</v>
      </c>
      <c r="T169" s="10">
        <f>data_redis_illX!H135</f>
        <v>94.46493498563477</v>
      </c>
      <c r="U169" s="10">
        <f>data_redis_illX!I135</f>
        <v>26.295517788927246</v>
      </c>
      <c r="V169" s="10">
        <f>data_redis_illX!J135</f>
        <v>2.1326402061990613</v>
      </c>
      <c r="W169" s="10">
        <f>data_redis_illX!K135</f>
        <v>0</v>
      </c>
      <c r="X169" s="10">
        <f>data_redis_illX!L135</f>
        <v>0</v>
      </c>
      <c r="Y169" s="5">
        <f t="shared" si="2"/>
        <v>215.75307409653311</v>
      </c>
    </row>
    <row r="170" spans="1:25" x14ac:dyDescent="0.25">
      <c r="C170" t="s">
        <v>13</v>
      </c>
      <c r="D170" s="5">
        <f t="array" ref="D170:K170">(Q170:X170*AE$4:AE$11+Q533:Y533*AF$4:AF$11+Q896:Y896*AG$4:AG$11)</f>
        <v>0</v>
      </c>
      <c r="E170" s="5">
        <v>0</v>
      </c>
      <c r="F170" s="5">
        <v>1402.2080444311975</v>
      </c>
      <c r="G170" s="5">
        <v>1566.1874388877995</v>
      </c>
      <c r="H170" s="5">
        <v>423.59473318118512</v>
      </c>
      <c r="I170" s="5">
        <v>19.88525256279182</v>
      </c>
      <c r="J170" s="5">
        <v>1.0186567164179106</v>
      </c>
      <c r="K170" s="5">
        <v>0</v>
      </c>
      <c r="P170" s="2" t="s">
        <v>13</v>
      </c>
      <c r="Q170" s="10">
        <f>data_redis_illX!E136</f>
        <v>0</v>
      </c>
      <c r="R170" s="10">
        <f>data_redis_illX!F136</f>
        <v>0</v>
      </c>
      <c r="S170" s="10">
        <f>data_redis_illX!G136</f>
        <v>249.03358571957045</v>
      </c>
      <c r="T170" s="10">
        <f>data_redis_illX!H136</f>
        <v>292.94743883185618</v>
      </c>
      <c r="U170" s="10">
        <f>data_redis_illX!I136</f>
        <v>92.034312261245375</v>
      </c>
      <c r="V170" s="10">
        <f>data_redis_illX!J136</f>
        <v>3.1989603092985921</v>
      </c>
      <c r="W170" s="10">
        <f>data_redis_illX!K136</f>
        <v>0</v>
      </c>
      <c r="X170" s="10">
        <f>data_redis_illX!L136</f>
        <v>0</v>
      </c>
      <c r="Y170" s="5">
        <f t="shared" si="2"/>
        <v>637.21429712197062</v>
      </c>
    </row>
    <row r="171" spans="1:25" x14ac:dyDescent="0.25">
      <c r="C171" t="s">
        <v>14</v>
      </c>
      <c r="D171" s="5">
        <f t="array" ref="D171:K171">(Q171:X171*AE$4:AE$11+Q534:Y534*AF$4:AF$11+Q897:Y897*AG$4:AG$11)</f>
        <v>0</v>
      </c>
      <c r="E171" s="5">
        <v>0</v>
      </c>
      <c r="F171" s="5">
        <v>193.97273749183802</v>
      </c>
      <c r="G171" s="5">
        <v>329.32000858683034</v>
      </c>
      <c r="H171" s="5">
        <v>164.08983908726807</v>
      </c>
      <c r="I171" s="5">
        <v>16.426824483569515</v>
      </c>
      <c r="J171" s="5">
        <v>0</v>
      </c>
      <c r="K171" s="5">
        <v>0</v>
      </c>
      <c r="P171" s="2" t="s">
        <v>14</v>
      </c>
      <c r="Q171" s="10">
        <f>data_redis_illX!E137</f>
        <v>0</v>
      </c>
      <c r="R171" s="10">
        <f>data_redis_illX!F137</f>
        <v>0</v>
      </c>
      <c r="S171" s="10">
        <f>data_redis_illX!G137</f>
        <v>55.927034081089978</v>
      </c>
      <c r="T171" s="10">
        <f>data_redis_illX!H137</f>
        <v>72.175455944080511</v>
      </c>
      <c r="U171" s="10">
        <f>data_redis_illX!I137</f>
        <v>39.44327668339087</v>
      </c>
      <c r="V171" s="10">
        <f>data_redis_illX!J137</f>
        <v>4.2652804123981225</v>
      </c>
      <c r="W171" s="10">
        <f>data_redis_illX!K137</f>
        <v>0</v>
      </c>
      <c r="X171" s="10">
        <f>data_redis_illX!L137</f>
        <v>0</v>
      </c>
      <c r="Y171" s="5">
        <f t="shared" si="2"/>
        <v>171.81104712095947</v>
      </c>
    </row>
    <row r="172" spans="1:25" x14ac:dyDescent="0.25">
      <c r="C172" t="s">
        <v>15</v>
      </c>
      <c r="D172" s="5">
        <f t="array" ref="D172:K172">(Q172:X172*AE$4:AE$11+Q535:Y535*AF$4:AF$11+Q898:Y898*AG$4:AG$11)</f>
        <v>0</v>
      </c>
      <c r="E172" s="5">
        <v>0</v>
      </c>
      <c r="F172" s="5">
        <v>63.631229709021511</v>
      </c>
      <c r="G172" s="5">
        <v>158.99339571387893</v>
      </c>
      <c r="H172" s="5">
        <v>111.35936681679908</v>
      </c>
      <c r="I172" s="5">
        <v>9.1097976218109267</v>
      </c>
      <c r="J172" s="5">
        <v>2.3658974100308057</v>
      </c>
      <c r="K172" s="5">
        <v>0</v>
      </c>
      <c r="P172" s="2" t="s">
        <v>15</v>
      </c>
      <c r="Q172" s="10">
        <f>data_redis_illX!E138</f>
        <v>0</v>
      </c>
      <c r="R172" s="10">
        <f>data_redis_illX!F138</f>
        <v>0</v>
      </c>
      <c r="S172" s="10">
        <f>data_redis_illX!G138</f>
        <v>31.656811744013197</v>
      </c>
      <c r="T172" s="10">
        <f>data_redis_illX!H138</f>
        <v>75.359667235731123</v>
      </c>
      <c r="U172" s="10">
        <f>data_redis_illX!I138</f>
        <v>56.973621876009041</v>
      </c>
      <c r="V172" s="10">
        <f>data_redis_illX!J138</f>
        <v>3.1989603092985921</v>
      </c>
      <c r="W172" s="10">
        <f>data_redis_illX!K138</f>
        <v>0</v>
      </c>
      <c r="X172" s="10">
        <f>data_redis_illX!L138</f>
        <v>0</v>
      </c>
      <c r="Y172" s="5">
        <f t="shared" si="2"/>
        <v>167.18906116505195</v>
      </c>
    </row>
    <row r="173" spans="1:25" x14ac:dyDescent="0.25">
      <c r="C173" t="s">
        <v>16</v>
      </c>
      <c r="D173" s="5">
        <f t="array" ref="D173:K173">(Q173:X173*AE$4:AE$11+Q536:Y536*AF$4:AF$11+Q899:Y899*AG$4:AG$11)</f>
        <v>0</v>
      </c>
      <c r="E173" s="5">
        <v>0</v>
      </c>
      <c r="F173" s="5">
        <v>289.52521668803058</v>
      </c>
      <c r="G173" s="5">
        <v>1006.4202675149807</v>
      </c>
      <c r="H173" s="5">
        <v>752.89071580776272</v>
      </c>
      <c r="I173" s="5">
        <v>89.529713278028098</v>
      </c>
      <c r="J173" s="5">
        <v>9.1350056629282381</v>
      </c>
      <c r="K173" s="5">
        <v>0</v>
      </c>
      <c r="P173" s="2" t="s">
        <v>16</v>
      </c>
      <c r="Q173" s="10">
        <f>data_redis_illX!E139</f>
        <v>0</v>
      </c>
      <c r="R173" s="10">
        <f>data_redis_illX!F139</f>
        <v>0</v>
      </c>
      <c r="S173" s="10">
        <f>data_redis_illX!G139</f>
        <v>47.485217616019789</v>
      </c>
      <c r="T173" s="10">
        <f>data_redis_illX!H139</f>
        <v>212.28075277670737</v>
      </c>
      <c r="U173" s="10">
        <f>data_redis_illX!I139</f>
        <v>151.19922728633168</v>
      </c>
      <c r="V173" s="10">
        <f>data_redis_illX!J139</f>
        <v>8.530560824796245</v>
      </c>
      <c r="W173" s="10">
        <f>data_redis_illX!K139</f>
        <v>2.0373134328358211</v>
      </c>
      <c r="X173" s="10">
        <f>data_redis_illX!L139</f>
        <v>0</v>
      </c>
      <c r="Y173" s="5">
        <f t="shared" si="2"/>
        <v>421.53307193669093</v>
      </c>
    </row>
    <row r="174" spans="1:25" x14ac:dyDescent="0.25">
      <c r="C174" t="s">
        <v>17</v>
      </c>
      <c r="D174" s="5">
        <f t="array" ref="D174:K174">(Q174:X174*AE$4:AE$11+Q537:Y537*AF$4:AF$11+Q900:Y900*AG$4:AG$11)</f>
        <v>0</v>
      </c>
      <c r="E174" s="5">
        <v>0</v>
      </c>
      <c r="F174" s="5">
        <v>165.8589496697407</v>
      </c>
      <c r="G174" s="5">
        <v>163.72086787608646</v>
      </c>
      <c r="H174" s="5">
        <v>83.183670712691907</v>
      </c>
      <c r="I174" s="5">
        <v>15.360504380469985</v>
      </c>
      <c r="J174" s="5">
        <v>0</v>
      </c>
      <c r="K174" s="5">
        <v>0</v>
      </c>
      <c r="P174" s="2" t="s">
        <v>17</v>
      </c>
      <c r="Q174" s="10">
        <f>data_redis_illX!E140</f>
        <v>0</v>
      </c>
      <c r="R174" s="10">
        <f>data_redis_illX!F140</f>
        <v>0</v>
      </c>
      <c r="S174" s="10">
        <f>data_redis_illX!G140</f>
        <v>48.540444674153569</v>
      </c>
      <c r="T174" s="10">
        <f>data_redis_illX!H140</f>
        <v>58.377207013594521</v>
      </c>
      <c r="U174" s="10">
        <f>data_redis_illX!I140</f>
        <v>27.391164363465883</v>
      </c>
      <c r="V174" s="10">
        <f>data_redis_illX!J140</f>
        <v>3.1989603092985921</v>
      </c>
      <c r="W174" s="10">
        <f>data_redis_illX!K140</f>
        <v>0</v>
      </c>
      <c r="X174" s="10">
        <f>data_redis_illX!L140</f>
        <v>0</v>
      </c>
      <c r="Y174" s="5">
        <f t="shared" si="2"/>
        <v>137.50777636051257</v>
      </c>
    </row>
    <row r="175" spans="1:25" x14ac:dyDescent="0.25">
      <c r="C175" t="s">
        <v>18</v>
      </c>
      <c r="D175" s="5">
        <f t="array" ref="D175:K175">(Q175:X175*AE$4:AE$11+Q538:Y538*AF$4:AF$11+Q901:Y901*AG$4:AG$11)</f>
        <v>0</v>
      </c>
      <c r="E175" s="5">
        <v>0</v>
      </c>
      <c r="F175" s="5">
        <v>791.29932077540957</v>
      </c>
      <c r="G175" s="5">
        <v>1491.3439882227449</v>
      </c>
      <c r="H175" s="5">
        <v>550.97245467408914</v>
      </c>
      <c r="I175" s="5">
        <v>34.199537259218026</v>
      </c>
      <c r="J175" s="5">
        <v>1.0186567164179106</v>
      </c>
      <c r="K175" s="5">
        <v>0</v>
      </c>
      <c r="P175" s="2" t="s">
        <v>18</v>
      </c>
      <c r="Q175" s="10">
        <f>data_redis_illX!E141</f>
        <v>0</v>
      </c>
      <c r="R175" s="10">
        <f>data_redis_illX!F141</f>
        <v>0</v>
      </c>
      <c r="S175" s="10">
        <f>data_redis_illX!G141</f>
        <v>136.12429049925674</v>
      </c>
      <c r="T175" s="10">
        <f>data_redis_illX!H141</f>
        <v>253.67549956816529</v>
      </c>
      <c r="U175" s="10">
        <f>data_redis_illX!I141</f>
        <v>99.703838283015813</v>
      </c>
      <c r="V175" s="10">
        <f>data_redis_illX!J141</f>
        <v>6.3979206185971842</v>
      </c>
      <c r="W175" s="10">
        <f>data_redis_illX!K141</f>
        <v>1.0186567164179106</v>
      </c>
      <c r="X175" s="10">
        <f>data_redis_illX!L141</f>
        <v>0</v>
      </c>
      <c r="Y175" s="5">
        <f t="shared" si="2"/>
        <v>496.92020568545291</v>
      </c>
    </row>
    <row r="176" spans="1:25" x14ac:dyDescent="0.25">
      <c r="C176" t="s">
        <v>19</v>
      </c>
      <c r="D176" s="5">
        <f t="array" ref="D176:K176">(Q176:X176*AE$4:AE$11+Q539:Y539*AF$4:AF$11+Q902:Y902*AG$4:AG$11)</f>
        <v>0</v>
      </c>
      <c r="E176" s="5">
        <v>0</v>
      </c>
      <c r="F176" s="5">
        <v>864.80100819462371</v>
      </c>
      <c r="G176" s="5">
        <v>1119.7771640361425</v>
      </c>
      <c r="H176" s="5">
        <v>346.06661438700257</v>
      </c>
      <c r="I176" s="5">
        <v>33.899868651182807</v>
      </c>
      <c r="J176" s="5">
        <v>1.0186567164179106</v>
      </c>
      <c r="K176" s="5">
        <v>0</v>
      </c>
      <c r="P176" s="2" t="s">
        <v>19</v>
      </c>
      <c r="Q176" s="10">
        <f>data_redis_illX!E142</f>
        <v>0</v>
      </c>
      <c r="R176" s="10">
        <f>data_redis_illX!F142</f>
        <v>0</v>
      </c>
      <c r="S176" s="10">
        <f>data_redis_illX!G142</f>
        <v>214.21109280115596</v>
      </c>
      <c r="T176" s="10">
        <f>data_redis_illX!H142</f>
        <v>232.44742429049452</v>
      </c>
      <c r="U176" s="10">
        <f>data_redis_illX!I142</f>
        <v>96.416898559399911</v>
      </c>
      <c r="V176" s="10">
        <f>data_redis_illX!J142</f>
        <v>8.530560824796245</v>
      </c>
      <c r="W176" s="10">
        <f>data_redis_illX!K142</f>
        <v>1.0186567164179106</v>
      </c>
      <c r="X176" s="10">
        <f>data_redis_illX!L142</f>
        <v>0</v>
      </c>
      <c r="Y176" s="5">
        <f t="shared" si="2"/>
        <v>552.62463319226458</v>
      </c>
    </row>
    <row r="177" spans="3:25" x14ac:dyDescent="0.25">
      <c r="C177" t="s">
        <v>20</v>
      </c>
      <c r="D177" s="5">
        <f t="array" ref="D177:K177">(Q177:X177*AE$4:AE$11+Q540:Y540*AF$4:AF$11+Q903:Y903*AG$4:AG$11)</f>
        <v>0</v>
      </c>
      <c r="E177" s="5">
        <v>0</v>
      </c>
      <c r="F177" s="5">
        <v>962.45408943406051</v>
      </c>
      <c r="G177" s="5">
        <v>1183.3136715975138</v>
      </c>
      <c r="H177" s="5">
        <v>387.72779797125867</v>
      </c>
      <c r="I177" s="5">
        <v>35.565525970352773</v>
      </c>
      <c r="J177" s="5">
        <v>4.4032108428666268</v>
      </c>
      <c r="K177" s="5">
        <v>0</v>
      </c>
      <c r="P177" s="2" t="s">
        <v>20</v>
      </c>
      <c r="Q177" s="10">
        <f>data_redis_illX!E143</f>
        <v>0</v>
      </c>
      <c r="R177" s="10">
        <f>data_redis_illX!F143</f>
        <v>0</v>
      </c>
      <c r="S177" s="10">
        <f>data_redis_illX!G143</f>
        <v>188.88564340594542</v>
      </c>
      <c r="T177" s="10">
        <f>data_redis_illX!H143</f>
        <v>213.34215654059088</v>
      </c>
      <c r="U177" s="10">
        <f>data_redis_illX!I143</f>
        <v>96.416898559399911</v>
      </c>
      <c r="V177" s="10">
        <f>data_redis_illX!J143</f>
        <v>5.3316005154976542</v>
      </c>
      <c r="W177" s="10">
        <f>data_redis_illX!K143</f>
        <v>2.0373134328358211</v>
      </c>
      <c r="X177" s="10">
        <f>data_redis_illX!L143</f>
        <v>0</v>
      </c>
      <c r="Y177" s="5">
        <f t="shared" si="2"/>
        <v>506.01361245426966</v>
      </c>
    </row>
    <row r="178" spans="3:25" x14ac:dyDescent="0.25">
      <c r="C178" t="s">
        <v>21</v>
      </c>
      <c r="D178" s="5">
        <f t="array" ref="D178:K178">(Q178:X178*AE$4:AE$11+Q541:Y541*AF$4:AF$11+Q904:Y904*AG$4:AG$11)</f>
        <v>0</v>
      </c>
      <c r="E178" s="5">
        <v>0</v>
      </c>
      <c r="F178" s="5">
        <v>998.75512849889878</v>
      </c>
      <c r="G178" s="5">
        <v>816.53659074611471</v>
      </c>
      <c r="H178" s="5">
        <v>285.11189066671994</v>
      </c>
      <c r="I178" s="5">
        <v>31.787328864039502</v>
      </c>
      <c r="J178" s="5">
        <v>7.7877649693153428</v>
      </c>
      <c r="K178" s="5">
        <v>0</v>
      </c>
      <c r="P178" s="2" t="s">
        <v>21</v>
      </c>
      <c r="Q178" s="10">
        <f>data_redis_illX!E144</f>
        <v>0</v>
      </c>
      <c r="R178" s="10">
        <f>data_redis_illX!F144</f>
        <v>0</v>
      </c>
      <c r="S178" s="10">
        <f>data_redis_illX!G144</f>
        <v>334.50697742840606</v>
      </c>
      <c r="T178" s="10">
        <f>data_redis_illX!H144</f>
        <v>245.18426945709697</v>
      </c>
      <c r="U178" s="10">
        <f>data_redis_illX!I144</f>
        <v>89.843019112168093</v>
      </c>
      <c r="V178" s="10">
        <f>data_redis_illX!J144</f>
        <v>7.464240721696715</v>
      </c>
      <c r="W178" s="10">
        <f>data_redis_illX!K144</f>
        <v>3.0559701492537314</v>
      </c>
      <c r="X178" s="10">
        <f>data_redis_illX!L144</f>
        <v>0</v>
      </c>
      <c r="Y178" s="5">
        <f t="shared" si="2"/>
        <v>680.05447686862158</v>
      </c>
    </row>
    <row r="179" spans="3:25" x14ac:dyDescent="0.25">
      <c r="C179" t="s">
        <v>22</v>
      </c>
      <c r="D179" s="5">
        <f t="array" ref="D179:K179">(Q179:X179*AE$4:AE$11+Q542:Y542*AF$4:AF$11+Q905:Y905*AG$4:AG$11)</f>
        <v>0</v>
      </c>
      <c r="E179" s="5">
        <v>0</v>
      </c>
      <c r="F179" s="5">
        <v>948.47564894349489</v>
      </c>
      <c r="G179" s="5">
        <v>1411.551958123554</v>
      </c>
      <c r="H179" s="5">
        <v>605.40309304891196</v>
      </c>
      <c r="I179" s="5">
        <v>59.623905454612881</v>
      </c>
      <c r="J179" s="5">
        <v>5.7504515364795221</v>
      </c>
      <c r="K179" s="5">
        <v>0</v>
      </c>
      <c r="P179" s="2" t="s">
        <v>22</v>
      </c>
      <c r="Q179" s="10">
        <f>data_redis_illX!E145</f>
        <v>0</v>
      </c>
      <c r="R179" s="10">
        <f>data_redis_illX!F145</f>
        <v>0</v>
      </c>
      <c r="S179" s="10">
        <f>data_redis_illX!G145</f>
        <v>270.13812688224596</v>
      </c>
      <c r="T179" s="10">
        <f>data_redis_illX!H145</f>
        <v>331.15797433166347</v>
      </c>
      <c r="U179" s="10">
        <f>data_redis_illX!I145</f>
        <v>154.48616700994759</v>
      </c>
      <c r="V179" s="10">
        <f>data_redis_illX!J145</f>
        <v>24.525362371289205</v>
      </c>
      <c r="W179" s="10">
        <f>data_redis_illX!K145</f>
        <v>1.0186567164179106</v>
      </c>
      <c r="X179" s="10">
        <f>data_redis_illX!L145</f>
        <v>0</v>
      </c>
      <c r="Y179" s="5">
        <f t="shared" si="2"/>
        <v>781.32628731156422</v>
      </c>
    </row>
    <row r="180" spans="3:25" x14ac:dyDescent="0.25">
      <c r="C180" t="s">
        <v>23</v>
      </c>
      <c r="D180" s="5">
        <f t="array" ref="D180:K180">(Q180:X180*AE$4:AE$11+Q543:Y543*AF$4:AF$11+Q906:Y906*AG$4:AG$11)</f>
        <v>0</v>
      </c>
      <c r="E180" s="5">
        <v>0</v>
      </c>
      <c r="F180" s="5">
        <v>163.06075916983062</v>
      </c>
      <c r="G180" s="5">
        <v>232.25492611009651</v>
      </c>
      <c r="H180" s="5">
        <v>97.626108311559079</v>
      </c>
      <c r="I180" s="5">
        <v>13.994515669335236</v>
      </c>
      <c r="J180" s="5">
        <v>2.3658974100308057</v>
      </c>
      <c r="K180" s="5">
        <v>0</v>
      </c>
      <c r="P180" s="2" t="s">
        <v>23</v>
      </c>
      <c r="Q180" s="10">
        <f>data_redis_illX!E146</f>
        <v>0</v>
      </c>
      <c r="R180" s="10">
        <f>data_redis_illX!F146</f>
        <v>0</v>
      </c>
      <c r="S180" s="10">
        <f>data_redis_illX!G146</f>
        <v>47.485217616019789</v>
      </c>
      <c r="T180" s="10">
        <f>data_redis_illX!H146</f>
        <v>46.701765610875619</v>
      </c>
      <c r="U180" s="10">
        <f>data_redis_illX!I146</f>
        <v>26.295517788927246</v>
      </c>
      <c r="V180" s="10">
        <f>data_redis_illX!J146</f>
        <v>4.2652804123981225</v>
      </c>
      <c r="W180" s="10">
        <f>data_redis_illX!K146</f>
        <v>0</v>
      </c>
      <c r="X180" s="10">
        <f>data_redis_illX!L146</f>
        <v>0</v>
      </c>
      <c r="Y180" s="5">
        <f t="shared" si="2"/>
        <v>124.74778142822078</v>
      </c>
    </row>
    <row r="181" spans="3:25" x14ac:dyDescent="0.25">
      <c r="C181" t="s">
        <v>24</v>
      </c>
      <c r="D181" s="5">
        <f t="array" ref="D181:K181">(Q181:X181*AE$4:AE$11+Q544:Y544*AF$4:AF$11+Q907:Y907*AG$4:AG$11)</f>
        <v>0</v>
      </c>
      <c r="E181" s="5">
        <v>0</v>
      </c>
      <c r="F181" s="5">
        <v>499.3598243836658</v>
      </c>
      <c r="G181" s="5">
        <v>563.53726847215785</v>
      </c>
      <c r="H181" s="5">
        <v>277.85544587764895</v>
      </c>
      <c r="I181" s="5">
        <v>19.545383116645095</v>
      </c>
      <c r="J181" s="5">
        <v>1.0186567164179106</v>
      </c>
      <c r="K181" s="5">
        <v>0</v>
      </c>
      <c r="P181" s="2" t="s">
        <v>24</v>
      </c>
      <c r="Q181" s="10">
        <f>data_redis_illX!E147</f>
        <v>0</v>
      </c>
      <c r="R181" s="10">
        <f>data_redis_illX!F147</f>
        <v>0</v>
      </c>
      <c r="S181" s="10">
        <f>data_redis_illX!G147</f>
        <v>121.35111168538393</v>
      </c>
      <c r="T181" s="10">
        <f>data_redis_illX!H147</f>
        <v>141.1667005965104</v>
      </c>
      <c r="U181" s="10">
        <f>data_redis_illX!I147</f>
        <v>73.408320494088571</v>
      </c>
      <c r="V181" s="10">
        <f>data_redis_illX!J147</f>
        <v>3.1989603092985921</v>
      </c>
      <c r="W181" s="10">
        <f>data_redis_illX!K147</f>
        <v>1.0186567164179106</v>
      </c>
      <c r="X181" s="10">
        <f>data_redis_illX!L147</f>
        <v>0</v>
      </c>
      <c r="Y181" s="5">
        <f t="shared" si="2"/>
        <v>340.14374980169936</v>
      </c>
    </row>
    <row r="182" spans="3:25" x14ac:dyDescent="0.25">
      <c r="C182" t="s">
        <v>25</v>
      </c>
      <c r="D182" s="5">
        <f t="array" ref="D182:K182">(Q182:X182*AE$4:AE$11+Q545:Y545*AF$4:AF$11+Q908:Y908*AG$4:AG$11)</f>
        <v>0</v>
      </c>
      <c r="E182" s="5">
        <v>0</v>
      </c>
      <c r="F182" s="5">
        <v>124.42095251331904</v>
      </c>
      <c r="G182" s="5">
        <v>155.92800925127679</v>
      </c>
      <c r="H182" s="5">
        <v>51.175213070734124</v>
      </c>
      <c r="I182" s="5">
        <v>8.3632465458023653</v>
      </c>
      <c r="J182" s="5">
        <v>1.0186567164179106</v>
      </c>
      <c r="K182" s="5">
        <v>0</v>
      </c>
      <c r="P182" s="2" t="s">
        <v>25</v>
      </c>
      <c r="Q182" s="10">
        <f>data_redis_illX!E148</f>
        <v>0</v>
      </c>
      <c r="R182" s="10">
        <f>data_redis_illX!F148</f>
        <v>0</v>
      </c>
      <c r="S182" s="10">
        <f>data_redis_illX!G148</f>
        <v>41.153855267217153</v>
      </c>
      <c r="T182" s="10">
        <f>data_redis_illX!H148</f>
        <v>53.070188194176843</v>
      </c>
      <c r="U182" s="10">
        <f>data_redis_illX!I148</f>
        <v>9.8608191708477175</v>
      </c>
      <c r="V182" s="10">
        <f>data_redis_illX!J148</f>
        <v>1.0663201030995306</v>
      </c>
      <c r="W182" s="10">
        <f>data_redis_illX!K148</f>
        <v>0</v>
      </c>
      <c r="X182" s="10">
        <f>data_redis_illX!L148</f>
        <v>0</v>
      </c>
      <c r="Y182" s="5">
        <f t="shared" si="2"/>
        <v>105.15118273534124</v>
      </c>
    </row>
    <row r="183" spans="3:25" x14ac:dyDescent="0.25">
      <c r="C183" t="s">
        <v>26</v>
      </c>
      <c r="D183" s="5">
        <f t="array" ref="D183:K183">(Q183:X183*AE$4:AE$11+Q546:Y546*AF$4:AF$11+Q909:Y909*AG$4:AG$11)</f>
        <v>0</v>
      </c>
      <c r="E183" s="5">
        <v>0</v>
      </c>
      <c r="F183" s="5">
        <v>157.08770040648636</v>
      </c>
      <c r="G183" s="5">
        <v>275.95860660371079</v>
      </c>
      <c r="H183" s="5">
        <v>134.62436494649657</v>
      </c>
      <c r="I183" s="5">
        <v>8.0434775187113949</v>
      </c>
      <c r="J183" s="5">
        <v>1.0186567164179106</v>
      </c>
      <c r="K183" s="5">
        <v>0</v>
      </c>
      <c r="P183" s="2" t="s">
        <v>26</v>
      </c>
      <c r="Q183" s="10">
        <f>data_redis_illX!E149</f>
        <v>0</v>
      </c>
      <c r="R183" s="10">
        <f>data_redis_illX!F149</f>
        <v>0</v>
      </c>
      <c r="S183" s="10">
        <f>data_redis_illX!G149</f>
        <v>41.153855267217153</v>
      </c>
      <c r="T183" s="10">
        <f>data_redis_illX!H149</f>
        <v>57.315803249710982</v>
      </c>
      <c r="U183" s="10">
        <f>data_redis_illX!I149</f>
        <v>24.104224639849978</v>
      </c>
      <c r="V183" s="10">
        <f>data_redis_illX!J149</f>
        <v>2.1326402061990613</v>
      </c>
      <c r="W183" s="10">
        <f>data_redis_illX!K149</f>
        <v>0</v>
      </c>
      <c r="X183" s="10">
        <f>data_redis_illX!L149</f>
        <v>0</v>
      </c>
      <c r="Y183" s="5">
        <f t="shared" si="2"/>
        <v>124.70652336297717</v>
      </c>
    </row>
    <row r="184" spans="3:25" x14ac:dyDescent="0.25">
      <c r="C184" t="s">
        <v>27</v>
      </c>
      <c r="D184" s="5">
        <f t="array" ref="D184:K184">(Q184:X184*AE$4:AE$11+Q547:Y547*AF$4:AF$11+Q910:Y910*AG$4:AG$11)</f>
        <v>0</v>
      </c>
      <c r="E184" s="5">
        <v>0</v>
      </c>
      <c r="F184" s="5">
        <v>477.17640300847842</v>
      </c>
      <c r="G184" s="5">
        <v>550.12704975208351</v>
      </c>
      <c r="H184" s="5">
        <v>213.25303098295703</v>
      </c>
      <c r="I184" s="5">
        <v>16.426824483569515</v>
      </c>
      <c r="J184" s="5">
        <v>0</v>
      </c>
      <c r="K184" s="5">
        <v>0</v>
      </c>
      <c r="P184" s="2" t="s">
        <v>27</v>
      </c>
      <c r="Q184" s="10">
        <f>data_redis_illX!E150</f>
        <v>0</v>
      </c>
      <c r="R184" s="10">
        <f>data_redis_illX!F150</f>
        <v>0</v>
      </c>
      <c r="S184" s="10">
        <f>data_redis_illX!G150</f>
        <v>37.988174092815839</v>
      </c>
      <c r="T184" s="10">
        <f>data_redis_illX!H150</f>
        <v>53.070188194176843</v>
      </c>
      <c r="U184" s="10">
        <f>data_redis_illX!I150</f>
        <v>20.817284916234069</v>
      </c>
      <c r="V184" s="10">
        <f>data_redis_illX!J150</f>
        <v>4.2652804123981225</v>
      </c>
      <c r="W184" s="10">
        <f>data_redis_illX!K150</f>
        <v>0</v>
      </c>
      <c r="X184" s="10">
        <f>data_redis_illX!L150</f>
        <v>0</v>
      </c>
      <c r="Y184" s="5">
        <f t="shared" si="2"/>
        <v>116.14092761562489</v>
      </c>
    </row>
    <row r="185" spans="3:25" x14ac:dyDescent="0.25">
      <c r="C185" t="s">
        <v>28</v>
      </c>
      <c r="D185" s="5">
        <f t="array" ref="D185:K185">(Q185:X185*AE$4:AE$11+Q548:Y548*AF$4:AF$11+Q911:Y911*AG$4:AG$11)</f>
        <v>0</v>
      </c>
      <c r="E185" s="5">
        <v>0</v>
      </c>
      <c r="F185" s="5">
        <v>5611.4160451906391</v>
      </c>
      <c r="G185" s="5">
        <v>6290.4086748273057</v>
      </c>
      <c r="H185" s="5">
        <v>2120.8777997096417</v>
      </c>
      <c r="I185" s="5">
        <v>226.66559858907792</v>
      </c>
      <c r="J185" s="5">
        <v>9.4635896401232227</v>
      </c>
      <c r="K185" s="5">
        <v>3.2307692307692304</v>
      </c>
      <c r="P185" s="2" t="s">
        <v>28</v>
      </c>
      <c r="Q185" s="10">
        <f>data_redis_illX!E151</f>
        <v>0</v>
      </c>
      <c r="R185" s="10">
        <f>data_redis_illX!F151</f>
        <v>0</v>
      </c>
      <c r="S185" s="10">
        <f>data_redis_illX!G151</f>
        <v>2021.8150433843095</v>
      </c>
      <c r="T185" s="10">
        <f>data_redis_illX!H151</f>
        <v>2225.7636928637767</v>
      </c>
      <c r="U185" s="10">
        <f>data_redis_illX!I151</f>
        <v>887.47372537629462</v>
      </c>
      <c r="V185" s="10">
        <f>data_redis_illX!J151</f>
        <v>81.040327835564327</v>
      </c>
      <c r="W185" s="10">
        <f>data_redis_illX!K151</f>
        <v>0</v>
      </c>
      <c r="X185" s="10">
        <f>data_redis_illX!L151</f>
        <v>3.2307692307692304</v>
      </c>
      <c r="Y185" s="5">
        <f t="shared" si="2"/>
        <v>5219.323558690714</v>
      </c>
    </row>
    <row r="186" spans="3:25" x14ac:dyDescent="0.25">
      <c r="C186" t="s">
        <v>29</v>
      </c>
      <c r="D186" s="5">
        <f t="array" ref="D186:K186">(Q186:X186*AE$4:AE$11+Q549:Y549*AF$4:AF$11+Q912:Y912*AG$4:AG$11)</f>
        <v>0</v>
      </c>
      <c r="E186" s="5">
        <v>0</v>
      </c>
      <c r="F186" s="5">
        <v>257.93142549487794</v>
      </c>
      <c r="G186" s="5">
        <v>338.82144622260773</v>
      </c>
      <c r="H186" s="5">
        <v>112.89381065415515</v>
      </c>
      <c r="I186" s="5">
        <v>18.499163432601318</v>
      </c>
      <c r="J186" s="5">
        <v>0</v>
      </c>
      <c r="K186" s="5">
        <v>0</v>
      </c>
      <c r="P186" s="2" t="s">
        <v>29</v>
      </c>
      <c r="Q186" s="10">
        <f>data_redis_illX!E152</f>
        <v>0</v>
      </c>
      <c r="R186" s="10">
        <f>data_redis_illX!F152</f>
        <v>0</v>
      </c>
      <c r="S186" s="10">
        <f>data_redis_illX!G152</f>
        <v>74.921121127497898</v>
      </c>
      <c r="T186" s="10">
        <f>data_redis_illX!H152</f>
        <v>116.75441402718904</v>
      </c>
      <c r="U186" s="10">
        <f>data_redis_illX!I152</f>
        <v>39.44327668339087</v>
      </c>
      <c r="V186" s="10">
        <f>data_redis_illX!J152</f>
        <v>3.1989603092985921</v>
      </c>
      <c r="W186" s="10">
        <f>data_redis_illX!K152</f>
        <v>0</v>
      </c>
      <c r="X186" s="10">
        <f>data_redis_illX!L152</f>
        <v>0</v>
      </c>
      <c r="Y186" s="5">
        <f t="shared" si="2"/>
        <v>234.31777214737642</v>
      </c>
    </row>
    <row r="187" spans="3:25" x14ac:dyDescent="0.25">
      <c r="C187" t="s">
        <v>30</v>
      </c>
      <c r="D187" s="5">
        <f t="array" ref="D187:K187">(Q187:X187*AE$4:AE$11+Q550:Y550*AF$4:AF$11+Q913:Y913*AG$4:AG$11)</f>
        <v>0</v>
      </c>
      <c r="E187" s="5">
        <v>0</v>
      </c>
      <c r="F187" s="5">
        <v>2447.1764312161008</v>
      </c>
      <c r="G187" s="5">
        <v>2579.5260176761635</v>
      </c>
      <c r="H187" s="5">
        <v>905.67361148895736</v>
      </c>
      <c r="I187" s="5">
        <v>81.586737854595469</v>
      </c>
      <c r="J187" s="5">
        <v>8.1163489465103265</v>
      </c>
      <c r="K187" s="5">
        <v>0</v>
      </c>
      <c r="P187" s="2" t="s">
        <v>30</v>
      </c>
      <c r="Q187" s="10">
        <f>data_redis_illX!E153</f>
        <v>0</v>
      </c>
      <c r="R187" s="10">
        <f>data_redis_illX!F153</f>
        <v>0</v>
      </c>
      <c r="S187" s="10">
        <f>data_redis_illX!G153</f>
        <v>333.45175037027229</v>
      </c>
      <c r="T187" s="10">
        <f>data_redis_illX!H153</f>
        <v>361.93868348428606</v>
      </c>
      <c r="U187" s="10">
        <f>data_redis_illX!I153</f>
        <v>169.82521905348847</v>
      </c>
      <c r="V187" s="10">
        <f>data_redis_illX!J153</f>
        <v>11.729521134094838</v>
      </c>
      <c r="W187" s="10">
        <f>data_redis_illX!K153</f>
        <v>0</v>
      </c>
      <c r="X187" s="10">
        <f>data_redis_illX!L153</f>
        <v>0</v>
      </c>
      <c r="Y187" s="5">
        <f t="shared" si="2"/>
        <v>876.94517404214162</v>
      </c>
    </row>
    <row r="188" spans="3:25" x14ac:dyDescent="0.25">
      <c r="C188" t="s">
        <v>31</v>
      </c>
      <c r="D188" s="5">
        <f t="array" ref="D188:K188">(Q188:X188*AE$4:AE$11+Q551:Y551*AF$4:AF$11+Q914:Y914*AG$4:AG$11)</f>
        <v>0</v>
      </c>
      <c r="E188" s="5">
        <v>0</v>
      </c>
      <c r="F188" s="5">
        <v>39.359697851769369</v>
      </c>
      <c r="G188" s="5">
        <v>43.241463902848999</v>
      </c>
      <c r="H188" s="5">
        <v>18.616032946802406</v>
      </c>
      <c r="I188" s="5">
        <v>2.4323088142342781</v>
      </c>
      <c r="J188" s="5">
        <v>0</v>
      </c>
      <c r="K188" s="5">
        <v>0</v>
      </c>
      <c r="P188" s="2" t="s">
        <v>31</v>
      </c>
      <c r="Q188" s="10">
        <f>data_redis_illX!E154</f>
        <v>0</v>
      </c>
      <c r="R188" s="10">
        <f>data_redis_illX!F154</f>
        <v>0</v>
      </c>
      <c r="S188" s="10">
        <f>data_redis_illX!G154</f>
        <v>12.662724697605279</v>
      </c>
      <c r="T188" s="10">
        <f>data_redis_illX!H154</f>
        <v>13.798248930485977</v>
      </c>
      <c r="U188" s="10">
        <f>data_redis_illX!I154</f>
        <v>7.6695260217704471</v>
      </c>
      <c r="V188" s="10">
        <f>data_redis_illX!J154</f>
        <v>0</v>
      </c>
      <c r="W188" s="10">
        <f>data_redis_illX!K154</f>
        <v>0</v>
      </c>
      <c r="X188" s="10">
        <f>data_redis_illX!L154</f>
        <v>0</v>
      </c>
      <c r="Y188" s="5">
        <f t="shared" si="2"/>
        <v>34.130499649861704</v>
      </c>
    </row>
    <row r="189" spans="3:25" x14ac:dyDescent="0.25">
      <c r="C189" t="s">
        <v>32</v>
      </c>
      <c r="D189" s="5">
        <f t="array" ref="D189:K189">(Q189:X189*AE$4:AE$11+Q552:Y552*AF$4:AF$11+Q915:Y915*AG$4:AG$11)</f>
        <v>0</v>
      </c>
      <c r="E189" s="5">
        <v>0</v>
      </c>
      <c r="F189" s="5">
        <v>0</v>
      </c>
      <c r="G189" s="5">
        <v>0</v>
      </c>
      <c r="H189" s="5">
        <v>0</v>
      </c>
      <c r="I189" s="5">
        <v>1.0462196840437774</v>
      </c>
      <c r="J189" s="5">
        <v>0</v>
      </c>
      <c r="K189" s="5">
        <v>0</v>
      </c>
      <c r="P189" s="2" t="s">
        <v>32</v>
      </c>
      <c r="Q189" s="10">
        <f>data_redis_illX!E155</f>
        <v>0</v>
      </c>
      <c r="R189" s="10">
        <f>data_redis_illX!F155</f>
        <v>0</v>
      </c>
      <c r="S189" s="10">
        <f>data_redis_illX!G155</f>
        <v>0</v>
      </c>
      <c r="T189" s="10">
        <f>data_redis_illX!H155</f>
        <v>0</v>
      </c>
      <c r="U189" s="10">
        <f>data_redis_illX!I155</f>
        <v>0</v>
      </c>
      <c r="V189" s="10">
        <f>data_redis_illX!J155</f>
        <v>0</v>
      </c>
      <c r="W189" s="10">
        <f>data_redis_illX!K155</f>
        <v>0</v>
      </c>
      <c r="X189" s="10">
        <f>data_redis_illX!L155</f>
        <v>0</v>
      </c>
      <c r="Y189" s="5">
        <f t="shared" si="2"/>
        <v>0</v>
      </c>
    </row>
    <row r="190" spans="3:25" x14ac:dyDescent="0.25">
      <c r="C190" t="s">
        <v>33</v>
      </c>
      <c r="D190" s="5">
        <f t="array" ref="D190:K190">(Q190:X190*AE$4:AE$11+Q553:Y553*AF$4:AF$11+Q916:Y916*AG$4:AG$11)</f>
        <v>0</v>
      </c>
      <c r="E190" s="5">
        <v>0</v>
      </c>
      <c r="F190" s="5">
        <v>19.335325973975749</v>
      </c>
      <c r="G190" s="5">
        <v>26.255141026437432</v>
      </c>
      <c r="H190" s="5">
        <v>8.2302073240987763</v>
      </c>
      <c r="I190" s="5">
        <v>4.5649490204333389</v>
      </c>
      <c r="J190" s="5">
        <v>0</v>
      </c>
      <c r="K190" s="5">
        <v>0</v>
      </c>
      <c r="P190" s="2" t="s">
        <v>33</v>
      </c>
      <c r="Q190" s="10">
        <f>data_redis_illX!E156</f>
        <v>0</v>
      </c>
      <c r="R190" s="10">
        <f>data_redis_illX!F156</f>
        <v>0</v>
      </c>
      <c r="S190" s="10">
        <f>data_redis_illX!G156</f>
        <v>9.4970435232039598</v>
      </c>
      <c r="T190" s="10">
        <f>data_redis_illX!H156</f>
        <v>6.3684225833012205</v>
      </c>
      <c r="U190" s="10">
        <f>data_redis_illX!I156</f>
        <v>3.2869397236159057</v>
      </c>
      <c r="V190" s="10">
        <f>data_redis_illX!J156</f>
        <v>2.1326402061990613</v>
      </c>
      <c r="W190" s="10">
        <f>data_redis_illX!K156</f>
        <v>0</v>
      </c>
      <c r="X190" s="10">
        <f>data_redis_illX!L156</f>
        <v>0</v>
      </c>
      <c r="Y190" s="5">
        <f t="shared" si="2"/>
        <v>21.285046036320146</v>
      </c>
    </row>
    <row r="191" spans="3:25" x14ac:dyDescent="0.25">
      <c r="C191" t="s">
        <v>34</v>
      </c>
      <c r="D191" s="5">
        <f t="array" ref="D191:K191">(Q191:X191*AE$4:AE$11+Q554:Y554*AF$4:AF$11+Q917:Y917*AG$4:AG$11)</f>
        <v>0</v>
      </c>
      <c r="E191" s="5">
        <v>0</v>
      </c>
      <c r="F191" s="5">
        <v>1.0552270581337733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P191" s="2" t="s">
        <v>34</v>
      </c>
      <c r="Q191" s="10">
        <f>data_redis_illX!E157</f>
        <v>0</v>
      </c>
      <c r="R191" s="10">
        <f>data_redis_illX!F157</f>
        <v>0</v>
      </c>
      <c r="S191" s="10">
        <f>data_redis_illX!G157</f>
        <v>1.0552270581337733</v>
      </c>
      <c r="T191" s="10">
        <f>data_redis_illX!H157</f>
        <v>0</v>
      </c>
      <c r="U191" s="10">
        <f>data_redis_illX!I157</f>
        <v>0</v>
      </c>
      <c r="V191" s="10">
        <f>data_redis_illX!J157</f>
        <v>0</v>
      </c>
      <c r="W191" s="10">
        <f>data_redis_illX!K157</f>
        <v>0</v>
      </c>
      <c r="X191" s="10">
        <f>data_redis_illX!L157</f>
        <v>0</v>
      </c>
      <c r="Y191" s="5">
        <f t="shared" si="2"/>
        <v>1.0552270581337733</v>
      </c>
    </row>
    <row r="192" spans="3:25" x14ac:dyDescent="0.25">
      <c r="C192" t="s">
        <v>35</v>
      </c>
      <c r="D192" s="5">
        <f t="array" ref="D192:K192">(Q192:X192*AE$4:AE$11+Q555:Y555*AF$4:AF$11+Q918:Y918*AG$4:AG$11)</f>
        <v>0</v>
      </c>
      <c r="E192" s="5">
        <v>0</v>
      </c>
      <c r="F192" s="5">
        <v>19.684442470401152</v>
      </c>
      <c r="G192" s="5">
        <v>14.188974277102254</v>
      </c>
      <c r="H192" s="5">
        <v>12.893134273417481</v>
      </c>
      <c r="I192" s="5">
        <v>0</v>
      </c>
      <c r="J192" s="5">
        <v>0</v>
      </c>
      <c r="K192" s="5">
        <v>0</v>
      </c>
      <c r="P192" s="2" t="s">
        <v>35</v>
      </c>
      <c r="Q192" s="10">
        <f>data_redis_illX!E158</f>
        <v>0</v>
      </c>
      <c r="R192" s="10">
        <f>data_redis_illX!F158</f>
        <v>0</v>
      </c>
      <c r="S192" s="10">
        <f>data_redis_illX!G158</f>
        <v>7.3865894069364124</v>
      </c>
      <c r="T192" s="10">
        <f>data_redis_illX!H158</f>
        <v>4.2456150555341479</v>
      </c>
      <c r="U192" s="10">
        <f>data_redis_illX!I158</f>
        <v>5.4782328726931766</v>
      </c>
      <c r="V192" s="10">
        <f>data_redis_illX!J158</f>
        <v>0</v>
      </c>
      <c r="W192" s="10">
        <f>data_redis_illX!K158</f>
        <v>0</v>
      </c>
      <c r="X192" s="10">
        <f>data_redis_illX!L158</f>
        <v>0</v>
      </c>
      <c r="Y192" s="5">
        <f t="shared" si="2"/>
        <v>17.110437335163738</v>
      </c>
    </row>
    <row r="193" spans="1:25" x14ac:dyDescent="0.25">
      <c r="C193" t="s">
        <v>36</v>
      </c>
      <c r="D193" s="5">
        <f t="array" ref="D193:K193">(Q193:X193*AE$4:AE$11+Q556:Y556*AF$4:AF$11+Q919:Y919*AG$4:AG$11)</f>
        <v>0</v>
      </c>
      <c r="E193" s="5">
        <v>0</v>
      </c>
      <c r="F193" s="5">
        <v>1.0552270581337733</v>
      </c>
      <c r="G193" s="5">
        <v>0</v>
      </c>
      <c r="H193" s="5">
        <v>2.4716338002414351</v>
      </c>
      <c r="I193" s="5">
        <v>0</v>
      </c>
      <c r="J193" s="5">
        <v>0</v>
      </c>
      <c r="K193" s="5">
        <v>0</v>
      </c>
      <c r="P193" s="2" t="s">
        <v>36</v>
      </c>
      <c r="Q193" s="10">
        <f>data_redis_illX!E159</f>
        <v>0</v>
      </c>
      <c r="R193" s="10">
        <f>data_redis_illX!F159</f>
        <v>0</v>
      </c>
      <c r="S193" s="10">
        <f>data_redis_illX!G159</f>
        <v>1.0552270581337733</v>
      </c>
      <c r="T193" s="10">
        <f>data_redis_illX!H159</f>
        <v>0</v>
      </c>
      <c r="U193" s="10">
        <f>data_redis_illX!I159</f>
        <v>0</v>
      </c>
      <c r="V193" s="10">
        <f>data_redis_illX!J159</f>
        <v>0</v>
      </c>
      <c r="W193" s="10">
        <f>data_redis_illX!K159</f>
        <v>0</v>
      </c>
      <c r="X193" s="10">
        <f>data_redis_illX!L159</f>
        <v>0</v>
      </c>
      <c r="Y193" s="5">
        <f t="shared" si="2"/>
        <v>1.0552270581337733</v>
      </c>
    </row>
    <row r="194" spans="1:25" x14ac:dyDescent="0.25">
      <c r="C194" t="s">
        <v>37</v>
      </c>
      <c r="D194" s="5">
        <f t="array" ref="D194:K194">(Q194:X194*AE$4:AE$11+Q557:Y557*AF$4:AF$11+Q920:Y920*AG$4:AG$11)</f>
        <v>0</v>
      </c>
      <c r="E194" s="5">
        <v>0</v>
      </c>
      <c r="F194" s="5">
        <v>0</v>
      </c>
      <c r="G194" s="5">
        <v>2.4858398053920263</v>
      </c>
      <c r="H194" s="5">
        <v>0</v>
      </c>
      <c r="I194" s="5">
        <v>0</v>
      </c>
      <c r="J194" s="5">
        <v>0</v>
      </c>
      <c r="K194" s="5">
        <v>0</v>
      </c>
      <c r="P194" s="2" t="s">
        <v>37</v>
      </c>
      <c r="Q194" s="10">
        <f>data_redis_illX!E160</f>
        <v>0</v>
      </c>
      <c r="R194" s="10">
        <f>data_redis_illX!F160</f>
        <v>0</v>
      </c>
      <c r="S194" s="10">
        <f>data_redis_illX!G160</f>
        <v>0</v>
      </c>
      <c r="T194" s="10">
        <f>data_redis_illX!H160</f>
        <v>0</v>
      </c>
      <c r="U194" s="10">
        <f>data_redis_illX!I160</f>
        <v>0</v>
      </c>
      <c r="V194" s="10">
        <f>data_redis_illX!J160</f>
        <v>0</v>
      </c>
      <c r="W194" s="10">
        <f>data_redis_illX!K160</f>
        <v>0</v>
      </c>
      <c r="X194" s="10">
        <f>data_redis_illX!L160</f>
        <v>0</v>
      </c>
      <c r="Y194" s="5">
        <f t="shared" si="2"/>
        <v>0</v>
      </c>
    </row>
    <row r="195" spans="1:25" x14ac:dyDescent="0.25">
      <c r="C195" t="s">
        <v>38</v>
      </c>
      <c r="D195" s="5">
        <f t="array" ref="D195:K195">(Q195:X195*AE$4:AE$11+Q558:Y558*AF$4:AF$11+Q921:Y921*AG$4:AG$11)</f>
        <v>0</v>
      </c>
      <c r="E195" s="5">
        <v>0</v>
      </c>
      <c r="F195" s="5">
        <v>67.820627666126327</v>
      </c>
      <c r="G195" s="5">
        <v>92.311412008138589</v>
      </c>
      <c r="H195" s="5">
        <v>32.946545326513125</v>
      </c>
      <c r="I195" s="5">
        <v>2.4323088142342781</v>
      </c>
      <c r="J195" s="5">
        <v>0</v>
      </c>
      <c r="K195" s="5">
        <v>0</v>
      </c>
      <c r="P195" s="2" t="s">
        <v>38</v>
      </c>
      <c r="Q195" s="10">
        <f>data_redis_illX!E161</f>
        <v>0</v>
      </c>
      <c r="R195" s="10">
        <f>data_redis_illX!F161</f>
        <v>0</v>
      </c>
      <c r="S195" s="10">
        <f>data_redis_illX!G161</f>
        <v>6.3313623488026396</v>
      </c>
      <c r="T195" s="10">
        <f>data_redis_illX!H161</f>
        <v>5.3070188194176833</v>
      </c>
      <c r="U195" s="10">
        <f>data_redis_illX!I161</f>
        <v>3.2869397236159057</v>
      </c>
      <c r="V195" s="10">
        <f>data_redis_illX!J161</f>
        <v>0</v>
      </c>
      <c r="W195" s="10">
        <f>data_redis_illX!K161</f>
        <v>0</v>
      </c>
      <c r="X195" s="10">
        <f>data_redis_illX!L161</f>
        <v>0</v>
      </c>
      <c r="Y195" s="5">
        <f t="shared" si="2"/>
        <v>14.925320891836229</v>
      </c>
    </row>
    <row r="196" spans="1:25" x14ac:dyDescent="0.25">
      <c r="C196" t="s">
        <v>39</v>
      </c>
      <c r="D196" s="5">
        <f t="array" ref="D196:K196">(Q196:X196*AE$4:AE$11+Q559:Y559*AF$4:AF$11+Q922:Y922*AG$4:AG$11)</f>
        <v>0</v>
      </c>
      <c r="E196" s="5">
        <v>0</v>
      </c>
      <c r="F196" s="5">
        <v>2.4595706126929473</v>
      </c>
      <c r="G196" s="5">
        <v>2.4858398053920263</v>
      </c>
      <c r="H196" s="5">
        <v>0</v>
      </c>
      <c r="I196" s="5">
        <v>0</v>
      </c>
      <c r="J196" s="5">
        <v>0</v>
      </c>
      <c r="K196" s="5">
        <v>0</v>
      </c>
      <c r="P196" s="2" t="s">
        <v>39</v>
      </c>
      <c r="Q196" s="10">
        <f>data_redis_illX!E162</f>
        <v>0</v>
      </c>
      <c r="R196" s="10">
        <f>data_redis_illX!F162</f>
        <v>0</v>
      </c>
      <c r="S196" s="10">
        <f>data_redis_illX!G162</f>
        <v>0</v>
      </c>
      <c r="T196" s="10">
        <f>data_redis_illX!H162</f>
        <v>0</v>
      </c>
      <c r="U196" s="10">
        <f>data_redis_illX!I162</f>
        <v>0</v>
      </c>
      <c r="V196" s="10">
        <f>data_redis_illX!J162</f>
        <v>0</v>
      </c>
      <c r="W196" s="10">
        <f>data_redis_illX!K162</f>
        <v>0</v>
      </c>
      <c r="X196" s="10">
        <f>data_redis_illX!L162</f>
        <v>0</v>
      </c>
      <c r="Y196" s="5">
        <f t="shared" si="2"/>
        <v>0</v>
      </c>
    </row>
    <row r="197" spans="1:25" x14ac:dyDescent="0.25">
      <c r="C197" t="s">
        <v>40</v>
      </c>
      <c r="D197" s="5">
        <f t="array" ref="D197:K197">(Q197:X197*AE$4:AE$11+Q560:Y560*AF$4:AF$11+Q923:Y923*AG$4:AG$11)</f>
        <v>0</v>
      </c>
      <c r="E197" s="5">
        <v>0</v>
      </c>
      <c r="F197" s="5">
        <v>10.195276516054761</v>
      </c>
      <c r="G197" s="5">
        <v>26.98120558168733</v>
      </c>
      <c r="H197" s="5">
        <v>9.2545041976925795</v>
      </c>
      <c r="I197" s="5">
        <v>2.4323088142342781</v>
      </c>
      <c r="J197" s="5">
        <v>0</v>
      </c>
      <c r="K197" s="5">
        <v>0</v>
      </c>
      <c r="P197" s="2" t="s">
        <v>40</v>
      </c>
      <c r="Q197" s="10">
        <f>data_redis_illX!E163</f>
        <v>0</v>
      </c>
      <c r="R197" s="10">
        <f>data_redis_illX!F163</f>
        <v>0</v>
      </c>
      <c r="S197" s="10">
        <f>data_redis_illX!G163</f>
        <v>5.2761352906688659</v>
      </c>
      <c r="T197" s="10">
        <f>data_redis_illX!H163</f>
        <v>2.1228075277670739</v>
      </c>
      <c r="U197" s="10">
        <f>data_redis_illX!I163</f>
        <v>2.1912931490772709</v>
      </c>
      <c r="V197" s="10">
        <f>data_redis_illX!J163</f>
        <v>0</v>
      </c>
      <c r="W197" s="10">
        <f>data_redis_illX!K163</f>
        <v>0</v>
      </c>
      <c r="X197" s="10">
        <f>data_redis_illX!L163</f>
        <v>0</v>
      </c>
      <c r="Y197" s="5">
        <f t="shared" ref="Y197:Y260" si="3">SUM(Q197:X197)</f>
        <v>9.5902359675132107</v>
      </c>
    </row>
    <row r="198" spans="1:25" x14ac:dyDescent="0.25">
      <c r="C198" t="s">
        <v>41</v>
      </c>
      <c r="D198" s="5">
        <f t="array" ref="D198:K198">(Q198:X198*AE$4:AE$11+Q561:Y561*AF$4:AF$11+Q924:Y924*AG$4:AG$11)</f>
        <v>0</v>
      </c>
      <c r="E198" s="5">
        <v>0</v>
      </c>
      <c r="F198" s="5">
        <v>25.301816688637853</v>
      </c>
      <c r="G198" s="5">
        <v>17.736217846377812</v>
      </c>
      <c r="H198" s="5">
        <v>4.6272520988462897</v>
      </c>
      <c r="I198" s="5">
        <v>0</v>
      </c>
      <c r="J198" s="5">
        <v>0</v>
      </c>
      <c r="K198" s="5">
        <v>0</v>
      </c>
      <c r="P198" s="2" t="s">
        <v>41</v>
      </c>
      <c r="Q198" s="10">
        <f>data_redis_illX!E164</f>
        <v>0</v>
      </c>
      <c r="R198" s="10">
        <f>data_redis_illX!F164</f>
        <v>0</v>
      </c>
      <c r="S198" s="10">
        <f>data_redis_illX!G164</f>
        <v>3.1656811744013198</v>
      </c>
      <c r="T198" s="10">
        <f>data_redis_illX!H164</f>
        <v>5.3070188194176833</v>
      </c>
      <c r="U198" s="10">
        <f>data_redis_illX!I164</f>
        <v>1.0956465745386355</v>
      </c>
      <c r="V198" s="10">
        <f>data_redis_illX!J164</f>
        <v>0</v>
      </c>
      <c r="W198" s="10">
        <f>data_redis_illX!K164</f>
        <v>0</v>
      </c>
      <c r="X198" s="10">
        <f>data_redis_illX!L164</f>
        <v>0</v>
      </c>
      <c r="Y198" s="5">
        <f t="shared" si="3"/>
        <v>9.5683465683576383</v>
      </c>
    </row>
    <row r="199" spans="1:25" x14ac:dyDescent="0.25">
      <c r="C199" t="s">
        <v>42</v>
      </c>
      <c r="D199" s="5">
        <f t="array" ref="D199:K199">(Q199:X199*AE$4:AE$11+Q562:Y562*AF$4:AF$11+Q925:Y925*AG$4:AG$11)</f>
        <v>0</v>
      </c>
      <c r="E199" s="5">
        <v>0</v>
      </c>
      <c r="F199" s="5">
        <v>179.88270151709122</v>
      </c>
      <c r="G199" s="5">
        <v>125.38345499414751</v>
      </c>
      <c r="H199" s="5">
        <v>43.128280666736657</v>
      </c>
      <c r="I199" s="5">
        <v>5.9108373125123332</v>
      </c>
      <c r="J199" s="5">
        <v>0</v>
      </c>
      <c r="K199" s="5">
        <v>0</v>
      </c>
      <c r="P199" s="2" t="s">
        <v>42</v>
      </c>
      <c r="Q199" s="10">
        <f>data_redis_illX!E165</f>
        <v>0</v>
      </c>
      <c r="R199" s="10">
        <f>data_redis_illX!F165</f>
        <v>0</v>
      </c>
      <c r="S199" s="10">
        <f>data_redis_illX!G165</f>
        <v>39.043401150949606</v>
      </c>
      <c r="T199" s="10">
        <f>data_redis_illX!H165</f>
        <v>28.657901624855491</v>
      </c>
      <c r="U199" s="10">
        <f>data_redis_illX!I165</f>
        <v>12.052112319924989</v>
      </c>
      <c r="V199" s="10">
        <f>data_redis_illX!J165</f>
        <v>0</v>
      </c>
      <c r="W199" s="10">
        <f>data_redis_illX!K165</f>
        <v>0</v>
      </c>
      <c r="X199" s="10">
        <f>data_redis_illX!L165</f>
        <v>0</v>
      </c>
      <c r="Y199" s="5">
        <f t="shared" si="3"/>
        <v>79.753415095730077</v>
      </c>
    </row>
    <row r="200" spans="1:25" x14ac:dyDescent="0.25">
      <c r="C200" t="s">
        <v>43</v>
      </c>
      <c r="D200" s="5">
        <f t="array" ref="D200:K200">(Q200:X200*AE$4:AE$11+Q563:Y563*AF$4:AF$11+Q926:Y926*AG$4:AG$11)</f>
        <v>0</v>
      </c>
      <c r="E200" s="5">
        <v>0</v>
      </c>
      <c r="F200" s="5">
        <v>6.6804788452280404</v>
      </c>
      <c r="G200" s="5">
        <v>1.061403763883537</v>
      </c>
      <c r="H200" s="5">
        <v>2.1912931490772709</v>
      </c>
      <c r="I200" s="5">
        <v>0</v>
      </c>
      <c r="J200" s="5">
        <v>0</v>
      </c>
      <c r="K200" s="5">
        <v>0</v>
      </c>
      <c r="P200" s="2" t="s">
        <v>43</v>
      </c>
      <c r="Q200" s="10">
        <f>data_redis_illX!E166</f>
        <v>0</v>
      </c>
      <c r="R200" s="10">
        <f>data_redis_illX!F166</f>
        <v>0</v>
      </c>
      <c r="S200" s="10">
        <f>data_redis_illX!G166</f>
        <v>4.2209082325350931</v>
      </c>
      <c r="T200" s="10">
        <f>data_redis_illX!H166</f>
        <v>1.061403763883537</v>
      </c>
      <c r="U200" s="10">
        <f>data_redis_illX!I166</f>
        <v>2.1912931490772709</v>
      </c>
      <c r="V200" s="10">
        <f>data_redis_illX!J166</f>
        <v>0</v>
      </c>
      <c r="W200" s="10">
        <f>data_redis_illX!K166</f>
        <v>0</v>
      </c>
      <c r="X200" s="10">
        <f>data_redis_illX!L166</f>
        <v>0</v>
      </c>
      <c r="Y200" s="5">
        <f t="shared" si="3"/>
        <v>7.4736051454959007</v>
      </c>
    </row>
    <row r="201" spans="1:25" x14ac:dyDescent="0.25">
      <c r="C201" t="s">
        <v>44</v>
      </c>
      <c r="D201" s="5">
        <f t="array" ref="D201:K201">(Q201:X201*AE$4:AE$11+Q564:Y564*AF$4:AF$11+Q927:Y927*AG$4:AG$11)</f>
        <v>0</v>
      </c>
      <c r="E201" s="5">
        <v>0</v>
      </c>
      <c r="F201" s="5">
        <v>203.44876734881996</v>
      </c>
      <c r="G201" s="5">
        <v>289.80418911909618</v>
      </c>
      <c r="H201" s="5">
        <v>83.168811224598272</v>
      </c>
      <c r="I201" s="5">
        <v>5.9309377315680871</v>
      </c>
      <c r="J201" s="5">
        <v>0</v>
      </c>
      <c r="K201" s="5">
        <v>0</v>
      </c>
      <c r="P201" s="2" t="s">
        <v>44</v>
      </c>
      <c r="Q201" s="10">
        <f>data_redis_illX!E167</f>
        <v>0</v>
      </c>
      <c r="R201" s="10">
        <f>data_redis_illX!F167</f>
        <v>0</v>
      </c>
      <c r="S201" s="10">
        <f>data_redis_illX!G167</f>
        <v>32.712038802146964</v>
      </c>
      <c r="T201" s="10">
        <f>data_redis_illX!H167</f>
        <v>45.640361846992079</v>
      </c>
      <c r="U201" s="10">
        <f>data_redis_illX!I167</f>
        <v>16.43469861807953</v>
      </c>
      <c r="V201" s="10">
        <f>data_redis_illX!J167</f>
        <v>1.0663201030995306</v>
      </c>
      <c r="W201" s="10">
        <f>data_redis_illX!K167</f>
        <v>0</v>
      </c>
      <c r="X201" s="10">
        <f>data_redis_illX!L167</f>
        <v>0</v>
      </c>
      <c r="Y201" s="5">
        <f t="shared" si="3"/>
        <v>95.853419370318093</v>
      </c>
    </row>
    <row r="202" spans="1:25" x14ac:dyDescent="0.25">
      <c r="A202">
        <v>1</v>
      </c>
      <c r="B202" t="s">
        <v>50</v>
      </c>
      <c r="C202" t="s">
        <v>12</v>
      </c>
      <c r="D202" s="5">
        <f t="array" ref="D202:K202">(Q202:X202*AE$4:AE$11+Q565:Y565*AF$4:AF$11+Q928:Y928*AG$4:AG$11)</f>
        <v>0</v>
      </c>
      <c r="E202" s="5">
        <v>0</v>
      </c>
      <c r="F202" s="5">
        <v>0</v>
      </c>
      <c r="G202" s="5">
        <v>0</v>
      </c>
      <c r="H202" s="5">
        <v>0</v>
      </c>
      <c r="I202" s="5">
        <v>3.093036759922476E-2</v>
      </c>
      <c r="J202" s="5">
        <v>0</v>
      </c>
      <c r="K202" s="5">
        <v>0</v>
      </c>
      <c r="M202">
        <v>1</v>
      </c>
      <c r="N202" t="s">
        <v>103</v>
      </c>
      <c r="O202" t="s">
        <v>50</v>
      </c>
      <c r="P202" s="2" t="s">
        <v>12</v>
      </c>
      <c r="Q202" s="10">
        <f>data_redis_illX!E168</f>
        <v>0</v>
      </c>
      <c r="R202" s="10">
        <f>data_redis_illX!F168</f>
        <v>0</v>
      </c>
      <c r="S202" s="10">
        <f>data_redis_illX!G168</f>
        <v>0</v>
      </c>
      <c r="T202" s="10">
        <f>data_redis_illX!H168</f>
        <v>0</v>
      </c>
      <c r="U202" s="10">
        <f>data_redis_illX!I168</f>
        <v>0</v>
      </c>
      <c r="V202" s="10">
        <f>data_redis_illX!J168</f>
        <v>0</v>
      </c>
      <c r="W202" s="10">
        <f>data_redis_illX!K168</f>
        <v>0</v>
      </c>
      <c r="X202" s="10">
        <f>data_redis_illX!L168</f>
        <v>0</v>
      </c>
      <c r="Y202" s="5">
        <f t="shared" si="3"/>
        <v>0</v>
      </c>
    </row>
    <row r="203" spans="1:25" x14ac:dyDescent="0.25">
      <c r="C203" t="s">
        <v>13</v>
      </c>
      <c r="D203" s="5">
        <f t="array" ref="D203:K203">(Q203:X203*AE$4:AE$11+Q566:Y566*AF$4:AF$11+Q929:Y929*AG$4:AG$11)</f>
        <v>0</v>
      </c>
      <c r="E203" s="5">
        <v>0</v>
      </c>
      <c r="F203" s="5">
        <v>0</v>
      </c>
      <c r="G203" s="5">
        <v>0</v>
      </c>
      <c r="H203" s="5">
        <v>0</v>
      </c>
      <c r="I203" s="5">
        <v>3.093036759922476E-2</v>
      </c>
      <c r="J203" s="5">
        <v>0</v>
      </c>
      <c r="K203" s="5">
        <v>0</v>
      </c>
      <c r="P203" s="2" t="s">
        <v>13</v>
      </c>
      <c r="Q203" s="10">
        <f>data_redis_illX!E169</f>
        <v>0</v>
      </c>
      <c r="R203" s="10">
        <f>data_redis_illX!F169</f>
        <v>0</v>
      </c>
      <c r="S203" s="10">
        <f>data_redis_illX!G169</f>
        <v>0</v>
      </c>
      <c r="T203" s="10">
        <f>data_redis_illX!H169</f>
        <v>0</v>
      </c>
      <c r="U203" s="10">
        <f>data_redis_illX!I169</f>
        <v>0</v>
      </c>
      <c r="V203" s="10">
        <f>data_redis_illX!J169</f>
        <v>0</v>
      </c>
      <c r="W203" s="10">
        <f>data_redis_illX!K169</f>
        <v>0</v>
      </c>
      <c r="X203" s="10">
        <f>data_redis_illX!L169</f>
        <v>0</v>
      </c>
      <c r="Y203" s="5">
        <f t="shared" si="3"/>
        <v>0</v>
      </c>
    </row>
    <row r="204" spans="1:25" x14ac:dyDescent="0.25">
      <c r="C204" t="s">
        <v>14</v>
      </c>
      <c r="D204" s="5">
        <f t="array" ref="D204:K204">(Q204:X204*AE$4:AE$11+Q567:Y567*AF$4:AF$11+Q930:Y930*AG$4:AG$11)</f>
        <v>0</v>
      </c>
      <c r="E204" s="5">
        <v>0</v>
      </c>
      <c r="F204" s="5">
        <v>0</v>
      </c>
      <c r="G204" s="5">
        <v>0</v>
      </c>
      <c r="H204" s="5">
        <v>0</v>
      </c>
      <c r="I204" s="5">
        <v>3.093036759922476E-2</v>
      </c>
      <c r="J204" s="5">
        <v>0</v>
      </c>
      <c r="K204" s="5">
        <v>0</v>
      </c>
      <c r="P204" s="2" t="s">
        <v>14</v>
      </c>
      <c r="Q204" s="10">
        <f>data_redis_illX!E170</f>
        <v>0</v>
      </c>
      <c r="R204" s="10">
        <f>data_redis_illX!F170</f>
        <v>0</v>
      </c>
      <c r="S204" s="10">
        <f>data_redis_illX!G170</f>
        <v>0</v>
      </c>
      <c r="T204" s="10">
        <f>data_redis_illX!H170</f>
        <v>0</v>
      </c>
      <c r="U204" s="10">
        <f>data_redis_illX!I170</f>
        <v>0</v>
      </c>
      <c r="V204" s="10">
        <f>data_redis_illX!J170</f>
        <v>0</v>
      </c>
      <c r="W204" s="10">
        <f>data_redis_illX!K170</f>
        <v>0</v>
      </c>
      <c r="X204" s="10">
        <f>data_redis_illX!L170</f>
        <v>0</v>
      </c>
      <c r="Y204" s="5">
        <f t="shared" si="3"/>
        <v>0</v>
      </c>
    </row>
    <row r="205" spans="1:25" x14ac:dyDescent="0.25">
      <c r="C205" t="s">
        <v>15</v>
      </c>
      <c r="D205" s="5">
        <f t="array" ref="D205:K205">(Q205:X205*AE$4:AE$11+Q568:Y568*AF$4:AF$11+Q931:Y931*AG$4:AG$11)</f>
        <v>0</v>
      </c>
      <c r="E205" s="5">
        <v>0</v>
      </c>
      <c r="F205" s="5">
        <v>0</v>
      </c>
      <c r="G205" s="5">
        <v>0</v>
      </c>
      <c r="H205" s="5">
        <v>0</v>
      </c>
      <c r="I205" s="5">
        <v>3.093036759922476E-2</v>
      </c>
      <c r="J205" s="5">
        <v>0</v>
      </c>
      <c r="K205" s="5">
        <v>0</v>
      </c>
      <c r="P205" s="2" t="s">
        <v>15</v>
      </c>
      <c r="Q205" s="10">
        <f>data_redis_illX!E171</f>
        <v>0</v>
      </c>
      <c r="R205" s="10">
        <f>data_redis_illX!F171</f>
        <v>0</v>
      </c>
      <c r="S205" s="10">
        <f>data_redis_illX!G171</f>
        <v>0</v>
      </c>
      <c r="T205" s="10">
        <f>data_redis_illX!H171</f>
        <v>0</v>
      </c>
      <c r="U205" s="10">
        <f>data_redis_illX!I171</f>
        <v>0</v>
      </c>
      <c r="V205" s="10">
        <f>data_redis_illX!J171</f>
        <v>0</v>
      </c>
      <c r="W205" s="10">
        <f>data_redis_illX!K171</f>
        <v>0</v>
      </c>
      <c r="X205" s="10">
        <f>data_redis_illX!L171</f>
        <v>0</v>
      </c>
      <c r="Y205" s="5">
        <f t="shared" si="3"/>
        <v>0</v>
      </c>
    </row>
    <row r="206" spans="1:25" x14ac:dyDescent="0.25">
      <c r="C206" t="s">
        <v>16</v>
      </c>
      <c r="D206" s="5">
        <f t="array" ref="D206:K206">(Q206:X206*AE$4:AE$11+Q569:Y569*AF$4:AF$11+Q932:Y932*AG$4:AG$11)</f>
        <v>0</v>
      </c>
      <c r="E206" s="5">
        <v>0</v>
      </c>
      <c r="F206" s="5">
        <v>0</v>
      </c>
      <c r="G206" s="5">
        <v>1.8893579184100879</v>
      </c>
      <c r="H206" s="5">
        <v>1.8571428571428572</v>
      </c>
      <c r="I206" s="5">
        <v>3.093036759922476E-2</v>
      </c>
      <c r="J206" s="5">
        <v>0</v>
      </c>
      <c r="K206" s="5">
        <v>0</v>
      </c>
      <c r="P206" s="2" t="s">
        <v>16</v>
      </c>
      <c r="Q206" s="10">
        <f>data_redis_illX!E172</f>
        <v>0</v>
      </c>
      <c r="R206" s="10">
        <f>data_redis_illX!F172</f>
        <v>0</v>
      </c>
      <c r="S206" s="10">
        <f>data_redis_illX!G172</f>
        <v>0</v>
      </c>
      <c r="T206" s="10">
        <f>data_redis_illX!H172</f>
        <v>1.8893579184100879</v>
      </c>
      <c r="U206" s="10">
        <f>data_redis_illX!I172</f>
        <v>1.8571428571428572</v>
      </c>
      <c r="V206" s="10">
        <f>data_redis_illX!J172</f>
        <v>0</v>
      </c>
      <c r="W206" s="10">
        <f>data_redis_illX!K172</f>
        <v>0</v>
      </c>
      <c r="X206" s="10">
        <f>data_redis_illX!L172</f>
        <v>0</v>
      </c>
      <c r="Y206" s="5">
        <f t="shared" si="3"/>
        <v>3.7465007755529451</v>
      </c>
    </row>
    <row r="207" spans="1:25" x14ac:dyDescent="0.25">
      <c r="C207" t="s">
        <v>17</v>
      </c>
      <c r="D207" s="5">
        <f t="array" ref="D207:K207">(Q207:X207*AE$4:AE$11+Q570:Y570*AF$4:AF$11+Q933:Y933*AG$4:AG$11)</f>
        <v>0</v>
      </c>
      <c r="E207" s="5">
        <v>0</v>
      </c>
      <c r="F207" s="5">
        <v>0</v>
      </c>
      <c r="G207" s="5">
        <v>0</v>
      </c>
      <c r="H207" s="5">
        <v>0</v>
      </c>
      <c r="I207" s="5">
        <v>3.093036759922476E-2</v>
      </c>
      <c r="J207" s="5">
        <v>0</v>
      </c>
      <c r="K207" s="5">
        <v>0</v>
      </c>
      <c r="P207" s="2" t="s">
        <v>17</v>
      </c>
      <c r="Q207" s="10">
        <f>data_redis_illX!E173</f>
        <v>0</v>
      </c>
      <c r="R207" s="10">
        <f>data_redis_illX!F173</f>
        <v>0</v>
      </c>
      <c r="S207" s="10">
        <f>data_redis_illX!G173</f>
        <v>0</v>
      </c>
      <c r="T207" s="10">
        <f>data_redis_illX!H173</f>
        <v>0</v>
      </c>
      <c r="U207" s="10">
        <f>data_redis_illX!I173</f>
        <v>0</v>
      </c>
      <c r="V207" s="10">
        <f>data_redis_illX!J173</f>
        <v>0</v>
      </c>
      <c r="W207" s="10">
        <f>data_redis_illX!K173</f>
        <v>0</v>
      </c>
      <c r="X207" s="10">
        <f>data_redis_illX!L173</f>
        <v>0</v>
      </c>
      <c r="Y207" s="5">
        <f t="shared" si="3"/>
        <v>0</v>
      </c>
    </row>
    <row r="208" spans="1:25" x14ac:dyDescent="0.25">
      <c r="C208" t="s">
        <v>18</v>
      </c>
      <c r="D208" s="5">
        <f t="array" ref="D208:K208">(Q208:X208*AE$4:AE$11+Q571:Y571*AF$4:AF$11+Q934:Y934*AG$4:AG$11)</f>
        <v>0</v>
      </c>
      <c r="E208" s="5">
        <v>0</v>
      </c>
      <c r="F208" s="5">
        <v>3.7194715666322811</v>
      </c>
      <c r="G208" s="5">
        <v>0</v>
      </c>
      <c r="H208" s="5">
        <v>0</v>
      </c>
      <c r="I208" s="5">
        <v>3.093036759922476E-2</v>
      </c>
      <c r="J208" s="5">
        <v>0</v>
      </c>
      <c r="K208" s="5">
        <v>0</v>
      </c>
      <c r="P208" s="2" t="s">
        <v>18</v>
      </c>
      <c r="Q208" s="10">
        <f>data_redis_illX!E174</f>
        <v>0</v>
      </c>
      <c r="R208" s="10">
        <f>data_redis_illX!F174</f>
        <v>0</v>
      </c>
      <c r="S208" s="10">
        <f>data_redis_illX!G174</f>
        <v>0</v>
      </c>
      <c r="T208" s="10">
        <f>data_redis_illX!H174</f>
        <v>0</v>
      </c>
      <c r="U208" s="10">
        <f>data_redis_illX!I174</f>
        <v>0</v>
      </c>
      <c r="V208" s="10">
        <f>data_redis_illX!J174</f>
        <v>0</v>
      </c>
      <c r="W208" s="10">
        <f>data_redis_illX!K174</f>
        <v>0</v>
      </c>
      <c r="X208" s="10">
        <f>data_redis_illX!L174</f>
        <v>0</v>
      </c>
      <c r="Y208" s="5">
        <f t="shared" si="3"/>
        <v>0</v>
      </c>
    </row>
    <row r="209" spans="3:25" x14ac:dyDescent="0.25">
      <c r="C209" t="s">
        <v>19</v>
      </c>
      <c r="D209" s="5">
        <f t="array" ref="D209:K209">(Q209:X209*AE$4:AE$11+Q572:Y572*AF$4:AF$11+Q935:Y935*AG$4:AG$11)</f>
        <v>0</v>
      </c>
      <c r="E209" s="5">
        <v>0</v>
      </c>
      <c r="F209" s="5">
        <v>0</v>
      </c>
      <c r="G209" s="5">
        <v>0</v>
      </c>
      <c r="H209" s="5">
        <v>0</v>
      </c>
      <c r="I209" s="5">
        <v>3.093036759922476E-2</v>
      </c>
      <c r="J209" s="5">
        <v>0</v>
      </c>
      <c r="K209" s="5">
        <v>0</v>
      </c>
      <c r="P209" s="2" t="s">
        <v>19</v>
      </c>
      <c r="Q209" s="10">
        <f>data_redis_illX!E175</f>
        <v>0</v>
      </c>
      <c r="R209" s="10">
        <f>data_redis_illX!F175</f>
        <v>0</v>
      </c>
      <c r="S209" s="10">
        <f>data_redis_illX!G175</f>
        <v>0</v>
      </c>
      <c r="T209" s="10">
        <f>data_redis_illX!H175</f>
        <v>0</v>
      </c>
      <c r="U209" s="10">
        <f>data_redis_illX!I175</f>
        <v>0</v>
      </c>
      <c r="V209" s="10">
        <f>data_redis_illX!J175</f>
        <v>0</v>
      </c>
      <c r="W209" s="10">
        <f>data_redis_illX!K175</f>
        <v>0</v>
      </c>
      <c r="X209" s="10">
        <f>data_redis_illX!L175</f>
        <v>0</v>
      </c>
      <c r="Y209" s="5">
        <f t="shared" si="3"/>
        <v>0</v>
      </c>
    </row>
    <row r="210" spans="3:25" x14ac:dyDescent="0.25">
      <c r="C210" t="s">
        <v>20</v>
      </c>
      <c r="D210" s="5">
        <f t="array" ref="D210:K210">(Q210:X210*AE$4:AE$11+Q573:Y573*AF$4:AF$11+Q936:Y936*AG$4:AG$11)</f>
        <v>0</v>
      </c>
      <c r="E210" s="5">
        <v>0</v>
      </c>
      <c r="F210" s="5">
        <v>0</v>
      </c>
      <c r="G210" s="5">
        <v>0</v>
      </c>
      <c r="H210" s="5">
        <v>0</v>
      </c>
      <c r="I210" s="5">
        <v>3.093036759922476E-2</v>
      </c>
      <c r="J210" s="5">
        <v>0</v>
      </c>
      <c r="K210" s="5">
        <v>0</v>
      </c>
      <c r="P210" s="2" t="s">
        <v>20</v>
      </c>
      <c r="Q210" s="10">
        <f>data_redis_illX!E176</f>
        <v>0</v>
      </c>
      <c r="R210" s="10">
        <f>data_redis_illX!F176</f>
        <v>0</v>
      </c>
      <c r="S210" s="10">
        <f>data_redis_illX!G176</f>
        <v>0</v>
      </c>
      <c r="T210" s="10">
        <f>data_redis_illX!H176</f>
        <v>0</v>
      </c>
      <c r="U210" s="10">
        <f>data_redis_illX!I176</f>
        <v>0</v>
      </c>
      <c r="V210" s="10">
        <f>data_redis_illX!J176</f>
        <v>0</v>
      </c>
      <c r="W210" s="10">
        <f>data_redis_illX!K176</f>
        <v>0</v>
      </c>
      <c r="X210" s="10">
        <f>data_redis_illX!L176</f>
        <v>0</v>
      </c>
      <c r="Y210" s="5">
        <f t="shared" si="3"/>
        <v>0</v>
      </c>
    </row>
    <row r="211" spans="3:25" x14ac:dyDescent="0.25">
      <c r="C211" t="s">
        <v>21</v>
      </c>
      <c r="D211" s="5">
        <f t="array" ref="D211:K211">(Q211:X211*AE$4:AE$11+Q574:Y574*AF$4:AF$11+Q937:Y937*AG$4:AG$11)</f>
        <v>0</v>
      </c>
      <c r="E211" s="5">
        <v>0</v>
      </c>
      <c r="F211" s="5">
        <v>0</v>
      </c>
      <c r="G211" s="5">
        <v>0</v>
      </c>
      <c r="H211" s="5">
        <v>0</v>
      </c>
      <c r="I211" s="5">
        <v>3.093036759922476E-2</v>
      </c>
      <c r="J211" s="5">
        <v>0</v>
      </c>
      <c r="K211" s="5">
        <v>0</v>
      </c>
      <c r="P211" s="2" t="s">
        <v>21</v>
      </c>
      <c r="Q211" s="10">
        <f>data_redis_illX!E177</f>
        <v>0</v>
      </c>
      <c r="R211" s="10">
        <f>data_redis_illX!F177</f>
        <v>0</v>
      </c>
      <c r="S211" s="10">
        <f>data_redis_illX!G177</f>
        <v>0</v>
      </c>
      <c r="T211" s="10">
        <f>data_redis_illX!H177</f>
        <v>0</v>
      </c>
      <c r="U211" s="10">
        <f>data_redis_illX!I177</f>
        <v>0</v>
      </c>
      <c r="V211" s="10">
        <f>data_redis_illX!J177</f>
        <v>0</v>
      </c>
      <c r="W211" s="10">
        <f>data_redis_illX!K177</f>
        <v>0</v>
      </c>
      <c r="X211" s="10">
        <f>data_redis_illX!L177</f>
        <v>0</v>
      </c>
      <c r="Y211" s="5">
        <f t="shared" si="3"/>
        <v>0</v>
      </c>
    </row>
    <row r="212" spans="3:25" x14ac:dyDescent="0.25">
      <c r="C212" t="s">
        <v>22</v>
      </c>
      <c r="D212" s="5">
        <f t="array" ref="D212:K212">(Q212:X212*AE$4:AE$11+Q575:Y575*AF$4:AF$11+Q938:Y938*AG$4:AG$11)</f>
        <v>0</v>
      </c>
      <c r="E212" s="5">
        <v>0</v>
      </c>
      <c r="F212" s="5">
        <v>0</v>
      </c>
      <c r="G212" s="5">
        <v>0</v>
      </c>
      <c r="H212" s="5">
        <v>0</v>
      </c>
      <c r="I212" s="5">
        <v>3.093036759922476E-2</v>
      </c>
      <c r="J212" s="5">
        <v>0</v>
      </c>
      <c r="K212" s="5">
        <v>0</v>
      </c>
      <c r="P212" s="2" t="s">
        <v>22</v>
      </c>
      <c r="Q212" s="10">
        <f>data_redis_illX!E178</f>
        <v>0</v>
      </c>
      <c r="R212" s="10">
        <f>data_redis_illX!F178</f>
        <v>0</v>
      </c>
      <c r="S212" s="10">
        <f>data_redis_illX!G178</f>
        <v>0</v>
      </c>
      <c r="T212" s="10">
        <f>data_redis_illX!H178</f>
        <v>0</v>
      </c>
      <c r="U212" s="10">
        <f>data_redis_illX!I178</f>
        <v>0</v>
      </c>
      <c r="V212" s="10">
        <f>data_redis_illX!J178</f>
        <v>0</v>
      </c>
      <c r="W212" s="10">
        <f>data_redis_illX!K178</f>
        <v>0</v>
      </c>
      <c r="X212" s="10">
        <f>data_redis_illX!L178</f>
        <v>0</v>
      </c>
      <c r="Y212" s="5">
        <f t="shared" si="3"/>
        <v>0</v>
      </c>
    </row>
    <row r="213" spans="3:25" x14ac:dyDescent="0.25">
      <c r="C213" t="s">
        <v>23</v>
      </c>
      <c r="D213" s="5">
        <f t="array" ref="D213:K213">(Q213:X213*AE$4:AE$11+Q576:Y576*AF$4:AF$11+Q939:Y939*AG$4:AG$11)</f>
        <v>0</v>
      </c>
      <c r="E213" s="5">
        <v>0</v>
      </c>
      <c r="F213" s="5">
        <v>0</v>
      </c>
      <c r="G213" s="5">
        <v>4.0088734215072952</v>
      </c>
      <c r="H213" s="5">
        <v>0</v>
      </c>
      <c r="I213" s="5">
        <v>3.093036759922476E-2</v>
      </c>
      <c r="J213" s="5">
        <v>0</v>
      </c>
      <c r="K213" s="5">
        <v>0</v>
      </c>
      <c r="P213" s="2" t="s">
        <v>23</v>
      </c>
      <c r="Q213" s="10">
        <f>data_redis_illX!E179</f>
        <v>0</v>
      </c>
      <c r="R213" s="10">
        <f>data_redis_illX!F179</f>
        <v>0</v>
      </c>
      <c r="S213" s="10">
        <f>data_redis_illX!G179</f>
        <v>0</v>
      </c>
      <c r="T213" s="10">
        <f>data_redis_illX!H179</f>
        <v>0</v>
      </c>
      <c r="U213" s="10">
        <f>data_redis_illX!I179</f>
        <v>0</v>
      </c>
      <c r="V213" s="10">
        <f>data_redis_illX!J179</f>
        <v>0</v>
      </c>
      <c r="W213" s="10">
        <f>data_redis_illX!K179</f>
        <v>0</v>
      </c>
      <c r="X213" s="10">
        <f>data_redis_illX!L179</f>
        <v>0</v>
      </c>
      <c r="Y213" s="5">
        <f t="shared" si="3"/>
        <v>0</v>
      </c>
    </row>
    <row r="214" spans="3:25" x14ac:dyDescent="0.25">
      <c r="C214" t="s">
        <v>24</v>
      </c>
      <c r="D214" s="5">
        <f t="array" ref="D214:K214">(Q214:X214*AE$4:AE$11+Q577:Y577*AF$4:AF$11+Q940:Y940*AG$4:AG$11)</f>
        <v>0</v>
      </c>
      <c r="E214" s="5">
        <v>0</v>
      </c>
      <c r="F214" s="5">
        <v>0</v>
      </c>
      <c r="G214" s="5">
        <v>0</v>
      </c>
      <c r="H214" s="5">
        <v>0</v>
      </c>
      <c r="I214" s="5">
        <v>3.093036759922476E-2</v>
      </c>
      <c r="J214" s="5">
        <v>0</v>
      </c>
      <c r="K214" s="5">
        <v>0</v>
      </c>
      <c r="P214" s="2" t="s">
        <v>24</v>
      </c>
      <c r="Q214" s="10">
        <f>data_redis_illX!E180</f>
        <v>0</v>
      </c>
      <c r="R214" s="10">
        <f>data_redis_illX!F180</f>
        <v>0</v>
      </c>
      <c r="S214" s="10">
        <f>data_redis_illX!G180</f>
        <v>0</v>
      </c>
      <c r="T214" s="10">
        <f>data_redis_illX!H180</f>
        <v>0</v>
      </c>
      <c r="U214" s="10">
        <f>data_redis_illX!I180</f>
        <v>0</v>
      </c>
      <c r="V214" s="10">
        <f>data_redis_illX!J180</f>
        <v>0</v>
      </c>
      <c r="W214" s="10">
        <f>data_redis_illX!K180</f>
        <v>0</v>
      </c>
      <c r="X214" s="10">
        <f>data_redis_illX!L180</f>
        <v>0</v>
      </c>
      <c r="Y214" s="5">
        <f t="shared" si="3"/>
        <v>0</v>
      </c>
    </row>
    <row r="215" spans="3:25" x14ac:dyDescent="0.25">
      <c r="C215" t="s">
        <v>25</v>
      </c>
      <c r="D215" s="5">
        <f t="array" ref="D215:K215">(Q215:X215*AE$4:AE$11+Q578:Y578*AF$4:AF$11+Q941:Y941*AG$4:AG$11)</f>
        <v>0</v>
      </c>
      <c r="E215" s="5">
        <v>0</v>
      </c>
      <c r="F215" s="5">
        <v>0</v>
      </c>
      <c r="G215" s="5">
        <v>0</v>
      </c>
      <c r="H215" s="5">
        <v>0</v>
      </c>
      <c r="I215" s="5">
        <v>3.093036759922476E-2</v>
      </c>
      <c r="J215" s="5">
        <v>0</v>
      </c>
      <c r="K215" s="5">
        <v>0</v>
      </c>
      <c r="P215" s="2" t="s">
        <v>25</v>
      </c>
      <c r="Q215" s="10">
        <f>data_redis_illX!E181</f>
        <v>0</v>
      </c>
      <c r="R215" s="10">
        <f>data_redis_illX!F181</f>
        <v>0</v>
      </c>
      <c r="S215" s="10">
        <f>data_redis_illX!G181</f>
        <v>0</v>
      </c>
      <c r="T215" s="10">
        <f>data_redis_illX!H181</f>
        <v>0</v>
      </c>
      <c r="U215" s="10">
        <f>data_redis_illX!I181</f>
        <v>0</v>
      </c>
      <c r="V215" s="10">
        <f>data_redis_illX!J181</f>
        <v>0</v>
      </c>
      <c r="W215" s="10">
        <f>data_redis_illX!K181</f>
        <v>0</v>
      </c>
      <c r="X215" s="10">
        <f>data_redis_illX!L181</f>
        <v>0</v>
      </c>
      <c r="Y215" s="5">
        <f t="shared" si="3"/>
        <v>0</v>
      </c>
    </row>
    <row r="216" spans="3:25" x14ac:dyDescent="0.25">
      <c r="C216" t="s">
        <v>26</v>
      </c>
      <c r="D216" s="5">
        <f t="array" ref="D216:K216">(Q216:X216*AE$4:AE$11+Q579:Y579*AF$4:AF$11+Q942:Y942*AG$4:AG$11)</f>
        <v>0</v>
      </c>
      <c r="E216" s="5">
        <v>0</v>
      </c>
      <c r="F216" s="5">
        <v>0</v>
      </c>
      <c r="G216" s="5">
        <v>0</v>
      </c>
      <c r="H216" s="5">
        <v>0</v>
      </c>
      <c r="I216" s="5">
        <v>3.093036759922476E-2</v>
      </c>
      <c r="J216" s="5">
        <v>0</v>
      </c>
      <c r="K216" s="5">
        <v>0</v>
      </c>
      <c r="P216" s="2" t="s">
        <v>26</v>
      </c>
      <c r="Q216" s="10">
        <f>data_redis_illX!E182</f>
        <v>0</v>
      </c>
      <c r="R216" s="10">
        <f>data_redis_illX!F182</f>
        <v>0</v>
      </c>
      <c r="S216" s="10">
        <f>data_redis_illX!G182</f>
        <v>0</v>
      </c>
      <c r="T216" s="10">
        <f>data_redis_illX!H182</f>
        <v>0</v>
      </c>
      <c r="U216" s="10">
        <f>data_redis_illX!I182</f>
        <v>0</v>
      </c>
      <c r="V216" s="10">
        <f>data_redis_illX!J182</f>
        <v>0</v>
      </c>
      <c r="W216" s="10">
        <f>data_redis_illX!K182</f>
        <v>0</v>
      </c>
      <c r="X216" s="10">
        <f>data_redis_illX!L182</f>
        <v>0</v>
      </c>
      <c r="Y216" s="5">
        <f t="shared" si="3"/>
        <v>0</v>
      </c>
    </row>
    <row r="217" spans="3:25" x14ac:dyDescent="0.25">
      <c r="C217" t="s">
        <v>27</v>
      </c>
      <c r="D217" s="5">
        <f t="array" ref="D217:K217">(Q217:X217*AE$4:AE$11+Q580:Y580*AF$4:AF$11+Q943:Y943*AG$4:AG$11)</f>
        <v>0</v>
      </c>
      <c r="E217" s="5">
        <v>0</v>
      </c>
      <c r="F217" s="5">
        <v>0</v>
      </c>
      <c r="G217" s="5">
        <v>0</v>
      </c>
      <c r="H217" s="5">
        <v>5.1474054808163672</v>
      </c>
      <c r="I217" s="5">
        <v>3.093036759922476E-2</v>
      </c>
      <c r="J217" s="5">
        <v>0</v>
      </c>
      <c r="K217" s="5">
        <v>0</v>
      </c>
      <c r="P217" s="2" t="s">
        <v>27</v>
      </c>
      <c r="Q217" s="10">
        <f>data_redis_illX!E183</f>
        <v>0</v>
      </c>
      <c r="R217" s="10">
        <f>data_redis_illX!F183</f>
        <v>0</v>
      </c>
      <c r="S217" s="10">
        <f>data_redis_illX!G183</f>
        <v>0</v>
      </c>
      <c r="T217" s="10">
        <f>data_redis_illX!H183</f>
        <v>0</v>
      </c>
      <c r="U217" s="10">
        <f>data_redis_illX!I183</f>
        <v>0</v>
      </c>
      <c r="V217" s="10">
        <f>data_redis_illX!J183</f>
        <v>0</v>
      </c>
      <c r="W217" s="10">
        <f>data_redis_illX!K183</f>
        <v>0</v>
      </c>
      <c r="X217" s="10">
        <f>data_redis_illX!L183</f>
        <v>0</v>
      </c>
      <c r="Y217" s="5">
        <f t="shared" si="3"/>
        <v>0</v>
      </c>
    </row>
    <row r="218" spans="3:25" x14ac:dyDescent="0.25">
      <c r="C218" t="s">
        <v>28</v>
      </c>
      <c r="D218" s="5">
        <f t="array" ref="D218:K218">(Q218:X218*AE$4:AE$11+Q581:Y581*AF$4:AF$11+Q944:Y944*AG$4:AG$11)</f>
        <v>0</v>
      </c>
      <c r="E218" s="5">
        <v>0</v>
      </c>
      <c r="F218" s="5">
        <v>4.5891318377237926</v>
      </c>
      <c r="G218" s="5">
        <v>6.5992286573329952</v>
      </c>
      <c r="H218" s="5">
        <v>2.599744608776219</v>
      </c>
      <c r="I218" s="5">
        <v>3.093036759922476E-2</v>
      </c>
      <c r="J218" s="5">
        <v>0</v>
      </c>
      <c r="K218" s="5">
        <v>0</v>
      </c>
      <c r="P218" s="2" t="s">
        <v>28</v>
      </c>
      <c r="Q218" s="10">
        <f>data_redis_illX!E184</f>
        <v>0</v>
      </c>
      <c r="R218" s="10">
        <f>data_redis_illX!F184</f>
        <v>0</v>
      </c>
      <c r="S218" s="10">
        <f>data_redis_illX!G184</f>
        <v>4.5891318377237926</v>
      </c>
      <c r="T218" s="10">
        <f>data_redis_illX!H184</f>
        <v>6.5992286573329952</v>
      </c>
      <c r="U218" s="10">
        <f>data_redis_illX!I184</f>
        <v>0</v>
      </c>
      <c r="V218" s="10">
        <f>data_redis_illX!J184</f>
        <v>0</v>
      </c>
      <c r="W218" s="10">
        <f>data_redis_illX!K184</f>
        <v>0</v>
      </c>
      <c r="X218" s="10">
        <f>data_redis_illX!L184</f>
        <v>0</v>
      </c>
      <c r="Y218" s="5">
        <f t="shared" si="3"/>
        <v>11.188360495056788</v>
      </c>
    </row>
    <row r="219" spans="3:25" x14ac:dyDescent="0.25">
      <c r="C219" t="s">
        <v>29</v>
      </c>
      <c r="D219" s="5">
        <f t="array" ref="D219:K219">(Q219:X219*AE$4:AE$11+Q582:Y582*AF$4:AF$11+Q945:Y945*AG$4:AG$11)</f>
        <v>0</v>
      </c>
      <c r="E219" s="5">
        <v>0</v>
      </c>
      <c r="F219" s="5">
        <v>5.3886634008673813</v>
      </c>
      <c r="G219" s="5">
        <v>11.046091956575852</v>
      </c>
      <c r="H219" s="5">
        <v>1.5815259928397114</v>
      </c>
      <c r="I219" s="5">
        <v>3.093036759922476E-2</v>
      </c>
      <c r="J219" s="5">
        <v>0</v>
      </c>
      <c r="K219" s="5">
        <v>0</v>
      </c>
      <c r="P219" s="2" t="s">
        <v>29</v>
      </c>
      <c r="Q219" s="10">
        <f>data_redis_illX!E185</f>
        <v>0</v>
      </c>
      <c r="R219" s="10">
        <f>data_redis_illX!F185</f>
        <v>0</v>
      </c>
      <c r="S219" s="10">
        <f>data_redis_illX!G185</f>
        <v>0</v>
      </c>
      <c r="T219" s="10">
        <f>data_redis_illX!H185</f>
        <v>0</v>
      </c>
      <c r="U219" s="10">
        <f>data_redis_illX!I185</f>
        <v>1.5815259928397114</v>
      </c>
      <c r="V219" s="10">
        <f>data_redis_illX!J185</f>
        <v>0</v>
      </c>
      <c r="W219" s="10">
        <f>data_redis_illX!K185</f>
        <v>0</v>
      </c>
      <c r="X219" s="10">
        <f>data_redis_illX!L185</f>
        <v>0</v>
      </c>
      <c r="Y219" s="5">
        <f t="shared" si="3"/>
        <v>1.5815259928397114</v>
      </c>
    </row>
    <row r="220" spans="3:25" x14ac:dyDescent="0.25">
      <c r="C220" t="s">
        <v>30</v>
      </c>
      <c r="D220" s="5">
        <f t="array" ref="D220:K220">(Q220:X220*AE$4:AE$11+Q583:Y583*AF$4:AF$11+Q946:Y946*AG$4:AG$11)</f>
        <v>0</v>
      </c>
      <c r="E220" s="5">
        <v>0</v>
      </c>
      <c r="F220" s="5">
        <v>2.0436772922692459</v>
      </c>
      <c r="G220" s="5">
        <v>7.4124038966980139</v>
      </c>
      <c r="H220" s="5">
        <v>9.3286760824322972</v>
      </c>
      <c r="I220" s="5">
        <v>4.2849265364273768</v>
      </c>
      <c r="J220" s="5">
        <v>0</v>
      </c>
      <c r="K220" s="5">
        <v>0</v>
      </c>
      <c r="P220" s="2" t="s">
        <v>30</v>
      </c>
      <c r="Q220" s="10">
        <f>data_redis_illX!E186</f>
        <v>0</v>
      </c>
      <c r="R220" s="10">
        <f>data_redis_illX!F186</f>
        <v>0</v>
      </c>
      <c r="S220" s="10">
        <f>data_redis_illX!G186</f>
        <v>2.0436772922692459</v>
      </c>
      <c r="T220" s="10">
        <f>data_redis_illX!H186</f>
        <v>1.8893579184100879</v>
      </c>
      <c r="U220" s="10">
        <f>data_redis_illX!I186</f>
        <v>1.5815259928397114</v>
      </c>
      <c r="V220" s="10">
        <f>data_redis_illX!J186</f>
        <v>0</v>
      </c>
      <c r="W220" s="10">
        <f>data_redis_illX!K186</f>
        <v>0</v>
      </c>
      <c r="X220" s="10">
        <f>data_redis_illX!L186</f>
        <v>0</v>
      </c>
      <c r="Y220" s="5">
        <f t="shared" si="3"/>
        <v>5.5145612035190457</v>
      </c>
    </row>
    <row r="221" spans="3:25" x14ac:dyDescent="0.25">
      <c r="C221" t="s">
        <v>31</v>
      </c>
      <c r="D221" s="5">
        <f t="array" ref="D221:K221">(Q221:X221*AE$4:AE$11+Q584:Y584*AF$4:AF$11+Q947:Y947*AG$4:AG$11)</f>
        <v>0</v>
      </c>
      <c r="E221" s="5">
        <v>0</v>
      </c>
      <c r="F221" s="5">
        <v>16.908358678542502</v>
      </c>
      <c r="G221" s="5">
        <v>24.262169459107728</v>
      </c>
      <c r="H221" s="5">
        <v>27.167052856446524</v>
      </c>
      <c r="I221" s="5">
        <v>3.093036759922476E-2</v>
      </c>
      <c r="J221" s="5">
        <v>0</v>
      </c>
      <c r="K221" s="5">
        <v>0</v>
      </c>
      <c r="P221" s="2" t="s">
        <v>31</v>
      </c>
      <c r="Q221" s="10">
        <f>data_redis_illX!E187</f>
        <v>0</v>
      </c>
      <c r="R221" s="10">
        <f>data_redis_illX!F187</f>
        <v>0</v>
      </c>
      <c r="S221" s="10">
        <f>data_redis_illX!G187</f>
        <v>6.1310318768077385</v>
      </c>
      <c r="T221" s="10">
        <f>data_redis_illX!H187</f>
        <v>5.6680737552302638</v>
      </c>
      <c r="U221" s="10">
        <f>data_redis_illX!I187</f>
        <v>6.3261039713588456</v>
      </c>
      <c r="V221" s="10">
        <f>data_redis_illX!J187</f>
        <v>0</v>
      </c>
      <c r="W221" s="10">
        <f>data_redis_illX!K187</f>
        <v>0</v>
      </c>
      <c r="X221" s="10">
        <f>data_redis_illX!L187</f>
        <v>0</v>
      </c>
      <c r="Y221" s="5">
        <f t="shared" si="3"/>
        <v>18.125209603396847</v>
      </c>
    </row>
    <row r="222" spans="3:25" x14ac:dyDescent="0.25">
      <c r="C222" t="s">
        <v>32</v>
      </c>
      <c r="D222" s="5">
        <f t="array" ref="D222:K222">(Q222:X222*AE$4:AE$11+Q585:Y585*AF$4:AF$11+Q948:Y948*AG$4:AG$11)</f>
        <v>0</v>
      </c>
      <c r="E222" s="5">
        <v>0</v>
      </c>
      <c r="F222" s="5">
        <v>0</v>
      </c>
      <c r="G222" s="5">
        <v>0</v>
      </c>
      <c r="H222" s="5">
        <v>0</v>
      </c>
      <c r="I222" s="5">
        <v>3.093036759922476E-2</v>
      </c>
      <c r="J222" s="5">
        <v>0</v>
      </c>
      <c r="K222" s="5">
        <v>0</v>
      </c>
      <c r="P222" s="2" t="s">
        <v>32</v>
      </c>
      <c r="Q222" s="10">
        <f>data_redis_illX!E188</f>
        <v>0</v>
      </c>
      <c r="R222" s="10">
        <f>data_redis_illX!F188</f>
        <v>0</v>
      </c>
      <c r="S222" s="10">
        <f>data_redis_illX!G188</f>
        <v>0</v>
      </c>
      <c r="T222" s="10">
        <f>data_redis_illX!H188</f>
        <v>0</v>
      </c>
      <c r="U222" s="10">
        <f>data_redis_illX!I188</f>
        <v>0</v>
      </c>
      <c r="V222" s="10">
        <f>data_redis_illX!J188</f>
        <v>0</v>
      </c>
      <c r="W222" s="10">
        <f>data_redis_illX!K188</f>
        <v>0</v>
      </c>
      <c r="X222" s="10">
        <f>data_redis_illX!L188</f>
        <v>0</v>
      </c>
      <c r="Y222" s="5">
        <f t="shared" si="3"/>
        <v>0</v>
      </c>
    </row>
    <row r="223" spans="3:25" x14ac:dyDescent="0.25">
      <c r="C223" t="s">
        <v>33</v>
      </c>
      <c r="D223" s="5">
        <f t="array" ref="D223:K223">(Q223:X223*AE$4:AE$11+Q586:Y586*AF$4:AF$11+Q949:Y949*AG$4:AG$11)</f>
        <v>0</v>
      </c>
      <c r="E223" s="5">
        <v>0</v>
      </c>
      <c r="F223" s="5">
        <v>0</v>
      </c>
      <c r="G223" s="5">
        <v>0</v>
      </c>
      <c r="H223" s="5">
        <v>0</v>
      </c>
      <c r="I223" s="5">
        <v>3.093036759922476E-2</v>
      </c>
      <c r="J223" s="5">
        <v>0</v>
      </c>
      <c r="K223" s="5">
        <v>0</v>
      </c>
      <c r="P223" s="2" t="s">
        <v>33</v>
      </c>
      <c r="Q223" s="10">
        <f>data_redis_illX!E189</f>
        <v>0</v>
      </c>
      <c r="R223" s="10">
        <f>data_redis_illX!F189</f>
        <v>0</v>
      </c>
      <c r="S223" s="10">
        <f>data_redis_illX!G189</f>
        <v>0</v>
      </c>
      <c r="T223" s="10">
        <f>data_redis_illX!H189</f>
        <v>0</v>
      </c>
      <c r="U223" s="10">
        <f>data_redis_illX!I189</f>
        <v>0</v>
      </c>
      <c r="V223" s="10">
        <f>data_redis_illX!J189</f>
        <v>0</v>
      </c>
      <c r="W223" s="10">
        <f>data_redis_illX!K189</f>
        <v>0</v>
      </c>
      <c r="X223" s="10">
        <f>data_redis_illX!L189</f>
        <v>0</v>
      </c>
      <c r="Y223" s="5">
        <f t="shared" si="3"/>
        <v>0</v>
      </c>
    </row>
    <row r="224" spans="3:25" x14ac:dyDescent="0.25">
      <c r="C224" t="s">
        <v>34</v>
      </c>
      <c r="D224" s="5">
        <f t="array" ref="D224:K224">(Q224:X224*AE$4:AE$11+Q587:Y587*AF$4:AF$11+Q950:Y950*AG$4:AG$11)</f>
        <v>0</v>
      </c>
      <c r="E224" s="5">
        <v>0</v>
      </c>
      <c r="F224" s="5">
        <v>0</v>
      </c>
      <c r="G224" s="5">
        <v>0</v>
      </c>
      <c r="H224" s="5">
        <v>0</v>
      </c>
      <c r="I224" s="5">
        <v>3.093036759922476E-2</v>
      </c>
      <c r="J224" s="5">
        <v>0</v>
      </c>
      <c r="K224" s="5">
        <v>0</v>
      </c>
      <c r="P224" s="2" t="s">
        <v>34</v>
      </c>
      <c r="Q224" s="10">
        <f>data_redis_illX!E190</f>
        <v>0</v>
      </c>
      <c r="R224" s="10">
        <f>data_redis_illX!F190</f>
        <v>0</v>
      </c>
      <c r="S224" s="10">
        <f>data_redis_illX!G190</f>
        <v>0</v>
      </c>
      <c r="T224" s="10">
        <f>data_redis_illX!H190</f>
        <v>0</v>
      </c>
      <c r="U224" s="10">
        <f>data_redis_illX!I190</f>
        <v>0</v>
      </c>
      <c r="V224" s="10">
        <f>data_redis_illX!J190</f>
        <v>0</v>
      </c>
      <c r="W224" s="10">
        <f>data_redis_illX!K190</f>
        <v>0</v>
      </c>
      <c r="X224" s="10">
        <f>data_redis_illX!L190</f>
        <v>0</v>
      </c>
      <c r="Y224" s="5">
        <f t="shared" si="3"/>
        <v>0</v>
      </c>
    </row>
    <row r="225" spans="1:25" x14ac:dyDescent="0.25">
      <c r="C225" t="s">
        <v>35</v>
      </c>
      <c r="D225" s="5">
        <f t="array" ref="D225:K225">(Q225:X225*AE$4:AE$11+Q588:Y588*AF$4:AF$11+Q951:Y951*AG$4:AG$11)</f>
        <v>0</v>
      </c>
      <c r="E225" s="5">
        <v>0</v>
      </c>
      <c r="F225" s="5">
        <v>0</v>
      </c>
      <c r="G225" s="5">
        <v>0</v>
      </c>
      <c r="H225" s="5">
        <v>0</v>
      </c>
      <c r="I225" s="5">
        <v>3.093036759922476E-2</v>
      </c>
      <c r="J225" s="5">
        <v>0</v>
      </c>
      <c r="K225" s="5">
        <v>0</v>
      </c>
      <c r="P225" s="2" t="s">
        <v>35</v>
      </c>
      <c r="Q225" s="10">
        <f>data_redis_illX!E191</f>
        <v>0</v>
      </c>
      <c r="R225" s="10">
        <f>data_redis_illX!F191</f>
        <v>0</v>
      </c>
      <c r="S225" s="10">
        <f>data_redis_illX!G191</f>
        <v>0</v>
      </c>
      <c r="T225" s="10">
        <f>data_redis_illX!H191</f>
        <v>0</v>
      </c>
      <c r="U225" s="10">
        <f>data_redis_illX!I191</f>
        <v>0</v>
      </c>
      <c r="V225" s="10">
        <f>data_redis_illX!J191</f>
        <v>0</v>
      </c>
      <c r="W225" s="10">
        <f>data_redis_illX!K191</f>
        <v>0</v>
      </c>
      <c r="X225" s="10">
        <f>data_redis_illX!L191</f>
        <v>0</v>
      </c>
      <c r="Y225" s="5">
        <f t="shared" si="3"/>
        <v>0</v>
      </c>
    </row>
    <row r="226" spans="1:25" x14ac:dyDescent="0.25">
      <c r="C226" t="s">
        <v>36</v>
      </c>
      <c r="D226" s="5">
        <f t="array" ref="D226:K226">(Q226:X226*AE$4:AE$11+Q589:Y589*AF$4:AF$11+Q952:Y952*AG$4:AG$11)</f>
        <v>0</v>
      </c>
      <c r="E226" s="5">
        <v>0</v>
      </c>
      <c r="F226" s="5">
        <v>0</v>
      </c>
      <c r="G226" s="5">
        <v>0</v>
      </c>
      <c r="H226" s="5">
        <v>0</v>
      </c>
      <c r="I226" s="5">
        <v>3.093036759922476E-2</v>
      </c>
      <c r="J226" s="5">
        <v>0</v>
      </c>
      <c r="K226" s="5">
        <v>0</v>
      </c>
      <c r="P226" s="2" t="s">
        <v>36</v>
      </c>
      <c r="Q226" s="10">
        <f>data_redis_illX!E192</f>
        <v>0</v>
      </c>
      <c r="R226" s="10">
        <f>data_redis_illX!F192</f>
        <v>0</v>
      </c>
      <c r="S226" s="10">
        <f>data_redis_illX!G192</f>
        <v>0</v>
      </c>
      <c r="T226" s="10">
        <f>data_redis_illX!H192</f>
        <v>0</v>
      </c>
      <c r="U226" s="10">
        <f>data_redis_illX!I192</f>
        <v>0</v>
      </c>
      <c r="V226" s="10">
        <f>data_redis_illX!J192</f>
        <v>0</v>
      </c>
      <c r="W226" s="10">
        <f>data_redis_illX!K192</f>
        <v>0</v>
      </c>
      <c r="X226" s="10">
        <f>data_redis_illX!L192</f>
        <v>0</v>
      </c>
      <c r="Y226" s="5">
        <f t="shared" si="3"/>
        <v>0</v>
      </c>
    </row>
    <row r="227" spans="1:25" x14ac:dyDescent="0.25">
      <c r="C227" t="s">
        <v>37</v>
      </c>
      <c r="D227" s="5">
        <f t="array" ref="D227:K227">(Q227:X227*AE$4:AE$11+Q590:Y590*AF$4:AF$11+Q953:Y953*AG$4:AG$11)</f>
        <v>0</v>
      </c>
      <c r="E227" s="5">
        <v>0</v>
      </c>
      <c r="F227" s="5">
        <v>0</v>
      </c>
      <c r="G227" s="5">
        <v>0</v>
      </c>
      <c r="H227" s="5">
        <v>0</v>
      </c>
      <c r="I227" s="5">
        <v>3.093036759922476E-2</v>
      </c>
      <c r="J227" s="5">
        <v>0</v>
      </c>
      <c r="K227" s="5">
        <v>0</v>
      </c>
      <c r="P227" s="2" t="s">
        <v>37</v>
      </c>
      <c r="Q227" s="10">
        <f>data_redis_illX!E193</f>
        <v>0</v>
      </c>
      <c r="R227" s="10">
        <f>data_redis_illX!F193</f>
        <v>0</v>
      </c>
      <c r="S227" s="10">
        <f>data_redis_illX!G193</f>
        <v>0</v>
      </c>
      <c r="T227" s="10">
        <f>data_redis_illX!H193</f>
        <v>0</v>
      </c>
      <c r="U227" s="10">
        <f>data_redis_illX!I193</f>
        <v>0</v>
      </c>
      <c r="V227" s="10">
        <f>data_redis_illX!J193</f>
        <v>0</v>
      </c>
      <c r="W227" s="10">
        <f>data_redis_illX!K193</f>
        <v>0</v>
      </c>
      <c r="X227" s="10">
        <f>data_redis_illX!L193</f>
        <v>0</v>
      </c>
      <c r="Y227" s="5">
        <f t="shared" si="3"/>
        <v>0</v>
      </c>
    </row>
    <row r="228" spans="1:25" x14ac:dyDescent="0.25">
      <c r="C228" t="s">
        <v>38</v>
      </c>
      <c r="D228" s="5">
        <f t="array" ref="D228:K228">(Q228:X228*AE$4:AE$11+Q591:Y591*AF$4:AF$11+Q954:Y954*AG$4:AG$11)</f>
        <v>0</v>
      </c>
      <c r="E228" s="5">
        <v>0</v>
      </c>
      <c r="F228" s="5">
        <v>0</v>
      </c>
      <c r="G228" s="5">
        <v>0</v>
      </c>
      <c r="H228" s="5">
        <v>0</v>
      </c>
      <c r="I228" s="5">
        <v>3.093036759922476E-2</v>
      </c>
      <c r="J228" s="5">
        <v>0</v>
      </c>
      <c r="K228" s="5">
        <v>0</v>
      </c>
      <c r="P228" s="2" t="s">
        <v>38</v>
      </c>
      <c r="Q228" s="10">
        <f>data_redis_illX!E194</f>
        <v>0</v>
      </c>
      <c r="R228" s="10">
        <f>data_redis_illX!F194</f>
        <v>0</v>
      </c>
      <c r="S228" s="10">
        <f>data_redis_illX!G194</f>
        <v>0</v>
      </c>
      <c r="T228" s="10">
        <f>data_redis_illX!H194</f>
        <v>0</v>
      </c>
      <c r="U228" s="10">
        <f>data_redis_illX!I194</f>
        <v>0</v>
      </c>
      <c r="V228" s="10">
        <f>data_redis_illX!J194</f>
        <v>0</v>
      </c>
      <c r="W228" s="10">
        <f>data_redis_illX!K194</f>
        <v>0</v>
      </c>
      <c r="X228" s="10">
        <f>data_redis_illX!L194</f>
        <v>0</v>
      </c>
      <c r="Y228" s="5">
        <f t="shared" si="3"/>
        <v>0</v>
      </c>
    </row>
    <row r="229" spans="1:25" x14ac:dyDescent="0.25">
      <c r="C229" t="s">
        <v>39</v>
      </c>
      <c r="D229" s="5">
        <f t="array" ref="D229:K229">(Q229:X229*AE$4:AE$11+Q592:Y592*AF$4:AF$11+Q955:Y955*AG$4:AG$11)</f>
        <v>0</v>
      </c>
      <c r="E229" s="5">
        <v>0</v>
      </c>
      <c r="F229" s="5">
        <v>18.20966749487139</v>
      </c>
      <c r="G229" s="5">
        <v>23.981541831561792</v>
      </c>
      <c r="H229" s="5">
        <v>0</v>
      </c>
      <c r="I229" s="5">
        <v>3.093036759922476E-2</v>
      </c>
      <c r="J229" s="5">
        <v>0</v>
      </c>
      <c r="K229" s="5">
        <v>0</v>
      </c>
      <c r="P229" s="2" t="s">
        <v>39</v>
      </c>
      <c r="Q229" s="10">
        <f>data_redis_illX!E195</f>
        <v>0</v>
      </c>
      <c r="R229" s="10">
        <f>data_redis_illX!F195</f>
        <v>0</v>
      </c>
      <c r="S229" s="10">
        <f>data_redis_illX!G195</f>
        <v>2.0436772922692459</v>
      </c>
      <c r="T229" s="10">
        <f>data_redis_illX!H195</f>
        <v>1.8893579184100879</v>
      </c>
      <c r="U229" s="10">
        <f>data_redis_illX!I195</f>
        <v>0</v>
      </c>
      <c r="V229" s="10">
        <f>data_redis_illX!J195</f>
        <v>0</v>
      </c>
      <c r="W229" s="10">
        <f>data_redis_illX!K195</f>
        <v>0</v>
      </c>
      <c r="X229" s="10">
        <f>data_redis_illX!L195</f>
        <v>0</v>
      </c>
      <c r="Y229" s="5">
        <f t="shared" si="3"/>
        <v>3.9330352106793338</v>
      </c>
    </row>
    <row r="230" spans="1:25" x14ac:dyDescent="0.25">
      <c r="C230" t="s">
        <v>40</v>
      </c>
      <c r="D230" s="5">
        <f t="array" ref="D230:K230">(Q230:X230*AE$4:AE$11+Q593:Y593*AF$4:AF$11+Q956:Y956*AG$4:AG$11)</f>
        <v>0</v>
      </c>
      <c r="E230" s="5">
        <v>0</v>
      </c>
      <c r="F230" s="5">
        <v>0</v>
      </c>
      <c r="G230" s="5">
        <v>3.7787158368201759</v>
      </c>
      <c r="H230" s="5">
        <v>11.876336954472446</v>
      </c>
      <c r="I230" s="5">
        <v>3.093036759922476E-2</v>
      </c>
      <c r="J230" s="5">
        <v>0</v>
      </c>
      <c r="K230" s="5">
        <v>0</v>
      </c>
      <c r="P230" s="2" t="s">
        <v>40</v>
      </c>
      <c r="Q230" s="10">
        <f>data_redis_illX!E196</f>
        <v>0</v>
      </c>
      <c r="R230" s="10">
        <f>data_redis_illX!F196</f>
        <v>0</v>
      </c>
      <c r="S230" s="10">
        <f>data_redis_illX!G196</f>
        <v>0</v>
      </c>
      <c r="T230" s="10">
        <f>data_redis_illX!H196</f>
        <v>3.7787158368201759</v>
      </c>
      <c r="U230" s="10">
        <f>data_redis_illX!I196</f>
        <v>1.5815259928397114</v>
      </c>
      <c r="V230" s="10">
        <f>data_redis_illX!J196</f>
        <v>0</v>
      </c>
      <c r="W230" s="10">
        <f>data_redis_illX!K196</f>
        <v>0</v>
      </c>
      <c r="X230" s="10">
        <f>data_redis_illX!L196</f>
        <v>0</v>
      </c>
      <c r="Y230" s="5">
        <f t="shared" si="3"/>
        <v>5.3602418296598877</v>
      </c>
    </row>
    <row r="231" spans="1:25" x14ac:dyDescent="0.25">
      <c r="C231" t="s">
        <v>41</v>
      </c>
      <c r="D231" s="5">
        <f t="array" ref="D231:K231">(Q231:X231*AE$4:AE$11+Q594:Y594*AF$4:AF$11+Q957:Y957*AG$4:AG$11)</f>
        <v>0</v>
      </c>
      <c r="E231" s="5">
        <v>0</v>
      </c>
      <c r="F231" s="5">
        <v>0</v>
      </c>
      <c r="G231" s="5">
        <v>0</v>
      </c>
      <c r="H231" s="5">
        <v>0</v>
      </c>
      <c r="I231" s="5">
        <v>3.093036759922476E-2</v>
      </c>
      <c r="J231" s="5">
        <v>0</v>
      </c>
      <c r="K231" s="5">
        <v>0</v>
      </c>
      <c r="P231" s="2" t="s">
        <v>41</v>
      </c>
      <c r="Q231" s="10">
        <f>data_redis_illX!E197</f>
        <v>0</v>
      </c>
      <c r="R231" s="10">
        <f>data_redis_illX!F197</f>
        <v>0</v>
      </c>
      <c r="S231" s="10">
        <f>data_redis_illX!G197</f>
        <v>0</v>
      </c>
      <c r="T231" s="10">
        <f>data_redis_illX!H197</f>
        <v>0</v>
      </c>
      <c r="U231" s="10">
        <f>data_redis_illX!I197</f>
        <v>0</v>
      </c>
      <c r="V231" s="10">
        <f>data_redis_illX!J197</f>
        <v>0</v>
      </c>
      <c r="W231" s="10">
        <f>data_redis_illX!K197</f>
        <v>0</v>
      </c>
      <c r="X231" s="10">
        <f>data_redis_illX!L197</f>
        <v>0</v>
      </c>
      <c r="Y231" s="5">
        <f t="shared" si="3"/>
        <v>0</v>
      </c>
    </row>
    <row r="232" spans="1:25" x14ac:dyDescent="0.25">
      <c r="C232" t="s">
        <v>42</v>
      </c>
      <c r="D232" s="5">
        <f t="array" ref="D232:K232">(Q232:X232*AE$4:AE$11+Q595:Y595*AF$4:AF$11+Q958:Y958*AG$4:AG$11)</f>
        <v>0</v>
      </c>
      <c r="E232" s="5">
        <v>0</v>
      </c>
      <c r="F232" s="5">
        <v>0</v>
      </c>
      <c r="G232" s="5">
        <v>0</v>
      </c>
      <c r="H232" s="5">
        <v>0</v>
      </c>
      <c r="I232" s="5">
        <v>3.093036759922476E-2</v>
      </c>
      <c r="J232" s="5">
        <v>0</v>
      </c>
      <c r="K232" s="5">
        <v>0</v>
      </c>
      <c r="P232" s="2" t="s">
        <v>42</v>
      </c>
      <c r="Q232" s="10">
        <f>data_redis_illX!E198</f>
        <v>0</v>
      </c>
      <c r="R232" s="10">
        <f>data_redis_illX!F198</f>
        <v>0</v>
      </c>
      <c r="S232" s="10">
        <f>data_redis_illX!G198</f>
        <v>0</v>
      </c>
      <c r="T232" s="10">
        <f>data_redis_illX!H198</f>
        <v>0</v>
      </c>
      <c r="U232" s="10">
        <f>data_redis_illX!I198</f>
        <v>0</v>
      </c>
      <c r="V232" s="10">
        <f>data_redis_illX!J198</f>
        <v>0</v>
      </c>
      <c r="W232" s="10">
        <f>data_redis_illX!K198</f>
        <v>0</v>
      </c>
      <c r="X232" s="10">
        <f>data_redis_illX!L198</f>
        <v>0</v>
      </c>
      <c r="Y232" s="5">
        <f t="shared" si="3"/>
        <v>0</v>
      </c>
    </row>
    <row r="233" spans="1:25" x14ac:dyDescent="0.25">
      <c r="C233" t="s">
        <v>43</v>
      </c>
      <c r="D233" s="5">
        <f t="array" ref="D233:K233">(Q233:X233*AE$4:AE$11+Q596:Y596*AF$4:AF$11+Q959:Y959*AG$4:AG$11)</f>
        <v>0</v>
      </c>
      <c r="E233" s="5">
        <v>0</v>
      </c>
      <c r="F233" s="5">
        <v>482.80027074240826</v>
      </c>
      <c r="G233" s="5">
        <v>742.86314737863313</v>
      </c>
      <c r="H233" s="5">
        <v>338.93695778345142</v>
      </c>
      <c r="I233" s="5">
        <v>58.623017884403126</v>
      </c>
      <c r="J233" s="5">
        <v>6.7033759950872831</v>
      </c>
      <c r="K233" s="5">
        <v>2.3622679377822378</v>
      </c>
      <c r="P233" s="2" t="s">
        <v>43</v>
      </c>
      <c r="Q233" s="10">
        <f>data_redis_illX!E199</f>
        <v>0</v>
      </c>
      <c r="R233" s="10">
        <f>data_redis_illX!F199</f>
        <v>0</v>
      </c>
      <c r="S233" s="10">
        <f>data_redis_illX!G199</f>
        <v>156.24989215977718</v>
      </c>
      <c r="T233" s="10">
        <f>data_redis_illX!H199</f>
        <v>244.89399485731616</v>
      </c>
      <c r="U233" s="10">
        <f>data_redis_illX!I199</f>
        <v>115.8713647275604</v>
      </c>
      <c r="V233" s="10">
        <f>data_redis_illX!J199</f>
        <v>7.1449149154209195</v>
      </c>
      <c r="W233" s="10">
        <f>data_redis_illX!K199</f>
        <v>0</v>
      </c>
      <c r="X233" s="10">
        <f>data_redis_illX!L199</f>
        <v>0</v>
      </c>
      <c r="Y233" s="5">
        <f t="shared" si="3"/>
        <v>524.16016666007465</v>
      </c>
    </row>
    <row r="234" spans="1:25" x14ac:dyDescent="0.25">
      <c r="C234" t="s">
        <v>44</v>
      </c>
      <c r="D234" s="5">
        <f t="array" ref="D234:K234">(Q234:X234*AE$4:AE$11+Q597:Y597*AF$4:AF$11+Q960:Y960*AG$4:AG$11)</f>
        <v>0</v>
      </c>
      <c r="E234" s="5">
        <v>0</v>
      </c>
      <c r="F234" s="5">
        <v>7.8068261511707728</v>
      </c>
      <c r="G234" s="5">
        <v>0</v>
      </c>
      <c r="H234" s="5">
        <v>0</v>
      </c>
      <c r="I234" s="5">
        <v>3.093036759922476E-2</v>
      </c>
      <c r="J234" s="5">
        <v>0</v>
      </c>
      <c r="K234" s="5">
        <v>0</v>
      </c>
      <c r="P234" s="2" t="s">
        <v>44</v>
      </c>
      <c r="Q234" s="10">
        <f>data_redis_illX!E200</f>
        <v>0</v>
      </c>
      <c r="R234" s="10">
        <f>data_redis_illX!F200</f>
        <v>0</v>
      </c>
      <c r="S234" s="10">
        <f>data_redis_illX!G200</f>
        <v>4.0873545845384918</v>
      </c>
      <c r="T234" s="10">
        <f>data_redis_illX!H200</f>
        <v>0</v>
      </c>
      <c r="U234" s="10">
        <f>data_redis_illX!I200</f>
        <v>0</v>
      </c>
      <c r="V234" s="10">
        <f>data_redis_illX!J200</f>
        <v>0</v>
      </c>
      <c r="W234" s="10">
        <f>data_redis_illX!K200</f>
        <v>0</v>
      </c>
      <c r="X234" s="10">
        <f>data_redis_illX!L200</f>
        <v>0</v>
      </c>
      <c r="Y234" s="5">
        <f t="shared" si="3"/>
        <v>4.0873545845384918</v>
      </c>
    </row>
    <row r="235" spans="1:25" x14ac:dyDescent="0.25">
      <c r="A235">
        <v>1</v>
      </c>
      <c r="B235" t="s">
        <v>51</v>
      </c>
      <c r="C235" t="s">
        <v>12</v>
      </c>
      <c r="D235" s="5">
        <f t="array" ref="D235:K235">(Q235:X235*AE$4:AE$11+Q598:Y598*AF$4:AF$11+Q961:Y961*AG$4:AG$11)</f>
        <v>0</v>
      </c>
      <c r="E235" s="5">
        <v>0</v>
      </c>
      <c r="F235" s="5">
        <v>8.9238256401673901</v>
      </c>
      <c r="G235" s="5">
        <v>47.794907450932229</v>
      </c>
      <c r="H235" s="5">
        <v>20.322945195802255</v>
      </c>
      <c r="I235" s="5">
        <v>5.4645445879683665</v>
      </c>
      <c r="J235" s="5">
        <v>2.7723838992027652</v>
      </c>
      <c r="K235" s="5">
        <v>0</v>
      </c>
      <c r="M235">
        <v>1</v>
      </c>
      <c r="N235" t="s">
        <v>103</v>
      </c>
      <c r="O235" t="s">
        <v>51</v>
      </c>
      <c r="P235" s="2" t="s">
        <v>12</v>
      </c>
      <c r="Q235" s="10">
        <f>data_redis_illX!E201</f>
        <v>0</v>
      </c>
      <c r="R235" s="10">
        <f>data_redis_illX!F201</f>
        <v>0</v>
      </c>
      <c r="S235" s="10">
        <f>data_redis_illX!G201</f>
        <v>1.1160169770119805</v>
      </c>
      <c r="T235" s="10">
        <f>data_redis_illX!H201</f>
        <v>12.535174166317979</v>
      </c>
      <c r="U235" s="10">
        <f>data_redis_illX!I201</f>
        <v>6.6922760214908124</v>
      </c>
      <c r="V235" s="10">
        <f>data_redis_illX!J201</f>
        <v>0</v>
      </c>
      <c r="W235" s="10">
        <f>data_redis_illX!K201</f>
        <v>0</v>
      </c>
      <c r="X235" s="10">
        <f>data_redis_illX!L201</f>
        <v>0</v>
      </c>
      <c r="Y235" s="5">
        <f t="shared" si="3"/>
        <v>20.343467164820773</v>
      </c>
    </row>
    <row r="236" spans="1:25" x14ac:dyDescent="0.25">
      <c r="C236" t="s">
        <v>13</v>
      </c>
      <c r="D236" s="5">
        <f t="array" ref="D236:K236">(Q236:X236*AE$4:AE$11+Q599:Y599*AF$4:AF$11+Q962:Y962*AG$4:AG$11)</f>
        <v>0</v>
      </c>
      <c r="E236" s="5">
        <v>0</v>
      </c>
      <c r="F236" s="5">
        <v>94.769900410618575</v>
      </c>
      <c r="G236" s="5">
        <v>190.13745887743286</v>
      </c>
      <c r="H236" s="5">
        <v>71.196813863161225</v>
      </c>
      <c r="I236" s="5">
        <v>15.997635235915695</v>
      </c>
      <c r="J236" s="5">
        <v>11.089535596811061</v>
      </c>
      <c r="K236" s="5">
        <v>0</v>
      </c>
      <c r="P236" s="2" t="s">
        <v>13</v>
      </c>
      <c r="Q236" s="10">
        <f>data_redis_illX!E202</f>
        <v>0</v>
      </c>
      <c r="R236" s="10">
        <f>data_redis_illX!F202</f>
        <v>0</v>
      </c>
      <c r="S236" s="10">
        <f>data_redis_illX!G202</f>
        <v>21.204322563227624</v>
      </c>
      <c r="T236" s="10">
        <f>data_redis_illX!H202</f>
        <v>46.722012801730649</v>
      </c>
      <c r="U236" s="10">
        <f>data_redis_illX!I202</f>
        <v>12.269172706066492</v>
      </c>
      <c r="V236" s="10">
        <f>data_redis_illX!J202</f>
        <v>2.3362737659947768</v>
      </c>
      <c r="W236" s="10">
        <f>data_redis_illX!K202</f>
        <v>0</v>
      </c>
      <c r="X236" s="10">
        <f>data_redis_illX!L202</f>
        <v>0</v>
      </c>
      <c r="Y236" s="5">
        <f t="shared" si="3"/>
        <v>82.531781837019537</v>
      </c>
    </row>
    <row r="237" spans="1:25" x14ac:dyDescent="0.25">
      <c r="C237" t="s">
        <v>14</v>
      </c>
      <c r="D237" s="5">
        <f t="array" ref="D237:K237">(Q237:X237*AE$4:AE$11+Q600:Y600*AF$4:AF$11+Q963:Y963*AG$4:AG$11)</f>
        <v>0</v>
      </c>
      <c r="E237" s="5">
        <v>0</v>
      </c>
      <c r="F237" s="5">
        <v>73.600402235119333</v>
      </c>
      <c r="G237" s="5">
        <v>233.84419623178894</v>
      </c>
      <c r="H237" s="5">
        <v>257.51264621914959</v>
      </c>
      <c r="I237" s="5">
        <v>58.844953381859071</v>
      </c>
      <c r="J237" s="5">
        <v>16.634303395216591</v>
      </c>
      <c r="K237" s="5">
        <v>0</v>
      </c>
      <c r="P237" s="2" t="s">
        <v>14</v>
      </c>
      <c r="Q237" s="10">
        <f>data_redis_illX!E203</f>
        <v>0</v>
      </c>
      <c r="R237" s="10">
        <f>data_redis_illX!F203</f>
        <v>0</v>
      </c>
      <c r="S237" s="10">
        <f>data_redis_illX!G203</f>
        <v>32.364492333347435</v>
      </c>
      <c r="T237" s="10">
        <f>data_redis_illX!H203</f>
        <v>76.350606285754978</v>
      </c>
      <c r="U237" s="10">
        <f>data_redis_illX!I203</f>
        <v>80.307312257889748</v>
      </c>
      <c r="V237" s="10">
        <f>data_redis_illX!J203</f>
        <v>5.8406844149869421</v>
      </c>
      <c r="W237" s="10">
        <f>data_redis_illX!K203</f>
        <v>0</v>
      </c>
      <c r="X237" s="10">
        <f>data_redis_illX!L203</f>
        <v>0</v>
      </c>
      <c r="Y237" s="5">
        <f t="shared" si="3"/>
        <v>194.86309529197911</v>
      </c>
    </row>
    <row r="238" spans="1:25" x14ac:dyDescent="0.25">
      <c r="C238" t="s">
        <v>15</v>
      </c>
      <c r="D238" s="5">
        <f t="array" ref="D238:K238">(Q238:X238*AE$4:AE$11+Q601:Y601*AF$4:AF$11+Q964:Y964*AG$4:AG$11)</f>
        <v>0</v>
      </c>
      <c r="E238" s="5">
        <v>0</v>
      </c>
      <c r="F238" s="5">
        <v>10.785290660496845</v>
      </c>
      <c r="G238" s="5">
        <v>48.934468738779316</v>
      </c>
      <c r="H238" s="5">
        <v>57.042493083911978</v>
      </c>
      <c r="I238" s="5">
        <v>3.823367675156836</v>
      </c>
      <c r="J238" s="5">
        <v>0</v>
      </c>
      <c r="K238" s="5">
        <v>0</v>
      </c>
      <c r="P238" s="2" t="s">
        <v>15</v>
      </c>
      <c r="Q238" s="10">
        <f>data_redis_illX!E204</f>
        <v>0</v>
      </c>
      <c r="R238" s="10">
        <f>data_redis_illX!F204</f>
        <v>0</v>
      </c>
      <c r="S238" s="10">
        <f>data_redis_illX!G204</f>
        <v>5.5800848850599021</v>
      </c>
      <c r="T238" s="10">
        <f>data_redis_illX!H204</f>
        <v>13.67473545416507</v>
      </c>
      <c r="U238" s="10">
        <f>data_redis_illX!I204</f>
        <v>12.269172706066492</v>
      </c>
      <c r="V238" s="10">
        <f>data_redis_illX!J204</f>
        <v>0</v>
      </c>
      <c r="W238" s="10">
        <f>data_redis_illX!K204</f>
        <v>0</v>
      </c>
      <c r="X238" s="10">
        <f>data_redis_illX!L204</f>
        <v>0</v>
      </c>
      <c r="Y238" s="5">
        <f t="shared" si="3"/>
        <v>31.523993045291462</v>
      </c>
    </row>
    <row r="239" spans="1:25" x14ac:dyDescent="0.25">
      <c r="C239" t="s">
        <v>16</v>
      </c>
      <c r="D239" s="5">
        <f t="array" ref="D239:K239">(Q239:X239*AE$4:AE$11+Q602:Y602*AF$4:AF$11+Q965:Y965*AG$4:AG$11)</f>
        <v>0</v>
      </c>
      <c r="E239" s="5">
        <v>0</v>
      </c>
      <c r="F239" s="5">
        <v>19.320963682955163</v>
      </c>
      <c r="G239" s="5">
        <v>153.5346286388413</v>
      </c>
      <c r="H239" s="5">
        <v>235.98285765950374</v>
      </c>
      <c r="I239" s="5">
        <v>56.633836236437844</v>
      </c>
      <c r="J239" s="5">
        <v>7.5820812312413519</v>
      </c>
      <c r="K239" s="5">
        <v>0</v>
      </c>
      <c r="P239" s="2" t="s">
        <v>16</v>
      </c>
      <c r="Q239" s="10">
        <f>data_redis_illX!E205</f>
        <v>0</v>
      </c>
      <c r="R239" s="10">
        <f>data_redis_illX!F205</f>
        <v>0</v>
      </c>
      <c r="S239" s="10">
        <f>data_redis_illX!G205</f>
        <v>7.8121188390838627</v>
      </c>
      <c r="T239" s="10">
        <f>data_redis_illX!H205</f>
        <v>46.722012801730649</v>
      </c>
      <c r="U239" s="10">
        <f>data_redis_illX!I205</f>
        <v>65.807380877992983</v>
      </c>
      <c r="V239" s="10">
        <f>data_redis_illX!J205</f>
        <v>14.017642595968661</v>
      </c>
      <c r="W239" s="10">
        <f>data_redis_illX!K205</f>
        <v>2.0373134328358211</v>
      </c>
      <c r="X239" s="10">
        <f>data_redis_illX!L205</f>
        <v>0</v>
      </c>
      <c r="Y239" s="5">
        <f t="shared" si="3"/>
        <v>136.39646854761196</v>
      </c>
    </row>
    <row r="240" spans="1:25" x14ac:dyDescent="0.25">
      <c r="C240" t="s">
        <v>17</v>
      </c>
      <c r="D240" s="5">
        <f t="array" ref="D240:K240">(Q240:X240*AE$4:AE$11+Q603:Y603*AF$4:AF$11+Q966:Y966*AG$4:AG$11)</f>
        <v>0</v>
      </c>
      <c r="E240" s="5">
        <v>0</v>
      </c>
      <c r="F240" s="5">
        <v>13.723295113880695</v>
      </c>
      <c r="G240" s="5">
        <v>44.264986255877439</v>
      </c>
      <c r="H240" s="5">
        <v>37.849065446977754</v>
      </c>
      <c r="I240" s="5">
        <v>6.6326814709657551</v>
      </c>
      <c r="J240" s="5">
        <v>0</v>
      </c>
      <c r="K240" s="5">
        <v>0</v>
      </c>
      <c r="P240" s="2" t="s">
        <v>17</v>
      </c>
      <c r="Q240" s="10">
        <f>data_redis_illX!E206</f>
        <v>0</v>
      </c>
      <c r="R240" s="10">
        <f>data_redis_illX!F206</f>
        <v>0</v>
      </c>
      <c r="S240" s="10">
        <f>data_redis_illX!G206</f>
        <v>1.1160169770119805</v>
      </c>
      <c r="T240" s="10">
        <f>data_redis_illX!H206</f>
        <v>15.953858029859248</v>
      </c>
      <c r="U240" s="10">
        <f>data_redis_illX!I206</f>
        <v>7.807655358405948</v>
      </c>
      <c r="V240" s="10">
        <f>data_redis_illX!J206</f>
        <v>1.1681368829973884</v>
      </c>
      <c r="W240" s="10">
        <f>data_redis_illX!K206</f>
        <v>0</v>
      </c>
      <c r="X240" s="10">
        <f>data_redis_illX!L206</f>
        <v>0</v>
      </c>
      <c r="Y240" s="5">
        <f t="shared" si="3"/>
        <v>26.045667248274565</v>
      </c>
    </row>
    <row r="241" spans="3:25" x14ac:dyDescent="0.25">
      <c r="C241" t="s">
        <v>18</v>
      </c>
      <c r="D241" s="5">
        <f t="array" ref="D241:K241">(Q241:X241*AE$4:AE$11+Q604:Y604*AF$4:AF$11+Q967:Y967*AG$4:AG$11)</f>
        <v>0</v>
      </c>
      <c r="E241" s="5">
        <v>0</v>
      </c>
      <c r="F241" s="5">
        <v>65.382547094311818</v>
      </c>
      <c r="G241" s="5">
        <v>177.63713292192796</v>
      </c>
      <c r="H241" s="5">
        <v>91.341718054673208</v>
      </c>
      <c r="I241" s="5">
        <v>16.538649085449467</v>
      </c>
      <c r="J241" s="5">
        <v>0</v>
      </c>
      <c r="K241" s="5">
        <v>0</v>
      </c>
      <c r="P241" s="2" t="s">
        <v>18</v>
      </c>
      <c r="Q241" s="10">
        <f>data_redis_illX!E207</f>
        <v>0</v>
      </c>
      <c r="R241" s="10">
        <f>data_redis_illX!F207</f>
        <v>0</v>
      </c>
      <c r="S241" s="10">
        <f>data_redis_illX!G207</f>
        <v>24.55237349426357</v>
      </c>
      <c r="T241" s="10">
        <f>data_redis_illX!H207</f>
        <v>37.605522498953938</v>
      </c>
      <c r="U241" s="10">
        <f>data_redis_illX!I207</f>
        <v>33.461380107454069</v>
      </c>
      <c r="V241" s="10">
        <f>data_redis_illX!J207</f>
        <v>2.3362737659947768</v>
      </c>
      <c r="W241" s="10">
        <f>data_redis_illX!K207</f>
        <v>0</v>
      </c>
      <c r="X241" s="10">
        <f>data_redis_illX!L207</f>
        <v>0</v>
      </c>
      <c r="Y241" s="5">
        <f t="shared" si="3"/>
        <v>97.95554986666636</v>
      </c>
    </row>
    <row r="242" spans="3:25" x14ac:dyDescent="0.25">
      <c r="C242" t="s">
        <v>19</v>
      </c>
      <c r="D242" s="5">
        <f t="array" ref="D242:K242">(Q242:X242*AE$4:AE$11+Q605:Y605*AF$4:AF$11+Q968:Y968*AG$4:AG$11)</f>
        <v>0</v>
      </c>
      <c r="E242" s="5">
        <v>0</v>
      </c>
      <c r="F242" s="5">
        <v>231.45444824559519</v>
      </c>
      <c r="G242" s="5">
        <v>572.60126311732984</v>
      </c>
      <c r="H242" s="5">
        <v>245.81495424354389</v>
      </c>
      <c r="I242" s="5">
        <v>32.613325823189896</v>
      </c>
      <c r="J242" s="5">
        <v>8.156712257411721</v>
      </c>
      <c r="K242" s="5">
        <v>0</v>
      </c>
      <c r="P242" s="2" t="s">
        <v>19</v>
      </c>
      <c r="Q242" s="10">
        <f>data_redis_illX!E208</f>
        <v>0</v>
      </c>
      <c r="R242" s="10">
        <f>data_redis_illX!F208</f>
        <v>0</v>
      </c>
      <c r="S242" s="10">
        <f>data_redis_illX!G208</f>
        <v>109.36966374717409</v>
      </c>
      <c r="T242" s="10">
        <f>data_redis_illX!H208</f>
        <v>157.2594577228983</v>
      </c>
      <c r="U242" s="10">
        <f>data_redis_illX!I208</f>
        <v>88.114967616295701</v>
      </c>
      <c r="V242" s="10">
        <f>data_redis_illX!J208</f>
        <v>5.8406844149869421</v>
      </c>
      <c r="W242" s="10">
        <f>data_redis_illX!K208</f>
        <v>3.0559701492537314</v>
      </c>
      <c r="X242" s="10">
        <f>data_redis_illX!L208</f>
        <v>0</v>
      </c>
      <c r="Y242" s="5">
        <f t="shared" si="3"/>
        <v>363.64074365060873</v>
      </c>
    </row>
    <row r="243" spans="3:25" x14ac:dyDescent="0.25">
      <c r="C243" t="s">
        <v>20</v>
      </c>
      <c r="D243" s="5">
        <f t="array" ref="D243:K243">(Q243:X243*AE$4:AE$11+Q606:Y606*AF$4:AF$11+Q969:Y969*AG$4:AG$11)</f>
        <v>0</v>
      </c>
      <c r="E243" s="5">
        <v>0</v>
      </c>
      <c r="F243" s="5">
        <v>198.09305752771002</v>
      </c>
      <c r="G243" s="5">
        <v>287.78695147494506</v>
      </c>
      <c r="H243" s="5">
        <v>72.436822214927474</v>
      </c>
      <c r="I243" s="5">
        <v>5.06854605997896</v>
      </c>
      <c r="J243" s="5">
        <v>2.7723838992027652</v>
      </c>
      <c r="K243" s="5">
        <v>0</v>
      </c>
      <c r="P243" s="2" t="s">
        <v>20</v>
      </c>
      <c r="Q243" s="10">
        <f>data_redis_illX!E209</f>
        <v>0</v>
      </c>
      <c r="R243" s="10">
        <f>data_redis_illX!F209</f>
        <v>0</v>
      </c>
      <c r="S243" s="10">
        <f>data_redis_illX!G209</f>
        <v>45.75669605749119</v>
      </c>
      <c r="T243" s="10">
        <f>data_redis_illX!H209</f>
        <v>59.257186968048636</v>
      </c>
      <c r="U243" s="10">
        <f>data_redis_illX!I209</f>
        <v>18.961448727557304</v>
      </c>
      <c r="V243" s="10">
        <f>data_redis_illX!J209</f>
        <v>2.3362737659947768</v>
      </c>
      <c r="W243" s="10">
        <f>data_redis_illX!K209</f>
        <v>0</v>
      </c>
      <c r="X243" s="10">
        <f>data_redis_illX!L209</f>
        <v>0</v>
      </c>
      <c r="Y243" s="5">
        <f t="shared" si="3"/>
        <v>126.3116055190919</v>
      </c>
    </row>
    <row r="244" spans="3:25" x14ac:dyDescent="0.25">
      <c r="C244" t="s">
        <v>21</v>
      </c>
      <c r="D244" s="5">
        <f t="array" ref="D244:K244">(Q244:X244*AE$4:AE$11+Q607:Y607*AF$4:AF$11+Q970:Y970*AG$4:AG$11)</f>
        <v>0</v>
      </c>
      <c r="E244" s="5">
        <v>0</v>
      </c>
      <c r="F244" s="5">
        <v>49.321715922319768</v>
      </c>
      <c r="G244" s="5">
        <v>121.27426158768542</v>
      </c>
      <c r="H244" s="5">
        <v>177.39507122195923</v>
      </c>
      <c r="I244" s="5">
        <v>58.516928673589305</v>
      </c>
      <c r="J244" s="5">
        <v>32.373096883869664</v>
      </c>
      <c r="K244" s="5">
        <v>6.7463661276004467</v>
      </c>
      <c r="P244" s="2" t="s">
        <v>21</v>
      </c>
      <c r="Q244" s="10">
        <f>data_redis_illX!E210</f>
        <v>0</v>
      </c>
      <c r="R244" s="10">
        <f>data_redis_illX!F210</f>
        <v>0</v>
      </c>
      <c r="S244" s="10">
        <f>data_redis_illX!G210</f>
        <v>14.508220701155746</v>
      </c>
      <c r="T244" s="10">
        <f>data_redis_illX!H210</f>
        <v>47.861574089577751</v>
      </c>
      <c r="U244" s="10">
        <f>data_redis_illX!I210</f>
        <v>51.307449498096233</v>
      </c>
      <c r="V244" s="10">
        <f>data_redis_illX!J210</f>
        <v>9.3450950639791071</v>
      </c>
      <c r="W244" s="10">
        <f>data_redis_illX!K210</f>
        <v>5.0932835820895521</v>
      </c>
      <c r="X244" s="10">
        <f>data_redis_illX!L210</f>
        <v>0</v>
      </c>
      <c r="Y244" s="5">
        <f t="shared" si="3"/>
        <v>128.11562293489837</v>
      </c>
    </row>
    <row r="245" spans="3:25" x14ac:dyDescent="0.25">
      <c r="C245" t="s">
        <v>22</v>
      </c>
      <c r="D245" s="5">
        <f t="array" ref="D245:K245">(Q245:X245*AE$4:AE$11+Q608:Y608*AF$4:AF$11+Q971:Y971*AG$4:AG$11)</f>
        <v>0</v>
      </c>
      <c r="E245" s="5">
        <v>0</v>
      </c>
      <c r="F245" s="5">
        <v>147.54516936806166</v>
      </c>
      <c r="G245" s="5">
        <v>269.04138736566517</v>
      </c>
      <c r="H245" s="5">
        <v>179.03410216381218</v>
      </c>
      <c r="I245" s="5">
        <v>29.504913702187139</v>
      </c>
      <c r="J245" s="5">
        <v>2.7723838992027652</v>
      </c>
      <c r="K245" s="5">
        <v>5.6694430506773701</v>
      </c>
      <c r="P245" s="2" t="s">
        <v>22</v>
      </c>
      <c r="Q245" s="10">
        <f>data_redis_illX!E211</f>
        <v>0</v>
      </c>
      <c r="R245" s="10">
        <f>data_redis_illX!F211</f>
        <v>0</v>
      </c>
      <c r="S245" s="10">
        <f>data_redis_illX!G211</f>
        <v>45.75669605749119</v>
      </c>
      <c r="T245" s="10">
        <f>data_redis_illX!H211</f>
        <v>82.048412724990413</v>
      </c>
      <c r="U245" s="10">
        <f>data_redis_illX!I211</f>
        <v>52.422828835011366</v>
      </c>
      <c r="V245" s="10">
        <f>data_redis_illX!J211</f>
        <v>0</v>
      </c>
      <c r="W245" s="10">
        <f>data_redis_illX!K211</f>
        <v>0</v>
      </c>
      <c r="X245" s="10">
        <f>data_redis_illX!L211</f>
        <v>0</v>
      </c>
      <c r="Y245" s="5">
        <f t="shared" si="3"/>
        <v>180.22793761749296</v>
      </c>
    </row>
    <row r="246" spans="3:25" x14ac:dyDescent="0.25">
      <c r="C246" t="s">
        <v>23</v>
      </c>
      <c r="D246" s="5">
        <f t="array" ref="D246:K246">(Q246:X246*AE$4:AE$11+Q609:Y609*AF$4:AF$11+Q972:Y972*AG$4:AG$11)</f>
        <v>0</v>
      </c>
      <c r="E246" s="5">
        <v>0</v>
      </c>
      <c r="F246" s="5">
        <v>87.213885068984183</v>
      </c>
      <c r="G246" s="5">
        <v>130.88439639729177</v>
      </c>
      <c r="H246" s="5">
        <v>51.493872843242087</v>
      </c>
      <c r="I246" s="5">
        <v>6.6326814709657551</v>
      </c>
      <c r="J246" s="5">
        <v>2.7723838992027652</v>
      </c>
      <c r="K246" s="5">
        <v>0</v>
      </c>
      <c r="P246" s="2" t="s">
        <v>23</v>
      </c>
      <c r="Q246" s="10">
        <f>data_redis_illX!E212</f>
        <v>0</v>
      </c>
      <c r="R246" s="10">
        <f>data_redis_illX!F212</f>
        <v>0</v>
      </c>
      <c r="S246" s="10">
        <f>data_redis_illX!G212</f>
        <v>18.97228860920367</v>
      </c>
      <c r="T246" s="10">
        <f>data_redis_illX!H212</f>
        <v>28.489032196177227</v>
      </c>
      <c r="U246" s="10">
        <f>data_redis_illX!I212</f>
        <v>8.9230346953210837</v>
      </c>
      <c r="V246" s="10">
        <f>data_redis_illX!J212</f>
        <v>1.1681368829973884</v>
      </c>
      <c r="W246" s="10">
        <f>data_redis_illX!K212</f>
        <v>0</v>
      </c>
      <c r="X246" s="10">
        <f>data_redis_illX!L212</f>
        <v>0</v>
      </c>
      <c r="Y246" s="5">
        <f t="shared" si="3"/>
        <v>57.552492383699366</v>
      </c>
    </row>
    <row r="247" spans="3:25" x14ac:dyDescent="0.25">
      <c r="C247" t="s">
        <v>24</v>
      </c>
      <c r="D247" s="5">
        <f t="array" ref="D247:K247">(Q247:X247*AE$4:AE$11+Q610:Y610*AF$4:AF$11+Q973:Y973*AG$4:AG$11)</f>
        <v>0</v>
      </c>
      <c r="E247" s="5">
        <v>0</v>
      </c>
      <c r="F247" s="5">
        <v>91.369098427538944</v>
      </c>
      <c r="G247" s="5">
        <v>245.2536560802223</v>
      </c>
      <c r="H247" s="5">
        <v>165.80245557958739</v>
      </c>
      <c r="I247" s="5">
        <v>17.088730617088348</v>
      </c>
      <c r="J247" s="5">
        <v>2.7723838992027652</v>
      </c>
      <c r="K247" s="5">
        <v>0</v>
      </c>
      <c r="P247" s="2" t="s">
        <v>24</v>
      </c>
      <c r="Q247" s="10">
        <f>data_redis_illX!E213</f>
        <v>0</v>
      </c>
      <c r="R247" s="10">
        <f>data_redis_illX!F213</f>
        <v>0</v>
      </c>
      <c r="S247" s="10">
        <f>data_redis_illX!G213</f>
        <v>14.508220701155746</v>
      </c>
      <c r="T247" s="10">
        <f>data_redis_illX!H213</f>
        <v>83.187974012837515</v>
      </c>
      <c r="U247" s="10">
        <f>data_redis_illX!I213</f>
        <v>46.845932150435686</v>
      </c>
      <c r="V247" s="10">
        <f>data_redis_illX!J213</f>
        <v>2.3362737659947768</v>
      </c>
      <c r="W247" s="10">
        <f>data_redis_illX!K213</f>
        <v>0</v>
      </c>
      <c r="X247" s="10">
        <f>data_redis_illX!L213</f>
        <v>0</v>
      </c>
      <c r="Y247" s="5">
        <f t="shared" si="3"/>
        <v>146.87840063042373</v>
      </c>
    </row>
    <row r="248" spans="3:25" x14ac:dyDescent="0.25">
      <c r="C248" t="s">
        <v>25</v>
      </c>
      <c r="D248" s="5">
        <f t="array" ref="D248:K248">(Q248:X248*AE$4:AE$11+Q611:Y611*AF$4:AF$11+Q974:Y974*AG$4:AG$11)</f>
        <v>0</v>
      </c>
      <c r="E248" s="5">
        <v>0</v>
      </c>
      <c r="F248" s="5">
        <v>46.092440603457341</v>
      </c>
      <c r="G248" s="5">
        <v>87.872271004728688</v>
      </c>
      <c r="H248" s="5">
        <v>30.20845376928159</v>
      </c>
      <c r="I248" s="5">
        <v>4.5955060301648185</v>
      </c>
      <c r="J248" s="5">
        <v>0</v>
      </c>
      <c r="K248" s="5">
        <v>0</v>
      </c>
      <c r="P248" s="2" t="s">
        <v>25</v>
      </c>
      <c r="Q248" s="10">
        <f>data_redis_illX!E214</f>
        <v>0</v>
      </c>
      <c r="R248" s="10">
        <f>data_redis_illX!F214</f>
        <v>0</v>
      </c>
      <c r="S248" s="10">
        <f>data_redis_illX!G214</f>
        <v>11.160169770119804</v>
      </c>
      <c r="T248" s="10">
        <f>data_redis_illX!H214</f>
        <v>27.34947090833014</v>
      </c>
      <c r="U248" s="10">
        <f>data_redis_illX!I214</f>
        <v>8.9230346953210837</v>
      </c>
      <c r="V248" s="10">
        <f>data_redis_illX!J214</f>
        <v>3.5044106489921654</v>
      </c>
      <c r="W248" s="10">
        <f>data_redis_illX!K214</f>
        <v>0</v>
      </c>
      <c r="X248" s="10">
        <f>data_redis_illX!L214</f>
        <v>0</v>
      </c>
      <c r="Y248" s="5">
        <f t="shared" si="3"/>
        <v>50.937086022763189</v>
      </c>
    </row>
    <row r="249" spans="3:25" x14ac:dyDescent="0.25">
      <c r="C249" t="s">
        <v>26</v>
      </c>
      <c r="D249" s="5">
        <f t="array" ref="D249:K249">(Q249:X249*AE$4:AE$11+Q612:Y612*AF$4:AF$11+Q975:Y975*AG$4:AG$11)</f>
        <v>0</v>
      </c>
      <c r="E249" s="5">
        <v>0</v>
      </c>
      <c r="F249" s="5">
        <v>84.407929735859952</v>
      </c>
      <c r="G249" s="5">
        <v>121.33335415564656</v>
      </c>
      <c r="H249" s="5">
        <v>51.646778301998978</v>
      </c>
      <c r="I249" s="5">
        <v>13.26536294193151</v>
      </c>
      <c r="J249" s="5">
        <v>4.9552197200982881</v>
      </c>
      <c r="K249" s="5">
        <v>0</v>
      </c>
      <c r="P249" s="2" t="s">
        <v>26</v>
      </c>
      <c r="Q249" s="10">
        <f>data_redis_illX!E215</f>
        <v>0</v>
      </c>
      <c r="R249" s="10">
        <f>data_redis_illX!F215</f>
        <v>0</v>
      </c>
      <c r="S249" s="10">
        <f>data_redis_illX!G215</f>
        <v>16.740254655179708</v>
      </c>
      <c r="T249" s="10">
        <f>data_redis_illX!H215</f>
        <v>47.249118180550226</v>
      </c>
      <c r="U249" s="10">
        <f>data_redis_illX!I215</f>
        <v>16.730690053727034</v>
      </c>
      <c r="V249" s="10">
        <f>data_redis_illX!J215</f>
        <v>2.3362737659947768</v>
      </c>
      <c r="W249" s="10">
        <f>data_redis_illX!K215</f>
        <v>1.0186567164179106</v>
      </c>
      <c r="X249" s="10">
        <f>data_redis_illX!L215</f>
        <v>0</v>
      </c>
      <c r="Y249" s="5">
        <f t="shared" si="3"/>
        <v>84.074993371869652</v>
      </c>
    </row>
    <row r="250" spans="3:25" x14ac:dyDescent="0.25">
      <c r="C250" t="s">
        <v>27</v>
      </c>
      <c r="D250" s="5">
        <f t="array" ref="D250:K250">(Q250:X250*AE$4:AE$11+Q613:Y613*AF$4:AF$11+Q976:Y976*AG$4:AG$11)</f>
        <v>0</v>
      </c>
      <c r="E250" s="5">
        <v>0</v>
      </c>
      <c r="F250" s="5">
        <v>249.36881004666128</v>
      </c>
      <c r="G250" s="5">
        <v>467.7426856385008</v>
      </c>
      <c r="H250" s="5">
        <v>112.36635585970355</v>
      </c>
      <c r="I250" s="5">
        <v>11.701227530944715</v>
      </c>
      <c r="J250" s="5">
        <v>5.5447677984055304</v>
      </c>
      <c r="K250" s="5">
        <v>2.834721525338685</v>
      </c>
      <c r="P250" s="2" t="s">
        <v>27</v>
      </c>
      <c r="Q250" s="10">
        <f>data_redis_illX!E216</f>
        <v>0</v>
      </c>
      <c r="R250" s="10">
        <f>data_redis_illX!F216</f>
        <v>0</v>
      </c>
      <c r="S250" s="10">
        <f>data_redis_illX!G216</f>
        <v>47.988730011515152</v>
      </c>
      <c r="T250" s="10">
        <f>data_redis_illX!H216</f>
        <v>64.954993407284093</v>
      </c>
      <c r="U250" s="10">
        <f>data_redis_illX!I216</f>
        <v>25.653724749048116</v>
      </c>
      <c r="V250" s="10">
        <f>data_redis_illX!J216</f>
        <v>3.5044106489921654</v>
      </c>
      <c r="W250" s="10">
        <f>data_redis_illX!K216</f>
        <v>0</v>
      </c>
      <c r="X250" s="10">
        <f>data_redis_illX!L216</f>
        <v>0</v>
      </c>
      <c r="Y250" s="5">
        <f t="shared" si="3"/>
        <v>142.10185881683952</v>
      </c>
    </row>
    <row r="251" spans="3:25" x14ac:dyDescent="0.25">
      <c r="C251" t="s">
        <v>28</v>
      </c>
      <c r="D251" s="5">
        <f t="array" ref="D251:K251">(Q251:X251*AE$4:AE$11+Q614:Y614*AF$4:AF$11+Q977:Y977*AG$4:AG$11)</f>
        <v>0</v>
      </c>
      <c r="E251" s="5">
        <v>0</v>
      </c>
      <c r="F251" s="5">
        <v>414.40209776808092</v>
      </c>
      <c r="G251" s="5">
        <v>1070.7047395615455</v>
      </c>
      <c r="H251" s="5">
        <v>661.49428197180191</v>
      </c>
      <c r="I251" s="5">
        <v>165.55698588559375</v>
      </c>
      <c r="J251" s="5">
        <v>38.50741276058244</v>
      </c>
      <c r="K251" s="5">
        <v>14.569655332123972</v>
      </c>
      <c r="P251" s="2" t="s">
        <v>28</v>
      </c>
      <c r="Q251" s="10">
        <f>data_redis_illX!E217</f>
        <v>0</v>
      </c>
      <c r="R251" s="10">
        <f>data_redis_illX!F217</f>
        <v>0</v>
      </c>
      <c r="S251" s="10">
        <f>data_redis_illX!G217</f>
        <v>143.85017305753351</v>
      </c>
      <c r="T251" s="10">
        <f>data_redis_illX!H217</f>
        <v>350.37242074787599</v>
      </c>
      <c r="U251" s="10">
        <f>data_redis_illX!I217</f>
        <v>266.57566152271738</v>
      </c>
      <c r="V251" s="10">
        <f>data_redis_illX!J217</f>
        <v>33.875969606924265</v>
      </c>
      <c r="W251" s="10">
        <f>data_redis_illX!K217</f>
        <v>4.0746268656716422</v>
      </c>
      <c r="X251" s="10">
        <f>data_redis_illX!L217</f>
        <v>1.0769230769230769</v>
      </c>
      <c r="Y251" s="5">
        <f t="shared" si="3"/>
        <v>799.82577487764593</v>
      </c>
    </row>
    <row r="252" spans="3:25" x14ac:dyDescent="0.25">
      <c r="C252" t="s">
        <v>29</v>
      </c>
      <c r="D252" s="5">
        <f t="array" ref="D252:K252">(Q252:X252*AE$4:AE$11+Q615:Y615*AF$4:AF$11+Q978:Y978*AG$4:AG$11)</f>
        <v>0</v>
      </c>
      <c r="E252" s="5">
        <v>0</v>
      </c>
      <c r="F252" s="5">
        <v>15.19660751650107</v>
      </c>
      <c r="G252" s="5">
        <v>65.530119061748522</v>
      </c>
      <c r="H252" s="5">
        <v>42.491764697300972</v>
      </c>
      <c r="I252" s="5">
        <v>1.1681368829973884</v>
      </c>
      <c r="J252" s="5">
        <v>0</v>
      </c>
      <c r="K252" s="5">
        <v>0</v>
      </c>
      <c r="P252" s="2" t="s">
        <v>29</v>
      </c>
      <c r="Q252" s="10">
        <f>data_redis_illX!E218</f>
        <v>0</v>
      </c>
      <c r="R252" s="10">
        <f>data_redis_illX!F218</f>
        <v>0</v>
      </c>
      <c r="S252" s="10">
        <f>data_redis_illX!G218</f>
        <v>6.696101862071882</v>
      </c>
      <c r="T252" s="10">
        <f>data_redis_illX!H218</f>
        <v>18.232980605553426</v>
      </c>
      <c r="U252" s="10">
        <f>data_redis_illX!I218</f>
        <v>22.30758673830271</v>
      </c>
      <c r="V252" s="10">
        <f>data_redis_illX!J218</f>
        <v>1.1681368829973884</v>
      </c>
      <c r="W252" s="10">
        <f>data_redis_illX!K218</f>
        <v>0</v>
      </c>
      <c r="X252" s="10">
        <f>data_redis_illX!L218</f>
        <v>0</v>
      </c>
      <c r="Y252" s="5">
        <f t="shared" si="3"/>
        <v>48.404806088925405</v>
      </c>
    </row>
    <row r="253" spans="3:25" x14ac:dyDescent="0.25">
      <c r="C253" t="s">
        <v>30</v>
      </c>
      <c r="D253" s="5">
        <f t="array" ref="D253:K253">(Q253:X253*AE$4:AE$11+Q616:Y616*AF$4:AF$11+Q979:Y979*AG$4:AG$11)</f>
        <v>0</v>
      </c>
      <c r="E253" s="5">
        <v>0</v>
      </c>
      <c r="F253" s="5">
        <v>280.22792422482149</v>
      </c>
      <c r="G253" s="5">
        <v>684.40991916099483</v>
      </c>
      <c r="H253" s="5">
        <v>514.19041695063368</v>
      </c>
      <c r="I253" s="5">
        <v>90.145127000507216</v>
      </c>
      <c r="J253" s="5">
        <v>33.697715428543852</v>
      </c>
      <c r="K253" s="5">
        <v>17.008329152032111</v>
      </c>
      <c r="P253" s="2" t="s">
        <v>30</v>
      </c>
      <c r="Q253" s="10">
        <f>data_redis_illX!E219</f>
        <v>0</v>
      </c>
      <c r="R253" s="10">
        <f>data_redis_illX!F219</f>
        <v>0</v>
      </c>
      <c r="S253" s="10">
        <f>data_redis_illX!G219</f>
        <v>42.292628149443274</v>
      </c>
      <c r="T253" s="10">
        <f>data_redis_illX!H219</f>
        <v>121.93305779963853</v>
      </c>
      <c r="U253" s="10">
        <f>data_redis_illX!I219</f>
        <v>97.038002311616779</v>
      </c>
      <c r="V253" s="10">
        <f>data_redis_illX!J219</f>
        <v>8.1769581809817193</v>
      </c>
      <c r="W253" s="10">
        <f>data_redis_illX!K219</f>
        <v>2.0373134328358211</v>
      </c>
      <c r="X253" s="10">
        <f>data_redis_illX!L219</f>
        <v>0</v>
      </c>
      <c r="Y253" s="5">
        <f t="shared" si="3"/>
        <v>271.47795987451616</v>
      </c>
    </row>
    <row r="254" spans="3:25" x14ac:dyDescent="0.25">
      <c r="C254" t="s">
        <v>31</v>
      </c>
      <c r="D254" s="5">
        <f t="array" ref="D254:K254">(Q254:X254*AE$4:AE$11+Q617:Y617*AF$4:AF$11+Q980:Y980*AG$4:AG$11)</f>
        <v>0</v>
      </c>
      <c r="E254" s="5">
        <v>0</v>
      </c>
      <c r="F254" s="5">
        <v>11.526428527885866</v>
      </c>
      <c r="G254" s="5">
        <v>16.980119742239058</v>
      </c>
      <c r="H254" s="5">
        <v>12.625780630294512</v>
      </c>
      <c r="I254" s="5">
        <v>4.9915045581542241</v>
      </c>
      <c r="J254" s="5">
        <v>0</v>
      </c>
      <c r="K254" s="5">
        <v>0</v>
      </c>
      <c r="P254" s="2" t="s">
        <v>31</v>
      </c>
      <c r="Q254" s="10">
        <f>data_redis_illX!E220</f>
        <v>0</v>
      </c>
      <c r="R254" s="10">
        <f>data_redis_illX!F220</f>
        <v>0</v>
      </c>
      <c r="S254" s="10">
        <f>data_redis_illX!G220</f>
        <v>1.1160169770119805</v>
      </c>
      <c r="T254" s="10">
        <f>data_redis_illX!H220</f>
        <v>3.4186838635412675</v>
      </c>
      <c r="U254" s="10">
        <f>data_redis_illX!I220</f>
        <v>3.3461380107454062</v>
      </c>
      <c r="V254" s="10">
        <f>data_redis_illX!J220</f>
        <v>1.1681368829973884</v>
      </c>
      <c r="W254" s="10">
        <f>data_redis_illX!K220</f>
        <v>0</v>
      </c>
      <c r="X254" s="10">
        <f>data_redis_illX!L220</f>
        <v>0</v>
      </c>
      <c r="Y254" s="5">
        <f t="shared" si="3"/>
        <v>9.0489757342960431</v>
      </c>
    </row>
    <row r="255" spans="3:25" x14ac:dyDescent="0.25">
      <c r="C255" t="s">
        <v>32</v>
      </c>
      <c r="D255" s="5">
        <f t="array" ref="D255:K255">(Q255:X255*AE$4:AE$11+Q618:Y618*AF$4:AF$11+Q981:Y981*AG$4:AG$11)</f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P255" s="2" t="s">
        <v>32</v>
      </c>
      <c r="Q255" s="10">
        <f>data_redis_illX!E221</f>
        <v>0</v>
      </c>
      <c r="R255" s="10">
        <f>data_redis_illX!F221</f>
        <v>0</v>
      </c>
      <c r="S255" s="10">
        <f>data_redis_illX!G221</f>
        <v>0</v>
      </c>
      <c r="T255" s="10">
        <f>data_redis_illX!H221</f>
        <v>0</v>
      </c>
      <c r="U255" s="10">
        <f>data_redis_illX!I221</f>
        <v>0</v>
      </c>
      <c r="V255" s="10">
        <f>data_redis_illX!J221</f>
        <v>0</v>
      </c>
      <c r="W255" s="10">
        <f>data_redis_illX!K221</f>
        <v>0</v>
      </c>
      <c r="X255" s="10">
        <f>data_redis_illX!L221</f>
        <v>0</v>
      </c>
      <c r="Y255" s="5">
        <f t="shared" si="3"/>
        <v>0</v>
      </c>
    </row>
    <row r="256" spans="3:25" x14ac:dyDescent="0.25">
      <c r="C256" t="s">
        <v>33</v>
      </c>
      <c r="D256" s="5">
        <f t="array" ref="D256:K256">(Q256:X256*AE$4:AE$11+Q619:Y619*AF$4:AF$11+Q982:Y982*AG$4:AG$11)</f>
        <v>0</v>
      </c>
      <c r="E256" s="5">
        <v>0</v>
      </c>
      <c r="F256" s="5">
        <v>0</v>
      </c>
      <c r="G256" s="5">
        <v>3.9005436443621706</v>
      </c>
      <c r="H256" s="5">
        <v>0</v>
      </c>
      <c r="I256" s="5">
        <v>0</v>
      </c>
      <c r="J256" s="5">
        <v>0</v>
      </c>
      <c r="K256" s="5">
        <v>0</v>
      </c>
      <c r="P256" s="2" t="s">
        <v>33</v>
      </c>
      <c r="Q256" s="10">
        <f>data_redis_illX!E222</f>
        <v>0</v>
      </c>
      <c r="R256" s="10">
        <f>data_redis_illX!F222</f>
        <v>0</v>
      </c>
      <c r="S256" s="10">
        <f>data_redis_illX!G222</f>
        <v>0</v>
      </c>
      <c r="T256" s="10">
        <f>data_redis_illX!H222</f>
        <v>0</v>
      </c>
      <c r="U256" s="10">
        <f>data_redis_illX!I222</f>
        <v>0</v>
      </c>
      <c r="V256" s="10">
        <f>data_redis_illX!J222</f>
        <v>0</v>
      </c>
      <c r="W256" s="10">
        <f>data_redis_illX!K222</f>
        <v>0</v>
      </c>
      <c r="X256" s="10">
        <f>data_redis_illX!L222</f>
        <v>0</v>
      </c>
      <c r="Y256" s="5">
        <f t="shared" si="3"/>
        <v>0</v>
      </c>
    </row>
    <row r="257" spans="1:25" x14ac:dyDescent="0.25">
      <c r="C257" t="s">
        <v>34</v>
      </c>
      <c r="D257" s="5">
        <f t="array" ref="D257:K257">(Q257:X257*AE$4:AE$11+Q620:Y620*AF$4:AF$11+Q983:Y983*AG$4:AG$11)</f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P257" s="2" t="s">
        <v>34</v>
      </c>
      <c r="Q257" s="10">
        <f>data_redis_illX!E223</f>
        <v>0</v>
      </c>
      <c r="R257" s="10">
        <f>data_redis_illX!F223</f>
        <v>0</v>
      </c>
      <c r="S257" s="10">
        <f>data_redis_illX!G223</f>
        <v>0</v>
      </c>
      <c r="T257" s="10">
        <f>data_redis_illX!H223</f>
        <v>0</v>
      </c>
      <c r="U257" s="10">
        <f>data_redis_illX!I223</f>
        <v>0</v>
      </c>
      <c r="V257" s="10">
        <f>data_redis_illX!J223</f>
        <v>0</v>
      </c>
      <c r="W257" s="10">
        <f>data_redis_illX!K223</f>
        <v>0</v>
      </c>
      <c r="X257" s="10">
        <f>data_redis_illX!L223</f>
        <v>0</v>
      </c>
      <c r="Y257" s="5">
        <f t="shared" si="3"/>
        <v>0</v>
      </c>
    </row>
    <row r="258" spans="1:25" x14ac:dyDescent="0.25">
      <c r="C258" t="s">
        <v>35</v>
      </c>
      <c r="D258" s="5">
        <f t="array" ref="D258:K258">(Q258:X258*AE$4:AE$11+Q621:Y621*AF$4:AF$11+Q984:Y984*AG$4:AG$11)</f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P258" s="2" t="s">
        <v>35</v>
      </c>
      <c r="Q258" s="10">
        <f>data_redis_illX!E224</f>
        <v>0</v>
      </c>
      <c r="R258" s="10">
        <f>data_redis_illX!F224</f>
        <v>0</v>
      </c>
      <c r="S258" s="10">
        <f>data_redis_illX!G224</f>
        <v>0</v>
      </c>
      <c r="T258" s="10">
        <f>data_redis_illX!H224</f>
        <v>0</v>
      </c>
      <c r="U258" s="10">
        <f>data_redis_illX!I224</f>
        <v>0</v>
      </c>
      <c r="V258" s="10">
        <f>data_redis_illX!J224</f>
        <v>0</v>
      </c>
      <c r="W258" s="10">
        <f>data_redis_illX!K224</f>
        <v>0</v>
      </c>
      <c r="X258" s="10">
        <f>data_redis_illX!L224</f>
        <v>0</v>
      </c>
      <c r="Y258" s="5">
        <f t="shared" si="3"/>
        <v>0</v>
      </c>
    </row>
    <row r="259" spans="1:25" x14ac:dyDescent="0.25">
      <c r="C259" t="s">
        <v>36</v>
      </c>
      <c r="D259" s="5">
        <f t="array" ref="D259:K259">(Q259:X259*AE$4:AE$11+Q622:Y622*AF$4:AF$11+Q985:Y985*AG$4:AG$11)</f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P259" s="2" t="s">
        <v>36</v>
      </c>
      <c r="Q259" s="10">
        <f>data_redis_illX!E225</f>
        <v>0</v>
      </c>
      <c r="R259" s="10">
        <f>data_redis_illX!F225</f>
        <v>0</v>
      </c>
      <c r="S259" s="10">
        <f>data_redis_illX!G225</f>
        <v>0</v>
      </c>
      <c r="T259" s="10">
        <f>data_redis_illX!H225</f>
        <v>0</v>
      </c>
      <c r="U259" s="10">
        <f>data_redis_illX!I225</f>
        <v>0</v>
      </c>
      <c r="V259" s="10">
        <f>data_redis_illX!J225</f>
        <v>0</v>
      </c>
      <c r="W259" s="10">
        <f>data_redis_illX!K225</f>
        <v>0</v>
      </c>
      <c r="X259" s="10">
        <f>data_redis_illX!L225</f>
        <v>0</v>
      </c>
      <c r="Y259" s="5">
        <f t="shared" si="3"/>
        <v>0</v>
      </c>
    </row>
    <row r="260" spans="1:25" x14ac:dyDescent="0.25">
      <c r="C260" t="s">
        <v>37</v>
      </c>
      <c r="D260" s="5">
        <f t="array" ref="D260:K260">(Q260:X260*AE$4:AE$11+Q623:Y623*AF$4:AF$11+Q986:Y986*AG$4:AG$11)</f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P260" s="2" t="s">
        <v>37</v>
      </c>
      <c r="Q260" s="10">
        <f>data_redis_illX!E226</f>
        <v>0</v>
      </c>
      <c r="R260" s="10">
        <f>data_redis_illX!F226</f>
        <v>0</v>
      </c>
      <c r="S260" s="10">
        <f>data_redis_illX!G226</f>
        <v>0</v>
      </c>
      <c r="T260" s="10">
        <f>data_redis_illX!H226</f>
        <v>0</v>
      </c>
      <c r="U260" s="10">
        <f>data_redis_illX!I226</f>
        <v>0</v>
      </c>
      <c r="V260" s="10">
        <f>data_redis_illX!J226</f>
        <v>0</v>
      </c>
      <c r="W260" s="10">
        <f>data_redis_illX!K226</f>
        <v>0</v>
      </c>
      <c r="X260" s="10">
        <f>data_redis_illX!L226</f>
        <v>0</v>
      </c>
      <c r="Y260" s="5">
        <f t="shared" si="3"/>
        <v>0</v>
      </c>
    </row>
    <row r="261" spans="1:25" x14ac:dyDescent="0.25">
      <c r="C261" t="s">
        <v>38</v>
      </c>
      <c r="D261" s="5">
        <f t="array" ref="D261:K261">(Q261:X261*AE$4:AE$11+Q624:Y624*AF$4:AF$11+Q987:Y987*AG$4:AG$11)</f>
        <v>0</v>
      </c>
      <c r="E261" s="5">
        <v>0</v>
      </c>
      <c r="F261" s="5">
        <v>0</v>
      </c>
      <c r="G261" s="5">
        <v>10.849148702958232</v>
      </c>
      <c r="H261" s="5">
        <v>3.8415131717774242</v>
      </c>
      <c r="I261" s="5">
        <v>2.7322722939841833</v>
      </c>
      <c r="J261" s="5">
        <v>0</v>
      </c>
      <c r="K261" s="5">
        <v>0</v>
      </c>
      <c r="P261" s="2" t="s">
        <v>38</v>
      </c>
      <c r="Q261" s="10">
        <f>data_redis_illX!E227</f>
        <v>0</v>
      </c>
      <c r="R261" s="10">
        <f>data_redis_illX!F227</f>
        <v>0</v>
      </c>
      <c r="S261" s="10">
        <f>data_redis_illX!G227</f>
        <v>0</v>
      </c>
      <c r="T261" s="10">
        <f>data_redis_illX!H227</f>
        <v>0</v>
      </c>
      <c r="U261" s="10">
        <f>data_redis_illX!I227</f>
        <v>1.1153793369151355</v>
      </c>
      <c r="V261" s="10">
        <f>data_redis_illX!J227</f>
        <v>0</v>
      </c>
      <c r="W261" s="10">
        <f>data_redis_illX!K227</f>
        <v>0</v>
      </c>
      <c r="X261" s="10">
        <f>data_redis_illX!L227</f>
        <v>0</v>
      </c>
      <c r="Y261" s="5">
        <f t="shared" ref="Y261:Y324" si="4">SUM(Q261:X261)</f>
        <v>1.1153793369151355</v>
      </c>
    </row>
    <row r="262" spans="1:25" x14ac:dyDescent="0.25">
      <c r="C262" t="s">
        <v>39</v>
      </c>
      <c r="D262" s="5">
        <f t="array" ref="D262:K262">(Q262:X262*AE$4:AE$11+Q625:Y625*AF$4:AF$11+Q988:Y988*AG$4:AG$11)</f>
        <v>0</v>
      </c>
      <c r="E262" s="5">
        <v>0</v>
      </c>
      <c r="F262" s="5">
        <v>1.0984332929974154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P262" s="2" t="s">
        <v>39</v>
      </c>
      <c r="Q262" s="10">
        <f>data_redis_illX!E228</f>
        <v>0</v>
      </c>
      <c r="R262" s="10">
        <f>data_redis_illX!F228</f>
        <v>0</v>
      </c>
      <c r="S262" s="10">
        <f>data_redis_illX!G228</f>
        <v>0</v>
      </c>
      <c r="T262" s="10">
        <f>data_redis_illX!H228</f>
        <v>0</v>
      </c>
      <c r="U262" s="10">
        <f>data_redis_illX!I228</f>
        <v>0</v>
      </c>
      <c r="V262" s="10">
        <f>data_redis_illX!J228</f>
        <v>0</v>
      </c>
      <c r="W262" s="10">
        <f>data_redis_illX!K228</f>
        <v>0</v>
      </c>
      <c r="X262" s="10">
        <f>data_redis_illX!L228</f>
        <v>0</v>
      </c>
      <c r="Y262" s="5">
        <f t="shared" si="4"/>
        <v>0</v>
      </c>
    </row>
    <row r="263" spans="1:25" x14ac:dyDescent="0.25">
      <c r="C263" t="s">
        <v>40</v>
      </c>
      <c r="D263" s="5">
        <f t="array" ref="D263:K263">(Q263:X263*AE$4:AE$11+Q626:Y626*AF$4:AF$11+Q989:Y989*AG$4:AG$11)</f>
        <v>0</v>
      </c>
      <c r="E263" s="5">
        <v>0</v>
      </c>
      <c r="F263" s="5">
        <v>1.1160169770119805</v>
      </c>
      <c r="G263" s="5">
        <v>0</v>
      </c>
      <c r="H263" s="5">
        <v>1.1153793369151355</v>
      </c>
      <c r="I263" s="5">
        <v>0</v>
      </c>
      <c r="J263" s="5">
        <v>0</v>
      </c>
      <c r="K263" s="5">
        <v>0</v>
      </c>
      <c r="P263" s="2" t="s">
        <v>40</v>
      </c>
      <c r="Q263" s="10">
        <f>data_redis_illX!E229</f>
        <v>0</v>
      </c>
      <c r="R263" s="10">
        <f>data_redis_illX!F229</f>
        <v>0</v>
      </c>
      <c r="S263" s="10">
        <f>data_redis_illX!G229</f>
        <v>1.1160169770119805</v>
      </c>
      <c r="T263" s="10">
        <f>data_redis_illX!H229</f>
        <v>0</v>
      </c>
      <c r="U263" s="10">
        <f>data_redis_illX!I229</f>
        <v>1.1153793369151355</v>
      </c>
      <c r="V263" s="10">
        <f>data_redis_illX!J229</f>
        <v>0</v>
      </c>
      <c r="W263" s="10">
        <f>data_redis_illX!K229</f>
        <v>0</v>
      </c>
      <c r="X263" s="10">
        <f>data_redis_illX!L229</f>
        <v>0</v>
      </c>
      <c r="Y263" s="5">
        <f t="shared" si="4"/>
        <v>2.231396313927116</v>
      </c>
    </row>
    <row r="264" spans="1:25" x14ac:dyDescent="0.25">
      <c r="C264" t="s">
        <v>41</v>
      </c>
      <c r="D264" s="5">
        <f t="array" ref="D264:K264">(Q264:X264*AE$4:AE$11+Q627:Y627*AF$4:AF$11+Q990:Y990*AG$4:AG$11)</f>
        <v>0</v>
      </c>
      <c r="E264" s="5">
        <v>0</v>
      </c>
      <c r="F264" s="5">
        <v>0</v>
      </c>
      <c r="G264" s="5">
        <v>0</v>
      </c>
      <c r="H264" s="5">
        <v>3.8415131717774242</v>
      </c>
      <c r="I264" s="5">
        <v>0</v>
      </c>
      <c r="J264" s="5">
        <v>0</v>
      </c>
      <c r="K264" s="5">
        <v>0</v>
      </c>
      <c r="P264" s="2" t="s">
        <v>41</v>
      </c>
      <c r="Q264" s="10">
        <f>data_redis_illX!E230</f>
        <v>0</v>
      </c>
      <c r="R264" s="10">
        <f>data_redis_illX!F230</f>
        <v>0</v>
      </c>
      <c r="S264" s="10">
        <f>data_redis_illX!G230</f>
        <v>0</v>
      </c>
      <c r="T264" s="10">
        <f>data_redis_illX!H230</f>
        <v>0</v>
      </c>
      <c r="U264" s="10">
        <f>data_redis_illX!I230</f>
        <v>1.1153793369151355</v>
      </c>
      <c r="V264" s="10">
        <f>data_redis_illX!J230</f>
        <v>0</v>
      </c>
      <c r="W264" s="10">
        <f>data_redis_illX!K230</f>
        <v>0</v>
      </c>
      <c r="X264" s="10">
        <f>data_redis_illX!L230</f>
        <v>0</v>
      </c>
      <c r="Y264" s="5">
        <f t="shared" si="4"/>
        <v>1.1153793369151355</v>
      </c>
    </row>
    <row r="265" spans="1:25" x14ac:dyDescent="0.25">
      <c r="C265" t="s">
        <v>42</v>
      </c>
      <c r="D265" s="5">
        <f t="array" ref="D265:K265">(Q265:X265*AE$4:AE$11+Q628:Y628*AF$4:AF$11+Q991:Y991*AG$4:AG$11)</f>
        <v>0</v>
      </c>
      <c r="E265" s="5">
        <v>0</v>
      </c>
      <c r="F265" s="5">
        <v>15.209881024587183</v>
      </c>
      <c r="G265" s="5">
        <v>44.47361394894201</v>
      </c>
      <c r="H265" s="5">
        <v>10.409160178417137</v>
      </c>
      <c r="I265" s="5">
        <v>0</v>
      </c>
      <c r="J265" s="5">
        <v>2.7723838992027652</v>
      </c>
      <c r="K265" s="5">
        <v>0</v>
      </c>
      <c r="P265" s="2" t="s">
        <v>42</v>
      </c>
      <c r="Q265" s="10">
        <f>data_redis_illX!E231</f>
        <v>0</v>
      </c>
      <c r="R265" s="10">
        <f>data_redis_illX!F231</f>
        <v>0</v>
      </c>
      <c r="S265" s="10">
        <f>data_redis_illX!G231</f>
        <v>0</v>
      </c>
      <c r="T265" s="10">
        <f>data_redis_illX!H231</f>
        <v>6.837367727082535</v>
      </c>
      <c r="U265" s="10">
        <f>data_redis_illX!I231</f>
        <v>2.2307586738302709</v>
      </c>
      <c r="V265" s="10">
        <f>data_redis_illX!J231</f>
        <v>0</v>
      </c>
      <c r="W265" s="10">
        <f>data_redis_illX!K231</f>
        <v>0</v>
      </c>
      <c r="X265" s="10">
        <f>data_redis_illX!L231</f>
        <v>0</v>
      </c>
      <c r="Y265" s="5">
        <f t="shared" si="4"/>
        <v>9.0681264009128064</v>
      </c>
    </row>
    <row r="266" spans="1:25" x14ac:dyDescent="0.25">
      <c r="C266" t="s">
        <v>43</v>
      </c>
      <c r="D266" s="5">
        <f t="array" ref="D266:K266">(Q266:X266*AE$4:AE$11+Q629:Y629*AF$4:AF$11+Q992:Y992*AG$4:AG$11)</f>
        <v>0</v>
      </c>
      <c r="E266" s="5">
        <v>0</v>
      </c>
      <c r="F266" s="5">
        <v>1.1160169770119805</v>
      </c>
      <c r="G266" s="5">
        <v>2.2791225756941782</v>
      </c>
      <c r="H266" s="5">
        <v>2.726133834862289</v>
      </c>
      <c r="I266" s="5">
        <v>0</v>
      </c>
      <c r="J266" s="5">
        <v>1.0186567164179106</v>
      </c>
      <c r="K266" s="5">
        <v>0</v>
      </c>
      <c r="P266" s="2" t="s">
        <v>43</v>
      </c>
      <c r="Q266" s="10">
        <f>data_redis_illX!E232</f>
        <v>0</v>
      </c>
      <c r="R266" s="10">
        <f>data_redis_illX!F232</f>
        <v>0</v>
      </c>
      <c r="S266" s="10">
        <f>data_redis_illX!G232</f>
        <v>1.1160169770119805</v>
      </c>
      <c r="T266" s="10">
        <f>data_redis_illX!H232</f>
        <v>2.2791225756941782</v>
      </c>
      <c r="U266" s="10">
        <f>data_redis_illX!I232</f>
        <v>0</v>
      </c>
      <c r="V266" s="10">
        <f>data_redis_illX!J232</f>
        <v>0</v>
      </c>
      <c r="W266" s="10">
        <f>data_redis_illX!K232</f>
        <v>1.0186567164179106</v>
      </c>
      <c r="X266" s="10">
        <f>data_redis_illX!L232</f>
        <v>0</v>
      </c>
      <c r="Y266" s="5">
        <f t="shared" si="4"/>
        <v>4.4137962691240693</v>
      </c>
    </row>
    <row r="267" spans="1:25" x14ac:dyDescent="0.25">
      <c r="C267" t="s">
        <v>44</v>
      </c>
      <c r="D267" s="5">
        <f t="array" ref="D267:K267">(Q267:X267*AE$4:AE$11+Q630:Y630*AF$4:AF$11+Q993:Y993*AG$4:AG$11)</f>
        <v>0</v>
      </c>
      <c r="E267" s="5">
        <v>0</v>
      </c>
      <c r="F267" s="5">
        <v>68.704393989476287</v>
      </c>
      <c r="G267" s="5">
        <v>183.73489819455324</v>
      </c>
      <c r="H267" s="5">
        <v>41.718855062660964</v>
      </c>
      <c r="I267" s="5">
        <v>12.869364413942105</v>
      </c>
      <c r="J267" s="5">
        <v>0</v>
      </c>
      <c r="K267" s="5">
        <v>0</v>
      </c>
      <c r="P267" s="2" t="s">
        <v>44</v>
      </c>
      <c r="Q267" s="10">
        <f>data_redis_illX!E233</f>
        <v>0</v>
      </c>
      <c r="R267" s="10">
        <f>data_redis_illX!F233</f>
        <v>0</v>
      </c>
      <c r="S267" s="10">
        <f>data_redis_illX!G233</f>
        <v>11.160169770119804</v>
      </c>
      <c r="T267" s="10">
        <f>data_redis_illX!H233</f>
        <v>34.713944014232247</v>
      </c>
      <c r="U267" s="10">
        <f>data_redis_illX!I233</f>
        <v>11.153793369151355</v>
      </c>
      <c r="V267" s="10">
        <f>data_redis_illX!J233</f>
        <v>4.6725475319895535</v>
      </c>
      <c r="W267" s="10">
        <f>data_redis_illX!K233</f>
        <v>0</v>
      </c>
      <c r="X267" s="10">
        <f>data_redis_illX!L233</f>
        <v>0</v>
      </c>
      <c r="Y267" s="5">
        <f t="shared" si="4"/>
        <v>61.700454685492957</v>
      </c>
    </row>
    <row r="268" spans="1:25" x14ac:dyDescent="0.25">
      <c r="A268">
        <v>1</v>
      </c>
      <c r="B268" t="s">
        <v>52</v>
      </c>
      <c r="C268" t="s">
        <v>12</v>
      </c>
      <c r="D268" s="5">
        <f t="array" ref="D268:K268">(Q268:X268*AE$4:AE$11+Q631:Y631*AF$4:AF$11+Q994:Y994*AG$4:AG$11)</f>
        <v>0</v>
      </c>
      <c r="E268" s="5">
        <v>0</v>
      </c>
      <c r="F268" s="5">
        <v>0</v>
      </c>
      <c r="G268" s="5">
        <v>0</v>
      </c>
      <c r="H268" s="5">
        <v>0</v>
      </c>
      <c r="I268" s="5">
        <v>3.093036759922476E-2</v>
      </c>
      <c r="J268" s="5">
        <v>0</v>
      </c>
      <c r="K268" s="5">
        <v>0</v>
      </c>
      <c r="M268">
        <v>1</v>
      </c>
      <c r="N268" t="s">
        <v>103</v>
      </c>
      <c r="O268" t="s">
        <v>52</v>
      </c>
      <c r="P268" s="2" t="s">
        <v>12</v>
      </c>
      <c r="Q268" s="10">
        <f>data_redis_illX!E234</f>
        <v>0</v>
      </c>
      <c r="R268" s="10">
        <f>data_redis_illX!F234</f>
        <v>0</v>
      </c>
      <c r="S268" s="10">
        <f>data_redis_illX!G234</f>
        <v>0</v>
      </c>
      <c r="T268" s="10">
        <f>data_redis_illX!H234</f>
        <v>0</v>
      </c>
      <c r="U268" s="10">
        <f>data_redis_illX!I234</f>
        <v>0</v>
      </c>
      <c r="V268" s="10">
        <f>data_redis_illX!J234</f>
        <v>3.093036759922476E-2</v>
      </c>
      <c r="W268" s="10">
        <f>data_redis_illX!K234</f>
        <v>0</v>
      </c>
      <c r="X268" s="10">
        <f>data_redis_illX!L234</f>
        <v>0</v>
      </c>
      <c r="Y268" s="5">
        <f t="shared" si="4"/>
        <v>3.093036759922476E-2</v>
      </c>
    </row>
    <row r="269" spans="1:25" x14ac:dyDescent="0.25">
      <c r="C269" t="s">
        <v>13</v>
      </c>
      <c r="D269" s="5">
        <f t="array" ref="D269:K269">(Q269:X269*AE$4:AE$11+Q632:Y632*AF$4:AF$11+Q995:Y995*AG$4:AG$11)</f>
        <v>0</v>
      </c>
      <c r="E269" s="5">
        <v>0</v>
      </c>
      <c r="F269" s="5">
        <v>0</v>
      </c>
      <c r="G269" s="5">
        <v>0</v>
      </c>
      <c r="H269" s="5">
        <v>0</v>
      </c>
      <c r="I269" s="5">
        <v>3.093036759922476E-2</v>
      </c>
      <c r="J269" s="5">
        <v>0</v>
      </c>
      <c r="K269" s="5">
        <v>0</v>
      </c>
      <c r="P269" s="2" t="s">
        <v>13</v>
      </c>
      <c r="Q269" s="10">
        <f>data_redis_illX!E235</f>
        <v>0</v>
      </c>
      <c r="R269" s="10">
        <f>data_redis_illX!F235</f>
        <v>0</v>
      </c>
      <c r="S269" s="10">
        <f>data_redis_illX!G235</f>
        <v>0</v>
      </c>
      <c r="T269" s="10">
        <f>data_redis_illX!H235</f>
        <v>0</v>
      </c>
      <c r="U269" s="10">
        <f>data_redis_illX!I235</f>
        <v>0</v>
      </c>
      <c r="V269" s="10">
        <f>data_redis_illX!J235</f>
        <v>3.093036759922476E-2</v>
      </c>
      <c r="W269" s="10">
        <f>data_redis_illX!K235</f>
        <v>0</v>
      </c>
      <c r="X269" s="10">
        <f>data_redis_illX!L235</f>
        <v>0</v>
      </c>
      <c r="Y269" s="5">
        <f t="shared" si="4"/>
        <v>3.093036759922476E-2</v>
      </c>
    </row>
    <row r="270" spans="1:25" x14ac:dyDescent="0.25">
      <c r="C270" t="s">
        <v>14</v>
      </c>
      <c r="D270" s="5">
        <f t="array" ref="D270:K270">(Q270:X270*AE$4:AE$11+Q633:Y633*AF$4:AF$11+Q996:Y996*AG$4:AG$11)</f>
        <v>0</v>
      </c>
      <c r="E270" s="5">
        <v>0</v>
      </c>
      <c r="F270" s="5">
        <v>0</v>
      </c>
      <c r="G270" s="5">
        <v>0</v>
      </c>
      <c r="H270" s="5">
        <v>0</v>
      </c>
      <c r="I270" s="5">
        <v>3.093036759922476E-2</v>
      </c>
      <c r="J270" s="5">
        <v>0</v>
      </c>
      <c r="K270" s="5">
        <v>0</v>
      </c>
      <c r="P270" s="2" t="s">
        <v>14</v>
      </c>
      <c r="Q270" s="10">
        <f>data_redis_illX!E236</f>
        <v>0</v>
      </c>
      <c r="R270" s="10">
        <f>data_redis_illX!F236</f>
        <v>0</v>
      </c>
      <c r="S270" s="10">
        <f>data_redis_illX!G236</f>
        <v>0</v>
      </c>
      <c r="T270" s="10">
        <f>data_redis_illX!H236</f>
        <v>0</v>
      </c>
      <c r="U270" s="10">
        <f>data_redis_illX!I236</f>
        <v>0</v>
      </c>
      <c r="V270" s="10">
        <f>data_redis_illX!J236</f>
        <v>3.093036759922476E-2</v>
      </c>
      <c r="W270" s="10">
        <f>data_redis_illX!K236</f>
        <v>0</v>
      </c>
      <c r="X270" s="10">
        <f>data_redis_illX!L236</f>
        <v>0</v>
      </c>
      <c r="Y270" s="5">
        <f t="shared" si="4"/>
        <v>3.093036759922476E-2</v>
      </c>
    </row>
    <row r="271" spans="1:25" x14ac:dyDescent="0.25">
      <c r="C271" t="s">
        <v>15</v>
      </c>
      <c r="D271" s="5">
        <f t="array" ref="D271:K271">(Q271:X271*AE$4:AE$11+Q634:Y634*AF$4:AF$11+Q997:Y997*AG$4:AG$11)</f>
        <v>0</v>
      </c>
      <c r="E271" s="5">
        <v>0</v>
      </c>
      <c r="F271" s="5">
        <v>0</v>
      </c>
      <c r="G271" s="5">
        <v>0</v>
      </c>
      <c r="H271" s="5">
        <v>0</v>
      </c>
      <c r="I271" s="5">
        <v>3.093036759922476E-2</v>
      </c>
      <c r="J271" s="5">
        <v>0</v>
      </c>
      <c r="K271" s="5">
        <v>0</v>
      </c>
      <c r="P271" s="2" t="s">
        <v>15</v>
      </c>
      <c r="Q271" s="10">
        <f>data_redis_illX!E237</f>
        <v>0</v>
      </c>
      <c r="R271" s="10">
        <f>data_redis_illX!F237</f>
        <v>0</v>
      </c>
      <c r="S271" s="10">
        <f>data_redis_illX!G237</f>
        <v>0</v>
      </c>
      <c r="T271" s="10">
        <f>data_redis_illX!H237</f>
        <v>0</v>
      </c>
      <c r="U271" s="10">
        <f>data_redis_illX!I237</f>
        <v>0</v>
      </c>
      <c r="V271" s="10">
        <f>data_redis_illX!J237</f>
        <v>3.093036759922476E-2</v>
      </c>
      <c r="W271" s="10">
        <f>data_redis_illX!K237</f>
        <v>0</v>
      </c>
      <c r="X271" s="10">
        <f>data_redis_illX!L237</f>
        <v>0</v>
      </c>
      <c r="Y271" s="5">
        <f t="shared" si="4"/>
        <v>3.093036759922476E-2</v>
      </c>
    </row>
    <row r="272" spans="1:25" x14ac:dyDescent="0.25">
      <c r="C272" t="s">
        <v>16</v>
      </c>
      <c r="D272" s="5">
        <f t="array" ref="D272:K272">(Q272:X272*AE$4:AE$11+Q635:Y635*AF$4:AF$11+Q998:Y998*AG$4:AG$11)</f>
        <v>0</v>
      </c>
      <c r="E272" s="5">
        <v>0</v>
      </c>
      <c r="F272" s="5">
        <v>0</v>
      </c>
      <c r="G272" s="5">
        <v>0</v>
      </c>
      <c r="H272" s="5">
        <v>0</v>
      </c>
      <c r="I272" s="5">
        <v>3.093036759922476E-2</v>
      </c>
      <c r="J272" s="5">
        <v>0</v>
      </c>
      <c r="K272" s="5">
        <v>0</v>
      </c>
      <c r="P272" s="2" t="s">
        <v>16</v>
      </c>
      <c r="Q272" s="10">
        <f>data_redis_illX!E238</f>
        <v>0</v>
      </c>
      <c r="R272" s="10">
        <f>data_redis_illX!F238</f>
        <v>0</v>
      </c>
      <c r="S272" s="10">
        <f>data_redis_illX!G238</f>
        <v>0</v>
      </c>
      <c r="T272" s="10">
        <f>data_redis_illX!H238</f>
        <v>0</v>
      </c>
      <c r="U272" s="10">
        <f>data_redis_illX!I238</f>
        <v>0</v>
      </c>
      <c r="V272" s="10">
        <f>data_redis_illX!J238</f>
        <v>3.093036759922476E-2</v>
      </c>
      <c r="W272" s="10">
        <f>data_redis_illX!K238</f>
        <v>0</v>
      </c>
      <c r="X272" s="10">
        <f>data_redis_illX!L238</f>
        <v>0</v>
      </c>
      <c r="Y272" s="5">
        <f t="shared" si="4"/>
        <v>3.093036759922476E-2</v>
      </c>
    </row>
    <row r="273" spans="3:25" x14ac:dyDescent="0.25">
      <c r="C273" t="s">
        <v>17</v>
      </c>
      <c r="D273" s="5">
        <f t="array" ref="D273:K273">(Q273:X273*AE$4:AE$11+Q636:Y636*AF$4:AF$11+Q999:Y999*AG$4:AG$11)</f>
        <v>0</v>
      </c>
      <c r="E273" s="5">
        <v>0</v>
      </c>
      <c r="F273" s="5">
        <v>0</v>
      </c>
      <c r="G273" s="5">
        <v>0</v>
      </c>
      <c r="H273" s="5">
        <v>0</v>
      </c>
      <c r="I273" s="5">
        <v>3.093036759922476E-2</v>
      </c>
      <c r="J273" s="5">
        <v>0</v>
      </c>
      <c r="K273" s="5">
        <v>0</v>
      </c>
      <c r="P273" s="2" t="s">
        <v>17</v>
      </c>
      <c r="Q273" s="10">
        <f>data_redis_illX!E239</f>
        <v>0</v>
      </c>
      <c r="R273" s="10">
        <f>data_redis_illX!F239</f>
        <v>0</v>
      </c>
      <c r="S273" s="10">
        <f>data_redis_illX!G239</f>
        <v>0</v>
      </c>
      <c r="T273" s="10">
        <f>data_redis_illX!H239</f>
        <v>0</v>
      </c>
      <c r="U273" s="10">
        <f>data_redis_illX!I239</f>
        <v>0</v>
      </c>
      <c r="V273" s="10">
        <f>data_redis_illX!J239</f>
        <v>3.093036759922476E-2</v>
      </c>
      <c r="W273" s="10">
        <f>data_redis_illX!K239</f>
        <v>0</v>
      </c>
      <c r="X273" s="10">
        <f>data_redis_illX!L239</f>
        <v>0</v>
      </c>
      <c r="Y273" s="5">
        <f t="shared" si="4"/>
        <v>3.093036759922476E-2</v>
      </c>
    </row>
    <row r="274" spans="3:25" x14ac:dyDescent="0.25">
      <c r="C274" t="s">
        <v>18</v>
      </c>
      <c r="D274" s="5">
        <f t="array" ref="D274:K274">(Q274:X274*AE$4:AE$11+Q637:Y637*AF$4:AF$11+Q1000:Y1000*AG$4:AG$11)</f>
        <v>0</v>
      </c>
      <c r="E274" s="5">
        <v>0</v>
      </c>
      <c r="F274" s="5">
        <v>0</v>
      </c>
      <c r="G274" s="5">
        <v>0</v>
      </c>
      <c r="H274" s="5">
        <v>0</v>
      </c>
      <c r="I274" s="5">
        <v>3.093036759922476E-2</v>
      </c>
      <c r="J274" s="5">
        <v>0</v>
      </c>
      <c r="K274" s="5">
        <v>0</v>
      </c>
      <c r="P274" s="2" t="s">
        <v>18</v>
      </c>
      <c r="Q274" s="10">
        <f>data_redis_illX!E240</f>
        <v>0</v>
      </c>
      <c r="R274" s="10">
        <f>data_redis_illX!F240</f>
        <v>0</v>
      </c>
      <c r="S274" s="10">
        <f>data_redis_illX!G240</f>
        <v>0</v>
      </c>
      <c r="T274" s="10">
        <f>data_redis_illX!H240</f>
        <v>0</v>
      </c>
      <c r="U274" s="10">
        <f>data_redis_illX!I240</f>
        <v>0</v>
      </c>
      <c r="V274" s="10">
        <f>data_redis_illX!J240</f>
        <v>3.093036759922476E-2</v>
      </c>
      <c r="W274" s="10">
        <f>data_redis_illX!K240</f>
        <v>0</v>
      </c>
      <c r="X274" s="10">
        <f>data_redis_illX!L240</f>
        <v>0</v>
      </c>
      <c r="Y274" s="5">
        <f t="shared" si="4"/>
        <v>3.093036759922476E-2</v>
      </c>
    </row>
    <row r="275" spans="3:25" x14ac:dyDescent="0.25">
      <c r="C275" t="s">
        <v>19</v>
      </c>
      <c r="D275" s="5">
        <f t="array" ref="D275:K275">(Q275:X275*AE$4:AE$11+Q638:Y638*AF$4:AF$11+Q1001:Y1001*AG$4:AG$11)</f>
        <v>0</v>
      </c>
      <c r="E275" s="5">
        <v>0</v>
      </c>
      <c r="F275" s="5">
        <v>0</v>
      </c>
      <c r="G275" s="5">
        <v>0</v>
      </c>
      <c r="H275" s="5">
        <v>0</v>
      </c>
      <c r="I275" s="5">
        <v>3.093036759922476E-2</v>
      </c>
      <c r="J275" s="5">
        <v>0</v>
      </c>
      <c r="K275" s="5">
        <v>0</v>
      </c>
      <c r="P275" s="2" t="s">
        <v>19</v>
      </c>
      <c r="Q275" s="10">
        <f>data_redis_illX!E241</f>
        <v>0</v>
      </c>
      <c r="R275" s="10">
        <f>data_redis_illX!F241</f>
        <v>0</v>
      </c>
      <c r="S275" s="10">
        <f>data_redis_illX!G241</f>
        <v>0</v>
      </c>
      <c r="T275" s="10">
        <f>data_redis_illX!H241</f>
        <v>0</v>
      </c>
      <c r="U275" s="10">
        <f>data_redis_illX!I241</f>
        <v>0</v>
      </c>
      <c r="V275" s="10">
        <f>data_redis_illX!J241</f>
        <v>3.093036759922476E-2</v>
      </c>
      <c r="W275" s="10">
        <f>data_redis_illX!K241</f>
        <v>0</v>
      </c>
      <c r="X275" s="10">
        <f>data_redis_illX!L241</f>
        <v>0</v>
      </c>
      <c r="Y275" s="5">
        <f t="shared" si="4"/>
        <v>3.093036759922476E-2</v>
      </c>
    </row>
    <row r="276" spans="3:25" x14ac:dyDescent="0.25">
      <c r="C276" t="s">
        <v>20</v>
      </c>
      <c r="D276" s="5">
        <f t="array" ref="D276:K276">(Q276:X276*AE$4:AE$11+Q639:Y639*AF$4:AF$11+Q1002:Y1002*AG$4:AG$11)</f>
        <v>0</v>
      </c>
      <c r="E276" s="5">
        <v>0</v>
      </c>
      <c r="F276" s="5">
        <v>0</v>
      </c>
      <c r="G276" s="5">
        <v>0</v>
      </c>
      <c r="H276" s="5">
        <v>0</v>
      </c>
      <c r="I276" s="5">
        <v>3.093036759922476E-2</v>
      </c>
      <c r="J276" s="5">
        <v>0</v>
      </c>
      <c r="K276" s="5">
        <v>0</v>
      </c>
      <c r="P276" s="2" t="s">
        <v>20</v>
      </c>
      <c r="Q276" s="10">
        <f>data_redis_illX!E242</f>
        <v>0</v>
      </c>
      <c r="R276" s="10">
        <f>data_redis_illX!F242</f>
        <v>0</v>
      </c>
      <c r="S276" s="10">
        <f>data_redis_illX!G242</f>
        <v>0</v>
      </c>
      <c r="T276" s="10">
        <f>data_redis_illX!H242</f>
        <v>0</v>
      </c>
      <c r="U276" s="10">
        <f>data_redis_illX!I242</f>
        <v>0</v>
      </c>
      <c r="V276" s="10">
        <f>data_redis_illX!J242</f>
        <v>3.093036759922476E-2</v>
      </c>
      <c r="W276" s="10">
        <f>data_redis_illX!K242</f>
        <v>0</v>
      </c>
      <c r="X276" s="10">
        <f>data_redis_illX!L242</f>
        <v>0</v>
      </c>
      <c r="Y276" s="5">
        <f t="shared" si="4"/>
        <v>3.093036759922476E-2</v>
      </c>
    </row>
    <row r="277" spans="3:25" x14ac:dyDescent="0.25">
      <c r="C277" t="s">
        <v>21</v>
      </c>
      <c r="D277" s="5">
        <f t="array" ref="D277:K277">(Q277:X277*AE$4:AE$11+Q640:Y640*AF$4:AF$11+Q1003:Y1003*AG$4:AG$11)</f>
        <v>0</v>
      </c>
      <c r="E277" s="5">
        <v>0</v>
      </c>
      <c r="F277" s="5">
        <v>1.0078408564615462</v>
      </c>
      <c r="G277" s="5">
        <v>0</v>
      </c>
      <c r="H277" s="5">
        <v>0</v>
      </c>
      <c r="I277" s="5">
        <v>3.093036759922476E-2</v>
      </c>
      <c r="J277" s="5">
        <v>0</v>
      </c>
      <c r="K277" s="5">
        <v>0</v>
      </c>
      <c r="P277" s="2" t="s">
        <v>21</v>
      </c>
      <c r="Q277" s="10">
        <f>data_redis_illX!E243</f>
        <v>0</v>
      </c>
      <c r="R277" s="10">
        <f>data_redis_illX!F243</f>
        <v>0</v>
      </c>
      <c r="S277" s="10">
        <f>data_redis_illX!G243</f>
        <v>0</v>
      </c>
      <c r="T277" s="10">
        <f>data_redis_illX!H243</f>
        <v>0</v>
      </c>
      <c r="U277" s="10">
        <f>data_redis_illX!I243</f>
        <v>0</v>
      </c>
      <c r="V277" s="10">
        <f>data_redis_illX!J243</f>
        <v>3.093036759922476E-2</v>
      </c>
      <c r="W277" s="10">
        <f>data_redis_illX!K243</f>
        <v>0</v>
      </c>
      <c r="X277" s="10">
        <f>data_redis_illX!L243</f>
        <v>0</v>
      </c>
      <c r="Y277" s="5">
        <f t="shared" si="4"/>
        <v>3.093036759922476E-2</v>
      </c>
    </row>
    <row r="278" spans="3:25" x14ac:dyDescent="0.25">
      <c r="C278" t="s">
        <v>22</v>
      </c>
      <c r="D278" s="5">
        <f t="array" ref="D278:K278">(Q278:X278*AE$4:AE$11+Q641:Y641*AF$4:AF$11+Q1004:Y1004*AG$4:AG$11)</f>
        <v>0</v>
      </c>
      <c r="E278" s="5">
        <v>0</v>
      </c>
      <c r="F278" s="5">
        <v>0</v>
      </c>
      <c r="G278" s="5">
        <v>0</v>
      </c>
      <c r="H278" s="5">
        <v>0</v>
      </c>
      <c r="I278" s="5">
        <v>3.093036759922476E-2</v>
      </c>
      <c r="J278" s="5">
        <v>0</v>
      </c>
      <c r="K278" s="5">
        <v>0</v>
      </c>
      <c r="P278" s="2" t="s">
        <v>22</v>
      </c>
      <c r="Q278" s="10">
        <f>data_redis_illX!E244</f>
        <v>0</v>
      </c>
      <c r="R278" s="10">
        <f>data_redis_illX!F244</f>
        <v>0</v>
      </c>
      <c r="S278" s="10">
        <f>data_redis_illX!G244</f>
        <v>0</v>
      </c>
      <c r="T278" s="10">
        <f>data_redis_illX!H244</f>
        <v>0</v>
      </c>
      <c r="U278" s="10">
        <f>data_redis_illX!I244</f>
        <v>0</v>
      </c>
      <c r="V278" s="10">
        <f>data_redis_illX!J244</f>
        <v>3.093036759922476E-2</v>
      </c>
      <c r="W278" s="10">
        <f>data_redis_illX!K244</f>
        <v>0</v>
      </c>
      <c r="X278" s="10">
        <f>data_redis_illX!L244</f>
        <v>0</v>
      </c>
      <c r="Y278" s="5">
        <f t="shared" si="4"/>
        <v>3.093036759922476E-2</v>
      </c>
    </row>
    <row r="279" spans="3:25" x14ac:dyDescent="0.25">
      <c r="C279" t="s">
        <v>23</v>
      </c>
      <c r="D279" s="5">
        <f t="array" ref="D279:K279">(Q279:X279*AE$4:AE$11+Q642:Y642*AF$4:AF$11+Q1005:Y1005*AG$4:AG$11)</f>
        <v>0</v>
      </c>
      <c r="E279" s="5">
        <v>0</v>
      </c>
      <c r="F279" s="5">
        <v>0</v>
      </c>
      <c r="G279" s="5">
        <v>0</v>
      </c>
      <c r="H279" s="5">
        <v>0</v>
      </c>
      <c r="I279" s="5">
        <v>3.093036759922476E-2</v>
      </c>
      <c r="J279" s="5">
        <v>0</v>
      </c>
      <c r="K279" s="5">
        <v>0</v>
      </c>
      <c r="P279" s="2" t="s">
        <v>23</v>
      </c>
      <c r="Q279" s="10">
        <f>data_redis_illX!E245</f>
        <v>0</v>
      </c>
      <c r="R279" s="10">
        <f>data_redis_illX!F245</f>
        <v>0</v>
      </c>
      <c r="S279" s="10">
        <f>data_redis_illX!G245</f>
        <v>0</v>
      </c>
      <c r="T279" s="10">
        <f>data_redis_illX!H245</f>
        <v>0</v>
      </c>
      <c r="U279" s="10">
        <f>data_redis_illX!I245</f>
        <v>0</v>
      </c>
      <c r="V279" s="10">
        <f>data_redis_illX!J245</f>
        <v>3.093036759922476E-2</v>
      </c>
      <c r="W279" s="10">
        <f>data_redis_illX!K245</f>
        <v>0</v>
      </c>
      <c r="X279" s="10">
        <f>data_redis_illX!L245</f>
        <v>0</v>
      </c>
      <c r="Y279" s="5">
        <f t="shared" si="4"/>
        <v>3.093036759922476E-2</v>
      </c>
    </row>
    <row r="280" spans="3:25" x14ac:dyDescent="0.25">
      <c r="C280" t="s">
        <v>24</v>
      </c>
      <c r="D280" s="5">
        <f t="array" ref="D280:K280">(Q280:X280*AE$4:AE$11+Q643:Y643*AF$4:AF$11+Q1006:Y1006*AG$4:AG$11)</f>
        <v>0</v>
      </c>
      <c r="E280" s="5">
        <v>0</v>
      </c>
      <c r="F280" s="5">
        <v>0</v>
      </c>
      <c r="G280" s="5">
        <v>0</v>
      </c>
      <c r="H280" s="5">
        <v>0</v>
      </c>
      <c r="I280" s="5">
        <v>3.093036759922476E-2</v>
      </c>
      <c r="J280" s="5">
        <v>0</v>
      </c>
      <c r="K280" s="5">
        <v>0</v>
      </c>
      <c r="P280" s="2" t="s">
        <v>24</v>
      </c>
      <c r="Q280" s="10">
        <f>data_redis_illX!E246</f>
        <v>0</v>
      </c>
      <c r="R280" s="10">
        <f>data_redis_illX!F246</f>
        <v>0</v>
      </c>
      <c r="S280" s="10">
        <f>data_redis_illX!G246</f>
        <v>0</v>
      </c>
      <c r="T280" s="10">
        <f>data_redis_illX!H246</f>
        <v>0</v>
      </c>
      <c r="U280" s="10">
        <f>data_redis_illX!I246</f>
        <v>0</v>
      </c>
      <c r="V280" s="10">
        <f>data_redis_illX!J246</f>
        <v>3.093036759922476E-2</v>
      </c>
      <c r="W280" s="10">
        <f>data_redis_illX!K246</f>
        <v>0</v>
      </c>
      <c r="X280" s="10">
        <f>data_redis_illX!L246</f>
        <v>0</v>
      </c>
      <c r="Y280" s="5">
        <f t="shared" si="4"/>
        <v>3.093036759922476E-2</v>
      </c>
    </row>
    <row r="281" spans="3:25" x14ac:dyDescent="0.25">
      <c r="C281" t="s">
        <v>25</v>
      </c>
      <c r="D281" s="5">
        <f t="array" ref="D281:K281">(Q281:X281*AE$4:AE$11+Q644:Y644*AF$4:AF$11+Q1007:Y1007*AG$4:AG$11)</f>
        <v>0</v>
      </c>
      <c r="E281" s="5">
        <v>0</v>
      </c>
      <c r="F281" s="5">
        <v>0</v>
      </c>
      <c r="G281" s="5">
        <v>0</v>
      </c>
      <c r="H281" s="5">
        <v>0</v>
      </c>
      <c r="I281" s="5">
        <v>3.093036759922476E-2</v>
      </c>
      <c r="J281" s="5">
        <v>0</v>
      </c>
      <c r="K281" s="5">
        <v>0</v>
      </c>
      <c r="P281" s="2" t="s">
        <v>25</v>
      </c>
      <c r="Q281" s="10">
        <f>data_redis_illX!E247</f>
        <v>0</v>
      </c>
      <c r="R281" s="10">
        <f>data_redis_illX!F247</f>
        <v>0</v>
      </c>
      <c r="S281" s="10">
        <f>data_redis_illX!G247</f>
        <v>0</v>
      </c>
      <c r="T281" s="10">
        <f>data_redis_illX!H247</f>
        <v>0</v>
      </c>
      <c r="U281" s="10">
        <f>data_redis_illX!I247</f>
        <v>0</v>
      </c>
      <c r="V281" s="10">
        <f>data_redis_illX!J247</f>
        <v>3.093036759922476E-2</v>
      </c>
      <c r="W281" s="10">
        <f>data_redis_illX!K247</f>
        <v>0</v>
      </c>
      <c r="X281" s="10">
        <f>data_redis_illX!L247</f>
        <v>0</v>
      </c>
      <c r="Y281" s="5">
        <f t="shared" si="4"/>
        <v>3.093036759922476E-2</v>
      </c>
    </row>
    <row r="282" spans="3:25" x14ac:dyDescent="0.25">
      <c r="C282" t="s">
        <v>26</v>
      </c>
      <c r="D282" s="5">
        <f t="array" ref="D282:K282">(Q282:X282*AE$4:AE$11+Q645:Y645*AF$4:AF$11+Q1008:Y1008*AG$4:AG$11)</f>
        <v>0</v>
      </c>
      <c r="E282" s="5">
        <v>0</v>
      </c>
      <c r="F282" s="5">
        <v>0</v>
      </c>
      <c r="G282" s="5">
        <v>0</v>
      </c>
      <c r="H282" s="5">
        <v>0</v>
      </c>
      <c r="I282" s="5">
        <v>3.093036759922476E-2</v>
      </c>
      <c r="J282" s="5">
        <v>0</v>
      </c>
      <c r="K282" s="5">
        <v>0</v>
      </c>
      <c r="P282" s="2" t="s">
        <v>26</v>
      </c>
      <c r="Q282" s="10">
        <f>data_redis_illX!E248</f>
        <v>0</v>
      </c>
      <c r="R282" s="10">
        <f>data_redis_illX!F248</f>
        <v>0</v>
      </c>
      <c r="S282" s="10">
        <f>data_redis_illX!G248</f>
        <v>0</v>
      </c>
      <c r="T282" s="10">
        <f>data_redis_illX!H248</f>
        <v>0</v>
      </c>
      <c r="U282" s="10">
        <f>data_redis_illX!I248</f>
        <v>0</v>
      </c>
      <c r="V282" s="10">
        <f>data_redis_illX!J248</f>
        <v>3.093036759922476E-2</v>
      </c>
      <c r="W282" s="10">
        <f>data_redis_illX!K248</f>
        <v>0</v>
      </c>
      <c r="X282" s="10">
        <f>data_redis_illX!L248</f>
        <v>0</v>
      </c>
      <c r="Y282" s="5">
        <f t="shared" si="4"/>
        <v>3.093036759922476E-2</v>
      </c>
    </row>
    <row r="283" spans="3:25" x14ac:dyDescent="0.25">
      <c r="C283" t="s">
        <v>27</v>
      </c>
      <c r="D283" s="5">
        <f t="array" ref="D283:K283">(Q283:X283*AE$4:AE$11+Q646:Y646*AF$4:AF$11+Q1009:Y1009*AG$4:AG$11)</f>
        <v>0</v>
      </c>
      <c r="E283" s="5">
        <v>0</v>
      </c>
      <c r="F283" s="5">
        <v>0</v>
      </c>
      <c r="G283" s="5">
        <v>0</v>
      </c>
      <c r="H283" s="5">
        <v>0</v>
      </c>
      <c r="I283" s="5">
        <v>3.093036759922476E-2</v>
      </c>
      <c r="J283" s="5">
        <v>0</v>
      </c>
      <c r="K283" s="5">
        <v>0</v>
      </c>
      <c r="P283" s="2" t="s">
        <v>27</v>
      </c>
      <c r="Q283" s="10">
        <f>data_redis_illX!E249</f>
        <v>0</v>
      </c>
      <c r="R283" s="10">
        <f>data_redis_illX!F249</f>
        <v>0</v>
      </c>
      <c r="S283" s="10">
        <f>data_redis_illX!G249</f>
        <v>0</v>
      </c>
      <c r="T283" s="10">
        <f>data_redis_illX!H249</f>
        <v>0</v>
      </c>
      <c r="U283" s="10">
        <f>data_redis_illX!I249</f>
        <v>0</v>
      </c>
      <c r="V283" s="10">
        <f>data_redis_illX!J249</f>
        <v>3.093036759922476E-2</v>
      </c>
      <c r="W283" s="10">
        <f>data_redis_illX!K249</f>
        <v>0</v>
      </c>
      <c r="X283" s="10">
        <f>data_redis_illX!L249</f>
        <v>0</v>
      </c>
      <c r="Y283" s="5">
        <f t="shared" si="4"/>
        <v>3.093036759922476E-2</v>
      </c>
    </row>
    <row r="284" spans="3:25" x14ac:dyDescent="0.25">
      <c r="C284" t="s">
        <v>28</v>
      </c>
      <c r="D284" s="5">
        <f t="array" ref="D284:K284">(Q284:X284*AE$4:AE$11+Q647:Y647*AF$4:AF$11+Q1010:Y1010*AG$4:AG$11)</f>
        <v>0</v>
      </c>
      <c r="E284" s="5">
        <v>0</v>
      </c>
      <c r="F284" s="5">
        <v>2.007840856461546</v>
      </c>
      <c r="G284" s="5">
        <v>0</v>
      </c>
      <c r="H284" s="5">
        <v>0</v>
      </c>
      <c r="I284" s="5">
        <v>3.093036759922476E-2</v>
      </c>
      <c r="J284" s="5">
        <v>0</v>
      </c>
      <c r="K284" s="5">
        <v>0</v>
      </c>
      <c r="P284" s="2" t="s">
        <v>28</v>
      </c>
      <c r="Q284" s="10">
        <f>data_redis_illX!E250</f>
        <v>0</v>
      </c>
      <c r="R284" s="10">
        <f>data_redis_illX!F250</f>
        <v>0</v>
      </c>
      <c r="S284" s="10">
        <f>data_redis_illX!G250</f>
        <v>2.007840856461546</v>
      </c>
      <c r="T284" s="10">
        <f>data_redis_illX!H250</f>
        <v>0</v>
      </c>
      <c r="U284" s="10">
        <f>data_redis_illX!I250</f>
        <v>0</v>
      </c>
      <c r="V284" s="10">
        <f>data_redis_illX!J250</f>
        <v>3.093036759922476E-2</v>
      </c>
      <c r="W284" s="10">
        <f>data_redis_illX!K250</f>
        <v>0</v>
      </c>
      <c r="X284" s="10">
        <f>data_redis_illX!L250</f>
        <v>0</v>
      </c>
      <c r="Y284" s="5">
        <f t="shared" si="4"/>
        <v>2.0387712240607709</v>
      </c>
    </row>
    <row r="285" spans="3:25" x14ac:dyDescent="0.25">
      <c r="C285" t="s">
        <v>29</v>
      </c>
      <c r="D285" s="5">
        <f t="array" ref="D285:K285">(Q285:X285*AE$4:AE$11+Q648:Y648*AF$4:AF$11+Q1011:Y1011*AG$4:AG$11)</f>
        <v>0</v>
      </c>
      <c r="E285" s="5">
        <v>0</v>
      </c>
      <c r="F285" s="5">
        <v>0</v>
      </c>
      <c r="G285" s="5">
        <v>2.1935345136549351</v>
      </c>
      <c r="H285" s="5">
        <v>0</v>
      </c>
      <c r="I285" s="5">
        <v>3.093036759922476E-2</v>
      </c>
      <c r="J285" s="5">
        <v>0</v>
      </c>
      <c r="K285" s="5">
        <v>0</v>
      </c>
      <c r="P285" s="2" t="s">
        <v>29</v>
      </c>
      <c r="Q285" s="10">
        <f>data_redis_illX!E251</f>
        <v>0</v>
      </c>
      <c r="R285" s="10">
        <f>data_redis_illX!F251</f>
        <v>0</v>
      </c>
      <c r="S285" s="10">
        <f>data_redis_illX!G251</f>
        <v>0</v>
      </c>
      <c r="T285" s="10">
        <f>data_redis_illX!H251</f>
        <v>0</v>
      </c>
      <c r="U285" s="10">
        <f>data_redis_illX!I251</f>
        <v>0</v>
      </c>
      <c r="V285" s="10">
        <f>data_redis_illX!J251</f>
        <v>3.093036759922476E-2</v>
      </c>
      <c r="W285" s="10">
        <f>data_redis_illX!K251</f>
        <v>0</v>
      </c>
      <c r="X285" s="10">
        <f>data_redis_illX!L251</f>
        <v>0</v>
      </c>
      <c r="Y285" s="5">
        <f t="shared" si="4"/>
        <v>3.093036759922476E-2</v>
      </c>
    </row>
    <row r="286" spans="3:25" x14ac:dyDescent="0.25">
      <c r="C286" t="s">
        <v>30</v>
      </c>
      <c r="D286" s="5">
        <f t="array" ref="D286:K286">(Q286:X286*AE$4:AE$11+Q649:Y649*AF$4:AF$11+Q1012:Y1012*AG$4:AG$11)</f>
        <v>0</v>
      </c>
      <c r="E286" s="5">
        <v>0</v>
      </c>
      <c r="F286" s="5">
        <v>0</v>
      </c>
      <c r="G286" s="5">
        <v>2.2209073775126056</v>
      </c>
      <c r="H286" s="5">
        <v>0</v>
      </c>
      <c r="I286" s="5">
        <v>3.093036759922476E-2</v>
      </c>
      <c r="J286" s="5">
        <v>0</v>
      </c>
      <c r="K286" s="5">
        <v>0</v>
      </c>
      <c r="P286" s="2" t="s">
        <v>30</v>
      </c>
      <c r="Q286" s="10">
        <f>data_redis_illX!E252</f>
        <v>0</v>
      </c>
      <c r="R286" s="10">
        <f>data_redis_illX!F252</f>
        <v>0</v>
      </c>
      <c r="S286" s="10">
        <f>data_redis_illX!G252</f>
        <v>0</v>
      </c>
      <c r="T286" s="10">
        <f>data_redis_illX!H252</f>
        <v>0</v>
      </c>
      <c r="U286" s="10">
        <f>data_redis_illX!I252</f>
        <v>0</v>
      </c>
      <c r="V286" s="10">
        <f>data_redis_illX!J252</f>
        <v>3.093036759922476E-2</v>
      </c>
      <c r="W286" s="10">
        <f>data_redis_illX!K252</f>
        <v>0</v>
      </c>
      <c r="X286" s="10">
        <f>data_redis_illX!L252</f>
        <v>0</v>
      </c>
      <c r="Y286" s="5">
        <f t="shared" si="4"/>
        <v>3.093036759922476E-2</v>
      </c>
    </row>
    <row r="287" spans="3:25" x14ac:dyDescent="0.25">
      <c r="C287" t="s">
        <v>31</v>
      </c>
      <c r="D287" s="5">
        <f t="array" ref="D287:K287">(Q287:X287*AE$4:AE$11+Q650:Y650*AF$4:AF$11+Q1013:Y1013*AG$4:AG$11)</f>
        <v>0</v>
      </c>
      <c r="E287" s="5">
        <v>0</v>
      </c>
      <c r="F287" s="5">
        <v>0</v>
      </c>
      <c r="G287" s="5">
        <v>0</v>
      </c>
      <c r="H287" s="5">
        <v>1.2722671972101638</v>
      </c>
      <c r="I287" s="5">
        <v>3.093036759922476E-2</v>
      </c>
      <c r="J287" s="5">
        <v>0</v>
      </c>
      <c r="K287" s="5">
        <v>0</v>
      </c>
      <c r="P287" s="2" t="s">
        <v>31</v>
      </c>
      <c r="Q287" s="10">
        <f>data_redis_illX!E253</f>
        <v>0</v>
      </c>
      <c r="R287" s="10">
        <f>data_redis_illX!F253</f>
        <v>0</v>
      </c>
      <c r="S287" s="10">
        <f>data_redis_illX!G253</f>
        <v>0</v>
      </c>
      <c r="T287" s="10">
        <f>data_redis_illX!H253</f>
        <v>0</v>
      </c>
      <c r="U287" s="10">
        <f>data_redis_illX!I253</f>
        <v>1.2722671972101638</v>
      </c>
      <c r="V287" s="10">
        <f>data_redis_illX!J253</f>
        <v>3.093036759922476E-2</v>
      </c>
      <c r="W287" s="10">
        <f>data_redis_illX!K253</f>
        <v>0</v>
      </c>
      <c r="X287" s="10">
        <f>data_redis_illX!L253</f>
        <v>0</v>
      </c>
      <c r="Y287" s="5">
        <f t="shared" si="4"/>
        <v>1.3031975648093885</v>
      </c>
    </row>
    <row r="288" spans="3:25" x14ac:dyDescent="0.25">
      <c r="C288" t="s">
        <v>32</v>
      </c>
      <c r="D288" s="5">
        <f t="array" ref="D288:K288">(Q288:X288*AE$4:AE$11+Q651:Y651*AF$4:AF$11+Q1014:Y1014*AG$4:AG$11)</f>
        <v>0</v>
      </c>
      <c r="E288" s="5">
        <v>0</v>
      </c>
      <c r="F288" s="5">
        <v>0</v>
      </c>
      <c r="G288" s="5">
        <v>0</v>
      </c>
      <c r="H288" s="5">
        <v>0</v>
      </c>
      <c r="I288" s="5">
        <v>3.093036759922476E-2</v>
      </c>
      <c r="J288" s="5">
        <v>0</v>
      </c>
      <c r="K288" s="5">
        <v>0</v>
      </c>
      <c r="P288" s="2" t="s">
        <v>32</v>
      </c>
      <c r="Q288" s="10">
        <f>data_redis_illX!E254</f>
        <v>0</v>
      </c>
      <c r="R288" s="10">
        <f>data_redis_illX!F254</f>
        <v>0</v>
      </c>
      <c r="S288" s="10">
        <f>data_redis_illX!G254</f>
        <v>0</v>
      </c>
      <c r="T288" s="10">
        <f>data_redis_illX!H254</f>
        <v>0</v>
      </c>
      <c r="U288" s="10">
        <f>data_redis_illX!I254</f>
        <v>0</v>
      </c>
      <c r="V288" s="10">
        <f>data_redis_illX!J254</f>
        <v>3.093036759922476E-2</v>
      </c>
      <c r="W288" s="10">
        <f>data_redis_illX!K254</f>
        <v>0</v>
      </c>
      <c r="X288" s="10">
        <f>data_redis_illX!L254</f>
        <v>0</v>
      </c>
      <c r="Y288" s="5">
        <f t="shared" si="4"/>
        <v>3.093036759922476E-2</v>
      </c>
    </row>
    <row r="289" spans="1:25" x14ac:dyDescent="0.25">
      <c r="C289" t="s">
        <v>33</v>
      </c>
      <c r="D289" s="5">
        <f t="array" ref="D289:K289">(Q289:X289*AE$4:AE$11+Q652:Y652*AF$4:AF$11+Q1015:Y1015*AG$4:AG$11)</f>
        <v>0</v>
      </c>
      <c r="E289" s="5">
        <v>0</v>
      </c>
      <c r="F289" s="5">
        <v>0</v>
      </c>
      <c r="G289" s="5">
        <v>0</v>
      </c>
      <c r="H289" s="5">
        <v>0</v>
      </c>
      <c r="I289" s="5">
        <v>3.093036759922476E-2</v>
      </c>
      <c r="J289" s="5">
        <v>0</v>
      </c>
      <c r="K289" s="5">
        <v>0</v>
      </c>
      <c r="P289" s="2" t="s">
        <v>33</v>
      </c>
      <c r="Q289" s="10">
        <f>data_redis_illX!E255</f>
        <v>0</v>
      </c>
      <c r="R289" s="10">
        <f>data_redis_illX!F255</f>
        <v>0</v>
      </c>
      <c r="S289" s="10">
        <f>data_redis_illX!G255</f>
        <v>0</v>
      </c>
      <c r="T289" s="10">
        <f>data_redis_illX!H255</f>
        <v>0</v>
      </c>
      <c r="U289" s="10">
        <f>data_redis_illX!I255</f>
        <v>0</v>
      </c>
      <c r="V289" s="10">
        <f>data_redis_illX!J255</f>
        <v>3.093036759922476E-2</v>
      </c>
      <c r="W289" s="10">
        <f>data_redis_illX!K255</f>
        <v>0</v>
      </c>
      <c r="X289" s="10">
        <f>data_redis_illX!L255</f>
        <v>0</v>
      </c>
      <c r="Y289" s="5">
        <f t="shared" si="4"/>
        <v>3.093036759922476E-2</v>
      </c>
    </row>
    <row r="290" spans="1:25" x14ac:dyDescent="0.25">
      <c r="C290" t="s">
        <v>34</v>
      </c>
      <c r="D290" s="5">
        <f t="array" ref="D290:K290">(Q290:X290*AE$4:AE$11+Q653:Y653*AF$4:AF$11+Q1016:Y1016*AG$4:AG$11)</f>
        <v>0</v>
      </c>
      <c r="E290" s="5">
        <v>0</v>
      </c>
      <c r="F290" s="5">
        <v>0</v>
      </c>
      <c r="G290" s="5">
        <v>0</v>
      </c>
      <c r="H290" s="5">
        <v>0</v>
      </c>
      <c r="I290" s="5">
        <v>3.093036759922476E-2</v>
      </c>
      <c r="J290" s="5">
        <v>0</v>
      </c>
      <c r="K290" s="5">
        <v>0</v>
      </c>
      <c r="P290" s="2" t="s">
        <v>34</v>
      </c>
      <c r="Q290" s="10">
        <f>data_redis_illX!E256</f>
        <v>0</v>
      </c>
      <c r="R290" s="10">
        <f>data_redis_illX!F256</f>
        <v>0</v>
      </c>
      <c r="S290" s="10">
        <f>data_redis_illX!G256</f>
        <v>0</v>
      </c>
      <c r="T290" s="10">
        <f>data_redis_illX!H256</f>
        <v>0</v>
      </c>
      <c r="U290" s="10">
        <f>data_redis_illX!I256</f>
        <v>0</v>
      </c>
      <c r="V290" s="10">
        <f>data_redis_illX!J256</f>
        <v>3.093036759922476E-2</v>
      </c>
      <c r="W290" s="10">
        <f>data_redis_illX!K256</f>
        <v>0</v>
      </c>
      <c r="X290" s="10">
        <f>data_redis_illX!L256</f>
        <v>0</v>
      </c>
      <c r="Y290" s="5">
        <f t="shared" si="4"/>
        <v>3.093036759922476E-2</v>
      </c>
    </row>
    <row r="291" spans="1:25" x14ac:dyDescent="0.25">
      <c r="C291" t="s">
        <v>35</v>
      </c>
      <c r="D291" s="5">
        <f t="array" ref="D291:K291">(Q291:X291*AE$4:AE$11+Q654:Y654*AF$4:AF$11+Q1017:Y1017*AG$4:AG$11)</f>
        <v>0</v>
      </c>
      <c r="E291" s="5">
        <v>0</v>
      </c>
      <c r="F291" s="5">
        <v>0</v>
      </c>
      <c r="G291" s="5">
        <v>0</v>
      </c>
      <c r="H291" s="5">
        <v>0</v>
      </c>
      <c r="I291" s="5">
        <v>3.093036759922476E-2</v>
      </c>
      <c r="J291" s="5">
        <v>0</v>
      </c>
      <c r="K291" s="5">
        <v>0</v>
      </c>
      <c r="P291" s="2" t="s">
        <v>35</v>
      </c>
      <c r="Q291" s="10">
        <f>data_redis_illX!E257</f>
        <v>0</v>
      </c>
      <c r="R291" s="10">
        <f>data_redis_illX!F257</f>
        <v>0</v>
      </c>
      <c r="S291" s="10">
        <f>data_redis_illX!G257</f>
        <v>0</v>
      </c>
      <c r="T291" s="10">
        <f>data_redis_illX!H257</f>
        <v>0</v>
      </c>
      <c r="U291" s="10">
        <f>data_redis_illX!I257</f>
        <v>0</v>
      </c>
      <c r="V291" s="10">
        <f>data_redis_illX!J257</f>
        <v>3.093036759922476E-2</v>
      </c>
      <c r="W291" s="10">
        <f>data_redis_illX!K257</f>
        <v>0</v>
      </c>
      <c r="X291" s="10">
        <f>data_redis_illX!L257</f>
        <v>0</v>
      </c>
      <c r="Y291" s="5">
        <f t="shared" si="4"/>
        <v>3.093036759922476E-2</v>
      </c>
    </row>
    <row r="292" spans="1:25" x14ac:dyDescent="0.25">
      <c r="C292" t="s">
        <v>36</v>
      </c>
      <c r="D292" s="5">
        <f t="array" ref="D292:K292">(Q292:X292*AE$4:AE$11+Q655:Y655*AF$4:AF$11+Q1018:Y1018*AG$4:AG$11)</f>
        <v>0</v>
      </c>
      <c r="E292" s="5">
        <v>0</v>
      </c>
      <c r="F292" s="5">
        <v>0</v>
      </c>
      <c r="G292" s="5">
        <v>0</v>
      </c>
      <c r="H292" s="5">
        <v>0</v>
      </c>
      <c r="I292" s="5">
        <v>3.093036759922476E-2</v>
      </c>
      <c r="J292" s="5">
        <v>0</v>
      </c>
      <c r="K292" s="5">
        <v>0</v>
      </c>
      <c r="P292" s="2" t="s">
        <v>36</v>
      </c>
      <c r="Q292" s="10">
        <f>data_redis_illX!E258</f>
        <v>0</v>
      </c>
      <c r="R292" s="10">
        <f>data_redis_illX!F258</f>
        <v>0</v>
      </c>
      <c r="S292" s="10">
        <f>data_redis_illX!G258</f>
        <v>0</v>
      </c>
      <c r="T292" s="10">
        <f>data_redis_illX!H258</f>
        <v>0</v>
      </c>
      <c r="U292" s="10">
        <f>data_redis_illX!I258</f>
        <v>0</v>
      </c>
      <c r="V292" s="10">
        <f>data_redis_illX!J258</f>
        <v>3.093036759922476E-2</v>
      </c>
      <c r="W292" s="10">
        <f>data_redis_illX!K258</f>
        <v>0</v>
      </c>
      <c r="X292" s="10">
        <f>data_redis_illX!L258</f>
        <v>0</v>
      </c>
      <c r="Y292" s="5">
        <f t="shared" si="4"/>
        <v>3.093036759922476E-2</v>
      </c>
    </row>
    <row r="293" spans="1:25" x14ac:dyDescent="0.25">
      <c r="C293" t="s">
        <v>37</v>
      </c>
      <c r="D293" s="5">
        <f t="array" ref="D293:K293">(Q293:X293*AE$4:AE$11+Q656:Y656*AF$4:AF$11+Q1019:Y1019*AG$4:AG$11)</f>
        <v>0</v>
      </c>
      <c r="E293" s="5">
        <v>0</v>
      </c>
      <c r="F293" s="5">
        <v>0</v>
      </c>
      <c r="G293" s="5">
        <v>0</v>
      </c>
      <c r="H293" s="5">
        <v>0</v>
      </c>
      <c r="I293" s="5">
        <v>3.093036759922476E-2</v>
      </c>
      <c r="J293" s="5">
        <v>0</v>
      </c>
      <c r="K293" s="5">
        <v>0</v>
      </c>
      <c r="P293" s="2" t="s">
        <v>37</v>
      </c>
      <c r="Q293" s="10">
        <f>data_redis_illX!E259</f>
        <v>0</v>
      </c>
      <c r="R293" s="10">
        <f>data_redis_illX!F259</f>
        <v>0</v>
      </c>
      <c r="S293" s="10">
        <f>data_redis_illX!G259</f>
        <v>0</v>
      </c>
      <c r="T293" s="10">
        <f>data_redis_illX!H259</f>
        <v>0</v>
      </c>
      <c r="U293" s="10">
        <f>data_redis_illX!I259</f>
        <v>0</v>
      </c>
      <c r="V293" s="10">
        <f>data_redis_illX!J259</f>
        <v>3.093036759922476E-2</v>
      </c>
      <c r="W293" s="10">
        <f>data_redis_illX!K259</f>
        <v>0</v>
      </c>
      <c r="X293" s="10">
        <f>data_redis_illX!L259</f>
        <v>0</v>
      </c>
      <c r="Y293" s="5">
        <f t="shared" si="4"/>
        <v>3.093036759922476E-2</v>
      </c>
    </row>
    <row r="294" spans="1:25" x14ac:dyDescent="0.25">
      <c r="C294" t="s">
        <v>38</v>
      </c>
      <c r="D294" s="5">
        <f t="array" ref="D294:K294">(Q294:X294*AE$4:AE$11+Q657:Y657*AF$4:AF$11+Q1020:Y1020*AG$4:AG$11)</f>
        <v>0</v>
      </c>
      <c r="E294" s="5">
        <v>0</v>
      </c>
      <c r="F294" s="5">
        <v>0</v>
      </c>
      <c r="G294" s="5">
        <v>0</v>
      </c>
      <c r="H294" s="5">
        <v>0</v>
      </c>
      <c r="I294" s="5">
        <v>3.093036759922476E-2</v>
      </c>
      <c r="J294" s="5">
        <v>0</v>
      </c>
      <c r="K294" s="5">
        <v>0</v>
      </c>
      <c r="P294" s="2" t="s">
        <v>38</v>
      </c>
      <c r="Q294" s="10">
        <f>data_redis_illX!E260</f>
        <v>0</v>
      </c>
      <c r="R294" s="10">
        <f>data_redis_illX!F260</f>
        <v>0</v>
      </c>
      <c r="S294" s="10">
        <f>data_redis_illX!G260</f>
        <v>0</v>
      </c>
      <c r="T294" s="10">
        <f>data_redis_illX!H260</f>
        <v>0</v>
      </c>
      <c r="U294" s="10">
        <f>data_redis_illX!I260</f>
        <v>0</v>
      </c>
      <c r="V294" s="10">
        <f>data_redis_illX!J260</f>
        <v>3.093036759922476E-2</v>
      </c>
      <c r="W294" s="10">
        <f>data_redis_illX!K260</f>
        <v>0</v>
      </c>
      <c r="X294" s="10">
        <f>data_redis_illX!L260</f>
        <v>0</v>
      </c>
      <c r="Y294" s="5">
        <f t="shared" si="4"/>
        <v>3.093036759922476E-2</v>
      </c>
    </row>
    <row r="295" spans="1:25" x14ac:dyDescent="0.25">
      <c r="C295" t="s">
        <v>39</v>
      </c>
      <c r="D295" s="5">
        <f t="array" ref="D295:K295">(Q295:X295*AE$4:AE$11+Q658:Y658*AF$4:AF$11+Q1021:Y1021*AG$4:AG$11)</f>
        <v>0</v>
      </c>
      <c r="E295" s="5">
        <v>0</v>
      </c>
      <c r="F295" s="5">
        <v>6.4371491187629939</v>
      </c>
      <c r="G295" s="5">
        <v>4.3724250070896442</v>
      </c>
      <c r="H295" s="5">
        <v>6.1840083307120484</v>
      </c>
      <c r="I295" s="5">
        <v>3.093036759922476E-2</v>
      </c>
      <c r="J295" s="5">
        <v>0</v>
      </c>
      <c r="K295" s="5">
        <v>0</v>
      </c>
      <c r="P295" s="2" t="s">
        <v>39</v>
      </c>
      <c r="Q295" s="10">
        <f>data_redis_illX!E261</f>
        <v>0</v>
      </c>
      <c r="R295" s="10">
        <f>data_redis_illX!F261</f>
        <v>0</v>
      </c>
      <c r="S295" s="10">
        <f>data_redis_illX!G261</f>
        <v>2.0156817129230924</v>
      </c>
      <c r="T295" s="10">
        <f>data_redis_illX!H261</f>
        <v>2.1515176295770382</v>
      </c>
      <c r="U295" s="10">
        <f>data_redis_illX!I261</f>
        <v>1.2722671972101638</v>
      </c>
      <c r="V295" s="10">
        <f>data_redis_illX!J261</f>
        <v>3.093036759922476E-2</v>
      </c>
      <c r="W295" s="10">
        <f>data_redis_illX!K261</f>
        <v>0</v>
      </c>
      <c r="X295" s="10">
        <f>data_redis_illX!L261</f>
        <v>0</v>
      </c>
      <c r="Y295" s="5">
        <f t="shared" si="4"/>
        <v>5.4703969073095191</v>
      </c>
    </row>
    <row r="296" spans="1:25" x14ac:dyDescent="0.25">
      <c r="C296" t="s">
        <v>40</v>
      </c>
      <c r="D296" s="5">
        <f t="array" ref="D296:K296">(Q296:X296*AE$4:AE$11+Q659:Y659*AF$4:AF$11+Q1022:Y1022*AG$4:AG$11)</f>
        <v>0</v>
      </c>
      <c r="E296" s="5">
        <v>0</v>
      </c>
      <c r="F296" s="5">
        <v>32.803482470282802</v>
      </c>
      <c r="G296" s="5">
        <v>43.72399082169737</v>
      </c>
      <c r="H296" s="5">
        <v>23.386640341534765</v>
      </c>
      <c r="I296" s="5">
        <v>2.0309303675992245</v>
      </c>
      <c r="J296" s="5">
        <v>0</v>
      </c>
      <c r="K296" s="5">
        <v>0</v>
      </c>
      <c r="P296" s="2" t="s">
        <v>40</v>
      </c>
      <c r="Q296" s="10">
        <f>data_redis_illX!E262</f>
        <v>0</v>
      </c>
      <c r="R296" s="10">
        <f>data_redis_illX!F262</f>
        <v>0</v>
      </c>
      <c r="S296" s="10">
        <f>data_redis_illX!G262</f>
        <v>12.094090277538553</v>
      </c>
      <c r="T296" s="10">
        <f>data_redis_illX!H262</f>
        <v>16.060623407039266</v>
      </c>
      <c r="U296" s="10">
        <f>data_redis_illX!I262</f>
        <v>7.6336031832609832</v>
      </c>
      <c r="V296" s="10">
        <f>data_redis_illX!J262</f>
        <v>2.0309303675992245</v>
      </c>
      <c r="W296" s="10">
        <f>data_redis_illX!K262</f>
        <v>0</v>
      </c>
      <c r="X296" s="10">
        <f>data_redis_illX!L262</f>
        <v>0</v>
      </c>
      <c r="Y296" s="5">
        <f t="shared" si="4"/>
        <v>37.819247235438027</v>
      </c>
    </row>
    <row r="297" spans="1:25" x14ac:dyDescent="0.25">
      <c r="C297" t="s">
        <v>41</v>
      </c>
      <c r="D297" s="5">
        <f t="array" ref="D297:K297">(Q297:X297*AE$4:AE$11+Q660:Y660*AF$4:AF$11+Q1023:Y1023*AG$4:AG$11)</f>
        <v>0</v>
      </c>
      <c r="E297" s="5">
        <v>0</v>
      </c>
      <c r="F297" s="5">
        <v>2.210733702919951</v>
      </c>
      <c r="G297" s="5">
        <v>0</v>
      </c>
      <c r="H297" s="5">
        <v>10.509716801226606</v>
      </c>
      <c r="I297" s="5">
        <v>4.5088210716288586</v>
      </c>
      <c r="J297" s="5">
        <v>0</v>
      </c>
      <c r="K297" s="5">
        <v>0</v>
      </c>
      <c r="P297" s="2" t="s">
        <v>41</v>
      </c>
      <c r="Q297" s="10">
        <f>data_redis_illX!E263</f>
        <v>0</v>
      </c>
      <c r="R297" s="10">
        <f>data_redis_illX!F263</f>
        <v>0</v>
      </c>
      <c r="S297" s="10">
        <f>data_redis_illX!G263</f>
        <v>0</v>
      </c>
      <c r="T297" s="10">
        <f>data_redis_illX!H263</f>
        <v>0</v>
      </c>
      <c r="U297" s="10">
        <f>data_redis_illX!I263</f>
        <v>2.5445343944203276</v>
      </c>
      <c r="V297" s="10">
        <f>data_redis_illX!J263</f>
        <v>3.093036759922476E-2</v>
      </c>
      <c r="W297" s="10">
        <f>data_redis_illX!K263</f>
        <v>0</v>
      </c>
      <c r="X297" s="10">
        <f>data_redis_illX!L263</f>
        <v>0</v>
      </c>
      <c r="Y297" s="5">
        <f t="shared" si="4"/>
        <v>2.5754647620195525</v>
      </c>
    </row>
    <row r="298" spans="1:25" x14ac:dyDescent="0.25">
      <c r="C298" t="s">
        <v>42</v>
      </c>
      <c r="D298" s="5">
        <f t="array" ref="D298:K298">(Q298:X298*AE$4:AE$11+Q661:Y661*AF$4:AF$11+Q1024:Y1024*AG$4:AG$11)</f>
        <v>0</v>
      </c>
      <c r="E298" s="5">
        <v>0</v>
      </c>
      <c r="F298" s="5">
        <v>0</v>
      </c>
      <c r="G298" s="5">
        <v>0</v>
      </c>
      <c r="H298" s="5">
        <v>1.2722671972101638</v>
      </c>
      <c r="I298" s="5">
        <v>3.093036759922476E-2</v>
      </c>
      <c r="J298" s="5">
        <v>0</v>
      </c>
      <c r="K298" s="5">
        <v>0</v>
      </c>
      <c r="P298" s="2" t="s">
        <v>42</v>
      </c>
      <c r="Q298" s="10">
        <f>data_redis_illX!E264</f>
        <v>0</v>
      </c>
      <c r="R298" s="10">
        <f>data_redis_illX!F264</f>
        <v>0</v>
      </c>
      <c r="S298" s="10">
        <f>data_redis_illX!G264</f>
        <v>0</v>
      </c>
      <c r="T298" s="10">
        <f>data_redis_illX!H264</f>
        <v>0</v>
      </c>
      <c r="U298" s="10">
        <f>data_redis_illX!I264</f>
        <v>1.2722671972101638</v>
      </c>
      <c r="V298" s="10">
        <f>data_redis_illX!J264</f>
        <v>3.093036759922476E-2</v>
      </c>
      <c r="W298" s="10">
        <f>data_redis_illX!K264</f>
        <v>0</v>
      </c>
      <c r="X298" s="10">
        <f>data_redis_illX!L264</f>
        <v>0</v>
      </c>
      <c r="Y298" s="5">
        <f t="shared" si="4"/>
        <v>1.3031975648093885</v>
      </c>
    </row>
    <row r="299" spans="1:25" x14ac:dyDescent="0.25">
      <c r="C299" t="s">
        <v>43</v>
      </c>
      <c r="D299" s="5">
        <f t="array" ref="D299:K299">(Q299:X299*AE$4:AE$11+Q662:Y662*AF$4:AF$11+Q1025:Y1025*AG$4:AG$11)</f>
        <v>0</v>
      </c>
      <c r="E299" s="5">
        <v>0</v>
      </c>
      <c r="F299" s="5">
        <v>1.0078408564615462</v>
      </c>
      <c r="G299" s="5">
        <v>0</v>
      </c>
      <c r="H299" s="5">
        <v>2.272267197210164</v>
      </c>
      <c r="I299" s="5">
        <v>3.093036759922476E-2</v>
      </c>
      <c r="J299" s="5">
        <v>0</v>
      </c>
      <c r="K299" s="5">
        <v>0</v>
      </c>
      <c r="P299" s="2" t="s">
        <v>43</v>
      </c>
      <c r="Q299" s="10">
        <f>data_redis_illX!E265</f>
        <v>0</v>
      </c>
      <c r="R299" s="10">
        <f>data_redis_illX!F265</f>
        <v>0</v>
      </c>
      <c r="S299" s="10">
        <f>data_redis_illX!G265</f>
        <v>1.0078408564615462</v>
      </c>
      <c r="T299" s="10">
        <f>data_redis_illX!H265</f>
        <v>0</v>
      </c>
      <c r="U299" s="10">
        <f>data_redis_illX!I265</f>
        <v>2.272267197210164</v>
      </c>
      <c r="V299" s="10">
        <f>data_redis_illX!J265</f>
        <v>3.093036759922476E-2</v>
      </c>
      <c r="W299" s="10">
        <f>data_redis_illX!K265</f>
        <v>0</v>
      </c>
      <c r="X299" s="10">
        <f>data_redis_illX!L265</f>
        <v>0</v>
      </c>
      <c r="Y299" s="5">
        <f t="shared" si="4"/>
        <v>3.311038421270935</v>
      </c>
    </row>
    <row r="300" spans="1:25" x14ac:dyDescent="0.25">
      <c r="C300" t="s">
        <v>44</v>
      </c>
      <c r="D300" s="5">
        <f t="array" ref="D300:K300">(Q300:X300*AE$4:AE$11+Q663:Y663*AF$4:AF$11+Q1026:Y1026*AG$4:AG$11)</f>
        <v>0</v>
      </c>
      <c r="E300" s="5">
        <v>0</v>
      </c>
      <c r="F300" s="5">
        <v>0</v>
      </c>
      <c r="G300" s="5">
        <v>0</v>
      </c>
      <c r="H300" s="5">
        <v>0</v>
      </c>
      <c r="I300" s="5">
        <v>3.093036759922476E-2</v>
      </c>
      <c r="J300" s="5">
        <v>0</v>
      </c>
      <c r="K300" s="5">
        <v>0</v>
      </c>
      <c r="P300" s="2" t="s">
        <v>44</v>
      </c>
      <c r="Q300" s="10">
        <f>data_redis_illX!E266</f>
        <v>0</v>
      </c>
      <c r="R300" s="10">
        <f>data_redis_illX!F266</f>
        <v>0</v>
      </c>
      <c r="S300" s="10">
        <f>data_redis_illX!G266</f>
        <v>0</v>
      </c>
      <c r="T300" s="10">
        <f>data_redis_illX!H266</f>
        <v>0</v>
      </c>
      <c r="U300" s="10">
        <f>data_redis_illX!I266</f>
        <v>0</v>
      </c>
      <c r="V300" s="10">
        <f>data_redis_illX!J266</f>
        <v>3.093036759922476E-2</v>
      </c>
      <c r="W300" s="10">
        <f>data_redis_illX!K266</f>
        <v>0</v>
      </c>
      <c r="X300" s="10">
        <f>data_redis_illX!L266</f>
        <v>0</v>
      </c>
      <c r="Y300" s="5">
        <f t="shared" si="4"/>
        <v>3.093036759922476E-2</v>
      </c>
    </row>
    <row r="301" spans="1:25" x14ac:dyDescent="0.25">
      <c r="A301">
        <v>1</v>
      </c>
      <c r="B301" t="s">
        <v>53</v>
      </c>
      <c r="C301" t="s">
        <v>12</v>
      </c>
      <c r="D301" s="5">
        <f t="array" ref="D301:K301">(Q301:X301*AE$4:AE$11+Q664:Y664*AF$4:AF$11+Q1027:Y1027*AG$4:AG$11)</f>
        <v>0</v>
      </c>
      <c r="E301" s="5">
        <v>0</v>
      </c>
      <c r="F301" s="5">
        <v>0.20045460362105566</v>
      </c>
      <c r="G301" s="5">
        <v>0.46021767477583703</v>
      </c>
      <c r="H301" s="5">
        <v>0</v>
      </c>
      <c r="I301" s="5">
        <v>0</v>
      </c>
      <c r="J301" s="5">
        <v>0</v>
      </c>
      <c r="K301" s="5">
        <v>0</v>
      </c>
      <c r="M301">
        <v>1</v>
      </c>
      <c r="N301" t="s">
        <v>103</v>
      </c>
      <c r="O301" t="s">
        <v>53</v>
      </c>
      <c r="P301" s="2" t="s">
        <v>12</v>
      </c>
      <c r="Q301" s="10">
        <f>data_redis_illX!E267</f>
        <v>0</v>
      </c>
      <c r="R301" s="10">
        <f>data_redis_illX!F267</f>
        <v>0</v>
      </c>
      <c r="S301" s="10">
        <f>data_redis_illX!G267</f>
        <v>0</v>
      </c>
      <c r="T301" s="10">
        <f>data_redis_illX!H267</f>
        <v>0.46021767477583703</v>
      </c>
      <c r="U301" s="10">
        <f>data_redis_illX!I267</f>
        <v>0</v>
      </c>
      <c r="V301" s="10">
        <f>data_redis_illX!J267</f>
        <v>0</v>
      </c>
      <c r="W301" s="10">
        <f>data_redis_illX!K267</f>
        <v>0</v>
      </c>
      <c r="X301" s="10">
        <f>data_redis_illX!L267</f>
        <v>0</v>
      </c>
      <c r="Y301" s="5">
        <f t="shared" si="4"/>
        <v>0.46021767477583703</v>
      </c>
    </row>
    <row r="302" spans="1:25" x14ac:dyDescent="0.25">
      <c r="C302" t="s">
        <v>13</v>
      </c>
      <c r="D302" s="5">
        <f t="array" ref="D302:K302">(Q302:X302*AE$4:AE$11+Q665:Y665*AF$4:AF$11+Q1028:Y1028*AG$4:AG$11)</f>
        <v>0</v>
      </c>
      <c r="E302" s="5">
        <v>0</v>
      </c>
      <c r="F302" s="5">
        <v>0.20045460362105566</v>
      </c>
      <c r="G302" s="5">
        <v>0.46021767477583703</v>
      </c>
      <c r="H302" s="5">
        <v>0</v>
      </c>
      <c r="I302" s="5">
        <v>0</v>
      </c>
      <c r="J302" s="5">
        <v>0</v>
      </c>
      <c r="K302" s="5">
        <v>0</v>
      </c>
      <c r="P302" s="2" t="s">
        <v>13</v>
      </c>
      <c r="Q302" s="10">
        <f>data_redis_illX!E268</f>
        <v>0</v>
      </c>
      <c r="R302" s="10">
        <f>data_redis_illX!F268</f>
        <v>0</v>
      </c>
      <c r="S302" s="10">
        <f>data_redis_illX!G268</f>
        <v>0</v>
      </c>
      <c r="T302" s="10">
        <f>data_redis_illX!H268</f>
        <v>0.46021767477583703</v>
      </c>
      <c r="U302" s="10">
        <f>data_redis_illX!I268</f>
        <v>0</v>
      </c>
      <c r="V302" s="10">
        <f>data_redis_illX!J268</f>
        <v>0</v>
      </c>
      <c r="W302" s="10">
        <f>data_redis_illX!K268</f>
        <v>0</v>
      </c>
      <c r="X302" s="10">
        <f>data_redis_illX!L268</f>
        <v>0</v>
      </c>
      <c r="Y302" s="5">
        <f t="shared" si="4"/>
        <v>0.46021767477583703</v>
      </c>
    </row>
    <row r="303" spans="1:25" x14ac:dyDescent="0.25">
      <c r="C303" t="s">
        <v>14</v>
      </c>
      <c r="D303" s="5">
        <f t="array" ref="D303:K303">(Q303:X303*AE$4:AE$11+Q666:Y666*AF$4:AF$11+Q1029:Y1029*AG$4:AG$11)</f>
        <v>0</v>
      </c>
      <c r="E303" s="5">
        <v>0</v>
      </c>
      <c r="F303" s="5">
        <v>0.20045460362105566</v>
      </c>
      <c r="G303" s="5">
        <v>0.46021767477583703</v>
      </c>
      <c r="H303" s="5">
        <v>0</v>
      </c>
      <c r="I303" s="5">
        <v>0</v>
      </c>
      <c r="J303" s="5">
        <v>0</v>
      </c>
      <c r="K303" s="5">
        <v>0</v>
      </c>
      <c r="P303" s="2" t="s">
        <v>14</v>
      </c>
      <c r="Q303" s="10">
        <f>data_redis_illX!E269</f>
        <v>0</v>
      </c>
      <c r="R303" s="10">
        <f>data_redis_illX!F269</f>
        <v>0</v>
      </c>
      <c r="S303" s="10">
        <f>data_redis_illX!G269</f>
        <v>0</v>
      </c>
      <c r="T303" s="10">
        <f>data_redis_illX!H269</f>
        <v>0.46021767477583703</v>
      </c>
      <c r="U303" s="10">
        <f>data_redis_illX!I269</f>
        <v>0</v>
      </c>
      <c r="V303" s="10">
        <f>data_redis_illX!J269</f>
        <v>0</v>
      </c>
      <c r="W303" s="10">
        <f>data_redis_illX!K269</f>
        <v>0</v>
      </c>
      <c r="X303" s="10">
        <f>data_redis_illX!L269</f>
        <v>0</v>
      </c>
      <c r="Y303" s="5">
        <f t="shared" si="4"/>
        <v>0.46021767477583703</v>
      </c>
    </row>
    <row r="304" spans="1:25" x14ac:dyDescent="0.25">
      <c r="C304" t="s">
        <v>15</v>
      </c>
      <c r="D304" s="5">
        <f t="array" ref="D304:K304">(Q304:X304*AE$4:AE$11+Q667:Y667*AF$4:AF$11+Q1030:Y1030*AG$4:AG$11)</f>
        <v>0</v>
      </c>
      <c r="E304" s="5">
        <v>0</v>
      </c>
      <c r="F304" s="5">
        <v>0.20045460362105566</v>
      </c>
      <c r="G304" s="5">
        <v>0.46021767477583703</v>
      </c>
      <c r="H304" s="5">
        <v>0</v>
      </c>
      <c r="I304" s="5">
        <v>0</v>
      </c>
      <c r="J304" s="5">
        <v>0</v>
      </c>
      <c r="K304" s="5">
        <v>0</v>
      </c>
      <c r="P304" s="2" t="s">
        <v>15</v>
      </c>
      <c r="Q304" s="10">
        <f>data_redis_illX!E270</f>
        <v>0</v>
      </c>
      <c r="R304" s="10">
        <f>data_redis_illX!F270</f>
        <v>0</v>
      </c>
      <c r="S304" s="10">
        <f>data_redis_illX!G270</f>
        <v>0</v>
      </c>
      <c r="T304" s="10">
        <f>data_redis_illX!H270</f>
        <v>0.46021767477583703</v>
      </c>
      <c r="U304" s="10">
        <f>data_redis_illX!I270</f>
        <v>0</v>
      </c>
      <c r="V304" s="10">
        <f>data_redis_illX!J270</f>
        <v>0</v>
      </c>
      <c r="W304" s="10">
        <f>data_redis_illX!K270</f>
        <v>0</v>
      </c>
      <c r="X304" s="10">
        <f>data_redis_illX!L270</f>
        <v>0</v>
      </c>
      <c r="Y304" s="5">
        <f t="shared" si="4"/>
        <v>0.46021767477583703</v>
      </c>
    </row>
    <row r="305" spans="3:25" x14ac:dyDescent="0.25">
      <c r="C305" t="s">
        <v>16</v>
      </c>
      <c r="D305" s="5">
        <f t="array" ref="D305:K305">(Q305:X305*AE$4:AE$11+Q668:Y668*AF$4:AF$11+Q1031:Y1031*AG$4:AG$11)</f>
        <v>0</v>
      </c>
      <c r="E305" s="5">
        <v>0</v>
      </c>
      <c r="F305" s="5">
        <v>0.20045460362105566</v>
      </c>
      <c r="G305" s="5">
        <v>0.46021767477583703</v>
      </c>
      <c r="H305" s="5">
        <v>0</v>
      </c>
      <c r="I305" s="5">
        <v>0</v>
      </c>
      <c r="J305" s="5">
        <v>0</v>
      </c>
      <c r="K305" s="5">
        <v>0</v>
      </c>
      <c r="P305" s="2" t="s">
        <v>16</v>
      </c>
      <c r="Q305" s="10">
        <f>data_redis_illX!E271</f>
        <v>0</v>
      </c>
      <c r="R305" s="10">
        <f>data_redis_illX!F271</f>
        <v>0</v>
      </c>
      <c r="S305" s="10">
        <f>data_redis_illX!G271</f>
        <v>0</v>
      </c>
      <c r="T305" s="10">
        <f>data_redis_illX!H271</f>
        <v>0.46021767477583703</v>
      </c>
      <c r="U305" s="10">
        <f>data_redis_illX!I271</f>
        <v>0</v>
      </c>
      <c r="V305" s="10">
        <f>data_redis_illX!J271</f>
        <v>0</v>
      </c>
      <c r="W305" s="10">
        <f>data_redis_illX!K271</f>
        <v>0</v>
      </c>
      <c r="X305" s="10">
        <f>data_redis_illX!L271</f>
        <v>0</v>
      </c>
      <c r="Y305" s="5">
        <f t="shared" si="4"/>
        <v>0.46021767477583703</v>
      </c>
    </row>
    <row r="306" spans="3:25" x14ac:dyDescent="0.25">
      <c r="C306" t="s">
        <v>17</v>
      </c>
      <c r="D306" s="5">
        <f t="array" ref="D306:K306">(Q306:X306*AE$4:AE$11+Q669:Y669*AF$4:AF$11+Q1032:Y1032*AG$4:AG$11)</f>
        <v>0</v>
      </c>
      <c r="E306" s="5">
        <v>0</v>
      </c>
      <c r="F306" s="5">
        <v>0.20045460362105566</v>
      </c>
      <c r="G306" s="5">
        <v>0.46021767477583703</v>
      </c>
      <c r="H306" s="5">
        <v>0</v>
      </c>
      <c r="I306" s="5">
        <v>0</v>
      </c>
      <c r="J306" s="5">
        <v>0</v>
      </c>
      <c r="K306" s="5">
        <v>0</v>
      </c>
      <c r="P306" s="2" t="s">
        <v>17</v>
      </c>
      <c r="Q306" s="10">
        <f>data_redis_illX!E272</f>
        <v>0</v>
      </c>
      <c r="R306" s="10">
        <f>data_redis_illX!F272</f>
        <v>0</v>
      </c>
      <c r="S306" s="10">
        <f>data_redis_illX!G272</f>
        <v>0</v>
      </c>
      <c r="T306" s="10">
        <f>data_redis_illX!H272</f>
        <v>0.46021767477583703</v>
      </c>
      <c r="U306" s="10">
        <f>data_redis_illX!I272</f>
        <v>0</v>
      </c>
      <c r="V306" s="10">
        <f>data_redis_illX!J272</f>
        <v>0</v>
      </c>
      <c r="W306" s="10">
        <f>data_redis_illX!K272</f>
        <v>0</v>
      </c>
      <c r="X306" s="10">
        <f>data_redis_illX!L272</f>
        <v>0</v>
      </c>
      <c r="Y306" s="5">
        <f t="shared" si="4"/>
        <v>0.46021767477583703</v>
      </c>
    </row>
    <row r="307" spans="3:25" x14ac:dyDescent="0.25">
      <c r="C307" t="s">
        <v>18</v>
      </c>
      <c r="D307" s="5">
        <f t="array" ref="D307:K307">(Q307:X307*AE$4:AE$11+Q670:Y670*AF$4:AF$11+Q1033:Y1033*AG$4:AG$11)</f>
        <v>0</v>
      </c>
      <c r="E307" s="5">
        <v>0</v>
      </c>
      <c r="F307" s="5">
        <v>0.20045460362105566</v>
      </c>
      <c r="G307" s="5">
        <v>0.46021767477583703</v>
      </c>
      <c r="H307" s="5">
        <v>0</v>
      </c>
      <c r="I307" s="5">
        <v>0</v>
      </c>
      <c r="J307" s="5">
        <v>0</v>
      </c>
      <c r="K307" s="5">
        <v>0</v>
      </c>
      <c r="P307" s="2" t="s">
        <v>18</v>
      </c>
      <c r="Q307" s="10">
        <f>data_redis_illX!E273</f>
        <v>0</v>
      </c>
      <c r="R307" s="10">
        <f>data_redis_illX!F273</f>
        <v>0</v>
      </c>
      <c r="S307" s="10">
        <f>data_redis_illX!G273</f>
        <v>0</v>
      </c>
      <c r="T307" s="10">
        <f>data_redis_illX!H273</f>
        <v>0.46021767477583703</v>
      </c>
      <c r="U307" s="10">
        <f>data_redis_illX!I273</f>
        <v>0</v>
      </c>
      <c r="V307" s="10">
        <f>data_redis_illX!J273</f>
        <v>0</v>
      </c>
      <c r="W307" s="10">
        <f>data_redis_illX!K273</f>
        <v>0</v>
      </c>
      <c r="X307" s="10">
        <f>data_redis_illX!L273</f>
        <v>0</v>
      </c>
      <c r="Y307" s="5">
        <f t="shared" si="4"/>
        <v>0.46021767477583703</v>
      </c>
    </row>
    <row r="308" spans="3:25" x14ac:dyDescent="0.25">
      <c r="C308" t="s">
        <v>19</v>
      </c>
      <c r="D308" s="5">
        <f t="array" ref="D308:K308">(Q308:X308*AE$4:AE$11+Q671:Y671*AF$4:AF$11+Q1034:Y1034*AG$4:AG$11)</f>
        <v>0</v>
      </c>
      <c r="E308" s="5">
        <v>0</v>
      </c>
      <c r="F308" s="5">
        <v>0.20045460362105566</v>
      </c>
      <c r="G308" s="5">
        <v>0.46021767477583703</v>
      </c>
      <c r="H308" s="5">
        <v>0</v>
      </c>
      <c r="I308" s="5">
        <v>0</v>
      </c>
      <c r="J308" s="5">
        <v>0</v>
      </c>
      <c r="K308" s="5">
        <v>0</v>
      </c>
      <c r="P308" s="2" t="s">
        <v>19</v>
      </c>
      <c r="Q308" s="10">
        <f>data_redis_illX!E274</f>
        <v>0</v>
      </c>
      <c r="R308" s="10">
        <f>data_redis_illX!F274</f>
        <v>0</v>
      </c>
      <c r="S308" s="10">
        <f>data_redis_illX!G274</f>
        <v>0</v>
      </c>
      <c r="T308" s="10">
        <f>data_redis_illX!H274</f>
        <v>0.46021767477583703</v>
      </c>
      <c r="U308" s="10">
        <f>data_redis_illX!I274</f>
        <v>0</v>
      </c>
      <c r="V308" s="10">
        <f>data_redis_illX!J274</f>
        <v>0</v>
      </c>
      <c r="W308" s="10">
        <f>data_redis_illX!K274</f>
        <v>0</v>
      </c>
      <c r="X308" s="10">
        <f>data_redis_illX!L274</f>
        <v>0</v>
      </c>
      <c r="Y308" s="5">
        <f t="shared" si="4"/>
        <v>0.46021767477583703</v>
      </c>
    </row>
    <row r="309" spans="3:25" x14ac:dyDescent="0.25">
      <c r="C309" t="s">
        <v>20</v>
      </c>
      <c r="D309" s="5">
        <f t="array" ref="D309:K309">(Q309:X309*AE$4:AE$11+Q672:Y672*AF$4:AF$11+Q1035:Y1035*AG$4:AG$11)</f>
        <v>0</v>
      </c>
      <c r="E309" s="5">
        <v>0</v>
      </c>
      <c r="F309" s="5">
        <v>0.20045460362105566</v>
      </c>
      <c r="G309" s="5">
        <v>0.46021767477583703</v>
      </c>
      <c r="H309" s="5">
        <v>0</v>
      </c>
      <c r="I309" s="5">
        <v>0</v>
      </c>
      <c r="J309" s="5">
        <v>0</v>
      </c>
      <c r="K309" s="5">
        <v>0</v>
      </c>
      <c r="P309" s="2" t="s">
        <v>20</v>
      </c>
      <c r="Q309" s="10">
        <f>data_redis_illX!E275</f>
        <v>0</v>
      </c>
      <c r="R309" s="10">
        <f>data_redis_illX!F275</f>
        <v>0</v>
      </c>
      <c r="S309" s="10">
        <f>data_redis_illX!G275</f>
        <v>0</v>
      </c>
      <c r="T309" s="10">
        <f>data_redis_illX!H275</f>
        <v>0.46021767477583703</v>
      </c>
      <c r="U309" s="10">
        <f>data_redis_illX!I275</f>
        <v>0</v>
      </c>
      <c r="V309" s="10">
        <f>data_redis_illX!J275</f>
        <v>0</v>
      </c>
      <c r="W309" s="10">
        <f>data_redis_illX!K275</f>
        <v>0</v>
      </c>
      <c r="X309" s="10">
        <f>data_redis_illX!L275</f>
        <v>0</v>
      </c>
      <c r="Y309" s="5">
        <f t="shared" si="4"/>
        <v>0.46021767477583703</v>
      </c>
    </row>
    <row r="310" spans="3:25" x14ac:dyDescent="0.25">
      <c r="C310" t="s">
        <v>21</v>
      </c>
      <c r="D310" s="5">
        <f t="array" ref="D310:K310">(Q310:X310*AE$4:AE$11+Q673:Y673*AF$4:AF$11+Q1036:Y1036*AG$4:AG$11)</f>
        <v>0</v>
      </c>
      <c r="E310" s="5">
        <v>0</v>
      </c>
      <c r="F310" s="5">
        <v>0.20045460362105566</v>
      </c>
      <c r="G310" s="5">
        <v>0.46021767477583703</v>
      </c>
      <c r="H310" s="5">
        <v>0</v>
      </c>
      <c r="I310" s="5">
        <v>0</v>
      </c>
      <c r="J310" s="5">
        <v>0</v>
      </c>
      <c r="K310" s="5">
        <v>0</v>
      </c>
      <c r="P310" s="2" t="s">
        <v>21</v>
      </c>
      <c r="Q310" s="10">
        <f>data_redis_illX!E276</f>
        <v>0</v>
      </c>
      <c r="R310" s="10">
        <f>data_redis_illX!F276</f>
        <v>0</v>
      </c>
      <c r="S310" s="10">
        <f>data_redis_illX!G276</f>
        <v>0</v>
      </c>
      <c r="T310" s="10">
        <f>data_redis_illX!H276</f>
        <v>0.46021767477583703</v>
      </c>
      <c r="U310" s="10">
        <f>data_redis_illX!I276</f>
        <v>0</v>
      </c>
      <c r="V310" s="10">
        <f>data_redis_illX!J276</f>
        <v>0</v>
      </c>
      <c r="W310" s="10">
        <f>data_redis_illX!K276</f>
        <v>0</v>
      </c>
      <c r="X310" s="10">
        <f>data_redis_illX!L276</f>
        <v>0</v>
      </c>
      <c r="Y310" s="5">
        <f t="shared" si="4"/>
        <v>0.46021767477583703</v>
      </c>
    </row>
    <row r="311" spans="3:25" x14ac:dyDescent="0.25">
      <c r="C311" t="s">
        <v>22</v>
      </c>
      <c r="D311" s="5">
        <f t="array" ref="D311:K311">(Q311:X311*AE$4:AE$11+Q674:Y674*AF$4:AF$11+Q1037:Y1037*AG$4:AG$11)</f>
        <v>0</v>
      </c>
      <c r="E311" s="5">
        <v>0</v>
      </c>
      <c r="F311" s="5">
        <v>0.20045460362105566</v>
      </c>
      <c r="G311" s="5">
        <v>0.46021767477583703</v>
      </c>
      <c r="H311" s="5">
        <v>0</v>
      </c>
      <c r="I311" s="5">
        <v>0</v>
      </c>
      <c r="J311" s="5">
        <v>0</v>
      </c>
      <c r="K311" s="5">
        <v>0</v>
      </c>
      <c r="P311" s="2" t="s">
        <v>22</v>
      </c>
      <c r="Q311" s="10">
        <f>data_redis_illX!E277</f>
        <v>0</v>
      </c>
      <c r="R311" s="10">
        <f>data_redis_illX!F277</f>
        <v>0</v>
      </c>
      <c r="S311" s="10">
        <f>data_redis_illX!G277</f>
        <v>0</v>
      </c>
      <c r="T311" s="10">
        <f>data_redis_illX!H277</f>
        <v>0.46021767477583703</v>
      </c>
      <c r="U311" s="10">
        <f>data_redis_illX!I277</f>
        <v>0</v>
      </c>
      <c r="V311" s="10">
        <f>data_redis_illX!J277</f>
        <v>0</v>
      </c>
      <c r="W311" s="10">
        <f>data_redis_illX!K277</f>
        <v>0</v>
      </c>
      <c r="X311" s="10">
        <f>data_redis_illX!L277</f>
        <v>0</v>
      </c>
      <c r="Y311" s="5">
        <f t="shared" si="4"/>
        <v>0.46021767477583703</v>
      </c>
    </row>
    <row r="312" spans="3:25" x14ac:dyDescent="0.25">
      <c r="C312" t="s">
        <v>23</v>
      </c>
      <c r="D312" s="5">
        <f t="array" ref="D312:K312">(Q312:X312*AE$4:AE$11+Q675:Y675*AF$4:AF$11+Q1038:Y1038*AG$4:AG$11)</f>
        <v>0</v>
      </c>
      <c r="E312" s="5">
        <v>0</v>
      </c>
      <c r="F312" s="5">
        <v>0.20045460362105566</v>
      </c>
      <c r="G312" s="5">
        <v>0.46021767477583703</v>
      </c>
      <c r="H312" s="5">
        <v>0</v>
      </c>
      <c r="I312" s="5">
        <v>0</v>
      </c>
      <c r="J312" s="5">
        <v>0</v>
      </c>
      <c r="K312" s="5">
        <v>0</v>
      </c>
      <c r="P312" s="2" t="s">
        <v>23</v>
      </c>
      <c r="Q312" s="10">
        <f>data_redis_illX!E278</f>
        <v>0</v>
      </c>
      <c r="R312" s="10">
        <f>data_redis_illX!F278</f>
        <v>0</v>
      </c>
      <c r="S312" s="10">
        <f>data_redis_illX!G278</f>
        <v>0</v>
      </c>
      <c r="T312" s="10">
        <f>data_redis_illX!H278</f>
        <v>0.46021767477583703</v>
      </c>
      <c r="U312" s="10">
        <f>data_redis_illX!I278</f>
        <v>0</v>
      </c>
      <c r="V312" s="10">
        <f>data_redis_illX!J278</f>
        <v>0</v>
      </c>
      <c r="W312" s="10">
        <f>data_redis_illX!K278</f>
        <v>0</v>
      </c>
      <c r="X312" s="10">
        <f>data_redis_illX!L278</f>
        <v>0</v>
      </c>
      <c r="Y312" s="5">
        <f t="shared" si="4"/>
        <v>0.46021767477583703</v>
      </c>
    </row>
    <row r="313" spans="3:25" x14ac:dyDescent="0.25">
      <c r="C313" t="s">
        <v>24</v>
      </c>
      <c r="D313" s="5">
        <f t="array" ref="D313:K313">(Q313:X313*AE$4:AE$11+Q676:Y676*AF$4:AF$11+Q1039:Y1039*AG$4:AG$11)</f>
        <v>0</v>
      </c>
      <c r="E313" s="5">
        <v>0</v>
      </c>
      <c r="F313" s="5">
        <v>0.20045460362105566</v>
      </c>
      <c r="G313" s="5">
        <v>0.46021767477583703</v>
      </c>
      <c r="H313" s="5">
        <v>0</v>
      </c>
      <c r="I313" s="5">
        <v>0</v>
      </c>
      <c r="J313" s="5">
        <v>0</v>
      </c>
      <c r="K313" s="5">
        <v>0</v>
      </c>
      <c r="P313" s="2" t="s">
        <v>24</v>
      </c>
      <c r="Q313" s="10">
        <f>data_redis_illX!E279</f>
        <v>0</v>
      </c>
      <c r="R313" s="10">
        <f>data_redis_illX!F279</f>
        <v>0</v>
      </c>
      <c r="S313" s="10">
        <f>data_redis_illX!G279</f>
        <v>0</v>
      </c>
      <c r="T313" s="10">
        <f>data_redis_illX!H279</f>
        <v>0.46021767477583703</v>
      </c>
      <c r="U313" s="10">
        <f>data_redis_illX!I279</f>
        <v>0</v>
      </c>
      <c r="V313" s="10">
        <f>data_redis_illX!J279</f>
        <v>0</v>
      </c>
      <c r="W313" s="10">
        <f>data_redis_illX!K279</f>
        <v>0</v>
      </c>
      <c r="X313" s="10">
        <f>data_redis_illX!L279</f>
        <v>0</v>
      </c>
      <c r="Y313" s="5">
        <f t="shared" si="4"/>
        <v>0.46021767477583703</v>
      </c>
    </row>
    <row r="314" spans="3:25" x14ac:dyDescent="0.25">
      <c r="C314" t="s">
        <v>25</v>
      </c>
      <c r="D314" s="5">
        <f t="array" ref="D314:K314">(Q314:X314*AE$4:AE$11+Q677:Y677*AF$4:AF$11+Q1040:Y1040*AG$4:AG$11)</f>
        <v>0</v>
      </c>
      <c r="E314" s="5">
        <v>0</v>
      </c>
      <c r="F314" s="5">
        <v>4.9037119337749369</v>
      </c>
      <c r="G314" s="5">
        <v>0.46021767477583703</v>
      </c>
      <c r="H314" s="5">
        <v>0</v>
      </c>
      <c r="I314" s="5">
        <v>0</v>
      </c>
      <c r="J314" s="5">
        <v>0</v>
      </c>
      <c r="K314" s="5">
        <v>0</v>
      </c>
      <c r="P314" s="2" t="s">
        <v>25</v>
      </c>
      <c r="Q314" s="10">
        <f>data_redis_illX!E280</f>
        <v>0</v>
      </c>
      <c r="R314" s="10">
        <f>data_redis_illX!F280</f>
        <v>0</v>
      </c>
      <c r="S314" s="10">
        <f>data_redis_illX!G280</f>
        <v>4.7032573301538809</v>
      </c>
      <c r="T314" s="10">
        <f>data_redis_illX!H280</f>
        <v>0.46021767477583703</v>
      </c>
      <c r="U314" s="10">
        <f>data_redis_illX!I280</f>
        <v>0</v>
      </c>
      <c r="V314" s="10">
        <f>data_redis_illX!J280</f>
        <v>0</v>
      </c>
      <c r="W314" s="10">
        <f>data_redis_illX!K280</f>
        <v>0</v>
      </c>
      <c r="X314" s="10">
        <f>data_redis_illX!L280</f>
        <v>0</v>
      </c>
      <c r="Y314" s="5">
        <f t="shared" si="4"/>
        <v>5.163475004929718</v>
      </c>
    </row>
    <row r="315" spans="3:25" x14ac:dyDescent="0.25">
      <c r="C315" t="s">
        <v>26</v>
      </c>
      <c r="D315" s="5">
        <f t="array" ref="D315:K315">(Q315:X315*AE$4:AE$11+Q678:Y678*AF$4:AF$11+Q1041:Y1041*AG$4:AG$11)</f>
        <v>0</v>
      </c>
      <c r="E315" s="5">
        <v>0</v>
      </c>
      <c r="F315" s="5">
        <v>0.20045460362105566</v>
      </c>
      <c r="G315" s="5">
        <v>0.46021767477583703</v>
      </c>
      <c r="H315" s="5">
        <v>0</v>
      </c>
      <c r="I315" s="5">
        <v>0</v>
      </c>
      <c r="J315" s="5">
        <v>0</v>
      </c>
      <c r="K315" s="5">
        <v>0</v>
      </c>
      <c r="P315" s="2" t="s">
        <v>26</v>
      </c>
      <c r="Q315" s="10">
        <f>data_redis_illX!E281</f>
        <v>0</v>
      </c>
      <c r="R315" s="10">
        <f>data_redis_illX!F281</f>
        <v>0</v>
      </c>
      <c r="S315" s="10">
        <f>data_redis_illX!G281</f>
        <v>0</v>
      </c>
      <c r="T315" s="10">
        <f>data_redis_illX!H281</f>
        <v>0.46021767477583703</v>
      </c>
      <c r="U315" s="10">
        <f>data_redis_illX!I281</f>
        <v>0</v>
      </c>
      <c r="V315" s="10">
        <f>data_redis_illX!J281</f>
        <v>0</v>
      </c>
      <c r="W315" s="10">
        <f>data_redis_illX!K281</f>
        <v>0</v>
      </c>
      <c r="X315" s="10">
        <f>data_redis_illX!L281</f>
        <v>0</v>
      </c>
      <c r="Y315" s="5">
        <f t="shared" si="4"/>
        <v>0.46021767477583703</v>
      </c>
    </row>
    <row r="316" spans="3:25" x14ac:dyDescent="0.25">
      <c r="C316" t="s">
        <v>27</v>
      </c>
      <c r="D316" s="5">
        <f t="array" ref="D316:K316">(Q316:X316*AE$4:AE$11+Q679:Y679*AF$4:AF$11+Q1042:Y1042*AG$4:AG$11)</f>
        <v>0</v>
      </c>
      <c r="E316" s="5">
        <v>0</v>
      </c>
      <c r="F316" s="5">
        <v>0.20045460362105566</v>
      </c>
      <c r="G316" s="5">
        <v>0.46021767477583703</v>
      </c>
      <c r="H316" s="5">
        <v>0</v>
      </c>
      <c r="I316" s="5">
        <v>0</v>
      </c>
      <c r="J316" s="5">
        <v>0</v>
      </c>
      <c r="K316" s="5">
        <v>0</v>
      </c>
      <c r="P316" s="2" t="s">
        <v>27</v>
      </c>
      <c r="Q316" s="10">
        <f>data_redis_illX!E282</f>
        <v>0</v>
      </c>
      <c r="R316" s="10">
        <f>data_redis_illX!F282</f>
        <v>0</v>
      </c>
      <c r="S316" s="10">
        <f>data_redis_illX!G282</f>
        <v>0</v>
      </c>
      <c r="T316" s="10">
        <f>data_redis_illX!H282</f>
        <v>0.46021767477583703</v>
      </c>
      <c r="U316" s="10">
        <f>data_redis_illX!I282</f>
        <v>0</v>
      </c>
      <c r="V316" s="10">
        <f>data_redis_illX!J282</f>
        <v>0</v>
      </c>
      <c r="W316" s="10">
        <f>data_redis_illX!K282</f>
        <v>0</v>
      </c>
      <c r="X316" s="10">
        <f>data_redis_illX!L282</f>
        <v>0</v>
      </c>
      <c r="Y316" s="5">
        <f t="shared" si="4"/>
        <v>0.46021767477583703</v>
      </c>
    </row>
    <row r="317" spans="3:25" x14ac:dyDescent="0.25">
      <c r="C317" t="s">
        <v>28</v>
      </c>
      <c r="D317" s="5">
        <f t="array" ref="D317:K317">(Q317:X317*AE$4:AE$11+Q680:Y680*AF$4:AF$11+Q1043:Y1043*AG$4:AG$11)</f>
        <v>0</v>
      </c>
      <c r="E317" s="5">
        <v>0</v>
      </c>
      <c r="F317" s="5">
        <v>4.9037119337749369</v>
      </c>
      <c r="G317" s="5">
        <v>0.46021767477583703</v>
      </c>
      <c r="H317" s="5">
        <v>0</v>
      </c>
      <c r="I317" s="5">
        <v>0</v>
      </c>
      <c r="J317" s="5">
        <v>0</v>
      </c>
      <c r="K317" s="5">
        <v>0</v>
      </c>
      <c r="P317" s="2" t="s">
        <v>28</v>
      </c>
      <c r="Q317" s="10">
        <f>data_redis_illX!E283</f>
        <v>0</v>
      </c>
      <c r="R317" s="10">
        <f>data_redis_illX!F283</f>
        <v>0</v>
      </c>
      <c r="S317" s="10">
        <f>data_redis_illX!G283</f>
        <v>4.7032573301538809</v>
      </c>
      <c r="T317" s="10">
        <f>data_redis_illX!H283</f>
        <v>0.46021767477583703</v>
      </c>
      <c r="U317" s="10">
        <f>data_redis_illX!I283</f>
        <v>0</v>
      </c>
      <c r="V317" s="10">
        <f>data_redis_illX!J283</f>
        <v>0</v>
      </c>
      <c r="W317" s="10">
        <f>data_redis_illX!K283</f>
        <v>0</v>
      </c>
      <c r="X317" s="10">
        <f>data_redis_illX!L283</f>
        <v>0</v>
      </c>
      <c r="Y317" s="5">
        <f t="shared" si="4"/>
        <v>5.163475004929718</v>
      </c>
    </row>
    <row r="318" spans="3:25" x14ac:dyDescent="0.25">
      <c r="C318" t="s">
        <v>29</v>
      </c>
      <c r="D318" s="5">
        <f t="array" ref="D318:K318">(Q318:X318*AE$4:AE$11+Q681:Y681*AF$4:AF$11+Q1044:Y1044*AG$4:AG$11)</f>
        <v>0</v>
      </c>
      <c r="E318" s="5">
        <v>0</v>
      </c>
      <c r="F318" s="5">
        <v>0.20045460362105566</v>
      </c>
      <c r="G318" s="5">
        <v>0.46021767477583703</v>
      </c>
      <c r="H318" s="5">
        <v>0</v>
      </c>
      <c r="I318" s="5">
        <v>0</v>
      </c>
      <c r="J318" s="5">
        <v>0</v>
      </c>
      <c r="K318" s="5">
        <v>0</v>
      </c>
      <c r="P318" s="2" t="s">
        <v>29</v>
      </c>
      <c r="Q318" s="10">
        <f>data_redis_illX!E284</f>
        <v>0</v>
      </c>
      <c r="R318" s="10">
        <f>data_redis_illX!F284</f>
        <v>0</v>
      </c>
      <c r="S318" s="10">
        <f>data_redis_illX!G284</f>
        <v>0</v>
      </c>
      <c r="T318" s="10">
        <f>data_redis_illX!H284</f>
        <v>0.46021767477583703</v>
      </c>
      <c r="U318" s="10">
        <f>data_redis_illX!I284</f>
        <v>0</v>
      </c>
      <c r="V318" s="10">
        <f>data_redis_illX!J284</f>
        <v>0</v>
      </c>
      <c r="W318" s="10">
        <f>data_redis_illX!K284</f>
        <v>0</v>
      </c>
      <c r="X318" s="10">
        <f>data_redis_illX!L284</f>
        <v>0</v>
      </c>
      <c r="Y318" s="5">
        <f t="shared" si="4"/>
        <v>0.46021767477583703</v>
      </c>
    </row>
    <row r="319" spans="3:25" x14ac:dyDescent="0.25">
      <c r="C319" t="s">
        <v>30</v>
      </c>
      <c r="D319" s="5">
        <f t="array" ref="D319:K319">(Q319:X319*AE$4:AE$11+Q682:Y682*AF$4:AF$11+Q1045:Y1045*AG$4:AG$11)</f>
        <v>0</v>
      </c>
      <c r="E319" s="5">
        <v>0</v>
      </c>
      <c r="F319" s="5">
        <v>4.9037119337749369</v>
      </c>
      <c r="G319" s="5">
        <v>9.3438471848262594</v>
      </c>
      <c r="H319" s="5">
        <v>8.1425100621450497</v>
      </c>
      <c r="I319" s="5">
        <v>0</v>
      </c>
      <c r="J319" s="5">
        <v>0</v>
      </c>
      <c r="K319" s="5">
        <v>0</v>
      </c>
      <c r="P319" s="2" t="s">
        <v>30</v>
      </c>
      <c r="Q319" s="10">
        <f>data_redis_illX!E285</f>
        <v>0</v>
      </c>
      <c r="R319" s="10">
        <f>data_redis_illX!F285</f>
        <v>0</v>
      </c>
      <c r="S319" s="10">
        <f>data_redis_illX!G285</f>
        <v>4.7032573301538809</v>
      </c>
      <c r="T319" s="10">
        <f>data_redis_illX!H285</f>
        <v>0.46021767477583703</v>
      </c>
      <c r="U319" s="10">
        <f>data_redis_illX!I285</f>
        <v>8.1425100621450497</v>
      </c>
      <c r="V319" s="10">
        <f>data_redis_illX!J285</f>
        <v>0</v>
      </c>
      <c r="W319" s="10">
        <f>data_redis_illX!K285</f>
        <v>0</v>
      </c>
      <c r="X319" s="10">
        <f>data_redis_illX!L285</f>
        <v>0</v>
      </c>
      <c r="Y319" s="5">
        <f t="shared" si="4"/>
        <v>13.305985067074769</v>
      </c>
    </row>
    <row r="320" spans="3:25" x14ac:dyDescent="0.25">
      <c r="C320" t="s">
        <v>31</v>
      </c>
      <c r="D320" s="5">
        <f t="array" ref="D320:K320">(Q320:X320*AE$4:AE$11+Q683:Y683*AF$4:AF$11+Q1046:Y1046*AG$4:AG$11)</f>
        <v>0</v>
      </c>
      <c r="E320" s="5">
        <v>0</v>
      </c>
      <c r="F320" s="5">
        <v>0.20045460362105566</v>
      </c>
      <c r="G320" s="5">
        <v>0.46021767477583703</v>
      </c>
      <c r="H320" s="5">
        <v>0</v>
      </c>
      <c r="I320" s="5">
        <v>0</v>
      </c>
      <c r="J320" s="5">
        <v>0</v>
      </c>
      <c r="K320" s="5">
        <v>0</v>
      </c>
      <c r="P320" s="2" t="s">
        <v>31</v>
      </c>
      <c r="Q320" s="10">
        <f>data_redis_illX!E286</f>
        <v>0</v>
      </c>
      <c r="R320" s="10">
        <f>data_redis_illX!F286</f>
        <v>0</v>
      </c>
      <c r="S320" s="10">
        <f>data_redis_illX!G286</f>
        <v>0</v>
      </c>
      <c r="T320" s="10">
        <f>data_redis_illX!H286</f>
        <v>0.46021767477583703</v>
      </c>
      <c r="U320" s="10">
        <f>data_redis_illX!I286</f>
        <v>0</v>
      </c>
      <c r="V320" s="10">
        <f>data_redis_illX!J286</f>
        <v>0</v>
      </c>
      <c r="W320" s="10">
        <f>data_redis_illX!K286</f>
        <v>0</v>
      </c>
      <c r="X320" s="10">
        <f>data_redis_illX!L286</f>
        <v>0</v>
      </c>
      <c r="Y320" s="5">
        <f t="shared" si="4"/>
        <v>0.46021767477583703</v>
      </c>
    </row>
    <row r="321" spans="1:25" x14ac:dyDescent="0.25">
      <c r="C321" t="s">
        <v>32</v>
      </c>
      <c r="D321" s="5">
        <f t="array" ref="D321:K321">(Q321:X321*AE$4:AE$11+Q684:Y684*AF$4:AF$11+Q1047:Y1047*AG$4:AG$11)</f>
        <v>0</v>
      </c>
      <c r="E321" s="5">
        <v>0</v>
      </c>
      <c r="F321" s="5">
        <v>0.20045460362105566</v>
      </c>
      <c r="G321" s="5">
        <v>0.46021767477583703</v>
      </c>
      <c r="H321" s="5">
        <v>0</v>
      </c>
      <c r="I321" s="5">
        <v>0</v>
      </c>
      <c r="J321" s="5">
        <v>0</v>
      </c>
      <c r="K321" s="5">
        <v>0</v>
      </c>
      <c r="P321" s="2" t="s">
        <v>32</v>
      </c>
      <c r="Q321" s="10">
        <f>data_redis_illX!E287</f>
        <v>0</v>
      </c>
      <c r="R321" s="10">
        <f>data_redis_illX!F287</f>
        <v>0</v>
      </c>
      <c r="S321" s="10">
        <f>data_redis_illX!G287</f>
        <v>0</v>
      </c>
      <c r="T321" s="10">
        <f>data_redis_illX!H287</f>
        <v>0.46021767477583703</v>
      </c>
      <c r="U321" s="10">
        <f>data_redis_illX!I287</f>
        <v>0</v>
      </c>
      <c r="V321" s="10">
        <f>data_redis_illX!J287</f>
        <v>0</v>
      </c>
      <c r="W321" s="10">
        <f>data_redis_illX!K287</f>
        <v>0</v>
      </c>
      <c r="X321" s="10">
        <f>data_redis_illX!L287</f>
        <v>0</v>
      </c>
      <c r="Y321" s="5">
        <f t="shared" si="4"/>
        <v>0.46021767477583703</v>
      </c>
    </row>
    <row r="322" spans="1:25" x14ac:dyDescent="0.25">
      <c r="C322" t="s">
        <v>33</v>
      </c>
      <c r="D322" s="5">
        <f t="array" ref="D322:K322">(Q322:X322*AE$4:AE$11+Q685:Y685*AF$4:AF$11+Q1048:Y1048*AG$4:AG$11)</f>
        <v>0</v>
      </c>
      <c r="E322" s="5">
        <v>0</v>
      </c>
      <c r="F322" s="5">
        <v>0.20045460362105566</v>
      </c>
      <c r="G322" s="5">
        <v>0.46021767477583703</v>
      </c>
      <c r="H322" s="5">
        <v>0</v>
      </c>
      <c r="I322" s="5">
        <v>0</v>
      </c>
      <c r="J322" s="5">
        <v>0</v>
      </c>
      <c r="K322" s="5">
        <v>0</v>
      </c>
      <c r="P322" s="2" t="s">
        <v>33</v>
      </c>
      <c r="Q322" s="10">
        <f>data_redis_illX!E288</f>
        <v>0</v>
      </c>
      <c r="R322" s="10">
        <f>data_redis_illX!F288</f>
        <v>0</v>
      </c>
      <c r="S322" s="10">
        <f>data_redis_illX!G288</f>
        <v>0</v>
      </c>
      <c r="T322" s="10">
        <f>data_redis_illX!H288</f>
        <v>0.46021767477583703</v>
      </c>
      <c r="U322" s="10">
        <f>data_redis_illX!I288</f>
        <v>0</v>
      </c>
      <c r="V322" s="10">
        <f>data_redis_illX!J288</f>
        <v>0</v>
      </c>
      <c r="W322" s="10">
        <f>data_redis_illX!K288</f>
        <v>0</v>
      </c>
      <c r="X322" s="10">
        <f>data_redis_illX!L288</f>
        <v>0</v>
      </c>
      <c r="Y322" s="5">
        <f t="shared" si="4"/>
        <v>0.46021767477583703</v>
      </c>
    </row>
    <row r="323" spans="1:25" x14ac:dyDescent="0.25">
      <c r="C323" t="s">
        <v>34</v>
      </c>
      <c r="D323" s="5">
        <f t="array" ref="D323:K323">(Q323:X323*AE$4:AE$11+Q686:Y686*AF$4:AF$11+Q1049:Y1049*AG$4:AG$11)</f>
        <v>0</v>
      </c>
      <c r="E323" s="5">
        <v>0</v>
      </c>
      <c r="F323" s="5">
        <v>0.20045460362105566</v>
      </c>
      <c r="G323" s="5">
        <v>0.46021767477583703</v>
      </c>
      <c r="H323" s="5">
        <v>0</v>
      </c>
      <c r="I323" s="5">
        <v>0</v>
      </c>
      <c r="J323" s="5">
        <v>0</v>
      </c>
      <c r="K323" s="5">
        <v>0</v>
      </c>
      <c r="P323" s="2" t="s">
        <v>34</v>
      </c>
      <c r="Q323" s="10">
        <f>data_redis_illX!E289</f>
        <v>0</v>
      </c>
      <c r="R323" s="10">
        <f>data_redis_illX!F289</f>
        <v>0</v>
      </c>
      <c r="S323" s="10">
        <f>data_redis_illX!G289</f>
        <v>0</v>
      </c>
      <c r="T323" s="10">
        <f>data_redis_illX!H289</f>
        <v>0.46021767477583703</v>
      </c>
      <c r="U323" s="10">
        <f>data_redis_illX!I289</f>
        <v>0</v>
      </c>
      <c r="V323" s="10">
        <f>data_redis_illX!J289</f>
        <v>0</v>
      </c>
      <c r="W323" s="10">
        <f>data_redis_illX!K289</f>
        <v>0</v>
      </c>
      <c r="X323" s="10">
        <f>data_redis_illX!L289</f>
        <v>0</v>
      </c>
      <c r="Y323" s="5">
        <f t="shared" si="4"/>
        <v>0.46021767477583703</v>
      </c>
    </row>
    <row r="324" spans="1:25" x14ac:dyDescent="0.25">
      <c r="C324" t="s">
        <v>35</v>
      </c>
      <c r="D324" s="5">
        <f t="array" ref="D324:K324">(Q324:X324*AE$4:AE$11+Q687:Y687*AF$4:AF$11+Q1050:Y1050*AG$4:AG$11)</f>
        <v>0</v>
      </c>
      <c r="E324" s="5">
        <v>0</v>
      </c>
      <c r="F324" s="5">
        <v>0.20045460362105566</v>
      </c>
      <c r="G324" s="5">
        <v>0.46021767477583703</v>
      </c>
      <c r="H324" s="5">
        <v>0</v>
      </c>
      <c r="I324" s="5">
        <v>0</v>
      </c>
      <c r="J324" s="5">
        <v>0</v>
      </c>
      <c r="K324" s="5">
        <v>0</v>
      </c>
      <c r="P324" s="2" t="s">
        <v>35</v>
      </c>
      <c r="Q324" s="10">
        <f>data_redis_illX!E290</f>
        <v>0</v>
      </c>
      <c r="R324" s="10">
        <f>data_redis_illX!F290</f>
        <v>0</v>
      </c>
      <c r="S324" s="10">
        <f>data_redis_illX!G290</f>
        <v>0</v>
      </c>
      <c r="T324" s="10">
        <f>data_redis_illX!H290</f>
        <v>0.46021767477583703</v>
      </c>
      <c r="U324" s="10">
        <f>data_redis_illX!I290</f>
        <v>0</v>
      </c>
      <c r="V324" s="10">
        <f>data_redis_illX!J290</f>
        <v>0</v>
      </c>
      <c r="W324" s="10">
        <f>data_redis_illX!K290</f>
        <v>0</v>
      </c>
      <c r="X324" s="10">
        <f>data_redis_illX!L290</f>
        <v>0</v>
      </c>
      <c r="Y324" s="5">
        <f t="shared" si="4"/>
        <v>0.46021767477583703</v>
      </c>
    </row>
    <row r="325" spans="1:25" x14ac:dyDescent="0.25">
      <c r="C325" t="s">
        <v>36</v>
      </c>
      <c r="D325" s="5">
        <f t="array" ref="D325:K325">(Q325:X325*AE$4:AE$11+Q688:Y688*AF$4:AF$11+Q1051:Y1051*AG$4:AG$11)</f>
        <v>0</v>
      </c>
      <c r="E325" s="5">
        <v>0</v>
      </c>
      <c r="F325" s="5">
        <v>0.20045460362105566</v>
      </c>
      <c r="G325" s="5">
        <v>0.46021767477583703</v>
      </c>
      <c r="H325" s="5">
        <v>0</v>
      </c>
      <c r="I325" s="5">
        <v>0</v>
      </c>
      <c r="J325" s="5">
        <v>0</v>
      </c>
      <c r="K325" s="5">
        <v>0</v>
      </c>
      <c r="P325" s="2" t="s">
        <v>36</v>
      </c>
      <c r="Q325" s="10">
        <f>data_redis_illX!E291</f>
        <v>0</v>
      </c>
      <c r="R325" s="10">
        <f>data_redis_illX!F291</f>
        <v>0</v>
      </c>
      <c r="S325" s="10">
        <f>data_redis_illX!G291</f>
        <v>0</v>
      </c>
      <c r="T325" s="10">
        <f>data_redis_illX!H291</f>
        <v>0.46021767477583703</v>
      </c>
      <c r="U325" s="10">
        <f>data_redis_illX!I291</f>
        <v>0</v>
      </c>
      <c r="V325" s="10">
        <f>data_redis_illX!J291</f>
        <v>0</v>
      </c>
      <c r="W325" s="10">
        <f>data_redis_illX!K291</f>
        <v>0</v>
      </c>
      <c r="X325" s="10">
        <f>data_redis_illX!L291</f>
        <v>0</v>
      </c>
      <c r="Y325" s="5">
        <f t="shared" ref="Y325:Y388" si="5">SUM(Q325:X325)</f>
        <v>0.46021767477583703</v>
      </c>
    </row>
    <row r="326" spans="1:25" x14ac:dyDescent="0.25">
      <c r="C326" t="s">
        <v>37</v>
      </c>
      <c r="D326" s="5">
        <f t="array" ref="D326:K326">(Q326:X326*AE$4:AE$11+Q689:Y689*AF$4:AF$11+Q1052:Y1052*AG$4:AG$11)</f>
        <v>0</v>
      </c>
      <c r="E326" s="5">
        <v>0</v>
      </c>
      <c r="F326" s="5">
        <v>0.20045460362105566</v>
      </c>
      <c r="G326" s="5">
        <v>0.46021767477583703</v>
      </c>
      <c r="H326" s="5">
        <v>0</v>
      </c>
      <c r="I326" s="5">
        <v>0</v>
      </c>
      <c r="J326" s="5">
        <v>0</v>
      </c>
      <c r="K326" s="5">
        <v>0</v>
      </c>
      <c r="P326" s="2" t="s">
        <v>37</v>
      </c>
      <c r="Q326" s="10">
        <f>data_redis_illX!E292</f>
        <v>0</v>
      </c>
      <c r="R326" s="10">
        <f>data_redis_illX!F292</f>
        <v>0</v>
      </c>
      <c r="S326" s="10">
        <f>data_redis_illX!G292</f>
        <v>0</v>
      </c>
      <c r="T326" s="10">
        <f>data_redis_illX!H292</f>
        <v>0.46021767477583703</v>
      </c>
      <c r="U326" s="10">
        <f>data_redis_illX!I292</f>
        <v>0</v>
      </c>
      <c r="V326" s="10">
        <f>data_redis_illX!J292</f>
        <v>0</v>
      </c>
      <c r="W326" s="10">
        <f>data_redis_illX!K292</f>
        <v>0</v>
      </c>
      <c r="X326" s="10">
        <f>data_redis_illX!L292</f>
        <v>0</v>
      </c>
      <c r="Y326" s="5">
        <f t="shared" si="5"/>
        <v>0.46021767477583703</v>
      </c>
    </row>
    <row r="327" spans="1:25" x14ac:dyDescent="0.25">
      <c r="C327" t="s">
        <v>38</v>
      </c>
      <c r="D327" s="5">
        <f t="array" ref="D327:K327">(Q327:X327*AE$4:AE$11+Q690:Y690*AF$4:AF$11+Q1053:Y1053*AG$4:AG$11)</f>
        <v>0</v>
      </c>
      <c r="E327" s="5">
        <v>0</v>
      </c>
      <c r="F327" s="5">
        <v>0.20045460362105566</v>
      </c>
      <c r="G327" s="5">
        <v>0.46021767477583703</v>
      </c>
      <c r="H327" s="5">
        <v>0</v>
      </c>
      <c r="I327" s="5">
        <v>0</v>
      </c>
      <c r="J327" s="5">
        <v>0</v>
      </c>
      <c r="K327" s="5">
        <v>0</v>
      </c>
      <c r="P327" s="2" t="s">
        <v>38</v>
      </c>
      <c r="Q327" s="10">
        <f>data_redis_illX!E293</f>
        <v>0</v>
      </c>
      <c r="R327" s="10">
        <f>data_redis_illX!F293</f>
        <v>0</v>
      </c>
      <c r="S327" s="10">
        <f>data_redis_illX!G293</f>
        <v>0</v>
      </c>
      <c r="T327" s="10">
        <f>data_redis_illX!H293</f>
        <v>0.46021767477583703</v>
      </c>
      <c r="U327" s="10">
        <f>data_redis_illX!I293</f>
        <v>0</v>
      </c>
      <c r="V327" s="10">
        <f>data_redis_illX!J293</f>
        <v>0</v>
      </c>
      <c r="W327" s="10">
        <f>data_redis_illX!K293</f>
        <v>0</v>
      </c>
      <c r="X327" s="10">
        <f>data_redis_illX!L293</f>
        <v>0</v>
      </c>
      <c r="Y327" s="5">
        <f t="shared" si="5"/>
        <v>0.46021767477583703</v>
      </c>
    </row>
    <row r="328" spans="1:25" x14ac:dyDescent="0.25">
      <c r="C328" t="s">
        <v>39</v>
      </c>
      <c r="D328" s="5">
        <f t="array" ref="D328:K328">(Q328:X328*AE$4:AE$11+Q691:Y691*AF$4:AF$11+Q1054:Y1054*AG$4:AG$11)</f>
        <v>0</v>
      </c>
      <c r="E328" s="5">
        <v>0</v>
      </c>
      <c r="F328" s="5">
        <v>0.20045460362105566</v>
      </c>
      <c r="G328" s="5">
        <v>0.46021767477583703</v>
      </c>
      <c r="H328" s="5">
        <v>0</v>
      </c>
      <c r="I328" s="5">
        <v>0</v>
      </c>
      <c r="J328" s="5">
        <v>0</v>
      </c>
      <c r="K328" s="5">
        <v>0</v>
      </c>
      <c r="P328" s="2" t="s">
        <v>39</v>
      </c>
      <c r="Q328" s="10">
        <f>data_redis_illX!E294</f>
        <v>0</v>
      </c>
      <c r="R328" s="10">
        <f>data_redis_illX!F294</f>
        <v>0</v>
      </c>
      <c r="S328" s="10">
        <f>data_redis_illX!G294</f>
        <v>0</v>
      </c>
      <c r="T328" s="10">
        <f>data_redis_illX!H294</f>
        <v>0.46021767477583703</v>
      </c>
      <c r="U328" s="10">
        <f>data_redis_illX!I294</f>
        <v>0</v>
      </c>
      <c r="V328" s="10">
        <f>data_redis_illX!J294</f>
        <v>0</v>
      </c>
      <c r="W328" s="10">
        <f>data_redis_illX!K294</f>
        <v>0</v>
      </c>
      <c r="X328" s="10">
        <f>data_redis_illX!L294</f>
        <v>0</v>
      </c>
      <c r="Y328" s="5">
        <f t="shared" si="5"/>
        <v>0.46021767477583703</v>
      </c>
    </row>
    <row r="329" spans="1:25" x14ac:dyDescent="0.25">
      <c r="C329" t="s">
        <v>40</v>
      </c>
      <c r="D329" s="5">
        <f t="array" ref="D329:K329">(Q329:X329*AE$4:AE$11+Q692:Y692*AF$4:AF$11+Q1055:Y1055*AG$4:AG$11)</f>
        <v>0</v>
      </c>
      <c r="E329" s="5">
        <v>0</v>
      </c>
      <c r="F329" s="5">
        <v>0.20045460362105566</v>
      </c>
      <c r="G329" s="5">
        <v>0.46021767477583703</v>
      </c>
      <c r="H329" s="5">
        <v>0</v>
      </c>
      <c r="I329" s="5">
        <v>0</v>
      </c>
      <c r="J329" s="5">
        <v>0</v>
      </c>
      <c r="K329" s="5">
        <v>0</v>
      </c>
      <c r="P329" s="2" t="s">
        <v>40</v>
      </c>
      <c r="Q329" s="10">
        <f>data_redis_illX!E295</f>
        <v>0</v>
      </c>
      <c r="R329" s="10">
        <f>data_redis_illX!F295</f>
        <v>0</v>
      </c>
      <c r="S329" s="10">
        <f>data_redis_illX!G295</f>
        <v>0</v>
      </c>
      <c r="T329" s="10">
        <f>data_redis_illX!H295</f>
        <v>0.46021767477583703</v>
      </c>
      <c r="U329" s="10">
        <f>data_redis_illX!I295</f>
        <v>0</v>
      </c>
      <c r="V329" s="10">
        <f>data_redis_illX!J295</f>
        <v>0</v>
      </c>
      <c r="W329" s="10">
        <f>data_redis_illX!K295</f>
        <v>0</v>
      </c>
      <c r="X329" s="10">
        <f>data_redis_illX!L295</f>
        <v>0</v>
      </c>
      <c r="Y329" s="5">
        <f t="shared" si="5"/>
        <v>0.46021767477583703</v>
      </c>
    </row>
    <row r="330" spans="1:25" x14ac:dyDescent="0.25">
      <c r="C330" t="s">
        <v>41</v>
      </c>
      <c r="D330" s="5">
        <f t="array" ref="D330:K330">(Q330:X330*AE$4:AE$11+Q693:Y693*AF$4:AF$11+Q1056:Y1056*AG$4:AG$11)</f>
        <v>0</v>
      </c>
      <c r="E330" s="5">
        <v>0</v>
      </c>
      <c r="F330" s="5">
        <v>0.20045460362105566</v>
      </c>
      <c r="G330" s="5">
        <v>0.46021767477583703</v>
      </c>
      <c r="H330" s="5">
        <v>0</v>
      </c>
      <c r="I330" s="5">
        <v>0</v>
      </c>
      <c r="J330" s="5">
        <v>0</v>
      </c>
      <c r="K330" s="5">
        <v>0</v>
      </c>
      <c r="P330" s="2" t="s">
        <v>41</v>
      </c>
      <c r="Q330" s="10">
        <f>data_redis_illX!E296</f>
        <v>0</v>
      </c>
      <c r="R330" s="10">
        <f>data_redis_illX!F296</f>
        <v>0</v>
      </c>
      <c r="S330" s="10">
        <f>data_redis_illX!G296</f>
        <v>0</v>
      </c>
      <c r="T330" s="10">
        <f>data_redis_illX!H296</f>
        <v>0.46021767477583703</v>
      </c>
      <c r="U330" s="10">
        <f>data_redis_illX!I296</f>
        <v>0</v>
      </c>
      <c r="V330" s="10">
        <f>data_redis_illX!J296</f>
        <v>0</v>
      </c>
      <c r="W330" s="10">
        <f>data_redis_illX!K296</f>
        <v>0</v>
      </c>
      <c r="X330" s="10">
        <f>data_redis_illX!L296</f>
        <v>0</v>
      </c>
      <c r="Y330" s="5">
        <f t="shared" si="5"/>
        <v>0.46021767477583703</v>
      </c>
    </row>
    <row r="331" spans="1:25" x14ac:dyDescent="0.25">
      <c r="C331" t="s">
        <v>42</v>
      </c>
      <c r="D331" s="5">
        <f t="array" ref="D331:K331">(Q331:X331*AE$4:AE$11+Q694:Y694*AF$4:AF$11+Q1057:Y1057*AG$4:AG$11)</f>
        <v>0</v>
      </c>
      <c r="E331" s="5">
        <v>0</v>
      </c>
      <c r="F331" s="5">
        <v>0.20045460362105566</v>
      </c>
      <c r="G331" s="5">
        <v>0.46021767477583703</v>
      </c>
      <c r="H331" s="5">
        <v>0</v>
      </c>
      <c r="I331" s="5">
        <v>0</v>
      </c>
      <c r="J331" s="5">
        <v>0</v>
      </c>
      <c r="K331" s="5">
        <v>0</v>
      </c>
      <c r="P331" s="2" t="s">
        <v>42</v>
      </c>
      <c r="Q331" s="10">
        <f>data_redis_illX!E297</f>
        <v>0</v>
      </c>
      <c r="R331" s="10">
        <f>data_redis_illX!F297</f>
        <v>0</v>
      </c>
      <c r="S331" s="10">
        <f>data_redis_illX!G297</f>
        <v>0</v>
      </c>
      <c r="T331" s="10">
        <f>data_redis_illX!H297</f>
        <v>0.46021767477583703</v>
      </c>
      <c r="U331" s="10">
        <f>data_redis_illX!I297</f>
        <v>0</v>
      </c>
      <c r="V331" s="10">
        <f>data_redis_illX!J297</f>
        <v>0</v>
      </c>
      <c r="W331" s="10">
        <f>data_redis_illX!K297</f>
        <v>0</v>
      </c>
      <c r="X331" s="10">
        <f>data_redis_illX!L297</f>
        <v>0</v>
      </c>
      <c r="Y331" s="5">
        <f t="shared" si="5"/>
        <v>0.46021767477583703</v>
      </c>
    </row>
    <row r="332" spans="1:25" x14ac:dyDescent="0.25">
      <c r="C332" t="s">
        <v>43</v>
      </c>
      <c r="D332" s="5">
        <f t="array" ref="D332:K332">(Q332:X332*AE$4:AE$11+Q695:Y695*AF$4:AF$11+Q1058:Y1058*AG$4:AG$11)</f>
        <v>0</v>
      </c>
      <c r="E332" s="5">
        <v>0</v>
      </c>
      <c r="F332" s="5">
        <v>0.20045460362105566</v>
      </c>
      <c r="G332" s="5">
        <v>0.46021767477583703</v>
      </c>
      <c r="H332" s="5">
        <v>0</v>
      </c>
      <c r="I332" s="5">
        <v>0</v>
      </c>
      <c r="J332" s="5">
        <v>0</v>
      </c>
      <c r="K332" s="5">
        <v>0</v>
      </c>
      <c r="P332" s="2" t="s">
        <v>43</v>
      </c>
      <c r="Q332" s="10">
        <f>data_redis_illX!E298</f>
        <v>0</v>
      </c>
      <c r="R332" s="10">
        <f>data_redis_illX!F298</f>
        <v>0</v>
      </c>
      <c r="S332" s="10">
        <f>data_redis_illX!G298</f>
        <v>0</v>
      </c>
      <c r="T332" s="10">
        <f>data_redis_illX!H298</f>
        <v>0.46021767477583703</v>
      </c>
      <c r="U332" s="10">
        <f>data_redis_illX!I298</f>
        <v>0</v>
      </c>
      <c r="V332" s="10">
        <f>data_redis_illX!J298</f>
        <v>0</v>
      </c>
      <c r="W332" s="10">
        <f>data_redis_illX!K298</f>
        <v>0</v>
      </c>
      <c r="X332" s="10">
        <f>data_redis_illX!L298</f>
        <v>0</v>
      </c>
      <c r="Y332" s="5">
        <f t="shared" si="5"/>
        <v>0.46021767477583703</v>
      </c>
    </row>
    <row r="333" spans="1:25" x14ac:dyDescent="0.25">
      <c r="C333" t="s">
        <v>44</v>
      </c>
      <c r="D333" s="5">
        <f t="array" ref="D333:K333">(Q333:X333*AE$4:AE$11+Q696:Y696*AF$4:AF$11+Q1059:Y1059*AG$4:AG$11)</f>
        <v>0</v>
      </c>
      <c r="E333" s="5">
        <v>0</v>
      </c>
      <c r="F333" s="5">
        <v>0.20045460362105566</v>
      </c>
      <c r="G333" s="5">
        <v>0.46021767477583703</v>
      </c>
      <c r="H333" s="5">
        <v>0</v>
      </c>
      <c r="I333" s="5">
        <v>0</v>
      </c>
      <c r="J333" s="5">
        <v>0</v>
      </c>
      <c r="K333" s="5">
        <v>0</v>
      </c>
      <c r="P333" s="2" t="s">
        <v>44</v>
      </c>
      <c r="Q333" s="10">
        <f>data_redis_illX!E299</f>
        <v>0</v>
      </c>
      <c r="R333" s="10">
        <f>data_redis_illX!F299</f>
        <v>0</v>
      </c>
      <c r="S333" s="10">
        <f>data_redis_illX!G299</f>
        <v>0</v>
      </c>
      <c r="T333" s="10">
        <f>data_redis_illX!H299</f>
        <v>0.46021767477583703</v>
      </c>
      <c r="U333" s="10">
        <f>data_redis_illX!I299</f>
        <v>0</v>
      </c>
      <c r="V333" s="10">
        <f>data_redis_illX!J299</f>
        <v>0</v>
      </c>
      <c r="W333" s="10">
        <f>data_redis_illX!K299</f>
        <v>0</v>
      </c>
      <c r="X333" s="10">
        <f>data_redis_illX!L299</f>
        <v>0</v>
      </c>
      <c r="Y333" s="5">
        <f t="shared" si="5"/>
        <v>0.46021767477583703</v>
      </c>
    </row>
    <row r="334" spans="1:25" x14ac:dyDescent="0.25">
      <c r="A334">
        <v>1</v>
      </c>
      <c r="B334" t="s">
        <v>54</v>
      </c>
      <c r="C334" t="s">
        <v>12</v>
      </c>
      <c r="D334" s="5">
        <f t="array" ref="D334:K334">(Q334:X334*AE$4:AE$11+Q697:Y697*AF$4:AF$11+Q1060:Y1060*AG$4:AG$11)</f>
        <v>0</v>
      </c>
      <c r="E334" s="5">
        <v>0</v>
      </c>
      <c r="F334" s="5">
        <v>45.226070253692718</v>
      </c>
      <c r="G334" s="5">
        <v>30.461197573511036</v>
      </c>
      <c r="H334" s="5">
        <v>18.9467630823208</v>
      </c>
      <c r="I334" s="5">
        <v>0</v>
      </c>
      <c r="J334" s="5">
        <v>0</v>
      </c>
      <c r="K334" s="5">
        <v>0.16317016317016317</v>
      </c>
      <c r="M334">
        <v>1</v>
      </c>
      <c r="N334" t="s">
        <v>103</v>
      </c>
      <c r="O334" t="s">
        <v>54</v>
      </c>
      <c r="P334" s="2" t="s">
        <v>12</v>
      </c>
      <c r="Q334" s="10">
        <f>data_redis_illX!E300</f>
        <v>0</v>
      </c>
      <c r="R334" s="10">
        <f>data_redis_illX!F300</f>
        <v>0</v>
      </c>
      <c r="S334" s="10">
        <f>data_redis_illX!G300</f>
        <v>10.802139980828203</v>
      </c>
      <c r="T334" s="10">
        <f>data_redis_illX!H300</f>
        <v>9.7357488185489363</v>
      </c>
      <c r="U334" s="10">
        <f>data_redis_illX!I300</f>
        <v>3.6158573765901392</v>
      </c>
      <c r="V334" s="10">
        <f>data_redis_illX!J300</f>
        <v>0</v>
      </c>
      <c r="W334" s="10">
        <f>data_redis_illX!K300</f>
        <v>0</v>
      </c>
      <c r="X334" s="10">
        <f>data_redis_illX!L300</f>
        <v>6.5268065268065265E-2</v>
      </c>
      <c r="Y334" s="5">
        <f t="shared" si="5"/>
        <v>24.219014241235342</v>
      </c>
    </row>
    <row r="335" spans="1:25" x14ac:dyDescent="0.25">
      <c r="C335" t="s">
        <v>13</v>
      </c>
      <c r="D335" s="5">
        <f t="array" ref="D335:K335">(Q335:X335*AE$4:AE$11+Q698:Y698*AF$4:AF$11+Q1061:Y1061*AG$4:AG$11)</f>
        <v>0</v>
      </c>
      <c r="E335" s="5">
        <v>0</v>
      </c>
      <c r="F335" s="5">
        <v>244.41502890269143</v>
      </c>
      <c r="G335" s="5">
        <v>340.00506196617573</v>
      </c>
      <c r="H335" s="5">
        <v>58.64821793525747</v>
      </c>
      <c r="I335" s="5">
        <v>4.7300830450521776</v>
      </c>
      <c r="J335" s="5">
        <v>0</v>
      </c>
      <c r="K335" s="5">
        <v>0.16317016317016317</v>
      </c>
      <c r="P335" s="2" t="s">
        <v>13</v>
      </c>
      <c r="Q335" s="10">
        <f>data_redis_illX!E301</f>
        <v>0</v>
      </c>
      <c r="R335" s="10">
        <f>data_redis_illX!F301</f>
        <v>0</v>
      </c>
      <c r="S335" s="10">
        <f>data_redis_illX!G301</f>
        <v>37.035908505696696</v>
      </c>
      <c r="T335" s="10">
        <f>data_redis_illX!H301</f>
        <v>37.320370471104262</v>
      </c>
      <c r="U335" s="10">
        <f>data_redis_illX!I301</f>
        <v>12.655500818065489</v>
      </c>
      <c r="V335" s="10">
        <f>data_redis_illX!J301</f>
        <v>4.7300830450521776</v>
      </c>
      <c r="W335" s="10">
        <f>data_redis_illX!K301</f>
        <v>0</v>
      </c>
      <c r="X335" s="10">
        <f>data_redis_illX!L301</f>
        <v>6.5268065268065265E-2</v>
      </c>
      <c r="Y335" s="5">
        <f t="shared" si="5"/>
        <v>91.807130905186696</v>
      </c>
    </row>
    <row r="336" spans="1:25" x14ac:dyDescent="0.25">
      <c r="C336" t="s">
        <v>14</v>
      </c>
      <c r="D336" s="5">
        <f t="array" ref="D336:K336">(Q336:X336*AE$4:AE$11+Q699:Y699*AF$4:AF$11+Q1062:Y1062*AG$4:AG$11)</f>
        <v>0</v>
      </c>
      <c r="E336" s="5">
        <v>0</v>
      </c>
      <c r="F336" s="5">
        <v>39.335257643923249</v>
      </c>
      <c r="G336" s="5">
        <v>92.531006229462818</v>
      </c>
      <c r="H336" s="5">
        <v>88.717929320865281</v>
      </c>
      <c r="I336" s="5">
        <v>11.608948041045069</v>
      </c>
      <c r="J336" s="5">
        <v>0</v>
      </c>
      <c r="K336" s="5">
        <v>0.16317016317016317</v>
      </c>
      <c r="P336" s="2" t="s">
        <v>14</v>
      </c>
      <c r="Q336" s="10">
        <f>data_redis_illX!E302</f>
        <v>0</v>
      </c>
      <c r="R336" s="10">
        <f>data_redis_illX!F302</f>
        <v>0</v>
      </c>
      <c r="S336" s="10">
        <f>data_redis_illX!G302</f>
        <v>12.345302835232232</v>
      </c>
      <c r="T336" s="10">
        <f>data_redis_illX!H302</f>
        <v>29.207246455646807</v>
      </c>
      <c r="U336" s="10">
        <f>data_redis_illX!I302</f>
        <v>23.503072947835907</v>
      </c>
      <c r="V336" s="10">
        <f>data_redis_illX!J302</f>
        <v>4.7300830450521776</v>
      </c>
      <c r="W336" s="10">
        <f>data_redis_illX!K302</f>
        <v>0</v>
      </c>
      <c r="X336" s="10">
        <f>data_redis_illX!L302</f>
        <v>6.5268065268065265E-2</v>
      </c>
      <c r="Y336" s="5">
        <f t="shared" si="5"/>
        <v>69.8509733490352</v>
      </c>
    </row>
    <row r="337" spans="3:25" x14ac:dyDescent="0.25">
      <c r="C337" t="s">
        <v>15</v>
      </c>
      <c r="D337" s="5">
        <f t="array" ref="D337:K337">(Q337:X337*AE$4:AE$11+Q700:Y700*AF$4:AF$11+Q1063:Y1063*AG$4:AG$11)</f>
        <v>0</v>
      </c>
      <c r="E337" s="5">
        <v>0</v>
      </c>
      <c r="F337" s="5">
        <v>23.926098053728733</v>
      </c>
      <c r="G337" s="5">
        <v>72.581610937250034</v>
      </c>
      <c r="H337" s="5">
        <v>47.797406116125117</v>
      </c>
      <c r="I337" s="5">
        <v>20.636594987978672</v>
      </c>
      <c r="J337" s="5">
        <v>6.8752574308587526</v>
      </c>
      <c r="K337" s="5">
        <v>0.16317016317016317</v>
      </c>
      <c r="P337" s="2" t="s">
        <v>15</v>
      </c>
      <c r="Q337" s="10">
        <f>data_redis_illX!E303</f>
        <v>0</v>
      </c>
      <c r="R337" s="10">
        <f>data_redis_illX!F303</f>
        <v>0</v>
      </c>
      <c r="S337" s="10">
        <f>data_redis_illX!G303</f>
        <v>6.172651417616116</v>
      </c>
      <c r="T337" s="10">
        <f>data_redis_illX!H303</f>
        <v>24.339372046372343</v>
      </c>
      <c r="U337" s="10">
        <f>data_redis_illX!I303</f>
        <v>14.463429506360557</v>
      </c>
      <c r="V337" s="10">
        <f>data_redis_illX!J303</f>
        <v>0</v>
      </c>
      <c r="W337" s="10">
        <f>data_redis_illX!K303</f>
        <v>0</v>
      </c>
      <c r="X337" s="10">
        <f>data_redis_illX!L303</f>
        <v>6.5268065268065265E-2</v>
      </c>
      <c r="Y337" s="5">
        <f t="shared" si="5"/>
        <v>45.040721035617082</v>
      </c>
    </row>
    <row r="338" spans="3:25" x14ac:dyDescent="0.25">
      <c r="C338" t="s">
        <v>16</v>
      </c>
      <c r="D338" s="5">
        <f t="array" ref="D338:K338">(Q338:X338*AE$4:AE$11+Q701:Y701*AF$4:AF$11+Q1064:Y1064*AG$4:AG$11)</f>
        <v>0</v>
      </c>
      <c r="E338" s="5">
        <v>0</v>
      </c>
      <c r="F338" s="5">
        <v>35.042529653810774</v>
      </c>
      <c r="G338" s="5">
        <v>75.652491417858755</v>
      </c>
      <c r="H338" s="5">
        <v>59.550562434724043</v>
      </c>
      <c r="I338" s="5">
        <v>36.75936650249055</v>
      </c>
      <c r="J338" s="5">
        <v>0</v>
      </c>
      <c r="K338" s="5">
        <v>0.16317016317016317</v>
      </c>
      <c r="P338" s="2" t="s">
        <v>16</v>
      </c>
      <c r="Q338" s="10">
        <f>data_redis_illX!E304</f>
        <v>0</v>
      </c>
      <c r="R338" s="10">
        <f>data_redis_illX!F304</f>
        <v>0</v>
      </c>
      <c r="S338" s="10">
        <f>data_redis_illX!G304</f>
        <v>3.086325708808058</v>
      </c>
      <c r="T338" s="10">
        <f>data_redis_illX!H304</f>
        <v>19.471497637097873</v>
      </c>
      <c r="U338" s="10">
        <f>data_redis_illX!I304</f>
        <v>19.887215571245768</v>
      </c>
      <c r="V338" s="10">
        <f>data_redis_illX!J304</f>
        <v>2.3650415225260888</v>
      </c>
      <c r="W338" s="10">
        <f>data_redis_illX!K304</f>
        <v>0</v>
      </c>
      <c r="X338" s="10">
        <f>data_redis_illX!L304</f>
        <v>6.5268065268065265E-2</v>
      </c>
      <c r="Y338" s="5">
        <f t="shared" si="5"/>
        <v>44.875348504945855</v>
      </c>
    </row>
    <row r="339" spans="3:25" x14ac:dyDescent="0.25">
      <c r="C339" t="s">
        <v>17</v>
      </c>
      <c r="D339" s="5">
        <f t="array" ref="D339:K339">(Q339:X339*AE$4:AE$11+Q702:Y702*AF$4:AF$11+Q1065:Y1065*AG$4:AG$11)</f>
        <v>0</v>
      </c>
      <c r="E339" s="5">
        <v>0</v>
      </c>
      <c r="F339" s="5">
        <v>13.274030072061164</v>
      </c>
      <c r="G339" s="5">
        <v>30.86219959728912</v>
      </c>
      <c r="H339" s="5">
        <v>34.511697282747726</v>
      </c>
      <c r="I339" s="5">
        <v>6.8788649959928918</v>
      </c>
      <c r="J339" s="5">
        <v>0</v>
      </c>
      <c r="K339" s="5">
        <v>0.16317016317016317</v>
      </c>
      <c r="P339" s="2" t="s">
        <v>17</v>
      </c>
      <c r="Q339" s="10">
        <f>data_redis_illX!E305</f>
        <v>0</v>
      </c>
      <c r="R339" s="10">
        <f>data_redis_illX!F305</f>
        <v>0</v>
      </c>
      <c r="S339" s="10">
        <f>data_redis_illX!G305</f>
        <v>6.172651417616116</v>
      </c>
      <c r="T339" s="10">
        <f>data_redis_illX!H305</f>
        <v>6.4904992123659575</v>
      </c>
      <c r="U339" s="10">
        <f>data_redis_illX!I305</f>
        <v>3.6158573765901392</v>
      </c>
      <c r="V339" s="10">
        <f>data_redis_illX!J305</f>
        <v>0</v>
      </c>
      <c r="W339" s="10">
        <f>data_redis_illX!K305</f>
        <v>0</v>
      </c>
      <c r="X339" s="10">
        <f>data_redis_illX!L305</f>
        <v>6.5268065268065265E-2</v>
      </c>
      <c r="Y339" s="5">
        <f t="shared" si="5"/>
        <v>16.344276071840277</v>
      </c>
    </row>
    <row r="340" spans="3:25" x14ac:dyDescent="0.25">
      <c r="C340" t="s">
        <v>18</v>
      </c>
      <c r="D340" s="5">
        <f t="array" ref="D340:K340">(Q340:X340*AE$4:AE$11+Q703:Y703*AF$4:AF$11+Q1066:Y1066*AG$4:AG$11)</f>
        <v>0</v>
      </c>
      <c r="E340" s="5">
        <v>0</v>
      </c>
      <c r="F340" s="5">
        <v>64.317685979795769</v>
      </c>
      <c r="G340" s="5">
        <v>121.72368997293714</v>
      </c>
      <c r="H340" s="5">
        <v>54.471905487120843</v>
      </c>
      <c r="I340" s="5">
        <v>6.8788649959928918</v>
      </c>
      <c r="J340" s="5">
        <v>0</v>
      </c>
      <c r="K340" s="5">
        <v>0.16317016317016317</v>
      </c>
      <c r="P340" s="2" t="s">
        <v>18</v>
      </c>
      <c r="Q340" s="10">
        <f>data_redis_illX!E306</f>
        <v>0</v>
      </c>
      <c r="R340" s="10">
        <f>data_redis_illX!F306</f>
        <v>0</v>
      </c>
      <c r="S340" s="10">
        <f>data_redis_illX!G306</f>
        <v>13.888465689636261</v>
      </c>
      <c r="T340" s="10">
        <f>data_redis_illX!H306</f>
        <v>21.094122440189363</v>
      </c>
      <c r="U340" s="10">
        <f>data_redis_illX!I306</f>
        <v>10.84757212977042</v>
      </c>
      <c r="V340" s="10">
        <f>data_redis_illX!J306</f>
        <v>0</v>
      </c>
      <c r="W340" s="10">
        <f>data_redis_illX!K306</f>
        <v>0</v>
      </c>
      <c r="X340" s="10">
        <f>data_redis_illX!L306</f>
        <v>6.5268065268065265E-2</v>
      </c>
      <c r="Y340" s="5">
        <f t="shared" si="5"/>
        <v>45.895428324864106</v>
      </c>
    </row>
    <row r="341" spans="3:25" x14ac:dyDescent="0.25">
      <c r="C341" t="s">
        <v>19</v>
      </c>
      <c r="D341" s="5">
        <f t="array" ref="D341:K341">(Q341:X341*AE$4:AE$11+Q704:Y704*AF$4:AF$11+Q1067:Y1067*AG$4:AG$11)</f>
        <v>0</v>
      </c>
      <c r="E341" s="5">
        <v>0</v>
      </c>
      <c r="F341" s="5">
        <v>105.83167086054794</v>
      </c>
      <c r="G341" s="5">
        <v>173.52658335075785</v>
      </c>
      <c r="H341" s="5">
        <v>100.15760147648922</v>
      </c>
      <c r="I341" s="5">
        <v>2.3650415225260888</v>
      </c>
      <c r="J341" s="5">
        <v>6.8752574308587526</v>
      </c>
      <c r="K341" s="5">
        <v>0.16317016317016317</v>
      </c>
      <c r="P341" s="2" t="s">
        <v>19</v>
      </c>
      <c r="Q341" s="10">
        <f>data_redis_illX!E307</f>
        <v>0</v>
      </c>
      <c r="R341" s="10">
        <f>data_redis_illX!F307</f>
        <v>0</v>
      </c>
      <c r="S341" s="10">
        <f>data_redis_illX!G307</f>
        <v>21.311117107252379</v>
      </c>
      <c r="T341" s="10">
        <f>data_redis_illX!H307</f>
        <v>55.169243305110648</v>
      </c>
      <c r="U341" s="10">
        <f>data_redis_illX!I307</f>
        <v>23.503072947835907</v>
      </c>
      <c r="V341" s="10">
        <f>data_redis_illX!J307</f>
        <v>2.3650415225260888</v>
      </c>
      <c r="W341" s="10">
        <f>data_redis_illX!K307</f>
        <v>0</v>
      </c>
      <c r="X341" s="10">
        <f>data_redis_illX!L307</f>
        <v>6.5268065268065265E-2</v>
      </c>
      <c r="Y341" s="5">
        <f t="shared" si="5"/>
        <v>102.41374294799309</v>
      </c>
    </row>
    <row r="342" spans="3:25" x14ac:dyDescent="0.25">
      <c r="C342" t="s">
        <v>20</v>
      </c>
      <c r="D342" s="5">
        <f t="array" ref="D342:K342">(Q342:X342*AE$4:AE$11+Q705:Y705*AF$4:AF$11+Q1068:Y1068*AG$4:AG$11)</f>
        <v>0</v>
      </c>
      <c r="E342" s="5">
        <v>0</v>
      </c>
      <c r="F342" s="5">
        <v>715.26421536061764</v>
      </c>
      <c r="G342" s="5">
        <v>1353.7302891052393</v>
      </c>
      <c r="H342" s="5">
        <v>795.51094605164394</v>
      </c>
      <c r="I342" s="5">
        <v>120.20548249877679</v>
      </c>
      <c r="J342" s="5">
        <v>18.298764893545318</v>
      </c>
      <c r="K342" s="5">
        <v>0.16317016317016317</v>
      </c>
      <c r="P342" s="2" t="s">
        <v>20</v>
      </c>
      <c r="Q342" s="10">
        <f>data_redis_illX!E308</f>
        <v>0</v>
      </c>
      <c r="R342" s="10">
        <f>data_redis_illX!F308</f>
        <v>0</v>
      </c>
      <c r="S342" s="10">
        <f>data_redis_illX!G308</f>
        <v>268.21717381189706</v>
      </c>
      <c r="T342" s="10">
        <f>data_redis_illX!H308</f>
        <v>502.30177268551216</v>
      </c>
      <c r="U342" s="10">
        <f>data_redis_illX!I308</f>
        <v>330.85094995799773</v>
      </c>
      <c r="V342" s="10">
        <f>data_redis_illX!J308</f>
        <v>42.570747405469589</v>
      </c>
      <c r="W342" s="10">
        <f>data_redis_illX!K308</f>
        <v>4.8022388059701484</v>
      </c>
      <c r="X342" s="10">
        <f>data_redis_illX!L308</f>
        <v>6.5268065268065265E-2</v>
      </c>
      <c r="Y342" s="5">
        <f t="shared" si="5"/>
        <v>1148.8081507321147</v>
      </c>
    </row>
    <row r="343" spans="3:25" x14ac:dyDescent="0.25">
      <c r="C343" t="s">
        <v>21</v>
      </c>
      <c r="D343" s="5">
        <f t="array" ref="D343:K343">(Q343:X343*AE$4:AE$11+Q706:Y706*AF$4:AF$11+Q1069:Y1069*AG$4:AG$11)</f>
        <v>0</v>
      </c>
      <c r="E343" s="5">
        <v>0</v>
      </c>
      <c r="F343" s="5">
        <v>126.79904625078349</v>
      </c>
      <c r="G343" s="5">
        <v>147.98652899098852</v>
      </c>
      <c r="H343" s="5">
        <v>140.99866901295064</v>
      </c>
      <c r="I343" s="5">
        <v>24.571035262749458</v>
      </c>
      <c r="J343" s="5">
        <v>13.750514861717505</v>
      </c>
      <c r="K343" s="5">
        <v>0.16317016317016317</v>
      </c>
      <c r="P343" s="2" t="s">
        <v>21</v>
      </c>
      <c r="Q343" s="10">
        <f>data_redis_illX!E309</f>
        <v>0</v>
      </c>
      <c r="R343" s="10">
        <f>data_redis_illX!F309</f>
        <v>0</v>
      </c>
      <c r="S343" s="10">
        <f>data_redis_illX!G309</f>
        <v>25.940605670464464</v>
      </c>
      <c r="T343" s="10">
        <f>data_redis_illX!H309</f>
        <v>40.565620077287228</v>
      </c>
      <c r="U343" s="10">
        <f>data_redis_illX!I309</f>
        <v>27.118930324426049</v>
      </c>
      <c r="V343" s="10">
        <f>data_redis_illX!J309</f>
        <v>0</v>
      </c>
      <c r="W343" s="10">
        <f>data_redis_illX!K309</f>
        <v>0</v>
      </c>
      <c r="X343" s="10">
        <f>data_redis_illX!L309</f>
        <v>6.5268065268065265E-2</v>
      </c>
      <c r="Y343" s="5">
        <f t="shared" si="5"/>
        <v>93.690424137445817</v>
      </c>
    </row>
    <row r="344" spans="3:25" x14ac:dyDescent="0.25">
      <c r="C344" t="s">
        <v>22</v>
      </c>
      <c r="D344" s="5">
        <f t="array" ref="D344:K344">(Q344:X344*AE$4:AE$11+Q707:Y707*AF$4:AF$11+Q1070:Y1070*AG$4:AG$11)</f>
        <v>0</v>
      </c>
      <c r="E344" s="5">
        <v>0</v>
      </c>
      <c r="F344" s="5">
        <v>190.9680004204146</v>
      </c>
      <c r="G344" s="5">
        <v>320.12080911825501</v>
      </c>
      <c r="H344" s="5">
        <v>209.90235905212501</v>
      </c>
      <c r="I344" s="5">
        <v>34.826844123135203</v>
      </c>
      <c r="J344" s="5">
        <v>2.4011194029850742</v>
      </c>
      <c r="K344" s="5">
        <v>0.16317016317016317</v>
      </c>
      <c r="P344" s="2" t="s">
        <v>22</v>
      </c>
      <c r="Q344" s="10">
        <f>data_redis_illX!E310</f>
        <v>0</v>
      </c>
      <c r="R344" s="10">
        <f>data_redis_illX!F310</f>
        <v>0</v>
      </c>
      <c r="S344" s="10">
        <f>data_redis_illX!G310</f>
        <v>52.467537049736983</v>
      </c>
      <c r="T344" s="10">
        <f>data_redis_illX!H310</f>
        <v>99.890821518822705</v>
      </c>
      <c r="U344" s="10">
        <f>data_redis_illX!I310</f>
        <v>61.469575402032369</v>
      </c>
      <c r="V344" s="10">
        <f>data_redis_illX!J310</f>
        <v>14.190249135156529</v>
      </c>
      <c r="W344" s="10">
        <f>data_redis_illX!K310</f>
        <v>2.4011194029850742</v>
      </c>
      <c r="X344" s="10">
        <f>data_redis_illX!L310</f>
        <v>6.5268065268065265E-2</v>
      </c>
      <c r="Y344" s="5">
        <f t="shared" si="5"/>
        <v>230.48457057400174</v>
      </c>
    </row>
    <row r="345" spans="3:25" x14ac:dyDescent="0.25">
      <c r="C345" t="s">
        <v>23</v>
      </c>
      <c r="D345" s="5">
        <f t="array" ref="D345:K345">(Q345:X345*AE$4:AE$11+Q708:Y708*AF$4:AF$11+Q1071:Y1071*AG$4:AG$11)</f>
        <v>0</v>
      </c>
      <c r="E345" s="5">
        <v>0</v>
      </c>
      <c r="F345" s="5">
        <v>49.163732480230969</v>
      </c>
      <c r="G345" s="5">
        <v>68.312734504197479</v>
      </c>
      <c r="H345" s="5">
        <v>31.06971138560781</v>
      </c>
      <c r="I345" s="5">
        <v>11.608948041045069</v>
      </c>
      <c r="J345" s="5">
        <v>0</v>
      </c>
      <c r="K345" s="5">
        <v>0.16317016317016317</v>
      </c>
      <c r="P345" s="2" t="s">
        <v>23</v>
      </c>
      <c r="Q345" s="10">
        <f>data_redis_illX!E311</f>
        <v>0</v>
      </c>
      <c r="R345" s="10">
        <f>data_redis_illX!F311</f>
        <v>0</v>
      </c>
      <c r="S345" s="10">
        <f>data_redis_illX!G311</f>
        <v>10.802139980828203</v>
      </c>
      <c r="T345" s="10">
        <f>data_redis_illX!H311</f>
        <v>22.716747243280853</v>
      </c>
      <c r="U345" s="10">
        <f>data_redis_illX!I311</f>
        <v>11.84757212977042</v>
      </c>
      <c r="V345" s="10">
        <f>data_redis_illX!J311</f>
        <v>4.7300830450521776</v>
      </c>
      <c r="W345" s="10">
        <f>data_redis_illX!K311</f>
        <v>0</v>
      </c>
      <c r="X345" s="10">
        <f>data_redis_illX!L311</f>
        <v>6.5268065268065265E-2</v>
      </c>
      <c r="Y345" s="5">
        <f t="shared" si="5"/>
        <v>50.161810464199718</v>
      </c>
    </row>
    <row r="346" spans="3:25" x14ac:dyDescent="0.25">
      <c r="C346" t="s">
        <v>24</v>
      </c>
      <c r="D346" s="5">
        <f t="array" ref="D346:K346">(Q346:X346*AE$4:AE$11+Q709:Y709*AF$4:AF$11+Q1072:Y1072*AG$4:AG$11)</f>
        <v>0</v>
      </c>
      <c r="E346" s="5">
        <v>0</v>
      </c>
      <c r="F346" s="5">
        <v>211.53952970892641</v>
      </c>
      <c r="G346" s="5">
        <v>372.83810806445211</v>
      </c>
      <c r="H346" s="5">
        <v>366.97322606513148</v>
      </c>
      <c r="I346" s="5">
        <v>64.309524244492152</v>
      </c>
      <c r="J346" s="5">
        <v>0</v>
      </c>
      <c r="K346" s="5">
        <v>0.16317016317016317</v>
      </c>
      <c r="P346" s="2" t="s">
        <v>24</v>
      </c>
      <c r="Q346" s="10">
        <f>data_redis_illX!E312</f>
        <v>0</v>
      </c>
      <c r="R346" s="10">
        <f>data_redis_illX!F312</f>
        <v>0</v>
      </c>
      <c r="S346" s="10">
        <f>data_redis_illX!G312</f>
        <v>78.701305574605499</v>
      </c>
      <c r="T346" s="10">
        <f>data_redis_illX!H312</f>
        <v>144.41360747514256</v>
      </c>
      <c r="U346" s="10">
        <f>data_redis_illX!I312</f>
        <v>126.55500818065488</v>
      </c>
      <c r="V346" s="10">
        <f>data_redis_illX!J312</f>
        <v>14.190249135156529</v>
      </c>
      <c r="W346" s="10">
        <f>data_redis_illX!K312</f>
        <v>0</v>
      </c>
      <c r="X346" s="10">
        <f>data_redis_illX!L312</f>
        <v>6.5268065268065265E-2</v>
      </c>
      <c r="Y346" s="5">
        <f t="shared" si="5"/>
        <v>363.92543843082751</v>
      </c>
    </row>
    <row r="347" spans="3:25" x14ac:dyDescent="0.25">
      <c r="C347" t="s">
        <v>25</v>
      </c>
      <c r="D347" s="5">
        <f t="array" ref="D347:K347">(Q347:X347*AE$4:AE$11+Q710:Y710*AF$4:AF$11+Q1073:Y1073*AG$4:AG$11)</f>
        <v>0</v>
      </c>
      <c r="E347" s="5">
        <v>0</v>
      </c>
      <c r="F347" s="5">
        <v>52.842024852768347</v>
      </c>
      <c r="G347" s="5">
        <v>99.569920974536558</v>
      </c>
      <c r="H347" s="5">
        <v>38.207010327616587</v>
      </c>
      <c r="I347" s="5">
        <v>2.3650415225260888</v>
      </c>
      <c r="J347" s="5">
        <v>0</v>
      </c>
      <c r="K347" s="5">
        <v>0.16317016317016317</v>
      </c>
      <c r="P347" s="2" t="s">
        <v>25</v>
      </c>
      <c r="Q347" s="10">
        <f>data_redis_illX!E313</f>
        <v>0</v>
      </c>
      <c r="R347" s="10">
        <f>data_redis_illX!F313</f>
        <v>0</v>
      </c>
      <c r="S347" s="10">
        <f>data_redis_illX!G313</f>
        <v>12.345302835232232</v>
      </c>
      <c r="T347" s="10">
        <f>data_redis_illX!H313</f>
        <v>32.452496061829784</v>
      </c>
      <c r="U347" s="10">
        <f>data_redis_illX!I313</f>
        <v>12.655500818065489</v>
      </c>
      <c r="V347" s="10">
        <f>data_redis_illX!J313</f>
        <v>2.3650415225260888</v>
      </c>
      <c r="W347" s="10">
        <f>data_redis_illX!K313</f>
        <v>0</v>
      </c>
      <c r="X347" s="10">
        <f>data_redis_illX!L313</f>
        <v>6.5268065268065265E-2</v>
      </c>
      <c r="Y347" s="5">
        <f t="shared" si="5"/>
        <v>59.883609302921663</v>
      </c>
    </row>
    <row r="348" spans="3:25" x14ac:dyDescent="0.25">
      <c r="C348" t="s">
        <v>26</v>
      </c>
      <c r="D348" s="5">
        <f t="array" ref="D348:K348">(Q348:X348*AE$4:AE$11+Q711:Y711*AF$4:AF$11+Q1074:Y1074*AG$4:AG$11)</f>
        <v>0</v>
      </c>
      <c r="E348" s="5">
        <v>0</v>
      </c>
      <c r="F348" s="5">
        <v>74.63299338836373</v>
      </c>
      <c r="G348" s="5">
        <v>113.90872176511409</v>
      </c>
      <c r="H348" s="5">
        <v>45.675993264855066</v>
      </c>
      <c r="I348" s="5">
        <v>0</v>
      </c>
      <c r="J348" s="5">
        <v>13.49652608757517</v>
      </c>
      <c r="K348" s="5">
        <v>0.16317016317016317</v>
      </c>
      <c r="P348" s="2" t="s">
        <v>26</v>
      </c>
      <c r="Q348" s="10">
        <f>data_redis_illX!E314</f>
        <v>0</v>
      </c>
      <c r="R348" s="10">
        <f>data_redis_illX!F314</f>
        <v>0</v>
      </c>
      <c r="S348" s="10">
        <f>data_redis_illX!G314</f>
        <v>18.517954252848348</v>
      </c>
      <c r="T348" s="10">
        <f>data_redis_illX!H314</f>
        <v>22.716747243280853</v>
      </c>
      <c r="U348" s="10">
        <f>data_redis_illX!I314</f>
        <v>7.2317147531802783</v>
      </c>
      <c r="V348" s="10">
        <f>data_redis_illX!J314</f>
        <v>0</v>
      </c>
      <c r="W348" s="10">
        <f>data_redis_illX!K314</f>
        <v>0</v>
      </c>
      <c r="X348" s="10">
        <f>data_redis_illX!L314</f>
        <v>6.5268065268065265E-2</v>
      </c>
      <c r="Y348" s="5">
        <f t="shared" si="5"/>
        <v>48.531684314577547</v>
      </c>
    </row>
    <row r="349" spans="3:25" x14ac:dyDescent="0.25">
      <c r="C349" t="s">
        <v>27</v>
      </c>
      <c r="D349" s="5">
        <f t="array" ref="D349:K349">(Q349:X349*AE$4:AE$11+Q712:Y712*AF$4:AF$11+Q1075:Y1075*AG$4:AG$11)</f>
        <v>0</v>
      </c>
      <c r="E349" s="5">
        <v>0</v>
      </c>
      <c r="F349" s="5">
        <v>145.2048852682455</v>
      </c>
      <c r="G349" s="5">
        <v>267.91322503525993</v>
      </c>
      <c r="H349" s="5">
        <v>69.457682075569494</v>
      </c>
      <c r="I349" s="5">
        <v>16.122771514511872</v>
      </c>
      <c r="J349" s="5">
        <v>6.8752574308587526</v>
      </c>
      <c r="K349" s="5">
        <v>0.16317016317016317</v>
      </c>
      <c r="P349" s="2" t="s">
        <v>27</v>
      </c>
      <c r="Q349" s="10">
        <f>data_redis_illX!E315</f>
        <v>0</v>
      </c>
      <c r="R349" s="10">
        <f>data_redis_illX!F315</f>
        <v>0</v>
      </c>
      <c r="S349" s="10">
        <f>data_redis_illX!G315</f>
        <v>30.863257088080584</v>
      </c>
      <c r="T349" s="10">
        <f>data_redis_illX!H315</f>
        <v>51.92399369892766</v>
      </c>
      <c r="U349" s="10">
        <f>data_redis_illX!I315</f>
        <v>14.463429506360557</v>
      </c>
      <c r="V349" s="10">
        <f>data_redis_illX!J315</f>
        <v>2.3650415225260888</v>
      </c>
      <c r="W349" s="10">
        <f>data_redis_illX!K315</f>
        <v>0</v>
      </c>
      <c r="X349" s="10">
        <f>data_redis_illX!L315</f>
        <v>6.5268065268065265E-2</v>
      </c>
      <c r="Y349" s="5">
        <f t="shared" si="5"/>
        <v>99.680989881162958</v>
      </c>
    </row>
    <row r="350" spans="3:25" x14ac:dyDescent="0.25">
      <c r="C350" t="s">
        <v>28</v>
      </c>
      <c r="D350" s="5">
        <f t="array" ref="D350:K350">(Q350:X350*AE$4:AE$11+Q713:Y713*AF$4:AF$11+Q1076:Y1076*AG$4:AG$11)</f>
        <v>0</v>
      </c>
      <c r="E350" s="5">
        <v>0</v>
      </c>
      <c r="F350" s="5">
        <v>450.39217904820561</v>
      </c>
      <c r="G350" s="5">
        <v>531.40594924854474</v>
      </c>
      <c r="H350" s="5">
        <v>311.05348114989033</v>
      </c>
      <c r="I350" s="5">
        <v>59.181619814299289</v>
      </c>
      <c r="J350" s="5">
        <v>4.8022388059701484</v>
      </c>
      <c r="K350" s="5">
        <v>0.16317016317016317</v>
      </c>
      <c r="P350" s="2" t="s">
        <v>28</v>
      </c>
      <c r="Q350" s="10">
        <f>data_redis_illX!E316</f>
        <v>0</v>
      </c>
      <c r="R350" s="10">
        <f>data_redis_illX!F316</f>
        <v>0</v>
      </c>
      <c r="S350" s="10">
        <f>data_redis_illX!G316</f>
        <v>121.90986549791829</v>
      </c>
      <c r="T350" s="10">
        <f>data_redis_illX!H316</f>
        <v>151.81481521775038</v>
      </c>
      <c r="U350" s="10">
        <f>data_redis_illX!I316</f>
        <v>111.28364998599925</v>
      </c>
      <c r="V350" s="10">
        <f>data_redis_illX!J316</f>
        <v>7.0951245675782646</v>
      </c>
      <c r="W350" s="10">
        <f>data_redis_illX!K316</f>
        <v>4.8022388059701484</v>
      </c>
      <c r="X350" s="10">
        <f>data_redis_illX!L316</f>
        <v>6.5268065268065265E-2</v>
      </c>
      <c r="Y350" s="5">
        <f t="shared" si="5"/>
        <v>396.9709621404844</v>
      </c>
    </row>
    <row r="351" spans="3:25" x14ac:dyDescent="0.25">
      <c r="C351" t="s">
        <v>29</v>
      </c>
      <c r="D351" s="5">
        <f t="array" ref="D351:K351">(Q351:X351*AE$4:AE$11+Q714:Y714*AF$4:AF$11+Q1077:Y1077*AG$4:AG$11)</f>
        <v>0</v>
      </c>
      <c r="E351" s="5">
        <v>0</v>
      </c>
      <c r="F351" s="5">
        <v>143.93939745831699</v>
      </c>
      <c r="G351" s="5">
        <v>303.36877006105868</v>
      </c>
      <c r="H351" s="5">
        <v>211.27276054098411</v>
      </c>
      <c r="I351" s="5">
        <v>38.942846211461315</v>
      </c>
      <c r="J351" s="5">
        <v>6.8752574308587526</v>
      </c>
      <c r="K351" s="5">
        <v>0.16317016317016317</v>
      </c>
      <c r="P351" s="2" t="s">
        <v>29</v>
      </c>
      <c r="Q351" s="10">
        <f>data_redis_illX!E317</f>
        <v>0</v>
      </c>
      <c r="R351" s="10">
        <f>data_redis_illX!F317</f>
        <v>0</v>
      </c>
      <c r="S351" s="10">
        <f>data_redis_illX!G317</f>
        <v>41.665397068908788</v>
      </c>
      <c r="T351" s="10">
        <f>data_redis_illX!H317</f>
        <v>51.92399369892766</v>
      </c>
      <c r="U351" s="10">
        <f>data_redis_illX!I317</f>
        <v>68.701290155212646</v>
      </c>
      <c r="V351" s="10">
        <f>data_redis_illX!J317</f>
        <v>9.4601660901043552</v>
      </c>
      <c r="W351" s="10">
        <f>data_redis_illX!K317</f>
        <v>0</v>
      </c>
      <c r="X351" s="10">
        <f>data_redis_illX!L317</f>
        <v>6.5268065268065265E-2</v>
      </c>
      <c r="Y351" s="5">
        <f t="shared" si="5"/>
        <v>171.81611507842152</v>
      </c>
    </row>
    <row r="352" spans="3:25" x14ac:dyDescent="0.25">
      <c r="C352" t="s">
        <v>30</v>
      </c>
      <c r="D352" s="5">
        <f t="array" ref="D352:K352">(Q352:X352*AE$4:AE$11+Q715:Y715*AF$4:AF$11+Q1078:Y1078*AG$4:AG$11)</f>
        <v>0</v>
      </c>
      <c r="E352" s="5">
        <v>0</v>
      </c>
      <c r="F352" s="5">
        <v>1625.3925247105376</v>
      </c>
      <c r="G352" s="5">
        <v>3481.05203687227</v>
      </c>
      <c r="H352" s="5">
        <v>2011.183955288619</v>
      </c>
      <c r="I352" s="5">
        <v>400.12486314157474</v>
      </c>
      <c r="J352" s="5">
        <v>48.200914019965403</v>
      </c>
      <c r="K352" s="5">
        <v>0.16317016317016317</v>
      </c>
      <c r="P352" s="2" t="s">
        <v>30</v>
      </c>
      <c r="Q352" s="10">
        <f>data_redis_illX!E318</f>
        <v>0</v>
      </c>
      <c r="R352" s="10">
        <f>data_redis_illX!F318</f>
        <v>0</v>
      </c>
      <c r="S352" s="10">
        <f>data_redis_illX!G318</f>
        <v>529.96853335177389</v>
      </c>
      <c r="T352" s="10">
        <f>data_redis_illX!H318</f>
        <v>866.32447897182283</v>
      </c>
      <c r="U352" s="10">
        <f>data_redis_illX!I318</f>
        <v>567.68960812465184</v>
      </c>
      <c r="V352" s="10">
        <f>data_redis_illX!J318</f>
        <v>59.126038063152215</v>
      </c>
      <c r="W352" s="10">
        <f>data_redis_illX!K318</f>
        <v>7.2033582089552235</v>
      </c>
      <c r="X352" s="10">
        <f>data_redis_illX!L318</f>
        <v>6.5268065268065265E-2</v>
      </c>
      <c r="Y352" s="5">
        <f t="shared" si="5"/>
        <v>2030.3772847856242</v>
      </c>
    </row>
    <row r="353" spans="3:25" x14ac:dyDescent="0.25">
      <c r="C353" t="s">
        <v>31</v>
      </c>
      <c r="D353" s="5">
        <f t="array" ref="D353:K353">(Q353:X353*AE$4:AE$11+Q716:Y716*AF$4:AF$11+Q1079:Y1079*AG$4:AG$11)</f>
        <v>0</v>
      </c>
      <c r="E353" s="5">
        <v>0</v>
      </c>
      <c r="F353" s="5">
        <v>218.55935388090154</v>
      </c>
      <c r="G353" s="5">
        <v>518.90770758153053</v>
      </c>
      <c r="H353" s="5">
        <v>340.86014631968345</v>
      </c>
      <c r="I353" s="5">
        <v>116.6469768208286</v>
      </c>
      <c r="J353" s="5">
        <v>6.8752574308587526</v>
      </c>
      <c r="K353" s="5">
        <v>0.16317016317016317</v>
      </c>
      <c r="P353" s="2" t="s">
        <v>31</v>
      </c>
      <c r="Q353" s="10">
        <f>data_redis_illX!E319</f>
        <v>0</v>
      </c>
      <c r="R353" s="10">
        <f>data_redis_illX!F319</f>
        <v>0</v>
      </c>
      <c r="S353" s="10">
        <f>data_redis_illX!G319</f>
        <v>86.417119846625624</v>
      </c>
      <c r="T353" s="10">
        <f>data_redis_illX!H319</f>
        <v>214.1864740080766</v>
      </c>
      <c r="U353" s="10">
        <f>data_redis_illX!I319</f>
        <v>142.8263663753105</v>
      </c>
      <c r="V353" s="10">
        <f>data_redis_illX!J319</f>
        <v>33.110581315365238</v>
      </c>
      <c r="W353" s="10">
        <f>data_redis_illX!K319</f>
        <v>0</v>
      </c>
      <c r="X353" s="10">
        <f>data_redis_illX!L319</f>
        <v>6.5268065268065265E-2</v>
      </c>
      <c r="Y353" s="5">
        <f t="shared" si="5"/>
        <v>476.60580961064608</v>
      </c>
    </row>
    <row r="354" spans="3:25" x14ac:dyDescent="0.25">
      <c r="C354" t="s">
        <v>32</v>
      </c>
      <c r="D354" s="5">
        <f t="array" ref="D354:K354">(Q354:X354*AE$4:AE$11+Q717:Y717*AF$4:AF$11+Q1080:Y1080*AG$4:AG$11)</f>
        <v>0</v>
      </c>
      <c r="E354" s="5">
        <v>0</v>
      </c>
      <c r="F354" s="5">
        <v>3.5506893272225239</v>
      </c>
      <c r="G354" s="5">
        <v>13.281840593319441</v>
      </c>
      <c r="H354" s="5">
        <v>15.919766042222239</v>
      </c>
      <c r="I354" s="5">
        <v>6.8788649959928918</v>
      </c>
      <c r="J354" s="5">
        <v>0</v>
      </c>
      <c r="K354" s="5">
        <v>0.16317016317016317</v>
      </c>
      <c r="P354" s="2" t="s">
        <v>32</v>
      </c>
      <c r="Q354" s="10">
        <f>data_redis_illX!E320</f>
        <v>0</v>
      </c>
      <c r="R354" s="10">
        <f>data_redis_illX!F320</f>
        <v>0</v>
      </c>
      <c r="S354" s="10">
        <f>data_redis_illX!G320</f>
        <v>0</v>
      </c>
      <c r="T354" s="10">
        <f>data_redis_illX!H320</f>
        <v>6.4904992123659575</v>
      </c>
      <c r="U354" s="10">
        <f>data_redis_illX!I320</f>
        <v>1.8079286882950696</v>
      </c>
      <c r="V354" s="10">
        <f>data_redis_illX!J320</f>
        <v>0</v>
      </c>
      <c r="W354" s="10">
        <f>data_redis_illX!K320</f>
        <v>0</v>
      </c>
      <c r="X354" s="10">
        <f>data_redis_illX!L320</f>
        <v>6.5268065268065265E-2</v>
      </c>
      <c r="Y354" s="5">
        <f t="shared" si="5"/>
        <v>8.3636959659290913</v>
      </c>
    </row>
    <row r="355" spans="3:25" x14ac:dyDescent="0.25">
      <c r="C355" t="s">
        <v>33</v>
      </c>
      <c r="D355" s="5">
        <f t="array" ref="D355:K355">(Q355:X355*AE$4:AE$11+Q718:Y718*AF$4:AF$11+Q1081:Y1081*AG$4:AG$11)</f>
        <v>0</v>
      </c>
      <c r="E355" s="5">
        <v>0</v>
      </c>
      <c r="F355" s="5">
        <v>52.736890761299271</v>
      </c>
      <c r="G355" s="5">
        <v>148.47898935827592</v>
      </c>
      <c r="H355" s="5">
        <v>94.797088976645568</v>
      </c>
      <c r="I355" s="5">
        <v>13.973989563571156</v>
      </c>
      <c r="J355" s="5">
        <v>2.4011194029850742</v>
      </c>
      <c r="K355" s="5">
        <v>0.16317016317016317</v>
      </c>
      <c r="P355" s="2" t="s">
        <v>33</v>
      </c>
      <c r="Q355" s="10">
        <f>data_redis_illX!E321</f>
        <v>0</v>
      </c>
      <c r="R355" s="10">
        <f>data_redis_illX!F321</f>
        <v>0</v>
      </c>
      <c r="S355" s="10">
        <f>data_redis_illX!G321</f>
        <v>20.061117107252379</v>
      </c>
      <c r="T355" s="10">
        <f>data_redis_illX!H321</f>
        <v>63.282367320568085</v>
      </c>
      <c r="U355" s="10">
        <f>data_redis_illX!I321</f>
        <v>43.390288519081679</v>
      </c>
      <c r="V355" s="10">
        <f>data_redis_illX!J321</f>
        <v>7.0951245675782646</v>
      </c>
      <c r="W355" s="10">
        <f>data_redis_illX!K321</f>
        <v>2.4011194029850742</v>
      </c>
      <c r="X355" s="10">
        <f>data_redis_illX!L321</f>
        <v>6.5268065268065265E-2</v>
      </c>
      <c r="Y355" s="5">
        <f t="shared" si="5"/>
        <v>136.29528498273356</v>
      </c>
    </row>
    <row r="356" spans="3:25" x14ac:dyDescent="0.25">
      <c r="C356" t="s">
        <v>34</v>
      </c>
      <c r="D356" s="5">
        <f t="array" ref="D356:K356">(Q356:X356*AE$4:AE$11+Q719:Y719*AF$4:AF$11+Q1082:Y1082*AG$4:AG$11)</f>
        <v>0</v>
      </c>
      <c r="E356" s="5">
        <v>0</v>
      </c>
      <c r="F356" s="5">
        <v>3.086325708808058</v>
      </c>
      <c r="G356" s="5">
        <v>0</v>
      </c>
      <c r="H356" s="5">
        <v>1.8079286882950696</v>
      </c>
      <c r="I356" s="5">
        <v>0</v>
      </c>
      <c r="J356" s="5">
        <v>0</v>
      </c>
      <c r="K356" s="5">
        <v>0.16317016317016317</v>
      </c>
      <c r="P356" s="2" t="s">
        <v>34</v>
      </c>
      <c r="Q356" s="10">
        <f>data_redis_illX!E322</f>
        <v>0</v>
      </c>
      <c r="R356" s="10">
        <f>data_redis_illX!F322</f>
        <v>0</v>
      </c>
      <c r="S356" s="10">
        <f>data_redis_illX!G322</f>
        <v>3.086325708808058</v>
      </c>
      <c r="T356" s="10">
        <f>data_redis_illX!H322</f>
        <v>0</v>
      </c>
      <c r="U356" s="10">
        <f>data_redis_illX!I322</f>
        <v>1.8079286882950696</v>
      </c>
      <c r="V356" s="10">
        <f>data_redis_illX!J322</f>
        <v>0</v>
      </c>
      <c r="W356" s="10">
        <f>data_redis_illX!K322</f>
        <v>0</v>
      </c>
      <c r="X356" s="10">
        <f>data_redis_illX!L322</f>
        <v>6.5268065268065265E-2</v>
      </c>
      <c r="Y356" s="5">
        <f t="shared" si="5"/>
        <v>4.9595224623711927</v>
      </c>
    </row>
    <row r="357" spans="3:25" x14ac:dyDescent="0.25">
      <c r="C357" t="s">
        <v>35</v>
      </c>
      <c r="D357" s="5">
        <f t="array" ref="D357:K357">(Q357:X357*AE$4:AE$11+Q720:Y720*AF$4:AF$11+Q1083:Y1083*AG$4:AG$11)</f>
        <v>0</v>
      </c>
      <c r="E357" s="5">
        <v>0</v>
      </c>
      <c r="F357" s="5">
        <v>1.543162854404029</v>
      </c>
      <c r="G357" s="5">
        <v>13.880838569541357</v>
      </c>
      <c r="H357" s="5">
        <v>13.836461180410577</v>
      </c>
      <c r="I357" s="5">
        <v>2.3650415225260888</v>
      </c>
      <c r="J357" s="5">
        <v>0</v>
      </c>
      <c r="K357" s="5">
        <v>0.16317016317016317</v>
      </c>
      <c r="P357" s="2" t="s">
        <v>35</v>
      </c>
      <c r="Q357" s="10">
        <f>data_redis_illX!E323</f>
        <v>0</v>
      </c>
      <c r="R357" s="10">
        <f>data_redis_illX!F323</f>
        <v>0</v>
      </c>
      <c r="S357" s="10">
        <f>data_redis_illX!G323</f>
        <v>1.543162854404029</v>
      </c>
      <c r="T357" s="10">
        <f>data_redis_illX!H323</f>
        <v>9.7357488185489363</v>
      </c>
      <c r="U357" s="10">
        <f>data_redis_illX!I323</f>
        <v>3.6158573765901392</v>
      </c>
      <c r="V357" s="10">
        <f>data_redis_illX!J323</f>
        <v>2.3650415225260888</v>
      </c>
      <c r="W357" s="10">
        <f>data_redis_illX!K323</f>
        <v>0</v>
      </c>
      <c r="X357" s="10">
        <f>data_redis_illX!L323</f>
        <v>6.5268065268065265E-2</v>
      </c>
      <c r="Y357" s="5">
        <f t="shared" si="5"/>
        <v>17.325078637337256</v>
      </c>
    </row>
    <row r="358" spans="3:25" x14ac:dyDescent="0.25">
      <c r="C358" t="s">
        <v>36</v>
      </c>
      <c r="D358" s="5">
        <f t="array" ref="D358:K358">(Q358:X358*AE$4:AE$11+Q721:Y721*AF$4:AF$11+Q1084:Y1084*AG$4:AG$11)</f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0.16317016317016317</v>
      </c>
      <c r="P358" s="2" t="s">
        <v>36</v>
      </c>
      <c r="Q358" s="10">
        <f>data_redis_illX!E324</f>
        <v>0</v>
      </c>
      <c r="R358" s="10">
        <f>data_redis_illX!F324</f>
        <v>0</v>
      </c>
      <c r="S358" s="10">
        <f>data_redis_illX!G324</f>
        <v>0</v>
      </c>
      <c r="T358" s="10">
        <f>data_redis_illX!H324</f>
        <v>0</v>
      </c>
      <c r="U358" s="10">
        <f>data_redis_illX!I324</f>
        <v>0</v>
      </c>
      <c r="V358" s="10">
        <f>data_redis_illX!J324</f>
        <v>0</v>
      </c>
      <c r="W358" s="10">
        <f>data_redis_illX!K324</f>
        <v>0</v>
      </c>
      <c r="X358" s="10">
        <f>data_redis_illX!L324</f>
        <v>6.5268065268065265E-2</v>
      </c>
      <c r="Y358" s="5">
        <f t="shared" si="5"/>
        <v>6.5268065268065265E-2</v>
      </c>
    </row>
    <row r="359" spans="3:25" x14ac:dyDescent="0.25">
      <c r="C359" t="s">
        <v>37</v>
      </c>
      <c r="D359" s="5">
        <f t="array" ref="D359:K359">(Q359:X359*AE$4:AE$11+Q722:Y722*AF$4:AF$11+Q1085:Y1085*AG$4:AG$11)</f>
        <v>0</v>
      </c>
      <c r="E359" s="5">
        <v>0</v>
      </c>
      <c r="F359" s="5">
        <v>0</v>
      </c>
      <c r="G359" s="5">
        <v>1.6226248030914894</v>
      </c>
      <c r="H359" s="5">
        <v>0</v>
      </c>
      <c r="I359" s="5">
        <v>0</v>
      </c>
      <c r="J359" s="5">
        <v>0</v>
      </c>
      <c r="K359" s="5">
        <v>0.16317016317016317</v>
      </c>
      <c r="P359" s="2" t="s">
        <v>37</v>
      </c>
      <c r="Q359" s="10">
        <f>data_redis_illX!E325</f>
        <v>0</v>
      </c>
      <c r="R359" s="10">
        <f>data_redis_illX!F325</f>
        <v>0</v>
      </c>
      <c r="S359" s="10">
        <f>data_redis_illX!G325</f>
        <v>0</v>
      </c>
      <c r="T359" s="10">
        <f>data_redis_illX!H325</f>
        <v>1.6226248030914894</v>
      </c>
      <c r="U359" s="10">
        <f>data_redis_illX!I325</f>
        <v>0</v>
      </c>
      <c r="V359" s="10">
        <f>data_redis_illX!J325</f>
        <v>0</v>
      </c>
      <c r="W359" s="10">
        <f>data_redis_illX!K325</f>
        <v>0</v>
      </c>
      <c r="X359" s="10">
        <f>data_redis_illX!L325</f>
        <v>6.5268065268065265E-2</v>
      </c>
      <c r="Y359" s="5">
        <f t="shared" si="5"/>
        <v>1.6878928683595547</v>
      </c>
    </row>
    <row r="360" spans="3:25" x14ac:dyDescent="0.25">
      <c r="C360" t="s">
        <v>38</v>
      </c>
      <c r="D360" s="5">
        <f t="array" ref="D360:K360">(Q360:X360*AE$4:AE$11+Q723:Y723*AF$4:AF$11+Q1086:Y1086*AG$4:AG$11)</f>
        <v>0</v>
      </c>
      <c r="E360" s="5">
        <v>0</v>
      </c>
      <c r="F360" s="5">
        <v>15.281556544879658</v>
      </c>
      <c r="G360" s="5">
        <v>46.685598441055902</v>
      </c>
      <c r="H360" s="5">
        <v>45.125240917821877</v>
      </c>
      <c r="I360" s="5">
        <v>0</v>
      </c>
      <c r="J360" s="5">
        <v>0</v>
      </c>
      <c r="K360" s="5">
        <v>0.16317016317016317</v>
      </c>
      <c r="P360" s="2" t="s">
        <v>38</v>
      </c>
      <c r="Q360" s="10">
        <f>data_redis_illX!E326</f>
        <v>0</v>
      </c>
      <c r="R360" s="10">
        <f>data_redis_illX!F326</f>
        <v>0</v>
      </c>
      <c r="S360" s="10">
        <f>data_redis_illX!G326</f>
        <v>4.629488563212087</v>
      </c>
      <c r="T360" s="10">
        <f>data_redis_illX!H326</f>
        <v>9.3797906821241135</v>
      </c>
      <c r="U360" s="10">
        <f>data_redis_illX!I326</f>
        <v>14.463429506360557</v>
      </c>
      <c r="V360" s="10">
        <f>data_redis_illX!J326</f>
        <v>0</v>
      </c>
      <c r="W360" s="10">
        <f>data_redis_illX!K326</f>
        <v>0</v>
      </c>
      <c r="X360" s="10">
        <f>data_redis_illX!L326</f>
        <v>6.5268065268065265E-2</v>
      </c>
      <c r="Y360" s="5">
        <f t="shared" si="5"/>
        <v>28.537976816964822</v>
      </c>
    </row>
    <row r="361" spans="3:25" x14ac:dyDescent="0.25">
      <c r="C361" t="s">
        <v>39</v>
      </c>
      <c r="D361" s="5">
        <f t="array" ref="D361:K361">(Q361:X361*AE$4:AE$11+Q724:Y724*AF$4:AF$11+Q1087:Y1087*AG$4:AG$11)</f>
        <v>0</v>
      </c>
      <c r="E361" s="5">
        <v>0</v>
      </c>
      <c r="F361" s="5">
        <v>71.104773014986989</v>
      </c>
      <c r="G361" s="5">
        <v>67.837523210035698</v>
      </c>
      <c r="H361" s="5">
        <v>44.571248881426762</v>
      </c>
      <c r="I361" s="5">
        <v>0</v>
      </c>
      <c r="J361" s="5">
        <v>0</v>
      </c>
      <c r="K361" s="5">
        <v>0.16317016317016317</v>
      </c>
      <c r="P361" s="2" t="s">
        <v>39</v>
      </c>
      <c r="Q361" s="10">
        <f>data_redis_illX!E327</f>
        <v>0</v>
      </c>
      <c r="R361" s="10">
        <f>data_redis_illX!F327</f>
        <v>0</v>
      </c>
      <c r="S361" s="10">
        <f>data_redis_illX!G327</f>
        <v>27.776931379272522</v>
      </c>
      <c r="T361" s="10">
        <f>data_redis_illX!H327</f>
        <v>21.094122440189363</v>
      </c>
      <c r="U361" s="10">
        <f>data_redis_illX!I327</f>
        <v>34.350645077606323</v>
      </c>
      <c r="V361" s="10">
        <f>data_redis_illX!J327</f>
        <v>0</v>
      </c>
      <c r="W361" s="10">
        <f>data_redis_illX!K327</f>
        <v>0</v>
      </c>
      <c r="X361" s="10">
        <f>data_redis_illX!L327</f>
        <v>6.5268065268065265E-2</v>
      </c>
      <c r="Y361" s="5">
        <f t="shared" si="5"/>
        <v>83.28696696233628</v>
      </c>
    </row>
    <row r="362" spans="3:25" x14ac:dyDescent="0.25">
      <c r="C362" t="s">
        <v>40</v>
      </c>
      <c r="D362" s="5">
        <f t="array" ref="D362:K362">(Q362:X362*AE$4:AE$11+Q725:Y725*AF$4:AF$11+Q1088:Y1088*AG$4:AG$11)</f>
        <v>0</v>
      </c>
      <c r="E362" s="5">
        <v>0</v>
      </c>
      <c r="F362" s="5">
        <v>132.65874623814173</v>
      </c>
      <c r="G362" s="5">
        <v>328.47882284827409</v>
      </c>
      <c r="H362" s="5">
        <v>173.22790123928689</v>
      </c>
      <c r="I362" s="5">
        <v>34.610584551549834</v>
      </c>
      <c r="J362" s="5">
        <v>0</v>
      </c>
      <c r="K362" s="5">
        <v>9.6122419142991138</v>
      </c>
      <c r="P362" s="2" t="s">
        <v>40</v>
      </c>
      <c r="Q362" s="10">
        <f>data_redis_illX!E328</f>
        <v>0</v>
      </c>
      <c r="R362" s="10">
        <f>data_redis_illX!F328</f>
        <v>0</v>
      </c>
      <c r="S362" s="10">
        <f>data_redis_illX!G328</f>
        <v>69.4423284481813</v>
      </c>
      <c r="T362" s="10">
        <f>data_redis_illX!H328</f>
        <v>103.84798739785532</v>
      </c>
      <c r="U362" s="10">
        <f>data_redis_illX!I328</f>
        <v>54.237860648852099</v>
      </c>
      <c r="V362" s="10">
        <f>data_redis_illX!J328</f>
        <v>7.0951245675782646</v>
      </c>
      <c r="W362" s="10">
        <f>data_redis_illX!K328</f>
        <v>0</v>
      </c>
      <c r="X362" s="10">
        <f>data_redis_illX!L328</f>
        <v>6.5268065268065265E-2</v>
      </c>
      <c r="Y362" s="5">
        <f t="shared" si="5"/>
        <v>234.68856912773504</v>
      </c>
    </row>
    <row r="363" spans="3:25" x14ac:dyDescent="0.25">
      <c r="C363" t="s">
        <v>41</v>
      </c>
      <c r="D363" s="5">
        <f t="array" ref="D363:K363">(Q363:X363*AE$4:AE$11+Q726:Y726*AF$4:AF$11+Q1089:Y1089*AG$4:AG$11)</f>
        <v>0</v>
      </c>
      <c r="E363" s="5">
        <v>0</v>
      </c>
      <c r="F363" s="5">
        <v>35.784568316700728</v>
      </c>
      <c r="G363" s="5">
        <v>67.536681041448176</v>
      </c>
      <c r="H363" s="5">
        <v>79.675046190027999</v>
      </c>
      <c r="I363" s="5">
        <v>6.8788649959928918</v>
      </c>
      <c r="J363" s="5">
        <v>0</v>
      </c>
      <c r="K363" s="5">
        <v>0.16317016317016317</v>
      </c>
      <c r="P363" s="2" t="s">
        <v>41</v>
      </c>
      <c r="Q363" s="10">
        <f>data_redis_illX!E329</f>
        <v>0</v>
      </c>
      <c r="R363" s="10">
        <f>data_redis_illX!F329</f>
        <v>0</v>
      </c>
      <c r="S363" s="10">
        <f>data_redis_illX!G329</f>
        <v>12.345302835232232</v>
      </c>
      <c r="T363" s="10">
        <f>data_redis_illX!H329</f>
        <v>27.584621652555324</v>
      </c>
      <c r="U363" s="10">
        <f>data_redis_illX!I329</f>
        <v>27.118930324426049</v>
      </c>
      <c r="V363" s="10">
        <f>data_redis_illX!J329</f>
        <v>0</v>
      </c>
      <c r="W363" s="10">
        <f>data_redis_illX!K329</f>
        <v>0</v>
      </c>
      <c r="X363" s="10">
        <f>data_redis_illX!L329</f>
        <v>6.5268065268065265E-2</v>
      </c>
      <c r="Y363" s="5">
        <f t="shared" si="5"/>
        <v>67.114122877481677</v>
      </c>
    </row>
    <row r="364" spans="3:25" x14ac:dyDescent="0.25">
      <c r="C364" t="s">
        <v>42</v>
      </c>
      <c r="D364" s="5">
        <f t="array" ref="D364:K364">(Q364:X364*AE$4:AE$11+Q727:Y727*AF$4:AF$11+Q1090:Y1090*AG$4:AG$11)</f>
        <v>0</v>
      </c>
      <c r="E364" s="5">
        <v>0</v>
      </c>
      <c r="F364" s="5">
        <v>242.02862132962781</v>
      </c>
      <c r="G364" s="5">
        <v>320.58330486361433</v>
      </c>
      <c r="H364" s="5">
        <v>179.99369987165863</v>
      </c>
      <c r="I364" s="5">
        <v>23.00163651050476</v>
      </c>
      <c r="J364" s="5">
        <v>0</v>
      </c>
      <c r="K364" s="5">
        <v>0.16317016317016317</v>
      </c>
      <c r="P364" s="2" t="s">
        <v>42</v>
      </c>
      <c r="Q364" s="10">
        <f>data_redis_illX!E330</f>
        <v>0</v>
      </c>
      <c r="R364" s="10">
        <f>data_redis_illX!F330</f>
        <v>0</v>
      </c>
      <c r="S364" s="10">
        <f>data_redis_illX!G330</f>
        <v>50.631211340928928</v>
      </c>
      <c r="T364" s="10">
        <f>data_redis_illX!H330</f>
        <v>80.775282018149639</v>
      </c>
      <c r="U364" s="10">
        <f>data_redis_illX!I330</f>
        <v>19.887215571245768</v>
      </c>
      <c r="V364" s="10">
        <f>data_redis_illX!J330</f>
        <v>2.3650415225260888</v>
      </c>
      <c r="W364" s="10">
        <f>data_redis_illX!K330</f>
        <v>0</v>
      </c>
      <c r="X364" s="10">
        <f>data_redis_illX!L330</f>
        <v>6.5268065268065265E-2</v>
      </c>
      <c r="Y364" s="5">
        <f t="shared" si="5"/>
        <v>153.72401851811853</v>
      </c>
    </row>
    <row r="365" spans="3:25" x14ac:dyDescent="0.25">
      <c r="C365" t="s">
        <v>43</v>
      </c>
      <c r="D365" s="5">
        <f t="array" ref="D365:K365">(Q365:X365*AE$4:AE$11+Q728:Y728*AF$4:AF$11+Q1091:Y1091*AG$4:AG$11)</f>
        <v>0</v>
      </c>
      <c r="E365" s="5">
        <v>0</v>
      </c>
      <c r="F365" s="5">
        <v>1103.4244201342749</v>
      </c>
      <c r="G365" s="5">
        <v>2536.8076046680276</v>
      </c>
      <c r="H365" s="5">
        <v>1835.4818107417118</v>
      </c>
      <c r="I365" s="5">
        <v>374.97444468012924</v>
      </c>
      <c r="J365" s="5">
        <v>101.12995484194681</v>
      </c>
      <c r="K365" s="5">
        <v>9.6122419142991138</v>
      </c>
      <c r="P365" s="2" t="s">
        <v>43</v>
      </c>
      <c r="Q365" s="10">
        <f>data_redis_illX!E331</f>
        <v>0</v>
      </c>
      <c r="R365" s="10">
        <f>data_redis_illX!F331</f>
        <v>0</v>
      </c>
      <c r="S365" s="10">
        <f>data_redis_illX!G331</f>
        <v>407.39499356266367</v>
      </c>
      <c r="T365" s="10">
        <f>data_redis_illX!H331</f>
        <v>871.34951926012968</v>
      </c>
      <c r="U365" s="10">
        <f>data_redis_illX!I331</f>
        <v>556.03410730658641</v>
      </c>
      <c r="V365" s="10">
        <f>data_redis_illX!J331</f>
        <v>61.491079585678293</v>
      </c>
      <c r="W365" s="10">
        <f>data_redis_illX!K331</f>
        <v>12.005597014925373</v>
      </c>
      <c r="X365" s="10">
        <f>data_redis_illX!L331</f>
        <v>6.5268065268065265E-2</v>
      </c>
      <c r="Y365" s="5">
        <f t="shared" si="5"/>
        <v>1908.3405647952516</v>
      </c>
    </row>
    <row r="366" spans="3:25" x14ac:dyDescent="0.25">
      <c r="C366" t="s">
        <v>44</v>
      </c>
      <c r="D366" s="5">
        <f t="array" ref="D366:K366">(Q366:X366*AE$4:AE$11+Q729:Y729*AF$4:AF$11+Q1092:Y1092*AG$4:AG$11)</f>
        <v>0</v>
      </c>
      <c r="E366" s="5">
        <v>0</v>
      </c>
      <c r="F366" s="5">
        <v>226.44109449840755</v>
      </c>
      <c r="G366" s="5">
        <v>388.70923715652526</v>
      </c>
      <c r="H366" s="5">
        <v>248.69822971623321</v>
      </c>
      <c r="I366" s="5">
        <v>27.731719555556936</v>
      </c>
      <c r="J366" s="5">
        <v>0</v>
      </c>
      <c r="K366" s="5">
        <v>0.16317016317016317</v>
      </c>
      <c r="P366" s="2" t="s">
        <v>44</v>
      </c>
      <c r="Q366" s="10">
        <f>data_redis_illX!E332</f>
        <v>0</v>
      </c>
      <c r="R366" s="10">
        <f>data_redis_illX!F332</f>
        <v>0</v>
      </c>
      <c r="S366" s="10">
        <f>data_redis_illX!G332</f>
        <v>104.64191124506995</v>
      </c>
      <c r="T366" s="10">
        <f>data_redis_illX!H332</f>
        <v>127.47544317137803</v>
      </c>
      <c r="U366" s="10">
        <f>data_redis_illX!I332</f>
        <v>75.933004908392917</v>
      </c>
      <c r="V366" s="10">
        <f>data_redis_illX!J332</f>
        <v>7.0951245675782646</v>
      </c>
      <c r="W366" s="10">
        <f>data_redis_illX!K332</f>
        <v>0</v>
      </c>
      <c r="X366" s="10">
        <f>data_redis_illX!L332</f>
        <v>6.5268065268065265E-2</v>
      </c>
      <c r="Y366" s="5">
        <f t="shared" si="5"/>
        <v>315.21075195768719</v>
      </c>
    </row>
    <row r="367" spans="3:25" x14ac:dyDescent="0.25">
      <c r="M367" t="s">
        <v>104</v>
      </c>
      <c r="N367" t="s">
        <v>116</v>
      </c>
      <c r="O367" t="s">
        <v>102</v>
      </c>
      <c r="P367" s="2" t="s">
        <v>12</v>
      </c>
      <c r="Q367" s="10"/>
      <c r="R367" s="10"/>
      <c r="S367" s="10"/>
      <c r="T367" s="10"/>
      <c r="U367" s="10"/>
      <c r="V367" s="10"/>
      <c r="W367" s="10"/>
      <c r="X367" s="10"/>
      <c r="Y367" s="5">
        <f t="shared" si="5"/>
        <v>0</v>
      </c>
    </row>
    <row r="368" spans="3:25" x14ac:dyDescent="0.25">
      <c r="P368" s="2" t="s">
        <v>13</v>
      </c>
      <c r="Q368" s="10"/>
      <c r="R368" s="10"/>
      <c r="S368" s="10"/>
      <c r="T368" s="10"/>
      <c r="U368" s="10"/>
      <c r="V368" s="10"/>
      <c r="W368" s="10"/>
      <c r="X368" s="10"/>
      <c r="Y368" s="5">
        <f t="shared" si="5"/>
        <v>0</v>
      </c>
    </row>
    <row r="369" spans="1:25" x14ac:dyDescent="0.25">
      <c r="A369">
        <v>2</v>
      </c>
      <c r="B369" t="s">
        <v>102</v>
      </c>
      <c r="C369" t="s">
        <v>12</v>
      </c>
      <c r="D369">
        <f t="array" ref="D369:K369">(Q1093:Y1093*AE$4:AE$11+Q1456:Y1456*AF$4:AF$11+Q1819:Y1819*AG$4:AG$11)</f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P369" s="2" t="s">
        <v>14</v>
      </c>
      <c r="Q369" s="10"/>
      <c r="R369" s="10"/>
      <c r="S369" s="10"/>
      <c r="T369" s="10"/>
      <c r="U369" s="10"/>
      <c r="V369" s="10"/>
      <c r="W369" s="10"/>
      <c r="X369" s="10"/>
      <c r="Y369" s="5">
        <f t="shared" si="5"/>
        <v>0</v>
      </c>
    </row>
    <row r="370" spans="1:25" x14ac:dyDescent="0.25">
      <c r="C370" t="s">
        <v>13</v>
      </c>
      <c r="D370">
        <f t="array" ref="D370:K370">(Q1094:Y1094*AE$4:AE$11+Q1457:Y1457*AF$4:AF$11+Q1820:Y1820*AG$4:AG$11)</f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P370" s="2" t="s">
        <v>15</v>
      </c>
      <c r="Q370" s="10"/>
      <c r="R370" s="10"/>
      <c r="S370" s="10"/>
      <c r="T370" s="10"/>
      <c r="U370" s="10"/>
      <c r="V370" s="10"/>
      <c r="W370" s="10"/>
      <c r="X370" s="10"/>
      <c r="Y370" s="5">
        <f t="shared" si="5"/>
        <v>0</v>
      </c>
    </row>
    <row r="371" spans="1:25" x14ac:dyDescent="0.25">
      <c r="C371" t="s">
        <v>14</v>
      </c>
      <c r="D371">
        <f t="array" ref="D371:K371">(Q1095:Y1095*AE$4:AE$11+Q1458:Y1458*AF$4:AF$11+Q1821:Y1821*AG$4:AG$11)</f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P371" s="2" t="s">
        <v>16</v>
      </c>
      <c r="Q371" s="10"/>
      <c r="R371" s="10"/>
      <c r="S371" s="10"/>
      <c r="T371" s="10"/>
      <c r="U371" s="10"/>
      <c r="V371" s="10"/>
      <c r="W371" s="10"/>
      <c r="X371" s="10"/>
      <c r="Y371" s="5">
        <f t="shared" si="5"/>
        <v>0</v>
      </c>
    </row>
    <row r="372" spans="1:25" x14ac:dyDescent="0.25">
      <c r="C372" t="s">
        <v>15</v>
      </c>
      <c r="D372">
        <f t="array" ref="D372:K372">(Q1096:Y1096*AE$4:AE$11+Q1459:Y1459*AF$4:AF$11+Q1822:Y1822*AG$4:AG$11)</f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P372" s="2" t="s">
        <v>17</v>
      </c>
      <c r="Q372" s="10"/>
      <c r="R372" s="10"/>
      <c r="S372" s="10"/>
      <c r="T372" s="10"/>
      <c r="U372" s="10"/>
      <c r="V372" s="10"/>
      <c r="W372" s="10"/>
      <c r="X372" s="10"/>
      <c r="Y372" s="5">
        <f t="shared" si="5"/>
        <v>0</v>
      </c>
    </row>
    <row r="373" spans="1:25" x14ac:dyDescent="0.25">
      <c r="C373" t="s">
        <v>16</v>
      </c>
      <c r="D373">
        <f t="array" ref="D373:K373">(Q1097:Y1097*AE$4:AE$11+Q1460:Y1460*AF$4:AF$11+Q1823:Y1823*AG$4:AG$11)</f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P373" s="2" t="s">
        <v>18</v>
      </c>
      <c r="Q373" s="10"/>
      <c r="R373" s="10"/>
      <c r="S373" s="10"/>
      <c r="T373" s="10"/>
      <c r="U373" s="10"/>
      <c r="V373" s="10"/>
      <c r="W373" s="10"/>
      <c r="X373" s="10"/>
      <c r="Y373" s="5">
        <f t="shared" si="5"/>
        <v>0</v>
      </c>
    </row>
    <row r="374" spans="1:25" x14ac:dyDescent="0.25">
      <c r="C374" t="s">
        <v>17</v>
      </c>
      <c r="D374">
        <f t="array" ref="D374:K374">(Q1098:Y1098*AE$4:AE$11+Q1461:Y1461*AF$4:AF$11+Q1824:Y1824*AG$4:AG$11)</f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P374" s="2" t="s">
        <v>19</v>
      </c>
      <c r="Q374" s="10"/>
      <c r="R374" s="10"/>
      <c r="S374" s="10"/>
      <c r="T374" s="10"/>
      <c r="U374" s="10"/>
      <c r="V374" s="10"/>
      <c r="W374" s="10"/>
      <c r="X374" s="10"/>
      <c r="Y374" s="5">
        <f t="shared" si="5"/>
        <v>0</v>
      </c>
    </row>
    <row r="375" spans="1:25" x14ac:dyDescent="0.25">
      <c r="C375" t="s">
        <v>18</v>
      </c>
      <c r="D375">
        <f t="array" ref="D375:K375">(Q1099:Y1099*AE$4:AE$11+Q1462:Y1462*AF$4:AF$11+Q1825:Y1825*AG$4:AG$11)</f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P375" s="2" t="s">
        <v>20</v>
      </c>
      <c r="Q375" s="10"/>
      <c r="R375" s="10"/>
      <c r="S375" s="10"/>
      <c r="T375" s="10"/>
      <c r="U375" s="10"/>
      <c r="V375" s="10"/>
      <c r="W375" s="10"/>
      <c r="X375" s="10"/>
      <c r="Y375" s="5">
        <f t="shared" si="5"/>
        <v>0</v>
      </c>
    </row>
    <row r="376" spans="1:25" x14ac:dyDescent="0.25">
      <c r="C376" t="s">
        <v>19</v>
      </c>
      <c r="D376">
        <f t="array" ref="D376:K376">(Q1100:Y1100*AE$4:AE$11+Q1463:Y1463*AF$4:AF$11+Q1826:Y1826*AG$4:AG$11)</f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P376" s="2" t="s">
        <v>21</v>
      </c>
      <c r="Q376" s="10"/>
      <c r="R376" s="10"/>
      <c r="S376" s="10"/>
      <c r="T376" s="10"/>
      <c r="U376" s="10"/>
      <c r="V376" s="10"/>
      <c r="W376" s="10"/>
      <c r="X376" s="10"/>
      <c r="Y376" s="5">
        <f t="shared" si="5"/>
        <v>0</v>
      </c>
    </row>
    <row r="377" spans="1:25" x14ac:dyDescent="0.25">
      <c r="C377" t="s">
        <v>20</v>
      </c>
      <c r="D377">
        <f t="array" ref="D377:K377">(Q1101:Y1101*AE$4:AE$11+Q1464:Y1464*AF$4:AF$11+Q1827:Y1827*AG$4:AG$11)</f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P377" s="2" t="s">
        <v>22</v>
      </c>
      <c r="Q377" s="10"/>
      <c r="R377" s="10"/>
      <c r="S377" s="10"/>
      <c r="T377" s="10"/>
      <c r="U377" s="10"/>
      <c r="V377" s="10"/>
      <c r="W377" s="10"/>
      <c r="X377" s="10"/>
      <c r="Y377" s="5">
        <f t="shared" si="5"/>
        <v>0</v>
      </c>
    </row>
    <row r="378" spans="1:25" x14ac:dyDescent="0.25">
      <c r="C378" t="s">
        <v>21</v>
      </c>
      <c r="D378">
        <f t="array" ref="D378:K378">(Q1102:Y1102*AE$4:AE$11+Q1465:Y1465*AF$4:AF$11+Q1828:Y1828*AG$4:AG$11)</f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P378" s="2" t="s">
        <v>23</v>
      </c>
      <c r="Q378" s="10"/>
      <c r="R378" s="10"/>
      <c r="S378" s="10"/>
      <c r="T378" s="10"/>
      <c r="U378" s="10"/>
      <c r="V378" s="10"/>
      <c r="W378" s="10"/>
      <c r="X378" s="10"/>
      <c r="Y378" s="5">
        <f t="shared" si="5"/>
        <v>0</v>
      </c>
    </row>
    <row r="379" spans="1:25" x14ac:dyDescent="0.25">
      <c r="C379" t="s">
        <v>22</v>
      </c>
      <c r="D379">
        <f t="array" ref="D379:K379">(Q1103:Y1103*AE$4:AE$11+Q1466:Y1466*AF$4:AF$11+Q1829:Y1829*AG$4:AG$11)</f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P379" s="2" t="s">
        <v>24</v>
      </c>
      <c r="Q379" s="10"/>
      <c r="R379" s="10"/>
      <c r="S379" s="10"/>
      <c r="T379" s="10"/>
      <c r="U379" s="10"/>
      <c r="V379" s="10"/>
      <c r="W379" s="10"/>
      <c r="X379" s="10"/>
      <c r="Y379" s="5">
        <f t="shared" si="5"/>
        <v>0</v>
      </c>
    </row>
    <row r="380" spans="1:25" x14ac:dyDescent="0.25">
      <c r="C380" t="s">
        <v>23</v>
      </c>
      <c r="D380">
        <f t="array" ref="D380:K380">(Q1104:Y1104*AE$4:AE$11+Q1467:Y1467*AF$4:AF$11+Q1830:Y1830*AG$4:AG$11)</f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P380" s="2" t="s">
        <v>25</v>
      </c>
      <c r="Q380" s="10"/>
      <c r="R380" s="10"/>
      <c r="S380" s="10"/>
      <c r="T380" s="10"/>
      <c r="U380" s="10"/>
      <c r="V380" s="10"/>
      <c r="W380" s="10"/>
      <c r="X380" s="10"/>
      <c r="Y380" s="5">
        <f t="shared" si="5"/>
        <v>0</v>
      </c>
    </row>
    <row r="381" spans="1:25" x14ac:dyDescent="0.25">
      <c r="C381" t="s">
        <v>24</v>
      </c>
      <c r="D381">
        <f t="array" ref="D381:K381">(Q1105:Y1105*AE$4:AE$11+Q1468:Y1468*AF$4:AF$11+Q1831:Y1831*AG$4:AG$11)</f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P381" s="2" t="s">
        <v>26</v>
      </c>
      <c r="Q381" s="10"/>
      <c r="R381" s="10"/>
      <c r="S381" s="10"/>
      <c r="T381" s="10"/>
      <c r="U381" s="10"/>
      <c r="V381" s="10"/>
      <c r="W381" s="10"/>
      <c r="X381" s="10"/>
      <c r="Y381" s="5">
        <f t="shared" si="5"/>
        <v>0</v>
      </c>
    </row>
    <row r="382" spans="1:25" x14ac:dyDescent="0.25">
      <c r="C382" t="s">
        <v>25</v>
      </c>
      <c r="D382">
        <f t="array" ref="D382:K382">(Q1106:Y1106*AE$4:AE$11+Q1469:Y1469*AF$4:AF$11+Q1832:Y1832*AG$4:AG$11)</f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P382" s="2" t="s">
        <v>27</v>
      </c>
      <c r="Q382" s="10"/>
      <c r="R382" s="10"/>
      <c r="S382" s="10"/>
      <c r="T382" s="10"/>
      <c r="U382" s="10"/>
      <c r="V382" s="10"/>
      <c r="W382" s="10"/>
      <c r="X382" s="10"/>
      <c r="Y382" s="5">
        <f t="shared" si="5"/>
        <v>0</v>
      </c>
    </row>
    <row r="383" spans="1:25" x14ac:dyDescent="0.25">
      <c r="C383" t="s">
        <v>26</v>
      </c>
      <c r="D383">
        <f t="array" ref="D383:K383">(Q1107:Y1107*AE$4:AE$11+Q1470:Y1470*AF$4:AF$11+Q1833:Y1833*AG$4:AG$11)</f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P383" s="2" t="s">
        <v>28</v>
      </c>
      <c r="Q383" s="10"/>
      <c r="R383" s="10"/>
      <c r="S383" s="10"/>
      <c r="T383" s="10"/>
      <c r="U383" s="10"/>
      <c r="V383" s="10"/>
      <c r="W383" s="10"/>
      <c r="X383" s="10"/>
      <c r="Y383" s="5">
        <f t="shared" si="5"/>
        <v>0</v>
      </c>
    </row>
    <row r="384" spans="1:25" x14ac:dyDescent="0.25">
      <c r="C384" t="s">
        <v>27</v>
      </c>
      <c r="D384">
        <f t="array" ref="D384:K384">(Q1108:Y1108*AE$4:AE$11+Q1471:Y1471*AF$4:AF$11+Q1834:Y1834*AG$4:AG$11)</f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P384" s="2" t="s">
        <v>29</v>
      </c>
      <c r="Q384" s="10"/>
      <c r="R384" s="10"/>
      <c r="S384" s="10"/>
      <c r="T384" s="10"/>
      <c r="U384" s="10"/>
      <c r="V384" s="10"/>
      <c r="W384" s="10"/>
      <c r="X384" s="10"/>
      <c r="Y384" s="5">
        <f t="shared" si="5"/>
        <v>0</v>
      </c>
    </row>
    <row r="385" spans="3:25" x14ac:dyDescent="0.25">
      <c r="C385" t="s">
        <v>28</v>
      </c>
      <c r="D385">
        <f t="array" ref="D385:K385">(Q1109:Y1109*AE$4:AE$11+Q1472:Y1472*AF$4:AF$11+Q1835:Y1835*AG$4:AG$11)</f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P385" s="2" t="s">
        <v>30</v>
      </c>
      <c r="Q385" s="10"/>
      <c r="R385" s="10"/>
      <c r="S385" s="10"/>
      <c r="T385" s="10"/>
      <c r="U385" s="10"/>
      <c r="V385" s="10"/>
      <c r="W385" s="10"/>
      <c r="X385" s="10"/>
      <c r="Y385" s="5">
        <f t="shared" si="5"/>
        <v>0</v>
      </c>
    </row>
    <row r="386" spans="3:25" x14ac:dyDescent="0.25">
      <c r="C386" t="s">
        <v>29</v>
      </c>
      <c r="D386">
        <f t="array" ref="D386:K386">(Q1110:Y1110*AE$4:AE$11+Q1473:Y1473*AF$4:AF$11+Q1836:Y1836*AG$4:AG$11)</f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P386" s="2" t="s">
        <v>31</v>
      </c>
      <c r="Q386" s="10"/>
      <c r="R386" s="10"/>
      <c r="S386" s="10"/>
      <c r="T386" s="10"/>
      <c r="U386" s="10"/>
      <c r="V386" s="10"/>
      <c r="W386" s="10"/>
      <c r="X386" s="10"/>
      <c r="Y386" s="5">
        <f t="shared" si="5"/>
        <v>0</v>
      </c>
    </row>
    <row r="387" spans="3:25" x14ac:dyDescent="0.25">
      <c r="C387" t="s">
        <v>30</v>
      </c>
      <c r="D387">
        <f t="array" ref="D387:K387">(Q1111:Y1111*AE$4:AE$11+Q1474:Y1474*AF$4:AF$11+Q1837:Y1837*AG$4:AG$11)</f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P387" s="2" t="s">
        <v>32</v>
      </c>
      <c r="Q387" s="10"/>
      <c r="R387" s="10"/>
      <c r="S387" s="10"/>
      <c r="T387" s="10"/>
      <c r="U387" s="10"/>
      <c r="V387" s="10"/>
      <c r="W387" s="10"/>
      <c r="X387" s="10"/>
      <c r="Y387" s="5">
        <f t="shared" si="5"/>
        <v>0</v>
      </c>
    </row>
    <row r="388" spans="3:25" x14ac:dyDescent="0.25">
      <c r="C388" t="s">
        <v>31</v>
      </c>
      <c r="D388">
        <f t="array" ref="D388:K388">(Q1112:Y1112*AE$4:AE$11+Q1475:Y1475*AF$4:AF$11+Q1838:Y1838*AG$4:AG$11)</f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P388" s="2" t="s">
        <v>33</v>
      </c>
      <c r="Q388" s="10"/>
      <c r="R388" s="10"/>
      <c r="S388" s="10"/>
      <c r="T388" s="10"/>
      <c r="U388" s="10"/>
      <c r="V388" s="10"/>
      <c r="W388" s="10"/>
      <c r="X388" s="10"/>
      <c r="Y388" s="5">
        <f t="shared" si="5"/>
        <v>0</v>
      </c>
    </row>
    <row r="389" spans="3:25" x14ac:dyDescent="0.25">
      <c r="C389" t="s">
        <v>32</v>
      </c>
      <c r="D389">
        <f t="array" ref="D389:K389">(Q1113:Y1113*AE$4:AE$11+Q1476:Y1476*AF$4:AF$11+Q1839:Y1839*AG$4:AG$11)</f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P389" s="2" t="s">
        <v>34</v>
      </c>
      <c r="Q389" s="10"/>
      <c r="R389" s="10"/>
      <c r="S389" s="10"/>
      <c r="T389" s="10"/>
      <c r="U389" s="10"/>
      <c r="V389" s="10"/>
      <c r="W389" s="10"/>
      <c r="X389" s="10"/>
      <c r="Y389" s="5">
        <f t="shared" ref="Y389:Y452" si="6">SUM(Q389:X389)</f>
        <v>0</v>
      </c>
    </row>
    <row r="390" spans="3:25" x14ac:dyDescent="0.25">
      <c r="C390" t="s">
        <v>33</v>
      </c>
      <c r="D390">
        <f t="array" ref="D390:K390">(Q1114:Y1114*AE$4:AE$11+Q1477:Y1477*AF$4:AF$11+Q1840:Y1840*AG$4:AG$11)</f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P390" s="2" t="s">
        <v>35</v>
      </c>
      <c r="Q390" s="10"/>
      <c r="R390" s="10"/>
      <c r="S390" s="10"/>
      <c r="T390" s="10"/>
      <c r="U390" s="10"/>
      <c r="V390" s="10"/>
      <c r="W390" s="10"/>
      <c r="X390" s="10"/>
      <c r="Y390" s="5">
        <f t="shared" si="6"/>
        <v>0</v>
      </c>
    </row>
    <row r="391" spans="3:25" x14ac:dyDescent="0.25">
      <c r="C391" t="s">
        <v>34</v>
      </c>
      <c r="D391">
        <f t="array" ref="D391:K391">(Q1115:Y1115*AE$4:AE$11+Q1478:Y1478*AF$4:AF$11+Q1841:Y1841*AG$4:AG$11)</f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P391" s="2" t="s">
        <v>36</v>
      </c>
      <c r="Q391" s="10"/>
      <c r="R391" s="10"/>
      <c r="S391" s="10"/>
      <c r="T391" s="10"/>
      <c r="U391" s="10"/>
      <c r="V391" s="10"/>
      <c r="W391" s="10"/>
      <c r="X391" s="10"/>
      <c r="Y391" s="5">
        <f t="shared" si="6"/>
        <v>0</v>
      </c>
    </row>
    <row r="392" spans="3:25" x14ac:dyDescent="0.25">
      <c r="C392" t="s">
        <v>35</v>
      </c>
      <c r="D392">
        <f t="array" ref="D392:K392">(Q1116:Y1116*AE$4:AE$11+Q1479:Y1479*AF$4:AF$11+Q1842:Y1842*AG$4:AG$11)</f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P392" s="2" t="s">
        <v>37</v>
      </c>
      <c r="Q392" s="10"/>
      <c r="R392" s="10"/>
      <c r="S392" s="10"/>
      <c r="T392" s="10"/>
      <c r="U392" s="10"/>
      <c r="V392" s="10"/>
      <c r="W392" s="10"/>
      <c r="X392" s="10"/>
      <c r="Y392" s="5">
        <f t="shared" si="6"/>
        <v>0</v>
      </c>
    </row>
    <row r="393" spans="3:25" x14ac:dyDescent="0.25">
      <c r="C393" t="s">
        <v>36</v>
      </c>
      <c r="D393">
        <f t="array" ref="D393:K393">(Q1117:Y1117*AE$4:AE$11+Q1480:Y1480*AF$4:AF$11+Q1843:Y1843*AG$4:AG$11)</f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P393" s="2" t="s">
        <v>38</v>
      </c>
      <c r="Q393" s="10"/>
      <c r="R393" s="10"/>
      <c r="S393" s="10"/>
      <c r="T393" s="10"/>
      <c r="U393" s="10"/>
      <c r="V393" s="10"/>
      <c r="W393" s="10"/>
      <c r="X393" s="10"/>
      <c r="Y393" s="5">
        <f t="shared" si="6"/>
        <v>0</v>
      </c>
    </row>
    <row r="394" spans="3:25" x14ac:dyDescent="0.25">
      <c r="C394" t="s">
        <v>37</v>
      </c>
      <c r="D394">
        <f t="array" ref="D394:K394">(Q1118:Y1118*AE$4:AE$11+Q1481:Y1481*AF$4:AF$11+Q1844:Y1844*AG$4:AG$11)</f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P394" s="2" t="s">
        <v>39</v>
      </c>
      <c r="Q394" s="10"/>
      <c r="R394" s="10"/>
      <c r="S394" s="10"/>
      <c r="T394" s="10"/>
      <c r="U394" s="10"/>
      <c r="V394" s="10"/>
      <c r="W394" s="10"/>
      <c r="X394" s="10"/>
      <c r="Y394" s="5">
        <f t="shared" si="6"/>
        <v>0</v>
      </c>
    </row>
    <row r="395" spans="3:25" x14ac:dyDescent="0.25">
      <c r="C395" t="s">
        <v>38</v>
      </c>
      <c r="D395">
        <f t="array" ref="D395:K395">(Q1119:Y1119*AE$4:AE$11+Q1482:Y1482*AF$4:AF$11+Q1845:Y1845*AG$4:AG$11)</f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P395" s="2" t="s">
        <v>40</v>
      </c>
      <c r="Q395" s="10"/>
      <c r="R395" s="10"/>
      <c r="S395" s="10"/>
      <c r="T395" s="10"/>
      <c r="U395" s="10"/>
      <c r="V395" s="10"/>
      <c r="W395" s="10"/>
      <c r="X395" s="10"/>
      <c r="Y395" s="5">
        <f t="shared" si="6"/>
        <v>0</v>
      </c>
    </row>
    <row r="396" spans="3:25" x14ac:dyDescent="0.25">
      <c r="C396" t="s">
        <v>39</v>
      </c>
      <c r="D396">
        <f t="array" ref="D396:K396">(Q1120:Y1120*AE$4:AE$11+Q1483:Y1483*AF$4:AF$11+Q1846:Y1846*AG$4:AG$11)</f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P396" s="2" t="s">
        <v>41</v>
      </c>
      <c r="Q396" s="10"/>
      <c r="R396" s="10"/>
      <c r="S396" s="10"/>
      <c r="T396" s="10"/>
      <c r="U396" s="10"/>
      <c r="V396" s="10"/>
      <c r="W396" s="10"/>
      <c r="X396" s="10"/>
      <c r="Y396" s="5">
        <f t="shared" si="6"/>
        <v>0</v>
      </c>
    </row>
    <row r="397" spans="3:25" x14ac:dyDescent="0.25">
      <c r="C397" t="s">
        <v>40</v>
      </c>
      <c r="D397">
        <f t="array" ref="D397:K397">(Q1121:Y1121*AE$4:AE$11+Q1484:Y1484*AF$4:AF$11+Q1847:Y1847*AG$4:AG$11)</f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P397" s="2" t="s">
        <v>42</v>
      </c>
      <c r="Q397" s="10"/>
      <c r="R397" s="10"/>
      <c r="S397" s="10"/>
      <c r="T397" s="10"/>
      <c r="U397" s="10"/>
      <c r="V397" s="10"/>
      <c r="W397" s="10"/>
      <c r="X397" s="10"/>
      <c r="Y397" s="5">
        <f t="shared" si="6"/>
        <v>0</v>
      </c>
    </row>
    <row r="398" spans="3:25" x14ac:dyDescent="0.25">
      <c r="C398" t="s">
        <v>41</v>
      </c>
      <c r="D398">
        <f t="array" ref="D398:K398">(Q1122:Y1122*AE$4:AE$11+Q1485:Y1485*AF$4:AF$11+Q1848:Y1848*AG$4:AG$11)</f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P398" s="2" t="s">
        <v>43</v>
      </c>
      <c r="Q398" s="10"/>
      <c r="R398" s="10"/>
      <c r="S398" s="10"/>
      <c r="T398" s="10"/>
      <c r="U398" s="10"/>
      <c r="V398" s="10"/>
      <c r="W398" s="10"/>
      <c r="X398" s="10"/>
      <c r="Y398" s="5">
        <f t="shared" si="6"/>
        <v>0</v>
      </c>
    </row>
    <row r="399" spans="3:25" x14ac:dyDescent="0.25">
      <c r="C399" t="s">
        <v>42</v>
      </c>
      <c r="D399">
        <f t="array" ref="D399:K399">(Q1123:Y1123*AE$4:AE$11+Q1486:Y1486*AF$4:AF$11+Q1849:Y1849*AG$4:AG$11)</f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P399" s="2" t="s">
        <v>44</v>
      </c>
      <c r="Q399" s="10"/>
      <c r="R399" s="10"/>
      <c r="S399" s="10"/>
      <c r="T399" s="10"/>
      <c r="U399" s="10"/>
      <c r="V399" s="10"/>
      <c r="W399" s="10"/>
      <c r="X399" s="10"/>
      <c r="Y399" s="5">
        <f t="shared" si="6"/>
        <v>0</v>
      </c>
    </row>
    <row r="400" spans="3:25" x14ac:dyDescent="0.25">
      <c r="C400" t="s">
        <v>43</v>
      </c>
      <c r="D400">
        <f t="array" ref="D400:K400">(Q1124:Y1124*AE$4:AE$11+Q1487:Y1487*AF$4:AF$11+Q1850:Y1850*AG$4:AG$11)</f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M400" t="s">
        <v>104</v>
      </c>
      <c r="N400" t="s">
        <v>116</v>
      </c>
      <c r="O400" t="s">
        <v>45</v>
      </c>
      <c r="P400" s="2" t="s">
        <v>12</v>
      </c>
      <c r="Q400" s="10">
        <f>data_redis_illX!E333</f>
        <v>0</v>
      </c>
      <c r="R400" s="10">
        <f>data_redis_illX!F333</f>
        <v>0</v>
      </c>
      <c r="S400" s="10">
        <f>data_redis_illX!G333</f>
        <v>0</v>
      </c>
      <c r="T400" s="10">
        <f>data_redis_illX!H333</f>
        <v>0</v>
      </c>
      <c r="U400" s="10">
        <f>data_redis_illX!I333</f>
        <v>0</v>
      </c>
      <c r="V400" s="10">
        <f>data_redis_illX!J333</f>
        <v>0</v>
      </c>
      <c r="W400" s="10">
        <f>data_redis_illX!K333</f>
        <v>0</v>
      </c>
      <c r="X400" s="10">
        <f>data_redis_illX!L333</f>
        <v>0</v>
      </c>
      <c r="Y400" s="5">
        <f t="shared" si="6"/>
        <v>0</v>
      </c>
    </row>
    <row r="401" spans="1:25" x14ac:dyDescent="0.25">
      <c r="C401" t="s">
        <v>44</v>
      </c>
      <c r="D401">
        <f t="array" ref="D401:K401">(Q1125:Y1125*AE$4:AE$11+Q1488:Y1488*AF$4:AF$11+Q1851:Y1851*AG$4:AG$11)</f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P401" s="2" t="s">
        <v>13</v>
      </c>
      <c r="Q401" s="10">
        <f>data_redis_illX!E334</f>
        <v>0</v>
      </c>
      <c r="R401" s="10">
        <f>data_redis_illX!F334</f>
        <v>0</v>
      </c>
      <c r="S401" s="10">
        <f>data_redis_illX!G334</f>
        <v>0</v>
      </c>
      <c r="T401" s="10">
        <f>data_redis_illX!H334</f>
        <v>0</v>
      </c>
      <c r="U401" s="10">
        <f>data_redis_illX!I334</f>
        <v>0</v>
      </c>
      <c r="V401" s="10">
        <f>data_redis_illX!J334</f>
        <v>0</v>
      </c>
      <c r="W401" s="10">
        <f>data_redis_illX!K334</f>
        <v>0</v>
      </c>
      <c r="X401" s="10">
        <f>data_redis_illX!L334</f>
        <v>0</v>
      </c>
      <c r="Y401" s="5">
        <f t="shared" si="6"/>
        <v>0</v>
      </c>
    </row>
    <row r="402" spans="1:25" x14ac:dyDescent="0.25">
      <c r="A402">
        <v>2</v>
      </c>
      <c r="B402" t="s">
        <v>45</v>
      </c>
      <c r="C402" t="s">
        <v>12</v>
      </c>
      <c r="D402">
        <f t="array" ref="D402:K402">(Q1126:Y1126*AE$4:AE$11+Q1489:Y1489*AF$4:AF$11+Q1852:Y1852*AG$4:AG$11)</f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P402" s="2" t="s">
        <v>14</v>
      </c>
      <c r="Q402" s="10">
        <f>data_redis_illX!E335</f>
        <v>0</v>
      </c>
      <c r="R402" s="10">
        <f>data_redis_illX!F335</f>
        <v>0</v>
      </c>
      <c r="S402" s="10">
        <f>data_redis_illX!G335</f>
        <v>0</v>
      </c>
      <c r="T402" s="10">
        <f>data_redis_illX!H335</f>
        <v>0</v>
      </c>
      <c r="U402" s="10">
        <f>data_redis_illX!I335</f>
        <v>0</v>
      </c>
      <c r="V402" s="10">
        <f>data_redis_illX!J335</f>
        <v>0</v>
      </c>
      <c r="W402" s="10">
        <f>data_redis_illX!K335</f>
        <v>0</v>
      </c>
      <c r="X402" s="10">
        <f>data_redis_illX!L335</f>
        <v>0</v>
      </c>
      <c r="Y402" s="5">
        <f t="shared" si="6"/>
        <v>0</v>
      </c>
    </row>
    <row r="403" spans="1:25" x14ac:dyDescent="0.25">
      <c r="C403" t="s">
        <v>13</v>
      </c>
      <c r="D403">
        <f t="array" ref="D403:K403">(Q1127:Y1127*AE$4:AE$11+Q1490:Y1490*AF$4:AF$11+Q1853:Y1853*AG$4:AG$11)</f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P403" s="2" t="s">
        <v>15</v>
      </c>
      <c r="Q403" s="10">
        <f>data_redis_illX!E336</f>
        <v>0</v>
      </c>
      <c r="R403" s="10">
        <f>data_redis_illX!F336</f>
        <v>0</v>
      </c>
      <c r="S403" s="10">
        <f>data_redis_illX!G336</f>
        <v>0</v>
      </c>
      <c r="T403" s="10">
        <f>data_redis_illX!H336</f>
        <v>0</v>
      </c>
      <c r="U403" s="10">
        <f>data_redis_illX!I336</f>
        <v>0</v>
      </c>
      <c r="V403" s="10">
        <f>data_redis_illX!J336</f>
        <v>0</v>
      </c>
      <c r="W403" s="10">
        <f>data_redis_illX!K336</f>
        <v>0</v>
      </c>
      <c r="X403" s="10">
        <f>data_redis_illX!L336</f>
        <v>0</v>
      </c>
      <c r="Y403" s="5">
        <f t="shared" si="6"/>
        <v>0</v>
      </c>
    </row>
    <row r="404" spans="1:25" x14ac:dyDescent="0.25">
      <c r="C404" t="s">
        <v>14</v>
      </c>
      <c r="D404">
        <f t="array" ref="D404:K404">(Q1128:Y1128*AE$4:AE$11+Q1491:Y1491*AF$4:AF$11+Q1854:Y1854*AG$4:AG$11)</f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P404" s="2" t="s">
        <v>16</v>
      </c>
      <c r="Q404" s="10">
        <f>data_redis_illX!E337</f>
        <v>0</v>
      </c>
      <c r="R404" s="10">
        <f>data_redis_illX!F337</f>
        <v>0</v>
      </c>
      <c r="S404" s="10">
        <f>data_redis_illX!G337</f>
        <v>0</v>
      </c>
      <c r="T404" s="10">
        <f>data_redis_illX!H337</f>
        <v>0</v>
      </c>
      <c r="U404" s="10">
        <f>data_redis_illX!I337</f>
        <v>0</v>
      </c>
      <c r="V404" s="10">
        <f>data_redis_illX!J337</f>
        <v>0</v>
      </c>
      <c r="W404" s="10">
        <f>data_redis_illX!K337</f>
        <v>0</v>
      </c>
      <c r="X404" s="10">
        <f>data_redis_illX!L337</f>
        <v>0</v>
      </c>
      <c r="Y404" s="5">
        <f t="shared" si="6"/>
        <v>0</v>
      </c>
    </row>
    <row r="405" spans="1:25" x14ac:dyDescent="0.25">
      <c r="C405" t="s">
        <v>15</v>
      </c>
      <c r="D405">
        <f t="array" ref="D405:K405">(Q1129:Y1129*AE$4:AE$11+Q1492:Y1492*AF$4:AF$11+Q1855:Y1855*AG$4:AG$11)</f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P405" s="2" t="s">
        <v>17</v>
      </c>
      <c r="Q405" s="10">
        <f>data_redis_illX!E338</f>
        <v>0</v>
      </c>
      <c r="R405" s="10">
        <f>data_redis_illX!F338</f>
        <v>0</v>
      </c>
      <c r="S405" s="10">
        <f>data_redis_illX!G338</f>
        <v>0</v>
      </c>
      <c r="T405" s="10">
        <f>data_redis_illX!H338</f>
        <v>0</v>
      </c>
      <c r="U405" s="10">
        <f>data_redis_illX!I338</f>
        <v>0</v>
      </c>
      <c r="V405" s="10">
        <f>data_redis_illX!J338</f>
        <v>0</v>
      </c>
      <c r="W405" s="10">
        <f>data_redis_illX!K338</f>
        <v>0</v>
      </c>
      <c r="X405" s="10">
        <f>data_redis_illX!L338</f>
        <v>0</v>
      </c>
      <c r="Y405" s="5">
        <f t="shared" si="6"/>
        <v>0</v>
      </c>
    </row>
    <row r="406" spans="1:25" x14ac:dyDescent="0.25">
      <c r="C406" t="s">
        <v>16</v>
      </c>
      <c r="D406">
        <f t="array" ref="D406:K406">(Q1130:Y1130*AE$4:AE$11+Q1493:Y1493*AF$4:AF$11+Q1856:Y1856*AG$4:AG$11)</f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P406" s="2" t="s">
        <v>18</v>
      </c>
      <c r="Q406" s="10">
        <f>data_redis_illX!E339</f>
        <v>0</v>
      </c>
      <c r="R406" s="10">
        <f>data_redis_illX!F339</f>
        <v>0</v>
      </c>
      <c r="S406" s="10">
        <f>data_redis_illX!G339</f>
        <v>0</v>
      </c>
      <c r="T406" s="10">
        <f>data_redis_illX!H339</f>
        <v>0</v>
      </c>
      <c r="U406" s="10">
        <f>data_redis_illX!I339</f>
        <v>0</v>
      </c>
      <c r="V406" s="10">
        <f>data_redis_illX!J339</f>
        <v>0</v>
      </c>
      <c r="W406" s="10">
        <f>data_redis_illX!K339</f>
        <v>0</v>
      </c>
      <c r="X406" s="10">
        <f>data_redis_illX!L339</f>
        <v>0</v>
      </c>
      <c r="Y406" s="5">
        <f t="shared" si="6"/>
        <v>0</v>
      </c>
    </row>
    <row r="407" spans="1:25" x14ac:dyDescent="0.25">
      <c r="C407" t="s">
        <v>17</v>
      </c>
      <c r="D407">
        <f t="array" ref="D407:K407">(Q1131:Y1131*AE$4:AE$11+Q1494:Y1494*AF$4:AF$11+Q1857:Y1857*AG$4:AG$11)</f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P407" s="2" t="s">
        <v>19</v>
      </c>
      <c r="Q407" s="10">
        <f>data_redis_illX!E340</f>
        <v>0</v>
      </c>
      <c r="R407" s="10">
        <f>data_redis_illX!F340</f>
        <v>0</v>
      </c>
      <c r="S407" s="10">
        <f>data_redis_illX!G340</f>
        <v>0</v>
      </c>
      <c r="T407" s="10">
        <f>data_redis_illX!H340</f>
        <v>0</v>
      </c>
      <c r="U407" s="10">
        <f>data_redis_illX!I340</f>
        <v>0</v>
      </c>
      <c r="V407" s="10">
        <f>data_redis_illX!J340</f>
        <v>0</v>
      </c>
      <c r="W407" s="10">
        <f>data_redis_illX!K340</f>
        <v>0</v>
      </c>
      <c r="X407" s="10">
        <f>data_redis_illX!L340</f>
        <v>0</v>
      </c>
      <c r="Y407" s="5">
        <f t="shared" si="6"/>
        <v>0</v>
      </c>
    </row>
    <row r="408" spans="1:25" x14ac:dyDescent="0.25">
      <c r="C408" t="s">
        <v>18</v>
      </c>
      <c r="D408">
        <f t="array" ref="D408:K408">(Q1132:Y1132*AE$4:AE$11+Q1495:Y1495*AF$4:AF$11+Q1858:Y1858*AG$4:AG$11)</f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P408" s="2" t="s">
        <v>20</v>
      </c>
      <c r="Q408" s="10">
        <f>data_redis_illX!E341</f>
        <v>0</v>
      </c>
      <c r="R408" s="10">
        <f>data_redis_illX!F341</f>
        <v>0</v>
      </c>
      <c r="S408" s="10">
        <f>data_redis_illX!G341</f>
        <v>0</v>
      </c>
      <c r="T408" s="10">
        <f>data_redis_illX!H341</f>
        <v>0</v>
      </c>
      <c r="U408" s="10">
        <f>data_redis_illX!I341</f>
        <v>0</v>
      </c>
      <c r="V408" s="10">
        <f>data_redis_illX!J341</f>
        <v>0</v>
      </c>
      <c r="W408" s="10">
        <f>data_redis_illX!K341</f>
        <v>0</v>
      </c>
      <c r="X408" s="10">
        <f>data_redis_illX!L341</f>
        <v>0</v>
      </c>
      <c r="Y408" s="5">
        <f t="shared" si="6"/>
        <v>0</v>
      </c>
    </row>
    <row r="409" spans="1:25" x14ac:dyDescent="0.25">
      <c r="C409" t="s">
        <v>19</v>
      </c>
      <c r="D409">
        <f t="array" ref="D409:K409">(Q1133:Y1133*AE$4:AE$11+Q1496:Y1496*AF$4:AF$11+Q1859:Y1859*AG$4:AG$11)</f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P409" s="2" t="s">
        <v>21</v>
      </c>
      <c r="Q409" s="10">
        <f>data_redis_illX!E342</f>
        <v>0</v>
      </c>
      <c r="R409" s="10">
        <f>data_redis_illX!F342</f>
        <v>0</v>
      </c>
      <c r="S409" s="10">
        <f>data_redis_illX!G342</f>
        <v>0</v>
      </c>
      <c r="T409" s="10">
        <f>data_redis_illX!H342</f>
        <v>0</v>
      </c>
      <c r="U409" s="10">
        <f>data_redis_illX!I342</f>
        <v>0</v>
      </c>
      <c r="V409" s="10">
        <f>data_redis_illX!J342</f>
        <v>0</v>
      </c>
      <c r="W409" s="10">
        <f>data_redis_illX!K342</f>
        <v>0</v>
      </c>
      <c r="X409" s="10">
        <f>data_redis_illX!L342</f>
        <v>0</v>
      </c>
      <c r="Y409" s="5">
        <f t="shared" si="6"/>
        <v>0</v>
      </c>
    </row>
    <row r="410" spans="1:25" x14ac:dyDescent="0.25">
      <c r="C410" t="s">
        <v>20</v>
      </c>
      <c r="D410">
        <f t="array" ref="D410:K410">(Q1134:Y1134*AE$4:AE$11+Q1497:Y1497*AF$4:AF$11+Q1860:Y1860*AG$4:AG$11)</f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P410" s="2" t="s">
        <v>22</v>
      </c>
      <c r="Q410" s="10">
        <f>data_redis_illX!E343</f>
        <v>0</v>
      </c>
      <c r="R410" s="10">
        <f>data_redis_illX!F343</f>
        <v>0</v>
      </c>
      <c r="S410" s="10">
        <f>data_redis_illX!G343</f>
        <v>0</v>
      </c>
      <c r="T410" s="10">
        <f>data_redis_illX!H343</f>
        <v>0</v>
      </c>
      <c r="U410" s="10">
        <f>data_redis_illX!I343</f>
        <v>0</v>
      </c>
      <c r="V410" s="10">
        <f>data_redis_illX!J343</f>
        <v>0</v>
      </c>
      <c r="W410" s="10">
        <f>data_redis_illX!K343</f>
        <v>0</v>
      </c>
      <c r="X410" s="10">
        <f>data_redis_illX!L343</f>
        <v>0</v>
      </c>
      <c r="Y410" s="5">
        <f t="shared" si="6"/>
        <v>0</v>
      </c>
    </row>
    <row r="411" spans="1:25" x14ac:dyDescent="0.25">
      <c r="C411" t="s">
        <v>21</v>
      </c>
      <c r="D411">
        <f t="array" ref="D411:K411">(Q1135:Y1135*AE$4:AE$11+Q1498:Y1498*AF$4:AF$11+Q1861:Y1861*AG$4:AG$11)</f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P411" s="2" t="s">
        <v>23</v>
      </c>
      <c r="Q411" s="10">
        <f>data_redis_illX!E344</f>
        <v>0</v>
      </c>
      <c r="R411" s="10">
        <f>data_redis_illX!F344</f>
        <v>0</v>
      </c>
      <c r="S411" s="10">
        <f>data_redis_illX!G344</f>
        <v>0</v>
      </c>
      <c r="T411" s="10">
        <f>data_redis_illX!H344</f>
        <v>0</v>
      </c>
      <c r="U411" s="10">
        <f>data_redis_illX!I344</f>
        <v>0</v>
      </c>
      <c r="V411" s="10">
        <f>data_redis_illX!J344</f>
        <v>0</v>
      </c>
      <c r="W411" s="10">
        <f>data_redis_illX!K344</f>
        <v>0</v>
      </c>
      <c r="X411" s="10">
        <f>data_redis_illX!L344</f>
        <v>0</v>
      </c>
      <c r="Y411" s="5">
        <f t="shared" si="6"/>
        <v>0</v>
      </c>
    </row>
    <row r="412" spans="1:25" x14ac:dyDescent="0.25">
      <c r="C412" t="s">
        <v>22</v>
      </c>
      <c r="D412">
        <f t="array" ref="D412:K412">(Q1136:Y1136*AE$4:AE$11+Q1499:Y1499*AF$4:AF$11+Q1862:Y1862*AG$4:AG$11)</f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P412" s="2" t="s">
        <v>24</v>
      </c>
      <c r="Q412" s="10">
        <f>data_redis_illX!E345</f>
        <v>0</v>
      </c>
      <c r="R412" s="10">
        <f>data_redis_illX!F345</f>
        <v>0</v>
      </c>
      <c r="S412" s="10">
        <f>data_redis_illX!G345</f>
        <v>0</v>
      </c>
      <c r="T412" s="10">
        <f>data_redis_illX!H345</f>
        <v>0</v>
      </c>
      <c r="U412" s="10">
        <f>data_redis_illX!I345</f>
        <v>0</v>
      </c>
      <c r="V412" s="10">
        <f>data_redis_illX!J345</f>
        <v>0</v>
      </c>
      <c r="W412" s="10">
        <f>data_redis_illX!K345</f>
        <v>0</v>
      </c>
      <c r="X412" s="10">
        <f>data_redis_illX!L345</f>
        <v>0</v>
      </c>
      <c r="Y412" s="5">
        <f t="shared" si="6"/>
        <v>0</v>
      </c>
    </row>
    <row r="413" spans="1:25" x14ac:dyDescent="0.25">
      <c r="C413" t="s">
        <v>23</v>
      </c>
      <c r="D413">
        <f t="array" ref="D413:K413">(Q1137:Y1137*AE$4:AE$11+Q1500:Y1500*AF$4:AF$11+Q1863:Y1863*AG$4:AG$11)</f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P413" s="2" t="s">
        <v>25</v>
      </c>
      <c r="Q413" s="10">
        <f>data_redis_illX!E346</f>
        <v>0</v>
      </c>
      <c r="R413" s="10">
        <f>data_redis_illX!F346</f>
        <v>0</v>
      </c>
      <c r="S413" s="10">
        <f>data_redis_illX!G346</f>
        <v>0</v>
      </c>
      <c r="T413" s="10">
        <f>data_redis_illX!H346</f>
        <v>0</v>
      </c>
      <c r="U413" s="10">
        <f>data_redis_illX!I346</f>
        <v>0</v>
      </c>
      <c r="V413" s="10">
        <f>data_redis_illX!J346</f>
        <v>0</v>
      </c>
      <c r="W413" s="10">
        <f>data_redis_illX!K346</f>
        <v>0</v>
      </c>
      <c r="X413" s="10">
        <f>data_redis_illX!L346</f>
        <v>0</v>
      </c>
      <c r="Y413" s="5">
        <f t="shared" si="6"/>
        <v>0</v>
      </c>
    </row>
    <row r="414" spans="1:25" x14ac:dyDescent="0.25">
      <c r="C414" t="s">
        <v>24</v>
      </c>
      <c r="D414">
        <f t="array" ref="D414:K414">(Q1138:Y1138*AE$4:AE$11+Q1501:Y1501*AF$4:AF$11+Q1864:Y1864*AG$4:AG$11)</f>
        <v>0</v>
      </c>
      <c r="E414">
        <v>0</v>
      </c>
      <c r="F414">
        <v>0</v>
      </c>
      <c r="G414">
        <v>0</v>
      </c>
      <c r="H414">
        <v>1.1217513682564504</v>
      </c>
      <c r="I414">
        <v>0</v>
      </c>
      <c r="J414">
        <v>0</v>
      </c>
      <c r="K414">
        <v>0</v>
      </c>
      <c r="P414" s="2" t="s">
        <v>26</v>
      </c>
      <c r="Q414" s="10">
        <f>data_redis_illX!E347</f>
        <v>0</v>
      </c>
      <c r="R414" s="10">
        <f>data_redis_illX!F347</f>
        <v>0</v>
      </c>
      <c r="S414" s="10">
        <f>data_redis_illX!G347</f>
        <v>0</v>
      </c>
      <c r="T414" s="10">
        <f>data_redis_illX!H347</f>
        <v>0</v>
      </c>
      <c r="U414" s="10">
        <f>data_redis_illX!I347</f>
        <v>0</v>
      </c>
      <c r="V414" s="10">
        <f>data_redis_illX!J347</f>
        <v>0</v>
      </c>
      <c r="W414" s="10">
        <f>data_redis_illX!K347</f>
        <v>0</v>
      </c>
      <c r="X414" s="10">
        <f>data_redis_illX!L347</f>
        <v>0</v>
      </c>
      <c r="Y414" s="5">
        <f t="shared" si="6"/>
        <v>0</v>
      </c>
    </row>
    <row r="415" spans="1:25" x14ac:dyDescent="0.25">
      <c r="C415" t="s">
        <v>25</v>
      </c>
      <c r="D415">
        <f t="array" ref="D415:K415">(Q1139:Y1139*AE$4:AE$11+Q1502:Y1502*AF$4:AF$11+Q1865:Y1865*AG$4:AG$11)</f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P415" s="2" t="s">
        <v>27</v>
      </c>
      <c r="Q415" s="10">
        <f>data_redis_illX!E348</f>
        <v>0</v>
      </c>
      <c r="R415" s="10">
        <f>data_redis_illX!F348</f>
        <v>0</v>
      </c>
      <c r="S415" s="10">
        <f>data_redis_illX!G348</f>
        <v>0</v>
      </c>
      <c r="T415" s="10">
        <f>data_redis_illX!H348</f>
        <v>0</v>
      </c>
      <c r="U415" s="10">
        <f>data_redis_illX!I348</f>
        <v>0</v>
      </c>
      <c r="V415" s="10">
        <f>data_redis_illX!J348</f>
        <v>0</v>
      </c>
      <c r="W415" s="10">
        <f>data_redis_illX!K348</f>
        <v>0</v>
      </c>
      <c r="X415" s="10">
        <f>data_redis_illX!L348</f>
        <v>0</v>
      </c>
      <c r="Y415" s="5">
        <f t="shared" si="6"/>
        <v>0</v>
      </c>
    </row>
    <row r="416" spans="1:25" x14ac:dyDescent="0.25">
      <c r="C416" t="s">
        <v>26</v>
      </c>
      <c r="D416">
        <f t="array" ref="D416:K416">(Q1140:Y1140*AE$4:AE$11+Q1503:Y1503*AF$4:AF$11+Q1866:Y1866*AG$4:AG$11)</f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P416" s="2" t="s">
        <v>28</v>
      </c>
      <c r="Q416" s="10">
        <f>data_redis_illX!E349</f>
        <v>0</v>
      </c>
      <c r="R416" s="10">
        <f>data_redis_illX!F349</f>
        <v>0</v>
      </c>
      <c r="S416" s="10">
        <f>data_redis_illX!G349</f>
        <v>1.0012698412698413</v>
      </c>
      <c r="T416" s="10">
        <f>data_redis_illX!H349</f>
        <v>0</v>
      </c>
      <c r="U416" s="10">
        <f>data_redis_illX!I349</f>
        <v>0</v>
      </c>
      <c r="V416" s="10">
        <f>data_redis_illX!J349</f>
        <v>0</v>
      </c>
      <c r="W416" s="10">
        <f>data_redis_illX!K349</f>
        <v>0</v>
      </c>
      <c r="X416" s="10">
        <f>data_redis_illX!L349</f>
        <v>0</v>
      </c>
      <c r="Y416" s="5">
        <f t="shared" si="6"/>
        <v>1.0012698412698413</v>
      </c>
    </row>
    <row r="417" spans="3:25" x14ac:dyDescent="0.25">
      <c r="C417" t="s">
        <v>27</v>
      </c>
      <c r="D417">
        <f t="array" ref="D417:K417">(Q1141:Y1141*AE$4:AE$11+Q1504:Y1504*AF$4:AF$11+Q1867:Y1867*AG$4:AG$11)</f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P417" s="2" t="s">
        <v>29</v>
      </c>
      <c r="Q417" s="10">
        <f>data_redis_illX!E350</f>
        <v>0</v>
      </c>
      <c r="R417" s="10">
        <f>data_redis_illX!F350</f>
        <v>0</v>
      </c>
      <c r="S417" s="10">
        <f>data_redis_illX!G350</f>
        <v>2.0025396825396826</v>
      </c>
      <c r="T417" s="10">
        <f>data_redis_illX!H350</f>
        <v>0</v>
      </c>
      <c r="U417" s="10">
        <f>data_redis_illX!I350</f>
        <v>0</v>
      </c>
      <c r="V417" s="10">
        <f>data_redis_illX!J350</f>
        <v>0</v>
      </c>
      <c r="W417" s="10">
        <f>data_redis_illX!K350</f>
        <v>0</v>
      </c>
      <c r="X417" s="10">
        <f>data_redis_illX!L350</f>
        <v>0</v>
      </c>
      <c r="Y417" s="5">
        <f t="shared" si="6"/>
        <v>2.0025396825396826</v>
      </c>
    </row>
    <row r="418" spans="3:25" x14ac:dyDescent="0.25">
      <c r="C418" t="s">
        <v>28</v>
      </c>
      <c r="D418">
        <f t="array" ref="D418:K418">(Q1142:Y1142*AE$4:AE$11+Q1505:Y1505*AF$4:AF$11+Q1868:Y1868*AG$4:AG$11)</f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P418" s="2" t="s">
        <v>30</v>
      </c>
      <c r="Q418" s="10">
        <f>data_redis_illX!E351</f>
        <v>0</v>
      </c>
      <c r="R418" s="10">
        <f>data_redis_illX!F351</f>
        <v>0</v>
      </c>
      <c r="S418" s="10">
        <f>data_redis_illX!G351</f>
        <v>0</v>
      </c>
      <c r="T418" s="10">
        <f>data_redis_illX!H351</f>
        <v>0</v>
      </c>
      <c r="U418" s="10">
        <f>data_redis_illX!I351</f>
        <v>0</v>
      </c>
      <c r="V418" s="10">
        <f>data_redis_illX!J351</f>
        <v>0</v>
      </c>
      <c r="W418" s="10">
        <f>data_redis_illX!K351</f>
        <v>0</v>
      </c>
      <c r="X418" s="10">
        <f>data_redis_illX!L351</f>
        <v>0</v>
      </c>
      <c r="Y418" s="5">
        <f t="shared" si="6"/>
        <v>0</v>
      </c>
    </row>
    <row r="419" spans="3:25" x14ac:dyDescent="0.25">
      <c r="C419" t="s">
        <v>29</v>
      </c>
      <c r="D419">
        <f t="array" ref="D419:K419">(Q1143:Y1143*AE$4:AE$11+Q1506:Y1506*AF$4:AF$11+Q1869:Y1869*AG$4:AG$11)</f>
        <v>0</v>
      </c>
      <c r="E419">
        <v>0</v>
      </c>
      <c r="F419">
        <v>2.131719025122925</v>
      </c>
      <c r="G419">
        <v>0</v>
      </c>
      <c r="H419">
        <v>0</v>
      </c>
      <c r="I419">
        <v>0</v>
      </c>
      <c r="J419">
        <v>0</v>
      </c>
      <c r="K419">
        <v>0</v>
      </c>
      <c r="P419" s="2" t="s">
        <v>31</v>
      </c>
      <c r="Q419" s="10">
        <f>data_redis_illX!E352</f>
        <v>0</v>
      </c>
      <c r="R419" s="10">
        <f>data_redis_illX!F352</f>
        <v>0</v>
      </c>
      <c r="S419" s="10">
        <f>data_redis_illX!G352</f>
        <v>0</v>
      </c>
      <c r="T419" s="10">
        <f>data_redis_illX!H352</f>
        <v>0</v>
      </c>
      <c r="U419" s="10">
        <f>data_redis_illX!I352</f>
        <v>0</v>
      </c>
      <c r="V419" s="10">
        <f>data_redis_illX!J352</f>
        <v>0</v>
      </c>
      <c r="W419" s="10">
        <f>data_redis_illX!K352</f>
        <v>0</v>
      </c>
      <c r="X419" s="10">
        <f>data_redis_illX!L352</f>
        <v>0</v>
      </c>
      <c r="Y419" s="5">
        <f t="shared" si="6"/>
        <v>0</v>
      </c>
    </row>
    <row r="420" spans="3:25" x14ac:dyDescent="0.25">
      <c r="C420" t="s">
        <v>30</v>
      </c>
      <c r="D420">
        <f t="array" ref="D420:K420">(Q1144:Y1144*AE$4:AE$11+Q1507:Y1507*AF$4:AF$11+Q1870:Y1870*AG$4:AG$11)</f>
        <v>0</v>
      </c>
      <c r="E420">
        <v>0</v>
      </c>
      <c r="F420">
        <v>3.1975785376843877</v>
      </c>
      <c r="G420">
        <v>6.4499158641727412</v>
      </c>
      <c r="H420">
        <v>0</v>
      </c>
      <c r="I420">
        <v>1.000925925925926</v>
      </c>
      <c r="J420">
        <v>0</v>
      </c>
      <c r="K420">
        <v>0</v>
      </c>
      <c r="P420" s="2" t="s">
        <v>32</v>
      </c>
      <c r="Q420" s="10">
        <f>data_redis_illX!E353</f>
        <v>0</v>
      </c>
      <c r="R420" s="10">
        <f>data_redis_illX!F353</f>
        <v>0</v>
      </c>
      <c r="S420" s="10">
        <f>data_redis_illX!G353</f>
        <v>0</v>
      </c>
      <c r="T420" s="10">
        <f>data_redis_illX!H353</f>
        <v>0</v>
      </c>
      <c r="U420" s="10">
        <f>data_redis_illX!I353</f>
        <v>0</v>
      </c>
      <c r="V420" s="10">
        <f>data_redis_illX!J353</f>
        <v>0</v>
      </c>
      <c r="W420" s="10">
        <f>data_redis_illX!K353</f>
        <v>0</v>
      </c>
      <c r="X420" s="10">
        <f>data_redis_illX!L353</f>
        <v>0</v>
      </c>
      <c r="Y420" s="5">
        <f t="shared" si="6"/>
        <v>0</v>
      </c>
    </row>
    <row r="421" spans="3:25" x14ac:dyDescent="0.25">
      <c r="C421" t="s">
        <v>31</v>
      </c>
      <c r="D421">
        <f t="array" ref="D421:K421">(Q1145:Y1145*AE$4:AE$11+Q1508:Y1508*AF$4:AF$11+Q1871:Y1871*AG$4:AG$11)</f>
        <v>0</v>
      </c>
      <c r="E421">
        <v>0</v>
      </c>
      <c r="F421">
        <v>0</v>
      </c>
      <c r="G421">
        <v>1.0626990189470531</v>
      </c>
      <c r="H421">
        <v>0</v>
      </c>
      <c r="I421">
        <v>0</v>
      </c>
      <c r="J421">
        <v>0</v>
      </c>
      <c r="K421">
        <v>0</v>
      </c>
      <c r="P421" s="2" t="s">
        <v>33</v>
      </c>
      <c r="Q421" s="10">
        <f>data_redis_illX!E354</f>
        <v>0</v>
      </c>
      <c r="R421" s="10">
        <f>data_redis_illX!F354</f>
        <v>0</v>
      </c>
      <c r="S421" s="10">
        <f>data_redis_illX!G354</f>
        <v>0</v>
      </c>
      <c r="T421" s="10">
        <f>data_redis_illX!H354</f>
        <v>0</v>
      </c>
      <c r="U421" s="10">
        <f>data_redis_illX!I354</f>
        <v>0</v>
      </c>
      <c r="V421" s="10">
        <f>data_redis_illX!J354</f>
        <v>0</v>
      </c>
      <c r="W421" s="10">
        <f>data_redis_illX!K354</f>
        <v>0</v>
      </c>
      <c r="X421" s="10">
        <f>data_redis_illX!L354</f>
        <v>0</v>
      </c>
      <c r="Y421" s="5">
        <f t="shared" si="6"/>
        <v>0</v>
      </c>
    </row>
    <row r="422" spans="3:25" x14ac:dyDescent="0.25">
      <c r="C422" t="s">
        <v>32</v>
      </c>
      <c r="D422">
        <f t="array" ref="D422:K422">(Q1146:Y1146*AE$4:AE$11+Q1509:Y1509*AF$4:AF$11+Q1872:Y1872*AG$4:AG$11)</f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P422" s="2" t="s">
        <v>34</v>
      </c>
      <c r="Q422" s="10">
        <f>data_redis_illX!E355</f>
        <v>0</v>
      </c>
      <c r="R422" s="10">
        <f>data_redis_illX!F355</f>
        <v>0</v>
      </c>
      <c r="S422" s="10">
        <f>data_redis_illX!G355</f>
        <v>0</v>
      </c>
      <c r="T422" s="10">
        <f>data_redis_illX!H355</f>
        <v>0</v>
      </c>
      <c r="U422" s="10">
        <f>data_redis_illX!I355</f>
        <v>0</v>
      </c>
      <c r="V422" s="10">
        <f>data_redis_illX!J355</f>
        <v>0</v>
      </c>
      <c r="W422" s="10">
        <f>data_redis_illX!K355</f>
        <v>0</v>
      </c>
      <c r="X422" s="10">
        <f>data_redis_illX!L355</f>
        <v>0</v>
      </c>
      <c r="Y422" s="5">
        <f t="shared" si="6"/>
        <v>0</v>
      </c>
    </row>
    <row r="423" spans="3:25" x14ac:dyDescent="0.25">
      <c r="C423" t="s">
        <v>33</v>
      </c>
      <c r="D423">
        <f t="array" ref="D423:K423">(Q1147:Y1147*AE$4:AE$11+Q1510:Y1510*AF$4:AF$11+Q1873:Y1873*AG$4:AG$11)</f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P423" s="2" t="s">
        <v>35</v>
      </c>
      <c r="Q423" s="10">
        <f>data_redis_illX!E356</f>
        <v>0</v>
      </c>
      <c r="R423" s="10">
        <f>data_redis_illX!F356</f>
        <v>0</v>
      </c>
      <c r="S423" s="10">
        <f>data_redis_illX!G356</f>
        <v>0</v>
      </c>
      <c r="T423" s="10">
        <f>data_redis_illX!H356</f>
        <v>0</v>
      </c>
      <c r="U423" s="10">
        <f>data_redis_illX!I356</f>
        <v>0</v>
      </c>
      <c r="V423" s="10">
        <f>data_redis_illX!J356</f>
        <v>0</v>
      </c>
      <c r="W423" s="10">
        <f>data_redis_illX!K356</f>
        <v>0</v>
      </c>
      <c r="X423" s="10">
        <f>data_redis_illX!L356</f>
        <v>0</v>
      </c>
      <c r="Y423" s="5">
        <f t="shared" si="6"/>
        <v>0</v>
      </c>
    </row>
    <row r="424" spans="3:25" x14ac:dyDescent="0.25">
      <c r="C424" t="s">
        <v>34</v>
      </c>
      <c r="D424">
        <f t="array" ref="D424:K424">(Q1148:Y1148*AE$4:AE$11+Q1511:Y1511*AF$4:AF$11+Q1874:Y1874*AG$4:AG$11)</f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P424" s="2" t="s">
        <v>36</v>
      </c>
      <c r="Q424" s="10">
        <f>data_redis_illX!E357</f>
        <v>0</v>
      </c>
      <c r="R424" s="10">
        <f>data_redis_illX!F357</f>
        <v>0</v>
      </c>
      <c r="S424" s="10">
        <f>data_redis_illX!G357</f>
        <v>0</v>
      </c>
      <c r="T424" s="10">
        <f>data_redis_illX!H357</f>
        <v>0</v>
      </c>
      <c r="U424" s="10">
        <f>data_redis_illX!I357</f>
        <v>0</v>
      </c>
      <c r="V424" s="10">
        <f>data_redis_illX!J357</f>
        <v>0</v>
      </c>
      <c r="W424" s="10">
        <f>data_redis_illX!K357</f>
        <v>0</v>
      </c>
      <c r="X424" s="10">
        <f>data_redis_illX!L357</f>
        <v>0</v>
      </c>
      <c r="Y424" s="5">
        <f t="shared" si="6"/>
        <v>0</v>
      </c>
    </row>
    <row r="425" spans="3:25" x14ac:dyDescent="0.25">
      <c r="C425" t="s">
        <v>35</v>
      </c>
      <c r="D425">
        <f t="array" ref="D425:K425">(Q1149:Y1149*AE$4:AE$11+Q1512:Y1512*AF$4:AF$11+Q1875:Y1875*AG$4:AG$11)</f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P425" s="2" t="s">
        <v>37</v>
      </c>
      <c r="Q425" s="10">
        <f>data_redis_illX!E358</f>
        <v>0</v>
      </c>
      <c r="R425" s="10">
        <f>data_redis_illX!F358</f>
        <v>0</v>
      </c>
      <c r="S425" s="10">
        <f>data_redis_illX!G358</f>
        <v>0</v>
      </c>
      <c r="T425" s="10">
        <f>data_redis_illX!H358</f>
        <v>0</v>
      </c>
      <c r="U425" s="10">
        <f>data_redis_illX!I358</f>
        <v>0</v>
      </c>
      <c r="V425" s="10">
        <f>data_redis_illX!J358</f>
        <v>0</v>
      </c>
      <c r="W425" s="10">
        <f>data_redis_illX!K358</f>
        <v>0</v>
      </c>
      <c r="X425" s="10">
        <f>data_redis_illX!L358</f>
        <v>0</v>
      </c>
      <c r="Y425" s="5">
        <f t="shared" si="6"/>
        <v>0</v>
      </c>
    </row>
    <row r="426" spans="3:25" x14ac:dyDescent="0.25">
      <c r="C426" t="s">
        <v>36</v>
      </c>
      <c r="D426">
        <f t="array" ref="D426:K426">(Q1150:Y1150*AE$4:AE$11+Q1513:Y1513*AF$4:AF$11+Q1876:Y1876*AG$4:AG$11)</f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P426" s="2" t="s">
        <v>38</v>
      </c>
      <c r="Q426" s="10">
        <f>data_redis_illX!E359</f>
        <v>0</v>
      </c>
      <c r="R426" s="10">
        <f>data_redis_illX!F359</f>
        <v>0</v>
      </c>
      <c r="S426" s="10">
        <f>data_redis_illX!G359</f>
        <v>0</v>
      </c>
      <c r="T426" s="10">
        <f>data_redis_illX!H359</f>
        <v>0</v>
      </c>
      <c r="U426" s="10">
        <f>data_redis_illX!I359</f>
        <v>0</v>
      </c>
      <c r="V426" s="10">
        <f>data_redis_illX!J359</f>
        <v>0</v>
      </c>
      <c r="W426" s="10">
        <f>data_redis_illX!K359</f>
        <v>0</v>
      </c>
      <c r="X426" s="10">
        <f>data_redis_illX!L359</f>
        <v>0</v>
      </c>
      <c r="Y426" s="5">
        <f t="shared" si="6"/>
        <v>0</v>
      </c>
    </row>
    <row r="427" spans="3:25" x14ac:dyDescent="0.25">
      <c r="C427" t="s">
        <v>37</v>
      </c>
      <c r="D427">
        <f t="array" ref="D427:K427">(Q1151:Y1151*AE$4:AE$11+Q1514:Y1514*AF$4:AF$11+Q1877:Y1877*AG$4:AG$11)</f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P427" s="2" t="s">
        <v>39</v>
      </c>
      <c r="Q427" s="10">
        <f>data_redis_illX!E360</f>
        <v>0</v>
      </c>
      <c r="R427" s="10">
        <f>data_redis_illX!F360</f>
        <v>0</v>
      </c>
      <c r="S427" s="10">
        <f>data_redis_illX!G360</f>
        <v>0</v>
      </c>
      <c r="T427" s="10">
        <f>data_redis_illX!H360</f>
        <v>0</v>
      </c>
      <c r="U427" s="10">
        <f>data_redis_illX!I360</f>
        <v>0</v>
      </c>
      <c r="V427" s="10">
        <f>data_redis_illX!J360</f>
        <v>0</v>
      </c>
      <c r="W427" s="10">
        <f>data_redis_illX!K360</f>
        <v>0</v>
      </c>
      <c r="X427" s="10">
        <f>data_redis_illX!L360</f>
        <v>0</v>
      </c>
      <c r="Y427" s="5">
        <f t="shared" si="6"/>
        <v>0</v>
      </c>
    </row>
    <row r="428" spans="3:25" x14ac:dyDescent="0.25">
      <c r="C428" t="s">
        <v>38</v>
      </c>
      <c r="D428">
        <f t="array" ref="D428:K428">(Q1152:Y1152*AE$4:AE$11+Q1515:Y1515*AF$4:AF$11+Q1878:Y1878*AG$4:AG$11)</f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P428" s="2" t="s">
        <v>40</v>
      </c>
      <c r="Q428" s="10">
        <f>data_redis_illX!E361</f>
        <v>0</v>
      </c>
      <c r="R428" s="10">
        <f>data_redis_illX!F361</f>
        <v>0</v>
      </c>
      <c r="S428" s="10">
        <f>data_redis_illX!G361</f>
        <v>0</v>
      </c>
      <c r="T428" s="10">
        <f>data_redis_illX!H361</f>
        <v>0</v>
      </c>
      <c r="U428" s="10">
        <f>data_redis_illX!I361</f>
        <v>0</v>
      </c>
      <c r="V428" s="10">
        <f>data_redis_illX!J361</f>
        <v>0</v>
      </c>
      <c r="W428" s="10">
        <f>data_redis_illX!K361</f>
        <v>0</v>
      </c>
      <c r="X428" s="10">
        <f>data_redis_illX!L361</f>
        <v>0</v>
      </c>
      <c r="Y428" s="5">
        <f t="shared" si="6"/>
        <v>0</v>
      </c>
    </row>
    <row r="429" spans="3:25" x14ac:dyDescent="0.25">
      <c r="C429" t="s">
        <v>39</v>
      </c>
      <c r="D429">
        <f t="array" ref="D429:K429">(Q1153:Y1153*AE$4:AE$11+Q1516:Y1516*AF$4:AF$11+Q1879:Y1879*AG$4:AG$11)</f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P429" s="2" t="s">
        <v>41</v>
      </c>
      <c r="Q429" s="10">
        <f>data_redis_illX!E362</f>
        <v>0</v>
      </c>
      <c r="R429" s="10">
        <f>data_redis_illX!F362</f>
        <v>0</v>
      </c>
      <c r="S429" s="10">
        <f>data_redis_illX!G362</f>
        <v>0</v>
      </c>
      <c r="T429" s="10">
        <f>data_redis_illX!H362</f>
        <v>0</v>
      </c>
      <c r="U429" s="10">
        <f>data_redis_illX!I362</f>
        <v>0</v>
      </c>
      <c r="V429" s="10">
        <f>data_redis_illX!J362</f>
        <v>0</v>
      </c>
      <c r="W429" s="10">
        <f>data_redis_illX!K362</f>
        <v>0</v>
      </c>
      <c r="X429" s="10">
        <f>data_redis_illX!L362</f>
        <v>0</v>
      </c>
      <c r="Y429" s="5">
        <f t="shared" si="6"/>
        <v>0</v>
      </c>
    </row>
    <row r="430" spans="3:25" x14ac:dyDescent="0.25">
      <c r="C430" t="s">
        <v>40</v>
      </c>
      <c r="D430">
        <f t="array" ref="D430:K430">(Q1154:Y1154*AE$4:AE$11+Q1517:Y1517*AF$4:AF$11+Q1880:Y1880*AG$4:AG$11)</f>
        <v>0</v>
      </c>
      <c r="E430">
        <v>0</v>
      </c>
      <c r="F430">
        <v>1.0658595125614625</v>
      </c>
      <c r="G430">
        <v>1.0626990189470531</v>
      </c>
      <c r="H430">
        <v>0</v>
      </c>
      <c r="I430">
        <v>2.1955655641305416</v>
      </c>
      <c r="J430">
        <v>0</v>
      </c>
      <c r="K430">
        <v>0</v>
      </c>
      <c r="P430" s="2" t="s">
        <v>42</v>
      </c>
      <c r="Q430" s="10">
        <f>data_redis_illX!E363</f>
        <v>0</v>
      </c>
      <c r="R430" s="10">
        <f>data_redis_illX!F363</f>
        <v>0</v>
      </c>
      <c r="S430" s="10">
        <f>data_redis_illX!G363</f>
        <v>0</v>
      </c>
      <c r="T430" s="10">
        <f>data_redis_illX!H363</f>
        <v>0</v>
      </c>
      <c r="U430" s="10">
        <f>data_redis_illX!I363</f>
        <v>0</v>
      </c>
      <c r="V430" s="10">
        <f>data_redis_illX!J363</f>
        <v>0</v>
      </c>
      <c r="W430" s="10">
        <f>data_redis_illX!K363</f>
        <v>0</v>
      </c>
      <c r="X430" s="10">
        <f>data_redis_illX!L363</f>
        <v>0</v>
      </c>
      <c r="Y430" s="5">
        <f t="shared" si="6"/>
        <v>0</v>
      </c>
    </row>
    <row r="431" spans="3:25" x14ac:dyDescent="0.25">
      <c r="C431" t="s">
        <v>41</v>
      </c>
      <c r="D431">
        <f t="array" ref="D431:K431">(Q1155:Y1155*AE$4:AE$11+Q1518:Y1518*AF$4:AF$11+Q1881:Y1881*AG$4:AG$11)</f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P431" s="2" t="s">
        <v>43</v>
      </c>
      <c r="Q431" s="10">
        <f>data_redis_illX!E364</f>
        <v>0</v>
      </c>
      <c r="R431" s="10">
        <f>data_redis_illX!F364</f>
        <v>0</v>
      </c>
      <c r="S431" s="10">
        <f>data_redis_illX!G364</f>
        <v>7.0088888888888885</v>
      </c>
      <c r="T431" s="10">
        <f>data_redis_illX!H364</f>
        <v>7.0120802851247417</v>
      </c>
      <c r="U431" s="10">
        <f>data_redis_illX!I364</f>
        <v>3.008591996284542</v>
      </c>
      <c r="V431" s="10">
        <f>data_redis_illX!J364</f>
        <v>0</v>
      </c>
      <c r="W431" s="10">
        <f>data_redis_illX!K364</f>
        <v>0</v>
      </c>
      <c r="X431" s="10">
        <f>data_redis_illX!L364</f>
        <v>0</v>
      </c>
      <c r="Y431" s="5">
        <f t="shared" si="6"/>
        <v>17.029561170298173</v>
      </c>
    </row>
    <row r="432" spans="3:25" x14ac:dyDescent="0.25">
      <c r="C432" t="s">
        <v>42</v>
      </c>
      <c r="D432">
        <f t="array" ref="D432:K432">(Q1156:Y1156*AE$4:AE$11+Q1519:Y1519*AF$4:AF$11+Q1882:Y1882*AG$4:AG$11)</f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P432" s="2" t="s">
        <v>44</v>
      </c>
      <c r="Q432" s="10">
        <f>data_redis_illX!E365</f>
        <v>0</v>
      </c>
      <c r="R432" s="10">
        <f>data_redis_illX!F365</f>
        <v>0</v>
      </c>
      <c r="S432" s="10">
        <f>data_redis_illX!G365</f>
        <v>0</v>
      </c>
      <c r="T432" s="10">
        <f>data_redis_illX!H365</f>
        <v>0</v>
      </c>
      <c r="U432" s="10">
        <f>data_redis_illX!I365</f>
        <v>0</v>
      </c>
      <c r="V432" s="10">
        <f>data_redis_illX!J365</f>
        <v>0</v>
      </c>
      <c r="W432" s="10">
        <f>data_redis_illX!K365</f>
        <v>0</v>
      </c>
      <c r="X432" s="10">
        <f>data_redis_illX!L365</f>
        <v>0</v>
      </c>
      <c r="Y432" s="5">
        <f t="shared" si="6"/>
        <v>0</v>
      </c>
    </row>
    <row r="433" spans="1:25" x14ac:dyDescent="0.25">
      <c r="C433" t="s">
        <v>43</v>
      </c>
      <c r="D433">
        <f t="array" ref="D433:K433">(Q1157:Y1157*AE$4:AE$11+Q1520:Y1520*AF$4:AF$11+Q1883:Y1883*AG$4:AG$11)</f>
        <v>0</v>
      </c>
      <c r="E433">
        <v>0</v>
      </c>
      <c r="F433">
        <v>118.3267983261921</v>
      </c>
      <c r="G433">
        <v>115.97575969488442</v>
      </c>
      <c r="H433">
        <v>40.717709810764568</v>
      </c>
      <c r="I433">
        <v>2.1955655641305416</v>
      </c>
      <c r="J433">
        <v>0</v>
      </c>
      <c r="K433">
        <v>2.1935345136549351</v>
      </c>
      <c r="M433" t="s">
        <v>104</v>
      </c>
      <c r="N433" t="s">
        <v>116</v>
      </c>
      <c r="O433" t="s">
        <v>46</v>
      </c>
      <c r="P433" s="2" t="s">
        <v>12</v>
      </c>
      <c r="Q433" s="10">
        <f>data_redis_illX!E366</f>
        <v>0</v>
      </c>
      <c r="R433" s="10">
        <f>data_redis_illX!F366</f>
        <v>0</v>
      </c>
      <c r="S433" s="10">
        <f>data_redis_illX!G366</f>
        <v>3.0948340548340547</v>
      </c>
      <c r="T433" s="10">
        <f>data_redis_illX!H366</f>
        <v>5.4390578104483209</v>
      </c>
      <c r="U433" s="10">
        <f>data_redis_illX!I366</f>
        <v>1.02252799873723</v>
      </c>
      <c r="V433" s="10">
        <f>data_redis_illX!J366</f>
        <v>0</v>
      </c>
      <c r="W433" s="10">
        <f>data_redis_illX!K366</f>
        <v>0</v>
      </c>
      <c r="X433" s="10">
        <f>data_redis_illX!L366</f>
        <v>0</v>
      </c>
      <c r="Y433" s="5">
        <f t="shared" si="6"/>
        <v>9.5564198640196061</v>
      </c>
    </row>
    <row r="434" spans="1:25" x14ac:dyDescent="0.25">
      <c r="C434" t="s">
        <v>44</v>
      </c>
      <c r="D434">
        <f t="array" ref="D434:K434">(Q1158:Y1158*AE$4:AE$11+Q1521:Y1521*AF$4:AF$11+Q1884:Y1884*AG$4:AG$11)</f>
        <v>0</v>
      </c>
      <c r="E434">
        <v>0</v>
      </c>
      <c r="F434">
        <v>1.0658595125614625</v>
      </c>
      <c r="G434">
        <v>2.1253980378941062</v>
      </c>
      <c r="H434">
        <v>0</v>
      </c>
      <c r="I434">
        <v>0</v>
      </c>
      <c r="J434">
        <v>0</v>
      </c>
      <c r="K434">
        <v>0</v>
      </c>
      <c r="P434" s="2" t="s">
        <v>13</v>
      </c>
      <c r="Q434" s="10">
        <f>data_redis_illX!E367</f>
        <v>0</v>
      </c>
      <c r="R434" s="10">
        <f>data_redis_illX!F367</f>
        <v>0</v>
      </c>
      <c r="S434" s="10">
        <f>data_redis_illX!G367</f>
        <v>18.569004329004329</v>
      </c>
      <c r="T434" s="10">
        <f>data_redis_illX!H367</f>
        <v>18.492796555524293</v>
      </c>
      <c r="U434" s="10">
        <f>data_redis_illX!I367</f>
        <v>4.09011199494892</v>
      </c>
      <c r="V434" s="10">
        <f>data_redis_illX!J367</f>
        <v>0</v>
      </c>
      <c r="W434" s="10">
        <f>data_redis_illX!K367</f>
        <v>0</v>
      </c>
      <c r="X434" s="10">
        <f>data_redis_illX!L367</f>
        <v>0</v>
      </c>
      <c r="Y434" s="5">
        <f t="shared" si="6"/>
        <v>41.151912879477543</v>
      </c>
    </row>
    <row r="435" spans="1:25" x14ac:dyDescent="0.25">
      <c r="A435">
        <v>2</v>
      </c>
      <c r="B435" t="s">
        <v>46</v>
      </c>
      <c r="C435" t="s">
        <v>12</v>
      </c>
      <c r="D435">
        <f t="array" ref="D435:K435">(Q1159:Y1159*AE$4:AE$11+Q1522:Y1522*AF$4:AF$11+Q1885:Y1885*AG$4:AG$11)</f>
        <v>0</v>
      </c>
      <c r="E435">
        <v>0</v>
      </c>
      <c r="F435">
        <v>10.953769061498987</v>
      </c>
      <c r="G435">
        <v>13.844471512826106</v>
      </c>
      <c r="H435">
        <v>2.3984815439693841</v>
      </c>
      <c r="I435">
        <v>6.0662177328843998E-2</v>
      </c>
      <c r="J435">
        <v>0</v>
      </c>
      <c r="K435">
        <v>0</v>
      </c>
      <c r="P435" s="2" t="s">
        <v>14</v>
      </c>
      <c r="Q435" s="10">
        <f>data_redis_illX!E368</f>
        <v>0</v>
      </c>
      <c r="R435" s="10">
        <f>data_redis_illX!F368</f>
        <v>0</v>
      </c>
      <c r="S435" s="10">
        <f>data_redis_illX!G368</f>
        <v>2.0632227032227033</v>
      </c>
      <c r="T435" s="10">
        <f>data_redis_illX!H368</f>
        <v>1.0878115620896642</v>
      </c>
      <c r="U435" s="10">
        <f>data_redis_illX!I368</f>
        <v>0</v>
      </c>
      <c r="V435" s="10">
        <f>data_redis_illX!J368</f>
        <v>0</v>
      </c>
      <c r="W435" s="10">
        <f>data_redis_illX!K368</f>
        <v>0</v>
      </c>
      <c r="X435" s="10">
        <f>data_redis_illX!L368</f>
        <v>0</v>
      </c>
      <c r="Y435" s="5">
        <f t="shared" si="6"/>
        <v>3.1510342653123677</v>
      </c>
    </row>
    <row r="436" spans="1:25" x14ac:dyDescent="0.25">
      <c r="C436" t="s">
        <v>13</v>
      </c>
      <c r="D436">
        <f t="array" ref="D436:K436">(Q1160:Y1160*AE$4:AE$11+Q1523:Y1523*AF$4:AF$11+Q1886:Y1886*AG$4:AG$11)</f>
        <v>0</v>
      </c>
      <c r="E436">
        <v>0</v>
      </c>
      <c r="F436">
        <v>188.80319509815723</v>
      </c>
      <c r="G436">
        <v>141.91995125104904</v>
      </c>
      <c r="H436">
        <v>43.522185597090356</v>
      </c>
      <c r="I436">
        <v>6.0662177328843998E-2</v>
      </c>
      <c r="J436">
        <v>0</v>
      </c>
      <c r="K436">
        <v>0</v>
      </c>
      <c r="P436" s="2" t="s">
        <v>15</v>
      </c>
      <c r="Q436" s="10">
        <f>data_redis_illX!E369</f>
        <v>0</v>
      </c>
      <c r="R436" s="10">
        <f>data_redis_illX!F369</f>
        <v>0</v>
      </c>
      <c r="S436" s="10">
        <f>data_redis_illX!G369</f>
        <v>0</v>
      </c>
      <c r="T436" s="10">
        <f>data_redis_illX!H369</f>
        <v>0</v>
      </c>
      <c r="U436" s="10">
        <f>data_redis_illX!I369</f>
        <v>1.02252799873723</v>
      </c>
      <c r="V436" s="10">
        <f>data_redis_illX!J369</f>
        <v>1.0062429057888762</v>
      </c>
      <c r="W436" s="10">
        <f>data_redis_illX!K369</f>
        <v>0</v>
      </c>
      <c r="X436" s="10">
        <f>data_redis_illX!L369</f>
        <v>0</v>
      </c>
      <c r="Y436" s="5">
        <f t="shared" si="6"/>
        <v>2.0287709045261062</v>
      </c>
    </row>
    <row r="437" spans="1:25" x14ac:dyDescent="0.25">
      <c r="C437" t="s">
        <v>14</v>
      </c>
      <c r="D437">
        <f t="array" ref="D437:K437">(Q1161:Y1161*AE$4:AE$11+Q1524:Y1524*AF$4:AF$11+Q1887:Y1887*AG$4:AG$11)</f>
        <v>0</v>
      </c>
      <c r="E437">
        <v>0</v>
      </c>
      <c r="F437">
        <v>1.2813875255752067</v>
      </c>
      <c r="G437">
        <v>1.0768089290518705</v>
      </c>
      <c r="H437">
        <v>3.0474024973052236</v>
      </c>
      <c r="I437">
        <v>6.0662177328843998E-2</v>
      </c>
      <c r="J437">
        <v>0</v>
      </c>
      <c r="K437">
        <v>0</v>
      </c>
      <c r="P437" s="2" t="s">
        <v>16</v>
      </c>
      <c r="Q437" s="10">
        <f>data_redis_illX!E370</f>
        <v>0</v>
      </c>
      <c r="R437" s="10">
        <f>data_redis_illX!F370</f>
        <v>0</v>
      </c>
      <c r="S437" s="10">
        <f>data_redis_illX!G370</f>
        <v>3.0948340548340547</v>
      </c>
      <c r="T437" s="10">
        <f>data_redis_illX!H370</f>
        <v>1.0878115620896642</v>
      </c>
      <c r="U437" s="10">
        <f>data_redis_illX!I370</f>
        <v>4.09011199494892</v>
      </c>
      <c r="V437" s="10">
        <f>data_redis_illX!J370</f>
        <v>0</v>
      </c>
      <c r="W437" s="10">
        <f>data_redis_illX!K370</f>
        <v>0</v>
      </c>
      <c r="X437" s="10">
        <f>data_redis_illX!L370</f>
        <v>0</v>
      </c>
      <c r="Y437" s="5">
        <f t="shared" si="6"/>
        <v>8.2727576118726383</v>
      </c>
    </row>
    <row r="438" spans="1:25" x14ac:dyDescent="0.25">
      <c r="C438" t="s">
        <v>15</v>
      </c>
      <c r="D438">
        <f t="array" ref="D438:K438">(Q1162:Y1162*AE$4:AE$11+Q1525:Y1525*AF$4:AF$11+Q1888:Y1888*AG$4:AG$11)</f>
        <v>0</v>
      </c>
      <c r="E438">
        <v>0</v>
      </c>
      <c r="F438">
        <v>8.3496772809420872</v>
      </c>
      <c r="G438">
        <v>0</v>
      </c>
      <c r="H438">
        <v>0</v>
      </c>
      <c r="I438">
        <v>6.0662177328843998E-2</v>
      </c>
      <c r="J438">
        <v>0</v>
      </c>
      <c r="K438">
        <v>0</v>
      </c>
      <c r="P438" s="2" t="s">
        <v>17</v>
      </c>
      <c r="Q438" s="10">
        <f>data_redis_illX!E371</f>
        <v>0</v>
      </c>
      <c r="R438" s="10">
        <f>data_redis_illX!F371</f>
        <v>0</v>
      </c>
      <c r="S438" s="10">
        <f>data_redis_illX!G371</f>
        <v>0</v>
      </c>
      <c r="T438" s="10">
        <f>data_redis_illX!H371</f>
        <v>0</v>
      </c>
      <c r="U438" s="10">
        <f>data_redis_illX!I371</f>
        <v>0</v>
      </c>
      <c r="V438" s="10">
        <f>data_redis_illX!J371</f>
        <v>0</v>
      </c>
      <c r="W438" s="10">
        <f>data_redis_illX!K371</f>
        <v>0</v>
      </c>
      <c r="X438" s="10">
        <f>data_redis_illX!L371</f>
        <v>0</v>
      </c>
      <c r="Y438" s="5">
        <f t="shared" si="6"/>
        <v>0</v>
      </c>
    </row>
    <row r="439" spans="1:25" x14ac:dyDescent="0.25">
      <c r="C439" t="s">
        <v>16</v>
      </c>
      <c r="D439">
        <f t="array" ref="D439:K439">(Q1163:Y1163*AE$4:AE$11+Q1526:Y1526*AF$4:AF$11+Q1889:Y1889*AG$4:AG$11)</f>
        <v>0</v>
      </c>
      <c r="E439">
        <v>0</v>
      </c>
      <c r="F439">
        <v>25.199328032569735</v>
      </c>
      <c r="G439">
        <v>29.325346235872104</v>
      </c>
      <c r="H439">
        <v>16.981846746654643</v>
      </c>
      <c r="I439">
        <v>6.0662177328843998E-2</v>
      </c>
      <c r="J439">
        <v>0</v>
      </c>
      <c r="K439">
        <v>0</v>
      </c>
      <c r="P439" s="2" t="s">
        <v>18</v>
      </c>
      <c r="Q439" s="10">
        <f>data_redis_illX!E372</f>
        <v>0</v>
      </c>
      <c r="R439" s="10">
        <f>data_redis_illX!F372</f>
        <v>0</v>
      </c>
      <c r="S439" s="10">
        <f>data_redis_illX!G372</f>
        <v>0</v>
      </c>
      <c r="T439" s="10">
        <f>data_redis_illX!H372</f>
        <v>3.2634346862689929</v>
      </c>
      <c r="U439" s="10">
        <f>data_redis_illX!I372</f>
        <v>1.02252799873723</v>
      </c>
      <c r="V439" s="10">
        <f>data_redis_illX!J372</f>
        <v>0</v>
      </c>
      <c r="W439" s="10">
        <f>data_redis_illX!K372</f>
        <v>0</v>
      </c>
      <c r="X439" s="10">
        <f>data_redis_illX!L372</f>
        <v>0</v>
      </c>
      <c r="Y439" s="5">
        <f t="shared" si="6"/>
        <v>4.2859626850062229</v>
      </c>
    </row>
    <row r="440" spans="1:25" x14ac:dyDescent="0.25">
      <c r="C440" t="s">
        <v>17</v>
      </c>
      <c r="D440">
        <f t="array" ref="D440:K440">(Q1164:Y1164*AE$4:AE$11+Q1527:Y1527*AF$4:AF$11+Q1890:Y1890*AG$4:AG$11)</f>
        <v>0</v>
      </c>
      <c r="E440">
        <v>0</v>
      </c>
      <c r="F440">
        <v>1.3358772557436998</v>
      </c>
      <c r="G440">
        <v>1.2764659831666325</v>
      </c>
      <c r="H440">
        <v>0</v>
      </c>
      <c r="I440">
        <v>6.0662177328843998E-2</v>
      </c>
      <c r="J440">
        <v>0</v>
      </c>
      <c r="K440">
        <v>0</v>
      </c>
      <c r="P440" s="2" t="s">
        <v>19</v>
      </c>
      <c r="Q440" s="10">
        <f>data_redis_illX!E373</f>
        <v>0</v>
      </c>
      <c r="R440" s="10">
        <f>data_redis_illX!F373</f>
        <v>0</v>
      </c>
      <c r="S440" s="10">
        <f>data_redis_illX!G373</f>
        <v>5.158056758056758</v>
      </c>
      <c r="T440" s="10">
        <f>data_redis_illX!H373</f>
        <v>7.6146809346276498</v>
      </c>
      <c r="U440" s="10">
        <f>data_redis_illX!I373</f>
        <v>1.02252799873723</v>
      </c>
      <c r="V440" s="10">
        <f>data_redis_illX!J373</f>
        <v>0</v>
      </c>
      <c r="W440" s="10">
        <f>data_redis_illX!K373</f>
        <v>0</v>
      </c>
      <c r="X440" s="10">
        <f>data_redis_illX!L373</f>
        <v>0</v>
      </c>
      <c r="Y440" s="5">
        <f t="shared" si="6"/>
        <v>13.795265691421639</v>
      </c>
    </row>
    <row r="441" spans="1:25" x14ac:dyDescent="0.25">
      <c r="C441" t="s">
        <v>18</v>
      </c>
      <c r="D441">
        <f t="array" ref="D441:K441">(Q1165:Y1165*AE$4:AE$11+Q1528:Y1528*AF$4:AF$11+Q1891:Y1891*AG$4:AG$11)</f>
        <v>0</v>
      </c>
      <c r="E441">
        <v>0</v>
      </c>
      <c r="F441">
        <v>18.683410944356716</v>
      </c>
      <c r="G441">
        <v>8.1790132989915527</v>
      </c>
      <c r="H441">
        <v>9.2762426986991198</v>
      </c>
      <c r="I441">
        <v>6.0662177328843998E-2</v>
      </c>
      <c r="J441">
        <v>0</v>
      </c>
      <c r="K441">
        <v>0</v>
      </c>
      <c r="P441" s="2" t="s">
        <v>20</v>
      </c>
      <c r="Q441" s="10">
        <f>data_redis_illX!E374</f>
        <v>0</v>
      </c>
      <c r="R441" s="10">
        <f>data_redis_illX!F374</f>
        <v>0</v>
      </c>
      <c r="S441" s="10">
        <f>data_redis_illX!G374</f>
        <v>7.2212794612794609</v>
      </c>
      <c r="T441" s="10">
        <f>data_redis_illX!H374</f>
        <v>7.6146809346276498</v>
      </c>
      <c r="U441" s="10">
        <f>data_redis_illX!I374</f>
        <v>3.06758399621169</v>
      </c>
      <c r="V441" s="10">
        <f>data_redis_illX!J374</f>
        <v>1.0062429057888762</v>
      </c>
      <c r="W441" s="10">
        <f>data_redis_illX!K374</f>
        <v>0</v>
      </c>
      <c r="X441" s="10">
        <f>data_redis_illX!L374</f>
        <v>0</v>
      </c>
      <c r="Y441" s="5">
        <f t="shared" si="6"/>
        <v>18.90978729790768</v>
      </c>
    </row>
    <row r="442" spans="1:25" x14ac:dyDescent="0.25">
      <c r="C442" t="s">
        <v>19</v>
      </c>
      <c r="D442">
        <f t="array" ref="D442:K442">(Q1166:Y1166*AE$4:AE$11+Q1529:Y1529*AF$4:AF$11+Q1892:Y1892*AG$4:AG$11)</f>
        <v>0</v>
      </c>
      <c r="E442">
        <v>0</v>
      </c>
      <c r="F442">
        <v>31.593092659683762</v>
      </c>
      <c r="G442">
        <v>63.360245048289123</v>
      </c>
      <c r="H442">
        <v>14.588091533190278</v>
      </c>
      <c r="I442">
        <v>4.451793305589927</v>
      </c>
      <c r="J442">
        <v>0</v>
      </c>
      <c r="K442">
        <v>0</v>
      </c>
      <c r="P442" s="2" t="s">
        <v>21</v>
      </c>
      <c r="Q442" s="10">
        <f>data_redis_illX!E375</f>
        <v>0</v>
      </c>
      <c r="R442" s="10">
        <f>data_redis_illX!F375</f>
        <v>0</v>
      </c>
      <c r="S442" s="10">
        <f>data_redis_illX!G375</f>
        <v>2.0632227032227033</v>
      </c>
      <c r="T442" s="10">
        <f>data_redis_illX!H375</f>
        <v>0</v>
      </c>
      <c r="U442" s="10">
        <f>data_redis_illX!I375</f>
        <v>1.02252799873723</v>
      </c>
      <c r="V442" s="10">
        <f>data_redis_illX!J375</f>
        <v>0</v>
      </c>
      <c r="W442" s="10">
        <f>data_redis_illX!K375</f>
        <v>0</v>
      </c>
      <c r="X442" s="10">
        <f>data_redis_illX!L375</f>
        <v>0</v>
      </c>
      <c r="Y442" s="5">
        <f t="shared" si="6"/>
        <v>3.0857507019599333</v>
      </c>
    </row>
    <row r="443" spans="1:25" x14ac:dyDescent="0.25">
      <c r="C443" t="s">
        <v>20</v>
      </c>
      <c r="D443">
        <f t="array" ref="D443:K443">(Q1167:Y1167*AE$4:AE$11+Q1530:Y1530*AF$4:AF$11+Q1893:Y1893*AG$4:AG$11)</f>
        <v>0</v>
      </c>
      <c r="E443">
        <v>0</v>
      </c>
      <c r="F443">
        <v>18.022058816865869</v>
      </c>
      <c r="G443">
        <v>40.976823009418212</v>
      </c>
      <c r="H443">
        <v>12.739929807869746</v>
      </c>
      <c r="I443">
        <v>6.0662177328843998E-2</v>
      </c>
      <c r="J443">
        <v>0</v>
      </c>
      <c r="K443">
        <v>0</v>
      </c>
      <c r="P443" s="2" t="s">
        <v>22</v>
      </c>
      <c r="Q443" s="10">
        <f>data_redis_illX!E376</f>
        <v>0</v>
      </c>
      <c r="R443" s="10">
        <f>data_redis_illX!F376</f>
        <v>0</v>
      </c>
      <c r="S443" s="10">
        <f>data_redis_illX!G376</f>
        <v>2.0632227032227033</v>
      </c>
      <c r="T443" s="10">
        <f>data_redis_illX!H376</f>
        <v>1.0878115620896642</v>
      </c>
      <c r="U443" s="10">
        <f>data_redis_illX!I376</f>
        <v>1.02252799873723</v>
      </c>
      <c r="V443" s="10">
        <f>data_redis_illX!J376</f>
        <v>0</v>
      </c>
      <c r="W443" s="10">
        <f>data_redis_illX!K376</f>
        <v>0</v>
      </c>
      <c r="X443" s="10">
        <f>data_redis_illX!L376</f>
        <v>0</v>
      </c>
      <c r="Y443" s="5">
        <f t="shared" si="6"/>
        <v>4.1735622640495977</v>
      </c>
    </row>
    <row r="444" spans="1:25" x14ac:dyDescent="0.25">
      <c r="C444" t="s">
        <v>21</v>
      </c>
      <c r="D444">
        <f t="array" ref="D444:K444">(Q1168:Y1168*AE$4:AE$11+Q1531:Y1531*AF$4:AF$11+Q1894:Y1894*AG$4:AG$11)</f>
        <v>0</v>
      </c>
      <c r="E444">
        <v>0</v>
      </c>
      <c r="F444">
        <v>3.2241271786412602</v>
      </c>
      <c r="G444">
        <v>0</v>
      </c>
      <c r="H444">
        <v>1.0604792346962242</v>
      </c>
      <c r="I444">
        <v>6.0662177328843998E-2</v>
      </c>
      <c r="J444">
        <v>0</v>
      </c>
      <c r="K444">
        <v>0</v>
      </c>
      <c r="P444" s="2" t="s">
        <v>23</v>
      </c>
      <c r="Q444" s="10">
        <f>data_redis_illX!E377</f>
        <v>0</v>
      </c>
      <c r="R444" s="10">
        <f>data_redis_illX!F377</f>
        <v>0</v>
      </c>
      <c r="S444" s="10">
        <f>data_redis_illX!G377</f>
        <v>0</v>
      </c>
      <c r="T444" s="10">
        <f>data_redis_illX!H377</f>
        <v>0</v>
      </c>
      <c r="U444" s="10">
        <f>data_redis_illX!I377</f>
        <v>0</v>
      </c>
      <c r="V444" s="10">
        <f>data_redis_illX!J377</f>
        <v>0</v>
      </c>
      <c r="W444" s="10">
        <f>data_redis_illX!K377</f>
        <v>0</v>
      </c>
      <c r="X444" s="10">
        <f>data_redis_illX!L377</f>
        <v>0</v>
      </c>
      <c r="Y444" s="5">
        <f t="shared" si="6"/>
        <v>0</v>
      </c>
    </row>
    <row r="445" spans="1:25" x14ac:dyDescent="0.25">
      <c r="C445" t="s">
        <v>22</v>
      </c>
      <c r="D445">
        <f t="array" ref="D445:K445">(Q1169:Y1169*AE$4:AE$11+Q1532:Y1532*AF$4:AF$11+Q1895:Y1895*AG$4:AG$11)</f>
        <v>0</v>
      </c>
      <c r="E445">
        <v>0</v>
      </c>
      <c r="F445">
        <v>1.2813875255752067</v>
      </c>
      <c r="G445">
        <v>6.9025473158249211</v>
      </c>
      <c r="H445">
        <v>1.199240771984692</v>
      </c>
      <c r="I445">
        <v>6.0662177328843998E-2</v>
      </c>
      <c r="J445">
        <v>0</v>
      </c>
      <c r="K445">
        <v>0</v>
      </c>
      <c r="P445" s="2" t="s">
        <v>24</v>
      </c>
      <c r="Q445" s="10">
        <f>data_redis_illX!E378</f>
        <v>0</v>
      </c>
      <c r="R445" s="10">
        <f>data_redis_illX!F378</f>
        <v>0</v>
      </c>
      <c r="S445" s="10">
        <f>data_redis_illX!G378</f>
        <v>1.0316113516113516</v>
      </c>
      <c r="T445" s="10">
        <f>data_redis_illX!H378</f>
        <v>0</v>
      </c>
      <c r="U445" s="10">
        <f>data_redis_illX!I378</f>
        <v>0</v>
      </c>
      <c r="V445" s="10">
        <f>data_redis_illX!J378</f>
        <v>0</v>
      </c>
      <c r="W445" s="10">
        <f>data_redis_illX!K378</f>
        <v>0</v>
      </c>
      <c r="X445" s="10">
        <f>data_redis_illX!L378</f>
        <v>0</v>
      </c>
      <c r="Y445" s="5">
        <f t="shared" si="6"/>
        <v>1.0316113516113516</v>
      </c>
    </row>
    <row r="446" spans="1:25" x14ac:dyDescent="0.25">
      <c r="C446" t="s">
        <v>23</v>
      </c>
      <c r="D446">
        <f t="array" ref="D446:K446">(Q1170:Y1170*AE$4:AE$11+Q1533:Y1533*AF$4:AF$11+Q1896:Y1896*AG$4:AG$11)</f>
        <v>0</v>
      </c>
      <c r="E446">
        <v>0</v>
      </c>
      <c r="F446">
        <v>1.2813875255752067</v>
      </c>
      <c r="G446">
        <v>2.9128691933865252</v>
      </c>
      <c r="H446">
        <v>3.0474024973052236</v>
      </c>
      <c r="I446">
        <v>6.0662177328843998E-2</v>
      </c>
      <c r="J446">
        <v>0</v>
      </c>
      <c r="K446">
        <v>0</v>
      </c>
      <c r="P446" s="2" t="s">
        <v>25</v>
      </c>
      <c r="Q446" s="10">
        <f>data_redis_illX!E379</f>
        <v>0</v>
      </c>
      <c r="R446" s="10">
        <f>data_redis_illX!F379</f>
        <v>0</v>
      </c>
      <c r="S446" s="10">
        <f>data_redis_illX!G379</f>
        <v>1.0316113516113516</v>
      </c>
      <c r="T446" s="10">
        <f>data_redis_illX!H379</f>
        <v>1.0878115620896642</v>
      </c>
      <c r="U446" s="10">
        <f>data_redis_illX!I379</f>
        <v>1.02252799873723</v>
      </c>
      <c r="V446" s="10">
        <f>data_redis_illX!J379</f>
        <v>0</v>
      </c>
      <c r="W446" s="10">
        <f>data_redis_illX!K379</f>
        <v>0</v>
      </c>
      <c r="X446" s="10">
        <f>data_redis_illX!L379</f>
        <v>0</v>
      </c>
      <c r="Y446" s="5">
        <f t="shared" si="6"/>
        <v>3.1419509124382459</v>
      </c>
    </row>
    <row r="447" spans="1:25" x14ac:dyDescent="0.25">
      <c r="C447" t="s">
        <v>24</v>
      </c>
      <c r="D447">
        <f t="array" ref="D447:K447">(Q1171:Y1171*AE$4:AE$11+Q1534:Y1534*AF$4:AF$11+Q1897:Y1897*AG$4:AG$11)</f>
        <v>0</v>
      </c>
      <c r="E447">
        <v>0</v>
      </c>
      <c r="F447">
        <v>3.2241271786412602</v>
      </c>
      <c r="G447">
        <v>1.2764659831666325</v>
      </c>
      <c r="H447">
        <v>0</v>
      </c>
      <c r="I447">
        <v>6.0662177328843998E-2</v>
      </c>
      <c r="J447">
        <v>0</v>
      </c>
      <c r="K447">
        <v>0</v>
      </c>
      <c r="P447" s="2" t="s">
        <v>26</v>
      </c>
      <c r="Q447" s="10">
        <f>data_redis_illX!E380</f>
        <v>0</v>
      </c>
      <c r="R447" s="10">
        <f>data_redis_illX!F380</f>
        <v>0</v>
      </c>
      <c r="S447" s="10">
        <f>data_redis_illX!G380</f>
        <v>1.0316113516113516</v>
      </c>
      <c r="T447" s="10">
        <f>data_redis_illX!H380</f>
        <v>0</v>
      </c>
      <c r="U447" s="10">
        <f>data_redis_illX!I380</f>
        <v>0</v>
      </c>
      <c r="V447" s="10">
        <f>data_redis_illX!J380</f>
        <v>0</v>
      </c>
      <c r="W447" s="10">
        <f>data_redis_illX!K380</f>
        <v>0</v>
      </c>
      <c r="X447" s="10">
        <f>data_redis_illX!L380</f>
        <v>0</v>
      </c>
      <c r="Y447" s="5">
        <f t="shared" si="6"/>
        <v>1.0316113516113516</v>
      </c>
    </row>
    <row r="448" spans="1:25" x14ac:dyDescent="0.25">
      <c r="C448" t="s">
        <v>25</v>
      </c>
      <c r="D448">
        <f t="array" ref="D448:K448">(Q1172:Y1172*AE$4:AE$11+Q1535:Y1535*AF$4:AF$11+Q1898:Y1898*AG$4:AG$11)</f>
        <v>0</v>
      </c>
      <c r="E448">
        <v>0</v>
      </c>
      <c r="F448">
        <v>4.5055147042164672</v>
      </c>
      <c r="G448">
        <v>5.8257383867730503</v>
      </c>
      <c r="H448">
        <v>3.5977223159540759</v>
      </c>
      <c r="I448">
        <v>6.0662177328843998E-2</v>
      </c>
      <c r="J448">
        <v>0</v>
      </c>
      <c r="K448">
        <v>0</v>
      </c>
      <c r="P448" s="2" t="s">
        <v>27</v>
      </c>
      <c r="Q448" s="10">
        <f>data_redis_illX!E381</f>
        <v>0</v>
      </c>
      <c r="R448" s="10">
        <f>data_redis_illX!F381</f>
        <v>0</v>
      </c>
      <c r="S448" s="10">
        <f>data_redis_illX!G381</f>
        <v>0</v>
      </c>
      <c r="T448" s="10">
        <f>data_redis_illX!H381</f>
        <v>0</v>
      </c>
      <c r="U448" s="10">
        <f>data_redis_illX!I381</f>
        <v>1.02252799873723</v>
      </c>
      <c r="V448" s="10">
        <f>data_redis_illX!J381</f>
        <v>0</v>
      </c>
      <c r="W448" s="10">
        <f>data_redis_illX!K381</f>
        <v>0</v>
      </c>
      <c r="X448" s="10">
        <f>data_redis_illX!L381</f>
        <v>0</v>
      </c>
      <c r="Y448" s="5">
        <f t="shared" si="6"/>
        <v>1.02252799873723</v>
      </c>
    </row>
    <row r="449" spans="3:25" x14ac:dyDescent="0.25">
      <c r="C449" t="s">
        <v>26</v>
      </c>
      <c r="D449">
        <f t="array" ref="D449:K449">(Q1173:Y1173*AE$4:AE$11+Q1536:Y1536*AF$4:AF$11+Q1899:Y1899*AG$4:AG$11)</f>
        <v>0</v>
      </c>
      <c r="E449">
        <v>0</v>
      </c>
      <c r="F449">
        <v>0</v>
      </c>
      <c r="G449">
        <v>1.2764659831666325</v>
      </c>
      <c r="H449">
        <v>0</v>
      </c>
      <c r="I449">
        <v>6.0662177328843998E-2</v>
      </c>
      <c r="J449">
        <v>0</v>
      </c>
      <c r="K449">
        <v>0</v>
      </c>
      <c r="P449" s="2" t="s">
        <v>28</v>
      </c>
      <c r="Q449" s="10">
        <f>data_redis_illX!E382</f>
        <v>0</v>
      </c>
      <c r="R449" s="10">
        <f>data_redis_illX!F382</f>
        <v>0</v>
      </c>
      <c r="S449" s="10">
        <f>data_redis_illX!G382</f>
        <v>18.569004329004329</v>
      </c>
      <c r="T449" s="10">
        <f>data_redis_illX!H382</f>
        <v>27.195289052241606</v>
      </c>
      <c r="U449" s="10">
        <f>data_redis_illX!I382</f>
        <v>9.2027519886350699</v>
      </c>
      <c r="V449" s="10">
        <f>data_redis_illX!J382</f>
        <v>1.0062429057888762</v>
      </c>
      <c r="W449" s="10">
        <f>data_redis_illX!K382</f>
        <v>0</v>
      </c>
      <c r="X449" s="10">
        <f>data_redis_illX!L382</f>
        <v>0</v>
      </c>
      <c r="Y449" s="5">
        <f t="shared" si="6"/>
        <v>55.97328827566988</v>
      </c>
    </row>
    <row r="450" spans="3:25" x14ac:dyDescent="0.25">
      <c r="C450" t="s">
        <v>27</v>
      </c>
      <c r="D450">
        <f t="array" ref="D450:K450">(Q1174:Y1174*AE$4:AE$11+Q1537:Y1537*AF$4:AF$11+Q1900:Y1900*AG$4:AG$11)</f>
        <v>0</v>
      </c>
      <c r="E450">
        <v>0</v>
      </c>
      <c r="F450">
        <v>21.907538122997973</v>
      </c>
      <c r="G450">
        <v>18.753681143485785</v>
      </c>
      <c r="H450">
        <v>4.2466432692899154</v>
      </c>
      <c r="I450">
        <v>6.0662177328843998E-2</v>
      </c>
      <c r="J450">
        <v>0</v>
      </c>
      <c r="K450">
        <v>0</v>
      </c>
      <c r="P450" s="2" t="s">
        <v>29</v>
      </c>
      <c r="Q450" s="10">
        <f>data_redis_illX!E383</f>
        <v>0</v>
      </c>
      <c r="R450" s="10">
        <f>data_redis_illX!F383</f>
        <v>0</v>
      </c>
      <c r="S450" s="10">
        <f>data_redis_illX!G383</f>
        <v>22.695449735449735</v>
      </c>
      <c r="T450" s="10">
        <f>data_redis_illX!H383</f>
        <v>22.844042803882949</v>
      </c>
      <c r="U450" s="10">
        <f>data_redis_illX!I383</f>
        <v>9.2027519886350699</v>
      </c>
      <c r="V450" s="10">
        <f>data_redis_illX!J383</f>
        <v>0</v>
      </c>
      <c r="W450" s="10">
        <f>data_redis_illX!K383</f>
        <v>0</v>
      </c>
      <c r="X450" s="10">
        <f>data_redis_illX!L383</f>
        <v>0</v>
      </c>
      <c r="Y450" s="5">
        <f t="shared" si="6"/>
        <v>54.742244527967756</v>
      </c>
    </row>
    <row r="451" spans="3:25" x14ac:dyDescent="0.25">
      <c r="C451" t="s">
        <v>28</v>
      </c>
      <c r="D451">
        <f t="array" ref="D451:K451">(Q1175:Y1175*AE$4:AE$11+Q1538:Y1538*AF$4:AF$11+Q1901:Y1901*AG$4:AG$11)</f>
        <v>0</v>
      </c>
      <c r="E451">
        <v>0</v>
      </c>
      <c r="F451">
        <v>189.16215711904064</v>
      </c>
      <c r="G451">
        <v>253.11441434306369</v>
      </c>
      <c r="H451">
        <v>60.414883870068053</v>
      </c>
      <c r="I451">
        <v>6.0662177328843998E-2</v>
      </c>
      <c r="J451">
        <v>0</v>
      </c>
      <c r="K451">
        <v>0</v>
      </c>
      <c r="P451" s="2" t="s">
        <v>30</v>
      </c>
      <c r="Q451" s="10">
        <f>data_redis_illX!E384</f>
        <v>0</v>
      </c>
      <c r="R451" s="10">
        <f>data_redis_illX!F384</f>
        <v>0</v>
      </c>
      <c r="S451" s="10">
        <f>data_redis_illX!G384</f>
        <v>34.043174603174606</v>
      </c>
      <c r="T451" s="10">
        <f>data_redis_illX!H384</f>
        <v>28.283100614331271</v>
      </c>
      <c r="U451" s="10">
        <f>data_redis_illX!I384</f>
        <v>10.2252799873723</v>
      </c>
      <c r="V451" s="10">
        <f>data_redis_illX!J384</f>
        <v>0</v>
      </c>
      <c r="W451" s="10">
        <f>data_redis_illX!K384</f>
        <v>0</v>
      </c>
      <c r="X451" s="10">
        <f>data_redis_illX!L384</f>
        <v>0</v>
      </c>
      <c r="Y451" s="5">
        <f t="shared" si="6"/>
        <v>72.551555204878184</v>
      </c>
    </row>
    <row r="452" spans="3:25" x14ac:dyDescent="0.25">
      <c r="C452" t="s">
        <v>29</v>
      </c>
      <c r="D452">
        <f t="array" ref="D452:K452">(Q1176:Y1176*AE$4:AE$11+Q1539:Y1539*AF$4:AF$11+Q1902:Y1902*AG$4:AG$11)</f>
        <v>0</v>
      </c>
      <c r="E452">
        <v>0</v>
      </c>
      <c r="F452">
        <v>60.595266539572634</v>
      </c>
      <c r="G452">
        <v>37.461979901579483</v>
      </c>
      <c r="H452">
        <v>11.442087901198068</v>
      </c>
      <c r="I452">
        <v>6.0662177328843998E-2</v>
      </c>
      <c r="J452">
        <v>0</v>
      </c>
      <c r="K452">
        <v>0</v>
      </c>
      <c r="P452" s="2" t="s">
        <v>31</v>
      </c>
      <c r="Q452" s="10">
        <f>data_redis_illX!E385</f>
        <v>0</v>
      </c>
      <c r="R452" s="10">
        <f>data_redis_illX!F385</f>
        <v>0</v>
      </c>
      <c r="S452" s="10">
        <f>data_redis_illX!G385</f>
        <v>3.0948340548340547</v>
      </c>
      <c r="T452" s="10">
        <f>data_redis_illX!H385</f>
        <v>6.5268693725379858</v>
      </c>
      <c r="U452" s="10">
        <f>data_redis_illX!I385</f>
        <v>0</v>
      </c>
      <c r="V452" s="10">
        <f>data_redis_illX!J385</f>
        <v>0</v>
      </c>
      <c r="W452" s="10">
        <f>data_redis_illX!K385</f>
        <v>0</v>
      </c>
      <c r="X452" s="10">
        <f>data_redis_illX!L385</f>
        <v>0</v>
      </c>
      <c r="Y452" s="5">
        <f t="shared" si="6"/>
        <v>9.6217034273720401</v>
      </c>
    </row>
    <row r="453" spans="3:25" x14ac:dyDescent="0.25">
      <c r="C453" t="s">
        <v>30</v>
      </c>
      <c r="D453">
        <f t="array" ref="D453:K453">(Q1177:Y1177*AE$4:AE$11+Q1540:Y1540*AF$4:AF$11+Q1903:Y1903*AG$4:AG$11)</f>
        <v>0</v>
      </c>
      <c r="E453">
        <v>0</v>
      </c>
      <c r="F453">
        <v>177.05095072018588</v>
      </c>
      <c r="G453">
        <v>182.97552802281976</v>
      </c>
      <c r="H453">
        <v>84.145182895174003</v>
      </c>
      <c r="I453">
        <v>4.451793305589927</v>
      </c>
      <c r="J453">
        <v>0</v>
      </c>
      <c r="K453">
        <v>0</v>
      </c>
      <c r="P453" s="2" t="s">
        <v>32</v>
      </c>
      <c r="Q453" s="10">
        <f>data_redis_illX!E386</f>
        <v>0</v>
      </c>
      <c r="R453" s="10">
        <f>data_redis_illX!F386</f>
        <v>0</v>
      </c>
      <c r="S453" s="10">
        <f>data_redis_illX!G386</f>
        <v>0</v>
      </c>
      <c r="T453" s="10">
        <f>data_redis_illX!H386</f>
        <v>0</v>
      </c>
      <c r="U453" s="10">
        <f>data_redis_illX!I386</f>
        <v>0</v>
      </c>
      <c r="V453" s="10">
        <f>data_redis_illX!J386</f>
        <v>0</v>
      </c>
      <c r="W453" s="10">
        <f>data_redis_illX!K386</f>
        <v>0</v>
      </c>
      <c r="X453" s="10">
        <f>data_redis_illX!L386</f>
        <v>0</v>
      </c>
      <c r="Y453" s="5">
        <f t="shared" ref="Y453:Y516" si="7">SUM(Q453:X453)</f>
        <v>0</v>
      </c>
    </row>
    <row r="454" spans="3:25" x14ac:dyDescent="0.25">
      <c r="C454" t="s">
        <v>31</v>
      </c>
      <c r="D454">
        <f t="array" ref="D454:K454">(Q1178:Y1178*AE$4:AE$11+Q1541:Y1541*AF$4:AF$11+Q1904:Y1904*AG$4:AG$11)</f>
        <v>0</v>
      </c>
      <c r="E454">
        <v>0</v>
      </c>
      <c r="F454">
        <v>32.267617787936615</v>
      </c>
      <c r="G454">
        <v>41.533414538478318</v>
      </c>
      <c r="H454">
        <v>8.2157634640028956</v>
      </c>
      <c r="I454">
        <v>6.0662177328843998E-2</v>
      </c>
      <c r="J454">
        <v>0</v>
      </c>
      <c r="K454">
        <v>0</v>
      </c>
      <c r="P454" s="2" t="s">
        <v>33</v>
      </c>
      <c r="Q454" s="10">
        <f>data_redis_illX!E387</f>
        <v>0</v>
      </c>
      <c r="R454" s="10">
        <f>data_redis_illX!F387</f>
        <v>0</v>
      </c>
      <c r="S454" s="10">
        <f>data_redis_illX!G387</f>
        <v>1.0316113516113516</v>
      </c>
      <c r="T454" s="10">
        <f>data_redis_illX!H387</f>
        <v>0</v>
      </c>
      <c r="U454" s="10">
        <f>data_redis_illX!I387</f>
        <v>0</v>
      </c>
      <c r="V454" s="10">
        <f>data_redis_illX!J387</f>
        <v>0</v>
      </c>
      <c r="W454" s="10">
        <f>data_redis_illX!K387</f>
        <v>0</v>
      </c>
      <c r="X454" s="10">
        <f>data_redis_illX!L387</f>
        <v>0</v>
      </c>
      <c r="Y454" s="5">
        <f t="shared" si="7"/>
        <v>1.0316113516113516</v>
      </c>
    </row>
    <row r="455" spans="3:25" x14ac:dyDescent="0.25">
      <c r="C455" t="s">
        <v>32</v>
      </c>
      <c r="D455">
        <f t="array" ref="D455:K455">(Q1179:Y1179*AE$4:AE$11+Q1542:Y1542*AF$4:AF$11+Q1905:Y1905*AG$4:AG$11)</f>
        <v>0</v>
      </c>
      <c r="E455">
        <v>0</v>
      </c>
      <c r="F455">
        <v>0</v>
      </c>
      <c r="G455">
        <v>0</v>
      </c>
      <c r="H455">
        <v>0</v>
      </c>
      <c r="I455">
        <v>6.0662177328843998E-2</v>
      </c>
      <c r="J455">
        <v>0</v>
      </c>
      <c r="K455">
        <v>0</v>
      </c>
      <c r="P455" s="2" t="s">
        <v>34</v>
      </c>
      <c r="Q455" s="10">
        <f>data_redis_illX!E388</f>
        <v>0</v>
      </c>
      <c r="R455" s="10">
        <f>data_redis_illX!F388</f>
        <v>0</v>
      </c>
      <c r="S455" s="10">
        <f>data_redis_illX!G388</f>
        <v>0</v>
      </c>
      <c r="T455" s="10">
        <f>data_redis_illX!H388</f>
        <v>0</v>
      </c>
      <c r="U455" s="10">
        <f>data_redis_illX!I388</f>
        <v>1.02252799873723</v>
      </c>
      <c r="V455" s="10">
        <f>data_redis_illX!J388</f>
        <v>0</v>
      </c>
      <c r="W455" s="10">
        <f>data_redis_illX!K388</f>
        <v>0</v>
      </c>
      <c r="X455" s="10">
        <f>data_redis_illX!L388</f>
        <v>0</v>
      </c>
      <c r="Y455" s="5">
        <f t="shared" si="7"/>
        <v>1.02252799873723</v>
      </c>
    </row>
    <row r="456" spans="3:25" x14ac:dyDescent="0.25">
      <c r="C456" t="s">
        <v>33</v>
      </c>
      <c r="D456">
        <f t="array" ref="D456:K456">(Q1180:Y1180*AE$4:AE$11+Q1543:Y1543*AF$4:AF$11+Q1906:Y1906*AG$4:AG$11)</f>
        <v>0</v>
      </c>
      <c r="E456">
        <v>0</v>
      </c>
      <c r="F456">
        <v>0</v>
      </c>
      <c r="G456">
        <v>1.2764659831666325</v>
      </c>
      <c r="H456">
        <v>1.199240771984692</v>
      </c>
      <c r="I456">
        <v>6.0662177328843998E-2</v>
      </c>
      <c r="J456">
        <v>0</v>
      </c>
      <c r="K456">
        <v>0</v>
      </c>
      <c r="P456" s="2" t="s">
        <v>35</v>
      </c>
      <c r="Q456" s="10">
        <f>data_redis_illX!E389</f>
        <v>0</v>
      </c>
      <c r="R456" s="10">
        <f>data_redis_illX!F389</f>
        <v>0</v>
      </c>
      <c r="S456" s="10">
        <f>data_redis_illX!G389</f>
        <v>0</v>
      </c>
      <c r="T456" s="10">
        <f>data_redis_illX!H389</f>
        <v>0</v>
      </c>
      <c r="U456" s="10">
        <f>data_redis_illX!I389</f>
        <v>0</v>
      </c>
      <c r="V456" s="10">
        <f>data_redis_illX!J389</f>
        <v>0</v>
      </c>
      <c r="W456" s="10">
        <f>data_redis_illX!K389</f>
        <v>0</v>
      </c>
      <c r="X456" s="10">
        <f>data_redis_illX!L389</f>
        <v>0</v>
      </c>
      <c r="Y456" s="5">
        <f t="shared" si="7"/>
        <v>0</v>
      </c>
    </row>
    <row r="457" spans="3:25" x14ac:dyDescent="0.25">
      <c r="C457" t="s">
        <v>34</v>
      </c>
      <c r="D457">
        <f t="array" ref="D457:K457">(Q1181:Y1181*AE$4:AE$11+Q1544:Y1544*AF$4:AF$11+Q1907:Y1907*AG$4:AG$11)</f>
        <v>0</v>
      </c>
      <c r="E457">
        <v>0</v>
      </c>
      <c r="F457">
        <v>0</v>
      </c>
      <c r="G457">
        <v>2.9128691933865252</v>
      </c>
      <c r="H457">
        <v>0</v>
      </c>
      <c r="I457">
        <v>6.0662177328843998E-2</v>
      </c>
      <c r="J457">
        <v>0</v>
      </c>
      <c r="K457">
        <v>0</v>
      </c>
      <c r="P457" s="2" t="s">
        <v>36</v>
      </c>
      <c r="Q457" s="10">
        <f>data_redis_illX!E390</f>
        <v>0</v>
      </c>
      <c r="R457" s="10">
        <f>data_redis_illX!F390</f>
        <v>0</v>
      </c>
      <c r="S457" s="10">
        <f>data_redis_illX!G390</f>
        <v>0</v>
      </c>
      <c r="T457" s="10">
        <f>data_redis_illX!H390</f>
        <v>0</v>
      </c>
      <c r="U457" s="10">
        <f>data_redis_illX!I390</f>
        <v>0</v>
      </c>
      <c r="V457" s="10">
        <f>data_redis_illX!J390</f>
        <v>0</v>
      </c>
      <c r="W457" s="10">
        <f>data_redis_illX!K390</f>
        <v>0</v>
      </c>
      <c r="X457" s="10">
        <f>data_redis_illX!L390</f>
        <v>0</v>
      </c>
      <c r="Y457" s="5">
        <f t="shared" si="7"/>
        <v>0</v>
      </c>
    </row>
    <row r="458" spans="3:25" x14ac:dyDescent="0.25">
      <c r="C458" t="s">
        <v>35</v>
      </c>
      <c r="D458">
        <f t="array" ref="D458:K458">(Q1182:Y1182*AE$4:AE$11+Q1545:Y1545*AF$4:AF$11+Q1908:Y1908*AG$4:AG$11)</f>
        <v>0</v>
      </c>
      <c r="E458">
        <v>0</v>
      </c>
      <c r="F458">
        <v>0</v>
      </c>
      <c r="G458">
        <v>0</v>
      </c>
      <c r="H458">
        <v>0</v>
      </c>
      <c r="I458">
        <v>6.0662177328843998E-2</v>
      </c>
      <c r="J458">
        <v>0</v>
      </c>
      <c r="K458">
        <v>0</v>
      </c>
      <c r="P458" s="2" t="s">
        <v>37</v>
      </c>
      <c r="Q458" s="10">
        <f>data_redis_illX!E391</f>
        <v>0</v>
      </c>
      <c r="R458" s="10">
        <f>data_redis_illX!F391</f>
        <v>0</v>
      </c>
      <c r="S458" s="10">
        <f>data_redis_illX!G391</f>
        <v>0</v>
      </c>
      <c r="T458" s="10">
        <f>data_redis_illX!H391</f>
        <v>0</v>
      </c>
      <c r="U458" s="10">
        <f>data_redis_illX!I391</f>
        <v>0</v>
      </c>
      <c r="V458" s="10">
        <f>data_redis_illX!J391</f>
        <v>0</v>
      </c>
      <c r="W458" s="10">
        <f>data_redis_illX!K391</f>
        <v>0</v>
      </c>
      <c r="X458" s="10">
        <f>data_redis_illX!L391</f>
        <v>0</v>
      </c>
      <c r="Y458" s="5">
        <f t="shared" si="7"/>
        <v>0</v>
      </c>
    </row>
    <row r="459" spans="3:25" x14ac:dyDescent="0.25">
      <c r="C459" t="s">
        <v>36</v>
      </c>
      <c r="D459">
        <f t="array" ref="D459:K459">(Q1183:Y1183*AE$4:AE$11+Q1546:Y1546*AF$4:AF$11+Q1909:Y1909*AG$4:AG$11)</f>
        <v>0</v>
      </c>
      <c r="E459">
        <v>0</v>
      </c>
      <c r="F459">
        <v>0</v>
      </c>
      <c r="G459">
        <v>0</v>
      </c>
      <c r="H459">
        <v>0</v>
      </c>
      <c r="I459">
        <v>6.0662177328843998E-2</v>
      </c>
      <c r="J459">
        <v>0</v>
      </c>
      <c r="K459">
        <v>0</v>
      </c>
      <c r="P459" s="2" t="s">
        <v>38</v>
      </c>
      <c r="Q459" s="10">
        <f>data_redis_illX!E392</f>
        <v>0</v>
      </c>
      <c r="R459" s="10">
        <f>data_redis_illX!F392</f>
        <v>0</v>
      </c>
      <c r="S459" s="10">
        <f>data_redis_illX!G392</f>
        <v>0</v>
      </c>
      <c r="T459" s="10">
        <f>data_redis_illX!H392</f>
        <v>0</v>
      </c>
      <c r="U459" s="10">
        <f>data_redis_illX!I392</f>
        <v>0</v>
      </c>
      <c r="V459" s="10">
        <f>data_redis_illX!J392</f>
        <v>0</v>
      </c>
      <c r="W459" s="10">
        <f>data_redis_illX!K392</f>
        <v>0</v>
      </c>
      <c r="X459" s="10">
        <f>data_redis_illX!L392</f>
        <v>0</v>
      </c>
      <c r="Y459" s="5">
        <f t="shared" si="7"/>
        <v>0</v>
      </c>
    </row>
    <row r="460" spans="3:25" x14ac:dyDescent="0.25">
      <c r="C460" t="s">
        <v>37</v>
      </c>
      <c r="D460">
        <f t="array" ref="D460:K460">(Q1184:Y1184*AE$4:AE$11+Q1547:Y1547*AF$4:AF$11+Q1910:Y1910*AG$4:AG$11)</f>
        <v>0</v>
      </c>
      <c r="E460">
        <v>0</v>
      </c>
      <c r="F460">
        <v>0</v>
      </c>
      <c r="G460">
        <v>0</v>
      </c>
      <c r="H460">
        <v>0</v>
      </c>
      <c r="I460">
        <v>6.0662177328843998E-2</v>
      </c>
      <c r="J460">
        <v>0</v>
      </c>
      <c r="K460">
        <v>0</v>
      </c>
      <c r="P460" s="2" t="s">
        <v>39</v>
      </c>
      <c r="Q460" s="10">
        <f>data_redis_illX!E393</f>
        <v>0</v>
      </c>
      <c r="R460" s="10">
        <f>data_redis_illX!F393</f>
        <v>0</v>
      </c>
      <c r="S460" s="10">
        <f>data_redis_illX!G393</f>
        <v>0</v>
      </c>
      <c r="T460" s="10">
        <f>data_redis_illX!H393</f>
        <v>0</v>
      </c>
      <c r="U460" s="10">
        <f>data_redis_illX!I393</f>
        <v>0</v>
      </c>
      <c r="V460" s="10">
        <f>data_redis_illX!J393</f>
        <v>0</v>
      </c>
      <c r="W460" s="10">
        <f>data_redis_illX!K393</f>
        <v>0</v>
      </c>
      <c r="X460" s="10">
        <f>data_redis_illX!L393</f>
        <v>0</v>
      </c>
      <c r="Y460" s="5">
        <f t="shared" si="7"/>
        <v>0</v>
      </c>
    </row>
    <row r="461" spans="3:25" x14ac:dyDescent="0.25">
      <c r="C461" t="s">
        <v>38</v>
      </c>
      <c r="D461">
        <f t="array" ref="D461:K461">(Q1185:Y1185*AE$4:AE$11+Q1548:Y1548*AF$4:AF$11+Q1911:Y1911*AG$4:AG$11)</f>
        <v>0</v>
      </c>
      <c r="E461">
        <v>0</v>
      </c>
      <c r="F461">
        <v>3.2241271786412602</v>
      </c>
      <c r="G461">
        <v>0</v>
      </c>
      <c r="H461">
        <v>3.0474024973052236</v>
      </c>
      <c r="I461">
        <v>6.0662177328843998E-2</v>
      </c>
      <c r="J461">
        <v>0</v>
      </c>
      <c r="K461">
        <v>0</v>
      </c>
      <c r="P461" s="2" t="s">
        <v>40</v>
      </c>
      <c r="Q461" s="10">
        <f>data_redis_illX!E394</f>
        <v>0</v>
      </c>
      <c r="R461" s="10">
        <f>data_redis_illX!F394</f>
        <v>0</v>
      </c>
      <c r="S461" s="10">
        <f>data_redis_illX!G394</f>
        <v>1.0316113516113516</v>
      </c>
      <c r="T461" s="10">
        <f>data_redis_illX!H394</f>
        <v>1.0878115620896642</v>
      </c>
      <c r="U461" s="10">
        <f>data_redis_illX!I394</f>
        <v>0</v>
      </c>
      <c r="V461" s="10">
        <f>data_redis_illX!J394</f>
        <v>0</v>
      </c>
      <c r="W461" s="10">
        <f>data_redis_illX!K394</f>
        <v>0</v>
      </c>
      <c r="X461" s="10">
        <f>data_redis_illX!L394</f>
        <v>0</v>
      </c>
      <c r="Y461" s="5">
        <f t="shared" si="7"/>
        <v>2.1194229137010159</v>
      </c>
    </row>
    <row r="462" spans="3:25" x14ac:dyDescent="0.25">
      <c r="C462" t="s">
        <v>39</v>
      </c>
      <c r="D462">
        <f t="array" ref="D462:K462">(Q1186:Y1186*AE$4:AE$11+Q1549:Y1549*AF$4:AF$11+Q1912:Y1912*AG$4:AG$11)</f>
        <v>0</v>
      </c>
      <c r="E462">
        <v>0</v>
      </c>
      <c r="F462">
        <v>2.5627750511504135</v>
      </c>
      <c r="G462">
        <v>0</v>
      </c>
      <c r="H462">
        <v>0</v>
      </c>
      <c r="I462">
        <v>6.0662177328843998E-2</v>
      </c>
      <c r="J462">
        <v>0</v>
      </c>
      <c r="K462">
        <v>0</v>
      </c>
      <c r="P462" s="2" t="s">
        <v>41</v>
      </c>
      <c r="Q462" s="10">
        <f>data_redis_illX!E395</f>
        <v>0</v>
      </c>
      <c r="R462" s="10">
        <f>data_redis_illX!F395</f>
        <v>0</v>
      </c>
      <c r="S462" s="10">
        <f>data_redis_illX!G395</f>
        <v>0</v>
      </c>
      <c r="T462" s="10">
        <f>data_redis_illX!H395</f>
        <v>0</v>
      </c>
      <c r="U462" s="10">
        <f>data_redis_illX!I395</f>
        <v>0</v>
      </c>
      <c r="V462" s="10">
        <f>data_redis_illX!J395</f>
        <v>0</v>
      </c>
      <c r="W462" s="10">
        <f>data_redis_illX!K395</f>
        <v>0</v>
      </c>
      <c r="X462" s="10">
        <f>data_redis_illX!L395</f>
        <v>0</v>
      </c>
      <c r="Y462" s="5">
        <f t="shared" si="7"/>
        <v>0</v>
      </c>
    </row>
    <row r="463" spans="3:25" x14ac:dyDescent="0.25">
      <c r="C463" t="s">
        <v>40</v>
      </c>
      <c r="D463">
        <f t="array" ref="D463:K463">(Q1187:Y1187*AE$4:AE$11+Q1550:Y1550*AF$4:AF$11+Q1913:Y1913*AG$4:AG$11)</f>
        <v>0</v>
      </c>
      <c r="E463">
        <v>0</v>
      </c>
      <c r="F463">
        <v>2.5627750511504135</v>
      </c>
      <c r="G463">
        <v>5.4658011597197902</v>
      </c>
      <c r="H463">
        <v>0</v>
      </c>
      <c r="I463">
        <v>6.0662177328843998E-2</v>
      </c>
      <c r="J463">
        <v>0</v>
      </c>
      <c r="K463">
        <v>0</v>
      </c>
      <c r="P463" s="2" t="s">
        <v>42</v>
      </c>
      <c r="Q463" s="10">
        <f>data_redis_illX!E396</f>
        <v>0</v>
      </c>
      <c r="R463" s="10">
        <f>data_redis_illX!F396</f>
        <v>0</v>
      </c>
      <c r="S463" s="10">
        <f>data_redis_illX!G396</f>
        <v>6.1896681096681094</v>
      </c>
      <c r="T463" s="10">
        <f>data_redis_illX!H396</f>
        <v>5.4390578104483209</v>
      </c>
      <c r="U463" s="10">
        <f>data_redis_illX!I396</f>
        <v>0</v>
      </c>
      <c r="V463" s="10">
        <f>data_redis_illX!J396</f>
        <v>0</v>
      </c>
      <c r="W463" s="10">
        <f>data_redis_illX!K396</f>
        <v>0</v>
      </c>
      <c r="X463" s="10">
        <f>data_redis_illX!L396</f>
        <v>0</v>
      </c>
      <c r="Y463" s="5">
        <f t="shared" si="7"/>
        <v>11.62872592011643</v>
      </c>
    </row>
    <row r="464" spans="3:25" x14ac:dyDescent="0.25">
      <c r="C464" t="s">
        <v>41</v>
      </c>
      <c r="D464">
        <f t="array" ref="D464:K464">(Q1188:Y1188*AE$4:AE$11+Q1551:Y1551*AF$4:AF$11+Q1914:Y1914*AG$4:AG$11)</f>
        <v>0</v>
      </c>
      <c r="E464">
        <v>0</v>
      </c>
      <c r="F464">
        <v>0</v>
      </c>
      <c r="G464">
        <v>2.3532749122185033</v>
      </c>
      <c r="H464">
        <v>1.199240771984692</v>
      </c>
      <c r="I464">
        <v>6.0662177328843998E-2</v>
      </c>
      <c r="J464">
        <v>0</v>
      </c>
      <c r="K464">
        <v>0</v>
      </c>
      <c r="P464" s="2" t="s">
        <v>43</v>
      </c>
      <c r="Q464" s="10">
        <f>data_redis_illX!E397</f>
        <v>0</v>
      </c>
      <c r="R464" s="10">
        <f>data_redis_illX!F397</f>
        <v>0</v>
      </c>
      <c r="S464" s="10">
        <f>data_redis_illX!G397</f>
        <v>0</v>
      </c>
      <c r="T464" s="10">
        <f>data_redis_illX!H397</f>
        <v>0</v>
      </c>
      <c r="U464" s="10">
        <f>data_redis_illX!I397</f>
        <v>0</v>
      </c>
      <c r="V464" s="10">
        <f>data_redis_illX!J397</f>
        <v>0</v>
      </c>
      <c r="W464" s="10">
        <f>data_redis_illX!K397</f>
        <v>0</v>
      </c>
      <c r="X464" s="10">
        <f>data_redis_illX!L397</f>
        <v>0</v>
      </c>
      <c r="Y464" s="5">
        <f t="shared" si="7"/>
        <v>0</v>
      </c>
    </row>
    <row r="465" spans="1:25" x14ac:dyDescent="0.25">
      <c r="C465" t="s">
        <v>42</v>
      </c>
      <c r="D465">
        <f t="array" ref="D465:K465">(Q1189:Y1189*AE$4:AE$11+Q1552:Y1552*AF$4:AF$11+Q1915:Y1915*AG$4:AG$11)</f>
        <v>0</v>
      </c>
      <c r="E465">
        <v>0</v>
      </c>
      <c r="F465">
        <v>14.191069240902255</v>
      </c>
      <c r="G465">
        <v>16.717963825036367</v>
      </c>
      <c r="H465">
        <v>7.294045766595139</v>
      </c>
      <c r="I465">
        <v>6.0662177328843998E-2</v>
      </c>
      <c r="J465">
        <v>0</v>
      </c>
      <c r="K465">
        <v>0</v>
      </c>
      <c r="P465" s="2" t="s">
        <v>44</v>
      </c>
      <c r="Q465" s="10">
        <f>data_redis_illX!E398</f>
        <v>0</v>
      </c>
      <c r="R465" s="10">
        <f>data_redis_illX!F398</f>
        <v>0</v>
      </c>
      <c r="S465" s="10">
        <f>data_redis_illX!G398</f>
        <v>3.0948340548340547</v>
      </c>
      <c r="T465" s="10">
        <f>data_redis_illX!H398</f>
        <v>1.0878115620896642</v>
      </c>
      <c r="U465" s="10">
        <f>data_redis_illX!I398</f>
        <v>3.06758399621169</v>
      </c>
      <c r="V465" s="10">
        <f>data_redis_illX!J398</f>
        <v>1.0062429057888762</v>
      </c>
      <c r="W465" s="10">
        <f>data_redis_illX!K398</f>
        <v>0</v>
      </c>
      <c r="X465" s="10">
        <f>data_redis_illX!L398</f>
        <v>0</v>
      </c>
      <c r="Y465" s="5">
        <f t="shared" si="7"/>
        <v>8.2564725189242854</v>
      </c>
    </row>
    <row r="466" spans="1:25" x14ac:dyDescent="0.25">
      <c r="C466" t="s">
        <v>43</v>
      </c>
      <c r="D466">
        <f t="array" ref="D466:K466">(Q1190:Y1190*AE$4:AE$11+Q1553:Y1553*AF$4:AF$11+Q1916:Y1916*AG$4:AG$11)</f>
        <v>0</v>
      </c>
      <c r="E466">
        <v>0</v>
      </c>
      <c r="F466">
        <v>5.8413919599601662</v>
      </c>
      <c r="G466">
        <v>7.1022043699396828</v>
      </c>
      <c r="H466">
        <v>0</v>
      </c>
      <c r="I466">
        <v>6.0662177328843998E-2</v>
      </c>
      <c r="J466">
        <v>0</v>
      </c>
      <c r="K466">
        <v>0</v>
      </c>
      <c r="M466" t="s">
        <v>104</v>
      </c>
      <c r="N466" t="s">
        <v>116</v>
      </c>
      <c r="O466" t="s">
        <v>47</v>
      </c>
      <c r="P466" s="2" t="s">
        <v>12</v>
      </c>
      <c r="Q466" s="10">
        <f>data_redis_illX!E399</f>
        <v>0</v>
      </c>
      <c r="R466" s="10">
        <f>data_redis_illX!F399</f>
        <v>0</v>
      </c>
      <c r="S466" s="10">
        <f>data_redis_illX!G399</f>
        <v>0</v>
      </c>
      <c r="T466" s="10">
        <f>data_redis_illX!H399</f>
        <v>0</v>
      </c>
      <c r="U466" s="10">
        <f>data_redis_illX!I399</f>
        <v>0</v>
      </c>
      <c r="V466" s="10">
        <f>data_redis_illX!J399</f>
        <v>0</v>
      </c>
      <c r="W466" s="10">
        <f>data_redis_illX!K399</f>
        <v>0</v>
      </c>
      <c r="X466" s="10">
        <f>data_redis_illX!L399</f>
        <v>0</v>
      </c>
      <c r="Y466" s="5">
        <f t="shared" si="7"/>
        <v>0</v>
      </c>
    </row>
    <row r="467" spans="1:25" x14ac:dyDescent="0.25">
      <c r="C467" t="s">
        <v>44</v>
      </c>
      <c r="D467">
        <f t="array" ref="D467:K467">(Q1191:Y1191*AE$4:AE$11+Q1554:Y1554*AF$4:AF$11+Q1917:Y1917*AG$4:AG$11)</f>
        <v>0</v>
      </c>
      <c r="E467">
        <v>0</v>
      </c>
      <c r="F467">
        <v>23.188925648573179</v>
      </c>
      <c r="G467">
        <v>38.98048257214505</v>
      </c>
      <c r="H467">
        <v>5.4458840412746081</v>
      </c>
      <c r="I467">
        <v>6.0662177328843998E-2</v>
      </c>
      <c r="J467">
        <v>0</v>
      </c>
      <c r="K467">
        <v>0</v>
      </c>
      <c r="P467" s="2" t="s">
        <v>13</v>
      </c>
      <c r="Q467" s="10">
        <f>data_redis_illX!E400</f>
        <v>0</v>
      </c>
      <c r="R467" s="10">
        <f>data_redis_illX!F400</f>
        <v>0</v>
      </c>
      <c r="S467" s="10">
        <f>data_redis_illX!G400</f>
        <v>0</v>
      </c>
      <c r="T467" s="10">
        <f>data_redis_illX!H400</f>
        <v>0</v>
      </c>
      <c r="U467" s="10">
        <f>data_redis_illX!I400</f>
        <v>0</v>
      </c>
      <c r="V467" s="10">
        <f>data_redis_illX!J400</f>
        <v>0</v>
      </c>
      <c r="W467" s="10">
        <f>data_redis_illX!K400</f>
        <v>0</v>
      </c>
      <c r="X467" s="10">
        <f>data_redis_illX!L400</f>
        <v>0</v>
      </c>
      <c r="Y467" s="5">
        <f t="shared" si="7"/>
        <v>0</v>
      </c>
    </row>
    <row r="468" spans="1:25" x14ac:dyDescent="0.25">
      <c r="A468">
        <v>2</v>
      </c>
      <c r="B468" t="s">
        <v>47</v>
      </c>
      <c r="C468" t="s">
        <v>12</v>
      </c>
      <c r="D468">
        <f t="array" ref="D468:K468">(Q1192:Y1192*AE$4:AE$11+Q1555:Y1555*AF$4:AF$11+Q1918:Y1918*AG$4:AG$11)</f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P468" s="2" t="s">
        <v>14</v>
      </c>
      <c r="Q468" s="10">
        <f>data_redis_illX!E401</f>
        <v>0</v>
      </c>
      <c r="R468" s="10">
        <f>data_redis_illX!F401</f>
        <v>0</v>
      </c>
      <c r="S468" s="10">
        <f>data_redis_illX!G401</f>
        <v>0</v>
      </c>
      <c r="T468" s="10">
        <f>data_redis_illX!H401</f>
        <v>0</v>
      </c>
      <c r="U468" s="10">
        <f>data_redis_illX!I401</f>
        <v>0</v>
      </c>
      <c r="V468" s="10">
        <f>data_redis_illX!J401</f>
        <v>0</v>
      </c>
      <c r="W468" s="10">
        <f>data_redis_illX!K401</f>
        <v>0</v>
      </c>
      <c r="X468" s="10">
        <f>data_redis_illX!L401</f>
        <v>0</v>
      </c>
      <c r="Y468" s="5">
        <f t="shared" si="7"/>
        <v>0</v>
      </c>
    </row>
    <row r="469" spans="1:25" x14ac:dyDescent="0.25">
      <c r="C469" t="s">
        <v>13</v>
      </c>
      <c r="D469">
        <f t="array" ref="D469:K469">(Q1193:Y1193*AE$4:AE$11+Q1556:Y1556*AF$4:AF$11+Q1919:Y1919*AG$4:AG$11)</f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P469" s="2" t="s">
        <v>15</v>
      </c>
      <c r="Q469" s="10">
        <f>data_redis_illX!E402</f>
        <v>0</v>
      </c>
      <c r="R469" s="10">
        <f>data_redis_illX!F402</f>
        <v>0</v>
      </c>
      <c r="S469" s="10">
        <f>data_redis_illX!G402</f>
        <v>0</v>
      </c>
      <c r="T469" s="10">
        <f>data_redis_illX!H402</f>
        <v>0</v>
      </c>
      <c r="U469" s="10">
        <f>data_redis_illX!I402</f>
        <v>0</v>
      </c>
      <c r="V469" s="10">
        <f>data_redis_illX!J402</f>
        <v>0</v>
      </c>
      <c r="W469" s="10">
        <f>data_redis_illX!K402</f>
        <v>0</v>
      </c>
      <c r="X469" s="10">
        <f>data_redis_illX!L402</f>
        <v>0</v>
      </c>
      <c r="Y469" s="5">
        <f t="shared" si="7"/>
        <v>0</v>
      </c>
    </row>
    <row r="470" spans="1:25" x14ac:dyDescent="0.25">
      <c r="C470" t="s">
        <v>14</v>
      </c>
      <c r="D470">
        <f t="array" ref="D470:K470">(Q1194:Y1194*AE$4:AE$11+Q1557:Y1557*AF$4:AF$11+Q1920:Y1920*AG$4:AG$11)</f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P470" s="2" t="s">
        <v>16</v>
      </c>
      <c r="Q470" s="10">
        <f>data_redis_illX!E403</f>
        <v>0</v>
      </c>
      <c r="R470" s="10">
        <f>data_redis_illX!F403</f>
        <v>0</v>
      </c>
      <c r="S470" s="10">
        <f>data_redis_illX!G403</f>
        <v>0</v>
      </c>
      <c r="T470" s="10">
        <f>data_redis_illX!H403</f>
        <v>0</v>
      </c>
      <c r="U470" s="10">
        <f>data_redis_illX!I403</f>
        <v>0</v>
      </c>
      <c r="V470" s="10">
        <f>data_redis_illX!J403</f>
        <v>0</v>
      </c>
      <c r="W470" s="10">
        <f>data_redis_illX!K403</f>
        <v>0</v>
      </c>
      <c r="X470" s="10">
        <f>data_redis_illX!L403</f>
        <v>0</v>
      </c>
      <c r="Y470" s="5">
        <f t="shared" si="7"/>
        <v>0</v>
      </c>
    </row>
    <row r="471" spans="1:25" x14ac:dyDescent="0.25">
      <c r="C471" t="s">
        <v>15</v>
      </c>
      <c r="D471">
        <f t="array" ref="D471:K471">(Q1195:Y1195*AE$4:AE$11+Q1558:Y1558*AF$4:AF$11+Q1921:Y1921*AG$4:AG$11)</f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P471" s="2" t="s">
        <v>17</v>
      </c>
      <c r="Q471" s="10">
        <f>data_redis_illX!E404</f>
        <v>0</v>
      </c>
      <c r="R471" s="10">
        <f>data_redis_illX!F404</f>
        <v>0</v>
      </c>
      <c r="S471" s="10">
        <f>data_redis_illX!G404</f>
        <v>0</v>
      </c>
      <c r="T471" s="10">
        <f>data_redis_illX!H404</f>
        <v>0</v>
      </c>
      <c r="U471" s="10">
        <f>data_redis_illX!I404</f>
        <v>0</v>
      </c>
      <c r="V471" s="10">
        <f>data_redis_illX!J404</f>
        <v>0</v>
      </c>
      <c r="W471" s="10">
        <f>data_redis_illX!K404</f>
        <v>0</v>
      </c>
      <c r="X471" s="10">
        <f>data_redis_illX!L404</f>
        <v>0</v>
      </c>
      <c r="Y471" s="5">
        <f t="shared" si="7"/>
        <v>0</v>
      </c>
    </row>
    <row r="472" spans="1:25" x14ac:dyDescent="0.25">
      <c r="C472" t="s">
        <v>16</v>
      </c>
      <c r="D472">
        <f t="array" ref="D472:K472">(Q1196:Y1196*AE$4:AE$11+Q1559:Y1559*AF$4:AF$11+Q1922:Y1922*AG$4:AG$11)</f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P472" s="2" t="s">
        <v>18</v>
      </c>
      <c r="Q472" s="10">
        <f>data_redis_illX!E405</f>
        <v>0</v>
      </c>
      <c r="R472" s="10">
        <f>data_redis_illX!F405</f>
        <v>0</v>
      </c>
      <c r="S472" s="10">
        <f>data_redis_illX!G405</f>
        <v>0</v>
      </c>
      <c r="T472" s="10">
        <f>data_redis_illX!H405</f>
        <v>1.0017257550178202</v>
      </c>
      <c r="U472" s="10">
        <f>data_redis_illX!I405</f>
        <v>0</v>
      </c>
      <c r="V472" s="10">
        <f>data_redis_illX!J405</f>
        <v>0</v>
      </c>
      <c r="W472" s="10">
        <f>data_redis_illX!K405</f>
        <v>0</v>
      </c>
      <c r="X472" s="10">
        <f>data_redis_illX!L405</f>
        <v>0</v>
      </c>
      <c r="Y472" s="5">
        <f t="shared" si="7"/>
        <v>1.0017257550178202</v>
      </c>
    </row>
    <row r="473" spans="1:25" x14ac:dyDescent="0.25">
      <c r="C473" t="s">
        <v>17</v>
      </c>
      <c r="D473">
        <f t="array" ref="D473:K473">(Q1197:Y1197*AE$4:AE$11+Q1560:Y1560*AF$4:AF$11+Q1923:Y1923*AG$4:AG$11)</f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P473" s="2" t="s">
        <v>19</v>
      </c>
      <c r="Q473" s="10">
        <f>data_redis_illX!E406</f>
        <v>0</v>
      </c>
      <c r="R473" s="10">
        <f>data_redis_illX!F406</f>
        <v>0</v>
      </c>
      <c r="S473" s="10">
        <f>data_redis_illX!G406</f>
        <v>0</v>
      </c>
      <c r="T473" s="10">
        <f>data_redis_illX!H406</f>
        <v>0</v>
      </c>
      <c r="U473" s="10">
        <f>data_redis_illX!I406</f>
        <v>0</v>
      </c>
      <c r="V473" s="10">
        <f>data_redis_illX!J406</f>
        <v>0</v>
      </c>
      <c r="W473" s="10">
        <f>data_redis_illX!K406</f>
        <v>0</v>
      </c>
      <c r="X473" s="10">
        <f>data_redis_illX!L406</f>
        <v>0</v>
      </c>
      <c r="Y473" s="5">
        <f t="shared" si="7"/>
        <v>0</v>
      </c>
    </row>
    <row r="474" spans="1:25" x14ac:dyDescent="0.25">
      <c r="C474" t="s">
        <v>18</v>
      </c>
      <c r="D474">
        <f t="array" ref="D474:K474">(Q1198:Y1198*AE$4:AE$11+Q1561:Y1561*AF$4:AF$11+Q1924:Y1924*AG$4:AG$11)</f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P474" s="2" t="s">
        <v>20</v>
      </c>
      <c r="Q474" s="10">
        <f>data_redis_illX!E407</f>
        <v>0</v>
      </c>
      <c r="R474" s="10">
        <f>data_redis_illX!F407</f>
        <v>0</v>
      </c>
      <c r="S474" s="10">
        <f>data_redis_illX!G407</f>
        <v>0</v>
      </c>
      <c r="T474" s="10">
        <f>data_redis_illX!H407</f>
        <v>0</v>
      </c>
      <c r="U474" s="10">
        <f>data_redis_illX!I407</f>
        <v>0</v>
      </c>
      <c r="V474" s="10">
        <f>data_redis_illX!J407</f>
        <v>0</v>
      </c>
      <c r="W474" s="10">
        <f>data_redis_illX!K407</f>
        <v>0</v>
      </c>
      <c r="X474" s="10">
        <f>data_redis_illX!L407</f>
        <v>0</v>
      </c>
      <c r="Y474" s="5">
        <f t="shared" si="7"/>
        <v>0</v>
      </c>
    </row>
    <row r="475" spans="1:25" x14ac:dyDescent="0.25">
      <c r="C475" t="s">
        <v>19</v>
      </c>
      <c r="D475">
        <f t="array" ref="D475:K475">(Q1199:Y1199*AE$4:AE$11+Q1562:Y1562*AF$4:AF$11+Q1925:Y1925*AG$4:AG$11)</f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P475" s="2" t="s">
        <v>21</v>
      </c>
      <c r="Q475" s="10">
        <f>data_redis_illX!E408</f>
        <v>0</v>
      </c>
      <c r="R475" s="10">
        <f>data_redis_illX!F408</f>
        <v>0</v>
      </c>
      <c r="S475" s="10">
        <f>data_redis_illX!G408</f>
        <v>0</v>
      </c>
      <c r="T475" s="10">
        <f>data_redis_illX!H408</f>
        <v>0</v>
      </c>
      <c r="U475" s="10">
        <f>data_redis_illX!I408</f>
        <v>0</v>
      </c>
      <c r="V475" s="10">
        <f>data_redis_illX!J408</f>
        <v>0</v>
      </c>
      <c r="W475" s="10">
        <f>data_redis_illX!K408</f>
        <v>0</v>
      </c>
      <c r="X475" s="10">
        <f>data_redis_illX!L408</f>
        <v>0</v>
      </c>
      <c r="Y475" s="5">
        <f t="shared" si="7"/>
        <v>0</v>
      </c>
    </row>
    <row r="476" spans="1:25" x14ac:dyDescent="0.25">
      <c r="C476" t="s">
        <v>20</v>
      </c>
      <c r="D476">
        <f t="array" ref="D476:K476">(Q1200:Y1200*AE$4:AE$11+Q1563:Y1563*AF$4:AF$11+Q1926:Y1926*AG$4:AG$11)</f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P476" s="2" t="s">
        <v>22</v>
      </c>
      <c r="Q476" s="10">
        <f>data_redis_illX!E409</f>
        <v>0</v>
      </c>
      <c r="R476" s="10">
        <f>data_redis_illX!F409</f>
        <v>0</v>
      </c>
      <c r="S476" s="10">
        <f>data_redis_illX!G409</f>
        <v>0</v>
      </c>
      <c r="T476" s="10">
        <f>data_redis_illX!H409</f>
        <v>0</v>
      </c>
      <c r="U476" s="10">
        <f>data_redis_illX!I409</f>
        <v>0</v>
      </c>
      <c r="V476" s="10">
        <f>data_redis_illX!J409</f>
        <v>0</v>
      </c>
      <c r="W476" s="10">
        <f>data_redis_illX!K409</f>
        <v>0</v>
      </c>
      <c r="X476" s="10">
        <f>data_redis_illX!L409</f>
        <v>0</v>
      </c>
      <c r="Y476" s="5">
        <f t="shared" si="7"/>
        <v>0</v>
      </c>
    </row>
    <row r="477" spans="1:25" x14ac:dyDescent="0.25">
      <c r="C477" t="s">
        <v>21</v>
      </c>
      <c r="D477">
        <f t="array" ref="D477:K477">(Q1201:Y1201*AE$4:AE$11+Q1564:Y1564*AF$4:AF$11+Q1927:Y1927*AG$4:AG$11)</f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P477" s="2" t="s">
        <v>23</v>
      </c>
      <c r="Q477" s="10">
        <f>data_redis_illX!E410</f>
        <v>0</v>
      </c>
      <c r="R477" s="10">
        <f>data_redis_illX!F410</f>
        <v>0</v>
      </c>
      <c r="S477" s="10">
        <f>data_redis_illX!G410</f>
        <v>0</v>
      </c>
      <c r="T477" s="10">
        <f>data_redis_illX!H410</f>
        <v>0</v>
      </c>
      <c r="U477" s="10">
        <f>data_redis_illX!I410</f>
        <v>0</v>
      </c>
      <c r="V477" s="10">
        <f>data_redis_illX!J410</f>
        <v>0</v>
      </c>
      <c r="W477" s="10">
        <f>data_redis_illX!K410</f>
        <v>0</v>
      </c>
      <c r="X477" s="10">
        <f>data_redis_illX!L410</f>
        <v>0</v>
      </c>
      <c r="Y477" s="5">
        <f t="shared" si="7"/>
        <v>0</v>
      </c>
    </row>
    <row r="478" spans="1:25" x14ac:dyDescent="0.25">
      <c r="C478" t="s">
        <v>22</v>
      </c>
      <c r="D478">
        <f t="array" ref="D478:K478">(Q1202:Y1202*AE$4:AE$11+Q1565:Y1565*AF$4:AF$11+Q1928:Y1928*AG$4:AG$11)</f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P478" s="2" t="s">
        <v>24</v>
      </c>
      <c r="Q478" s="10">
        <f>data_redis_illX!E411</f>
        <v>0</v>
      </c>
      <c r="R478" s="10">
        <f>data_redis_illX!F411</f>
        <v>0</v>
      </c>
      <c r="S478" s="10">
        <f>data_redis_illX!G411</f>
        <v>0</v>
      </c>
      <c r="T478" s="10">
        <f>data_redis_illX!H411</f>
        <v>0</v>
      </c>
      <c r="U478" s="10">
        <f>data_redis_illX!I411</f>
        <v>0</v>
      </c>
      <c r="V478" s="10">
        <f>data_redis_illX!J411</f>
        <v>0</v>
      </c>
      <c r="W478" s="10">
        <f>data_redis_illX!K411</f>
        <v>0</v>
      </c>
      <c r="X478" s="10">
        <f>data_redis_illX!L411</f>
        <v>0</v>
      </c>
      <c r="Y478" s="5">
        <f t="shared" si="7"/>
        <v>0</v>
      </c>
    </row>
    <row r="479" spans="1:25" x14ac:dyDescent="0.25">
      <c r="C479" t="s">
        <v>23</v>
      </c>
      <c r="D479">
        <f t="array" ref="D479:K479">(Q1203:Y1203*AE$4:AE$11+Q1566:Y1566*AF$4:AF$11+Q1929:Y1929*AG$4:AG$11)</f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P479" s="2" t="s">
        <v>25</v>
      </c>
      <c r="Q479" s="10">
        <f>data_redis_illX!E412</f>
        <v>0</v>
      </c>
      <c r="R479" s="10">
        <f>data_redis_illX!F412</f>
        <v>0</v>
      </c>
      <c r="S479" s="10">
        <f>data_redis_illX!G412</f>
        <v>0</v>
      </c>
      <c r="T479" s="10">
        <f>data_redis_illX!H412</f>
        <v>0</v>
      </c>
      <c r="U479" s="10">
        <f>data_redis_illX!I412</f>
        <v>0</v>
      </c>
      <c r="V479" s="10">
        <f>data_redis_illX!J412</f>
        <v>0</v>
      </c>
      <c r="W479" s="10">
        <f>data_redis_illX!K412</f>
        <v>0</v>
      </c>
      <c r="X479" s="10">
        <f>data_redis_illX!L412</f>
        <v>0</v>
      </c>
      <c r="Y479" s="5">
        <f t="shared" si="7"/>
        <v>0</v>
      </c>
    </row>
    <row r="480" spans="1:25" x14ac:dyDescent="0.25">
      <c r="C480" t="s">
        <v>24</v>
      </c>
      <c r="D480">
        <f t="array" ref="D480:K480">(Q1204:Y1204*AE$4:AE$11+Q1567:Y1567*AF$4:AF$11+Q1930:Y1930*AG$4:AG$11)</f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P480" s="2" t="s">
        <v>26</v>
      </c>
      <c r="Q480" s="10">
        <f>data_redis_illX!E413</f>
        <v>0</v>
      </c>
      <c r="R480" s="10">
        <f>data_redis_illX!F413</f>
        <v>0</v>
      </c>
      <c r="S480" s="10">
        <f>data_redis_illX!G413</f>
        <v>0</v>
      </c>
      <c r="T480" s="10">
        <f>data_redis_illX!H413</f>
        <v>0</v>
      </c>
      <c r="U480" s="10">
        <f>data_redis_illX!I413</f>
        <v>0</v>
      </c>
      <c r="V480" s="10">
        <f>data_redis_illX!J413</f>
        <v>0</v>
      </c>
      <c r="W480" s="10">
        <f>data_redis_illX!K413</f>
        <v>0</v>
      </c>
      <c r="X480" s="10">
        <f>data_redis_illX!L413</f>
        <v>0</v>
      </c>
      <c r="Y480" s="5">
        <f t="shared" si="7"/>
        <v>0</v>
      </c>
    </row>
    <row r="481" spans="3:25" x14ac:dyDescent="0.25">
      <c r="C481" t="s">
        <v>25</v>
      </c>
      <c r="D481">
        <f t="array" ref="D481:K481">(Q1205:Y1205*AE$4:AE$11+Q1568:Y1568*AF$4:AF$11+Q1931:Y1931*AG$4:AG$11)</f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P481" s="2" t="s">
        <v>27</v>
      </c>
      <c r="Q481" s="10">
        <f>data_redis_illX!E414</f>
        <v>0</v>
      </c>
      <c r="R481" s="10">
        <f>data_redis_illX!F414</f>
        <v>0</v>
      </c>
      <c r="S481" s="10">
        <f>data_redis_illX!G414</f>
        <v>0</v>
      </c>
      <c r="T481" s="10">
        <f>data_redis_illX!H414</f>
        <v>0</v>
      </c>
      <c r="U481" s="10">
        <f>data_redis_illX!I414</f>
        <v>0</v>
      </c>
      <c r="V481" s="10">
        <f>data_redis_illX!J414</f>
        <v>0</v>
      </c>
      <c r="W481" s="10">
        <f>data_redis_illX!K414</f>
        <v>0</v>
      </c>
      <c r="X481" s="10">
        <f>data_redis_illX!L414</f>
        <v>0</v>
      </c>
      <c r="Y481" s="5">
        <f t="shared" si="7"/>
        <v>0</v>
      </c>
    </row>
    <row r="482" spans="3:25" x14ac:dyDescent="0.25">
      <c r="C482" t="s">
        <v>26</v>
      </c>
      <c r="D482">
        <f t="array" ref="D482:K482">(Q1206:Y1206*AE$4:AE$11+Q1569:Y1569*AF$4:AF$11+Q1932:Y1932*AG$4:AG$11)</f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P482" s="2" t="s">
        <v>28</v>
      </c>
      <c r="Q482" s="10">
        <f>data_redis_illX!E415</f>
        <v>0</v>
      </c>
      <c r="R482" s="10">
        <f>data_redis_illX!F415</f>
        <v>0</v>
      </c>
      <c r="S482" s="10">
        <f>data_redis_illX!G415</f>
        <v>0</v>
      </c>
      <c r="T482" s="10">
        <f>data_redis_illX!H415</f>
        <v>0</v>
      </c>
      <c r="U482" s="10">
        <f>data_redis_illX!I415</f>
        <v>0</v>
      </c>
      <c r="V482" s="10">
        <f>data_redis_illX!J415</f>
        <v>0</v>
      </c>
      <c r="W482" s="10">
        <f>data_redis_illX!K415</f>
        <v>0</v>
      </c>
      <c r="X482" s="10">
        <f>data_redis_illX!L415</f>
        <v>0</v>
      </c>
      <c r="Y482" s="5">
        <f t="shared" si="7"/>
        <v>0</v>
      </c>
    </row>
    <row r="483" spans="3:25" x14ac:dyDescent="0.25">
      <c r="C483" t="s">
        <v>27</v>
      </c>
      <c r="D483">
        <f t="array" ref="D483:K483">(Q1207:Y1207*AE$4:AE$11+Q1570:Y1570*AF$4:AF$11+Q1933:Y1933*AG$4:AG$11)</f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P483" s="2" t="s">
        <v>29</v>
      </c>
      <c r="Q483" s="10">
        <f>data_redis_illX!E416</f>
        <v>0</v>
      </c>
      <c r="R483" s="10">
        <f>data_redis_illX!F416</f>
        <v>0</v>
      </c>
      <c r="S483" s="10">
        <f>data_redis_illX!G416</f>
        <v>0</v>
      </c>
      <c r="T483" s="10">
        <f>data_redis_illX!H416</f>
        <v>0</v>
      </c>
      <c r="U483" s="10">
        <f>data_redis_illX!I416</f>
        <v>0</v>
      </c>
      <c r="V483" s="10">
        <f>data_redis_illX!J416</f>
        <v>0</v>
      </c>
      <c r="W483" s="10">
        <f>data_redis_illX!K416</f>
        <v>0</v>
      </c>
      <c r="X483" s="10">
        <f>data_redis_illX!L416</f>
        <v>0</v>
      </c>
      <c r="Y483" s="5">
        <f t="shared" si="7"/>
        <v>0</v>
      </c>
    </row>
    <row r="484" spans="3:25" x14ac:dyDescent="0.25">
      <c r="C484" t="s">
        <v>28</v>
      </c>
      <c r="D484">
        <f t="array" ref="D484:K484">(Q1208:Y1208*AE$4:AE$11+Q1571:Y1571*AF$4:AF$11+Q1934:Y1934*AG$4:AG$11)</f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P484" s="2" t="s">
        <v>30</v>
      </c>
      <c r="Q484" s="10">
        <f>data_redis_illX!E417</f>
        <v>0</v>
      </c>
      <c r="R484" s="10">
        <f>data_redis_illX!F417</f>
        <v>0</v>
      </c>
      <c r="S484" s="10">
        <f>data_redis_illX!G417</f>
        <v>0</v>
      </c>
      <c r="T484" s="10">
        <f>data_redis_illX!H417</f>
        <v>1.0017257550178202</v>
      </c>
      <c r="U484" s="10">
        <f>data_redis_illX!I417</f>
        <v>0</v>
      </c>
      <c r="V484" s="10">
        <f>data_redis_illX!J417</f>
        <v>0</v>
      </c>
      <c r="W484" s="10">
        <f>data_redis_illX!K417</f>
        <v>0</v>
      </c>
      <c r="X484" s="10">
        <f>data_redis_illX!L417</f>
        <v>0</v>
      </c>
      <c r="Y484" s="5">
        <f t="shared" si="7"/>
        <v>1.0017257550178202</v>
      </c>
    </row>
    <row r="485" spans="3:25" x14ac:dyDescent="0.25">
      <c r="C485" t="s">
        <v>29</v>
      </c>
      <c r="D485">
        <f t="array" ref="D485:K485">(Q1209:Y1209*AE$4:AE$11+Q1572:Y1572*AF$4:AF$11+Q1935:Y1935*AG$4:AG$11)</f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P485" s="2" t="s">
        <v>31</v>
      </c>
      <c r="Q485" s="10">
        <f>data_redis_illX!E418</f>
        <v>0</v>
      </c>
      <c r="R485" s="10">
        <f>data_redis_illX!F418</f>
        <v>0</v>
      </c>
      <c r="S485" s="10">
        <f>data_redis_illX!G418</f>
        <v>0</v>
      </c>
      <c r="T485" s="10">
        <f>data_redis_illX!H418</f>
        <v>0</v>
      </c>
      <c r="U485" s="10">
        <f>data_redis_illX!I418</f>
        <v>0</v>
      </c>
      <c r="V485" s="10">
        <f>data_redis_illX!J418</f>
        <v>0</v>
      </c>
      <c r="W485" s="10">
        <f>data_redis_illX!K418</f>
        <v>0</v>
      </c>
      <c r="X485" s="10">
        <f>data_redis_illX!L418</f>
        <v>0</v>
      </c>
      <c r="Y485" s="5">
        <f t="shared" si="7"/>
        <v>0</v>
      </c>
    </row>
    <row r="486" spans="3:25" x14ac:dyDescent="0.25">
      <c r="C486" t="s">
        <v>30</v>
      </c>
      <c r="D486">
        <f t="array" ref="D486:K486">(Q1210:Y1210*AE$4:AE$11+Q1573:Y1573*AF$4:AF$11+Q1936:Y1936*AG$4:AG$11)</f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P486" s="2" t="s">
        <v>32</v>
      </c>
      <c r="Q486" s="10">
        <f>data_redis_illX!E419</f>
        <v>0</v>
      </c>
      <c r="R486" s="10">
        <f>data_redis_illX!F419</f>
        <v>0</v>
      </c>
      <c r="S486" s="10">
        <f>data_redis_illX!G419</f>
        <v>0</v>
      </c>
      <c r="T486" s="10">
        <f>data_redis_illX!H419</f>
        <v>0</v>
      </c>
      <c r="U486" s="10">
        <f>data_redis_illX!I419</f>
        <v>0</v>
      </c>
      <c r="V486" s="10">
        <f>data_redis_illX!J419</f>
        <v>0</v>
      </c>
      <c r="W486" s="10">
        <f>data_redis_illX!K419</f>
        <v>0</v>
      </c>
      <c r="X486" s="10">
        <f>data_redis_illX!L419</f>
        <v>0</v>
      </c>
      <c r="Y486" s="5">
        <f t="shared" si="7"/>
        <v>0</v>
      </c>
    </row>
    <row r="487" spans="3:25" x14ac:dyDescent="0.25">
      <c r="C487" t="s">
        <v>31</v>
      </c>
      <c r="D487">
        <f t="array" ref="D487:K487">(Q1211:Y1211*AE$4:AE$11+Q1574:Y1574*AF$4:AF$11+Q1937:Y1937*AG$4:AG$11)</f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P487" s="2" t="s">
        <v>33</v>
      </c>
      <c r="Q487" s="10">
        <f>data_redis_illX!E420</f>
        <v>0</v>
      </c>
      <c r="R487" s="10">
        <f>data_redis_illX!F420</f>
        <v>0</v>
      </c>
      <c r="S487" s="10">
        <f>data_redis_illX!G420</f>
        <v>0</v>
      </c>
      <c r="T487" s="10">
        <f>data_redis_illX!H420</f>
        <v>0</v>
      </c>
      <c r="U487" s="10">
        <f>data_redis_illX!I420</f>
        <v>0</v>
      </c>
      <c r="V487" s="10">
        <f>data_redis_illX!J420</f>
        <v>0</v>
      </c>
      <c r="W487" s="10">
        <f>data_redis_illX!K420</f>
        <v>0</v>
      </c>
      <c r="X487" s="10">
        <f>data_redis_illX!L420</f>
        <v>0</v>
      </c>
      <c r="Y487" s="5">
        <f t="shared" si="7"/>
        <v>0</v>
      </c>
    </row>
    <row r="488" spans="3:25" x14ac:dyDescent="0.25">
      <c r="C488" t="s">
        <v>32</v>
      </c>
      <c r="D488">
        <f t="array" ref="D488:K488">(Q1212:Y1212*AE$4:AE$11+Q1575:Y1575*AF$4:AF$11+Q1938:Y1938*AG$4:AG$11)</f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P488" s="2" t="s">
        <v>34</v>
      </c>
      <c r="Q488" s="10">
        <f>data_redis_illX!E421</f>
        <v>0</v>
      </c>
      <c r="R488" s="10">
        <f>data_redis_illX!F421</f>
        <v>0</v>
      </c>
      <c r="S488" s="10">
        <f>data_redis_illX!G421</f>
        <v>0</v>
      </c>
      <c r="T488" s="10">
        <f>data_redis_illX!H421</f>
        <v>0</v>
      </c>
      <c r="U488" s="10">
        <f>data_redis_illX!I421</f>
        <v>0</v>
      </c>
      <c r="V488" s="10">
        <f>data_redis_illX!J421</f>
        <v>0</v>
      </c>
      <c r="W488" s="10">
        <f>data_redis_illX!K421</f>
        <v>0</v>
      </c>
      <c r="X488" s="10">
        <f>data_redis_illX!L421</f>
        <v>0</v>
      </c>
      <c r="Y488" s="5">
        <f t="shared" si="7"/>
        <v>0</v>
      </c>
    </row>
    <row r="489" spans="3:25" x14ac:dyDescent="0.25">
      <c r="C489" t="s">
        <v>33</v>
      </c>
      <c r="D489">
        <f t="array" ref="D489:K489">(Q1213:Y1213*AE$4:AE$11+Q1576:Y1576*AF$4:AF$11+Q1939:Y1939*AG$4:AG$11)</f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P489" s="2" t="s">
        <v>35</v>
      </c>
      <c r="Q489" s="10">
        <f>data_redis_illX!E422</f>
        <v>0</v>
      </c>
      <c r="R489" s="10">
        <f>data_redis_illX!F422</f>
        <v>0</v>
      </c>
      <c r="S489" s="10">
        <f>data_redis_illX!G422</f>
        <v>0</v>
      </c>
      <c r="T489" s="10">
        <f>data_redis_illX!H422</f>
        <v>0</v>
      </c>
      <c r="U489" s="10">
        <f>data_redis_illX!I422</f>
        <v>0</v>
      </c>
      <c r="V489" s="10">
        <f>data_redis_illX!J422</f>
        <v>0</v>
      </c>
      <c r="W489" s="10">
        <f>data_redis_illX!K422</f>
        <v>0</v>
      </c>
      <c r="X489" s="10">
        <f>data_redis_illX!L422</f>
        <v>0</v>
      </c>
      <c r="Y489" s="5">
        <f t="shared" si="7"/>
        <v>0</v>
      </c>
    </row>
    <row r="490" spans="3:25" x14ac:dyDescent="0.25">
      <c r="C490" t="s">
        <v>34</v>
      </c>
      <c r="D490">
        <f t="array" ref="D490:K490">(Q1214:Y1214*AE$4:AE$11+Q1577:Y1577*AF$4:AF$11+Q1940:Y1940*AG$4:AG$11)</f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P490" s="2" t="s">
        <v>36</v>
      </c>
      <c r="Q490" s="10">
        <f>data_redis_illX!E423</f>
        <v>0</v>
      </c>
      <c r="R490" s="10">
        <f>data_redis_illX!F423</f>
        <v>0</v>
      </c>
      <c r="S490" s="10">
        <f>data_redis_illX!G423</f>
        <v>0</v>
      </c>
      <c r="T490" s="10">
        <f>data_redis_illX!H423</f>
        <v>0</v>
      </c>
      <c r="U490" s="10">
        <f>data_redis_illX!I423</f>
        <v>0</v>
      </c>
      <c r="V490" s="10">
        <f>data_redis_illX!J423</f>
        <v>0</v>
      </c>
      <c r="W490" s="10">
        <f>data_redis_illX!K423</f>
        <v>0</v>
      </c>
      <c r="X490" s="10">
        <f>data_redis_illX!L423</f>
        <v>0</v>
      </c>
      <c r="Y490" s="5">
        <f t="shared" si="7"/>
        <v>0</v>
      </c>
    </row>
    <row r="491" spans="3:25" x14ac:dyDescent="0.25">
      <c r="C491" t="s">
        <v>35</v>
      </c>
      <c r="D491">
        <f t="array" ref="D491:K491">(Q1215:Y1215*AE$4:AE$11+Q1578:Y1578*AF$4:AF$11+Q1941:Y1941*AG$4:AG$11)</f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P491" s="2" t="s">
        <v>37</v>
      </c>
      <c r="Q491" s="10">
        <f>data_redis_illX!E424</f>
        <v>0</v>
      </c>
      <c r="R491" s="10">
        <f>data_redis_illX!F424</f>
        <v>0</v>
      </c>
      <c r="S491" s="10">
        <f>data_redis_illX!G424</f>
        <v>0</v>
      </c>
      <c r="T491" s="10">
        <f>data_redis_illX!H424</f>
        <v>0</v>
      </c>
      <c r="U491" s="10">
        <f>data_redis_illX!I424</f>
        <v>0</v>
      </c>
      <c r="V491" s="10">
        <f>data_redis_illX!J424</f>
        <v>0</v>
      </c>
      <c r="W491" s="10">
        <f>data_redis_illX!K424</f>
        <v>0</v>
      </c>
      <c r="X491" s="10">
        <f>data_redis_illX!L424</f>
        <v>0</v>
      </c>
      <c r="Y491" s="5">
        <f t="shared" si="7"/>
        <v>0</v>
      </c>
    </row>
    <row r="492" spans="3:25" x14ac:dyDescent="0.25">
      <c r="C492" t="s">
        <v>36</v>
      </c>
      <c r="D492">
        <f t="array" ref="D492:K492">(Q1216:Y1216*AE$4:AE$11+Q1579:Y1579*AF$4:AF$11+Q1942:Y1942*AG$4:AG$11)</f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P492" s="2" t="s">
        <v>38</v>
      </c>
      <c r="Q492" s="10">
        <f>data_redis_illX!E425</f>
        <v>0</v>
      </c>
      <c r="R492" s="10">
        <f>data_redis_illX!F425</f>
        <v>0</v>
      </c>
      <c r="S492" s="10">
        <f>data_redis_illX!G425</f>
        <v>0</v>
      </c>
      <c r="T492" s="10">
        <f>data_redis_illX!H425</f>
        <v>0</v>
      </c>
      <c r="U492" s="10">
        <f>data_redis_illX!I425</f>
        <v>0</v>
      </c>
      <c r="V492" s="10">
        <f>data_redis_illX!J425</f>
        <v>0</v>
      </c>
      <c r="W492" s="10">
        <f>data_redis_illX!K425</f>
        <v>0</v>
      </c>
      <c r="X492" s="10">
        <f>data_redis_illX!L425</f>
        <v>0</v>
      </c>
      <c r="Y492" s="5">
        <f t="shared" si="7"/>
        <v>0</v>
      </c>
    </row>
    <row r="493" spans="3:25" x14ac:dyDescent="0.25">
      <c r="C493" t="s">
        <v>37</v>
      </c>
      <c r="D493">
        <f t="array" ref="D493:K493">(Q1217:Y1217*AE$4:AE$11+Q1580:Y1580*AF$4:AF$11+Q1943:Y1943*AG$4:AG$11)</f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P493" s="2" t="s">
        <v>39</v>
      </c>
      <c r="Q493" s="10">
        <f>data_redis_illX!E426</f>
        <v>0</v>
      </c>
      <c r="R493" s="10">
        <f>data_redis_illX!F426</f>
        <v>0</v>
      </c>
      <c r="S493" s="10">
        <f>data_redis_illX!G426</f>
        <v>0</v>
      </c>
      <c r="T493" s="10">
        <f>data_redis_illX!H426</f>
        <v>0</v>
      </c>
      <c r="U493" s="10">
        <f>data_redis_illX!I426</f>
        <v>0</v>
      </c>
      <c r="V493" s="10">
        <f>data_redis_illX!J426</f>
        <v>0</v>
      </c>
      <c r="W493" s="10">
        <f>data_redis_illX!K426</f>
        <v>0</v>
      </c>
      <c r="X493" s="10">
        <f>data_redis_illX!L426</f>
        <v>0</v>
      </c>
      <c r="Y493" s="5">
        <f t="shared" si="7"/>
        <v>0</v>
      </c>
    </row>
    <row r="494" spans="3:25" x14ac:dyDescent="0.25">
      <c r="C494" t="s">
        <v>38</v>
      </c>
      <c r="D494">
        <f t="array" ref="D494:K494">(Q1218:Y1218*AE$4:AE$11+Q1581:Y1581*AF$4:AF$11+Q1944:Y1944*AG$4:AG$11)</f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P494" s="2" t="s">
        <v>40</v>
      </c>
      <c r="Q494" s="10">
        <f>data_redis_illX!E427</f>
        <v>0</v>
      </c>
      <c r="R494" s="10">
        <f>data_redis_illX!F427</f>
        <v>0</v>
      </c>
      <c r="S494" s="10">
        <f>data_redis_illX!G427</f>
        <v>0</v>
      </c>
      <c r="T494" s="10">
        <f>data_redis_illX!H427</f>
        <v>0</v>
      </c>
      <c r="U494" s="10">
        <f>data_redis_illX!I427</f>
        <v>0</v>
      </c>
      <c r="V494" s="10">
        <f>data_redis_illX!J427</f>
        <v>0</v>
      </c>
      <c r="W494" s="10">
        <f>data_redis_illX!K427</f>
        <v>0</v>
      </c>
      <c r="X494" s="10">
        <f>data_redis_illX!L427</f>
        <v>0</v>
      </c>
      <c r="Y494" s="5">
        <f t="shared" si="7"/>
        <v>0</v>
      </c>
    </row>
    <row r="495" spans="3:25" x14ac:dyDescent="0.25">
      <c r="C495" t="s">
        <v>39</v>
      </c>
      <c r="D495">
        <f t="array" ref="D495:K495">(Q1219:Y1219*AE$4:AE$11+Q1582:Y1582*AF$4:AF$11+Q1945:Y1945*AG$4:AG$11)</f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P495" s="2" t="s">
        <v>41</v>
      </c>
      <c r="Q495" s="10">
        <f>data_redis_illX!E428</f>
        <v>0</v>
      </c>
      <c r="R495" s="10">
        <f>data_redis_illX!F428</f>
        <v>0</v>
      </c>
      <c r="S495" s="10">
        <f>data_redis_illX!G428</f>
        <v>0</v>
      </c>
      <c r="T495" s="10">
        <f>data_redis_illX!H428</f>
        <v>0</v>
      </c>
      <c r="U495" s="10">
        <f>data_redis_illX!I428</f>
        <v>0</v>
      </c>
      <c r="V495" s="10">
        <f>data_redis_illX!J428</f>
        <v>0</v>
      </c>
      <c r="W495" s="10">
        <f>data_redis_illX!K428</f>
        <v>0</v>
      </c>
      <c r="X495" s="10">
        <f>data_redis_illX!L428</f>
        <v>0</v>
      </c>
      <c r="Y495" s="5">
        <f t="shared" si="7"/>
        <v>0</v>
      </c>
    </row>
    <row r="496" spans="3:25" x14ac:dyDescent="0.25">
      <c r="C496" t="s">
        <v>40</v>
      </c>
      <c r="D496">
        <f t="array" ref="D496:K496">(Q1220:Y1220*AE$4:AE$11+Q1583:Y1583*AF$4:AF$11+Q1946:Y1946*AG$4:AG$11)</f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P496" s="2" t="s">
        <v>42</v>
      </c>
      <c r="Q496" s="10">
        <f>data_redis_illX!E429</f>
        <v>0</v>
      </c>
      <c r="R496" s="10">
        <f>data_redis_illX!F429</f>
        <v>0</v>
      </c>
      <c r="S496" s="10">
        <f>data_redis_illX!G429</f>
        <v>0</v>
      </c>
      <c r="T496" s="10">
        <f>data_redis_illX!H429</f>
        <v>1.0017257550178202</v>
      </c>
      <c r="U496" s="10">
        <f>data_redis_illX!I429</f>
        <v>0</v>
      </c>
      <c r="V496" s="10">
        <f>data_redis_illX!J429</f>
        <v>0</v>
      </c>
      <c r="W496" s="10">
        <f>data_redis_illX!K429</f>
        <v>0</v>
      </c>
      <c r="X496" s="10">
        <f>data_redis_illX!L429</f>
        <v>0</v>
      </c>
      <c r="Y496" s="5">
        <f t="shared" si="7"/>
        <v>1.0017257550178202</v>
      </c>
    </row>
    <row r="497" spans="1:25" x14ac:dyDescent="0.25">
      <c r="C497" t="s">
        <v>41</v>
      </c>
      <c r="D497">
        <f t="array" ref="D497:K497">(Q1221:Y1221*AE$4:AE$11+Q1584:Y1584*AF$4:AF$11+Q1947:Y1947*AG$4:AG$11)</f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P497" s="2" t="s">
        <v>43</v>
      </c>
      <c r="Q497" s="10">
        <f>data_redis_illX!E430</f>
        <v>0</v>
      </c>
      <c r="R497" s="10">
        <f>data_redis_illX!F430</f>
        <v>0</v>
      </c>
      <c r="S497" s="10">
        <f>data_redis_illX!G430</f>
        <v>0</v>
      </c>
      <c r="T497" s="10">
        <f>data_redis_illX!H430</f>
        <v>0</v>
      </c>
      <c r="U497" s="10">
        <f>data_redis_illX!I430</f>
        <v>0</v>
      </c>
      <c r="V497" s="10">
        <f>data_redis_illX!J430</f>
        <v>0</v>
      </c>
      <c r="W497" s="10">
        <f>data_redis_illX!K430</f>
        <v>0</v>
      </c>
      <c r="X497" s="10">
        <f>data_redis_illX!L430</f>
        <v>0</v>
      </c>
      <c r="Y497" s="5">
        <f t="shared" si="7"/>
        <v>0</v>
      </c>
    </row>
    <row r="498" spans="1:25" x14ac:dyDescent="0.25">
      <c r="C498" t="s">
        <v>42</v>
      </c>
      <c r="D498">
        <f t="array" ref="D498:K498">(Q1222:Y1222*AE$4:AE$11+Q1585:Y1585*AF$4:AF$11+Q1948:Y1948*AG$4:AG$11)</f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P498" s="2" t="s">
        <v>44</v>
      </c>
      <c r="Q498" s="10">
        <f>data_redis_illX!E431</f>
        <v>0</v>
      </c>
      <c r="R498" s="10">
        <f>data_redis_illX!F431</f>
        <v>0</v>
      </c>
      <c r="S498" s="10">
        <f>data_redis_illX!G431</f>
        <v>0</v>
      </c>
      <c r="T498" s="10">
        <f>data_redis_illX!H431</f>
        <v>0</v>
      </c>
      <c r="U498" s="10">
        <f>data_redis_illX!I431</f>
        <v>0</v>
      </c>
      <c r="V498" s="10">
        <f>data_redis_illX!J431</f>
        <v>0</v>
      </c>
      <c r="W498" s="10">
        <f>data_redis_illX!K431</f>
        <v>0</v>
      </c>
      <c r="X498" s="10">
        <f>data_redis_illX!L431</f>
        <v>0</v>
      </c>
      <c r="Y498" s="5">
        <f t="shared" si="7"/>
        <v>0</v>
      </c>
    </row>
    <row r="499" spans="1:25" x14ac:dyDescent="0.25">
      <c r="C499" t="s">
        <v>43</v>
      </c>
      <c r="D499">
        <f t="array" ref="D499:K499">(Q1223:Y1223*AE$4:AE$11+Q1586:Y1586*AF$4:AF$11+Q1949:Y1949*AG$4:AG$11)</f>
        <v>0</v>
      </c>
      <c r="E499">
        <v>0</v>
      </c>
      <c r="F499">
        <v>0</v>
      </c>
      <c r="G499">
        <v>0</v>
      </c>
      <c r="H499">
        <v>2.1969645910805098</v>
      </c>
      <c r="I499">
        <v>0</v>
      </c>
      <c r="J499">
        <v>0</v>
      </c>
      <c r="K499">
        <v>0</v>
      </c>
      <c r="M499" t="s">
        <v>104</v>
      </c>
      <c r="N499" t="s">
        <v>116</v>
      </c>
      <c r="O499" t="s">
        <v>48</v>
      </c>
      <c r="P499" s="2" t="s">
        <v>12</v>
      </c>
      <c r="Q499" s="10">
        <f>data_redis_illX!E432</f>
        <v>0</v>
      </c>
      <c r="R499" s="10">
        <f>data_redis_illX!F432</f>
        <v>0</v>
      </c>
      <c r="S499" s="10">
        <f>data_redis_illX!G432</f>
        <v>0</v>
      </c>
      <c r="T499" s="10">
        <f>data_redis_illX!H432</f>
        <v>0</v>
      </c>
      <c r="U499" s="10">
        <f>data_redis_illX!I432</f>
        <v>0</v>
      </c>
      <c r="V499" s="10">
        <f>data_redis_illX!J432</f>
        <v>0</v>
      </c>
      <c r="W499" s="10">
        <f>data_redis_illX!K432</f>
        <v>0</v>
      </c>
      <c r="X499" s="10">
        <f>data_redis_illX!L432</f>
        <v>0</v>
      </c>
      <c r="Y499" s="5">
        <f t="shared" si="7"/>
        <v>0</v>
      </c>
    </row>
    <row r="500" spans="1:25" x14ac:dyDescent="0.25">
      <c r="C500" t="s">
        <v>44</v>
      </c>
      <c r="D500">
        <f t="array" ref="D500:K500">(Q1224:Y1224*AE$4:AE$11+Q1587:Y1587*AF$4:AF$11+Q1950:Y1950*AG$4:AG$11)</f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P500" s="2" t="s">
        <v>13</v>
      </c>
      <c r="Q500" s="10">
        <f>data_redis_illX!E433</f>
        <v>0</v>
      </c>
      <c r="R500" s="10">
        <f>data_redis_illX!F433</f>
        <v>0</v>
      </c>
      <c r="S500" s="10">
        <f>data_redis_illX!G433</f>
        <v>0</v>
      </c>
      <c r="T500" s="10">
        <f>data_redis_illX!H433</f>
        <v>0</v>
      </c>
      <c r="U500" s="10">
        <f>data_redis_illX!I433</f>
        <v>0</v>
      </c>
      <c r="V500" s="10">
        <f>data_redis_illX!J433</f>
        <v>0</v>
      </c>
      <c r="W500" s="10">
        <f>data_redis_illX!K433</f>
        <v>0</v>
      </c>
      <c r="X500" s="10">
        <f>data_redis_illX!L433</f>
        <v>0</v>
      </c>
      <c r="Y500" s="5">
        <f t="shared" si="7"/>
        <v>0</v>
      </c>
    </row>
    <row r="501" spans="1:25" x14ac:dyDescent="0.25">
      <c r="A501">
        <v>2</v>
      </c>
      <c r="B501" t="s">
        <v>48</v>
      </c>
      <c r="C501" t="s">
        <v>12</v>
      </c>
      <c r="D501">
        <f t="array" ref="D501:K501">(Q1225:Y1225*AE$4:AE$11+Q1588:Y1588*AF$4:AF$11+Q1951:Y1951*AG$4:AG$11)</f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P501" s="2" t="s">
        <v>14</v>
      </c>
      <c r="Q501" s="10">
        <f>data_redis_illX!E434</f>
        <v>0</v>
      </c>
      <c r="R501" s="10">
        <f>data_redis_illX!F434</f>
        <v>0</v>
      </c>
      <c r="S501" s="10">
        <f>data_redis_illX!G434</f>
        <v>0</v>
      </c>
      <c r="T501" s="10">
        <f>data_redis_illX!H434</f>
        <v>1.0017257550178202</v>
      </c>
      <c r="U501" s="10">
        <f>data_redis_illX!I434</f>
        <v>0</v>
      </c>
      <c r="V501" s="10">
        <f>data_redis_illX!J434</f>
        <v>0</v>
      </c>
      <c r="W501" s="10">
        <f>data_redis_illX!K434</f>
        <v>0</v>
      </c>
      <c r="X501" s="10">
        <f>data_redis_illX!L434</f>
        <v>0</v>
      </c>
      <c r="Y501" s="5">
        <f t="shared" si="7"/>
        <v>1.0017257550178202</v>
      </c>
    </row>
    <row r="502" spans="1:25" x14ac:dyDescent="0.25">
      <c r="C502" t="s">
        <v>13</v>
      </c>
      <c r="D502">
        <f t="array" ref="D502:K502">(Q1226:Y1226*AE$4:AE$11+Q1589:Y1589*AF$4:AF$11+Q1952:Y1952*AG$4:AG$11)</f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P502" s="2" t="s">
        <v>15</v>
      </c>
      <c r="Q502" s="10">
        <f>data_redis_illX!E435</f>
        <v>0</v>
      </c>
      <c r="R502" s="10">
        <f>data_redis_illX!F435</f>
        <v>0</v>
      </c>
      <c r="S502" s="10">
        <f>data_redis_illX!G435</f>
        <v>0</v>
      </c>
      <c r="T502" s="10">
        <f>data_redis_illX!H435</f>
        <v>0</v>
      </c>
      <c r="U502" s="10">
        <f>data_redis_illX!I435</f>
        <v>0</v>
      </c>
      <c r="V502" s="10">
        <f>data_redis_illX!J435</f>
        <v>0</v>
      </c>
      <c r="W502" s="10">
        <f>data_redis_illX!K435</f>
        <v>0</v>
      </c>
      <c r="X502" s="10">
        <f>data_redis_illX!L435</f>
        <v>0</v>
      </c>
      <c r="Y502" s="5">
        <f t="shared" si="7"/>
        <v>0</v>
      </c>
    </row>
    <row r="503" spans="1:25" x14ac:dyDescent="0.25">
      <c r="C503" t="s">
        <v>14</v>
      </c>
      <c r="D503">
        <f t="array" ref="D503:K503">(Q1227:Y1227*AE$4:AE$11+Q1590:Y1590*AF$4:AF$11+Q1953:Y1953*AG$4:AG$11)</f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P503" s="2" t="s">
        <v>16</v>
      </c>
      <c r="Q503" s="10">
        <f>data_redis_illX!E436</f>
        <v>0</v>
      </c>
      <c r="R503" s="10">
        <f>data_redis_illX!F436</f>
        <v>0</v>
      </c>
      <c r="S503" s="10">
        <f>data_redis_illX!G436</f>
        <v>0</v>
      </c>
      <c r="T503" s="10">
        <f>data_redis_illX!H436</f>
        <v>0</v>
      </c>
      <c r="U503" s="10">
        <f>data_redis_illX!I436</f>
        <v>0</v>
      </c>
      <c r="V503" s="10">
        <f>data_redis_illX!J436</f>
        <v>0</v>
      </c>
      <c r="W503" s="10">
        <f>data_redis_illX!K436</f>
        <v>0</v>
      </c>
      <c r="X503" s="10">
        <f>data_redis_illX!L436</f>
        <v>0</v>
      </c>
      <c r="Y503" s="5">
        <f t="shared" si="7"/>
        <v>0</v>
      </c>
    </row>
    <row r="504" spans="1:25" x14ac:dyDescent="0.25">
      <c r="C504" t="s">
        <v>15</v>
      </c>
      <c r="D504">
        <f t="array" ref="D504:K504">(Q1228:Y1228*AE$4:AE$11+Q1591:Y1591*AF$4:AF$11+Q1954:Y1954*AG$4:AG$11)</f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P504" s="2" t="s">
        <v>17</v>
      </c>
      <c r="Q504" s="10">
        <f>data_redis_illX!E437</f>
        <v>0</v>
      </c>
      <c r="R504" s="10">
        <f>data_redis_illX!F437</f>
        <v>0</v>
      </c>
      <c r="S504" s="10">
        <f>data_redis_illX!G437</f>
        <v>0</v>
      </c>
      <c r="T504" s="10">
        <f>data_redis_illX!H437</f>
        <v>0</v>
      </c>
      <c r="U504" s="10">
        <f>data_redis_illX!I437</f>
        <v>0</v>
      </c>
      <c r="V504" s="10">
        <f>data_redis_illX!J437</f>
        <v>0</v>
      </c>
      <c r="W504" s="10">
        <f>data_redis_illX!K437</f>
        <v>0</v>
      </c>
      <c r="X504" s="10">
        <f>data_redis_illX!L437</f>
        <v>0</v>
      </c>
      <c r="Y504" s="5">
        <f t="shared" si="7"/>
        <v>0</v>
      </c>
    </row>
    <row r="505" spans="1:25" x14ac:dyDescent="0.25">
      <c r="C505" t="s">
        <v>16</v>
      </c>
      <c r="D505">
        <f t="array" ref="D505:K505">(Q1229:Y1229*AE$4:AE$11+Q1592:Y1592*AF$4:AF$11+Q1955:Y1955*AG$4:AG$11)</f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P505" s="2" t="s">
        <v>18</v>
      </c>
      <c r="Q505" s="10">
        <f>data_redis_illX!E438</f>
        <v>0</v>
      </c>
      <c r="R505" s="10">
        <f>data_redis_illX!F438</f>
        <v>0</v>
      </c>
      <c r="S505" s="10">
        <f>data_redis_illX!G438</f>
        <v>0</v>
      </c>
      <c r="T505" s="10">
        <f>data_redis_illX!H438</f>
        <v>0</v>
      </c>
      <c r="U505" s="10">
        <f>data_redis_illX!I438</f>
        <v>0</v>
      </c>
      <c r="V505" s="10">
        <f>data_redis_illX!J438</f>
        <v>0</v>
      </c>
      <c r="W505" s="10">
        <f>data_redis_illX!K438</f>
        <v>0</v>
      </c>
      <c r="X505" s="10">
        <f>data_redis_illX!L438</f>
        <v>0</v>
      </c>
      <c r="Y505" s="5">
        <f t="shared" si="7"/>
        <v>0</v>
      </c>
    </row>
    <row r="506" spans="1:25" x14ac:dyDescent="0.25">
      <c r="C506" t="s">
        <v>17</v>
      </c>
      <c r="D506">
        <f t="array" ref="D506:K506">(Q1230:Y1230*AE$4:AE$11+Q1593:Y1593*AF$4:AF$11+Q1956:Y1956*AG$4:AG$11)</f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P506" s="2" t="s">
        <v>19</v>
      </c>
      <c r="Q506" s="10">
        <f>data_redis_illX!E439</f>
        <v>0</v>
      </c>
      <c r="R506" s="10">
        <f>data_redis_illX!F439</f>
        <v>0</v>
      </c>
      <c r="S506" s="10">
        <f>data_redis_illX!G439</f>
        <v>0</v>
      </c>
      <c r="T506" s="10">
        <f>data_redis_illX!H439</f>
        <v>0</v>
      </c>
      <c r="U506" s="10">
        <f>data_redis_illX!I439</f>
        <v>0</v>
      </c>
      <c r="V506" s="10">
        <f>data_redis_illX!J439</f>
        <v>0</v>
      </c>
      <c r="W506" s="10">
        <f>data_redis_illX!K439</f>
        <v>0</v>
      </c>
      <c r="X506" s="10">
        <f>data_redis_illX!L439</f>
        <v>0</v>
      </c>
      <c r="Y506" s="5">
        <f t="shared" si="7"/>
        <v>0</v>
      </c>
    </row>
    <row r="507" spans="1:25" x14ac:dyDescent="0.25">
      <c r="C507" t="s">
        <v>18</v>
      </c>
      <c r="D507">
        <f t="array" ref="D507:K507">(Q1231:Y1231*AE$4:AE$11+Q1594:Y1594*AF$4:AF$11+Q1957:Y1957*AG$4:AG$11)</f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P507" s="2" t="s">
        <v>20</v>
      </c>
      <c r="Q507" s="10">
        <f>data_redis_illX!E440</f>
        <v>0</v>
      </c>
      <c r="R507" s="10">
        <f>data_redis_illX!F440</f>
        <v>0</v>
      </c>
      <c r="S507" s="10">
        <f>data_redis_illX!G440</f>
        <v>0</v>
      </c>
      <c r="T507" s="10">
        <f>data_redis_illX!H440</f>
        <v>0</v>
      </c>
      <c r="U507" s="10">
        <f>data_redis_illX!I440</f>
        <v>0</v>
      </c>
      <c r="V507" s="10">
        <f>data_redis_illX!J440</f>
        <v>0</v>
      </c>
      <c r="W507" s="10">
        <f>data_redis_illX!K440</f>
        <v>0</v>
      </c>
      <c r="X507" s="10">
        <f>data_redis_illX!L440</f>
        <v>0</v>
      </c>
      <c r="Y507" s="5">
        <f t="shared" si="7"/>
        <v>0</v>
      </c>
    </row>
    <row r="508" spans="1:25" x14ac:dyDescent="0.25">
      <c r="C508" t="s">
        <v>19</v>
      </c>
      <c r="D508">
        <f t="array" ref="D508:K508">(Q1232:Y1232*AE$4:AE$11+Q1595:Y1595*AF$4:AF$11+Q1958:Y1958*AG$4:AG$11)</f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P508" s="2" t="s">
        <v>21</v>
      </c>
      <c r="Q508" s="10">
        <f>data_redis_illX!E441</f>
        <v>0</v>
      </c>
      <c r="R508" s="10">
        <f>data_redis_illX!F441</f>
        <v>0</v>
      </c>
      <c r="S508" s="10">
        <f>data_redis_illX!G441</f>
        <v>0</v>
      </c>
      <c r="T508" s="10">
        <f>data_redis_illX!H441</f>
        <v>0</v>
      </c>
      <c r="U508" s="10">
        <f>data_redis_illX!I441</f>
        <v>0</v>
      </c>
      <c r="V508" s="10">
        <f>data_redis_illX!J441</f>
        <v>0</v>
      </c>
      <c r="W508" s="10">
        <f>data_redis_illX!K441</f>
        <v>0</v>
      </c>
      <c r="X508" s="10">
        <f>data_redis_illX!L441</f>
        <v>0</v>
      </c>
      <c r="Y508" s="5">
        <f t="shared" si="7"/>
        <v>0</v>
      </c>
    </row>
    <row r="509" spans="1:25" x14ac:dyDescent="0.25">
      <c r="C509" t="s">
        <v>20</v>
      </c>
      <c r="D509">
        <f t="array" ref="D509:K509">(Q1233:Y1233*AE$4:AE$11+Q1596:Y1596*AF$4:AF$11+Q1959:Y1959*AG$4:AG$11)</f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P509" s="2" t="s">
        <v>22</v>
      </c>
      <c r="Q509" s="10">
        <f>data_redis_illX!E442</f>
        <v>0</v>
      </c>
      <c r="R509" s="10">
        <f>data_redis_illX!F442</f>
        <v>0</v>
      </c>
      <c r="S509" s="10">
        <f>data_redis_illX!G442</f>
        <v>0</v>
      </c>
      <c r="T509" s="10">
        <f>data_redis_illX!H442</f>
        <v>0</v>
      </c>
      <c r="U509" s="10">
        <f>data_redis_illX!I442</f>
        <v>0</v>
      </c>
      <c r="V509" s="10">
        <f>data_redis_illX!J442</f>
        <v>0</v>
      </c>
      <c r="W509" s="10">
        <f>data_redis_illX!K442</f>
        <v>0</v>
      </c>
      <c r="X509" s="10">
        <f>data_redis_illX!L442</f>
        <v>0</v>
      </c>
      <c r="Y509" s="5">
        <f t="shared" si="7"/>
        <v>0</v>
      </c>
    </row>
    <row r="510" spans="1:25" x14ac:dyDescent="0.25">
      <c r="C510" t="s">
        <v>21</v>
      </c>
      <c r="D510">
        <f t="array" ref="D510:K510">(Q1234:Y1234*AE$4:AE$11+Q1597:Y1597*AF$4:AF$11+Q1960:Y1960*AG$4:AG$11)</f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P510" s="2" t="s">
        <v>23</v>
      </c>
      <c r="Q510" s="10">
        <f>data_redis_illX!E443</f>
        <v>0</v>
      </c>
      <c r="R510" s="10">
        <f>data_redis_illX!F443</f>
        <v>0</v>
      </c>
      <c r="S510" s="10">
        <f>data_redis_illX!G443</f>
        <v>0</v>
      </c>
      <c r="T510" s="10">
        <f>data_redis_illX!H443</f>
        <v>0</v>
      </c>
      <c r="U510" s="10">
        <f>data_redis_illX!I443</f>
        <v>0</v>
      </c>
      <c r="V510" s="10">
        <f>data_redis_illX!J443</f>
        <v>0</v>
      </c>
      <c r="W510" s="10">
        <f>data_redis_illX!K443</f>
        <v>0</v>
      </c>
      <c r="X510" s="10">
        <f>data_redis_illX!L443</f>
        <v>0</v>
      </c>
      <c r="Y510" s="5">
        <f t="shared" si="7"/>
        <v>0</v>
      </c>
    </row>
    <row r="511" spans="1:25" x14ac:dyDescent="0.25">
      <c r="C511" t="s">
        <v>22</v>
      </c>
      <c r="D511">
        <f t="array" ref="D511:K511">(Q1235:Y1235*AE$4:AE$11+Q1598:Y1598*AF$4:AF$11+Q1961:Y1961*AG$4:AG$11)</f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P511" s="2" t="s">
        <v>24</v>
      </c>
      <c r="Q511" s="10">
        <f>data_redis_illX!E444</f>
        <v>0</v>
      </c>
      <c r="R511" s="10">
        <f>data_redis_illX!F444</f>
        <v>0</v>
      </c>
      <c r="S511" s="10">
        <f>data_redis_illX!G444</f>
        <v>0</v>
      </c>
      <c r="T511" s="10">
        <f>data_redis_illX!H444</f>
        <v>0</v>
      </c>
      <c r="U511" s="10">
        <f>data_redis_illX!I444</f>
        <v>0</v>
      </c>
      <c r="V511" s="10">
        <f>data_redis_illX!J444</f>
        <v>0</v>
      </c>
      <c r="W511" s="10">
        <f>data_redis_illX!K444</f>
        <v>0</v>
      </c>
      <c r="X511" s="10">
        <f>data_redis_illX!L444</f>
        <v>0</v>
      </c>
      <c r="Y511" s="5">
        <f t="shared" si="7"/>
        <v>0</v>
      </c>
    </row>
    <row r="512" spans="1:25" x14ac:dyDescent="0.25">
      <c r="C512" t="s">
        <v>23</v>
      </c>
      <c r="D512">
        <f t="array" ref="D512:K512">(Q1236:Y1236*AE$4:AE$11+Q1599:Y1599*AF$4:AF$11+Q1962:Y1962*AG$4:AG$11)</f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P512" s="2" t="s">
        <v>25</v>
      </c>
      <c r="Q512" s="10">
        <f>data_redis_illX!E445</f>
        <v>0</v>
      </c>
      <c r="R512" s="10">
        <f>data_redis_illX!F445</f>
        <v>0</v>
      </c>
      <c r="S512" s="10">
        <f>data_redis_illX!G445</f>
        <v>0</v>
      </c>
      <c r="T512" s="10">
        <f>data_redis_illX!H445</f>
        <v>0</v>
      </c>
      <c r="U512" s="10">
        <f>data_redis_illX!I445</f>
        <v>0</v>
      </c>
      <c r="V512" s="10">
        <f>data_redis_illX!J445</f>
        <v>0</v>
      </c>
      <c r="W512" s="10">
        <f>data_redis_illX!K445</f>
        <v>0</v>
      </c>
      <c r="X512" s="10">
        <f>data_redis_illX!L445</f>
        <v>0</v>
      </c>
      <c r="Y512" s="5">
        <f t="shared" si="7"/>
        <v>0</v>
      </c>
    </row>
    <row r="513" spans="3:25" x14ac:dyDescent="0.25">
      <c r="C513" t="s">
        <v>24</v>
      </c>
      <c r="D513">
        <f t="array" ref="D513:K513">(Q1237:Y1237*AE$4:AE$11+Q1600:Y1600*AF$4:AF$11+Q1963:Y1963*AG$4:AG$11)</f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P513" s="2" t="s">
        <v>26</v>
      </c>
      <c r="Q513" s="10">
        <f>data_redis_illX!E446</f>
        <v>0</v>
      </c>
      <c r="R513" s="10">
        <f>data_redis_illX!F446</f>
        <v>0</v>
      </c>
      <c r="S513" s="10">
        <f>data_redis_illX!G446</f>
        <v>0</v>
      </c>
      <c r="T513" s="10">
        <f>data_redis_illX!H446</f>
        <v>0</v>
      </c>
      <c r="U513" s="10">
        <f>data_redis_illX!I446</f>
        <v>0</v>
      </c>
      <c r="V513" s="10">
        <f>data_redis_illX!J446</f>
        <v>0</v>
      </c>
      <c r="W513" s="10">
        <f>data_redis_illX!K446</f>
        <v>0</v>
      </c>
      <c r="X513" s="10">
        <f>data_redis_illX!L446</f>
        <v>0</v>
      </c>
      <c r="Y513" s="5">
        <f t="shared" si="7"/>
        <v>0</v>
      </c>
    </row>
    <row r="514" spans="3:25" x14ac:dyDescent="0.25">
      <c r="C514" t="s">
        <v>25</v>
      </c>
      <c r="D514">
        <f t="array" ref="D514:K514">(Q1238:Y1238*AE$4:AE$11+Q1601:Y1601*AF$4:AF$11+Q1964:Y1964*AG$4:AG$11)</f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P514" s="2" t="s">
        <v>27</v>
      </c>
      <c r="Q514" s="10">
        <f>data_redis_illX!E447</f>
        <v>0</v>
      </c>
      <c r="R514" s="10">
        <f>data_redis_illX!F447</f>
        <v>0</v>
      </c>
      <c r="S514" s="10">
        <f>data_redis_illX!G447</f>
        <v>0</v>
      </c>
      <c r="T514" s="10">
        <f>data_redis_illX!H447</f>
        <v>0</v>
      </c>
      <c r="U514" s="10">
        <f>data_redis_illX!I447</f>
        <v>0</v>
      </c>
      <c r="V514" s="10">
        <f>data_redis_illX!J447</f>
        <v>0</v>
      </c>
      <c r="W514" s="10">
        <f>data_redis_illX!K447</f>
        <v>0</v>
      </c>
      <c r="X514" s="10">
        <f>data_redis_illX!L447</f>
        <v>0</v>
      </c>
      <c r="Y514" s="5">
        <f t="shared" si="7"/>
        <v>0</v>
      </c>
    </row>
    <row r="515" spans="3:25" x14ac:dyDescent="0.25">
      <c r="C515" t="s">
        <v>26</v>
      </c>
      <c r="D515">
        <f t="array" ref="D515:K515">(Q1239:Y1239*AE$4:AE$11+Q1602:Y1602*AF$4:AF$11+Q1965:Y1965*AG$4:AG$11)</f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P515" s="2" t="s">
        <v>28</v>
      </c>
      <c r="Q515" s="10">
        <f>data_redis_illX!E448</f>
        <v>0</v>
      </c>
      <c r="R515" s="10">
        <f>data_redis_illX!F448</f>
        <v>0</v>
      </c>
      <c r="S515" s="10">
        <f>data_redis_illX!G448</f>
        <v>0</v>
      </c>
      <c r="T515" s="10">
        <f>data_redis_illX!H448</f>
        <v>0</v>
      </c>
      <c r="U515" s="10">
        <f>data_redis_illX!I448</f>
        <v>0</v>
      </c>
      <c r="V515" s="10">
        <f>data_redis_illX!J448</f>
        <v>0</v>
      </c>
      <c r="W515" s="10">
        <f>data_redis_illX!K448</f>
        <v>0</v>
      </c>
      <c r="X515" s="10">
        <f>data_redis_illX!L448</f>
        <v>0</v>
      </c>
      <c r="Y515" s="5">
        <f t="shared" si="7"/>
        <v>0</v>
      </c>
    </row>
    <row r="516" spans="3:25" x14ac:dyDescent="0.25">
      <c r="C516" t="s">
        <v>27</v>
      </c>
      <c r="D516">
        <f t="array" ref="D516:K516">(Q1240:Y1240*AE$4:AE$11+Q1603:Y1603*AF$4:AF$11+Q1966:Y1966*AG$4:AG$11)</f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P516" s="2" t="s">
        <v>29</v>
      </c>
      <c r="Q516" s="10">
        <f>data_redis_illX!E449</f>
        <v>0</v>
      </c>
      <c r="R516" s="10">
        <f>data_redis_illX!F449</f>
        <v>0</v>
      </c>
      <c r="S516" s="10">
        <f>data_redis_illX!G449</f>
        <v>0</v>
      </c>
      <c r="T516" s="10">
        <f>data_redis_illX!H449</f>
        <v>0</v>
      </c>
      <c r="U516" s="10">
        <f>data_redis_illX!I449</f>
        <v>0</v>
      </c>
      <c r="V516" s="10">
        <f>data_redis_illX!J449</f>
        <v>0</v>
      </c>
      <c r="W516" s="10">
        <f>data_redis_illX!K449</f>
        <v>0</v>
      </c>
      <c r="X516" s="10">
        <f>data_redis_illX!L449</f>
        <v>0</v>
      </c>
      <c r="Y516" s="5">
        <f t="shared" si="7"/>
        <v>0</v>
      </c>
    </row>
    <row r="517" spans="3:25" x14ac:dyDescent="0.25">
      <c r="C517" t="s">
        <v>28</v>
      </c>
      <c r="D517">
        <f t="array" ref="D517:K517">(Q1241:Y1241*AE$4:AE$11+Q1604:Y1604*AF$4:AF$11+Q1967:Y1967*AG$4:AG$11)</f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P517" s="2" t="s">
        <v>30</v>
      </c>
      <c r="Q517" s="10">
        <f>data_redis_illX!E450</f>
        <v>0</v>
      </c>
      <c r="R517" s="10">
        <f>data_redis_illX!F450</f>
        <v>0</v>
      </c>
      <c r="S517" s="10">
        <f>data_redis_illX!G450</f>
        <v>0</v>
      </c>
      <c r="T517" s="10">
        <f>data_redis_illX!H450</f>
        <v>0</v>
      </c>
      <c r="U517" s="10">
        <f>data_redis_illX!I450</f>
        <v>0</v>
      </c>
      <c r="V517" s="10">
        <f>data_redis_illX!J450</f>
        <v>0</v>
      </c>
      <c r="W517" s="10">
        <f>data_redis_illX!K450</f>
        <v>0</v>
      </c>
      <c r="X517" s="10">
        <f>data_redis_illX!L450</f>
        <v>0</v>
      </c>
      <c r="Y517" s="5">
        <f t="shared" ref="Y517:Y580" si="8">SUM(Q517:X517)</f>
        <v>0</v>
      </c>
    </row>
    <row r="518" spans="3:25" x14ac:dyDescent="0.25">
      <c r="C518" t="s">
        <v>29</v>
      </c>
      <c r="D518">
        <f t="array" ref="D518:K518">(Q1242:Y1242*AE$4:AE$11+Q1605:Y1605*AF$4:AF$11+Q1968:Y1968*AG$4:AG$11)</f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P518" s="2" t="s">
        <v>31</v>
      </c>
      <c r="Q518" s="10">
        <f>data_redis_illX!E451</f>
        <v>0</v>
      </c>
      <c r="R518" s="10">
        <f>data_redis_illX!F451</f>
        <v>0</v>
      </c>
      <c r="S518" s="10">
        <f>data_redis_illX!G451</f>
        <v>0</v>
      </c>
      <c r="T518" s="10">
        <f>data_redis_illX!H451</f>
        <v>0</v>
      </c>
      <c r="U518" s="10">
        <f>data_redis_illX!I451</f>
        <v>0</v>
      </c>
      <c r="V518" s="10">
        <f>data_redis_illX!J451</f>
        <v>0</v>
      </c>
      <c r="W518" s="10">
        <f>data_redis_illX!K451</f>
        <v>0</v>
      </c>
      <c r="X518" s="10">
        <f>data_redis_illX!L451</f>
        <v>0</v>
      </c>
      <c r="Y518" s="5">
        <f t="shared" si="8"/>
        <v>0</v>
      </c>
    </row>
    <row r="519" spans="3:25" x14ac:dyDescent="0.25">
      <c r="C519" t="s">
        <v>30</v>
      </c>
      <c r="D519">
        <f t="array" ref="D519:K519">(Q1243:Y1243*AE$4:AE$11+Q1606:Y1606*AF$4:AF$11+Q1969:Y1969*AG$4:AG$11)</f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P519" s="2" t="s">
        <v>32</v>
      </c>
      <c r="Q519" s="10">
        <f>data_redis_illX!E452</f>
        <v>0</v>
      </c>
      <c r="R519" s="10">
        <f>data_redis_illX!F452</f>
        <v>0</v>
      </c>
      <c r="S519" s="10">
        <f>data_redis_illX!G452</f>
        <v>0</v>
      </c>
      <c r="T519" s="10">
        <f>data_redis_illX!H452</f>
        <v>0</v>
      </c>
      <c r="U519" s="10">
        <f>data_redis_illX!I452</f>
        <v>0</v>
      </c>
      <c r="V519" s="10">
        <f>data_redis_illX!J452</f>
        <v>0</v>
      </c>
      <c r="W519" s="10">
        <f>data_redis_illX!K452</f>
        <v>0</v>
      </c>
      <c r="X519" s="10">
        <f>data_redis_illX!L452</f>
        <v>0</v>
      </c>
      <c r="Y519" s="5">
        <f t="shared" si="8"/>
        <v>0</v>
      </c>
    </row>
    <row r="520" spans="3:25" x14ac:dyDescent="0.25">
      <c r="C520" t="s">
        <v>31</v>
      </c>
      <c r="D520">
        <f t="array" ref="D520:K520">(Q1244:Y1244*AE$4:AE$11+Q1607:Y1607*AF$4:AF$11+Q1970:Y1970*AG$4:AG$11)</f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P520" s="2" t="s">
        <v>33</v>
      </c>
      <c r="Q520" s="10">
        <f>data_redis_illX!E453</f>
        <v>0</v>
      </c>
      <c r="R520" s="10">
        <f>data_redis_illX!F453</f>
        <v>0</v>
      </c>
      <c r="S520" s="10">
        <f>data_redis_illX!G453</f>
        <v>0</v>
      </c>
      <c r="T520" s="10">
        <f>data_redis_illX!H453</f>
        <v>0</v>
      </c>
      <c r="U520" s="10">
        <f>data_redis_illX!I453</f>
        <v>0</v>
      </c>
      <c r="V520" s="10">
        <f>data_redis_illX!J453</f>
        <v>0</v>
      </c>
      <c r="W520" s="10">
        <f>data_redis_illX!K453</f>
        <v>0</v>
      </c>
      <c r="X520" s="10">
        <f>data_redis_illX!L453</f>
        <v>0</v>
      </c>
      <c r="Y520" s="5">
        <f t="shared" si="8"/>
        <v>0</v>
      </c>
    </row>
    <row r="521" spans="3:25" x14ac:dyDescent="0.25">
      <c r="C521" t="s">
        <v>32</v>
      </c>
      <c r="D521">
        <f t="array" ref="D521:K521">(Q1245:Y1245*AE$4:AE$11+Q1608:Y1608*AF$4:AF$11+Q1971:Y1971*AG$4:AG$11)</f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P521" s="2" t="s">
        <v>34</v>
      </c>
      <c r="Q521" s="10">
        <f>data_redis_illX!E454</f>
        <v>0</v>
      </c>
      <c r="R521" s="10">
        <f>data_redis_illX!F454</f>
        <v>0</v>
      </c>
      <c r="S521" s="10">
        <f>data_redis_illX!G454</f>
        <v>0</v>
      </c>
      <c r="T521" s="10">
        <f>data_redis_illX!H454</f>
        <v>0</v>
      </c>
      <c r="U521" s="10">
        <f>data_redis_illX!I454</f>
        <v>0</v>
      </c>
      <c r="V521" s="10">
        <f>data_redis_illX!J454</f>
        <v>0</v>
      </c>
      <c r="W521" s="10">
        <f>data_redis_illX!K454</f>
        <v>0</v>
      </c>
      <c r="X521" s="10">
        <f>data_redis_illX!L454</f>
        <v>0</v>
      </c>
      <c r="Y521" s="5">
        <f t="shared" si="8"/>
        <v>0</v>
      </c>
    </row>
    <row r="522" spans="3:25" x14ac:dyDescent="0.25">
      <c r="C522" t="s">
        <v>33</v>
      </c>
      <c r="D522">
        <f t="array" ref="D522:K522">(Q1246:Y1246*AE$4:AE$11+Q1609:Y1609*AF$4:AF$11+Q1972:Y1972*AG$4:AG$11)</f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P522" s="2" t="s">
        <v>35</v>
      </c>
      <c r="Q522" s="10">
        <f>data_redis_illX!E455</f>
        <v>0</v>
      </c>
      <c r="R522" s="10">
        <f>data_redis_illX!F455</f>
        <v>0</v>
      </c>
      <c r="S522" s="10">
        <f>data_redis_illX!G455</f>
        <v>0</v>
      </c>
      <c r="T522" s="10">
        <f>data_redis_illX!H455</f>
        <v>0</v>
      </c>
      <c r="U522" s="10">
        <f>data_redis_illX!I455</f>
        <v>0</v>
      </c>
      <c r="V522" s="10">
        <f>data_redis_illX!J455</f>
        <v>0</v>
      </c>
      <c r="W522" s="10">
        <f>data_redis_illX!K455</f>
        <v>0</v>
      </c>
      <c r="X522" s="10">
        <f>data_redis_illX!L455</f>
        <v>0</v>
      </c>
      <c r="Y522" s="5">
        <f t="shared" si="8"/>
        <v>0</v>
      </c>
    </row>
    <row r="523" spans="3:25" x14ac:dyDescent="0.25">
      <c r="C523" t="s">
        <v>34</v>
      </c>
      <c r="D523">
        <f t="array" ref="D523:K523">(Q1247:Y1247*AE$4:AE$11+Q1610:Y1610*AF$4:AF$11+Q1973:Y1973*AG$4:AG$11)</f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P523" s="2" t="s">
        <v>36</v>
      </c>
      <c r="Q523" s="10">
        <f>data_redis_illX!E456</f>
        <v>0</v>
      </c>
      <c r="R523" s="10">
        <f>data_redis_illX!F456</f>
        <v>0</v>
      </c>
      <c r="S523" s="10">
        <f>data_redis_illX!G456</f>
        <v>0</v>
      </c>
      <c r="T523" s="10">
        <f>data_redis_illX!H456</f>
        <v>0</v>
      </c>
      <c r="U523" s="10">
        <f>data_redis_illX!I456</f>
        <v>0</v>
      </c>
      <c r="V523" s="10">
        <f>data_redis_illX!J456</f>
        <v>0</v>
      </c>
      <c r="W523" s="10">
        <f>data_redis_illX!K456</f>
        <v>0</v>
      </c>
      <c r="X523" s="10">
        <f>data_redis_illX!L456</f>
        <v>0</v>
      </c>
      <c r="Y523" s="5">
        <f t="shared" si="8"/>
        <v>0</v>
      </c>
    </row>
    <row r="524" spans="3:25" x14ac:dyDescent="0.25">
      <c r="C524" t="s">
        <v>35</v>
      </c>
      <c r="D524">
        <f t="array" ref="D524:K524">(Q1248:Y1248*AE$4:AE$11+Q1611:Y1611*AF$4:AF$11+Q1974:Y1974*AG$4:AG$11)</f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P524" s="2" t="s">
        <v>37</v>
      </c>
      <c r="Q524" s="10">
        <f>data_redis_illX!E457</f>
        <v>0</v>
      </c>
      <c r="R524" s="10">
        <f>data_redis_illX!F457</f>
        <v>0</v>
      </c>
      <c r="S524" s="10">
        <f>data_redis_illX!G457</f>
        <v>0</v>
      </c>
      <c r="T524" s="10">
        <f>data_redis_illX!H457</f>
        <v>0</v>
      </c>
      <c r="U524" s="10">
        <f>data_redis_illX!I457</f>
        <v>0</v>
      </c>
      <c r="V524" s="10">
        <f>data_redis_illX!J457</f>
        <v>0</v>
      </c>
      <c r="W524" s="10">
        <f>data_redis_illX!K457</f>
        <v>0</v>
      </c>
      <c r="X524" s="10">
        <f>data_redis_illX!L457</f>
        <v>0</v>
      </c>
      <c r="Y524" s="5">
        <f t="shared" si="8"/>
        <v>0</v>
      </c>
    </row>
    <row r="525" spans="3:25" x14ac:dyDescent="0.25">
      <c r="C525" t="s">
        <v>36</v>
      </c>
      <c r="D525">
        <f t="array" ref="D525:K525">(Q1249:Y1249*AE$4:AE$11+Q1612:Y1612*AF$4:AF$11+Q1975:Y1975*AG$4:AG$11)</f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P525" s="2" t="s">
        <v>38</v>
      </c>
      <c r="Q525" s="10">
        <f>data_redis_illX!E458</f>
        <v>0</v>
      </c>
      <c r="R525" s="10">
        <f>data_redis_illX!F458</f>
        <v>0</v>
      </c>
      <c r="S525" s="10">
        <f>data_redis_illX!G458</f>
        <v>0</v>
      </c>
      <c r="T525" s="10">
        <f>data_redis_illX!H458</f>
        <v>0</v>
      </c>
      <c r="U525" s="10">
        <f>data_redis_illX!I458</f>
        <v>0</v>
      </c>
      <c r="V525" s="10">
        <f>data_redis_illX!J458</f>
        <v>0</v>
      </c>
      <c r="W525" s="10">
        <f>data_redis_illX!K458</f>
        <v>0</v>
      </c>
      <c r="X525" s="10">
        <f>data_redis_illX!L458</f>
        <v>0</v>
      </c>
      <c r="Y525" s="5">
        <f t="shared" si="8"/>
        <v>0</v>
      </c>
    </row>
    <row r="526" spans="3:25" x14ac:dyDescent="0.25">
      <c r="C526" t="s">
        <v>37</v>
      </c>
      <c r="D526">
        <f t="array" ref="D526:K526">(Q1250:Y1250*AE$4:AE$11+Q1613:Y1613*AF$4:AF$11+Q1976:Y1976*AG$4:AG$11)</f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P526" s="2" t="s">
        <v>39</v>
      </c>
      <c r="Q526" s="10">
        <f>data_redis_illX!E459</f>
        <v>0</v>
      </c>
      <c r="R526" s="10">
        <f>data_redis_illX!F459</f>
        <v>0</v>
      </c>
      <c r="S526" s="10">
        <f>data_redis_illX!G459</f>
        <v>0</v>
      </c>
      <c r="T526" s="10">
        <f>data_redis_illX!H459</f>
        <v>0</v>
      </c>
      <c r="U526" s="10">
        <f>data_redis_illX!I459</f>
        <v>0</v>
      </c>
      <c r="V526" s="10">
        <f>data_redis_illX!J459</f>
        <v>0</v>
      </c>
      <c r="W526" s="10">
        <f>data_redis_illX!K459</f>
        <v>0</v>
      </c>
      <c r="X526" s="10">
        <f>data_redis_illX!L459</f>
        <v>0</v>
      </c>
      <c r="Y526" s="5">
        <f t="shared" si="8"/>
        <v>0</v>
      </c>
    </row>
    <row r="527" spans="3:25" x14ac:dyDescent="0.25">
      <c r="C527" t="s">
        <v>38</v>
      </c>
      <c r="D527">
        <f t="array" ref="D527:K527">(Q1251:Y1251*AE$4:AE$11+Q1614:Y1614*AF$4:AF$11+Q1977:Y1977*AG$4:AG$11)</f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P527" s="2" t="s">
        <v>40</v>
      </c>
      <c r="Q527" s="10">
        <f>data_redis_illX!E460</f>
        <v>0</v>
      </c>
      <c r="R527" s="10">
        <f>data_redis_illX!F460</f>
        <v>0</v>
      </c>
      <c r="S527" s="10">
        <f>data_redis_illX!G460</f>
        <v>0</v>
      </c>
      <c r="T527" s="10">
        <f>data_redis_illX!H460</f>
        <v>0</v>
      </c>
      <c r="U527" s="10">
        <f>data_redis_illX!I460</f>
        <v>0</v>
      </c>
      <c r="V527" s="10">
        <f>data_redis_illX!J460</f>
        <v>0</v>
      </c>
      <c r="W527" s="10">
        <f>data_redis_illX!K460</f>
        <v>0</v>
      </c>
      <c r="X527" s="10">
        <f>data_redis_illX!L460</f>
        <v>0</v>
      </c>
      <c r="Y527" s="5">
        <f t="shared" si="8"/>
        <v>0</v>
      </c>
    </row>
    <row r="528" spans="3:25" x14ac:dyDescent="0.25">
      <c r="C528" t="s">
        <v>39</v>
      </c>
      <c r="D528">
        <f t="array" ref="D528:K528">(Q1252:Y1252*AE$4:AE$11+Q1615:Y1615*AF$4:AF$11+Q1978:Y1978*AG$4:AG$11)</f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P528" s="2" t="s">
        <v>41</v>
      </c>
      <c r="Q528" s="10">
        <f>data_redis_illX!E461</f>
        <v>0</v>
      </c>
      <c r="R528" s="10">
        <f>data_redis_illX!F461</f>
        <v>0</v>
      </c>
      <c r="S528" s="10">
        <f>data_redis_illX!G461</f>
        <v>0</v>
      </c>
      <c r="T528" s="10">
        <f>data_redis_illX!H461</f>
        <v>0</v>
      </c>
      <c r="U528" s="10">
        <f>data_redis_illX!I461</f>
        <v>0</v>
      </c>
      <c r="V528" s="10">
        <f>data_redis_illX!J461</f>
        <v>0</v>
      </c>
      <c r="W528" s="10">
        <f>data_redis_illX!K461</f>
        <v>0</v>
      </c>
      <c r="X528" s="10">
        <f>data_redis_illX!L461</f>
        <v>0</v>
      </c>
      <c r="Y528" s="5">
        <f t="shared" si="8"/>
        <v>0</v>
      </c>
    </row>
    <row r="529" spans="1:25" x14ac:dyDescent="0.25">
      <c r="C529" t="s">
        <v>40</v>
      </c>
      <c r="D529">
        <f t="array" ref="D529:K529">(Q1253:Y1253*AE$4:AE$11+Q1616:Y1616*AF$4:AF$11+Q1979:Y1979*AG$4:AG$11)</f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P529" s="2" t="s">
        <v>42</v>
      </c>
      <c r="Q529" s="10">
        <f>data_redis_illX!E462</f>
        <v>0</v>
      </c>
      <c r="R529" s="10">
        <f>data_redis_illX!F462</f>
        <v>0</v>
      </c>
      <c r="S529" s="10">
        <f>data_redis_illX!G462</f>
        <v>0</v>
      </c>
      <c r="T529" s="10">
        <f>data_redis_illX!H462</f>
        <v>0</v>
      </c>
      <c r="U529" s="10">
        <f>data_redis_illX!I462</f>
        <v>0</v>
      </c>
      <c r="V529" s="10">
        <f>data_redis_illX!J462</f>
        <v>0</v>
      </c>
      <c r="W529" s="10">
        <f>data_redis_illX!K462</f>
        <v>0</v>
      </c>
      <c r="X529" s="10">
        <f>data_redis_illX!L462</f>
        <v>0</v>
      </c>
      <c r="Y529" s="5">
        <f t="shared" si="8"/>
        <v>0</v>
      </c>
    </row>
    <row r="530" spans="1:25" x14ac:dyDescent="0.25">
      <c r="C530" t="s">
        <v>41</v>
      </c>
      <c r="D530">
        <f t="array" ref="D530:K530">(Q1254:Y1254*AE$4:AE$11+Q1617:Y1617*AF$4:AF$11+Q1980:Y1980*AG$4:AG$11)</f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P530" s="2" t="s">
        <v>43</v>
      </c>
      <c r="Q530" s="10">
        <f>data_redis_illX!E463</f>
        <v>0</v>
      </c>
      <c r="R530" s="10">
        <f>data_redis_illX!F463</f>
        <v>0</v>
      </c>
      <c r="S530" s="10">
        <f>data_redis_illX!G463</f>
        <v>0</v>
      </c>
      <c r="T530" s="10">
        <f>data_redis_illX!H463</f>
        <v>0</v>
      </c>
      <c r="U530" s="10">
        <f>data_redis_illX!I463</f>
        <v>0</v>
      </c>
      <c r="V530" s="10">
        <f>data_redis_illX!J463</f>
        <v>0</v>
      </c>
      <c r="W530" s="10">
        <f>data_redis_illX!K463</f>
        <v>0</v>
      </c>
      <c r="X530" s="10">
        <f>data_redis_illX!L463</f>
        <v>0</v>
      </c>
      <c r="Y530" s="5">
        <f t="shared" si="8"/>
        <v>0</v>
      </c>
    </row>
    <row r="531" spans="1:25" x14ac:dyDescent="0.25">
      <c r="C531" t="s">
        <v>42</v>
      </c>
      <c r="D531">
        <f t="array" ref="D531:K531">(Q1255:Y1255*AE$4:AE$11+Q1618:Y1618*AF$4:AF$11+Q1981:Y1981*AG$4:AG$11)</f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P531" s="2" t="s">
        <v>44</v>
      </c>
      <c r="Q531" s="10">
        <f>data_redis_illX!E464</f>
        <v>0</v>
      </c>
      <c r="R531" s="10">
        <f>data_redis_illX!F464</f>
        <v>0</v>
      </c>
      <c r="S531" s="10">
        <f>data_redis_illX!G464</f>
        <v>0</v>
      </c>
      <c r="T531" s="10">
        <f>data_redis_illX!H464</f>
        <v>0</v>
      </c>
      <c r="U531" s="10">
        <f>data_redis_illX!I464</f>
        <v>0</v>
      </c>
      <c r="V531" s="10">
        <f>data_redis_illX!J464</f>
        <v>0</v>
      </c>
      <c r="W531" s="10">
        <f>data_redis_illX!K464</f>
        <v>0</v>
      </c>
      <c r="X531" s="10">
        <f>data_redis_illX!L464</f>
        <v>0</v>
      </c>
      <c r="Y531" s="5">
        <f t="shared" si="8"/>
        <v>0</v>
      </c>
    </row>
    <row r="532" spans="1:25" x14ac:dyDescent="0.25">
      <c r="C532" t="s">
        <v>43</v>
      </c>
      <c r="D532">
        <f t="array" ref="D532:K532">(Q1256:Y1256*AE$4:AE$11+Q1619:Y1619*AF$4:AF$11+Q1982:Y1982*AG$4:AG$11)</f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M532" t="s">
        <v>104</v>
      </c>
      <c r="N532" t="s">
        <v>116</v>
      </c>
      <c r="O532" t="s">
        <v>49</v>
      </c>
      <c r="P532" s="2" t="s">
        <v>12</v>
      </c>
      <c r="Q532" s="10">
        <f>data_redis_illX!E465</f>
        <v>0</v>
      </c>
      <c r="R532" s="10">
        <f>data_redis_illX!F465</f>
        <v>0</v>
      </c>
      <c r="S532" s="10">
        <f>data_redis_illX!G465</f>
        <v>23.113937299580758</v>
      </c>
      <c r="T532" s="10">
        <f>data_redis_illX!H465</f>
        <v>23.088748243558104</v>
      </c>
      <c r="U532" s="10">
        <f>data_redis_illX!I465</f>
        <v>9.5397455165959748</v>
      </c>
      <c r="V532" s="10">
        <f>data_redis_illX!J465</f>
        <v>0</v>
      </c>
      <c r="W532" s="10">
        <f>data_redis_illX!K465</f>
        <v>0</v>
      </c>
      <c r="X532" s="10">
        <f>data_redis_illX!L465</f>
        <v>0</v>
      </c>
      <c r="Y532" s="5">
        <f t="shared" si="8"/>
        <v>55.742431059734841</v>
      </c>
    </row>
    <row r="533" spans="1:25" x14ac:dyDescent="0.25">
      <c r="C533" t="s">
        <v>44</v>
      </c>
      <c r="D533">
        <f t="array" ref="D533:K533">(Q1257:Y1257*AE$4:AE$11+Q1620:Y1620*AF$4:AF$11+Q1983:Y1983*AG$4:AG$11)</f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P533" s="2" t="s">
        <v>13</v>
      </c>
      <c r="Q533" s="10">
        <f>data_redis_illX!E466</f>
        <v>0</v>
      </c>
      <c r="R533" s="10">
        <f>data_redis_illX!F466</f>
        <v>0</v>
      </c>
      <c r="S533" s="10">
        <f>data_redis_illX!G466</f>
        <v>110.31651892981726</v>
      </c>
      <c r="T533" s="10">
        <f>data_redis_illX!H466</f>
        <v>85.008573078554832</v>
      </c>
      <c r="U533" s="10">
        <f>data_redis_illX!I466</f>
        <v>12.719660688794633</v>
      </c>
      <c r="V533" s="10">
        <f>data_redis_illX!J466</f>
        <v>2.0924393680875548</v>
      </c>
      <c r="W533" s="10">
        <f>data_redis_illX!K466</f>
        <v>1.0186567164179106</v>
      </c>
      <c r="X533" s="10">
        <f>data_redis_illX!L466</f>
        <v>0</v>
      </c>
      <c r="Y533" s="5">
        <f t="shared" si="8"/>
        <v>211.15584878167223</v>
      </c>
    </row>
    <row r="534" spans="1:25" x14ac:dyDescent="0.25">
      <c r="A534">
        <v>2</v>
      </c>
      <c r="B534" t="s">
        <v>49</v>
      </c>
      <c r="C534" t="s">
        <v>12</v>
      </c>
      <c r="D534">
        <f t="array" ref="D534:K534">(Q1258:Y1258*AE$4:AE$11+Q1621:Y1621*AF$4:AF$11+Q1984:Y1984*AG$4:AG$11)</f>
        <v>0</v>
      </c>
      <c r="E534">
        <v>0</v>
      </c>
      <c r="F534">
        <v>54.546391001081929</v>
      </c>
      <c r="G534">
        <v>78.719089071852409</v>
      </c>
      <c r="H534">
        <v>29.957393000077367</v>
      </c>
      <c r="I534">
        <v>2.7048966103344059</v>
      </c>
      <c r="J534">
        <v>0</v>
      </c>
      <c r="K534">
        <v>0</v>
      </c>
      <c r="P534" s="2" t="s">
        <v>14</v>
      </c>
      <c r="Q534" s="10">
        <f>data_redis_illX!E467</f>
        <v>0</v>
      </c>
      <c r="R534" s="10">
        <f>data_redis_illX!F467</f>
        <v>0</v>
      </c>
      <c r="S534" s="10">
        <f>data_redis_illX!G467</f>
        <v>12.607602163407686</v>
      </c>
      <c r="T534" s="10">
        <f>data_redis_illX!H467</f>
        <v>20.989771130507364</v>
      </c>
      <c r="U534" s="10">
        <f>data_redis_illX!I467</f>
        <v>8.4797737925297554</v>
      </c>
      <c r="V534" s="10">
        <f>data_redis_illX!J467</f>
        <v>0</v>
      </c>
      <c r="W534" s="10">
        <f>data_redis_illX!K467</f>
        <v>0</v>
      </c>
      <c r="X534" s="10">
        <f>data_redis_illX!L467</f>
        <v>0</v>
      </c>
      <c r="Y534" s="5">
        <f t="shared" si="8"/>
        <v>42.077147086444803</v>
      </c>
    </row>
    <row r="535" spans="1:25" x14ac:dyDescent="0.25">
      <c r="C535" t="s">
        <v>13</v>
      </c>
      <c r="D535">
        <f t="array" ref="D535:K535">(Q1259:Y1259*AE$4:AE$11+Q1622:Y1622*AF$4:AF$11+Q1985:Y1985*AG$4:AG$11)</f>
        <v>0</v>
      </c>
      <c r="E535">
        <v>0</v>
      </c>
      <c r="F535">
        <v>431.98803615864631</v>
      </c>
      <c r="G535">
        <v>399.68803806552665</v>
      </c>
      <c r="H535">
        <v>141.85362782406432</v>
      </c>
      <c r="I535">
        <v>17.31710814322944</v>
      </c>
      <c r="J535">
        <v>0</v>
      </c>
      <c r="K535">
        <v>0</v>
      </c>
      <c r="P535" s="2" t="s">
        <v>15</v>
      </c>
      <c r="Q535" s="10">
        <f>data_redis_illX!E468</f>
        <v>0</v>
      </c>
      <c r="R535" s="10">
        <f>data_redis_illX!F468</f>
        <v>0</v>
      </c>
      <c r="S535" s="10">
        <f>data_redis_illX!G468</f>
        <v>0</v>
      </c>
      <c r="T535" s="10">
        <f>data_redis_illX!H468</f>
        <v>11.544374121779052</v>
      </c>
      <c r="U535" s="10">
        <f>data_redis_illX!I468</f>
        <v>14.839604136927072</v>
      </c>
      <c r="V535" s="10">
        <f>data_redis_illX!J468</f>
        <v>1.0462196840437774</v>
      </c>
      <c r="W535" s="10">
        <f>data_redis_illX!K468</f>
        <v>0</v>
      </c>
      <c r="X535" s="10">
        <f>data_redis_illX!L468</f>
        <v>0</v>
      </c>
      <c r="Y535" s="5">
        <f t="shared" si="8"/>
        <v>27.430197942749899</v>
      </c>
    </row>
    <row r="536" spans="1:25" x14ac:dyDescent="0.25">
      <c r="C536" t="s">
        <v>14</v>
      </c>
      <c r="D536">
        <f t="array" ref="D536:K536">(Q1260:Y1260*AE$4:AE$11+Q1623:Y1623*AF$4:AF$11+Q1986:Y1986*AG$4:AG$11)</f>
        <v>0</v>
      </c>
      <c r="E536">
        <v>0</v>
      </c>
      <c r="F536">
        <v>136.14964572410128</v>
      </c>
      <c r="G536">
        <v>210.25239371759065</v>
      </c>
      <c r="H536">
        <v>102.18563549976479</v>
      </c>
      <c r="I536">
        <v>16.787668495341027</v>
      </c>
      <c r="J536">
        <v>0</v>
      </c>
      <c r="K536">
        <v>0</v>
      </c>
      <c r="P536" s="2" t="s">
        <v>16</v>
      </c>
      <c r="Q536" s="10">
        <f>data_redis_illX!E469</f>
        <v>0</v>
      </c>
      <c r="R536" s="10">
        <f>data_redis_illX!F469</f>
        <v>0</v>
      </c>
      <c r="S536" s="10">
        <f>data_redis_illX!G469</f>
        <v>15.759502704259608</v>
      </c>
      <c r="T536" s="10">
        <f>data_redis_illX!H469</f>
        <v>40.93005370448936</v>
      </c>
      <c r="U536" s="10">
        <f>data_redis_illX!I469</f>
        <v>38.158982066383899</v>
      </c>
      <c r="V536" s="10">
        <f>data_redis_illX!J469</f>
        <v>10.462196840437775</v>
      </c>
      <c r="W536" s="10">
        <f>data_redis_illX!K469</f>
        <v>0</v>
      </c>
      <c r="X536" s="10">
        <f>data_redis_illX!L469</f>
        <v>0</v>
      </c>
      <c r="Y536" s="5">
        <f t="shared" si="8"/>
        <v>105.31073531557064</v>
      </c>
    </row>
    <row r="537" spans="1:25" x14ac:dyDescent="0.25">
      <c r="C537" t="s">
        <v>15</v>
      </c>
      <c r="D537">
        <f t="array" ref="D537:K537">(Q1261:Y1261*AE$4:AE$11+Q1624:Y1624*AF$4:AF$11+Q1987:Y1987*AG$4:AG$11)</f>
        <v>0</v>
      </c>
      <c r="E537">
        <v>0</v>
      </c>
      <c r="F537">
        <v>30.34090814500135</v>
      </c>
      <c r="G537">
        <v>40.43607428665738</v>
      </c>
      <c r="H537">
        <v>16.371624105471877</v>
      </c>
      <c r="I537">
        <v>0</v>
      </c>
      <c r="J537">
        <v>0</v>
      </c>
      <c r="K537">
        <v>0</v>
      </c>
      <c r="P537" s="2" t="s">
        <v>17</v>
      </c>
      <c r="Q537" s="10">
        <f>data_redis_illX!E470</f>
        <v>0</v>
      </c>
      <c r="R537" s="10">
        <f>data_redis_illX!F470</f>
        <v>0</v>
      </c>
      <c r="S537" s="10">
        <f>data_redis_illX!G470</f>
        <v>11.556968649790379</v>
      </c>
      <c r="T537" s="10">
        <f>data_redis_illX!H470</f>
        <v>8.3959084522029457</v>
      </c>
      <c r="U537" s="10">
        <f>data_redis_illX!I470</f>
        <v>6.3598303443973165</v>
      </c>
      <c r="V537" s="10">
        <f>data_redis_illX!J470</f>
        <v>0</v>
      </c>
      <c r="W537" s="10">
        <f>data_redis_illX!K470</f>
        <v>0</v>
      </c>
      <c r="X537" s="10">
        <f>data_redis_illX!L470</f>
        <v>0</v>
      </c>
      <c r="Y537" s="5">
        <f t="shared" si="8"/>
        <v>26.31270744639064</v>
      </c>
    </row>
    <row r="538" spans="1:25" x14ac:dyDescent="0.25">
      <c r="C538" t="s">
        <v>16</v>
      </c>
      <c r="D538">
        <f t="array" ref="D538:K538">(Q1262:Y1262*AE$4:AE$11+Q1625:Y1625*AF$4:AF$11+Q1988:Y1988*AG$4:AG$11)</f>
        <v>0</v>
      </c>
      <c r="E538">
        <v>0</v>
      </c>
      <c r="F538">
        <v>73.947149232481252</v>
      </c>
      <c r="G538">
        <v>256.40520289333608</v>
      </c>
      <c r="H538">
        <v>201.05241949264973</v>
      </c>
      <c r="I538">
        <v>20.050853939010018</v>
      </c>
      <c r="J538">
        <v>0</v>
      </c>
      <c r="K538">
        <v>0</v>
      </c>
      <c r="P538" s="2" t="s">
        <v>18</v>
      </c>
      <c r="Q538" s="10">
        <f>data_redis_illX!E471</f>
        <v>0</v>
      </c>
      <c r="R538" s="10">
        <f>data_redis_illX!F471</f>
        <v>0</v>
      </c>
      <c r="S538" s="10">
        <f>data_redis_illX!G471</f>
        <v>37.822806490223059</v>
      </c>
      <c r="T538" s="10">
        <f>data_redis_illX!H471</f>
        <v>41.979542261014728</v>
      </c>
      <c r="U538" s="10">
        <f>data_redis_illX!I471</f>
        <v>28.619236549787928</v>
      </c>
      <c r="V538" s="10">
        <f>data_redis_illX!J471</f>
        <v>1.0462196840437774</v>
      </c>
      <c r="W538" s="10">
        <f>data_redis_illX!K471</f>
        <v>0</v>
      </c>
      <c r="X538" s="10">
        <f>data_redis_illX!L471</f>
        <v>0</v>
      </c>
      <c r="Y538" s="5">
        <f t="shared" si="8"/>
        <v>109.46780498506949</v>
      </c>
    </row>
    <row r="539" spans="1:25" x14ac:dyDescent="0.25">
      <c r="C539" t="s">
        <v>17</v>
      </c>
      <c r="D539">
        <f t="array" ref="D539:K539">(Q1263:Y1263*AE$4:AE$11+Q1626:Y1626*AF$4:AF$11+Q1989:Y1989*AG$4:AG$11)</f>
        <v>0</v>
      </c>
      <c r="E539">
        <v>0</v>
      </c>
      <c r="F539">
        <v>131.18795811905574</v>
      </c>
      <c r="G539">
        <v>167.19584258593284</v>
      </c>
      <c r="H539">
        <v>65.876230688541625</v>
      </c>
      <c r="I539">
        <v>1.0877284812229977</v>
      </c>
      <c r="J539">
        <v>0</v>
      </c>
      <c r="K539">
        <v>0</v>
      </c>
      <c r="P539" s="2" t="s">
        <v>19</v>
      </c>
      <c r="Q539" s="10">
        <f>data_redis_illX!E472</f>
        <v>0</v>
      </c>
      <c r="R539" s="10">
        <f>data_redis_illX!F472</f>
        <v>0</v>
      </c>
      <c r="S539" s="10">
        <f>data_redis_illX!G472</f>
        <v>43.075974058309598</v>
      </c>
      <c r="T539" s="10">
        <f>data_redis_illX!H472</f>
        <v>54.573404939319154</v>
      </c>
      <c r="U539" s="10">
        <f>data_redis_illX!I472</f>
        <v>22.259406205390608</v>
      </c>
      <c r="V539" s="10">
        <f>data_redis_illX!J472</f>
        <v>1.0462196840437774</v>
      </c>
      <c r="W539" s="10">
        <f>data_redis_illX!K472</f>
        <v>0</v>
      </c>
      <c r="X539" s="10">
        <f>data_redis_illX!L472</f>
        <v>0</v>
      </c>
      <c r="Y539" s="5">
        <f t="shared" si="8"/>
        <v>120.95500488706314</v>
      </c>
    </row>
    <row r="540" spans="1:25" x14ac:dyDescent="0.25">
      <c r="C540" t="s">
        <v>18</v>
      </c>
      <c r="D540">
        <f t="array" ref="D540:K540">(Q1264:Y1264*AE$4:AE$11+Q1627:Y1627*AF$4:AF$11+Q1990:Y1990*AG$4:AG$11)</f>
        <v>0</v>
      </c>
      <c r="E540">
        <v>0</v>
      </c>
      <c r="F540">
        <v>329.27596787866855</v>
      </c>
      <c r="G540">
        <v>436.73519360576347</v>
      </c>
      <c r="H540">
        <v>211.82859498084639</v>
      </c>
      <c r="I540">
        <v>19.537241028282256</v>
      </c>
      <c r="J540">
        <v>0</v>
      </c>
      <c r="K540">
        <v>0</v>
      </c>
      <c r="P540" s="2" t="s">
        <v>20</v>
      </c>
      <c r="Q540" s="10">
        <f>data_redis_illX!E473</f>
        <v>0</v>
      </c>
      <c r="R540" s="10">
        <f>data_redis_illX!F473</f>
        <v>0</v>
      </c>
      <c r="S540" s="10">
        <f>data_redis_illX!G473</f>
        <v>43.075974058309598</v>
      </c>
      <c r="T540" s="10">
        <f>data_redis_illX!H473</f>
        <v>37.781588034913256</v>
      </c>
      <c r="U540" s="10">
        <f>data_redis_illX!I473</f>
        <v>16.959547585059511</v>
      </c>
      <c r="V540" s="10">
        <f>data_redis_illX!J473</f>
        <v>1.0462196840437774</v>
      </c>
      <c r="W540" s="10">
        <f>data_redis_illX!K473</f>
        <v>0</v>
      </c>
      <c r="X540" s="10">
        <f>data_redis_illX!L473</f>
        <v>0</v>
      </c>
      <c r="Y540" s="5">
        <f t="shared" si="8"/>
        <v>98.863329362326141</v>
      </c>
    </row>
    <row r="541" spans="1:25" x14ac:dyDescent="0.25">
      <c r="C541" t="s">
        <v>19</v>
      </c>
      <c r="D541">
        <f t="array" ref="D541:K541">(Q1265:Y1265*AE$4:AE$11+Q1628:Y1628*AF$4:AF$11+Q1991:Y1991*AG$4:AG$11)</f>
        <v>0</v>
      </c>
      <c r="E541">
        <v>0</v>
      </c>
      <c r="F541">
        <v>356.47853302463125</v>
      </c>
      <c r="G541">
        <v>610.66060351428621</v>
      </c>
      <c r="H541">
        <v>316.13889170782909</v>
      </c>
      <c r="I541">
        <v>19.023628117554502</v>
      </c>
      <c r="J541">
        <v>1.0214285714285714</v>
      </c>
      <c r="K541">
        <v>0</v>
      </c>
      <c r="P541" s="2" t="s">
        <v>21</v>
      </c>
      <c r="Q541" s="10">
        <f>data_redis_illX!E474</f>
        <v>0</v>
      </c>
      <c r="R541" s="10">
        <f>data_redis_illX!F474</f>
        <v>0</v>
      </c>
      <c r="S541" s="10">
        <f>data_redis_illX!G474</f>
        <v>56.734209735334588</v>
      </c>
      <c r="T541" s="10">
        <f>data_redis_illX!H474</f>
        <v>49.325962156692313</v>
      </c>
      <c r="U541" s="10">
        <f>data_redis_illX!I474</f>
        <v>14.839604136927072</v>
      </c>
      <c r="V541" s="10">
        <f>data_redis_illX!J474</f>
        <v>0</v>
      </c>
      <c r="W541" s="10">
        <f>data_redis_illX!K474</f>
        <v>0</v>
      </c>
      <c r="X541" s="10">
        <f>data_redis_illX!L474</f>
        <v>0</v>
      </c>
      <c r="Y541" s="5">
        <f t="shared" si="8"/>
        <v>120.89977602895397</v>
      </c>
    </row>
    <row r="542" spans="1:25" x14ac:dyDescent="0.25">
      <c r="C542" t="s">
        <v>20</v>
      </c>
      <c r="D542">
        <f t="array" ref="D542:K542">(Q1266:Y1266*AE$4:AE$11+Q1629:Y1629*AF$4:AF$11+Q1992:Y1992*AG$4:AG$11)</f>
        <v>0</v>
      </c>
      <c r="E542">
        <v>0</v>
      </c>
      <c r="F542">
        <v>195.43472823583733</v>
      </c>
      <c r="G542">
        <v>297.89050808048347</v>
      </c>
      <c r="H542">
        <v>179.87297211615166</v>
      </c>
      <c r="I542">
        <v>4.8803535727804013</v>
      </c>
      <c r="J542">
        <v>0</v>
      </c>
      <c r="K542">
        <v>0</v>
      </c>
      <c r="P542" s="2" t="s">
        <v>22</v>
      </c>
      <c r="Q542" s="10">
        <f>data_redis_illX!E475</f>
        <v>0</v>
      </c>
      <c r="R542" s="10">
        <f>data_redis_illX!F475</f>
        <v>0</v>
      </c>
      <c r="S542" s="10">
        <f>data_redis_illX!G475</f>
        <v>46.227874599161517</v>
      </c>
      <c r="T542" s="10">
        <f>data_redis_illX!H475</f>
        <v>86.058061635080193</v>
      </c>
      <c r="U542" s="10">
        <f>data_redis_illX!I475</f>
        <v>30.739179997920367</v>
      </c>
      <c r="V542" s="10">
        <f>data_redis_illX!J475</f>
        <v>1.0462196840437774</v>
      </c>
      <c r="W542" s="10">
        <f>data_redis_illX!K475</f>
        <v>0</v>
      </c>
      <c r="X542" s="10">
        <f>data_redis_illX!L475</f>
        <v>0</v>
      </c>
      <c r="Y542" s="5">
        <f t="shared" si="8"/>
        <v>164.07133591620587</v>
      </c>
    </row>
    <row r="543" spans="1:25" x14ac:dyDescent="0.25">
      <c r="C543" t="s">
        <v>21</v>
      </c>
      <c r="D543">
        <f t="array" ref="D543:K543">(Q1267:Y1267*AE$4:AE$11+Q1630:Y1630*AF$4:AF$11+Q1993:Y1993*AG$4:AG$11)</f>
        <v>0</v>
      </c>
      <c r="E543">
        <v>0</v>
      </c>
      <c r="F543">
        <v>318.06406190367346</v>
      </c>
      <c r="G543">
        <v>241.43778385967744</v>
      </c>
      <c r="H543">
        <v>131.98418508788112</v>
      </c>
      <c r="I543">
        <v>16.274055584613265</v>
      </c>
      <c r="J543">
        <v>1.0214285714285714</v>
      </c>
      <c r="K543">
        <v>0</v>
      </c>
      <c r="P543" s="2" t="s">
        <v>23</v>
      </c>
      <c r="Q543" s="10">
        <f>data_redis_illX!E476</f>
        <v>0</v>
      </c>
      <c r="R543" s="10">
        <f>data_redis_illX!F476</f>
        <v>0</v>
      </c>
      <c r="S543" s="10">
        <f>data_redis_illX!G476</f>
        <v>7.354434595321151</v>
      </c>
      <c r="T543" s="10">
        <f>data_redis_illX!H476</f>
        <v>11.544374121779052</v>
      </c>
      <c r="U543" s="10">
        <f>data_redis_illX!I476</f>
        <v>9.5397455165959748</v>
      </c>
      <c r="V543" s="10">
        <f>data_redis_illX!J476</f>
        <v>0</v>
      </c>
      <c r="W543" s="10">
        <f>data_redis_illX!K476</f>
        <v>0</v>
      </c>
      <c r="X543" s="10">
        <f>data_redis_illX!L476</f>
        <v>0</v>
      </c>
      <c r="Y543" s="5">
        <f t="shared" si="8"/>
        <v>28.438554233696177</v>
      </c>
    </row>
    <row r="544" spans="1:25" x14ac:dyDescent="0.25">
      <c r="C544" t="s">
        <v>22</v>
      </c>
      <c r="D544">
        <f t="array" ref="D544:K544">(Q1268:Y1268*AE$4:AE$11+Q1631:Y1631*AF$4:AF$11+Q1994:Y1994*AG$4:AG$11)</f>
        <v>0</v>
      </c>
      <c r="E544">
        <v>0</v>
      </c>
      <c r="F544">
        <v>440.35614373428876</v>
      </c>
      <c r="G544">
        <v>579.14095483446022</v>
      </c>
      <c r="H544">
        <v>318.14444552928245</v>
      </c>
      <c r="I544">
        <v>31.460382688003531</v>
      </c>
      <c r="J544">
        <v>2.2405388246618263</v>
      </c>
      <c r="K544">
        <v>0</v>
      </c>
      <c r="P544" s="2" t="s">
        <v>24</v>
      </c>
      <c r="Q544" s="10">
        <f>data_redis_illX!E477</f>
        <v>0</v>
      </c>
      <c r="R544" s="10">
        <f>data_redis_illX!F477</f>
        <v>0</v>
      </c>
      <c r="S544" s="10">
        <f>data_redis_illX!G477</f>
        <v>18.911403245111529</v>
      </c>
      <c r="T544" s="10">
        <f>data_redis_illX!H477</f>
        <v>14.692839791355155</v>
      </c>
      <c r="U544" s="10">
        <f>data_redis_illX!I477</f>
        <v>11.659688964728414</v>
      </c>
      <c r="V544" s="10">
        <f>data_redis_illX!J477</f>
        <v>4.1848787361751096</v>
      </c>
      <c r="W544" s="10">
        <f>data_redis_illX!K477</f>
        <v>0</v>
      </c>
      <c r="X544" s="10">
        <f>data_redis_illX!L477</f>
        <v>0</v>
      </c>
      <c r="Y544" s="5">
        <f t="shared" si="8"/>
        <v>49.448810737370209</v>
      </c>
    </row>
    <row r="545" spans="3:25" x14ac:dyDescent="0.25">
      <c r="C545" t="s">
        <v>23</v>
      </c>
      <c r="D545">
        <f t="array" ref="D545:K545">(Q1269:Y1269*AE$4:AE$11+Q1632:Y1632*AF$4:AF$11+Q1995:Y1995*AG$4:AG$11)</f>
        <v>0</v>
      </c>
      <c r="E545">
        <v>0</v>
      </c>
      <c r="F545">
        <v>77.742185420736746</v>
      </c>
      <c r="G545">
        <v>136.22940804869754</v>
      </c>
      <c r="H545">
        <v>50.770427877411379</v>
      </c>
      <c r="I545">
        <v>3.7926250915574036</v>
      </c>
      <c r="J545">
        <v>0</v>
      </c>
      <c r="K545">
        <v>0</v>
      </c>
      <c r="P545" s="2" t="s">
        <v>25</v>
      </c>
      <c r="Q545" s="10">
        <f>data_redis_illX!E478</f>
        <v>0</v>
      </c>
      <c r="R545" s="10">
        <f>data_redis_illX!F478</f>
        <v>0</v>
      </c>
      <c r="S545" s="10">
        <f>data_redis_illX!G478</f>
        <v>2.1012670272346146</v>
      </c>
      <c r="T545" s="10">
        <f>data_redis_illX!H478</f>
        <v>8.3959084522029457</v>
      </c>
      <c r="U545" s="10">
        <f>data_redis_illX!I478</f>
        <v>4.2398868962648777</v>
      </c>
      <c r="V545" s="10">
        <f>data_redis_illX!J478</f>
        <v>0</v>
      </c>
      <c r="W545" s="10">
        <f>data_redis_illX!K478</f>
        <v>1.0186567164179106</v>
      </c>
      <c r="X545" s="10">
        <f>data_redis_illX!L478</f>
        <v>0</v>
      </c>
      <c r="Y545" s="5">
        <f t="shared" si="8"/>
        <v>15.755719092120348</v>
      </c>
    </row>
    <row r="546" spans="3:25" x14ac:dyDescent="0.25">
      <c r="C546" t="s">
        <v>24</v>
      </c>
      <c r="D546">
        <f t="array" ref="D546:K546">(Q1270:Y1270*AE$4:AE$11+Q1633:Y1633*AF$4:AF$11+Q1996:Y1996*AG$4:AG$11)</f>
        <v>0</v>
      </c>
      <c r="E546">
        <v>0</v>
      </c>
      <c r="F546">
        <v>256.69356940505872</v>
      </c>
      <c r="G546">
        <v>285.3017750439526</v>
      </c>
      <c r="H546">
        <v>141.28738662258553</v>
      </c>
      <c r="I546">
        <v>8.6888054014984561</v>
      </c>
      <c r="J546">
        <v>2.2405388246618263</v>
      </c>
      <c r="K546">
        <v>0</v>
      </c>
      <c r="P546" s="2" t="s">
        <v>26</v>
      </c>
      <c r="Q546" s="10">
        <f>data_redis_illX!E479</f>
        <v>0</v>
      </c>
      <c r="R546" s="10">
        <f>data_redis_illX!F479</f>
        <v>0</v>
      </c>
      <c r="S546" s="10">
        <f>data_redis_illX!G479</f>
        <v>5.2531675680865364</v>
      </c>
      <c r="T546" s="10">
        <f>data_redis_illX!H479</f>
        <v>7.3464198956775775</v>
      </c>
      <c r="U546" s="10">
        <f>data_redis_illX!I479</f>
        <v>4.2398868962648777</v>
      </c>
      <c r="V546" s="10">
        <f>data_redis_illX!J479</f>
        <v>1.0462196840437774</v>
      </c>
      <c r="W546" s="10">
        <f>data_redis_illX!K479</f>
        <v>1.0186567164179106</v>
      </c>
      <c r="X546" s="10">
        <f>data_redis_illX!L479</f>
        <v>0</v>
      </c>
      <c r="Y546" s="5">
        <f t="shared" si="8"/>
        <v>18.904350760490679</v>
      </c>
    </row>
    <row r="547" spans="3:25" x14ac:dyDescent="0.25">
      <c r="C547" t="s">
        <v>25</v>
      </c>
      <c r="D547">
        <f t="array" ref="D547:K547">(Q1271:Y1271*AE$4:AE$11+Q1634:Y1634*AF$4:AF$11+Q1997:Y1997*AG$4:AG$11)</f>
        <v>0</v>
      </c>
      <c r="E547">
        <v>0</v>
      </c>
      <c r="F547">
        <v>40.041287260701004</v>
      </c>
      <c r="G547">
        <v>58.510151545270773</v>
      </c>
      <c r="H547">
        <v>28.182730033317092</v>
      </c>
      <c r="I547">
        <v>0</v>
      </c>
      <c r="J547">
        <v>0</v>
      </c>
      <c r="K547">
        <v>0</v>
      </c>
      <c r="P547" s="2" t="s">
        <v>27</v>
      </c>
      <c r="Q547" s="10">
        <f>data_redis_illX!E480</f>
        <v>0</v>
      </c>
      <c r="R547" s="10">
        <f>data_redis_illX!F480</f>
        <v>0</v>
      </c>
      <c r="S547" s="10">
        <f>data_redis_illX!G480</f>
        <v>6.3038010817038428</v>
      </c>
      <c r="T547" s="10">
        <f>data_redis_illX!H480</f>
        <v>7.3464198956775775</v>
      </c>
      <c r="U547" s="10">
        <f>data_redis_illX!I480</f>
        <v>2.1199434481324388</v>
      </c>
      <c r="V547" s="10">
        <f>data_redis_illX!J480</f>
        <v>0</v>
      </c>
      <c r="W547" s="10">
        <f>data_redis_illX!K480</f>
        <v>0</v>
      </c>
      <c r="X547" s="10">
        <f>data_redis_illX!L480</f>
        <v>0</v>
      </c>
      <c r="Y547" s="5">
        <f t="shared" si="8"/>
        <v>15.770164425513858</v>
      </c>
    </row>
    <row r="548" spans="3:25" x14ac:dyDescent="0.25">
      <c r="C548" t="s">
        <v>26</v>
      </c>
      <c r="D548">
        <f t="array" ref="D548:K548">(Q1272:Y1272*AE$4:AE$11+Q1635:Y1635*AF$4:AF$11+Q1998:Y1998*AG$4:AG$11)</f>
        <v>0</v>
      </c>
      <c r="E548">
        <v>0</v>
      </c>
      <c r="F548">
        <v>39.375936928581254</v>
      </c>
      <c r="G548">
        <v>75.425802502429462</v>
      </c>
      <c r="H548">
        <v>34.398803771939505</v>
      </c>
      <c r="I548">
        <v>1.0877284812229977</v>
      </c>
      <c r="J548">
        <v>0</v>
      </c>
      <c r="K548">
        <v>0</v>
      </c>
      <c r="P548" s="2" t="s">
        <v>28</v>
      </c>
      <c r="Q548" s="10">
        <f>data_redis_illX!E481</f>
        <v>0</v>
      </c>
      <c r="R548" s="10">
        <f>data_redis_illX!F481</f>
        <v>0</v>
      </c>
      <c r="S548" s="10">
        <f>data_redis_illX!G481</f>
        <v>202.77226812814027</v>
      </c>
      <c r="T548" s="10">
        <f>data_redis_illX!H481</f>
        <v>219.34310831380196</v>
      </c>
      <c r="U548" s="10">
        <f>data_redis_illX!I481</f>
        <v>89.037624821562432</v>
      </c>
      <c r="V548" s="10">
        <f>data_redis_illX!J481</f>
        <v>9.415977156393998</v>
      </c>
      <c r="W548" s="10">
        <f>data_redis_illX!K481</f>
        <v>0</v>
      </c>
      <c r="X548" s="10">
        <f>data_redis_illX!L481</f>
        <v>0</v>
      </c>
      <c r="Y548" s="5">
        <f t="shared" si="8"/>
        <v>520.5689784198986</v>
      </c>
    </row>
    <row r="549" spans="3:25" x14ac:dyDescent="0.25">
      <c r="C549" t="s">
        <v>27</v>
      </c>
      <c r="D549">
        <f t="array" ref="D549:K549">(Q1273:Y1273*AE$4:AE$11+Q1636:Y1636*AF$4:AF$11+Q1999:Y1999*AG$4:AG$11)</f>
        <v>0</v>
      </c>
      <c r="E549">
        <v>0</v>
      </c>
      <c r="F549">
        <v>400.50797776260089</v>
      </c>
      <c r="G549">
        <v>490.18469083123938</v>
      </c>
      <c r="H549">
        <v>162.76078262746327</v>
      </c>
      <c r="I549">
        <v>9.202418312226218</v>
      </c>
      <c r="J549">
        <v>0</v>
      </c>
      <c r="K549">
        <v>0</v>
      </c>
      <c r="P549" s="2" t="s">
        <v>29</v>
      </c>
      <c r="Q549" s="10">
        <f>data_redis_illX!E482</f>
        <v>0</v>
      </c>
      <c r="R549" s="10">
        <f>data_redis_illX!F482</f>
        <v>0</v>
      </c>
      <c r="S549" s="10">
        <f>data_redis_illX!G482</f>
        <v>15.759502704259608</v>
      </c>
      <c r="T549" s="10">
        <f>data_redis_illX!H482</f>
        <v>15.742328347880525</v>
      </c>
      <c r="U549" s="10">
        <f>data_redis_illX!I482</f>
        <v>11.659688964728414</v>
      </c>
      <c r="V549" s="10">
        <f>data_redis_illX!J482</f>
        <v>3.1386590521313327</v>
      </c>
      <c r="W549" s="10">
        <f>data_redis_illX!K482</f>
        <v>0</v>
      </c>
      <c r="X549" s="10">
        <f>data_redis_illX!L482</f>
        <v>0</v>
      </c>
      <c r="Y549" s="5">
        <f t="shared" si="8"/>
        <v>46.300179068999881</v>
      </c>
    </row>
    <row r="550" spans="3:25" x14ac:dyDescent="0.25">
      <c r="C550" t="s">
        <v>28</v>
      </c>
      <c r="D550">
        <f t="array" ref="D550:K550">(Q1274:Y1274*AE$4:AE$11+Q1637:Y1637*AF$4:AF$11+Q2000:Y2000*AG$4:AG$11)</f>
        <v>0</v>
      </c>
      <c r="E550">
        <v>0</v>
      </c>
      <c r="F550">
        <v>2068.7289654191063</v>
      </c>
      <c r="G550">
        <v>2380.3088141531271</v>
      </c>
      <c r="H550">
        <v>995.78451458827692</v>
      </c>
      <c r="I550">
        <v>86.177106387793728</v>
      </c>
      <c r="J550">
        <v>3.2619673960903977</v>
      </c>
      <c r="K550">
        <v>0</v>
      </c>
      <c r="P550" s="2" t="s">
        <v>30</v>
      </c>
      <c r="Q550" s="10">
        <f>data_redis_illX!E483</f>
        <v>0</v>
      </c>
      <c r="R550" s="10">
        <f>data_redis_illX!F483</f>
        <v>0</v>
      </c>
      <c r="S550" s="10">
        <f>data_redis_illX!G483</f>
        <v>30.46837189490191</v>
      </c>
      <c r="T550" s="10">
        <f>data_redis_illX!H483</f>
        <v>32.534145252286422</v>
      </c>
      <c r="U550" s="10">
        <f>data_redis_illX!I483</f>
        <v>11.659688964728414</v>
      </c>
      <c r="V550" s="10">
        <f>data_redis_illX!J483</f>
        <v>4.1848787361751096</v>
      </c>
      <c r="W550" s="10">
        <f>data_redis_illX!K483</f>
        <v>1.0186567164179106</v>
      </c>
      <c r="X550" s="10">
        <f>data_redis_illX!L483</f>
        <v>0</v>
      </c>
      <c r="Y550" s="5">
        <f t="shared" si="8"/>
        <v>79.865741564509761</v>
      </c>
    </row>
    <row r="551" spans="3:25" x14ac:dyDescent="0.25">
      <c r="C551" t="s">
        <v>29</v>
      </c>
      <c r="D551">
        <f t="array" ref="D551:K551">(Q1275:Y1275*AE$4:AE$11+Q1638:Y1638*AF$4:AF$11+Q2001:Y2001*AG$4:AG$11)</f>
        <v>0</v>
      </c>
      <c r="E551">
        <v>0</v>
      </c>
      <c r="F551">
        <v>86.554218109925259</v>
      </c>
      <c r="G551">
        <v>87.44312216287554</v>
      </c>
      <c r="H551">
        <v>44.116727052997604</v>
      </c>
      <c r="I551">
        <v>2.7048966103344059</v>
      </c>
      <c r="J551">
        <v>0</v>
      </c>
      <c r="K551">
        <v>0</v>
      </c>
      <c r="P551" s="2" t="s">
        <v>31</v>
      </c>
      <c r="Q551" s="10">
        <f>data_redis_illX!E484</f>
        <v>0</v>
      </c>
      <c r="R551" s="10">
        <f>data_redis_illX!F484</f>
        <v>0</v>
      </c>
      <c r="S551" s="10">
        <f>data_redis_illX!G484</f>
        <v>2.1012670272346146</v>
      </c>
      <c r="T551" s="10">
        <f>data_redis_illX!H484</f>
        <v>2.0989771130507364</v>
      </c>
      <c r="U551" s="10">
        <f>data_redis_illX!I484</f>
        <v>1.0599717240662194</v>
      </c>
      <c r="V551" s="10">
        <f>data_redis_illX!J484</f>
        <v>0</v>
      </c>
      <c r="W551" s="10">
        <f>data_redis_illX!K484</f>
        <v>0</v>
      </c>
      <c r="X551" s="10">
        <f>data_redis_illX!L484</f>
        <v>0</v>
      </c>
      <c r="Y551" s="5">
        <f t="shared" si="8"/>
        <v>5.2602158643515704</v>
      </c>
    </row>
    <row r="552" spans="3:25" x14ac:dyDescent="0.25">
      <c r="C552" t="s">
        <v>30</v>
      </c>
      <c r="D552">
        <f t="array" ref="D552:K552">(Q1276:Y1276*AE$4:AE$11+Q1639:Y1639*AF$4:AF$11+Q2002:Y2002*AG$4:AG$11)</f>
        <v>0</v>
      </c>
      <c r="E552">
        <v>0</v>
      </c>
      <c r="F552">
        <v>808.78474588275174</v>
      </c>
      <c r="G552">
        <v>1063.4913500760665</v>
      </c>
      <c r="H552">
        <v>410.90485709221173</v>
      </c>
      <c r="I552">
        <v>14.09859862216727</v>
      </c>
      <c r="J552">
        <v>2.2405388246618263</v>
      </c>
      <c r="K552">
        <v>0</v>
      </c>
      <c r="P552" s="2" t="s">
        <v>32</v>
      </c>
      <c r="Q552" s="10">
        <f>data_redis_illX!E485</f>
        <v>0</v>
      </c>
      <c r="R552" s="10">
        <f>data_redis_illX!F485</f>
        <v>0</v>
      </c>
      <c r="S552" s="10">
        <f>data_redis_illX!G485</f>
        <v>0</v>
      </c>
      <c r="T552" s="10">
        <f>data_redis_illX!H485</f>
        <v>0</v>
      </c>
      <c r="U552" s="10">
        <f>data_redis_illX!I485</f>
        <v>0</v>
      </c>
      <c r="V552" s="10">
        <f>data_redis_illX!J485</f>
        <v>1.0462196840437774</v>
      </c>
      <c r="W552" s="10">
        <f>data_redis_illX!K485</f>
        <v>0</v>
      </c>
      <c r="X552" s="10">
        <f>data_redis_illX!L485</f>
        <v>0</v>
      </c>
      <c r="Y552" s="5">
        <f t="shared" si="8"/>
        <v>1.0462196840437774</v>
      </c>
    </row>
    <row r="553" spans="3:25" x14ac:dyDescent="0.25">
      <c r="C553" t="s">
        <v>31</v>
      </c>
      <c r="D553">
        <f t="array" ref="D553:K553">(Q1277:Y1277*AE$4:AE$11+Q1640:Y1640*AF$4:AF$11+Q2003:Y2003*AG$4:AG$11)</f>
        <v>0</v>
      </c>
      <c r="E553">
        <v>0</v>
      </c>
      <c r="F553">
        <v>8.5997608129367453</v>
      </c>
      <c r="G553">
        <v>4.3971151703952982</v>
      </c>
      <c r="H553">
        <v>4.7197780176400794</v>
      </c>
      <c r="I553">
        <v>0</v>
      </c>
      <c r="J553">
        <v>0</v>
      </c>
      <c r="K553">
        <v>0</v>
      </c>
      <c r="P553" s="2" t="s">
        <v>33</v>
      </c>
      <c r="Q553" s="10">
        <f>data_redis_illX!E486</f>
        <v>0</v>
      </c>
      <c r="R553" s="10">
        <f>data_redis_illX!F486</f>
        <v>0</v>
      </c>
      <c r="S553" s="10">
        <f>data_redis_illX!G486</f>
        <v>0</v>
      </c>
      <c r="T553" s="10">
        <f>data_redis_illX!H486</f>
        <v>0</v>
      </c>
      <c r="U553" s="10">
        <f>data_redis_illX!I486</f>
        <v>0</v>
      </c>
      <c r="V553" s="10">
        <f>data_redis_illX!J486</f>
        <v>0</v>
      </c>
      <c r="W553" s="10">
        <f>data_redis_illX!K486</f>
        <v>0</v>
      </c>
      <c r="X553" s="10">
        <f>data_redis_illX!L486</f>
        <v>0</v>
      </c>
      <c r="Y553" s="5">
        <f t="shared" si="8"/>
        <v>0</v>
      </c>
    </row>
    <row r="554" spans="3:25" x14ac:dyDescent="0.25">
      <c r="C554" t="s">
        <v>32</v>
      </c>
      <c r="D554">
        <f t="array" ref="D554:K554">(Q1278:Y1278*AE$4:AE$11+Q1641:Y1641*AF$4:AF$11+Q2004:Y2004*AG$4:AG$11)</f>
        <v>0</v>
      </c>
      <c r="E554">
        <v>0</v>
      </c>
      <c r="F554">
        <v>0</v>
      </c>
      <c r="G554">
        <v>1.0856293674782374</v>
      </c>
      <c r="H554">
        <v>0</v>
      </c>
      <c r="I554">
        <v>0</v>
      </c>
      <c r="J554">
        <v>0</v>
      </c>
      <c r="K554">
        <v>0</v>
      </c>
      <c r="P554" s="2" t="s">
        <v>34</v>
      </c>
      <c r="Q554" s="10">
        <f>data_redis_illX!E487</f>
        <v>0</v>
      </c>
      <c r="R554" s="10">
        <f>data_redis_illX!F487</f>
        <v>0</v>
      </c>
      <c r="S554" s="10">
        <f>data_redis_illX!G487</f>
        <v>0</v>
      </c>
      <c r="T554" s="10">
        <f>data_redis_illX!H487</f>
        <v>0</v>
      </c>
      <c r="U554" s="10">
        <f>data_redis_illX!I487</f>
        <v>0</v>
      </c>
      <c r="V554" s="10">
        <f>data_redis_illX!J487</f>
        <v>0</v>
      </c>
      <c r="W554" s="10">
        <f>data_redis_illX!K487</f>
        <v>0</v>
      </c>
      <c r="X554" s="10">
        <f>data_redis_illX!L487</f>
        <v>0</v>
      </c>
      <c r="Y554" s="5">
        <f t="shared" si="8"/>
        <v>0</v>
      </c>
    </row>
    <row r="555" spans="3:25" x14ac:dyDescent="0.25">
      <c r="C555" t="s">
        <v>33</v>
      </c>
      <c r="D555">
        <f t="array" ref="D555:K555">(Q1279:Y1279*AE$4:AE$11+Q1642:Y1642*AF$4:AF$11+Q2005:Y2005*AG$4:AG$11)</f>
        <v>0</v>
      </c>
      <c r="E555">
        <v>0</v>
      </c>
      <c r="F555">
        <v>2.8665869376455815</v>
      </c>
      <c r="G555">
        <v>7.6566029570390048</v>
      </c>
      <c r="H555">
        <v>5.825923043915898</v>
      </c>
      <c r="I555">
        <v>0</v>
      </c>
      <c r="J555">
        <v>0</v>
      </c>
      <c r="K555">
        <v>0</v>
      </c>
      <c r="P555" s="2" t="s">
        <v>35</v>
      </c>
      <c r="Q555" s="10">
        <f>data_redis_illX!E488</f>
        <v>0</v>
      </c>
      <c r="R555" s="10">
        <f>data_redis_illX!F488</f>
        <v>0</v>
      </c>
      <c r="S555" s="10">
        <f>data_redis_illX!G488</f>
        <v>0</v>
      </c>
      <c r="T555" s="10">
        <f>data_redis_illX!H488</f>
        <v>0</v>
      </c>
      <c r="U555" s="10">
        <f>data_redis_illX!I488</f>
        <v>0</v>
      </c>
      <c r="V555" s="10">
        <f>data_redis_illX!J488</f>
        <v>0</v>
      </c>
      <c r="W555" s="10">
        <f>data_redis_illX!K488</f>
        <v>0</v>
      </c>
      <c r="X555" s="10">
        <f>data_redis_illX!L488</f>
        <v>0</v>
      </c>
      <c r="Y555" s="5">
        <f t="shared" si="8"/>
        <v>0</v>
      </c>
    </row>
    <row r="556" spans="3:25" x14ac:dyDescent="0.25">
      <c r="C556" t="s">
        <v>34</v>
      </c>
      <c r="D556">
        <f t="array" ref="D556:K556">(Q1280:Y1280*AE$4:AE$11+Q1643:Y1643*AF$4:AF$11+Q2006:Y2006*AG$4:AG$11)</f>
        <v>0</v>
      </c>
      <c r="E556">
        <v>0</v>
      </c>
      <c r="F556">
        <v>2.8665869376455815</v>
      </c>
      <c r="G556">
        <v>0</v>
      </c>
      <c r="H556">
        <v>0</v>
      </c>
      <c r="I556">
        <v>0</v>
      </c>
      <c r="J556">
        <v>0</v>
      </c>
      <c r="K556">
        <v>0</v>
      </c>
      <c r="P556" s="2" t="s">
        <v>36</v>
      </c>
      <c r="Q556" s="10">
        <f>data_redis_illX!E489</f>
        <v>0</v>
      </c>
      <c r="R556" s="10">
        <f>data_redis_illX!F489</f>
        <v>0</v>
      </c>
      <c r="S556" s="10">
        <f>data_redis_illX!G489</f>
        <v>0</v>
      </c>
      <c r="T556" s="10">
        <f>data_redis_illX!H489</f>
        <v>0</v>
      </c>
      <c r="U556" s="10">
        <f>data_redis_illX!I489</f>
        <v>0</v>
      </c>
      <c r="V556" s="10">
        <f>data_redis_illX!J489</f>
        <v>0</v>
      </c>
      <c r="W556" s="10">
        <f>data_redis_illX!K489</f>
        <v>0</v>
      </c>
      <c r="X556" s="10">
        <f>data_redis_illX!L489</f>
        <v>0</v>
      </c>
      <c r="Y556" s="5">
        <f t="shared" si="8"/>
        <v>0</v>
      </c>
    </row>
    <row r="557" spans="3:25" x14ac:dyDescent="0.25">
      <c r="C557" t="s">
        <v>35</v>
      </c>
      <c r="D557">
        <f t="array" ref="D557:K557">(Q1281:Y1281*AE$4:AE$11+Q1644:Y1644*AF$4:AF$11+Q2007:Y2007*AG$4:AG$11)</f>
        <v>0</v>
      </c>
      <c r="E557">
        <v>0</v>
      </c>
      <c r="F557">
        <v>1.1006183027629148</v>
      </c>
      <c r="G557">
        <v>1.1038286009723537</v>
      </c>
      <c r="H557">
        <v>4.3296273229335664</v>
      </c>
      <c r="I557">
        <v>0</v>
      </c>
      <c r="J557">
        <v>0</v>
      </c>
      <c r="K557">
        <v>0</v>
      </c>
      <c r="P557" s="2" t="s">
        <v>37</v>
      </c>
      <c r="Q557" s="10">
        <f>data_redis_illX!E490</f>
        <v>0</v>
      </c>
      <c r="R557" s="10">
        <f>data_redis_illX!F490</f>
        <v>0</v>
      </c>
      <c r="S557" s="10">
        <f>data_redis_illX!G490</f>
        <v>0</v>
      </c>
      <c r="T557" s="10">
        <f>data_redis_illX!H490</f>
        <v>0</v>
      </c>
      <c r="U557" s="10">
        <f>data_redis_illX!I490</f>
        <v>0</v>
      </c>
      <c r="V557" s="10">
        <f>data_redis_illX!J490</f>
        <v>0</v>
      </c>
      <c r="W557" s="10">
        <f>data_redis_illX!K490</f>
        <v>0</v>
      </c>
      <c r="X557" s="10">
        <f>data_redis_illX!L490</f>
        <v>0</v>
      </c>
      <c r="Y557" s="5">
        <f t="shared" si="8"/>
        <v>0</v>
      </c>
    </row>
    <row r="558" spans="3:25" x14ac:dyDescent="0.25">
      <c r="C558" t="s">
        <v>36</v>
      </c>
      <c r="D558">
        <f t="array" ref="D558:K558">(Q1282:Y1282*AE$4:AE$11+Q1645:Y1645*AF$4:AF$11+Q2008:Y2008*AG$4:AG$11)</f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P558" s="2" t="s">
        <v>38</v>
      </c>
      <c r="Q558" s="10">
        <f>data_redis_illX!E491</f>
        <v>0</v>
      </c>
      <c r="R558" s="10">
        <f>data_redis_illX!F491</f>
        <v>0</v>
      </c>
      <c r="S558" s="10">
        <f>data_redis_illX!G491</f>
        <v>0</v>
      </c>
      <c r="T558" s="10">
        <f>data_redis_illX!H491</f>
        <v>0</v>
      </c>
      <c r="U558" s="10">
        <f>data_redis_illX!I491</f>
        <v>0</v>
      </c>
      <c r="V558" s="10">
        <f>data_redis_illX!J491</f>
        <v>0</v>
      </c>
      <c r="W558" s="10">
        <f>data_redis_illX!K491</f>
        <v>0</v>
      </c>
      <c r="X558" s="10">
        <f>data_redis_illX!L491</f>
        <v>0</v>
      </c>
      <c r="Y558" s="5">
        <f t="shared" si="8"/>
        <v>0</v>
      </c>
    </row>
    <row r="559" spans="3:25" x14ac:dyDescent="0.25">
      <c r="C559" t="s">
        <v>37</v>
      </c>
      <c r="D559">
        <f t="array" ref="D559:K559">(Q1283:Y1283*AE$4:AE$11+Q1646:Y1646*AF$4:AF$11+Q2009:Y2009*AG$4:AG$11)</f>
        <v>0</v>
      </c>
      <c r="E559">
        <v>0</v>
      </c>
      <c r="F559">
        <v>1.1006183027629148</v>
      </c>
      <c r="G559">
        <v>0</v>
      </c>
      <c r="H559">
        <v>0</v>
      </c>
      <c r="I559">
        <v>0</v>
      </c>
      <c r="J559">
        <v>0</v>
      </c>
      <c r="K559">
        <v>0</v>
      </c>
      <c r="P559" s="2" t="s">
        <v>39</v>
      </c>
      <c r="Q559" s="10">
        <f>data_redis_illX!E492</f>
        <v>0</v>
      </c>
      <c r="R559" s="10">
        <f>data_redis_illX!F492</f>
        <v>0</v>
      </c>
      <c r="S559" s="10">
        <f>data_redis_illX!G492</f>
        <v>0</v>
      </c>
      <c r="T559" s="10">
        <f>data_redis_illX!H492</f>
        <v>0</v>
      </c>
      <c r="U559" s="10">
        <f>data_redis_illX!I492</f>
        <v>0</v>
      </c>
      <c r="V559" s="10">
        <f>data_redis_illX!J492</f>
        <v>0</v>
      </c>
      <c r="W559" s="10">
        <f>data_redis_illX!K492</f>
        <v>0</v>
      </c>
      <c r="X559" s="10">
        <f>data_redis_illX!L492</f>
        <v>0</v>
      </c>
      <c r="Y559" s="5">
        <f t="shared" si="8"/>
        <v>0</v>
      </c>
    </row>
    <row r="560" spans="3:25" x14ac:dyDescent="0.25">
      <c r="C560" t="s">
        <v>38</v>
      </c>
      <c r="D560">
        <f t="array" ref="D560:K560">(Q1284:Y1284*AE$4:AE$11+Q1647:Y1647*AF$4:AF$11+Q2010:Y2010*AG$4:AG$11)</f>
        <v>0</v>
      </c>
      <c r="E560">
        <v>0</v>
      </c>
      <c r="F560">
        <v>45.200040670209553</v>
      </c>
      <c r="G560">
        <v>37.625804610057642</v>
      </c>
      <c r="H560">
        <v>6.2398119341648357</v>
      </c>
      <c r="I560">
        <v>5.4097932206688117</v>
      </c>
      <c r="J560">
        <v>0</v>
      </c>
      <c r="K560">
        <v>0</v>
      </c>
      <c r="P560" s="2" t="s">
        <v>40</v>
      </c>
      <c r="Q560" s="10">
        <f>data_redis_illX!E493</f>
        <v>0</v>
      </c>
      <c r="R560" s="10">
        <f>data_redis_illX!F493</f>
        <v>0</v>
      </c>
      <c r="S560" s="10">
        <f>data_redis_illX!G493</f>
        <v>0</v>
      </c>
      <c r="T560" s="10">
        <f>data_redis_illX!H493</f>
        <v>0</v>
      </c>
      <c r="U560" s="10">
        <f>data_redis_illX!I493</f>
        <v>2.1199434481324388</v>
      </c>
      <c r="V560" s="10">
        <f>data_redis_illX!J493</f>
        <v>0</v>
      </c>
      <c r="W560" s="10">
        <f>data_redis_illX!K493</f>
        <v>0</v>
      </c>
      <c r="X560" s="10">
        <f>data_redis_illX!L493</f>
        <v>0</v>
      </c>
      <c r="Y560" s="5">
        <f t="shared" si="8"/>
        <v>2.1199434481324388</v>
      </c>
    </row>
    <row r="561" spans="1:25" x14ac:dyDescent="0.25">
      <c r="C561" t="s">
        <v>39</v>
      </c>
      <c r="D561">
        <f t="array" ref="D561:K561">(Q1285:Y1285*AE$4:AE$11+Q1648:Y1648*AF$4:AF$11+Q2011:Y2011*AG$4:AG$11)</f>
        <v>0</v>
      </c>
      <c r="E561">
        <v>0</v>
      </c>
      <c r="F561">
        <v>2.8665869376455815</v>
      </c>
      <c r="G561">
        <v>1.0856293674782374</v>
      </c>
      <c r="H561">
        <v>0</v>
      </c>
      <c r="I561">
        <v>0</v>
      </c>
      <c r="J561">
        <v>0</v>
      </c>
      <c r="K561">
        <v>0</v>
      </c>
      <c r="P561" s="2" t="s">
        <v>41</v>
      </c>
      <c r="Q561" s="10">
        <f>data_redis_illX!E494</f>
        <v>0</v>
      </c>
      <c r="R561" s="10">
        <f>data_redis_illX!F494</f>
        <v>0</v>
      </c>
      <c r="S561" s="10">
        <f>data_redis_illX!G494</f>
        <v>0</v>
      </c>
      <c r="T561" s="10">
        <f>data_redis_illX!H494</f>
        <v>0</v>
      </c>
      <c r="U561" s="10">
        <f>data_redis_illX!I494</f>
        <v>1.0599717240662194</v>
      </c>
      <c r="V561" s="10">
        <f>data_redis_illX!J494</f>
        <v>0</v>
      </c>
      <c r="W561" s="10">
        <f>data_redis_illX!K494</f>
        <v>0</v>
      </c>
      <c r="X561" s="10">
        <f>data_redis_illX!L494</f>
        <v>0</v>
      </c>
      <c r="Y561" s="5">
        <f t="shared" si="8"/>
        <v>1.0599717240662194</v>
      </c>
    </row>
    <row r="562" spans="1:25" x14ac:dyDescent="0.25">
      <c r="C562" t="s">
        <v>40</v>
      </c>
      <c r="D562">
        <f t="array" ref="D562:K562">(Q1286:Y1286*AE$4:AE$11+Q1649:Y1649*AF$4:AF$11+Q2012:Y2012*AG$4:AG$11)</f>
        <v>0</v>
      </c>
      <c r="E562">
        <v>0</v>
      </c>
      <c r="F562">
        <v>5.733173875291163</v>
      </c>
      <c r="G562">
        <v>6.5527743560666512</v>
      </c>
      <c r="H562">
        <v>1.0824068307333916</v>
      </c>
      <c r="I562">
        <v>0</v>
      </c>
      <c r="J562">
        <v>0</v>
      </c>
      <c r="K562">
        <v>0</v>
      </c>
      <c r="P562" s="2" t="s">
        <v>42</v>
      </c>
      <c r="Q562" s="10">
        <f>data_redis_illX!E495</f>
        <v>0</v>
      </c>
      <c r="R562" s="10">
        <f>data_redis_illX!F495</f>
        <v>0</v>
      </c>
      <c r="S562" s="10">
        <f>data_redis_illX!G495</f>
        <v>17.860769731494226</v>
      </c>
      <c r="T562" s="10">
        <f>data_redis_illX!H495</f>
        <v>14.692839791355155</v>
      </c>
      <c r="U562" s="10">
        <f>data_redis_illX!I495</f>
        <v>6.3598303443973165</v>
      </c>
      <c r="V562" s="10">
        <f>data_redis_illX!J495</f>
        <v>1.0462196840437774</v>
      </c>
      <c r="W562" s="10">
        <f>data_redis_illX!K495</f>
        <v>0</v>
      </c>
      <c r="X562" s="10">
        <f>data_redis_illX!L495</f>
        <v>0</v>
      </c>
      <c r="Y562" s="5">
        <f t="shared" si="8"/>
        <v>39.959659551290478</v>
      </c>
    </row>
    <row r="563" spans="1:25" x14ac:dyDescent="0.25">
      <c r="C563" t="s">
        <v>41</v>
      </c>
      <c r="D563">
        <f t="array" ref="D563:K563">(Q1287:Y1287*AE$4:AE$11+Q1650:Y1650*AF$4:AF$11+Q2013:Y2013*AG$4:AG$11)</f>
        <v>0</v>
      </c>
      <c r="E563">
        <v>0</v>
      </c>
      <c r="F563">
        <v>2.8665869376455815</v>
      </c>
      <c r="G563">
        <v>1.1038286009723537</v>
      </c>
      <c r="H563">
        <v>0</v>
      </c>
      <c r="I563">
        <v>0</v>
      </c>
      <c r="J563">
        <v>0</v>
      </c>
      <c r="K563">
        <v>0</v>
      </c>
      <c r="P563" s="2" t="s">
        <v>43</v>
      </c>
      <c r="Q563" s="10">
        <f>data_redis_illX!E496</f>
        <v>0</v>
      </c>
      <c r="R563" s="10">
        <f>data_redis_illX!F496</f>
        <v>0</v>
      </c>
      <c r="S563" s="10">
        <f>data_redis_illX!G496</f>
        <v>0</v>
      </c>
      <c r="T563" s="10">
        <f>data_redis_illX!H496</f>
        <v>0</v>
      </c>
      <c r="U563" s="10">
        <f>data_redis_illX!I496</f>
        <v>0</v>
      </c>
      <c r="V563" s="10">
        <f>data_redis_illX!J496</f>
        <v>0</v>
      </c>
      <c r="W563" s="10">
        <f>data_redis_illX!K496</f>
        <v>0</v>
      </c>
      <c r="X563" s="10">
        <f>data_redis_illX!L496</f>
        <v>0</v>
      </c>
      <c r="Y563" s="5">
        <f t="shared" si="8"/>
        <v>0</v>
      </c>
    </row>
    <row r="564" spans="1:25" x14ac:dyDescent="0.25">
      <c r="C564" t="s">
        <v>42</v>
      </c>
      <c r="D564">
        <f t="array" ref="D564:K564">(Q1288:Y1288*AE$4:AE$11+Q1651:Y1651*AF$4:AF$11+Q2014:Y2014*AG$4:AG$11)</f>
        <v>0</v>
      </c>
      <c r="E564">
        <v>0</v>
      </c>
      <c r="F564">
        <v>48.205780102994595</v>
      </c>
      <c r="G564">
        <v>87.837742572437136</v>
      </c>
      <c r="H564">
        <v>21.919179903609834</v>
      </c>
      <c r="I564">
        <v>0</v>
      </c>
      <c r="J564">
        <v>0</v>
      </c>
      <c r="K564">
        <v>0</v>
      </c>
      <c r="P564" s="2" t="s">
        <v>44</v>
      </c>
      <c r="Q564" s="10">
        <f>data_redis_illX!E497</f>
        <v>0</v>
      </c>
      <c r="R564" s="10">
        <f>data_redis_illX!F497</f>
        <v>0</v>
      </c>
      <c r="S564" s="10">
        <f>data_redis_illX!G497</f>
        <v>8.4050681089384582</v>
      </c>
      <c r="T564" s="10">
        <f>data_redis_illX!H497</f>
        <v>10.494885565253682</v>
      </c>
      <c r="U564" s="10">
        <f>data_redis_illX!I497</f>
        <v>0</v>
      </c>
      <c r="V564" s="10">
        <f>data_redis_illX!J497</f>
        <v>0</v>
      </c>
      <c r="W564" s="10">
        <f>data_redis_illX!K497</f>
        <v>0</v>
      </c>
      <c r="X564" s="10">
        <f>data_redis_illX!L497</f>
        <v>0</v>
      </c>
      <c r="Y564" s="5">
        <f t="shared" si="8"/>
        <v>18.89995367419214</v>
      </c>
    </row>
    <row r="565" spans="1:25" x14ac:dyDescent="0.25">
      <c r="C565" t="s">
        <v>43</v>
      </c>
      <c r="D565">
        <f t="array" ref="D565:K565">(Q1289:Y1289*AE$4:AE$11+Q1652:Y1652*AF$4:AF$11+Q2015:Y2015*AG$4:AG$11)</f>
        <v>0</v>
      </c>
      <c r="E565">
        <v>0</v>
      </c>
      <c r="F565">
        <v>2.8665869376455815</v>
      </c>
      <c r="G565">
        <v>0</v>
      </c>
      <c r="H565">
        <v>0</v>
      </c>
      <c r="I565">
        <v>0</v>
      </c>
      <c r="J565">
        <v>0</v>
      </c>
      <c r="K565">
        <v>0</v>
      </c>
      <c r="M565" t="s">
        <v>104</v>
      </c>
      <c r="N565" t="s">
        <v>116</v>
      </c>
      <c r="O565" t="s">
        <v>50</v>
      </c>
      <c r="P565" s="2" t="s">
        <v>12</v>
      </c>
      <c r="Q565" s="10">
        <f>data_redis_illX!E498</f>
        <v>0</v>
      </c>
      <c r="R565" s="10">
        <f>data_redis_illX!F498</f>
        <v>0</v>
      </c>
      <c r="S565" s="10">
        <f>data_redis_illX!G498</f>
        <v>0</v>
      </c>
      <c r="T565" s="10">
        <f>data_redis_illX!H498</f>
        <v>0</v>
      </c>
      <c r="U565" s="10">
        <f>data_redis_illX!I498</f>
        <v>0</v>
      </c>
      <c r="V565" s="10">
        <f>data_redis_illX!J498</f>
        <v>3.093036759922476E-2</v>
      </c>
      <c r="W565" s="10">
        <f>data_redis_illX!K498</f>
        <v>0</v>
      </c>
      <c r="X565" s="10">
        <f>data_redis_illX!L498</f>
        <v>0</v>
      </c>
      <c r="Y565" s="5">
        <f t="shared" si="8"/>
        <v>3.093036759922476E-2</v>
      </c>
    </row>
    <row r="566" spans="1:25" x14ac:dyDescent="0.25">
      <c r="C566" t="s">
        <v>44</v>
      </c>
      <c r="D566">
        <f t="array" ref="D566:K566">(Q1290:Y1290*AE$4:AE$11+Q1653:Y1653*AF$4:AF$11+Q2016:Y2016*AG$4:AG$11)</f>
        <v>0</v>
      </c>
      <c r="E566">
        <v>0</v>
      </c>
      <c r="F566">
        <v>201.51381109125225</v>
      </c>
      <c r="G566">
        <v>232.63778934754677</v>
      </c>
      <c r="H566">
        <v>68.590454884728345</v>
      </c>
      <c r="I566">
        <v>2.7048966103344059</v>
      </c>
      <c r="J566">
        <v>0</v>
      </c>
      <c r="K566">
        <v>0</v>
      </c>
      <c r="P566" s="2" t="s">
        <v>13</v>
      </c>
      <c r="Q566" s="10">
        <f>data_redis_illX!E499</f>
        <v>0</v>
      </c>
      <c r="R566" s="10">
        <f>data_redis_illX!F499</f>
        <v>0</v>
      </c>
      <c r="S566" s="10">
        <f>data_redis_illX!G499</f>
        <v>0</v>
      </c>
      <c r="T566" s="10">
        <f>data_redis_illX!H499</f>
        <v>0</v>
      </c>
      <c r="U566" s="10">
        <f>data_redis_illX!I499</f>
        <v>0</v>
      </c>
      <c r="V566" s="10">
        <f>data_redis_illX!J499</f>
        <v>3.093036759922476E-2</v>
      </c>
      <c r="W566" s="10">
        <f>data_redis_illX!K499</f>
        <v>0</v>
      </c>
      <c r="X566" s="10">
        <f>data_redis_illX!L499</f>
        <v>0</v>
      </c>
      <c r="Y566" s="5">
        <f t="shared" si="8"/>
        <v>3.093036759922476E-2</v>
      </c>
    </row>
    <row r="567" spans="1:25" x14ac:dyDescent="0.25">
      <c r="A567">
        <v>2</v>
      </c>
      <c r="B567" t="s">
        <v>50</v>
      </c>
      <c r="C567" t="s">
        <v>12</v>
      </c>
      <c r="D567">
        <f t="array" ref="D567:K567">(Q1291:Y1291*AE$4:AE$11+Q1654:Y1654*AF$4:AF$11+Q2017:Y2017*AG$4:AG$11)</f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6.7895115898843228E-2</v>
      </c>
      <c r="K567">
        <v>0</v>
      </c>
      <c r="P567" s="2" t="s">
        <v>14</v>
      </c>
      <c r="Q567" s="10">
        <f>data_redis_illX!E500</f>
        <v>0</v>
      </c>
      <c r="R567" s="10">
        <f>data_redis_illX!F500</f>
        <v>0</v>
      </c>
      <c r="S567" s="10">
        <f>data_redis_illX!G500</f>
        <v>0</v>
      </c>
      <c r="T567" s="10">
        <f>data_redis_illX!H500</f>
        <v>0</v>
      </c>
      <c r="U567" s="10">
        <f>data_redis_illX!I500</f>
        <v>0</v>
      </c>
      <c r="V567" s="10">
        <f>data_redis_illX!J500</f>
        <v>3.093036759922476E-2</v>
      </c>
      <c r="W567" s="10">
        <f>data_redis_illX!K500</f>
        <v>0</v>
      </c>
      <c r="X567" s="10">
        <f>data_redis_illX!L500</f>
        <v>0</v>
      </c>
      <c r="Y567" s="5">
        <f t="shared" si="8"/>
        <v>3.093036759922476E-2</v>
      </c>
    </row>
    <row r="568" spans="1:25" x14ac:dyDescent="0.25">
      <c r="C568" t="s">
        <v>13</v>
      </c>
      <c r="D568">
        <f t="array" ref="D568:K568">(Q1292:Y1292*AE$4:AE$11+Q1655:Y1655*AF$4:AF$11+Q2018:Y2018*AG$4:AG$11)</f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6.7895115898843228E-2</v>
      </c>
      <c r="K568">
        <v>0</v>
      </c>
      <c r="P568" s="2" t="s">
        <v>15</v>
      </c>
      <c r="Q568" s="10">
        <f>data_redis_illX!E501</f>
        <v>0</v>
      </c>
      <c r="R568" s="10">
        <f>data_redis_illX!F501</f>
        <v>0</v>
      </c>
      <c r="S568" s="10">
        <f>data_redis_illX!G501</f>
        <v>0</v>
      </c>
      <c r="T568" s="10">
        <f>data_redis_illX!H501</f>
        <v>0</v>
      </c>
      <c r="U568" s="10">
        <f>data_redis_illX!I501</f>
        <v>0</v>
      </c>
      <c r="V568" s="10">
        <f>data_redis_illX!J501</f>
        <v>3.093036759922476E-2</v>
      </c>
      <c r="W568" s="10">
        <f>data_redis_illX!K501</f>
        <v>0</v>
      </c>
      <c r="X568" s="10">
        <f>data_redis_illX!L501</f>
        <v>0</v>
      </c>
      <c r="Y568" s="5">
        <f t="shared" si="8"/>
        <v>3.093036759922476E-2</v>
      </c>
    </row>
    <row r="569" spans="1:25" x14ac:dyDescent="0.25">
      <c r="C569" t="s">
        <v>14</v>
      </c>
      <c r="D569">
        <f t="array" ref="D569:K569">(Q1293:Y1293*AE$4:AE$11+Q1656:Y1656*AF$4:AF$11+Q2019:Y2019*AG$4:AG$11)</f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6.7895115898843228E-2</v>
      </c>
      <c r="K569">
        <v>0</v>
      </c>
      <c r="P569" s="2" t="s">
        <v>16</v>
      </c>
      <c r="Q569" s="10">
        <f>data_redis_illX!E502</f>
        <v>0</v>
      </c>
      <c r="R569" s="10">
        <f>data_redis_illX!F502</f>
        <v>0</v>
      </c>
      <c r="S569" s="10">
        <f>data_redis_illX!G502</f>
        <v>0</v>
      </c>
      <c r="T569" s="10">
        <f>data_redis_illX!H502</f>
        <v>0</v>
      </c>
      <c r="U569" s="10">
        <f>data_redis_illX!I502</f>
        <v>0</v>
      </c>
      <c r="V569" s="10">
        <f>data_redis_illX!J502</f>
        <v>3.093036759922476E-2</v>
      </c>
      <c r="W569" s="10">
        <f>data_redis_illX!K502</f>
        <v>0</v>
      </c>
      <c r="X569" s="10">
        <f>data_redis_illX!L502</f>
        <v>0</v>
      </c>
      <c r="Y569" s="5">
        <f t="shared" si="8"/>
        <v>3.093036759922476E-2</v>
      </c>
    </row>
    <row r="570" spans="1:25" x14ac:dyDescent="0.25">
      <c r="C570" t="s">
        <v>15</v>
      </c>
      <c r="D570">
        <f t="array" ref="D570:K570">(Q1294:Y1294*AE$4:AE$11+Q1657:Y1657*AF$4:AF$11+Q2020:Y2020*AG$4:AG$11)</f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6.7895115898843228E-2</v>
      </c>
      <c r="K570">
        <v>0</v>
      </c>
      <c r="P570" s="2" t="s">
        <v>17</v>
      </c>
      <c r="Q570" s="10">
        <f>data_redis_illX!E503</f>
        <v>0</v>
      </c>
      <c r="R570" s="10">
        <f>data_redis_illX!F503</f>
        <v>0</v>
      </c>
      <c r="S570" s="10">
        <f>data_redis_illX!G503</f>
        <v>0</v>
      </c>
      <c r="T570" s="10">
        <f>data_redis_illX!H503</f>
        <v>0</v>
      </c>
      <c r="U570" s="10">
        <f>data_redis_illX!I503</f>
        <v>0</v>
      </c>
      <c r="V570" s="10">
        <f>data_redis_illX!J503</f>
        <v>3.093036759922476E-2</v>
      </c>
      <c r="W570" s="10">
        <f>data_redis_illX!K503</f>
        <v>0</v>
      </c>
      <c r="X570" s="10">
        <f>data_redis_illX!L503</f>
        <v>0</v>
      </c>
      <c r="Y570" s="5">
        <f t="shared" si="8"/>
        <v>3.093036759922476E-2</v>
      </c>
    </row>
    <row r="571" spans="1:25" x14ac:dyDescent="0.25">
      <c r="C571" t="s">
        <v>16</v>
      </c>
      <c r="D571">
        <f t="array" ref="D571:K571">(Q1295:Y1295*AE$4:AE$11+Q1658:Y1658*AF$4:AF$11+Q2021:Y2021*AG$4:AG$11)</f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6.7895115898843228E-2</v>
      </c>
      <c r="K571">
        <v>0</v>
      </c>
      <c r="P571" s="2" t="s">
        <v>18</v>
      </c>
      <c r="Q571" s="10">
        <f>data_redis_illX!E504</f>
        <v>0</v>
      </c>
      <c r="R571" s="10">
        <f>data_redis_illX!F504</f>
        <v>0</v>
      </c>
      <c r="S571" s="10">
        <f>data_redis_illX!G504</f>
        <v>0</v>
      </c>
      <c r="T571" s="10">
        <f>data_redis_illX!H504</f>
        <v>0</v>
      </c>
      <c r="U571" s="10">
        <f>data_redis_illX!I504</f>
        <v>0</v>
      </c>
      <c r="V571" s="10">
        <f>data_redis_illX!J504</f>
        <v>3.093036759922476E-2</v>
      </c>
      <c r="W571" s="10">
        <f>data_redis_illX!K504</f>
        <v>0</v>
      </c>
      <c r="X571" s="10">
        <f>data_redis_illX!L504</f>
        <v>0</v>
      </c>
      <c r="Y571" s="5">
        <f t="shared" si="8"/>
        <v>3.093036759922476E-2</v>
      </c>
    </row>
    <row r="572" spans="1:25" x14ac:dyDescent="0.25">
      <c r="C572" t="s">
        <v>17</v>
      </c>
      <c r="D572">
        <f t="array" ref="D572:K572">(Q1296:Y1296*AE$4:AE$11+Q1659:Y1659*AF$4:AF$11+Q2022:Y2022*AG$4:AG$11)</f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6.7895115898843228E-2</v>
      </c>
      <c r="K572">
        <v>0</v>
      </c>
      <c r="P572" s="2" t="s">
        <v>19</v>
      </c>
      <c r="Q572" s="10">
        <f>data_redis_illX!E505</f>
        <v>0</v>
      </c>
      <c r="R572" s="10">
        <f>data_redis_illX!F505</f>
        <v>0</v>
      </c>
      <c r="S572" s="10">
        <f>data_redis_illX!G505</f>
        <v>0</v>
      </c>
      <c r="T572" s="10">
        <f>data_redis_illX!H505</f>
        <v>0</v>
      </c>
      <c r="U572" s="10">
        <f>data_redis_illX!I505</f>
        <v>0</v>
      </c>
      <c r="V572" s="10">
        <f>data_redis_illX!J505</f>
        <v>3.093036759922476E-2</v>
      </c>
      <c r="W572" s="10">
        <f>data_redis_illX!K505</f>
        <v>0</v>
      </c>
      <c r="X572" s="10">
        <f>data_redis_illX!L505</f>
        <v>0</v>
      </c>
      <c r="Y572" s="5">
        <f t="shared" si="8"/>
        <v>3.093036759922476E-2</v>
      </c>
    </row>
    <row r="573" spans="1:25" x14ac:dyDescent="0.25">
      <c r="C573" t="s">
        <v>18</v>
      </c>
      <c r="D573">
        <f t="array" ref="D573:K573">(Q1297:Y1297*AE$4:AE$11+Q1660:Y1660*AF$4:AF$11+Q2023:Y2023*AG$4:AG$11)</f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6.7895115898843228E-2</v>
      </c>
      <c r="K573">
        <v>0</v>
      </c>
      <c r="P573" s="2" t="s">
        <v>20</v>
      </c>
      <c r="Q573" s="10">
        <f>data_redis_illX!E506</f>
        <v>0</v>
      </c>
      <c r="R573" s="10">
        <f>data_redis_illX!F506</f>
        <v>0</v>
      </c>
      <c r="S573" s="10">
        <f>data_redis_illX!G506</f>
        <v>0</v>
      </c>
      <c r="T573" s="10">
        <f>data_redis_illX!H506</f>
        <v>0</v>
      </c>
      <c r="U573" s="10">
        <f>data_redis_illX!I506</f>
        <v>0</v>
      </c>
      <c r="V573" s="10">
        <f>data_redis_illX!J506</f>
        <v>3.093036759922476E-2</v>
      </c>
      <c r="W573" s="10">
        <f>data_redis_illX!K506</f>
        <v>0</v>
      </c>
      <c r="X573" s="10">
        <f>data_redis_illX!L506</f>
        <v>0</v>
      </c>
      <c r="Y573" s="5">
        <f t="shared" si="8"/>
        <v>3.093036759922476E-2</v>
      </c>
    </row>
    <row r="574" spans="1:25" x14ac:dyDescent="0.25">
      <c r="C574" t="s">
        <v>19</v>
      </c>
      <c r="D574">
        <f t="array" ref="D574:K574">(Q1298:Y1298*AE$4:AE$11+Q1661:Y1661*AF$4:AF$11+Q2024:Y2024*AG$4:AG$11)</f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6.7895115898843228E-2</v>
      </c>
      <c r="K574">
        <v>0</v>
      </c>
      <c r="P574" s="2" t="s">
        <v>21</v>
      </c>
      <c r="Q574" s="10">
        <f>data_redis_illX!E507</f>
        <v>0</v>
      </c>
      <c r="R574" s="10">
        <f>data_redis_illX!F507</f>
        <v>0</v>
      </c>
      <c r="S574" s="10">
        <f>data_redis_illX!G507</f>
        <v>0</v>
      </c>
      <c r="T574" s="10">
        <f>data_redis_illX!H507</f>
        <v>0</v>
      </c>
      <c r="U574" s="10">
        <f>data_redis_illX!I507</f>
        <v>0</v>
      </c>
      <c r="V574" s="10">
        <f>data_redis_illX!J507</f>
        <v>3.093036759922476E-2</v>
      </c>
      <c r="W574" s="10">
        <f>data_redis_illX!K507</f>
        <v>0</v>
      </c>
      <c r="X574" s="10">
        <f>data_redis_illX!L507</f>
        <v>0</v>
      </c>
      <c r="Y574" s="5">
        <f t="shared" si="8"/>
        <v>3.093036759922476E-2</v>
      </c>
    </row>
    <row r="575" spans="1:25" x14ac:dyDescent="0.25">
      <c r="C575" t="s">
        <v>20</v>
      </c>
      <c r="D575">
        <f t="array" ref="D575:K575">(Q1299:Y1299*AE$4:AE$11+Q1662:Y1662*AF$4:AF$11+Q2025:Y2025*AG$4:AG$11)</f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6.7895115898843228E-2</v>
      </c>
      <c r="K575">
        <v>0</v>
      </c>
      <c r="P575" s="2" t="s">
        <v>22</v>
      </c>
      <c r="Q575" s="10">
        <f>data_redis_illX!E508</f>
        <v>0</v>
      </c>
      <c r="R575" s="10">
        <f>data_redis_illX!F508</f>
        <v>0</v>
      </c>
      <c r="S575" s="10">
        <f>data_redis_illX!G508</f>
        <v>0</v>
      </c>
      <c r="T575" s="10">
        <f>data_redis_illX!H508</f>
        <v>0</v>
      </c>
      <c r="U575" s="10">
        <f>data_redis_illX!I508</f>
        <v>0</v>
      </c>
      <c r="V575" s="10">
        <f>data_redis_illX!J508</f>
        <v>3.093036759922476E-2</v>
      </c>
      <c r="W575" s="10">
        <f>data_redis_illX!K508</f>
        <v>0</v>
      </c>
      <c r="X575" s="10">
        <f>data_redis_illX!L508</f>
        <v>0</v>
      </c>
      <c r="Y575" s="5">
        <f t="shared" si="8"/>
        <v>3.093036759922476E-2</v>
      </c>
    </row>
    <row r="576" spans="1:25" x14ac:dyDescent="0.25">
      <c r="C576" t="s">
        <v>21</v>
      </c>
      <c r="D576">
        <f t="array" ref="D576:K576">(Q1300:Y1300*AE$4:AE$11+Q1663:Y1663*AF$4:AF$11+Q2026:Y2026*AG$4:AG$11)</f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6.7895115898843228E-2</v>
      </c>
      <c r="K576">
        <v>0</v>
      </c>
      <c r="P576" s="2" t="s">
        <v>23</v>
      </c>
      <c r="Q576" s="10">
        <f>data_redis_illX!E509</f>
        <v>0</v>
      </c>
      <c r="R576" s="10">
        <f>data_redis_illX!F509</f>
        <v>0</v>
      </c>
      <c r="S576" s="10">
        <f>data_redis_illX!G509</f>
        <v>0</v>
      </c>
      <c r="T576" s="10">
        <f>data_redis_illX!H509</f>
        <v>0</v>
      </c>
      <c r="U576" s="10">
        <f>data_redis_illX!I509</f>
        <v>0</v>
      </c>
      <c r="V576" s="10">
        <f>data_redis_illX!J509</f>
        <v>3.093036759922476E-2</v>
      </c>
      <c r="W576" s="10">
        <f>data_redis_illX!K509</f>
        <v>0</v>
      </c>
      <c r="X576" s="10">
        <f>data_redis_illX!L509</f>
        <v>0</v>
      </c>
      <c r="Y576" s="5">
        <f t="shared" si="8"/>
        <v>3.093036759922476E-2</v>
      </c>
    </row>
    <row r="577" spans="3:25" x14ac:dyDescent="0.25">
      <c r="C577" t="s">
        <v>22</v>
      </c>
      <c r="D577">
        <f t="array" ref="D577:K577">(Q1301:Y1301*AE$4:AE$11+Q1664:Y1664*AF$4:AF$11+Q2027:Y2027*AG$4:AG$11)</f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6.7895115898843228E-2</v>
      </c>
      <c r="K577">
        <v>0</v>
      </c>
      <c r="P577" s="2" t="s">
        <v>24</v>
      </c>
      <c r="Q577" s="10">
        <f>data_redis_illX!E510</f>
        <v>0</v>
      </c>
      <c r="R577" s="10">
        <f>data_redis_illX!F510</f>
        <v>0</v>
      </c>
      <c r="S577" s="10">
        <f>data_redis_illX!G510</f>
        <v>0</v>
      </c>
      <c r="T577" s="10">
        <f>data_redis_illX!H510</f>
        <v>0</v>
      </c>
      <c r="U577" s="10">
        <f>data_redis_illX!I510</f>
        <v>0</v>
      </c>
      <c r="V577" s="10">
        <f>data_redis_illX!J510</f>
        <v>3.093036759922476E-2</v>
      </c>
      <c r="W577" s="10">
        <f>data_redis_illX!K510</f>
        <v>0</v>
      </c>
      <c r="X577" s="10">
        <f>data_redis_illX!L510</f>
        <v>0</v>
      </c>
      <c r="Y577" s="5">
        <f t="shared" si="8"/>
        <v>3.093036759922476E-2</v>
      </c>
    </row>
    <row r="578" spans="3:25" x14ac:dyDescent="0.25">
      <c r="C578" t="s">
        <v>23</v>
      </c>
      <c r="D578">
        <f t="array" ref="D578:K578">(Q1302:Y1302*AE$4:AE$11+Q1665:Y1665*AF$4:AF$11+Q2028:Y2028*AG$4:AG$11)</f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6.7895115898843228E-2</v>
      </c>
      <c r="K578">
        <v>0</v>
      </c>
      <c r="P578" s="2" t="s">
        <v>25</v>
      </c>
      <c r="Q578" s="10">
        <f>data_redis_illX!E511</f>
        <v>0</v>
      </c>
      <c r="R578" s="10">
        <f>data_redis_illX!F511</f>
        <v>0</v>
      </c>
      <c r="S578" s="10">
        <f>data_redis_illX!G511</f>
        <v>0</v>
      </c>
      <c r="T578" s="10">
        <f>data_redis_illX!H511</f>
        <v>0</v>
      </c>
      <c r="U578" s="10">
        <f>data_redis_illX!I511</f>
        <v>0</v>
      </c>
      <c r="V578" s="10">
        <f>data_redis_illX!J511</f>
        <v>3.093036759922476E-2</v>
      </c>
      <c r="W578" s="10">
        <f>data_redis_illX!K511</f>
        <v>0</v>
      </c>
      <c r="X578" s="10">
        <f>data_redis_illX!L511</f>
        <v>0</v>
      </c>
      <c r="Y578" s="5">
        <f t="shared" si="8"/>
        <v>3.093036759922476E-2</v>
      </c>
    </row>
    <row r="579" spans="3:25" x14ac:dyDescent="0.25">
      <c r="C579" t="s">
        <v>24</v>
      </c>
      <c r="D579">
        <f t="array" ref="D579:K579">(Q1303:Y1303*AE$4:AE$11+Q1666:Y1666*AF$4:AF$11+Q2029:Y2029*AG$4:AG$11)</f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6.7895115898843228E-2</v>
      </c>
      <c r="K579">
        <v>0</v>
      </c>
      <c r="P579" s="2" t="s">
        <v>26</v>
      </c>
      <c r="Q579" s="10">
        <f>data_redis_illX!E512</f>
        <v>0</v>
      </c>
      <c r="R579" s="10">
        <f>data_redis_illX!F512</f>
        <v>0</v>
      </c>
      <c r="S579" s="10">
        <f>data_redis_illX!G512</f>
        <v>0</v>
      </c>
      <c r="T579" s="10">
        <f>data_redis_illX!H512</f>
        <v>0</v>
      </c>
      <c r="U579" s="10">
        <f>data_redis_illX!I512</f>
        <v>0</v>
      </c>
      <c r="V579" s="10">
        <f>data_redis_illX!J512</f>
        <v>3.093036759922476E-2</v>
      </c>
      <c r="W579" s="10">
        <f>data_redis_illX!K512</f>
        <v>0</v>
      </c>
      <c r="X579" s="10">
        <f>data_redis_illX!L512</f>
        <v>0</v>
      </c>
      <c r="Y579" s="5">
        <f t="shared" si="8"/>
        <v>3.093036759922476E-2</v>
      </c>
    </row>
    <row r="580" spans="3:25" x14ac:dyDescent="0.25">
      <c r="C580" t="s">
        <v>25</v>
      </c>
      <c r="D580">
        <f t="array" ref="D580:K580">(Q1304:Y1304*AE$4:AE$11+Q1667:Y1667*AF$4:AF$11+Q2030:Y2030*AG$4:AG$11)</f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6.7895115898843228E-2</v>
      </c>
      <c r="K580">
        <v>0</v>
      </c>
      <c r="P580" s="2" t="s">
        <v>27</v>
      </c>
      <c r="Q580" s="10">
        <f>data_redis_illX!E513</f>
        <v>0</v>
      </c>
      <c r="R580" s="10">
        <f>data_redis_illX!F513</f>
        <v>0</v>
      </c>
      <c r="S580" s="10">
        <f>data_redis_illX!G513</f>
        <v>0</v>
      </c>
      <c r="T580" s="10">
        <f>data_redis_illX!H513</f>
        <v>0</v>
      </c>
      <c r="U580" s="10">
        <f>data_redis_illX!I513</f>
        <v>0</v>
      </c>
      <c r="V580" s="10">
        <f>data_redis_illX!J513</f>
        <v>3.093036759922476E-2</v>
      </c>
      <c r="W580" s="10">
        <f>data_redis_illX!K513</f>
        <v>0</v>
      </c>
      <c r="X580" s="10">
        <f>data_redis_illX!L513</f>
        <v>0</v>
      </c>
      <c r="Y580" s="5">
        <f t="shared" si="8"/>
        <v>3.093036759922476E-2</v>
      </c>
    </row>
    <row r="581" spans="3:25" x14ac:dyDescent="0.25">
      <c r="C581" t="s">
        <v>26</v>
      </c>
      <c r="D581">
        <f t="array" ref="D581:K581">(Q1305:Y1305*AE$4:AE$11+Q1668:Y1668*AF$4:AF$11+Q2031:Y2031*AG$4:AG$11)</f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6.7895115898843228E-2</v>
      </c>
      <c r="K581">
        <v>0</v>
      </c>
      <c r="P581" s="2" t="s">
        <v>28</v>
      </c>
      <c r="Q581" s="10">
        <f>data_redis_illX!E514</f>
        <v>0</v>
      </c>
      <c r="R581" s="10">
        <f>data_redis_illX!F514</f>
        <v>0</v>
      </c>
      <c r="S581" s="10">
        <f>data_redis_illX!G514</f>
        <v>0</v>
      </c>
      <c r="T581" s="10">
        <f>data_redis_illX!H514</f>
        <v>0</v>
      </c>
      <c r="U581" s="10">
        <f>data_redis_illX!I514</f>
        <v>0</v>
      </c>
      <c r="V581" s="10">
        <f>data_redis_illX!J514</f>
        <v>3.093036759922476E-2</v>
      </c>
      <c r="W581" s="10">
        <f>data_redis_illX!K514</f>
        <v>0</v>
      </c>
      <c r="X581" s="10">
        <f>data_redis_illX!L514</f>
        <v>0</v>
      </c>
      <c r="Y581" s="5">
        <f t="shared" ref="Y581:Y644" si="9">SUM(Q581:X581)</f>
        <v>3.093036759922476E-2</v>
      </c>
    </row>
    <row r="582" spans="3:25" x14ac:dyDescent="0.25">
      <c r="C582" t="s">
        <v>27</v>
      </c>
      <c r="D582">
        <f t="array" ref="D582:K582">(Q1306:Y1306*AE$4:AE$11+Q1669:Y1669*AF$4:AF$11+Q2032:Y2032*AG$4:AG$11)</f>
        <v>0</v>
      </c>
      <c r="E582">
        <v>0</v>
      </c>
      <c r="F582">
        <v>7.5936421568819075</v>
      </c>
      <c r="G582">
        <v>0</v>
      </c>
      <c r="H582">
        <v>0</v>
      </c>
      <c r="I582">
        <v>0</v>
      </c>
      <c r="J582">
        <v>6.7895115898843228E-2</v>
      </c>
      <c r="K582">
        <v>0</v>
      </c>
      <c r="P582" s="2" t="s">
        <v>29</v>
      </c>
      <c r="Q582" s="10">
        <f>data_redis_illX!E515</f>
        <v>0</v>
      </c>
      <c r="R582" s="10">
        <f>data_redis_illX!F515</f>
        <v>0</v>
      </c>
      <c r="S582" s="10">
        <f>data_redis_illX!G515</f>
        <v>0</v>
      </c>
      <c r="T582" s="10">
        <f>data_redis_illX!H515</f>
        <v>0</v>
      </c>
      <c r="U582" s="10">
        <f>data_redis_illX!I515</f>
        <v>0</v>
      </c>
      <c r="V582" s="10">
        <f>data_redis_illX!J515</f>
        <v>3.093036759922476E-2</v>
      </c>
      <c r="W582" s="10">
        <f>data_redis_illX!K515</f>
        <v>0</v>
      </c>
      <c r="X582" s="10">
        <f>data_redis_illX!L515</f>
        <v>0</v>
      </c>
      <c r="Y582" s="5">
        <f t="shared" si="9"/>
        <v>3.093036759922476E-2</v>
      </c>
    </row>
    <row r="583" spans="3:25" x14ac:dyDescent="0.25">
      <c r="C583" t="s">
        <v>28</v>
      </c>
      <c r="D583">
        <f t="array" ref="D583:K583">(Q1307:Y1307*AE$4:AE$11+Q1670:Y1670*AF$4:AF$11+Q2033:Y2033*AG$4:AG$11)</f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6.7895115898843228E-2</v>
      </c>
      <c r="K583">
        <v>0</v>
      </c>
      <c r="P583" s="2" t="s">
        <v>30</v>
      </c>
      <c r="Q583" s="10">
        <f>data_redis_illX!E516</f>
        <v>0</v>
      </c>
      <c r="R583" s="10">
        <f>data_redis_illX!F516</f>
        <v>0</v>
      </c>
      <c r="S583" s="10">
        <f>data_redis_illX!G516</f>
        <v>0</v>
      </c>
      <c r="T583" s="10">
        <f>data_redis_illX!H516</f>
        <v>0</v>
      </c>
      <c r="U583" s="10">
        <f>data_redis_illX!I516</f>
        <v>0</v>
      </c>
      <c r="V583" s="10">
        <f>data_redis_illX!J516</f>
        <v>3.093036759922476E-2</v>
      </c>
      <c r="W583" s="10">
        <f>data_redis_illX!K516</f>
        <v>0</v>
      </c>
      <c r="X583" s="10">
        <f>data_redis_illX!L516</f>
        <v>0</v>
      </c>
      <c r="Y583" s="5">
        <f t="shared" si="9"/>
        <v>3.093036759922476E-2</v>
      </c>
    </row>
    <row r="584" spans="3:25" x14ac:dyDescent="0.25">
      <c r="C584" t="s">
        <v>29</v>
      </c>
      <c r="D584">
        <f t="array" ref="D584:K584">(Q1308:Y1308*AE$4:AE$11+Q1671:Y1671*AF$4:AF$11+Q2034:Y2034*AG$4:AG$11)</f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6.7895115898843228E-2</v>
      </c>
      <c r="K584">
        <v>0</v>
      </c>
      <c r="P584" s="2" t="s">
        <v>31</v>
      </c>
      <c r="Q584" s="10">
        <f>data_redis_illX!E517</f>
        <v>0</v>
      </c>
      <c r="R584" s="10">
        <f>data_redis_illX!F517</f>
        <v>0</v>
      </c>
      <c r="S584" s="10">
        <f>data_redis_illX!G517</f>
        <v>0</v>
      </c>
      <c r="T584" s="10">
        <f>data_redis_illX!H517</f>
        <v>2.0249577690136826</v>
      </c>
      <c r="U584" s="10">
        <f>data_redis_illX!I517</f>
        <v>2.7989878338623604</v>
      </c>
      <c r="V584" s="10">
        <f>data_redis_illX!J517</f>
        <v>3.093036759922476E-2</v>
      </c>
      <c r="W584" s="10">
        <f>data_redis_illX!K517</f>
        <v>0</v>
      </c>
      <c r="X584" s="10">
        <f>data_redis_illX!L517</f>
        <v>0</v>
      </c>
      <c r="Y584" s="5">
        <f t="shared" si="9"/>
        <v>4.8548759704752671</v>
      </c>
    </row>
    <row r="585" spans="3:25" x14ac:dyDescent="0.25">
      <c r="C585" t="s">
        <v>30</v>
      </c>
      <c r="D585">
        <f t="array" ref="D585:K585">(Q1309:Y1309*AE$4:AE$11+Q1672:Y1672*AF$4:AF$11+Q2035:Y2035*AG$4:AG$11)</f>
        <v>0</v>
      </c>
      <c r="E585">
        <v>0</v>
      </c>
      <c r="F585">
        <v>4.193416269640986</v>
      </c>
      <c r="G585">
        <v>6.4364984337621998</v>
      </c>
      <c r="H585">
        <v>5.7930527885197458</v>
      </c>
      <c r="I585">
        <v>2.2919992997198877</v>
      </c>
      <c r="J585">
        <v>6.7895115898843228E-2</v>
      </c>
      <c r="K585">
        <v>0</v>
      </c>
      <c r="P585" s="2" t="s">
        <v>32</v>
      </c>
      <c r="Q585" s="10">
        <f>data_redis_illX!E518</f>
        <v>0</v>
      </c>
      <c r="R585" s="10">
        <f>data_redis_illX!F518</f>
        <v>0</v>
      </c>
      <c r="S585" s="10">
        <f>data_redis_illX!G518</f>
        <v>0</v>
      </c>
      <c r="T585" s="10">
        <f>data_redis_illX!H518</f>
        <v>0</v>
      </c>
      <c r="U585" s="10">
        <f>data_redis_illX!I518</f>
        <v>0</v>
      </c>
      <c r="V585" s="10">
        <f>data_redis_illX!J518</f>
        <v>3.093036759922476E-2</v>
      </c>
      <c r="W585" s="10">
        <f>data_redis_illX!K518</f>
        <v>0</v>
      </c>
      <c r="X585" s="10">
        <f>data_redis_illX!L518</f>
        <v>0</v>
      </c>
      <c r="Y585" s="5">
        <f t="shared" si="9"/>
        <v>3.093036759922476E-2</v>
      </c>
    </row>
    <row r="586" spans="3:25" x14ac:dyDescent="0.25">
      <c r="C586" t="s">
        <v>31</v>
      </c>
      <c r="D586">
        <f t="array" ref="D586:K586">(Q1310:Y1310*AE$4:AE$11+Q1673:Y1673*AF$4:AF$11+Q2036:Y2036*AG$4:AG$11)</f>
        <v>0</v>
      </c>
      <c r="E586">
        <v>0</v>
      </c>
      <c r="F586">
        <v>0</v>
      </c>
      <c r="G586">
        <v>17.169281573046096</v>
      </c>
      <c r="H586">
        <v>9.5106820925399536</v>
      </c>
      <c r="I586">
        <v>2.0373327108621226</v>
      </c>
      <c r="J586">
        <v>6.7895115898843228E-2</v>
      </c>
      <c r="K586">
        <v>0</v>
      </c>
      <c r="P586" s="2" t="s">
        <v>33</v>
      </c>
      <c r="Q586" s="10">
        <f>data_redis_illX!E519</f>
        <v>0</v>
      </c>
      <c r="R586" s="10">
        <f>data_redis_illX!F519</f>
        <v>0</v>
      </c>
      <c r="S586" s="10">
        <f>data_redis_illX!G519</f>
        <v>0</v>
      </c>
      <c r="T586" s="10">
        <f>data_redis_illX!H519</f>
        <v>0</v>
      </c>
      <c r="U586" s="10">
        <f>data_redis_illX!I519</f>
        <v>0</v>
      </c>
      <c r="V586" s="10">
        <f>data_redis_illX!J519</f>
        <v>3.093036759922476E-2</v>
      </c>
      <c r="W586" s="10">
        <f>data_redis_illX!K519</f>
        <v>0</v>
      </c>
      <c r="X586" s="10">
        <f>data_redis_illX!L519</f>
        <v>0</v>
      </c>
      <c r="Y586" s="5">
        <f t="shared" si="9"/>
        <v>3.093036759922476E-2</v>
      </c>
    </row>
    <row r="587" spans="3:25" x14ac:dyDescent="0.25">
      <c r="C587" t="s">
        <v>32</v>
      </c>
      <c r="D587">
        <f t="array" ref="D587:K587">(Q1311:Y1311*AE$4:AE$11+Q1674:Y1674*AF$4:AF$11+Q2037:Y2037*AG$4:AG$11)</f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6.7895115898843228E-2</v>
      </c>
      <c r="K587">
        <v>0</v>
      </c>
      <c r="P587" s="2" t="s">
        <v>34</v>
      </c>
      <c r="Q587" s="10">
        <f>data_redis_illX!E520</f>
        <v>0</v>
      </c>
      <c r="R587" s="10">
        <f>data_redis_illX!F520</f>
        <v>0</v>
      </c>
      <c r="S587" s="10">
        <f>data_redis_illX!G520</f>
        <v>0</v>
      </c>
      <c r="T587" s="10">
        <f>data_redis_illX!H520</f>
        <v>0</v>
      </c>
      <c r="U587" s="10">
        <f>data_redis_illX!I520</f>
        <v>0</v>
      </c>
      <c r="V587" s="10">
        <f>data_redis_illX!J520</f>
        <v>3.093036759922476E-2</v>
      </c>
      <c r="W587" s="10">
        <f>data_redis_illX!K520</f>
        <v>0</v>
      </c>
      <c r="X587" s="10">
        <f>data_redis_illX!L520</f>
        <v>0</v>
      </c>
      <c r="Y587" s="5">
        <f t="shared" si="9"/>
        <v>3.093036759922476E-2</v>
      </c>
    </row>
    <row r="588" spans="3:25" x14ac:dyDescent="0.25">
      <c r="C588" t="s">
        <v>33</v>
      </c>
      <c r="D588">
        <f t="array" ref="D588:K588">(Q1312:Y1312*AE$4:AE$11+Q1675:Y1675*AF$4:AF$11+Q2038:Y2038*AG$4:AG$11)</f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6.7895115898843228E-2</v>
      </c>
      <c r="K588">
        <v>0</v>
      </c>
      <c r="P588" s="2" t="s">
        <v>35</v>
      </c>
      <c r="Q588" s="10">
        <f>data_redis_illX!E521</f>
        <v>0</v>
      </c>
      <c r="R588" s="10">
        <f>data_redis_illX!F521</f>
        <v>0</v>
      </c>
      <c r="S588" s="10">
        <f>data_redis_illX!G521</f>
        <v>0</v>
      </c>
      <c r="T588" s="10">
        <f>data_redis_illX!H521</f>
        <v>0</v>
      </c>
      <c r="U588" s="10">
        <f>data_redis_illX!I521</f>
        <v>0</v>
      </c>
      <c r="V588" s="10">
        <f>data_redis_illX!J521</f>
        <v>3.093036759922476E-2</v>
      </c>
      <c r="W588" s="10">
        <f>data_redis_illX!K521</f>
        <v>0</v>
      </c>
      <c r="X588" s="10">
        <f>data_redis_illX!L521</f>
        <v>0</v>
      </c>
      <c r="Y588" s="5">
        <f t="shared" si="9"/>
        <v>3.093036759922476E-2</v>
      </c>
    </row>
    <row r="589" spans="3:25" x14ac:dyDescent="0.25">
      <c r="C589" t="s">
        <v>34</v>
      </c>
      <c r="D589">
        <f t="array" ref="D589:K589">(Q1313:Y1313*AE$4:AE$11+Q1676:Y1676*AF$4:AF$11+Q2039:Y2039*AG$4:AG$11)</f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6.7895115898843228E-2</v>
      </c>
      <c r="K589">
        <v>0</v>
      </c>
      <c r="P589" s="2" t="s">
        <v>36</v>
      </c>
      <c r="Q589" s="10">
        <f>data_redis_illX!E522</f>
        <v>0</v>
      </c>
      <c r="R589" s="10">
        <f>data_redis_illX!F522</f>
        <v>0</v>
      </c>
      <c r="S589" s="10">
        <f>data_redis_illX!G522</f>
        <v>0</v>
      </c>
      <c r="T589" s="10">
        <f>data_redis_illX!H522</f>
        <v>0</v>
      </c>
      <c r="U589" s="10">
        <f>data_redis_illX!I522</f>
        <v>0</v>
      </c>
      <c r="V589" s="10">
        <f>data_redis_illX!J522</f>
        <v>3.093036759922476E-2</v>
      </c>
      <c r="W589" s="10">
        <f>data_redis_illX!K522</f>
        <v>0</v>
      </c>
      <c r="X589" s="10">
        <f>data_redis_illX!L522</f>
        <v>0</v>
      </c>
      <c r="Y589" s="5">
        <f t="shared" si="9"/>
        <v>3.093036759922476E-2</v>
      </c>
    </row>
    <row r="590" spans="3:25" x14ac:dyDescent="0.25">
      <c r="C590" t="s">
        <v>35</v>
      </c>
      <c r="D590">
        <f t="array" ref="D590:K590">(Q1314:Y1314*AE$4:AE$11+Q1677:Y1677*AF$4:AF$11+Q2040:Y2040*AG$4:AG$11)</f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6.7895115898843228E-2</v>
      </c>
      <c r="K590">
        <v>0</v>
      </c>
      <c r="P590" s="2" t="s">
        <v>37</v>
      </c>
      <c r="Q590" s="10">
        <f>data_redis_illX!E523</f>
        <v>0</v>
      </c>
      <c r="R590" s="10">
        <f>data_redis_illX!F523</f>
        <v>0</v>
      </c>
      <c r="S590" s="10">
        <f>data_redis_illX!G523</f>
        <v>0</v>
      </c>
      <c r="T590" s="10">
        <f>data_redis_illX!H523</f>
        <v>0</v>
      </c>
      <c r="U590" s="10">
        <f>data_redis_illX!I523</f>
        <v>0</v>
      </c>
      <c r="V590" s="10">
        <f>data_redis_illX!J523</f>
        <v>3.093036759922476E-2</v>
      </c>
      <c r="W590" s="10">
        <f>data_redis_illX!K523</f>
        <v>0</v>
      </c>
      <c r="X590" s="10">
        <f>data_redis_illX!L523</f>
        <v>0</v>
      </c>
      <c r="Y590" s="5">
        <f t="shared" si="9"/>
        <v>3.093036759922476E-2</v>
      </c>
    </row>
    <row r="591" spans="3:25" x14ac:dyDescent="0.25">
      <c r="C591" t="s">
        <v>36</v>
      </c>
      <c r="D591">
        <f t="array" ref="D591:K591">(Q1315:Y1315*AE$4:AE$11+Q1678:Y1678*AF$4:AF$11+Q2041:Y2041*AG$4:AG$11)</f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6.7895115898843228E-2</v>
      </c>
      <c r="K591">
        <v>0</v>
      </c>
      <c r="P591" s="2" t="s">
        <v>38</v>
      </c>
      <c r="Q591" s="10">
        <f>data_redis_illX!E524</f>
        <v>0</v>
      </c>
      <c r="R591" s="10">
        <f>data_redis_illX!F524</f>
        <v>0</v>
      </c>
      <c r="S591" s="10">
        <f>data_redis_illX!G524</f>
        <v>0</v>
      </c>
      <c r="T591" s="10">
        <f>data_redis_illX!H524</f>
        <v>0</v>
      </c>
      <c r="U591" s="10">
        <f>data_redis_illX!I524</f>
        <v>0</v>
      </c>
      <c r="V591" s="10">
        <f>data_redis_illX!J524</f>
        <v>3.093036759922476E-2</v>
      </c>
      <c r="W591" s="10">
        <f>data_redis_illX!K524</f>
        <v>0</v>
      </c>
      <c r="X591" s="10">
        <f>data_redis_illX!L524</f>
        <v>0</v>
      </c>
      <c r="Y591" s="5">
        <f t="shared" si="9"/>
        <v>3.093036759922476E-2</v>
      </c>
    </row>
    <row r="592" spans="3:25" x14ac:dyDescent="0.25">
      <c r="C592" t="s">
        <v>37</v>
      </c>
      <c r="D592">
        <f t="array" ref="D592:K592">(Q1316:Y1316*AE$4:AE$11+Q1679:Y1679*AF$4:AF$11+Q2042:Y2042*AG$4:AG$11)</f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6.7895115898843228E-2</v>
      </c>
      <c r="K592">
        <v>0</v>
      </c>
      <c r="P592" s="2" t="s">
        <v>39</v>
      </c>
      <c r="Q592" s="10">
        <f>data_redis_illX!E525</f>
        <v>0</v>
      </c>
      <c r="R592" s="10">
        <f>data_redis_illX!F525</f>
        <v>0</v>
      </c>
      <c r="S592" s="10">
        <f>data_redis_illX!G525</f>
        <v>0</v>
      </c>
      <c r="T592" s="10">
        <f>data_redis_illX!H525</f>
        <v>0</v>
      </c>
      <c r="U592" s="10">
        <f>data_redis_illX!I525</f>
        <v>0</v>
      </c>
      <c r="V592" s="10">
        <f>data_redis_illX!J525</f>
        <v>3.093036759922476E-2</v>
      </c>
      <c r="W592" s="10">
        <f>data_redis_illX!K525</f>
        <v>0</v>
      </c>
      <c r="X592" s="10">
        <f>data_redis_illX!L525</f>
        <v>0</v>
      </c>
      <c r="Y592" s="5">
        <f t="shared" si="9"/>
        <v>3.093036759922476E-2</v>
      </c>
    </row>
    <row r="593" spans="1:25" x14ac:dyDescent="0.25">
      <c r="C593" t="s">
        <v>38</v>
      </c>
      <c r="D593">
        <f t="array" ref="D593:K593">(Q1317:Y1317*AE$4:AE$11+Q1680:Y1680*AF$4:AF$11+Q2043:Y2043*AG$4:AG$11)</f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6.7895115898843228E-2</v>
      </c>
      <c r="K593">
        <v>0</v>
      </c>
      <c r="P593" s="2" t="s">
        <v>40</v>
      </c>
      <c r="Q593" s="10">
        <f>data_redis_illX!E526</f>
        <v>0</v>
      </c>
      <c r="R593" s="10">
        <f>data_redis_illX!F526</f>
        <v>0</v>
      </c>
      <c r="S593" s="10">
        <f>data_redis_illX!G526</f>
        <v>0</v>
      </c>
      <c r="T593" s="10">
        <f>data_redis_illX!H526</f>
        <v>0</v>
      </c>
      <c r="U593" s="10">
        <f>data_redis_illX!I526</f>
        <v>0</v>
      </c>
      <c r="V593" s="10">
        <f>data_redis_illX!J526</f>
        <v>3.093036759922476E-2</v>
      </c>
      <c r="W593" s="10">
        <f>data_redis_illX!K526</f>
        <v>0</v>
      </c>
      <c r="X593" s="10">
        <f>data_redis_illX!L526</f>
        <v>0</v>
      </c>
      <c r="Y593" s="5">
        <f t="shared" si="9"/>
        <v>3.093036759922476E-2</v>
      </c>
    </row>
    <row r="594" spans="1:25" x14ac:dyDescent="0.25">
      <c r="C594" t="s">
        <v>39</v>
      </c>
      <c r="D594">
        <f t="array" ref="D594:K594">(Q1318:Y1318*AE$4:AE$11+Q1681:Y1681*AF$4:AF$11+Q2044:Y2044*AG$4:AG$11)</f>
        <v>0</v>
      </c>
      <c r="E594">
        <v>0</v>
      </c>
      <c r="F594">
        <v>0</v>
      </c>
      <c r="G594">
        <v>16.34609318081138</v>
      </c>
      <c r="H594">
        <v>0</v>
      </c>
      <c r="I594">
        <v>0</v>
      </c>
      <c r="J594">
        <v>6.7895115898843228E-2</v>
      </c>
      <c r="K594">
        <v>0</v>
      </c>
      <c r="P594" s="2" t="s">
        <v>41</v>
      </c>
      <c r="Q594" s="10">
        <f>data_redis_illX!E527</f>
        <v>0</v>
      </c>
      <c r="R594" s="10">
        <f>data_redis_illX!F527</f>
        <v>0</v>
      </c>
      <c r="S594" s="10">
        <f>data_redis_illX!G527</f>
        <v>0</v>
      </c>
      <c r="T594" s="10">
        <f>data_redis_illX!H527</f>
        <v>0</v>
      </c>
      <c r="U594" s="10">
        <f>data_redis_illX!I527</f>
        <v>0</v>
      </c>
      <c r="V594" s="10">
        <f>data_redis_illX!J527</f>
        <v>3.093036759922476E-2</v>
      </c>
      <c r="W594" s="10">
        <f>data_redis_illX!K527</f>
        <v>0</v>
      </c>
      <c r="X594" s="10">
        <f>data_redis_illX!L527</f>
        <v>0</v>
      </c>
      <c r="Y594" s="5">
        <f t="shared" si="9"/>
        <v>3.093036759922476E-2</v>
      </c>
    </row>
    <row r="595" spans="1:25" x14ac:dyDescent="0.25">
      <c r="C595" t="s">
        <v>40</v>
      </c>
      <c r="D595">
        <f t="array" ref="D595:K595">(Q1319:Y1319*AE$4:AE$11+Q1682:Y1682*AF$4:AF$11+Q2045:Y2045*AG$4:AG$11)</f>
        <v>0</v>
      </c>
      <c r="E595">
        <v>0</v>
      </c>
      <c r="F595">
        <v>8.2670584265228939</v>
      </c>
      <c r="G595">
        <v>0</v>
      </c>
      <c r="H595">
        <v>2.2117865331488265</v>
      </c>
      <c r="I595">
        <v>0</v>
      </c>
      <c r="J595">
        <v>6.7895115898843228E-2</v>
      </c>
      <c r="K595">
        <v>0</v>
      </c>
      <c r="P595" s="2" t="s">
        <v>42</v>
      </c>
      <c r="Q595" s="10">
        <f>data_redis_illX!E528</f>
        <v>0</v>
      </c>
      <c r="R595" s="10">
        <f>data_redis_illX!F528</f>
        <v>0</v>
      </c>
      <c r="S595" s="10">
        <f>data_redis_illX!G528</f>
        <v>0</v>
      </c>
      <c r="T595" s="10">
        <f>data_redis_illX!H528</f>
        <v>0</v>
      </c>
      <c r="U595" s="10">
        <f>data_redis_illX!I528</f>
        <v>0</v>
      </c>
      <c r="V595" s="10">
        <f>data_redis_illX!J528</f>
        <v>3.093036759922476E-2</v>
      </c>
      <c r="W595" s="10">
        <f>data_redis_illX!K528</f>
        <v>0</v>
      </c>
      <c r="X595" s="10">
        <f>data_redis_illX!L528</f>
        <v>0</v>
      </c>
      <c r="Y595" s="5">
        <f t="shared" si="9"/>
        <v>3.093036759922476E-2</v>
      </c>
    </row>
    <row r="596" spans="1:25" x14ac:dyDescent="0.25">
      <c r="C596" t="s">
        <v>41</v>
      </c>
      <c r="D596">
        <f t="array" ref="D596:K596">(Q1320:Y1320*AE$4:AE$11+Q1683:Y1683*AF$4:AF$11+Q2046:Y2046*AG$4:AG$11)</f>
        <v>0</v>
      </c>
      <c r="E596">
        <v>0</v>
      </c>
      <c r="F596">
        <v>5.8336421568819077</v>
      </c>
      <c r="G596">
        <v>0</v>
      </c>
      <c r="H596">
        <v>0</v>
      </c>
      <c r="I596">
        <v>0</v>
      </c>
      <c r="J596">
        <v>6.7895115898843228E-2</v>
      </c>
      <c r="K596">
        <v>0</v>
      </c>
      <c r="P596" s="2" t="s">
        <v>43</v>
      </c>
      <c r="Q596" s="10">
        <f>data_redis_illX!E529</f>
        <v>0</v>
      </c>
      <c r="R596" s="10">
        <f>data_redis_illX!F529</f>
        <v>0</v>
      </c>
      <c r="S596" s="10">
        <f>data_redis_illX!G529</f>
        <v>22.117612846923191</v>
      </c>
      <c r="T596" s="10">
        <f>data_redis_illX!H529</f>
        <v>21.199662152109461</v>
      </c>
      <c r="U596" s="10">
        <f>data_redis_illX!I529</f>
        <v>11.396963501587082</v>
      </c>
      <c r="V596" s="10">
        <f>data_redis_illX!J529</f>
        <v>3.093036759922476E-2</v>
      </c>
      <c r="W596" s="10">
        <f>data_redis_illX!K529</f>
        <v>0</v>
      </c>
      <c r="X596" s="10">
        <f>data_redis_illX!L529</f>
        <v>0</v>
      </c>
      <c r="Y596" s="5">
        <f t="shared" si="9"/>
        <v>54.745168868218954</v>
      </c>
    </row>
    <row r="597" spans="1:25" x14ac:dyDescent="0.25">
      <c r="C597" t="s">
        <v>42</v>
      </c>
      <c r="D597">
        <f t="array" ref="D597:K597">(Q1321:Y1321*AE$4:AE$11+Q1684:Y1684*AF$4:AF$11+Q2047:Y2047*AG$4:AG$11)</f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6.7895115898843228E-2</v>
      </c>
      <c r="K597">
        <v>0</v>
      </c>
      <c r="P597" s="2" t="s">
        <v>44</v>
      </c>
      <c r="Q597" s="10">
        <f>data_redis_illX!E530</f>
        <v>0</v>
      </c>
      <c r="R597" s="10">
        <f>data_redis_illX!F530</f>
        <v>0</v>
      </c>
      <c r="S597" s="10">
        <f>data_redis_illX!G530</f>
        <v>0</v>
      </c>
      <c r="T597" s="10">
        <f>data_redis_illX!H530</f>
        <v>0</v>
      </c>
      <c r="U597" s="10">
        <f>data_redis_illX!I530</f>
        <v>0</v>
      </c>
      <c r="V597" s="10">
        <f>data_redis_illX!J530</f>
        <v>3.093036759922476E-2</v>
      </c>
      <c r="W597" s="10">
        <f>data_redis_illX!K530</f>
        <v>0</v>
      </c>
      <c r="X597" s="10">
        <f>data_redis_illX!L530</f>
        <v>0</v>
      </c>
      <c r="Y597" s="5">
        <f t="shared" si="9"/>
        <v>3.093036759922476E-2</v>
      </c>
    </row>
    <row r="598" spans="1:25" x14ac:dyDescent="0.25">
      <c r="C598" t="s">
        <v>43</v>
      </c>
      <c r="D598">
        <f t="array" ref="D598:K598">(Q1322:Y1322*AE$4:AE$11+Q1685:Y1685*AF$4:AF$11+Q2048:Y2048*AG$4:AG$11)</f>
        <v>0</v>
      </c>
      <c r="E598">
        <v>0</v>
      </c>
      <c r="F598">
        <v>683.6656127704282</v>
      </c>
      <c r="G598">
        <v>953.12652581193674</v>
      </c>
      <c r="H598">
        <v>476.02866974243767</v>
      </c>
      <c r="I598">
        <v>59.064307021102465</v>
      </c>
      <c r="J598">
        <v>4.4549641432087128</v>
      </c>
      <c r="K598">
        <v>0</v>
      </c>
      <c r="M598" t="s">
        <v>104</v>
      </c>
      <c r="N598" t="s">
        <v>116</v>
      </c>
      <c r="O598" t="s">
        <v>51</v>
      </c>
      <c r="P598" s="2" t="s">
        <v>12</v>
      </c>
      <c r="Q598" s="10">
        <f>data_redis_illX!E531</f>
        <v>0</v>
      </c>
      <c r="R598" s="10">
        <f>data_redis_illX!F531</f>
        <v>0</v>
      </c>
      <c r="S598" s="10">
        <f>data_redis_illX!G531</f>
        <v>0</v>
      </c>
      <c r="T598" s="10">
        <f>data_redis_illX!H531</f>
        <v>0</v>
      </c>
      <c r="U598" s="10">
        <f>data_redis_illX!I531</f>
        <v>0</v>
      </c>
      <c r="V598" s="10">
        <f>data_redis_illX!J531</f>
        <v>0</v>
      </c>
      <c r="W598" s="10">
        <f>data_redis_illX!K531</f>
        <v>0</v>
      </c>
      <c r="X598" s="10">
        <f>data_redis_illX!L531</f>
        <v>0</v>
      </c>
      <c r="Y598" s="5">
        <f t="shared" si="9"/>
        <v>0</v>
      </c>
    </row>
    <row r="599" spans="1:25" x14ac:dyDescent="0.25">
      <c r="C599" t="s">
        <v>44</v>
      </c>
      <c r="D599">
        <f t="array" ref="D599:K599">(Q1323:Y1323*AE$4:AE$11+Q1686:Y1686*AF$4:AF$11+Q2049:Y2049*AG$4:AG$11)</f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6.7895115898843228E-2</v>
      </c>
      <c r="K599">
        <v>0</v>
      </c>
      <c r="P599" s="2" t="s">
        <v>13</v>
      </c>
      <c r="Q599" s="10">
        <f>data_redis_illX!E532</f>
        <v>0</v>
      </c>
      <c r="R599" s="10">
        <f>data_redis_illX!F532</f>
        <v>0</v>
      </c>
      <c r="S599" s="10">
        <f>data_redis_illX!G532</f>
        <v>3.2952998789922461</v>
      </c>
      <c r="T599" s="10">
        <f>data_redis_illX!H532</f>
        <v>2.3765129372452254</v>
      </c>
      <c r="U599" s="10">
        <f>data_redis_illX!I532</f>
        <v>4.4049644598489612</v>
      </c>
      <c r="V599" s="10">
        <f>data_redis_illX!J532</f>
        <v>0</v>
      </c>
      <c r="W599" s="10">
        <f>data_redis_illX!K532</f>
        <v>0</v>
      </c>
      <c r="X599" s="10">
        <f>data_redis_illX!L532</f>
        <v>0</v>
      </c>
      <c r="Y599" s="5">
        <f t="shared" si="9"/>
        <v>10.076777276086432</v>
      </c>
    </row>
    <row r="600" spans="1:25" x14ac:dyDescent="0.25">
      <c r="A600">
        <v>2</v>
      </c>
      <c r="B600" t="s">
        <v>51</v>
      </c>
      <c r="C600" t="s">
        <v>12</v>
      </c>
      <c r="D600">
        <f t="array" ref="D600:K600">(Q1324:Y1324*AE$4:AE$11+Q1687:Y1687*AF$4:AF$11+Q2050:Y2050*AG$4:AG$11)</f>
        <v>0</v>
      </c>
      <c r="E600">
        <v>0</v>
      </c>
      <c r="F600">
        <v>0</v>
      </c>
      <c r="G600">
        <v>11.756472660359536</v>
      </c>
      <c r="H600">
        <v>7.0345038211080793</v>
      </c>
      <c r="I600">
        <v>0</v>
      </c>
      <c r="J600">
        <v>0</v>
      </c>
      <c r="K600">
        <v>0</v>
      </c>
      <c r="P600" s="2" t="s">
        <v>14</v>
      </c>
      <c r="Q600" s="10">
        <f>data_redis_illX!E533</f>
        <v>0</v>
      </c>
      <c r="R600" s="10">
        <f>data_redis_illX!F533</f>
        <v>0</v>
      </c>
      <c r="S600" s="10">
        <f>data_redis_illX!G533</f>
        <v>2.1968665859948309</v>
      </c>
      <c r="T600" s="10">
        <f>data_redis_illX!H533</f>
        <v>8.317795280358288</v>
      </c>
      <c r="U600" s="10">
        <f>data_redis_illX!I533</f>
        <v>10.911170034660163</v>
      </c>
      <c r="V600" s="10">
        <f>data_redis_illX!J533</f>
        <v>1.0910953811726527</v>
      </c>
      <c r="W600" s="10">
        <f>data_redis_illX!K533</f>
        <v>0</v>
      </c>
      <c r="X600" s="10">
        <f>data_redis_illX!L533</f>
        <v>0</v>
      </c>
      <c r="Y600" s="5">
        <f t="shared" si="9"/>
        <v>22.516927282185936</v>
      </c>
    </row>
    <row r="601" spans="1:25" x14ac:dyDescent="0.25">
      <c r="C601" t="s">
        <v>13</v>
      </c>
      <c r="D601">
        <f t="array" ref="D601:K601">(Q1325:Y1325*AE$4:AE$11+Q1688:Y1688*AF$4:AF$11+Q2051:Y2051*AG$4:AG$11)</f>
        <v>0</v>
      </c>
      <c r="E601">
        <v>0</v>
      </c>
      <c r="F601">
        <v>103.0689643422748</v>
      </c>
      <c r="G601">
        <v>99.837475214369263</v>
      </c>
      <c r="H601">
        <v>27.248196001850502</v>
      </c>
      <c r="I601">
        <v>6.4713521264002516</v>
      </c>
      <c r="J601">
        <v>0</v>
      </c>
      <c r="K601">
        <v>0</v>
      </c>
      <c r="P601" s="2" t="s">
        <v>15</v>
      </c>
      <c r="Q601" s="10">
        <f>data_redis_illX!E534</f>
        <v>0</v>
      </c>
      <c r="R601" s="10">
        <f>data_redis_illX!F534</f>
        <v>0</v>
      </c>
      <c r="S601" s="10">
        <f>data_redis_illX!G534</f>
        <v>0</v>
      </c>
      <c r="T601" s="10">
        <f>data_redis_illX!H534</f>
        <v>0</v>
      </c>
      <c r="U601" s="10">
        <f>data_redis_illX!I534</f>
        <v>6.6074466897734414</v>
      </c>
      <c r="V601" s="10">
        <f>data_redis_illX!J534</f>
        <v>1.0910953811726527</v>
      </c>
      <c r="W601" s="10">
        <f>data_redis_illX!K534</f>
        <v>0</v>
      </c>
      <c r="X601" s="10">
        <f>data_redis_illX!L534</f>
        <v>0</v>
      </c>
      <c r="Y601" s="5">
        <f t="shared" si="9"/>
        <v>7.6985420709460941</v>
      </c>
    </row>
    <row r="602" spans="1:25" x14ac:dyDescent="0.25">
      <c r="C602" t="s">
        <v>14</v>
      </c>
      <c r="D602">
        <f t="array" ref="D602:K602">(Q1326:Y1326*AE$4:AE$11+Q1689:Y1689*AF$4:AF$11+Q2052:Y2052*AG$4:AG$11)</f>
        <v>0</v>
      </c>
      <c r="E602">
        <v>0</v>
      </c>
      <c r="F602">
        <v>61.252934158635995</v>
      </c>
      <c r="G602">
        <v>115.65678822240045</v>
      </c>
      <c r="H602">
        <v>168.36193458929836</v>
      </c>
      <c r="I602">
        <v>50.084712239263489</v>
      </c>
      <c r="J602">
        <v>11.621886719230256</v>
      </c>
      <c r="K602">
        <v>0</v>
      </c>
      <c r="P602" s="2" t="s">
        <v>16</v>
      </c>
      <c r="Q602" s="10">
        <f>data_redis_illX!E535</f>
        <v>0</v>
      </c>
      <c r="R602" s="10">
        <f>data_redis_illX!F535</f>
        <v>0</v>
      </c>
      <c r="S602" s="10">
        <f>data_redis_illX!G535</f>
        <v>1.0984332929974154</v>
      </c>
      <c r="T602" s="10">
        <f>data_redis_illX!H535</f>
        <v>11.882564686226125</v>
      </c>
      <c r="U602" s="10">
        <f>data_redis_illX!I535</f>
        <v>6.6074466897734414</v>
      </c>
      <c r="V602" s="10">
        <f>data_redis_illX!J535</f>
        <v>4.3643815246906108</v>
      </c>
      <c r="W602" s="10">
        <f>data_redis_illX!K535</f>
        <v>0</v>
      </c>
      <c r="X602" s="10">
        <f>data_redis_illX!L535</f>
        <v>0</v>
      </c>
      <c r="Y602" s="5">
        <f t="shared" si="9"/>
        <v>23.952826193687592</v>
      </c>
    </row>
    <row r="603" spans="1:25" x14ac:dyDescent="0.25">
      <c r="C603" t="s">
        <v>15</v>
      </c>
      <c r="D603">
        <f t="array" ref="D603:K603">(Q1327:Y1327*AE$4:AE$11+Q1690:Y1690*AF$4:AF$11+Q2053:Y2053*AG$4:AG$11)</f>
        <v>0</v>
      </c>
      <c r="E603">
        <v>0</v>
      </c>
      <c r="F603">
        <v>11.818100475765426</v>
      </c>
      <c r="G603">
        <v>14.144784151906165</v>
      </c>
      <c r="H603">
        <v>9.3425440274587537</v>
      </c>
      <c r="I603">
        <v>0</v>
      </c>
      <c r="J603">
        <v>0</v>
      </c>
      <c r="K603">
        <v>0</v>
      </c>
      <c r="P603" s="2" t="s">
        <v>17</v>
      </c>
      <c r="Q603" s="10">
        <f>data_redis_illX!E536</f>
        <v>0</v>
      </c>
      <c r="R603" s="10">
        <f>data_redis_illX!F536</f>
        <v>0</v>
      </c>
      <c r="S603" s="10">
        <f>data_redis_illX!G536</f>
        <v>2.1968665859948309</v>
      </c>
      <c r="T603" s="10">
        <f>data_redis_illX!H536</f>
        <v>1.1882564686226127</v>
      </c>
      <c r="U603" s="10">
        <f>data_redis_illX!I536</f>
        <v>5.5062055748112018</v>
      </c>
      <c r="V603" s="10">
        <f>data_redis_illX!J536</f>
        <v>0</v>
      </c>
      <c r="W603" s="10">
        <f>data_redis_illX!K536</f>
        <v>0</v>
      </c>
      <c r="X603" s="10">
        <f>data_redis_illX!L536</f>
        <v>0</v>
      </c>
      <c r="Y603" s="5">
        <f t="shared" si="9"/>
        <v>8.8913286294286458</v>
      </c>
    </row>
    <row r="604" spans="1:25" x14ac:dyDescent="0.25">
      <c r="C604" t="s">
        <v>16</v>
      </c>
      <c r="D604">
        <f t="array" ref="D604:K604">(Q1328:Y1328*AE$4:AE$11+Q1691:Y1691*AF$4:AF$11+Q2054:Y2054*AG$4:AG$11)</f>
        <v>0</v>
      </c>
      <c r="E604">
        <v>0</v>
      </c>
      <c r="F604">
        <v>9.9974755042003061</v>
      </c>
      <c r="G604">
        <v>45.078605677164873</v>
      </c>
      <c r="H604">
        <v>64.317320065237993</v>
      </c>
      <c r="I604">
        <v>7.9956687124761947</v>
      </c>
      <c r="J604">
        <v>2.0428571428571427</v>
      </c>
      <c r="K604">
        <v>0</v>
      </c>
      <c r="P604" s="2" t="s">
        <v>18</v>
      </c>
      <c r="Q604" s="10">
        <f>data_redis_illX!E537</f>
        <v>0</v>
      </c>
      <c r="R604" s="10">
        <f>data_redis_illX!F537</f>
        <v>0</v>
      </c>
      <c r="S604" s="10">
        <f>data_redis_illX!G537</f>
        <v>4.3937331719896617</v>
      </c>
      <c r="T604" s="10">
        <f>data_redis_illX!H537</f>
        <v>7.1295388117356744</v>
      </c>
      <c r="U604" s="10">
        <f>data_redis_illX!I537</f>
        <v>8.8099289196979225</v>
      </c>
      <c r="V604" s="10">
        <f>data_redis_illX!J537</f>
        <v>3.2732861435179581</v>
      </c>
      <c r="W604" s="10">
        <f>data_redis_illX!K537</f>
        <v>0</v>
      </c>
      <c r="X604" s="10">
        <f>data_redis_illX!L537</f>
        <v>0</v>
      </c>
      <c r="Y604" s="5">
        <f t="shared" si="9"/>
        <v>23.606487046941218</v>
      </c>
    </row>
    <row r="605" spans="1:25" x14ac:dyDescent="0.25">
      <c r="C605" t="s">
        <v>17</v>
      </c>
      <c r="D605">
        <f t="array" ref="D605:K605">(Q1329:Y1329*AE$4:AE$11+Q1692:Y1692*AF$4:AF$11+Q2055:Y2055*AG$4:AG$11)</f>
        <v>0</v>
      </c>
      <c r="E605">
        <v>0</v>
      </c>
      <c r="F605">
        <v>18.910061400279176</v>
      </c>
      <c r="G605">
        <v>41.055111912571569</v>
      </c>
      <c r="H605">
        <v>27.407657346543246</v>
      </c>
      <c r="I605">
        <v>11.801797934717715</v>
      </c>
      <c r="J605">
        <v>2.1563492063492062</v>
      </c>
      <c r="K605">
        <v>0</v>
      </c>
      <c r="P605" s="2" t="s">
        <v>19</v>
      </c>
      <c r="Q605" s="10">
        <f>data_redis_illX!E538</f>
        <v>0</v>
      </c>
      <c r="R605" s="10">
        <f>data_redis_illX!F538</f>
        <v>0</v>
      </c>
      <c r="S605" s="10">
        <f>data_redis_illX!G538</f>
        <v>15.378066101963816</v>
      </c>
      <c r="T605" s="10">
        <f>data_redis_illX!H538</f>
        <v>16.635590560716576</v>
      </c>
      <c r="U605" s="10">
        <f>data_redis_illX!I538</f>
        <v>13.214893379546883</v>
      </c>
      <c r="V605" s="10">
        <f>data_redis_illX!J538</f>
        <v>2.1821907623453054</v>
      </c>
      <c r="W605" s="10">
        <f>data_redis_illX!K538</f>
        <v>2.3283582089552239</v>
      </c>
      <c r="X605" s="10">
        <f>data_redis_illX!L538</f>
        <v>0</v>
      </c>
      <c r="Y605" s="5">
        <f t="shared" si="9"/>
        <v>49.739099013527799</v>
      </c>
    </row>
    <row r="606" spans="1:25" x14ac:dyDescent="0.25">
      <c r="C606" t="s">
        <v>18</v>
      </c>
      <c r="D606">
        <f t="array" ref="D606:K606">(Q1330:Y1330*AE$4:AE$11+Q1693:Y1693*AF$4:AF$11+Q2056:Y2056*AG$4:AG$11)</f>
        <v>0</v>
      </c>
      <c r="E606">
        <v>0</v>
      </c>
      <c r="F606">
        <v>32.772374509203402</v>
      </c>
      <c r="G606">
        <v>103.84224865852026</v>
      </c>
      <c r="H606">
        <v>73.64763717591407</v>
      </c>
      <c r="I606">
        <v>36.407545087649197</v>
      </c>
      <c r="J606">
        <v>22.165598835285909</v>
      </c>
      <c r="K606">
        <v>0</v>
      </c>
      <c r="P606" s="2" t="s">
        <v>20</v>
      </c>
      <c r="Q606" s="10">
        <f>data_redis_illX!E539</f>
        <v>0</v>
      </c>
      <c r="R606" s="10">
        <f>data_redis_illX!F539</f>
        <v>0</v>
      </c>
      <c r="S606" s="10">
        <f>data_redis_illX!G539</f>
        <v>6.5905997579844922</v>
      </c>
      <c r="T606" s="10">
        <f>data_redis_illX!H539</f>
        <v>14.259077623471349</v>
      </c>
      <c r="U606" s="10">
        <f>data_redis_illX!I539</f>
        <v>4.4049644598489612</v>
      </c>
      <c r="V606" s="10">
        <f>data_redis_illX!J539</f>
        <v>0</v>
      </c>
      <c r="W606" s="10">
        <f>data_redis_illX!K539</f>
        <v>0</v>
      </c>
      <c r="X606" s="10">
        <f>data_redis_illX!L539</f>
        <v>0</v>
      </c>
      <c r="Y606" s="5">
        <f t="shared" si="9"/>
        <v>25.254641841304803</v>
      </c>
    </row>
    <row r="607" spans="1:25" x14ac:dyDescent="0.25">
      <c r="C607" t="s">
        <v>19</v>
      </c>
      <c r="D607">
        <f t="array" ref="D607:K607">(Q1331:Y1331*AE$4:AE$11+Q1694:Y1694*AF$4:AF$11+Q2057:Y2057*AG$4:AG$11)</f>
        <v>0</v>
      </c>
      <c r="E607">
        <v>0</v>
      </c>
      <c r="F607">
        <v>110.47703081161937</v>
      </c>
      <c r="G607">
        <v>359.60296009067076</v>
      </c>
      <c r="H607">
        <v>493.63905475973189</v>
      </c>
      <c r="I607">
        <v>94.926727095830401</v>
      </c>
      <c r="J607">
        <v>5.2773809523809518</v>
      </c>
      <c r="K607">
        <v>2.1935345136549351</v>
      </c>
      <c r="P607" s="2" t="s">
        <v>21</v>
      </c>
      <c r="Q607" s="10">
        <f>data_redis_illX!E540</f>
        <v>0</v>
      </c>
      <c r="R607" s="10">
        <f>data_redis_illX!F540</f>
        <v>0</v>
      </c>
      <c r="S607" s="10">
        <f>data_redis_illX!G540</f>
        <v>8.7874663439793235</v>
      </c>
      <c r="T607" s="10">
        <f>data_redis_illX!H540</f>
        <v>8.317795280358288</v>
      </c>
      <c r="U607" s="10">
        <f>data_redis_illX!I540</f>
        <v>14.316134494509123</v>
      </c>
      <c r="V607" s="10">
        <f>data_redis_illX!J540</f>
        <v>5.4554769058632644</v>
      </c>
      <c r="W607" s="10">
        <f>data_redis_illX!K540</f>
        <v>2.3283582089552239</v>
      </c>
      <c r="X607" s="10">
        <f>data_redis_illX!L540</f>
        <v>1.0769230769230769</v>
      </c>
      <c r="Y607" s="5">
        <f t="shared" si="9"/>
        <v>40.282154310588304</v>
      </c>
    </row>
    <row r="608" spans="1:25" x14ac:dyDescent="0.25">
      <c r="C608" t="s">
        <v>20</v>
      </c>
      <c r="D608">
        <f t="array" ref="D608:K608">(Q1332:Y1332*AE$4:AE$11+Q1695:Y1695*AF$4:AF$11+Q2058:Y2058*AG$4:AG$11)</f>
        <v>0</v>
      </c>
      <c r="E608">
        <v>0</v>
      </c>
      <c r="F608">
        <v>48.251922996239543</v>
      </c>
      <c r="G608">
        <v>108.06552319168645</v>
      </c>
      <c r="H608">
        <v>63.893657899951727</v>
      </c>
      <c r="I608">
        <v>8.7208071253933142</v>
      </c>
      <c r="J608">
        <v>0</v>
      </c>
      <c r="K608">
        <v>0</v>
      </c>
      <c r="P608" s="2" t="s">
        <v>22</v>
      </c>
      <c r="Q608" s="10">
        <f>data_redis_illX!E541</f>
        <v>0</v>
      </c>
      <c r="R608" s="10">
        <f>data_redis_illX!F541</f>
        <v>0</v>
      </c>
      <c r="S608" s="10">
        <f>data_redis_illX!G541</f>
        <v>5.4921664649870774</v>
      </c>
      <c r="T608" s="10">
        <f>data_redis_illX!H541</f>
        <v>10.694308217603513</v>
      </c>
      <c r="U608" s="10">
        <f>data_redis_illX!I541</f>
        <v>12.113652264584642</v>
      </c>
      <c r="V608" s="10">
        <f>data_redis_illX!J541</f>
        <v>2.1821907623453054</v>
      </c>
      <c r="W608" s="10">
        <f>data_redis_illX!K541</f>
        <v>0</v>
      </c>
      <c r="X608" s="10">
        <f>data_redis_illX!L541</f>
        <v>0</v>
      </c>
      <c r="Y608" s="5">
        <f t="shared" si="9"/>
        <v>30.482317709520544</v>
      </c>
    </row>
    <row r="609" spans="3:25" x14ac:dyDescent="0.25">
      <c r="C609" t="s">
        <v>21</v>
      </c>
      <c r="D609">
        <f t="array" ref="D609:K609">(Q1333:Y1333*AE$4:AE$11+Q1696:Y1696*AF$4:AF$11+Q2059:Y2059*AG$4:AG$11)</f>
        <v>0</v>
      </c>
      <c r="E609">
        <v>0</v>
      </c>
      <c r="F609">
        <v>20.316559748503881</v>
      </c>
      <c r="G609">
        <v>70.686480118646244</v>
      </c>
      <c r="H609">
        <v>145.11642745494359</v>
      </c>
      <c r="I609">
        <v>109.40307242060351</v>
      </c>
      <c r="J609">
        <v>37.399145911918872</v>
      </c>
      <c r="K609">
        <v>2.1935345136549351</v>
      </c>
      <c r="P609" s="2" t="s">
        <v>23</v>
      </c>
      <c r="Q609" s="10">
        <f>data_redis_illX!E542</f>
        <v>0</v>
      </c>
      <c r="R609" s="10">
        <f>data_redis_illX!F542</f>
        <v>0</v>
      </c>
      <c r="S609" s="10">
        <f>data_redis_illX!G542</f>
        <v>10.984332929974155</v>
      </c>
      <c r="T609" s="10">
        <f>data_redis_illX!H542</f>
        <v>4.7530258744904508</v>
      </c>
      <c r="U609" s="10">
        <f>data_redis_illX!I542</f>
        <v>4.4049644598489612</v>
      </c>
      <c r="V609" s="10">
        <f>data_redis_illX!J542</f>
        <v>0</v>
      </c>
      <c r="W609" s="10">
        <f>data_redis_illX!K542</f>
        <v>0</v>
      </c>
      <c r="X609" s="10">
        <f>data_redis_illX!L542</f>
        <v>0</v>
      </c>
      <c r="Y609" s="5">
        <f t="shared" si="9"/>
        <v>20.142323264313568</v>
      </c>
    </row>
    <row r="610" spans="3:25" x14ac:dyDescent="0.25">
      <c r="C610" t="s">
        <v>22</v>
      </c>
      <c r="D610">
        <f t="array" ref="D610:K610">(Q1334:Y1334*AE$4:AE$11+Q1697:Y1697*AF$4:AF$11+Q2060:Y2060*AG$4:AG$11)</f>
        <v>0</v>
      </c>
      <c r="E610">
        <v>0</v>
      </c>
      <c r="F610">
        <v>58.558156608836661</v>
      </c>
      <c r="G610">
        <v>191.02438377973476</v>
      </c>
      <c r="H610">
        <v>162.42672900257364</v>
      </c>
      <c r="I610">
        <v>48.241700659539426</v>
      </c>
      <c r="J610">
        <v>3.121031746031746</v>
      </c>
      <c r="K610">
        <v>0</v>
      </c>
      <c r="P610" s="2" t="s">
        <v>24</v>
      </c>
      <c r="Q610" s="10">
        <f>data_redis_illX!E543</f>
        <v>0</v>
      </c>
      <c r="R610" s="10">
        <f>data_redis_illX!F543</f>
        <v>0</v>
      </c>
      <c r="S610" s="10">
        <f>data_redis_illX!G543</f>
        <v>6.5905997579844922</v>
      </c>
      <c r="T610" s="10">
        <f>data_redis_illX!H543</f>
        <v>4.7530258744904508</v>
      </c>
      <c r="U610" s="10">
        <f>data_redis_illX!I543</f>
        <v>9.911170034660163</v>
      </c>
      <c r="V610" s="10">
        <f>data_redis_illX!J543</f>
        <v>1.0910953811726527</v>
      </c>
      <c r="W610" s="10">
        <f>data_redis_illX!K543</f>
        <v>0</v>
      </c>
      <c r="X610" s="10">
        <f>data_redis_illX!L543</f>
        <v>0</v>
      </c>
      <c r="Y610" s="5">
        <f t="shared" si="9"/>
        <v>22.34589104830776</v>
      </c>
    </row>
    <row r="611" spans="3:25" x14ac:dyDescent="0.25">
      <c r="C611" t="s">
        <v>23</v>
      </c>
      <c r="D611">
        <f t="array" ref="D611:K611">(Q1335:Y1335*AE$4:AE$11+Q1698:Y1698*AF$4:AF$11+Q2061:Y2061*AG$4:AG$11)</f>
        <v>0</v>
      </c>
      <c r="E611">
        <v>0</v>
      </c>
      <c r="F611">
        <v>55.251366037516142</v>
      </c>
      <c r="G611">
        <v>141.77464018148754</v>
      </c>
      <c r="H611">
        <v>140.86834787426443</v>
      </c>
      <c r="I611">
        <v>22.04692164618697</v>
      </c>
      <c r="J611">
        <v>6.293284629456398</v>
      </c>
      <c r="K611">
        <v>0</v>
      </c>
      <c r="P611" s="2" t="s">
        <v>25</v>
      </c>
      <c r="Q611" s="10">
        <f>data_redis_illX!E544</f>
        <v>0</v>
      </c>
      <c r="R611" s="10">
        <f>data_redis_illX!F544</f>
        <v>0</v>
      </c>
      <c r="S611" s="10">
        <f>data_redis_illX!G544</f>
        <v>1.0984332929974154</v>
      </c>
      <c r="T611" s="10">
        <f>data_redis_illX!H544</f>
        <v>3.5647694058678372</v>
      </c>
      <c r="U611" s="10">
        <f>data_redis_illX!I544</f>
        <v>2.2024822299244806</v>
      </c>
      <c r="V611" s="10">
        <f>data_redis_illX!J544</f>
        <v>1.0910953811726527</v>
      </c>
      <c r="W611" s="10">
        <f>data_redis_illX!K544</f>
        <v>0</v>
      </c>
      <c r="X611" s="10">
        <f>data_redis_illX!L544</f>
        <v>0</v>
      </c>
      <c r="Y611" s="5">
        <f t="shared" si="9"/>
        <v>7.9567803099623857</v>
      </c>
    </row>
    <row r="612" spans="3:25" x14ac:dyDescent="0.25">
      <c r="C612" t="s">
        <v>24</v>
      </c>
      <c r="D612">
        <f t="array" ref="D612:K612">(Q1336:Y1336*AE$4:AE$11+Q1699:Y1699*AF$4:AF$11+Q2062:Y2062*AG$4:AG$11)</f>
        <v>0</v>
      </c>
      <c r="E612">
        <v>0</v>
      </c>
      <c r="F612">
        <v>27.50103855625477</v>
      </c>
      <c r="G612">
        <v>123.51678501201965</v>
      </c>
      <c r="H612">
        <v>63.728552829103691</v>
      </c>
      <c r="I612">
        <v>16.36542320704887</v>
      </c>
      <c r="J612">
        <v>0</v>
      </c>
      <c r="K612">
        <v>0</v>
      </c>
      <c r="P612" s="2" t="s">
        <v>26</v>
      </c>
      <c r="Q612" s="10">
        <f>data_redis_illX!E545</f>
        <v>0</v>
      </c>
      <c r="R612" s="10">
        <f>data_redis_illX!F545</f>
        <v>0</v>
      </c>
      <c r="S612" s="10">
        <f>data_redis_illX!G545</f>
        <v>0</v>
      </c>
      <c r="T612" s="10">
        <f>data_redis_illX!H545</f>
        <v>3.5647694058678372</v>
      </c>
      <c r="U612" s="10">
        <f>data_redis_illX!I545</f>
        <v>2.2024822299244806</v>
      </c>
      <c r="V612" s="10">
        <f>data_redis_illX!J545</f>
        <v>0</v>
      </c>
      <c r="W612" s="10">
        <f>data_redis_illX!K545</f>
        <v>1.164179104477612</v>
      </c>
      <c r="X612" s="10">
        <f>data_redis_illX!L545</f>
        <v>0</v>
      </c>
      <c r="Y612" s="5">
        <f t="shared" si="9"/>
        <v>6.9314307402699304</v>
      </c>
    </row>
    <row r="613" spans="3:25" x14ac:dyDescent="0.25">
      <c r="C613" t="s">
        <v>25</v>
      </c>
      <c r="D613">
        <f t="array" ref="D613:K613">(Q1337:Y1337*AE$4:AE$11+Q1700:Y1700*AF$4:AF$11+Q2063:Y2063*AG$4:AG$11)</f>
        <v>0</v>
      </c>
      <c r="E613">
        <v>0</v>
      </c>
      <c r="F613">
        <v>23.859788613124529</v>
      </c>
      <c r="G613">
        <v>37.383067422283212</v>
      </c>
      <c r="H613">
        <v>17.481989809105482</v>
      </c>
      <c r="I613">
        <v>2.2494549989930617</v>
      </c>
      <c r="J613">
        <v>0</v>
      </c>
      <c r="K613">
        <v>0</v>
      </c>
      <c r="P613" s="2" t="s">
        <v>27</v>
      </c>
      <c r="Q613" s="10">
        <f>data_redis_illX!E546</f>
        <v>0</v>
      </c>
      <c r="R613" s="10">
        <f>data_redis_illX!F546</f>
        <v>0</v>
      </c>
      <c r="S613" s="10">
        <f>data_redis_illX!G546</f>
        <v>8.7874663439793235</v>
      </c>
      <c r="T613" s="10">
        <f>data_redis_illX!H546</f>
        <v>9.5060517489809016</v>
      </c>
      <c r="U613" s="10">
        <f>data_redis_illX!I546</f>
        <v>2.2024822299244806</v>
      </c>
      <c r="V613" s="10">
        <f>data_redis_illX!J546</f>
        <v>0</v>
      </c>
      <c r="W613" s="10">
        <f>data_redis_illX!K546</f>
        <v>0</v>
      </c>
      <c r="X613" s="10">
        <f>data_redis_illX!L546</f>
        <v>0</v>
      </c>
      <c r="Y613" s="5">
        <f t="shared" si="9"/>
        <v>20.496000322884708</v>
      </c>
    </row>
    <row r="614" spans="3:25" x14ac:dyDescent="0.25">
      <c r="C614" t="s">
        <v>26</v>
      </c>
      <c r="D614">
        <f t="array" ref="D614:K614">(Q1338:Y1338*AE$4:AE$11+Q1701:Y1701*AF$4:AF$11+Q2064:Y2064*AG$4:AG$11)</f>
        <v>0</v>
      </c>
      <c r="E614">
        <v>0</v>
      </c>
      <c r="F614">
        <v>26.436347016273807</v>
      </c>
      <c r="G614">
        <v>56.26703391639807</v>
      </c>
      <c r="H614">
        <v>38.585501272429724</v>
      </c>
      <c r="I614">
        <v>11.321314755207013</v>
      </c>
      <c r="J614">
        <v>0</v>
      </c>
      <c r="K614">
        <v>0</v>
      </c>
      <c r="P614" s="2" t="s">
        <v>28</v>
      </c>
      <c r="Q614" s="10">
        <f>data_redis_illX!E547</f>
        <v>0</v>
      </c>
      <c r="R614" s="10">
        <f>data_redis_illX!F547</f>
        <v>0</v>
      </c>
      <c r="S614" s="10">
        <f>data_redis_illX!G547</f>
        <v>7.6890330509819078</v>
      </c>
      <c r="T614" s="10">
        <f>data_redis_illX!H547</f>
        <v>36.835950527300987</v>
      </c>
      <c r="U614" s="10">
        <f>data_redis_illX!I547</f>
        <v>16.518616724433606</v>
      </c>
      <c r="V614" s="10">
        <f>data_redis_illX!J547</f>
        <v>8.7287630493812216</v>
      </c>
      <c r="W614" s="10">
        <f>data_redis_illX!K547</f>
        <v>1.164179104477612</v>
      </c>
      <c r="X614" s="10">
        <f>data_redis_illX!L547</f>
        <v>2.1538461538461537</v>
      </c>
      <c r="Y614" s="5">
        <f t="shared" si="9"/>
        <v>73.090388610421499</v>
      </c>
    </row>
    <row r="615" spans="3:25" x14ac:dyDescent="0.25">
      <c r="C615" t="s">
        <v>27</v>
      </c>
      <c r="D615">
        <f t="array" ref="D615:K615">(Q1339:Y1339*AE$4:AE$11+Q1702:Y1702*AF$4:AF$11+Q2065:Y2065*AG$4:AG$11)</f>
        <v>0</v>
      </c>
      <c r="E615">
        <v>0</v>
      </c>
      <c r="F615">
        <v>105.00230526521753</v>
      </c>
      <c r="G615">
        <v>235.47497219005888</v>
      </c>
      <c r="H615">
        <v>141.90540158475631</v>
      </c>
      <c r="I615">
        <v>9.1365750305589835</v>
      </c>
      <c r="J615">
        <v>5.2718560580278266</v>
      </c>
      <c r="K615">
        <v>0</v>
      </c>
      <c r="P615" s="2" t="s">
        <v>29</v>
      </c>
      <c r="Q615" s="10">
        <f>data_redis_illX!E548</f>
        <v>0</v>
      </c>
      <c r="R615" s="10">
        <f>data_redis_illX!F548</f>
        <v>0</v>
      </c>
      <c r="S615" s="10">
        <f>data_redis_illX!G548</f>
        <v>3.2952998789922461</v>
      </c>
      <c r="T615" s="10">
        <f>data_redis_illX!H548</f>
        <v>1.1882564686226127</v>
      </c>
      <c r="U615" s="10">
        <f>data_redis_illX!I548</f>
        <v>1.1012411149622403</v>
      </c>
      <c r="V615" s="10">
        <f>data_redis_illX!J548</f>
        <v>0</v>
      </c>
      <c r="W615" s="10">
        <f>data_redis_illX!K548</f>
        <v>0</v>
      </c>
      <c r="X615" s="10">
        <f>data_redis_illX!L548</f>
        <v>0</v>
      </c>
      <c r="Y615" s="5">
        <f t="shared" si="9"/>
        <v>5.5847974625770993</v>
      </c>
    </row>
    <row r="616" spans="3:25" x14ac:dyDescent="0.25">
      <c r="C616" t="s">
        <v>28</v>
      </c>
      <c r="D616">
        <f t="array" ref="D616:K616">(Q1340:Y1340*AE$4:AE$11+Q1703:Y1703*AF$4:AF$11+Q2066:Y2066*AG$4:AG$11)</f>
        <v>0</v>
      </c>
      <c r="E616">
        <v>0</v>
      </c>
      <c r="F616">
        <v>364.30333226373267</v>
      </c>
      <c r="G616">
        <v>470.00677656886921</v>
      </c>
      <c r="H616">
        <v>336.76730359507815</v>
      </c>
      <c r="I616">
        <v>56.717852551526313</v>
      </c>
      <c r="J616">
        <v>21.092949126464433</v>
      </c>
      <c r="K616">
        <v>5.3870690273098703</v>
      </c>
      <c r="P616" s="2" t="s">
        <v>30</v>
      </c>
      <c r="Q616" s="10">
        <f>data_redis_illX!E549</f>
        <v>0</v>
      </c>
      <c r="R616" s="10">
        <f>data_redis_illX!F549</f>
        <v>0</v>
      </c>
      <c r="S616" s="10">
        <f>data_redis_illX!G549</f>
        <v>1.0984332929974154</v>
      </c>
      <c r="T616" s="10">
        <f>data_redis_illX!H549</f>
        <v>11.882564686226125</v>
      </c>
      <c r="U616" s="10">
        <f>data_redis_illX!I549</f>
        <v>5.5062055748112018</v>
      </c>
      <c r="V616" s="10">
        <f>data_redis_illX!J549</f>
        <v>0</v>
      </c>
      <c r="W616" s="10">
        <f>data_redis_illX!K549</f>
        <v>1.164179104477612</v>
      </c>
      <c r="X616" s="10">
        <f>data_redis_illX!L549</f>
        <v>0</v>
      </c>
      <c r="Y616" s="5">
        <f t="shared" si="9"/>
        <v>19.651382658512354</v>
      </c>
    </row>
    <row r="617" spans="3:25" x14ac:dyDescent="0.25">
      <c r="C617" t="s">
        <v>29</v>
      </c>
      <c r="D617">
        <f t="array" ref="D617:K617">(Q1341:Y1341*AE$4:AE$11+Q1704:Y1704*AF$4:AF$11+Q2067:Y2067*AG$4:AG$11)</f>
        <v>0</v>
      </c>
      <c r="E617">
        <v>0</v>
      </c>
      <c r="F617">
        <v>8.3802401260883865</v>
      </c>
      <c r="G617">
        <v>20.831251458388124</v>
      </c>
      <c r="H617">
        <v>21.054433320687554</v>
      </c>
      <c r="I617">
        <v>0</v>
      </c>
      <c r="J617">
        <v>0</v>
      </c>
      <c r="K617">
        <v>0</v>
      </c>
      <c r="P617" s="2" t="s">
        <v>31</v>
      </c>
      <c r="Q617" s="10">
        <f>data_redis_illX!E550</f>
        <v>0</v>
      </c>
      <c r="R617" s="10">
        <f>data_redis_illX!F550</f>
        <v>0</v>
      </c>
      <c r="S617" s="10">
        <f>data_redis_illX!G550</f>
        <v>0</v>
      </c>
      <c r="T617" s="10">
        <f>data_redis_illX!H550</f>
        <v>0</v>
      </c>
      <c r="U617" s="10">
        <f>data_redis_illX!I550</f>
        <v>1.1012411149622403</v>
      </c>
      <c r="V617" s="10">
        <f>data_redis_illX!J550</f>
        <v>1.0910953811726527</v>
      </c>
      <c r="W617" s="10">
        <f>data_redis_illX!K550</f>
        <v>0</v>
      </c>
      <c r="X617" s="10">
        <f>data_redis_illX!L550</f>
        <v>0</v>
      </c>
      <c r="Y617" s="5">
        <f t="shared" si="9"/>
        <v>2.1923364961348932</v>
      </c>
    </row>
    <row r="618" spans="3:25" x14ac:dyDescent="0.25">
      <c r="C618" t="s">
        <v>30</v>
      </c>
      <c r="D618">
        <f t="array" ref="D618:K618">(Q1342:Y1342*AE$4:AE$11+Q1705:Y1705*AF$4:AF$11+Q2068:Y2068*AG$4:AG$11)</f>
        <v>0</v>
      </c>
      <c r="E618">
        <v>0</v>
      </c>
      <c r="F618">
        <v>199.36391754602818</v>
      </c>
      <c r="G618">
        <v>273.82966991985722</v>
      </c>
      <c r="H618">
        <v>186.4695428603921</v>
      </c>
      <c r="I618">
        <v>55.138145177002031</v>
      </c>
      <c r="J618">
        <v>5.2718560580278266</v>
      </c>
      <c r="K618">
        <v>4.3870690273098703</v>
      </c>
      <c r="P618" s="2" t="s">
        <v>32</v>
      </c>
      <c r="Q618" s="10">
        <f>data_redis_illX!E551</f>
        <v>0</v>
      </c>
      <c r="R618" s="10">
        <f>data_redis_illX!F551</f>
        <v>0</v>
      </c>
      <c r="S618" s="10">
        <f>data_redis_illX!G551</f>
        <v>0</v>
      </c>
      <c r="T618" s="10">
        <f>data_redis_illX!H551</f>
        <v>0</v>
      </c>
      <c r="U618" s="10">
        <f>data_redis_illX!I551</f>
        <v>0</v>
      </c>
      <c r="V618" s="10">
        <f>data_redis_illX!J551</f>
        <v>0</v>
      </c>
      <c r="W618" s="10">
        <f>data_redis_illX!K551</f>
        <v>0</v>
      </c>
      <c r="X618" s="10">
        <f>data_redis_illX!L551</f>
        <v>0</v>
      </c>
      <c r="Y618" s="5">
        <f t="shared" si="9"/>
        <v>0</v>
      </c>
    </row>
    <row r="619" spans="3:25" x14ac:dyDescent="0.25">
      <c r="C619" t="s">
        <v>31</v>
      </c>
      <c r="D619">
        <f t="array" ref="D619:K619">(Q1343:Y1343*AE$4:AE$11+Q1706:Y1706*AF$4:AF$11+Q2069:Y2069*AG$4:AG$11)</f>
        <v>0</v>
      </c>
      <c r="E619">
        <v>0</v>
      </c>
      <c r="F619">
        <v>9.2415420726161486</v>
      </c>
      <c r="G619">
        <v>16.035908154852578</v>
      </c>
      <c r="H619">
        <v>1.1540201031753368</v>
      </c>
      <c r="I619">
        <v>5.3304458083174628</v>
      </c>
      <c r="J619">
        <v>0</v>
      </c>
      <c r="K619">
        <v>0</v>
      </c>
      <c r="P619" s="2" t="s">
        <v>33</v>
      </c>
      <c r="Q619" s="10">
        <f>data_redis_illX!E552</f>
        <v>0</v>
      </c>
      <c r="R619" s="10">
        <f>data_redis_illX!F552</f>
        <v>0</v>
      </c>
      <c r="S619" s="10">
        <f>data_redis_illX!G552</f>
        <v>0</v>
      </c>
      <c r="T619" s="10">
        <f>data_redis_illX!H552</f>
        <v>1.1882564686226127</v>
      </c>
      <c r="U619" s="10">
        <f>data_redis_illX!I552</f>
        <v>0</v>
      </c>
      <c r="V619" s="10">
        <f>data_redis_illX!J552</f>
        <v>0</v>
      </c>
      <c r="W619" s="10">
        <f>data_redis_illX!K552</f>
        <v>0</v>
      </c>
      <c r="X619" s="10">
        <f>data_redis_illX!L552</f>
        <v>0</v>
      </c>
      <c r="Y619" s="5">
        <f t="shared" si="9"/>
        <v>1.1882564686226127</v>
      </c>
    </row>
    <row r="620" spans="3:25" x14ac:dyDescent="0.25">
      <c r="C620" t="s">
        <v>32</v>
      </c>
      <c r="D620">
        <f t="array" ref="D620:K620">(Q1344:Y1344*AE$4:AE$11+Q1707:Y1707*AF$4:AF$11+Q2070:Y2070*AG$4:AG$11)</f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P620" s="2" t="s">
        <v>34</v>
      </c>
      <c r="Q620" s="10">
        <f>data_redis_illX!E553</f>
        <v>0</v>
      </c>
      <c r="R620" s="10">
        <f>data_redis_illX!F553</f>
        <v>0</v>
      </c>
      <c r="S620" s="10">
        <f>data_redis_illX!G553</f>
        <v>0</v>
      </c>
      <c r="T620" s="10">
        <f>data_redis_illX!H553</f>
        <v>0</v>
      </c>
      <c r="U620" s="10">
        <f>data_redis_illX!I553</f>
        <v>0</v>
      </c>
      <c r="V620" s="10">
        <f>data_redis_illX!J553</f>
        <v>0</v>
      </c>
      <c r="W620" s="10">
        <f>data_redis_illX!K553</f>
        <v>0</v>
      </c>
      <c r="X620" s="10">
        <f>data_redis_illX!L553</f>
        <v>0</v>
      </c>
      <c r="Y620" s="5">
        <f t="shared" si="9"/>
        <v>0</v>
      </c>
    </row>
    <row r="621" spans="3:25" x14ac:dyDescent="0.25">
      <c r="C621" t="s">
        <v>33</v>
      </c>
      <c r="D621">
        <f t="array" ref="D621:K621">(Q1345:Y1345*AE$4:AE$11+Q1708:Y1708*AF$4:AF$11+Q2071:Y2071*AG$4:AG$11)</f>
        <v>0</v>
      </c>
      <c r="E621">
        <v>0</v>
      </c>
      <c r="F621">
        <v>0</v>
      </c>
      <c r="G621">
        <v>0</v>
      </c>
      <c r="H621">
        <v>2.9402418589663712</v>
      </c>
      <c r="I621">
        <v>0</v>
      </c>
      <c r="J621">
        <v>0</v>
      </c>
      <c r="K621">
        <v>0</v>
      </c>
      <c r="P621" s="2" t="s">
        <v>35</v>
      </c>
      <c r="Q621" s="10">
        <f>data_redis_illX!E554</f>
        <v>0</v>
      </c>
      <c r="R621" s="10">
        <f>data_redis_illX!F554</f>
        <v>0</v>
      </c>
      <c r="S621" s="10">
        <f>data_redis_illX!G554</f>
        <v>0</v>
      </c>
      <c r="T621" s="10">
        <f>data_redis_illX!H554</f>
        <v>0</v>
      </c>
      <c r="U621" s="10">
        <f>data_redis_illX!I554</f>
        <v>0</v>
      </c>
      <c r="V621" s="10">
        <f>data_redis_illX!J554</f>
        <v>0</v>
      </c>
      <c r="W621" s="10">
        <f>data_redis_illX!K554</f>
        <v>0</v>
      </c>
      <c r="X621" s="10">
        <f>data_redis_illX!L554</f>
        <v>0</v>
      </c>
      <c r="Y621" s="5">
        <f t="shared" si="9"/>
        <v>0</v>
      </c>
    </row>
    <row r="622" spans="3:25" x14ac:dyDescent="0.25">
      <c r="C622" t="s">
        <v>34</v>
      </c>
      <c r="D622">
        <f t="array" ref="D622:K622">(Q1346:Y1346*AE$4:AE$11+Q1709:Y1709*AF$4:AF$11+Q2072:Y2072*AG$4:AG$11)</f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P622" s="2" t="s">
        <v>36</v>
      </c>
      <c r="Q622" s="10">
        <f>data_redis_illX!E555</f>
        <v>0</v>
      </c>
      <c r="R622" s="10">
        <f>data_redis_illX!F555</f>
        <v>0</v>
      </c>
      <c r="S622" s="10">
        <f>data_redis_illX!G555</f>
        <v>0</v>
      </c>
      <c r="T622" s="10">
        <f>data_redis_illX!H555</f>
        <v>0</v>
      </c>
      <c r="U622" s="10">
        <f>data_redis_illX!I555</f>
        <v>0</v>
      </c>
      <c r="V622" s="10">
        <f>data_redis_illX!J555</f>
        <v>0</v>
      </c>
      <c r="W622" s="10">
        <f>data_redis_illX!K555</f>
        <v>0</v>
      </c>
      <c r="X622" s="10">
        <f>data_redis_illX!L555</f>
        <v>0</v>
      </c>
      <c r="Y622" s="5">
        <f t="shared" si="9"/>
        <v>0</v>
      </c>
    </row>
    <row r="623" spans="3:25" x14ac:dyDescent="0.25">
      <c r="C623" t="s">
        <v>35</v>
      </c>
      <c r="D623">
        <f t="array" ref="D623:K623">(Q1347:Y1347*AE$4:AE$11+Q1710:Y1710*AF$4:AF$11+Q2073:Y2073*AG$4:AG$11)</f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P623" s="2" t="s">
        <v>37</v>
      </c>
      <c r="Q623" s="10">
        <f>data_redis_illX!E556</f>
        <v>0</v>
      </c>
      <c r="R623" s="10">
        <f>data_redis_illX!F556</f>
        <v>0</v>
      </c>
      <c r="S623" s="10">
        <f>data_redis_illX!G556</f>
        <v>0</v>
      </c>
      <c r="T623" s="10">
        <f>data_redis_illX!H556</f>
        <v>0</v>
      </c>
      <c r="U623" s="10">
        <f>data_redis_illX!I556</f>
        <v>0</v>
      </c>
      <c r="V623" s="10">
        <f>data_redis_illX!J556</f>
        <v>0</v>
      </c>
      <c r="W623" s="10">
        <f>data_redis_illX!K556</f>
        <v>0</v>
      </c>
      <c r="X623" s="10">
        <f>data_redis_illX!L556</f>
        <v>0</v>
      </c>
      <c r="Y623" s="5">
        <f t="shared" si="9"/>
        <v>0</v>
      </c>
    </row>
    <row r="624" spans="3:25" x14ac:dyDescent="0.25">
      <c r="C624" t="s">
        <v>36</v>
      </c>
      <c r="D624">
        <f t="array" ref="D624:K624">(Q1348:Y1348*AE$4:AE$11+Q1711:Y1711*AF$4:AF$11+Q2074:Y2074*AG$4:AG$11)</f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P624" s="2" t="s">
        <v>38</v>
      </c>
      <c r="Q624" s="10">
        <f>data_redis_illX!E557</f>
        <v>0</v>
      </c>
      <c r="R624" s="10">
        <f>data_redis_illX!F557</f>
        <v>0</v>
      </c>
      <c r="S624" s="10">
        <f>data_redis_illX!G557</f>
        <v>0</v>
      </c>
      <c r="T624" s="10">
        <f>data_redis_illX!H557</f>
        <v>0</v>
      </c>
      <c r="U624" s="10">
        <f>data_redis_illX!I557</f>
        <v>0</v>
      </c>
      <c r="V624" s="10">
        <f>data_redis_illX!J557</f>
        <v>0</v>
      </c>
      <c r="W624" s="10">
        <f>data_redis_illX!K557</f>
        <v>0</v>
      </c>
      <c r="X624" s="10">
        <f>data_redis_illX!L557</f>
        <v>0</v>
      </c>
      <c r="Y624" s="5">
        <f t="shared" si="9"/>
        <v>0</v>
      </c>
    </row>
    <row r="625" spans="1:25" x14ac:dyDescent="0.25">
      <c r="C625" t="s">
        <v>37</v>
      </c>
      <c r="D625">
        <f t="array" ref="D625:K625">(Q1349:Y1349*AE$4:AE$11+Q1712:Y1712*AF$4:AF$11+Q2075:Y2075*AG$4:AG$11)</f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P625" s="2" t="s">
        <v>39</v>
      </c>
      <c r="Q625" s="10">
        <f>data_redis_illX!E558</f>
        <v>0</v>
      </c>
      <c r="R625" s="10">
        <f>data_redis_illX!F558</f>
        <v>0</v>
      </c>
      <c r="S625" s="10">
        <f>data_redis_illX!G558</f>
        <v>1.0984332929974154</v>
      </c>
      <c r="T625" s="10">
        <f>data_redis_illX!H558</f>
        <v>0</v>
      </c>
      <c r="U625" s="10">
        <f>data_redis_illX!I558</f>
        <v>0</v>
      </c>
      <c r="V625" s="10">
        <f>data_redis_illX!J558</f>
        <v>0</v>
      </c>
      <c r="W625" s="10">
        <f>data_redis_illX!K558</f>
        <v>0</v>
      </c>
      <c r="X625" s="10">
        <f>data_redis_illX!L558</f>
        <v>0</v>
      </c>
      <c r="Y625" s="5">
        <f t="shared" si="9"/>
        <v>1.0984332929974154</v>
      </c>
    </row>
    <row r="626" spans="1:25" x14ac:dyDescent="0.25">
      <c r="C626" t="s">
        <v>38</v>
      </c>
      <c r="D626">
        <f t="array" ref="D626:K626">(Q1350:Y1350*AE$4:AE$11+Q1713:Y1713*AF$4:AF$11+Q2076:Y2076*AG$4:AG$11)</f>
        <v>0</v>
      </c>
      <c r="E626">
        <v>0</v>
      </c>
      <c r="F626">
        <v>6.6649836694668698</v>
      </c>
      <c r="G626">
        <v>3.1227203896043019</v>
      </c>
      <c r="H626">
        <v>2.9402418589663712</v>
      </c>
      <c r="I626">
        <v>5.3304458083174628</v>
      </c>
      <c r="J626">
        <v>0</v>
      </c>
      <c r="K626">
        <v>0</v>
      </c>
      <c r="P626" s="2" t="s">
        <v>40</v>
      </c>
      <c r="Q626" s="10">
        <f>data_redis_illX!E559</f>
        <v>0</v>
      </c>
      <c r="R626" s="10">
        <f>data_redis_illX!F559</f>
        <v>0</v>
      </c>
      <c r="S626" s="10">
        <f>data_redis_illX!G559</f>
        <v>0</v>
      </c>
      <c r="T626" s="10">
        <f>data_redis_illX!H559</f>
        <v>0</v>
      </c>
      <c r="U626" s="10">
        <f>data_redis_illX!I559</f>
        <v>0</v>
      </c>
      <c r="V626" s="10">
        <f>data_redis_illX!J559</f>
        <v>0</v>
      </c>
      <c r="W626" s="10">
        <f>data_redis_illX!K559</f>
        <v>0</v>
      </c>
      <c r="X626" s="10">
        <f>data_redis_illX!L559</f>
        <v>0</v>
      </c>
      <c r="Y626" s="5">
        <f t="shared" si="9"/>
        <v>0</v>
      </c>
    </row>
    <row r="627" spans="1:25" x14ac:dyDescent="0.25">
      <c r="C627" t="s">
        <v>39</v>
      </c>
      <c r="D627">
        <f t="array" ref="D627:K627">(Q1351:Y1351*AE$4:AE$11+Q1714:Y1714*AF$4:AF$11+Q2077:Y2077*AG$4:AG$11)</f>
        <v>0</v>
      </c>
      <c r="E627">
        <v>0</v>
      </c>
      <c r="F627">
        <v>0</v>
      </c>
      <c r="G627">
        <v>0</v>
      </c>
      <c r="H627">
        <v>2.9402418589663712</v>
      </c>
      <c r="I627">
        <v>0</v>
      </c>
      <c r="J627">
        <v>0</v>
      </c>
      <c r="K627">
        <v>0</v>
      </c>
      <c r="P627" s="2" t="s">
        <v>41</v>
      </c>
      <c r="Q627" s="10">
        <f>data_redis_illX!E560</f>
        <v>0</v>
      </c>
      <c r="R627" s="10">
        <f>data_redis_illX!F560</f>
        <v>0</v>
      </c>
      <c r="S627" s="10">
        <f>data_redis_illX!G560</f>
        <v>0</v>
      </c>
      <c r="T627" s="10">
        <f>data_redis_illX!H560</f>
        <v>0</v>
      </c>
      <c r="U627" s="10">
        <f>data_redis_illX!I560</f>
        <v>0</v>
      </c>
      <c r="V627" s="10">
        <f>data_redis_illX!J560</f>
        <v>0</v>
      </c>
      <c r="W627" s="10">
        <f>data_redis_illX!K560</f>
        <v>0</v>
      </c>
      <c r="X627" s="10">
        <f>data_redis_illX!L560</f>
        <v>0</v>
      </c>
      <c r="Y627" s="5">
        <f t="shared" si="9"/>
        <v>0</v>
      </c>
    </row>
    <row r="628" spans="1:25" x14ac:dyDescent="0.25">
      <c r="C628" t="s">
        <v>40</v>
      </c>
      <c r="D628">
        <f t="array" ref="D628:K628">(Q1352:Y1352*AE$4:AE$11+Q1715:Y1715*AF$4:AF$11+Q2078:Y2078*AG$4:AG$11)</f>
        <v>0</v>
      </c>
      <c r="E628">
        <v>0</v>
      </c>
      <c r="F628">
        <v>0</v>
      </c>
      <c r="G628">
        <v>3.5824672373199458</v>
      </c>
      <c r="H628">
        <v>2.9402418589663712</v>
      </c>
      <c r="I628">
        <v>0</v>
      </c>
      <c r="J628">
        <v>0</v>
      </c>
      <c r="K628">
        <v>0</v>
      </c>
      <c r="P628" s="2" t="s">
        <v>42</v>
      </c>
      <c r="Q628" s="10">
        <f>data_redis_illX!E561</f>
        <v>0</v>
      </c>
      <c r="R628" s="10">
        <f>data_redis_illX!F561</f>
        <v>0</v>
      </c>
      <c r="S628" s="10">
        <f>data_redis_illX!G561</f>
        <v>2.1968665859948309</v>
      </c>
      <c r="T628" s="10">
        <f>data_redis_illX!H561</f>
        <v>2.3765129372452254</v>
      </c>
      <c r="U628" s="10">
        <f>data_redis_illX!I561</f>
        <v>0</v>
      </c>
      <c r="V628" s="10">
        <f>data_redis_illX!J561</f>
        <v>0</v>
      </c>
      <c r="W628" s="10">
        <f>data_redis_illX!K561</f>
        <v>0</v>
      </c>
      <c r="X628" s="10">
        <f>data_redis_illX!L561</f>
        <v>0</v>
      </c>
      <c r="Y628" s="5">
        <f t="shared" si="9"/>
        <v>4.5733795232400567</v>
      </c>
    </row>
    <row r="629" spans="1:25" x14ac:dyDescent="0.25">
      <c r="C629" t="s">
        <v>41</v>
      </c>
      <c r="D629">
        <f t="array" ref="D629:K629">(Q1353:Y1353*AE$4:AE$11+Q1716:Y1716*AF$4:AF$11+Q2079:Y2079*AG$4:AG$11)</f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P629" s="2" t="s">
        <v>43</v>
      </c>
      <c r="Q629" s="10">
        <f>data_redis_illX!E562</f>
        <v>0</v>
      </c>
      <c r="R629" s="10">
        <f>data_redis_illX!F562</f>
        <v>0</v>
      </c>
      <c r="S629" s="10">
        <f>data_redis_illX!G562</f>
        <v>0</v>
      </c>
      <c r="T629" s="10">
        <f>data_redis_illX!H562</f>
        <v>0</v>
      </c>
      <c r="U629" s="10">
        <f>data_redis_illX!I562</f>
        <v>0</v>
      </c>
      <c r="V629" s="10">
        <f>data_redis_illX!J562</f>
        <v>0</v>
      </c>
      <c r="W629" s="10">
        <f>data_redis_illX!K562</f>
        <v>0</v>
      </c>
      <c r="X629" s="10">
        <f>data_redis_illX!L562</f>
        <v>0</v>
      </c>
      <c r="Y629" s="5">
        <f t="shared" si="9"/>
        <v>0</v>
      </c>
    </row>
    <row r="630" spans="1:25" x14ac:dyDescent="0.25">
      <c r="C630" t="s">
        <v>42</v>
      </c>
      <c r="D630">
        <f t="array" ref="D630:K630">(Q1354:Y1354*AE$4:AE$11+Q1717:Y1717*AF$4:AF$11+Q2080:Y2080*AG$4:AG$11)</f>
        <v>0</v>
      </c>
      <c r="E630">
        <v>0</v>
      </c>
      <c r="F630">
        <v>13.75694459398062</v>
      </c>
      <c r="G630">
        <v>16.054628475294866</v>
      </c>
      <c r="H630">
        <v>8.1394457816467298</v>
      </c>
      <c r="I630">
        <v>2.6652229041587314</v>
      </c>
      <c r="J630">
        <v>0</v>
      </c>
      <c r="K630">
        <v>0</v>
      </c>
      <c r="P630" s="2" t="s">
        <v>44</v>
      </c>
      <c r="Q630" s="10">
        <f>data_redis_illX!E563</f>
        <v>0</v>
      </c>
      <c r="R630" s="10">
        <f>data_redis_illX!F563</f>
        <v>0</v>
      </c>
      <c r="S630" s="10">
        <f>data_redis_illX!G563</f>
        <v>5.4921664649870774</v>
      </c>
      <c r="T630" s="10">
        <f>data_redis_illX!H563</f>
        <v>10.694308217603513</v>
      </c>
      <c r="U630" s="10">
        <f>data_redis_illX!I563</f>
        <v>3.3037233448867207</v>
      </c>
      <c r="V630" s="10">
        <f>data_redis_illX!J563</f>
        <v>0</v>
      </c>
      <c r="W630" s="10">
        <f>data_redis_illX!K563</f>
        <v>0</v>
      </c>
      <c r="X630" s="10">
        <f>data_redis_illX!L563</f>
        <v>0</v>
      </c>
      <c r="Y630" s="5">
        <f t="shared" si="9"/>
        <v>19.490198027477312</v>
      </c>
    </row>
    <row r="631" spans="1:25" x14ac:dyDescent="0.25">
      <c r="C631" t="s">
        <v>43</v>
      </c>
      <c r="D631">
        <f t="array" ref="D631:K631">(Q1355:Y1355*AE$4:AE$11+Q1718:Y1718*AF$4:AF$11+Q2081:Y2081*AG$4:AG$11)</f>
        <v>0</v>
      </c>
      <c r="E631">
        <v>0</v>
      </c>
      <c r="F631">
        <v>0</v>
      </c>
      <c r="G631">
        <v>6.7051876269242481</v>
      </c>
      <c r="H631">
        <v>2.9402418589663712</v>
      </c>
      <c r="I631">
        <v>0</v>
      </c>
      <c r="J631">
        <v>0</v>
      </c>
      <c r="K631">
        <v>0</v>
      </c>
      <c r="M631" t="s">
        <v>104</v>
      </c>
      <c r="N631" t="s">
        <v>116</v>
      </c>
      <c r="O631" t="s">
        <v>52</v>
      </c>
      <c r="P631" s="2" t="s">
        <v>12</v>
      </c>
      <c r="Q631" s="10">
        <f>data_redis_illX!E564</f>
        <v>0</v>
      </c>
      <c r="R631" s="10">
        <f>data_redis_illX!F564</f>
        <v>0</v>
      </c>
      <c r="S631" s="10">
        <f>data_redis_illX!G564</f>
        <v>0</v>
      </c>
      <c r="T631" s="10">
        <f>data_redis_illX!H564</f>
        <v>0</v>
      </c>
      <c r="U631" s="10">
        <f>data_redis_illX!I564</f>
        <v>0</v>
      </c>
      <c r="V631" s="10">
        <f>data_redis_illX!J564</f>
        <v>0</v>
      </c>
      <c r="W631" s="10">
        <f>data_redis_illX!K564</f>
        <v>0</v>
      </c>
      <c r="X631" s="10">
        <f>data_redis_illX!L564</f>
        <v>0</v>
      </c>
      <c r="Y631" s="5">
        <f t="shared" si="9"/>
        <v>0</v>
      </c>
    </row>
    <row r="632" spans="1:25" x14ac:dyDescent="0.25">
      <c r="C632" t="s">
        <v>44</v>
      </c>
      <c r="D632">
        <f t="array" ref="D632:K632">(Q1356:Y1356*AE$4:AE$11+Q1719:Y1719*AF$4:AF$11+Q2082:Y2082*AG$4:AG$11)</f>
        <v>0</v>
      </c>
      <c r="E632">
        <v>0</v>
      </c>
      <c r="F632">
        <v>71.888123947770396</v>
      </c>
      <c r="G632">
        <v>103.69460450203124</v>
      </c>
      <c r="H632">
        <v>55.1220104656893</v>
      </c>
      <c r="I632">
        <v>5.3304458083174628</v>
      </c>
      <c r="J632">
        <v>2.6359280290139133</v>
      </c>
      <c r="K632">
        <v>0</v>
      </c>
      <c r="P632" s="2" t="s">
        <v>13</v>
      </c>
      <c r="Q632" s="10">
        <f>data_redis_illX!E565</f>
        <v>0</v>
      </c>
      <c r="R632" s="10">
        <f>data_redis_illX!F565</f>
        <v>0</v>
      </c>
      <c r="S632" s="10">
        <f>data_redis_illX!G565</f>
        <v>0</v>
      </c>
      <c r="T632" s="10">
        <f>data_redis_illX!H565</f>
        <v>0</v>
      </c>
      <c r="U632" s="10">
        <f>data_redis_illX!I565</f>
        <v>0</v>
      </c>
      <c r="V632" s="10">
        <f>data_redis_illX!J565</f>
        <v>0</v>
      </c>
      <c r="W632" s="10">
        <f>data_redis_illX!K565</f>
        <v>0</v>
      </c>
      <c r="X632" s="10">
        <f>data_redis_illX!L565</f>
        <v>0</v>
      </c>
      <c r="Y632" s="5">
        <f t="shared" si="9"/>
        <v>0</v>
      </c>
    </row>
    <row r="633" spans="1:25" x14ac:dyDescent="0.25">
      <c r="A633">
        <v>2</v>
      </c>
      <c r="B633" t="s">
        <v>52</v>
      </c>
      <c r="C633" t="s">
        <v>12</v>
      </c>
      <c r="D633">
        <f t="array" ref="D633:K633">(Q1357:Y1357*AE$4:AE$11+Q1720:Y1720*AF$4:AF$11+Q2083:Y2083*AG$4:AG$11)</f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P633" s="2" t="s">
        <v>14</v>
      </c>
      <c r="Q633" s="10">
        <f>data_redis_illX!E566</f>
        <v>0</v>
      </c>
      <c r="R633" s="10">
        <f>data_redis_illX!F566</f>
        <v>0</v>
      </c>
      <c r="S633" s="10">
        <f>data_redis_illX!G566</f>
        <v>0</v>
      </c>
      <c r="T633" s="10">
        <f>data_redis_illX!H566</f>
        <v>0</v>
      </c>
      <c r="U633" s="10">
        <f>data_redis_illX!I566</f>
        <v>0</v>
      </c>
      <c r="V633" s="10">
        <f>data_redis_illX!J566</f>
        <v>0</v>
      </c>
      <c r="W633" s="10">
        <f>data_redis_illX!K566</f>
        <v>0</v>
      </c>
      <c r="X633" s="10">
        <f>data_redis_illX!L566</f>
        <v>0</v>
      </c>
      <c r="Y633" s="5">
        <f t="shared" si="9"/>
        <v>0</v>
      </c>
    </row>
    <row r="634" spans="1:25" x14ac:dyDescent="0.25">
      <c r="C634" t="s">
        <v>13</v>
      </c>
      <c r="D634">
        <f t="array" ref="D634:K634">(Q1358:Y1358*AE$4:AE$11+Q1721:Y1721*AF$4:AF$11+Q2084:Y2084*AG$4:AG$11)</f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P634" s="2" t="s">
        <v>15</v>
      </c>
      <c r="Q634" s="10">
        <f>data_redis_illX!E567</f>
        <v>0</v>
      </c>
      <c r="R634" s="10">
        <f>data_redis_illX!F567</f>
        <v>0</v>
      </c>
      <c r="S634" s="10">
        <f>data_redis_illX!G567</f>
        <v>0</v>
      </c>
      <c r="T634" s="10">
        <f>data_redis_illX!H567</f>
        <v>0</v>
      </c>
      <c r="U634" s="10">
        <f>data_redis_illX!I567</f>
        <v>0</v>
      </c>
      <c r="V634" s="10">
        <f>data_redis_illX!J567</f>
        <v>0</v>
      </c>
      <c r="W634" s="10">
        <f>data_redis_illX!K567</f>
        <v>0</v>
      </c>
      <c r="X634" s="10">
        <f>data_redis_illX!L567</f>
        <v>0</v>
      </c>
      <c r="Y634" s="5">
        <f t="shared" si="9"/>
        <v>0</v>
      </c>
    </row>
    <row r="635" spans="1:25" x14ac:dyDescent="0.25">
      <c r="C635" t="s">
        <v>14</v>
      </c>
      <c r="D635">
        <f t="array" ref="D635:K635">(Q1359:Y1359*AE$4:AE$11+Q1722:Y1722*AF$4:AF$11+Q2085:Y2085*AG$4:AG$11)</f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P635" s="2" t="s">
        <v>16</v>
      </c>
      <c r="Q635" s="10">
        <f>data_redis_illX!E568</f>
        <v>0</v>
      </c>
      <c r="R635" s="10">
        <f>data_redis_illX!F568</f>
        <v>0</v>
      </c>
      <c r="S635" s="10">
        <f>data_redis_illX!G568</f>
        <v>0</v>
      </c>
      <c r="T635" s="10">
        <f>data_redis_illX!H568</f>
        <v>0</v>
      </c>
      <c r="U635" s="10">
        <f>data_redis_illX!I568</f>
        <v>0</v>
      </c>
      <c r="V635" s="10">
        <f>data_redis_illX!J568</f>
        <v>0</v>
      </c>
      <c r="W635" s="10">
        <f>data_redis_illX!K568</f>
        <v>0</v>
      </c>
      <c r="X635" s="10">
        <f>data_redis_illX!L568</f>
        <v>0</v>
      </c>
      <c r="Y635" s="5">
        <f t="shared" si="9"/>
        <v>0</v>
      </c>
    </row>
    <row r="636" spans="1:25" x14ac:dyDescent="0.25">
      <c r="C636" t="s">
        <v>15</v>
      </c>
      <c r="D636">
        <f t="array" ref="D636:K636">(Q1360:Y1360*AE$4:AE$11+Q1723:Y1723*AF$4:AF$11+Q2086:Y2086*AG$4:AG$11)</f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P636" s="2" t="s">
        <v>17</v>
      </c>
      <c r="Q636" s="10">
        <f>data_redis_illX!E569</f>
        <v>0</v>
      </c>
      <c r="R636" s="10">
        <f>data_redis_illX!F569</f>
        <v>0</v>
      </c>
      <c r="S636" s="10">
        <f>data_redis_illX!G569</f>
        <v>0</v>
      </c>
      <c r="T636" s="10">
        <f>data_redis_illX!H569</f>
        <v>0</v>
      </c>
      <c r="U636" s="10">
        <f>data_redis_illX!I569</f>
        <v>0</v>
      </c>
      <c r="V636" s="10">
        <f>data_redis_illX!J569</f>
        <v>0</v>
      </c>
      <c r="W636" s="10">
        <f>data_redis_illX!K569</f>
        <v>0</v>
      </c>
      <c r="X636" s="10">
        <f>data_redis_illX!L569</f>
        <v>0</v>
      </c>
      <c r="Y636" s="5">
        <f t="shared" si="9"/>
        <v>0</v>
      </c>
    </row>
    <row r="637" spans="1:25" x14ac:dyDescent="0.25">
      <c r="C637" t="s">
        <v>16</v>
      </c>
      <c r="D637">
        <f t="array" ref="D637:K637">(Q1361:Y1361*AE$4:AE$11+Q1724:Y1724*AF$4:AF$11+Q2087:Y2087*AG$4:AG$11)</f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P637" s="2" t="s">
        <v>18</v>
      </c>
      <c r="Q637" s="10">
        <f>data_redis_illX!E570</f>
        <v>0</v>
      </c>
      <c r="R637" s="10">
        <f>data_redis_illX!F570</f>
        <v>0</v>
      </c>
      <c r="S637" s="10">
        <f>data_redis_illX!G570</f>
        <v>0</v>
      </c>
      <c r="T637" s="10">
        <f>data_redis_illX!H570</f>
        <v>0</v>
      </c>
      <c r="U637" s="10">
        <f>data_redis_illX!I570</f>
        <v>0</v>
      </c>
      <c r="V637" s="10">
        <f>data_redis_illX!J570</f>
        <v>0</v>
      </c>
      <c r="W637" s="10">
        <f>data_redis_illX!K570</f>
        <v>0</v>
      </c>
      <c r="X637" s="10">
        <f>data_redis_illX!L570</f>
        <v>0</v>
      </c>
      <c r="Y637" s="5">
        <f t="shared" si="9"/>
        <v>0</v>
      </c>
    </row>
    <row r="638" spans="1:25" x14ac:dyDescent="0.25">
      <c r="C638" t="s">
        <v>17</v>
      </c>
      <c r="D638">
        <f t="array" ref="D638:K638">(Q1362:Y1362*AE$4:AE$11+Q1725:Y1725*AF$4:AF$11+Q2088:Y2088*AG$4:AG$11)</f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P638" s="2" t="s">
        <v>19</v>
      </c>
      <c r="Q638" s="10">
        <f>data_redis_illX!E571</f>
        <v>0</v>
      </c>
      <c r="R638" s="10">
        <f>data_redis_illX!F571</f>
        <v>0</v>
      </c>
      <c r="S638" s="10">
        <f>data_redis_illX!G571</f>
        <v>0</v>
      </c>
      <c r="T638" s="10">
        <f>data_redis_illX!H571</f>
        <v>0</v>
      </c>
      <c r="U638" s="10">
        <f>data_redis_illX!I571</f>
        <v>0</v>
      </c>
      <c r="V638" s="10">
        <f>data_redis_illX!J571</f>
        <v>0</v>
      </c>
      <c r="W638" s="10">
        <f>data_redis_illX!K571</f>
        <v>0</v>
      </c>
      <c r="X638" s="10">
        <f>data_redis_illX!L571</f>
        <v>0</v>
      </c>
      <c r="Y638" s="5">
        <f t="shared" si="9"/>
        <v>0</v>
      </c>
    </row>
    <row r="639" spans="1:25" x14ac:dyDescent="0.25">
      <c r="C639" t="s">
        <v>18</v>
      </c>
      <c r="D639">
        <f t="array" ref="D639:K639">(Q1363:Y1363*AE$4:AE$11+Q1726:Y1726*AF$4:AF$11+Q2089:Y2089*AG$4:AG$11)</f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P639" s="2" t="s">
        <v>20</v>
      </c>
      <c r="Q639" s="10">
        <f>data_redis_illX!E572</f>
        <v>0</v>
      </c>
      <c r="R639" s="10">
        <f>data_redis_illX!F572</f>
        <v>0</v>
      </c>
      <c r="S639" s="10">
        <f>data_redis_illX!G572</f>
        <v>0</v>
      </c>
      <c r="T639" s="10">
        <f>data_redis_illX!H572</f>
        <v>0</v>
      </c>
      <c r="U639" s="10">
        <f>data_redis_illX!I572</f>
        <v>0</v>
      </c>
      <c r="V639" s="10">
        <f>data_redis_illX!J572</f>
        <v>0</v>
      </c>
      <c r="W639" s="10">
        <f>data_redis_illX!K572</f>
        <v>0</v>
      </c>
      <c r="X639" s="10">
        <f>data_redis_illX!L572</f>
        <v>0</v>
      </c>
      <c r="Y639" s="5">
        <f t="shared" si="9"/>
        <v>0</v>
      </c>
    </row>
    <row r="640" spans="1:25" x14ac:dyDescent="0.25">
      <c r="C640" t="s">
        <v>19</v>
      </c>
      <c r="D640">
        <f t="array" ref="D640:K640">(Q1364:Y1364*AE$4:AE$11+Q1727:Y1727*AF$4:AF$11+Q2090:Y2090*AG$4:AG$11)</f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P640" s="2" t="s">
        <v>21</v>
      </c>
      <c r="Q640" s="10">
        <f>data_redis_illX!E573</f>
        <v>0</v>
      </c>
      <c r="R640" s="10">
        <f>data_redis_illX!F573</f>
        <v>0</v>
      </c>
      <c r="S640" s="10">
        <f>data_redis_illX!G573</f>
        <v>1.0078408564615462</v>
      </c>
      <c r="T640" s="10">
        <f>data_redis_illX!H573</f>
        <v>0</v>
      </c>
      <c r="U640" s="10">
        <f>data_redis_illX!I573</f>
        <v>0</v>
      </c>
      <c r="V640" s="10">
        <f>data_redis_illX!J573</f>
        <v>0</v>
      </c>
      <c r="W640" s="10">
        <f>data_redis_illX!K573</f>
        <v>0</v>
      </c>
      <c r="X640" s="10">
        <f>data_redis_illX!L573</f>
        <v>0</v>
      </c>
      <c r="Y640" s="5">
        <f t="shared" si="9"/>
        <v>1.0078408564615462</v>
      </c>
    </row>
    <row r="641" spans="3:25" x14ac:dyDescent="0.25">
      <c r="C641" t="s">
        <v>20</v>
      </c>
      <c r="D641">
        <f t="array" ref="D641:K641">(Q1365:Y1365*AE$4:AE$11+Q1728:Y1728*AF$4:AF$11+Q2091:Y2091*AG$4:AG$11)</f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P641" s="2" t="s">
        <v>22</v>
      </c>
      <c r="Q641" s="10">
        <f>data_redis_illX!E574</f>
        <v>0</v>
      </c>
      <c r="R641" s="10">
        <f>data_redis_illX!F574</f>
        <v>0</v>
      </c>
      <c r="S641" s="10">
        <f>data_redis_illX!G574</f>
        <v>0</v>
      </c>
      <c r="T641" s="10">
        <f>data_redis_illX!H574</f>
        <v>0</v>
      </c>
      <c r="U641" s="10">
        <f>data_redis_illX!I574</f>
        <v>0</v>
      </c>
      <c r="V641" s="10">
        <f>data_redis_illX!J574</f>
        <v>0</v>
      </c>
      <c r="W641" s="10">
        <f>data_redis_illX!K574</f>
        <v>0</v>
      </c>
      <c r="X641" s="10">
        <f>data_redis_illX!L574</f>
        <v>0</v>
      </c>
      <c r="Y641" s="5">
        <f t="shared" si="9"/>
        <v>0</v>
      </c>
    </row>
    <row r="642" spans="3:25" x14ac:dyDescent="0.25">
      <c r="C642" t="s">
        <v>21</v>
      </c>
      <c r="D642">
        <f t="array" ref="D642:K642">(Q1366:Y1366*AE$4:AE$11+Q1729:Y1729*AF$4:AF$11+Q2092:Y2092*AG$4:AG$11)</f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P642" s="2" t="s">
        <v>23</v>
      </c>
      <c r="Q642" s="10">
        <f>data_redis_illX!E575</f>
        <v>0</v>
      </c>
      <c r="R642" s="10">
        <f>data_redis_illX!F575</f>
        <v>0</v>
      </c>
      <c r="S642" s="10">
        <f>data_redis_illX!G575</f>
        <v>0</v>
      </c>
      <c r="T642" s="10">
        <f>data_redis_illX!H575</f>
        <v>0</v>
      </c>
      <c r="U642" s="10">
        <f>data_redis_illX!I575</f>
        <v>0</v>
      </c>
      <c r="V642" s="10">
        <f>data_redis_illX!J575</f>
        <v>0</v>
      </c>
      <c r="W642" s="10">
        <f>data_redis_illX!K575</f>
        <v>0</v>
      </c>
      <c r="X642" s="10">
        <f>data_redis_illX!L575</f>
        <v>0</v>
      </c>
      <c r="Y642" s="5">
        <f t="shared" si="9"/>
        <v>0</v>
      </c>
    </row>
    <row r="643" spans="3:25" x14ac:dyDescent="0.25">
      <c r="C643" t="s">
        <v>22</v>
      </c>
      <c r="D643">
        <f t="array" ref="D643:K643">(Q1367:Y1367*AE$4:AE$11+Q1730:Y1730*AF$4:AF$11+Q2093:Y2093*AG$4:AG$11)</f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P643" s="2" t="s">
        <v>24</v>
      </c>
      <c r="Q643" s="10">
        <f>data_redis_illX!E576</f>
        <v>0</v>
      </c>
      <c r="R643" s="10">
        <f>data_redis_illX!F576</f>
        <v>0</v>
      </c>
      <c r="S643" s="10">
        <f>data_redis_illX!G576</f>
        <v>0</v>
      </c>
      <c r="T643" s="10">
        <f>data_redis_illX!H576</f>
        <v>0</v>
      </c>
      <c r="U643" s="10">
        <f>data_redis_illX!I576</f>
        <v>0</v>
      </c>
      <c r="V643" s="10">
        <f>data_redis_illX!J576</f>
        <v>0</v>
      </c>
      <c r="W643" s="10">
        <f>data_redis_illX!K576</f>
        <v>0</v>
      </c>
      <c r="X643" s="10">
        <f>data_redis_illX!L576</f>
        <v>0</v>
      </c>
      <c r="Y643" s="5">
        <f t="shared" si="9"/>
        <v>0</v>
      </c>
    </row>
    <row r="644" spans="3:25" x14ac:dyDescent="0.25">
      <c r="C644" t="s">
        <v>23</v>
      </c>
      <c r="D644">
        <f t="array" ref="D644:K644">(Q1368:Y1368*AE$4:AE$11+Q1731:Y1731*AF$4:AF$11+Q2094:Y2094*AG$4:AG$11)</f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P644" s="2" t="s">
        <v>25</v>
      </c>
      <c r="Q644" s="10">
        <f>data_redis_illX!E577</f>
        <v>0</v>
      </c>
      <c r="R644" s="10">
        <f>data_redis_illX!F577</f>
        <v>0</v>
      </c>
      <c r="S644" s="10">
        <f>data_redis_illX!G577</f>
        <v>0</v>
      </c>
      <c r="T644" s="10">
        <f>data_redis_illX!H577</f>
        <v>0</v>
      </c>
      <c r="U644" s="10">
        <f>data_redis_illX!I577</f>
        <v>0</v>
      </c>
      <c r="V644" s="10">
        <f>data_redis_illX!J577</f>
        <v>0</v>
      </c>
      <c r="W644" s="10">
        <f>data_redis_illX!K577</f>
        <v>0</v>
      </c>
      <c r="X644" s="10">
        <f>data_redis_illX!L577</f>
        <v>0</v>
      </c>
      <c r="Y644" s="5">
        <f t="shared" si="9"/>
        <v>0</v>
      </c>
    </row>
    <row r="645" spans="3:25" x14ac:dyDescent="0.25">
      <c r="C645" t="s">
        <v>24</v>
      </c>
      <c r="D645">
        <f t="array" ref="D645:K645">(Q1369:Y1369*AE$4:AE$11+Q1732:Y1732*AF$4:AF$11+Q2095:Y2095*AG$4:AG$11)</f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P645" s="2" t="s">
        <v>26</v>
      </c>
      <c r="Q645" s="10">
        <f>data_redis_illX!E578</f>
        <v>0</v>
      </c>
      <c r="R645" s="10">
        <f>data_redis_illX!F578</f>
        <v>0</v>
      </c>
      <c r="S645" s="10">
        <f>data_redis_illX!G578</f>
        <v>0</v>
      </c>
      <c r="T645" s="10">
        <f>data_redis_illX!H578</f>
        <v>0</v>
      </c>
      <c r="U645" s="10">
        <f>data_redis_illX!I578</f>
        <v>0</v>
      </c>
      <c r="V645" s="10">
        <f>data_redis_illX!J578</f>
        <v>0</v>
      </c>
      <c r="W645" s="10">
        <f>data_redis_illX!K578</f>
        <v>0</v>
      </c>
      <c r="X645" s="10">
        <f>data_redis_illX!L578</f>
        <v>0</v>
      </c>
      <c r="Y645" s="5">
        <f t="shared" ref="Y645:Y708" si="10">SUM(Q645:X645)</f>
        <v>0</v>
      </c>
    </row>
    <row r="646" spans="3:25" x14ac:dyDescent="0.25">
      <c r="C646" t="s">
        <v>25</v>
      </c>
      <c r="D646">
        <f t="array" ref="D646:K646">(Q1370:Y1370*AE$4:AE$11+Q1733:Y1733*AF$4:AF$11+Q2096:Y2096*AG$4:AG$11)</f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P646" s="2" t="s">
        <v>27</v>
      </c>
      <c r="Q646" s="10">
        <f>data_redis_illX!E579</f>
        <v>0</v>
      </c>
      <c r="R646" s="10">
        <f>data_redis_illX!F579</f>
        <v>0</v>
      </c>
      <c r="S646" s="10">
        <f>data_redis_illX!G579</f>
        <v>0</v>
      </c>
      <c r="T646" s="10">
        <f>data_redis_illX!H579</f>
        <v>0</v>
      </c>
      <c r="U646" s="10">
        <f>data_redis_illX!I579</f>
        <v>0</v>
      </c>
      <c r="V646" s="10">
        <f>data_redis_illX!J579</f>
        <v>0</v>
      </c>
      <c r="W646" s="10">
        <f>data_redis_illX!K579</f>
        <v>0</v>
      </c>
      <c r="X646" s="10">
        <f>data_redis_illX!L579</f>
        <v>0</v>
      </c>
      <c r="Y646" s="5">
        <f t="shared" si="10"/>
        <v>0</v>
      </c>
    </row>
    <row r="647" spans="3:25" x14ac:dyDescent="0.25">
      <c r="C647" t="s">
        <v>26</v>
      </c>
      <c r="D647">
        <f t="array" ref="D647:K647">(Q1371:Y1371*AE$4:AE$11+Q1734:Y1734*AF$4:AF$11+Q2097:Y2097*AG$4:AG$11)</f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P647" s="2" t="s">
        <v>28</v>
      </c>
      <c r="Q647" s="10">
        <f>data_redis_illX!E580</f>
        <v>0</v>
      </c>
      <c r="R647" s="10">
        <f>data_redis_illX!F580</f>
        <v>0</v>
      </c>
      <c r="S647" s="10">
        <f>data_redis_illX!G580</f>
        <v>0</v>
      </c>
      <c r="T647" s="10">
        <f>data_redis_illX!H580</f>
        <v>0</v>
      </c>
      <c r="U647" s="10">
        <f>data_redis_illX!I580</f>
        <v>0</v>
      </c>
      <c r="V647" s="10">
        <f>data_redis_illX!J580</f>
        <v>0</v>
      </c>
      <c r="W647" s="10">
        <f>data_redis_illX!K580</f>
        <v>0</v>
      </c>
      <c r="X647" s="10">
        <f>data_redis_illX!L580</f>
        <v>0</v>
      </c>
      <c r="Y647" s="5">
        <f t="shared" si="10"/>
        <v>0</v>
      </c>
    </row>
    <row r="648" spans="3:25" x14ac:dyDescent="0.25">
      <c r="C648" t="s">
        <v>27</v>
      </c>
      <c r="D648">
        <f t="array" ref="D648:K648">(Q1372:Y1372*AE$4:AE$11+Q1735:Y1735*AF$4:AF$11+Q2098:Y2098*AG$4:AG$11)</f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P648" s="2" t="s">
        <v>29</v>
      </c>
      <c r="Q648" s="10">
        <f>data_redis_illX!E581</f>
        <v>0</v>
      </c>
      <c r="R648" s="10">
        <f>data_redis_illX!F581</f>
        <v>0</v>
      </c>
      <c r="S648" s="10">
        <f>data_redis_illX!G581</f>
        <v>0</v>
      </c>
      <c r="T648" s="10">
        <f>data_redis_illX!H581</f>
        <v>0</v>
      </c>
      <c r="U648" s="10">
        <f>data_redis_illX!I581</f>
        <v>0</v>
      </c>
      <c r="V648" s="10">
        <f>data_redis_illX!J581</f>
        <v>0</v>
      </c>
      <c r="W648" s="10">
        <f>data_redis_illX!K581</f>
        <v>0</v>
      </c>
      <c r="X648" s="10">
        <f>data_redis_illX!L581</f>
        <v>0</v>
      </c>
      <c r="Y648" s="5">
        <f t="shared" si="10"/>
        <v>0</v>
      </c>
    </row>
    <row r="649" spans="3:25" x14ac:dyDescent="0.25">
      <c r="C649" t="s">
        <v>28</v>
      </c>
      <c r="D649">
        <f t="array" ref="D649:K649">(Q1373:Y1373*AE$4:AE$11+Q1736:Y1736*AF$4:AF$11+Q2099:Y2099*AG$4:AG$11)</f>
        <v>0</v>
      </c>
      <c r="E649">
        <v>0</v>
      </c>
      <c r="F649">
        <v>0</v>
      </c>
      <c r="G649">
        <v>2.2320115536433431</v>
      </c>
      <c r="H649">
        <v>0</v>
      </c>
      <c r="I649">
        <v>0</v>
      </c>
      <c r="J649">
        <v>0</v>
      </c>
      <c r="K649">
        <v>0</v>
      </c>
      <c r="P649" s="2" t="s">
        <v>30</v>
      </c>
      <c r="Q649" s="10">
        <f>data_redis_illX!E582</f>
        <v>0</v>
      </c>
      <c r="R649" s="10">
        <f>data_redis_illX!F582</f>
        <v>0</v>
      </c>
      <c r="S649" s="10">
        <f>data_redis_illX!G582</f>
        <v>0</v>
      </c>
      <c r="T649" s="10">
        <f>data_redis_illX!H582</f>
        <v>0</v>
      </c>
      <c r="U649" s="10">
        <f>data_redis_illX!I582</f>
        <v>0</v>
      </c>
      <c r="V649" s="10">
        <f>data_redis_illX!J582</f>
        <v>0</v>
      </c>
      <c r="W649" s="10">
        <f>data_redis_illX!K582</f>
        <v>0</v>
      </c>
      <c r="X649" s="10">
        <f>data_redis_illX!L582</f>
        <v>0</v>
      </c>
      <c r="Y649" s="5">
        <f t="shared" si="10"/>
        <v>0</v>
      </c>
    </row>
    <row r="650" spans="3:25" x14ac:dyDescent="0.25">
      <c r="C650" t="s">
        <v>29</v>
      </c>
      <c r="D650">
        <f t="array" ref="D650:K650">(Q1374:Y1374*AE$4:AE$11+Q1737:Y1737*AF$4:AF$11+Q2100:Y2100*AG$4:AG$11)</f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P650" s="2" t="s">
        <v>31</v>
      </c>
      <c r="Q650" s="10">
        <f>data_redis_illX!E583</f>
        <v>0</v>
      </c>
      <c r="R650" s="10">
        <f>data_redis_illX!F583</f>
        <v>0</v>
      </c>
      <c r="S650" s="10">
        <f>data_redis_illX!G583</f>
        <v>0</v>
      </c>
      <c r="T650" s="10">
        <f>data_redis_illX!H583</f>
        <v>0</v>
      </c>
      <c r="U650" s="10">
        <f>data_redis_illX!I583</f>
        <v>0</v>
      </c>
      <c r="V650" s="10">
        <f>data_redis_illX!J583</f>
        <v>0</v>
      </c>
      <c r="W650" s="10">
        <f>data_redis_illX!K583</f>
        <v>0</v>
      </c>
      <c r="X650" s="10">
        <f>data_redis_illX!L583</f>
        <v>0</v>
      </c>
      <c r="Y650" s="5">
        <f t="shared" si="10"/>
        <v>0</v>
      </c>
    </row>
    <row r="651" spans="3:25" x14ac:dyDescent="0.25">
      <c r="C651" t="s">
        <v>30</v>
      </c>
      <c r="D651">
        <f t="array" ref="D651:K651">(Q1375:Y1375*AE$4:AE$11+Q1738:Y1738*AF$4:AF$11+Q2101:Y2101*AG$4:AG$11)</f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P651" s="2" t="s">
        <v>32</v>
      </c>
      <c r="Q651" s="10">
        <f>data_redis_illX!E584</f>
        <v>0</v>
      </c>
      <c r="R651" s="10">
        <f>data_redis_illX!F584</f>
        <v>0</v>
      </c>
      <c r="S651" s="10">
        <f>data_redis_illX!G584</f>
        <v>0</v>
      </c>
      <c r="T651" s="10">
        <f>data_redis_illX!H584</f>
        <v>0</v>
      </c>
      <c r="U651" s="10">
        <f>data_redis_illX!I584</f>
        <v>0</v>
      </c>
      <c r="V651" s="10">
        <f>data_redis_illX!J584</f>
        <v>0</v>
      </c>
      <c r="W651" s="10">
        <f>data_redis_illX!K584</f>
        <v>0</v>
      </c>
      <c r="X651" s="10">
        <f>data_redis_illX!L584</f>
        <v>0</v>
      </c>
      <c r="Y651" s="5">
        <f t="shared" si="10"/>
        <v>0</v>
      </c>
    </row>
    <row r="652" spans="3:25" x14ac:dyDescent="0.25">
      <c r="C652" t="s">
        <v>31</v>
      </c>
      <c r="D652">
        <f t="array" ref="D652:K652">(Q1376:Y1376*AE$4:AE$11+Q1739:Y1739*AF$4:AF$11+Q2102:Y2102*AG$4:AG$11)</f>
        <v>0</v>
      </c>
      <c r="E652">
        <v>0</v>
      </c>
      <c r="F652">
        <v>3.2240760723112269</v>
      </c>
      <c r="G652">
        <v>0</v>
      </c>
      <c r="H652">
        <v>0</v>
      </c>
      <c r="I652">
        <v>0</v>
      </c>
      <c r="J652">
        <v>0</v>
      </c>
      <c r="K652">
        <v>0</v>
      </c>
      <c r="P652" s="2" t="s">
        <v>33</v>
      </c>
      <c r="Q652" s="10">
        <f>data_redis_illX!E585</f>
        <v>0</v>
      </c>
      <c r="R652" s="10">
        <f>data_redis_illX!F585</f>
        <v>0</v>
      </c>
      <c r="S652" s="10">
        <f>data_redis_illX!G585</f>
        <v>0</v>
      </c>
      <c r="T652" s="10">
        <f>data_redis_illX!H585</f>
        <v>0</v>
      </c>
      <c r="U652" s="10">
        <f>data_redis_illX!I585</f>
        <v>0</v>
      </c>
      <c r="V652" s="10">
        <f>data_redis_illX!J585</f>
        <v>0</v>
      </c>
      <c r="W652" s="10">
        <f>data_redis_illX!K585</f>
        <v>0</v>
      </c>
      <c r="X652" s="10">
        <f>data_redis_illX!L585</f>
        <v>0</v>
      </c>
      <c r="Y652" s="5">
        <f t="shared" si="10"/>
        <v>0</v>
      </c>
    </row>
    <row r="653" spans="3:25" x14ac:dyDescent="0.25">
      <c r="C653" t="s">
        <v>32</v>
      </c>
      <c r="D653">
        <f t="array" ref="D653:K653">(Q1377:Y1377*AE$4:AE$11+Q1740:Y1740*AF$4:AF$11+Q2103:Y2103*AG$4:AG$11)</f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P653" s="2" t="s">
        <v>34</v>
      </c>
      <c r="Q653" s="10">
        <f>data_redis_illX!E586</f>
        <v>0</v>
      </c>
      <c r="R653" s="10">
        <f>data_redis_illX!F586</f>
        <v>0</v>
      </c>
      <c r="S653" s="10">
        <f>data_redis_illX!G586</f>
        <v>0</v>
      </c>
      <c r="T653" s="10">
        <f>data_redis_illX!H586</f>
        <v>0</v>
      </c>
      <c r="U653" s="10">
        <f>data_redis_illX!I586</f>
        <v>0</v>
      </c>
      <c r="V653" s="10">
        <f>data_redis_illX!J586</f>
        <v>0</v>
      </c>
      <c r="W653" s="10">
        <f>data_redis_illX!K586</f>
        <v>0</v>
      </c>
      <c r="X653" s="10">
        <f>data_redis_illX!L586</f>
        <v>0</v>
      </c>
      <c r="Y653" s="5">
        <f t="shared" si="10"/>
        <v>0</v>
      </c>
    </row>
    <row r="654" spans="3:25" x14ac:dyDescent="0.25">
      <c r="C654" t="s">
        <v>33</v>
      </c>
      <c r="D654">
        <f t="array" ref="D654:K654">(Q1378:Y1378*AE$4:AE$11+Q1741:Y1741*AF$4:AF$11+Q2104:Y2104*AG$4:AG$11)</f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P654" s="2" t="s">
        <v>35</v>
      </c>
      <c r="Q654" s="10">
        <f>data_redis_illX!E587</f>
        <v>0</v>
      </c>
      <c r="R654" s="10">
        <f>data_redis_illX!F587</f>
        <v>0</v>
      </c>
      <c r="S654" s="10">
        <f>data_redis_illX!G587</f>
        <v>0</v>
      </c>
      <c r="T654" s="10">
        <f>data_redis_illX!H587</f>
        <v>0</v>
      </c>
      <c r="U654" s="10">
        <f>data_redis_illX!I587</f>
        <v>0</v>
      </c>
      <c r="V654" s="10">
        <f>data_redis_illX!J587</f>
        <v>0</v>
      </c>
      <c r="W654" s="10">
        <f>data_redis_illX!K587</f>
        <v>0</v>
      </c>
      <c r="X654" s="10">
        <f>data_redis_illX!L587</f>
        <v>0</v>
      </c>
      <c r="Y654" s="5">
        <f t="shared" si="10"/>
        <v>0</v>
      </c>
    </row>
    <row r="655" spans="3:25" x14ac:dyDescent="0.25">
      <c r="C655" t="s">
        <v>34</v>
      </c>
      <c r="D655">
        <f t="array" ref="D655:K655">(Q1379:Y1379*AE$4:AE$11+Q1742:Y1742*AF$4:AF$11+Q2105:Y2105*AG$4:AG$11)</f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P655" s="2" t="s">
        <v>36</v>
      </c>
      <c r="Q655" s="10">
        <f>data_redis_illX!E588</f>
        <v>0</v>
      </c>
      <c r="R655" s="10">
        <f>data_redis_illX!F588</f>
        <v>0</v>
      </c>
      <c r="S655" s="10">
        <f>data_redis_illX!G588</f>
        <v>0</v>
      </c>
      <c r="T655" s="10">
        <f>data_redis_illX!H588</f>
        <v>0</v>
      </c>
      <c r="U655" s="10">
        <f>data_redis_illX!I588</f>
        <v>0</v>
      </c>
      <c r="V655" s="10">
        <f>data_redis_illX!J588</f>
        <v>0</v>
      </c>
      <c r="W655" s="10">
        <f>data_redis_illX!K588</f>
        <v>0</v>
      </c>
      <c r="X655" s="10">
        <f>data_redis_illX!L588</f>
        <v>0</v>
      </c>
      <c r="Y655" s="5">
        <f t="shared" si="10"/>
        <v>0</v>
      </c>
    </row>
    <row r="656" spans="3:25" x14ac:dyDescent="0.25">
      <c r="C656" t="s">
        <v>35</v>
      </c>
      <c r="D656">
        <f t="array" ref="D656:K656">(Q1380:Y1380*AE$4:AE$11+Q1743:Y1743*AF$4:AF$11+Q2106:Y2106*AG$4:AG$11)</f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P656" s="2" t="s">
        <v>37</v>
      </c>
      <c r="Q656" s="10">
        <f>data_redis_illX!E589</f>
        <v>0</v>
      </c>
      <c r="R656" s="10">
        <f>data_redis_illX!F589</f>
        <v>0</v>
      </c>
      <c r="S656" s="10">
        <f>data_redis_illX!G589</f>
        <v>0</v>
      </c>
      <c r="T656" s="10">
        <f>data_redis_illX!H589</f>
        <v>0</v>
      </c>
      <c r="U656" s="10">
        <f>data_redis_illX!I589</f>
        <v>0</v>
      </c>
      <c r="V656" s="10">
        <f>data_redis_illX!J589</f>
        <v>0</v>
      </c>
      <c r="W656" s="10">
        <f>data_redis_illX!K589</f>
        <v>0</v>
      </c>
      <c r="X656" s="10">
        <f>data_redis_illX!L589</f>
        <v>0</v>
      </c>
      <c r="Y656" s="5">
        <f t="shared" si="10"/>
        <v>0</v>
      </c>
    </row>
    <row r="657" spans="1:25" x14ac:dyDescent="0.25">
      <c r="C657" t="s">
        <v>36</v>
      </c>
      <c r="D657">
        <f t="array" ref="D657:K657">(Q1381:Y1381*AE$4:AE$11+Q1744:Y1744*AF$4:AF$11+Q2107:Y2107*AG$4:AG$11)</f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P657" s="2" t="s">
        <v>38</v>
      </c>
      <c r="Q657" s="10">
        <f>data_redis_illX!E590</f>
        <v>0</v>
      </c>
      <c r="R657" s="10">
        <f>data_redis_illX!F590</f>
        <v>0</v>
      </c>
      <c r="S657" s="10">
        <f>data_redis_illX!G590</f>
        <v>0</v>
      </c>
      <c r="T657" s="10">
        <f>data_redis_illX!H590</f>
        <v>0</v>
      </c>
      <c r="U657" s="10">
        <f>data_redis_illX!I590</f>
        <v>0</v>
      </c>
      <c r="V657" s="10">
        <f>data_redis_illX!J590</f>
        <v>0</v>
      </c>
      <c r="W657" s="10">
        <f>data_redis_illX!K590</f>
        <v>0</v>
      </c>
      <c r="X657" s="10">
        <f>data_redis_illX!L590</f>
        <v>0</v>
      </c>
      <c r="Y657" s="5">
        <f t="shared" si="10"/>
        <v>0</v>
      </c>
    </row>
    <row r="658" spans="1:25" x14ac:dyDescent="0.25">
      <c r="C658" t="s">
        <v>37</v>
      </c>
      <c r="D658">
        <f t="array" ref="D658:K658">(Q1382:Y1382*AE$4:AE$11+Q1745:Y1745*AF$4:AF$11+Q2108:Y2108*AG$4:AG$11)</f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P658" s="2" t="s">
        <v>39</v>
      </c>
      <c r="Q658" s="10">
        <f>data_redis_illX!E591</f>
        <v>0</v>
      </c>
      <c r="R658" s="10">
        <f>data_redis_illX!F591</f>
        <v>0</v>
      </c>
      <c r="S658" s="10">
        <f>data_redis_illX!G591</f>
        <v>0</v>
      </c>
      <c r="T658" s="10">
        <f>data_redis_illX!H591</f>
        <v>0</v>
      </c>
      <c r="U658" s="10">
        <f>data_redis_illX!I591</f>
        <v>0</v>
      </c>
      <c r="V658" s="10">
        <f>data_redis_illX!J591</f>
        <v>0</v>
      </c>
      <c r="W658" s="10">
        <f>data_redis_illX!K591</f>
        <v>0</v>
      </c>
      <c r="X658" s="10">
        <f>data_redis_illX!L591</f>
        <v>0</v>
      </c>
      <c r="Y658" s="5">
        <f t="shared" si="10"/>
        <v>0</v>
      </c>
    </row>
    <row r="659" spans="1:25" x14ac:dyDescent="0.25">
      <c r="C659" t="s">
        <v>38</v>
      </c>
      <c r="D659">
        <f t="array" ref="D659:K659">(Q1383:Y1383*AE$4:AE$11+Q1746:Y1746*AF$4:AF$11+Q2109:Y2109*AG$4:AG$11)</f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P659" s="2" t="s">
        <v>40</v>
      </c>
      <c r="Q659" s="10">
        <f>data_redis_illX!E592</f>
        <v>0</v>
      </c>
      <c r="R659" s="10">
        <f>data_redis_illX!F592</f>
        <v>0</v>
      </c>
      <c r="S659" s="10">
        <f>data_redis_illX!G592</f>
        <v>3.0235225693846384</v>
      </c>
      <c r="T659" s="10">
        <f>data_redis_illX!H592</f>
        <v>1.0124788845068413</v>
      </c>
      <c r="U659" s="10">
        <f>data_redis_illX!I592</f>
        <v>1.0178137577681312</v>
      </c>
      <c r="V659" s="10">
        <f>data_redis_illX!J592</f>
        <v>0</v>
      </c>
      <c r="W659" s="10">
        <f>data_redis_illX!K592</f>
        <v>0</v>
      </c>
      <c r="X659" s="10">
        <f>data_redis_illX!L592</f>
        <v>0</v>
      </c>
      <c r="Y659" s="5">
        <f t="shared" si="10"/>
        <v>5.0538152116596109</v>
      </c>
    </row>
    <row r="660" spans="1:25" x14ac:dyDescent="0.25">
      <c r="C660" t="s">
        <v>39</v>
      </c>
      <c r="D660">
        <f t="array" ref="D660:K660">(Q1384:Y1384*AE$4:AE$11+Q1747:Y1747*AF$4:AF$11+Q2110:Y2110*AG$4:AG$11)</f>
        <v>0</v>
      </c>
      <c r="E660">
        <v>0</v>
      </c>
      <c r="F660">
        <v>0</v>
      </c>
      <c r="G660">
        <v>3.2495526681090081</v>
      </c>
      <c r="H660">
        <v>0</v>
      </c>
      <c r="I660">
        <v>0</v>
      </c>
      <c r="J660">
        <v>0</v>
      </c>
      <c r="K660">
        <v>0</v>
      </c>
      <c r="P660" s="2" t="s">
        <v>41</v>
      </c>
      <c r="Q660" s="10">
        <f>data_redis_illX!E593</f>
        <v>0</v>
      </c>
      <c r="R660" s="10">
        <f>data_redis_illX!F593</f>
        <v>0</v>
      </c>
      <c r="S660" s="10">
        <f>data_redis_illX!G593</f>
        <v>0</v>
      </c>
      <c r="T660" s="10">
        <f>data_redis_illX!H593</f>
        <v>0</v>
      </c>
      <c r="U660" s="10">
        <f>data_redis_illX!I593</f>
        <v>3.0534412733043932</v>
      </c>
      <c r="V660" s="10">
        <f>data_redis_illX!J593</f>
        <v>0</v>
      </c>
      <c r="W660" s="10">
        <f>data_redis_illX!K593</f>
        <v>0</v>
      </c>
      <c r="X660" s="10">
        <f>data_redis_illX!L593</f>
        <v>0</v>
      </c>
      <c r="Y660" s="5">
        <f t="shared" si="10"/>
        <v>3.0534412733043932</v>
      </c>
    </row>
    <row r="661" spans="1:25" x14ac:dyDescent="0.25">
      <c r="C661" t="s">
        <v>40</v>
      </c>
      <c r="D661">
        <f t="array" ref="D661:K661">(Q1385:Y1385*AE$4:AE$11+Q1748:Y1748*AF$4:AF$11+Q2111:Y2111*AG$4:AG$11)</f>
        <v>0</v>
      </c>
      <c r="E661">
        <v>0</v>
      </c>
      <c r="F661">
        <v>2.0278468913674876</v>
      </c>
      <c r="G661">
        <v>16.444692665257058</v>
      </c>
      <c r="H661">
        <v>11.273647657890892</v>
      </c>
      <c r="I661">
        <v>2.2344798085371185</v>
      </c>
      <c r="J661">
        <v>0</v>
      </c>
      <c r="K661">
        <v>0</v>
      </c>
      <c r="P661" s="2" t="s">
        <v>42</v>
      </c>
      <c r="Q661" s="10">
        <f>data_redis_illX!E594</f>
        <v>0</v>
      </c>
      <c r="R661" s="10">
        <f>data_redis_illX!F594</f>
        <v>0</v>
      </c>
      <c r="S661" s="10">
        <f>data_redis_illX!G594</f>
        <v>0</v>
      </c>
      <c r="T661" s="10">
        <f>data_redis_illX!H594</f>
        <v>0</v>
      </c>
      <c r="U661" s="10">
        <f>data_redis_illX!I594</f>
        <v>0</v>
      </c>
      <c r="V661" s="10">
        <f>data_redis_illX!J594</f>
        <v>0</v>
      </c>
      <c r="W661" s="10">
        <f>data_redis_illX!K594</f>
        <v>0</v>
      </c>
      <c r="X661" s="10">
        <f>data_redis_illX!L594</f>
        <v>0</v>
      </c>
      <c r="Y661" s="5">
        <f t="shared" si="10"/>
        <v>0</v>
      </c>
    </row>
    <row r="662" spans="1:25" x14ac:dyDescent="0.25">
      <c r="C662" t="s">
        <v>41</v>
      </c>
      <c r="D662">
        <f t="array" ref="D662:K662">(Q1386:Y1386*AE$4:AE$11+Q1749:Y1749*AF$4:AF$11+Q2112:Y2112*AG$4:AG$11)</f>
        <v>0</v>
      </c>
      <c r="E662">
        <v>0</v>
      </c>
      <c r="F662">
        <v>1.0139234456837438</v>
      </c>
      <c r="G662">
        <v>1.017541114465665</v>
      </c>
      <c r="H662">
        <v>1.5261327078726903</v>
      </c>
      <c r="I662">
        <v>0</v>
      </c>
      <c r="J662">
        <v>0</v>
      </c>
      <c r="K662">
        <v>0</v>
      </c>
      <c r="P662" s="2" t="s">
        <v>43</v>
      </c>
      <c r="Q662" s="10">
        <f>data_redis_illX!E595</f>
        <v>0</v>
      </c>
      <c r="R662" s="10">
        <f>data_redis_illX!F595</f>
        <v>0</v>
      </c>
      <c r="S662" s="10">
        <f>data_redis_illX!G595</f>
        <v>0</v>
      </c>
      <c r="T662" s="10">
        <f>data_redis_illX!H595</f>
        <v>0</v>
      </c>
      <c r="U662" s="10">
        <f>data_redis_illX!I595</f>
        <v>0</v>
      </c>
      <c r="V662" s="10">
        <f>data_redis_illX!J595</f>
        <v>0</v>
      </c>
      <c r="W662" s="10">
        <f>data_redis_illX!K595</f>
        <v>0</v>
      </c>
      <c r="X662" s="10">
        <f>data_redis_illX!L595</f>
        <v>0</v>
      </c>
      <c r="Y662" s="5">
        <f t="shared" si="10"/>
        <v>0</v>
      </c>
    </row>
    <row r="663" spans="1:25" x14ac:dyDescent="0.25">
      <c r="C663" t="s">
        <v>42</v>
      </c>
      <c r="D663">
        <f t="array" ref="D663:K663">(Q1387:Y1387*AE$4:AE$11+Q1750:Y1750*AF$4:AF$11+Q2113:Y2113*AG$4:AG$11)</f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P663" s="2" t="s">
        <v>44</v>
      </c>
      <c r="Q663" s="10">
        <f>data_redis_illX!E596</f>
        <v>0</v>
      </c>
      <c r="R663" s="10">
        <f>data_redis_illX!F596</f>
        <v>0</v>
      </c>
      <c r="S663" s="10">
        <f>data_redis_illX!G596</f>
        <v>0</v>
      </c>
      <c r="T663" s="10">
        <f>data_redis_illX!H596</f>
        <v>0</v>
      </c>
      <c r="U663" s="10">
        <f>data_redis_illX!I596</f>
        <v>0</v>
      </c>
      <c r="V663" s="10">
        <f>data_redis_illX!J596</f>
        <v>0</v>
      </c>
      <c r="W663" s="10">
        <f>data_redis_illX!K596</f>
        <v>0</v>
      </c>
      <c r="X663" s="10">
        <f>data_redis_illX!L596</f>
        <v>0</v>
      </c>
      <c r="Y663" s="5">
        <f t="shared" si="10"/>
        <v>0</v>
      </c>
    </row>
    <row r="664" spans="1:25" x14ac:dyDescent="0.25">
      <c r="C664" t="s">
        <v>43</v>
      </c>
      <c r="D664">
        <f t="array" ref="D664:K664">(Q1388:Y1388*AE$4:AE$11+Q1751:Y1751*AF$4:AF$11+Q2114:Y2114*AG$4:AG$11)</f>
        <v>0</v>
      </c>
      <c r="E664">
        <v>0</v>
      </c>
      <c r="F664">
        <v>0</v>
      </c>
      <c r="G664">
        <v>1.017541114465665</v>
      </c>
      <c r="H664">
        <v>0</v>
      </c>
      <c r="I664">
        <v>0</v>
      </c>
      <c r="J664">
        <v>0</v>
      </c>
      <c r="K664">
        <v>0</v>
      </c>
      <c r="M664" t="s">
        <v>104</v>
      </c>
      <c r="N664" t="s">
        <v>116</v>
      </c>
      <c r="O664" t="s">
        <v>53</v>
      </c>
      <c r="P664" s="2" t="s">
        <v>12</v>
      </c>
      <c r="Q664" s="10">
        <f>data_redis_illX!E597</f>
        <v>0</v>
      </c>
      <c r="R664" s="10">
        <f>data_redis_illX!F597</f>
        <v>0</v>
      </c>
      <c r="S664" s="10">
        <f>data_redis_illX!G597</f>
        <v>0</v>
      </c>
      <c r="T664" s="10">
        <f>data_redis_illX!H597</f>
        <v>0</v>
      </c>
      <c r="U664" s="10">
        <f>data_redis_illX!I597</f>
        <v>0</v>
      </c>
      <c r="V664" s="10">
        <f>data_redis_illX!J597</f>
        <v>0</v>
      </c>
      <c r="W664" s="10">
        <f>data_redis_illX!K597</f>
        <v>0</v>
      </c>
      <c r="X664" s="10">
        <f>data_redis_illX!L597</f>
        <v>0</v>
      </c>
      <c r="Y664" s="5">
        <f t="shared" si="10"/>
        <v>0</v>
      </c>
    </row>
    <row r="665" spans="1:25" x14ac:dyDescent="0.25">
      <c r="C665" t="s">
        <v>44</v>
      </c>
      <c r="D665">
        <f t="array" ref="D665:K665">(Q1389:Y1389*AE$4:AE$11+Q1752:Y1752*AF$4:AF$11+Q2115:Y2115*AG$4:AG$11)</f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P665" s="2" t="s">
        <v>13</v>
      </c>
      <c r="Q665" s="10">
        <f>data_redis_illX!E598</f>
        <v>0</v>
      </c>
      <c r="R665" s="10">
        <f>data_redis_illX!F598</f>
        <v>0</v>
      </c>
      <c r="S665" s="10">
        <f>data_redis_illX!G598</f>
        <v>0</v>
      </c>
      <c r="T665" s="10">
        <f>data_redis_illX!H598</f>
        <v>0</v>
      </c>
      <c r="U665" s="10">
        <f>data_redis_illX!I598</f>
        <v>0</v>
      </c>
      <c r="V665" s="10">
        <f>data_redis_illX!J598</f>
        <v>0</v>
      </c>
      <c r="W665" s="10">
        <f>data_redis_illX!K598</f>
        <v>0</v>
      </c>
      <c r="X665" s="10">
        <f>data_redis_illX!L598</f>
        <v>0</v>
      </c>
      <c r="Y665" s="5">
        <f t="shared" si="10"/>
        <v>0</v>
      </c>
    </row>
    <row r="666" spans="1:25" x14ac:dyDescent="0.25">
      <c r="A666">
        <v>2</v>
      </c>
      <c r="B666" t="s">
        <v>53</v>
      </c>
      <c r="C666" t="s">
        <v>12</v>
      </c>
      <c r="D666">
        <f t="array" ref="D666:K666">(Q1390:Y1390*AE$4:AE$11+Q1753:Y1753*AF$4:AF$11+Q2116:Y2116*AG$4:AG$11)</f>
        <v>0</v>
      </c>
      <c r="E666">
        <v>0</v>
      </c>
      <c r="F666">
        <v>0.26229121527154953</v>
      </c>
      <c r="G666">
        <v>3.083457922623228E-2</v>
      </c>
      <c r="H666">
        <v>0</v>
      </c>
      <c r="I666">
        <v>6.771150934960965E-2</v>
      </c>
      <c r="J666">
        <v>0</v>
      </c>
      <c r="K666">
        <v>0</v>
      </c>
      <c r="P666" s="2" t="s">
        <v>14</v>
      </c>
      <c r="Q666" s="10">
        <f>data_redis_illX!E599</f>
        <v>0</v>
      </c>
      <c r="R666" s="10">
        <f>data_redis_illX!F599</f>
        <v>0</v>
      </c>
      <c r="S666" s="10">
        <f>data_redis_illX!G599</f>
        <v>0</v>
      </c>
      <c r="T666" s="10">
        <f>data_redis_illX!H599</f>
        <v>0</v>
      </c>
      <c r="U666" s="10">
        <f>data_redis_illX!I599</f>
        <v>0</v>
      </c>
      <c r="V666" s="10">
        <f>data_redis_illX!J599</f>
        <v>0</v>
      </c>
      <c r="W666" s="10">
        <f>data_redis_illX!K599</f>
        <v>0</v>
      </c>
      <c r="X666" s="10">
        <f>data_redis_illX!L599</f>
        <v>0</v>
      </c>
      <c r="Y666" s="5">
        <f t="shared" si="10"/>
        <v>0</v>
      </c>
    </row>
    <row r="667" spans="1:25" x14ac:dyDescent="0.25">
      <c r="C667" t="s">
        <v>13</v>
      </c>
      <c r="D667">
        <f t="array" ref="D667:K667">(Q1391:Y1391*AE$4:AE$11+Q1754:Y1754*AF$4:AF$11+Q2117:Y2117*AG$4:AG$11)</f>
        <v>0</v>
      </c>
      <c r="E667">
        <v>0</v>
      </c>
      <c r="F667">
        <v>0.26229121527154953</v>
      </c>
      <c r="G667">
        <v>3.083457922623228E-2</v>
      </c>
      <c r="H667">
        <v>0</v>
      </c>
      <c r="I667">
        <v>6.771150934960965E-2</v>
      </c>
      <c r="J667">
        <v>0</v>
      </c>
      <c r="K667">
        <v>0</v>
      </c>
      <c r="P667" s="2" t="s">
        <v>15</v>
      </c>
      <c r="Q667" s="10">
        <f>data_redis_illX!E600</f>
        <v>0</v>
      </c>
      <c r="R667" s="10">
        <f>data_redis_illX!F600</f>
        <v>0</v>
      </c>
      <c r="S667" s="10">
        <f>data_redis_illX!G600</f>
        <v>0</v>
      </c>
      <c r="T667" s="10">
        <f>data_redis_illX!H600</f>
        <v>0</v>
      </c>
      <c r="U667" s="10">
        <f>data_redis_illX!I600</f>
        <v>0</v>
      </c>
      <c r="V667" s="10">
        <f>data_redis_illX!J600</f>
        <v>0</v>
      </c>
      <c r="W667" s="10">
        <f>data_redis_illX!K600</f>
        <v>0</v>
      </c>
      <c r="X667" s="10">
        <f>data_redis_illX!L600</f>
        <v>0</v>
      </c>
      <c r="Y667" s="5">
        <f t="shared" si="10"/>
        <v>0</v>
      </c>
    </row>
    <row r="668" spans="1:25" x14ac:dyDescent="0.25">
      <c r="C668" t="s">
        <v>14</v>
      </c>
      <c r="D668">
        <f t="array" ref="D668:K668">(Q1392:Y1392*AE$4:AE$11+Q1755:Y1755*AF$4:AF$11+Q2118:Y2118*AG$4:AG$11)</f>
        <v>0</v>
      </c>
      <c r="E668">
        <v>0</v>
      </c>
      <c r="F668">
        <v>0.26229121527154953</v>
      </c>
      <c r="G668">
        <v>3.083457922623228E-2</v>
      </c>
      <c r="H668">
        <v>0</v>
      </c>
      <c r="I668">
        <v>6.771150934960965E-2</v>
      </c>
      <c r="J668">
        <v>0</v>
      </c>
      <c r="K668">
        <v>0</v>
      </c>
      <c r="P668" s="2" t="s">
        <v>16</v>
      </c>
      <c r="Q668" s="10">
        <f>data_redis_illX!E601</f>
        <v>0</v>
      </c>
      <c r="R668" s="10">
        <f>data_redis_illX!F601</f>
        <v>0</v>
      </c>
      <c r="S668" s="10">
        <f>data_redis_illX!G601</f>
        <v>0</v>
      </c>
      <c r="T668" s="10">
        <f>data_redis_illX!H601</f>
        <v>0</v>
      </c>
      <c r="U668" s="10">
        <f>data_redis_illX!I601</f>
        <v>0</v>
      </c>
      <c r="V668" s="10">
        <f>data_redis_illX!J601</f>
        <v>0</v>
      </c>
      <c r="W668" s="10">
        <f>data_redis_illX!K601</f>
        <v>0</v>
      </c>
      <c r="X668" s="10">
        <f>data_redis_illX!L601</f>
        <v>0</v>
      </c>
      <c r="Y668" s="5">
        <f t="shared" si="10"/>
        <v>0</v>
      </c>
    </row>
    <row r="669" spans="1:25" x14ac:dyDescent="0.25">
      <c r="C669" t="s">
        <v>15</v>
      </c>
      <c r="D669">
        <f t="array" ref="D669:K669">(Q1393:Y1393*AE$4:AE$11+Q1756:Y1756*AF$4:AF$11+Q2119:Y2119*AG$4:AG$11)</f>
        <v>0</v>
      </c>
      <c r="E669">
        <v>0</v>
      </c>
      <c r="F669">
        <v>0.26229121527154953</v>
      </c>
      <c r="G669">
        <v>3.0834579226232282</v>
      </c>
      <c r="H669">
        <v>0</v>
      </c>
      <c r="I669">
        <v>6.771150934960965E-2</v>
      </c>
      <c r="J669">
        <v>0</v>
      </c>
      <c r="K669">
        <v>0</v>
      </c>
      <c r="P669" s="2" t="s">
        <v>17</v>
      </c>
      <c r="Q669" s="10">
        <f>data_redis_illX!E602</f>
        <v>0</v>
      </c>
      <c r="R669" s="10">
        <f>data_redis_illX!F602</f>
        <v>0</v>
      </c>
      <c r="S669" s="10">
        <f>data_redis_illX!G602</f>
        <v>0</v>
      </c>
      <c r="T669" s="10">
        <f>data_redis_illX!H602</f>
        <v>0</v>
      </c>
      <c r="U669" s="10">
        <f>data_redis_illX!I602</f>
        <v>0</v>
      </c>
      <c r="V669" s="10">
        <f>data_redis_illX!J602</f>
        <v>0</v>
      </c>
      <c r="W669" s="10">
        <f>data_redis_illX!K602</f>
        <v>0</v>
      </c>
      <c r="X669" s="10">
        <f>data_redis_illX!L602</f>
        <v>0</v>
      </c>
      <c r="Y669" s="5">
        <f t="shared" si="10"/>
        <v>0</v>
      </c>
    </row>
    <row r="670" spans="1:25" x14ac:dyDescent="0.25">
      <c r="C670" t="s">
        <v>16</v>
      </c>
      <c r="D670">
        <f t="array" ref="D670:K670">(Q1394:Y1394*AE$4:AE$11+Q1757:Y1757*AF$4:AF$11+Q2120:Y2120*AG$4:AG$11)</f>
        <v>0</v>
      </c>
      <c r="E670">
        <v>0</v>
      </c>
      <c r="F670">
        <v>0.26229121527154953</v>
      </c>
      <c r="G670">
        <v>3.083457922623228E-2</v>
      </c>
      <c r="H670">
        <v>0</v>
      </c>
      <c r="I670">
        <v>6.771150934960965E-2</v>
      </c>
      <c r="J670">
        <v>0</v>
      </c>
      <c r="K670">
        <v>0</v>
      </c>
      <c r="P670" s="2" t="s">
        <v>18</v>
      </c>
      <c r="Q670" s="10">
        <f>data_redis_illX!E603</f>
        <v>0</v>
      </c>
      <c r="R670" s="10">
        <f>data_redis_illX!F603</f>
        <v>0</v>
      </c>
      <c r="S670" s="10">
        <f>data_redis_illX!G603</f>
        <v>0</v>
      </c>
      <c r="T670" s="10">
        <f>data_redis_illX!H603</f>
        <v>0</v>
      </c>
      <c r="U670" s="10">
        <f>data_redis_illX!I603</f>
        <v>0</v>
      </c>
      <c r="V670" s="10">
        <f>data_redis_illX!J603</f>
        <v>0</v>
      </c>
      <c r="W670" s="10">
        <f>data_redis_illX!K603</f>
        <v>0</v>
      </c>
      <c r="X670" s="10">
        <f>data_redis_illX!L603</f>
        <v>0</v>
      </c>
      <c r="Y670" s="5">
        <f t="shared" si="10"/>
        <v>0</v>
      </c>
    </row>
    <row r="671" spans="1:25" x14ac:dyDescent="0.25">
      <c r="C671" t="s">
        <v>17</v>
      </c>
      <c r="D671">
        <f t="array" ref="D671:K671">(Q1395:Y1395*AE$4:AE$11+Q1758:Y1758*AF$4:AF$11+Q2121:Y2121*AG$4:AG$11)</f>
        <v>0</v>
      </c>
      <c r="E671">
        <v>0</v>
      </c>
      <c r="F671">
        <v>0.26229121527154953</v>
      </c>
      <c r="G671">
        <v>3.083457922623228E-2</v>
      </c>
      <c r="H671">
        <v>0</v>
      </c>
      <c r="I671">
        <v>6.771150934960965E-2</v>
      </c>
      <c r="J671">
        <v>0</v>
      </c>
      <c r="K671">
        <v>0</v>
      </c>
      <c r="P671" s="2" t="s">
        <v>19</v>
      </c>
      <c r="Q671" s="10">
        <f>data_redis_illX!E604</f>
        <v>0</v>
      </c>
      <c r="R671" s="10">
        <f>data_redis_illX!F604</f>
        <v>0</v>
      </c>
      <c r="S671" s="10">
        <f>data_redis_illX!G604</f>
        <v>0</v>
      </c>
      <c r="T671" s="10">
        <f>data_redis_illX!H604</f>
        <v>0</v>
      </c>
      <c r="U671" s="10">
        <f>data_redis_illX!I604</f>
        <v>0</v>
      </c>
      <c r="V671" s="10">
        <f>data_redis_illX!J604</f>
        <v>0</v>
      </c>
      <c r="W671" s="10">
        <f>data_redis_illX!K604</f>
        <v>0</v>
      </c>
      <c r="X671" s="10">
        <f>data_redis_illX!L604</f>
        <v>0</v>
      </c>
      <c r="Y671" s="5">
        <f t="shared" si="10"/>
        <v>0</v>
      </c>
    </row>
    <row r="672" spans="1:25" x14ac:dyDescent="0.25">
      <c r="C672" t="s">
        <v>18</v>
      </c>
      <c r="D672">
        <f t="array" ref="D672:K672">(Q1396:Y1396*AE$4:AE$11+Q1759:Y1759*AF$4:AF$11+Q2122:Y2122*AG$4:AG$11)</f>
        <v>0</v>
      </c>
      <c r="E672">
        <v>0</v>
      </c>
      <c r="F672">
        <v>0.26229121527154953</v>
      </c>
      <c r="G672">
        <v>3.083457922623228E-2</v>
      </c>
      <c r="H672">
        <v>0</v>
      </c>
      <c r="I672">
        <v>6.771150934960965E-2</v>
      </c>
      <c r="J672">
        <v>0</v>
      </c>
      <c r="K672">
        <v>0</v>
      </c>
      <c r="P672" s="2" t="s">
        <v>20</v>
      </c>
      <c r="Q672" s="10">
        <f>data_redis_illX!E605</f>
        <v>0</v>
      </c>
      <c r="R672" s="10">
        <f>data_redis_illX!F605</f>
        <v>0</v>
      </c>
      <c r="S672" s="10">
        <f>data_redis_illX!G605</f>
        <v>0</v>
      </c>
      <c r="T672" s="10">
        <f>data_redis_illX!H605</f>
        <v>0</v>
      </c>
      <c r="U672" s="10">
        <f>data_redis_illX!I605</f>
        <v>0</v>
      </c>
      <c r="V672" s="10">
        <f>data_redis_illX!J605</f>
        <v>0</v>
      </c>
      <c r="W672" s="10">
        <f>data_redis_illX!K605</f>
        <v>0</v>
      </c>
      <c r="X672" s="10">
        <f>data_redis_illX!L605</f>
        <v>0</v>
      </c>
      <c r="Y672" s="5">
        <f t="shared" si="10"/>
        <v>0</v>
      </c>
    </row>
    <row r="673" spans="3:25" x14ac:dyDescent="0.25">
      <c r="C673" t="s">
        <v>19</v>
      </c>
      <c r="D673">
        <f t="array" ref="D673:K673">(Q1397:Y1397*AE$4:AE$11+Q1760:Y1760*AF$4:AF$11+Q2123:Y2123*AG$4:AG$11)</f>
        <v>0</v>
      </c>
      <c r="E673">
        <v>0</v>
      </c>
      <c r="F673">
        <v>0.26229121527154953</v>
      </c>
      <c r="G673">
        <v>3.083457922623228E-2</v>
      </c>
      <c r="H673">
        <v>0</v>
      </c>
      <c r="I673">
        <v>6.771150934960965E-2</v>
      </c>
      <c r="J673">
        <v>0</v>
      </c>
      <c r="K673">
        <v>0</v>
      </c>
      <c r="P673" s="2" t="s">
        <v>21</v>
      </c>
      <c r="Q673" s="10">
        <f>data_redis_illX!E606</f>
        <v>0</v>
      </c>
      <c r="R673" s="10">
        <f>data_redis_illX!F606</f>
        <v>0</v>
      </c>
      <c r="S673" s="10">
        <f>data_redis_illX!G606</f>
        <v>0</v>
      </c>
      <c r="T673" s="10">
        <f>data_redis_illX!H606</f>
        <v>0</v>
      </c>
      <c r="U673" s="10">
        <f>data_redis_illX!I606</f>
        <v>0</v>
      </c>
      <c r="V673" s="10">
        <f>data_redis_illX!J606</f>
        <v>0</v>
      </c>
      <c r="W673" s="10">
        <f>data_redis_illX!K606</f>
        <v>0</v>
      </c>
      <c r="X673" s="10">
        <f>data_redis_illX!L606</f>
        <v>0</v>
      </c>
      <c r="Y673" s="5">
        <f t="shared" si="10"/>
        <v>0</v>
      </c>
    </row>
    <row r="674" spans="3:25" x14ac:dyDescent="0.25">
      <c r="C674" t="s">
        <v>20</v>
      </c>
      <c r="D674">
        <f t="array" ref="D674:K674">(Q1398:Y1398*AE$4:AE$11+Q1761:Y1761*AF$4:AF$11+Q2124:Y2124*AG$4:AG$11)</f>
        <v>0</v>
      </c>
      <c r="E674">
        <v>0</v>
      </c>
      <c r="F674">
        <v>0.26229121527154953</v>
      </c>
      <c r="G674">
        <v>3.083457922623228E-2</v>
      </c>
      <c r="H674">
        <v>0</v>
      </c>
      <c r="I674">
        <v>6.771150934960965E-2</v>
      </c>
      <c r="J674">
        <v>0</v>
      </c>
      <c r="K674">
        <v>0</v>
      </c>
      <c r="P674" s="2" t="s">
        <v>22</v>
      </c>
      <c r="Q674" s="10">
        <f>data_redis_illX!E607</f>
        <v>0</v>
      </c>
      <c r="R674" s="10">
        <f>data_redis_illX!F607</f>
        <v>0</v>
      </c>
      <c r="S674" s="10">
        <f>data_redis_illX!G607</f>
        <v>0</v>
      </c>
      <c r="T674" s="10">
        <f>data_redis_illX!H607</f>
        <v>0</v>
      </c>
      <c r="U674" s="10">
        <f>data_redis_illX!I607</f>
        <v>0</v>
      </c>
      <c r="V674" s="10">
        <f>data_redis_illX!J607</f>
        <v>0</v>
      </c>
      <c r="W674" s="10">
        <f>data_redis_illX!K607</f>
        <v>0</v>
      </c>
      <c r="X674" s="10">
        <f>data_redis_illX!L607</f>
        <v>0</v>
      </c>
      <c r="Y674" s="5">
        <f t="shared" si="10"/>
        <v>0</v>
      </c>
    </row>
    <row r="675" spans="3:25" x14ac:dyDescent="0.25">
      <c r="C675" t="s">
        <v>21</v>
      </c>
      <c r="D675">
        <f t="array" ref="D675:K675">(Q1399:Y1399*AE$4:AE$11+Q1762:Y1762*AF$4:AF$11+Q2125:Y2125*AG$4:AG$11)</f>
        <v>0</v>
      </c>
      <c r="E675">
        <v>0</v>
      </c>
      <c r="F675">
        <v>0.26229121527154953</v>
      </c>
      <c r="G675">
        <v>3.083457922623228E-2</v>
      </c>
      <c r="H675">
        <v>0</v>
      </c>
      <c r="I675">
        <v>6.771150934960965E-2</v>
      </c>
      <c r="J675">
        <v>0</v>
      </c>
      <c r="K675">
        <v>0</v>
      </c>
      <c r="P675" s="2" t="s">
        <v>23</v>
      </c>
      <c r="Q675" s="10">
        <f>data_redis_illX!E608</f>
        <v>0</v>
      </c>
      <c r="R675" s="10">
        <f>data_redis_illX!F608</f>
        <v>0</v>
      </c>
      <c r="S675" s="10">
        <f>data_redis_illX!G608</f>
        <v>0</v>
      </c>
      <c r="T675" s="10">
        <f>data_redis_illX!H608</f>
        <v>0</v>
      </c>
      <c r="U675" s="10">
        <f>data_redis_illX!I608</f>
        <v>0</v>
      </c>
      <c r="V675" s="10">
        <f>data_redis_illX!J608</f>
        <v>0</v>
      </c>
      <c r="W675" s="10">
        <f>data_redis_illX!K608</f>
        <v>0</v>
      </c>
      <c r="X675" s="10">
        <f>data_redis_illX!L608</f>
        <v>0</v>
      </c>
      <c r="Y675" s="5">
        <f t="shared" si="10"/>
        <v>0</v>
      </c>
    </row>
    <row r="676" spans="3:25" x14ac:dyDescent="0.25">
      <c r="C676" t="s">
        <v>22</v>
      </c>
      <c r="D676">
        <f t="array" ref="D676:K676">(Q1400:Y1400*AE$4:AE$11+Q1763:Y1763*AF$4:AF$11+Q2126:Y2126*AG$4:AG$11)</f>
        <v>0</v>
      </c>
      <c r="E676">
        <v>0</v>
      </c>
      <c r="F676">
        <v>0.26229121527154953</v>
      </c>
      <c r="G676">
        <v>3.083457922623228E-2</v>
      </c>
      <c r="H676">
        <v>0</v>
      </c>
      <c r="I676">
        <v>6.771150934960965E-2</v>
      </c>
      <c r="J676">
        <v>0</v>
      </c>
      <c r="K676">
        <v>0</v>
      </c>
      <c r="P676" s="2" t="s">
        <v>24</v>
      </c>
      <c r="Q676" s="10">
        <f>data_redis_illX!E609</f>
        <v>0</v>
      </c>
      <c r="R676" s="10">
        <f>data_redis_illX!F609</f>
        <v>0</v>
      </c>
      <c r="S676" s="10">
        <f>data_redis_illX!G609</f>
        <v>0</v>
      </c>
      <c r="T676" s="10">
        <f>data_redis_illX!H609</f>
        <v>0</v>
      </c>
      <c r="U676" s="10">
        <f>data_redis_illX!I609</f>
        <v>0</v>
      </c>
      <c r="V676" s="10">
        <f>data_redis_illX!J609</f>
        <v>0</v>
      </c>
      <c r="W676" s="10">
        <f>data_redis_illX!K609</f>
        <v>0</v>
      </c>
      <c r="X676" s="10">
        <f>data_redis_illX!L609</f>
        <v>0</v>
      </c>
      <c r="Y676" s="5">
        <f t="shared" si="10"/>
        <v>0</v>
      </c>
    </row>
    <row r="677" spans="3:25" x14ac:dyDescent="0.25">
      <c r="C677" t="s">
        <v>23</v>
      </c>
      <c r="D677">
        <f t="array" ref="D677:K677">(Q1401:Y1401*AE$4:AE$11+Q1764:Y1764*AF$4:AF$11+Q2127:Y2127*AG$4:AG$11)</f>
        <v>0</v>
      </c>
      <c r="E677">
        <v>0</v>
      </c>
      <c r="F677">
        <v>0.26229121527154953</v>
      </c>
      <c r="G677">
        <v>3.083457922623228E-2</v>
      </c>
      <c r="H677">
        <v>0</v>
      </c>
      <c r="I677">
        <v>6.771150934960965E-2</v>
      </c>
      <c r="J677">
        <v>0</v>
      </c>
      <c r="K677">
        <v>0</v>
      </c>
      <c r="P677" s="2" t="s">
        <v>25</v>
      </c>
      <c r="Q677" s="10">
        <f>data_redis_illX!E610</f>
        <v>0</v>
      </c>
      <c r="R677" s="10">
        <f>data_redis_illX!F610</f>
        <v>0</v>
      </c>
      <c r="S677" s="10">
        <f>data_redis_illX!G610</f>
        <v>0</v>
      </c>
      <c r="T677" s="10">
        <f>data_redis_illX!H610</f>
        <v>0</v>
      </c>
      <c r="U677" s="10">
        <f>data_redis_illX!I610</f>
        <v>0</v>
      </c>
      <c r="V677" s="10">
        <f>data_redis_illX!J610</f>
        <v>0</v>
      </c>
      <c r="W677" s="10">
        <f>data_redis_illX!K610</f>
        <v>0</v>
      </c>
      <c r="X677" s="10">
        <f>data_redis_illX!L610</f>
        <v>0</v>
      </c>
      <c r="Y677" s="5">
        <f t="shared" si="10"/>
        <v>0</v>
      </c>
    </row>
    <row r="678" spans="3:25" x14ac:dyDescent="0.25">
      <c r="C678" t="s">
        <v>24</v>
      </c>
      <c r="D678">
        <f t="array" ref="D678:K678">(Q1402:Y1402*AE$4:AE$11+Q1765:Y1765*AF$4:AF$11+Q2128:Y2128*AG$4:AG$11)</f>
        <v>0</v>
      </c>
      <c r="E678">
        <v>0</v>
      </c>
      <c r="F678">
        <v>0.26229121527154953</v>
      </c>
      <c r="G678">
        <v>3.083457922623228E-2</v>
      </c>
      <c r="H678">
        <v>0</v>
      </c>
      <c r="I678">
        <v>6.771150934960965E-2</v>
      </c>
      <c r="J678">
        <v>0</v>
      </c>
      <c r="K678">
        <v>0</v>
      </c>
      <c r="P678" s="2" t="s">
        <v>26</v>
      </c>
      <c r="Q678" s="10">
        <f>data_redis_illX!E611</f>
        <v>0</v>
      </c>
      <c r="R678" s="10">
        <f>data_redis_illX!F611</f>
        <v>0</v>
      </c>
      <c r="S678" s="10">
        <f>data_redis_illX!G611</f>
        <v>0</v>
      </c>
      <c r="T678" s="10">
        <f>data_redis_illX!H611</f>
        <v>0</v>
      </c>
      <c r="U678" s="10">
        <f>data_redis_illX!I611</f>
        <v>0</v>
      </c>
      <c r="V678" s="10">
        <f>data_redis_illX!J611</f>
        <v>0</v>
      </c>
      <c r="W678" s="10">
        <f>data_redis_illX!K611</f>
        <v>0</v>
      </c>
      <c r="X678" s="10">
        <f>data_redis_illX!L611</f>
        <v>0</v>
      </c>
      <c r="Y678" s="5">
        <f t="shared" si="10"/>
        <v>0</v>
      </c>
    </row>
    <row r="679" spans="3:25" x14ac:dyDescent="0.25">
      <c r="C679" t="s">
        <v>25</v>
      </c>
      <c r="D679">
        <f t="array" ref="D679:K679">(Q1403:Y1403*AE$4:AE$11+Q1766:Y1766*AF$4:AF$11+Q2129:Y2129*AG$4:AG$11)</f>
        <v>0</v>
      </c>
      <c r="E679">
        <v>0</v>
      </c>
      <c r="F679">
        <v>0.26229121527154953</v>
      </c>
      <c r="G679">
        <v>3.083457922623228E-2</v>
      </c>
      <c r="H679">
        <v>0</v>
      </c>
      <c r="I679">
        <v>6.771150934960965E-2</v>
      </c>
      <c r="J679">
        <v>0</v>
      </c>
      <c r="K679">
        <v>0</v>
      </c>
      <c r="P679" s="2" t="s">
        <v>27</v>
      </c>
      <c r="Q679" s="10">
        <f>data_redis_illX!E612</f>
        <v>0</v>
      </c>
      <c r="R679" s="10">
        <f>data_redis_illX!F612</f>
        <v>0</v>
      </c>
      <c r="S679" s="10">
        <f>data_redis_illX!G612</f>
        <v>0</v>
      </c>
      <c r="T679" s="10">
        <f>data_redis_illX!H612</f>
        <v>0</v>
      </c>
      <c r="U679" s="10">
        <f>data_redis_illX!I612</f>
        <v>0</v>
      </c>
      <c r="V679" s="10">
        <f>data_redis_illX!J612</f>
        <v>0</v>
      </c>
      <c r="W679" s="10">
        <f>data_redis_illX!K612</f>
        <v>0</v>
      </c>
      <c r="X679" s="10">
        <f>data_redis_illX!L612</f>
        <v>0</v>
      </c>
      <c r="Y679" s="5">
        <f t="shared" si="10"/>
        <v>0</v>
      </c>
    </row>
    <row r="680" spans="3:25" x14ac:dyDescent="0.25">
      <c r="C680" t="s">
        <v>26</v>
      </c>
      <c r="D680">
        <f t="array" ref="D680:K680">(Q1404:Y1404*AE$4:AE$11+Q1767:Y1767*AF$4:AF$11+Q2130:Y2130*AG$4:AG$11)</f>
        <v>0</v>
      </c>
      <c r="E680">
        <v>0</v>
      </c>
      <c r="F680">
        <v>0.26229121527154953</v>
      </c>
      <c r="G680">
        <v>3.083457922623228E-2</v>
      </c>
      <c r="H680">
        <v>0</v>
      </c>
      <c r="I680">
        <v>6.771150934960965E-2</v>
      </c>
      <c r="J680">
        <v>0</v>
      </c>
      <c r="K680">
        <v>0</v>
      </c>
      <c r="P680" s="2" t="s">
        <v>28</v>
      </c>
      <c r="Q680" s="10">
        <f>data_redis_illX!E613</f>
        <v>0</v>
      </c>
      <c r="R680" s="10">
        <f>data_redis_illX!F613</f>
        <v>0</v>
      </c>
      <c r="S680" s="10">
        <f>data_redis_illX!G613</f>
        <v>0</v>
      </c>
      <c r="T680" s="10">
        <f>data_redis_illX!H613</f>
        <v>0</v>
      </c>
      <c r="U680" s="10">
        <f>data_redis_illX!I613</f>
        <v>0</v>
      </c>
      <c r="V680" s="10">
        <f>data_redis_illX!J613</f>
        <v>0</v>
      </c>
      <c r="W680" s="10">
        <f>data_redis_illX!K613</f>
        <v>0</v>
      </c>
      <c r="X680" s="10">
        <f>data_redis_illX!L613</f>
        <v>0</v>
      </c>
      <c r="Y680" s="5">
        <f t="shared" si="10"/>
        <v>0</v>
      </c>
    </row>
    <row r="681" spans="3:25" x14ac:dyDescent="0.25">
      <c r="C681" t="s">
        <v>27</v>
      </c>
      <c r="D681">
        <f t="array" ref="D681:K681">(Q1405:Y1405*AE$4:AE$11+Q1768:Y1768*AF$4:AF$11+Q2131:Y2131*AG$4:AG$11)</f>
        <v>0</v>
      </c>
      <c r="E681">
        <v>0</v>
      </c>
      <c r="F681">
        <v>0.26229121527154953</v>
      </c>
      <c r="G681">
        <v>3.083457922623228E-2</v>
      </c>
      <c r="H681">
        <v>0</v>
      </c>
      <c r="I681">
        <v>6.771150934960965E-2</v>
      </c>
      <c r="J681">
        <v>0</v>
      </c>
      <c r="K681">
        <v>0</v>
      </c>
      <c r="P681" s="2" t="s">
        <v>29</v>
      </c>
      <c r="Q681" s="10">
        <f>data_redis_illX!E614</f>
        <v>0</v>
      </c>
      <c r="R681" s="10">
        <f>data_redis_illX!F614</f>
        <v>0</v>
      </c>
      <c r="S681" s="10">
        <f>data_redis_illX!G614</f>
        <v>0</v>
      </c>
      <c r="T681" s="10">
        <f>data_redis_illX!H614</f>
        <v>0</v>
      </c>
      <c r="U681" s="10">
        <f>data_redis_illX!I614</f>
        <v>0</v>
      </c>
      <c r="V681" s="10">
        <f>data_redis_illX!J614</f>
        <v>0</v>
      </c>
      <c r="W681" s="10">
        <f>data_redis_illX!K614</f>
        <v>0</v>
      </c>
      <c r="X681" s="10">
        <f>data_redis_illX!L614</f>
        <v>0</v>
      </c>
      <c r="Y681" s="5">
        <f t="shared" si="10"/>
        <v>0</v>
      </c>
    </row>
    <row r="682" spans="3:25" x14ac:dyDescent="0.25">
      <c r="C682" t="s">
        <v>28</v>
      </c>
      <c r="D682">
        <f t="array" ref="D682:K682">(Q1406:Y1406*AE$4:AE$11+Q1769:Y1769*AF$4:AF$11+Q2132:Y2132*AG$4:AG$11)</f>
        <v>0</v>
      </c>
      <c r="E682">
        <v>0</v>
      </c>
      <c r="F682">
        <v>1.2762146609552933</v>
      </c>
      <c r="G682">
        <v>3.083457922623228E-2</v>
      </c>
      <c r="H682">
        <v>3.0522654157453806</v>
      </c>
      <c r="I682">
        <v>6.771150934960965E-2</v>
      </c>
      <c r="J682">
        <v>0</v>
      </c>
      <c r="K682">
        <v>0</v>
      </c>
      <c r="P682" s="2" t="s">
        <v>30</v>
      </c>
      <c r="Q682" s="10">
        <f>data_redis_illX!E615</f>
        <v>0</v>
      </c>
      <c r="R682" s="10">
        <f>data_redis_illX!F615</f>
        <v>0</v>
      </c>
      <c r="S682" s="10">
        <f>data_redis_illX!G615</f>
        <v>0</v>
      </c>
      <c r="T682" s="10">
        <f>data_redis_illX!H615</f>
        <v>0</v>
      </c>
      <c r="U682" s="10">
        <f>data_redis_illX!I615</f>
        <v>0</v>
      </c>
      <c r="V682" s="10">
        <f>data_redis_illX!J615</f>
        <v>0</v>
      </c>
      <c r="W682" s="10">
        <f>data_redis_illX!K615</f>
        <v>0</v>
      </c>
      <c r="X682" s="10">
        <f>data_redis_illX!L615</f>
        <v>0</v>
      </c>
      <c r="Y682" s="5">
        <f t="shared" si="10"/>
        <v>0</v>
      </c>
    </row>
    <row r="683" spans="3:25" x14ac:dyDescent="0.25">
      <c r="C683" t="s">
        <v>29</v>
      </c>
      <c r="D683">
        <f t="array" ref="D683:K683">(Q1407:Y1407*AE$4:AE$11+Q1770:Y1770*AF$4:AF$11+Q2133:Y2133*AG$4:AG$11)</f>
        <v>0</v>
      </c>
      <c r="E683">
        <v>0</v>
      </c>
      <c r="F683">
        <v>0.26229121527154953</v>
      </c>
      <c r="G683">
        <v>3.083457922623228E-2</v>
      </c>
      <c r="H683">
        <v>0</v>
      </c>
      <c r="I683">
        <v>6.771150934960965E-2</v>
      </c>
      <c r="J683">
        <v>0</v>
      </c>
      <c r="K683">
        <v>0</v>
      </c>
      <c r="P683" s="2" t="s">
        <v>31</v>
      </c>
      <c r="Q683" s="10">
        <f>data_redis_illX!E616</f>
        <v>0</v>
      </c>
      <c r="R683" s="10">
        <f>data_redis_illX!F616</f>
        <v>0</v>
      </c>
      <c r="S683" s="10">
        <f>data_redis_illX!G616</f>
        <v>0</v>
      </c>
      <c r="T683" s="10">
        <f>data_redis_illX!H616</f>
        <v>0</v>
      </c>
      <c r="U683" s="10">
        <f>data_redis_illX!I616</f>
        <v>0</v>
      </c>
      <c r="V683" s="10">
        <f>data_redis_illX!J616</f>
        <v>0</v>
      </c>
      <c r="W683" s="10">
        <f>data_redis_illX!K616</f>
        <v>0</v>
      </c>
      <c r="X683" s="10">
        <f>data_redis_illX!L616</f>
        <v>0</v>
      </c>
      <c r="Y683" s="5">
        <f t="shared" si="10"/>
        <v>0</v>
      </c>
    </row>
    <row r="684" spans="3:25" x14ac:dyDescent="0.25">
      <c r="C684" t="s">
        <v>30</v>
      </c>
      <c r="D684">
        <f t="array" ref="D684:K684">(Q1408:Y1408*AE$4:AE$11+Q1771:Y1771*AF$4:AF$11+Q2134:Y2134*AG$4:AG$11)</f>
        <v>0</v>
      </c>
      <c r="E684">
        <v>0</v>
      </c>
      <c r="F684">
        <v>0.26229121527154953</v>
      </c>
      <c r="G684">
        <v>3.083457922623228E-2</v>
      </c>
      <c r="H684">
        <v>0</v>
      </c>
      <c r="I684">
        <v>6.771150934960965E-2</v>
      </c>
      <c r="J684">
        <v>0</v>
      </c>
      <c r="K684">
        <v>0</v>
      </c>
      <c r="P684" s="2" t="s">
        <v>32</v>
      </c>
      <c r="Q684" s="10">
        <f>data_redis_illX!E617</f>
        <v>0</v>
      </c>
      <c r="R684" s="10">
        <f>data_redis_illX!F617</f>
        <v>0</v>
      </c>
      <c r="S684" s="10">
        <f>data_redis_illX!G617</f>
        <v>0</v>
      </c>
      <c r="T684" s="10">
        <f>data_redis_illX!H617</f>
        <v>0</v>
      </c>
      <c r="U684" s="10">
        <f>data_redis_illX!I617</f>
        <v>0</v>
      </c>
      <c r="V684" s="10">
        <f>data_redis_illX!J617</f>
        <v>0</v>
      </c>
      <c r="W684" s="10">
        <f>data_redis_illX!K617</f>
        <v>0</v>
      </c>
      <c r="X684" s="10">
        <f>data_redis_illX!L617</f>
        <v>0</v>
      </c>
      <c r="Y684" s="5">
        <f t="shared" si="10"/>
        <v>0</v>
      </c>
    </row>
    <row r="685" spans="3:25" x14ac:dyDescent="0.25">
      <c r="C685" t="s">
        <v>31</v>
      </c>
      <c r="D685">
        <f t="array" ref="D685:K685">(Q1409:Y1409*AE$4:AE$11+Q1772:Y1772*AF$4:AF$11+Q2135:Y2135*AG$4:AG$11)</f>
        <v>0</v>
      </c>
      <c r="E685">
        <v>0</v>
      </c>
      <c r="F685">
        <v>0.26229121527154953</v>
      </c>
      <c r="G685">
        <v>3.083457922623228E-2</v>
      </c>
      <c r="H685">
        <v>0</v>
      </c>
      <c r="I685">
        <v>6.771150934960965E-2</v>
      </c>
      <c r="J685">
        <v>0</v>
      </c>
      <c r="K685">
        <v>0</v>
      </c>
      <c r="P685" s="2" t="s">
        <v>33</v>
      </c>
      <c r="Q685" s="10">
        <f>data_redis_illX!E618</f>
        <v>0</v>
      </c>
      <c r="R685" s="10">
        <f>data_redis_illX!F618</f>
        <v>0</v>
      </c>
      <c r="S685" s="10">
        <f>data_redis_illX!G618</f>
        <v>0</v>
      </c>
      <c r="T685" s="10">
        <f>data_redis_illX!H618</f>
        <v>0</v>
      </c>
      <c r="U685" s="10">
        <f>data_redis_illX!I618</f>
        <v>0</v>
      </c>
      <c r="V685" s="10">
        <f>data_redis_illX!J618</f>
        <v>0</v>
      </c>
      <c r="W685" s="10">
        <f>data_redis_illX!K618</f>
        <v>0</v>
      </c>
      <c r="X685" s="10">
        <f>data_redis_illX!L618</f>
        <v>0</v>
      </c>
      <c r="Y685" s="5">
        <f t="shared" si="10"/>
        <v>0</v>
      </c>
    </row>
    <row r="686" spans="3:25" x14ac:dyDescent="0.25">
      <c r="C686" t="s">
        <v>32</v>
      </c>
      <c r="D686">
        <f t="array" ref="D686:K686">(Q1410:Y1410*AE$4:AE$11+Q1773:Y1773*AF$4:AF$11+Q2136:Y2136*AG$4:AG$11)</f>
        <v>0</v>
      </c>
      <c r="E686">
        <v>0</v>
      </c>
      <c r="F686">
        <v>0.26229121527154953</v>
      </c>
      <c r="G686">
        <v>3.083457922623228E-2</v>
      </c>
      <c r="H686">
        <v>0</v>
      </c>
      <c r="I686">
        <v>6.771150934960965E-2</v>
      </c>
      <c r="J686">
        <v>0</v>
      </c>
      <c r="K686">
        <v>0</v>
      </c>
      <c r="P686" s="2" t="s">
        <v>34</v>
      </c>
      <c r="Q686" s="10">
        <f>data_redis_illX!E619</f>
        <v>0</v>
      </c>
      <c r="R686" s="10">
        <f>data_redis_illX!F619</f>
        <v>0</v>
      </c>
      <c r="S686" s="10">
        <f>data_redis_illX!G619</f>
        <v>0</v>
      </c>
      <c r="T686" s="10">
        <f>data_redis_illX!H619</f>
        <v>0</v>
      </c>
      <c r="U686" s="10">
        <f>data_redis_illX!I619</f>
        <v>0</v>
      </c>
      <c r="V686" s="10">
        <f>data_redis_illX!J619</f>
        <v>0</v>
      </c>
      <c r="W686" s="10">
        <f>data_redis_illX!K619</f>
        <v>0</v>
      </c>
      <c r="X686" s="10">
        <f>data_redis_illX!L619</f>
        <v>0</v>
      </c>
      <c r="Y686" s="5">
        <f t="shared" si="10"/>
        <v>0</v>
      </c>
    </row>
    <row r="687" spans="3:25" x14ac:dyDescent="0.25">
      <c r="C687" t="s">
        <v>33</v>
      </c>
      <c r="D687">
        <f t="array" ref="D687:K687">(Q1411:Y1411*AE$4:AE$11+Q1774:Y1774*AF$4:AF$11+Q2137:Y2137*AG$4:AG$11)</f>
        <v>0</v>
      </c>
      <c r="E687">
        <v>0</v>
      </c>
      <c r="F687">
        <v>0.26229121527154953</v>
      </c>
      <c r="G687">
        <v>3.083457922623228E-2</v>
      </c>
      <c r="H687">
        <v>0</v>
      </c>
      <c r="I687">
        <v>6.771150934960965E-2</v>
      </c>
      <c r="J687">
        <v>0</v>
      </c>
      <c r="K687">
        <v>0</v>
      </c>
      <c r="P687" s="2" t="s">
        <v>35</v>
      </c>
      <c r="Q687" s="10">
        <f>data_redis_illX!E620</f>
        <v>0</v>
      </c>
      <c r="R687" s="10">
        <f>data_redis_illX!F620</f>
        <v>0</v>
      </c>
      <c r="S687" s="10">
        <f>data_redis_illX!G620</f>
        <v>0</v>
      </c>
      <c r="T687" s="10">
        <f>data_redis_illX!H620</f>
        <v>0</v>
      </c>
      <c r="U687" s="10">
        <f>data_redis_illX!I620</f>
        <v>0</v>
      </c>
      <c r="V687" s="10">
        <f>data_redis_illX!J620</f>
        <v>0</v>
      </c>
      <c r="W687" s="10">
        <f>data_redis_illX!K620</f>
        <v>0</v>
      </c>
      <c r="X687" s="10">
        <f>data_redis_illX!L620</f>
        <v>0</v>
      </c>
      <c r="Y687" s="5">
        <f t="shared" si="10"/>
        <v>0</v>
      </c>
    </row>
    <row r="688" spans="3:25" x14ac:dyDescent="0.25">
      <c r="C688" t="s">
        <v>34</v>
      </c>
      <c r="D688">
        <f t="array" ref="D688:K688">(Q1412:Y1412*AE$4:AE$11+Q1775:Y1775*AF$4:AF$11+Q2138:Y2138*AG$4:AG$11)</f>
        <v>0</v>
      </c>
      <c r="E688">
        <v>0</v>
      </c>
      <c r="F688">
        <v>0.26229121527154953</v>
      </c>
      <c r="G688">
        <v>3.083457922623228E-2</v>
      </c>
      <c r="H688">
        <v>0</v>
      </c>
      <c r="I688">
        <v>6.771150934960965E-2</v>
      </c>
      <c r="J688">
        <v>0</v>
      </c>
      <c r="K688">
        <v>0</v>
      </c>
      <c r="P688" s="2" t="s">
        <v>36</v>
      </c>
      <c r="Q688" s="10">
        <f>data_redis_illX!E621</f>
        <v>0</v>
      </c>
      <c r="R688" s="10">
        <f>data_redis_illX!F621</f>
        <v>0</v>
      </c>
      <c r="S688" s="10">
        <f>data_redis_illX!G621</f>
        <v>0</v>
      </c>
      <c r="T688" s="10">
        <f>data_redis_illX!H621</f>
        <v>0</v>
      </c>
      <c r="U688" s="10">
        <f>data_redis_illX!I621</f>
        <v>0</v>
      </c>
      <c r="V688" s="10">
        <f>data_redis_illX!J621</f>
        <v>0</v>
      </c>
      <c r="W688" s="10">
        <f>data_redis_illX!K621</f>
        <v>0</v>
      </c>
      <c r="X688" s="10">
        <f>data_redis_illX!L621</f>
        <v>0</v>
      </c>
      <c r="Y688" s="5">
        <f t="shared" si="10"/>
        <v>0</v>
      </c>
    </row>
    <row r="689" spans="1:25" x14ac:dyDescent="0.25">
      <c r="C689" t="s">
        <v>35</v>
      </c>
      <c r="D689">
        <f t="array" ref="D689:K689">(Q1413:Y1413*AE$4:AE$11+Q1776:Y1776*AF$4:AF$11+Q2139:Y2139*AG$4:AG$11)</f>
        <v>0</v>
      </c>
      <c r="E689">
        <v>0</v>
      </c>
      <c r="F689">
        <v>0.26229121527154953</v>
      </c>
      <c r="G689">
        <v>3.083457922623228E-2</v>
      </c>
      <c r="H689">
        <v>0</v>
      </c>
      <c r="I689">
        <v>6.771150934960965E-2</v>
      </c>
      <c r="J689">
        <v>0</v>
      </c>
      <c r="K689">
        <v>0</v>
      </c>
      <c r="P689" s="2" t="s">
        <v>37</v>
      </c>
      <c r="Q689" s="10">
        <f>data_redis_illX!E622</f>
        <v>0</v>
      </c>
      <c r="R689" s="10">
        <f>data_redis_illX!F622</f>
        <v>0</v>
      </c>
      <c r="S689" s="10">
        <f>data_redis_illX!G622</f>
        <v>0</v>
      </c>
      <c r="T689" s="10">
        <f>data_redis_illX!H622</f>
        <v>0</v>
      </c>
      <c r="U689" s="10">
        <f>data_redis_illX!I622</f>
        <v>0</v>
      </c>
      <c r="V689" s="10">
        <f>data_redis_illX!J622</f>
        <v>0</v>
      </c>
      <c r="W689" s="10">
        <f>data_redis_illX!K622</f>
        <v>0</v>
      </c>
      <c r="X689" s="10">
        <f>data_redis_illX!L622</f>
        <v>0</v>
      </c>
      <c r="Y689" s="5">
        <f t="shared" si="10"/>
        <v>0</v>
      </c>
    </row>
    <row r="690" spans="1:25" x14ac:dyDescent="0.25">
      <c r="C690" t="s">
        <v>36</v>
      </c>
      <c r="D690">
        <f t="array" ref="D690:K690">(Q1414:Y1414*AE$4:AE$11+Q1777:Y1777*AF$4:AF$11+Q2140:Y2140*AG$4:AG$11)</f>
        <v>0</v>
      </c>
      <c r="E690">
        <v>0</v>
      </c>
      <c r="F690">
        <v>0.26229121527154953</v>
      </c>
      <c r="G690">
        <v>3.083457922623228E-2</v>
      </c>
      <c r="H690">
        <v>0</v>
      </c>
      <c r="I690">
        <v>6.771150934960965E-2</v>
      </c>
      <c r="J690">
        <v>0</v>
      </c>
      <c r="K690">
        <v>0</v>
      </c>
      <c r="P690" s="2" t="s">
        <v>38</v>
      </c>
      <c r="Q690" s="10">
        <f>data_redis_illX!E623</f>
        <v>0</v>
      </c>
      <c r="R690" s="10">
        <f>data_redis_illX!F623</f>
        <v>0</v>
      </c>
      <c r="S690" s="10">
        <f>data_redis_illX!G623</f>
        <v>0</v>
      </c>
      <c r="T690" s="10">
        <f>data_redis_illX!H623</f>
        <v>0</v>
      </c>
      <c r="U690" s="10">
        <f>data_redis_illX!I623</f>
        <v>0</v>
      </c>
      <c r="V690" s="10">
        <f>data_redis_illX!J623</f>
        <v>0</v>
      </c>
      <c r="W690" s="10">
        <f>data_redis_illX!K623</f>
        <v>0</v>
      </c>
      <c r="X690" s="10">
        <f>data_redis_illX!L623</f>
        <v>0</v>
      </c>
      <c r="Y690" s="5">
        <f t="shared" si="10"/>
        <v>0</v>
      </c>
    </row>
    <row r="691" spans="1:25" x14ac:dyDescent="0.25">
      <c r="C691" t="s">
        <v>37</v>
      </c>
      <c r="D691">
        <f t="array" ref="D691:K691">(Q1415:Y1415*AE$4:AE$11+Q1778:Y1778*AF$4:AF$11+Q2141:Y2141*AG$4:AG$11)</f>
        <v>0</v>
      </c>
      <c r="E691">
        <v>0</v>
      </c>
      <c r="F691">
        <v>0.26229121527154953</v>
      </c>
      <c r="G691">
        <v>3.083457922623228E-2</v>
      </c>
      <c r="H691">
        <v>0</v>
      </c>
      <c r="I691">
        <v>6.771150934960965E-2</v>
      </c>
      <c r="J691">
        <v>0</v>
      </c>
      <c r="K691">
        <v>0</v>
      </c>
      <c r="P691" s="2" t="s">
        <v>39</v>
      </c>
      <c r="Q691" s="10">
        <f>data_redis_illX!E624</f>
        <v>0</v>
      </c>
      <c r="R691" s="10">
        <f>data_redis_illX!F624</f>
        <v>0</v>
      </c>
      <c r="S691" s="10">
        <f>data_redis_illX!G624</f>
        <v>0</v>
      </c>
      <c r="T691" s="10">
        <f>data_redis_illX!H624</f>
        <v>0</v>
      </c>
      <c r="U691" s="10">
        <f>data_redis_illX!I624</f>
        <v>0</v>
      </c>
      <c r="V691" s="10">
        <f>data_redis_illX!J624</f>
        <v>0</v>
      </c>
      <c r="W691" s="10">
        <f>data_redis_illX!K624</f>
        <v>0</v>
      </c>
      <c r="X691" s="10">
        <f>data_redis_illX!L624</f>
        <v>0</v>
      </c>
      <c r="Y691" s="5">
        <f t="shared" si="10"/>
        <v>0</v>
      </c>
    </row>
    <row r="692" spans="1:25" x14ac:dyDescent="0.25">
      <c r="C692" t="s">
        <v>38</v>
      </c>
      <c r="D692">
        <f t="array" ref="D692:K692">(Q1416:Y1416*AE$4:AE$11+Q1779:Y1779*AF$4:AF$11+Q2142:Y2142*AG$4:AG$11)</f>
        <v>0</v>
      </c>
      <c r="E692">
        <v>0</v>
      </c>
      <c r="F692">
        <v>0.26229121527154953</v>
      </c>
      <c r="G692">
        <v>3.083457922623228E-2</v>
      </c>
      <c r="H692">
        <v>0</v>
      </c>
      <c r="I692">
        <v>6.771150934960965E-2</v>
      </c>
      <c r="J692">
        <v>0</v>
      </c>
      <c r="K692">
        <v>0</v>
      </c>
      <c r="P692" s="2" t="s">
        <v>40</v>
      </c>
      <c r="Q692" s="10">
        <f>data_redis_illX!E625</f>
        <v>0</v>
      </c>
      <c r="R692" s="10">
        <f>data_redis_illX!F625</f>
        <v>0</v>
      </c>
      <c r="S692" s="10">
        <f>data_redis_illX!G625</f>
        <v>0</v>
      </c>
      <c r="T692" s="10">
        <f>data_redis_illX!H625</f>
        <v>0</v>
      </c>
      <c r="U692" s="10">
        <f>data_redis_illX!I625</f>
        <v>0</v>
      </c>
      <c r="V692" s="10">
        <f>data_redis_illX!J625</f>
        <v>0</v>
      </c>
      <c r="W692" s="10">
        <f>data_redis_illX!K625</f>
        <v>0</v>
      </c>
      <c r="X692" s="10">
        <f>data_redis_illX!L625</f>
        <v>0</v>
      </c>
      <c r="Y692" s="5">
        <f t="shared" si="10"/>
        <v>0</v>
      </c>
    </row>
    <row r="693" spans="1:25" x14ac:dyDescent="0.25">
      <c r="C693" t="s">
        <v>39</v>
      </c>
      <c r="D693">
        <f t="array" ref="D693:K693">(Q1417:Y1417*AE$4:AE$11+Q1780:Y1780*AF$4:AF$11+Q2143:Y2143*AG$4:AG$11)</f>
        <v>0</v>
      </c>
      <c r="E693">
        <v>0</v>
      </c>
      <c r="F693">
        <v>0.26229121527154953</v>
      </c>
      <c r="G693">
        <v>3.083457922623228E-2</v>
      </c>
      <c r="H693">
        <v>0</v>
      </c>
      <c r="I693">
        <v>6.771150934960965E-2</v>
      </c>
      <c r="J693">
        <v>0</v>
      </c>
      <c r="K693">
        <v>0</v>
      </c>
      <c r="P693" s="2" t="s">
        <v>41</v>
      </c>
      <c r="Q693" s="10">
        <f>data_redis_illX!E626</f>
        <v>0</v>
      </c>
      <c r="R693" s="10">
        <f>data_redis_illX!F626</f>
        <v>0</v>
      </c>
      <c r="S693" s="10">
        <f>data_redis_illX!G626</f>
        <v>0</v>
      </c>
      <c r="T693" s="10">
        <f>data_redis_illX!H626</f>
        <v>0</v>
      </c>
      <c r="U693" s="10">
        <f>data_redis_illX!I626</f>
        <v>0</v>
      </c>
      <c r="V693" s="10">
        <f>data_redis_illX!J626</f>
        <v>0</v>
      </c>
      <c r="W693" s="10">
        <f>data_redis_illX!K626</f>
        <v>0</v>
      </c>
      <c r="X693" s="10">
        <f>data_redis_illX!L626</f>
        <v>0</v>
      </c>
      <c r="Y693" s="5">
        <f t="shared" si="10"/>
        <v>0</v>
      </c>
    </row>
    <row r="694" spans="1:25" x14ac:dyDescent="0.25">
      <c r="C694" t="s">
        <v>40</v>
      </c>
      <c r="D694">
        <f t="array" ref="D694:K694">(Q1418:Y1418*AE$4:AE$11+Q1781:Y1781*AF$4:AF$11+Q2144:Y2144*AG$4:AG$11)</f>
        <v>0</v>
      </c>
      <c r="E694">
        <v>0</v>
      </c>
      <c r="F694">
        <v>0.26229121527154953</v>
      </c>
      <c r="G694">
        <v>3.083457922623228E-2</v>
      </c>
      <c r="H694">
        <v>0</v>
      </c>
      <c r="I694">
        <v>6.771150934960965E-2</v>
      </c>
      <c r="J694">
        <v>0</v>
      </c>
      <c r="K694">
        <v>0</v>
      </c>
      <c r="P694" s="2" t="s">
        <v>42</v>
      </c>
      <c r="Q694" s="10">
        <f>data_redis_illX!E627</f>
        <v>0</v>
      </c>
      <c r="R694" s="10">
        <f>data_redis_illX!F627</f>
        <v>0</v>
      </c>
      <c r="S694" s="10">
        <f>data_redis_illX!G627</f>
        <v>0</v>
      </c>
      <c r="T694" s="10">
        <f>data_redis_illX!H627</f>
        <v>0</v>
      </c>
      <c r="U694" s="10">
        <f>data_redis_illX!I627</f>
        <v>0</v>
      </c>
      <c r="V694" s="10">
        <f>data_redis_illX!J627</f>
        <v>0</v>
      </c>
      <c r="W694" s="10">
        <f>data_redis_illX!K627</f>
        <v>0</v>
      </c>
      <c r="X694" s="10">
        <f>data_redis_illX!L627</f>
        <v>0</v>
      </c>
      <c r="Y694" s="5">
        <f t="shared" si="10"/>
        <v>0</v>
      </c>
    </row>
    <row r="695" spans="1:25" x14ac:dyDescent="0.25">
      <c r="C695" t="s">
        <v>41</v>
      </c>
      <c r="D695">
        <f t="array" ref="D695:K695">(Q1419:Y1419*AE$4:AE$11+Q1782:Y1782*AF$4:AF$11+Q2145:Y2145*AG$4:AG$11)</f>
        <v>0</v>
      </c>
      <c r="E695">
        <v>0</v>
      </c>
      <c r="F695">
        <v>0.26229121527154953</v>
      </c>
      <c r="G695">
        <v>3.083457922623228E-2</v>
      </c>
      <c r="H695">
        <v>0</v>
      </c>
      <c r="I695">
        <v>6.771150934960965E-2</v>
      </c>
      <c r="J695">
        <v>0</v>
      </c>
      <c r="K695">
        <v>0</v>
      </c>
      <c r="P695" s="2" t="s">
        <v>43</v>
      </c>
      <c r="Q695" s="10">
        <f>data_redis_illX!E628</f>
        <v>0</v>
      </c>
      <c r="R695" s="10">
        <f>data_redis_illX!F628</f>
        <v>0</v>
      </c>
      <c r="S695" s="10">
        <f>data_redis_illX!G628</f>
        <v>0</v>
      </c>
      <c r="T695" s="10">
        <f>data_redis_illX!H628</f>
        <v>0</v>
      </c>
      <c r="U695" s="10">
        <f>data_redis_illX!I628</f>
        <v>0</v>
      </c>
      <c r="V695" s="10">
        <f>data_redis_illX!J628</f>
        <v>0</v>
      </c>
      <c r="W695" s="10">
        <f>data_redis_illX!K628</f>
        <v>0</v>
      </c>
      <c r="X695" s="10">
        <f>data_redis_illX!L628</f>
        <v>0</v>
      </c>
      <c r="Y695" s="5">
        <f t="shared" si="10"/>
        <v>0</v>
      </c>
    </row>
    <row r="696" spans="1:25" x14ac:dyDescent="0.25">
      <c r="C696" t="s">
        <v>42</v>
      </c>
      <c r="D696">
        <f t="array" ref="D696:K696">(Q1420:Y1420*AE$4:AE$11+Q1783:Y1783*AF$4:AF$11+Q2146:Y2146*AG$4:AG$11)</f>
        <v>0</v>
      </c>
      <c r="E696">
        <v>0</v>
      </c>
      <c r="F696">
        <v>0.26229121527154953</v>
      </c>
      <c r="G696">
        <v>3.083457922623228E-2</v>
      </c>
      <c r="H696">
        <v>0</v>
      </c>
      <c r="I696">
        <v>6.771150934960965E-2</v>
      </c>
      <c r="J696">
        <v>0</v>
      </c>
      <c r="K696">
        <v>0</v>
      </c>
      <c r="P696" s="2" t="s">
        <v>44</v>
      </c>
      <c r="Q696" s="10">
        <f>data_redis_illX!E629</f>
        <v>0</v>
      </c>
      <c r="R696" s="10">
        <f>data_redis_illX!F629</f>
        <v>0</v>
      </c>
      <c r="S696" s="10">
        <f>data_redis_illX!G629</f>
        <v>0</v>
      </c>
      <c r="T696" s="10">
        <f>data_redis_illX!H629</f>
        <v>0</v>
      </c>
      <c r="U696" s="10">
        <f>data_redis_illX!I629</f>
        <v>0</v>
      </c>
      <c r="V696" s="10">
        <f>data_redis_illX!J629</f>
        <v>0</v>
      </c>
      <c r="W696" s="10">
        <f>data_redis_illX!K629</f>
        <v>0</v>
      </c>
      <c r="X696" s="10">
        <f>data_redis_illX!L629</f>
        <v>0</v>
      </c>
      <c r="Y696" s="5">
        <f t="shared" si="10"/>
        <v>0</v>
      </c>
    </row>
    <row r="697" spans="1:25" x14ac:dyDescent="0.25">
      <c r="C697" t="s">
        <v>43</v>
      </c>
      <c r="D697">
        <f t="array" ref="D697:K697">(Q1421:Y1421*AE$4:AE$11+Q1784:Y1784*AF$4:AF$11+Q2147:Y2147*AG$4:AG$11)</f>
        <v>0</v>
      </c>
      <c r="E697">
        <v>0</v>
      </c>
      <c r="F697">
        <v>0.26229121527154953</v>
      </c>
      <c r="G697">
        <v>4.4948576865129182</v>
      </c>
      <c r="H697">
        <v>0</v>
      </c>
      <c r="I697">
        <v>6.771150934960965E-2</v>
      </c>
      <c r="J697">
        <v>0</v>
      </c>
      <c r="K697">
        <v>0</v>
      </c>
      <c r="M697" t="s">
        <v>104</v>
      </c>
      <c r="N697" t="s">
        <v>116</v>
      </c>
      <c r="O697" t="s">
        <v>54</v>
      </c>
      <c r="P697" s="2" t="s">
        <v>12</v>
      </c>
      <c r="Q697" s="10">
        <f>data_redis_illX!E630</f>
        <v>0</v>
      </c>
      <c r="R697" s="10">
        <f>data_redis_illX!F630</f>
        <v>0</v>
      </c>
      <c r="S697" s="10">
        <f>data_redis_illX!G630</f>
        <v>0</v>
      </c>
      <c r="T697" s="10">
        <f>data_redis_illX!H630</f>
        <v>0</v>
      </c>
      <c r="U697" s="10">
        <f>data_redis_illX!I630</f>
        <v>0</v>
      </c>
      <c r="V697" s="10">
        <f>data_redis_illX!J630</f>
        <v>0</v>
      </c>
      <c r="W697" s="10">
        <f>data_redis_illX!K630</f>
        <v>0</v>
      </c>
      <c r="X697" s="10">
        <f>data_redis_illX!L630</f>
        <v>9.7902097902097904E-2</v>
      </c>
      <c r="Y697" s="5">
        <f t="shared" si="10"/>
        <v>9.7902097902097904E-2</v>
      </c>
    </row>
    <row r="698" spans="1:25" x14ac:dyDescent="0.25">
      <c r="C698" t="s">
        <v>44</v>
      </c>
      <c r="D698">
        <f t="array" ref="D698:K698">(Q1422:Y1422*AE$4:AE$11+Q1785:Y1785*AF$4:AF$11+Q2148:Y2148*AG$4:AG$11)</f>
        <v>0</v>
      </c>
      <c r="E698">
        <v>0</v>
      </c>
      <c r="F698">
        <v>0.26229121527154953</v>
      </c>
      <c r="G698">
        <v>3.083457922623228E-2</v>
      </c>
      <c r="H698">
        <v>0</v>
      </c>
      <c r="I698">
        <v>6.771150934960965E-2</v>
      </c>
      <c r="J698">
        <v>0</v>
      </c>
      <c r="K698">
        <v>0</v>
      </c>
      <c r="P698" s="2" t="s">
        <v>13</v>
      </c>
      <c r="Q698" s="10">
        <f>data_redis_illX!E631</f>
        <v>0</v>
      </c>
      <c r="R698" s="10">
        <f>data_redis_illX!F631</f>
        <v>0</v>
      </c>
      <c r="S698" s="10">
        <f>data_redis_illX!G631</f>
        <v>8.5405180725334002</v>
      </c>
      <c r="T698" s="10">
        <f>data_redis_illX!H631</f>
        <v>29.108767929571691</v>
      </c>
      <c r="U698" s="10">
        <f>data_redis_illX!I631</f>
        <v>0</v>
      </c>
      <c r="V698" s="10">
        <f>data_redis_illX!J631</f>
        <v>0</v>
      </c>
      <c r="W698" s="10">
        <f>data_redis_illX!K631</f>
        <v>0</v>
      </c>
      <c r="X698" s="10">
        <f>data_redis_illX!L631</f>
        <v>9.7902097902097904E-2</v>
      </c>
      <c r="Y698" s="5">
        <f t="shared" si="10"/>
        <v>37.747188100007193</v>
      </c>
    </row>
    <row r="699" spans="1:25" x14ac:dyDescent="0.25">
      <c r="A699">
        <v>2</v>
      </c>
      <c r="B699" t="s">
        <v>54</v>
      </c>
      <c r="C699" t="s">
        <v>12</v>
      </c>
      <c r="D699">
        <f t="array" ref="D699:K699">(Q1423:Y1423*AE$4:AE$11+Q1786:Y1786*AF$4:AF$11+Q2149:Y2149*AG$4:AG$11)</f>
        <v>0</v>
      </c>
      <c r="E699">
        <v>0</v>
      </c>
      <c r="F699">
        <v>0</v>
      </c>
      <c r="G699">
        <v>13.264680887246421</v>
      </c>
      <c r="H699">
        <v>6.3380280852704152</v>
      </c>
      <c r="I699">
        <v>0</v>
      </c>
      <c r="J699">
        <v>0</v>
      </c>
      <c r="K699">
        <v>6.0606060606060608E-2</v>
      </c>
      <c r="P699" s="2" t="s">
        <v>14</v>
      </c>
      <c r="Q699" s="10">
        <f>data_redis_illX!E632</f>
        <v>0</v>
      </c>
      <c r="R699" s="10">
        <f>data_redis_illX!F632</f>
        <v>0</v>
      </c>
      <c r="S699" s="10">
        <f>data_redis_illX!G632</f>
        <v>2.1351295181333501</v>
      </c>
      <c r="T699" s="10">
        <f>data_redis_illX!H632</f>
        <v>5.2925032599221256</v>
      </c>
      <c r="U699" s="10">
        <f>data_redis_illX!I632</f>
        <v>3.8912335501067323</v>
      </c>
      <c r="V699" s="10">
        <f>data_redis_illX!J632</f>
        <v>0</v>
      </c>
      <c r="W699" s="10">
        <f>data_redis_illX!K632</f>
        <v>0</v>
      </c>
      <c r="X699" s="10">
        <f>data_redis_illX!L632</f>
        <v>9.7902097902097904E-2</v>
      </c>
      <c r="Y699" s="5">
        <f t="shared" si="10"/>
        <v>11.416768426064307</v>
      </c>
    </row>
    <row r="700" spans="1:25" x14ac:dyDescent="0.25">
      <c r="C700" t="s">
        <v>13</v>
      </c>
      <c r="D700">
        <f t="array" ref="D700:K700">(Q1424:Y1424*AE$4:AE$11+Q1787:Y1787*AF$4:AF$11+Q2150:Y2150*AG$4:AG$11)</f>
        <v>0</v>
      </c>
      <c r="E700">
        <v>0</v>
      </c>
      <c r="F700">
        <v>141.48757803326987</v>
      </c>
      <c r="G700">
        <v>119.1288211784194</v>
      </c>
      <c r="H700">
        <v>51.249228917596596</v>
      </c>
      <c r="I700">
        <v>0</v>
      </c>
      <c r="J700">
        <v>3.4047619047619042</v>
      </c>
      <c r="K700">
        <v>6.0606060606060608E-2</v>
      </c>
      <c r="P700" s="2" t="s">
        <v>15</v>
      </c>
      <c r="Q700" s="10">
        <f>data_redis_illX!E633</f>
        <v>0</v>
      </c>
      <c r="R700" s="10">
        <f>data_redis_illX!F633</f>
        <v>0</v>
      </c>
      <c r="S700" s="10">
        <f>data_redis_illX!G633</f>
        <v>0</v>
      </c>
      <c r="T700" s="10">
        <f>data_redis_illX!H633</f>
        <v>2.6462516299610628</v>
      </c>
      <c r="U700" s="10">
        <f>data_redis_illX!I633</f>
        <v>7.7824671002134647</v>
      </c>
      <c r="V700" s="10">
        <f>data_redis_illX!J633</f>
        <v>0</v>
      </c>
      <c r="W700" s="10">
        <f>data_redis_illX!K633</f>
        <v>0</v>
      </c>
      <c r="X700" s="10">
        <f>data_redis_illX!L633</f>
        <v>9.7902097902097904E-2</v>
      </c>
      <c r="Y700" s="5">
        <f t="shared" si="10"/>
        <v>10.526620828076625</v>
      </c>
    </row>
    <row r="701" spans="1:25" x14ac:dyDescent="0.25">
      <c r="C701" t="s">
        <v>14</v>
      </c>
      <c r="D701">
        <f t="array" ref="D701:K701">(Q1425:Y1425*AE$4:AE$11+Q1788:Y1788*AF$4:AF$11+Q2151:Y2151*AG$4:AG$11)</f>
        <v>0</v>
      </c>
      <c r="E701">
        <v>0</v>
      </c>
      <c r="F701">
        <v>30.598824348728492</v>
      </c>
      <c r="G701">
        <v>53.700960762653203</v>
      </c>
      <c r="H701">
        <v>27.463176142319007</v>
      </c>
      <c r="I701">
        <v>22.41623206869923</v>
      </c>
      <c r="J701">
        <v>0</v>
      </c>
      <c r="K701">
        <v>6.0606060606060608E-2</v>
      </c>
      <c r="P701" s="2" t="s">
        <v>16</v>
      </c>
      <c r="Q701" s="10">
        <f>data_redis_illX!E634</f>
        <v>0</v>
      </c>
      <c r="R701" s="10">
        <f>data_redis_illX!F634</f>
        <v>0</v>
      </c>
      <c r="S701" s="10">
        <f>data_redis_illX!G634</f>
        <v>0</v>
      </c>
      <c r="T701" s="10">
        <f>data_redis_illX!H634</f>
        <v>10.585006519844251</v>
      </c>
      <c r="U701" s="10">
        <f>data_redis_illX!I634</f>
        <v>3.8912335501067323</v>
      </c>
      <c r="V701" s="10">
        <f>data_redis_illX!J634</f>
        <v>0</v>
      </c>
      <c r="W701" s="10">
        <f>data_redis_illX!K634</f>
        <v>0</v>
      </c>
      <c r="X701" s="10">
        <f>data_redis_illX!L634</f>
        <v>9.7902097902097904E-2</v>
      </c>
      <c r="Y701" s="5">
        <f t="shared" si="10"/>
        <v>14.574142167853081</v>
      </c>
    </row>
    <row r="702" spans="1:25" x14ac:dyDescent="0.25">
      <c r="C702" t="s">
        <v>15</v>
      </c>
      <c r="D702">
        <f t="array" ref="D702:K702">(Q1426:Y1426*AE$4:AE$11+Q1789:Y1789*AF$4:AF$11+Q2152:Y2152*AG$4:AG$11)</f>
        <v>0</v>
      </c>
      <c r="E702">
        <v>0</v>
      </c>
      <c r="F702">
        <v>12.65709372374595</v>
      </c>
      <c r="G702">
        <v>21.865848891303678</v>
      </c>
      <c r="H702">
        <v>12.674847000151235</v>
      </c>
      <c r="I702">
        <v>10.446902392384258</v>
      </c>
      <c r="J702">
        <v>0</v>
      </c>
      <c r="K702">
        <v>6.0606060606060608E-2</v>
      </c>
      <c r="P702" s="2" t="s">
        <v>17</v>
      </c>
      <c r="Q702" s="10">
        <f>data_redis_illX!E635</f>
        <v>0</v>
      </c>
      <c r="R702" s="10">
        <f>data_redis_illX!F635</f>
        <v>0</v>
      </c>
      <c r="S702" s="10">
        <f>data_redis_illX!G635</f>
        <v>0</v>
      </c>
      <c r="T702" s="10">
        <f>data_redis_illX!H635</f>
        <v>3.6462516299610628</v>
      </c>
      <c r="U702" s="10">
        <f>data_redis_illX!I635</f>
        <v>15.564934200426929</v>
      </c>
      <c r="V702" s="10">
        <f>data_redis_illX!J635</f>
        <v>0</v>
      </c>
      <c r="W702" s="10">
        <f>data_redis_illX!K635</f>
        <v>0</v>
      </c>
      <c r="X702" s="10">
        <f>data_redis_illX!L635</f>
        <v>9.7902097902097904E-2</v>
      </c>
      <c r="Y702" s="5">
        <f t="shared" si="10"/>
        <v>19.30908792829009</v>
      </c>
    </row>
    <row r="703" spans="1:25" x14ac:dyDescent="0.25">
      <c r="C703" t="s">
        <v>16</v>
      </c>
      <c r="D703">
        <f t="array" ref="D703:K703">(Q1427:Y1427*AE$4:AE$11+Q1790:Y1790*AF$4:AF$11+Q2153:Y2153*AG$4:AG$11)</f>
        <v>0</v>
      </c>
      <c r="E703">
        <v>0</v>
      </c>
      <c r="F703">
        <v>5.6512342734599077</v>
      </c>
      <c r="G703">
        <v>21.865848891303678</v>
      </c>
      <c r="H703">
        <v>31.68893125596248</v>
      </c>
      <c r="I703">
        <v>0</v>
      </c>
      <c r="J703">
        <v>0</v>
      </c>
      <c r="K703">
        <v>6.0606060606060608E-2</v>
      </c>
      <c r="P703" s="2" t="s">
        <v>18</v>
      </c>
      <c r="Q703" s="10">
        <f>data_redis_illX!E636</f>
        <v>0</v>
      </c>
      <c r="R703" s="10">
        <f>data_redis_illX!F636</f>
        <v>0</v>
      </c>
      <c r="S703" s="10">
        <f>data_redis_illX!G636</f>
        <v>4.2702590362667001</v>
      </c>
      <c r="T703" s="10">
        <f>data_redis_illX!H636</f>
        <v>5.2925032599221256</v>
      </c>
      <c r="U703" s="10">
        <f>data_redis_illX!I636</f>
        <v>0</v>
      </c>
      <c r="V703" s="10">
        <f>data_redis_illX!J636</f>
        <v>0</v>
      </c>
      <c r="W703" s="10">
        <f>data_redis_illX!K636</f>
        <v>0</v>
      </c>
      <c r="X703" s="10">
        <f>data_redis_illX!L636</f>
        <v>9.7902097902097904E-2</v>
      </c>
      <c r="Y703" s="5">
        <f t="shared" si="10"/>
        <v>9.660664394090924</v>
      </c>
    </row>
    <row r="704" spans="1:25" x14ac:dyDescent="0.25">
      <c r="C704" t="s">
        <v>17</v>
      </c>
      <c r="D704">
        <f t="array" ref="D704:K704">(Q1428:Y1428*AE$4:AE$11+Q1791:Y1791*AF$4:AF$11+Q2154:Y2154*AG$4:AG$11)</f>
        <v>0</v>
      </c>
      <c r="E704">
        <v>0</v>
      </c>
      <c r="F704">
        <v>9.1201514713607974</v>
      </c>
      <c r="G704">
        <v>11.3385805364533</v>
      </c>
      <c r="H704">
        <v>23.238630199065124</v>
      </c>
      <c r="I704">
        <v>2.5806214337586884</v>
      </c>
      <c r="J704">
        <v>0</v>
      </c>
      <c r="K704">
        <v>6.0606060606060608E-2</v>
      </c>
      <c r="P704" s="2" t="s">
        <v>19</v>
      </c>
      <c r="Q704" s="10">
        <f>data_redis_illX!E637</f>
        <v>0</v>
      </c>
      <c r="R704" s="10">
        <f>data_redis_illX!F637</f>
        <v>0</v>
      </c>
      <c r="S704" s="10">
        <f>data_redis_illX!G637</f>
        <v>6.4053885544000497</v>
      </c>
      <c r="T704" s="10">
        <f>data_redis_illX!H637</f>
        <v>10.585006519844251</v>
      </c>
      <c r="U704" s="10">
        <f>data_redis_illX!I637</f>
        <v>0</v>
      </c>
      <c r="V704" s="10">
        <f>data_redis_illX!J637</f>
        <v>0</v>
      </c>
      <c r="W704" s="10">
        <f>data_redis_illX!K637</f>
        <v>0</v>
      </c>
      <c r="X704" s="10">
        <f>data_redis_illX!L637</f>
        <v>9.7902097902097904E-2</v>
      </c>
      <c r="Y704" s="5">
        <f t="shared" si="10"/>
        <v>17.088297172146397</v>
      </c>
    </row>
    <row r="705" spans="3:25" x14ac:dyDescent="0.25">
      <c r="C705" t="s">
        <v>18</v>
      </c>
      <c r="D705">
        <f t="array" ref="D705:K705">(Q1429:Y1429*AE$4:AE$11+Q1792:Y1792*AF$4:AF$11+Q2155:Y2155*AG$4:AG$11)</f>
        <v>0</v>
      </c>
      <c r="E705">
        <v>0</v>
      </c>
      <c r="F705">
        <v>19.191730624982544</v>
      </c>
      <c r="G705">
        <v>51.048391359329578</v>
      </c>
      <c r="H705">
        <v>41.729485429218755</v>
      </c>
      <c r="I705">
        <v>13.850945796783055</v>
      </c>
      <c r="J705">
        <v>8.2899936512487589</v>
      </c>
      <c r="K705">
        <v>6.0606060606060608E-2</v>
      </c>
      <c r="P705" s="2" t="s">
        <v>20</v>
      </c>
      <c r="Q705" s="10">
        <f>data_redis_illX!E638</f>
        <v>0</v>
      </c>
      <c r="R705" s="10">
        <f>data_redis_illX!F638</f>
        <v>0</v>
      </c>
      <c r="S705" s="10">
        <f>data_redis_illX!G638</f>
        <v>14.945906626933445</v>
      </c>
      <c r="T705" s="10">
        <f>data_redis_illX!H638</f>
        <v>55.571284229182325</v>
      </c>
      <c r="U705" s="10">
        <f>data_redis_illX!I638</f>
        <v>35.021101950960592</v>
      </c>
      <c r="V705" s="10">
        <f>data_redis_illX!J638</f>
        <v>8.8460851333782831</v>
      </c>
      <c r="W705" s="10">
        <f>data_redis_illX!K638</f>
        <v>6.6212686567164178</v>
      </c>
      <c r="X705" s="10">
        <f>data_redis_illX!L638</f>
        <v>9.7902097902097904E-2</v>
      </c>
      <c r="Y705" s="5">
        <f t="shared" si="10"/>
        <v>121.10354869507317</v>
      </c>
    </row>
    <row r="706" spans="3:25" x14ac:dyDescent="0.25">
      <c r="C706" t="s">
        <v>19</v>
      </c>
      <c r="D706">
        <f t="array" ref="D706:K706">(Q1430:Y1430*AE$4:AE$11+Q1793:Y1793*AF$4:AF$11+Q2156:Y2156*AG$4:AG$11)</f>
        <v>0</v>
      </c>
      <c r="E706">
        <v>0</v>
      </c>
      <c r="F706">
        <v>59.476426148407526</v>
      </c>
      <c r="G706">
        <v>109.32924445651837</v>
      </c>
      <c r="H706">
        <v>83.982199884095124</v>
      </c>
      <c r="I706">
        <v>0</v>
      </c>
      <c r="J706">
        <v>0</v>
      </c>
      <c r="K706">
        <v>6.0606060606060608E-2</v>
      </c>
      <c r="P706" s="2" t="s">
        <v>21</v>
      </c>
      <c r="Q706" s="10">
        <f>data_redis_illX!E639</f>
        <v>0</v>
      </c>
      <c r="R706" s="10">
        <f>data_redis_illX!F639</f>
        <v>0</v>
      </c>
      <c r="S706" s="10">
        <f>data_redis_illX!G639</f>
        <v>8.5405180725334002</v>
      </c>
      <c r="T706" s="10">
        <f>data_redis_illX!H639</f>
        <v>7.9387548898831888</v>
      </c>
      <c r="U706" s="10">
        <f>data_redis_illX!I639</f>
        <v>11.673700650320198</v>
      </c>
      <c r="V706" s="10">
        <f>data_redis_illX!J639</f>
        <v>17.692170266756566</v>
      </c>
      <c r="W706" s="10">
        <f>data_redis_illX!K639</f>
        <v>0</v>
      </c>
      <c r="X706" s="10">
        <f>data_redis_illX!L639</f>
        <v>9.7902097902097904E-2</v>
      </c>
      <c r="Y706" s="5">
        <f t="shared" si="10"/>
        <v>45.94304597739545</v>
      </c>
    </row>
    <row r="707" spans="3:25" x14ac:dyDescent="0.25">
      <c r="C707" t="s">
        <v>20</v>
      </c>
      <c r="D707">
        <f t="array" ref="D707:K707">(Q1431:Y1431*AE$4:AE$11+Q1794:Y1794*AF$4:AF$11+Q2157:Y2157*AG$4:AG$11)</f>
        <v>0</v>
      </c>
      <c r="E707">
        <v>0</v>
      </c>
      <c r="F707">
        <v>122.46550875229883</v>
      </c>
      <c r="G707">
        <v>483.60396310147394</v>
      </c>
      <c r="H707">
        <v>344.39966663266398</v>
      </c>
      <c r="I707">
        <v>39.206988135778346</v>
      </c>
      <c r="J707">
        <v>0</v>
      </c>
      <c r="K707">
        <v>6.0606060606060608E-2</v>
      </c>
      <c r="P707" s="2" t="s">
        <v>22</v>
      </c>
      <c r="Q707" s="10">
        <f>data_redis_illX!E640</f>
        <v>0</v>
      </c>
      <c r="R707" s="10">
        <f>data_redis_illX!F640</f>
        <v>0</v>
      </c>
      <c r="S707" s="10">
        <f>data_redis_illX!G640</f>
        <v>10.675647590666747</v>
      </c>
      <c r="T707" s="10">
        <f>data_redis_illX!H640</f>
        <v>18.523761409727442</v>
      </c>
      <c r="U707" s="10">
        <f>data_redis_illX!I640</f>
        <v>15.564934200426929</v>
      </c>
      <c r="V707" s="10">
        <f>data_redis_illX!J640</f>
        <v>0</v>
      </c>
      <c r="W707" s="10">
        <f>data_redis_illX!K640</f>
        <v>0</v>
      </c>
      <c r="X707" s="10">
        <f>data_redis_illX!L640</f>
        <v>9.7902097902097904E-2</v>
      </c>
      <c r="Y707" s="5">
        <f t="shared" si="10"/>
        <v>44.862245298723217</v>
      </c>
    </row>
    <row r="708" spans="3:25" x14ac:dyDescent="0.25">
      <c r="C708" t="s">
        <v>21</v>
      </c>
      <c r="D708">
        <f t="array" ref="D708:K708">(Q1432:Y1432*AE$4:AE$11+Q1795:Y1795*AF$4:AF$11+Q2158:Y2158*AG$4:AG$11)</f>
        <v>0</v>
      </c>
      <c r="E708">
        <v>0</v>
      </c>
      <c r="F708">
        <v>81.906526708036196</v>
      </c>
      <c r="G708">
        <v>89.559182174152681</v>
      </c>
      <c r="H708">
        <v>72.896396829913215</v>
      </c>
      <c r="I708">
        <v>55.76297202366959</v>
      </c>
      <c r="J708">
        <v>5.6519047619047615</v>
      </c>
      <c r="K708">
        <v>6.0606060606060608E-2</v>
      </c>
      <c r="P708" s="2" t="s">
        <v>23</v>
      </c>
      <c r="Q708" s="10">
        <f>data_redis_illX!E641</f>
        <v>0</v>
      </c>
      <c r="R708" s="10">
        <f>data_redis_illX!F641</f>
        <v>0</v>
      </c>
      <c r="S708" s="10">
        <f>data_redis_illX!G641</f>
        <v>6.4053885544000497</v>
      </c>
      <c r="T708" s="10">
        <f>data_redis_illX!H641</f>
        <v>0</v>
      </c>
      <c r="U708" s="10">
        <f>data_redis_illX!I641</f>
        <v>3.8912335501067323</v>
      </c>
      <c r="V708" s="10">
        <f>data_redis_illX!J641</f>
        <v>0</v>
      </c>
      <c r="W708" s="10">
        <f>data_redis_illX!K641</f>
        <v>0</v>
      </c>
      <c r="X708" s="10">
        <f>data_redis_illX!L641</f>
        <v>9.7902097902097904E-2</v>
      </c>
      <c r="Y708" s="5">
        <f t="shared" si="10"/>
        <v>10.39452420240888</v>
      </c>
    </row>
    <row r="709" spans="3:25" x14ac:dyDescent="0.25">
      <c r="C709" t="s">
        <v>22</v>
      </c>
      <c r="D709">
        <f t="array" ref="D709:K709">(Q1433:Y1433*AE$4:AE$11+Q1796:Y1796*AF$4:AF$11+Q2159:Y2159*AG$4:AG$11)</f>
        <v>0</v>
      </c>
      <c r="E709">
        <v>0</v>
      </c>
      <c r="F709">
        <v>82.906868838079475</v>
      </c>
      <c r="G709">
        <v>104.1077261985247</v>
      </c>
      <c r="H709">
        <v>86.09568202611166</v>
      </c>
      <c r="I709">
        <v>39.331404793127845</v>
      </c>
      <c r="J709">
        <v>3.4047619047619042</v>
      </c>
      <c r="K709">
        <v>6.0606060606060608E-2</v>
      </c>
      <c r="P709" s="2" t="s">
        <v>24</v>
      </c>
      <c r="Q709" s="10">
        <f>data_redis_illX!E642</f>
        <v>0</v>
      </c>
      <c r="R709" s="10">
        <f>data_redis_illX!F642</f>
        <v>0</v>
      </c>
      <c r="S709" s="10">
        <f>data_redis_illX!G642</f>
        <v>19.216165663200144</v>
      </c>
      <c r="T709" s="10">
        <f>data_redis_illX!H642</f>
        <v>21.170013039688502</v>
      </c>
      <c r="U709" s="10">
        <f>data_redis_illX!I642</f>
        <v>15.564934200426929</v>
      </c>
      <c r="V709" s="10">
        <f>data_redis_illX!J642</f>
        <v>8.8460851333782831</v>
      </c>
      <c r="W709" s="10">
        <f>data_redis_illX!K642</f>
        <v>0</v>
      </c>
      <c r="X709" s="10">
        <f>data_redis_illX!L642</f>
        <v>9.7902097902097904E-2</v>
      </c>
      <c r="Y709" s="5">
        <f t="shared" ref="Y709:Y772" si="11">SUM(Q709:X709)</f>
        <v>64.89510013459595</v>
      </c>
    </row>
    <row r="710" spans="3:25" x14ac:dyDescent="0.25">
      <c r="C710" t="s">
        <v>23</v>
      </c>
      <c r="D710">
        <f t="array" ref="D710:K710">(Q1434:Y1434*AE$4:AE$11+Q1797:Y1797*AF$4:AF$11+Q2160:Y2160*AG$4:AG$11)</f>
        <v>0</v>
      </c>
      <c r="E710">
        <v>0</v>
      </c>
      <c r="F710">
        <v>9.1201514713607974</v>
      </c>
      <c r="G710">
        <v>67.523647024704161</v>
      </c>
      <c r="H710">
        <v>16.378582258526688</v>
      </c>
      <c r="I710">
        <v>7.8662809586255698</v>
      </c>
      <c r="J710">
        <v>0</v>
      </c>
      <c r="K710">
        <v>6.0606060606060608E-2</v>
      </c>
      <c r="P710" s="2" t="s">
        <v>25</v>
      </c>
      <c r="Q710" s="10">
        <f>data_redis_illX!E643</f>
        <v>0</v>
      </c>
      <c r="R710" s="10">
        <f>data_redis_illX!F643</f>
        <v>0</v>
      </c>
      <c r="S710" s="10">
        <f>data_redis_illX!G643</f>
        <v>8.5405180725334002</v>
      </c>
      <c r="T710" s="10">
        <f>data_redis_illX!H643</f>
        <v>13.231258149805315</v>
      </c>
      <c r="U710" s="10">
        <f>data_redis_illX!I643</f>
        <v>0</v>
      </c>
      <c r="V710" s="10">
        <f>data_redis_illX!J643</f>
        <v>0</v>
      </c>
      <c r="W710" s="10">
        <f>data_redis_illX!K643</f>
        <v>0</v>
      </c>
      <c r="X710" s="10">
        <f>data_redis_illX!L643</f>
        <v>9.7902097902097904E-2</v>
      </c>
      <c r="Y710" s="5">
        <f t="shared" si="11"/>
        <v>21.869678320240812</v>
      </c>
    </row>
    <row r="711" spans="3:25" x14ac:dyDescent="0.25">
      <c r="C711" t="s">
        <v>24</v>
      </c>
      <c r="D711">
        <f t="array" ref="D711:K711">(Q1435:Y1435*AE$4:AE$11+Q1798:Y1798*AF$4:AF$11+Q2161:Y2161*AG$4:AG$11)</f>
        <v>0</v>
      </c>
      <c r="E711">
        <v>0</v>
      </c>
      <c r="F711">
        <v>63.243915664047471</v>
      </c>
      <c r="G711">
        <v>189.81470767109113</v>
      </c>
      <c r="H711">
        <v>129.41058389013094</v>
      </c>
      <c r="I711">
        <v>18.313183351009826</v>
      </c>
      <c r="J711">
        <v>8.2899936512487589</v>
      </c>
      <c r="K711">
        <v>6.0606060606060608E-2</v>
      </c>
      <c r="P711" s="2" t="s">
        <v>26</v>
      </c>
      <c r="Q711" s="10">
        <f>data_redis_illX!E644</f>
        <v>0</v>
      </c>
      <c r="R711" s="10">
        <f>data_redis_illX!F644</f>
        <v>0</v>
      </c>
      <c r="S711" s="10">
        <f>data_redis_illX!G644</f>
        <v>6.4053885544000497</v>
      </c>
      <c r="T711" s="10">
        <f>data_redis_illX!H644</f>
        <v>0</v>
      </c>
      <c r="U711" s="10">
        <f>data_redis_illX!I644</f>
        <v>7.7824671002134647</v>
      </c>
      <c r="V711" s="10">
        <f>data_redis_illX!J644</f>
        <v>0</v>
      </c>
      <c r="W711" s="10">
        <f>data_redis_illX!K644</f>
        <v>6.6212686567164178</v>
      </c>
      <c r="X711" s="10">
        <f>data_redis_illX!L644</f>
        <v>9.7902097902097904E-2</v>
      </c>
      <c r="Y711" s="5">
        <f t="shared" si="11"/>
        <v>20.907026409232028</v>
      </c>
    </row>
    <row r="712" spans="3:25" x14ac:dyDescent="0.25">
      <c r="C712" t="s">
        <v>25</v>
      </c>
      <c r="D712">
        <f t="array" ref="D712:K712">(Q1436:Y1436*AE$4:AE$11+Q1799:Y1799*AF$4:AF$11+Q2162:Y2162*AG$4:AG$11)</f>
        <v>0</v>
      </c>
      <c r="E712">
        <v>0</v>
      </c>
      <c r="F712">
        <v>9.1201514713607974</v>
      </c>
      <c r="G712">
        <v>57.166064927998619</v>
      </c>
      <c r="H712">
        <v>27.463176142319007</v>
      </c>
      <c r="I712">
        <v>0</v>
      </c>
      <c r="J712">
        <v>0</v>
      </c>
      <c r="K712">
        <v>6.0606060606060608E-2</v>
      </c>
      <c r="P712" s="2" t="s">
        <v>27</v>
      </c>
      <c r="Q712" s="10">
        <f>data_redis_illX!E645</f>
        <v>0</v>
      </c>
      <c r="R712" s="10">
        <f>data_redis_illX!F645</f>
        <v>0</v>
      </c>
      <c r="S712" s="10">
        <f>data_redis_illX!G645</f>
        <v>4.2702590362667001</v>
      </c>
      <c r="T712" s="10">
        <f>data_redis_illX!H645</f>
        <v>21.170013039688502</v>
      </c>
      <c r="U712" s="10">
        <f>data_redis_illX!I645</f>
        <v>3.8912335501067323</v>
      </c>
      <c r="V712" s="10">
        <f>data_redis_illX!J645</f>
        <v>0</v>
      </c>
      <c r="W712" s="10">
        <f>data_redis_illX!K645</f>
        <v>0</v>
      </c>
      <c r="X712" s="10">
        <f>data_redis_illX!L645</f>
        <v>9.7902097902097904E-2</v>
      </c>
      <c r="Y712" s="5">
        <f t="shared" si="11"/>
        <v>29.429407723964033</v>
      </c>
    </row>
    <row r="713" spans="3:25" x14ac:dyDescent="0.25">
      <c r="C713" t="s">
        <v>26</v>
      </c>
      <c r="D713">
        <f t="array" ref="D713:K713">(Q1437:Y1437*AE$4:AE$11+Q1800:Y1800*AF$4:AF$11+Q2163:Y2163*AG$4:AG$11)</f>
        <v>0</v>
      </c>
      <c r="E713">
        <v>0</v>
      </c>
      <c r="F713">
        <v>7.2364067135408279</v>
      </c>
      <c r="G713">
        <v>37.783710472083158</v>
      </c>
      <c r="H713">
        <v>44.364987426503312</v>
      </c>
      <c r="I713">
        <v>19.83561063494054</v>
      </c>
      <c r="J713">
        <v>0</v>
      </c>
      <c r="K713">
        <v>6.0606060606060608E-2</v>
      </c>
      <c r="P713" s="2" t="s">
        <v>28</v>
      </c>
      <c r="Q713" s="10">
        <f>data_redis_illX!E646</f>
        <v>0</v>
      </c>
      <c r="R713" s="10">
        <f>data_redis_illX!F646</f>
        <v>0</v>
      </c>
      <c r="S713" s="10">
        <f>data_redis_illX!G646</f>
        <v>27.756683735733546</v>
      </c>
      <c r="T713" s="10">
        <f>data_redis_illX!H646</f>
        <v>39.69377444941594</v>
      </c>
      <c r="U713" s="10">
        <f>data_redis_illX!I646</f>
        <v>31.129868400853859</v>
      </c>
      <c r="V713" s="10">
        <f>data_redis_illX!J646</f>
        <v>17.692170266756566</v>
      </c>
      <c r="W713" s="10">
        <f>data_redis_illX!K646</f>
        <v>0</v>
      </c>
      <c r="X713" s="10">
        <f>data_redis_illX!L646</f>
        <v>9.7902097902097904E-2</v>
      </c>
      <c r="Y713" s="5">
        <f t="shared" si="11"/>
        <v>116.37039895066199</v>
      </c>
    </row>
    <row r="714" spans="3:25" x14ac:dyDescent="0.25">
      <c r="C714" t="s">
        <v>27</v>
      </c>
      <c r="D714">
        <f t="array" ref="D714:K714">(Q1438:Y1438*AE$4:AE$11+Q1801:Y1801*AF$4:AF$11+Q2164:Y2164*AG$4:AG$11)</f>
        <v>0</v>
      </c>
      <c r="E714">
        <v>0</v>
      </c>
      <c r="F714">
        <v>56.007508950506647</v>
      </c>
      <c r="G714">
        <v>162.21889303756865</v>
      </c>
      <c r="H714">
        <v>86.618911051769288</v>
      </c>
      <c r="I714">
        <v>10.446902392384258</v>
      </c>
      <c r="J714">
        <v>0</v>
      </c>
      <c r="K714">
        <v>6.0606060606060608E-2</v>
      </c>
      <c r="P714" s="2" t="s">
        <v>29</v>
      </c>
      <c r="Q714" s="10">
        <f>data_redis_illX!E647</f>
        <v>0</v>
      </c>
      <c r="R714" s="10">
        <f>data_redis_illX!F647</f>
        <v>0</v>
      </c>
      <c r="S714" s="10">
        <f>data_redis_illX!G647</f>
        <v>6.4053885544000497</v>
      </c>
      <c r="T714" s="10">
        <f>data_redis_illX!H647</f>
        <v>31.755019559532755</v>
      </c>
      <c r="U714" s="10">
        <f>data_redis_illX!I647</f>
        <v>50.586036151387525</v>
      </c>
      <c r="V714" s="10">
        <f>data_redis_illX!J647</f>
        <v>8.8460851333782831</v>
      </c>
      <c r="W714" s="10">
        <f>data_redis_illX!K647</f>
        <v>0</v>
      </c>
      <c r="X714" s="10">
        <f>data_redis_illX!L647</f>
        <v>9.7902097902097904E-2</v>
      </c>
      <c r="Y714" s="5">
        <f t="shared" si="11"/>
        <v>97.690431496600695</v>
      </c>
    </row>
    <row r="715" spans="3:25" x14ac:dyDescent="0.25">
      <c r="C715" t="s">
        <v>28</v>
      </c>
      <c r="D715">
        <f t="array" ref="D715:K715">(Q1439:Y1439*AE$4:AE$11+Q1802:Y1802*AF$4:AF$11+Q2165:Y2165*AG$4:AG$11)</f>
        <v>0</v>
      </c>
      <c r="E715">
        <v>0</v>
      </c>
      <c r="F715">
        <v>178.4973034997069</v>
      </c>
      <c r="G715">
        <v>307.65966571238494</v>
      </c>
      <c r="H715">
        <v>212.57075347999836</v>
      </c>
      <c r="I715">
        <v>32.164129147792885</v>
      </c>
      <c r="J715">
        <v>2.2471428571428573</v>
      </c>
      <c r="K715">
        <v>6.0606060606060608E-2</v>
      </c>
      <c r="P715" s="2" t="s">
        <v>30</v>
      </c>
      <c r="Q715" s="10">
        <f>data_redis_illX!E648</f>
        <v>0</v>
      </c>
      <c r="R715" s="10">
        <f>data_redis_illX!F648</f>
        <v>0</v>
      </c>
      <c r="S715" s="10">
        <f>data_redis_illX!G648</f>
        <v>40.567460844533642</v>
      </c>
      <c r="T715" s="10">
        <f>data_redis_illX!H648</f>
        <v>72.448794008948695</v>
      </c>
      <c r="U715" s="10">
        <f>data_redis_illX!I648</f>
        <v>73.933437452027917</v>
      </c>
      <c r="V715" s="10">
        <f>data_redis_illX!J648</f>
        <v>17.692170266756566</v>
      </c>
      <c r="W715" s="10">
        <f>data_redis_illX!K648</f>
        <v>6.6212686567164178</v>
      </c>
      <c r="X715" s="10">
        <f>data_redis_illX!L648</f>
        <v>9.7902097902097904E-2</v>
      </c>
      <c r="Y715" s="5">
        <f t="shared" si="11"/>
        <v>211.36103332688535</v>
      </c>
    </row>
    <row r="716" spans="3:25" x14ac:dyDescent="0.25">
      <c r="C716" t="s">
        <v>29</v>
      </c>
      <c r="D716">
        <f t="array" ref="D716:K716">(Q1440:Y1440*AE$4:AE$11+Q1803:Y1803*AF$4:AF$11+Q2166:Y2166*AG$4:AG$11)</f>
        <v>0</v>
      </c>
      <c r="E716">
        <v>0</v>
      </c>
      <c r="F716">
        <v>161.6796507882957</v>
      </c>
      <c r="G716">
        <v>446.72640156068655</v>
      </c>
      <c r="H716">
        <v>164.28606723075927</v>
      </c>
      <c r="I716">
        <v>21.717226755408625</v>
      </c>
      <c r="J716">
        <v>8.2899936512487589</v>
      </c>
      <c r="K716">
        <v>6.0606060606060608E-2</v>
      </c>
      <c r="P716" s="2" t="s">
        <v>31</v>
      </c>
      <c r="Q716" s="10">
        <f>data_redis_illX!E649</f>
        <v>0</v>
      </c>
      <c r="R716" s="10">
        <f>data_redis_illX!F649</f>
        <v>0</v>
      </c>
      <c r="S716" s="10">
        <f>data_redis_illX!G649</f>
        <v>25.621554217600199</v>
      </c>
      <c r="T716" s="10">
        <f>data_redis_illX!H649</f>
        <v>76.741297268870809</v>
      </c>
      <c r="U716" s="10">
        <f>data_redis_illX!I649</f>
        <v>85.607138102348131</v>
      </c>
      <c r="V716" s="10">
        <f>data_redis_illX!J649</f>
        <v>35.384340533513132</v>
      </c>
      <c r="W716" s="10">
        <f>data_redis_illX!K649</f>
        <v>0</v>
      </c>
      <c r="X716" s="10">
        <f>data_redis_illX!L649</f>
        <v>9.7902097902097904E-2</v>
      </c>
      <c r="Y716" s="5">
        <f t="shared" si="11"/>
        <v>223.45223222023438</v>
      </c>
    </row>
    <row r="717" spans="3:25" x14ac:dyDescent="0.25">
      <c r="C717" t="s">
        <v>30</v>
      </c>
      <c r="D717">
        <f t="array" ref="D717:K717">(Q1441:Y1441*AE$4:AE$11+Q1804:Y1804*AF$4:AF$11+Q2167:Y2167*AG$4:AG$11)</f>
        <v>0</v>
      </c>
      <c r="E717">
        <v>0</v>
      </c>
      <c r="F717">
        <v>1122.7559781260923</v>
      </c>
      <c r="G717">
        <v>2066.2505606510213</v>
      </c>
      <c r="H717">
        <v>1449.2098080238893</v>
      </c>
      <c r="I717">
        <v>205.73556731463486</v>
      </c>
      <c r="J717">
        <v>18.827130159640376</v>
      </c>
      <c r="K717">
        <v>2.2541405742609957</v>
      </c>
      <c r="P717" s="2" t="s">
        <v>32</v>
      </c>
      <c r="Q717" s="10">
        <f>data_redis_illX!E650</f>
        <v>0</v>
      </c>
      <c r="R717" s="10">
        <f>data_redis_illX!F650</f>
        <v>0</v>
      </c>
      <c r="S717" s="10">
        <f>data_redis_illX!G650</f>
        <v>0</v>
      </c>
      <c r="T717" s="10">
        <f>data_redis_illX!H650</f>
        <v>2.6462516299610628</v>
      </c>
      <c r="U717" s="10">
        <f>data_redis_illX!I650</f>
        <v>3.8912335501067323</v>
      </c>
      <c r="V717" s="10">
        <f>data_redis_illX!J650</f>
        <v>0</v>
      </c>
      <c r="W717" s="10">
        <f>data_redis_illX!K650</f>
        <v>0</v>
      </c>
      <c r="X717" s="10">
        <f>data_redis_illX!L650</f>
        <v>9.7902097902097904E-2</v>
      </c>
      <c r="Y717" s="5">
        <f t="shared" si="11"/>
        <v>6.635387277969893</v>
      </c>
    </row>
    <row r="718" spans="3:25" x14ac:dyDescent="0.25">
      <c r="C718" t="s">
        <v>31</v>
      </c>
      <c r="D718">
        <f t="array" ref="D718:K718">(Q1442:Y1442*AE$4:AE$11+Q1805:Y1805*AF$4:AF$11+Q2168:Y2168*AG$4:AG$11)</f>
        <v>0</v>
      </c>
      <c r="E718">
        <v>0</v>
      </c>
      <c r="F718">
        <v>93.56962743107124</v>
      </c>
      <c r="G718">
        <v>198.33042125586655</v>
      </c>
      <c r="H718">
        <v>100.35836380184264</v>
      </c>
      <c r="I718">
        <v>2.5806214337586884</v>
      </c>
      <c r="J718">
        <v>2.2471428571428573</v>
      </c>
      <c r="K718">
        <v>6.0606060606060608E-2</v>
      </c>
      <c r="P718" s="2" t="s">
        <v>33</v>
      </c>
      <c r="Q718" s="10">
        <f>data_redis_illX!E651</f>
        <v>0</v>
      </c>
      <c r="R718" s="10">
        <f>data_redis_illX!F651</f>
        <v>0</v>
      </c>
      <c r="S718" s="10">
        <f>data_redis_illX!G651</f>
        <v>4.2702590362667001</v>
      </c>
      <c r="T718" s="10">
        <f>data_redis_illX!H651</f>
        <v>10.585006519844251</v>
      </c>
      <c r="U718" s="10">
        <f>data_redis_illX!I651</f>
        <v>7.7824671002134647</v>
      </c>
      <c r="V718" s="10">
        <f>data_redis_illX!J651</f>
        <v>0</v>
      </c>
      <c r="W718" s="10">
        <f>data_redis_illX!K651</f>
        <v>0</v>
      </c>
      <c r="X718" s="10">
        <f>data_redis_illX!L651</f>
        <v>9.7902097902097904E-2</v>
      </c>
      <c r="Y718" s="5">
        <f t="shared" si="11"/>
        <v>22.735634754226513</v>
      </c>
    </row>
    <row r="719" spans="3:25" x14ac:dyDescent="0.25">
      <c r="C719" t="s">
        <v>32</v>
      </c>
      <c r="D719">
        <f t="array" ref="D719:K719">(Q1443:Y1443*AE$4:AE$11+Q1806:Y1806*AF$4:AF$11+Q2169:Y2169*AG$4:AG$11)</f>
        <v>0</v>
      </c>
      <c r="E719">
        <v>0</v>
      </c>
      <c r="F719">
        <v>0</v>
      </c>
      <c r="G719">
        <v>0</v>
      </c>
      <c r="H719">
        <v>12.67605617054083</v>
      </c>
      <c r="I719">
        <v>2.5806214337586884</v>
      </c>
      <c r="J719">
        <v>0</v>
      </c>
      <c r="K719">
        <v>6.0606060606060608E-2</v>
      </c>
      <c r="P719" s="2" t="s">
        <v>34</v>
      </c>
      <c r="Q719" s="10">
        <f>data_redis_illX!E652</f>
        <v>0</v>
      </c>
      <c r="R719" s="10">
        <f>data_redis_illX!F652</f>
        <v>0</v>
      </c>
      <c r="S719" s="10">
        <f>data_redis_illX!G652</f>
        <v>0</v>
      </c>
      <c r="T719" s="10">
        <f>data_redis_illX!H652</f>
        <v>0</v>
      </c>
      <c r="U719" s="10">
        <f>data_redis_illX!I652</f>
        <v>0</v>
      </c>
      <c r="V719" s="10">
        <f>data_redis_illX!J652</f>
        <v>0</v>
      </c>
      <c r="W719" s="10">
        <f>data_redis_illX!K652</f>
        <v>0</v>
      </c>
      <c r="X719" s="10">
        <f>data_redis_illX!L652</f>
        <v>9.7902097902097904E-2</v>
      </c>
      <c r="Y719" s="5">
        <f t="shared" si="11"/>
        <v>9.7902097902097904E-2</v>
      </c>
    </row>
    <row r="720" spans="3:25" x14ac:dyDescent="0.25">
      <c r="C720" t="s">
        <v>33</v>
      </c>
      <c r="D720">
        <f t="array" ref="D720:K720">(Q1444:Y1444*AE$4:AE$11+Q1807:Y1807*AF$4:AF$11+Q2170:Y2170*AG$4:AG$11)</f>
        <v>0</v>
      </c>
      <c r="E720">
        <v>0</v>
      </c>
      <c r="F720">
        <v>11.003896229180766</v>
      </c>
      <c r="G720">
        <v>47.111347528670919</v>
      </c>
      <c r="H720">
        <v>27.461966971929414</v>
      </c>
      <c r="I720">
        <v>0</v>
      </c>
      <c r="J720">
        <v>0</v>
      </c>
      <c r="K720">
        <v>6.0606060606060608E-2</v>
      </c>
      <c r="P720" s="2" t="s">
        <v>35</v>
      </c>
      <c r="Q720" s="10">
        <f>data_redis_illX!E653</f>
        <v>0</v>
      </c>
      <c r="R720" s="10">
        <f>data_redis_illX!F653</f>
        <v>0</v>
      </c>
      <c r="S720" s="10">
        <f>data_redis_illX!G653</f>
        <v>0</v>
      </c>
      <c r="T720" s="10">
        <f>data_redis_illX!H653</f>
        <v>0</v>
      </c>
      <c r="U720" s="10">
        <f>data_redis_illX!I653</f>
        <v>0</v>
      </c>
      <c r="V720" s="10">
        <f>data_redis_illX!J653</f>
        <v>0</v>
      </c>
      <c r="W720" s="10">
        <f>data_redis_illX!K653</f>
        <v>0</v>
      </c>
      <c r="X720" s="10">
        <f>data_redis_illX!L653</f>
        <v>9.7902097902097904E-2</v>
      </c>
      <c r="Y720" s="5">
        <f t="shared" si="11"/>
        <v>9.7902097902097904E-2</v>
      </c>
    </row>
    <row r="721" spans="3:25" x14ac:dyDescent="0.25">
      <c r="C721" t="s">
        <v>34</v>
      </c>
      <c r="D721">
        <f t="array" ref="D721:K721">(Q1445:Y1445*AE$4:AE$11+Q1808:Y1808*AF$4:AF$11+Q2171:Y2171*AG$4:AG$11)</f>
        <v>0</v>
      </c>
      <c r="E721">
        <v>0</v>
      </c>
      <c r="F721">
        <v>5.3526619557208583</v>
      </c>
      <c r="G721">
        <v>0</v>
      </c>
      <c r="H721">
        <v>6.3380280852704152</v>
      </c>
      <c r="I721">
        <v>0</v>
      </c>
      <c r="J721">
        <v>0</v>
      </c>
      <c r="K721">
        <v>6.0606060606060608E-2</v>
      </c>
      <c r="P721" s="2" t="s">
        <v>36</v>
      </c>
      <c r="Q721" s="10">
        <f>data_redis_illX!E654</f>
        <v>0</v>
      </c>
      <c r="R721" s="10">
        <f>data_redis_illX!F654</f>
        <v>0</v>
      </c>
      <c r="S721" s="10">
        <f>data_redis_illX!G654</f>
        <v>0</v>
      </c>
      <c r="T721" s="10">
        <f>data_redis_illX!H654</f>
        <v>0</v>
      </c>
      <c r="U721" s="10">
        <f>data_redis_illX!I654</f>
        <v>0</v>
      </c>
      <c r="V721" s="10">
        <f>data_redis_illX!J654</f>
        <v>0</v>
      </c>
      <c r="W721" s="10">
        <f>data_redis_illX!K654</f>
        <v>0</v>
      </c>
      <c r="X721" s="10">
        <f>data_redis_illX!L654</f>
        <v>9.7902097902097904E-2</v>
      </c>
      <c r="Y721" s="5">
        <f t="shared" si="11"/>
        <v>9.7902097902097904E-2</v>
      </c>
    </row>
    <row r="722" spans="3:25" x14ac:dyDescent="0.25">
      <c r="C722" t="s">
        <v>35</v>
      </c>
      <c r="D722">
        <f t="array" ref="D722:K722">(Q1446:Y1446*AE$4:AE$11+Q1809:Y1809*AF$4:AF$11+Q2172:Y2172*AG$4:AG$11)</f>
        <v>0</v>
      </c>
      <c r="E722">
        <v>0</v>
      </c>
      <c r="F722">
        <v>1.8837447578199693</v>
      </c>
      <c r="G722">
        <v>0</v>
      </c>
      <c r="H722">
        <v>12.154036315272808</v>
      </c>
      <c r="I722">
        <v>0</v>
      </c>
      <c r="J722">
        <v>0</v>
      </c>
      <c r="K722">
        <v>6.0606060606060608E-2</v>
      </c>
      <c r="P722" s="2" t="s">
        <v>37</v>
      </c>
      <c r="Q722" s="10">
        <f>data_redis_illX!E655</f>
        <v>0</v>
      </c>
      <c r="R722" s="10">
        <f>data_redis_illX!F655</f>
        <v>0</v>
      </c>
      <c r="S722" s="10">
        <f>data_redis_illX!G655</f>
        <v>0</v>
      </c>
      <c r="T722" s="10">
        <f>data_redis_illX!H655</f>
        <v>0</v>
      </c>
      <c r="U722" s="10">
        <f>data_redis_illX!I655</f>
        <v>0</v>
      </c>
      <c r="V722" s="10">
        <f>data_redis_illX!J655</f>
        <v>0</v>
      </c>
      <c r="W722" s="10">
        <f>data_redis_illX!K655</f>
        <v>0</v>
      </c>
      <c r="X722" s="10">
        <f>data_redis_illX!L655</f>
        <v>9.7902097902097904E-2</v>
      </c>
      <c r="Y722" s="5">
        <f t="shared" si="11"/>
        <v>9.7902097902097904E-2</v>
      </c>
    </row>
    <row r="723" spans="3:25" x14ac:dyDescent="0.25">
      <c r="C723" t="s">
        <v>36</v>
      </c>
      <c r="D723">
        <f t="array" ref="D723:K723">(Q1447:Y1447*AE$4:AE$11+Q1810:Y1810*AF$4:AF$11+Q2173:Y2173*AG$4:AG$11)</f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6.0606060606060608E-2</v>
      </c>
      <c r="P723" s="2" t="s">
        <v>38</v>
      </c>
      <c r="Q723" s="10">
        <f>data_redis_illX!E656</f>
        <v>0</v>
      </c>
      <c r="R723" s="10">
        <f>data_redis_illX!F656</f>
        <v>0</v>
      </c>
      <c r="S723" s="10">
        <f>data_redis_illX!G656</f>
        <v>0</v>
      </c>
      <c r="T723" s="10">
        <f>data_redis_illX!H656</f>
        <v>0</v>
      </c>
      <c r="U723" s="10">
        <f>data_redis_illX!I656</f>
        <v>0</v>
      </c>
      <c r="V723" s="10">
        <f>data_redis_illX!J656</f>
        <v>0</v>
      </c>
      <c r="W723" s="10">
        <f>data_redis_illX!K656</f>
        <v>0</v>
      </c>
      <c r="X723" s="10">
        <f>data_redis_illX!L656</f>
        <v>9.7902097902097904E-2</v>
      </c>
      <c r="Y723" s="5">
        <f t="shared" si="11"/>
        <v>9.7902097902097904E-2</v>
      </c>
    </row>
    <row r="724" spans="3:25" x14ac:dyDescent="0.25">
      <c r="C724" t="s">
        <v>37</v>
      </c>
      <c r="D724">
        <f t="array" ref="D724:K724">(Q1448:Y1448*AE$4:AE$11+Q1811:Y1811*AF$4:AF$11+Q2174:Y2174*AG$4:AG$11)</f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6.0606060606060608E-2</v>
      </c>
      <c r="P724" s="2" t="s">
        <v>39</v>
      </c>
      <c r="Q724" s="10">
        <f>data_redis_illX!E657</f>
        <v>0</v>
      </c>
      <c r="R724" s="10">
        <f>data_redis_illX!F657</f>
        <v>0</v>
      </c>
      <c r="S724" s="10">
        <f>data_redis_illX!G657</f>
        <v>4.2702590362667001</v>
      </c>
      <c r="T724" s="10">
        <f>data_redis_illX!H657</f>
        <v>5.2925032599221256</v>
      </c>
      <c r="U724" s="10">
        <f>data_redis_illX!I657</f>
        <v>0</v>
      </c>
      <c r="V724" s="10">
        <f>data_redis_illX!J657</f>
        <v>0</v>
      </c>
      <c r="W724" s="10">
        <f>data_redis_illX!K657</f>
        <v>0</v>
      </c>
      <c r="X724" s="10">
        <f>data_redis_illX!L657</f>
        <v>9.7902097902097904E-2</v>
      </c>
      <c r="Y724" s="5">
        <f t="shared" si="11"/>
        <v>9.660664394090924</v>
      </c>
    </row>
    <row r="725" spans="3:25" x14ac:dyDescent="0.25">
      <c r="C725" t="s">
        <v>38</v>
      </c>
      <c r="D725">
        <f t="array" ref="D725:K725">(Q1449:Y1449*AE$4:AE$11+Q1812:Y1812*AF$4:AF$11+Q2175:Y2175*AG$4:AG$11)</f>
        <v>0</v>
      </c>
      <c r="E725">
        <v>0</v>
      </c>
      <c r="F725">
        <v>1.8837447578199693</v>
      </c>
      <c r="G725">
        <v>5.9479873105241996</v>
      </c>
      <c r="H725">
        <v>6.3380280852704152</v>
      </c>
      <c r="I725">
        <v>0</v>
      </c>
      <c r="J725">
        <v>0</v>
      </c>
      <c r="K725">
        <v>6.0606060606060608E-2</v>
      </c>
      <c r="P725" s="2" t="s">
        <v>40</v>
      </c>
      <c r="Q725" s="10">
        <f>data_redis_illX!E658</f>
        <v>0</v>
      </c>
      <c r="R725" s="10">
        <f>data_redis_illX!F658</f>
        <v>0</v>
      </c>
      <c r="S725" s="10">
        <f>data_redis_illX!G658</f>
        <v>6.4053885544000497</v>
      </c>
      <c r="T725" s="10">
        <f>data_redis_illX!H658</f>
        <v>13.231258149805315</v>
      </c>
      <c r="U725" s="10">
        <f>data_redis_illX!I658</f>
        <v>11.673700650320198</v>
      </c>
      <c r="V725" s="10">
        <f>data_redis_illX!J658</f>
        <v>0</v>
      </c>
      <c r="W725" s="10">
        <f>data_redis_illX!K658</f>
        <v>0</v>
      </c>
      <c r="X725" s="10">
        <f>data_redis_illX!L658</f>
        <v>9.7902097902097904E-2</v>
      </c>
      <c r="Y725" s="5">
        <f t="shared" si="11"/>
        <v>31.408249452427658</v>
      </c>
    </row>
    <row r="726" spans="3:25" x14ac:dyDescent="0.25">
      <c r="C726" t="s">
        <v>39</v>
      </c>
      <c r="D726">
        <f t="array" ref="D726:K726">(Q1450:Y1450*AE$4:AE$11+Q1813:Y1813*AF$4:AF$11+Q2176:Y2176*AG$4:AG$11)</f>
        <v>0</v>
      </c>
      <c r="E726">
        <v>0</v>
      </c>
      <c r="F726">
        <v>34.596861127623214</v>
      </c>
      <c r="G726">
        <v>88.747258702340318</v>
      </c>
      <c r="H726">
        <v>34.870646659069905</v>
      </c>
      <c r="I726">
        <v>0</v>
      </c>
      <c r="J726">
        <v>0</v>
      </c>
      <c r="K726">
        <v>6.0606060606060608E-2</v>
      </c>
      <c r="P726" s="2" t="s">
        <v>41</v>
      </c>
      <c r="Q726" s="10">
        <f>data_redis_illX!E659</f>
        <v>0</v>
      </c>
      <c r="R726" s="10">
        <f>data_redis_illX!F659</f>
        <v>0</v>
      </c>
      <c r="S726" s="10">
        <f>data_redis_illX!G659</f>
        <v>2.1351295181333501</v>
      </c>
      <c r="T726" s="10">
        <f>data_redis_illX!H659</f>
        <v>2.6462516299610628</v>
      </c>
      <c r="U726" s="10">
        <f>data_redis_illX!I659</f>
        <v>11.673700650320198</v>
      </c>
      <c r="V726" s="10">
        <f>data_redis_illX!J659</f>
        <v>0</v>
      </c>
      <c r="W726" s="10">
        <f>data_redis_illX!K659</f>
        <v>0</v>
      </c>
      <c r="X726" s="10">
        <f>data_redis_illX!L659</f>
        <v>9.7902097902097904E-2</v>
      </c>
      <c r="Y726" s="5">
        <f t="shared" si="11"/>
        <v>16.552983896316707</v>
      </c>
    </row>
    <row r="727" spans="3:25" x14ac:dyDescent="0.25">
      <c r="C727" t="s">
        <v>40</v>
      </c>
      <c r="D727">
        <f t="array" ref="D727:K727">(Q1451:Y1451*AE$4:AE$11+Q1814:Y1814*AF$4:AF$11+Q2177:Y2177*AG$4:AG$11)</f>
        <v>0</v>
      </c>
      <c r="E727">
        <v>0</v>
      </c>
      <c r="F727">
        <v>67.309977497426473</v>
      </c>
      <c r="G727">
        <v>251.30552425619862</v>
      </c>
      <c r="H727">
        <v>179.59641622819504</v>
      </c>
      <c r="I727">
        <v>41.912026226886532</v>
      </c>
      <c r="J727">
        <v>8.2899936512487589</v>
      </c>
      <c r="K727">
        <v>6.0606060606060608E-2</v>
      </c>
      <c r="P727" s="2" t="s">
        <v>42</v>
      </c>
      <c r="Q727" s="10">
        <f>data_redis_illX!E660</f>
        <v>0</v>
      </c>
      <c r="R727" s="10">
        <f>data_redis_illX!F660</f>
        <v>0</v>
      </c>
      <c r="S727" s="10">
        <f>data_redis_illX!G660</f>
        <v>14.945906626933445</v>
      </c>
      <c r="T727" s="10">
        <f>data_redis_illX!H660</f>
        <v>13.231258149805315</v>
      </c>
      <c r="U727" s="10">
        <f>data_redis_illX!I660</f>
        <v>27.238634850747129</v>
      </c>
      <c r="V727" s="10">
        <f>data_redis_illX!J660</f>
        <v>0</v>
      </c>
      <c r="W727" s="10">
        <f>data_redis_illX!K660</f>
        <v>0</v>
      </c>
      <c r="X727" s="10">
        <f>data_redis_illX!L660</f>
        <v>9.7902097902097904E-2</v>
      </c>
      <c r="Y727" s="5">
        <f t="shared" si="11"/>
        <v>55.513701725387989</v>
      </c>
    </row>
    <row r="728" spans="3:25" x14ac:dyDescent="0.25">
      <c r="C728" t="s">
        <v>41</v>
      </c>
      <c r="D728">
        <f t="array" ref="D728:K728">(Q1452:Y1452*AE$4:AE$11+Q1815:Y1815*AF$4:AF$11+Q2178:Y2178*AG$4:AG$11)</f>
        <v>0</v>
      </c>
      <c r="E728">
        <v>0</v>
      </c>
      <c r="F728">
        <v>18.240302942721595</v>
      </c>
      <c r="G728">
        <v>77.577753133822426</v>
      </c>
      <c r="H728">
        <v>20.604337372170164</v>
      </c>
      <c r="I728">
        <v>2.5806214337586884</v>
      </c>
      <c r="J728">
        <v>0</v>
      </c>
      <c r="K728">
        <v>6.0606060606060608E-2</v>
      </c>
      <c r="P728" s="2" t="s">
        <v>43</v>
      </c>
      <c r="Q728" s="10">
        <f>data_redis_illX!E661</f>
        <v>0</v>
      </c>
      <c r="R728" s="10">
        <f>data_redis_illX!F661</f>
        <v>0</v>
      </c>
      <c r="S728" s="10">
        <f>data_redis_illX!G661</f>
        <v>42.702590362666989</v>
      </c>
      <c r="T728" s="10">
        <f>data_redis_illX!H661</f>
        <v>82.033800528792952</v>
      </c>
      <c r="U728" s="10">
        <f>data_redis_illX!I661</f>
        <v>124.51947360341543</v>
      </c>
      <c r="V728" s="10">
        <f>data_redis_illX!J661</f>
        <v>17.692170266756566</v>
      </c>
      <c r="W728" s="10">
        <f>data_redis_illX!K661</f>
        <v>6.6212686567164178</v>
      </c>
      <c r="X728" s="10">
        <f>data_redis_illX!L661</f>
        <v>9.7902097902097904E-2</v>
      </c>
      <c r="Y728" s="5">
        <f t="shared" si="11"/>
        <v>273.66720551625048</v>
      </c>
    </row>
    <row r="729" spans="3:25" x14ac:dyDescent="0.25">
      <c r="C729" t="s">
        <v>42</v>
      </c>
      <c r="D729">
        <f t="array" ref="D729:K729">(Q1453:Y1453*AE$4:AE$11+Q1816:Y1816*AF$4:AF$11+Q2179:Y2179*AG$4:AG$11)</f>
        <v>0</v>
      </c>
      <c r="E729">
        <v>0</v>
      </c>
      <c r="F729">
        <v>62.678195960711776</v>
      </c>
      <c r="G729">
        <v>110.69733943250698</v>
      </c>
      <c r="H729">
        <v>67.603617625568447</v>
      </c>
      <c r="I729">
        <v>7.8662809586255698</v>
      </c>
      <c r="J729">
        <v>0</v>
      </c>
      <c r="K729">
        <v>6.0606060606060608E-2</v>
      </c>
      <c r="P729" s="2" t="s">
        <v>44</v>
      </c>
      <c r="Q729" s="10">
        <f>data_redis_illX!E662</f>
        <v>0</v>
      </c>
      <c r="R729" s="10">
        <f>data_redis_illX!F662</f>
        <v>0</v>
      </c>
      <c r="S729" s="10">
        <f>data_redis_illX!G662</f>
        <v>12.810777108800099</v>
      </c>
      <c r="T729" s="10">
        <f>data_redis_illX!H662</f>
        <v>29.108767929571691</v>
      </c>
      <c r="U729" s="10">
        <f>data_redis_illX!I662</f>
        <v>19.456167750533666</v>
      </c>
      <c r="V729" s="10">
        <f>data_redis_illX!J662</f>
        <v>0</v>
      </c>
      <c r="W729" s="10">
        <f>data_redis_illX!K662</f>
        <v>0</v>
      </c>
      <c r="X729" s="10">
        <f>data_redis_illX!L662</f>
        <v>9.7902097902097904E-2</v>
      </c>
      <c r="Y729" s="5">
        <f t="shared" si="11"/>
        <v>61.47361488680756</v>
      </c>
    </row>
    <row r="730" spans="3:25" x14ac:dyDescent="0.25">
      <c r="C730" t="s">
        <v>43</v>
      </c>
      <c r="D730">
        <f t="array" ref="D730:K730">(Q1454:Y1454*AE$4:AE$11+Q1817:Y1817*AF$4:AF$11+Q2180:Y2180*AG$4:AG$11)</f>
        <v>0</v>
      </c>
      <c r="E730">
        <v>0</v>
      </c>
      <c r="F730">
        <v>1726.292996311372</v>
      </c>
      <c r="G730">
        <v>3933.4511681632198</v>
      </c>
      <c r="H730">
        <v>2334.5368984674569</v>
      </c>
      <c r="I730">
        <v>403.47868351366844</v>
      </c>
      <c r="J730">
        <v>35.40711746213789</v>
      </c>
      <c r="K730">
        <v>6.0606060606060608E-2</v>
      </c>
      <c r="M730" t="s">
        <v>104</v>
      </c>
      <c r="N730" t="s">
        <v>117</v>
      </c>
      <c r="O730" t="s">
        <v>102</v>
      </c>
      <c r="P730" s="2" t="s">
        <v>12</v>
      </c>
      <c r="Q730" s="10"/>
      <c r="R730" s="10"/>
      <c r="S730" s="10"/>
      <c r="T730" s="10"/>
      <c r="U730" s="10"/>
      <c r="V730" s="10"/>
      <c r="W730" s="10"/>
      <c r="X730" s="10"/>
      <c r="Y730" s="5">
        <f t="shared" si="11"/>
        <v>0</v>
      </c>
    </row>
    <row r="731" spans="3:25" x14ac:dyDescent="0.25">
      <c r="C731" t="s">
        <v>44</v>
      </c>
      <c r="D731">
        <f t="array" ref="D731:K731">(Q1455:Y1455*AE$4:AE$11+Q1818:Y1818*AF$4:AF$11+Q2181:Y2181*AG$4:AG$11)</f>
        <v>0</v>
      </c>
      <c r="E731">
        <v>0</v>
      </c>
      <c r="F731">
        <v>108.1530312310871</v>
      </c>
      <c r="G731">
        <v>166.40985496523516</v>
      </c>
      <c r="H731">
        <v>69.714681426805782</v>
      </c>
      <c r="I731">
        <v>24.297848189167311</v>
      </c>
      <c r="J731">
        <v>0</v>
      </c>
      <c r="K731">
        <v>6.0606060606060608E-2</v>
      </c>
      <c r="P731" s="2" t="s">
        <v>13</v>
      </c>
      <c r="Q731" s="10"/>
      <c r="R731" s="10"/>
      <c r="S731" s="10"/>
      <c r="T731" s="10"/>
      <c r="U731" s="10"/>
      <c r="V731" s="10"/>
      <c r="W731" s="10"/>
      <c r="X731" s="10"/>
      <c r="Y731" s="5">
        <f t="shared" si="11"/>
        <v>0</v>
      </c>
    </row>
    <row r="732" spans="3:25" x14ac:dyDescent="0.25">
      <c r="P732" s="2" t="s">
        <v>14</v>
      </c>
      <c r="Q732" s="10"/>
      <c r="R732" s="10"/>
      <c r="S732" s="10"/>
      <c r="T732" s="10"/>
      <c r="U732" s="10"/>
      <c r="V732" s="10"/>
      <c r="W732" s="10"/>
      <c r="X732" s="10"/>
      <c r="Y732" s="5">
        <f t="shared" si="11"/>
        <v>0</v>
      </c>
    </row>
    <row r="733" spans="3:25" x14ac:dyDescent="0.25">
      <c r="P733" s="2" t="s">
        <v>15</v>
      </c>
      <c r="Q733" s="10"/>
      <c r="R733" s="10"/>
      <c r="S733" s="10"/>
      <c r="T733" s="10"/>
      <c r="U733" s="10"/>
      <c r="V733" s="10"/>
      <c r="W733" s="10"/>
      <c r="X733" s="10"/>
      <c r="Y733" s="5">
        <f t="shared" si="11"/>
        <v>0</v>
      </c>
    </row>
    <row r="734" spans="3:25" x14ac:dyDescent="0.25">
      <c r="P734" s="2" t="s">
        <v>16</v>
      </c>
      <c r="Q734" s="10"/>
      <c r="R734" s="10"/>
      <c r="S734" s="10"/>
      <c r="T734" s="10"/>
      <c r="U734" s="10"/>
      <c r="V734" s="10"/>
      <c r="W734" s="10"/>
      <c r="X734" s="10"/>
      <c r="Y734" s="5">
        <f t="shared" si="11"/>
        <v>0</v>
      </c>
    </row>
    <row r="735" spans="3:25" x14ac:dyDescent="0.25">
      <c r="P735" s="2" t="s">
        <v>17</v>
      </c>
      <c r="Q735" s="10"/>
      <c r="R735" s="10"/>
      <c r="S735" s="10"/>
      <c r="T735" s="10"/>
      <c r="U735" s="10"/>
      <c r="V735" s="10"/>
      <c r="W735" s="10"/>
      <c r="X735" s="10"/>
      <c r="Y735" s="5">
        <f t="shared" si="11"/>
        <v>0</v>
      </c>
    </row>
    <row r="736" spans="3:25" x14ac:dyDescent="0.25">
      <c r="P736" s="2" t="s">
        <v>18</v>
      </c>
      <c r="Q736" s="10"/>
      <c r="R736" s="10"/>
      <c r="S736" s="10"/>
      <c r="T736" s="10"/>
      <c r="U736" s="10"/>
      <c r="V736" s="10"/>
      <c r="W736" s="10"/>
      <c r="X736" s="10"/>
      <c r="Y736" s="5">
        <f t="shared" si="11"/>
        <v>0</v>
      </c>
    </row>
    <row r="737" spans="16:25" x14ac:dyDescent="0.25">
      <c r="P737" s="2" t="s">
        <v>19</v>
      </c>
      <c r="Q737" s="10"/>
      <c r="R737" s="10"/>
      <c r="S737" s="10"/>
      <c r="T737" s="10"/>
      <c r="U737" s="10"/>
      <c r="V737" s="10"/>
      <c r="W737" s="10"/>
      <c r="X737" s="10"/>
      <c r="Y737" s="5">
        <f t="shared" si="11"/>
        <v>0</v>
      </c>
    </row>
    <row r="738" spans="16:25" x14ac:dyDescent="0.25">
      <c r="P738" s="2" t="s">
        <v>20</v>
      </c>
      <c r="Q738" s="10"/>
      <c r="R738" s="10"/>
      <c r="S738" s="10"/>
      <c r="T738" s="10"/>
      <c r="U738" s="10"/>
      <c r="V738" s="10"/>
      <c r="W738" s="10"/>
      <c r="X738" s="10"/>
      <c r="Y738" s="5">
        <f t="shared" si="11"/>
        <v>0</v>
      </c>
    </row>
    <row r="739" spans="16:25" x14ac:dyDescent="0.25">
      <c r="P739" s="2" t="s">
        <v>21</v>
      </c>
      <c r="Q739" s="10"/>
      <c r="R739" s="10"/>
      <c r="S739" s="10"/>
      <c r="T739" s="10"/>
      <c r="U739" s="10"/>
      <c r="V739" s="10"/>
      <c r="W739" s="10"/>
      <c r="X739" s="10"/>
      <c r="Y739" s="5">
        <f t="shared" si="11"/>
        <v>0</v>
      </c>
    </row>
    <row r="740" spans="16:25" x14ac:dyDescent="0.25">
      <c r="P740" s="2" t="s">
        <v>22</v>
      </c>
      <c r="Q740" s="10"/>
      <c r="R740" s="10"/>
      <c r="S740" s="10"/>
      <c r="T740" s="10"/>
      <c r="U740" s="10"/>
      <c r="V740" s="10"/>
      <c r="W740" s="10"/>
      <c r="X740" s="10"/>
      <c r="Y740" s="5">
        <f t="shared" si="11"/>
        <v>0</v>
      </c>
    </row>
    <row r="741" spans="16:25" x14ac:dyDescent="0.25">
      <c r="P741" s="2" t="s">
        <v>23</v>
      </c>
      <c r="Q741" s="10"/>
      <c r="R741" s="10"/>
      <c r="S741" s="10"/>
      <c r="T741" s="10"/>
      <c r="U741" s="10"/>
      <c r="V741" s="10"/>
      <c r="W741" s="10"/>
      <c r="X741" s="10"/>
      <c r="Y741" s="5">
        <f t="shared" si="11"/>
        <v>0</v>
      </c>
    </row>
    <row r="742" spans="16:25" x14ac:dyDescent="0.25">
      <c r="P742" s="2" t="s">
        <v>24</v>
      </c>
      <c r="Q742" s="10"/>
      <c r="R742" s="10"/>
      <c r="S742" s="10"/>
      <c r="T742" s="10"/>
      <c r="U742" s="10"/>
      <c r="V742" s="10"/>
      <c r="W742" s="10"/>
      <c r="X742" s="10"/>
      <c r="Y742" s="5">
        <f t="shared" si="11"/>
        <v>0</v>
      </c>
    </row>
    <row r="743" spans="16:25" x14ac:dyDescent="0.25">
      <c r="P743" s="2" t="s">
        <v>25</v>
      </c>
      <c r="Q743" s="10"/>
      <c r="R743" s="10"/>
      <c r="S743" s="10"/>
      <c r="T743" s="10"/>
      <c r="U743" s="10"/>
      <c r="V743" s="10"/>
      <c r="W743" s="10"/>
      <c r="X743" s="10"/>
      <c r="Y743" s="5">
        <f t="shared" si="11"/>
        <v>0</v>
      </c>
    </row>
    <row r="744" spans="16:25" x14ac:dyDescent="0.25">
      <c r="P744" s="2" t="s">
        <v>26</v>
      </c>
      <c r="Q744" s="10"/>
      <c r="R744" s="10"/>
      <c r="S744" s="10"/>
      <c r="T744" s="10"/>
      <c r="U744" s="10"/>
      <c r="V744" s="10"/>
      <c r="W744" s="10"/>
      <c r="X744" s="10"/>
      <c r="Y744" s="5">
        <f t="shared" si="11"/>
        <v>0</v>
      </c>
    </row>
    <row r="745" spans="16:25" x14ac:dyDescent="0.25">
      <c r="P745" s="2" t="s">
        <v>27</v>
      </c>
      <c r="Q745" s="10"/>
      <c r="R745" s="10"/>
      <c r="S745" s="10"/>
      <c r="T745" s="10"/>
      <c r="U745" s="10"/>
      <c r="V745" s="10"/>
      <c r="W745" s="10"/>
      <c r="X745" s="10"/>
      <c r="Y745" s="5">
        <f t="shared" si="11"/>
        <v>0</v>
      </c>
    </row>
    <row r="746" spans="16:25" x14ac:dyDescent="0.25">
      <c r="P746" s="2" t="s">
        <v>28</v>
      </c>
      <c r="Q746" s="10"/>
      <c r="R746" s="10"/>
      <c r="S746" s="10"/>
      <c r="T746" s="10"/>
      <c r="U746" s="10"/>
      <c r="V746" s="10"/>
      <c r="W746" s="10"/>
      <c r="X746" s="10"/>
      <c r="Y746" s="5">
        <f t="shared" si="11"/>
        <v>0</v>
      </c>
    </row>
    <row r="747" spans="16:25" x14ac:dyDescent="0.25">
      <c r="P747" s="2" t="s">
        <v>29</v>
      </c>
      <c r="Q747" s="10"/>
      <c r="R747" s="10"/>
      <c r="S747" s="10"/>
      <c r="T747" s="10"/>
      <c r="U747" s="10"/>
      <c r="V747" s="10"/>
      <c r="W747" s="10"/>
      <c r="X747" s="10"/>
      <c r="Y747" s="5">
        <f t="shared" si="11"/>
        <v>0</v>
      </c>
    </row>
    <row r="748" spans="16:25" x14ac:dyDescent="0.25">
      <c r="P748" s="2" t="s">
        <v>30</v>
      </c>
      <c r="Q748" s="10"/>
      <c r="R748" s="10"/>
      <c r="S748" s="10"/>
      <c r="T748" s="10"/>
      <c r="U748" s="10"/>
      <c r="V748" s="10"/>
      <c r="W748" s="10"/>
      <c r="X748" s="10"/>
      <c r="Y748" s="5">
        <f t="shared" si="11"/>
        <v>0</v>
      </c>
    </row>
    <row r="749" spans="16:25" x14ac:dyDescent="0.25">
      <c r="P749" s="2" t="s">
        <v>31</v>
      </c>
      <c r="Q749" s="10"/>
      <c r="R749" s="10"/>
      <c r="S749" s="10"/>
      <c r="T749" s="10"/>
      <c r="U749" s="10"/>
      <c r="V749" s="10"/>
      <c r="W749" s="10"/>
      <c r="X749" s="10"/>
      <c r="Y749" s="5">
        <f t="shared" si="11"/>
        <v>0</v>
      </c>
    </row>
    <row r="750" spans="16:25" x14ac:dyDescent="0.25">
      <c r="P750" s="2" t="s">
        <v>32</v>
      </c>
      <c r="Q750" s="10"/>
      <c r="R750" s="10"/>
      <c r="S750" s="10"/>
      <c r="T750" s="10"/>
      <c r="U750" s="10"/>
      <c r="V750" s="10"/>
      <c r="W750" s="10"/>
      <c r="X750" s="10"/>
      <c r="Y750" s="5">
        <f t="shared" si="11"/>
        <v>0</v>
      </c>
    </row>
    <row r="751" spans="16:25" x14ac:dyDescent="0.25">
      <c r="P751" s="2" t="s">
        <v>33</v>
      </c>
      <c r="Q751" s="10"/>
      <c r="R751" s="10"/>
      <c r="S751" s="10"/>
      <c r="T751" s="10"/>
      <c r="U751" s="10"/>
      <c r="V751" s="10"/>
      <c r="W751" s="10"/>
      <c r="X751" s="10"/>
      <c r="Y751" s="5">
        <f t="shared" si="11"/>
        <v>0</v>
      </c>
    </row>
    <row r="752" spans="16:25" x14ac:dyDescent="0.25">
      <c r="P752" s="2" t="s">
        <v>34</v>
      </c>
      <c r="Q752" s="10"/>
      <c r="R752" s="10"/>
      <c r="S752" s="10"/>
      <c r="T752" s="10"/>
      <c r="U752" s="10"/>
      <c r="V752" s="10"/>
      <c r="W752" s="10"/>
      <c r="X752" s="10"/>
      <c r="Y752" s="5">
        <f t="shared" si="11"/>
        <v>0</v>
      </c>
    </row>
    <row r="753" spans="13:25" x14ac:dyDescent="0.25">
      <c r="P753" s="2" t="s">
        <v>35</v>
      </c>
      <c r="Q753" s="10"/>
      <c r="R753" s="10"/>
      <c r="S753" s="10"/>
      <c r="T753" s="10"/>
      <c r="U753" s="10"/>
      <c r="V753" s="10"/>
      <c r="W753" s="10"/>
      <c r="X753" s="10"/>
      <c r="Y753" s="5">
        <f t="shared" si="11"/>
        <v>0</v>
      </c>
    </row>
    <row r="754" spans="13:25" x14ac:dyDescent="0.25">
      <c r="P754" s="2" t="s">
        <v>36</v>
      </c>
      <c r="Q754" s="10"/>
      <c r="R754" s="10"/>
      <c r="S754" s="10"/>
      <c r="T754" s="10"/>
      <c r="U754" s="10"/>
      <c r="V754" s="10"/>
      <c r="W754" s="10"/>
      <c r="X754" s="10"/>
      <c r="Y754" s="5">
        <f t="shared" si="11"/>
        <v>0</v>
      </c>
    </row>
    <row r="755" spans="13:25" x14ac:dyDescent="0.25">
      <c r="P755" s="2" t="s">
        <v>37</v>
      </c>
      <c r="Q755" s="10"/>
      <c r="R755" s="10"/>
      <c r="S755" s="10"/>
      <c r="T755" s="10"/>
      <c r="U755" s="10"/>
      <c r="V755" s="10"/>
      <c r="W755" s="10"/>
      <c r="X755" s="10"/>
      <c r="Y755" s="5">
        <f t="shared" si="11"/>
        <v>0</v>
      </c>
    </row>
    <row r="756" spans="13:25" x14ac:dyDescent="0.25">
      <c r="P756" s="2" t="s">
        <v>38</v>
      </c>
      <c r="Q756" s="10"/>
      <c r="R756" s="10"/>
      <c r="S756" s="10"/>
      <c r="T756" s="10"/>
      <c r="U756" s="10"/>
      <c r="V756" s="10"/>
      <c r="W756" s="10"/>
      <c r="X756" s="10"/>
      <c r="Y756" s="5">
        <f t="shared" si="11"/>
        <v>0</v>
      </c>
    </row>
    <row r="757" spans="13:25" x14ac:dyDescent="0.25">
      <c r="P757" s="2" t="s">
        <v>39</v>
      </c>
      <c r="Q757" s="10"/>
      <c r="R757" s="10"/>
      <c r="S757" s="10"/>
      <c r="T757" s="10"/>
      <c r="U757" s="10"/>
      <c r="V757" s="10"/>
      <c r="W757" s="10"/>
      <c r="X757" s="10"/>
      <c r="Y757" s="5">
        <f t="shared" si="11"/>
        <v>0</v>
      </c>
    </row>
    <row r="758" spans="13:25" x14ac:dyDescent="0.25">
      <c r="P758" s="2" t="s">
        <v>40</v>
      </c>
      <c r="Q758" s="10"/>
      <c r="R758" s="10"/>
      <c r="S758" s="10"/>
      <c r="T758" s="10"/>
      <c r="U758" s="10"/>
      <c r="V758" s="10"/>
      <c r="W758" s="10"/>
      <c r="X758" s="10"/>
      <c r="Y758" s="5">
        <f t="shared" si="11"/>
        <v>0</v>
      </c>
    </row>
    <row r="759" spans="13:25" x14ac:dyDescent="0.25">
      <c r="P759" s="2" t="s">
        <v>41</v>
      </c>
      <c r="Q759" s="10"/>
      <c r="R759" s="10"/>
      <c r="S759" s="10"/>
      <c r="T759" s="10"/>
      <c r="U759" s="10"/>
      <c r="V759" s="10"/>
      <c r="W759" s="10"/>
      <c r="X759" s="10"/>
      <c r="Y759" s="5">
        <f t="shared" si="11"/>
        <v>0</v>
      </c>
    </row>
    <row r="760" spans="13:25" x14ac:dyDescent="0.25">
      <c r="P760" s="2" t="s">
        <v>42</v>
      </c>
      <c r="Q760" s="10"/>
      <c r="R760" s="10"/>
      <c r="S760" s="10"/>
      <c r="T760" s="10"/>
      <c r="U760" s="10"/>
      <c r="V760" s="10"/>
      <c r="W760" s="10"/>
      <c r="X760" s="10"/>
      <c r="Y760" s="5">
        <f t="shared" si="11"/>
        <v>0</v>
      </c>
    </row>
    <row r="761" spans="13:25" x14ac:dyDescent="0.25">
      <c r="P761" s="2" t="s">
        <v>43</v>
      </c>
      <c r="Q761" s="10"/>
      <c r="R761" s="10"/>
      <c r="S761" s="10"/>
      <c r="T761" s="10"/>
      <c r="U761" s="10"/>
      <c r="V761" s="10"/>
      <c r="W761" s="10"/>
      <c r="X761" s="10"/>
      <c r="Y761" s="5">
        <f t="shared" si="11"/>
        <v>0</v>
      </c>
    </row>
    <row r="762" spans="13:25" x14ac:dyDescent="0.25">
      <c r="P762" s="2" t="s">
        <v>44</v>
      </c>
      <c r="Q762" s="10"/>
      <c r="R762" s="10"/>
      <c r="S762" s="10"/>
      <c r="T762" s="10"/>
      <c r="U762" s="10"/>
      <c r="V762" s="10"/>
      <c r="W762" s="10"/>
      <c r="X762" s="10"/>
      <c r="Y762" s="5">
        <f t="shared" si="11"/>
        <v>0</v>
      </c>
    </row>
    <row r="763" spans="13:25" x14ac:dyDescent="0.25">
      <c r="M763" t="s">
        <v>104</v>
      </c>
      <c r="N763" t="s">
        <v>117</v>
      </c>
      <c r="O763" t="s">
        <v>45</v>
      </c>
      <c r="P763" s="2" t="s">
        <v>12</v>
      </c>
      <c r="Q763" s="10">
        <f>data_redis_illX!E663</f>
        <v>0</v>
      </c>
      <c r="R763" s="10">
        <f>data_redis_illX!F663</f>
        <v>0</v>
      </c>
      <c r="S763" s="10">
        <f>data_redis_illX!G663</f>
        <v>0</v>
      </c>
      <c r="T763" s="10">
        <f>data_redis_illX!H663</f>
        <v>0</v>
      </c>
      <c r="U763" s="10">
        <f>data_redis_illX!I663</f>
        <v>0</v>
      </c>
      <c r="V763" s="10">
        <f>data_redis_illX!J663</f>
        <v>0</v>
      </c>
      <c r="W763" s="10">
        <f>data_redis_illX!K663</f>
        <v>0</v>
      </c>
      <c r="X763" s="10">
        <f>data_redis_illX!L663</f>
        <v>0</v>
      </c>
      <c r="Y763" s="5">
        <f t="shared" si="11"/>
        <v>0</v>
      </c>
    </row>
    <row r="764" spans="13:25" x14ac:dyDescent="0.25">
      <c r="P764" s="2" t="s">
        <v>13</v>
      </c>
      <c r="Q764" s="10">
        <f>data_redis_illX!E664</f>
        <v>0</v>
      </c>
      <c r="R764" s="10">
        <f>data_redis_illX!F664</f>
        <v>0</v>
      </c>
      <c r="S764" s="10">
        <f>data_redis_illX!G664</f>
        <v>1.0012698412698413</v>
      </c>
      <c r="T764" s="10">
        <f>data_redis_illX!H664</f>
        <v>0</v>
      </c>
      <c r="U764" s="10">
        <f>data_redis_illX!I664</f>
        <v>0</v>
      </c>
      <c r="V764" s="10">
        <f>data_redis_illX!J664</f>
        <v>0</v>
      </c>
      <c r="W764" s="10">
        <f>data_redis_illX!K664</f>
        <v>0</v>
      </c>
      <c r="X764" s="10">
        <f>data_redis_illX!L664</f>
        <v>0</v>
      </c>
      <c r="Y764" s="5">
        <f t="shared" si="11"/>
        <v>1.0012698412698413</v>
      </c>
    </row>
    <row r="765" spans="13:25" x14ac:dyDescent="0.25">
      <c r="P765" s="2" t="s">
        <v>14</v>
      </c>
      <c r="Q765" s="10">
        <f>data_redis_illX!E665</f>
        <v>0</v>
      </c>
      <c r="R765" s="10">
        <f>data_redis_illX!F665</f>
        <v>0</v>
      </c>
      <c r="S765" s="10">
        <f>data_redis_illX!G665</f>
        <v>0</v>
      </c>
      <c r="T765" s="10">
        <f>data_redis_illX!H665</f>
        <v>0</v>
      </c>
      <c r="U765" s="10">
        <f>data_redis_illX!I665</f>
        <v>0</v>
      </c>
      <c r="V765" s="10">
        <f>data_redis_illX!J665</f>
        <v>0</v>
      </c>
      <c r="W765" s="10">
        <f>data_redis_illX!K665</f>
        <v>0</v>
      </c>
      <c r="X765" s="10">
        <f>data_redis_illX!L665</f>
        <v>0</v>
      </c>
      <c r="Y765" s="5">
        <f t="shared" si="11"/>
        <v>0</v>
      </c>
    </row>
    <row r="766" spans="13:25" x14ac:dyDescent="0.25">
      <c r="P766" s="2" t="s">
        <v>15</v>
      </c>
      <c r="Q766" s="10">
        <f>data_redis_illX!E666</f>
        <v>0</v>
      </c>
      <c r="R766" s="10">
        <f>data_redis_illX!F666</f>
        <v>0</v>
      </c>
      <c r="S766" s="10">
        <f>data_redis_illX!G666</f>
        <v>0</v>
      </c>
      <c r="T766" s="10">
        <f>data_redis_illX!H666</f>
        <v>0</v>
      </c>
      <c r="U766" s="10">
        <f>data_redis_illX!I666</f>
        <v>0</v>
      </c>
      <c r="V766" s="10">
        <f>data_redis_illX!J666</f>
        <v>0</v>
      </c>
      <c r="W766" s="10">
        <f>data_redis_illX!K666</f>
        <v>0</v>
      </c>
      <c r="X766" s="10">
        <f>data_redis_illX!L666</f>
        <v>0</v>
      </c>
      <c r="Y766" s="5">
        <f t="shared" si="11"/>
        <v>0</v>
      </c>
    </row>
    <row r="767" spans="13:25" x14ac:dyDescent="0.25">
      <c r="P767" s="2" t="s">
        <v>16</v>
      </c>
      <c r="Q767" s="10">
        <f>data_redis_illX!E667</f>
        <v>0</v>
      </c>
      <c r="R767" s="10">
        <f>data_redis_illX!F667</f>
        <v>0</v>
      </c>
      <c r="S767" s="10">
        <f>data_redis_illX!G667</f>
        <v>0</v>
      </c>
      <c r="T767" s="10">
        <f>data_redis_illX!H667</f>
        <v>0</v>
      </c>
      <c r="U767" s="10">
        <f>data_redis_illX!I667</f>
        <v>0</v>
      </c>
      <c r="V767" s="10">
        <f>data_redis_illX!J667</f>
        <v>0</v>
      </c>
      <c r="W767" s="10">
        <f>data_redis_illX!K667</f>
        <v>0</v>
      </c>
      <c r="X767" s="10">
        <f>data_redis_illX!L667</f>
        <v>0</v>
      </c>
      <c r="Y767" s="5">
        <f t="shared" si="11"/>
        <v>0</v>
      </c>
    </row>
    <row r="768" spans="13:25" x14ac:dyDescent="0.25">
      <c r="P768" s="2" t="s">
        <v>17</v>
      </c>
      <c r="Q768" s="10">
        <f>data_redis_illX!E668</f>
        <v>0</v>
      </c>
      <c r="R768" s="10">
        <f>data_redis_illX!F668</f>
        <v>0</v>
      </c>
      <c r="S768" s="10">
        <f>data_redis_illX!G668</f>
        <v>0</v>
      </c>
      <c r="T768" s="10">
        <f>data_redis_illX!H668</f>
        <v>0</v>
      </c>
      <c r="U768" s="10">
        <f>data_redis_illX!I668</f>
        <v>0</v>
      </c>
      <c r="V768" s="10">
        <f>data_redis_illX!J668</f>
        <v>0</v>
      </c>
      <c r="W768" s="10">
        <f>data_redis_illX!K668</f>
        <v>0</v>
      </c>
      <c r="X768" s="10">
        <f>data_redis_illX!L668</f>
        <v>0</v>
      </c>
      <c r="Y768" s="5">
        <f t="shared" si="11"/>
        <v>0</v>
      </c>
    </row>
    <row r="769" spans="16:25" x14ac:dyDescent="0.25">
      <c r="P769" s="2" t="s">
        <v>18</v>
      </c>
      <c r="Q769" s="10">
        <f>data_redis_illX!E669</f>
        <v>0</v>
      </c>
      <c r="R769" s="10">
        <f>data_redis_illX!F669</f>
        <v>0</v>
      </c>
      <c r="S769" s="10">
        <f>data_redis_illX!G669</f>
        <v>0</v>
      </c>
      <c r="T769" s="10">
        <f>data_redis_illX!H669</f>
        <v>0</v>
      </c>
      <c r="U769" s="10">
        <f>data_redis_illX!I669</f>
        <v>0</v>
      </c>
      <c r="V769" s="10">
        <f>data_redis_illX!J669</f>
        <v>0</v>
      </c>
      <c r="W769" s="10">
        <f>data_redis_illX!K669</f>
        <v>0</v>
      </c>
      <c r="X769" s="10">
        <f>data_redis_illX!L669</f>
        <v>0</v>
      </c>
      <c r="Y769" s="5">
        <f t="shared" si="11"/>
        <v>0</v>
      </c>
    </row>
    <row r="770" spans="16:25" x14ac:dyDescent="0.25">
      <c r="P770" s="2" t="s">
        <v>19</v>
      </c>
      <c r="Q770" s="10">
        <f>data_redis_illX!E670</f>
        <v>0</v>
      </c>
      <c r="R770" s="10">
        <f>data_redis_illX!F670</f>
        <v>0</v>
      </c>
      <c r="S770" s="10">
        <f>data_redis_illX!G670</f>
        <v>0</v>
      </c>
      <c r="T770" s="10">
        <f>data_redis_illX!H670</f>
        <v>0</v>
      </c>
      <c r="U770" s="10">
        <f>data_redis_illX!I670</f>
        <v>0</v>
      </c>
      <c r="V770" s="10">
        <f>data_redis_illX!J670</f>
        <v>0</v>
      </c>
      <c r="W770" s="10">
        <f>data_redis_illX!K670</f>
        <v>0</v>
      </c>
      <c r="X770" s="10">
        <f>data_redis_illX!L670</f>
        <v>0</v>
      </c>
      <c r="Y770" s="5">
        <f t="shared" si="11"/>
        <v>0</v>
      </c>
    </row>
    <row r="771" spans="16:25" x14ac:dyDescent="0.25">
      <c r="P771" s="2" t="s">
        <v>20</v>
      </c>
      <c r="Q771" s="10">
        <f>data_redis_illX!E671</f>
        <v>0</v>
      </c>
      <c r="R771" s="10">
        <f>data_redis_illX!F671</f>
        <v>0</v>
      </c>
      <c r="S771" s="10">
        <f>data_redis_illX!G671</f>
        <v>0</v>
      </c>
      <c r="T771" s="10">
        <f>data_redis_illX!H671</f>
        <v>0</v>
      </c>
      <c r="U771" s="10">
        <f>data_redis_illX!I671</f>
        <v>0</v>
      </c>
      <c r="V771" s="10">
        <f>data_redis_illX!J671</f>
        <v>0</v>
      </c>
      <c r="W771" s="10">
        <f>data_redis_illX!K671</f>
        <v>0</v>
      </c>
      <c r="X771" s="10">
        <f>data_redis_illX!L671</f>
        <v>0</v>
      </c>
      <c r="Y771" s="5">
        <f t="shared" si="11"/>
        <v>0</v>
      </c>
    </row>
    <row r="772" spans="16:25" x14ac:dyDescent="0.25">
      <c r="P772" s="2" t="s">
        <v>21</v>
      </c>
      <c r="Q772" s="10">
        <f>data_redis_illX!E672</f>
        <v>0</v>
      </c>
      <c r="R772" s="10">
        <f>data_redis_illX!F672</f>
        <v>0</v>
      </c>
      <c r="S772" s="10">
        <f>data_redis_illX!G672</f>
        <v>0</v>
      </c>
      <c r="T772" s="10">
        <f>data_redis_illX!H672</f>
        <v>0</v>
      </c>
      <c r="U772" s="10">
        <f>data_redis_illX!I672</f>
        <v>0</v>
      </c>
      <c r="V772" s="10">
        <f>data_redis_illX!J672</f>
        <v>0</v>
      </c>
      <c r="W772" s="10">
        <f>data_redis_illX!K672</f>
        <v>0</v>
      </c>
      <c r="X772" s="10">
        <f>data_redis_illX!L672</f>
        <v>0</v>
      </c>
      <c r="Y772" s="5">
        <f t="shared" si="11"/>
        <v>0</v>
      </c>
    </row>
    <row r="773" spans="16:25" x14ac:dyDescent="0.25">
      <c r="P773" s="2" t="s">
        <v>22</v>
      </c>
      <c r="Q773" s="10">
        <f>data_redis_illX!E673</f>
        <v>0</v>
      </c>
      <c r="R773" s="10">
        <f>data_redis_illX!F673</f>
        <v>0</v>
      </c>
      <c r="S773" s="10">
        <f>data_redis_illX!G673</f>
        <v>0</v>
      </c>
      <c r="T773" s="10">
        <f>data_redis_illX!H673</f>
        <v>0</v>
      </c>
      <c r="U773" s="10">
        <f>data_redis_illX!I673</f>
        <v>0</v>
      </c>
      <c r="V773" s="10">
        <f>data_redis_illX!J673</f>
        <v>0</v>
      </c>
      <c r="W773" s="10">
        <f>data_redis_illX!K673</f>
        <v>0</v>
      </c>
      <c r="X773" s="10">
        <f>data_redis_illX!L673</f>
        <v>0</v>
      </c>
      <c r="Y773" s="5">
        <f t="shared" ref="Y773:Y836" si="12">SUM(Q773:X773)</f>
        <v>0</v>
      </c>
    </row>
    <row r="774" spans="16:25" x14ac:dyDescent="0.25">
      <c r="P774" s="2" t="s">
        <v>23</v>
      </c>
      <c r="Q774" s="10">
        <f>data_redis_illX!E674</f>
        <v>0</v>
      </c>
      <c r="R774" s="10">
        <f>data_redis_illX!F674</f>
        <v>0</v>
      </c>
      <c r="S774" s="10">
        <f>data_redis_illX!G674</f>
        <v>0</v>
      </c>
      <c r="T774" s="10">
        <f>data_redis_illX!H674</f>
        <v>0</v>
      </c>
      <c r="U774" s="10">
        <f>data_redis_illX!I674</f>
        <v>0</v>
      </c>
      <c r="V774" s="10">
        <f>data_redis_illX!J674</f>
        <v>0</v>
      </c>
      <c r="W774" s="10">
        <f>data_redis_illX!K674</f>
        <v>0</v>
      </c>
      <c r="X774" s="10">
        <f>data_redis_illX!L674</f>
        <v>0</v>
      </c>
      <c r="Y774" s="5">
        <f t="shared" si="12"/>
        <v>0</v>
      </c>
    </row>
    <row r="775" spans="16:25" x14ac:dyDescent="0.25">
      <c r="P775" s="2" t="s">
        <v>24</v>
      </c>
      <c r="Q775" s="10">
        <f>data_redis_illX!E675</f>
        <v>0</v>
      </c>
      <c r="R775" s="10">
        <f>data_redis_illX!F675</f>
        <v>0</v>
      </c>
      <c r="S775" s="10">
        <f>data_redis_illX!G675</f>
        <v>0</v>
      </c>
      <c r="T775" s="10">
        <f>data_redis_illX!H675</f>
        <v>0</v>
      </c>
      <c r="U775" s="10">
        <f>data_redis_illX!I675</f>
        <v>0</v>
      </c>
      <c r="V775" s="10">
        <f>data_redis_illX!J675</f>
        <v>0</v>
      </c>
      <c r="W775" s="10">
        <f>data_redis_illX!K675</f>
        <v>0</v>
      </c>
      <c r="X775" s="10">
        <f>data_redis_illX!L675</f>
        <v>0</v>
      </c>
      <c r="Y775" s="5">
        <f t="shared" si="12"/>
        <v>0</v>
      </c>
    </row>
    <row r="776" spans="16:25" x14ac:dyDescent="0.25">
      <c r="P776" s="2" t="s">
        <v>25</v>
      </c>
      <c r="Q776" s="10">
        <f>data_redis_illX!E676</f>
        <v>0</v>
      </c>
      <c r="R776" s="10">
        <f>data_redis_illX!F676</f>
        <v>0</v>
      </c>
      <c r="S776" s="10">
        <f>data_redis_illX!G676</f>
        <v>0</v>
      </c>
      <c r="T776" s="10">
        <f>data_redis_illX!H676</f>
        <v>0</v>
      </c>
      <c r="U776" s="10">
        <f>data_redis_illX!I676</f>
        <v>0</v>
      </c>
      <c r="V776" s="10">
        <f>data_redis_illX!J676</f>
        <v>0</v>
      </c>
      <c r="W776" s="10">
        <f>data_redis_illX!K676</f>
        <v>0</v>
      </c>
      <c r="X776" s="10">
        <f>data_redis_illX!L676</f>
        <v>0</v>
      </c>
      <c r="Y776" s="5">
        <f t="shared" si="12"/>
        <v>0</v>
      </c>
    </row>
    <row r="777" spans="16:25" x14ac:dyDescent="0.25">
      <c r="P777" s="2" t="s">
        <v>26</v>
      </c>
      <c r="Q777" s="10">
        <f>data_redis_illX!E677</f>
        <v>0</v>
      </c>
      <c r="R777" s="10">
        <f>data_redis_illX!F677</f>
        <v>0</v>
      </c>
      <c r="S777" s="10">
        <f>data_redis_illX!G677</f>
        <v>0</v>
      </c>
      <c r="T777" s="10">
        <f>data_redis_illX!H677</f>
        <v>0</v>
      </c>
      <c r="U777" s="10">
        <f>data_redis_illX!I677</f>
        <v>0</v>
      </c>
      <c r="V777" s="10">
        <f>data_redis_illX!J677</f>
        <v>0</v>
      </c>
      <c r="W777" s="10">
        <f>data_redis_illX!K677</f>
        <v>0</v>
      </c>
      <c r="X777" s="10">
        <f>data_redis_illX!L677</f>
        <v>0</v>
      </c>
      <c r="Y777" s="5">
        <f t="shared" si="12"/>
        <v>0</v>
      </c>
    </row>
    <row r="778" spans="16:25" x14ac:dyDescent="0.25">
      <c r="P778" s="2" t="s">
        <v>27</v>
      </c>
      <c r="Q778" s="10">
        <f>data_redis_illX!E678</f>
        <v>0</v>
      </c>
      <c r="R778" s="10">
        <f>data_redis_illX!F678</f>
        <v>0</v>
      </c>
      <c r="S778" s="10">
        <f>data_redis_illX!G678</f>
        <v>0</v>
      </c>
      <c r="T778" s="10">
        <f>data_redis_illX!H678</f>
        <v>0</v>
      </c>
      <c r="U778" s="10">
        <f>data_redis_illX!I678</f>
        <v>0</v>
      </c>
      <c r="V778" s="10">
        <f>data_redis_illX!J678</f>
        <v>0</v>
      </c>
      <c r="W778" s="10">
        <f>data_redis_illX!K678</f>
        <v>0</v>
      </c>
      <c r="X778" s="10">
        <f>data_redis_illX!L678</f>
        <v>0</v>
      </c>
      <c r="Y778" s="5">
        <f t="shared" si="12"/>
        <v>0</v>
      </c>
    </row>
    <row r="779" spans="16:25" x14ac:dyDescent="0.25">
      <c r="P779" s="2" t="s">
        <v>28</v>
      </c>
      <c r="Q779" s="10">
        <f>data_redis_illX!E679</f>
        <v>0</v>
      </c>
      <c r="R779" s="10">
        <f>data_redis_illX!F679</f>
        <v>0</v>
      </c>
      <c r="S779" s="10">
        <f>data_redis_illX!G679</f>
        <v>0</v>
      </c>
      <c r="T779" s="10">
        <f>data_redis_illX!H679</f>
        <v>1.2521571937722753</v>
      </c>
      <c r="U779" s="10">
        <f>data_redis_illX!I679</f>
        <v>0</v>
      </c>
      <c r="V779" s="10">
        <f>data_redis_illX!J679</f>
        <v>0</v>
      </c>
      <c r="W779" s="10">
        <f>data_redis_illX!K679</f>
        <v>0</v>
      </c>
      <c r="X779" s="10">
        <f>data_redis_illX!L679</f>
        <v>0</v>
      </c>
      <c r="Y779" s="5">
        <f t="shared" si="12"/>
        <v>1.2521571937722753</v>
      </c>
    </row>
    <row r="780" spans="16:25" x14ac:dyDescent="0.25">
      <c r="P780" s="2" t="s">
        <v>29</v>
      </c>
      <c r="Q780" s="10">
        <f>data_redis_illX!E680</f>
        <v>0</v>
      </c>
      <c r="R780" s="10">
        <f>data_redis_illX!F680</f>
        <v>0</v>
      </c>
      <c r="S780" s="10">
        <f>data_redis_illX!G680</f>
        <v>0</v>
      </c>
      <c r="T780" s="10">
        <f>data_redis_illX!H680</f>
        <v>0</v>
      </c>
      <c r="U780" s="10">
        <f>data_redis_illX!I680</f>
        <v>1.4040095982661196</v>
      </c>
      <c r="V780" s="10">
        <f>data_redis_illX!J680</f>
        <v>0</v>
      </c>
      <c r="W780" s="10">
        <f>data_redis_illX!K680</f>
        <v>0</v>
      </c>
      <c r="X780" s="10">
        <f>data_redis_illX!L680</f>
        <v>0</v>
      </c>
      <c r="Y780" s="5">
        <f t="shared" si="12"/>
        <v>1.4040095982661196</v>
      </c>
    </row>
    <row r="781" spans="16:25" x14ac:dyDescent="0.25">
      <c r="P781" s="2" t="s">
        <v>30</v>
      </c>
      <c r="Q781" s="10">
        <f>data_redis_illX!E681</f>
        <v>0</v>
      </c>
      <c r="R781" s="10">
        <f>data_redis_illX!F681</f>
        <v>0</v>
      </c>
      <c r="S781" s="10">
        <f>data_redis_illX!G681</f>
        <v>1.0012698412698413</v>
      </c>
      <c r="T781" s="10">
        <f>data_redis_illX!H681</f>
        <v>2.5043143875445506</v>
      </c>
      <c r="U781" s="10">
        <f>data_redis_illX!I681</f>
        <v>0</v>
      </c>
      <c r="V781" s="10">
        <f>data_redis_illX!J681</f>
        <v>0</v>
      </c>
      <c r="W781" s="10">
        <f>data_redis_illX!K681</f>
        <v>0</v>
      </c>
      <c r="X781" s="10">
        <f>data_redis_illX!L681</f>
        <v>0</v>
      </c>
      <c r="Y781" s="5">
        <f t="shared" si="12"/>
        <v>3.5055842288143921</v>
      </c>
    </row>
    <row r="782" spans="16:25" x14ac:dyDescent="0.25">
      <c r="P782" s="2" t="s">
        <v>31</v>
      </c>
      <c r="Q782" s="10">
        <f>data_redis_illX!E682</f>
        <v>0</v>
      </c>
      <c r="R782" s="10">
        <f>data_redis_illX!F682</f>
        <v>0</v>
      </c>
      <c r="S782" s="10">
        <f>data_redis_illX!G682</f>
        <v>0</v>
      </c>
      <c r="T782" s="10">
        <f>data_redis_illX!H682</f>
        <v>0</v>
      </c>
      <c r="U782" s="10">
        <f>data_redis_illX!I682</f>
        <v>0</v>
      </c>
      <c r="V782" s="10">
        <f>data_redis_illX!J682</f>
        <v>0</v>
      </c>
      <c r="W782" s="10">
        <f>data_redis_illX!K682</f>
        <v>0</v>
      </c>
      <c r="X782" s="10">
        <f>data_redis_illX!L682</f>
        <v>0</v>
      </c>
      <c r="Y782" s="5">
        <f t="shared" si="12"/>
        <v>0</v>
      </c>
    </row>
    <row r="783" spans="16:25" x14ac:dyDescent="0.25">
      <c r="P783" s="2" t="s">
        <v>32</v>
      </c>
      <c r="Q783" s="10">
        <f>data_redis_illX!E683</f>
        <v>0</v>
      </c>
      <c r="R783" s="10">
        <f>data_redis_illX!F683</f>
        <v>0</v>
      </c>
      <c r="S783" s="10">
        <f>data_redis_illX!G683</f>
        <v>0</v>
      </c>
      <c r="T783" s="10">
        <f>data_redis_illX!H683</f>
        <v>0</v>
      </c>
      <c r="U783" s="10">
        <f>data_redis_illX!I683</f>
        <v>0</v>
      </c>
      <c r="V783" s="10">
        <f>data_redis_illX!J683</f>
        <v>0</v>
      </c>
      <c r="W783" s="10">
        <f>data_redis_illX!K683</f>
        <v>0</v>
      </c>
      <c r="X783" s="10">
        <f>data_redis_illX!L683</f>
        <v>0</v>
      </c>
      <c r="Y783" s="5">
        <f t="shared" si="12"/>
        <v>0</v>
      </c>
    </row>
    <row r="784" spans="16:25" x14ac:dyDescent="0.25">
      <c r="P784" s="2" t="s">
        <v>33</v>
      </c>
      <c r="Q784" s="10">
        <f>data_redis_illX!E684</f>
        <v>0</v>
      </c>
      <c r="R784" s="10">
        <f>data_redis_illX!F684</f>
        <v>0</v>
      </c>
      <c r="S784" s="10">
        <f>data_redis_illX!G684</f>
        <v>0</v>
      </c>
      <c r="T784" s="10">
        <f>data_redis_illX!H684</f>
        <v>0</v>
      </c>
      <c r="U784" s="10">
        <f>data_redis_illX!I684</f>
        <v>0</v>
      </c>
      <c r="V784" s="10">
        <f>data_redis_illX!J684</f>
        <v>0</v>
      </c>
      <c r="W784" s="10">
        <f>data_redis_illX!K684</f>
        <v>0</v>
      </c>
      <c r="X784" s="10">
        <f>data_redis_illX!L684</f>
        <v>0</v>
      </c>
      <c r="Y784" s="5">
        <f t="shared" si="12"/>
        <v>0</v>
      </c>
    </row>
    <row r="785" spans="13:25" x14ac:dyDescent="0.25">
      <c r="P785" s="2" t="s">
        <v>34</v>
      </c>
      <c r="Q785" s="10">
        <f>data_redis_illX!E685</f>
        <v>0</v>
      </c>
      <c r="R785" s="10">
        <f>data_redis_illX!F685</f>
        <v>0</v>
      </c>
      <c r="S785" s="10">
        <f>data_redis_illX!G685</f>
        <v>0</v>
      </c>
      <c r="T785" s="10">
        <f>data_redis_illX!H685</f>
        <v>0</v>
      </c>
      <c r="U785" s="10">
        <f>data_redis_illX!I685</f>
        <v>0</v>
      </c>
      <c r="V785" s="10">
        <f>data_redis_illX!J685</f>
        <v>0</v>
      </c>
      <c r="W785" s="10">
        <f>data_redis_illX!K685</f>
        <v>0</v>
      </c>
      <c r="X785" s="10">
        <f>data_redis_illX!L685</f>
        <v>0</v>
      </c>
      <c r="Y785" s="5">
        <f t="shared" si="12"/>
        <v>0</v>
      </c>
    </row>
    <row r="786" spans="13:25" x14ac:dyDescent="0.25">
      <c r="P786" s="2" t="s">
        <v>35</v>
      </c>
      <c r="Q786" s="10">
        <f>data_redis_illX!E686</f>
        <v>0</v>
      </c>
      <c r="R786" s="10">
        <f>data_redis_illX!F686</f>
        <v>0</v>
      </c>
      <c r="S786" s="10">
        <f>data_redis_illX!G686</f>
        <v>0</v>
      </c>
      <c r="T786" s="10">
        <f>data_redis_illX!H686</f>
        <v>0</v>
      </c>
      <c r="U786" s="10">
        <f>data_redis_illX!I686</f>
        <v>0</v>
      </c>
      <c r="V786" s="10">
        <f>data_redis_illX!J686</f>
        <v>0</v>
      </c>
      <c r="W786" s="10">
        <f>data_redis_illX!K686</f>
        <v>0</v>
      </c>
      <c r="X786" s="10">
        <f>data_redis_illX!L686</f>
        <v>0</v>
      </c>
      <c r="Y786" s="5">
        <f t="shared" si="12"/>
        <v>0</v>
      </c>
    </row>
    <row r="787" spans="13:25" x14ac:dyDescent="0.25">
      <c r="P787" s="2" t="s">
        <v>36</v>
      </c>
      <c r="Q787" s="10">
        <f>data_redis_illX!E687</f>
        <v>0</v>
      </c>
      <c r="R787" s="10">
        <f>data_redis_illX!F687</f>
        <v>0</v>
      </c>
      <c r="S787" s="10">
        <f>data_redis_illX!G687</f>
        <v>0</v>
      </c>
      <c r="T787" s="10">
        <f>data_redis_illX!H687</f>
        <v>0</v>
      </c>
      <c r="U787" s="10">
        <f>data_redis_illX!I687</f>
        <v>0</v>
      </c>
      <c r="V787" s="10">
        <f>data_redis_illX!J687</f>
        <v>0</v>
      </c>
      <c r="W787" s="10">
        <f>data_redis_illX!K687</f>
        <v>0</v>
      </c>
      <c r="X787" s="10">
        <f>data_redis_illX!L687</f>
        <v>0</v>
      </c>
      <c r="Y787" s="5">
        <f t="shared" si="12"/>
        <v>0</v>
      </c>
    </row>
    <row r="788" spans="13:25" x14ac:dyDescent="0.25">
      <c r="P788" s="2" t="s">
        <v>37</v>
      </c>
      <c r="Q788" s="10">
        <f>data_redis_illX!E688</f>
        <v>0</v>
      </c>
      <c r="R788" s="10">
        <f>data_redis_illX!F688</f>
        <v>0</v>
      </c>
      <c r="S788" s="10">
        <f>data_redis_illX!G688</f>
        <v>0</v>
      </c>
      <c r="T788" s="10">
        <f>data_redis_illX!H688</f>
        <v>0</v>
      </c>
      <c r="U788" s="10">
        <f>data_redis_illX!I688</f>
        <v>0</v>
      </c>
      <c r="V788" s="10">
        <f>data_redis_illX!J688</f>
        <v>0</v>
      </c>
      <c r="W788" s="10">
        <f>data_redis_illX!K688</f>
        <v>0</v>
      </c>
      <c r="X788" s="10">
        <f>data_redis_illX!L688</f>
        <v>0</v>
      </c>
      <c r="Y788" s="5">
        <f t="shared" si="12"/>
        <v>0</v>
      </c>
    </row>
    <row r="789" spans="13:25" x14ac:dyDescent="0.25">
      <c r="P789" s="2" t="s">
        <v>38</v>
      </c>
      <c r="Q789" s="10">
        <f>data_redis_illX!E689</f>
        <v>0</v>
      </c>
      <c r="R789" s="10">
        <f>data_redis_illX!F689</f>
        <v>0</v>
      </c>
      <c r="S789" s="10">
        <f>data_redis_illX!G689</f>
        <v>0</v>
      </c>
      <c r="T789" s="10">
        <f>data_redis_illX!H689</f>
        <v>0</v>
      </c>
      <c r="U789" s="10">
        <f>data_redis_illX!I689</f>
        <v>0</v>
      </c>
      <c r="V789" s="10">
        <f>data_redis_illX!J689</f>
        <v>0</v>
      </c>
      <c r="W789" s="10">
        <f>data_redis_illX!K689</f>
        <v>0</v>
      </c>
      <c r="X789" s="10">
        <f>data_redis_illX!L689</f>
        <v>0</v>
      </c>
      <c r="Y789" s="5">
        <f t="shared" si="12"/>
        <v>0</v>
      </c>
    </row>
    <row r="790" spans="13:25" x14ac:dyDescent="0.25">
      <c r="P790" s="2" t="s">
        <v>39</v>
      </c>
      <c r="Q790" s="10">
        <f>data_redis_illX!E690</f>
        <v>0</v>
      </c>
      <c r="R790" s="10">
        <f>data_redis_illX!F690</f>
        <v>0</v>
      </c>
      <c r="S790" s="10">
        <f>data_redis_illX!G690</f>
        <v>0</v>
      </c>
      <c r="T790" s="10">
        <f>data_redis_illX!H690</f>
        <v>0</v>
      </c>
      <c r="U790" s="10">
        <f>data_redis_illX!I690</f>
        <v>0</v>
      </c>
      <c r="V790" s="10">
        <f>data_redis_illX!J690</f>
        <v>0</v>
      </c>
      <c r="W790" s="10">
        <f>data_redis_illX!K690</f>
        <v>0</v>
      </c>
      <c r="X790" s="10">
        <f>data_redis_illX!L690</f>
        <v>0</v>
      </c>
      <c r="Y790" s="5">
        <f t="shared" si="12"/>
        <v>0</v>
      </c>
    </row>
    <row r="791" spans="13:25" x14ac:dyDescent="0.25">
      <c r="P791" s="2" t="s">
        <v>40</v>
      </c>
      <c r="Q791" s="10">
        <f>data_redis_illX!E691</f>
        <v>0</v>
      </c>
      <c r="R791" s="10">
        <f>data_redis_illX!F691</f>
        <v>0</v>
      </c>
      <c r="S791" s="10">
        <f>data_redis_illX!G691</f>
        <v>0</v>
      </c>
      <c r="T791" s="10">
        <f>data_redis_illX!H691</f>
        <v>0</v>
      </c>
      <c r="U791" s="10">
        <f>data_redis_illX!I691</f>
        <v>0</v>
      </c>
      <c r="V791" s="10">
        <f>data_redis_illX!J691</f>
        <v>0</v>
      </c>
      <c r="W791" s="10">
        <f>data_redis_illX!K691</f>
        <v>0</v>
      </c>
      <c r="X791" s="10">
        <f>data_redis_illX!L691</f>
        <v>0</v>
      </c>
      <c r="Y791" s="5">
        <f t="shared" si="12"/>
        <v>0</v>
      </c>
    </row>
    <row r="792" spans="13:25" x14ac:dyDescent="0.25">
      <c r="P792" s="2" t="s">
        <v>41</v>
      </c>
      <c r="Q792" s="10">
        <f>data_redis_illX!E692</f>
        <v>0</v>
      </c>
      <c r="R792" s="10">
        <f>data_redis_illX!F692</f>
        <v>0</v>
      </c>
      <c r="S792" s="10">
        <f>data_redis_illX!G692</f>
        <v>0</v>
      </c>
      <c r="T792" s="10">
        <f>data_redis_illX!H692</f>
        <v>0</v>
      </c>
      <c r="U792" s="10">
        <f>data_redis_illX!I692</f>
        <v>0</v>
      </c>
      <c r="V792" s="10">
        <f>data_redis_illX!J692</f>
        <v>0</v>
      </c>
      <c r="W792" s="10">
        <f>data_redis_illX!K692</f>
        <v>0</v>
      </c>
      <c r="X792" s="10">
        <f>data_redis_illX!L692</f>
        <v>0</v>
      </c>
      <c r="Y792" s="5">
        <f t="shared" si="12"/>
        <v>0</v>
      </c>
    </row>
    <row r="793" spans="13:25" x14ac:dyDescent="0.25">
      <c r="P793" s="2" t="s">
        <v>42</v>
      </c>
      <c r="Q793" s="10">
        <f>data_redis_illX!E693</f>
        <v>0</v>
      </c>
      <c r="R793" s="10">
        <f>data_redis_illX!F693</f>
        <v>0</v>
      </c>
      <c r="S793" s="10">
        <f>data_redis_illX!G693</f>
        <v>0</v>
      </c>
      <c r="T793" s="10">
        <f>data_redis_illX!H693</f>
        <v>2.5043143875445506</v>
      </c>
      <c r="U793" s="10">
        <f>data_redis_illX!I693</f>
        <v>0</v>
      </c>
      <c r="V793" s="10">
        <f>data_redis_illX!J693</f>
        <v>0</v>
      </c>
      <c r="W793" s="10">
        <f>data_redis_illX!K693</f>
        <v>0</v>
      </c>
      <c r="X793" s="10">
        <f>data_redis_illX!L693</f>
        <v>0</v>
      </c>
      <c r="Y793" s="5">
        <f t="shared" si="12"/>
        <v>2.5043143875445506</v>
      </c>
    </row>
    <row r="794" spans="13:25" x14ac:dyDescent="0.25">
      <c r="P794" s="2" t="s">
        <v>43</v>
      </c>
      <c r="Q794" s="10">
        <f>data_redis_illX!E694</f>
        <v>0</v>
      </c>
      <c r="R794" s="10">
        <f>data_redis_illX!F694</f>
        <v>0</v>
      </c>
      <c r="S794" s="10">
        <f>data_redis_illX!G694</f>
        <v>6.0076190476190474</v>
      </c>
      <c r="T794" s="10">
        <f>data_redis_illX!H694</f>
        <v>8.7651003564059273</v>
      </c>
      <c r="U794" s="10">
        <f>data_redis_illX!I694</f>
        <v>5.6160383930644784</v>
      </c>
      <c r="V794" s="10">
        <f>data_redis_illX!J694</f>
        <v>0</v>
      </c>
      <c r="W794" s="10">
        <f>data_redis_illX!K694</f>
        <v>0</v>
      </c>
      <c r="X794" s="10">
        <f>data_redis_illX!L694</f>
        <v>0</v>
      </c>
      <c r="Y794" s="5">
        <f t="shared" si="12"/>
        <v>20.388757797089454</v>
      </c>
    </row>
    <row r="795" spans="13:25" x14ac:dyDescent="0.25">
      <c r="P795" s="2" t="s">
        <v>44</v>
      </c>
      <c r="Q795" s="10">
        <f>data_redis_illX!E695</f>
        <v>0</v>
      </c>
      <c r="R795" s="10">
        <f>data_redis_illX!F695</f>
        <v>0</v>
      </c>
      <c r="S795" s="10">
        <f>data_redis_illX!G695</f>
        <v>1.0012698412698413</v>
      </c>
      <c r="T795" s="10">
        <f>data_redis_illX!H695</f>
        <v>0</v>
      </c>
      <c r="U795" s="10">
        <f>data_redis_illX!I695</f>
        <v>0</v>
      </c>
      <c r="V795" s="10">
        <f>data_redis_illX!J695</f>
        <v>0</v>
      </c>
      <c r="W795" s="10">
        <f>data_redis_illX!K695</f>
        <v>0</v>
      </c>
      <c r="X795" s="10">
        <f>data_redis_illX!L695</f>
        <v>0</v>
      </c>
      <c r="Y795" s="5">
        <f t="shared" si="12"/>
        <v>1.0012698412698413</v>
      </c>
    </row>
    <row r="796" spans="13:25" x14ac:dyDescent="0.25">
      <c r="M796" t="s">
        <v>104</v>
      </c>
      <c r="N796" t="s">
        <v>117</v>
      </c>
      <c r="O796" t="s">
        <v>46</v>
      </c>
      <c r="P796" s="2" t="s">
        <v>12</v>
      </c>
      <c r="Q796" s="10">
        <f>data_redis_illX!E696</f>
        <v>0</v>
      </c>
      <c r="R796" s="10">
        <f>data_redis_illX!F696</f>
        <v>0</v>
      </c>
      <c r="S796" s="10">
        <f>data_redis_illX!G696</f>
        <v>27.870936722851617</v>
      </c>
      <c r="T796" s="10">
        <f>data_redis_illX!H696</f>
        <v>23.772733661355854</v>
      </c>
      <c r="U796" s="10">
        <f>data_redis_illX!I696</f>
        <v>7.667286458616398</v>
      </c>
      <c r="V796" s="10">
        <f>data_redis_illX!J696</f>
        <v>0</v>
      </c>
      <c r="W796" s="10">
        <f>data_redis_illX!K696</f>
        <v>0</v>
      </c>
      <c r="X796" s="10">
        <f>data_redis_illX!L696</f>
        <v>0</v>
      </c>
      <c r="Y796" s="5">
        <f t="shared" si="12"/>
        <v>59.310956842823863</v>
      </c>
    </row>
    <row r="797" spans="13:25" x14ac:dyDescent="0.25">
      <c r="P797" s="2" t="s">
        <v>13</v>
      </c>
      <c r="Q797" s="10">
        <f>data_redis_illX!E697</f>
        <v>0</v>
      </c>
      <c r="R797" s="10">
        <f>data_redis_illX!F697</f>
        <v>0</v>
      </c>
      <c r="S797" s="10">
        <f>data_redis_illX!G697</f>
        <v>154.36211108040894</v>
      </c>
      <c r="T797" s="10">
        <f>data_redis_illX!H697</f>
        <v>172.89260844622439</v>
      </c>
      <c r="U797" s="10">
        <f>data_redis_illX!I697</f>
        <v>44.908392114753191</v>
      </c>
      <c r="V797" s="10">
        <f>data_redis_illX!J697</f>
        <v>3.5218501702610672</v>
      </c>
      <c r="W797" s="10">
        <f>data_redis_illX!K697</f>
        <v>0</v>
      </c>
      <c r="X797" s="10">
        <f>data_redis_illX!L697</f>
        <v>0</v>
      </c>
      <c r="Y797" s="5">
        <f t="shared" si="12"/>
        <v>375.68496181164761</v>
      </c>
    </row>
    <row r="798" spans="13:25" x14ac:dyDescent="0.25">
      <c r="P798" s="2" t="s">
        <v>14</v>
      </c>
      <c r="Q798" s="10">
        <f>data_redis_illX!E698</f>
        <v>0</v>
      </c>
      <c r="R798" s="10">
        <f>data_redis_illX!F698</f>
        <v>0</v>
      </c>
      <c r="S798" s="10">
        <f>data_redis_illX!G698</f>
        <v>3.2158773141751862</v>
      </c>
      <c r="T798" s="10">
        <f>data_redis_illX!H698</f>
        <v>3.2417364083667071</v>
      </c>
      <c r="U798" s="10">
        <f>data_redis_illX!I698</f>
        <v>1.0953266369451997</v>
      </c>
      <c r="V798" s="10">
        <f>data_redis_illX!J698</f>
        <v>0</v>
      </c>
      <c r="W798" s="10">
        <f>data_redis_illX!K698</f>
        <v>0</v>
      </c>
      <c r="X798" s="10">
        <f>data_redis_illX!L698</f>
        <v>0</v>
      </c>
      <c r="Y798" s="5">
        <f t="shared" si="12"/>
        <v>7.552940359487093</v>
      </c>
    </row>
    <row r="799" spans="13:25" x14ac:dyDescent="0.25">
      <c r="P799" s="2" t="s">
        <v>15</v>
      </c>
      <c r="Q799" s="10">
        <f>data_redis_illX!E699</f>
        <v>0</v>
      </c>
      <c r="R799" s="10">
        <f>data_redis_illX!F699</f>
        <v>0</v>
      </c>
      <c r="S799" s="10">
        <f>data_redis_illX!G699</f>
        <v>2.1439182094501241</v>
      </c>
      <c r="T799" s="10">
        <f>data_redis_illX!H699</f>
        <v>4.3223152111556091</v>
      </c>
      <c r="U799" s="10">
        <f>data_redis_illX!I699</f>
        <v>3.2859799108355991</v>
      </c>
      <c r="V799" s="10">
        <f>data_redis_illX!J699</f>
        <v>0</v>
      </c>
      <c r="W799" s="10">
        <f>data_redis_illX!K699</f>
        <v>0</v>
      </c>
      <c r="X799" s="10">
        <f>data_redis_illX!L699</f>
        <v>0</v>
      </c>
      <c r="Y799" s="5">
        <f t="shared" si="12"/>
        <v>9.7522133314413324</v>
      </c>
    </row>
    <row r="800" spans="13:25" x14ac:dyDescent="0.25">
      <c r="P800" s="2" t="s">
        <v>16</v>
      </c>
      <c r="Q800" s="10">
        <f>data_redis_illX!E700</f>
        <v>0</v>
      </c>
      <c r="R800" s="10">
        <f>data_redis_illX!F700</f>
        <v>0</v>
      </c>
      <c r="S800" s="10">
        <f>data_redis_illX!G700</f>
        <v>9.6476319425255586</v>
      </c>
      <c r="T800" s="10">
        <f>data_redis_illX!H700</f>
        <v>15.128103239044632</v>
      </c>
      <c r="U800" s="10">
        <f>data_redis_illX!I700</f>
        <v>5.4766331847259986</v>
      </c>
      <c r="V800" s="10">
        <f>data_redis_illX!J700</f>
        <v>1.1739500567536891</v>
      </c>
      <c r="W800" s="10">
        <f>data_redis_illX!K700</f>
        <v>0</v>
      </c>
      <c r="X800" s="10">
        <f>data_redis_illX!L700</f>
        <v>0</v>
      </c>
      <c r="Y800" s="5">
        <f t="shared" si="12"/>
        <v>31.426318423049878</v>
      </c>
    </row>
    <row r="801" spans="16:25" x14ac:dyDescent="0.25">
      <c r="P801" s="2" t="s">
        <v>17</v>
      </c>
      <c r="Q801" s="10">
        <f>data_redis_illX!E701</f>
        <v>0</v>
      </c>
      <c r="R801" s="10">
        <f>data_redis_illX!F701</f>
        <v>0</v>
      </c>
      <c r="S801" s="10">
        <f>data_redis_illX!G701</f>
        <v>1.0719591047250621</v>
      </c>
      <c r="T801" s="10">
        <f>data_redis_illX!H701</f>
        <v>0</v>
      </c>
      <c r="U801" s="10">
        <f>data_redis_illX!I701</f>
        <v>0</v>
      </c>
      <c r="V801" s="10">
        <f>data_redis_illX!J701</f>
        <v>0</v>
      </c>
      <c r="W801" s="10">
        <f>data_redis_illX!K701</f>
        <v>0</v>
      </c>
      <c r="X801" s="10">
        <f>data_redis_illX!L701</f>
        <v>0</v>
      </c>
      <c r="Y801" s="5">
        <f t="shared" si="12"/>
        <v>1.0719591047250621</v>
      </c>
    </row>
    <row r="802" spans="16:25" x14ac:dyDescent="0.25">
      <c r="P802" s="2" t="s">
        <v>18</v>
      </c>
      <c r="Q802" s="10">
        <f>data_redis_illX!E702</f>
        <v>0</v>
      </c>
      <c r="R802" s="10">
        <f>data_redis_illX!F702</f>
        <v>0</v>
      </c>
      <c r="S802" s="10">
        <f>data_redis_illX!G702</f>
        <v>18.223304780326057</v>
      </c>
      <c r="T802" s="10">
        <f>data_redis_illX!H702</f>
        <v>11.886366830677927</v>
      </c>
      <c r="U802" s="10">
        <f>data_redis_illX!I702</f>
        <v>4.3813065477807989</v>
      </c>
      <c r="V802" s="10">
        <f>data_redis_illX!J702</f>
        <v>0</v>
      </c>
      <c r="W802" s="10">
        <f>data_redis_illX!K702</f>
        <v>0</v>
      </c>
      <c r="X802" s="10">
        <f>data_redis_illX!L702</f>
        <v>0</v>
      </c>
      <c r="Y802" s="5">
        <f t="shared" si="12"/>
        <v>34.490978158784785</v>
      </c>
    </row>
    <row r="803" spans="16:25" x14ac:dyDescent="0.25">
      <c r="P803" s="2" t="s">
        <v>19</v>
      </c>
      <c r="Q803" s="10">
        <f>data_redis_illX!E703</f>
        <v>0</v>
      </c>
      <c r="R803" s="10">
        <f>data_redis_illX!F703</f>
        <v>0</v>
      </c>
      <c r="S803" s="10">
        <f>data_redis_illX!G703</f>
        <v>48.238159712627798</v>
      </c>
      <c r="T803" s="10">
        <f>data_redis_illX!H703</f>
        <v>45.384309717133902</v>
      </c>
      <c r="U803" s="10">
        <f>data_redis_illX!I703</f>
        <v>16.429899554177997</v>
      </c>
      <c r="V803" s="10">
        <f>data_redis_illX!J703</f>
        <v>1.1739500567536891</v>
      </c>
      <c r="W803" s="10">
        <f>data_redis_illX!K703</f>
        <v>0</v>
      </c>
      <c r="X803" s="10">
        <f>data_redis_illX!L703</f>
        <v>0</v>
      </c>
      <c r="Y803" s="5">
        <f t="shared" si="12"/>
        <v>111.22631904069338</v>
      </c>
    </row>
    <row r="804" spans="16:25" x14ac:dyDescent="0.25">
      <c r="P804" s="2" t="s">
        <v>20</v>
      </c>
      <c r="Q804" s="10">
        <f>data_redis_illX!E704</f>
        <v>0</v>
      </c>
      <c r="R804" s="10">
        <f>data_redis_illX!F704</f>
        <v>0</v>
      </c>
      <c r="S804" s="10">
        <f>data_redis_illX!G704</f>
        <v>54.669914340978174</v>
      </c>
      <c r="T804" s="10">
        <f>data_redis_illX!H704</f>
        <v>49.706624928289507</v>
      </c>
      <c r="U804" s="10">
        <f>data_redis_illX!I704</f>
        <v>8.7626130955615977</v>
      </c>
      <c r="V804" s="10">
        <f>data_redis_illX!J704</f>
        <v>0</v>
      </c>
      <c r="W804" s="10">
        <f>data_redis_illX!K704</f>
        <v>0</v>
      </c>
      <c r="X804" s="10">
        <f>data_redis_illX!L704</f>
        <v>0</v>
      </c>
      <c r="Y804" s="5">
        <f t="shared" si="12"/>
        <v>113.13915236482927</v>
      </c>
    </row>
    <row r="805" spans="16:25" x14ac:dyDescent="0.25">
      <c r="P805" s="2" t="s">
        <v>21</v>
      </c>
      <c r="Q805" s="10">
        <f>data_redis_illX!E705</f>
        <v>0</v>
      </c>
      <c r="R805" s="10">
        <f>data_redis_illX!F705</f>
        <v>0</v>
      </c>
      <c r="S805" s="10">
        <f>data_redis_illX!G705</f>
        <v>3.2158773141751862</v>
      </c>
      <c r="T805" s="10">
        <f>data_redis_illX!H705</f>
        <v>7.5640516195223162</v>
      </c>
      <c r="U805" s="10">
        <f>data_redis_illX!I705</f>
        <v>0</v>
      </c>
      <c r="V805" s="10">
        <f>data_redis_illX!J705</f>
        <v>0</v>
      </c>
      <c r="W805" s="10">
        <f>data_redis_illX!K705</f>
        <v>0</v>
      </c>
      <c r="X805" s="10">
        <f>data_redis_illX!L705</f>
        <v>0</v>
      </c>
      <c r="Y805" s="5">
        <f t="shared" si="12"/>
        <v>10.779928933697501</v>
      </c>
    </row>
    <row r="806" spans="16:25" x14ac:dyDescent="0.25">
      <c r="P806" s="2" t="s">
        <v>22</v>
      </c>
      <c r="Q806" s="10">
        <f>data_redis_illX!E706</f>
        <v>0</v>
      </c>
      <c r="R806" s="10">
        <f>data_redis_illX!F706</f>
        <v>0</v>
      </c>
      <c r="S806" s="10">
        <f>data_redis_illX!G706</f>
        <v>3.2158773141751862</v>
      </c>
      <c r="T806" s="10">
        <f>data_redis_illX!H706</f>
        <v>8.6446304223112183</v>
      </c>
      <c r="U806" s="10">
        <f>data_redis_illX!I706</f>
        <v>2.1906532738903994</v>
      </c>
      <c r="V806" s="10">
        <f>data_redis_illX!J706</f>
        <v>0</v>
      </c>
      <c r="W806" s="10">
        <f>data_redis_illX!K706</f>
        <v>0</v>
      </c>
      <c r="X806" s="10">
        <f>data_redis_illX!L706</f>
        <v>0</v>
      </c>
      <c r="Y806" s="5">
        <f t="shared" si="12"/>
        <v>14.051161010376804</v>
      </c>
    </row>
    <row r="807" spans="16:25" x14ac:dyDescent="0.25">
      <c r="P807" s="2" t="s">
        <v>23</v>
      </c>
      <c r="Q807" s="10">
        <f>data_redis_illX!E707</f>
        <v>0</v>
      </c>
      <c r="R807" s="10">
        <f>data_redis_illX!F707</f>
        <v>0</v>
      </c>
      <c r="S807" s="10">
        <f>data_redis_illX!G707</f>
        <v>0</v>
      </c>
      <c r="T807" s="10">
        <f>data_redis_illX!H707</f>
        <v>0</v>
      </c>
      <c r="U807" s="10">
        <f>data_redis_illX!I707</f>
        <v>0</v>
      </c>
      <c r="V807" s="10">
        <f>data_redis_illX!J707</f>
        <v>0</v>
      </c>
      <c r="W807" s="10">
        <f>data_redis_illX!K707</f>
        <v>0</v>
      </c>
      <c r="X807" s="10">
        <f>data_redis_illX!L707</f>
        <v>0</v>
      </c>
      <c r="Y807" s="5">
        <f t="shared" si="12"/>
        <v>0</v>
      </c>
    </row>
    <row r="808" spans="16:25" x14ac:dyDescent="0.25">
      <c r="P808" s="2" t="s">
        <v>24</v>
      </c>
      <c r="Q808" s="10">
        <f>data_redis_illX!E708</f>
        <v>0</v>
      </c>
      <c r="R808" s="10">
        <f>data_redis_illX!F708</f>
        <v>0</v>
      </c>
      <c r="S808" s="10">
        <f>data_redis_illX!G708</f>
        <v>2.1439182094501241</v>
      </c>
      <c r="T808" s="10">
        <f>data_redis_illX!H708</f>
        <v>4.3223152111556091</v>
      </c>
      <c r="U808" s="10">
        <f>data_redis_illX!I708</f>
        <v>1.0953266369451997</v>
      </c>
      <c r="V808" s="10">
        <f>data_redis_illX!J708</f>
        <v>0</v>
      </c>
      <c r="W808" s="10">
        <f>data_redis_illX!K708</f>
        <v>0</v>
      </c>
      <c r="X808" s="10">
        <f>data_redis_illX!L708</f>
        <v>0</v>
      </c>
      <c r="Y808" s="5">
        <f t="shared" si="12"/>
        <v>7.561560057550933</v>
      </c>
    </row>
    <row r="809" spans="16:25" x14ac:dyDescent="0.25">
      <c r="P809" s="2" t="s">
        <v>25</v>
      </c>
      <c r="Q809" s="10">
        <f>data_redis_illX!E709</f>
        <v>0</v>
      </c>
      <c r="R809" s="10">
        <f>data_redis_illX!F709</f>
        <v>0</v>
      </c>
      <c r="S809" s="10">
        <f>data_redis_illX!G709</f>
        <v>2.1439182094501241</v>
      </c>
      <c r="T809" s="10">
        <f>data_redis_illX!H709</f>
        <v>2.1611576055778046</v>
      </c>
      <c r="U809" s="10">
        <f>data_redis_illX!I709</f>
        <v>2.1906532738903994</v>
      </c>
      <c r="V809" s="10">
        <f>data_redis_illX!J709</f>
        <v>0</v>
      </c>
      <c r="W809" s="10">
        <f>data_redis_illX!K709</f>
        <v>0</v>
      </c>
      <c r="X809" s="10">
        <f>data_redis_illX!L709</f>
        <v>0</v>
      </c>
      <c r="Y809" s="5">
        <f t="shared" si="12"/>
        <v>6.4957290889183277</v>
      </c>
    </row>
    <row r="810" spans="16:25" x14ac:dyDescent="0.25">
      <c r="P810" s="2" t="s">
        <v>26</v>
      </c>
      <c r="Q810" s="10">
        <f>data_redis_illX!E710</f>
        <v>0</v>
      </c>
      <c r="R810" s="10">
        <f>data_redis_illX!F710</f>
        <v>0</v>
      </c>
      <c r="S810" s="10">
        <f>data_redis_illX!G710</f>
        <v>1.0719591047250621</v>
      </c>
      <c r="T810" s="10">
        <f>data_redis_illX!H710</f>
        <v>1.0805788027889023</v>
      </c>
      <c r="U810" s="10">
        <f>data_redis_illX!I710</f>
        <v>0</v>
      </c>
      <c r="V810" s="10">
        <f>data_redis_illX!J710</f>
        <v>0</v>
      </c>
      <c r="W810" s="10">
        <f>data_redis_illX!K710</f>
        <v>0</v>
      </c>
      <c r="X810" s="10">
        <f>data_redis_illX!L710</f>
        <v>0</v>
      </c>
      <c r="Y810" s="5">
        <f t="shared" si="12"/>
        <v>2.1525379075139641</v>
      </c>
    </row>
    <row r="811" spans="16:25" x14ac:dyDescent="0.25">
      <c r="P811" s="2" t="s">
        <v>27</v>
      </c>
      <c r="Q811" s="10">
        <f>data_redis_illX!E711</f>
        <v>0</v>
      </c>
      <c r="R811" s="10">
        <f>data_redis_illX!F711</f>
        <v>0</v>
      </c>
      <c r="S811" s="10">
        <f>data_redis_illX!G711</f>
        <v>3.2158773141751862</v>
      </c>
      <c r="T811" s="10">
        <f>data_redis_illX!H711</f>
        <v>4.3223152111556091</v>
      </c>
      <c r="U811" s="10">
        <f>data_redis_illX!I711</f>
        <v>2.1906532738903994</v>
      </c>
      <c r="V811" s="10">
        <f>data_redis_illX!J711</f>
        <v>0</v>
      </c>
      <c r="W811" s="10">
        <f>data_redis_illX!K711</f>
        <v>0</v>
      </c>
      <c r="X811" s="10">
        <f>data_redis_illX!L711</f>
        <v>0</v>
      </c>
      <c r="Y811" s="5">
        <f t="shared" si="12"/>
        <v>9.7288457992211939</v>
      </c>
    </row>
    <row r="812" spans="16:25" x14ac:dyDescent="0.25">
      <c r="P812" s="2" t="s">
        <v>28</v>
      </c>
      <c r="Q812" s="10">
        <f>data_redis_illX!E712</f>
        <v>0</v>
      </c>
      <c r="R812" s="10">
        <f>data_redis_illX!F712</f>
        <v>0</v>
      </c>
      <c r="S812" s="10">
        <f>data_redis_illX!G712</f>
        <v>177.94521138436031</v>
      </c>
      <c r="T812" s="10">
        <f>data_redis_illX!H712</f>
        <v>208.55170893825814</v>
      </c>
      <c r="U812" s="10">
        <f>data_redis_illX!I712</f>
        <v>52.575678573369586</v>
      </c>
      <c r="V812" s="10">
        <f>data_redis_illX!J712</f>
        <v>5.869750283768445</v>
      </c>
      <c r="W812" s="10">
        <f>data_redis_illX!K712</f>
        <v>0</v>
      </c>
      <c r="X812" s="10">
        <f>data_redis_illX!L712</f>
        <v>0</v>
      </c>
      <c r="Y812" s="5">
        <f t="shared" si="12"/>
        <v>444.94234917975649</v>
      </c>
    </row>
    <row r="813" spans="16:25" x14ac:dyDescent="0.25">
      <c r="P813" s="2" t="s">
        <v>29</v>
      </c>
      <c r="Q813" s="10">
        <f>data_redis_illX!E713</f>
        <v>0</v>
      </c>
      <c r="R813" s="10">
        <f>data_redis_illX!F713</f>
        <v>0</v>
      </c>
      <c r="S813" s="10">
        <f>data_redis_illX!G713</f>
        <v>116.84354241503178</v>
      </c>
      <c r="T813" s="10">
        <f>data_redis_illX!H713</f>
        <v>86.446304223112193</v>
      </c>
      <c r="U813" s="10">
        <f>data_redis_illX!I713</f>
        <v>15.334572917232796</v>
      </c>
      <c r="V813" s="10">
        <f>data_redis_illX!J713</f>
        <v>0</v>
      </c>
      <c r="W813" s="10">
        <f>data_redis_illX!K713</f>
        <v>0</v>
      </c>
      <c r="X813" s="10">
        <f>data_redis_illX!L713</f>
        <v>0</v>
      </c>
      <c r="Y813" s="5">
        <f t="shared" si="12"/>
        <v>218.62441955537676</v>
      </c>
    </row>
    <row r="814" spans="16:25" x14ac:dyDescent="0.25">
      <c r="P814" s="2" t="s">
        <v>30</v>
      </c>
      <c r="Q814" s="10">
        <f>data_redis_illX!E714</f>
        <v>0</v>
      </c>
      <c r="R814" s="10">
        <f>data_redis_illX!F714</f>
        <v>0</v>
      </c>
      <c r="S814" s="10">
        <f>data_redis_illX!G714</f>
        <v>400.91270516717327</v>
      </c>
      <c r="T814" s="10">
        <f>data_redis_illX!H714</f>
        <v>391.16952660958265</v>
      </c>
      <c r="U814" s="10">
        <f>data_redis_illX!I714</f>
        <v>119.39060342702678</v>
      </c>
      <c r="V814" s="10">
        <f>data_redis_illX!J714</f>
        <v>7.0437003405221343</v>
      </c>
      <c r="W814" s="10">
        <f>data_redis_illX!K714</f>
        <v>0</v>
      </c>
      <c r="X814" s="10">
        <f>data_redis_illX!L714</f>
        <v>0</v>
      </c>
      <c r="Y814" s="5">
        <f t="shared" si="12"/>
        <v>918.51653554430482</v>
      </c>
    </row>
    <row r="815" spans="16:25" x14ac:dyDescent="0.25">
      <c r="P815" s="2" t="s">
        <v>31</v>
      </c>
      <c r="Q815" s="10">
        <f>data_redis_illX!E715</f>
        <v>0</v>
      </c>
      <c r="R815" s="10">
        <f>data_redis_illX!F715</f>
        <v>0</v>
      </c>
      <c r="S815" s="10">
        <f>data_redis_illX!G715</f>
        <v>9.6476319425255586</v>
      </c>
      <c r="T815" s="10">
        <f>data_redis_illX!H715</f>
        <v>15.128103239044632</v>
      </c>
      <c r="U815" s="10">
        <f>data_redis_illX!I715</f>
        <v>9.8579397325067983</v>
      </c>
      <c r="V815" s="10">
        <f>data_redis_illX!J715</f>
        <v>0</v>
      </c>
      <c r="W815" s="10">
        <f>data_redis_illX!K715</f>
        <v>0</v>
      </c>
      <c r="X815" s="10">
        <f>data_redis_illX!L715</f>
        <v>0</v>
      </c>
      <c r="Y815" s="5">
        <f t="shared" si="12"/>
        <v>34.633674914076991</v>
      </c>
    </row>
    <row r="816" spans="16:25" x14ac:dyDescent="0.25">
      <c r="P816" s="2" t="s">
        <v>32</v>
      </c>
      <c r="Q816" s="10">
        <f>data_redis_illX!E716</f>
        <v>0</v>
      </c>
      <c r="R816" s="10">
        <f>data_redis_illX!F716</f>
        <v>0</v>
      </c>
      <c r="S816" s="10">
        <f>data_redis_illX!G716</f>
        <v>0</v>
      </c>
      <c r="T816" s="10">
        <f>data_redis_illX!H716</f>
        <v>0</v>
      </c>
      <c r="U816" s="10">
        <f>data_redis_illX!I716</f>
        <v>0</v>
      </c>
      <c r="V816" s="10">
        <f>data_redis_illX!J716</f>
        <v>0</v>
      </c>
      <c r="W816" s="10">
        <f>data_redis_illX!K716</f>
        <v>0</v>
      </c>
      <c r="X816" s="10">
        <f>data_redis_illX!L716</f>
        <v>0</v>
      </c>
      <c r="Y816" s="5">
        <f t="shared" si="12"/>
        <v>0</v>
      </c>
    </row>
    <row r="817" spans="13:25" x14ac:dyDescent="0.25">
      <c r="P817" s="2" t="s">
        <v>33</v>
      </c>
      <c r="Q817" s="10">
        <f>data_redis_illX!E717</f>
        <v>0</v>
      </c>
      <c r="R817" s="10">
        <f>data_redis_illX!F717</f>
        <v>0</v>
      </c>
      <c r="S817" s="10">
        <f>data_redis_illX!G717</f>
        <v>0</v>
      </c>
      <c r="T817" s="10">
        <f>data_redis_illX!H717</f>
        <v>0</v>
      </c>
      <c r="U817" s="10">
        <f>data_redis_illX!I717</f>
        <v>1.0953266369451997</v>
      </c>
      <c r="V817" s="10">
        <f>data_redis_illX!J717</f>
        <v>0</v>
      </c>
      <c r="W817" s="10">
        <f>data_redis_illX!K717</f>
        <v>0</v>
      </c>
      <c r="X817" s="10">
        <f>data_redis_illX!L717</f>
        <v>0</v>
      </c>
      <c r="Y817" s="5">
        <f t="shared" si="12"/>
        <v>1.0953266369451997</v>
      </c>
    </row>
    <row r="818" spans="13:25" x14ac:dyDescent="0.25">
      <c r="P818" s="2" t="s">
        <v>34</v>
      </c>
      <c r="Q818" s="10">
        <f>data_redis_illX!E718</f>
        <v>0</v>
      </c>
      <c r="R818" s="10">
        <f>data_redis_illX!F718</f>
        <v>0</v>
      </c>
      <c r="S818" s="10">
        <f>data_redis_illX!G718</f>
        <v>0</v>
      </c>
      <c r="T818" s="10">
        <f>data_redis_illX!H718</f>
        <v>0</v>
      </c>
      <c r="U818" s="10">
        <f>data_redis_illX!I718</f>
        <v>0</v>
      </c>
      <c r="V818" s="10">
        <f>data_redis_illX!J718</f>
        <v>0</v>
      </c>
      <c r="W818" s="10">
        <f>data_redis_illX!K718</f>
        <v>0</v>
      </c>
      <c r="X818" s="10">
        <f>data_redis_illX!L718</f>
        <v>0</v>
      </c>
      <c r="Y818" s="5">
        <f t="shared" si="12"/>
        <v>0</v>
      </c>
    </row>
    <row r="819" spans="13:25" x14ac:dyDescent="0.25">
      <c r="P819" s="2" t="s">
        <v>35</v>
      </c>
      <c r="Q819" s="10">
        <f>data_redis_illX!E719</f>
        <v>0</v>
      </c>
      <c r="R819" s="10">
        <f>data_redis_illX!F719</f>
        <v>0</v>
      </c>
      <c r="S819" s="10">
        <f>data_redis_illX!G719</f>
        <v>1.0719591047250621</v>
      </c>
      <c r="T819" s="10">
        <f>data_redis_illX!H719</f>
        <v>0</v>
      </c>
      <c r="U819" s="10">
        <f>data_redis_illX!I719</f>
        <v>0</v>
      </c>
      <c r="V819" s="10">
        <f>data_redis_illX!J719</f>
        <v>0</v>
      </c>
      <c r="W819" s="10">
        <f>data_redis_illX!K719</f>
        <v>0</v>
      </c>
      <c r="X819" s="10">
        <f>data_redis_illX!L719</f>
        <v>0</v>
      </c>
      <c r="Y819" s="5">
        <f t="shared" si="12"/>
        <v>1.0719591047250621</v>
      </c>
    </row>
    <row r="820" spans="13:25" x14ac:dyDescent="0.25">
      <c r="P820" s="2" t="s">
        <v>36</v>
      </c>
      <c r="Q820" s="10">
        <f>data_redis_illX!E720</f>
        <v>0</v>
      </c>
      <c r="R820" s="10">
        <f>data_redis_illX!F720</f>
        <v>0</v>
      </c>
      <c r="S820" s="10">
        <f>data_redis_illX!G720</f>
        <v>0</v>
      </c>
      <c r="T820" s="10">
        <f>data_redis_illX!H720</f>
        <v>0</v>
      </c>
      <c r="U820" s="10">
        <f>data_redis_illX!I720</f>
        <v>0</v>
      </c>
      <c r="V820" s="10">
        <f>data_redis_illX!J720</f>
        <v>0</v>
      </c>
      <c r="W820" s="10">
        <f>data_redis_illX!K720</f>
        <v>0</v>
      </c>
      <c r="X820" s="10">
        <f>data_redis_illX!L720</f>
        <v>0</v>
      </c>
      <c r="Y820" s="5">
        <f t="shared" si="12"/>
        <v>0</v>
      </c>
    </row>
    <row r="821" spans="13:25" x14ac:dyDescent="0.25">
      <c r="P821" s="2" t="s">
        <v>37</v>
      </c>
      <c r="Q821" s="10">
        <f>data_redis_illX!E721</f>
        <v>0</v>
      </c>
      <c r="R821" s="10">
        <f>data_redis_illX!F721</f>
        <v>0</v>
      </c>
      <c r="S821" s="10">
        <f>data_redis_illX!G721</f>
        <v>0</v>
      </c>
      <c r="T821" s="10">
        <f>data_redis_illX!H721</f>
        <v>0</v>
      </c>
      <c r="U821" s="10">
        <f>data_redis_illX!I721</f>
        <v>0</v>
      </c>
      <c r="V821" s="10">
        <f>data_redis_illX!J721</f>
        <v>0</v>
      </c>
      <c r="W821" s="10">
        <f>data_redis_illX!K721</f>
        <v>0</v>
      </c>
      <c r="X821" s="10">
        <f>data_redis_illX!L721</f>
        <v>0</v>
      </c>
      <c r="Y821" s="5">
        <f t="shared" si="12"/>
        <v>0</v>
      </c>
    </row>
    <row r="822" spans="13:25" x14ac:dyDescent="0.25">
      <c r="P822" s="2" t="s">
        <v>38</v>
      </c>
      <c r="Q822" s="10">
        <f>data_redis_illX!E722</f>
        <v>0</v>
      </c>
      <c r="R822" s="10">
        <f>data_redis_illX!F722</f>
        <v>0</v>
      </c>
      <c r="S822" s="10">
        <f>data_redis_illX!G722</f>
        <v>0</v>
      </c>
      <c r="T822" s="10">
        <f>data_redis_illX!H722</f>
        <v>1.0805788027889023</v>
      </c>
      <c r="U822" s="10">
        <f>data_redis_illX!I722</f>
        <v>0</v>
      </c>
      <c r="V822" s="10">
        <f>data_redis_illX!J722</f>
        <v>0</v>
      </c>
      <c r="W822" s="10">
        <f>data_redis_illX!K722</f>
        <v>0</v>
      </c>
      <c r="X822" s="10">
        <f>data_redis_illX!L722</f>
        <v>0</v>
      </c>
      <c r="Y822" s="5">
        <f t="shared" si="12"/>
        <v>1.0805788027889023</v>
      </c>
    </row>
    <row r="823" spans="13:25" x14ac:dyDescent="0.25">
      <c r="P823" s="2" t="s">
        <v>39</v>
      </c>
      <c r="Q823" s="10">
        <f>data_redis_illX!E723</f>
        <v>0</v>
      </c>
      <c r="R823" s="10">
        <f>data_redis_illX!F723</f>
        <v>0</v>
      </c>
      <c r="S823" s="10">
        <f>data_redis_illX!G723</f>
        <v>0</v>
      </c>
      <c r="T823" s="10">
        <f>data_redis_illX!H723</f>
        <v>0</v>
      </c>
      <c r="U823" s="10">
        <f>data_redis_illX!I723</f>
        <v>0</v>
      </c>
      <c r="V823" s="10">
        <f>data_redis_illX!J723</f>
        <v>0</v>
      </c>
      <c r="W823" s="10">
        <f>data_redis_illX!K723</f>
        <v>0</v>
      </c>
      <c r="X823" s="10">
        <f>data_redis_illX!L723</f>
        <v>0</v>
      </c>
      <c r="Y823" s="5">
        <f t="shared" si="12"/>
        <v>0</v>
      </c>
    </row>
    <row r="824" spans="13:25" x14ac:dyDescent="0.25">
      <c r="P824" s="2" t="s">
        <v>40</v>
      </c>
      <c r="Q824" s="10">
        <f>data_redis_illX!E724</f>
        <v>0</v>
      </c>
      <c r="R824" s="10">
        <f>data_redis_illX!F724</f>
        <v>0</v>
      </c>
      <c r="S824" s="10">
        <f>data_redis_illX!G724</f>
        <v>0</v>
      </c>
      <c r="T824" s="10">
        <f>data_redis_illX!H724</f>
        <v>1.0805788027889023</v>
      </c>
      <c r="U824" s="10">
        <f>data_redis_illX!I724</f>
        <v>1.0953266369451997</v>
      </c>
      <c r="V824" s="10">
        <f>data_redis_illX!J724</f>
        <v>0</v>
      </c>
      <c r="W824" s="10">
        <f>data_redis_illX!K724</f>
        <v>0</v>
      </c>
      <c r="X824" s="10">
        <f>data_redis_illX!L724</f>
        <v>0</v>
      </c>
      <c r="Y824" s="5">
        <f t="shared" si="12"/>
        <v>2.1759054397341018</v>
      </c>
    </row>
    <row r="825" spans="13:25" x14ac:dyDescent="0.25">
      <c r="P825" s="2" t="s">
        <v>41</v>
      </c>
      <c r="Q825" s="10">
        <f>data_redis_illX!E725</f>
        <v>0</v>
      </c>
      <c r="R825" s="10">
        <f>data_redis_illX!F725</f>
        <v>0</v>
      </c>
      <c r="S825" s="10">
        <f>data_redis_illX!G725</f>
        <v>1.0719591047250621</v>
      </c>
      <c r="T825" s="10">
        <f>data_redis_illX!H725</f>
        <v>1.0805788027889023</v>
      </c>
      <c r="U825" s="10">
        <f>data_redis_illX!I725</f>
        <v>0</v>
      </c>
      <c r="V825" s="10">
        <f>data_redis_illX!J725</f>
        <v>0</v>
      </c>
      <c r="W825" s="10">
        <f>data_redis_illX!K725</f>
        <v>0</v>
      </c>
      <c r="X825" s="10">
        <f>data_redis_illX!L725</f>
        <v>0</v>
      </c>
      <c r="Y825" s="5">
        <f t="shared" si="12"/>
        <v>2.1525379075139641</v>
      </c>
    </row>
    <row r="826" spans="13:25" x14ac:dyDescent="0.25">
      <c r="P826" s="2" t="s">
        <v>42</v>
      </c>
      <c r="Q826" s="10">
        <f>data_redis_illX!E726</f>
        <v>0</v>
      </c>
      <c r="R826" s="10">
        <f>data_redis_illX!F726</f>
        <v>0</v>
      </c>
      <c r="S826" s="10">
        <f>data_redis_illX!G726</f>
        <v>46.094241503177678</v>
      </c>
      <c r="T826" s="10">
        <f>data_redis_illX!H726</f>
        <v>25.933891266933657</v>
      </c>
      <c r="U826" s="10">
        <f>data_redis_illX!I726</f>
        <v>5.4766331847259986</v>
      </c>
      <c r="V826" s="10">
        <f>data_redis_illX!J726</f>
        <v>2.3479001135073783</v>
      </c>
      <c r="W826" s="10">
        <f>data_redis_illX!K726</f>
        <v>0</v>
      </c>
      <c r="X826" s="10">
        <f>data_redis_illX!L726</f>
        <v>0</v>
      </c>
      <c r="Y826" s="5">
        <f t="shared" si="12"/>
        <v>79.852666068344718</v>
      </c>
    </row>
    <row r="827" spans="13:25" x14ac:dyDescent="0.25">
      <c r="P827" s="2" t="s">
        <v>43</v>
      </c>
      <c r="Q827" s="10">
        <f>data_redis_illX!E727</f>
        <v>0</v>
      </c>
      <c r="R827" s="10">
        <f>data_redis_illX!F727</f>
        <v>0</v>
      </c>
      <c r="S827" s="10">
        <f>data_redis_illX!G727</f>
        <v>1.0719591047250621</v>
      </c>
      <c r="T827" s="10">
        <f>data_redis_illX!H727</f>
        <v>1.0805788027889023</v>
      </c>
      <c r="U827" s="10">
        <f>data_redis_illX!I727</f>
        <v>2.1906532738903994</v>
      </c>
      <c r="V827" s="10">
        <f>data_redis_illX!J727</f>
        <v>0</v>
      </c>
      <c r="W827" s="10">
        <f>data_redis_illX!K727</f>
        <v>0</v>
      </c>
      <c r="X827" s="10">
        <f>data_redis_illX!L727</f>
        <v>0</v>
      </c>
      <c r="Y827" s="5">
        <f t="shared" si="12"/>
        <v>4.3431911814043636</v>
      </c>
    </row>
    <row r="828" spans="13:25" x14ac:dyDescent="0.25">
      <c r="P828" s="2" t="s">
        <v>44</v>
      </c>
      <c r="Q828" s="10">
        <f>data_redis_illX!E728</f>
        <v>0</v>
      </c>
      <c r="R828" s="10">
        <f>data_redis_illX!F728</f>
        <v>0</v>
      </c>
      <c r="S828" s="10">
        <f>data_redis_illX!G728</f>
        <v>19.295263885051117</v>
      </c>
      <c r="T828" s="10">
        <f>data_redis_illX!H728</f>
        <v>25.933891266933657</v>
      </c>
      <c r="U828" s="10">
        <f>data_redis_illX!I728</f>
        <v>2.1906532738903994</v>
      </c>
      <c r="V828" s="10">
        <f>data_redis_illX!J728</f>
        <v>0</v>
      </c>
      <c r="W828" s="10">
        <f>data_redis_illX!K728</f>
        <v>0</v>
      </c>
      <c r="X828" s="10">
        <f>data_redis_illX!L728</f>
        <v>0</v>
      </c>
      <c r="Y828" s="5">
        <f t="shared" si="12"/>
        <v>47.419808425875168</v>
      </c>
    </row>
    <row r="829" spans="13:25" x14ac:dyDescent="0.25">
      <c r="M829" t="s">
        <v>104</v>
      </c>
      <c r="N829" t="s">
        <v>117</v>
      </c>
      <c r="O829" t="s">
        <v>47</v>
      </c>
      <c r="P829" s="2" t="s">
        <v>12</v>
      </c>
      <c r="Q829" s="10">
        <f>data_redis_illX!E729</f>
        <v>0</v>
      </c>
      <c r="R829" s="10">
        <f>data_redis_illX!F729</f>
        <v>0</v>
      </c>
      <c r="S829" s="10">
        <f>data_redis_illX!G729</f>
        <v>0</v>
      </c>
      <c r="T829" s="10">
        <f>data_redis_illX!H729</f>
        <v>0</v>
      </c>
      <c r="U829" s="10">
        <f>data_redis_illX!I729</f>
        <v>0</v>
      </c>
      <c r="V829" s="10">
        <f>data_redis_illX!J729</f>
        <v>0</v>
      </c>
      <c r="W829" s="10">
        <f>data_redis_illX!K729</f>
        <v>0</v>
      </c>
      <c r="X829" s="10">
        <f>data_redis_illX!L729</f>
        <v>0</v>
      </c>
      <c r="Y829" s="5">
        <f t="shared" si="12"/>
        <v>0</v>
      </c>
    </row>
    <row r="830" spans="13:25" x14ac:dyDescent="0.25">
      <c r="P830" s="2" t="s">
        <v>13</v>
      </c>
      <c r="Q830" s="10">
        <f>data_redis_illX!E730</f>
        <v>0</v>
      </c>
      <c r="R830" s="10">
        <f>data_redis_illX!F730</f>
        <v>0</v>
      </c>
      <c r="S830" s="10">
        <f>data_redis_illX!G730</f>
        <v>0</v>
      </c>
      <c r="T830" s="10">
        <f>data_redis_illX!H730</f>
        <v>0</v>
      </c>
      <c r="U830" s="10">
        <f>data_redis_illX!I730</f>
        <v>0</v>
      </c>
      <c r="V830" s="10">
        <f>data_redis_illX!J730</f>
        <v>0</v>
      </c>
      <c r="W830" s="10">
        <f>data_redis_illX!K730</f>
        <v>0</v>
      </c>
      <c r="X830" s="10">
        <f>data_redis_illX!L730</f>
        <v>0</v>
      </c>
      <c r="Y830" s="5">
        <f t="shared" si="12"/>
        <v>0</v>
      </c>
    </row>
    <row r="831" spans="13:25" x14ac:dyDescent="0.25">
      <c r="P831" s="2" t="s">
        <v>14</v>
      </c>
      <c r="Q831" s="10">
        <f>data_redis_illX!E731</f>
        <v>0</v>
      </c>
      <c r="R831" s="10">
        <f>data_redis_illX!F731</f>
        <v>0</v>
      </c>
      <c r="S831" s="10">
        <f>data_redis_illX!G731</f>
        <v>0</v>
      </c>
      <c r="T831" s="10">
        <f>data_redis_illX!H731</f>
        <v>0</v>
      </c>
      <c r="U831" s="10">
        <f>data_redis_illX!I731</f>
        <v>0</v>
      </c>
      <c r="V831" s="10">
        <f>data_redis_illX!J731</f>
        <v>0</v>
      </c>
      <c r="W831" s="10">
        <f>data_redis_illX!K731</f>
        <v>0</v>
      </c>
      <c r="X831" s="10">
        <f>data_redis_illX!L731</f>
        <v>0</v>
      </c>
      <c r="Y831" s="5">
        <f t="shared" si="12"/>
        <v>0</v>
      </c>
    </row>
    <row r="832" spans="13:25" x14ac:dyDescent="0.25">
      <c r="P832" s="2" t="s">
        <v>15</v>
      </c>
      <c r="Q832" s="10">
        <f>data_redis_illX!E732</f>
        <v>0</v>
      </c>
      <c r="R832" s="10">
        <f>data_redis_illX!F732</f>
        <v>0</v>
      </c>
      <c r="S832" s="10">
        <f>data_redis_illX!G732</f>
        <v>0</v>
      </c>
      <c r="T832" s="10">
        <f>data_redis_illX!H732</f>
        <v>0</v>
      </c>
      <c r="U832" s="10">
        <f>data_redis_illX!I732</f>
        <v>0</v>
      </c>
      <c r="V832" s="10">
        <f>data_redis_illX!J732</f>
        <v>0</v>
      </c>
      <c r="W832" s="10">
        <f>data_redis_illX!K732</f>
        <v>0</v>
      </c>
      <c r="X832" s="10">
        <f>data_redis_illX!L732</f>
        <v>0</v>
      </c>
      <c r="Y832" s="5">
        <f t="shared" si="12"/>
        <v>0</v>
      </c>
    </row>
    <row r="833" spans="16:25" x14ac:dyDescent="0.25">
      <c r="P833" s="2" t="s">
        <v>16</v>
      </c>
      <c r="Q833" s="10">
        <f>data_redis_illX!E733</f>
        <v>0</v>
      </c>
      <c r="R833" s="10">
        <f>data_redis_illX!F733</f>
        <v>0</v>
      </c>
      <c r="S833" s="10">
        <f>data_redis_illX!G733</f>
        <v>0</v>
      </c>
      <c r="T833" s="10">
        <f>data_redis_illX!H733</f>
        <v>0</v>
      </c>
      <c r="U833" s="10">
        <f>data_redis_illX!I733</f>
        <v>0</v>
      </c>
      <c r="V833" s="10">
        <f>data_redis_illX!J733</f>
        <v>0</v>
      </c>
      <c r="W833" s="10">
        <f>data_redis_illX!K733</f>
        <v>0</v>
      </c>
      <c r="X833" s="10">
        <f>data_redis_illX!L733</f>
        <v>0</v>
      </c>
      <c r="Y833" s="5">
        <f t="shared" si="12"/>
        <v>0</v>
      </c>
    </row>
    <row r="834" spans="16:25" x14ac:dyDescent="0.25">
      <c r="P834" s="2" t="s">
        <v>17</v>
      </c>
      <c r="Q834" s="10">
        <f>data_redis_illX!E734</f>
        <v>0</v>
      </c>
      <c r="R834" s="10">
        <f>data_redis_illX!F734</f>
        <v>0</v>
      </c>
      <c r="S834" s="10">
        <f>data_redis_illX!G734</f>
        <v>0</v>
      </c>
      <c r="T834" s="10">
        <f>data_redis_illX!H734</f>
        <v>0</v>
      </c>
      <c r="U834" s="10">
        <f>data_redis_illX!I734</f>
        <v>0</v>
      </c>
      <c r="V834" s="10">
        <f>data_redis_illX!J734</f>
        <v>0</v>
      </c>
      <c r="W834" s="10">
        <f>data_redis_illX!K734</f>
        <v>0</v>
      </c>
      <c r="X834" s="10">
        <f>data_redis_illX!L734</f>
        <v>0</v>
      </c>
      <c r="Y834" s="5">
        <f t="shared" si="12"/>
        <v>0</v>
      </c>
    </row>
    <row r="835" spans="16:25" x14ac:dyDescent="0.25">
      <c r="P835" s="2" t="s">
        <v>18</v>
      </c>
      <c r="Q835" s="10">
        <f>data_redis_illX!E735</f>
        <v>0</v>
      </c>
      <c r="R835" s="10">
        <f>data_redis_illX!F735</f>
        <v>0</v>
      </c>
      <c r="S835" s="10">
        <f>data_redis_illX!G735</f>
        <v>0</v>
      </c>
      <c r="T835" s="10">
        <f>data_redis_illX!H735</f>
        <v>0</v>
      </c>
      <c r="U835" s="10">
        <f>data_redis_illX!I735</f>
        <v>0</v>
      </c>
      <c r="V835" s="10">
        <f>data_redis_illX!J735</f>
        <v>0</v>
      </c>
      <c r="W835" s="10">
        <f>data_redis_illX!K735</f>
        <v>0</v>
      </c>
      <c r="X835" s="10">
        <f>data_redis_illX!L735</f>
        <v>0</v>
      </c>
      <c r="Y835" s="5">
        <f t="shared" si="12"/>
        <v>0</v>
      </c>
    </row>
    <row r="836" spans="16:25" x14ac:dyDescent="0.25">
      <c r="P836" s="2" t="s">
        <v>19</v>
      </c>
      <c r="Q836" s="10">
        <f>data_redis_illX!E736</f>
        <v>0</v>
      </c>
      <c r="R836" s="10">
        <f>data_redis_illX!F736</f>
        <v>0</v>
      </c>
      <c r="S836" s="10">
        <f>data_redis_illX!G736</f>
        <v>0</v>
      </c>
      <c r="T836" s="10">
        <f>data_redis_illX!H736</f>
        <v>0</v>
      </c>
      <c r="U836" s="10">
        <f>data_redis_illX!I736</f>
        <v>0</v>
      </c>
      <c r="V836" s="10">
        <f>data_redis_illX!J736</f>
        <v>0</v>
      </c>
      <c r="W836" s="10">
        <f>data_redis_illX!K736</f>
        <v>0</v>
      </c>
      <c r="X836" s="10">
        <f>data_redis_illX!L736</f>
        <v>0</v>
      </c>
      <c r="Y836" s="5">
        <f t="shared" si="12"/>
        <v>0</v>
      </c>
    </row>
    <row r="837" spans="16:25" x14ac:dyDescent="0.25">
      <c r="P837" s="2" t="s">
        <v>20</v>
      </c>
      <c r="Q837" s="10">
        <f>data_redis_illX!E737</f>
        <v>0</v>
      </c>
      <c r="R837" s="10">
        <f>data_redis_illX!F737</f>
        <v>0</v>
      </c>
      <c r="S837" s="10">
        <f>data_redis_illX!G737</f>
        <v>0</v>
      </c>
      <c r="T837" s="10">
        <f>data_redis_illX!H737</f>
        <v>0</v>
      </c>
      <c r="U837" s="10">
        <f>data_redis_illX!I737</f>
        <v>0</v>
      </c>
      <c r="V837" s="10">
        <f>data_redis_illX!J737</f>
        <v>0</v>
      </c>
      <c r="W837" s="10">
        <f>data_redis_illX!K737</f>
        <v>0</v>
      </c>
      <c r="X837" s="10">
        <f>data_redis_illX!L737</f>
        <v>0</v>
      </c>
      <c r="Y837" s="5">
        <f t="shared" ref="Y837:Y900" si="13">SUM(Q837:X837)</f>
        <v>0</v>
      </c>
    </row>
    <row r="838" spans="16:25" x14ac:dyDescent="0.25">
      <c r="P838" s="2" t="s">
        <v>21</v>
      </c>
      <c r="Q838" s="10">
        <f>data_redis_illX!E738</f>
        <v>0</v>
      </c>
      <c r="R838" s="10">
        <f>data_redis_illX!F738</f>
        <v>0</v>
      </c>
      <c r="S838" s="10">
        <f>data_redis_illX!G738</f>
        <v>0</v>
      </c>
      <c r="T838" s="10">
        <f>data_redis_illX!H738</f>
        <v>0</v>
      </c>
      <c r="U838" s="10">
        <f>data_redis_illX!I738</f>
        <v>0</v>
      </c>
      <c r="V838" s="10">
        <f>data_redis_illX!J738</f>
        <v>0</v>
      </c>
      <c r="W838" s="10">
        <f>data_redis_illX!K738</f>
        <v>0</v>
      </c>
      <c r="X838" s="10">
        <f>data_redis_illX!L738</f>
        <v>0</v>
      </c>
      <c r="Y838" s="5">
        <f t="shared" si="13"/>
        <v>0</v>
      </c>
    </row>
    <row r="839" spans="16:25" x14ac:dyDescent="0.25">
      <c r="P839" s="2" t="s">
        <v>22</v>
      </c>
      <c r="Q839" s="10">
        <f>data_redis_illX!E739</f>
        <v>0</v>
      </c>
      <c r="R839" s="10">
        <f>data_redis_illX!F739</f>
        <v>0</v>
      </c>
      <c r="S839" s="10">
        <f>data_redis_illX!G739</f>
        <v>0</v>
      </c>
      <c r="T839" s="10">
        <f>data_redis_illX!H739</f>
        <v>0</v>
      </c>
      <c r="U839" s="10">
        <f>data_redis_illX!I739</f>
        <v>0</v>
      </c>
      <c r="V839" s="10">
        <f>data_redis_illX!J739</f>
        <v>0</v>
      </c>
      <c r="W839" s="10">
        <f>data_redis_illX!K739</f>
        <v>0</v>
      </c>
      <c r="X839" s="10">
        <f>data_redis_illX!L739</f>
        <v>0</v>
      </c>
      <c r="Y839" s="5">
        <f t="shared" si="13"/>
        <v>0</v>
      </c>
    </row>
    <row r="840" spans="16:25" x14ac:dyDescent="0.25">
      <c r="P840" s="2" t="s">
        <v>23</v>
      </c>
      <c r="Q840" s="10">
        <f>data_redis_illX!E740</f>
        <v>0</v>
      </c>
      <c r="R840" s="10">
        <f>data_redis_illX!F740</f>
        <v>0</v>
      </c>
      <c r="S840" s="10">
        <f>data_redis_illX!G740</f>
        <v>0</v>
      </c>
      <c r="T840" s="10">
        <f>data_redis_illX!H740</f>
        <v>0</v>
      </c>
      <c r="U840" s="10">
        <f>data_redis_illX!I740</f>
        <v>0</v>
      </c>
      <c r="V840" s="10">
        <f>data_redis_illX!J740</f>
        <v>0</v>
      </c>
      <c r="W840" s="10">
        <f>data_redis_illX!K740</f>
        <v>0</v>
      </c>
      <c r="X840" s="10">
        <f>data_redis_illX!L740</f>
        <v>0</v>
      </c>
      <c r="Y840" s="5">
        <f t="shared" si="13"/>
        <v>0</v>
      </c>
    </row>
    <row r="841" spans="16:25" x14ac:dyDescent="0.25">
      <c r="P841" s="2" t="s">
        <v>24</v>
      </c>
      <c r="Q841" s="10">
        <f>data_redis_illX!E741</f>
        <v>0</v>
      </c>
      <c r="R841" s="10">
        <f>data_redis_illX!F741</f>
        <v>0</v>
      </c>
      <c r="S841" s="10">
        <f>data_redis_illX!G741</f>
        <v>0</v>
      </c>
      <c r="T841" s="10">
        <f>data_redis_illX!H741</f>
        <v>0</v>
      </c>
      <c r="U841" s="10">
        <f>data_redis_illX!I741</f>
        <v>0</v>
      </c>
      <c r="V841" s="10">
        <f>data_redis_illX!J741</f>
        <v>0</v>
      </c>
      <c r="W841" s="10">
        <f>data_redis_illX!K741</f>
        <v>0</v>
      </c>
      <c r="X841" s="10">
        <f>data_redis_illX!L741</f>
        <v>0</v>
      </c>
      <c r="Y841" s="5">
        <f t="shared" si="13"/>
        <v>0</v>
      </c>
    </row>
    <row r="842" spans="16:25" x14ac:dyDescent="0.25">
      <c r="P842" s="2" t="s">
        <v>25</v>
      </c>
      <c r="Q842" s="10">
        <f>data_redis_illX!E742</f>
        <v>0</v>
      </c>
      <c r="R842" s="10">
        <f>data_redis_illX!F742</f>
        <v>0</v>
      </c>
      <c r="S842" s="10">
        <f>data_redis_illX!G742</f>
        <v>0</v>
      </c>
      <c r="T842" s="10">
        <f>data_redis_illX!H742</f>
        <v>0</v>
      </c>
      <c r="U842" s="10">
        <f>data_redis_illX!I742</f>
        <v>0</v>
      </c>
      <c r="V842" s="10">
        <f>data_redis_illX!J742</f>
        <v>0</v>
      </c>
      <c r="W842" s="10">
        <f>data_redis_illX!K742</f>
        <v>0</v>
      </c>
      <c r="X842" s="10">
        <f>data_redis_illX!L742</f>
        <v>0</v>
      </c>
      <c r="Y842" s="5">
        <f t="shared" si="13"/>
        <v>0</v>
      </c>
    </row>
    <row r="843" spans="16:25" x14ac:dyDescent="0.25">
      <c r="P843" s="2" t="s">
        <v>26</v>
      </c>
      <c r="Q843" s="10">
        <f>data_redis_illX!E743</f>
        <v>0</v>
      </c>
      <c r="R843" s="10">
        <f>data_redis_illX!F743</f>
        <v>0</v>
      </c>
      <c r="S843" s="10">
        <f>data_redis_illX!G743</f>
        <v>0</v>
      </c>
      <c r="T843" s="10">
        <f>data_redis_illX!H743</f>
        <v>0</v>
      </c>
      <c r="U843" s="10">
        <f>data_redis_illX!I743</f>
        <v>0</v>
      </c>
      <c r="V843" s="10">
        <f>data_redis_illX!J743</f>
        <v>0</v>
      </c>
      <c r="W843" s="10">
        <f>data_redis_illX!K743</f>
        <v>0</v>
      </c>
      <c r="X843" s="10">
        <f>data_redis_illX!L743</f>
        <v>0</v>
      </c>
      <c r="Y843" s="5">
        <f t="shared" si="13"/>
        <v>0</v>
      </c>
    </row>
    <row r="844" spans="16:25" x14ac:dyDescent="0.25">
      <c r="P844" s="2" t="s">
        <v>27</v>
      </c>
      <c r="Q844" s="10">
        <f>data_redis_illX!E744</f>
        <v>0</v>
      </c>
      <c r="R844" s="10">
        <f>data_redis_illX!F744</f>
        <v>0</v>
      </c>
      <c r="S844" s="10">
        <f>data_redis_illX!G744</f>
        <v>0</v>
      </c>
      <c r="T844" s="10">
        <f>data_redis_illX!H744</f>
        <v>0</v>
      </c>
      <c r="U844" s="10">
        <f>data_redis_illX!I744</f>
        <v>0</v>
      </c>
      <c r="V844" s="10">
        <f>data_redis_illX!J744</f>
        <v>0</v>
      </c>
      <c r="W844" s="10">
        <f>data_redis_illX!K744</f>
        <v>0</v>
      </c>
      <c r="X844" s="10">
        <f>data_redis_illX!L744</f>
        <v>0</v>
      </c>
      <c r="Y844" s="5">
        <f t="shared" si="13"/>
        <v>0</v>
      </c>
    </row>
    <row r="845" spans="16:25" x14ac:dyDescent="0.25">
      <c r="P845" s="2" t="s">
        <v>28</v>
      </c>
      <c r="Q845" s="10">
        <f>data_redis_illX!E745</f>
        <v>0</v>
      </c>
      <c r="R845" s="10">
        <f>data_redis_illX!F745</f>
        <v>0</v>
      </c>
      <c r="S845" s="10">
        <f>data_redis_illX!G745</f>
        <v>0</v>
      </c>
      <c r="T845" s="10">
        <f>data_redis_illX!H745</f>
        <v>0</v>
      </c>
      <c r="U845" s="10">
        <f>data_redis_illX!I745</f>
        <v>0</v>
      </c>
      <c r="V845" s="10">
        <f>data_redis_illX!J745</f>
        <v>0</v>
      </c>
      <c r="W845" s="10">
        <f>data_redis_illX!K745</f>
        <v>0</v>
      </c>
      <c r="X845" s="10">
        <f>data_redis_illX!L745</f>
        <v>0</v>
      </c>
      <c r="Y845" s="5">
        <f t="shared" si="13"/>
        <v>0</v>
      </c>
    </row>
    <row r="846" spans="16:25" x14ac:dyDescent="0.25">
      <c r="P846" s="2" t="s">
        <v>29</v>
      </c>
      <c r="Q846" s="10">
        <f>data_redis_illX!E746</f>
        <v>0</v>
      </c>
      <c r="R846" s="10">
        <f>data_redis_illX!F746</f>
        <v>0</v>
      </c>
      <c r="S846" s="10">
        <f>data_redis_illX!G746</f>
        <v>0</v>
      </c>
      <c r="T846" s="10">
        <f>data_redis_illX!H746</f>
        <v>0</v>
      </c>
      <c r="U846" s="10">
        <f>data_redis_illX!I746</f>
        <v>0</v>
      </c>
      <c r="V846" s="10">
        <f>data_redis_illX!J746</f>
        <v>0</v>
      </c>
      <c r="W846" s="10">
        <f>data_redis_illX!K746</f>
        <v>0</v>
      </c>
      <c r="X846" s="10">
        <f>data_redis_illX!L746</f>
        <v>0</v>
      </c>
      <c r="Y846" s="5">
        <f t="shared" si="13"/>
        <v>0</v>
      </c>
    </row>
    <row r="847" spans="16:25" x14ac:dyDescent="0.25">
      <c r="P847" s="2" t="s">
        <v>30</v>
      </c>
      <c r="Q847" s="10">
        <f>data_redis_illX!E747</f>
        <v>0</v>
      </c>
      <c r="R847" s="10">
        <f>data_redis_illX!F747</f>
        <v>0</v>
      </c>
      <c r="S847" s="10">
        <f>data_redis_illX!G747</f>
        <v>0</v>
      </c>
      <c r="T847" s="10">
        <f>data_redis_illX!H747</f>
        <v>0</v>
      </c>
      <c r="U847" s="10">
        <f>data_redis_illX!I747</f>
        <v>0</v>
      </c>
      <c r="V847" s="10">
        <f>data_redis_illX!J747</f>
        <v>0</v>
      </c>
      <c r="W847" s="10">
        <f>data_redis_illX!K747</f>
        <v>0</v>
      </c>
      <c r="X847" s="10">
        <f>data_redis_illX!L747</f>
        <v>0</v>
      </c>
      <c r="Y847" s="5">
        <f t="shared" si="13"/>
        <v>0</v>
      </c>
    </row>
    <row r="848" spans="16:25" x14ac:dyDescent="0.25">
      <c r="P848" s="2" t="s">
        <v>31</v>
      </c>
      <c r="Q848" s="10">
        <f>data_redis_illX!E748</f>
        <v>0</v>
      </c>
      <c r="R848" s="10">
        <f>data_redis_illX!F748</f>
        <v>0</v>
      </c>
      <c r="S848" s="10">
        <f>data_redis_illX!G748</f>
        <v>0</v>
      </c>
      <c r="T848" s="10">
        <f>data_redis_illX!H748</f>
        <v>0</v>
      </c>
      <c r="U848" s="10">
        <f>data_redis_illX!I748</f>
        <v>0</v>
      </c>
      <c r="V848" s="10">
        <f>data_redis_illX!J748</f>
        <v>0</v>
      </c>
      <c r="W848" s="10">
        <f>data_redis_illX!K748</f>
        <v>0</v>
      </c>
      <c r="X848" s="10">
        <f>data_redis_illX!L748</f>
        <v>0</v>
      </c>
      <c r="Y848" s="5">
        <f t="shared" si="13"/>
        <v>0</v>
      </c>
    </row>
    <row r="849" spans="13:25" x14ac:dyDescent="0.25">
      <c r="P849" s="2" t="s">
        <v>32</v>
      </c>
      <c r="Q849" s="10">
        <f>data_redis_illX!E749</f>
        <v>0</v>
      </c>
      <c r="R849" s="10">
        <f>data_redis_illX!F749</f>
        <v>0</v>
      </c>
      <c r="S849" s="10">
        <f>data_redis_illX!G749</f>
        <v>0</v>
      </c>
      <c r="T849" s="10">
        <f>data_redis_illX!H749</f>
        <v>0</v>
      </c>
      <c r="U849" s="10">
        <f>data_redis_illX!I749</f>
        <v>0</v>
      </c>
      <c r="V849" s="10">
        <f>data_redis_illX!J749</f>
        <v>0</v>
      </c>
      <c r="W849" s="10">
        <f>data_redis_illX!K749</f>
        <v>0</v>
      </c>
      <c r="X849" s="10">
        <f>data_redis_illX!L749</f>
        <v>0</v>
      </c>
      <c r="Y849" s="5">
        <f t="shared" si="13"/>
        <v>0</v>
      </c>
    </row>
    <row r="850" spans="13:25" x14ac:dyDescent="0.25">
      <c r="P850" s="2" t="s">
        <v>33</v>
      </c>
      <c r="Q850" s="10">
        <f>data_redis_illX!E750</f>
        <v>0</v>
      </c>
      <c r="R850" s="10">
        <f>data_redis_illX!F750</f>
        <v>0</v>
      </c>
      <c r="S850" s="10">
        <f>data_redis_illX!G750</f>
        <v>0</v>
      </c>
      <c r="T850" s="10">
        <f>data_redis_illX!H750</f>
        <v>0</v>
      </c>
      <c r="U850" s="10">
        <f>data_redis_illX!I750</f>
        <v>0</v>
      </c>
      <c r="V850" s="10">
        <f>data_redis_illX!J750</f>
        <v>0</v>
      </c>
      <c r="W850" s="10">
        <f>data_redis_illX!K750</f>
        <v>0</v>
      </c>
      <c r="X850" s="10">
        <f>data_redis_illX!L750</f>
        <v>0</v>
      </c>
      <c r="Y850" s="5">
        <f t="shared" si="13"/>
        <v>0</v>
      </c>
    </row>
    <row r="851" spans="13:25" x14ac:dyDescent="0.25">
      <c r="P851" s="2" t="s">
        <v>34</v>
      </c>
      <c r="Q851" s="10">
        <f>data_redis_illX!E751</f>
        <v>0</v>
      </c>
      <c r="R851" s="10">
        <f>data_redis_illX!F751</f>
        <v>0</v>
      </c>
      <c r="S851" s="10">
        <f>data_redis_illX!G751</f>
        <v>0</v>
      </c>
      <c r="T851" s="10">
        <f>data_redis_illX!H751</f>
        <v>0</v>
      </c>
      <c r="U851" s="10">
        <f>data_redis_illX!I751</f>
        <v>0</v>
      </c>
      <c r="V851" s="10">
        <f>data_redis_illX!J751</f>
        <v>0</v>
      </c>
      <c r="W851" s="10">
        <f>data_redis_illX!K751</f>
        <v>0</v>
      </c>
      <c r="X851" s="10">
        <f>data_redis_illX!L751</f>
        <v>0</v>
      </c>
      <c r="Y851" s="5">
        <f t="shared" si="13"/>
        <v>0</v>
      </c>
    </row>
    <row r="852" spans="13:25" x14ac:dyDescent="0.25">
      <c r="P852" s="2" t="s">
        <v>35</v>
      </c>
      <c r="Q852" s="10">
        <f>data_redis_illX!E752</f>
        <v>0</v>
      </c>
      <c r="R852" s="10">
        <f>data_redis_illX!F752</f>
        <v>0</v>
      </c>
      <c r="S852" s="10">
        <f>data_redis_illX!G752</f>
        <v>0</v>
      </c>
      <c r="T852" s="10">
        <f>data_redis_illX!H752</f>
        <v>0</v>
      </c>
      <c r="U852" s="10">
        <f>data_redis_illX!I752</f>
        <v>0</v>
      </c>
      <c r="V852" s="10">
        <f>data_redis_illX!J752</f>
        <v>0</v>
      </c>
      <c r="W852" s="10">
        <f>data_redis_illX!K752</f>
        <v>0</v>
      </c>
      <c r="X852" s="10">
        <f>data_redis_illX!L752</f>
        <v>0</v>
      </c>
      <c r="Y852" s="5">
        <f t="shared" si="13"/>
        <v>0</v>
      </c>
    </row>
    <row r="853" spans="13:25" x14ac:dyDescent="0.25">
      <c r="P853" s="2" t="s">
        <v>36</v>
      </c>
      <c r="Q853" s="10">
        <f>data_redis_illX!E753</f>
        <v>0</v>
      </c>
      <c r="R853" s="10">
        <f>data_redis_illX!F753</f>
        <v>0</v>
      </c>
      <c r="S853" s="10">
        <f>data_redis_illX!G753</f>
        <v>0</v>
      </c>
      <c r="T853" s="10">
        <f>data_redis_illX!H753</f>
        <v>0</v>
      </c>
      <c r="U853" s="10">
        <f>data_redis_illX!I753</f>
        <v>0</v>
      </c>
      <c r="V853" s="10">
        <f>data_redis_illX!J753</f>
        <v>0</v>
      </c>
      <c r="W853" s="10">
        <f>data_redis_illX!K753</f>
        <v>0</v>
      </c>
      <c r="X853" s="10">
        <f>data_redis_illX!L753</f>
        <v>0</v>
      </c>
      <c r="Y853" s="5">
        <f t="shared" si="13"/>
        <v>0</v>
      </c>
    </row>
    <row r="854" spans="13:25" x14ac:dyDescent="0.25">
      <c r="P854" s="2" t="s">
        <v>37</v>
      </c>
      <c r="Q854" s="10">
        <f>data_redis_illX!E754</f>
        <v>0</v>
      </c>
      <c r="R854" s="10">
        <f>data_redis_illX!F754</f>
        <v>0</v>
      </c>
      <c r="S854" s="10">
        <f>data_redis_illX!G754</f>
        <v>0</v>
      </c>
      <c r="T854" s="10">
        <f>data_redis_illX!H754</f>
        <v>0</v>
      </c>
      <c r="U854" s="10">
        <f>data_redis_illX!I754</f>
        <v>0</v>
      </c>
      <c r="V854" s="10">
        <f>data_redis_illX!J754</f>
        <v>0</v>
      </c>
      <c r="W854" s="10">
        <f>data_redis_illX!K754</f>
        <v>0</v>
      </c>
      <c r="X854" s="10">
        <f>data_redis_illX!L754</f>
        <v>0</v>
      </c>
      <c r="Y854" s="5">
        <f t="shared" si="13"/>
        <v>0</v>
      </c>
    </row>
    <row r="855" spans="13:25" x14ac:dyDescent="0.25">
      <c r="P855" s="2" t="s">
        <v>38</v>
      </c>
      <c r="Q855" s="10">
        <f>data_redis_illX!E755</f>
        <v>0</v>
      </c>
      <c r="R855" s="10">
        <f>data_redis_illX!F755</f>
        <v>0</v>
      </c>
      <c r="S855" s="10">
        <f>data_redis_illX!G755</f>
        <v>0</v>
      </c>
      <c r="T855" s="10">
        <f>data_redis_illX!H755</f>
        <v>0</v>
      </c>
      <c r="U855" s="10">
        <f>data_redis_illX!I755</f>
        <v>0</v>
      </c>
      <c r="V855" s="10">
        <f>data_redis_illX!J755</f>
        <v>0</v>
      </c>
      <c r="W855" s="10">
        <f>data_redis_illX!K755</f>
        <v>0</v>
      </c>
      <c r="X855" s="10">
        <f>data_redis_illX!L755</f>
        <v>0</v>
      </c>
      <c r="Y855" s="5">
        <f t="shared" si="13"/>
        <v>0</v>
      </c>
    </row>
    <row r="856" spans="13:25" x14ac:dyDescent="0.25">
      <c r="P856" s="2" t="s">
        <v>39</v>
      </c>
      <c r="Q856" s="10">
        <f>data_redis_illX!E756</f>
        <v>0</v>
      </c>
      <c r="R856" s="10">
        <f>data_redis_illX!F756</f>
        <v>0</v>
      </c>
      <c r="S856" s="10">
        <f>data_redis_illX!G756</f>
        <v>0</v>
      </c>
      <c r="T856" s="10">
        <f>data_redis_illX!H756</f>
        <v>0</v>
      </c>
      <c r="U856" s="10">
        <f>data_redis_illX!I756</f>
        <v>0</v>
      </c>
      <c r="V856" s="10">
        <f>data_redis_illX!J756</f>
        <v>0</v>
      </c>
      <c r="W856" s="10">
        <f>data_redis_illX!K756</f>
        <v>0</v>
      </c>
      <c r="X856" s="10">
        <f>data_redis_illX!L756</f>
        <v>0</v>
      </c>
      <c r="Y856" s="5">
        <f t="shared" si="13"/>
        <v>0</v>
      </c>
    </row>
    <row r="857" spans="13:25" x14ac:dyDescent="0.25">
      <c r="P857" s="2" t="s">
        <v>40</v>
      </c>
      <c r="Q857" s="10">
        <f>data_redis_illX!E757</f>
        <v>0</v>
      </c>
      <c r="R857" s="10">
        <f>data_redis_illX!F757</f>
        <v>0</v>
      </c>
      <c r="S857" s="10">
        <f>data_redis_illX!G757</f>
        <v>0</v>
      </c>
      <c r="T857" s="10">
        <f>data_redis_illX!H757</f>
        <v>0</v>
      </c>
      <c r="U857" s="10">
        <f>data_redis_illX!I757</f>
        <v>0</v>
      </c>
      <c r="V857" s="10">
        <f>data_redis_illX!J757</f>
        <v>0</v>
      </c>
      <c r="W857" s="10">
        <f>data_redis_illX!K757</f>
        <v>0</v>
      </c>
      <c r="X857" s="10">
        <f>data_redis_illX!L757</f>
        <v>0</v>
      </c>
      <c r="Y857" s="5">
        <f t="shared" si="13"/>
        <v>0</v>
      </c>
    </row>
    <row r="858" spans="13:25" x14ac:dyDescent="0.25">
      <c r="P858" s="2" t="s">
        <v>41</v>
      </c>
      <c r="Q858" s="10">
        <f>data_redis_illX!E758</f>
        <v>0</v>
      </c>
      <c r="R858" s="10">
        <f>data_redis_illX!F758</f>
        <v>0</v>
      </c>
      <c r="S858" s="10">
        <f>data_redis_illX!G758</f>
        <v>0</v>
      </c>
      <c r="T858" s="10">
        <f>data_redis_illX!H758</f>
        <v>0</v>
      </c>
      <c r="U858" s="10">
        <f>data_redis_illX!I758</f>
        <v>0</v>
      </c>
      <c r="V858" s="10">
        <f>data_redis_illX!J758</f>
        <v>0</v>
      </c>
      <c r="W858" s="10">
        <f>data_redis_illX!K758</f>
        <v>0</v>
      </c>
      <c r="X858" s="10">
        <f>data_redis_illX!L758</f>
        <v>0</v>
      </c>
      <c r="Y858" s="5">
        <f t="shared" si="13"/>
        <v>0</v>
      </c>
    </row>
    <row r="859" spans="13:25" x14ac:dyDescent="0.25">
      <c r="P859" s="2" t="s">
        <v>42</v>
      </c>
      <c r="Q859" s="10">
        <f>data_redis_illX!E759</f>
        <v>0</v>
      </c>
      <c r="R859" s="10">
        <f>data_redis_illX!F759</f>
        <v>0</v>
      </c>
      <c r="S859" s="10">
        <f>data_redis_illX!G759</f>
        <v>0</v>
      </c>
      <c r="T859" s="10">
        <f>data_redis_illX!H759</f>
        <v>0</v>
      </c>
      <c r="U859" s="10">
        <f>data_redis_illX!I759</f>
        <v>0</v>
      </c>
      <c r="V859" s="10">
        <f>data_redis_illX!J759</f>
        <v>0</v>
      </c>
      <c r="W859" s="10">
        <f>data_redis_illX!K759</f>
        <v>0</v>
      </c>
      <c r="X859" s="10">
        <f>data_redis_illX!L759</f>
        <v>0</v>
      </c>
      <c r="Y859" s="5">
        <f t="shared" si="13"/>
        <v>0</v>
      </c>
    </row>
    <row r="860" spans="13:25" x14ac:dyDescent="0.25">
      <c r="P860" s="2" t="s">
        <v>43</v>
      </c>
      <c r="Q860" s="10">
        <f>data_redis_illX!E760</f>
        <v>0</v>
      </c>
      <c r="R860" s="10">
        <f>data_redis_illX!F760</f>
        <v>0</v>
      </c>
      <c r="S860" s="10">
        <f>data_redis_illX!G760</f>
        <v>0</v>
      </c>
      <c r="T860" s="10">
        <f>data_redis_illX!H760</f>
        <v>0</v>
      </c>
      <c r="U860" s="10">
        <f>data_redis_illX!I760</f>
        <v>0</v>
      </c>
      <c r="V860" s="10">
        <f>data_redis_illX!J760</f>
        <v>0</v>
      </c>
      <c r="W860" s="10">
        <f>data_redis_illX!K760</f>
        <v>0</v>
      </c>
      <c r="X860" s="10">
        <f>data_redis_illX!L760</f>
        <v>0</v>
      </c>
      <c r="Y860" s="5">
        <f t="shared" si="13"/>
        <v>0</v>
      </c>
    </row>
    <row r="861" spans="13:25" x14ac:dyDescent="0.25">
      <c r="P861" s="2" t="s">
        <v>44</v>
      </c>
      <c r="Q861" s="10">
        <f>data_redis_illX!E761</f>
        <v>0</v>
      </c>
      <c r="R861" s="10">
        <f>data_redis_illX!F761</f>
        <v>0</v>
      </c>
      <c r="S861" s="10">
        <f>data_redis_illX!G761</f>
        <v>0</v>
      </c>
      <c r="T861" s="10">
        <f>data_redis_illX!H761</f>
        <v>0</v>
      </c>
      <c r="U861" s="10">
        <f>data_redis_illX!I761</f>
        <v>0</v>
      </c>
      <c r="V861" s="10">
        <f>data_redis_illX!J761</f>
        <v>0</v>
      </c>
      <c r="W861" s="10">
        <f>data_redis_illX!K761</f>
        <v>0</v>
      </c>
      <c r="X861" s="10">
        <f>data_redis_illX!L761</f>
        <v>0</v>
      </c>
      <c r="Y861" s="5">
        <f t="shared" si="13"/>
        <v>0</v>
      </c>
    </row>
    <row r="862" spans="13:25" x14ac:dyDescent="0.25">
      <c r="M862" t="s">
        <v>104</v>
      </c>
      <c r="N862" t="s">
        <v>117</v>
      </c>
      <c r="O862" t="s">
        <v>48</v>
      </c>
      <c r="P862" s="2" t="s">
        <v>12</v>
      </c>
      <c r="Q862" s="10">
        <f>data_redis_illX!E762</f>
        <v>0</v>
      </c>
      <c r="R862" s="10">
        <f>data_redis_illX!F762</f>
        <v>0</v>
      </c>
      <c r="S862" s="10">
        <f>data_redis_illX!G762</f>
        <v>0</v>
      </c>
      <c r="T862" s="10">
        <f>data_redis_illX!H762</f>
        <v>0</v>
      </c>
      <c r="U862" s="10">
        <f>data_redis_illX!I762</f>
        <v>0</v>
      </c>
      <c r="V862" s="10">
        <f>data_redis_illX!J762</f>
        <v>0</v>
      </c>
      <c r="W862" s="10">
        <f>data_redis_illX!K762</f>
        <v>0</v>
      </c>
      <c r="X862" s="10">
        <f>data_redis_illX!L762</f>
        <v>0</v>
      </c>
      <c r="Y862" s="5">
        <f t="shared" si="13"/>
        <v>0</v>
      </c>
    </row>
    <row r="863" spans="13:25" x14ac:dyDescent="0.25">
      <c r="P863" s="2" t="s">
        <v>13</v>
      </c>
      <c r="Q863" s="10">
        <f>data_redis_illX!E763</f>
        <v>0</v>
      </c>
      <c r="R863" s="10">
        <f>data_redis_illX!F763</f>
        <v>0</v>
      </c>
      <c r="S863" s="10">
        <f>data_redis_illX!G763</f>
        <v>0</v>
      </c>
      <c r="T863" s="10">
        <f>data_redis_illX!H763</f>
        <v>0</v>
      </c>
      <c r="U863" s="10">
        <f>data_redis_illX!I763</f>
        <v>0</v>
      </c>
      <c r="V863" s="10">
        <f>data_redis_illX!J763</f>
        <v>0</v>
      </c>
      <c r="W863" s="10">
        <f>data_redis_illX!K763</f>
        <v>0</v>
      </c>
      <c r="X863" s="10">
        <f>data_redis_illX!L763</f>
        <v>0</v>
      </c>
      <c r="Y863" s="5">
        <f t="shared" si="13"/>
        <v>0</v>
      </c>
    </row>
    <row r="864" spans="13:25" x14ac:dyDescent="0.25">
      <c r="P864" s="2" t="s">
        <v>14</v>
      </c>
      <c r="Q864" s="10">
        <f>data_redis_illX!E764</f>
        <v>0</v>
      </c>
      <c r="R864" s="10">
        <f>data_redis_illX!F764</f>
        <v>0</v>
      </c>
      <c r="S864" s="10">
        <f>data_redis_illX!G764</f>
        <v>0</v>
      </c>
      <c r="T864" s="10">
        <f>data_redis_illX!H764</f>
        <v>0</v>
      </c>
      <c r="U864" s="10">
        <f>data_redis_illX!I764</f>
        <v>0</v>
      </c>
      <c r="V864" s="10">
        <f>data_redis_illX!J764</f>
        <v>0</v>
      </c>
      <c r="W864" s="10">
        <f>data_redis_illX!K764</f>
        <v>0</v>
      </c>
      <c r="X864" s="10">
        <f>data_redis_illX!L764</f>
        <v>0</v>
      </c>
      <c r="Y864" s="5">
        <f t="shared" si="13"/>
        <v>0</v>
      </c>
    </row>
    <row r="865" spans="16:25" x14ac:dyDescent="0.25">
      <c r="P865" s="2" t="s">
        <v>15</v>
      </c>
      <c r="Q865" s="10">
        <f>data_redis_illX!E765</f>
        <v>0</v>
      </c>
      <c r="R865" s="10">
        <f>data_redis_illX!F765</f>
        <v>0</v>
      </c>
      <c r="S865" s="10">
        <f>data_redis_illX!G765</f>
        <v>0</v>
      </c>
      <c r="T865" s="10">
        <f>data_redis_illX!H765</f>
        <v>0</v>
      </c>
      <c r="U865" s="10">
        <f>data_redis_illX!I765</f>
        <v>0</v>
      </c>
      <c r="V865" s="10">
        <f>data_redis_illX!J765</f>
        <v>0</v>
      </c>
      <c r="W865" s="10">
        <f>data_redis_illX!K765</f>
        <v>0</v>
      </c>
      <c r="X865" s="10">
        <f>data_redis_illX!L765</f>
        <v>0</v>
      </c>
      <c r="Y865" s="5">
        <f t="shared" si="13"/>
        <v>0</v>
      </c>
    </row>
    <row r="866" spans="16:25" x14ac:dyDescent="0.25">
      <c r="P866" s="2" t="s">
        <v>16</v>
      </c>
      <c r="Q866" s="10">
        <f>data_redis_illX!E766</f>
        <v>0</v>
      </c>
      <c r="R866" s="10">
        <f>data_redis_illX!F766</f>
        <v>0</v>
      </c>
      <c r="S866" s="10">
        <f>data_redis_illX!G766</f>
        <v>0</v>
      </c>
      <c r="T866" s="10">
        <f>data_redis_illX!H766</f>
        <v>0</v>
      </c>
      <c r="U866" s="10">
        <f>data_redis_illX!I766</f>
        <v>0</v>
      </c>
      <c r="V866" s="10">
        <f>data_redis_illX!J766</f>
        <v>0</v>
      </c>
      <c r="W866" s="10">
        <f>data_redis_illX!K766</f>
        <v>0</v>
      </c>
      <c r="X866" s="10">
        <f>data_redis_illX!L766</f>
        <v>0</v>
      </c>
      <c r="Y866" s="5">
        <f t="shared" si="13"/>
        <v>0</v>
      </c>
    </row>
    <row r="867" spans="16:25" x14ac:dyDescent="0.25">
      <c r="P867" s="2" t="s">
        <v>17</v>
      </c>
      <c r="Q867" s="10">
        <f>data_redis_illX!E767</f>
        <v>0</v>
      </c>
      <c r="R867" s="10">
        <f>data_redis_illX!F767</f>
        <v>0</v>
      </c>
      <c r="S867" s="10">
        <f>data_redis_illX!G767</f>
        <v>0</v>
      </c>
      <c r="T867" s="10">
        <f>data_redis_illX!H767</f>
        <v>0</v>
      </c>
      <c r="U867" s="10">
        <f>data_redis_illX!I767</f>
        <v>0</v>
      </c>
      <c r="V867" s="10">
        <f>data_redis_illX!J767</f>
        <v>0</v>
      </c>
      <c r="W867" s="10">
        <f>data_redis_illX!K767</f>
        <v>0</v>
      </c>
      <c r="X867" s="10">
        <f>data_redis_illX!L767</f>
        <v>0</v>
      </c>
      <c r="Y867" s="5">
        <f t="shared" si="13"/>
        <v>0</v>
      </c>
    </row>
    <row r="868" spans="16:25" x14ac:dyDescent="0.25">
      <c r="P868" s="2" t="s">
        <v>18</v>
      </c>
      <c r="Q868" s="10">
        <f>data_redis_illX!E768</f>
        <v>0</v>
      </c>
      <c r="R868" s="10">
        <f>data_redis_illX!F768</f>
        <v>0</v>
      </c>
      <c r="S868" s="10">
        <f>data_redis_illX!G768</f>
        <v>0</v>
      </c>
      <c r="T868" s="10">
        <f>data_redis_illX!H768</f>
        <v>0</v>
      </c>
      <c r="U868" s="10">
        <f>data_redis_illX!I768</f>
        <v>0</v>
      </c>
      <c r="V868" s="10">
        <f>data_redis_illX!J768</f>
        <v>0</v>
      </c>
      <c r="W868" s="10">
        <f>data_redis_illX!K768</f>
        <v>0</v>
      </c>
      <c r="X868" s="10">
        <f>data_redis_illX!L768</f>
        <v>0</v>
      </c>
      <c r="Y868" s="5">
        <f t="shared" si="13"/>
        <v>0</v>
      </c>
    </row>
    <row r="869" spans="16:25" x14ac:dyDescent="0.25">
      <c r="P869" s="2" t="s">
        <v>19</v>
      </c>
      <c r="Q869" s="10">
        <f>data_redis_illX!E769</f>
        <v>0</v>
      </c>
      <c r="R869" s="10">
        <f>data_redis_illX!F769</f>
        <v>0</v>
      </c>
      <c r="S869" s="10">
        <f>data_redis_illX!G769</f>
        <v>0</v>
      </c>
      <c r="T869" s="10">
        <f>data_redis_illX!H769</f>
        <v>0</v>
      </c>
      <c r="U869" s="10">
        <f>data_redis_illX!I769</f>
        <v>0</v>
      </c>
      <c r="V869" s="10">
        <f>data_redis_illX!J769</f>
        <v>0</v>
      </c>
      <c r="W869" s="10">
        <f>data_redis_illX!K769</f>
        <v>0</v>
      </c>
      <c r="X869" s="10">
        <f>data_redis_illX!L769</f>
        <v>0</v>
      </c>
      <c r="Y869" s="5">
        <f t="shared" si="13"/>
        <v>0</v>
      </c>
    </row>
    <row r="870" spans="16:25" x14ac:dyDescent="0.25">
      <c r="P870" s="2" t="s">
        <v>20</v>
      </c>
      <c r="Q870" s="10">
        <f>data_redis_illX!E770</f>
        <v>0</v>
      </c>
      <c r="R870" s="10">
        <f>data_redis_illX!F770</f>
        <v>0</v>
      </c>
      <c r="S870" s="10">
        <f>data_redis_illX!G770</f>
        <v>0</v>
      </c>
      <c r="T870" s="10">
        <f>data_redis_illX!H770</f>
        <v>0</v>
      </c>
      <c r="U870" s="10">
        <f>data_redis_illX!I770</f>
        <v>0</v>
      </c>
      <c r="V870" s="10">
        <f>data_redis_illX!J770</f>
        <v>0</v>
      </c>
      <c r="W870" s="10">
        <f>data_redis_illX!K770</f>
        <v>0</v>
      </c>
      <c r="X870" s="10">
        <f>data_redis_illX!L770</f>
        <v>0</v>
      </c>
      <c r="Y870" s="5">
        <f t="shared" si="13"/>
        <v>0</v>
      </c>
    </row>
    <row r="871" spans="16:25" x14ac:dyDescent="0.25">
      <c r="P871" s="2" t="s">
        <v>21</v>
      </c>
      <c r="Q871" s="10">
        <f>data_redis_illX!E771</f>
        <v>0</v>
      </c>
      <c r="R871" s="10">
        <f>data_redis_illX!F771</f>
        <v>0</v>
      </c>
      <c r="S871" s="10">
        <f>data_redis_illX!G771</f>
        <v>0</v>
      </c>
      <c r="T871" s="10">
        <f>data_redis_illX!H771</f>
        <v>0</v>
      </c>
      <c r="U871" s="10">
        <f>data_redis_illX!I771</f>
        <v>0</v>
      </c>
      <c r="V871" s="10">
        <f>data_redis_illX!J771</f>
        <v>0</v>
      </c>
      <c r="W871" s="10">
        <f>data_redis_illX!K771</f>
        <v>0</v>
      </c>
      <c r="X871" s="10">
        <f>data_redis_illX!L771</f>
        <v>0</v>
      </c>
      <c r="Y871" s="5">
        <f t="shared" si="13"/>
        <v>0</v>
      </c>
    </row>
    <row r="872" spans="16:25" x14ac:dyDescent="0.25">
      <c r="P872" s="2" t="s">
        <v>22</v>
      </c>
      <c r="Q872" s="10">
        <f>data_redis_illX!E772</f>
        <v>0</v>
      </c>
      <c r="R872" s="10">
        <f>data_redis_illX!F772</f>
        <v>0</v>
      </c>
      <c r="S872" s="10">
        <f>data_redis_illX!G772</f>
        <v>0</v>
      </c>
      <c r="T872" s="10">
        <f>data_redis_illX!H772</f>
        <v>0</v>
      </c>
      <c r="U872" s="10">
        <f>data_redis_illX!I772</f>
        <v>0</v>
      </c>
      <c r="V872" s="10">
        <f>data_redis_illX!J772</f>
        <v>0</v>
      </c>
      <c r="W872" s="10">
        <f>data_redis_illX!K772</f>
        <v>0</v>
      </c>
      <c r="X872" s="10">
        <f>data_redis_illX!L772</f>
        <v>0</v>
      </c>
      <c r="Y872" s="5">
        <f t="shared" si="13"/>
        <v>0</v>
      </c>
    </row>
    <row r="873" spans="16:25" x14ac:dyDescent="0.25">
      <c r="P873" s="2" t="s">
        <v>23</v>
      </c>
      <c r="Q873" s="10">
        <f>data_redis_illX!E773</f>
        <v>0</v>
      </c>
      <c r="R873" s="10">
        <f>data_redis_illX!F773</f>
        <v>0</v>
      </c>
      <c r="S873" s="10">
        <f>data_redis_illX!G773</f>
        <v>0</v>
      </c>
      <c r="T873" s="10">
        <f>data_redis_illX!H773</f>
        <v>0</v>
      </c>
      <c r="U873" s="10">
        <f>data_redis_illX!I773</f>
        <v>0</v>
      </c>
      <c r="V873" s="10">
        <f>data_redis_illX!J773</f>
        <v>0</v>
      </c>
      <c r="W873" s="10">
        <f>data_redis_illX!K773</f>
        <v>0</v>
      </c>
      <c r="X873" s="10">
        <f>data_redis_illX!L773</f>
        <v>0</v>
      </c>
      <c r="Y873" s="5">
        <f t="shared" si="13"/>
        <v>0</v>
      </c>
    </row>
    <row r="874" spans="16:25" x14ac:dyDescent="0.25">
      <c r="P874" s="2" t="s">
        <v>24</v>
      </c>
      <c r="Q874" s="10">
        <f>data_redis_illX!E774</f>
        <v>0</v>
      </c>
      <c r="R874" s="10">
        <f>data_redis_illX!F774</f>
        <v>0</v>
      </c>
      <c r="S874" s="10">
        <f>data_redis_illX!G774</f>
        <v>0</v>
      </c>
      <c r="T874" s="10">
        <f>data_redis_illX!H774</f>
        <v>0</v>
      </c>
      <c r="U874" s="10">
        <f>data_redis_illX!I774</f>
        <v>0</v>
      </c>
      <c r="V874" s="10">
        <f>data_redis_illX!J774</f>
        <v>0</v>
      </c>
      <c r="W874" s="10">
        <f>data_redis_illX!K774</f>
        <v>0</v>
      </c>
      <c r="X874" s="10">
        <f>data_redis_illX!L774</f>
        <v>0</v>
      </c>
      <c r="Y874" s="5">
        <f t="shared" si="13"/>
        <v>0</v>
      </c>
    </row>
    <row r="875" spans="16:25" x14ac:dyDescent="0.25">
      <c r="P875" s="2" t="s">
        <v>25</v>
      </c>
      <c r="Q875" s="10">
        <f>data_redis_illX!E775</f>
        <v>0</v>
      </c>
      <c r="R875" s="10">
        <f>data_redis_illX!F775</f>
        <v>0</v>
      </c>
      <c r="S875" s="10">
        <f>data_redis_illX!G775</f>
        <v>0</v>
      </c>
      <c r="T875" s="10">
        <f>data_redis_illX!H775</f>
        <v>0</v>
      </c>
      <c r="U875" s="10">
        <f>data_redis_illX!I775</f>
        <v>0</v>
      </c>
      <c r="V875" s="10">
        <f>data_redis_illX!J775</f>
        <v>0</v>
      </c>
      <c r="W875" s="10">
        <f>data_redis_illX!K775</f>
        <v>0</v>
      </c>
      <c r="X875" s="10">
        <f>data_redis_illX!L775</f>
        <v>0</v>
      </c>
      <c r="Y875" s="5">
        <f t="shared" si="13"/>
        <v>0</v>
      </c>
    </row>
    <row r="876" spans="16:25" x14ac:dyDescent="0.25">
      <c r="P876" s="2" t="s">
        <v>26</v>
      </c>
      <c r="Q876" s="10">
        <f>data_redis_illX!E776</f>
        <v>0</v>
      </c>
      <c r="R876" s="10">
        <f>data_redis_illX!F776</f>
        <v>0</v>
      </c>
      <c r="S876" s="10">
        <f>data_redis_illX!G776</f>
        <v>0</v>
      </c>
      <c r="T876" s="10">
        <f>data_redis_illX!H776</f>
        <v>0</v>
      </c>
      <c r="U876" s="10">
        <f>data_redis_illX!I776</f>
        <v>0</v>
      </c>
      <c r="V876" s="10">
        <f>data_redis_illX!J776</f>
        <v>0</v>
      </c>
      <c r="W876" s="10">
        <f>data_redis_illX!K776</f>
        <v>0</v>
      </c>
      <c r="X876" s="10">
        <f>data_redis_illX!L776</f>
        <v>0</v>
      </c>
      <c r="Y876" s="5">
        <f t="shared" si="13"/>
        <v>0</v>
      </c>
    </row>
    <row r="877" spans="16:25" x14ac:dyDescent="0.25">
      <c r="P877" s="2" t="s">
        <v>27</v>
      </c>
      <c r="Q877" s="10">
        <f>data_redis_illX!E777</f>
        <v>0</v>
      </c>
      <c r="R877" s="10">
        <f>data_redis_illX!F777</f>
        <v>0</v>
      </c>
      <c r="S877" s="10">
        <f>data_redis_illX!G777</f>
        <v>0</v>
      </c>
      <c r="T877" s="10">
        <f>data_redis_illX!H777</f>
        <v>0</v>
      </c>
      <c r="U877" s="10">
        <f>data_redis_illX!I777</f>
        <v>0</v>
      </c>
      <c r="V877" s="10">
        <f>data_redis_illX!J777</f>
        <v>0</v>
      </c>
      <c r="W877" s="10">
        <f>data_redis_illX!K777</f>
        <v>0</v>
      </c>
      <c r="X877" s="10">
        <f>data_redis_illX!L777</f>
        <v>0</v>
      </c>
      <c r="Y877" s="5">
        <f t="shared" si="13"/>
        <v>0</v>
      </c>
    </row>
    <row r="878" spans="16:25" x14ac:dyDescent="0.25">
      <c r="P878" s="2" t="s">
        <v>28</v>
      </c>
      <c r="Q878" s="10">
        <f>data_redis_illX!E778</f>
        <v>0</v>
      </c>
      <c r="R878" s="10">
        <f>data_redis_illX!F778</f>
        <v>0</v>
      </c>
      <c r="S878" s="10">
        <f>data_redis_illX!G778</f>
        <v>0</v>
      </c>
      <c r="T878" s="10">
        <f>data_redis_illX!H778</f>
        <v>0</v>
      </c>
      <c r="U878" s="10">
        <f>data_redis_illX!I778</f>
        <v>0</v>
      </c>
      <c r="V878" s="10">
        <f>data_redis_illX!J778</f>
        <v>0</v>
      </c>
      <c r="W878" s="10">
        <f>data_redis_illX!K778</f>
        <v>0</v>
      </c>
      <c r="X878" s="10">
        <f>data_redis_illX!L778</f>
        <v>0</v>
      </c>
      <c r="Y878" s="5">
        <f t="shared" si="13"/>
        <v>0</v>
      </c>
    </row>
    <row r="879" spans="16:25" x14ac:dyDescent="0.25">
      <c r="P879" s="2" t="s">
        <v>29</v>
      </c>
      <c r="Q879" s="10">
        <f>data_redis_illX!E779</f>
        <v>0</v>
      </c>
      <c r="R879" s="10">
        <f>data_redis_illX!F779</f>
        <v>0</v>
      </c>
      <c r="S879" s="10">
        <f>data_redis_illX!G779</f>
        <v>0</v>
      </c>
      <c r="T879" s="10">
        <f>data_redis_illX!H779</f>
        <v>0</v>
      </c>
      <c r="U879" s="10">
        <f>data_redis_illX!I779</f>
        <v>0</v>
      </c>
      <c r="V879" s="10">
        <f>data_redis_illX!J779</f>
        <v>0</v>
      </c>
      <c r="W879" s="10">
        <f>data_redis_illX!K779</f>
        <v>0</v>
      </c>
      <c r="X879" s="10">
        <f>data_redis_illX!L779</f>
        <v>0</v>
      </c>
      <c r="Y879" s="5">
        <f t="shared" si="13"/>
        <v>0</v>
      </c>
    </row>
    <row r="880" spans="16:25" x14ac:dyDescent="0.25">
      <c r="P880" s="2" t="s">
        <v>30</v>
      </c>
      <c r="Q880" s="10">
        <f>data_redis_illX!E780</f>
        <v>0</v>
      </c>
      <c r="R880" s="10">
        <f>data_redis_illX!F780</f>
        <v>0</v>
      </c>
      <c r="S880" s="10">
        <f>data_redis_illX!G780</f>
        <v>0</v>
      </c>
      <c r="T880" s="10">
        <f>data_redis_illX!H780</f>
        <v>0</v>
      </c>
      <c r="U880" s="10">
        <f>data_redis_illX!I780</f>
        <v>0</v>
      </c>
      <c r="V880" s="10">
        <f>data_redis_illX!J780</f>
        <v>0</v>
      </c>
      <c r="W880" s="10">
        <f>data_redis_illX!K780</f>
        <v>0</v>
      </c>
      <c r="X880" s="10">
        <f>data_redis_illX!L780</f>
        <v>0</v>
      </c>
      <c r="Y880" s="5">
        <f t="shared" si="13"/>
        <v>0</v>
      </c>
    </row>
    <row r="881" spans="13:25" x14ac:dyDescent="0.25">
      <c r="P881" s="2" t="s">
        <v>31</v>
      </c>
      <c r="Q881" s="10">
        <f>data_redis_illX!E781</f>
        <v>0</v>
      </c>
      <c r="R881" s="10">
        <f>data_redis_illX!F781</f>
        <v>0</v>
      </c>
      <c r="S881" s="10">
        <f>data_redis_illX!G781</f>
        <v>0</v>
      </c>
      <c r="T881" s="10">
        <f>data_redis_illX!H781</f>
        <v>0</v>
      </c>
      <c r="U881" s="10">
        <f>data_redis_illX!I781</f>
        <v>0</v>
      </c>
      <c r="V881" s="10">
        <f>data_redis_illX!J781</f>
        <v>0</v>
      </c>
      <c r="W881" s="10">
        <f>data_redis_illX!K781</f>
        <v>0</v>
      </c>
      <c r="X881" s="10">
        <f>data_redis_illX!L781</f>
        <v>0</v>
      </c>
      <c r="Y881" s="5">
        <f t="shared" si="13"/>
        <v>0</v>
      </c>
    </row>
    <row r="882" spans="13:25" x14ac:dyDescent="0.25">
      <c r="P882" s="2" t="s">
        <v>32</v>
      </c>
      <c r="Q882" s="10">
        <f>data_redis_illX!E782</f>
        <v>0</v>
      </c>
      <c r="R882" s="10">
        <f>data_redis_illX!F782</f>
        <v>0</v>
      </c>
      <c r="S882" s="10">
        <f>data_redis_illX!G782</f>
        <v>0</v>
      </c>
      <c r="T882" s="10">
        <f>data_redis_illX!H782</f>
        <v>0</v>
      </c>
      <c r="U882" s="10">
        <f>data_redis_illX!I782</f>
        <v>0</v>
      </c>
      <c r="V882" s="10">
        <f>data_redis_illX!J782</f>
        <v>0</v>
      </c>
      <c r="W882" s="10">
        <f>data_redis_illX!K782</f>
        <v>0</v>
      </c>
      <c r="X882" s="10">
        <f>data_redis_illX!L782</f>
        <v>0</v>
      </c>
      <c r="Y882" s="5">
        <f t="shared" si="13"/>
        <v>0</v>
      </c>
    </row>
    <row r="883" spans="13:25" x14ac:dyDescent="0.25">
      <c r="P883" s="2" t="s">
        <v>33</v>
      </c>
      <c r="Q883" s="10">
        <f>data_redis_illX!E783</f>
        <v>0</v>
      </c>
      <c r="R883" s="10">
        <f>data_redis_illX!F783</f>
        <v>0</v>
      </c>
      <c r="S883" s="10">
        <f>data_redis_illX!G783</f>
        <v>0</v>
      </c>
      <c r="T883" s="10">
        <f>data_redis_illX!H783</f>
        <v>0</v>
      </c>
      <c r="U883" s="10">
        <f>data_redis_illX!I783</f>
        <v>0</v>
      </c>
      <c r="V883" s="10">
        <f>data_redis_illX!J783</f>
        <v>0</v>
      </c>
      <c r="W883" s="10">
        <f>data_redis_illX!K783</f>
        <v>0</v>
      </c>
      <c r="X883" s="10">
        <f>data_redis_illX!L783</f>
        <v>0</v>
      </c>
      <c r="Y883" s="5">
        <f t="shared" si="13"/>
        <v>0</v>
      </c>
    </row>
    <row r="884" spans="13:25" x14ac:dyDescent="0.25">
      <c r="P884" s="2" t="s">
        <v>34</v>
      </c>
      <c r="Q884" s="10">
        <f>data_redis_illX!E784</f>
        <v>0</v>
      </c>
      <c r="R884" s="10">
        <f>data_redis_illX!F784</f>
        <v>0</v>
      </c>
      <c r="S884" s="10">
        <f>data_redis_illX!G784</f>
        <v>0</v>
      </c>
      <c r="T884" s="10">
        <f>data_redis_illX!H784</f>
        <v>0</v>
      </c>
      <c r="U884" s="10">
        <f>data_redis_illX!I784</f>
        <v>0</v>
      </c>
      <c r="V884" s="10">
        <f>data_redis_illX!J784</f>
        <v>0</v>
      </c>
      <c r="W884" s="10">
        <f>data_redis_illX!K784</f>
        <v>0</v>
      </c>
      <c r="X884" s="10">
        <f>data_redis_illX!L784</f>
        <v>0</v>
      </c>
      <c r="Y884" s="5">
        <f t="shared" si="13"/>
        <v>0</v>
      </c>
    </row>
    <row r="885" spans="13:25" x14ac:dyDescent="0.25">
      <c r="P885" s="2" t="s">
        <v>35</v>
      </c>
      <c r="Q885" s="10">
        <f>data_redis_illX!E785</f>
        <v>0</v>
      </c>
      <c r="R885" s="10">
        <f>data_redis_illX!F785</f>
        <v>0</v>
      </c>
      <c r="S885" s="10">
        <f>data_redis_illX!G785</f>
        <v>0</v>
      </c>
      <c r="T885" s="10">
        <f>data_redis_illX!H785</f>
        <v>0</v>
      </c>
      <c r="U885" s="10">
        <f>data_redis_illX!I785</f>
        <v>0</v>
      </c>
      <c r="V885" s="10">
        <f>data_redis_illX!J785</f>
        <v>0</v>
      </c>
      <c r="W885" s="10">
        <f>data_redis_illX!K785</f>
        <v>0</v>
      </c>
      <c r="X885" s="10">
        <f>data_redis_illX!L785</f>
        <v>0</v>
      </c>
      <c r="Y885" s="5">
        <f t="shared" si="13"/>
        <v>0</v>
      </c>
    </row>
    <row r="886" spans="13:25" x14ac:dyDescent="0.25">
      <c r="P886" s="2" t="s">
        <v>36</v>
      </c>
      <c r="Q886" s="10">
        <f>data_redis_illX!E786</f>
        <v>0</v>
      </c>
      <c r="R886" s="10">
        <f>data_redis_illX!F786</f>
        <v>0</v>
      </c>
      <c r="S886" s="10">
        <f>data_redis_illX!G786</f>
        <v>0</v>
      </c>
      <c r="T886" s="10">
        <f>data_redis_illX!H786</f>
        <v>0</v>
      </c>
      <c r="U886" s="10">
        <f>data_redis_illX!I786</f>
        <v>0</v>
      </c>
      <c r="V886" s="10">
        <f>data_redis_illX!J786</f>
        <v>0</v>
      </c>
      <c r="W886" s="10">
        <f>data_redis_illX!K786</f>
        <v>0</v>
      </c>
      <c r="X886" s="10">
        <f>data_redis_illX!L786</f>
        <v>0</v>
      </c>
      <c r="Y886" s="5">
        <f t="shared" si="13"/>
        <v>0</v>
      </c>
    </row>
    <row r="887" spans="13:25" x14ac:dyDescent="0.25">
      <c r="P887" s="2" t="s">
        <v>37</v>
      </c>
      <c r="Q887" s="10">
        <f>data_redis_illX!E787</f>
        <v>0</v>
      </c>
      <c r="R887" s="10">
        <f>data_redis_illX!F787</f>
        <v>0</v>
      </c>
      <c r="S887" s="10">
        <f>data_redis_illX!G787</f>
        <v>0</v>
      </c>
      <c r="T887" s="10">
        <f>data_redis_illX!H787</f>
        <v>0</v>
      </c>
      <c r="U887" s="10">
        <f>data_redis_illX!I787</f>
        <v>0</v>
      </c>
      <c r="V887" s="10">
        <f>data_redis_illX!J787</f>
        <v>0</v>
      </c>
      <c r="W887" s="10">
        <f>data_redis_illX!K787</f>
        <v>0</v>
      </c>
      <c r="X887" s="10">
        <f>data_redis_illX!L787</f>
        <v>0</v>
      </c>
      <c r="Y887" s="5">
        <f t="shared" si="13"/>
        <v>0</v>
      </c>
    </row>
    <row r="888" spans="13:25" x14ac:dyDescent="0.25">
      <c r="P888" s="2" t="s">
        <v>38</v>
      </c>
      <c r="Q888" s="10">
        <f>data_redis_illX!E788</f>
        <v>0</v>
      </c>
      <c r="R888" s="10">
        <f>data_redis_illX!F788</f>
        <v>0</v>
      </c>
      <c r="S888" s="10">
        <f>data_redis_illX!G788</f>
        <v>0</v>
      </c>
      <c r="T888" s="10">
        <f>data_redis_illX!H788</f>
        <v>0</v>
      </c>
      <c r="U888" s="10">
        <f>data_redis_illX!I788</f>
        <v>0</v>
      </c>
      <c r="V888" s="10">
        <f>data_redis_illX!J788</f>
        <v>0</v>
      </c>
      <c r="W888" s="10">
        <f>data_redis_illX!K788</f>
        <v>0</v>
      </c>
      <c r="X888" s="10">
        <f>data_redis_illX!L788</f>
        <v>0</v>
      </c>
      <c r="Y888" s="5">
        <f t="shared" si="13"/>
        <v>0</v>
      </c>
    </row>
    <row r="889" spans="13:25" x14ac:dyDescent="0.25">
      <c r="P889" s="2" t="s">
        <v>39</v>
      </c>
      <c r="Q889" s="10">
        <f>data_redis_illX!E789</f>
        <v>0</v>
      </c>
      <c r="R889" s="10">
        <f>data_redis_illX!F789</f>
        <v>0</v>
      </c>
      <c r="S889" s="10">
        <f>data_redis_illX!G789</f>
        <v>0</v>
      </c>
      <c r="T889" s="10">
        <f>data_redis_illX!H789</f>
        <v>0</v>
      </c>
      <c r="U889" s="10">
        <f>data_redis_illX!I789</f>
        <v>0</v>
      </c>
      <c r="V889" s="10">
        <f>data_redis_illX!J789</f>
        <v>0</v>
      </c>
      <c r="W889" s="10">
        <f>data_redis_illX!K789</f>
        <v>0</v>
      </c>
      <c r="X889" s="10">
        <f>data_redis_illX!L789</f>
        <v>0</v>
      </c>
      <c r="Y889" s="5">
        <f t="shared" si="13"/>
        <v>0</v>
      </c>
    </row>
    <row r="890" spans="13:25" x14ac:dyDescent="0.25">
      <c r="P890" s="2" t="s">
        <v>40</v>
      </c>
      <c r="Q890" s="10">
        <f>data_redis_illX!E790</f>
        <v>0</v>
      </c>
      <c r="R890" s="10">
        <f>data_redis_illX!F790</f>
        <v>0</v>
      </c>
      <c r="S890" s="10">
        <f>data_redis_illX!G790</f>
        <v>0</v>
      </c>
      <c r="T890" s="10">
        <f>data_redis_illX!H790</f>
        <v>0</v>
      </c>
      <c r="U890" s="10">
        <f>data_redis_illX!I790</f>
        <v>0</v>
      </c>
      <c r="V890" s="10">
        <f>data_redis_illX!J790</f>
        <v>0</v>
      </c>
      <c r="W890" s="10">
        <f>data_redis_illX!K790</f>
        <v>0</v>
      </c>
      <c r="X890" s="10">
        <f>data_redis_illX!L790</f>
        <v>0</v>
      </c>
      <c r="Y890" s="5">
        <f t="shared" si="13"/>
        <v>0</v>
      </c>
    </row>
    <row r="891" spans="13:25" x14ac:dyDescent="0.25">
      <c r="P891" s="2" t="s">
        <v>41</v>
      </c>
      <c r="Q891" s="10">
        <f>data_redis_illX!E791</f>
        <v>0</v>
      </c>
      <c r="R891" s="10">
        <f>data_redis_illX!F791</f>
        <v>0</v>
      </c>
      <c r="S891" s="10">
        <f>data_redis_illX!G791</f>
        <v>0</v>
      </c>
      <c r="T891" s="10">
        <f>data_redis_illX!H791</f>
        <v>0</v>
      </c>
      <c r="U891" s="10">
        <f>data_redis_illX!I791</f>
        <v>0</v>
      </c>
      <c r="V891" s="10">
        <f>data_redis_illX!J791</f>
        <v>0</v>
      </c>
      <c r="W891" s="10">
        <f>data_redis_illX!K791</f>
        <v>0</v>
      </c>
      <c r="X891" s="10">
        <f>data_redis_illX!L791</f>
        <v>0</v>
      </c>
      <c r="Y891" s="5">
        <f t="shared" si="13"/>
        <v>0</v>
      </c>
    </row>
    <row r="892" spans="13:25" x14ac:dyDescent="0.25">
      <c r="P892" s="2" t="s">
        <v>42</v>
      </c>
      <c r="Q892" s="10">
        <f>data_redis_illX!E792</f>
        <v>0</v>
      </c>
      <c r="R892" s="10">
        <f>data_redis_illX!F792</f>
        <v>0</v>
      </c>
      <c r="S892" s="10">
        <f>data_redis_illX!G792</f>
        <v>0</v>
      </c>
      <c r="T892" s="10">
        <f>data_redis_illX!H792</f>
        <v>0</v>
      </c>
      <c r="U892" s="10">
        <f>data_redis_illX!I792</f>
        <v>0</v>
      </c>
      <c r="V892" s="10">
        <f>data_redis_illX!J792</f>
        <v>0</v>
      </c>
      <c r="W892" s="10">
        <f>data_redis_illX!K792</f>
        <v>0</v>
      </c>
      <c r="X892" s="10">
        <f>data_redis_illX!L792</f>
        <v>0</v>
      </c>
      <c r="Y892" s="5">
        <f t="shared" si="13"/>
        <v>0</v>
      </c>
    </row>
    <row r="893" spans="13:25" x14ac:dyDescent="0.25">
      <c r="P893" s="2" t="s">
        <v>43</v>
      </c>
      <c r="Q893" s="10">
        <f>data_redis_illX!E793</f>
        <v>0</v>
      </c>
      <c r="R893" s="10">
        <f>data_redis_illX!F793</f>
        <v>0</v>
      </c>
      <c r="S893" s="10">
        <f>data_redis_illX!G793</f>
        <v>0</v>
      </c>
      <c r="T893" s="10">
        <f>data_redis_illX!H793</f>
        <v>0</v>
      </c>
      <c r="U893" s="10">
        <f>data_redis_illX!I793</f>
        <v>0</v>
      </c>
      <c r="V893" s="10">
        <f>data_redis_illX!J793</f>
        <v>0</v>
      </c>
      <c r="W893" s="10">
        <f>data_redis_illX!K793</f>
        <v>0</v>
      </c>
      <c r="X893" s="10">
        <f>data_redis_illX!L793</f>
        <v>0</v>
      </c>
      <c r="Y893" s="5">
        <f t="shared" si="13"/>
        <v>0</v>
      </c>
    </row>
    <row r="894" spans="13:25" x14ac:dyDescent="0.25">
      <c r="P894" s="2" t="s">
        <v>44</v>
      </c>
      <c r="Q894" s="10">
        <f>data_redis_illX!E794</f>
        <v>0</v>
      </c>
      <c r="R894" s="10">
        <f>data_redis_illX!F794</f>
        <v>0</v>
      </c>
      <c r="S894" s="10">
        <f>data_redis_illX!G794</f>
        <v>0</v>
      </c>
      <c r="T894" s="10">
        <f>data_redis_illX!H794</f>
        <v>0</v>
      </c>
      <c r="U894" s="10">
        <f>data_redis_illX!I794</f>
        <v>0</v>
      </c>
      <c r="V894" s="10">
        <f>data_redis_illX!J794</f>
        <v>0</v>
      </c>
      <c r="W894" s="10">
        <f>data_redis_illX!K794</f>
        <v>0</v>
      </c>
      <c r="X894" s="10">
        <f>data_redis_illX!L794</f>
        <v>0</v>
      </c>
      <c r="Y894" s="5">
        <f t="shared" si="13"/>
        <v>0</v>
      </c>
    </row>
    <row r="895" spans="13:25" x14ac:dyDescent="0.25">
      <c r="M895" t="s">
        <v>104</v>
      </c>
      <c r="N895" t="s">
        <v>117</v>
      </c>
      <c r="O895" t="s">
        <v>49</v>
      </c>
      <c r="P895" s="2" t="s">
        <v>12</v>
      </c>
      <c r="Q895" s="10">
        <f>data_redis_illX!E795</f>
        <v>0</v>
      </c>
      <c r="R895" s="10">
        <f>data_redis_illX!F795</f>
        <v>0</v>
      </c>
      <c r="S895" s="10">
        <f>data_redis_illX!G795</f>
        <v>91.94511824879757</v>
      </c>
      <c r="T895" s="10">
        <f>data_redis_illX!H795</f>
        <v>87.260840357717129</v>
      </c>
      <c r="U895" s="10">
        <f>data_redis_illX!I795</f>
        <v>32.67665941009998</v>
      </c>
      <c r="V895" s="10">
        <f>data_redis_illX!J795</f>
        <v>1.1088536784322076</v>
      </c>
      <c r="W895" s="10">
        <f>data_redis_illX!K795</f>
        <v>0</v>
      </c>
      <c r="X895" s="10">
        <f>data_redis_illX!L795</f>
        <v>0</v>
      </c>
      <c r="Y895" s="5">
        <f t="shared" si="13"/>
        <v>212.99147169504687</v>
      </c>
    </row>
    <row r="896" spans="13:25" x14ac:dyDescent="0.25">
      <c r="P896" s="2" t="s">
        <v>13</v>
      </c>
      <c r="Q896" s="10">
        <f>data_redis_illX!E796</f>
        <v>0</v>
      </c>
      <c r="R896" s="10">
        <f>data_redis_illX!F796</f>
        <v>0</v>
      </c>
      <c r="S896" s="10">
        <f>data_redis_illX!G796</f>
        <v>475.42353826207528</v>
      </c>
      <c r="T896" s="10">
        <f>data_redis_illX!H796</f>
        <v>541.6971648180363</v>
      </c>
      <c r="U896" s="10">
        <f>data_redis_illX!I796</f>
        <v>145.35479530699646</v>
      </c>
      <c r="V896" s="10">
        <f>data_redis_illX!J796</f>
        <v>6.6531220705932457</v>
      </c>
      <c r="W896" s="10">
        <f>data_redis_illX!K796</f>
        <v>0</v>
      </c>
      <c r="X896" s="10">
        <f>data_redis_illX!L796</f>
        <v>0</v>
      </c>
      <c r="Y896" s="5">
        <f t="shared" si="13"/>
        <v>1169.1286204577013</v>
      </c>
    </row>
    <row r="897" spans="16:25" x14ac:dyDescent="0.25">
      <c r="P897" s="2" t="s">
        <v>14</v>
      </c>
      <c r="Q897" s="10">
        <f>data_redis_illX!E797</f>
        <v>0</v>
      </c>
      <c r="R897" s="10">
        <f>data_redis_illX!F797</f>
        <v>0</v>
      </c>
      <c r="S897" s="10">
        <f>data_redis_illX!G797</f>
        <v>57.185378423032645</v>
      </c>
      <c r="T897" s="10">
        <f>data_redis_illX!H797</f>
        <v>107.65947836341724</v>
      </c>
      <c r="U897" s="10">
        <f>data_redis_illX!I797</f>
        <v>52.958723871541345</v>
      </c>
      <c r="V897" s="10">
        <f>data_redis_illX!J797</f>
        <v>5.5442683921610385</v>
      </c>
      <c r="W897" s="10">
        <f>data_redis_illX!K797</f>
        <v>0</v>
      </c>
      <c r="X897" s="10">
        <f>data_redis_illX!L797</f>
        <v>0</v>
      </c>
      <c r="Y897" s="5">
        <f t="shared" si="13"/>
        <v>223.34784905015226</v>
      </c>
    </row>
    <row r="898" spans="16:25" x14ac:dyDescent="0.25">
      <c r="P898" s="2" t="s">
        <v>15</v>
      </c>
      <c r="Q898" s="10">
        <f>data_redis_illX!E798</f>
        <v>0</v>
      </c>
      <c r="R898" s="10">
        <f>data_redis_illX!F798</f>
        <v>0</v>
      </c>
      <c r="S898" s="10">
        <f>data_redis_illX!G798</f>
        <v>14.576665088224006</v>
      </c>
      <c r="T898" s="10">
        <f>data_redis_illX!H798</f>
        <v>32.864472342516841</v>
      </c>
      <c r="U898" s="10">
        <f>data_redis_illX!I798</f>
        <v>18.028501743503437</v>
      </c>
      <c r="V898" s="10">
        <f>data_redis_illX!J798</f>
        <v>2.2177073568644152</v>
      </c>
      <c r="W898" s="10">
        <f>data_redis_illX!K798</f>
        <v>1.078577699736611</v>
      </c>
      <c r="X898" s="10">
        <f>data_redis_illX!L798</f>
        <v>0</v>
      </c>
      <c r="Y898" s="5">
        <f t="shared" si="13"/>
        <v>68.7659242308453</v>
      </c>
    </row>
    <row r="899" spans="16:25" x14ac:dyDescent="0.25">
      <c r="P899" s="2" t="s">
        <v>16</v>
      </c>
      <c r="Q899" s="10">
        <f>data_redis_illX!E799</f>
        <v>0</v>
      </c>
      <c r="R899" s="10">
        <f>data_redis_illX!F799</f>
        <v>0</v>
      </c>
      <c r="S899" s="10">
        <f>data_redis_illX!G799</f>
        <v>103.15793754743143</v>
      </c>
      <c r="T899" s="10">
        <f>data_redis_illX!H799</f>
        <v>343.37707309595186</v>
      </c>
      <c r="U899" s="10">
        <f>data_redis_illX!I799</f>
        <v>256.90614984492396</v>
      </c>
      <c r="V899" s="10">
        <f>data_redis_illX!J799</f>
        <v>32.156756674534023</v>
      </c>
      <c r="W899" s="10">
        <f>data_redis_illX!K799</f>
        <v>3.235733099209833</v>
      </c>
      <c r="X899" s="10">
        <f>data_redis_illX!L799</f>
        <v>0</v>
      </c>
      <c r="Y899" s="5">
        <f t="shared" si="13"/>
        <v>738.83365026205115</v>
      </c>
    </row>
    <row r="900" spans="16:25" x14ac:dyDescent="0.25">
      <c r="P900" s="2" t="s">
        <v>17</v>
      </c>
      <c r="Q900" s="10">
        <f>data_redis_illX!E800</f>
        <v>0</v>
      </c>
      <c r="R900" s="10">
        <f>data_redis_illX!F800</f>
        <v>0</v>
      </c>
      <c r="S900" s="10">
        <f>data_redis_illX!G800</f>
        <v>48.215122984125564</v>
      </c>
      <c r="T900" s="10">
        <f>data_redis_illX!H800</f>
        <v>44.197049012350234</v>
      </c>
      <c r="U900" s="10">
        <f>data_redis_illX!I800</f>
        <v>22.535627179379297</v>
      </c>
      <c r="V900" s="10">
        <f>data_redis_illX!J800</f>
        <v>5.5442683921610385</v>
      </c>
      <c r="W900" s="10">
        <f>data_redis_illX!K800</f>
        <v>0</v>
      </c>
      <c r="X900" s="10">
        <f>data_redis_illX!L800</f>
        <v>0</v>
      </c>
      <c r="Y900" s="5">
        <f t="shared" si="13"/>
        <v>120.49206756801614</v>
      </c>
    </row>
    <row r="901" spans="16:25" x14ac:dyDescent="0.25">
      <c r="P901" s="2" t="s">
        <v>18</v>
      </c>
      <c r="Q901" s="10">
        <f>data_redis_illX!E801</f>
        <v>0</v>
      </c>
      <c r="R901" s="10">
        <f>data_redis_illX!F801</f>
        <v>0</v>
      </c>
      <c r="S901" s="10">
        <f>data_redis_illX!G801</f>
        <v>281.44176439570964</v>
      </c>
      <c r="T901" s="10">
        <f>data_redis_illX!H801</f>
        <v>545.09693781898636</v>
      </c>
      <c r="U901" s="10">
        <f>data_redis_illX!I801</f>
        <v>192.67961238369298</v>
      </c>
      <c r="V901" s="10">
        <f>data_redis_illX!J801</f>
        <v>12.197390462754283</v>
      </c>
      <c r="W901" s="10">
        <f>data_redis_illX!K801</f>
        <v>0</v>
      </c>
      <c r="X901" s="10">
        <f>data_redis_illX!L801</f>
        <v>0</v>
      </c>
      <c r="Y901" s="5">
        <f t="shared" ref="Y901:Y964" si="14">SUM(Q901:X901)</f>
        <v>1031.4157050611434</v>
      </c>
    </row>
    <row r="902" spans="16:25" x14ac:dyDescent="0.25">
      <c r="P902" s="2" t="s">
        <v>19</v>
      </c>
      <c r="Q902" s="10">
        <f>data_redis_illX!E802</f>
        <v>0</v>
      </c>
      <c r="R902" s="10">
        <f>data_redis_illX!F802</f>
        <v>0</v>
      </c>
      <c r="S902" s="10">
        <f>data_redis_illX!G802</f>
        <v>276.95663667625615</v>
      </c>
      <c r="T902" s="10">
        <f>data_redis_illX!H802</f>
        <v>379.64131843941874</v>
      </c>
      <c r="U902" s="10">
        <f>data_redis_illX!I802</f>
        <v>103.66388502514476</v>
      </c>
      <c r="V902" s="10">
        <f>data_redis_illX!J802</f>
        <v>11.088536784322077</v>
      </c>
      <c r="W902" s="10">
        <f>data_redis_illX!K802</f>
        <v>0</v>
      </c>
      <c r="X902" s="10">
        <f>data_redis_illX!L802</f>
        <v>0</v>
      </c>
      <c r="Y902" s="5">
        <f t="shared" si="14"/>
        <v>771.35037692514175</v>
      </c>
    </row>
    <row r="903" spans="16:25" x14ac:dyDescent="0.25">
      <c r="P903" s="2" t="s">
        <v>20</v>
      </c>
      <c r="Q903" s="10">
        <f>data_redis_illX!E803</f>
        <v>0</v>
      </c>
      <c r="R903" s="10">
        <f>data_redis_illX!F803</f>
        <v>0</v>
      </c>
      <c r="S903" s="10">
        <f>data_redis_illX!G803</f>
        <v>333.0207331694254</v>
      </c>
      <c r="T903" s="10">
        <f>data_redis_illX!H803</f>
        <v>424.97162511875229</v>
      </c>
      <c r="U903" s="10">
        <f>data_redis_illX!I803</f>
        <v>125.07273084555509</v>
      </c>
      <c r="V903" s="10">
        <f>data_redis_illX!J803</f>
        <v>13.306244141186491</v>
      </c>
      <c r="W903" s="10">
        <f>data_redis_illX!K803</f>
        <v>1.078577699736611</v>
      </c>
      <c r="X903" s="10">
        <f>data_redis_illX!L803</f>
        <v>0</v>
      </c>
      <c r="Y903" s="5">
        <f t="shared" si="14"/>
        <v>897.44991097465584</v>
      </c>
    </row>
    <row r="904" spans="16:25" x14ac:dyDescent="0.25">
      <c r="P904" s="2" t="s">
        <v>21</v>
      </c>
      <c r="Q904" s="10">
        <f>data_redis_illX!E804</f>
        <v>0</v>
      </c>
      <c r="R904" s="10">
        <f>data_redis_illX!F804</f>
        <v>0</v>
      </c>
      <c r="S904" s="10">
        <f>data_redis_illX!G804</f>
        <v>276.95663667625615</v>
      </c>
      <c r="T904" s="10">
        <f>data_redis_illX!H804</f>
        <v>237.98411006650127</v>
      </c>
      <c r="U904" s="10">
        <f>data_redis_illX!I804</f>
        <v>82.25503920473443</v>
      </c>
      <c r="V904" s="10">
        <f>data_redis_illX!J804</f>
        <v>11.088536784322077</v>
      </c>
      <c r="W904" s="10">
        <f>data_redis_illX!K804</f>
        <v>2.157155399473222</v>
      </c>
      <c r="X904" s="10">
        <f>data_redis_illX!L804</f>
        <v>0</v>
      </c>
      <c r="Y904" s="5">
        <f t="shared" si="14"/>
        <v>610.44147813128723</v>
      </c>
    </row>
    <row r="905" spans="16:25" x14ac:dyDescent="0.25">
      <c r="P905" s="2" t="s">
        <v>22</v>
      </c>
      <c r="Q905" s="10">
        <f>data_redis_illX!E805</f>
        <v>0</v>
      </c>
      <c r="R905" s="10">
        <f>data_redis_illX!F805</f>
        <v>0</v>
      </c>
      <c r="S905" s="10">
        <f>data_redis_illX!G805</f>
        <v>288.16945597488996</v>
      </c>
      <c r="T905" s="10">
        <f>data_redis_illX!H805</f>
        <v>453.3030667933358</v>
      </c>
      <c r="U905" s="10">
        <f>data_redis_illX!I805</f>
        <v>191.55283102472401</v>
      </c>
      <c r="V905" s="10">
        <f>data_redis_illX!J805</f>
        <v>15.523951498050907</v>
      </c>
      <c r="W905" s="10">
        <f>data_redis_illX!K805</f>
        <v>2.157155399473222</v>
      </c>
      <c r="X905" s="10">
        <f>data_redis_illX!L805</f>
        <v>0</v>
      </c>
      <c r="Y905" s="5">
        <f t="shared" si="14"/>
        <v>950.70646069047393</v>
      </c>
    </row>
    <row r="906" spans="16:25" x14ac:dyDescent="0.25">
      <c r="P906" s="2" t="s">
        <v>23</v>
      </c>
      <c r="Q906" s="10">
        <f>data_redis_illX!E806</f>
        <v>0</v>
      </c>
      <c r="R906" s="10">
        <f>data_redis_illX!F806</f>
        <v>0</v>
      </c>
      <c r="S906" s="10">
        <f>data_redis_illX!G806</f>
        <v>49.336404913988943</v>
      </c>
      <c r="T906" s="10">
        <f>data_redis_illX!H806</f>
        <v>79.328036688833762</v>
      </c>
      <c r="U906" s="10">
        <f>data_redis_illX!I806</f>
        <v>28.169533974224116</v>
      </c>
      <c r="V906" s="10">
        <f>data_redis_illX!J806</f>
        <v>4.4354147137288304</v>
      </c>
      <c r="W906" s="10">
        <f>data_redis_illX!K806</f>
        <v>1.078577699736611</v>
      </c>
      <c r="X906" s="10">
        <f>data_redis_illX!L806</f>
        <v>0</v>
      </c>
      <c r="Y906" s="5">
        <f t="shared" si="14"/>
        <v>162.34796799051225</v>
      </c>
    </row>
    <row r="907" spans="16:25" x14ac:dyDescent="0.25">
      <c r="P907" s="2" t="s">
        <v>24</v>
      </c>
      <c r="Q907" s="10">
        <f>data_redis_illX!E807</f>
        <v>0</v>
      </c>
      <c r="R907" s="10">
        <f>data_redis_illX!F807</f>
        <v>0</v>
      </c>
      <c r="S907" s="10">
        <f>data_redis_illX!G807</f>
        <v>163.70716176005422</v>
      </c>
      <c r="T907" s="10">
        <f>data_redis_illX!H807</f>
        <v>185.85425738526769</v>
      </c>
      <c r="U907" s="10">
        <f>data_redis_illX!I807</f>
        <v>87.888945999579263</v>
      </c>
      <c r="V907" s="10">
        <f>data_redis_illX!J807</f>
        <v>5.5442683921610385</v>
      </c>
      <c r="W907" s="10">
        <f>data_redis_illX!K807</f>
        <v>0</v>
      </c>
      <c r="X907" s="10">
        <f>data_redis_illX!L807</f>
        <v>0</v>
      </c>
      <c r="Y907" s="5">
        <f t="shared" si="14"/>
        <v>442.99463353706221</v>
      </c>
    </row>
    <row r="908" spans="16:25" x14ac:dyDescent="0.25">
      <c r="P908" s="2" t="s">
        <v>25</v>
      </c>
      <c r="Q908" s="10">
        <f>data_redis_illX!E808</f>
        <v>0</v>
      </c>
      <c r="R908" s="10">
        <f>data_redis_illX!F808</f>
        <v>0</v>
      </c>
      <c r="S908" s="10">
        <f>data_redis_illX!G808</f>
        <v>37.002303685491711</v>
      </c>
      <c r="T908" s="10">
        <f>data_redis_illX!H808</f>
        <v>43.063791345366901</v>
      </c>
      <c r="U908" s="10">
        <f>data_redis_illX!I808</f>
        <v>16.901720384534471</v>
      </c>
      <c r="V908" s="10">
        <f>data_redis_illX!J808</f>
        <v>3.3265610352966228</v>
      </c>
      <c r="W908" s="10">
        <f>data_redis_illX!K808</f>
        <v>0</v>
      </c>
      <c r="X908" s="10">
        <f>data_redis_illX!L808</f>
        <v>0</v>
      </c>
      <c r="Y908" s="5">
        <f t="shared" si="14"/>
        <v>100.2943764506897</v>
      </c>
    </row>
    <row r="909" spans="16:25" x14ac:dyDescent="0.25">
      <c r="P909" s="2" t="s">
        <v>26</v>
      </c>
      <c r="Q909" s="10">
        <f>data_redis_illX!E809</f>
        <v>0</v>
      </c>
      <c r="R909" s="10">
        <f>data_redis_illX!F809</f>
        <v>0</v>
      </c>
      <c r="S909" s="10">
        <f>data_redis_illX!G809</f>
        <v>50.457686843852336</v>
      </c>
      <c r="T909" s="10">
        <f>data_redis_illX!H809</f>
        <v>96.326901693583849</v>
      </c>
      <c r="U909" s="10">
        <f>data_redis_illX!I809</f>
        <v>48.451598435665481</v>
      </c>
      <c r="V909" s="10">
        <f>data_redis_illX!J809</f>
        <v>2.2177073568644152</v>
      </c>
      <c r="W909" s="10">
        <f>data_redis_illX!K809</f>
        <v>0</v>
      </c>
      <c r="X909" s="10">
        <f>data_redis_illX!L809</f>
        <v>0</v>
      </c>
      <c r="Y909" s="5">
        <f t="shared" si="14"/>
        <v>197.45389432996609</v>
      </c>
    </row>
    <row r="910" spans="16:25" x14ac:dyDescent="0.25">
      <c r="P910" s="2" t="s">
        <v>27</v>
      </c>
      <c r="Q910" s="10">
        <f>data_redis_illX!E810</f>
        <v>0</v>
      </c>
      <c r="R910" s="10">
        <f>data_redis_illX!F810</f>
        <v>0</v>
      </c>
      <c r="S910" s="10">
        <f>data_redis_illX!G810</f>
        <v>197.34561965595577</v>
      </c>
      <c r="T910" s="10">
        <f>data_redis_illX!H810</f>
        <v>223.25176039571787</v>
      </c>
      <c r="U910" s="10">
        <f>data_redis_illX!I810</f>
        <v>86.762164640610294</v>
      </c>
      <c r="V910" s="10">
        <f>data_redis_illX!J810</f>
        <v>5.5442683921610385</v>
      </c>
      <c r="W910" s="10">
        <f>data_redis_illX!K810</f>
        <v>0</v>
      </c>
      <c r="X910" s="10">
        <f>data_redis_illX!L810</f>
        <v>0</v>
      </c>
      <c r="Y910" s="5">
        <f t="shared" si="14"/>
        <v>512.90381308444501</v>
      </c>
    </row>
    <row r="911" spans="16:25" x14ac:dyDescent="0.25">
      <c r="P911" s="2" t="s">
        <v>28</v>
      </c>
      <c r="Q911" s="10">
        <f>data_redis_illX!E811</f>
        <v>0</v>
      </c>
      <c r="R911" s="10">
        <f>data_redis_illX!F811</f>
        <v>0</v>
      </c>
      <c r="S911" s="10">
        <f>data_redis_illX!G811</f>
        <v>1544.0052174218813</v>
      </c>
      <c r="T911" s="10">
        <f>data_redis_illX!H811</f>
        <v>1753.016353156243</v>
      </c>
      <c r="U911" s="10">
        <f>data_redis_illX!I811</f>
        <v>521.69976920263082</v>
      </c>
      <c r="V911" s="10">
        <f>data_redis_illX!J811</f>
        <v>62.09580599220363</v>
      </c>
      <c r="W911" s="10">
        <f>data_redis_illX!K811</f>
        <v>4.314310798946444</v>
      </c>
      <c r="X911" s="10">
        <f>data_redis_illX!L811</f>
        <v>0</v>
      </c>
      <c r="Y911" s="5">
        <f t="shared" si="14"/>
        <v>3885.1314565719049</v>
      </c>
    </row>
    <row r="912" spans="16:25" x14ac:dyDescent="0.25">
      <c r="P912" s="2" t="s">
        <v>29</v>
      </c>
      <c r="Q912" s="10">
        <f>data_redis_illX!E812</f>
        <v>0</v>
      </c>
      <c r="R912" s="10">
        <f>data_redis_illX!F812</f>
        <v>0</v>
      </c>
      <c r="S912" s="10">
        <f>data_redis_illX!G812</f>
        <v>76.247171230710194</v>
      </c>
      <c r="T912" s="10">
        <f>data_redis_illX!H812</f>
        <v>94.060386359617169</v>
      </c>
      <c r="U912" s="10">
        <f>data_redis_illX!I812</f>
        <v>28.169533974224116</v>
      </c>
      <c r="V912" s="10">
        <f>data_redis_illX!J812</f>
        <v>5.5442683921610385</v>
      </c>
      <c r="W912" s="10">
        <f>data_redis_illX!K812</f>
        <v>0</v>
      </c>
      <c r="X912" s="10">
        <f>data_redis_illX!L812</f>
        <v>0</v>
      </c>
      <c r="Y912" s="5">
        <f t="shared" si="14"/>
        <v>204.0213599567125</v>
      </c>
    </row>
    <row r="913" spans="13:25" x14ac:dyDescent="0.25">
      <c r="P913" s="2" t="s">
        <v>30</v>
      </c>
      <c r="Q913" s="10">
        <f>data_redis_illX!E813</f>
        <v>0</v>
      </c>
      <c r="R913" s="10">
        <f>data_redis_illX!F813</f>
        <v>0</v>
      </c>
      <c r="S913" s="10">
        <f>data_redis_illX!G813</f>
        <v>949.72579459428721</v>
      </c>
      <c r="T913" s="10">
        <f>data_redis_illX!H813</f>
        <v>996.13348927835546</v>
      </c>
      <c r="U913" s="10">
        <f>data_redis_illX!I813</f>
        <v>330.14693817790669</v>
      </c>
      <c r="V913" s="10">
        <f>data_redis_illX!J813</f>
        <v>29.939049317669607</v>
      </c>
      <c r="W913" s="10">
        <f>data_redis_illX!K813</f>
        <v>3.235733099209833</v>
      </c>
      <c r="X913" s="10">
        <f>data_redis_illX!L813</f>
        <v>0</v>
      </c>
      <c r="Y913" s="5">
        <f t="shared" si="14"/>
        <v>2309.1810044674289</v>
      </c>
    </row>
    <row r="914" spans="13:25" x14ac:dyDescent="0.25">
      <c r="P914" s="2" t="s">
        <v>31</v>
      </c>
      <c r="Q914" s="10">
        <f>data_redis_illX!E814</f>
        <v>0</v>
      </c>
      <c r="R914" s="10">
        <f>data_redis_illX!F814</f>
        <v>0</v>
      </c>
      <c r="S914" s="10">
        <f>data_redis_illX!G814</f>
        <v>11.212819298633852</v>
      </c>
      <c r="T914" s="10">
        <f>data_redis_illX!H814</f>
        <v>12.465834336816734</v>
      </c>
      <c r="U914" s="10">
        <f>data_redis_illX!I814</f>
        <v>4.5071254358758592</v>
      </c>
      <c r="V914" s="10">
        <f>data_redis_illX!J814</f>
        <v>1.1088536784322076</v>
      </c>
      <c r="W914" s="10">
        <f>data_redis_illX!K814</f>
        <v>0</v>
      </c>
      <c r="X914" s="10">
        <f>data_redis_illX!L814</f>
        <v>0</v>
      </c>
      <c r="Y914" s="5">
        <f t="shared" si="14"/>
        <v>29.294632749758655</v>
      </c>
    </row>
    <row r="915" spans="13:25" x14ac:dyDescent="0.25">
      <c r="P915" s="2" t="s">
        <v>32</v>
      </c>
      <c r="Q915" s="10">
        <f>data_redis_illX!E815</f>
        <v>0</v>
      </c>
      <c r="R915" s="10">
        <f>data_redis_illX!F815</f>
        <v>0</v>
      </c>
      <c r="S915" s="10">
        <f>data_redis_illX!G815</f>
        <v>0</v>
      </c>
      <c r="T915" s="10">
        <f>data_redis_illX!H815</f>
        <v>0</v>
      </c>
      <c r="U915" s="10">
        <f>data_redis_illX!I815</f>
        <v>0</v>
      </c>
      <c r="V915" s="10">
        <f>data_redis_illX!J815</f>
        <v>0</v>
      </c>
      <c r="W915" s="10">
        <f>data_redis_illX!K815</f>
        <v>0</v>
      </c>
      <c r="X915" s="10">
        <f>data_redis_illX!L815</f>
        <v>0</v>
      </c>
      <c r="Y915" s="5">
        <f t="shared" si="14"/>
        <v>0</v>
      </c>
    </row>
    <row r="916" spans="13:25" x14ac:dyDescent="0.25">
      <c r="P916" s="2" t="s">
        <v>33</v>
      </c>
      <c r="Q916" s="10">
        <f>data_redis_illX!E816</f>
        <v>0</v>
      </c>
      <c r="R916" s="10">
        <f>data_redis_illX!F816</f>
        <v>0</v>
      </c>
      <c r="S916" s="10">
        <f>data_redis_illX!G816</f>
        <v>4.4851277194535397</v>
      </c>
      <c r="T916" s="10">
        <f>data_redis_illX!H816</f>
        <v>9.066061335866717</v>
      </c>
      <c r="U916" s="10">
        <f>data_redis_illX!I816</f>
        <v>2.2535627179379296</v>
      </c>
      <c r="V916" s="10">
        <f>data_redis_illX!J816</f>
        <v>1.1088536784322076</v>
      </c>
      <c r="W916" s="10">
        <f>data_redis_illX!K816</f>
        <v>0</v>
      </c>
      <c r="X916" s="10">
        <f>data_redis_illX!L816</f>
        <v>0</v>
      </c>
      <c r="Y916" s="5">
        <f t="shared" si="14"/>
        <v>16.913605451690394</v>
      </c>
    </row>
    <row r="917" spans="13:25" x14ac:dyDescent="0.25">
      <c r="P917" s="2" t="s">
        <v>34</v>
      </c>
      <c r="Q917" s="10">
        <f>data_redis_illX!E817</f>
        <v>0</v>
      </c>
      <c r="R917" s="10">
        <f>data_redis_illX!F817</f>
        <v>0</v>
      </c>
      <c r="S917" s="10">
        <f>data_redis_illX!G817</f>
        <v>0</v>
      </c>
      <c r="T917" s="10">
        <f>data_redis_illX!H817</f>
        <v>0</v>
      </c>
      <c r="U917" s="10">
        <f>data_redis_illX!I817</f>
        <v>0</v>
      </c>
      <c r="V917" s="10">
        <f>data_redis_illX!J817</f>
        <v>0</v>
      </c>
      <c r="W917" s="10">
        <f>data_redis_illX!K817</f>
        <v>0</v>
      </c>
      <c r="X917" s="10">
        <f>data_redis_illX!L817</f>
        <v>0</v>
      </c>
      <c r="Y917" s="5">
        <f t="shared" si="14"/>
        <v>0</v>
      </c>
    </row>
    <row r="918" spans="13:25" x14ac:dyDescent="0.25">
      <c r="P918" s="2" t="s">
        <v>35</v>
      </c>
      <c r="Q918" s="10">
        <f>data_redis_illX!E818</f>
        <v>0</v>
      </c>
      <c r="R918" s="10">
        <f>data_redis_illX!F818</f>
        <v>0</v>
      </c>
      <c r="S918" s="10">
        <f>data_redis_illX!G818</f>
        <v>5.6064096493169258</v>
      </c>
      <c r="T918" s="10">
        <f>data_redis_illX!H818</f>
        <v>4.5330306679333585</v>
      </c>
      <c r="U918" s="10">
        <f>data_redis_illX!I818</f>
        <v>3.3803440769068942</v>
      </c>
      <c r="V918" s="10">
        <f>data_redis_illX!J818</f>
        <v>0</v>
      </c>
      <c r="W918" s="10">
        <f>data_redis_illX!K818</f>
        <v>0</v>
      </c>
      <c r="X918" s="10">
        <f>data_redis_illX!L818</f>
        <v>0</v>
      </c>
      <c r="Y918" s="5">
        <f t="shared" si="14"/>
        <v>13.519784394157178</v>
      </c>
    </row>
    <row r="919" spans="13:25" x14ac:dyDescent="0.25">
      <c r="P919" s="2" t="s">
        <v>36</v>
      </c>
      <c r="Q919" s="10">
        <f>data_redis_illX!E819</f>
        <v>0</v>
      </c>
      <c r="R919" s="10">
        <f>data_redis_illX!F819</f>
        <v>0</v>
      </c>
      <c r="S919" s="10">
        <f>data_redis_illX!G819</f>
        <v>0</v>
      </c>
      <c r="T919" s="10">
        <f>data_redis_illX!H819</f>
        <v>0</v>
      </c>
      <c r="U919" s="10">
        <f>data_redis_illX!I819</f>
        <v>1.1267813589689648</v>
      </c>
      <c r="V919" s="10">
        <f>data_redis_illX!J819</f>
        <v>0</v>
      </c>
      <c r="W919" s="10">
        <f>data_redis_illX!K819</f>
        <v>0</v>
      </c>
      <c r="X919" s="10">
        <f>data_redis_illX!L819</f>
        <v>0</v>
      </c>
      <c r="Y919" s="5">
        <f t="shared" si="14"/>
        <v>1.1267813589689648</v>
      </c>
    </row>
    <row r="920" spans="13:25" x14ac:dyDescent="0.25">
      <c r="P920" s="2" t="s">
        <v>37</v>
      </c>
      <c r="Q920" s="10">
        <f>data_redis_illX!E820</f>
        <v>0</v>
      </c>
      <c r="R920" s="10">
        <f>data_redis_illX!F820</f>
        <v>0</v>
      </c>
      <c r="S920" s="10">
        <f>data_redis_illX!G820</f>
        <v>0</v>
      </c>
      <c r="T920" s="10">
        <f>data_redis_illX!H820</f>
        <v>1.1332576669833396</v>
      </c>
      <c r="U920" s="10">
        <f>data_redis_illX!I820</f>
        <v>0</v>
      </c>
      <c r="V920" s="10">
        <f>data_redis_illX!J820</f>
        <v>0</v>
      </c>
      <c r="W920" s="10">
        <f>data_redis_illX!K820</f>
        <v>0</v>
      </c>
      <c r="X920" s="10">
        <f>data_redis_illX!L820</f>
        <v>0</v>
      </c>
      <c r="Y920" s="5">
        <f t="shared" si="14"/>
        <v>1.1332576669833396</v>
      </c>
    </row>
    <row r="921" spans="13:25" x14ac:dyDescent="0.25">
      <c r="P921" s="2" t="s">
        <v>38</v>
      </c>
      <c r="Q921" s="10">
        <f>data_redis_illX!E821</f>
        <v>0</v>
      </c>
      <c r="R921" s="10">
        <f>data_redis_illX!F821</f>
        <v>0</v>
      </c>
      <c r="S921" s="10">
        <f>data_redis_illX!G821</f>
        <v>28.032048246584626</v>
      </c>
      <c r="T921" s="10">
        <f>data_redis_illX!H821</f>
        <v>39.664018344416881</v>
      </c>
      <c r="U921" s="10">
        <f>data_redis_illX!I821</f>
        <v>13.521376307627577</v>
      </c>
      <c r="V921" s="10">
        <f>data_redis_illX!J821</f>
        <v>1.1088536784322076</v>
      </c>
      <c r="W921" s="10">
        <f>data_redis_illX!K821</f>
        <v>0</v>
      </c>
      <c r="X921" s="10">
        <f>data_redis_illX!L821</f>
        <v>0</v>
      </c>
      <c r="Y921" s="5">
        <f t="shared" si="14"/>
        <v>82.326296577061299</v>
      </c>
    </row>
    <row r="922" spans="13:25" x14ac:dyDescent="0.25">
      <c r="P922" s="2" t="s">
        <v>39</v>
      </c>
      <c r="Q922" s="10">
        <f>data_redis_illX!E822</f>
        <v>0</v>
      </c>
      <c r="R922" s="10">
        <f>data_redis_illX!F822</f>
        <v>0</v>
      </c>
      <c r="S922" s="10">
        <f>data_redis_illX!G822</f>
        <v>1.1212819298633849</v>
      </c>
      <c r="T922" s="10">
        <f>data_redis_illX!H822</f>
        <v>1.1332576669833396</v>
      </c>
      <c r="U922" s="10">
        <f>data_redis_illX!I822</f>
        <v>0</v>
      </c>
      <c r="V922" s="10">
        <f>data_redis_illX!J822</f>
        <v>0</v>
      </c>
      <c r="W922" s="10">
        <f>data_redis_illX!K822</f>
        <v>0</v>
      </c>
      <c r="X922" s="10">
        <f>data_redis_illX!L822</f>
        <v>0</v>
      </c>
      <c r="Y922" s="5">
        <f t="shared" si="14"/>
        <v>2.2545395968467243</v>
      </c>
    </row>
    <row r="923" spans="13:25" x14ac:dyDescent="0.25">
      <c r="P923" s="2" t="s">
        <v>40</v>
      </c>
      <c r="Q923" s="10">
        <f>data_redis_illX!E823</f>
        <v>0</v>
      </c>
      <c r="R923" s="10">
        <f>data_redis_illX!F823</f>
        <v>0</v>
      </c>
      <c r="S923" s="10">
        <f>data_redis_illX!G823</f>
        <v>2.2425638597267699</v>
      </c>
      <c r="T923" s="10">
        <f>data_redis_illX!H823</f>
        <v>11.332576669833394</v>
      </c>
      <c r="U923" s="10">
        <f>data_redis_illX!I823</f>
        <v>2.2535627179379296</v>
      </c>
      <c r="V923" s="10">
        <f>data_redis_illX!J823</f>
        <v>1.1088536784322076</v>
      </c>
      <c r="W923" s="10">
        <f>data_redis_illX!K823</f>
        <v>0</v>
      </c>
      <c r="X923" s="10">
        <f>data_redis_illX!L823</f>
        <v>0</v>
      </c>
      <c r="Y923" s="5">
        <f t="shared" si="14"/>
        <v>16.937556925930302</v>
      </c>
    </row>
    <row r="924" spans="13:25" x14ac:dyDescent="0.25">
      <c r="P924" s="2" t="s">
        <v>41</v>
      </c>
      <c r="Q924" s="10">
        <f>data_redis_illX!E824</f>
        <v>0</v>
      </c>
      <c r="R924" s="10">
        <f>data_redis_illX!F824</f>
        <v>0</v>
      </c>
      <c r="S924" s="10">
        <f>data_redis_illX!G824</f>
        <v>10.091537368770467</v>
      </c>
      <c r="T924" s="10">
        <f>data_redis_illX!H824</f>
        <v>5.6662883349166968</v>
      </c>
      <c r="U924" s="10">
        <f>data_redis_illX!I824</f>
        <v>1.1267813589689648</v>
      </c>
      <c r="V924" s="10">
        <f>data_redis_illX!J824</f>
        <v>0</v>
      </c>
      <c r="W924" s="10">
        <f>data_redis_illX!K824</f>
        <v>0</v>
      </c>
      <c r="X924" s="10">
        <f>data_redis_illX!L824</f>
        <v>0</v>
      </c>
      <c r="Y924" s="5">
        <f t="shared" si="14"/>
        <v>16.88460706265613</v>
      </c>
    </row>
    <row r="925" spans="13:25" x14ac:dyDescent="0.25">
      <c r="P925" s="2" t="s">
        <v>42</v>
      </c>
      <c r="Q925" s="10">
        <f>data_redis_illX!E825</f>
        <v>0</v>
      </c>
      <c r="R925" s="10">
        <f>data_redis_illX!F825</f>
        <v>0</v>
      </c>
      <c r="S925" s="10">
        <f>data_redis_illX!G825</f>
        <v>56.064096493169252</v>
      </c>
      <c r="T925" s="10">
        <f>data_redis_illX!H825</f>
        <v>37.397503010450201</v>
      </c>
      <c r="U925" s="10">
        <f>data_redis_illX!I825</f>
        <v>11.267813589689649</v>
      </c>
      <c r="V925" s="10">
        <f>data_redis_illX!J825</f>
        <v>2.2177073568644152</v>
      </c>
      <c r="W925" s="10">
        <f>data_redis_illX!K825</f>
        <v>0</v>
      </c>
      <c r="X925" s="10">
        <f>data_redis_illX!L825</f>
        <v>0</v>
      </c>
      <c r="Y925" s="5">
        <f t="shared" si="14"/>
        <v>106.94712045017351</v>
      </c>
    </row>
    <row r="926" spans="13:25" x14ac:dyDescent="0.25">
      <c r="P926" s="2" t="s">
        <v>43</v>
      </c>
      <c r="Q926" s="10">
        <f>data_redis_illX!E826</f>
        <v>0</v>
      </c>
      <c r="R926" s="10">
        <f>data_redis_illX!F826</f>
        <v>0</v>
      </c>
      <c r="S926" s="10">
        <f>data_redis_illX!G826</f>
        <v>1.1212819298633849</v>
      </c>
      <c r="T926" s="10">
        <f>data_redis_illX!H826</f>
        <v>0</v>
      </c>
      <c r="U926" s="10">
        <f>data_redis_illX!I826</f>
        <v>0</v>
      </c>
      <c r="V926" s="10">
        <f>data_redis_illX!J826</f>
        <v>0</v>
      </c>
      <c r="W926" s="10">
        <f>data_redis_illX!K826</f>
        <v>0</v>
      </c>
      <c r="X926" s="10">
        <f>data_redis_illX!L826</f>
        <v>0</v>
      </c>
      <c r="Y926" s="5">
        <f t="shared" si="14"/>
        <v>1.1212819298633849</v>
      </c>
    </row>
    <row r="927" spans="13:25" x14ac:dyDescent="0.25">
      <c r="P927" s="2" t="s">
        <v>44</v>
      </c>
      <c r="Q927" s="10">
        <f>data_redis_illX!E827</f>
        <v>0</v>
      </c>
      <c r="R927" s="10">
        <f>data_redis_illX!F827</f>
        <v>0</v>
      </c>
      <c r="S927" s="10">
        <f>data_redis_illX!G827</f>
        <v>74.004607370983422</v>
      </c>
      <c r="T927" s="10">
        <f>data_redis_illX!H827</f>
        <v>106.52622069643391</v>
      </c>
      <c r="U927" s="10">
        <f>data_redis_illX!I827</f>
        <v>30.423096692162048</v>
      </c>
      <c r="V927" s="10">
        <f>data_redis_illX!J827</f>
        <v>2.2177073568644152</v>
      </c>
      <c r="W927" s="10">
        <f>data_redis_illX!K827</f>
        <v>0</v>
      </c>
      <c r="X927" s="10">
        <f>data_redis_illX!L827</f>
        <v>0</v>
      </c>
      <c r="Y927" s="5">
        <f t="shared" si="14"/>
        <v>213.17163211644379</v>
      </c>
    </row>
    <row r="928" spans="13:25" x14ac:dyDescent="0.25">
      <c r="M928" t="s">
        <v>104</v>
      </c>
      <c r="N928" t="s">
        <v>117</v>
      </c>
      <c r="O928" t="s">
        <v>50</v>
      </c>
      <c r="P928" s="2" t="s">
        <v>12</v>
      </c>
      <c r="Q928" s="10">
        <f>data_redis_illX!E828</f>
        <v>0</v>
      </c>
      <c r="R928" s="10">
        <f>data_redis_illX!F828</f>
        <v>0</v>
      </c>
      <c r="S928" s="10">
        <f>data_redis_illX!G828</f>
        <v>0</v>
      </c>
      <c r="T928" s="10">
        <f>data_redis_illX!H828</f>
        <v>0</v>
      </c>
      <c r="U928" s="10">
        <f>data_redis_illX!I828</f>
        <v>0</v>
      </c>
      <c r="V928" s="10">
        <f>data_redis_illX!J828</f>
        <v>0</v>
      </c>
      <c r="W928" s="10">
        <f>data_redis_illX!K828</f>
        <v>0</v>
      </c>
      <c r="X928" s="10">
        <f>data_redis_illX!L828</f>
        <v>0</v>
      </c>
      <c r="Y928" s="5">
        <f t="shared" si="14"/>
        <v>0</v>
      </c>
    </row>
    <row r="929" spans="16:25" x14ac:dyDescent="0.25">
      <c r="P929" s="2" t="s">
        <v>13</v>
      </c>
      <c r="Q929" s="10">
        <f>data_redis_illX!E829</f>
        <v>0</v>
      </c>
      <c r="R929" s="10">
        <f>data_redis_illX!F829</f>
        <v>0</v>
      </c>
      <c r="S929" s="10">
        <f>data_redis_illX!G829</f>
        <v>0</v>
      </c>
      <c r="T929" s="10">
        <f>data_redis_illX!H829</f>
        <v>0</v>
      </c>
      <c r="U929" s="10">
        <f>data_redis_illX!I829</f>
        <v>0</v>
      </c>
      <c r="V929" s="10">
        <f>data_redis_illX!J829</f>
        <v>0</v>
      </c>
      <c r="W929" s="10">
        <f>data_redis_illX!K829</f>
        <v>0</v>
      </c>
      <c r="X929" s="10">
        <f>data_redis_illX!L829</f>
        <v>0</v>
      </c>
      <c r="Y929" s="5">
        <f t="shared" si="14"/>
        <v>0</v>
      </c>
    </row>
    <row r="930" spans="16:25" x14ac:dyDescent="0.25">
      <c r="P930" s="2" t="s">
        <v>14</v>
      </c>
      <c r="Q930" s="10">
        <f>data_redis_illX!E830</f>
        <v>0</v>
      </c>
      <c r="R930" s="10">
        <f>data_redis_illX!F830</f>
        <v>0</v>
      </c>
      <c r="S930" s="10">
        <f>data_redis_illX!G830</f>
        <v>0</v>
      </c>
      <c r="T930" s="10">
        <f>data_redis_illX!H830</f>
        <v>0</v>
      </c>
      <c r="U930" s="10">
        <f>data_redis_illX!I830</f>
        <v>0</v>
      </c>
      <c r="V930" s="10">
        <f>data_redis_illX!J830</f>
        <v>0</v>
      </c>
      <c r="W930" s="10">
        <f>data_redis_illX!K830</f>
        <v>0</v>
      </c>
      <c r="X930" s="10">
        <f>data_redis_illX!L830</f>
        <v>0</v>
      </c>
      <c r="Y930" s="5">
        <f t="shared" si="14"/>
        <v>0</v>
      </c>
    </row>
    <row r="931" spans="16:25" x14ac:dyDescent="0.25">
      <c r="P931" s="2" t="s">
        <v>15</v>
      </c>
      <c r="Q931" s="10">
        <f>data_redis_illX!E831</f>
        <v>0</v>
      </c>
      <c r="R931" s="10">
        <f>data_redis_illX!F831</f>
        <v>0</v>
      </c>
      <c r="S931" s="10">
        <f>data_redis_illX!G831</f>
        <v>0</v>
      </c>
      <c r="T931" s="10">
        <f>data_redis_illX!H831</f>
        <v>0</v>
      </c>
      <c r="U931" s="10">
        <f>data_redis_illX!I831</f>
        <v>0</v>
      </c>
      <c r="V931" s="10">
        <f>data_redis_illX!J831</f>
        <v>0</v>
      </c>
      <c r="W931" s="10">
        <f>data_redis_illX!K831</f>
        <v>0</v>
      </c>
      <c r="X931" s="10">
        <f>data_redis_illX!L831</f>
        <v>0</v>
      </c>
      <c r="Y931" s="5">
        <f t="shared" si="14"/>
        <v>0</v>
      </c>
    </row>
    <row r="932" spans="16:25" x14ac:dyDescent="0.25">
      <c r="P932" s="2" t="s">
        <v>16</v>
      </c>
      <c r="Q932" s="10">
        <f>data_redis_illX!E832</f>
        <v>0</v>
      </c>
      <c r="R932" s="10">
        <f>data_redis_illX!F832</f>
        <v>0</v>
      </c>
      <c r="S932" s="10">
        <f>data_redis_illX!G832</f>
        <v>0</v>
      </c>
      <c r="T932" s="10">
        <f>data_redis_illX!H832</f>
        <v>0</v>
      </c>
      <c r="U932" s="10">
        <f>data_redis_illX!I832</f>
        <v>0</v>
      </c>
      <c r="V932" s="10">
        <f>data_redis_illX!J832</f>
        <v>0</v>
      </c>
      <c r="W932" s="10">
        <f>data_redis_illX!K832</f>
        <v>0</v>
      </c>
      <c r="X932" s="10">
        <f>data_redis_illX!L832</f>
        <v>0</v>
      </c>
      <c r="Y932" s="5">
        <f t="shared" si="14"/>
        <v>0</v>
      </c>
    </row>
    <row r="933" spans="16:25" x14ac:dyDescent="0.25">
      <c r="P933" s="2" t="s">
        <v>17</v>
      </c>
      <c r="Q933" s="10">
        <f>data_redis_illX!E833</f>
        <v>0</v>
      </c>
      <c r="R933" s="10">
        <f>data_redis_illX!F833</f>
        <v>0</v>
      </c>
      <c r="S933" s="10">
        <f>data_redis_illX!G833</f>
        <v>0</v>
      </c>
      <c r="T933" s="10">
        <f>data_redis_illX!H833</f>
        <v>0</v>
      </c>
      <c r="U933" s="10">
        <f>data_redis_illX!I833</f>
        <v>0</v>
      </c>
      <c r="V933" s="10">
        <f>data_redis_illX!J833</f>
        <v>0</v>
      </c>
      <c r="W933" s="10">
        <f>data_redis_illX!K833</f>
        <v>0</v>
      </c>
      <c r="X933" s="10">
        <f>data_redis_illX!L833</f>
        <v>0</v>
      </c>
      <c r="Y933" s="5">
        <f t="shared" si="14"/>
        <v>0</v>
      </c>
    </row>
    <row r="934" spans="16:25" x14ac:dyDescent="0.25">
      <c r="P934" s="2" t="s">
        <v>18</v>
      </c>
      <c r="Q934" s="10">
        <f>data_redis_illX!E834</f>
        <v>0</v>
      </c>
      <c r="R934" s="10">
        <f>data_redis_illX!F834</f>
        <v>0</v>
      </c>
      <c r="S934" s="10">
        <f>data_redis_illX!G834</f>
        <v>1.6956521739130435</v>
      </c>
      <c r="T934" s="10">
        <f>data_redis_illX!H834</f>
        <v>0</v>
      </c>
      <c r="U934" s="10">
        <f>data_redis_illX!I834</f>
        <v>0</v>
      </c>
      <c r="V934" s="10">
        <f>data_redis_illX!J834</f>
        <v>0</v>
      </c>
      <c r="W934" s="10">
        <f>data_redis_illX!K834</f>
        <v>0</v>
      </c>
      <c r="X934" s="10">
        <f>data_redis_illX!L834</f>
        <v>0</v>
      </c>
      <c r="Y934" s="5">
        <f t="shared" si="14"/>
        <v>1.6956521739130435</v>
      </c>
    </row>
    <row r="935" spans="16:25" x14ac:dyDescent="0.25">
      <c r="P935" s="2" t="s">
        <v>19</v>
      </c>
      <c r="Q935" s="10">
        <f>data_redis_illX!E835</f>
        <v>0</v>
      </c>
      <c r="R935" s="10">
        <f>data_redis_illX!F835</f>
        <v>0</v>
      </c>
      <c r="S935" s="10">
        <f>data_redis_illX!G835</f>
        <v>0</v>
      </c>
      <c r="T935" s="10">
        <f>data_redis_illX!H835</f>
        <v>0</v>
      </c>
      <c r="U935" s="10">
        <f>data_redis_illX!I835</f>
        <v>0</v>
      </c>
      <c r="V935" s="10">
        <f>data_redis_illX!J835</f>
        <v>0</v>
      </c>
      <c r="W935" s="10">
        <f>data_redis_illX!K835</f>
        <v>0</v>
      </c>
      <c r="X935" s="10">
        <f>data_redis_illX!L835</f>
        <v>0</v>
      </c>
      <c r="Y935" s="5">
        <f t="shared" si="14"/>
        <v>0</v>
      </c>
    </row>
    <row r="936" spans="16:25" x14ac:dyDescent="0.25">
      <c r="P936" s="2" t="s">
        <v>20</v>
      </c>
      <c r="Q936" s="10">
        <f>data_redis_illX!E836</f>
        <v>0</v>
      </c>
      <c r="R936" s="10">
        <f>data_redis_illX!F836</f>
        <v>0</v>
      </c>
      <c r="S936" s="10">
        <f>data_redis_illX!G836</f>
        <v>0</v>
      </c>
      <c r="T936" s="10">
        <f>data_redis_illX!H836</f>
        <v>0</v>
      </c>
      <c r="U936" s="10">
        <f>data_redis_illX!I836</f>
        <v>0</v>
      </c>
      <c r="V936" s="10">
        <f>data_redis_illX!J836</f>
        <v>0</v>
      </c>
      <c r="W936" s="10">
        <f>data_redis_illX!K836</f>
        <v>0</v>
      </c>
      <c r="X936" s="10">
        <f>data_redis_illX!L836</f>
        <v>0</v>
      </c>
      <c r="Y936" s="5">
        <f t="shared" si="14"/>
        <v>0</v>
      </c>
    </row>
    <row r="937" spans="16:25" x14ac:dyDescent="0.25">
      <c r="P937" s="2" t="s">
        <v>21</v>
      </c>
      <c r="Q937" s="10">
        <f>data_redis_illX!E837</f>
        <v>0</v>
      </c>
      <c r="R937" s="10">
        <f>data_redis_illX!F837</f>
        <v>0</v>
      </c>
      <c r="S937" s="10">
        <f>data_redis_illX!G837</f>
        <v>0</v>
      </c>
      <c r="T937" s="10">
        <f>data_redis_illX!H837</f>
        <v>0</v>
      </c>
      <c r="U937" s="10">
        <f>data_redis_illX!I837</f>
        <v>0</v>
      </c>
      <c r="V937" s="10">
        <f>data_redis_illX!J837</f>
        <v>0</v>
      </c>
      <c r="W937" s="10">
        <f>data_redis_illX!K837</f>
        <v>0</v>
      </c>
      <c r="X937" s="10">
        <f>data_redis_illX!L837</f>
        <v>0</v>
      </c>
      <c r="Y937" s="5">
        <f t="shared" si="14"/>
        <v>0</v>
      </c>
    </row>
    <row r="938" spans="16:25" x14ac:dyDescent="0.25">
      <c r="P938" s="2" t="s">
        <v>22</v>
      </c>
      <c r="Q938" s="10">
        <f>data_redis_illX!E838</f>
        <v>0</v>
      </c>
      <c r="R938" s="10">
        <f>data_redis_illX!F838</f>
        <v>0</v>
      </c>
      <c r="S938" s="10">
        <f>data_redis_illX!G838</f>
        <v>0</v>
      </c>
      <c r="T938" s="10">
        <f>data_redis_illX!H838</f>
        <v>0</v>
      </c>
      <c r="U938" s="10">
        <f>data_redis_illX!I838</f>
        <v>0</v>
      </c>
      <c r="V938" s="10">
        <f>data_redis_illX!J838</f>
        <v>0</v>
      </c>
      <c r="W938" s="10">
        <f>data_redis_illX!K838</f>
        <v>0</v>
      </c>
      <c r="X938" s="10">
        <f>data_redis_illX!L838</f>
        <v>0</v>
      </c>
      <c r="Y938" s="5">
        <f t="shared" si="14"/>
        <v>0</v>
      </c>
    </row>
    <row r="939" spans="16:25" x14ac:dyDescent="0.25">
      <c r="P939" s="2" t="s">
        <v>23</v>
      </c>
      <c r="Q939" s="10">
        <f>data_redis_illX!E839</f>
        <v>0</v>
      </c>
      <c r="R939" s="10">
        <f>data_redis_illX!F839</f>
        <v>0</v>
      </c>
      <c r="S939" s="10">
        <f>data_redis_illX!G839</f>
        <v>0</v>
      </c>
      <c r="T939" s="10">
        <f>data_redis_illX!H839</f>
        <v>1.8275862068965516</v>
      </c>
      <c r="U939" s="10">
        <f>data_redis_illX!I839</f>
        <v>0</v>
      </c>
      <c r="V939" s="10">
        <f>data_redis_illX!J839</f>
        <v>0</v>
      </c>
      <c r="W939" s="10">
        <f>data_redis_illX!K839</f>
        <v>0</v>
      </c>
      <c r="X939" s="10">
        <f>data_redis_illX!L839</f>
        <v>0</v>
      </c>
      <c r="Y939" s="5">
        <f t="shared" si="14"/>
        <v>1.8275862068965516</v>
      </c>
    </row>
    <row r="940" spans="16:25" x14ac:dyDescent="0.25">
      <c r="P940" s="2" t="s">
        <v>24</v>
      </c>
      <c r="Q940" s="10">
        <f>data_redis_illX!E840</f>
        <v>0</v>
      </c>
      <c r="R940" s="10">
        <f>data_redis_illX!F840</f>
        <v>0</v>
      </c>
      <c r="S940" s="10">
        <f>data_redis_illX!G840</f>
        <v>0</v>
      </c>
      <c r="T940" s="10">
        <f>data_redis_illX!H840</f>
        <v>0</v>
      </c>
      <c r="U940" s="10">
        <f>data_redis_illX!I840</f>
        <v>0</v>
      </c>
      <c r="V940" s="10">
        <f>data_redis_illX!J840</f>
        <v>0</v>
      </c>
      <c r="W940" s="10">
        <f>data_redis_illX!K840</f>
        <v>0</v>
      </c>
      <c r="X940" s="10">
        <f>data_redis_illX!L840</f>
        <v>0</v>
      </c>
      <c r="Y940" s="5">
        <f t="shared" si="14"/>
        <v>0</v>
      </c>
    </row>
    <row r="941" spans="16:25" x14ac:dyDescent="0.25">
      <c r="P941" s="2" t="s">
        <v>25</v>
      </c>
      <c r="Q941" s="10">
        <f>data_redis_illX!E841</f>
        <v>0</v>
      </c>
      <c r="R941" s="10">
        <f>data_redis_illX!F841</f>
        <v>0</v>
      </c>
      <c r="S941" s="10">
        <f>data_redis_illX!G841</f>
        <v>0</v>
      </c>
      <c r="T941" s="10">
        <f>data_redis_illX!H841</f>
        <v>0</v>
      </c>
      <c r="U941" s="10">
        <f>data_redis_illX!I841</f>
        <v>0</v>
      </c>
      <c r="V941" s="10">
        <f>data_redis_illX!J841</f>
        <v>0</v>
      </c>
      <c r="W941" s="10">
        <f>data_redis_illX!K841</f>
        <v>0</v>
      </c>
      <c r="X941" s="10">
        <f>data_redis_illX!L841</f>
        <v>0</v>
      </c>
      <c r="Y941" s="5">
        <f t="shared" si="14"/>
        <v>0</v>
      </c>
    </row>
    <row r="942" spans="16:25" x14ac:dyDescent="0.25">
      <c r="P942" s="2" t="s">
        <v>26</v>
      </c>
      <c r="Q942" s="10">
        <f>data_redis_illX!E842</f>
        <v>0</v>
      </c>
      <c r="R942" s="10">
        <f>data_redis_illX!F842</f>
        <v>0</v>
      </c>
      <c r="S942" s="10">
        <f>data_redis_illX!G842</f>
        <v>0</v>
      </c>
      <c r="T942" s="10">
        <f>data_redis_illX!H842</f>
        <v>0</v>
      </c>
      <c r="U942" s="10">
        <f>data_redis_illX!I842</f>
        <v>0</v>
      </c>
      <c r="V942" s="10">
        <f>data_redis_illX!J842</f>
        <v>0</v>
      </c>
      <c r="W942" s="10">
        <f>data_redis_illX!K842</f>
        <v>0</v>
      </c>
      <c r="X942" s="10">
        <f>data_redis_illX!L842</f>
        <v>0</v>
      </c>
      <c r="Y942" s="5">
        <f t="shared" si="14"/>
        <v>0</v>
      </c>
    </row>
    <row r="943" spans="16:25" x14ac:dyDescent="0.25">
      <c r="P943" s="2" t="s">
        <v>27</v>
      </c>
      <c r="Q943" s="10">
        <f>data_redis_illX!E843</f>
        <v>0</v>
      </c>
      <c r="R943" s="10">
        <f>data_redis_illX!F843</f>
        <v>0</v>
      </c>
      <c r="S943" s="10">
        <f>data_redis_illX!G843</f>
        <v>0</v>
      </c>
      <c r="T943" s="10">
        <f>data_redis_illX!H843</f>
        <v>0</v>
      </c>
      <c r="U943" s="10">
        <f>data_redis_illX!I843</f>
        <v>2.3466261637431911</v>
      </c>
      <c r="V943" s="10">
        <f>data_redis_illX!J843</f>
        <v>0</v>
      </c>
      <c r="W943" s="10">
        <f>data_redis_illX!K843</f>
        <v>0</v>
      </c>
      <c r="X943" s="10">
        <f>data_redis_illX!L843</f>
        <v>0</v>
      </c>
      <c r="Y943" s="5">
        <f t="shared" si="14"/>
        <v>2.3466261637431911</v>
      </c>
    </row>
    <row r="944" spans="16:25" x14ac:dyDescent="0.25">
      <c r="P944" s="2" t="s">
        <v>28</v>
      </c>
      <c r="Q944" s="10">
        <f>data_redis_illX!E844</f>
        <v>0</v>
      </c>
      <c r="R944" s="10">
        <f>data_redis_illX!F844</f>
        <v>0</v>
      </c>
      <c r="S944" s="10">
        <f>data_redis_illX!G844</f>
        <v>0</v>
      </c>
      <c r="T944" s="10">
        <f>data_redis_illX!H844</f>
        <v>0</v>
      </c>
      <c r="U944" s="10">
        <f>data_redis_illX!I844</f>
        <v>1.1851851851851851</v>
      </c>
      <c r="V944" s="10">
        <f>data_redis_illX!J844</f>
        <v>0</v>
      </c>
      <c r="W944" s="10">
        <f>data_redis_illX!K844</f>
        <v>0</v>
      </c>
      <c r="X944" s="10">
        <f>data_redis_illX!L844</f>
        <v>0</v>
      </c>
      <c r="Y944" s="5">
        <f t="shared" si="14"/>
        <v>1.1851851851851851</v>
      </c>
    </row>
    <row r="945" spans="16:25" x14ac:dyDescent="0.25">
      <c r="P945" s="2" t="s">
        <v>29</v>
      </c>
      <c r="Q945" s="10">
        <f>data_redis_illX!E845</f>
        <v>0</v>
      </c>
      <c r="R945" s="10">
        <f>data_redis_illX!F845</f>
        <v>0</v>
      </c>
      <c r="S945" s="10">
        <f>data_redis_illX!G845</f>
        <v>2.456612087625019</v>
      </c>
      <c r="T945" s="10">
        <f>data_redis_illX!H845</f>
        <v>5.0357502413629733</v>
      </c>
      <c r="U945" s="10">
        <f>data_redis_illX!I845</f>
        <v>0</v>
      </c>
      <c r="V945" s="10">
        <f>data_redis_illX!J845</f>
        <v>0</v>
      </c>
      <c r="W945" s="10">
        <f>data_redis_illX!K845</f>
        <v>0</v>
      </c>
      <c r="X945" s="10">
        <f>data_redis_illX!L845</f>
        <v>0</v>
      </c>
      <c r="Y945" s="5">
        <f t="shared" si="14"/>
        <v>7.4923623289879924</v>
      </c>
    </row>
    <row r="946" spans="16:25" x14ac:dyDescent="0.25">
      <c r="P946" s="2" t="s">
        <v>30</v>
      </c>
      <c r="Q946" s="10">
        <f>data_redis_illX!E846</f>
        <v>0</v>
      </c>
      <c r="R946" s="10">
        <f>data_redis_illX!F846</f>
        <v>0</v>
      </c>
      <c r="S946" s="10">
        <f>data_redis_illX!G846</f>
        <v>0</v>
      </c>
      <c r="T946" s="10">
        <f>data_redis_illX!H846</f>
        <v>2.5178751206814867</v>
      </c>
      <c r="U946" s="10">
        <f>data_redis_illX!I846</f>
        <v>3.5318113489283762</v>
      </c>
      <c r="V946" s="10">
        <f>data_redis_illX!J846</f>
        <v>1.9393340484713923</v>
      </c>
      <c r="W946" s="10">
        <f>data_redis_illX!K846</f>
        <v>0</v>
      </c>
      <c r="X946" s="10">
        <f>data_redis_illX!L846</f>
        <v>0</v>
      </c>
      <c r="Y946" s="5">
        <f t="shared" si="14"/>
        <v>7.9890205180812561</v>
      </c>
    </row>
    <row r="947" spans="16:25" x14ac:dyDescent="0.25">
      <c r="P947" s="2" t="s">
        <v>31</v>
      </c>
      <c r="Q947" s="10">
        <f>data_redis_illX!E847</f>
        <v>0</v>
      </c>
      <c r="R947" s="10">
        <f>data_redis_illX!F847</f>
        <v>0</v>
      </c>
      <c r="S947" s="10">
        <f>data_redis_illX!G847</f>
        <v>4.9132241752500381</v>
      </c>
      <c r="T947" s="10">
        <f>data_redis_illX!H847</f>
        <v>7.5536253620444613</v>
      </c>
      <c r="U947" s="10">
        <f>data_redis_illX!I847</f>
        <v>8.2250636764147576</v>
      </c>
      <c r="V947" s="10">
        <f>data_redis_illX!J847</f>
        <v>0</v>
      </c>
      <c r="W947" s="10">
        <f>data_redis_illX!K847</f>
        <v>0</v>
      </c>
      <c r="X947" s="10">
        <f>data_redis_illX!L847</f>
        <v>0</v>
      </c>
      <c r="Y947" s="5">
        <f t="shared" si="14"/>
        <v>20.691913213709256</v>
      </c>
    </row>
    <row r="948" spans="16:25" x14ac:dyDescent="0.25">
      <c r="P948" s="2" t="s">
        <v>32</v>
      </c>
      <c r="Q948" s="10">
        <f>data_redis_illX!E848</f>
        <v>0</v>
      </c>
      <c r="R948" s="10">
        <f>data_redis_illX!F848</f>
        <v>0</v>
      </c>
      <c r="S948" s="10">
        <f>data_redis_illX!G848</f>
        <v>0</v>
      </c>
      <c r="T948" s="10">
        <f>data_redis_illX!H848</f>
        <v>0</v>
      </c>
      <c r="U948" s="10">
        <f>data_redis_illX!I848</f>
        <v>0</v>
      </c>
      <c r="V948" s="10">
        <f>data_redis_illX!J848</f>
        <v>0</v>
      </c>
      <c r="W948" s="10">
        <f>data_redis_illX!K848</f>
        <v>0</v>
      </c>
      <c r="X948" s="10">
        <f>data_redis_illX!L848</f>
        <v>0</v>
      </c>
      <c r="Y948" s="5">
        <f t="shared" si="14"/>
        <v>0</v>
      </c>
    </row>
    <row r="949" spans="16:25" x14ac:dyDescent="0.25">
      <c r="P949" s="2" t="s">
        <v>33</v>
      </c>
      <c r="Q949" s="10">
        <f>data_redis_illX!E849</f>
        <v>0</v>
      </c>
      <c r="R949" s="10">
        <f>data_redis_illX!F849</f>
        <v>0</v>
      </c>
      <c r="S949" s="10">
        <f>data_redis_illX!G849</f>
        <v>0</v>
      </c>
      <c r="T949" s="10">
        <f>data_redis_illX!H849</f>
        <v>0</v>
      </c>
      <c r="U949" s="10">
        <f>data_redis_illX!I849</f>
        <v>0</v>
      </c>
      <c r="V949" s="10">
        <f>data_redis_illX!J849</f>
        <v>0</v>
      </c>
      <c r="W949" s="10">
        <f>data_redis_illX!K849</f>
        <v>0</v>
      </c>
      <c r="X949" s="10">
        <f>data_redis_illX!L849</f>
        <v>0</v>
      </c>
      <c r="Y949" s="5">
        <f t="shared" si="14"/>
        <v>0</v>
      </c>
    </row>
    <row r="950" spans="16:25" x14ac:dyDescent="0.25">
      <c r="P950" s="2" t="s">
        <v>34</v>
      </c>
      <c r="Q950" s="10">
        <f>data_redis_illX!E850</f>
        <v>0</v>
      </c>
      <c r="R950" s="10">
        <f>data_redis_illX!F850</f>
        <v>0</v>
      </c>
      <c r="S950" s="10">
        <f>data_redis_illX!G850</f>
        <v>0</v>
      </c>
      <c r="T950" s="10">
        <f>data_redis_illX!H850</f>
        <v>0</v>
      </c>
      <c r="U950" s="10">
        <f>data_redis_illX!I850</f>
        <v>0</v>
      </c>
      <c r="V950" s="10">
        <f>data_redis_illX!J850</f>
        <v>0</v>
      </c>
      <c r="W950" s="10">
        <f>data_redis_illX!K850</f>
        <v>0</v>
      </c>
      <c r="X950" s="10">
        <f>data_redis_illX!L850</f>
        <v>0</v>
      </c>
      <c r="Y950" s="5">
        <f t="shared" si="14"/>
        <v>0</v>
      </c>
    </row>
    <row r="951" spans="16:25" x14ac:dyDescent="0.25">
      <c r="P951" s="2" t="s">
        <v>35</v>
      </c>
      <c r="Q951" s="10">
        <f>data_redis_illX!E851</f>
        <v>0</v>
      </c>
      <c r="R951" s="10">
        <f>data_redis_illX!F851</f>
        <v>0</v>
      </c>
      <c r="S951" s="10">
        <f>data_redis_illX!G851</f>
        <v>0</v>
      </c>
      <c r="T951" s="10">
        <f>data_redis_illX!H851</f>
        <v>0</v>
      </c>
      <c r="U951" s="10">
        <f>data_redis_illX!I851</f>
        <v>0</v>
      </c>
      <c r="V951" s="10">
        <f>data_redis_illX!J851</f>
        <v>0</v>
      </c>
      <c r="W951" s="10">
        <f>data_redis_illX!K851</f>
        <v>0</v>
      </c>
      <c r="X951" s="10">
        <f>data_redis_illX!L851</f>
        <v>0</v>
      </c>
      <c r="Y951" s="5">
        <f t="shared" si="14"/>
        <v>0</v>
      </c>
    </row>
    <row r="952" spans="16:25" x14ac:dyDescent="0.25">
      <c r="P952" s="2" t="s">
        <v>36</v>
      </c>
      <c r="Q952" s="10">
        <f>data_redis_illX!E852</f>
        <v>0</v>
      </c>
      <c r="R952" s="10">
        <f>data_redis_illX!F852</f>
        <v>0</v>
      </c>
      <c r="S952" s="10">
        <f>data_redis_illX!G852</f>
        <v>0</v>
      </c>
      <c r="T952" s="10">
        <f>data_redis_illX!H852</f>
        <v>0</v>
      </c>
      <c r="U952" s="10">
        <f>data_redis_illX!I852</f>
        <v>0</v>
      </c>
      <c r="V952" s="10">
        <f>data_redis_illX!J852</f>
        <v>0</v>
      </c>
      <c r="W952" s="10">
        <f>data_redis_illX!K852</f>
        <v>0</v>
      </c>
      <c r="X952" s="10">
        <f>data_redis_illX!L852</f>
        <v>0</v>
      </c>
      <c r="Y952" s="5">
        <f t="shared" si="14"/>
        <v>0</v>
      </c>
    </row>
    <row r="953" spans="16:25" x14ac:dyDescent="0.25">
      <c r="P953" s="2" t="s">
        <v>37</v>
      </c>
      <c r="Q953" s="10">
        <f>data_redis_illX!E853</f>
        <v>0</v>
      </c>
      <c r="R953" s="10">
        <f>data_redis_illX!F853</f>
        <v>0</v>
      </c>
      <c r="S953" s="10">
        <f>data_redis_illX!G853</f>
        <v>0</v>
      </c>
      <c r="T953" s="10">
        <f>data_redis_illX!H853</f>
        <v>0</v>
      </c>
      <c r="U953" s="10">
        <f>data_redis_illX!I853</f>
        <v>0</v>
      </c>
      <c r="V953" s="10">
        <f>data_redis_illX!J853</f>
        <v>0</v>
      </c>
      <c r="W953" s="10">
        <f>data_redis_illX!K853</f>
        <v>0</v>
      </c>
      <c r="X953" s="10">
        <f>data_redis_illX!L853</f>
        <v>0</v>
      </c>
      <c r="Y953" s="5">
        <f t="shared" si="14"/>
        <v>0</v>
      </c>
    </row>
    <row r="954" spans="16:25" x14ac:dyDescent="0.25">
      <c r="P954" s="2" t="s">
        <v>38</v>
      </c>
      <c r="Q954" s="10">
        <f>data_redis_illX!E854</f>
        <v>0</v>
      </c>
      <c r="R954" s="10">
        <f>data_redis_illX!F854</f>
        <v>0</v>
      </c>
      <c r="S954" s="10">
        <f>data_redis_illX!G854</f>
        <v>0</v>
      </c>
      <c r="T954" s="10">
        <f>data_redis_illX!H854</f>
        <v>0</v>
      </c>
      <c r="U954" s="10">
        <f>data_redis_illX!I854</f>
        <v>0</v>
      </c>
      <c r="V954" s="10">
        <f>data_redis_illX!J854</f>
        <v>0</v>
      </c>
      <c r="W954" s="10">
        <f>data_redis_illX!K854</f>
        <v>0</v>
      </c>
      <c r="X954" s="10">
        <f>data_redis_illX!L854</f>
        <v>0</v>
      </c>
      <c r="Y954" s="5">
        <f t="shared" si="14"/>
        <v>0</v>
      </c>
    </row>
    <row r="955" spans="16:25" x14ac:dyDescent="0.25">
      <c r="P955" s="2" t="s">
        <v>39</v>
      </c>
      <c r="Q955" s="10">
        <f>data_redis_illX!E855</f>
        <v>0</v>
      </c>
      <c r="R955" s="10">
        <f>data_redis_illX!F855</f>
        <v>0</v>
      </c>
      <c r="S955" s="10">
        <f>data_redis_illX!G855</f>
        <v>7.3698362628750562</v>
      </c>
      <c r="T955" s="10">
        <f>data_redis_illX!H855</f>
        <v>10.071500482725947</v>
      </c>
      <c r="U955" s="10">
        <f>data_redis_illX!I855</f>
        <v>0</v>
      </c>
      <c r="V955" s="10">
        <f>data_redis_illX!J855</f>
        <v>0</v>
      </c>
      <c r="W955" s="10">
        <f>data_redis_illX!K855</f>
        <v>0</v>
      </c>
      <c r="X955" s="10">
        <f>data_redis_illX!L855</f>
        <v>0</v>
      </c>
      <c r="Y955" s="5">
        <f t="shared" si="14"/>
        <v>17.441336745601003</v>
      </c>
    </row>
    <row r="956" spans="16:25" x14ac:dyDescent="0.25">
      <c r="P956" s="2" t="s">
        <v>40</v>
      </c>
      <c r="Q956" s="10">
        <f>data_redis_illX!E856</f>
        <v>0</v>
      </c>
      <c r="R956" s="10">
        <f>data_redis_illX!F856</f>
        <v>0</v>
      </c>
      <c r="S956" s="10">
        <f>data_redis_illX!G856</f>
        <v>0</v>
      </c>
      <c r="T956" s="10">
        <f>data_redis_illX!H856</f>
        <v>0</v>
      </c>
      <c r="U956" s="10">
        <f>data_redis_illX!I856</f>
        <v>4.6932523274863822</v>
      </c>
      <c r="V956" s="10">
        <f>data_redis_illX!J856</f>
        <v>0</v>
      </c>
      <c r="W956" s="10">
        <f>data_redis_illX!K856</f>
        <v>0</v>
      </c>
      <c r="X956" s="10">
        <f>data_redis_illX!L856</f>
        <v>0</v>
      </c>
      <c r="Y956" s="5">
        <f t="shared" si="14"/>
        <v>4.6932523274863822</v>
      </c>
    </row>
    <row r="957" spans="16:25" x14ac:dyDescent="0.25">
      <c r="P957" s="2" t="s">
        <v>41</v>
      </c>
      <c r="Q957" s="10">
        <f>data_redis_illX!E857</f>
        <v>0</v>
      </c>
      <c r="R957" s="10">
        <f>data_redis_illX!F857</f>
        <v>0</v>
      </c>
      <c r="S957" s="10">
        <f>data_redis_illX!G857</f>
        <v>0</v>
      </c>
      <c r="T957" s="10">
        <f>data_redis_illX!H857</f>
        <v>0</v>
      </c>
      <c r="U957" s="10">
        <f>data_redis_illX!I857</f>
        <v>0</v>
      </c>
      <c r="V957" s="10">
        <f>data_redis_illX!J857</f>
        <v>0</v>
      </c>
      <c r="W957" s="10">
        <f>data_redis_illX!K857</f>
        <v>0</v>
      </c>
      <c r="X957" s="10">
        <f>data_redis_illX!L857</f>
        <v>0</v>
      </c>
      <c r="Y957" s="5">
        <f t="shared" si="14"/>
        <v>0</v>
      </c>
    </row>
    <row r="958" spans="16:25" x14ac:dyDescent="0.25">
      <c r="P958" s="2" t="s">
        <v>42</v>
      </c>
      <c r="Q958" s="10">
        <f>data_redis_illX!E858</f>
        <v>0</v>
      </c>
      <c r="R958" s="10">
        <f>data_redis_illX!F858</f>
        <v>0</v>
      </c>
      <c r="S958" s="10">
        <f>data_redis_illX!G858</f>
        <v>0</v>
      </c>
      <c r="T958" s="10">
        <f>data_redis_illX!H858</f>
        <v>0</v>
      </c>
      <c r="U958" s="10">
        <f>data_redis_illX!I858</f>
        <v>0</v>
      </c>
      <c r="V958" s="10">
        <f>data_redis_illX!J858</f>
        <v>0</v>
      </c>
      <c r="W958" s="10">
        <f>data_redis_illX!K858</f>
        <v>0</v>
      </c>
      <c r="X958" s="10">
        <f>data_redis_illX!L858</f>
        <v>0</v>
      </c>
      <c r="Y958" s="5">
        <f t="shared" si="14"/>
        <v>0</v>
      </c>
    </row>
    <row r="959" spans="16:25" x14ac:dyDescent="0.25">
      <c r="P959" s="2" t="s">
        <v>43</v>
      </c>
      <c r="Q959" s="10">
        <f>data_redis_illX!E859</f>
        <v>0</v>
      </c>
      <c r="R959" s="10">
        <f>data_redis_illX!F859</f>
        <v>0</v>
      </c>
      <c r="S959" s="10">
        <f>data_redis_illX!G859</f>
        <v>138.7864033324247</v>
      </c>
      <c r="T959" s="10">
        <f>data_redis_illX!H859</f>
        <v>217.35217175808162</v>
      </c>
      <c r="U959" s="10">
        <f>data_redis_illX!I859</f>
        <v>96.496603192997</v>
      </c>
      <c r="V959" s="10">
        <f>data_redis_illX!J859</f>
        <v>23.454006436242533</v>
      </c>
      <c r="W959" s="10">
        <f>data_redis_illX!K859</f>
        <v>3.0559701492537314</v>
      </c>
      <c r="X959" s="10">
        <f>data_redis_illX!L859</f>
        <v>1.0769230769230769</v>
      </c>
      <c r="Y959" s="5">
        <f t="shared" si="14"/>
        <v>480.22207794592265</v>
      </c>
    </row>
    <row r="960" spans="16:25" x14ac:dyDescent="0.25">
      <c r="P960" s="2" t="s">
        <v>44</v>
      </c>
      <c r="Q960" s="10">
        <f>data_redis_illX!E860</f>
        <v>0</v>
      </c>
      <c r="R960" s="10">
        <f>data_redis_illX!F860</f>
        <v>0</v>
      </c>
      <c r="S960" s="10">
        <f>data_redis_illX!G860</f>
        <v>1.6956521739130435</v>
      </c>
      <c r="T960" s="10">
        <f>data_redis_illX!H860</f>
        <v>0</v>
      </c>
      <c r="U960" s="10">
        <f>data_redis_illX!I860</f>
        <v>0</v>
      </c>
      <c r="V960" s="10">
        <f>data_redis_illX!J860</f>
        <v>0</v>
      </c>
      <c r="W960" s="10">
        <f>data_redis_illX!K860</f>
        <v>0</v>
      </c>
      <c r="X960" s="10">
        <f>data_redis_illX!L860</f>
        <v>0</v>
      </c>
      <c r="Y960" s="5">
        <f t="shared" si="14"/>
        <v>1.6956521739130435</v>
      </c>
    </row>
    <row r="961" spans="13:25" x14ac:dyDescent="0.25">
      <c r="M961" t="s">
        <v>104</v>
      </c>
      <c r="N961" t="s">
        <v>117</v>
      </c>
      <c r="O961" t="s">
        <v>51</v>
      </c>
      <c r="P961" s="2" t="s">
        <v>12</v>
      </c>
      <c r="Q961" s="10">
        <f>data_redis_illX!E861</f>
        <v>0</v>
      </c>
      <c r="R961" s="10">
        <f>data_redis_illX!F861</f>
        <v>0</v>
      </c>
      <c r="S961" s="10">
        <f>data_redis_illX!G861</f>
        <v>3.5594646970682025</v>
      </c>
      <c r="T961" s="10">
        <f>data_redis_illX!H861</f>
        <v>16.074391838888094</v>
      </c>
      <c r="U961" s="10">
        <f>data_redis_illX!I861</f>
        <v>6.2140208369001684</v>
      </c>
      <c r="V961" s="10">
        <f>data_redis_illX!J861</f>
        <v>2.4912052005341705</v>
      </c>
      <c r="W961" s="10">
        <f>data_redis_illX!K861</f>
        <v>1.2638888888888888</v>
      </c>
      <c r="X961" s="10">
        <f>data_redis_illX!L861</f>
        <v>0</v>
      </c>
      <c r="Y961" s="5">
        <f t="shared" si="14"/>
        <v>29.602971462279527</v>
      </c>
    </row>
    <row r="962" spans="13:25" x14ac:dyDescent="0.25">
      <c r="P962" s="2" t="s">
        <v>13</v>
      </c>
      <c r="Q962" s="10">
        <f>data_redis_illX!E862</f>
        <v>0</v>
      </c>
      <c r="R962" s="10">
        <f>data_redis_illX!F862</f>
        <v>0</v>
      </c>
      <c r="S962" s="10">
        <f>data_redis_illX!G862</f>
        <v>32.035182273613827</v>
      </c>
      <c r="T962" s="10">
        <f>data_redis_illX!H862</f>
        <v>64.297567355552374</v>
      </c>
      <c r="U962" s="10">
        <f>data_redis_illX!I862</f>
        <v>24.856083347600674</v>
      </c>
      <c r="V962" s="10">
        <f>data_redis_illX!J862</f>
        <v>6.2280130013354267</v>
      </c>
      <c r="W962" s="10">
        <f>data_redis_illX!K862</f>
        <v>5.0555555555555554</v>
      </c>
      <c r="X962" s="10">
        <f>data_redis_illX!L862</f>
        <v>0</v>
      </c>
      <c r="Y962" s="5">
        <f t="shared" si="14"/>
        <v>132.47240153365786</v>
      </c>
    </row>
    <row r="963" spans="13:25" x14ac:dyDescent="0.25">
      <c r="P963" s="2" t="s">
        <v>14</v>
      </c>
      <c r="Q963" s="10">
        <f>data_redis_illX!E863</f>
        <v>0</v>
      </c>
      <c r="R963" s="10">
        <f>data_redis_illX!F863</f>
        <v>0</v>
      </c>
      <c r="S963" s="10">
        <f>data_redis_illX!G863</f>
        <v>17.797323485341014</v>
      </c>
      <c r="T963" s="10">
        <f>data_redis_illX!H863</f>
        <v>68.007042395295784</v>
      </c>
      <c r="U963" s="10">
        <f>data_redis_illX!I863</f>
        <v>75.811054210182078</v>
      </c>
      <c r="V963" s="10">
        <f>data_redis_illX!J863</f>
        <v>23.666449405074616</v>
      </c>
      <c r="W963" s="10">
        <f>data_redis_illX!K863</f>
        <v>7.5833333333333339</v>
      </c>
      <c r="X963" s="10">
        <f>data_redis_illX!L863</f>
        <v>0</v>
      </c>
      <c r="Y963" s="5">
        <f t="shared" si="14"/>
        <v>192.86520282922683</v>
      </c>
    </row>
    <row r="964" spans="13:25" x14ac:dyDescent="0.25">
      <c r="P964" s="2" t="s">
        <v>15</v>
      </c>
      <c r="Q964" s="10">
        <f>data_redis_illX!E864</f>
        <v>0</v>
      </c>
      <c r="R964" s="10">
        <f>data_redis_illX!F864</f>
        <v>0</v>
      </c>
      <c r="S964" s="10">
        <f>data_redis_illX!G864</f>
        <v>2.3729764647121359</v>
      </c>
      <c r="T964" s="10">
        <f>data_redis_illX!H864</f>
        <v>16.074391838888094</v>
      </c>
      <c r="U964" s="10">
        <f>data_redis_illX!I864</f>
        <v>17.399258343320472</v>
      </c>
      <c r="V964" s="10">
        <f>data_redis_illX!J864</f>
        <v>1.2456026002670852</v>
      </c>
      <c r="W964" s="10">
        <f>data_redis_illX!K864</f>
        <v>0</v>
      </c>
      <c r="X964" s="10">
        <f>data_redis_illX!L864</f>
        <v>0</v>
      </c>
      <c r="Y964" s="5">
        <f t="shared" si="14"/>
        <v>37.092229247187781</v>
      </c>
    </row>
    <row r="965" spans="13:25" x14ac:dyDescent="0.25">
      <c r="P965" s="2" t="s">
        <v>16</v>
      </c>
      <c r="Q965" s="10">
        <f>data_redis_illX!E865</f>
        <v>0</v>
      </c>
      <c r="R965" s="10">
        <f>data_redis_illX!F865</f>
        <v>0</v>
      </c>
      <c r="S965" s="10">
        <f>data_redis_illX!G865</f>
        <v>4.7459529294242717</v>
      </c>
      <c r="T965" s="10">
        <f>data_redis_illX!H865</f>
        <v>43.277208797006402</v>
      </c>
      <c r="U965" s="10">
        <f>data_redis_illX!I865</f>
        <v>74.568250042802021</v>
      </c>
      <c r="V965" s="10">
        <f>data_redis_illX!J865</f>
        <v>17.438436403739196</v>
      </c>
      <c r="W965" s="10">
        <f>data_redis_illX!K865</f>
        <v>2.5277777777777777</v>
      </c>
      <c r="X965" s="10">
        <f>data_redis_illX!L865</f>
        <v>0</v>
      </c>
      <c r="Y965" s="5">
        <f t="shared" ref="Y965:Y1028" si="15">SUM(Q965:X965)</f>
        <v>142.55762595074967</v>
      </c>
    </row>
    <row r="966" spans="13:25" x14ac:dyDescent="0.25">
      <c r="P966" s="2" t="s">
        <v>17</v>
      </c>
      <c r="Q966" s="10">
        <f>data_redis_illX!E866</f>
        <v>0</v>
      </c>
      <c r="R966" s="10">
        <f>data_redis_illX!F866</f>
        <v>0</v>
      </c>
      <c r="S966" s="10">
        <f>data_redis_illX!G866</f>
        <v>4.7459529294242717</v>
      </c>
      <c r="T966" s="10">
        <f>data_redis_illX!H866</f>
        <v>12.364916799144687</v>
      </c>
      <c r="U966" s="10">
        <f>data_redis_illX!I866</f>
        <v>11.185237506420306</v>
      </c>
      <c r="V966" s="10">
        <f>data_redis_illX!J866</f>
        <v>2.4912052005341705</v>
      </c>
      <c r="W966" s="10">
        <f>data_redis_illX!K866</f>
        <v>0</v>
      </c>
      <c r="X966" s="10">
        <f>data_redis_illX!L866</f>
        <v>0</v>
      </c>
      <c r="Y966" s="5">
        <f t="shared" si="15"/>
        <v>30.787312435523436</v>
      </c>
    </row>
    <row r="967" spans="13:25" x14ac:dyDescent="0.25">
      <c r="P967" s="2" t="s">
        <v>18</v>
      </c>
      <c r="Q967" s="10">
        <f>data_redis_illX!E867</f>
        <v>0</v>
      </c>
      <c r="R967" s="10">
        <f>data_redis_illX!F867</f>
        <v>0</v>
      </c>
      <c r="S967" s="10">
        <f>data_redis_illX!G867</f>
        <v>16.610835252984945</v>
      </c>
      <c r="T967" s="10">
        <f>data_redis_illX!H867</f>
        <v>60.588092315808964</v>
      </c>
      <c r="U967" s="10">
        <f>data_redis_illX!I867</f>
        <v>22.370475012840611</v>
      </c>
      <c r="V967" s="10">
        <f>data_redis_illX!J867</f>
        <v>4.982410401068341</v>
      </c>
      <c r="W967" s="10">
        <f>data_redis_illX!K867</f>
        <v>0</v>
      </c>
      <c r="X967" s="10">
        <f>data_redis_illX!L867</f>
        <v>0</v>
      </c>
      <c r="Y967" s="5">
        <f t="shared" si="15"/>
        <v>104.55181298270286</v>
      </c>
    </row>
    <row r="968" spans="13:25" x14ac:dyDescent="0.25">
      <c r="P968" s="2" t="s">
        <v>19</v>
      </c>
      <c r="Q968" s="10">
        <f>data_redis_illX!E868</f>
        <v>0</v>
      </c>
      <c r="R968" s="10">
        <f>data_redis_illX!F868</f>
        <v>0</v>
      </c>
      <c r="S968" s="10">
        <f>data_redis_illX!G868</f>
        <v>48.646017526598783</v>
      </c>
      <c r="T968" s="10">
        <f>data_redis_illX!H868</f>
        <v>181.76427694742691</v>
      </c>
      <c r="U968" s="10">
        <f>data_redis_illX!I868</f>
        <v>65.868620871141786</v>
      </c>
      <c r="V968" s="10">
        <f>data_redis_illX!J868</f>
        <v>11.210423402403766</v>
      </c>
      <c r="W968" s="10">
        <f>data_redis_illX!K868</f>
        <v>1.2638888888888888</v>
      </c>
      <c r="X968" s="10">
        <f>data_redis_illX!L868</f>
        <v>0</v>
      </c>
      <c r="Y968" s="5">
        <f t="shared" si="15"/>
        <v>308.75322763646017</v>
      </c>
    </row>
    <row r="969" spans="13:25" x14ac:dyDescent="0.25">
      <c r="P969" s="2" t="s">
        <v>20</v>
      </c>
      <c r="Q969" s="10">
        <f>data_redis_illX!E869</f>
        <v>0</v>
      </c>
      <c r="R969" s="10">
        <f>data_redis_illX!F869</f>
        <v>0</v>
      </c>
      <c r="S969" s="10">
        <f>data_redis_illX!G869</f>
        <v>66.443341011939779</v>
      </c>
      <c r="T969" s="10">
        <f>data_redis_illX!H869</f>
        <v>97.682842713243033</v>
      </c>
      <c r="U969" s="10">
        <f>data_redis_illX!I869</f>
        <v>22.370475012840611</v>
      </c>
      <c r="V969" s="10">
        <f>data_redis_illX!J869</f>
        <v>1.2456026002670852</v>
      </c>
      <c r="W969" s="10">
        <f>data_redis_illX!K869</f>
        <v>1.2638888888888888</v>
      </c>
      <c r="X969" s="10">
        <f>data_redis_illX!L869</f>
        <v>0</v>
      </c>
      <c r="Y969" s="5">
        <f t="shared" si="15"/>
        <v>189.0061502271794</v>
      </c>
    </row>
    <row r="970" spans="13:25" x14ac:dyDescent="0.25">
      <c r="P970" s="2" t="s">
        <v>21</v>
      </c>
      <c r="Q970" s="10">
        <f>data_redis_illX!E870</f>
        <v>0</v>
      </c>
      <c r="R970" s="10">
        <f>data_redis_illX!F870</f>
        <v>0</v>
      </c>
      <c r="S970" s="10">
        <f>data_redis_illX!G870</f>
        <v>11.864882323560677</v>
      </c>
      <c r="T970" s="10">
        <f>data_redis_illX!H870</f>
        <v>29.675800317947246</v>
      </c>
      <c r="U970" s="10">
        <f>data_redis_illX!I870</f>
        <v>50.954970862581391</v>
      </c>
      <c r="V970" s="10">
        <f>data_redis_illX!J870</f>
        <v>19.929641604273364</v>
      </c>
      <c r="W970" s="10">
        <f>data_redis_illX!K870</f>
        <v>11.375</v>
      </c>
      <c r="X970" s="10">
        <f>data_redis_illX!L870</f>
        <v>2.5846153846153843</v>
      </c>
      <c r="Y970" s="5">
        <f t="shared" si="15"/>
        <v>126.38491049297808</v>
      </c>
    </row>
    <row r="971" spans="13:25" x14ac:dyDescent="0.25">
      <c r="P971" s="2" t="s">
        <v>22</v>
      </c>
      <c r="Q971" s="10">
        <f>data_redis_illX!E871</f>
        <v>0</v>
      </c>
      <c r="R971" s="10">
        <f>data_redis_illX!F871</f>
        <v>0</v>
      </c>
      <c r="S971" s="10">
        <f>data_redis_illX!G871</f>
        <v>43.900064597174499</v>
      </c>
      <c r="T971" s="10">
        <f>data_redis_illX!H871</f>
        <v>80.371959194440464</v>
      </c>
      <c r="U971" s="10">
        <f>data_redis_illX!I871</f>
        <v>52.197775029961427</v>
      </c>
      <c r="V971" s="10">
        <f>data_redis_illX!J871</f>
        <v>12.456026002670853</v>
      </c>
      <c r="W971" s="10">
        <f>data_redis_illX!K871</f>
        <v>1.2638888888888888</v>
      </c>
      <c r="X971" s="10">
        <f>data_redis_illX!L871</f>
        <v>2.5846153846153843</v>
      </c>
      <c r="Y971" s="5">
        <f t="shared" si="15"/>
        <v>192.77432909775152</v>
      </c>
    </row>
    <row r="972" spans="13:25" x14ac:dyDescent="0.25">
      <c r="P972" s="2" t="s">
        <v>23</v>
      </c>
      <c r="Q972" s="10">
        <f>data_redis_illX!E872</f>
        <v>0</v>
      </c>
      <c r="R972" s="10">
        <f>data_redis_illX!F872</f>
        <v>0</v>
      </c>
      <c r="S972" s="10">
        <f>data_redis_illX!G872</f>
        <v>26.102741111833488</v>
      </c>
      <c r="T972" s="10">
        <f>data_redis_illX!H872</f>
        <v>44.513700476920874</v>
      </c>
      <c r="U972" s="10">
        <f>data_redis_illX!I872</f>
        <v>17.399258343320472</v>
      </c>
      <c r="V972" s="10">
        <f>data_redis_illX!J872</f>
        <v>2.4912052005341705</v>
      </c>
      <c r="W972" s="10">
        <f>data_redis_illX!K872</f>
        <v>1.2638888888888888</v>
      </c>
      <c r="X972" s="10">
        <f>data_redis_illX!L872</f>
        <v>0</v>
      </c>
      <c r="Y972" s="5">
        <f t="shared" si="15"/>
        <v>91.770794021497878</v>
      </c>
    </row>
    <row r="973" spans="13:25" x14ac:dyDescent="0.25">
      <c r="P973" s="2" t="s">
        <v>24</v>
      </c>
      <c r="Q973" s="10">
        <f>data_redis_illX!E873</f>
        <v>0</v>
      </c>
      <c r="R973" s="10">
        <f>data_redis_illX!F873</f>
        <v>0</v>
      </c>
      <c r="S973" s="10">
        <f>data_redis_illX!G873</f>
        <v>32.035182273613827</v>
      </c>
      <c r="T973" s="10">
        <f>data_redis_illX!H873</f>
        <v>71.716517435039179</v>
      </c>
      <c r="U973" s="10">
        <f>data_redis_illX!I873</f>
        <v>49.712166695201347</v>
      </c>
      <c r="V973" s="10">
        <f>data_redis_illX!J873</f>
        <v>6.2280130013354267</v>
      </c>
      <c r="W973" s="10">
        <f>data_redis_illX!K873</f>
        <v>1.2638888888888888</v>
      </c>
      <c r="X973" s="10">
        <f>data_redis_illX!L873</f>
        <v>0</v>
      </c>
      <c r="Y973" s="5">
        <f t="shared" si="15"/>
        <v>160.95576829407867</v>
      </c>
    </row>
    <row r="974" spans="13:25" x14ac:dyDescent="0.25">
      <c r="P974" s="2" t="s">
        <v>25</v>
      </c>
      <c r="Q974" s="10">
        <f>data_redis_illX!E874</f>
        <v>0</v>
      </c>
      <c r="R974" s="10">
        <f>data_redis_illX!F874</f>
        <v>0</v>
      </c>
      <c r="S974" s="10">
        <f>data_redis_illX!G874</f>
        <v>15.424347020628881</v>
      </c>
      <c r="T974" s="10">
        <f>data_redis_illX!H874</f>
        <v>25.966325278203843</v>
      </c>
      <c r="U974" s="10">
        <f>data_redis_illX!I874</f>
        <v>8.6996291716602361</v>
      </c>
      <c r="V974" s="10">
        <f>data_redis_illX!J874</f>
        <v>0</v>
      </c>
      <c r="W974" s="10">
        <f>data_redis_illX!K874</f>
        <v>0</v>
      </c>
      <c r="X974" s="10">
        <f>data_redis_illX!L874</f>
        <v>0</v>
      </c>
      <c r="Y974" s="5">
        <f t="shared" si="15"/>
        <v>50.09030147049296</v>
      </c>
    </row>
    <row r="975" spans="13:25" x14ac:dyDescent="0.25">
      <c r="P975" s="2" t="s">
        <v>26</v>
      </c>
      <c r="Q975" s="10">
        <f>data_redis_illX!E875</f>
        <v>0</v>
      </c>
      <c r="R975" s="10">
        <f>data_redis_illX!F875</f>
        <v>0</v>
      </c>
      <c r="S975" s="10">
        <f>data_redis_illX!G875</f>
        <v>30.848694041257762</v>
      </c>
      <c r="T975" s="10">
        <f>data_redis_illX!H875</f>
        <v>32.148783677776187</v>
      </c>
      <c r="U975" s="10">
        <f>data_redis_illX!I875</f>
        <v>14.913650008560404</v>
      </c>
      <c r="V975" s="10">
        <f>data_redis_illX!J875</f>
        <v>4.982410401068341</v>
      </c>
      <c r="W975" s="10">
        <f>data_redis_illX!K875</f>
        <v>1.2638888888888888</v>
      </c>
      <c r="X975" s="10">
        <f>data_redis_illX!L875</f>
        <v>0</v>
      </c>
      <c r="Y975" s="5">
        <f t="shared" si="15"/>
        <v>84.157427017551584</v>
      </c>
    </row>
    <row r="976" spans="13:25" x14ac:dyDescent="0.25">
      <c r="P976" s="2" t="s">
        <v>27</v>
      </c>
      <c r="Q976" s="10">
        <f>data_redis_illX!E876</f>
        <v>0</v>
      </c>
      <c r="R976" s="10">
        <f>data_redis_illX!F876</f>
        <v>0</v>
      </c>
      <c r="S976" s="10">
        <f>data_redis_illX!G876</f>
        <v>87.800129194348997</v>
      </c>
      <c r="T976" s="10">
        <f>data_redis_illX!H876</f>
        <v>179.29129358759795</v>
      </c>
      <c r="U976" s="10">
        <f>data_redis_illX!I876</f>
        <v>38.526929188781047</v>
      </c>
      <c r="V976" s="10">
        <f>data_redis_illX!J876</f>
        <v>3.7368078008012557</v>
      </c>
      <c r="W976" s="10">
        <f>data_redis_illX!K876</f>
        <v>2.5277777777777777</v>
      </c>
      <c r="X976" s="10">
        <f>data_redis_illX!L876</f>
        <v>1.2923076923076922</v>
      </c>
      <c r="Y976" s="5">
        <f t="shared" si="15"/>
        <v>313.17524524161473</v>
      </c>
    </row>
    <row r="977" spans="16:25" x14ac:dyDescent="0.25">
      <c r="P977" s="2" t="s">
        <v>28</v>
      </c>
      <c r="Q977" s="10">
        <f>data_redis_illX!E877</f>
        <v>0</v>
      </c>
      <c r="R977" s="10">
        <f>data_redis_illX!F877</f>
        <v>0</v>
      </c>
      <c r="S977" s="10">
        <f>data_redis_illX!G877</f>
        <v>119.83531146796282</v>
      </c>
      <c r="T977" s="10">
        <f>data_redis_illX!H877</f>
        <v>311.59590333844613</v>
      </c>
      <c r="U977" s="10">
        <f>data_redis_illX!I877</f>
        <v>172.50697509844468</v>
      </c>
      <c r="V977" s="10">
        <f>data_redis_illX!J877</f>
        <v>56.05211701201884</v>
      </c>
      <c r="W977" s="10">
        <f>data_redis_illX!K877</f>
        <v>15.166666666666668</v>
      </c>
      <c r="X977" s="10">
        <f>data_redis_illX!L877</f>
        <v>5.1692307692307686</v>
      </c>
      <c r="Y977" s="5">
        <f t="shared" si="15"/>
        <v>680.32620435276988</v>
      </c>
    </row>
    <row r="978" spans="16:25" x14ac:dyDescent="0.25">
      <c r="P978" s="2" t="s">
        <v>29</v>
      </c>
      <c r="Q978" s="10">
        <f>data_redis_illX!E878</f>
        <v>0</v>
      </c>
      <c r="R978" s="10">
        <f>data_redis_illX!F878</f>
        <v>0</v>
      </c>
      <c r="S978" s="10">
        <f>data_redis_illX!G878</f>
        <v>2.3729764647121359</v>
      </c>
      <c r="T978" s="10">
        <f>data_redis_illX!H878</f>
        <v>21.020358558545968</v>
      </c>
      <c r="U978" s="10">
        <f>data_redis_illX!I878</f>
        <v>8.6996291716602361</v>
      </c>
      <c r="V978" s="10">
        <f>data_redis_illX!J878</f>
        <v>0</v>
      </c>
      <c r="W978" s="10">
        <f>data_redis_illX!K878</f>
        <v>0</v>
      </c>
      <c r="X978" s="10">
        <f>data_redis_illX!L878</f>
        <v>0</v>
      </c>
      <c r="Y978" s="5">
        <f t="shared" si="15"/>
        <v>32.092964194918338</v>
      </c>
    </row>
    <row r="979" spans="16:25" x14ac:dyDescent="0.25">
      <c r="P979" s="2" t="s">
        <v>30</v>
      </c>
      <c r="Q979" s="10">
        <f>data_redis_illX!E879</f>
        <v>0</v>
      </c>
      <c r="R979" s="10">
        <f>data_redis_illX!F879</f>
        <v>0</v>
      </c>
      <c r="S979" s="10">
        <f>data_redis_illX!G879</f>
        <v>107.97042914440216</v>
      </c>
      <c r="T979" s="10">
        <f>data_redis_illX!H879</f>
        <v>251.00781102263713</v>
      </c>
      <c r="U979" s="10">
        <f>data_redis_illX!I879</f>
        <v>187.66342927438512</v>
      </c>
      <c r="V979" s="10">
        <f>data_redis_illX!J879</f>
        <v>37.36807800801256</v>
      </c>
      <c r="W979" s="10">
        <f>data_redis_illX!K879</f>
        <v>13.902777777777779</v>
      </c>
      <c r="X979" s="10">
        <f>data_redis_illX!L879</f>
        <v>7.7538461538461538</v>
      </c>
      <c r="Y979" s="5">
        <f t="shared" si="15"/>
        <v>605.66637138106103</v>
      </c>
    </row>
    <row r="980" spans="16:25" x14ac:dyDescent="0.25">
      <c r="P980" s="2" t="s">
        <v>31</v>
      </c>
      <c r="Q980" s="10">
        <f>data_redis_illX!E880</f>
        <v>0</v>
      </c>
      <c r="R980" s="10">
        <f>data_redis_illX!F880</f>
        <v>0</v>
      </c>
      <c r="S980" s="10">
        <f>data_redis_illX!G880</f>
        <v>4.7459529294242717</v>
      </c>
      <c r="T980" s="10">
        <f>data_redis_illX!H880</f>
        <v>6.1824583995723437</v>
      </c>
      <c r="U980" s="10">
        <f>data_redis_illX!I880</f>
        <v>3.7284125021401011</v>
      </c>
      <c r="V980" s="10">
        <f>data_redis_illX!J880</f>
        <v>1.2456026002670852</v>
      </c>
      <c r="W980" s="10">
        <f>data_redis_illX!K880</f>
        <v>0</v>
      </c>
      <c r="X980" s="10">
        <f>data_redis_illX!L880</f>
        <v>0</v>
      </c>
      <c r="Y980" s="5">
        <f t="shared" si="15"/>
        <v>15.902426431403802</v>
      </c>
    </row>
    <row r="981" spans="16:25" x14ac:dyDescent="0.25">
      <c r="P981" s="2" t="s">
        <v>32</v>
      </c>
      <c r="Q981" s="10">
        <f>data_redis_illX!E881</f>
        <v>0</v>
      </c>
      <c r="R981" s="10">
        <f>data_redis_illX!F881</f>
        <v>0</v>
      </c>
      <c r="S981" s="10">
        <f>data_redis_illX!G881</f>
        <v>0</v>
      </c>
      <c r="T981" s="10">
        <f>data_redis_illX!H881</f>
        <v>0</v>
      </c>
      <c r="U981" s="10">
        <f>data_redis_illX!I881</f>
        <v>0</v>
      </c>
      <c r="V981" s="10">
        <f>data_redis_illX!J881</f>
        <v>0</v>
      </c>
      <c r="W981" s="10">
        <f>data_redis_illX!K881</f>
        <v>0</v>
      </c>
      <c r="X981" s="10">
        <f>data_redis_illX!L881</f>
        <v>0</v>
      </c>
      <c r="Y981" s="5">
        <f t="shared" si="15"/>
        <v>0</v>
      </c>
    </row>
    <row r="982" spans="16:25" x14ac:dyDescent="0.25">
      <c r="P982" s="2" t="s">
        <v>33</v>
      </c>
      <c r="Q982" s="10">
        <f>data_redis_illX!E882</f>
        <v>0</v>
      </c>
      <c r="R982" s="10">
        <f>data_redis_illX!F882</f>
        <v>0</v>
      </c>
      <c r="S982" s="10">
        <f>data_redis_illX!G882</f>
        <v>0</v>
      </c>
      <c r="T982" s="10">
        <f>data_redis_illX!H882</f>
        <v>1.2364916799144687</v>
      </c>
      <c r="U982" s="10">
        <f>data_redis_illX!I882</f>
        <v>0</v>
      </c>
      <c r="V982" s="10">
        <f>data_redis_illX!J882</f>
        <v>0</v>
      </c>
      <c r="W982" s="10">
        <f>data_redis_illX!K882</f>
        <v>0</v>
      </c>
      <c r="X982" s="10">
        <f>data_redis_illX!L882</f>
        <v>0</v>
      </c>
      <c r="Y982" s="5">
        <f t="shared" si="15"/>
        <v>1.2364916799144687</v>
      </c>
    </row>
    <row r="983" spans="16:25" x14ac:dyDescent="0.25">
      <c r="P983" s="2" t="s">
        <v>34</v>
      </c>
      <c r="Q983" s="10">
        <f>data_redis_illX!E883</f>
        <v>0</v>
      </c>
      <c r="R983" s="10">
        <f>data_redis_illX!F883</f>
        <v>0</v>
      </c>
      <c r="S983" s="10">
        <f>data_redis_illX!G883</f>
        <v>0</v>
      </c>
      <c r="T983" s="10">
        <f>data_redis_illX!H883</f>
        <v>0</v>
      </c>
      <c r="U983" s="10">
        <f>data_redis_illX!I883</f>
        <v>0</v>
      </c>
      <c r="V983" s="10">
        <f>data_redis_illX!J883</f>
        <v>0</v>
      </c>
      <c r="W983" s="10">
        <f>data_redis_illX!K883</f>
        <v>0</v>
      </c>
      <c r="X983" s="10">
        <f>data_redis_illX!L883</f>
        <v>0</v>
      </c>
      <c r="Y983" s="5">
        <f t="shared" si="15"/>
        <v>0</v>
      </c>
    </row>
    <row r="984" spans="16:25" x14ac:dyDescent="0.25">
      <c r="P984" s="2" t="s">
        <v>35</v>
      </c>
      <c r="Q984" s="10">
        <f>data_redis_illX!E884</f>
        <v>0</v>
      </c>
      <c r="R984" s="10">
        <f>data_redis_illX!F884</f>
        <v>0</v>
      </c>
      <c r="S984" s="10">
        <f>data_redis_illX!G884</f>
        <v>0</v>
      </c>
      <c r="T984" s="10">
        <f>data_redis_illX!H884</f>
        <v>0</v>
      </c>
      <c r="U984" s="10">
        <f>data_redis_illX!I884</f>
        <v>0</v>
      </c>
      <c r="V984" s="10">
        <f>data_redis_illX!J884</f>
        <v>0</v>
      </c>
      <c r="W984" s="10">
        <f>data_redis_illX!K884</f>
        <v>0</v>
      </c>
      <c r="X984" s="10">
        <f>data_redis_illX!L884</f>
        <v>0</v>
      </c>
      <c r="Y984" s="5">
        <f t="shared" si="15"/>
        <v>0</v>
      </c>
    </row>
    <row r="985" spans="16:25" x14ac:dyDescent="0.25">
      <c r="P985" s="2" t="s">
        <v>36</v>
      </c>
      <c r="Q985" s="10">
        <f>data_redis_illX!E885</f>
        <v>0</v>
      </c>
      <c r="R985" s="10">
        <f>data_redis_illX!F885</f>
        <v>0</v>
      </c>
      <c r="S985" s="10">
        <f>data_redis_illX!G885</f>
        <v>0</v>
      </c>
      <c r="T985" s="10">
        <f>data_redis_illX!H885</f>
        <v>0</v>
      </c>
      <c r="U985" s="10">
        <f>data_redis_illX!I885</f>
        <v>0</v>
      </c>
      <c r="V985" s="10">
        <f>data_redis_illX!J885</f>
        <v>0</v>
      </c>
      <c r="W985" s="10">
        <f>data_redis_illX!K885</f>
        <v>0</v>
      </c>
      <c r="X985" s="10">
        <f>data_redis_illX!L885</f>
        <v>0</v>
      </c>
      <c r="Y985" s="5">
        <f t="shared" si="15"/>
        <v>0</v>
      </c>
    </row>
    <row r="986" spans="16:25" x14ac:dyDescent="0.25">
      <c r="P986" s="2" t="s">
        <v>37</v>
      </c>
      <c r="Q986" s="10">
        <f>data_redis_illX!E886</f>
        <v>0</v>
      </c>
      <c r="R986" s="10">
        <f>data_redis_illX!F886</f>
        <v>0</v>
      </c>
      <c r="S986" s="10">
        <f>data_redis_illX!G886</f>
        <v>0</v>
      </c>
      <c r="T986" s="10">
        <f>data_redis_illX!H886</f>
        <v>0</v>
      </c>
      <c r="U986" s="10">
        <f>data_redis_illX!I886</f>
        <v>0</v>
      </c>
      <c r="V986" s="10">
        <f>data_redis_illX!J886</f>
        <v>0</v>
      </c>
      <c r="W986" s="10">
        <f>data_redis_illX!K886</f>
        <v>0</v>
      </c>
      <c r="X986" s="10">
        <f>data_redis_illX!L886</f>
        <v>0</v>
      </c>
      <c r="Y986" s="5">
        <f t="shared" si="15"/>
        <v>0</v>
      </c>
    </row>
    <row r="987" spans="16:25" x14ac:dyDescent="0.25">
      <c r="P987" s="2" t="s">
        <v>38</v>
      </c>
      <c r="Q987" s="10">
        <f>data_redis_illX!E887</f>
        <v>0</v>
      </c>
      <c r="R987" s="10">
        <f>data_redis_illX!F887</f>
        <v>0</v>
      </c>
      <c r="S987" s="10">
        <f>data_redis_illX!G887</f>
        <v>0</v>
      </c>
      <c r="T987" s="10">
        <f>data_redis_illX!H887</f>
        <v>4.9459667196578749</v>
      </c>
      <c r="U987" s="10">
        <f>data_redis_illX!I887</f>
        <v>1.2428041673800339</v>
      </c>
      <c r="V987" s="10">
        <f>data_redis_illX!J887</f>
        <v>1.2456026002670852</v>
      </c>
      <c r="W987" s="10">
        <f>data_redis_illX!K887</f>
        <v>0</v>
      </c>
      <c r="X987" s="10">
        <f>data_redis_illX!L887</f>
        <v>0</v>
      </c>
      <c r="Y987" s="5">
        <f t="shared" si="15"/>
        <v>7.4343734873049936</v>
      </c>
    </row>
    <row r="988" spans="16:25" x14ac:dyDescent="0.25">
      <c r="P988" s="2" t="s">
        <v>39</v>
      </c>
      <c r="Q988" s="10">
        <f>data_redis_illX!E888</f>
        <v>0</v>
      </c>
      <c r="R988" s="10">
        <f>data_redis_illX!F888</f>
        <v>0</v>
      </c>
      <c r="S988" s="10">
        <f>data_redis_illX!G888</f>
        <v>0</v>
      </c>
      <c r="T988" s="10">
        <f>data_redis_illX!H888</f>
        <v>0</v>
      </c>
      <c r="U988" s="10">
        <f>data_redis_illX!I888</f>
        <v>0</v>
      </c>
      <c r="V988" s="10">
        <f>data_redis_illX!J888</f>
        <v>0</v>
      </c>
      <c r="W988" s="10">
        <f>data_redis_illX!K888</f>
        <v>0</v>
      </c>
      <c r="X988" s="10">
        <f>data_redis_illX!L888</f>
        <v>0</v>
      </c>
      <c r="Y988" s="5">
        <f t="shared" si="15"/>
        <v>0</v>
      </c>
    </row>
    <row r="989" spans="16:25" x14ac:dyDescent="0.25">
      <c r="P989" s="2" t="s">
        <v>40</v>
      </c>
      <c r="Q989" s="10">
        <f>data_redis_illX!E889</f>
        <v>0</v>
      </c>
      <c r="R989" s="10">
        <f>data_redis_illX!F889</f>
        <v>0</v>
      </c>
      <c r="S989" s="10">
        <f>data_redis_illX!G889</f>
        <v>0</v>
      </c>
      <c r="T989" s="10">
        <f>data_redis_illX!H889</f>
        <v>0</v>
      </c>
      <c r="U989" s="10">
        <f>data_redis_illX!I889</f>
        <v>0</v>
      </c>
      <c r="V989" s="10">
        <f>data_redis_illX!J889</f>
        <v>0</v>
      </c>
      <c r="W989" s="10">
        <f>data_redis_illX!K889</f>
        <v>0</v>
      </c>
      <c r="X989" s="10">
        <f>data_redis_illX!L889</f>
        <v>0</v>
      </c>
      <c r="Y989" s="5">
        <f t="shared" si="15"/>
        <v>0</v>
      </c>
    </row>
    <row r="990" spans="16:25" x14ac:dyDescent="0.25">
      <c r="P990" s="2" t="s">
        <v>41</v>
      </c>
      <c r="Q990" s="10">
        <f>data_redis_illX!E890</f>
        <v>0</v>
      </c>
      <c r="R990" s="10">
        <f>data_redis_illX!F890</f>
        <v>0</v>
      </c>
      <c r="S990" s="10">
        <f>data_redis_illX!G890</f>
        <v>0</v>
      </c>
      <c r="T990" s="10">
        <f>data_redis_illX!H890</f>
        <v>0</v>
      </c>
      <c r="U990" s="10">
        <f>data_redis_illX!I890</f>
        <v>1.2428041673800339</v>
      </c>
      <c r="V990" s="10">
        <f>data_redis_illX!J890</f>
        <v>0</v>
      </c>
      <c r="W990" s="10">
        <f>data_redis_illX!K890</f>
        <v>0</v>
      </c>
      <c r="X990" s="10">
        <f>data_redis_illX!L890</f>
        <v>0</v>
      </c>
      <c r="Y990" s="5">
        <f t="shared" si="15"/>
        <v>1.2428041673800339</v>
      </c>
    </row>
    <row r="991" spans="16:25" x14ac:dyDescent="0.25">
      <c r="P991" s="2" t="s">
        <v>42</v>
      </c>
      <c r="Q991" s="10">
        <f>data_redis_illX!E891</f>
        <v>0</v>
      </c>
      <c r="R991" s="10">
        <f>data_redis_illX!F891</f>
        <v>0</v>
      </c>
      <c r="S991" s="10">
        <f>data_redis_illX!G891</f>
        <v>5.9324411617803383</v>
      </c>
      <c r="T991" s="10">
        <f>data_redis_illX!H891</f>
        <v>16.074391838888094</v>
      </c>
      <c r="U991" s="10">
        <f>data_redis_illX!I891</f>
        <v>3.7284125021401011</v>
      </c>
      <c r="V991" s="10">
        <f>data_redis_illX!J891</f>
        <v>0</v>
      </c>
      <c r="W991" s="10">
        <f>data_redis_illX!K891</f>
        <v>1.2638888888888888</v>
      </c>
      <c r="X991" s="10">
        <f>data_redis_illX!L891</f>
        <v>0</v>
      </c>
      <c r="Y991" s="5">
        <f t="shared" si="15"/>
        <v>26.999134391697424</v>
      </c>
    </row>
    <row r="992" spans="16:25" x14ac:dyDescent="0.25">
      <c r="P992" s="2" t="s">
        <v>43</v>
      </c>
      <c r="Q992" s="10">
        <f>data_redis_illX!E892</f>
        <v>0</v>
      </c>
      <c r="R992" s="10">
        <f>data_redis_illX!F892</f>
        <v>0</v>
      </c>
      <c r="S992" s="10">
        <f>data_redis_illX!G892</f>
        <v>0</v>
      </c>
      <c r="T992" s="10">
        <f>data_redis_illX!H892</f>
        <v>0</v>
      </c>
      <c r="U992" s="10">
        <f>data_redis_illX!I892</f>
        <v>1.2428041673800339</v>
      </c>
      <c r="V992" s="10">
        <f>data_redis_illX!J892</f>
        <v>0</v>
      </c>
      <c r="W992" s="10">
        <f>data_redis_illX!K892</f>
        <v>0</v>
      </c>
      <c r="X992" s="10">
        <f>data_redis_illX!L892</f>
        <v>0</v>
      </c>
      <c r="Y992" s="5">
        <f t="shared" si="15"/>
        <v>1.2428041673800339</v>
      </c>
    </row>
    <row r="993" spans="13:25" x14ac:dyDescent="0.25">
      <c r="P993" s="2" t="s">
        <v>44</v>
      </c>
      <c r="Q993" s="10">
        <f>data_redis_illX!E893</f>
        <v>0</v>
      </c>
      <c r="R993" s="10">
        <f>data_redis_illX!F893</f>
        <v>0</v>
      </c>
      <c r="S993" s="10">
        <f>data_redis_illX!G893</f>
        <v>23.729764647121353</v>
      </c>
      <c r="T993" s="10">
        <f>data_redis_illX!H893</f>
        <v>63.061075675637909</v>
      </c>
      <c r="U993" s="10">
        <f>data_redis_illX!I893</f>
        <v>12.428041673800337</v>
      </c>
      <c r="V993" s="10">
        <f>data_redis_illX!J893</f>
        <v>3.7368078008012557</v>
      </c>
      <c r="W993" s="10">
        <f>data_redis_illX!K893</f>
        <v>0</v>
      </c>
      <c r="X993" s="10">
        <f>data_redis_illX!L893</f>
        <v>0</v>
      </c>
      <c r="Y993" s="5">
        <f t="shared" si="15"/>
        <v>102.95568979736086</v>
      </c>
    </row>
    <row r="994" spans="13:25" x14ac:dyDescent="0.25">
      <c r="M994" t="s">
        <v>104</v>
      </c>
      <c r="N994" t="s">
        <v>117</v>
      </c>
      <c r="O994" t="s">
        <v>52</v>
      </c>
      <c r="P994" s="2" t="s">
        <v>12</v>
      </c>
      <c r="Q994" s="10">
        <f>data_redis_illX!E894</f>
        <v>0</v>
      </c>
      <c r="R994" s="10">
        <f>data_redis_illX!F894</f>
        <v>0</v>
      </c>
      <c r="S994" s="10">
        <f>data_redis_illX!G894</f>
        <v>0</v>
      </c>
      <c r="T994" s="10">
        <f>data_redis_illX!H894</f>
        <v>0</v>
      </c>
      <c r="U994" s="10">
        <f>data_redis_illX!I894</f>
        <v>0</v>
      </c>
      <c r="V994" s="10">
        <f>data_redis_illX!J894</f>
        <v>0</v>
      </c>
      <c r="W994" s="10">
        <f>data_redis_illX!K894</f>
        <v>0</v>
      </c>
      <c r="X994" s="10">
        <f>data_redis_illX!L894</f>
        <v>0</v>
      </c>
      <c r="Y994" s="5">
        <f t="shared" si="15"/>
        <v>0</v>
      </c>
    </row>
    <row r="995" spans="13:25" x14ac:dyDescent="0.25">
      <c r="P995" s="2" t="s">
        <v>13</v>
      </c>
      <c r="Q995" s="10">
        <f>data_redis_illX!E895</f>
        <v>0</v>
      </c>
      <c r="R995" s="10">
        <f>data_redis_illX!F895</f>
        <v>0</v>
      </c>
      <c r="S995" s="10">
        <f>data_redis_illX!G895</f>
        <v>0</v>
      </c>
      <c r="T995" s="10">
        <f>data_redis_illX!H895</f>
        <v>0</v>
      </c>
      <c r="U995" s="10">
        <f>data_redis_illX!I895</f>
        <v>0</v>
      </c>
      <c r="V995" s="10">
        <f>data_redis_illX!J895</f>
        <v>0</v>
      </c>
      <c r="W995" s="10">
        <f>data_redis_illX!K895</f>
        <v>0</v>
      </c>
      <c r="X995" s="10">
        <f>data_redis_illX!L895</f>
        <v>0</v>
      </c>
      <c r="Y995" s="5">
        <f t="shared" si="15"/>
        <v>0</v>
      </c>
    </row>
    <row r="996" spans="13:25" x14ac:dyDescent="0.25">
      <c r="P996" s="2" t="s">
        <v>14</v>
      </c>
      <c r="Q996" s="10">
        <f>data_redis_illX!E896</f>
        <v>0</v>
      </c>
      <c r="R996" s="10">
        <f>data_redis_illX!F896</f>
        <v>0</v>
      </c>
      <c r="S996" s="10">
        <f>data_redis_illX!G896</f>
        <v>0</v>
      </c>
      <c r="T996" s="10">
        <f>data_redis_illX!H896</f>
        <v>0</v>
      </c>
      <c r="U996" s="10">
        <f>data_redis_illX!I896</f>
        <v>0</v>
      </c>
      <c r="V996" s="10">
        <f>data_redis_illX!J896</f>
        <v>0</v>
      </c>
      <c r="W996" s="10">
        <f>data_redis_illX!K896</f>
        <v>0</v>
      </c>
      <c r="X996" s="10">
        <f>data_redis_illX!L896</f>
        <v>0</v>
      </c>
      <c r="Y996" s="5">
        <f t="shared" si="15"/>
        <v>0</v>
      </c>
    </row>
    <row r="997" spans="13:25" x14ac:dyDescent="0.25">
      <c r="P997" s="2" t="s">
        <v>15</v>
      </c>
      <c r="Q997" s="10">
        <f>data_redis_illX!E897</f>
        <v>0</v>
      </c>
      <c r="R997" s="10">
        <f>data_redis_illX!F897</f>
        <v>0</v>
      </c>
      <c r="S997" s="10">
        <f>data_redis_illX!G897</f>
        <v>0</v>
      </c>
      <c r="T997" s="10">
        <f>data_redis_illX!H897</f>
        <v>0</v>
      </c>
      <c r="U997" s="10">
        <f>data_redis_illX!I897</f>
        <v>0</v>
      </c>
      <c r="V997" s="10">
        <f>data_redis_illX!J897</f>
        <v>0</v>
      </c>
      <c r="W997" s="10">
        <f>data_redis_illX!K897</f>
        <v>0</v>
      </c>
      <c r="X997" s="10">
        <f>data_redis_illX!L897</f>
        <v>0</v>
      </c>
      <c r="Y997" s="5">
        <f t="shared" si="15"/>
        <v>0</v>
      </c>
    </row>
    <row r="998" spans="13:25" x14ac:dyDescent="0.25">
      <c r="P998" s="2" t="s">
        <v>16</v>
      </c>
      <c r="Q998" s="10">
        <f>data_redis_illX!E898</f>
        <v>0</v>
      </c>
      <c r="R998" s="10">
        <f>data_redis_illX!F898</f>
        <v>0</v>
      </c>
      <c r="S998" s="10">
        <f>data_redis_illX!G898</f>
        <v>0</v>
      </c>
      <c r="T998" s="10">
        <f>data_redis_illX!H898</f>
        <v>0</v>
      </c>
      <c r="U998" s="10">
        <f>data_redis_illX!I898</f>
        <v>0</v>
      </c>
      <c r="V998" s="10">
        <f>data_redis_illX!J898</f>
        <v>0</v>
      </c>
      <c r="W998" s="10">
        <f>data_redis_illX!K898</f>
        <v>0</v>
      </c>
      <c r="X998" s="10">
        <f>data_redis_illX!L898</f>
        <v>0</v>
      </c>
      <c r="Y998" s="5">
        <f t="shared" si="15"/>
        <v>0</v>
      </c>
    </row>
    <row r="999" spans="13:25" x14ac:dyDescent="0.25">
      <c r="P999" s="2" t="s">
        <v>17</v>
      </c>
      <c r="Q999" s="10">
        <f>data_redis_illX!E899</f>
        <v>0</v>
      </c>
      <c r="R999" s="10">
        <f>data_redis_illX!F899</f>
        <v>0</v>
      </c>
      <c r="S999" s="10">
        <f>data_redis_illX!G899</f>
        <v>0</v>
      </c>
      <c r="T999" s="10">
        <f>data_redis_illX!H899</f>
        <v>0</v>
      </c>
      <c r="U999" s="10">
        <f>data_redis_illX!I899</f>
        <v>0</v>
      </c>
      <c r="V999" s="10">
        <f>data_redis_illX!J899</f>
        <v>0</v>
      </c>
      <c r="W999" s="10">
        <f>data_redis_illX!K899</f>
        <v>0</v>
      </c>
      <c r="X999" s="10">
        <f>data_redis_illX!L899</f>
        <v>0</v>
      </c>
      <c r="Y999" s="5">
        <f t="shared" si="15"/>
        <v>0</v>
      </c>
    </row>
    <row r="1000" spans="13:25" x14ac:dyDescent="0.25">
      <c r="P1000" s="2" t="s">
        <v>18</v>
      </c>
      <c r="Q1000" s="10">
        <f>data_redis_illX!E900</f>
        <v>0</v>
      </c>
      <c r="R1000" s="10">
        <f>data_redis_illX!F900</f>
        <v>0</v>
      </c>
      <c r="S1000" s="10">
        <f>data_redis_illX!G900</f>
        <v>0</v>
      </c>
      <c r="T1000" s="10">
        <f>data_redis_illX!H900</f>
        <v>0</v>
      </c>
      <c r="U1000" s="10">
        <f>data_redis_illX!I900</f>
        <v>0</v>
      </c>
      <c r="V1000" s="10">
        <f>data_redis_illX!J900</f>
        <v>0</v>
      </c>
      <c r="W1000" s="10">
        <f>data_redis_illX!K900</f>
        <v>0</v>
      </c>
      <c r="X1000" s="10">
        <f>data_redis_illX!L900</f>
        <v>0</v>
      </c>
      <c r="Y1000" s="5">
        <f t="shared" si="15"/>
        <v>0</v>
      </c>
    </row>
    <row r="1001" spans="13:25" x14ac:dyDescent="0.25">
      <c r="P1001" s="2" t="s">
        <v>19</v>
      </c>
      <c r="Q1001" s="10">
        <f>data_redis_illX!E901</f>
        <v>0</v>
      </c>
      <c r="R1001" s="10">
        <f>data_redis_illX!F901</f>
        <v>0</v>
      </c>
      <c r="S1001" s="10">
        <f>data_redis_illX!G901</f>
        <v>0</v>
      </c>
      <c r="T1001" s="10">
        <f>data_redis_illX!H901</f>
        <v>0</v>
      </c>
      <c r="U1001" s="10">
        <f>data_redis_illX!I901</f>
        <v>0</v>
      </c>
      <c r="V1001" s="10">
        <f>data_redis_illX!J901</f>
        <v>0</v>
      </c>
      <c r="W1001" s="10">
        <f>data_redis_illX!K901</f>
        <v>0</v>
      </c>
      <c r="X1001" s="10">
        <f>data_redis_illX!L901</f>
        <v>0</v>
      </c>
      <c r="Y1001" s="5">
        <f t="shared" si="15"/>
        <v>0</v>
      </c>
    </row>
    <row r="1002" spans="13:25" x14ac:dyDescent="0.25">
      <c r="P1002" s="2" t="s">
        <v>20</v>
      </c>
      <c r="Q1002" s="10">
        <f>data_redis_illX!E902</f>
        <v>0</v>
      </c>
      <c r="R1002" s="10">
        <f>data_redis_illX!F902</f>
        <v>0</v>
      </c>
      <c r="S1002" s="10">
        <f>data_redis_illX!G902</f>
        <v>0</v>
      </c>
      <c r="T1002" s="10">
        <f>data_redis_illX!H902</f>
        <v>0</v>
      </c>
      <c r="U1002" s="10">
        <f>data_redis_illX!I902</f>
        <v>0</v>
      </c>
      <c r="V1002" s="10">
        <f>data_redis_illX!J902</f>
        <v>0</v>
      </c>
      <c r="W1002" s="10">
        <f>data_redis_illX!K902</f>
        <v>0</v>
      </c>
      <c r="X1002" s="10">
        <f>data_redis_illX!L902</f>
        <v>0</v>
      </c>
      <c r="Y1002" s="5">
        <f t="shared" si="15"/>
        <v>0</v>
      </c>
    </row>
    <row r="1003" spans="13:25" x14ac:dyDescent="0.25">
      <c r="P1003" s="2" t="s">
        <v>21</v>
      </c>
      <c r="Q1003" s="10">
        <f>data_redis_illX!E903</f>
        <v>0</v>
      </c>
      <c r="R1003" s="10">
        <f>data_redis_illX!F903</f>
        <v>0</v>
      </c>
      <c r="S1003" s="10">
        <f>data_redis_illX!G903</f>
        <v>0</v>
      </c>
      <c r="T1003" s="10">
        <f>data_redis_illX!H903</f>
        <v>0</v>
      </c>
      <c r="U1003" s="10">
        <f>data_redis_illX!I903</f>
        <v>0</v>
      </c>
      <c r="V1003" s="10">
        <f>data_redis_illX!J903</f>
        <v>0</v>
      </c>
      <c r="W1003" s="10">
        <f>data_redis_illX!K903</f>
        <v>0</v>
      </c>
      <c r="X1003" s="10">
        <f>data_redis_illX!L903</f>
        <v>0</v>
      </c>
      <c r="Y1003" s="5">
        <f t="shared" si="15"/>
        <v>0</v>
      </c>
    </row>
    <row r="1004" spans="13:25" x14ac:dyDescent="0.25">
      <c r="P1004" s="2" t="s">
        <v>22</v>
      </c>
      <c r="Q1004" s="10">
        <f>data_redis_illX!E904</f>
        <v>0</v>
      </c>
      <c r="R1004" s="10">
        <f>data_redis_illX!F904</f>
        <v>0</v>
      </c>
      <c r="S1004" s="10">
        <f>data_redis_illX!G904</f>
        <v>0</v>
      </c>
      <c r="T1004" s="10">
        <f>data_redis_illX!H904</f>
        <v>0</v>
      </c>
      <c r="U1004" s="10">
        <f>data_redis_illX!I904</f>
        <v>0</v>
      </c>
      <c r="V1004" s="10">
        <f>data_redis_illX!J904</f>
        <v>0</v>
      </c>
      <c r="W1004" s="10">
        <f>data_redis_illX!K904</f>
        <v>0</v>
      </c>
      <c r="X1004" s="10">
        <f>data_redis_illX!L904</f>
        <v>0</v>
      </c>
      <c r="Y1004" s="5">
        <f t="shared" si="15"/>
        <v>0</v>
      </c>
    </row>
    <row r="1005" spans="13:25" x14ac:dyDescent="0.25">
      <c r="P1005" s="2" t="s">
        <v>23</v>
      </c>
      <c r="Q1005" s="10">
        <f>data_redis_illX!E905</f>
        <v>0</v>
      </c>
      <c r="R1005" s="10">
        <f>data_redis_illX!F905</f>
        <v>0</v>
      </c>
      <c r="S1005" s="10">
        <f>data_redis_illX!G905</f>
        <v>0</v>
      </c>
      <c r="T1005" s="10">
        <f>data_redis_illX!H905</f>
        <v>0</v>
      </c>
      <c r="U1005" s="10">
        <f>data_redis_illX!I905</f>
        <v>0</v>
      </c>
      <c r="V1005" s="10">
        <f>data_redis_illX!J905</f>
        <v>0</v>
      </c>
      <c r="W1005" s="10">
        <f>data_redis_illX!K905</f>
        <v>0</v>
      </c>
      <c r="X1005" s="10">
        <f>data_redis_illX!L905</f>
        <v>0</v>
      </c>
      <c r="Y1005" s="5">
        <f t="shared" si="15"/>
        <v>0</v>
      </c>
    </row>
    <row r="1006" spans="13:25" x14ac:dyDescent="0.25">
      <c r="P1006" s="2" t="s">
        <v>24</v>
      </c>
      <c r="Q1006" s="10">
        <f>data_redis_illX!E906</f>
        <v>0</v>
      </c>
      <c r="R1006" s="10">
        <f>data_redis_illX!F906</f>
        <v>0</v>
      </c>
      <c r="S1006" s="10">
        <f>data_redis_illX!G906</f>
        <v>0</v>
      </c>
      <c r="T1006" s="10">
        <f>data_redis_illX!H906</f>
        <v>0</v>
      </c>
      <c r="U1006" s="10">
        <f>data_redis_illX!I906</f>
        <v>0</v>
      </c>
      <c r="V1006" s="10">
        <f>data_redis_illX!J906</f>
        <v>0</v>
      </c>
      <c r="W1006" s="10">
        <f>data_redis_illX!K906</f>
        <v>0</v>
      </c>
      <c r="X1006" s="10">
        <f>data_redis_illX!L906</f>
        <v>0</v>
      </c>
      <c r="Y1006" s="5">
        <f t="shared" si="15"/>
        <v>0</v>
      </c>
    </row>
    <row r="1007" spans="13:25" x14ac:dyDescent="0.25">
      <c r="P1007" s="2" t="s">
        <v>25</v>
      </c>
      <c r="Q1007" s="10">
        <f>data_redis_illX!E907</f>
        <v>0</v>
      </c>
      <c r="R1007" s="10">
        <f>data_redis_illX!F907</f>
        <v>0</v>
      </c>
      <c r="S1007" s="10">
        <f>data_redis_illX!G907</f>
        <v>0</v>
      </c>
      <c r="T1007" s="10">
        <f>data_redis_illX!H907</f>
        <v>0</v>
      </c>
      <c r="U1007" s="10">
        <f>data_redis_illX!I907</f>
        <v>0</v>
      </c>
      <c r="V1007" s="10">
        <f>data_redis_illX!J907</f>
        <v>0</v>
      </c>
      <c r="W1007" s="10">
        <f>data_redis_illX!K907</f>
        <v>0</v>
      </c>
      <c r="X1007" s="10">
        <f>data_redis_illX!L907</f>
        <v>0</v>
      </c>
      <c r="Y1007" s="5">
        <f t="shared" si="15"/>
        <v>0</v>
      </c>
    </row>
    <row r="1008" spans="13:25" x14ac:dyDescent="0.25">
      <c r="P1008" s="2" t="s">
        <v>26</v>
      </c>
      <c r="Q1008" s="10">
        <f>data_redis_illX!E908</f>
        <v>0</v>
      </c>
      <c r="R1008" s="10">
        <f>data_redis_illX!F908</f>
        <v>0</v>
      </c>
      <c r="S1008" s="10">
        <f>data_redis_illX!G908</f>
        <v>0</v>
      </c>
      <c r="T1008" s="10">
        <f>data_redis_illX!H908</f>
        <v>0</v>
      </c>
      <c r="U1008" s="10">
        <f>data_redis_illX!I908</f>
        <v>0</v>
      </c>
      <c r="V1008" s="10">
        <f>data_redis_illX!J908</f>
        <v>0</v>
      </c>
      <c r="W1008" s="10">
        <f>data_redis_illX!K908</f>
        <v>0</v>
      </c>
      <c r="X1008" s="10">
        <f>data_redis_illX!L908</f>
        <v>0</v>
      </c>
      <c r="Y1008" s="5">
        <f t="shared" si="15"/>
        <v>0</v>
      </c>
    </row>
    <row r="1009" spans="16:25" x14ac:dyDescent="0.25">
      <c r="P1009" s="2" t="s">
        <v>27</v>
      </c>
      <c r="Q1009" s="10">
        <f>data_redis_illX!E909</f>
        <v>0</v>
      </c>
      <c r="R1009" s="10">
        <f>data_redis_illX!F909</f>
        <v>0</v>
      </c>
      <c r="S1009" s="10">
        <f>data_redis_illX!G909</f>
        <v>0</v>
      </c>
      <c r="T1009" s="10">
        <f>data_redis_illX!H909</f>
        <v>0</v>
      </c>
      <c r="U1009" s="10">
        <f>data_redis_illX!I909</f>
        <v>0</v>
      </c>
      <c r="V1009" s="10">
        <f>data_redis_illX!J909</f>
        <v>0</v>
      </c>
      <c r="W1009" s="10">
        <f>data_redis_illX!K909</f>
        <v>0</v>
      </c>
      <c r="X1009" s="10">
        <f>data_redis_illX!L909</f>
        <v>0</v>
      </c>
      <c r="Y1009" s="5">
        <f t="shared" si="15"/>
        <v>0</v>
      </c>
    </row>
    <row r="1010" spans="16:25" x14ac:dyDescent="0.25">
      <c r="P1010" s="2" t="s">
        <v>28</v>
      </c>
      <c r="Q1010" s="10">
        <f>data_redis_illX!E910</f>
        <v>0</v>
      </c>
      <c r="R1010" s="10">
        <f>data_redis_illX!F910</f>
        <v>0</v>
      </c>
      <c r="S1010" s="10">
        <f>data_redis_illX!G910</f>
        <v>0</v>
      </c>
      <c r="T1010" s="10">
        <f>data_redis_illX!H910</f>
        <v>0</v>
      </c>
      <c r="U1010" s="10">
        <f>data_redis_illX!I910</f>
        <v>0</v>
      </c>
      <c r="V1010" s="10">
        <f>data_redis_illX!J910</f>
        <v>0</v>
      </c>
      <c r="W1010" s="10">
        <f>data_redis_illX!K910</f>
        <v>0</v>
      </c>
      <c r="X1010" s="10">
        <f>data_redis_illX!L910</f>
        <v>0</v>
      </c>
      <c r="Y1010" s="5">
        <f t="shared" si="15"/>
        <v>0</v>
      </c>
    </row>
    <row r="1011" spans="16:25" x14ac:dyDescent="0.25">
      <c r="P1011" s="2" t="s">
        <v>29</v>
      </c>
      <c r="Q1011" s="10">
        <f>data_redis_illX!E911</f>
        <v>0</v>
      </c>
      <c r="R1011" s="10">
        <f>data_redis_illX!F911</f>
        <v>0</v>
      </c>
      <c r="S1011" s="10">
        <f>data_redis_illX!G911</f>
        <v>0</v>
      </c>
      <c r="T1011" s="10">
        <f>data_redis_illX!H911</f>
        <v>1</v>
      </c>
      <c r="U1011" s="10">
        <f>data_redis_illX!I911</f>
        <v>0</v>
      </c>
      <c r="V1011" s="10">
        <f>data_redis_illX!J911</f>
        <v>0</v>
      </c>
      <c r="W1011" s="10">
        <f>data_redis_illX!K911</f>
        <v>0</v>
      </c>
      <c r="X1011" s="10">
        <f>data_redis_illX!L911</f>
        <v>0</v>
      </c>
      <c r="Y1011" s="5">
        <f t="shared" si="15"/>
        <v>1</v>
      </c>
    </row>
    <row r="1012" spans="16:25" x14ac:dyDescent="0.25">
      <c r="P1012" s="2" t="s">
        <v>30</v>
      </c>
      <c r="Q1012" s="10">
        <f>data_redis_illX!E912</f>
        <v>0</v>
      </c>
      <c r="R1012" s="10">
        <f>data_redis_illX!F912</f>
        <v>0</v>
      </c>
      <c r="S1012" s="10">
        <f>data_redis_illX!G912</f>
        <v>0</v>
      </c>
      <c r="T1012" s="10">
        <f>data_redis_illX!H912</f>
        <v>1.0124788845068413</v>
      </c>
      <c r="U1012" s="10">
        <f>data_redis_illX!I912</f>
        <v>0</v>
      </c>
      <c r="V1012" s="10">
        <f>data_redis_illX!J912</f>
        <v>0</v>
      </c>
      <c r="W1012" s="10">
        <f>data_redis_illX!K912</f>
        <v>0</v>
      </c>
      <c r="X1012" s="10">
        <f>data_redis_illX!L912</f>
        <v>0</v>
      </c>
      <c r="Y1012" s="5">
        <f t="shared" si="15"/>
        <v>1.0124788845068413</v>
      </c>
    </row>
    <row r="1013" spans="16:25" x14ac:dyDescent="0.25">
      <c r="P1013" s="2" t="s">
        <v>31</v>
      </c>
      <c r="Q1013" s="10">
        <f>data_redis_illX!E913</f>
        <v>0</v>
      </c>
      <c r="R1013" s="10">
        <f>data_redis_illX!F913</f>
        <v>0</v>
      </c>
      <c r="S1013" s="10">
        <f>data_redis_illX!G913</f>
        <v>0</v>
      </c>
      <c r="T1013" s="10">
        <f>data_redis_illX!H913</f>
        <v>0</v>
      </c>
      <c r="U1013" s="10">
        <f>data_redis_illX!I913</f>
        <v>0</v>
      </c>
      <c r="V1013" s="10">
        <f>data_redis_illX!J913</f>
        <v>0</v>
      </c>
      <c r="W1013" s="10">
        <f>data_redis_illX!K913</f>
        <v>0</v>
      </c>
      <c r="X1013" s="10">
        <f>data_redis_illX!L913</f>
        <v>0</v>
      </c>
      <c r="Y1013" s="5">
        <f t="shared" si="15"/>
        <v>0</v>
      </c>
    </row>
    <row r="1014" spans="16:25" x14ac:dyDescent="0.25">
      <c r="P1014" s="2" t="s">
        <v>32</v>
      </c>
      <c r="Q1014" s="10">
        <f>data_redis_illX!E914</f>
        <v>0</v>
      </c>
      <c r="R1014" s="10">
        <f>data_redis_illX!F914</f>
        <v>0</v>
      </c>
      <c r="S1014" s="10">
        <f>data_redis_illX!G914</f>
        <v>0</v>
      </c>
      <c r="T1014" s="10">
        <f>data_redis_illX!H914</f>
        <v>0</v>
      </c>
      <c r="U1014" s="10">
        <f>data_redis_illX!I914</f>
        <v>0</v>
      </c>
      <c r="V1014" s="10">
        <f>data_redis_illX!J914</f>
        <v>0</v>
      </c>
      <c r="W1014" s="10">
        <f>data_redis_illX!K914</f>
        <v>0</v>
      </c>
      <c r="X1014" s="10">
        <f>data_redis_illX!L914</f>
        <v>0</v>
      </c>
      <c r="Y1014" s="5">
        <f t="shared" si="15"/>
        <v>0</v>
      </c>
    </row>
    <row r="1015" spans="16:25" x14ac:dyDescent="0.25">
      <c r="P1015" s="2" t="s">
        <v>33</v>
      </c>
      <c r="Q1015" s="10">
        <f>data_redis_illX!E915</f>
        <v>0</v>
      </c>
      <c r="R1015" s="10">
        <f>data_redis_illX!F915</f>
        <v>0</v>
      </c>
      <c r="S1015" s="10">
        <f>data_redis_illX!G915</f>
        <v>0</v>
      </c>
      <c r="T1015" s="10">
        <f>data_redis_illX!H915</f>
        <v>0</v>
      </c>
      <c r="U1015" s="10">
        <f>data_redis_illX!I915</f>
        <v>0</v>
      </c>
      <c r="V1015" s="10">
        <f>data_redis_illX!J915</f>
        <v>0</v>
      </c>
      <c r="W1015" s="10">
        <f>data_redis_illX!K915</f>
        <v>0</v>
      </c>
      <c r="X1015" s="10">
        <f>data_redis_illX!L915</f>
        <v>0</v>
      </c>
      <c r="Y1015" s="5">
        <f t="shared" si="15"/>
        <v>0</v>
      </c>
    </row>
    <row r="1016" spans="16:25" x14ac:dyDescent="0.25">
      <c r="P1016" s="2" t="s">
        <v>34</v>
      </c>
      <c r="Q1016" s="10">
        <f>data_redis_illX!E916</f>
        <v>0</v>
      </c>
      <c r="R1016" s="10">
        <f>data_redis_illX!F916</f>
        <v>0</v>
      </c>
      <c r="S1016" s="10">
        <f>data_redis_illX!G916</f>
        <v>0</v>
      </c>
      <c r="T1016" s="10">
        <f>data_redis_illX!H916</f>
        <v>0</v>
      </c>
      <c r="U1016" s="10">
        <f>data_redis_illX!I916</f>
        <v>0</v>
      </c>
      <c r="V1016" s="10">
        <f>data_redis_illX!J916</f>
        <v>0</v>
      </c>
      <c r="W1016" s="10">
        <f>data_redis_illX!K916</f>
        <v>0</v>
      </c>
      <c r="X1016" s="10">
        <f>data_redis_illX!L916</f>
        <v>0</v>
      </c>
      <c r="Y1016" s="5">
        <f t="shared" si="15"/>
        <v>0</v>
      </c>
    </row>
    <row r="1017" spans="16:25" x14ac:dyDescent="0.25">
      <c r="P1017" s="2" t="s">
        <v>35</v>
      </c>
      <c r="Q1017" s="10">
        <f>data_redis_illX!E917</f>
        <v>0</v>
      </c>
      <c r="R1017" s="10">
        <f>data_redis_illX!F917</f>
        <v>0</v>
      </c>
      <c r="S1017" s="10">
        <f>data_redis_illX!G917</f>
        <v>0</v>
      </c>
      <c r="T1017" s="10">
        <f>data_redis_illX!H917</f>
        <v>0</v>
      </c>
      <c r="U1017" s="10">
        <f>data_redis_illX!I917</f>
        <v>0</v>
      </c>
      <c r="V1017" s="10">
        <f>data_redis_illX!J917</f>
        <v>0</v>
      </c>
      <c r="W1017" s="10">
        <f>data_redis_illX!K917</f>
        <v>0</v>
      </c>
      <c r="X1017" s="10">
        <f>data_redis_illX!L917</f>
        <v>0</v>
      </c>
      <c r="Y1017" s="5">
        <f t="shared" si="15"/>
        <v>0</v>
      </c>
    </row>
    <row r="1018" spans="16:25" x14ac:dyDescent="0.25">
      <c r="P1018" s="2" t="s">
        <v>36</v>
      </c>
      <c r="Q1018" s="10">
        <f>data_redis_illX!E918</f>
        <v>0</v>
      </c>
      <c r="R1018" s="10">
        <f>data_redis_illX!F918</f>
        <v>0</v>
      </c>
      <c r="S1018" s="10">
        <f>data_redis_illX!G918</f>
        <v>0</v>
      </c>
      <c r="T1018" s="10">
        <f>data_redis_illX!H918</f>
        <v>0</v>
      </c>
      <c r="U1018" s="10">
        <f>data_redis_illX!I918</f>
        <v>0</v>
      </c>
      <c r="V1018" s="10">
        <f>data_redis_illX!J918</f>
        <v>0</v>
      </c>
      <c r="W1018" s="10">
        <f>data_redis_illX!K918</f>
        <v>0</v>
      </c>
      <c r="X1018" s="10">
        <f>data_redis_illX!L918</f>
        <v>0</v>
      </c>
      <c r="Y1018" s="5">
        <f t="shared" si="15"/>
        <v>0</v>
      </c>
    </row>
    <row r="1019" spans="16:25" x14ac:dyDescent="0.25">
      <c r="P1019" s="2" t="s">
        <v>37</v>
      </c>
      <c r="Q1019" s="10">
        <f>data_redis_illX!E919</f>
        <v>0</v>
      </c>
      <c r="R1019" s="10">
        <f>data_redis_illX!F919</f>
        <v>0</v>
      </c>
      <c r="S1019" s="10">
        <f>data_redis_illX!G919</f>
        <v>0</v>
      </c>
      <c r="T1019" s="10">
        <f>data_redis_illX!H919</f>
        <v>0</v>
      </c>
      <c r="U1019" s="10">
        <f>data_redis_illX!I919</f>
        <v>0</v>
      </c>
      <c r="V1019" s="10">
        <f>data_redis_illX!J919</f>
        <v>0</v>
      </c>
      <c r="W1019" s="10">
        <f>data_redis_illX!K919</f>
        <v>0</v>
      </c>
      <c r="X1019" s="10">
        <f>data_redis_illX!L919</f>
        <v>0</v>
      </c>
      <c r="Y1019" s="5">
        <f t="shared" si="15"/>
        <v>0</v>
      </c>
    </row>
    <row r="1020" spans="16:25" x14ac:dyDescent="0.25">
      <c r="P1020" s="2" t="s">
        <v>38</v>
      </c>
      <c r="Q1020" s="10">
        <f>data_redis_illX!E920</f>
        <v>0</v>
      </c>
      <c r="R1020" s="10">
        <f>data_redis_illX!F920</f>
        <v>0</v>
      </c>
      <c r="S1020" s="10">
        <f>data_redis_illX!G920</f>
        <v>0</v>
      </c>
      <c r="T1020" s="10">
        <f>data_redis_illX!H920</f>
        <v>0</v>
      </c>
      <c r="U1020" s="10">
        <f>data_redis_illX!I920</f>
        <v>0</v>
      </c>
      <c r="V1020" s="10">
        <f>data_redis_illX!J920</f>
        <v>0</v>
      </c>
      <c r="W1020" s="10">
        <f>data_redis_illX!K920</f>
        <v>0</v>
      </c>
      <c r="X1020" s="10">
        <f>data_redis_illX!L920</f>
        <v>0</v>
      </c>
      <c r="Y1020" s="5">
        <f t="shared" si="15"/>
        <v>0</v>
      </c>
    </row>
    <row r="1021" spans="16:25" x14ac:dyDescent="0.25">
      <c r="P1021" s="2" t="s">
        <v>39</v>
      </c>
      <c r="Q1021" s="10">
        <f>data_redis_illX!E921</f>
        <v>0</v>
      </c>
      <c r="R1021" s="10">
        <f>data_redis_illX!F921</f>
        <v>0</v>
      </c>
      <c r="S1021" s="10">
        <f>data_redis_illX!G921</f>
        <v>2.0156817129230924</v>
      </c>
      <c r="T1021" s="10">
        <f>data_redis_illX!H921</f>
        <v>1.0124788845068413</v>
      </c>
      <c r="U1021" s="10">
        <f>data_redis_illX!I921</f>
        <v>2.2391902670898891</v>
      </c>
      <c r="V1021" s="10">
        <f>data_redis_illX!J921</f>
        <v>0</v>
      </c>
      <c r="W1021" s="10">
        <f>data_redis_illX!K921</f>
        <v>0</v>
      </c>
      <c r="X1021" s="10">
        <f>data_redis_illX!L921</f>
        <v>0</v>
      </c>
      <c r="Y1021" s="5">
        <f t="shared" si="15"/>
        <v>5.2673508645198233</v>
      </c>
    </row>
    <row r="1022" spans="16:25" x14ac:dyDescent="0.25">
      <c r="P1022" s="2" t="s">
        <v>40</v>
      </c>
      <c r="Q1022" s="10">
        <f>data_redis_illX!E922</f>
        <v>0</v>
      </c>
      <c r="R1022" s="10">
        <f>data_redis_illX!F922</f>
        <v>0</v>
      </c>
      <c r="S1022" s="10">
        <f>data_redis_illX!G922</f>
        <v>8.0627268516923696</v>
      </c>
      <c r="T1022" s="10">
        <f>data_redis_illX!H922</f>
        <v>12.149746614082098</v>
      </c>
      <c r="U1022" s="10">
        <f>data_redis_illX!I922</f>
        <v>6.7175708012696651</v>
      </c>
      <c r="V1022" s="10">
        <f>data_redis_illX!J922</f>
        <v>0</v>
      </c>
      <c r="W1022" s="10">
        <f>data_redis_illX!K922</f>
        <v>0</v>
      </c>
      <c r="X1022" s="10">
        <f>data_redis_illX!L922</f>
        <v>0</v>
      </c>
      <c r="Y1022" s="5">
        <f t="shared" si="15"/>
        <v>26.930044267044131</v>
      </c>
    </row>
    <row r="1023" spans="16:25" x14ac:dyDescent="0.25">
      <c r="P1023" s="2" t="s">
        <v>41</v>
      </c>
      <c r="Q1023" s="10">
        <f>data_redis_illX!E923</f>
        <v>0</v>
      </c>
      <c r="R1023" s="10">
        <f>data_redis_illX!F923</f>
        <v>0</v>
      </c>
      <c r="S1023" s="10">
        <f>data_redis_illX!G923</f>
        <v>1.0078408564615462</v>
      </c>
      <c r="T1023" s="10">
        <f>data_redis_illX!H923</f>
        <v>0</v>
      </c>
      <c r="U1023" s="10">
        <f>data_redis_illX!I923</f>
        <v>2.2391902670898891</v>
      </c>
      <c r="V1023" s="10">
        <f>data_redis_illX!J923</f>
        <v>2.0414042615488341</v>
      </c>
      <c r="W1023" s="10">
        <f>data_redis_illX!K923</f>
        <v>0</v>
      </c>
      <c r="X1023" s="10">
        <f>data_redis_illX!L923</f>
        <v>0</v>
      </c>
      <c r="Y1023" s="5">
        <f t="shared" si="15"/>
        <v>5.2884353851002697</v>
      </c>
    </row>
    <row r="1024" spans="16:25" x14ac:dyDescent="0.25">
      <c r="P1024" s="2" t="s">
        <v>42</v>
      </c>
      <c r="Q1024" s="10">
        <f>data_redis_illX!E924</f>
        <v>0</v>
      </c>
      <c r="R1024" s="10">
        <f>data_redis_illX!F924</f>
        <v>0</v>
      </c>
      <c r="S1024" s="10">
        <f>data_redis_illX!G924</f>
        <v>0</v>
      </c>
      <c r="T1024" s="10">
        <f>data_redis_illX!H924</f>
        <v>0</v>
      </c>
      <c r="U1024" s="10">
        <f>data_redis_illX!I924</f>
        <v>0</v>
      </c>
      <c r="V1024" s="10">
        <f>data_redis_illX!J924</f>
        <v>0</v>
      </c>
      <c r="W1024" s="10">
        <f>data_redis_illX!K924</f>
        <v>0</v>
      </c>
      <c r="X1024" s="10">
        <f>data_redis_illX!L924</f>
        <v>0</v>
      </c>
      <c r="Y1024" s="5">
        <f t="shared" si="15"/>
        <v>0</v>
      </c>
    </row>
    <row r="1025" spans="13:25" x14ac:dyDescent="0.25">
      <c r="P1025" s="2" t="s">
        <v>43</v>
      </c>
      <c r="Q1025" s="10">
        <f>data_redis_illX!E925</f>
        <v>0</v>
      </c>
      <c r="R1025" s="10">
        <f>data_redis_illX!F925</f>
        <v>0</v>
      </c>
      <c r="S1025" s="10">
        <f>data_redis_illX!G925</f>
        <v>0</v>
      </c>
      <c r="T1025" s="10">
        <f>data_redis_illX!H925</f>
        <v>0</v>
      </c>
      <c r="U1025" s="10">
        <f>data_redis_illX!I925</f>
        <v>0</v>
      </c>
      <c r="V1025" s="10">
        <f>data_redis_illX!J925</f>
        <v>0</v>
      </c>
      <c r="W1025" s="10">
        <f>data_redis_illX!K925</f>
        <v>0</v>
      </c>
      <c r="X1025" s="10">
        <f>data_redis_illX!L925</f>
        <v>0</v>
      </c>
      <c r="Y1025" s="5">
        <f t="shared" si="15"/>
        <v>0</v>
      </c>
    </row>
    <row r="1026" spans="13:25" x14ac:dyDescent="0.25">
      <c r="P1026" s="2" t="s">
        <v>44</v>
      </c>
      <c r="Q1026" s="10">
        <f>data_redis_illX!E926</f>
        <v>0</v>
      </c>
      <c r="R1026" s="10">
        <f>data_redis_illX!F926</f>
        <v>0</v>
      </c>
      <c r="S1026" s="10">
        <f>data_redis_illX!G926</f>
        <v>0</v>
      </c>
      <c r="T1026" s="10">
        <f>data_redis_illX!H926</f>
        <v>0</v>
      </c>
      <c r="U1026" s="10">
        <f>data_redis_illX!I926</f>
        <v>0</v>
      </c>
      <c r="V1026" s="10">
        <f>data_redis_illX!J926</f>
        <v>0</v>
      </c>
      <c r="W1026" s="10">
        <f>data_redis_illX!K926</f>
        <v>0</v>
      </c>
      <c r="X1026" s="10">
        <f>data_redis_illX!L926</f>
        <v>0</v>
      </c>
      <c r="Y1026" s="5">
        <f t="shared" si="15"/>
        <v>0</v>
      </c>
    </row>
    <row r="1027" spans="13:25" x14ac:dyDescent="0.25">
      <c r="M1027" t="s">
        <v>104</v>
      </c>
      <c r="N1027" t="s">
        <v>117</v>
      </c>
      <c r="O1027" t="s">
        <v>53</v>
      </c>
      <c r="P1027" s="2" t="s">
        <v>12</v>
      </c>
      <c r="Q1027" s="10">
        <f>data_redis_illX!E927</f>
        <v>0</v>
      </c>
      <c r="R1027" s="10">
        <f>data_redis_illX!F927</f>
        <v>0</v>
      </c>
      <c r="S1027" s="10">
        <f>data_redis_illX!G927</f>
        <v>9.1384294331002799E-2</v>
      </c>
      <c r="T1027" s="10">
        <f>data_redis_illX!H927</f>
        <v>0</v>
      </c>
      <c r="U1027" s="10">
        <f>data_redis_illX!I927</f>
        <v>0</v>
      </c>
      <c r="V1027" s="10">
        <f>data_redis_illX!J927</f>
        <v>0</v>
      </c>
      <c r="W1027" s="10">
        <f>data_redis_illX!K927</f>
        <v>0</v>
      </c>
      <c r="X1027" s="10">
        <f>data_redis_illX!L927</f>
        <v>0</v>
      </c>
      <c r="Y1027" s="5">
        <f t="shared" si="15"/>
        <v>9.1384294331002799E-2</v>
      </c>
    </row>
    <row r="1028" spans="13:25" x14ac:dyDescent="0.25">
      <c r="P1028" s="2" t="s">
        <v>13</v>
      </c>
      <c r="Q1028" s="10">
        <f>data_redis_illX!E928</f>
        <v>0</v>
      </c>
      <c r="R1028" s="10">
        <f>data_redis_illX!F928</f>
        <v>0</v>
      </c>
      <c r="S1028" s="10">
        <f>data_redis_illX!G928</f>
        <v>9.1384294331002799E-2</v>
      </c>
      <c r="T1028" s="10">
        <f>data_redis_illX!H928</f>
        <v>0</v>
      </c>
      <c r="U1028" s="10">
        <f>data_redis_illX!I928</f>
        <v>0</v>
      </c>
      <c r="V1028" s="10">
        <f>data_redis_illX!J928</f>
        <v>0</v>
      </c>
      <c r="W1028" s="10">
        <f>data_redis_illX!K928</f>
        <v>0</v>
      </c>
      <c r="X1028" s="10">
        <f>data_redis_illX!L928</f>
        <v>0</v>
      </c>
      <c r="Y1028" s="5">
        <f t="shared" si="15"/>
        <v>9.1384294331002799E-2</v>
      </c>
    </row>
    <row r="1029" spans="13:25" x14ac:dyDescent="0.25">
      <c r="P1029" s="2" t="s">
        <v>14</v>
      </c>
      <c r="Q1029" s="10">
        <f>data_redis_illX!E929</f>
        <v>0</v>
      </c>
      <c r="R1029" s="10">
        <f>data_redis_illX!F929</f>
        <v>0</v>
      </c>
      <c r="S1029" s="10">
        <f>data_redis_illX!G929</f>
        <v>9.1384294331002799E-2</v>
      </c>
      <c r="T1029" s="10">
        <f>data_redis_illX!H929</f>
        <v>0</v>
      </c>
      <c r="U1029" s="10">
        <f>data_redis_illX!I929</f>
        <v>0</v>
      </c>
      <c r="V1029" s="10">
        <f>data_redis_illX!J929</f>
        <v>0</v>
      </c>
      <c r="W1029" s="10">
        <f>data_redis_illX!K929</f>
        <v>0</v>
      </c>
      <c r="X1029" s="10">
        <f>data_redis_illX!L929</f>
        <v>0</v>
      </c>
      <c r="Y1029" s="5">
        <f t="shared" ref="Y1029:Y1092" si="16">SUM(Q1029:X1029)</f>
        <v>9.1384294331002799E-2</v>
      </c>
    </row>
    <row r="1030" spans="13:25" x14ac:dyDescent="0.25">
      <c r="P1030" s="2" t="s">
        <v>15</v>
      </c>
      <c r="Q1030" s="10">
        <f>data_redis_illX!E930</f>
        <v>0</v>
      </c>
      <c r="R1030" s="10">
        <f>data_redis_illX!F930</f>
        <v>0</v>
      </c>
      <c r="S1030" s="10">
        <f>data_redis_illX!G930</f>
        <v>9.1384294331002799E-2</v>
      </c>
      <c r="T1030" s="10">
        <f>data_redis_illX!H930</f>
        <v>0</v>
      </c>
      <c r="U1030" s="10">
        <f>data_redis_illX!I930</f>
        <v>0</v>
      </c>
      <c r="V1030" s="10">
        <f>data_redis_illX!J930</f>
        <v>0</v>
      </c>
      <c r="W1030" s="10">
        <f>data_redis_illX!K930</f>
        <v>0</v>
      </c>
      <c r="X1030" s="10">
        <f>data_redis_illX!L930</f>
        <v>0</v>
      </c>
      <c r="Y1030" s="5">
        <f t="shared" si="16"/>
        <v>9.1384294331002799E-2</v>
      </c>
    </row>
    <row r="1031" spans="13:25" x14ac:dyDescent="0.25">
      <c r="P1031" s="2" t="s">
        <v>16</v>
      </c>
      <c r="Q1031" s="10">
        <f>data_redis_illX!E931</f>
        <v>0</v>
      </c>
      <c r="R1031" s="10">
        <f>data_redis_illX!F931</f>
        <v>0</v>
      </c>
      <c r="S1031" s="10">
        <f>data_redis_illX!G931</f>
        <v>9.1384294331002799E-2</v>
      </c>
      <c r="T1031" s="10">
        <f>data_redis_illX!H931</f>
        <v>0</v>
      </c>
      <c r="U1031" s="10">
        <f>data_redis_illX!I931</f>
        <v>0</v>
      </c>
      <c r="V1031" s="10">
        <f>data_redis_illX!J931</f>
        <v>0</v>
      </c>
      <c r="W1031" s="10">
        <f>data_redis_illX!K931</f>
        <v>0</v>
      </c>
      <c r="X1031" s="10">
        <f>data_redis_illX!L931</f>
        <v>0</v>
      </c>
      <c r="Y1031" s="5">
        <f t="shared" si="16"/>
        <v>9.1384294331002799E-2</v>
      </c>
    </row>
    <row r="1032" spans="13:25" x14ac:dyDescent="0.25">
      <c r="P1032" s="2" t="s">
        <v>17</v>
      </c>
      <c r="Q1032" s="10">
        <f>data_redis_illX!E932</f>
        <v>0</v>
      </c>
      <c r="R1032" s="10">
        <f>data_redis_illX!F932</f>
        <v>0</v>
      </c>
      <c r="S1032" s="10">
        <f>data_redis_illX!G932</f>
        <v>9.1384294331002799E-2</v>
      </c>
      <c r="T1032" s="10">
        <f>data_redis_illX!H932</f>
        <v>0</v>
      </c>
      <c r="U1032" s="10">
        <f>data_redis_illX!I932</f>
        <v>0</v>
      </c>
      <c r="V1032" s="10">
        <f>data_redis_illX!J932</f>
        <v>0</v>
      </c>
      <c r="W1032" s="10">
        <f>data_redis_illX!K932</f>
        <v>0</v>
      </c>
      <c r="X1032" s="10">
        <f>data_redis_illX!L932</f>
        <v>0</v>
      </c>
      <c r="Y1032" s="5">
        <f t="shared" si="16"/>
        <v>9.1384294331002799E-2</v>
      </c>
    </row>
    <row r="1033" spans="13:25" x14ac:dyDescent="0.25">
      <c r="P1033" s="2" t="s">
        <v>18</v>
      </c>
      <c r="Q1033" s="10">
        <f>data_redis_illX!E933</f>
        <v>0</v>
      </c>
      <c r="R1033" s="10">
        <f>data_redis_illX!F933</f>
        <v>0</v>
      </c>
      <c r="S1033" s="10">
        <f>data_redis_illX!G933</f>
        <v>9.1384294331002799E-2</v>
      </c>
      <c r="T1033" s="10">
        <f>data_redis_illX!H933</f>
        <v>0</v>
      </c>
      <c r="U1033" s="10">
        <f>data_redis_illX!I933</f>
        <v>0</v>
      </c>
      <c r="V1033" s="10">
        <f>data_redis_illX!J933</f>
        <v>0</v>
      </c>
      <c r="W1033" s="10">
        <f>data_redis_illX!K933</f>
        <v>0</v>
      </c>
      <c r="X1033" s="10">
        <f>data_redis_illX!L933</f>
        <v>0</v>
      </c>
      <c r="Y1033" s="5">
        <f t="shared" si="16"/>
        <v>9.1384294331002799E-2</v>
      </c>
    </row>
    <row r="1034" spans="13:25" x14ac:dyDescent="0.25">
      <c r="P1034" s="2" t="s">
        <v>19</v>
      </c>
      <c r="Q1034" s="10">
        <f>data_redis_illX!E934</f>
        <v>0</v>
      </c>
      <c r="R1034" s="10">
        <f>data_redis_illX!F934</f>
        <v>0</v>
      </c>
      <c r="S1034" s="10">
        <f>data_redis_illX!G934</f>
        <v>9.1384294331002799E-2</v>
      </c>
      <c r="T1034" s="10">
        <f>data_redis_illX!H934</f>
        <v>0</v>
      </c>
      <c r="U1034" s="10">
        <f>data_redis_illX!I934</f>
        <v>0</v>
      </c>
      <c r="V1034" s="10">
        <f>data_redis_illX!J934</f>
        <v>0</v>
      </c>
      <c r="W1034" s="10">
        <f>data_redis_illX!K934</f>
        <v>0</v>
      </c>
      <c r="X1034" s="10">
        <f>data_redis_illX!L934</f>
        <v>0</v>
      </c>
      <c r="Y1034" s="5">
        <f t="shared" si="16"/>
        <v>9.1384294331002799E-2</v>
      </c>
    </row>
    <row r="1035" spans="13:25" x14ac:dyDescent="0.25">
      <c r="P1035" s="2" t="s">
        <v>20</v>
      </c>
      <c r="Q1035" s="10">
        <f>data_redis_illX!E935</f>
        <v>0</v>
      </c>
      <c r="R1035" s="10">
        <f>data_redis_illX!F935</f>
        <v>0</v>
      </c>
      <c r="S1035" s="10">
        <f>data_redis_illX!G935</f>
        <v>9.1384294331002799E-2</v>
      </c>
      <c r="T1035" s="10">
        <f>data_redis_illX!H935</f>
        <v>0</v>
      </c>
      <c r="U1035" s="10">
        <f>data_redis_illX!I935</f>
        <v>0</v>
      </c>
      <c r="V1035" s="10">
        <f>data_redis_illX!J935</f>
        <v>0</v>
      </c>
      <c r="W1035" s="10">
        <f>data_redis_illX!K935</f>
        <v>0</v>
      </c>
      <c r="X1035" s="10">
        <f>data_redis_illX!L935</f>
        <v>0</v>
      </c>
      <c r="Y1035" s="5">
        <f t="shared" si="16"/>
        <v>9.1384294331002799E-2</v>
      </c>
    </row>
    <row r="1036" spans="13:25" x14ac:dyDescent="0.25">
      <c r="P1036" s="2" t="s">
        <v>21</v>
      </c>
      <c r="Q1036" s="10">
        <f>data_redis_illX!E936</f>
        <v>0</v>
      </c>
      <c r="R1036" s="10">
        <f>data_redis_illX!F936</f>
        <v>0</v>
      </c>
      <c r="S1036" s="10">
        <f>data_redis_illX!G936</f>
        <v>9.1384294331002799E-2</v>
      </c>
      <c r="T1036" s="10">
        <f>data_redis_illX!H936</f>
        <v>0</v>
      </c>
      <c r="U1036" s="10">
        <f>data_redis_illX!I936</f>
        <v>0</v>
      </c>
      <c r="V1036" s="10">
        <f>data_redis_illX!J936</f>
        <v>0</v>
      </c>
      <c r="W1036" s="10">
        <f>data_redis_illX!K936</f>
        <v>0</v>
      </c>
      <c r="X1036" s="10">
        <f>data_redis_illX!L936</f>
        <v>0</v>
      </c>
      <c r="Y1036" s="5">
        <f t="shared" si="16"/>
        <v>9.1384294331002799E-2</v>
      </c>
    </row>
    <row r="1037" spans="13:25" x14ac:dyDescent="0.25">
      <c r="P1037" s="2" t="s">
        <v>22</v>
      </c>
      <c r="Q1037" s="10">
        <f>data_redis_illX!E937</f>
        <v>0</v>
      </c>
      <c r="R1037" s="10">
        <f>data_redis_illX!F937</f>
        <v>0</v>
      </c>
      <c r="S1037" s="10">
        <f>data_redis_illX!G937</f>
        <v>9.1384294331002799E-2</v>
      </c>
      <c r="T1037" s="10">
        <f>data_redis_illX!H937</f>
        <v>0</v>
      </c>
      <c r="U1037" s="10">
        <f>data_redis_illX!I937</f>
        <v>0</v>
      </c>
      <c r="V1037" s="10">
        <f>data_redis_illX!J937</f>
        <v>0</v>
      </c>
      <c r="W1037" s="10">
        <f>data_redis_illX!K937</f>
        <v>0</v>
      </c>
      <c r="X1037" s="10">
        <f>data_redis_illX!L937</f>
        <v>0</v>
      </c>
      <c r="Y1037" s="5">
        <f t="shared" si="16"/>
        <v>9.1384294331002799E-2</v>
      </c>
    </row>
    <row r="1038" spans="13:25" x14ac:dyDescent="0.25">
      <c r="P1038" s="2" t="s">
        <v>23</v>
      </c>
      <c r="Q1038" s="10">
        <f>data_redis_illX!E938</f>
        <v>0</v>
      </c>
      <c r="R1038" s="10">
        <f>data_redis_illX!F938</f>
        <v>0</v>
      </c>
      <c r="S1038" s="10">
        <f>data_redis_illX!G938</f>
        <v>9.1384294331002799E-2</v>
      </c>
      <c r="T1038" s="10">
        <f>data_redis_illX!H938</f>
        <v>0</v>
      </c>
      <c r="U1038" s="10">
        <f>data_redis_illX!I938</f>
        <v>0</v>
      </c>
      <c r="V1038" s="10">
        <f>data_redis_illX!J938</f>
        <v>0</v>
      </c>
      <c r="W1038" s="10">
        <f>data_redis_illX!K938</f>
        <v>0</v>
      </c>
      <c r="X1038" s="10">
        <f>data_redis_illX!L938</f>
        <v>0</v>
      </c>
      <c r="Y1038" s="5">
        <f t="shared" si="16"/>
        <v>9.1384294331002799E-2</v>
      </c>
    </row>
    <row r="1039" spans="13:25" x14ac:dyDescent="0.25">
      <c r="P1039" s="2" t="s">
        <v>24</v>
      </c>
      <c r="Q1039" s="10">
        <f>data_redis_illX!E939</f>
        <v>0</v>
      </c>
      <c r="R1039" s="10">
        <f>data_redis_illX!F939</f>
        <v>0</v>
      </c>
      <c r="S1039" s="10">
        <f>data_redis_illX!G939</f>
        <v>9.1384294331002799E-2</v>
      </c>
      <c r="T1039" s="10">
        <f>data_redis_illX!H939</f>
        <v>0</v>
      </c>
      <c r="U1039" s="10">
        <f>data_redis_illX!I939</f>
        <v>0</v>
      </c>
      <c r="V1039" s="10">
        <f>data_redis_illX!J939</f>
        <v>0</v>
      </c>
      <c r="W1039" s="10">
        <f>data_redis_illX!K939</f>
        <v>0</v>
      </c>
      <c r="X1039" s="10">
        <f>data_redis_illX!L939</f>
        <v>0</v>
      </c>
      <c r="Y1039" s="5">
        <f t="shared" si="16"/>
        <v>9.1384294331002799E-2</v>
      </c>
    </row>
    <row r="1040" spans="13:25" x14ac:dyDescent="0.25">
      <c r="P1040" s="2" t="s">
        <v>25</v>
      </c>
      <c r="Q1040" s="10">
        <f>data_redis_illX!E940</f>
        <v>0</v>
      </c>
      <c r="R1040" s="10">
        <f>data_redis_illX!F940</f>
        <v>0</v>
      </c>
      <c r="S1040" s="10">
        <f>data_redis_illX!G940</f>
        <v>9.1384294331002799E-2</v>
      </c>
      <c r="T1040" s="10">
        <f>data_redis_illX!H940</f>
        <v>0</v>
      </c>
      <c r="U1040" s="10">
        <f>data_redis_illX!I940</f>
        <v>0</v>
      </c>
      <c r="V1040" s="10">
        <f>data_redis_illX!J940</f>
        <v>0</v>
      </c>
      <c r="W1040" s="10">
        <f>data_redis_illX!K940</f>
        <v>0</v>
      </c>
      <c r="X1040" s="10">
        <f>data_redis_illX!L940</f>
        <v>0</v>
      </c>
      <c r="Y1040" s="5">
        <f t="shared" si="16"/>
        <v>9.1384294331002799E-2</v>
      </c>
    </row>
    <row r="1041" spans="16:25" x14ac:dyDescent="0.25">
      <c r="P1041" s="2" t="s">
        <v>26</v>
      </c>
      <c r="Q1041" s="10">
        <f>data_redis_illX!E941</f>
        <v>0</v>
      </c>
      <c r="R1041" s="10">
        <f>data_redis_illX!F941</f>
        <v>0</v>
      </c>
      <c r="S1041" s="10">
        <f>data_redis_illX!G941</f>
        <v>9.1384294331002799E-2</v>
      </c>
      <c r="T1041" s="10">
        <f>data_redis_illX!H941</f>
        <v>0</v>
      </c>
      <c r="U1041" s="10">
        <f>data_redis_illX!I941</f>
        <v>0</v>
      </c>
      <c r="V1041" s="10">
        <f>data_redis_illX!J941</f>
        <v>0</v>
      </c>
      <c r="W1041" s="10">
        <f>data_redis_illX!K941</f>
        <v>0</v>
      </c>
      <c r="X1041" s="10">
        <f>data_redis_illX!L941</f>
        <v>0</v>
      </c>
      <c r="Y1041" s="5">
        <f t="shared" si="16"/>
        <v>9.1384294331002799E-2</v>
      </c>
    </row>
    <row r="1042" spans="16:25" x14ac:dyDescent="0.25">
      <c r="P1042" s="2" t="s">
        <v>27</v>
      </c>
      <c r="Q1042" s="10">
        <f>data_redis_illX!E942</f>
        <v>0</v>
      </c>
      <c r="R1042" s="10">
        <f>data_redis_illX!F942</f>
        <v>0</v>
      </c>
      <c r="S1042" s="10">
        <f>data_redis_illX!G942</f>
        <v>9.1384294331002799E-2</v>
      </c>
      <c r="T1042" s="10">
        <f>data_redis_illX!H942</f>
        <v>0</v>
      </c>
      <c r="U1042" s="10">
        <f>data_redis_illX!I942</f>
        <v>0</v>
      </c>
      <c r="V1042" s="10">
        <f>data_redis_illX!J942</f>
        <v>0</v>
      </c>
      <c r="W1042" s="10">
        <f>data_redis_illX!K942</f>
        <v>0</v>
      </c>
      <c r="X1042" s="10">
        <f>data_redis_illX!L942</f>
        <v>0</v>
      </c>
      <c r="Y1042" s="5">
        <f t="shared" si="16"/>
        <v>9.1384294331002799E-2</v>
      </c>
    </row>
    <row r="1043" spans="16:25" x14ac:dyDescent="0.25">
      <c r="P1043" s="2" t="s">
        <v>28</v>
      </c>
      <c r="Q1043" s="10">
        <f>data_redis_illX!E943</f>
        <v>0</v>
      </c>
      <c r="R1043" s="10">
        <f>data_redis_illX!F943</f>
        <v>0</v>
      </c>
      <c r="S1043" s="10">
        <f>data_redis_illX!G943</f>
        <v>9.1384294331002799E-2</v>
      </c>
      <c r="T1043" s="10">
        <f>data_redis_illX!H943</f>
        <v>0</v>
      </c>
      <c r="U1043" s="10">
        <f>data_redis_illX!I943</f>
        <v>0</v>
      </c>
      <c r="V1043" s="10">
        <f>data_redis_illX!J943</f>
        <v>0</v>
      </c>
      <c r="W1043" s="10">
        <f>data_redis_illX!K943</f>
        <v>0</v>
      </c>
      <c r="X1043" s="10">
        <f>data_redis_illX!L943</f>
        <v>0</v>
      </c>
      <c r="Y1043" s="5">
        <f t="shared" si="16"/>
        <v>9.1384294331002799E-2</v>
      </c>
    </row>
    <row r="1044" spans="16:25" x14ac:dyDescent="0.25">
      <c r="P1044" s="2" t="s">
        <v>29</v>
      </c>
      <c r="Q1044" s="10">
        <f>data_redis_illX!E944</f>
        <v>0</v>
      </c>
      <c r="R1044" s="10">
        <f>data_redis_illX!F944</f>
        <v>0</v>
      </c>
      <c r="S1044" s="10">
        <f>data_redis_illX!G944</f>
        <v>9.1384294331002799E-2</v>
      </c>
      <c r="T1044" s="10">
        <f>data_redis_illX!H944</f>
        <v>0</v>
      </c>
      <c r="U1044" s="10">
        <f>data_redis_illX!I944</f>
        <v>0</v>
      </c>
      <c r="V1044" s="10">
        <f>data_redis_illX!J944</f>
        <v>0</v>
      </c>
      <c r="W1044" s="10">
        <f>data_redis_illX!K944</f>
        <v>0</v>
      </c>
      <c r="X1044" s="10">
        <f>data_redis_illX!L944</f>
        <v>0</v>
      </c>
      <c r="Y1044" s="5">
        <f t="shared" si="16"/>
        <v>9.1384294331002799E-2</v>
      </c>
    </row>
    <row r="1045" spans="16:25" x14ac:dyDescent="0.25">
      <c r="P1045" s="2" t="s">
        <v>30</v>
      </c>
      <c r="Q1045" s="10">
        <f>data_redis_illX!E945</f>
        <v>0</v>
      </c>
      <c r="R1045" s="10">
        <f>data_redis_illX!F945</f>
        <v>0</v>
      </c>
      <c r="S1045" s="10">
        <f>data_redis_illX!G945</f>
        <v>9.1384294331002799E-2</v>
      </c>
      <c r="T1045" s="10">
        <f>data_redis_illX!H945</f>
        <v>4.0499155380273653</v>
      </c>
      <c r="U1045" s="10">
        <f>data_redis_illX!I945</f>
        <v>0</v>
      </c>
      <c r="V1045" s="10">
        <f>data_redis_illX!J945</f>
        <v>0</v>
      </c>
      <c r="W1045" s="10">
        <f>data_redis_illX!K945</f>
        <v>0</v>
      </c>
      <c r="X1045" s="10">
        <f>data_redis_illX!L945</f>
        <v>0</v>
      </c>
      <c r="Y1045" s="5">
        <f t="shared" si="16"/>
        <v>4.1412998323583681</v>
      </c>
    </row>
    <row r="1046" spans="16:25" x14ac:dyDescent="0.25">
      <c r="P1046" s="2" t="s">
        <v>31</v>
      </c>
      <c r="Q1046" s="10">
        <f>data_redis_illX!E946</f>
        <v>0</v>
      </c>
      <c r="R1046" s="10">
        <f>data_redis_illX!F946</f>
        <v>0</v>
      </c>
      <c r="S1046" s="10">
        <f>data_redis_illX!G946</f>
        <v>9.1384294331002799E-2</v>
      </c>
      <c r="T1046" s="10">
        <f>data_redis_illX!H946</f>
        <v>0</v>
      </c>
      <c r="U1046" s="10">
        <f>data_redis_illX!I946</f>
        <v>0</v>
      </c>
      <c r="V1046" s="10">
        <f>data_redis_illX!J946</f>
        <v>0</v>
      </c>
      <c r="W1046" s="10">
        <f>data_redis_illX!K946</f>
        <v>0</v>
      </c>
      <c r="X1046" s="10">
        <f>data_redis_illX!L946</f>
        <v>0</v>
      </c>
      <c r="Y1046" s="5">
        <f t="shared" si="16"/>
        <v>9.1384294331002799E-2</v>
      </c>
    </row>
    <row r="1047" spans="16:25" x14ac:dyDescent="0.25">
      <c r="P1047" s="2" t="s">
        <v>32</v>
      </c>
      <c r="Q1047" s="10">
        <f>data_redis_illX!E947</f>
        <v>0</v>
      </c>
      <c r="R1047" s="10">
        <f>data_redis_illX!F947</f>
        <v>0</v>
      </c>
      <c r="S1047" s="10">
        <f>data_redis_illX!G947</f>
        <v>9.1384294331002799E-2</v>
      </c>
      <c r="T1047" s="10">
        <f>data_redis_illX!H947</f>
        <v>0</v>
      </c>
      <c r="U1047" s="10">
        <f>data_redis_illX!I947</f>
        <v>0</v>
      </c>
      <c r="V1047" s="10">
        <f>data_redis_illX!J947</f>
        <v>0</v>
      </c>
      <c r="W1047" s="10">
        <f>data_redis_illX!K947</f>
        <v>0</v>
      </c>
      <c r="X1047" s="10">
        <f>data_redis_illX!L947</f>
        <v>0</v>
      </c>
      <c r="Y1047" s="5">
        <f t="shared" si="16"/>
        <v>9.1384294331002799E-2</v>
      </c>
    </row>
    <row r="1048" spans="16:25" x14ac:dyDescent="0.25">
      <c r="P1048" s="2" t="s">
        <v>33</v>
      </c>
      <c r="Q1048" s="10">
        <f>data_redis_illX!E948</f>
        <v>0</v>
      </c>
      <c r="R1048" s="10">
        <f>data_redis_illX!F948</f>
        <v>0</v>
      </c>
      <c r="S1048" s="10">
        <f>data_redis_illX!G948</f>
        <v>9.1384294331002799E-2</v>
      </c>
      <c r="T1048" s="10">
        <f>data_redis_illX!H948</f>
        <v>0</v>
      </c>
      <c r="U1048" s="10">
        <f>data_redis_illX!I948</f>
        <v>0</v>
      </c>
      <c r="V1048" s="10">
        <f>data_redis_illX!J948</f>
        <v>0</v>
      </c>
      <c r="W1048" s="10">
        <f>data_redis_illX!K948</f>
        <v>0</v>
      </c>
      <c r="X1048" s="10">
        <f>data_redis_illX!L948</f>
        <v>0</v>
      </c>
      <c r="Y1048" s="5">
        <f t="shared" si="16"/>
        <v>9.1384294331002799E-2</v>
      </c>
    </row>
    <row r="1049" spans="16:25" x14ac:dyDescent="0.25">
      <c r="P1049" s="2" t="s">
        <v>34</v>
      </c>
      <c r="Q1049" s="10">
        <f>data_redis_illX!E949</f>
        <v>0</v>
      </c>
      <c r="R1049" s="10">
        <f>data_redis_illX!F949</f>
        <v>0</v>
      </c>
      <c r="S1049" s="10">
        <f>data_redis_illX!G949</f>
        <v>9.1384294331002799E-2</v>
      </c>
      <c r="T1049" s="10">
        <f>data_redis_illX!H949</f>
        <v>0</v>
      </c>
      <c r="U1049" s="10">
        <f>data_redis_illX!I949</f>
        <v>0</v>
      </c>
      <c r="V1049" s="10">
        <f>data_redis_illX!J949</f>
        <v>0</v>
      </c>
      <c r="W1049" s="10">
        <f>data_redis_illX!K949</f>
        <v>0</v>
      </c>
      <c r="X1049" s="10">
        <f>data_redis_illX!L949</f>
        <v>0</v>
      </c>
      <c r="Y1049" s="5">
        <f t="shared" si="16"/>
        <v>9.1384294331002799E-2</v>
      </c>
    </row>
    <row r="1050" spans="16:25" x14ac:dyDescent="0.25">
      <c r="P1050" s="2" t="s">
        <v>35</v>
      </c>
      <c r="Q1050" s="10">
        <f>data_redis_illX!E950</f>
        <v>0</v>
      </c>
      <c r="R1050" s="10">
        <f>data_redis_illX!F950</f>
        <v>0</v>
      </c>
      <c r="S1050" s="10">
        <f>data_redis_illX!G950</f>
        <v>9.1384294331002799E-2</v>
      </c>
      <c r="T1050" s="10">
        <f>data_redis_illX!H950</f>
        <v>0</v>
      </c>
      <c r="U1050" s="10">
        <f>data_redis_illX!I950</f>
        <v>0</v>
      </c>
      <c r="V1050" s="10">
        <f>data_redis_illX!J950</f>
        <v>0</v>
      </c>
      <c r="W1050" s="10">
        <f>data_redis_illX!K950</f>
        <v>0</v>
      </c>
      <c r="X1050" s="10">
        <f>data_redis_illX!L950</f>
        <v>0</v>
      </c>
      <c r="Y1050" s="5">
        <f t="shared" si="16"/>
        <v>9.1384294331002799E-2</v>
      </c>
    </row>
    <row r="1051" spans="16:25" x14ac:dyDescent="0.25">
      <c r="P1051" s="2" t="s">
        <v>36</v>
      </c>
      <c r="Q1051" s="10">
        <f>data_redis_illX!E951</f>
        <v>0</v>
      </c>
      <c r="R1051" s="10">
        <f>data_redis_illX!F951</f>
        <v>0</v>
      </c>
      <c r="S1051" s="10">
        <f>data_redis_illX!G951</f>
        <v>9.1384294331002799E-2</v>
      </c>
      <c r="T1051" s="10">
        <f>data_redis_illX!H951</f>
        <v>0</v>
      </c>
      <c r="U1051" s="10">
        <f>data_redis_illX!I951</f>
        <v>0</v>
      </c>
      <c r="V1051" s="10">
        <f>data_redis_illX!J951</f>
        <v>0</v>
      </c>
      <c r="W1051" s="10">
        <f>data_redis_illX!K951</f>
        <v>0</v>
      </c>
      <c r="X1051" s="10">
        <f>data_redis_illX!L951</f>
        <v>0</v>
      </c>
      <c r="Y1051" s="5">
        <f t="shared" si="16"/>
        <v>9.1384294331002799E-2</v>
      </c>
    </row>
    <row r="1052" spans="16:25" x14ac:dyDescent="0.25">
      <c r="P1052" s="2" t="s">
        <v>37</v>
      </c>
      <c r="Q1052" s="10">
        <f>data_redis_illX!E952</f>
        <v>0</v>
      </c>
      <c r="R1052" s="10">
        <f>data_redis_illX!F952</f>
        <v>0</v>
      </c>
      <c r="S1052" s="10">
        <f>data_redis_illX!G952</f>
        <v>9.1384294331002799E-2</v>
      </c>
      <c r="T1052" s="10">
        <f>data_redis_illX!H952</f>
        <v>0</v>
      </c>
      <c r="U1052" s="10">
        <f>data_redis_illX!I952</f>
        <v>0</v>
      </c>
      <c r="V1052" s="10">
        <f>data_redis_illX!J952</f>
        <v>0</v>
      </c>
      <c r="W1052" s="10">
        <f>data_redis_illX!K952</f>
        <v>0</v>
      </c>
      <c r="X1052" s="10">
        <f>data_redis_illX!L952</f>
        <v>0</v>
      </c>
      <c r="Y1052" s="5">
        <f t="shared" si="16"/>
        <v>9.1384294331002799E-2</v>
      </c>
    </row>
    <row r="1053" spans="16:25" x14ac:dyDescent="0.25">
      <c r="P1053" s="2" t="s">
        <v>38</v>
      </c>
      <c r="Q1053" s="10">
        <f>data_redis_illX!E953</f>
        <v>0</v>
      </c>
      <c r="R1053" s="10">
        <f>data_redis_illX!F953</f>
        <v>0</v>
      </c>
      <c r="S1053" s="10">
        <f>data_redis_illX!G953</f>
        <v>9.1384294331002799E-2</v>
      </c>
      <c r="T1053" s="10">
        <f>data_redis_illX!H953</f>
        <v>0</v>
      </c>
      <c r="U1053" s="10">
        <f>data_redis_illX!I953</f>
        <v>0</v>
      </c>
      <c r="V1053" s="10">
        <f>data_redis_illX!J953</f>
        <v>0</v>
      </c>
      <c r="W1053" s="10">
        <f>data_redis_illX!K953</f>
        <v>0</v>
      </c>
      <c r="X1053" s="10">
        <f>data_redis_illX!L953</f>
        <v>0</v>
      </c>
      <c r="Y1053" s="5">
        <f t="shared" si="16"/>
        <v>9.1384294331002799E-2</v>
      </c>
    </row>
    <row r="1054" spans="16:25" x14ac:dyDescent="0.25">
      <c r="P1054" s="2" t="s">
        <v>39</v>
      </c>
      <c r="Q1054" s="10">
        <f>data_redis_illX!E954</f>
        <v>0</v>
      </c>
      <c r="R1054" s="10">
        <f>data_redis_illX!F954</f>
        <v>0</v>
      </c>
      <c r="S1054" s="10">
        <f>data_redis_illX!G954</f>
        <v>9.1384294331002799E-2</v>
      </c>
      <c r="T1054" s="10">
        <f>data_redis_illX!H954</f>
        <v>0</v>
      </c>
      <c r="U1054" s="10">
        <f>data_redis_illX!I954</f>
        <v>0</v>
      </c>
      <c r="V1054" s="10">
        <f>data_redis_illX!J954</f>
        <v>0</v>
      </c>
      <c r="W1054" s="10">
        <f>data_redis_illX!K954</f>
        <v>0</v>
      </c>
      <c r="X1054" s="10">
        <f>data_redis_illX!L954</f>
        <v>0</v>
      </c>
      <c r="Y1054" s="5">
        <f t="shared" si="16"/>
        <v>9.1384294331002799E-2</v>
      </c>
    </row>
    <row r="1055" spans="16:25" x14ac:dyDescent="0.25">
      <c r="P1055" s="2" t="s">
        <v>40</v>
      </c>
      <c r="Q1055" s="10">
        <f>data_redis_illX!E955</f>
        <v>0</v>
      </c>
      <c r="R1055" s="10">
        <f>data_redis_illX!F955</f>
        <v>0</v>
      </c>
      <c r="S1055" s="10">
        <f>data_redis_illX!G955</f>
        <v>9.1384294331002799E-2</v>
      </c>
      <c r="T1055" s="10">
        <f>data_redis_illX!H955</f>
        <v>0</v>
      </c>
      <c r="U1055" s="10">
        <f>data_redis_illX!I955</f>
        <v>0</v>
      </c>
      <c r="V1055" s="10">
        <f>data_redis_illX!J955</f>
        <v>0</v>
      </c>
      <c r="W1055" s="10">
        <f>data_redis_illX!K955</f>
        <v>0</v>
      </c>
      <c r="X1055" s="10">
        <f>data_redis_illX!L955</f>
        <v>0</v>
      </c>
      <c r="Y1055" s="5">
        <f t="shared" si="16"/>
        <v>9.1384294331002799E-2</v>
      </c>
    </row>
    <row r="1056" spans="16:25" x14ac:dyDescent="0.25">
      <c r="P1056" s="2" t="s">
        <v>41</v>
      </c>
      <c r="Q1056" s="10">
        <f>data_redis_illX!E956</f>
        <v>0</v>
      </c>
      <c r="R1056" s="10">
        <f>data_redis_illX!F956</f>
        <v>0</v>
      </c>
      <c r="S1056" s="10">
        <f>data_redis_illX!G956</f>
        <v>9.1384294331002799E-2</v>
      </c>
      <c r="T1056" s="10">
        <f>data_redis_illX!H956</f>
        <v>0</v>
      </c>
      <c r="U1056" s="10">
        <f>data_redis_illX!I956</f>
        <v>0</v>
      </c>
      <c r="V1056" s="10">
        <f>data_redis_illX!J956</f>
        <v>0</v>
      </c>
      <c r="W1056" s="10">
        <f>data_redis_illX!K956</f>
        <v>0</v>
      </c>
      <c r="X1056" s="10">
        <f>data_redis_illX!L956</f>
        <v>0</v>
      </c>
      <c r="Y1056" s="5">
        <f t="shared" si="16"/>
        <v>9.1384294331002799E-2</v>
      </c>
    </row>
    <row r="1057" spans="13:25" x14ac:dyDescent="0.25">
      <c r="P1057" s="2" t="s">
        <v>42</v>
      </c>
      <c r="Q1057" s="10">
        <f>data_redis_illX!E957</f>
        <v>0</v>
      </c>
      <c r="R1057" s="10">
        <f>data_redis_illX!F957</f>
        <v>0</v>
      </c>
      <c r="S1057" s="10">
        <f>data_redis_illX!G957</f>
        <v>9.1384294331002799E-2</v>
      </c>
      <c r="T1057" s="10">
        <f>data_redis_illX!H957</f>
        <v>0</v>
      </c>
      <c r="U1057" s="10">
        <f>data_redis_illX!I957</f>
        <v>0</v>
      </c>
      <c r="V1057" s="10">
        <f>data_redis_illX!J957</f>
        <v>0</v>
      </c>
      <c r="W1057" s="10">
        <f>data_redis_illX!K957</f>
        <v>0</v>
      </c>
      <c r="X1057" s="10">
        <f>data_redis_illX!L957</f>
        <v>0</v>
      </c>
      <c r="Y1057" s="5">
        <f t="shared" si="16"/>
        <v>9.1384294331002799E-2</v>
      </c>
    </row>
    <row r="1058" spans="13:25" x14ac:dyDescent="0.25">
      <c r="P1058" s="2" t="s">
        <v>43</v>
      </c>
      <c r="Q1058" s="10">
        <f>data_redis_illX!E958</f>
        <v>0</v>
      </c>
      <c r="R1058" s="10">
        <f>data_redis_illX!F958</f>
        <v>0</v>
      </c>
      <c r="S1058" s="10">
        <f>data_redis_illX!G958</f>
        <v>9.1384294331002799E-2</v>
      </c>
      <c r="T1058" s="10">
        <f>data_redis_illX!H958</f>
        <v>0</v>
      </c>
      <c r="U1058" s="10">
        <f>data_redis_illX!I958</f>
        <v>0</v>
      </c>
      <c r="V1058" s="10">
        <f>data_redis_illX!J958</f>
        <v>0</v>
      </c>
      <c r="W1058" s="10">
        <f>data_redis_illX!K958</f>
        <v>0</v>
      </c>
      <c r="X1058" s="10">
        <f>data_redis_illX!L958</f>
        <v>0</v>
      </c>
      <c r="Y1058" s="5">
        <f t="shared" si="16"/>
        <v>9.1384294331002799E-2</v>
      </c>
    </row>
    <row r="1059" spans="13:25" x14ac:dyDescent="0.25">
      <c r="P1059" s="2" t="s">
        <v>44</v>
      </c>
      <c r="Q1059" s="10">
        <f>data_redis_illX!E959</f>
        <v>0</v>
      </c>
      <c r="R1059" s="10">
        <f>data_redis_illX!F959</f>
        <v>0</v>
      </c>
      <c r="S1059" s="10">
        <f>data_redis_illX!G959</f>
        <v>9.1384294331002799E-2</v>
      </c>
      <c r="T1059" s="10">
        <f>data_redis_illX!H959</f>
        <v>0</v>
      </c>
      <c r="U1059" s="10">
        <f>data_redis_illX!I959</f>
        <v>0</v>
      </c>
      <c r="V1059" s="10">
        <f>data_redis_illX!J959</f>
        <v>0</v>
      </c>
      <c r="W1059" s="10">
        <f>data_redis_illX!K959</f>
        <v>0</v>
      </c>
      <c r="X1059" s="10">
        <f>data_redis_illX!L959</f>
        <v>0</v>
      </c>
      <c r="Y1059" s="5">
        <f t="shared" si="16"/>
        <v>9.1384294331002799E-2</v>
      </c>
    </row>
    <row r="1060" spans="13:25" x14ac:dyDescent="0.25">
      <c r="M1060" t="s">
        <v>104</v>
      </c>
      <c r="N1060" t="s">
        <v>117</v>
      </c>
      <c r="O1060" t="s">
        <v>54</v>
      </c>
      <c r="P1060" s="2" t="s">
        <v>12</v>
      </c>
      <c r="Q1060" s="10">
        <f>data_redis_illX!E960</f>
        <v>0</v>
      </c>
      <c r="R1060" s="10">
        <f>data_redis_illX!F960</f>
        <v>0</v>
      </c>
      <c r="S1060" s="10">
        <f>data_redis_illX!G960</f>
        <v>15.693361585410525</v>
      </c>
      <c r="T1060" s="10">
        <f>data_redis_illX!H960</f>
        <v>9.4484261022311049</v>
      </c>
      <c r="U1060" s="10">
        <f>data_redis_illX!I960</f>
        <v>6.9891335697225161</v>
      </c>
      <c r="V1060" s="10">
        <f>data_redis_illX!J960</f>
        <v>0</v>
      </c>
      <c r="W1060" s="10">
        <f>data_redis_illX!K960</f>
        <v>0</v>
      </c>
      <c r="X1060" s="10">
        <f>data_redis_illX!L960</f>
        <v>0</v>
      </c>
      <c r="Y1060" s="5">
        <f t="shared" si="16"/>
        <v>32.13092125736415</v>
      </c>
    </row>
    <row r="1061" spans="13:25" x14ac:dyDescent="0.25">
      <c r="P1061" s="2" t="s">
        <v>13</v>
      </c>
      <c r="Q1061" s="10">
        <f>data_redis_illX!E961</f>
        <v>0</v>
      </c>
      <c r="R1061" s="10">
        <f>data_redis_illX!F961</f>
        <v>0</v>
      </c>
      <c r="S1061" s="10">
        <f>data_redis_illX!G961</f>
        <v>90.647583198109928</v>
      </c>
      <c r="T1061" s="10">
        <f>data_redis_illX!H961</f>
        <v>124.71922454945059</v>
      </c>
      <c r="U1061" s="10">
        <f>data_redis_illX!I961</f>
        <v>20.967400709167549</v>
      </c>
      <c r="V1061" s="10">
        <f>data_redis_illX!J961</f>
        <v>0</v>
      </c>
      <c r="W1061" s="10">
        <f>data_redis_illX!K961</f>
        <v>0</v>
      </c>
      <c r="X1061" s="10">
        <f>data_redis_illX!L961</f>
        <v>0</v>
      </c>
      <c r="Y1061" s="5">
        <f t="shared" si="16"/>
        <v>236.33420845672808</v>
      </c>
    </row>
    <row r="1062" spans="13:25" x14ac:dyDescent="0.25">
      <c r="P1062" s="2" t="s">
        <v>14</v>
      </c>
      <c r="Q1062" s="10">
        <f>data_redis_illX!E962</f>
        <v>0</v>
      </c>
      <c r="R1062" s="10">
        <f>data_redis_illX!F962</f>
        <v>0</v>
      </c>
      <c r="S1062" s="10">
        <f>data_redis_illX!G962</f>
        <v>11.330947899763741</v>
      </c>
      <c r="T1062" s="10">
        <f>data_redis_illX!H962</f>
        <v>26.455593086247095</v>
      </c>
      <c r="U1062" s="10">
        <f>data_redis_illX!I962</f>
        <v>27.956534278890064</v>
      </c>
      <c r="V1062" s="10">
        <f>data_redis_illX!J962</f>
        <v>3.1359729938924525</v>
      </c>
      <c r="W1062" s="10">
        <f>data_redis_illX!K962</f>
        <v>0</v>
      </c>
      <c r="X1062" s="10">
        <f>data_redis_illX!L962</f>
        <v>0</v>
      </c>
      <c r="Y1062" s="5">
        <f t="shared" si="16"/>
        <v>68.879048258793347</v>
      </c>
    </row>
    <row r="1063" spans="13:25" x14ac:dyDescent="0.25">
      <c r="P1063" s="2" t="s">
        <v>15</v>
      </c>
      <c r="Q1063" s="10">
        <f>data_redis_illX!E963</f>
        <v>0</v>
      </c>
      <c r="R1063" s="10">
        <f>data_redis_illX!F963</f>
        <v>0</v>
      </c>
      <c r="S1063" s="10">
        <f>data_redis_illX!G963</f>
        <v>8.0935342141169571</v>
      </c>
      <c r="T1063" s="10">
        <f>data_redis_illX!H963</f>
        <v>20.786537424908431</v>
      </c>
      <c r="U1063" s="10">
        <f>data_redis_illX!I963</f>
        <v>11.648555949537526</v>
      </c>
      <c r="V1063" s="10">
        <f>data_redis_illX!J963</f>
        <v>9.4079189816773567</v>
      </c>
      <c r="W1063" s="10">
        <f>data_redis_illX!K963</f>
        <v>3.1343283582089554</v>
      </c>
      <c r="X1063" s="10">
        <f>data_redis_illX!L963</f>
        <v>0</v>
      </c>
      <c r="Y1063" s="5">
        <f t="shared" si="16"/>
        <v>53.070874928449221</v>
      </c>
    </row>
    <row r="1064" spans="13:25" x14ac:dyDescent="0.25">
      <c r="P1064" s="2" t="s">
        <v>16</v>
      </c>
      <c r="Q1064" s="10">
        <f>data_redis_illX!E964</f>
        <v>0</v>
      </c>
      <c r="R1064" s="10">
        <f>data_redis_illX!F964</f>
        <v>0</v>
      </c>
      <c r="S1064" s="10">
        <f>data_redis_illX!G964</f>
        <v>14.568361585410525</v>
      </c>
      <c r="T1064" s="10">
        <f>data_redis_illX!H964</f>
        <v>20.786537424908431</v>
      </c>
      <c r="U1064" s="10">
        <f>data_redis_illX!I964</f>
        <v>16.307978329352537</v>
      </c>
      <c r="V1064" s="10">
        <f>data_redis_illX!J964</f>
        <v>15.679864969462262</v>
      </c>
      <c r="W1064" s="10">
        <f>data_redis_illX!K964</f>
        <v>0</v>
      </c>
      <c r="X1064" s="10">
        <f>data_redis_illX!L964</f>
        <v>0</v>
      </c>
      <c r="Y1064" s="5">
        <f t="shared" si="16"/>
        <v>67.342742309133754</v>
      </c>
    </row>
    <row r="1065" spans="13:25" x14ac:dyDescent="0.25">
      <c r="P1065" s="2" t="s">
        <v>17</v>
      </c>
      <c r="Q1065" s="10">
        <f>data_redis_illX!E965</f>
        <v>0</v>
      </c>
      <c r="R1065" s="10">
        <f>data_redis_illX!F965</f>
        <v>0</v>
      </c>
      <c r="S1065" s="10">
        <f>data_redis_illX!G965</f>
        <v>3.2374136856467834</v>
      </c>
      <c r="T1065" s="10">
        <f>data_redis_illX!H965</f>
        <v>9.4484261022311049</v>
      </c>
      <c r="U1065" s="10">
        <f>data_redis_illX!I965</f>
        <v>6.9891335697225161</v>
      </c>
      <c r="V1065" s="10">
        <f>data_redis_illX!J965</f>
        <v>3.1359729938924525</v>
      </c>
      <c r="W1065" s="10">
        <f>data_redis_illX!K965</f>
        <v>0</v>
      </c>
      <c r="X1065" s="10">
        <f>data_redis_illX!L965</f>
        <v>0</v>
      </c>
      <c r="Y1065" s="5">
        <f t="shared" si="16"/>
        <v>22.810946351492856</v>
      </c>
    </row>
    <row r="1066" spans="13:25" x14ac:dyDescent="0.25">
      <c r="P1066" s="2" t="s">
        <v>18</v>
      </c>
      <c r="Q1066" s="10">
        <f>data_redis_illX!E966</f>
        <v>0</v>
      </c>
      <c r="R1066" s="10">
        <f>data_redis_illX!F966</f>
        <v>0</v>
      </c>
      <c r="S1066" s="10">
        <f>data_redis_illX!G966</f>
        <v>21.043188956704093</v>
      </c>
      <c r="T1066" s="10">
        <f>data_redis_illX!H966</f>
        <v>43.46276007026308</v>
      </c>
      <c r="U1066" s="10">
        <f>data_redis_illX!I966</f>
        <v>19.887689519260039</v>
      </c>
      <c r="V1066" s="10">
        <f>data_redis_illX!J966</f>
        <v>3.1359729938924525</v>
      </c>
      <c r="W1066" s="10">
        <f>data_redis_illX!K966</f>
        <v>0</v>
      </c>
      <c r="X1066" s="10">
        <f>data_redis_illX!L966</f>
        <v>0</v>
      </c>
      <c r="Y1066" s="5">
        <f t="shared" si="16"/>
        <v>87.52961154011966</v>
      </c>
    </row>
    <row r="1067" spans="13:25" x14ac:dyDescent="0.25">
      <c r="P1067" s="2" t="s">
        <v>19</v>
      </c>
      <c r="Q1067" s="10">
        <f>data_redis_illX!E967</f>
        <v>0</v>
      </c>
      <c r="R1067" s="10">
        <f>data_redis_illX!F967</f>
        <v>0</v>
      </c>
      <c r="S1067" s="10">
        <f>data_redis_illX!G967</f>
        <v>35.611550542114614</v>
      </c>
      <c r="T1067" s="10">
        <f>data_redis_illX!H967</f>
        <v>49.131815731601748</v>
      </c>
      <c r="U1067" s="10">
        <f>data_redis_illX!I967</f>
        <v>34.945667848612587</v>
      </c>
      <c r="V1067" s="10">
        <f>data_redis_illX!J967</f>
        <v>0</v>
      </c>
      <c r="W1067" s="10">
        <f>data_redis_illX!K967</f>
        <v>3.1343283582089554</v>
      </c>
      <c r="X1067" s="10">
        <f>data_redis_illX!L967</f>
        <v>0</v>
      </c>
      <c r="Y1067" s="5">
        <f t="shared" si="16"/>
        <v>122.82336248053791</v>
      </c>
    </row>
    <row r="1068" spans="13:25" x14ac:dyDescent="0.25">
      <c r="P1068" s="2" t="s">
        <v>20</v>
      </c>
      <c r="Q1068" s="10">
        <f>data_redis_illX!E968</f>
        <v>0</v>
      </c>
      <c r="R1068" s="10">
        <f>data_redis_illX!F968</f>
        <v>0</v>
      </c>
      <c r="S1068" s="10">
        <f>data_redis_illX!G968</f>
        <v>196.98852798163037</v>
      </c>
      <c r="T1068" s="10">
        <f>data_redis_illX!H968</f>
        <v>362.8195623256745</v>
      </c>
      <c r="U1068" s="10">
        <f>data_redis_illX!I968</f>
        <v>195.86602876232294</v>
      </c>
      <c r="V1068" s="10">
        <f>data_redis_illX!J968</f>
        <v>31.359729938924524</v>
      </c>
      <c r="W1068" s="10">
        <f>data_redis_illX!K968</f>
        <v>3.1343283582089554</v>
      </c>
      <c r="X1068" s="10">
        <f>data_redis_illX!L968</f>
        <v>0</v>
      </c>
      <c r="Y1068" s="5">
        <f t="shared" si="16"/>
        <v>790.16817736676114</v>
      </c>
    </row>
    <row r="1069" spans="13:25" x14ac:dyDescent="0.25">
      <c r="P1069" s="2" t="s">
        <v>21</v>
      </c>
      <c r="Q1069" s="10">
        <f>data_redis_illX!E969</f>
        <v>0</v>
      </c>
      <c r="R1069" s="10">
        <f>data_redis_illX!F969</f>
        <v>0</v>
      </c>
      <c r="S1069" s="10">
        <f>data_redis_illX!G969</f>
        <v>42.086377913408185</v>
      </c>
      <c r="T1069" s="10">
        <f>data_redis_illX!H969</f>
        <v>45.352445290709312</v>
      </c>
      <c r="U1069" s="10">
        <f>data_redis_illX!I969</f>
        <v>46.594223798150104</v>
      </c>
      <c r="V1069" s="10">
        <f>data_redis_illX!J969</f>
        <v>3.1359729938924525</v>
      </c>
      <c r="W1069" s="10">
        <f>data_redis_illX!K969</f>
        <v>6.2686567164179108</v>
      </c>
      <c r="X1069" s="10">
        <f>data_redis_illX!L969</f>
        <v>0</v>
      </c>
      <c r="Y1069" s="5">
        <f t="shared" si="16"/>
        <v>143.437676712578</v>
      </c>
    </row>
    <row r="1070" spans="13:25" x14ac:dyDescent="0.25">
      <c r="P1070" s="2" t="s">
        <v>22</v>
      </c>
      <c r="Q1070" s="10">
        <f>data_redis_illX!E970</f>
        <v>0</v>
      </c>
      <c r="R1070" s="10">
        <f>data_redis_illX!F970</f>
        <v>0</v>
      </c>
      <c r="S1070" s="10">
        <f>data_redis_illX!G970</f>
        <v>58.273446341642099</v>
      </c>
      <c r="T1070" s="10">
        <f>data_redis_illX!H970</f>
        <v>91.954890581418624</v>
      </c>
      <c r="U1070" s="10">
        <f>data_redis_illX!I970</f>
        <v>60.572490937595141</v>
      </c>
      <c r="V1070" s="10">
        <f>data_redis_illX!J970</f>
        <v>9.4079189816773567</v>
      </c>
      <c r="W1070" s="10">
        <f>data_redis_illX!K970</f>
        <v>0</v>
      </c>
      <c r="X1070" s="10">
        <f>data_redis_illX!L970</f>
        <v>0</v>
      </c>
      <c r="Y1070" s="5">
        <f t="shared" si="16"/>
        <v>220.20874684233326</v>
      </c>
    </row>
    <row r="1071" spans="13:25" x14ac:dyDescent="0.25">
      <c r="P1071" s="2" t="s">
        <v>23</v>
      </c>
      <c r="Q1071" s="10">
        <f>data_redis_illX!E971</f>
        <v>0</v>
      </c>
      <c r="R1071" s="10">
        <f>data_redis_illX!F971</f>
        <v>0</v>
      </c>
      <c r="S1071" s="10">
        <f>data_redis_illX!G971</f>
        <v>14.568361585410525</v>
      </c>
      <c r="T1071" s="10">
        <f>data_redis_illX!H971</f>
        <v>20.786537424908431</v>
      </c>
      <c r="U1071" s="10">
        <f>data_redis_illX!I971</f>
        <v>6.9891335697225161</v>
      </c>
      <c r="V1071" s="10">
        <f>data_redis_illX!J971</f>
        <v>3.1359729938924525</v>
      </c>
      <c r="W1071" s="10">
        <f>data_redis_illX!K971</f>
        <v>0</v>
      </c>
      <c r="X1071" s="10">
        <f>data_redis_illX!L971</f>
        <v>0</v>
      </c>
      <c r="Y1071" s="5">
        <f t="shared" si="16"/>
        <v>45.48000557393393</v>
      </c>
    </row>
    <row r="1072" spans="13:25" x14ac:dyDescent="0.25">
      <c r="P1072" s="2" t="s">
        <v>24</v>
      </c>
      <c r="Q1072" s="10">
        <f>data_redis_illX!E972</f>
        <v>0</v>
      </c>
      <c r="R1072" s="10">
        <f>data_redis_illX!F972</f>
        <v>0</v>
      </c>
      <c r="S1072" s="10">
        <f>data_redis_illX!G972</f>
        <v>51.798618970348535</v>
      </c>
      <c r="T1072" s="10">
        <f>data_redis_illX!H972</f>
        <v>94.48426102231106</v>
      </c>
      <c r="U1072" s="10">
        <f>data_redis_illX!I972</f>
        <v>102.50729235593023</v>
      </c>
      <c r="V1072" s="10">
        <f>data_redis_illX!J972</f>
        <v>18.815837963354713</v>
      </c>
      <c r="W1072" s="10">
        <f>data_redis_illX!K972</f>
        <v>0</v>
      </c>
      <c r="X1072" s="10">
        <f>data_redis_illX!L972</f>
        <v>0</v>
      </c>
      <c r="Y1072" s="5">
        <f t="shared" si="16"/>
        <v>267.60601031194454</v>
      </c>
    </row>
    <row r="1073" spans="16:25" x14ac:dyDescent="0.25">
      <c r="P1073" s="2" t="s">
        <v>25</v>
      </c>
      <c r="Q1073" s="10">
        <f>data_redis_illX!E973</f>
        <v>0</v>
      </c>
      <c r="R1073" s="10">
        <f>data_redis_illX!F973</f>
        <v>0</v>
      </c>
      <c r="S1073" s="10">
        <f>data_redis_illX!G973</f>
        <v>14.568361585410525</v>
      </c>
      <c r="T1073" s="10">
        <f>data_redis_illX!H973</f>
        <v>24.565907865800874</v>
      </c>
      <c r="U1073" s="10">
        <f>data_redis_illX!I973</f>
        <v>11.648555949537526</v>
      </c>
      <c r="V1073" s="10">
        <f>data_redis_illX!J973</f>
        <v>0</v>
      </c>
      <c r="W1073" s="10">
        <f>data_redis_illX!K973</f>
        <v>0</v>
      </c>
      <c r="X1073" s="10">
        <f>data_redis_illX!L973</f>
        <v>0</v>
      </c>
      <c r="Y1073" s="5">
        <f t="shared" si="16"/>
        <v>50.782825400748919</v>
      </c>
    </row>
    <row r="1074" spans="16:25" x14ac:dyDescent="0.25">
      <c r="P1074" s="2" t="s">
        <v>26</v>
      </c>
      <c r="Q1074" s="10">
        <f>data_redis_illX!E974</f>
        <v>0</v>
      </c>
      <c r="R1074" s="10">
        <f>data_redis_illX!F974</f>
        <v>0</v>
      </c>
      <c r="S1074" s="10">
        <f>data_redis_illX!G974</f>
        <v>22.661895799527482</v>
      </c>
      <c r="T1074" s="10">
        <f>data_redis_illX!H974</f>
        <v>41.573074849816862</v>
      </c>
      <c r="U1074" s="10">
        <f>data_redis_illX!I974</f>
        <v>13.978267139445032</v>
      </c>
      <c r="V1074" s="10">
        <f>data_redis_illX!J974</f>
        <v>0</v>
      </c>
      <c r="W1074" s="10">
        <f>data_redis_illX!K974</f>
        <v>3.1343283582089554</v>
      </c>
      <c r="X1074" s="10">
        <f>data_redis_illX!L974</f>
        <v>0</v>
      </c>
      <c r="Y1074" s="5">
        <f t="shared" si="16"/>
        <v>81.347566146998346</v>
      </c>
    </row>
    <row r="1075" spans="16:25" x14ac:dyDescent="0.25">
      <c r="P1075" s="2" t="s">
        <v>27</v>
      </c>
      <c r="Q1075" s="10">
        <f>data_redis_illX!E975</f>
        <v>0</v>
      </c>
      <c r="R1075" s="10">
        <f>data_redis_illX!F975</f>
        <v>0</v>
      </c>
      <c r="S1075" s="10">
        <f>data_redis_illX!G975</f>
        <v>50.179912127525135</v>
      </c>
      <c r="T1075" s="10">
        <f>data_redis_illX!H975</f>
        <v>88.815205360972385</v>
      </c>
      <c r="U1075" s="10">
        <f>data_redis_illX!I975</f>
        <v>23.297111899075052</v>
      </c>
      <c r="V1075" s="10">
        <f>data_redis_illX!J975</f>
        <v>6.2719459877849051</v>
      </c>
      <c r="W1075" s="10">
        <f>data_redis_illX!K975</f>
        <v>3.1343283582089554</v>
      </c>
      <c r="X1075" s="10">
        <f>data_redis_illX!L975</f>
        <v>0</v>
      </c>
      <c r="Y1075" s="5">
        <f t="shared" si="16"/>
        <v>171.69850373356644</v>
      </c>
    </row>
    <row r="1076" spans="16:25" x14ac:dyDescent="0.25">
      <c r="P1076" s="2" t="s">
        <v>28</v>
      </c>
      <c r="Q1076" s="10">
        <f>data_redis_illX!E976</f>
        <v>0</v>
      </c>
      <c r="R1076" s="10">
        <f>data_redis_illX!F976</f>
        <v>0</v>
      </c>
      <c r="S1076" s="10">
        <f>data_redis_illX!G976</f>
        <v>137.09637479716488</v>
      </c>
      <c r="T1076" s="10">
        <f>data_redis_illX!H976</f>
        <v>154.95418807659013</v>
      </c>
      <c r="U1076" s="10">
        <f>data_redis_illX!I976</f>
        <v>76.880469266947671</v>
      </c>
      <c r="V1076" s="10">
        <f>data_redis_illX!J976</f>
        <v>15.679864969462262</v>
      </c>
      <c r="W1076" s="10">
        <f>data_redis_illX!K976</f>
        <v>0</v>
      </c>
      <c r="X1076" s="10">
        <f>data_redis_illX!L976</f>
        <v>0</v>
      </c>
      <c r="Y1076" s="5">
        <f t="shared" si="16"/>
        <v>384.6108971101649</v>
      </c>
    </row>
    <row r="1077" spans="16:25" x14ac:dyDescent="0.25">
      <c r="P1077" s="2" t="s">
        <v>29</v>
      </c>
      <c r="Q1077" s="10">
        <f>data_redis_illX!E977</f>
        <v>0</v>
      </c>
      <c r="R1077" s="10">
        <f>data_redis_illX!F977</f>
        <v>0</v>
      </c>
      <c r="S1077" s="10">
        <f>data_redis_illX!G977</f>
        <v>43.705084756231571</v>
      </c>
      <c r="T1077" s="10">
        <f>data_redis_illX!H977</f>
        <v>100.15331668364972</v>
      </c>
      <c r="U1077" s="10">
        <f>data_redis_illX!I977</f>
        <v>41.934801418335098</v>
      </c>
      <c r="V1077" s="10">
        <f>data_redis_illX!J977</f>
        <v>9.4079189816773567</v>
      </c>
      <c r="W1077" s="10">
        <f>data_redis_illX!K977</f>
        <v>3.1343283582089554</v>
      </c>
      <c r="X1077" s="10">
        <f>data_redis_illX!L977</f>
        <v>0</v>
      </c>
      <c r="Y1077" s="5">
        <f t="shared" si="16"/>
        <v>198.33545019810271</v>
      </c>
    </row>
    <row r="1078" spans="16:25" x14ac:dyDescent="0.25">
      <c r="P1078" s="2" t="s">
        <v>30</v>
      </c>
      <c r="Q1078" s="10">
        <f>data_redis_illX!E978</f>
        <v>0</v>
      </c>
      <c r="R1078" s="10">
        <f>data_redis_illX!F978</f>
        <v>0</v>
      </c>
      <c r="S1078" s="10">
        <f>data_redis_illX!G978</f>
        <v>480.89351863290051</v>
      </c>
      <c r="T1078" s="10">
        <f>data_redis_illX!H978</f>
        <v>1158.9873549130873</v>
      </c>
      <c r="U1078" s="10">
        <f>data_redis_illX!I978</f>
        <v>624.36259889521159</v>
      </c>
      <c r="V1078" s="10">
        <f>data_redis_illX!J978</f>
        <v>147.3907307129453</v>
      </c>
      <c r="W1078" s="10">
        <f>data_redis_illX!K978</f>
        <v>15.671641791044777</v>
      </c>
      <c r="X1078" s="10">
        <f>data_redis_illX!L978</f>
        <v>0</v>
      </c>
      <c r="Y1078" s="5">
        <f t="shared" si="16"/>
        <v>2427.3058449451896</v>
      </c>
    </row>
    <row r="1079" spans="16:25" x14ac:dyDescent="0.25">
      <c r="P1079" s="2" t="s">
        <v>31</v>
      </c>
      <c r="Q1079" s="10">
        <f>data_redis_illX!E979</f>
        <v>0</v>
      </c>
      <c r="R1079" s="10">
        <f>data_redis_illX!F979</f>
        <v>0</v>
      </c>
      <c r="S1079" s="10">
        <f>data_redis_illX!G979</f>
        <v>48.561205284701749</v>
      </c>
      <c r="T1079" s="10">
        <f>data_redis_illX!H979</f>
        <v>103.93268712454217</v>
      </c>
      <c r="U1079" s="10">
        <f>data_redis_illX!I979</f>
        <v>51.253646177965116</v>
      </c>
      <c r="V1079" s="10">
        <f>data_redis_illX!J979</f>
        <v>21.951810957247162</v>
      </c>
      <c r="W1079" s="10">
        <f>data_redis_illX!K979</f>
        <v>3.1343283582089554</v>
      </c>
      <c r="X1079" s="10">
        <f>data_redis_illX!L979</f>
        <v>0</v>
      </c>
      <c r="Y1079" s="5">
        <f t="shared" si="16"/>
        <v>228.83367790266516</v>
      </c>
    </row>
    <row r="1080" spans="16:25" x14ac:dyDescent="0.25">
      <c r="P1080" s="2" t="s">
        <v>32</v>
      </c>
      <c r="Q1080" s="10">
        <f>data_redis_illX!E980</f>
        <v>0</v>
      </c>
      <c r="R1080" s="10">
        <f>data_redis_illX!F980</f>
        <v>0</v>
      </c>
      <c r="S1080" s="10">
        <f>data_redis_illX!G980</f>
        <v>1.6187068428233917</v>
      </c>
      <c r="T1080" s="10">
        <f>data_redis_illX!H980</f>
        <v>1.8896852204462213</v>
      </c>
      <c r="U1080" s="10">
        <f>data_redis_illX!I980</f>
        <v>4.6594223798150098</v>
      </c>
      <c r="V1080" s="10">
        <f>data_redis_illX!J980</f>
        <v>3.1359729938924525</v>
      </c>
      <c r="W1080" s="10">
        <f>data_redis_illX!K980</f>
        <v>0</v>
      </c>
      <c r="X1080" s="10">
        <f>data_redis_illX!L980</f>
        <v>0</v>
      </c>
      <c r="Y1080" s="5">
        <f t="shared" si="16"/>
        <v>11.303787436977075</v>
      </c>
    </row>
    <row r="1081" spans="16:25" x14ac:dyDescent="0.25">
      <c r="P1081" s="2" t="s">
        <v>33</v>
      </c>
      <c r="Q1081" s="10">
        <f>data_redis_illX!E981</f>
        <v>0</v>
      </c>
      <c r="R1081" s="10">
        <f>data_redis_illX!F981</f>
        <v>0</v>
      </c>
      <c r="S1081" s="10">
        <f>data_redis_illX!G981</f>
        <v>12.949654742587134</v>
      </c>
      <c r="T1081" s="10">
        <f>data_redis_illX!H981</f>
        <v>34.014333968031984</v>
      </c>
      <c r="U1081" s="10">
        <f>data_redis_illX!I981</f>
        <v>19.887689519260039</v>
      </c>
      <c r="V1081" s="10">
        <f>data_redis_illX!J981</f>
        <v>3.1359729938924525</v>
      </c>
      <c r="W1081" s="10">
        <f>data_redis_illX!K981</f>
        <v>0</v>
      </c>
      <c r="X1081" s="10">
        <f>data_redis_illX!L981</f>
        <v>0</v>
      </c>
      <c r="Y1081" s="5">
        <f t="shared" si="16"/>
        <v>69.987651223771607</v>
      </c>
    </row>
    <row r="1082" spans="16:25" x14ac:dyDescent="0.25">
      <c r="P1082" s="2" t="s">
        <v>34</v>
      </c>
      <c r="Q1082" s="10">
        <f>data_redis_illX!E982</f>
        <v>0</v>
      </c>
      <c r="R1082" s="10">
        <f>data_redis_illX!F982</f>
        <v>0</v>
      </c>
      <c r="S1082" s="10">
        <f>data_redis_illX!G982</f>
        <v>0</v>
      </c>
      <c r="T1082" s="10">
        <f>data_redis_illX!H982</f>
        <v>0</v>
      </c>
      <c r="U1082" s="10">
        <f>data_redis_illX!I982</f>
        <v>0</v>
      </c>
      <c r="V1082" s="10">
        <f>data_redis_illX!J982</f>
        <v>0</v>
      </c>
      <c r="W1082" s="10">
        <f>data_redis_illX!K982</f>
        <v>0</v>
      </c>
      <c r="X1082" s="10">
        <f>data_redis_illX!L982</f>
        <v>0</v>
      </c>
      <c r="Y1082" s="5">
        <f t="shared" si="16"/>
        <v>0</v>
      </c>
    </row>
    <row r="1083" spans="16:25" x14ac:dyDescent="0.25">
      <c r="P1083" s="2" t="s">
        <v>35</v>
      </c>
      <c r="Q1083" s="10">
        <f>data_redis_illX!E983</f>
        <v>0</v>
      </c>
      <c r="R1083" s="10">
        <f>data_redis_illX!F983</f>
        <v>0</v>
      </c>
      <c r="S1083" s="10">
        <f>data_redis_illX!G983</f>
        <v>0</v>
      </c>
      <c r="T1083" s="10">
        <f>data_redis_illX!H983</f>
        <v>1.8896852204462213</v>
      </c>
      <c r="U1083" s="10">
        <f>data_redis_illX!I983</f>
        <v>4.6594223798150098</v>
      </c>
      <c r="V1083" s="10">
        <f>data_redis_illX!J983</f>
        <v>0</v>
      </c>
      <c r="W1083" s="10">
        <f>data_redis_illX!K983</f>
        <v>0</v>
      </c>
      <c r="X1083" s="10">
        <f>data_redis_illX!L983</f>
        <v>0</v>
      </c>
      <c r="Y1083" s="5">
        <f t="shared" si="16"/>
        <v>6.5491076002612312</v>
      </c>
    </row>
    <row r="1084" spans="16:25" x14ac:dyDescent="0.25">
      <c r="P1084" s="2" t="s">
        <v>36</v>
      </c>
      <c r="Q1084" s="10">
        <f>data_redis_illX!E984</f>
        <v>0</v>
      </c>
      <c r="R1084" s="10">
        <f>data_redis_illX!F984</f>
        <v>0</v>
      </c>
      <c r="S1084" s="10">
        <f>data_redis_illX!G984</f>
        <v>0</v>
      </c>
      <c r="T1084" s="10">
        <f>data_redis_illX!H984</f>
        <v>0</v>
      </c>
      <c r="U1084" s="10">
        <f>data_redis_illX!I984</f>
        <v>0</v>
      </c>
      <c r="V1084" s="10">
        <f>data_redis_illX!J984</f>
        <v>0</v>
      </c>
      <c r="W1084" s="10">
        <f>data_redis_illX!K984</f>
        <v>0</v>
      </c>
      <c r="X1084" s="10">
        <f>data_redis_illX!L984</f>
        <v>0</v>
      </c>
      <c r="Y1084" s="5">
        <f t="shared" si="16"/>
        <v>0</v>
      </c>
    </row>
    <row r="1085" spans="16:25" x14ac:dyDescent="0.25">
      <c r="P1085" s="2" t="s">
        <v>37</v>
      </c>
      <c r="Q1085" s="10">
        <f>data_redis_illX!E985</f>
        <v>0</v>
      </c>
      <c r="R1085" s="10">
        <f>data_redis_illX!F985</f>
        <v>0</v>
      </c>
      <c r="S1085" s="10">
        <f>data_redis_illX!G985</f>
        <v>0</v>
      </c>
      <c r="T1085" s="10">
        <f>data_redis_illX!H985</f>
        <v>0</v>
      </c>
      <c r="U1085" s="10">
        <f>data_redis_illX!I985</f>
        <v>0</v>
      </c>
      <c r="V1085" s="10">
        <f>data_redis_illX!J985</f>
        <v>0</v>
      </c>
      <c r="W1085" s="10">
        <f>data_redis_illX!K985</f>
        <v>0</v>
      </c>
      <c r="X1085" s="10">
        <f>data_redis_illX!L985</f>
        <v>0</v>
      </c>
      <c r="Y1085" s="5">
        <f t="shared" si="16"/>
        <v>0</v>
      </c>
    </row>
    <row r="1086" spans="16:25" x14ac:dyDescent="0.25">
      <c r="P1086" s="2" t="s">
        <v>38</v>
      </c>
      <c r="Q1086" s="10">
        <f>data_redis_illX!E986</f>
        <v>0</v>
      </c>
      <c r="R1086" s="10">
        <f>data_redis_illX!F986</f>
        <v>0</v>
      </c>
      <c r="S1086" s="10">
        <f>data_redis_illX!G986</f>
        <v>4.8561205284701749</v>
      </c>
      <c r="T1086" s="10">
        <f>data_redis_illX!H986</f>
        <v>17.007166984015992</v>
      </c>
      <c r="U1086" s="10">
        <f>data_redis_illX!I986</f>
        <v>13.978267139445032</v>
      </c>
      <c r="V1086" s="10">
        <f>data_redis_illX!J986</f>
        <v>0</v>
      </c>
      <c r="W1086" s="10">
        <f>data_redis_illX!K986</f>
        <v>0</v>
      </c>
      <c r="X1086" s="10">
        <f>data_redis_illX!L986</f>
        <v>0</v>
      </c>
      <c r="Y1086" s="5">
        <f t="shared" si="16"/>
        <v>35.841554651931197</v>
      </c>
    </row>
    <row r="1087" spans="16:25" x14ac:dyDescent="0.25">
      <c r="P1087" s="2" t="s">
        <v>39</v>
      </c>
      <c r="Q1087" s="10">
        <f>data_redis_illX!E987</f>
        <v>0</v>
      </c>
      <c r="R1087" s="10">
        <f>data_redis_illX!F987</f>
        <v>0</v>
      </c>
      <c r="S1087" s="10">
        <f>data_redis_illX!G987</f>
        <v>17.805775271057307</v>
      </c>
      <c r="T1087" s="10">
        <f>data_redis_illX!H987</f>
        <v>18.89685220446221</v>
      </c>
      <c r="U1087" s="10">
        <f>data_redis_illX!I987</f>
        <v>4.6594223798150098</v>
      </c>
      <c r="V1087" s="10">
        <f>data_redis_illX!J987</f>
        <v>0</v>
      </c>
      <c r="W1087" s="10">
        <f>data_redis_illX!K987</f>
        <v>0</v>
      </c>
      <c r="X1087" s="10">
        <f>data_redis_illX!L987</f>
        <v>0</v>
      </c>
      <c r="Y1087" s="5">
        <f t="shared" si="16"/>
        <v>41.362049855334533</v>
      </c>
    </row>
    <row r="1088" spans="16:25" x14ac:dyDescent="0.25">
      <c r="P1088" s="2" t="s">
        <v>40</v>
      </c>
      <c r="Q1088" s="10">
        <f>data_redis_illX!E988</f>
        <v>0</v>
      </c>
      <c r="R1088" s="10">
        <f>data_redis_illX!F988</f>
        <v>0</v>
      </c>
      <c r="S1088" s="10">
        <f>data_redis_illX!G988</f>
        <v>25.899309485174268</v>
      </c>
      <c r="T1088" s="10">
        <f>data_redis_illX!H988</f>
        <v>96.373946242757285</v>
      </c>
      <c r="U1088" s="10">
        <f>data_redis_illX!I988</f>
        <v>48.92393498805761</v>
      </c>
      <c r="V1088" s="10">
        <f>data_redis_illX!J988</f>
        <v>12.54389197556981</v>
      </c>
      <c r="W1088" s="10">
        <f>data_redis_illX!K988</f>
        <v>0</v>
      </c>
      <c r="X1088" s="10">
        <f>data_redis_illX!L988</f>
        <v>4.3076923076923075</v>
      </c>
      <c r="Y1088" s="5">
        <f t="shared" si="16"/>
        <v>188.04877499925129</v>
      </c>
    </row>
    <row r="1089" spans="13:25" x14ac:dyDescent="0.25">
      <c r="P1089" s="2" t="s">
        <v>41</v>
      </c>
      <c r="Q1089" s="10">
        <f>data_redis_illX!E989</f>
        <v>0</v>
      </c>
      <c r="R1089" s="10">
        <f>data_redis_illX!F989</f>
        <v>0</v>
      </c>
      <c r="S1089" s="10">
        <f>data_redis_illX!G989</f>
        <v>9.7122410569403499</v>
      </c>
      <c r="T1089" s="10">
        <f>data_redis_illX!H989</f>
        <v>17.007166984015992</v>
      </c>
      <c r="U1089" s="10">
        <f>data_redis_illX!I989</f>
        <v>18.637689519260039</v>
      </c>
      <c r="V1089" s="10">
        <f>data_redis_illX!J989</f>
        <v>3.1359729938924525</v>
      </c>
      <c r="W1089" s="10">
        <f>data_redis_illX!K989</f>
        <v>0</v>
      </c>
      <c r="X1089" s="10">
        <f>data_redis_illX!L989</f>
        <v>0</v>
      </c>
      <c r="Y1089" s="5">
        <f t="shared" si="16"/>
        <v>48.493070554108833</v>
      </c>
    </row>
    <row r="1090" spans="13:25" x14ac:dyDescent="0.25">
      <c r="P1090" s="2" t="s">
        <v>42</v>
      </c>
      <c r="Q1090" s="10">
        <f>data_redis_illX!E990</f>
        <v>0</v>
      </c>
      <c r="R1090" s="10">
        <f>data_redis_illX!F990</f>
        <v>0</v>
      </c>
      <c r="S1090" s="10">
        <f>data_redis_illX!G990</f>
        <v>80.441635298346185</v>
      </c>
      <c r="T1090" s="10">
        <f>data_redis_illX!H990</f>
        <v>103.29300190409593</v>
      </c>
      <c r="U1090" s="10">
        <f>data_redis_illX!I990</f>
        <v>60.572490937595141</v>
      </c>
      <c r="V1090" s="10">
        <f>data_redis_illX!J990</f>
        <v>9.4079189816773567</v>
      </c>
      <c r="W1090" s="10">
        <f>data_redis_illX!K990</f>
        <v>0</v>
      </c>
      <c r="X1090" s="10">
        <f>data_redis_illX!L990</f>
        <v>0</v>
      </c>
      <c r="Y1090" s="5">
        <f t="shared" si="16"/>
        <v>253.71504712171463</v>
      </c>
    </row>
    <row r="1091" spans="13:25" x14ac:dyDescent="0.25">
      <c r="P1091" s="2" t="s">
        <v>43</v>
      </c>
      <c r="Q1091" s="10">
        <f>data_redis_illX!E991</f>
        <v>0</v>
      </c>
      <c r="R1091" s="10">
        <f>data_redis_illX!F991</f>
        <v>0</v>
      </c>
      <c r="S1091" s="10">
        <f>data_redis_illX!G991</f>
        <v>297.842059079504</v>
      </c>
      <c r="T1091" s="10">
        <f>data_redis_illX!H991</f>
        <v>721.85975421045657</v>
      </c>
      <c r="U1091" s="10">
        <f>data_redis_illX!I991</f>
        <v>526.51472891909623</v>
      </c>
      <c r="V1091" s="10">
        <f>data_redis_illX!J991</f>
        <v>134.84683873737546</v>
      </c>
      <c r="W1091" s="10">
        <f>data_redis_illX!K991</f>
        <v>37.611940298507463</v>
      </c>
      <c r="X1091" s="10">
        <f>data_redis_illX!L991</f>
        <v>4.3076923076923075</v>
      </c>
      <c r="Y1091" s="5">
        <f t="shared" si="16"/>
        <v>1722.9830135526322</v>
      </c>
    </row>
    <row r="1092" spans="13:25" x14ac:dyDescent="0.25">
      <c r="P1092" s="2" t="s">
        <v>44</v>
      </c>
      <c r="Q1092" s="10">
        <f>data_redis_illX!E992</f>
        <v>0</v>
      </c>
      <c r="R1092" s="10">
        <f>data_redis_illX!F992</f>
        <v>0</v>
      </c>
      <c r="S1092" s="10">
        <f>data_redis_illX!G992</f>
        <v>49.686205284701749</v>
      </c>
      <c r="T1092" s="10">
        <f>data_redis_illX!H992</f>
        <v>105.82237234498838</v>
      </c>
      <c r="U1092" s="10">
        <f>data_redis_illX!I992</f>
        <v>69.891335697225173</v>
      </c>
      <c r="V1092" s="10">
        <f>data_redis_illX!J992</f>
        <v>9.4079189816773567</v>
      </c>
      <c r="W1092" s="10">
        <f>data_redis_illX!K992</f>
        <v>0</v>
      </c>
      <c r="X1092" s="10">
        <f>data_redis_illX!L992</f>
        <v>0</v>
      </c>
      <c r="Y1092" s="5">
        <f t="shared" si="16"/>
        <v>234.80783230859268</v>
      </c>
    </row>
    <row r="1093" spans="13:25" x14ac:dyDescent="0.25">
      <c r="M1093" t="s">
        <v>115</v>
      </c>
      <c r="N1093" t="s">
        <v>103</v>
      </c>
      <c r="O1093" t="s">
        <v>102</v>
      </c>
      <c r="P1093" s="2" t="s">
        <v>12</v>
      </c>
      <c r="Q1093" s="10"/>
      <c r="R1093" s="10"/>
      <c r="S1093" s="10"/>
      <c r="T1093" s="10"/>
      <c r="U1093" s="10"/>
      <c r="V1093" s="10"/>
      <c r="W1093" s="10"/>
      <c r="X1093" s="10"/>
      <c r="Y1093" s="5">
        <f t="shared" ref="Y1093:Y1156" si="17">SUM(Q1093:X1093)</f>
        <v>0</v>
      </c>
    </row>
    <row r="1094" spans="13:25" x14ac:dyDescent="0.25">
      <c r="P1094" s="2" t="s">
        <v>13</v>
      </c>
      <c r="Q1094" s="10"/>
      <c r="R1094" s="10"/>
      <c r="S1094" s="10"/>
      <c r="T1094" s="10"/>
      <c r="U1094" s="10"/>
      <c r="V1094" s="10"/>
      <c r="W1094" s="10"/>
      <c r="X1094" s="10"/>
      <c r="Y1094" s="5">
        <f t="shared" si="17"/>
        <v>0</v>
      </c>
    </row>
    <row r="1095" spans="13:25" x14ac:dyDescent="0.25">
      <c r="P1095" s="2" t="s">
        <v>14</v>
      </c>
      <c r="Q1095" s="10"/>
      <c r="R1095" s="10"/>
      <c r="S1095" s="10"/>
      <c r="T1095" s="10"/>
      <c r="U1095" s="10"/>
      <c r="V1095" s="10"/>
      <c r="W1095" s="10"/>
      <c r="X1095" s="10"/>
      <c r="Y1095" s="5">
        <f t="shared" si="17"/>
        <v>0</v>
      </c>
    </row>
    <row r="1096" spans="13:25" x14ac:dyDescent="0.25">
      <c r="P1096" s="2" t="s">
        <v>15</v>
      </c>
      <c r="Q1096" s="10"/>
      <c r="R1096" s="10"/>
      <c r="S1096" s="10"/>
      <c r="T1096" s="10"/>
      <c r="U1096" s="10"/>
      <c r="V1096" s="10"/>
      <c r="W1096" s="10"/>
      <c r="X1096" s="10"/>
      <c r="Y1096" s="5">
        <f t="shared" si="17"/>
        <v>0</v>
      </c>
    </row>
    <row r="1097" spans="13:25" x14ac:dyDescent="0.25">
      <c r="P1097" s="2" t="s">
        <v>16</v>
      </c>
      <c r="Q1097" s="10"/>
      <c r="R1097" s="10"/>
      <c r="S1097" s="10"/>
      <c r="T1097" s="10"/>
      <c r="U1097" s="10"/>
      <c r="V1097" s="10"/>
      <c r="W1097" s="10"/>
      <c r="X1097" s="10"/>
      <c r="Y1097" s="5">
        <f t="shared" si="17"/>
        <v>0</v>
      </c>
    </row>
    <row r="1098" spans="13:25" x14ac:dyDescent="0.25">
      <c r="P1098" s="2" t="s">
        <v>17</v>
      </c>
      <c r="Q1098" s="10"/>
      <c r="R1098" s="10"/>
      <c r="S1098" s="10"/>
      <c r="T1098" s="10"/>
      <c r="U1098" s="10"/>
      <c r="V1098" s="10"/>
      <c r="W1098" s="10"/>
      <c r="X1098" s="10"/>
      <c r="Y1098" s="5">
        <f t="shared" si="17"/>
        <v>0</v>
      </c>
    </row>
    <row r="1099" spans="13:25" x14ac:dyDescent="0.25">
      <c r="P1099" s="2" t="s">
        <v>18</v>
      </c>
      <c r="Q1099" s="10"/>
      <c r="R1099" s="10"/>
      <c r="S1099" s="10"/>
      <c r="T1099" s="10"/>
      <c r="U1099" s="10"/>
      <c r="V1099" s="10"/>
      <c r="W1099" s="10"/>
      <c r="X1099" s="10"/>
      <c r="Y1099" s="5">
        <f t="shared" si="17"/>
        <v>0</v>
      </c>
    </row>
    <row r="1100" spans="13:25" x14ac:dyDescent="0.25">
      <c r="P1100" s="2" t="s">
        <v>19</v>
      </c>
      <c r="Q1100" s="10"/>
      <c r="R1100" s="10"/>
      <c r="S1100" s="10"/>
      <c r="T1100" s="10"/>
      <c r="U1100" s="10"/>
      <c r="V1100" s="10"/>
      <c r="W1100" s="10"/>
      <c r="X1100" s="10"/>
      <c r="Y1100" s="5">
        <f t="shared" si="17"/>
        <v>0</v>
      </c>
    </row>
    <row r="1101" spans="13:25" x14ac:dyDescent="0.25">
      <c r="P1101" s="2" t="s">
        <v>20</v>
      </c>
      <c r="Q1101" s="10"/>
      <c r="R1101" s="10"/>
      <c r="S1101" s="10"/>
      <c r="T1101" s="10"/>
      <c r="U1101" s="10"/>
      <c r="V1101" s="10"/>
      <c r="W1101" s="10"/>
      <c r="X1101" s="10"/>
      <c r="Y1101" s="5">
        <f t="shared" si="17"/>
        <v>0</v>
      </c>
    </row>
    <row r="1102" spans="13:25" x14ac:dyDescent="0.25">
      <c r="P1102" s="2" t="s">
        <v>21</v>
      </c>
      <c r="Q1102" s="10"/>
      <c r="R1102" s="10"/>
      <c r="S1102" s="10"/>
      <c r="T1102" s="10"/>
      <c r="U1102" s="10"/>
      <c r="V1102" s="10"/>
      <c r="W1102" s="10"/>
      <c r="X1102" s="10"/>
      <c r="Y1102" s="5">
        <f t="shared" si="17"/>
        <v>0</v>
      </c>
    </row>
    <row r="1103" spans="13:25" x14ac:dyDescent="0.25">
      <c r="P1103" s="2" t="s">
        <v>22</v>
      </c>
      <c r="Q1103" s="10"/>
      <c r="R1103" s="10"/>
      <c r="S1103" s="10"/>
      <c r="T1103" s="10"/>
      <c r="U1103" s="10"/>
      <c r="V1103" s="10"/>
      <c r="W1103" s="10"/>
      <c r="X1103" s="10"/>
      <c r="Y1103" s="5">
        <f t="shared" si="17"/>
        <v>0</v>
      </c>
    </row>
    <row r="1104" spans="13:25" x14ac:dyDescent="0.25">
      <c r="P1104" s="2" t="s">
        <v>23</v>
      </c>
      <c r="Q1104" s="10"/>
      <c r="R1104" s="10"/>
      <c r="S1104" s="10"/>
      <c r="T1104" s="10"/>
      <c r="U1104" s="10"/>
      <c r="V1104" s="10"/>
      <c r="W1104" s="10"/>
      <c r="X1104" s="10"/>
      <c r="Y1104" s="5">
        <f t="shared" si="17"/>
        <v>0</v>
      </c>
    </row>
    <row r="1105" spans="16:25" x14ac:dyDescent="0.25">
      <c r="P1105" s="2" t="s">
        <v>24</v>
      </c>
      <c r="Q1105" s="10"/>
      <c r="R1105" s="10"/>
      <c r="S1105" s="10"/>
      <c r="T1105" s="10"/>
      <c r="U1105" s="10"/>
      <c r="V1105" s="10"/>
      <c r="W1105" s="10"/>
      <c r="X1105" s="10"/>
      <c r="Y1105" s="5">
        <f t="shared" si="17"/>
        <v>0</v>
      </c>
    </row>
    <row r="1106" spans="16:25" x14ac:dyDescent="0.25">
      <c r="P1106" s="2" t="s">
        <v>25</v>
      </c>
      <c r="Q1106" s="10"/>
      <c r="R1106" s="10"/>
      <c r="S1106" s="10"/>
      <c r="T1106" s="10"/>
      <c r="U1106" s="10"/>
      <c r="V1106" s="10"/>
      <c r="W1106" s="10"/>
      <c r="X1106" s="10"/>
      <c r="Y1106" s="5">
        <f t="shared" si="17"/>
        <v>0</v>
      </c>
    </row>
    <row r="1107" spans="16:25" x14ac:dyDescent="0.25">
      <c r="P1107" s="2" t="s">
        <v>26</v>
      </c>
      <c r="Q1107" s="10"/>
      <c r="R1107" s="10"/>
      <c r="S1107" s="10"/>
      <c r="T1107" s="10"/>
      <c r="U1107" s="10"/>
      <c r="V1107" s="10"/>
      <c r="W1107" s="10"/>
      <c r="X1107" s="10"/>
      <c r="Y1107" s="5">
        <f t="shared" si="17"/>
        <v>0</v>
      </c>
    </row>
    <row r="1108" spans="16:25" x14ac:dyDescent="0.25">
      <c r="P1108" s="2" t="s">
        <v>27</v>
      </c>
      <c r="Q1108" s="10"/>
      <c r="R1108" s="10"/>
      <c r="S1108" s="10"/>
      <c r="T1108" s="10"/>
      <c r="U1108" s="10"/>
      <c r="V1108" s="10"/>
      <c r="W1108" s="10"/>
      <c r="X1108" s="10"/>
      <c r="Y1108" s="5">
        <f t="shared" si="17"/>
        <v>0</v>
      </c>
    </row>
    <row r="1109" spans="16:25" x14ac:dyDescent="0.25">
      <c r="P1109" s="2" t="s">
        <v>28</v>
      </c>
      <c r="Q1109" s="10"/>
      <c r="R1109" s="10"/>
      <c r="S1109" s="10"/>
      <c r="T1109" s="10"/>
      <c r="U1109" s="10"/>
      <c r="V1109" s="10"/>
      <c r="W1109" s="10"/>
      <c r="X1109" s="10"/>
      <c r="Y1109" s="5">
        <f t="shared" si="17"/>
        <v>0</v>
      </c>
    </row>
    <row r="1110" spans="16:25" x14ac:dyDescent="0.25">
      <c r="P1110" s="2" t="s">
        <v>29</v>
      </c>
      <c r="Q1110" s="10"/>
      <c r="R1110" s="10"/>
      <c r="S1110" s="10"/>
      <c r="T1110" s="10"/>
      <c r="U1110" s="10"/>
      <c r="V1110" s="10"/>
      <c r="W1110" s="10"/>
      <c r="X1110" s="10"/>
      <c r="Y1110" s="5">
        <f t="shared" si="17"/>
        <v>0</v>
      </c>
    </row>
    <row r="1111" spans="16:25" x14ac:dyDescent="0.25">
      <c r="P1111" s="2" t="s">
        <v>30</v>
      </c>
      <c r="Q1111" s="10"/>
      <c r="R1111" s="10"/>
      <c r="S1111" s="10"/>
      <c r="T1111" s="10"/>
      <c r="U1111" s="10"/>
      <c r="V1111" s="10"/>
      <c r="W1111" s="10"/>
      <c r="X1111" s="10"/>
      <c r="Y1111" s="5">
        <f t="shared" si="17"/>
        <v>0</v>
      </c>
    </row>
    <row r="1112" spans="16:25" x14ac:dyDescent="0.25">
      <c r="P1112" s="2" t="s">
        <v>31</v>
      </c>
      <c r="Q1112" s="10"/>
      <c r="R1112" s="10"/>
      <c r="S1112" s="10"/>
      <c r="T1112" s="10"/>
      <c r="U1112" s="10"/>
      <c r="V1112" s="10"/>
      <c r="W1112" s="10"/>
      <c r="X1112" s="10"/>
      <c r="Y1112" s="5">
        <f t="shared" si="17"/>
        <v>0</v>
      </c>
    </row>
    <row r="1113" spans="16:25" x14ac:dyDescent="0.25">
      <c r="P1113" s="2" t="s">
        <v>32</v>
      </c>
      <c r="Q1113" s="10"/>
      <c r="R1113" s="10"/>
      <c r="S1113" s="10"/>
      <c r="T1113" s="10"/>
      <c r="U1113" s="10"/>
      <c r="V1113" s="10"/>
      <c r="W1113" s="10"/>
      <c r="X1113" s="10"/>
      <c r="Y1113" s="5">
        <f t="shared" si="17"/>
        <v>0</v>
      </c>
    </row>
    <row r="1114" spans="16:25" x14ac:dyDescent="0.25">
      <c r="P1114" s="2" t="s">
        <v>33</v>
      </c>
      <c r="Q1114" s="10"/>
      <c r="R1114" s="10"/>
      <c r="S1114" s="10"/>
      <c r="T1114" s="10"/>
      <c r="U1114" s="10"/>
      <c r="V1114" s="10"/>
      <c r="W1114" s="10"/>
      <c r="X1114" s="10"/>
      <c r="Y1114" s="5">
        <f t="shared" si="17"/>
        <v>0</v>
      </c>
    </row>
    <row r="1115" spans="16:25" x14ac:dyDescent="0.25">
      <c r="P1115" s="2" t="s">
        <v>34</v>
      </c>
      <c r="Q1115" s="10"/>
      <c r="R1115" s="10"/>
      <c r="S1115" s="10"/>
      <c r="T1115" s="10"/>
      <c r="U1115" s="10"/>
      <c r="V1115" s="10"/>
      <c r="W1115" s="10"/>
      <c r="X1115" s="10"/>
      <c r="Y1115" s="5">
        <f t="shared" si="17"/>
        <v>0</v>
      </c>
    </row>
    <row r="1116" spans="16:25" x14ac:dyDescent="0.25">
      <c r="P1116" s="2" t="s">
        <v>35</v>
      </c>
      <c r="Q1116" s="10"/>
      <c r="R1116" s="10"/>
      <c r="S1116" s="10"/>
      <c r="T1116" s="10"/>
      <c r="U1116" s="10"/>
      <c r="V1116" s="10"/>
      <c r="W1116" s="10"/>
      <c r="X1116" s="10"/>
      <c r="Y1116" s="5">
        <f t="shared" si="17"/>
        <v>0</v>
      </c>
    </row>
    <row r="1117" spans="16:25" x14ac:dyDescent="0.25">
      <c r="P1117" s="2" t="s">
        <v>36</v>
      </c>
      <c r="Q1117" s="10"/>
      <c r="R1117" s="10"/>
      <c r="S1117" s="10"/>
      <c r="T1117" s="10"/>
      <c r="U1117" s="10"/>
      <c r="V1117" s="10"/>
      <c r="W1117" s="10"/>
      <c r="X1117" s="10"/>
      <c r="Y1117" s="5">
        <f t="shared" si="17"/>
        <v>0</v>
      </c>
    </row>
    <row r="1118" spans="16:25" x14ac:dyDescent="0.25">
      <c r="P1118" s="2" t="s">
        <v>37</v>
      </c>
      <c r="Q1118" s="10"/>
      <c r="R1118" s="10"/>
      <c r="S1118" s="10"/>
      <c r="T1118" s="10"/>
      <c r="U1118" s="10"/>
      <c r="V1118" s="10"/>
      <c r="W1118" s="10"/>
      <c r="X1118" s="10"/>
      <c r="Y1118" s="5">
        <f t="shared" si="17"/>
        <v>0</v>
      </c>
    </row>
    <row r="1119" spans="16:25" x14ac:dyDescent="0.25">
      <c r="P1119" s="2" t="s">
        <v>38</v>
      </c>
      <c r="Q1119" s="10"/>
      <c r="R1119" s="10"/>
      <c r="S1119" s="10"/>
      <c r="T1119" s="10"/>
      <c r="U1119" s="10"/>
      <c r="V1119" s="10"/>
      <c r="W1119" s="10"/>
      <c r="X1119" s="10"/>
      <c r="Y1119" s="5">
        <f t="shared" si="17"/>
        <v>0</v>
      </c>
    </row>
    <row r="1120" spans="16:25" x14ac:dyDescent="0.25">
      <c r="P1120" s="2" t="s">
        <v>39</v>
      </c>
      <c r="Q1120" s="10"/>
      <c r="R1120" s="10"/>
      <c r="S1120" s="10"/>
      <c r="T1120" s="10"/>
      <c r="U1120" s="10"/>
      <c r="V1120" s="10"/>
      <c r="W1120" s="10"/>
      <c r="X1120" s="10"/>
      <c r="Y1120" s="5">
        <f t="shared" si="17"/>
        <v>0</v>
      </c>
    </row>
    <row r="1121" spans="13:25" x14ac:dyDescent="0.25">
      <c r="P1121" s="2" t="s">
        <v>40</v>
      </c>
      <c r="Q1121" s="10"/>
      <c r="R1121" s="10"/>
      <c r="S1121" s="10"/>
      <c r="T1121" s="10"/>
      <c r="U1121" s="10"/>
      <c r="V1121" s="10"/>
      <c r="W1121" s="10"/>
      <c r="X1121" s="10"/>
      <c r="Y1121" s="5">
        <f t="shared" si="17"/>
        <v>0</v>
      </c>
    </row>
    <row r="1122" spans="13:25" x14ac:dyDescent="0.25">
      <c r="P1122" s="2" t="s">
        <v>41</v>
      </c>
      <c r="Q1122" s="10"/>
      <c r="R1122" s="10"/>
      <c r="S1122" s="10"/>
      <c r="T1122" s="10"/>
      <c r="U1122" s="10"/>
      <c r="V1122" s="10"/>
      <c r="W1122" s="10"/>
      <c r="X1122" s="10"/>
      <c r="Y1122" s="5">
        <f t="shared" si="17"/>
        <v>0</v>
      </c>
    </row>
    <row r="1123" spans="13:25" x14ac:dyDescent="0.25">
      <c r="P1123" s="2" t="s">
        <v>42</v>
      </c>
      <c r="Q1123" s="10"/>
      <c r="R1123" s="10"/>
      <c r="S1123" s="10"/>
      <c r="T1123" s="10"/>
      <c r="U1123" s="10"/>
      <c r="V1123" s="10"/>
      <c r="W1123" s="10"/>
      <c r="X1123" s="10"/>
      <c r="Y1123" s="5">
        <f t="shared" si="17"/>
        <v>0</v>
      </c>
    </row>
    <row r="1124" spans="13:25" x14ac:dyDescent="0.25">
      <c r="P1124" s="2" t="s">
        <v>43</v>
      </c>
      <c r="Q1124" s="10"/>
      <c r="R1124" s="10"/>
      <c r="S1124" s="10"/>
      <c r="T1124" s="10"/>
      <c r="U1124" s="10"/>
      <c r="V1124" s="10"/>
      <c r="W1124" s="10"/>
      <c r="X1124" s="10"/>
      <c r="Y1124" s="5">
        <f t="shared" si="17"/>
        <v>0</v>
      </c>
    </row>
    <row r="1125" spans="13:25" x14ac:dyDescent="0.25">
      <c r="P1125" s="2" t="s">
        <v>44</v>
      </c>
      <c r="Q1125" s="10"/>
      <c r="R1125" s="10"/>
      <c r="S1125" s="10"/>
      <c r="T1125" s="10"/>
      <c r="U1125" s="10"/>
      <c r="V1125" s="10"/>
      <c r="W1125" s="10"/>
      <c r="X1125" s="10"/>
      <c r="Y1125" s="5">
        <f t="shared" si="17"/>
        <v>0</v>
      </c>
    </row>
    <row r="1126" spans="13:25" x14ac:dyDescent="0.25">
      <c r="M1126" t="s">
        <v>115</v>
      </c>
      <c r="N1126" t="s">
        <v>103</v>
      </c>
      <c r="O1126" t="s">
        <v>45</v>
      </c>
      <c r="P1126" s="2" t="s">
        <v>12</v>
      </c>
      <c r="Q1126" s="10">
        <f>data_redis_illX!E993</f>
        <v>0</v>
      </c>
      <c r="R1126" s="10">
        <f>data_redis_illX!F993</f>
        <v>0</v>
      </c>
      <c r="S1126" s="10">
        <f>data_redis_illX!G993</f>
        <v>0</v>
      </c>
      <c r="T1126" s="10">
        <f>data_redis_illX!H993</f>
        <v>0</v>
      </c>
      <c r="U1126" s="10">
        <f>data_redis_illX!I993</f>
        <v>0</v>
      </c>
      <c r="V1126" s="10">
        <f>data_redis_illX!J993</f>
        <v>0</v>
      </c>
      <c r="W1126" s="10">
        <f>data_redis_illX!K993</f>
        <v>0</v>
      </c>
      <c r="X1126" s="10">
        <f>data_redis_illX!L993</f>
        <v>0</v>
      </c>
      <c r="Y1126" s="5">
        <f t="shared" si="17"/>
        <v>0</v>
      </c>
    </row>
    <row r="1127" spans="13:25" x14ac:dyDescent="0.25">
      <c r="P1127" s="2" t="s">
        <v>13</v>
      </c>
      <c r="Q1127" s="10">
        <f>data_redis_illX!E994</f>
        <v>0</v>
      </c>
      <c r="R1127" s="10">
        <f>data_redis_illX!F994</f>
        <v>0</v>
      </c>
      <c r="S1127" s="10">
        <f>data_redis_illX!G994</f>
        <v>0</v>
      </c>
      <c r="T1127" s="10">
        <f>data_redis_illX!H994</f>
        <v>0</v>
      </c>
      <c r="U1127" s="10">
        <f>data_redis_illX!I994</f>
        <v>0</v>
      </c>
      <c r="V1127" s="10">
        <f>data_redis_illX!J994</f>
        <v>0</v>
      </c>
      <c r="W1127" s="10">
        <f>data_redis_illX!K994</f>
        <v>0</v>
      </c>
      <c r="X1127" s="10">
        <f>data_redis_illX!L994</f>
        <v>0</v>
      </c>
      <c r="Y1127" s="5">
        <f t="shared" si="17"/>
        <v>0</v>
      </c>
    </row>
    <row r="1128" spans="13:25" x14ac:dyDescent="0.25">
      <c r="P1128" s="2" t="s">
        <v>14</v>
      </c>
      <c r="Q1128" s="10">
        <f>data_redis_illX!E995</f>
        <v>0</v>
      </c>
      <c r="R1128" s="10">
        <f>data_redis_illX!F995</f>
        <v>0</v>
      </c>
      <c r="S1128" s="10">
        <f>data_redis_illX!G995</f>
        <v>0</v>
      </c>
      <c r="T1128" s="10">
        <f>data_redis_illX!H995</f>
        <v>0</v>
      </c>
      <c r="U1128" s="10">
        <f>data_redis_illX!I995</f>
        <v>0</v>
      </c>
      <c r="V1128" s="10">
        <f>data_redis_illX!J995</f>
        <v>0</v>
      </c>
      <c r="W1128" s="10">
        <f>data_redis_illX!K995</f>
        <v>0</v>
      </c>
      <c r="X1128" s="10">
        <f>data_redis_illX!L995</f>
        <v>0</v>
      </c>
      <c r="Y1128" s="5">
        <f t="shared" si="17"/>
        <v>0</v>
      </c>
    </row>
    <row r="1129" spans="13:25" x14ac:dyDescent="0.25">
      <c r="P1129" s="2" t="s">
        <v>15</v>
      </c>
      <c r="Q1129" s="10">
        <f>data_redis_illX!E996</f>
        <v>0</v>
      </c>
      <c r="R1129" s="10">
        <f>data_redis_illX!F996</f>
        <v>0</v>
      </c>
      <c r="S1129" s="10">
        <f>data_redis_illX!G996</f>
        <v>0</v>
      </c>
      <c r="T1129" s="10">
        <f>data_redis_illX!H996</f>
        <v>0</v>
      </c>
      <c r="U1129" s="10">
        <f>data_redis_illX!I996</f>
        <v>0</v>
      </c>
      <c r="V1129" s="10">
        <f>data_redis_illX!J996</f>
        <v>0</v>
      </c>
      <c r="W1129" s="10">
        <f>data_redis_illX!K996</f>
        <v>0</v>
      </c>
      <c r="X1129" s="10">
        <f>data_redis_illX!L996</f>
        <v>0</v>
      </c>
      <c r="Y1129" s="5">
        <f t="shared" si="17"/>
        <v>0</v>
      </c>
    </row>
    <row r="1130" spans="13:25" x14ac:dyDescent="0.25">
      <c r="P1130" s="2" t="s">
        <v>16</v>
      </c>
      <c r="Q1130" s="10">
        <f>data_redis_illX!E997</f>
        <v>0</v>
      </c>
      <c r="R1130" s="10">
        <f>data_redis_illX!F997</f>
        <v>0</v>
      </c>
      <c r="S1130" s="10">
        <f>data_redis_illX!G997</f>
        <v>0</v>
      </c>
      <c r="T1130" s="10">
        <f>data_redis_illX!H997</f>
        <v>0</v>
      </c>
      <c r="U1130" s="10">
        <f>data_redis_illX!I997</f>
        <v>0</v>
      </c>
      <c r="V1130" s="10">
        <f>data_redis_illX!J997</f>
        <v>0</v>
      </c>
      <c r="W1130" s="10">
        <f>data_redis_illX!K997</f>
        <v>0</v>
      </c>
      <c r="X1130" s="10">
        <f>data_redis_illX!L997</f>
        <v>0</v>
      </c>
      <c r="Y1130" s="5">
        <f t="shared" si="17"/>
        <v>0</v>
      </c>
    </row>
    <row r="1131" spans="13:25" x14ac:dyDescent="0.25">
      <c r="P1131" s="2" t="s">
        <v>17</v>
      </c>
      <c r="Q1131" s="10">
        <f>data_redis_illX!E998</f>
        <v>0</v>
      </c>
      <c r="R1131" s="10">
        <f>data_redis_illX!F998</f>
        <v>0</v>
      </c>
      <c r="S1131" s="10">
        <f>data_redis_illX!G998</f>
        <v>0</v>
      </c>
      <c r="T1131" s="10">
        <f>data_redis_illX!H998</f>
        <v>0</v>
      </c>
      <c r="U1131" s="10">
        <f>data_redis_illX!I998</f>
        <v>0</v>
      </c>
      <c r="V1131" s="10">
        <f>data_redis_illX!J998</f>
        <v>0</v>
      </c>
      <c r="W1131" s="10">
        <f>data_redis_illX!K998</f>
        <v>0</v>
      </c>
      <c r="X1131" s="10">
        <f>data_redis_illX!L998</f>
        <v>0</v>
      </c>
      <c r="Y1131" s="5">
        <f t="shared" si="17"/>
        <v>0</v>
      </c>
    </row>
    <row r="1132" spans="13:25" x14ac:dyDescent="0.25">
      <c r="P1132" s="2" t="s">
        <v>18</v>
      </c>
      <c r="Q1132" s="10">
        <f>data_redis_illX!E999</f>
        <v>0</v>
      </c>
      <c r="R1132" s="10">
        <f>data_redis_illX!F999</f>
        <v>0</v>
      </c>
      <c r="S1132" s="10">
        <f>data_redis_illX!G999</f>
        <v>0</v>
      </c>
      <c r="T1132" s="10">
        <f>data_redis_illX!H999</f>
        <v>0</v>
      </c>
      <c r="U1132" s="10">
        <f>data_redis_illX!I999</f>
        <v>0</v>
      </c>
      <c r="V1132" s="10">
        <f>data_redis_illX!J999</f>
        <v>0</v>
      </c>
      <c r="W1132" s="10">
        <f>data_redis_illX!K999</f>
        <v>0</v>
      </c>
      <c r="X1132" s="10">
        <f>data_redis_illX!L999</f>
        <v>0</v>
      </c>
      <c r="Y1132" s="5">
        <f t="shared" si="17"/>
        <v>0</v>
      </c>
    </row>
    <row r="1133" spans="13:25" x14ac:dyDescent="0.25">
      <c r="P1133" s="2" t="s">
        <v>19</v>
      </c>
      <c r="Q1133" s="10">
        <f>data_redis_illX!E1000</f>
        <v>0</v>
      </c>
      <c r="R1133" s="10">
        <f>data_redis_illX!F1000</f>
        <v>0</v>
      </c>
      <c r="S1133" s="10">
        <f>data_redis_illX!G1000</f>
        <v>0</v>
      </c>
      <c r="T1133" s="10">
        <f>data_redis_illX!H1000</f>
        <v>0</v>
      </c>
      <c r="U1133" s="10">
        <f>data_redis_illX!I1000</f>
        <v>0</v>
      </c>
      <c r="V1133" s="10">
        <f>data_redis_illX!J1000</f>
        <v>0</v>
      </c>
      <c r="W1133" s="10">
        <f>data_redis_illX!K1000</f>
        <v>0</v>
      </c>
      <c r="X1133" s="10">
        <f>data_redis_illX!L1000</f>
        <v>0</v>
      </c>
      <c r="Y1133" s="5">
        <f t="shared" si="17"/>
        <v>0</v>
      </c>
    </row>
    <row r="1134" spans="13:25" x14ac:dyDescent="0.25">
      <c r="P1134" s="2" t="s">
        <v>20</v>
      </c>
      <c r="Q1134" s="10">
        <f>data_redis_illX!E1001</f>
        <v>0</v>
      </c>
      <c r="R1134" s="10">
        <f>data_redis_illX!F1001</f>
        <v>0</v>
      </c>
      <c r="S1134" s="10">
        <f>data_redis_illX!G1001</f>
        <v>0</v>
      </c>
      <c r="T1134" s="10">
        <f>data_redis_illX!H1001</f>
        <v>0</v>
      </c>
      <c r="U1134" s="10">
        <f>data_redis_illX!I1001</f>
        <v>0</v>
      </c>
      <c r="V1134" s="10">
        <f>data_redis_illX!J1001</f>
        <v>0</v>
      </c>
      <c r="W1134" s="10">
        <f>data_redis_illX!K1001</f>
        <v>0</v>
      </c>
      <c r="X1134" s="10">
        <f>data_redis_illX!L1001</f>
        <v>0</v>
      </c>
      <c r="Y1134" s="5">
        <f t="shared" si="17"/>
        <v>0</v>
      </c>
    </row>
    <row r="1135" spans="13:25" x14ac:dyDescent="0.25">
      <c r="P1135" s="2" t="s">
        <v>21</v>
      </c>
      <c r="Q1135" s="10">
        <f>data_redis_illX!E1002</f>
        <v>0</v>
      </c>
      <c r="R1135" s="10">
        <f>data_redis_illX!F1002</f>
        <v>0</v>
      </c>
      <c r="S1135" s="10">
        <f>data_redis_illX!G1002</f>
        <v>0</v>
      </c>
      <c r="T1135" s="10">
        <f>data_redis_illX!H1002</f>
        <v>0</v>
      </c>
      <c r="U1135" s="10">
        <f>data_redis_illX!I1002</f>
        <v>0</v>
      </c>
      <c r="V1135" s="10">
        <f>data_redis_illX!J1002</f>
        <v>0</v>
      </c>
      <c r="W1135" s="10">
        <f>data_redis_illX!K1002</f>
        <v>0</v>
      </c>
      <c r="X1135" s="10">
        <f>data_redis_illX!L1002</f>
        <v>0</v>
      </c>
      <c r="Y1135" s="5">
        <f t="shared" si="17"/>
        <v>0</v>
      </c>
    </row>
    <row r="1136" spans="13:25" x14ac:dyDescent="0.25">
      <c r="P1136" s="2" t="s">
        <v>22</v>
      </c>
      <c r="Q1136" s="10">
        <f>data_redis_illX!E1003</f>
        <v>0</v>
      </c>
      <c r="R1136" s="10">
        <f>data_redis_illX!F1003</f>
        <v>0</v>
      </c>
      <c r="S1136" s="10">
        <f>data_redis_illX!G1003</f>
        <v>0</v>
      </c>
      <c r="T1136" s="10">
        <f>data_redis_illX!H1003</f>
        <v>0</v>
      </c>
      <c r="U1136" s="10">
        <f>data_redis_illX!I1003</f>
        <v>0</v>
      </c>
      <c r="V1136" s="10">
        <f>data_redis_illX!J1003</f>
        <v>0</v>
      </c>
      <c r="W1136" s="10">
        <f>data_redis_illX!K1003</f>
        <v>0</v>
      </c>
      <c r="X1136" s="10">
        <f>data_redis_illX!L1003</f>
        <v>0</v>
      </c>
      <c r="Y1136" s="5">
        <f t="shared" si="17"/>
        <v>0</v>
      </c>
    </row>
    <row r="1137" spans="16:25" x14ac:dyDescent="0.25">
      <c r="P1137" s="2" t="s">
        <v>23</v>
      </c>
      <c r="Q1137" s="10">
        <f>data_redis_illX!E1004</f>
        <v>0</v>
      </c>
      <c r="R1137" s="10">
        <f>data_redis_illX!F1004</f>
        <v>0</v>
      </c>
      <c r="S1137" s="10">
        <f>data_redis_illX!G1004</f>
        <v>0</v>
      </c>
      <c r="T1137" s="10">
        <f>data_redis_illX!H1004</f>
        <v>0</v>
      </c>
      <c r="U1137" s="10">
        <f>data_redis_illX!I1004</f>
        <v>0</v>
      </c>
      <c r="V1137" s="10">
        <f>data_redis_illX!J1004</f>
        <v>0</v>
      </c>
      <c r="W1137" s="10">
        <f>data_redis_illX!K1004</f>
        <v>0</v>
      </c>
      <c r="X1137" s="10">
        <f>data_redis_illX!L1004</f>
        <v>0</v>
      </c>
      <c r="Y1137" s="5">
        <f t="shared" si="17"/>
        <v>0</v>
      </c>
    </row>
    <row r="1138" spans="16:25" x14ac:dyDescent="0.25">
      <c r="P1138" s="2" t="s">
        <v>24</v>
      </c>
      <c r="Q1138" s="10">
        <f>data_redis_illX!E1005</f>
        <v>0</v>
      </c>
      <c r="R1138" s="10">
        <f>data_redis_illX!F1005</f>
        <v>0</v>
      </c>
      <c r="S1138" s="10">
        <f>data_redis_illX!G1005</f>
        <v>0</v>
      </c>
      <c r="T1138" s="10">
        <f>data_redis_illX!H1005</f>
        <v>0</v>
      </c>
      <c r="U1138" s="10">
        <f>data_redis_illX!I1005</f>
        <v>1.1217513682564504</v>
      </c>
      <c r="V1138" s="10">
        <f>data_redis_illX!J1005</f>
        <v>0</v>
      </c>
      <c r="W1138" s="10">
        <f>data_redis_illX!K1005</f>
        <v>0</v>
      </c>
      <c r="X1138" s="10">
        <f>data_redis_illX!L1005</f>
        <v>0</v>
      </c>
      <c r="Y1138" s="5">
        <f t="shared" si="17"/>
        <v>1.1217513682564504</v>
      </c>
    </row>
    <row r="1139" spans="16:25" x14ac:dyDescent="0.25">
      <c r="P1139" s="2" t="s">
        <v>25</v>
      </c>
      <c r="Q1139" s="10">
        <f>data_redis_illX!E1006</f>
        <v>0</v>
      </c>
      <c r="R1139" s="10">
        <f>data_redis_illX!F1006</f>
        <v>0</v>
      </c>
      <c r="S1139" s="10">
        <f>data_redis_illX!G1006</f>
        <v>0</v>
      </c>
      <c r="T1139" s="10">
        <f>data_redis_illX!H1006</f>
        <v>0</v>
      </c>
      <c r="U1139" s="10">
        <f>data_redis_illX!I1006</f>
        <v>0</v>
      </c>
      <c r="V1139" s="10">
        <f>data_redis_illX!J1006</f>
        <v>0</v>
      </c>
      <c r="W1139" s="10">
        <f>data_redis_illX!K1006</f>
        <v>0</v>
      </c>
      <c r="X1139" s="10">
        <f>data_redis_illX!L1006</f>
        <v>0</v>
      </c>
      <c r="Y1139" s="5">
        <f t="shared" si="17"/>
        <v>0</v>
      </c>
    </row>
    <row r="1140" spans="16:25" x14ac:dyDescent="0.25">
      <c r="P1140" s="2" t="s">
        <v>26</v>
      </c>
      <c r="Q1140" s="10">
        <f>data_redis_illX!E1007</f>
        <v>0</v>
      </c>
      <c r="R1140" s="10">
        <f>data_redis_illX!F1007</f>
        <v>0</v>
      </c>
      <c r="S1140" s="10">
        <f>data_redis_illX!G1007</f>
        <v>0</v>
      </c>
      <c r="T1140" s="10">
        <f>data_redis_illX!H1007</f>
        <v>0</v>
      </c>
      <c r="U1140" s="10">
        <f>data_redis_illX!I1007</f>
        <v>0</v>
      </c>
      <c r="V1140" s="10">
        <f>data_redis_illX!J1007</f>
        <v>0</v>
      </c>
      <c r="W1140" s="10">
        <f>data_redis_illX!K1007</f>
        <v>0</v>
      </c>
      <c r="X1140" s="10">
        <f>data_redis_illX!L1007</f>
        <v>0</v>
      </c>
      <c r="Y1140" s="5">
        <f t="shared" si="17"/>
        <v>0</v>
      </c>
    </row>
    <row r="1141" spans="16:25" x14ac:dyDescent="0.25">
      <c r="P1141" s="2" t="s">
        <v>27</v>
      </c>
      <c r="Q1141" s="10">
        <f>data_redis_illX!E1008</f>
        <v>0</v>
      </c>
      <c r="R1141" s="10">
        <f>data_redis_illX!F1008</f>
        <v>0</v>
      </c>
      <c r="S1141" s="10">
        <f>data_redis_illX!G1008</f>
        <v>0</v>
      </c>
      <c r="T1141" s="10">
        <f>data_redis_illX!H1008</f>
        <v>0</v>
      </c>
      <c r="U1141" s="10">
        <f>data_redis_illX!I1008</f>
        <v>0</v>
      </c>
      <c r="V1141" s="10">
        <f>data_redis_illX!J1008</f>
        <v>0</v>
      </c>
      <c r="W1141" s="10">
        <f>data_redis_illX!K1008</f>
        <v>0</v>
      </c>
      <c r="X1141" s="10">
        <f>data_redis_illX!L1008</f>
        <v>0</v>
      </c>
      <c r="Y1141" s="5">
        <f t="shared" si="17"/>
        <v>0</v>
      </c>
    </row>
    <row r="1142" spans="16:25" x14ac:dyDescent="0.25">
      <c r="P1142" s="2" t="s">
        <v>28</v>
      </c>
      <c r="Q1142" s="10">
        <f>data_redis_illX!E1009</f>
        <v>0</v>
      </c>
      <c r="R1142" s="10">
        <f>data_redis_illX!F1009</f>
        <v>0</v>
      </c>
      <c r="S1142" s="10">
        <f>data_redis_illX!G1009</f>
        <v>0</v>
      </c>
      <c r="T1142" s="10">
        <f>data_redis_illX!H1009</f>
        <v>0</v>
      </c>
      <c r="U1142" s="10">
        <f>data_redis_illX!I1009</f>
        <v>0</v>
      </c>
      <c r="V1142" s="10">
        <f>data_redis_illX!J1009</f>
        <v>0</v>
      </c>
      <c r="W1142" s="10">
        <f>data_redis_illX!K1009</f>
        <v>0</v>
      </c>
      <c r="X1142" s="10">
        <f>data_redis_illX!L1009</f>
        <v>0</v>
      </c>
      <c r="Y1142" s="5">
        <f t="shared" si="17"/>
        <v>0</v>
      </c>
    </row>
    <row r="1143" spans="16:25" x14ac:dyDescent="0.25">
      <c r="P1143" s="2" t="s">
        <v>29</v>
      </c>
      <c r="Q1143" s="10">
        <f>data_redis_illX!E1010</f>
        <v>0</v>
      </c>
      <c r="R1143" s="10">
        <f>data_redis_illX!F1010</f>
        <v>0</v>
      </c>
      <c r="S1143" s="10">
        <f>data_redis_illX!G1010</f>
        <v>2.131719025122925</v>
      </c>
      <c r="T1143" s="10">
        <f>data_redis_illX!H1010</f>
        <v>0</v>
      </c>
      <c r="U1143" s="10">
        <f>data_redis_illX!I1010</f>
        <v>0</v>
      </c>
      <c r="V1143" s="10">
        <f>data_redis_illX!J1010</f>
        <v>0</v>
      </c>
      <c r="W1143" s="10">
        <f>data_redis_illX!K1010</f>
        <v>0</v>
      </c>
      <c r="X1143" s="10">
        <f>data_redis_illX!L1010</f>
        <v>0</v>
      </c>
      <c r="Y1143" s="5">
        <f t="shared" si="17"/>
        <v>2.131719025122925</v>
      </c>
    </row>
    <row r="1144" spans="16:25" x14ac:dyDescent="0.25">
      <c r="P1144" s="2" t="s">
        <v>30</v>
      </c>
      <c r="Q1144" s="10">
        <f>data_redis_illX!E1011</f>
        <v>0</v>
      </c>
      <c r="R1144" s="10">
        <f>data_redis_illX!F1011</f>
        <v>0</v>
      </c>
      <c r="S1144" s="10">
        <f>data_redis_illX!G1011</f>
        <v>3.1975785376843877</v>
      </c>
      <c r="T1144" s="10">
        <f>data_redis_illX!H1011</f>
        <v>4.2507960757882124</v>
      </c>
      <c r="U1144" s="10">
        <f>data_redis_illX!I1011</f>
        <v>0</v>
      </c>
      <c r="V1144" s="10">
        <f>data_redis_illX!J1011</f>
        <v>0</v>
      </c>
      <c r="W1144" s="10">
        <f>data_redis_illX!K1011</f>
        <v>0</v>
      </c>
      <c r="X1144" s="10">
        <f>data_redis_illX!L1011</f>
        <v>0</v>
      </c>
      <c r="Y1144" s="5">
        <f t="shared" si="17"/>
        <v>7.4483746134726001</v>
      </c>
    </row>
    <row r="1145" spans="16:25" x14ac:dyDescent="0.25">
      <c r="P1145" s="2" t="s">
        <v>31</v>
      </c>
      <c r="Q1145" s="10">
        <f>data_redis_illX!E1012</f>
        <v>0</v>
      </c>
      <c r="R1145" s="10">
        <f>data_redis_illX!F1012</f>
        <v>0</v>
      </c>
      <c r="S1145" s="10">
        <f>data_redis_illX!G1012</f>
        <v>0</v>
      </c>
      <c r="T1145" s="10">
        <f>data_redis_illX!H1012</f>
        <v>1.0626990189470531</v>
      </c>
      <c r="U1145" s="10">
        <f>data_redis_illX!I1012</f>
        <v>0</v>
      </c>
      <c r="V1145" s="10">
        <f>data_redis_illX!J1012</f>
        <v>0</v>
      </c>
      <c r="W1145" s="10">
        <f>data_redis_illX!K1012</f>
        <v>0</v>
      </c>
      <c r="X1145" s="10">
        <f>data_redis_illX!L1012</f>
        <v>0</v>
      </c>
      <c r="Y1145" s="5">
        <f t="shared" si="17"/>
        <v>1.0626990189470531</v>
      </c>
    </row>
    <row r="1146" spans="16:25" x14ac:dyDescent="0.25">
      <c r="P1146" s="2" t="s">
        <v>32</v>
      </c>
      <c r="Q1146" s="10">
        <f>data_redis_illX!E1013</f>
        <v>0</v>
      </c>
      <c r="R1146" s="10">
        <f>data_redis_illX!F1013</f>
        <v>0</v>
      </c>
      <c r="S1146" s="10">
        <f>data_redis_illX!G1013</f>
        <v>0</v>
      </c>
      <c r="T1146" s="10">
        <f>data_redis_illX!H1013</f>
        <v>0</v>
      </c>
      <c r="U1146" s="10">
        <f>data_redis_illX!I1013</f>
        <v>0</v>
      </c>
      <c r="V1146" s="10">
        <f>data_redis_illX!J1013</f>
        <v>0</v>
      </c>
      <c r="W1146" s="10">
        <f>data_redis_illX!K1013</f>
        <v>0</v>
      </c>
      <c r="X1146" s="10">
        <f>data_redis_illX!L1013</f>
        <v>0</v>
      </c>
      <c r="Y1146" s="5">
        <f t="shared" si="17"/>
        <v>0</v>
      </c>
    </row>
    <row r="1147" spans="16:25" x14ac:dyDescent="0.25">
      <c r="P1147" s="2" t="s">
        <v>33</v>
      </c>
      <c r="Q1147" s="10">
        <f>data_redis_illX!E1014</f>
        <v>0</v>
      </c>
      <c r="R1147" s="10">
        <f>data_redis_illX!F1014</f>
        <v>0</v>
      </c>
      <c r="S1147" s="10">
        <f>data_redis_illX!G1014</f>
        <v>0</v>
      </c>
      <c r="T1147" s="10">
        <f>data_redis_illX!H1014</f>
        <v>0</v>
      </c>
      <c r="U1147" s="10">
        <f>data_redis_illX!I1014</f>
        <v>0</v>
      </c>
      <c r="V1147" s="10">
        <f>data_redis_illX!J1014</f>
        <v>0</v>
      </c>
      <c r="W1147" s="10">
        <f>data_redis_illX!K1014</f>
        <v>0</v>
      </c>
      <c r="X1147" s="10">
        <f>data_redis_illX!L1014</f>
        <v>0</v>
      </c>
      <c r="Y1147" s="5">
        <f t="shared" si="17"/>
        <v>0</v>
      </c>
    </row>
    <row r="1148" spans="16:25" x14ac:dyDescent="0.25">
      <c r="P1148" s="2" t="s">
        <v>34</v>
      </c>
      <c r="Q1148" s="10">
        <f>data_redis_illX!E1015</f>
        <v>0</v>
      </c>
      <c r="R1148" s="10">
        <f>data_redis_illX!F1015</f>
        <v>0</v>
      </c>
      <c r="S1148" s="10">
        <f>data_redis_illX!G1015</f>
        <v>0</v>
      </c>
      <c r="T1148" s="10">
        <f>data_redis_illX!H1015</f>
        <v>0</v>
      </c>
      <c r="U1148" s="10">
        <f>data_redis_illX!I1015</f>
        <v>0</v>
      </c>
      <c r="V1148" s="10">
        <f>data_redis_illX!J1015</f>
        <v>0</v>
      </c>
      <c r="W1148" s="10">
        <f>data_redis_illX!K1015</f>
        <v>0</v>
      </c>
      <c r="X1148" s="10">
        <f>data_redis_illX!L1015</f>
        <v>0</v>
      </c>
      <c r="Y1148" s="5">
        <f t="shared" si="17"/>
        <v>0</v>
      </c>
    </row>
    <row r="1149" spans="16:25" x14ac:dyDescent="0.25">
      <c r="P1149" s="2" t="s">
        <v>35</v>
      </c>
      <c r="Q1149" s="10">
        <f>data_redis_illX!E1016</f>
        <v>0</v>
      </c>
      <c r="R1149" s="10">
        <f>data_redis_illX!F1016</f>
        <v>0</v>
      </c>
      <c r="S1149" s="10">
        <f>data_redis_illX!G1016</f>
        <v>0</v>
      </c>
      <c r="T1149" s="10">
        <f>data_redis_illX!H1016</f>
        <v>0</v>
      </c>
      <c r="U1149" s="10">
        <f>data_redis_illX!I1016</f>
        <v>0</v>
      </c>
      <c r="V1149" s="10">
        <f>data_redis_illX!J1016</f>
        <v>0</v>
      </c>
      <c r="W1149" s="10">
        <f>data_redis_illX!K1016</f>
        <v>0</v>
      </c>
      <c r="X1149" s="10">
        <f>data_redis_illX!L1016</f>
        <v>0</v>
      </c>
      <c r="Y1149" s="5">
        <f t="shared" si="17"/>
        <v>0</v>
      </c>
    </row>
    <row r="1150" spans="16:25" x14ac:dyDescent="0.25">
      <c r="P1150" s="2" t="s">
        <v>36</v>
      </c>
      <c r="Q1150" s="10">
        <f>data_redis_illX!E1017</f>
        <v>0</v>
      </c>
      <c r="R1150" s="10">
        <f>data_redis_illX!F1017</f>
        <v>0</v>
      </c>
      <c r="S1150" s="10">
        <f>data_redis_illX!G1017</f>
        <v>0</v>
      </c>
      <c r="T1150" s="10">
        <f>data_redis_illX!H1017</f>
        <v>0</v>
      </c>
      <c r="U1150" s="10">
        <f>data_redis_illX!I1017</f>
        <v>0</v>
      </c>
      <c r="V1150" s="10">
        <f>data_redis_illX!J1017</f>
        <v>0</v>
      </c>
      <c r="W1150" s="10">
        <f>data_redis_illX!K1017</f>
        <v>0</v>
      </c>
      <c r="X1150" s="10">
        <f>data_redis_illX!L1017</f>
        <v>0</v>
      </c>
      <c r="Y1150" s="5">
        <f t="shared" si="17"/>
        <v>0</v>
      </c>
    </row>
    <row r="1151" spans="16:25" x14ac:dyDescent="0.25">
      <c r="P1151" s="2" t="s">
        <v>37</v>
      </c>
      <c r="Q1151" s="10">
        <f>data_redis_illX!E1018</f>
        <v>0</v>
      </c>
      <c r="R1151" s="10">
        <f>data_redis_illX!F1018</f>
        <v>0</v>
      </c>
      <c r="S1151" s="10">
        <f>data_redis_illX!G1018</f>
        <v>0</v>
      </c>
      <c r="T1151" s="10">
        <f>data_redis_illX!H1018</f>
        <v>0</v>
      </c>
      <c r="U1151" s="10">
        <f>data_redis_illX!I1018</f>
        <v>0</v>
      </c>
      <c r="V1151" s="10">
        <f>data_redis_illX!J1018</f>
        <v>0</v>
      </c>
      <c r="W1151" s="10">
        <f>data_redis_illX!K1018</f>
        <v>0</v>
      </c>
      <c r="X1151" s="10">
        <f>data_redis_illX!L1018</f>
        <v>0</v>
      </c>
      <c r="Y1151" s="5">
        <f t="shared" si="17"/>
        <v>0</v>
      </c>
    </row>
    <row r="1152" spans="16:25" x14ac:dyDescent="0.25">
      <c r="P1152" s="2" t="s">
        <v>38</v>
      </c>
      <c r="Q1152" s="10">
        <f>data_redis_illX!E1019</f>
        <v>0</v>
      </c>
      <c r="R1152" s="10">
        <f>data_redis_illX!F1019</f>
        <v>0</v>
      </c>
      <c r="S1152" s="10">
        <f>data_redis_illX!G1019</f>
        <v>0</v>
      </c>
      <c r="T1152" s="10">
        <f>data_redis_illX!H1019</f>
        <v>0</v>
      </c>
      <c r="U1152" s="10">
        <f>data_redis_illX!I1019</f>
        <v>0</v>
      </c>
      <c r="V1152" s="10">
        <f>data_redis_illX!J1019</f>
        <v>0</v>
      </c>
      <c r="W1152" s="10">
        <f>data_redis_illX!K1019</f>
        <v>0</v>
      </c>
      <c r="X1152" s="10">
        <f>data_redis_illX!L1019</f>
        <v>0</v>
      </c>
      <c r="Y1152" s="5">
        <f t="shared" si="17"/>
        <v>0</v>
      </c>
    </row>
    <row r="1153" spans="13:25" x14ac:dyDescent="0.25">
      <c r="P1153" s="2" t="s">
        <v>39</v>
      </c>
      <c r="Q1153" s="10">
        <f>data_redis_illX!E1020</f>
        <v>0</v>
      </c>
      <c r="R1153" s="10">
        <f>data_redis_illX!F1020</f>
        <v>0</v>
      </c>
      <c r="S1153" s="10">
        <f>data_redis_illX!G1020</f>
        <v>0</v>
      </c>
      <c r="T1153" s="10">
        <f>data_redis_illX!H1020</f>
        <v>0</v>
      </c>
      <c r="U1153" s="10">
        <f>data_redis_illX!I1020</f>
        <v>0</v>
      </c>
      <c r="V1153" s="10">
        <f>data_redis_illX!J1020</f>
        <v>0</v>
      </c>
      <c r="W1153" s="10">
        <f>data_redis_illX!K1020</f>
        <v>0</v>
      </c>
      <c r="X1153" s="10">
        <f>data_redis_illX!L1020</f>
        <v>0</v>
      </c>
      <c r="Y1153" s="5">
        <f t="shared" si="17"/>
        <v>0</v>
      </c>
    </row>
    <row r="1154" spans="13:25" x14ac:dyDescent="0.25">
      <c r="P1154" s="2" t="s">
        <v>40</v>
      </c>
      <c r="Q1154" s="10">
        <f>data_redis_illX!E1021</f>
        <v>0</v>
      </c>
      <c r="R1154" s="10">
        <f>data_redis_illX!F1021</f>
        <v>0</v>
      </c>
      <c r="S1154" s="10">
        <f>data_redis_illX!G1021</f>
        <v>1.0658595125614625</v>
      </c>
      <c r="T1154" s="10">
        <f>data_redis_illX!H1021</f>
        <v>1.0626990189470531</v>
      </c>
      <c r="U1154" s="10">
        <f>data_redis_illX!I1021</f>
        <v>0</v>
      </c>
      <c r="V1154" s="10">
        <f>data_redis_illX!J1021</f>
        <v>0</v>
      </c>
      <c r="W1154" s="10">
        <f>data_redis_illX!K1021</f>
        <v>0</v>
      </c>
      <c r="X1154" s="10">
        <f>data_redis_illX!L1021</f>
        <v>0</v>
      </c>
      <c r="Y1154" s="5">
        <f t="shared" si="17"/>
        <v>2.1285585315085154</v>
      </c>
    </row>
    <row r="1155" spans="13:25" x14ac:dyDescent="0.25">
      <c r="P1155" s="2" t="s">
        <v>41</v>
      </c>
      <c r="Q1155" s="10">
        <f>data_redis_illX!E1022</f>
        <v>0</v>
      </c>
      <c r="R1155" s="10">
        <f>data_redis_illX!F1022</f>
        <v>0</v>
      </c>
      <c r="S1155" s="10">
        <f>data_redis_illX!G1022</f>
        <v>0</v>
      </c>
      <c r="T1155" s="10">
        <f>data_redis_illX!H1022</f>
        <v>0</v>
      </c>
      <c r="U1155" s="10">
        <f>data_redis_illX!I1022</f>
        <v>0</v>
      </c>
      <c r="V1155" s="10">
        <f>data_redis_illX!J1022</f>
        <v>0</v>
      </c>
      <c r="W1155" s="10">
        <f>data_redis_illX!K1022</f>
        <v>0</v>
      </c>
      <c r="X1155" s="10">
        <f>data_redis_illX!L1022</f>
        <v>0</v>
      </c>
      <c r="Y1155" s="5">
        <f t="shared" si="17"/>
        <v>0</v>
      </c>
    </row>
    <row r="1156" spans="13:25" x14ac:dyDescent="0.25">
      <c r="P1156" s="2" t="s">
        <v>42</v>
      </c>
      <c r="Q1156" s="10">
        <f>data_redis_illX!E1023</f>
        <v>0</v>
      </c>
      <c r="R1156" s="10">
        <f>data_redis_illX!F1023</f>
        <v>0</v>
      </c>
      <c r="S1156" s="10">
        <f>data_redis_illX!G1023</f>
        <v>0</v>
      </c>
      <c r="T1156" s="10">
        <f>data_redis_illX!H1023</f>
        <v>0</v>
      </c>
      <c r="U1156" s="10">
        <f>data_redis_illX!I1023</f>
        <v>0</v>
      </c>
      <c r="V1156" s="10">
        <f>data_redis_illX!J1023</f>
        <v>0</v>
      </c>
      <c r="W1156" s="10">
        <f>data_redis_illX!K1023</f>
        <v>0</v>
      </c>
      <c r="X1156" s="10">
        <f>data_redis_illX!L1023</f>
        <v>0</v>
      </c>
      <c r="Y1156" s="5">
        <f t="shared" si="17"/>
        <v>0</v>
      </c>
    </row>
    <row r="1157" spans="13:25" x14ac:dyDescent="0.25">
      <c r="P1157" s="2" t="s">
        <v>43</v>
      </c>
      <c r="Q1157" s="10">
        <f>data_redis_illX!E1024</f>
        <v>0</v>
      </c>
      <c r="R1157" s="10">
        <f>data_redis_illX!F1024</f>
        <v>0</v>
      </c>
      <c r="S1157" s="10">
        <f>data_redis_illX!G1024</f>
        <v>92.729777592847242</v>
      </c>
      <c r="T1157" s="10">
        <f>data_redis_illX!H1024</f>
        <v>97.768309743128881</v>
      </c>
      <c r="U1157" s="10">
        <f>data_redis_illX!I1024</f>
        <v>26.922032838154806</v>
      </c>
      <c r="V1157" s="10">
        <f>data_redis_illX!J1024</f>
        <v>0</v>
      </c>
      <c r="W1157" s="10">
        <f>data_redis_illX!K1024</f>
        <v>0</v>
      </c>
      <c r="X1157" s="10">
        <f>data_redis_illX!L1024</f>
        <v>0</v>
      </c>
      <c r="Y1157" s="5">
        <f t="shared" ref="Y1157:Y1220" si="18">SUM(Q1157:X1157)</f>
        <v>217.42012017413094</v>
      </c>
    </row>
    <row r="1158" spans="13:25" x14ac:dyDescent="0.25">
      <c r="P1158" s="2" t="s">
        <v>44</v>
      </c>
      <c r="Q1158" s="10">
        <f>data_redis_illX!E1025</f>
        <v>0</v>
      </c>
      <c r="R1158" s="10">
        <f>data_redis_illX!F1025</f>
        <v>0</v>
      </c>
      <c r="S1158" s="10">
        <f>data_redis_illX!G1025</f>
        <v>1.0658595125614625</v>
      </c>
      <c r="T1158" s="10">
        <f>data_redis_illX!H1025</f>
        <v>2.1253980378941062</v>
      </c>
      <c r="U1158" s="10">
        <f>data_redis_illX!I1025</f>
        <v>0</v>
      </c>
      <c r="V1158" s="10">
        <f>data_redis_illX!J1025</f>
        <v>0</v>
      </c>
      <c r="W1158" s="10">
        <f>data_redis_illX!K1025</f>
        <v>0</v>
      </c>
      <c r="X1158" s="10">
        <f>data_redis_illX!L1025</f>
        <v>0</v>
      </c>
      <c r="Y1158" s="5">
        <f t="shared" si="18"/>
        <v>3.1912575504555685</v>
      </c>
    </row>
    <row r="1159" spans="13:25" x14ac:dyDescent="0.25">
      <c r="M1159" t="s">
        <v>115</v>
      </c>
      <c r="N1159" t="s">
        <v>103</v>
      </c>
      <c r="O1159" t="s">
        <v>46</v>
      </c>
      <c r="P1159" s="2" t="s">
        <v>12</v>
      </c>
      <c r="Q1159" s="10">
        <f>data_redis_illX!E1026</f>
        <v>0</v>
      </c>
      <c r="R1159" s="10">
        <f>data_redis_illX!F1026</f>
        <v>0</v>
      </c>
      <c r="S1159" s="10">
        <f>data_redis_illX!G1026</f>
        <v>1.2813875255752067</v>
      </c>
      <c r="T1159" s="10">
        <f>data_redis_illX!H1026</f>
        <v>5.10586393266653</v>
      </c>
      <c r="U1159" s="10">
        <f>data_redis_illX!I1026</f>
        <v>2.3984815439693841</v>
      </c>
      <c r="V1159" s="10">
        <f>data_redis_illX!J1026</f>
        <v>6.0662177328843998E-2</v>
      </c>
      <c r="W1159" s="10">
        <f>data_redis_illX!K1026</f>
        <v>0</v>
      </c>
      <c r="X1159" s="10">
        <f>data_redis_illX!L1026</f>
        <v>0</v>
      </c>
      <c r="Y1159" s="5">
        <f t="shared" si="18"/>
        <v>8.8463951795399645</v>
      </c>
    </row>
    <row r="1160" spans="13:25" x14ac:dyDescent="0.25">
      <c r="P1160" s="2" t="s">
        <v>13</v>
      </c>
      <c r="Q1160" s="10">
        <f>data_redis_illX!E1027</f>
        <v>0</v>
      </c>
      <c r="R1160" s="10">
        <f>data_redis_illX!F1027</f>
        <v>0</v>
      </c>
      <c r="S1160" s="10">
        <f>data_redis_illX!G1027</f>
        <v>34.597463190530583</v>
      </c>
      <c r="T1160" s="10">
        <f>data_redis_illX!H1027</f>
        <v>25.52931966333265</v>
      </c>
      <c r="U1160" s="10">
        <f>data_redis_illX!I1027</f>
        <v>10.793166947862229</v>
      </c>
      <c r="V1160" s="10">
        <f>data_redis_illX!J1027</f>
        <v>6.0662177328843998E-2</v>
      </c>
      <c r="W1160" s="10">
        <f>data_redis_illX!K1027</f>
        <v>0</v>
      </c>
      <c r="X1160" s="10">
        <f>data_redis_illX!L1027</f>
        <v>0</v>
      </c>
      <c r="Y1160" s="5">
        <f t="shared" si="18"/>
        <v>70.980611979054316</v>
      </c>
    </row>
    <row r="1161" spans="13:25" x14ac:dyDescent="0.25">
      <c r="P1161" s="2" t="s">
        <v>14</v>
      </c>
      <c r="Q1161" s="10">
        <f>data_redis_illX!E1028</f>
        <v>0</v>
      </c>
      <c r="R1161" s="10">
        <f>data_redis_illX!F1028</f>
        <v>0</v>
      </c>
      <c r="S1161" s="10">
        <f>data_redis_illX!G1028</f>
        <v>1.2813875255752067</v>
      </c>
      <c r="T1161" s="10">
        <f>data_redis_illX!H1028</f>
        <v>0</v>
      </c>
      <c r="U1161" s="10">
        <f>data_redis_illX!I1028</f>
        <v>0</v>
      </c>
      <c r="V1161" s="10">
        <f>data_redis_illX!J1028</f>
        <v>6.0662177328843998E-2</v>
      </c>
      <c r="W1161" s="10">
        <f>data_redis_illX!K1028</f>
        <v>0</v>
      </c>
      <c r="X1161" s="10">
        <f>data_redis_illX!L1028</f>
        <v>0</v>
      </c>
      <c r="Y1161" s="5">
        <f t="shared" si="18"/>
        <v>1.3420497029040508</v>
      </c>
    </row>
    <row r="1162" spans="13:25" x14ac:dyDescent="0.25">
      <c r="P1162" s="2" t="s">
        <v>15</v>
      </c>
      <c r="Q1162" s="10">
        <f>data_redis_illX!E1029</f>
        <v>0</v>
      </c>
      <c r="R1162" s="10">
        <f>data_redis_illX!F1029</f>
        <v>0</v>
      </c>
      <c r="S1162" s="10">
        <f>data_redis_illX!G1029</f>
        <v>5.125550102300827</v>
      </c>
      <c r="T1162" s="10">
        <f>data_redis_illX!H1029</f>
        <v>0</v>
      </c>
      <c r="U1162" s="10">
        <f>data_redis_illX!I1029</f>
        <v>0</v>
      </c>
      <c r="V1162" s="10">
        <f>data_redis_illX!J1029</f>
        <v>6.0662177328843998E-2</v>
      </c>
      <c r="W1162" s="10">
        <f>data_redis_illX!K1029</f>
        <v>0</v>
      </c>
      <c r="X1162" s="10">
        <f>data_redis_illX!L1029</f>
        <v>0</v>
      </c>
      <c r="Y1162" s="5">
        <f t="shared" si="18"/>
        <v>5.1862122796296708</v>
      </c>
    </row>
    <row r="1163" spans="13:25" x14ac:dyDescent="0.25">
      <c r="P1163" s="2" t="s">
        <v>16</v>
      </c>
      <c r="Q1163" s="10">
        <f>data_redis_illX!E1030</f>
        <v>0</v>
      </c>
      <c r="R1163" s="10">
        <f>data_redis_illX!F1030</f>
        <v>0</v>
      </c>
      <c r="S1163" s="10">
        <f>data_redis_illX!G1030</f>
        <v>6.4069376278760339</v>
      </c>
      <c r="T1163" s="10">
        <f>data_redis_illX!H1030</f>
        <v>8.9352618821664276</v>
      </c>
      <c r="U1163" s="10">
        <f>data_redis_illX!I1030</f>
        <v>3.5977223159540759</v>
      </c>
      <c r="V1163" s="10">
        <f>data_redis_illX!J1030</f>
        <v>6.0662177328843998E-2</v>
      </c>
      <c r="W1163" s="10">
        <f>data_redis_illX!K1030</f>
        <v>0</v>
      </c>
      <c r="X1163" s="10">
        <f>data_redis_illX!L1030</f>
        <v>0</v>
      </c>
      <c r="Y1163" s="5">
        <f t="shared" si="18"/>
        <v>19.000584003325383</v>
      </c>
    </row>
    <row r="1164" spans="13:25" x14ac:dyDescent="0.25">
      <c r="P1164" s="2" t="s">
        <v>17</v>
      </c>
      <c r="Q1164" s="10">
        <f>data_redis_illX!E1031</f>
        <v>0</v>
      </c>
      <c r="R1164" s="10">
        <f>data_redis_illX!F1031</f>
        <v>0</v>
      </c>
      <c r="S1164" s="10">
        <f>data_redis_illX!G1031</f>
        <v>0</v>
      </c>
      <c r="T1164" s="10">
        <f>data_redis_illX!H1031</f>
        <v>1.2764659831666325</v>
      </c>
      <c r="U1164" s="10">
        <f>data_redis_illX!I1031</f>
        <v>0</v>
      </c>
      <c r="V1164" s="10">
        <f>data_redis_illX!J1031</f>
        <v>6.0662177328843998E-2</v>
      </c>
      <c r="W1164" s="10">
        <f>data_redis_illX!K1031</f>
        <v>0</v>
      </c>
      <c r="X1164" s="10">
        <f>data_redis_illX!L1031</f>
        <v>0</v>
      </c>
      <c r="Y1164" s="5">
        <f t="shared" si="18"/>
        <v>1.3371281604954766</v>
      </c>
    </row>
    <row r="1165" spans="13:25" x14ac:dyDescent="0.25">
      <c r="P1165" s="2" t="s">
        <v>18</v>
      </c>
      <c r="Q1165" s="10">
        <f>data_redis_illX!E1032</f>
        <v>0</v>
      </c>
      <c r="R1165" s="10">
        <f>data_redis_illX!F1032</f>
        <v>0</v>
      </c>
      <c r="S1165" s="10">
        <f>data_redis_illX!G1032</f>
        <v>2.5627750511504135</v>
      </c>
      <c r="T1165" s="10">
        <f>data_redis_illX!H1032</f>
        <v>1.2764659831666325</v>
      </c>
      <c r="U1165" s="10">
        <f>data_redis_illX!I1032</f>
        <v>0</v>
      </c>
      <c r="V1165" s="10">
        <f>data_redis_illX!J1032</f>
        <v>6.0662177328843998E-2</v>
      </c>
      <c r="W1165" s="10">
        <f>data_redis_illX!K1032</f>
        <v>0</v>
      </c>
      <c r="X1165" s="10">
        <f>data_redis_illX!L1032</f>
        <v>0</v>
      </c>
      <c r="Y1165" s="5">
        <f t="shared" si="18"/>
        <v>3.8999032116458898</v>
      </c>
    </row>
    <row r="1166" spans="13:25" x14ac:dyDescent="0.25">
      <c r="P1166" s="2" t="s">
        <v>19</v>
      </c>
      <c r="Q1166" s="10">
        <f>data_redis_illX!E1033</f>
        <v>0</v>
      </c>
      <c r="R1166" s="10">
        <f>data_redis_illX!F1033</f>
        <v>0</v>
      </c>
      <c r="S1166" s="10">
        <f>data_redis_illX!G1033</f>
        <v>7.6883251534512409</v>
      </c>
      <c r="T1166" s="10">
        <f>data_redis_illX!H1033</f>
        <v>12.764659831666325</v>
      </c>
      <c r="U1166" s="10">
        <f>data_redis_illX!I1033</f>
        <v>2.3984815439693841</v>
      </c>
      <c r="V1166" s="10">
        <f>data_redis_illX!J1033</f>
        <v>6.0662177328843998E-2</v>
      </c>
      <c r="W1166" s="10">
        <f>data_redis_illX!K1033</f>
        <v>0</v>
      </c>
      <c r="X1166" s="10">
        <f>data_redis_illX!L1033</f>
        <v>0</v>
      </c>
      <c r="Y1166" s="5">
        <f t="shared" si="18"/>
        <v>22.912128706415796</v>
      </c>
    </row>
    <row r="1167" spans="13:25" x14ac:dyDescent="0.25">
      <c r="P1167" s="2" t="s">
        <v>20</v>
      </c>
      <c r="Q1167" s="10">
        <f>data_redis_illX!E1034</f>
        <v>0</v>
      </c>
      <c r="R1167" s="10">
        <f>data_redis_illX!F1034</f>
        <v>0</v>
      </c>
      <c r="S1167" s="10">
        <f>data_redis_illX!G1034</f>
        <v>5.125550102300827</v>
      </c>
      <c r="T1167" s="10">
        <f>data_redis_illX!H1034</f>
        <v>8.9352618821664276</v>
      </c>
      <c r="U1167" s="10">
        <f>data_redis_illX!I1034</f>
        <v>3.5977223159540759</v>
      </c>
      <c r="V1167" s="10">
        <f>data_redis_illX!J1034</f>
        <v>6.0662177328843998E-2</v>
      </c>
      <c r="W1167" s="10">
        <f>data_redis_illX!K1034</f>
        <v>0</v>
      </c>
      <c r="X1167" s="10">
        <f>data_redis_illX!L1034</f>
        <v>0</v>
      </c>
      <c r="Y1167" s="5">
        <f t="shared" si="18"/>
        <v>17.719196477750174</v>
      </c>
    </row>
    <row r="1168" spans="13:25" x14ac:dyDescent="0.25">
      <c r="P1168" s="2" t="s">
        <v>21</v>
      </c>
      <c r="Q1168" s="10">
        <f>data_redis_illX!E1035</f>
        <v>0</v>
      </c>
      <c r="R1168" s="10">
        <f>data_redis_illX!F1035</f>
        <v>0</v>
      </c>
      <c r="S1168" s="10">
        <f>data_redis_illX!G1035</f>
        <v>0</v>
      </c>
      <c r="T1168" s="10">
        <f>data_redis_illX!H1035</f>
        <v>0</v>
      </c>
      <c r="U1168" s="10">
        <f>data_redis_illX!I1035</f>
        <v>0</v>
      </c>
      <c r="V1168" s="10">
        <f>data_redis_illX!J1035</f>
        <v>6.0662177328843998E-2</v>
      </c>
      <c r="W1168" s="10">
        <f>data_redis_illX!K1035</f>
        <v>0</v>
      </c>
      <c r="X1168" s="10">
        <f>data_redis_illX!L1035</f>
        <v>0</v>
      </c>
      <c r="Y1168" s="5">
        <f t="shared" si="18"/>
        <v>6.0662177328843998E-2</v>
      </c>
    </row>
    <row r="1169" spans="16:25" x14ac:dyDescent="0.25">
      <c r="P1169" s="2" t="s">
        <v>22</v>
      </c>
      <c r="Q1169" s="10">
        <f>data_redis_illX!E1036</f>
        <v>0</v>
      </c>
      <c r="R1169" s="10">
        <f>data_redis_illX!F1036</f>
        <v>0</v>
      </c>
      <c r="S1169" s="10">
        <f>data_redis_illX!G1036</f>
        <v>1.2813875255752067</v>
      </c>
      <c r="T1169" s="10">
        <f>data_redis_illX!H1036</f>
        <v>0</v>
      </c>
      <c r="U1169" s="10">
        <f>data_redis_illX!I1036</f>
        <v>1.199240771984692</v>
      </c>
      <c r="V1169" s="10">
        <f>data_redis_illX!J1036</f>
        <v>6.0662177328843998E-2</v>
      </c>
      <c r="W1169" s="10">
        <f>data_redis_illX!K1036</f>
        <v>0</v>
      </c>
      <c r="X1169" s="10">
        <f>data_redis_illX!L1036</f>
        <v>0</v>
      </c>
      <c r="Y1169" s="5">
        <f t="shared" si="18"/>
        <v>2.5412904748887426</v>
      </c>
    </row>
    <row r="1170" spans="16:25" x14ac:dyDescent="0.25">
      <c r="P1170" s="2" t="s">
        <v>23</v>
      </c>
      <c r="Q1170" s="10">
        <f>data_redis_illX!E1037</f>
        <v>0</v>
      </c>
      <c r="R1170" s="10">
        <f>data_redis_illX!F1037</f>
        <v>0</v>
      </c>
      <c r="S1170" s="10">
        <f>data_redis_illX!G1037</f>
        <v>1.2813875255752067</v>
      </c>
      <c r="T1170" s="10">
        <f>data_redis_illX!H1037</f>
        <v>0</v>
      </c>
      <c r="U1170" s="10">
        <f>data_redis_illX!I1037</f>
        <v>0</v>
      </c>
      <c r="V1170" s="10">
        <f>data_redis_illX!J1037</f>
        <v>6.0662177328843998E-2</v>
      </c>
      <c r="W1170" s="10">
        <f>data_redis_illX!K1037</f>
        <v>0</v>
      </c>
      <c r="X1170" s="10">
        <f>data_redis_illX!L1037</f>
        <v>0</v>
      </c>
      <c r="Y1170" s="5">
        <f t="shared" si="18"/>
        <v>1.3420497029040508</v>
      </c>
    </row>
    <row r="1171" spans="16:25" x14ac:dyDescent="0.25">
      <c r="P1171" s="2" t="s">
        <v>24</v>
      </c>
      <c r="Q1171" s="10">
        <f>data_redis_illX!E1038</f>
        <v>0</v>
      </c>
      <c r="R1171" s="10">
        <f>data_redis_illX!F1038</f>
        <v>0</v>
      </c>
      <c r="S1171" s="10">
        <f>data_redis_illX!G1038</f>
        <v>0</v>
      </c>
      <c r="T1171" s="10">
        <f>data_redis_illX!H1038</f>
        <v>1.2764659831666325</v>
      </c>
      <c r="U1171" s="10">
        <f>data_redis_illX!I1038</f>
        <v>0</v>
      </c>
      <c r="V1171" s="10">
        <f>data_redis_illX!J1038</f>
        <v>6.0662177328843998E-2</v>
      </c>
      <c r="W1171" s="10">
        <f>data_redis_illX!K1038</f>
        <v>0</v>
      </c>
      <c r="X1171" s="10">
        <f>data_redis_illX!L1038</f>
        <v>0</v>
      </c>
      <c r="Y1171" s="5">
        <f t="shared" si="18"/>
        <v>1.3371281604954766</v>
      </c>
    </row>
    <row r="1172" spans="16:25" x14ac:dyDescent="0.25">
      <c r="P1172" s="2" t="s">
        <v>25</v>
      </c>
      <c r="Q1172" s="10">
        <f>data_redis_illX!E1039</f>
        <v>0</v>
      </c>
      <c r="R1172" s="10">
        <f>data_redis_illX!F1039</f>
        <v>0</v>
      </c>
      <c r="S1172" s="10">
        <f>data_redis_illX!G1039</f>
        <v>1.2813875255752067</v>
      </c>
      <c r="T1172" s="10">
        <f>data_redis_illX!H1039</f>
        <v>0</v>
      </c>
      <c r="U1172" s="10">
        <f>data_redis_illX!I1039</f>
        <v>3.5977223159540759</v>
      </c>
      <c r="V1172" s="10">
        <f>data_redis_illX!J1039</f>
        <v>6.0662177328843998E-2</v>
      </c>
      <c r="W1172" s="10">
        <f>data_redis_illX!K1039</f>
        <v>0</v>
      </c>
      <c r="X1172" s="10">
        <f>data_redis_illX!L1039</f>
        <v>0</v>
      </c>
      <c r="Y1172" s="5">
        <f t="shared" si="18"/>
        <v>4.9397720188581262</v>
      </c>
    </row>
    <row r="1173" spans="16:25" x14ac:dyDescent="0.25">
      <c r="P1173" s="2" t="s">
        <v>26</v>
      </c>
      <c r="Q1173" s="10">
        <f>data_redis_illX!E1040</f>
        <v>0</v>
      </c>
      <c r="R1173" s="10">
        <f>data_redis_illX!F1040</f>
        <v>0</v>
      </c>
      <c r="S1173" s="10">
        <f>data_redis_illX!G1040</f>
        <v>0</v>
      </c>
      <c r="T1173" s="10">
        <f>data_redis_illX!H1040</f>
        <v>1.2764659831666325</v>
      </c>
      <c r="U1173" s="10">
        <f>data_redis_illX!I1040</f>
        <v>0</v>
      </c>
      <c r="V1173" s="10">
        <f>data_redis_illX!J1040</f>
        <v>6.0662177328843998E-2</v>
      </c>
      <c r="W1173" s="10">
        <f>data_redis_illX!K1040</f>
        <v>0</v>
      </c>
      <c r="X1173" s="10">
        <f>data_redis_illX!L1040</f>
        <v>0</v>
      </c>
      <c r="Y1173" s="5">
        <f t="shared" si="18"/>
        <v>1.3371281604954766</v>
      </c>
    </row>
    <row r="1174" spans="16:25" x14ac:dyDescent="0.25">
      <c r="P1174" s="2" t="s">
        <v>27</v>
      </c>
      <c r="Q1174" s="10">
        <f>data_redis_illX!E1041</f>
        <v>0</v>
      </c>
      <c r="R1174" s="10">
        <f>data_redis_illX!F1041</f>
        <v>0</v>
      </c>
      <c r="S1174" s="10">
        <f>data_redis_illX!G1041</f>
        <v>2.5627750511504135</v>
      </c>
      <c r="T1174" s="10">
        <f>data_redis_illX!H1041</f>
        <v>1.2764659831666325</v>
      </c>
      <c r="U1174" s="10">
        <f>data_redis_illX!I1041</f>
        <v>1.199240771984692</v>
      </c>
      <c r="V1174" s="10">
        <f>data_redis_illX!J1041</f>
        <v>6.0662177328843998E-2</v>
      </c>
      <c r="W1174" s="10">
        <f>data_redis_illX!K1041</f>
        <v>0</v>
      </c>
      <c r="X1174" s="10">
        <f>data_redis_illX!L1041</f>
        <v>0</v>
      </c>
      <c r="Y1174" s="5">
        <f t="shared" si="18"/>
        <v>5.0991439836305821</v>
      </c>
    </row>
    <row r="1175" spans="16:25" x14ac:dyDescent="0.25">
      <c r="P1175" s="2" t="s">
        <v>28</v>
      </c>
      <c r="Q1175" s="10">
        <f>data_redis_illX!E1042</f>
        <v>0</v>
      </c>
      <c r="R1175" s="10">
        <f>data_redis_illX!F1042</f>
        <v>0</v>
      </c>
      <c r="S1175" s="10">
        <f>data_redis_illX!G1042</f>
        <v>71.757701432211576</v>
      </c>
      <c r="T1175" s="10">
        <f>data_redis_illX!H1042</f>
        <v>74.035027023664682</v>
      </c>
      <c r="U1175" s="10">
        <f>data_redis_illX!I1042</f>
        <v>22.785574667709149</v>
      </c>
      <c r="V1175" s="10">
        <f>data_redis_illX!J1042</f>
        <v>6.0662177328843998E-2</v>
      </c>
      <c r="W1175" s="10">
        <f>data_redis_illX!K1042</f>
        <v>0</v>
      </c>
      <c r="X1175" s="10">
        <f>data_redis_illX!L1042</f>
        <v>0</v>
      </c>
      <c r="Y1175" s="5">
        <f t="shared" si="18"/>
        <v>168.63896530091426</v>
      </c>
    </row>
    <row r="1176" spans="16:25" x14ac:dyDescent="0.25">
      <c r="P1176" s="2" t="s">
        <v>29</v>
      </c>
      <c r="Q1176" s="10">
        <f>data_redis_illX!E1043</f>
        <v>0</v>
      </c>
      <c r="R1176" s="10">
        <f>data_redis_illX!F1043</f>
        <v>0</v>
      </c>
      <c r="S1176" s="10">
        <f>data_redis_illX!G1043</f>
        <v>24.346362985928931</v>
      </c>
      <c r="T1176" s="10">
        <f>data_redis_illX!H1043</f>
        <v>12.764659831666325</v>
      </c>
      <c r="U1176" s="10">
        <f>data_redis_illX!I1043</f>
        <v>8.3946854038928436</v>
      </c>
      <c r="V1176" s="10">
        <f>data_redis_illX!J1043</f>
        <v>6.0662177328843998E-2</v>
      </c>
      <c r="W1176" s="10">
        <f>data_redis_illX!K1043</f>
        <v>0</v>
      </c>
      <c r="X1176" s="10">
        <f>data_redis_illX!L1043</f>
        <v>0</v>
      </c>
      <c r="Y1176" s="5">
        <f t="shared" si="18"/>
        <v>45.566370398816943</v>
      </c>
    </row>
    <row r="1177" spans="16:25" x14ac:dyDescent="0.25">
      <c r="P1177" s="2" t="s">
        <v>30</v>
      </c>
      <c r="Q1177" s="10">
        <f>data_redis_illX!E1044</f>
        <v>0</v>
      </c>
      <c r="R1177" s="10">
        <f>data_redis_illX!F1044</f>
        <v>0</v>
      </c>
      <c r="S1177" s="10">
        <f>data_redis_illX!G1044</f>
        <v>49.974113497433066</v>
      </c>
      <c r="T1177" s="10">
        <f>data_redis_illX!H1044</f>
        <v>44.676309410832133</v>
      </c>
      <c r="U1177" s="10">
        <f>data_redis_illX!I1044</f>
        <v>25.184056211678531</v>
      </c>
      <c r="V1177" s="10">
        <f>data_redis_illX!J1044</f>
        <v>6.0662177328843998E-2</v>
      </c>
      <c r="W1177" s="10">
        <f>data_redis_illX!K1044</f>
        <v>0</v>
      </c>
      <c r="X1177" s="10">
        <f>data_redis_illX!L1044</f>
        <v>0</v>
      </c>
      <c r="Y1177" s="5">
        <f t="shared" si="18"/>
        <v>119.89514129727257</v>
      </c>
    </row>
    <row r="1178" spans="16:25" x14ac:dyDescent="0.25">
      <c r="P1178" s="2" t="s">
        <v>31</v>
      </c>
      <c r="Q1178" s="10">
        <f>data_redis_illX!E1045</f>
        <v>0</v>
      </c>
      <c r="R1178" s="10">
        <f>data_redis_illX!F1045</f>
        <v>0</v>
      </c>
      <c r="S1178" s="10">
        <f>data_redis_illX!G1045</f>
        <v>10.251100204601654</v>
      </c>
      <c r="T1178" s="10">
        <f>data_redis_illX!H1045</f>
        <v>15.31759179799959</v>
      </c>
      <c r="U1178" s="10">
        <f>data_redis_illX!I1045</f>
        <v>0</v>
      </c>
      <c r="V1178" s="10">
        <f>data_redis_illX!J1045</f>
        <v>6.0662177328843998E-2</v>
      </c>
      <c r="W1178" s="10">
        <f>data_redis_illX!K1045</f>
        <v>0</v>
      </c>
      <c r="X1178" s="10">
        <f>data_redis_illX!L1045</f>
        <v>0</v>
      </c>
      <c r="Y1178" s="5">
        <f t="shared" si="18"/>
        <v>25.62935417993009</v>
      </c>
    </row>
    <row r="1179" spans="16:25" x14ac:dyDescent="0.25">
      <c r="P1179" s="2" t="s">
        <v>32</v>
      </c>
      <c r="Q1179" s="10">
        <f>data_redis_illX!E1046</f>
        <v>0</v>
      </c>
      <c r="R1179" s="10">
        <f>data_redis_illX!F1046</f>
        <v>0</v>
      </c>
      <c r="S1179" s="10">
        <f>data_redis_illX!G1046</f>
        <v>0</v>
      </c>
      <c r="T1179" s="10">
        <f>data_redis_illX!H1046</f>
        <v>0</v>
      </c>
      <c r="U1179" s="10">
        <f>data_redis_illX!I1046</f>
        <v>0</v>
      </c>
      <c r="V1179" s="10">
        <f>data_redis_illX!J1046</f>
        <v>6.0662177328843998E-2</v>
      </c>
      <c r="W1179" s="10">
        <f>data_redis_illX!K1046</f>
        <v>0</v>
      </c>
      <c r="X1179" s="10">
        <f>data_redis_illX!L1046</f>
        <v>0</v>
      </c>
      <c r="Y1179" s="5">
        <f t="shared" si="18"/>
        <v>6.0662177328843998E-2</v>
      </c>
    </row>
    <row r="1180" spans="16:25" x14ac:dyDescent="0.25">
      <c r="P1180" s="2" t="s">
        <v>33</v>
      </c>
      <c r="Q1180" s="10">
        <f>data_redis_illX!E1047</f>
        <v>0</v>
      </c>
      <c r="R1180" s="10">
        <f>data_redis_illX!F1047</f>
        <v>0</v>
      </c>
      <c r="S1180" s="10">
        <f>data_redis_illX!G1047</f>
        <v>0</v>
      </c>
      <c r="T1180" s="10">
        <f>data_redis_illX!H1047</f>
        <v>1.2764659831666325</v>
      </c>
      <c r="U1180" s="10">
        <f>data_redis_illX!I1047</f>
        <v>1.199240771984692</v>
      </c>
      <c r="V1180" s="10">
        <f>data_redis_illX!J1047</f>
        <v>6.0662177328843998E-2</v>
      </c>
      <c r="W1180" s="10">
        <f>data_redis_illX!K1047</f>
        <v>0</v>
      </c>
      <c r="X1180" s="10">
        <f>data_redis_illX!L1047</f>
        <v>0</v>
      </c>
      <c r="Y1180" s="5">
        <f t="shared" si="18"/>
        <v>2.5363689324801681</v>
      </c>
    </row>
    <row r="1181" spans="16:25" x14ac:dyDescent="0.25">
      <c r="P1181" s="2" t="s">
        <v>34</v>
      </c>
      <c r="Q1181" s="10">
        <f>data_redis_illX!E1048</f>
        <v>0</v>
      </c>
      <c r="R1181" s="10">
        <f>data_redis_illX!F1048</f>
        <v>0</v>
      </c>
      <c r="S1181" s="10">
        <f>data_redis_illX!G1048</f>
        <v>0</v>
      </c>
      <c r="T1181" s="10">
        <f>data_redis_illX!H1048</f>
        <v>0</v>
      </c>
      <c r="U1181" s="10">
        <f>data_redis_illX!I1048</f>
        <v>0</v>
      </c>
      <c r="V1181" s="10">
        <f>data_redis_illX!J1048</f>
        <v>6.0662177328843998E-2</v>
      </c>
      <c r="W1181" s="10">
        <f>data_redis_illX!K1048</f>
        <v>0</v>
      </c>
      <c r="X1181" s="10">
        <f>data_redis_illX!L1048</f>
        <v>0</v>
      </c>
      <c r="Y1181" s="5">
        <f t="shared" si="18"/>
        <v>6.0662177328843998E-2</v>
      </c>
    </row>
    <row r="1182" spans="16:25" x14ac:dyDescent="0.25">
      <c r="P1182" s="2" t="s">
        <v>35</v>
      </c>
      <c r="Q1182" s="10">
        <f>data_redis_illX!E1049</f>
        <v>0</v>
      </c>
      <c r="R1182" s="10">
        <f>data_redis_illX!F1049</f>
        <v>0</v>
      </c>
      <c r="S1182" s="10">
        <f>data_redis_illX!G1049</f>
        <v>0</v>
      </c>
      <c r="T1182" s="10">
        <f>data_redis_illX!H1049</f>
        <v>0</v>
      </c>
      <c r="U1182" s="10">
        <f>data_redis_illX!I1049</f>
        <v>0</v>
      </c>
      <c r="V1182" s="10">
        <f>data_redis_illX!J1049</f>
        <v>6.0662177328843998E-2</v>
      </c>
      <c r="W1182" s="10">
        <f>data_redis_illX!K1049</f>
        <v>0</v>
      </c>
      <c r="X1182" s="10">
        <f>data_redis_illX!L1049</f>
        <v>0</v>
      </c>
      <c r="Y1182" s="5">
        <f t="shared" si="18"/>
        <v>6.0662177328843998E-2</v>
      </c>
    </row>
    <row r="1183" spans="16:25" x14ac:dyDescent="0.25">
      <c r="P1183" s="2" t="s">
        <v>36</v>
      </c>
      <c r="Q1183" s="10">
        <f>data_redis_illX!E1050</f>
        <v>0</v>
      </c>
      <c r="R1183" s="10">
        <f>data_redis_illX!F1050</f>
        <v>0</v>
      </c>
      <c r="S1183" s="10">
        <f>data_redis_illX!G1050</f>
        <v>0</v>
      </c>
      <c r="T1183" s="10">
        <f>data_redis_illX!H1050</f>
        <v>0</v>
      </c>
      <c r="U1183" s="10">
        <f>data_redis_illX!I1050</f>
        <v>0</v>
      </c>
      <c r="V1183" s="10">
        <f>data_redis_illX!J1050</f>
        <v>6.0662177328843998E-2</v>
      </c>
      <c r="W1183" s="10">
        <f>data_redis_illX!K1050</f>
        <v>0</v>
      </c>
      <c r="X1183" s="10">
        <f>data_redis_illX!L1050</f>
        <v>0</v>
      </c>
      <c r="Y1183" s="5">
        <f t="shared" si="18"/>
        <v>6.0662177328843998E-2</v>
      </c>
    </row>
    <row r="1184" spans="16:25" x14ac:dyDescent="0.25">
      <c r="P1184" s="2" t="s">
        <v>37</v>
      </c>
      <c r="Q1184" s="10">
        <f>data_redis_illX!E1051</f>
        <v>0</v>
      </c>
      <c r="R1184" s="10">
        <f>data_redis_illX!F1051</f>
        <v>0</v>
      </c>
      <c r="S1184" s="10">
        <f>data_redis_illX!G1051</f>
        <v>0</v>
      </c>
      <c r="T1184" s="10">
        <f>data_redis_illX!H1051</f>
        <v>0</v>
      </c>
      <c r="U1184" s="10">
        <f>data_redis_illX!I1051</f>
        <v>0</v>
      </c>
      <c r="V1184" s="10">
        <f>data_redis_illX!J1051</f>
        <v>6.0662177328843998E-2</v>
      </c>
      <c r="W1184" s="10">
        <f>data_redis_illX!K1051</f>
        <v>0</v>
      </c>
      <c r="X1184" s="10">
        <f>data_redis_illX!L1051</f>
        <v>0</v>
      </c>
      <c r="Y1184" s="5">
        <f t="shared" si="18"/>
        <v>6.0662177328843998E-2</v>
      </c>
    </row>
    <row r="1185" spans="13:25" x14ac:dyDescent="0.25">
      <c r="P1185" s="2" t="s">
        <v>38</v>
      </c>
      <c r="Q1185" s="10">
        <f>data_redis_illX!E1052</f>
        <v>0</v>
      </c>
      <c r="R1185" s="10">
        <f>data_redis_illX!F1052</f>
        <v>0</v>
      </c>
      <c r="S1185" s="10">
        <f>data_redis_illX!G1052</f>
        <v>0</v>
      </c>
      <c r="T1185" s="10">
        <f>data_redis_illX!H1052</f>
        <v>0</v>
      </c>
      <c r="U1185" s="10">
        <f>data_redis_illX!I1052</f>
        <v>0</v>
      </c>
      <c r="V1185" s="10">
        <f>data_redis_illX!J1052</f>
        <v>6.0662177328843998E-2</v>
      </c>
      <c r="W1185" s="10">
        <f>data_redis_illX!K1052</f>
        <v>0</v>
      </c>
      <c r="X1185" s="10">
        <f>data_redis_illX!L1052</f>
        <v>0</v>
      </c>
      <c r="Y1185" s="5">
        <f t="shared" si="18"/>
        <v>6.0662177328843998E-2</v>
      </c>
    </row>
    <row r="1186" spans="13:25" x14ac:dyDescent="0.25">
      <c r="P1186" s="2" t="s">
        <v>39</v>
      </c>
      <c r="Q1186" s="10">
        <f>data_redis_illX!E1053</f>
        <v>0</v>
      </c>
      <c r="R1186" s="10">
        <f>data_redis_illX!F1053</f>
        <v>0</v>
      </c>
      <c r="S1186" s="10">
        <f>data_redis_illX!G1053</f>
        <v>2.5627750511504135</v>
      </c>
      <c r="T1186" s="10">
        <f>data_redis_illX!H1053</f>
        <v>0</v>
      </c>
      <c r="U1186" s="10">
        <f>data_redis_illX!I1053</f>
        <v>0</v>
      </c>
      <c r="V1186" s="10">
        <f>data_redis_illX!J1053</f>
        <v>6.0662177328843998E-2</v>
      </c>
      <c r="W1186" s="10">
        <f>data_redis_illX!K1053</f>
        <v>0</v>
      </c>
      <c r="X1186" s="10">
        <f>data_redis_illX!L1053</f>
        <v>0</v>
      </c>
      <c r="Y1186" s="5">
        <f t="shared" si="18"/>
        <v>2.6234372284792573</v>
      </c>
    </row>
    <row r="1187" spans="13:25" x14ac:dyDescent="0.25">
      <c r="P1187" s="2" t="s">
        <v>40</v>
      </c>
      <c r="Q1187" s="10">
        <f>data_redis_illX!E1054</f>
        <v>0</v>
      </c>
      <c r="R1187" s="10">
        <f>data_redis_illX!F1054</f>
        <v>0</v>
      </c>
      <c r="S1187" s="10">
        <f>data_redis_illX!G1054</f>
        <v>2.5627750511504135</v>
      </c>
      <c r="T1187" s="10">
        <f>data_redis_illX!H1054</f>
        <v>2.552931966333265</v>
      </c>
      <c r="U1187" s="10">
        <f>data_redis_illX!I1054</f>
        <v>0</v>
      </c>
      <c r="V1187" s="10">
        <f>data_redis_illX!J1054</f>
        <v>6.0662177328843998E-2</v>
      </c>
      <c r="W1187" s="10">
        <f>data_redis_illX!K1054</f>
        <v>0</v>
      </c>
      <c r="X1187" s="10">
        <f>data_redis_illX!L1054</f>
        <v>0</v>
      </c>
      <c r="Y1187" s="5">
        <f t="shared" si="18"/>
        <v>5.1763691948125228</v>
      </c>
    </row>
    <row r="1188" spans="13:25" x14ac:dyDescent="0.25">
      <c r="P1188" s="2" t="s">
        <v>41</v>
      </c>
      <c r="Q1188" s="10">
        <f>data_redis_illX!E1055</f>
        <v>0</v>
      </c>
      <c r="R1188" s="10">
        <f>data_redis_illX!F1055</f>
        <v>0</v>
      </c>
      <c r="S1188" s="10">
        <f>data_redis_illX!G1055</f>
        <v>0</v>
      </c>
      <c r="T1188" s="10">
        <f>data_redis_illX!H1055</f>
        <v>1.2764659831666325</v>
      </c>
      <c r="U1188" s="10">
        <f>data_redis_illX!I1055</f>
        <v>1.199240771984692</v>
      </c>
      <c r="V1188" s="10">
        <f>data_redis_illX!J1055</f>
        <v>6.0662177328843998E-2</v>
      </c>
      <c r="W1188" s="10">
        <f>data_redis_illX!K1055</f>
        <v>0</v>
      </c>
      <c r="X1188" s="10">
        <f>data_redis_illX!L1055</f>
        <v>0</v>
      </c>
      <c r="Y1188" s="5">
        <f t="shared" si="18"/>
        <v>2.5363689324801681</v>
      </c>
    </row>
    <row r="1189" spans="13:25" x14ac:dyDescent="0.25">
      <c r="P1189" s="2" t="s">
        <v>42</v>
      </c>
      <c r="Q1189" s="10">
        <f>data_redis_illX!E1056</f>
        <v>0</v>
      </c>
      <c r="R1189" s="10">
        <f>data_redis_illX!F1056</f>
        <v>0</v>
      </c>
      <c r="S1189" s="10">
        <f>data_redis_illX!G1056</f>
        <v>6.4069376278760339</v>
      </c>
      <c r="T1189" s="10">
        <f>data_redis_illX!H1056</f>
        <v>0</v>
      </c>
      <c r="U1189" s="10">
        <f>data_redis_illX!I1056</f>
        <v>1.199240771984692</v>
      </c>
      <c r="V1189" s="10">
        <f>data_redis_illX!J1056</f>
        <v>6.0662177328843998E-2</v>
      </c>
      <c r="W1189" s="10">
        <f>data_redis_illX!K1056</f>
        <v>0</v>
      </c>
      <c r="X1189" s="10">
        <f>data_redis_illX!L1056</f>
        <v>0</v>
      </c>
      <c r="Y1189" s="5">
        <f t="shared" si="18"/>
        <v>7.6668405771895696</v>
      </c>
    </row>
    <row r="1190" spans="13:25" x14ac:dyDescent="0.25">
      <c r="P1190" s="2" t="s">
        <v>43</v>
      </c>
      <c r="Q1190" s="10">
        <f>data_redis_illX!E1057</f>
        <v>0</v>
      </c>
      <c r="R1190" s="10">
        <f>data_redis_illX!F1057</f>
        <v>0</v>
      </c>
      <c r="S1190" s="10">
        <f>data_redis_illX!G1057</f>
        <v>1.2813875255752067</v>
      </c>
      <c r="T1190" s="10">
        <f>data_redis_illX!H1057</f>
        <v>1.2764659831666325</v>
      </c>
      <c r="U1190" s="10">
        <f>data_redis_illX!I1057</f>
        <v>0</v>
      </c>
      <c r="V1190" s="10">
        <f>data_redis_illX!J1057</f>
        <v>6.0662177328843998E-2</v>
      </c>
      <c r="W1190" s="10">
        <f>data_redis_illX!K1057</f>
        <v>0</v>
      </c>
      <c r="X1190" s="10">
        <f>data_redis_illX!L1057</f>
        <v>0</v>
      </c>
      <c r="Y1190" s="5">
        <f t="shared" si="18"/>
        <v>2.6185156860706833</v>
      </c>
    </row>
    <row r="1191" spans="13:25" x14ac:dyDescent="0.25">
      <c r="P1191" s="2" t="s">
        <v>44</v>
      </c>
      <c r="Q1191" s="10">
        <f>data_redis_illX!E1058</f>
        <v>0</v>
      </c>
      <c r="R1191" s="10">
        <f>data_redis_illX!F1058</f>
        <v>0</v>
      </c>
      <c r="S1191" s="10">
        <f>data_redis_illX!G1058</f>
        <v>3.8441625767256205</v>
      </c>
      <c r="T1191" s="10">
        <f>data_redis_illX!H1058</f>
        <v>12.764659831666325</v>
      </c>
      <c r="U1191" s="10">
        <f>data_redis_illX!I1058</f>
        <v>2.3984815439693841</v>
      </c>
      <c r="V1191" s="10">
        <f>data_redis_illX!J1058</f>
        <v>6.0662177328843998E-2</v>
      </c>
      <c r="W1191" s="10">
        <f>data_redis_illX!K1058</f>
        <v>0</v>
      </c>
      <c r="X1191" s="10">
        <f>data_redis_illX!L1058</f>
        <v>0</v>
      </c>
      <c r="Y1191" s="5">
        <f t="shared" si="18"/>
        <v>19.067966129690173</v>
      </c>
    </row>
    <row r="1192" spans="13:25" x14ac:dyDescent="0.25">
      <c r="M1192" t="s">
        <v>115</v>
      </c>
      <c r="N1192" t="s">
        <v>103</v>
      </c>
      <c r="O1192" t="s">
        <v>47</v>
      </c>
      <c r="P1192" s="2" t="s">
        <v>12</v>
      </c>
      <c r="Q1192" s="10">
        <f>data_redis_illX!E1059</f>
        <v>0</v>
      </c>
      <c r="R1192" s="10">
        <f>data_redis_illX!F1059</f>
        <v>0</v>
      </c>
      <c r="S1192" s="10">
        <f>data_redis_illX!G1059</f>
        <v>0</v>
      </c>
      <c r="T1192" s="10">
        <f>data_redis_illX!H1059</f>
        <v>0</v>
      </c>
      <c r="U1192" s="10">
        <f>data_redis_illX!I1059</f>
        <v>0</v>
      </c>
      <c r="V1192" s="10">
        <f>data_redis_illX!J1059</f>
        <v>0</v>
      </c>
      <c r="W1192" s="10">
        <f>data_redis_illX!K1059</f>
        <v>0</v>
      </c>
      <c r="X1192" s="10">
        <f>data_redis_illX!L1059</f>
        <v>0</v>
      </c>
      <c r="Y1192" s="5">
        <f t="shared" si="18"/>
        <v>0</v>
      </c>
    </row>
    <row r="1193" spans="13:25" x14ac:dyDescent="0.25">
      <c r="P1193" s="2" t="s">
        <v>13</v>
      </c>
      <c r="Q1193" s="10">
        <f>data_redis_illX!E1060</f>
        <v>0</v>
      </c>
      <c r="R1193" s="10">
        <f>data_redis_illX!F1060</f>
        <v>0</v>
      </c>
      <c r="S1193" s="10">
        <f>data_redis_illX!G1060</f>
        <v>0</v>
      </c>
      <c r="T1193" s="10">
        <f>data_redis_illX!H1060</f>
        <v>0</v>
      </c>
      <c r="U1193" s="10">
        <f>data_redis_illX!I1060</f>
        <v>0</v>
      </c>
      <c r="V1193" s="10">
        <f>data_redis_illX!J1060</f>
        <v>0</v>
      </c>
      <c r="W1193" s="10">
        <f>data_redis_illX!K1060</f>
        <v>0</v>
      </c>
      <c r="X1193" s="10">
        <f>data_redis_illX!L1060</f>
        <v>0</v>
      </c>
      <c r="Y1193" s="5">
        <f t="shared" si="18"/>
        <v>0</v>
      </c>
    </row>
    <row r="1194" spans="13:25" x14ac:dyDescent="0.25">
      <c r="P1194" s="2" t="s">
        <v>14</v>
      </c>
      <c r="Q1194" s="10">
        <f>data_redis_illX!E1061</f>
        <v>0</v>
      </c>
      <c r="R1194" s="10">
        <f>data_redis_illX!F1061</f>
        <v>0</v>
      </c>
      <c r="S1194" s="10">
        <f>data_redis_illX!G1061</f>
        <v>0</v>
      </c>
      <c r="T1194" s="10">
        <f>data_redis_illX!H1061</f>
        <v>0</v>
      </c>
      <c r="U1194" s="10">
        <f>data_redis_illX!I1061</f>
        <v>0</v>
      </c>
      <c r="V1194" s="10">
        <f>data_redis_illX!J1061</f>
        <v>0</v>
      </c>
      <c r="W1194" s="10">
        <f>data_redis_illX!K1061</f>
        <v>0</v>
      </c>
      <c r="X1194" s="10">
        <f>data_redis_illX!L1061</f>
        <v>0</v>
      </c>
      <c r="Y1194" s="5">
        <f t="shared" si="18"/>
        <v>0</v>
      </c>
    </row>
    <row r="1195" spans="13:25" x14ac:dyDescent="0.25">
      <c r="P1195" s="2" t="s">
        <v>15</v>
      </c>
      <c r="Q1195" s="10">
        <f>data_redis_illX!E1062</f>
        <v>0</v>
      </c>
      <c r="R1195" s="10">
        <f>data_redis_illX!F1062</f>
        <v>0</v>
      </c>
      <c r="S1195" s="10">
        <f>data_redis_illX!G1062</f>
        <v>0</v>
      </c>
      <c r="T1195" s="10">
        <f>data_redis_illX!H1062</f>
        <v>0</v>
      </c>
      <c r="U1195" s="10">
        <f>data_redis_illX!I1062</f>
        <v>0</v>
      </c>
      <c r="V1195" s="10">
        <f>data_redis_illX!J1062</f>
        <v>0</v>
      </c>
      <c r="W1195" s="10">
        <f>data_redis_illX!K1062</f>
        <v>0</v>
      </c>
      <c r="X1195" s="10">
        <f>data_redis_illX!L1062</f>
        <v>0</v>
      </c>
      <c r="Y1195" s="5">
        <f t="shared" si="18"/>
        <v>0</v>
      </c>
    </row>
    <row r="1196" spans="13:25" x14ac:dyDescent="0.25">
      <c r="P1196" s="2" t="s">
        <v>16</v>
      </c>
      <c r="Q1196" s="10">
        <f>data_redis_illX!E1063</f>
        <v>0</v>
      </c>
      <c r="R1196" s="10">
        <f>data_redis_illX!F1063</f>
        <v>0</v>
      </c>
      <c r="S1196" s="10">
        <f>data_redis_illX!G1063</f>
        <v>0</v>
      </c>
      <c r="T1196" s="10">
        <f>data_redis_illX!H1063</f>
        <v>0</v>
      </c>
      <c r="U1196" s="10">
        <f>data_redis_illX!I1063</f>
        <v>0</v>
      </c>
      <c r="V1196" s="10">
        <f>data_redis_illX!J1063</f>
        <v>0</v>
      </c>
      <c r="W1196" s="10">
        <f>data_redis_illX!K1063</f>
        <v>0</v>
      </c>
      <c r="X1196" s="10">
        <f>data_redis_illX!L1063</f>
        <v>0</v>
      </c>
      <c r="Y1196" s="5">
        <f t="shared" si="18"/>
        <v>0</v>
      </c>
    </row>
    <row r="1197" spans="13:25" x14ac:dyDescent="0.25">
      <c r="P1197" s="2" t="s">
        <v>17</v>
      </c>
      <c r="Q1197" s="10">
        <f>data_redis_illX!E1064</f>
        <v>0</v>
      </c>
      <c r="R1197" s="10">
        <f>data_redis_illX!F1064</f>
        <v>0</v>
      </c>
      <c r="S1197" s="10">
        <f>data_redis_illX!G1064</f>
        <v>0</v>
      </c>
      <c r="T1197" s="10">
        <f>data_redis_illX!H1064</f>
        <v>0</v>
      </c>
      <c r="U1197" s="10">
        <f>data_redis_illX!I1064</f>
        <v>0</v>
      </c>
      <c r="V1197" s="10">
        <f>data_redis_illX!J1064</f>
        <v>0</v>
      </c>
      <c r="W1197" s="10">
        <f>data_redis_illX!K1064</f>
        <v>0</v>
      </c>
      <c r="X1197" s="10">
        <f>data_redis_illX!L1064</f>
        <v>0</v>
      </c>
      <c r="Y1197" s="5">
        <f t="shared" si="18"/>
        <v>0</v>
      </c>
    </row>
    <row r="1198" spans="13:25" x14ac:dyDescent="0.25">
      <c r="P1198" s="2" t="s">
        <v>18</v>
      </c>
      <c r="Q1198" s="10">
        <f>data_redis_illX!E1065</f>
        <v>0</v>
      </c>
      <c r="R1198" s="10">
        <f>data_redis_illX!F1065</f>
        <v>0</v>
      </c>
      <c r="S1198" s="10">
        <f>data_redis_illX!G1065</f>
        <v>0</v>
      </c>
      <c r="T1198" s="10">
        <f>data_redis_illX!H1065</f>
        <v>0</v>
      </c>
      <c r="U1198" s="10">
        <f>data_redis_illX!I1065</f>
        <v>0</v>
      </c>
      <c r="V1198" s="10">
        <f>data_redis_illX!J1065</f>
        <v>0</v>
      </c>
      <c r="W1198" s="10">
        <f>data_redis_illX!K1065</f>
        <v>0</v>
      </c>
      <c r="X1198" s="10">
        <f>data_redis_illX!L1065</f>
        <v>0</v>
      </c>
      <c r="Y1198" s="5">
        <f t="shared" si="18"/>
        <v>0</v>
      </c>
    </row>
    <row r="1199" spans="13:25" x14ac:dyDescent="0.25">
      <c r="P1199" s="2" t="s">
        <v>19</v>
      </c>
      <c r="Q1199" s="10">
        <f>data_redis_illX!E1066</f>
        <v>0</v>
      </c>
      <c r="R1199" s="10">
        <f>data_redis_illX!F1066</f>
        <v>0</v>
      </c>
      <c r="S1199" s="10">
        <f>data_redis_illX!G1066</f>
        <v>0</v>
      </c>
      <c r="T1199" s="10">
        <f>data_redis_illX!H1066</f>
        <v>0</v>
      </c>
      <c r="U1199" s="10">
        <f>data_redis_illX!I1066</f>
        <v>0</v>
      </c>
      <c r="V1199" s="10">
        <f>data_redis_illX!J1066</f>
        <v>0</v>
      </c>
      <c r="W1199" s="10">
        <f>data_redis_illX!K1066</f>
        <v>0</v>
      </c>
      <c r="X1199" s="10">
        <f>data_redis_illX!L1066</f>
        <v>0</v>
      </c>
      <c r="Y1199" s="5">
        <f t="shared" si="18"/>
        <v>0</v>
      </c>
    </row>
    <row r="1200" spans="13:25" x14ac:dyDescent="0.25">
      <c r="P1200" s="2" t="s">
        <v>20</v>
      </c>
      <c r="Q1200" s="10">
        <f>data_redis_illX!E1067</f>
        <v>0</v>
      </c>
      <c r="R1200" s="10">
        <f>data_redis_illX!F1067</f>
        <v>0</v>
      </c>
      <c r="S1200" s="10">
        <f>data_redis_illX!G1067</f>
        <v>0</v>
      </c>
      <c r="T1200" s="10">
        <f>data_redis_illX!H1067</f>
        <v>0</v>
      </c>
      <c r="U1200" s="10">
        <f>data_redis_illX!I1067</f>
        <v>0</v>
      </c>
      <c r="V1200" s="10">
        <f>data_redis_illX!J1067</f>
        <v>0</v>
      </c>
      <c r="W1200" s="10">
        <f>data_redis_illX!K1067</f>
        <v>0</v>
      </c>
      <c r="X1200" s="10">
        <f>data_redis_illX!L1067</f>
        <v>0</v>
      </c>
      <c r="Y1200" s="5">
        <f t="shared" si="18"/>
        <v>0</v>
      </c>
    </row>
    <row r="1201" spans="16:25" x14ac:dyDescent="0.25">
      <c r="P1201" s="2" t="s">
        <v>21</v>
      </c>
      <c r="Q1201" s="10">
        <f>data_redis_illX!E1068</f>
        <v>0</v>
      </c>
      <c r="R1201" s="10">
        <f>data_redis_illX!F1068</f>
        <v>0</v>
      </c>
      <c r="S1201" s="10">
        <f>data_redis_illX!G1068</f>
        <v>0</v>
      </c>
      <c r="T1201" s="10">
        <f>data_redis_illX!H1068</f>
        <v>0</v>
      </c>
      <c r="U1201" s="10">
        <f>data_redis_illX!I1068</f>
        <v>0</v>
      </c>
      <c r="V1201" s="10">
        <f>data_redis_illX!J1068</f>
        <v>0</v>
      </c>
      <c r="W1201" s="10">
        <f>data_redis_illX!K1068</f>
        <v>0</v>
      </c>
      <c r="X1201" s="10">
        <f>data_redis_illX!L1068</f>
        <v>0</v>
      </c>
      <c r="Y1201" s="5">
        <f t="shared" si="18"/>
        <v>0</v>
      </c>
    </row>
    <row r="1202" spans="16:25" x14ac:dyDescent="0.25">
      <c r="P1202" s="2" t="s">
        <v>22</v>
      </c>
      <c r="Q1202" s="10">
        <f>data_redis_illX!E1069</f>
        <v>0</v>
      </c>
      <c r="R1202" s="10">
        <f>data_redis_illX!F1069</f>
        <v>0</v>
      </c>
      <c r="S1202" s="10">
        <f>data_redis_illX!G1069</f>
        <v>0</v>
      </c>
      <c r="T1202" s="10">
        <f>data_redis_illX!H1069</f>
        <v>0</v>
      </c>
      <c r="U1202" s="10">
        <f>data_redis_illX!I1069</f>
        <v>0</v>
      </c>
      <c r="V1202" s="10">
        <f>data_redis_illX!J1069</f>
        <v>0</v>
      </c>
      <c r="W1202" s="10">
        <f>data_redis_illX!K1069</f>
        <v>0</v>
      </c>
      <c r="X1202" s="10">
        <f>data_redis_illX!L1069</f>
        <v>0</v>
      </c>
      <c r="Y1202" s="5">
        <f t="shared" si="18"/>
        <v>0</v>
      </c>
    </row>
    <row r="1203" spans="16:25" x14ac:dyDescent="0.25">
      <c r="P1203" s="2" t="s">
        <v>23</v>
      </c>
      <c r="Q1203" s="10">
        <f>data_redis_illX!E1070</f>
        <v>0</v>
      </c>
      <c r="R1203" s="10">
        <f>data_redis_illX!F1070</f>
        <v>0</v>
      </c>
      <c r="S1203" s="10">
        <f>data_redis_illX!G1070</f>
        <v>0</v>
      </c>
      <c r="T1203" s="10">
        <f>data_redis_illX!H1070</f>
        <v>0</v>
      </c>
      <c r="U1203" s="10">
        <f>data_redis_illX!I1070</f>
        <v>0</v>
      </c>
      <c r="V1203" s="10">
        <f>data_redis_illX!J1070</f>
        <v>0</v>
      </c>
      <c r="W1203" s="10">
        <f>data_redis_illX!K1070</f>
        <v>0</v>
      </c>
      <c r="X1203" s="10">
        <f>data_redis_illX!L1070</f>
        <v>0</v>
      </c>
      <c r="Y1203" s="5">
        <f t="shared" si="18"/>
        <v>0</v>
      </c>
    </row>
    <row r="1204" spans="16:25" x14ac:dyDescent="0.25">
      <c r="P1204" s="2" t="s">
        <v>24</v>
      </c>
      <c r="Q1204" s="10">
        <f>data_redis_illX!E1071</f>
        <v>0</v>
      </c>
      <c r="R1204" s="10">
        <f>data_redis_illX!F1071</f>
        <v>0</v>
      </c>
      <c r="S1204" s="10">
        <f>data_redis_illX!G1071</f>
        <v>0</v>
      </c>
      <c r="T1204" s="10">
        <f>data_redis_illX!H1071</f>
        <v>0</v>
      </c>
      <c r="U1204" s="10">
        <f>data_redis_illX!I1071</f>
        <v>0</v>
      </c>
      <c r="V1204" s="10">
        <f>data_redis_illX!J1071</f>
        <v>0</v>
      </c>
      <c r="W1204" s="10">
        <f>data_redis_illX!K1071</f>
        <v>0</v>
      </c>
      <c r="X1204" s="10">
        <f>data_redis_illX!L1071</f>
        <v>0</v>
      </c>
      <c r="Y1204" s="5">
        <f t="shared" si="18"/>
        <v>0</v>
      </c>
    </row>
    <row r="1205" spans="16:25" x14ac:dyDescent="0.25">
      <c r="P1205" s="2" t="s">
        <v>25</v>
      </c>
      <c r="Q1205" s="10">
        <f>data_redis_illX!E1072</f>
        <v>0</v>
      </c>
      <c r="R1205" s="10">
        <f>data_redis_illX!F1072</f>
        <v>0</v>
      </c>
      <c r="S1205" s="10">
        <f>data_redis_illX!G1072</f>
        <v>0</v>
      </c>
      <c r="T1205" s="10">
        <f>data_redis_illX!H1072</f>
        <v>0</v>
      </c>
      <c r="U1205" s="10">
        <f>data_redis_illX!I1072</f>
        <v>0</v>
      </c>
      <c r="V1205" s="10">
        <f>data_redis_illX!J1072</f>
        <v>0</v>
      </c>
      <c r="W1205" s="10">
        <f>data_redis_illX!K1072</f>
        <v>0</v>
      </c>
      <c r="X1205" s="10">
        <f>data_redis_illX!L1072</f>
        <v>0</v>
      </c>
      <c r="Y1205" s="5">
        <f t="shared" si="18"/>
        <v>0</v>
      </c>
    </row>
    <row r="1206" spans="16:25" x14ac:dyDescent="0.25">
      <c r="P1206" s="2" t="s">
        <v>26</v>
      </c>
      <c r="Q1206" s="10">
        <f>data_redis_illX!E1073</f>
        <v>0</v>
      </c>
      <c r="R1206" s="10">
        <f>data_redis_illX!F1073</f>
        <v>0</v>
      </c>
      <c r="S1206" s="10">
        <f>data_redis_illX!G1073</f>
        <v>0</v>
      </c>
      <c r="T1206" s="10">
        <f>data_redis_illX!H1073</f>
        <v>0</v>
      </c>
      <c r="U1206" s="10">
        <f>data_redis_illX!I1073</f>
        <v>0</v>
      </c>
      <c r="V1206" s="10">
        <f>data_redis_illX!J1073</f>
        <v>0</v>
      </c>
      <c r="W1206" s="10">
        <f>data_redis_illX!K1073</f>
        <v>0</v>
      </c>
      <c r="X1206" s="10">
        <f>data_redis_illX!L1073</f>
        <v>0</v>
      </c>
      <c r="Y1206" s="5">
        <f t="shared" si="18"/>
        <v>0</v>
      </c>
    </row>
    <row r="1207" spans="16:25" x14ac:dyDescent="0.25">
      <c r="P1207" s="2" t="s">
        <v>27</v>
      </c>
      <c r="Q1207" s="10">
        <f>data_redis_illX!E1074</f>
        <v>0</v>
      </c>
      <c r="R1207" s="10">
        <f>data_redis_illX!F1074</f>
        <v>0</v>
      </c>
      <c r="S1207" s="10">
        <f>data_redis_illX!G1074</f>
        <v>0</v>
      </c>
      <c r="T1207" s="10">
        <f>data_redis_illX!H1074</f>
        <v>0</v>
      </c>
      <c r="U1207" s="10">
        <f>data_redis_illX!I1074</f>
        <v>0</v>
      </c>
      <c r="V1207" s="10">
        <f>data_redis_illX!J1074</f>
        <v>0</v>
      </c>
      <c r="W1207" s="10">
        <f>data_redis_illX!K1074</f>
        <v>0</v>
      </c>
      <c r="X1207" s="10">
        <f>data_redis_illX!L1074</f>
        <v>0</v>
      </c>
      <c r="Y1207" s="5">
        <f t="shared" si="18"/>
        <v>0</v>
      </c>
    </row>
    <row r="1208" spans="16:25" x14ac:dyDescent="0.25">
      <c r="P1208" s="2" t="s">
        <v>28</v>
      </c>
      <c r="Q1208" s="10">
        <f>data_redis_illX!E1075</f>
        <v>0</v>
      </c>
      <c r="R1208" s="10">
        <f>data_redis_illX!F1075</f>
        <v>0</v>
      </c>
      <c r="S1208" s="10">
        <f>data_redis_illX!G1075</f>
        <v>0</v>
      </c>
      <c r="T1208" s="10">
        <f>data_redis_illX!H1075</f>
        <v>0</v>
      </c>
      <c r="U1208" s="10">
        <f>data_redis_illX!I1075</f>
        <v>0</v>
      </c>
      <c r="V1208" s="10">
        <f>data_redis_illX!J1075</f>
        <v>0</v>
      </c>
      <c r="W1208" s="10">
        <f>data_redis_illX!K1075</f>
        <v>0</v>
      </c>
      <c r="X1208" s="10">
        <f>data_redis_illX!L1075</f>
        <v>0</v>
      </c>
      <c r="Y1208" s="5">
        <f t="shared" si="18"/>
        <v>0</v>
      </c>
    </row>
    <row r="1209" spans="16:25" x14ac:dyDescent="0.25">
      <c r="P1209" s="2" t="s">
        <v>29</v>
      </c>
      <c r="Q1209" s="10">
        <f>data_redis_illX!E1076</f>
        <v>0</v>
      </c>
      <c r="R1209" s="10">
        <f>data_redis_illX!F1076</f>
        <v>0</v>
      </c>
      <c r="S1209" s="10">
        <f>data_redis_illX!G1076</f>
        <v>0</v>
      </c>
      <c r="T1209" s="10">
        <f>data_redis_illX!H1076</f>
        <v>0</v>
      </c>
      <c r="U1209" s="10">
        <f>data_redis_illX!I1076</f>
        <v>0</v>
      </c>
      <c r="V1209" s="10">
        <f>data_redis_illX!J1076</f>
        <v>0</v>
      </c>
      <c r="W1209" s="10">
        <f>data_redis_illX!K1076</f>
        <v>0</v>
      </c>
      <c r="X1209" s="10">
        <f>data_redis_illX!L1076</f>
        <v>0</v>
      </c>
      <c r="Y1209" s="5">
        <f t="shared" si="18"/>
        <v>0</v>
      </c>
    </row>
    <row r="1210" spans="16:25" x14ac:dyDescent="0.25">
      <c r="P1210" s="2" t="s">
        <v>30</v>
      </c>
      <c r="Q1210" s="10">
        <f>data_redis_illX!E1077</f>
        <v>0</v>
      </c>
      <c r="R1210" s="10">
        <f>data_redis_illX!F1077</f>
        <v>0</v>
      </c>
      <c r="S1210" s="10">
        <f>data_redis_illX!G1077</f>
        <v>0</v>
      </c>
      <c r="T1210" s="10">
        <f>data_redis_illX!H1077</f>
        <v>0</v>
      </c>
      <c r="U1210" s="10">
        <f>data_redis_illX!I1077</f>
        <v>0</v>
      </c>
      <c r="V1210" s="10">
        <f>data_redis_illX!J1077</f>
        <v>0</v>
      </c>
      <c r="W1210" s="10">
        <f>data_redis_illX!K1077</f>
        <v>0</v>
      </c>
      <c r="X1210" s="10">
        <f>data_redis_illX!L1077</f>
        <v>0</v>
      </c>
      <c r="Y1210" s="5">
        <f t="shared" si="18"/>
        <v>0</v>
      </c>
    </row>
    <row r="1211" spans="16:25" x14ac:dyDescent="0.25">
      <c r="P1211" s="2" t="s">
        <v>31</v>
      </c>
      <c r="Q1211" s="10">
        <f>data_redis_illX!E1078</f>
        <v>0</v>
      </c>
      <c r="R1211" s="10">
        <f>data_redis_illX!F1078</f>
        <v>0</v>
      </c>
      <c r="S1211" s="10">
        <f>data_redis_illX!G1078</f>
        <v>0</v>
      </c>
      <c r="T1211" s="10">
        <f>data_redis_illX!H1078</f>
        <v>0</v>
      </c>
      <c r="U1211" s="10">
        <f>data_redis_illX!I1078</f>
        <v>0</v>
      </c>
      <c r="V1211" s="10">
        <f>data_redis_illX!J1078</f>
        <v>0</v>
      </c>
      <c r="W1211" s="10">
        <f>data_redis_illX!K1078</f>
        <v>0</v>
      </c>
      <c r="X1211" s="10">
        <f>data_redis_illX!L1078</f>
        <v>0</v>
      </c>
      <c r="Y1211" s="5">
        <f t="shared" si="18"/>
        <v>0</v>
      </c>
    </row>
    <row r="1212" spans="16:25" x14ac:dyDescent="0.25">
      <c r="P1212" s="2" t="s">
        <v>32</v>
      </c>
      <c r="Q1212" s="10">
        <f>data_redis_illX!E1079</f>
        <v>0</v>
      </c>
      <c r="R1212" s="10">
        <f>data_redis_illX!F1079</f>
        <v>0</v>
      </c>
      <c r="S1212" s="10">
        <f>data_redis_illX!G1079</f>
        <v>0</v>
      </c>
      <c r="T1212" s="10">
        <f>data_redis_illX!H1079</f>
        <v>0</v>
      </c>
      <c r="U1212" s="10">
        <f>data_redis_illX!I1079</f>
        <v>0</v>
      </c>
      <c r="V1212" s="10">
        <f>data_redis_illX!J1079</f>
        <v>0</v>
      </c>
      <c r="W1212" s="10">
        <f>data_redis_illX!K1079</f>
        <v>0</v>
      </c>
      <c r="X1212" s="10">
        <f>data_redis_illX!L1079</f>
        <v>0</v>
      </c>
      <c r="Y1212" s="5">
        <f t="shared" si="18"/>
        <v>0</v>
      </c>
    </row>
    <row r="1213" spans="16:25" x14ac:dyDescent="0.25">
      <c r="P1213" s="2" t="s">
        <v>33</v>
      </c>
      <c r="Q1213" s="10">
        <f>data_redis_illX!E1080</f>
        <v>0</v>
      </c>
      <c r="R1213" s="10">
        <f>data_redis_illX!F1080</f>
        <v>0</v>
      </c>
      <c r="S1213" s="10">
        <f>data_redis_illX!G1080</f>
        <v>0</v>
      </c>
      <c r="T1213" s="10">
        <f>data_redis_illX!H1080</f>
        <v>0</v>
      </c>
      <c r="U1213" s="10">
        <f>data_redis_illX!I1080</f>
        <v>0</v>
      </c>
      <c r="V1213" s="10">
        <f>data_redis_illX!J1080</f>
        <v>0</v>
      </c>
      <c r="W1213" s="10">
        <f>data_redis_illX!K1080</f>
        <v>0</v>
      </c>
      <c r="X1213" s="10">
        <f>data_redis_illX!L1080</f>
        <v>0</v>
      </c>
      <c r="Y1213" s="5">
        <f t="shared" si="18"/>
        <v>0</v>
      </c>
    </row>
    <row r="1214" spans="16:25" x14ac:dyDescent="0.25">
      <c r="P1214" s="2" t="s">
        <v>34</v>
      </c>
      <c r="Q1214" s="10">
        <f>data_redis_illX!E1081</f>
        <v>0</v>
      </c>
      <c r="R1214" s="10">
        <f>data_redis_illX!F1081</f>
        <v>0</v>
      </c>
      <c r="S1214" s="10">
        <f>data_redis_illX!G1081</f>
        <v>0</v>
      </c>
      <c r="T1214" s="10">
        <f>data_redis_illX!H1081</f>
        <v>0</v>
      </c>
      <c r="U1214" s="10">
        <f>data_redis_illX!I1081</f>
        <v>0</v>
      </c>
      <c r="V1214" s="10">
        <f>data_redis_illX!J1081</f>
        <v>0</v>
      </c>
      <c r="W1214" s="10">
        <f>data_redis_illX!K1081</f>
        <v>0</v>
      </c>
      <c r="X1214" s="10">
        <f>data_redis_illX!L1081</f>
        <v>0</v>
      </c>
      <c r="Y1214" s="5">
        <f t="shared" si="18"/>
        <v>0</v>
      </c>
    </row>
    <row r="1215" spans="16:25" x14ac:dyDescent="0.25">
      <c r="P1215" s="2" t="s">
        <v>35</v>
      </c>
      <c r="Q1215" s="10">
        <f>data_redis_illX!E1082</f>
        <v>0</v>
      </c>
      <c r="R1215" s="10">
        <f>data_redis_illX!F1082</f>
        <v>0</v>
      </c>
      <c r="S1215" s="10">
        <f>data_redis_illX!G1082</f>
        <v>0</v>
      </c>
      <c r="T1215" s="10">
        <f>data_redis_illX!H1082</f>
        <v>0</v>
      </c>
      <c r="U1215" s="10">
        <f>data_redis_illX!I1082</f>
        <v>0</v>
      </c>
      <c r="V1215" s="10">
        <f>data_redis_illX!J1082</f>
        <v>0</v>
      </c>
      <c r="W1215" s="10">
        <f>data_redis_illX!K1082</f>
        <v>0</v>
      </c>
      <c r="X1215" s="10">
        <f>data_redis_illX!L1082</f>
        <v>0</v>
      </c>
      <c r="Y1215" s="5">
        <f t="shared" si="18"/>
        <v>0</v>
      </c>
    </row>
    <row r="1216" spans="16:25" x14ac:dyDescent="0.25">
      <c r="P1216" s="2" t="s">
        <v>36</v>
      </c>
      <c r="Q1216" s="10">
        <f>data_redis_illX!E1083</f>
        <v>0</v>
      </c>
      <c r="R1216" s="10">
        <f>data_redis_illX!F1083</f>
        <v>0</v>
      </c>
      <c r="S1216" s="10">
        <f>data_redis_illX!G1083</f>
        <v>0</v>
      </c>
      <c r="T1216" s="10">
        <f>data_redis_illX!H1083</f>
        <v>0</v>
      </c>
      <c r="U1216" s="10">
        <f>data_redis_illX!I1083</f>
        <v>0</v>
      </c>
      <c r="V1216" s="10">
        <f>data_redis_illX!J1083</f>
        <v>0</v>
      </c>
      <c r="W1216" s="10">
        <f>data_redis_illX!K1083</f>
        <v>0</v>
      </c>
      <c r="X1216" s="10">
        <f>data_redis_illX!L1083</f>
        <v>0</v>
      </c>
      <c r="Y1216" s="5">
        <f t="shared" si="18"/>
        <v>0</v>
      </c>
    </row>
    <row r="1217" spans="13:25" x14ac:dyDescent="0.25">
      <c r="P1217" s="2" t="s">
        <v>37</v>
      </c>
      <c r="Q1217" s="10">
        <f>data_redis_illX!E1084</f>
        <v>0</v>
      </c>
      <c r="R1217" s="10">
        <f>data_redis_illX!F1084</f>
        <v>0</v>
      </c>
      <c r="S1217" s="10">
        <f>data_redis_illX!G1084</f>
        <v>0</v>
      </c>
      <c r="T1217" s="10">
        <f>data_redis_illX!H1084</f>
        <v>0</v>
      </c>
      <c r="U1217" s="10">
        <f>data_redis_illX!I1084</f>
        <v>0</v>
      </c>
      <c r="V1217" s="10">
        <f>data_redis_illX!J1084</f>
        <v>0</v>
      </c>
      <c r="W1217" s="10">
        <f>data_redis_illX!K1084</f>
        <v>0</v>
      </c>
      <c r="X1217" s="10">
        <f>data_redis_illX!L1084</f>
        <v>0</v>
      </c>
      <c r="Y1217" s="5">
        <f t="shared" si="18"/>
        <v>0</v>
      </c>
    </row>
    <row r="1218" spans="13:25" x14ac:dyDescent="0.25">
      <c r="P1218" s="2" t="s">
        <v>38</v>
      </c>
      <c r="Q1218" s="10">
        <f>data_redis_illX!E1085</f>
        <v>0</v>
      </c>
      <c r="R1218" s="10">
        <f>data_redis_illX!F1085</f>
        <v>0</v>
      </c>
      <c r="S1218" s="10">
        <f>data_redis_illX!G1085</f>
        <v>0</v>
      </c>
      <c r="T1218" s="10">
        <f>data_redis_illX!H1085</f>
        <v>0</v>
      </c>
      <c r="U1218" s="10">
        <f>data_redis_illX!I1085</f>
        <v>0</v>
      </c>
      <c r="V1218" s="10">
        <f>data_redis_illX!J1085</f>
        <v>0</v>
      </c>
      <c r="W1218" s="10">
        <f>data_redis_illX!K1085</f>
        <v>0</v>
      </c>
      <c r="X1218" s="10">
        <f>data_redis_illX!L1085</f>
        <v>0</v>
      </c>
      <c r="Y1218" s="5">
        <f t="shared" si="18"/>
        <v>0</v>
      </c>
    </row>
    <row r="1219" spans="13:25" x14ac:dyDescent="0.25">
      <c r="P1219" s="2" t="s">
        <v>39</v>
      </c>
      <c r="Q1219" s="10">
        <f>data_redis_illX!E1086</f>
        <v>0</v>
      </c>
      <c r="R1219" s="10">
        <f>data_redis_illX!F1086</f>
        <v>0</v>
      </c>
      <c r="S1219" s="10">
        <f>data_redis_illX!G1086</f>
        <v>0</v>
      </c>
      <c r="T1219" s="10">
        <f>data_redis_illX!H1086</f>
        <v>0</v>
      </c>
      <c r="U1219" s="10">
        <f>data_redis_illX!I1086</f>
        <v>0</v>
      </c>
      <c r="V1219" s="10">
        <f>data_redis_illX!J1086</f>
        <v>0</v>
      </c>
      <c r="W1219" s="10">
        <f>data_redis_illX!K1086</f>
        <v>0</v>
      </c>
      <c r="X1219" s="10">
        <f>data_redis_illX!L1086</f>
        <v>0</v>
      </c>
      <c r="Y1219" s="5">
        <f t="shared" si="18"/>
        <v>0</v>
      </c>
    </row>
    <row r="1220" spans="13:25" x14ac:dyDescent="0.25">
      <c r="P1220" s="2" t="s">
        <v>40</v>
      </c>
      <c r="Q1220" s="10">
        <f>data_redis_illX!E1087</f>
        <v>0</v>
      </c>
      <c r="R1220" s="10">
        <f>data_redis_illX!F1087</f>
        <v>0</v>
      </c>
      <c r="S1220" s="10">
        <f>data_redis_illX!G1087</f>
        <v>0</v>
      </c>
      <c r="T1220" s="10">
        <f>data_redis_illX!H1087</f>
        <v>0</v>
      </c>
      <c r="U1220" s="10">
        <f>data_redis_illX!I1087</f>
        <v>0</v>
      </c>
      <c r="V1220" s="10">
        <f>data_redis_illX!J1087</f>
        <v>0</v>
      </c>
      <c r="W1220" s="10">
        <f>data_redis_illX!K1087</f>
        <v>0</v>
      </c>
      <c r="X1220" s="10">
        <f>data_redis_illX!L1087</f>
        <v>0</v>
      </c>
      <c r="Y1220" s="5">
        <f t="shared" si="18"/>
        <v>0</v>
      </c>
    </row>
    <row r="1221" spans="13:25" x14ac:dyDescent="0.25">
      <c r="P1221" s="2" t="s">
        <v>41</v>
      </c>
      <c r="Q1221" s="10">
        <f>data_redis_illX!E1088</f>
        <v>0</v>
      </c>
      <c r="R1221" s="10">
        <f>data_redis_illX!F1088</f>
        <v>0</v>
      </c>
      <c r="S1221" s="10">
        <f>data_redis_illX!G1088</f>
        <v>0</v>
      </c>
      <c r="T1221" s="10">
        <f>data_redis_illX!H1088</f>
        <v>0</v>
      </c>
      <c r="U1221" s="10">
        <f>data_redis_illX!I1088</f>
        <v>0</v>
      </c>
      <c r="V1221" s="10">
        <f>data_redis_illX!J1088</f>
        <v>0</v>
      </c>
      <c r="W1221" s="10">
        <f>data_redis_illX!K1088</f>
        <v>0</v>
      </c>
      <c r="X1221" s="10">
        <f>data_redis_illX!L1088</f>
        <v>0</v>
      </c>
      <c r="Y1221" s="5">
        <f t="shared" ref="Y1221:Y1284" si="19">SUM(Q1221:X1221)</f>
        <v>0</v>
      </c>
    </row>
    <row r="1222" spans="13:25" x14ac:dyDescent="0.25">
      <c r="P1222" s="2" t="s">
        <v>42</v>
      </c>
      <c r="Q1222" s="10">
        <f>data_redis_illX!E1089</f>
        <v>0</v>
      </c>
      <c r="R1222" s="10">
        <f>data_redis_illX!F1089</f>
        <v>0</v>
      </c>
      <c r="S1222" s="10">
        <f>data_redis_illX!G1089</f>
        <v>0</v>
      </c>
      <c r="T1222" s="10">
        <f>data_redis_illX!H1089</f>
        <v>0</v>
      </c>
      <c r="U1222" s="10">
        <f>data_redis_illX!I1089</f>
        <v>0</v>
      </c>
      <c r="V1222" s="10">
        <f>data_redis_illX!J1089</f>
        <v>0</v>
      </c>
      <c r="W1222" s="10">
        <f>data_redis_illX!K1089</f>
        <v>0</v>
      </c>
      <c r="X1222" s="10">
        <f>data_redis_illX!L1089</f>
        <v>0</v>
      </c>
      <c r="Y1222" s="5">
        <f t="shared" si="19"/>
        <v>0</v>
      </c>
    </row>
    <row r="1223" spans="13:25" x14ac:dyDescent="0.25">
      <c r="P1223" s="2" t="s">
        <v>43</v>
      </c>
      <c r="Q1223" s="10">
        <f>data_redis_illX!E1090</f>
        <v>0</v>
      </c>
      <c r="R1223" s="10">
        <f>data_redis_illX!F1090</f>
        <v>0</v>
      </c>
      <c r="S1223" s="10">
        <f>data_redis_illX!G1090</f>
        <v>0</v>
      </c>
      <c r="T1223" s="10">
        <f>data_redis_illX!H1090</f>
        <v>0</v>
      </c>
      <c r="U1223" s="10">
        <f>data_redis_illX!I1090</f>
        <v>0</v>
      </c>
      <c r="V1223" s="10">
        <f>data_redis_illX!J1090</f>
        <v>0</v>
      </c>
      <c r="W1223" s="10">
        <f>data_redis_illX!K1090</f>
        <v>0</v>
      </c>
      <c r="X1223" s="10">
        <f>data_redis_illX!L1090</f>
        <v>0</v>
      </c>
      <c r="Y1223" s="5">
        <f t="shared" si="19"/>
        <v>0</v>
      </c>
    </row>
    <row r="1224" spans="13:25" x14ac:dyDescent="0.25">
      <c r="P1224" s="2" t="s">
        <v>44</v>
      </c>
      <c r="Q1224" s="10">
        <f>data_redis_illX!E1091</f>
        <v>0</v>
      </c>
      <c r="R1224" s="10">
        <f>data_redis_illX!F1091</f>
        <v>0</v>
      </c>
      <c r="S1224" s="10">
        <f>data_redis_illX!G1091</f>
        <v>0</v>
      </c>
      <c r="T1224" s="10">
        <f>data_redis_illX!H1091</f>
        <v>0</v>
      </c>
      <c r="U1224" s="10">
        <f>data_redis_illX!I1091</f>
        <v>0</v>
      </c>
      <c r="V1224" s="10">
        <f>data_redis_illX!J1091</f>
        <v>0</v>
      </c>
      <c r="W1224" s="10">
        <f>data_redis_illX!K1091</f>
        <v>0</v>
      </c>
      <c r="X1224" s="10">
        <f>data_redis_illX!L1091</f>
        <v>0</v>
      </c>
      <c r="Y1224" s="5">
        <f t="shared" si="19"/>
        <v>0</v>
      </c>
    </row>
    <row r="1225" spans="13:25" x14ac:dyDescent="0.25">
      <c r="M1225" t="s">
        <v>115</v>
      </c>
      <c r="N1225" t="s">
        <v>103</v>
      </c>
      <c r="O1225" t="s">
        <v>48</v>
      </c>
      <c r="P1225" s="2" t="s">
        <v>12</v>
      </c>
      <c r="Q1225" s="10">
        <f>data_redis_illX!E1092</f>
        <v>0</v>
      </c>
      <c r="R1225" s="10">
        <f>data_redis_illX!F1092</f>
        <v>0</v>
      </c>
      <c r="S1225" s="10">
        <f>data_redis_illX!G1092</f>
        <v>0</v>
      </c>
      <c r="T1225" s="10">
        <f>data_redis_illX!H1092</f>
        <v>0</v>
      </c>
      <c r="U1225" s="10">
        <f>data_redis_illX!I1092</f>
        <v>0</v>
      </c>
      <c r="V1225" s="10">
        <f>data_redis_illX!J1092</f>
        <v>0</v>
      </c>
      <c r="W1225" s="10">
        <f>data_redis_illX!K1092</f>
        <v>0</v>
      </c>
      <c r="X1225" s="10">
        <f>data_redis_illX!L1092</f>
        <v>0</v>
      </c>
      <c r="Y1225" s="5">
        <f t="shared" si="19"/>
        <v>0</v>
      </c>
    </row>
    <row r="1226" spans="13:25" x14ac:dyDescent="0.25">
      <c r="P1226" s="2" t="s">
        <v>13</v>
      </c>
      <c r="Q1226" s="10">
        <f>data_redis_illX!E1093</f>
        <v>0</v>
      </c>
      <c r="R1226" s="10">
        <f>data_redis_illX!F1093</f>
        <v>0</v>
      </c>
      <c r="S1226" s="10">
        <f>data_redis_illX!G1093</f>
        <v>0</v>
      </c>
      <c r="T1226" s="10">
        <f>data_redis_illX!H1093</f>
        <v>0</v>
      </c>
      <c r="U1226" s="10">
        <f>data_redis_illX!I1093</f>
        <v>0</v>
      </c>
      <c r="V1226" s="10">
        <f>data_redis_illX!J1093</f>
        <v>0</v>
      </c>
      <c r="W1226" s="10">
        <f>data_redis_illX!K1093</f>
        <v>0</v>
      </c>
      <c r="X1226" s="10">
        <f>data_redis_illX!L1093</f>
        <v>0</v>
      </c>
      <c r="Y1226" s="5">
        <f t="shared" si="19"/>
        <v>0</v>
      </c>
    </row>
    <row r="1227" spans="13:25" x14ac:dyDescent="0.25">
      <c r="P1227" s="2" t="s">
        <v>14</v>
      </c>
      <c r="Q1227" s="10">
        <f>data_redis_illX!E1094</f>
        <v>0</v>
      </c>
      <c r="R1227" s="10">
        <f>data_redis_illX!F1094</f>
        <v>0</v>
      </c>
      <c r="S1227" s="10">
        <f>data_redis_illX!G1094</f>
        <v>0</v>
      </c>
      <c r="T1227" s="10">
        <f>data_redis_illX!H1094</f>
        <v>0</v>
      </c>
      <c r="U1227" s="10">
        <f>data_redis_illX!I1094</f>
        <v>0</v>
      </c>
      <c r="V1227" s="10">
        <f>data_redis_illX!J1094</f>
        <v>0</v>
      </c>
      <c r="W1227" s="10">
        <f>data_redis_illX!K1094</f>
        <v>0</v>
      </c>
      <c r="X1227" s="10">
        <f>data_redis_illX!L1094</f>
        <v>0</v>
      </c>
      <c r="Y1227" s="5">
        <f t="shared" si="19"/>
        <v>0</v>
      </c>
    </row>
    <row r="1228" spans="13:25" x14ac:dyDescent="0.25">
      <c r="P1228" s="2" t="s">
        <v>15</v>
      </c>
      <c r="Q1228" s="10">
        <f>data_redis_illX!E1095</f>
        <v>0</v>
      </c>
      <c r="R1228" s="10">
        <f>data_redis_illX!F1095</f>
        <v>0</v>
      </c>
      <c r="S1228" s="10">
        <f>data_redis_illX!G1095</f>
        <v>0</v>
      </c>
      <c r="T1228" s="10">
        <f>data_redis_illX!H1095</f>
        <v>0</v>
      </c>
      <c r="U1228" s="10">
        <f>data_redis_illX!I1095</f>
        <v>0</v>
      </c>
      <c r="V1228" s="10">
        <f>data_redis_illX!J1095</f>
        <v>0</v>
      </c>
      <c r="W1228" s="10">
        <f>data_redis_illX!K1095</f>
        <v>0</v>
      </c>
      <c r="X1228" s="10">
        <f>data_redis_illX!L1095</f>
        <v>0</v>
      </c>
      <c r="Y1228" s="5">
        <f t="shared" si="19"/>
        <v>0</v>
      </c>
    </row>
    <row r="1229" spans="13:25" x14ac:dyDescent="0.25">
      <c r="P1229" s="2" t="s">
        <v>16</v>
      </c>
      <c r="Q1229" s="10">
        <f>data_redis_illX!E1096</f>
        <v>0</v>
      </c>
      <c r="R1229" s="10">
        <f>data_redis_illX!F1096</f>
        <v>0</v>
      </c>
      <c r="S1229" s="10">
        <f>data_redis_illX!G1096</f>
        <v>0</v>
      </c>
      <c r="T1229" s="10">
        <f>data_redis_illX!H1096</f>
        <v>0</v>
      </c>
      <c r="U1229" s="10">
        <f>data_redis_illX!I1096</f>
        <v>0</v>
      </c>
      <c r="V1229" s="10">
        <f>data_redis_illX!J1096</f>
        <v>0</v>
      </c>
      <c r="W1229" s="10">
        <f>data_redis_illX!K1096</f>
        <v>0</v>
      </c>
      <c r="X1229" s="10">
        <f>data_redis_illX!L1096</f>
        <v>0</v>
      </c>
      <c r="Y1229" s="5">
        <f t="shared" si="19"/>
        <v>0</v>
      </c>
    </row>
    <row r="1230" spans="13:25" x14ac:dyDescent="0.25">
      <c r="P1230" s="2" t="s">
        <v>17</v>
      </c>
      <c r="Q1230" s="10">
        <f>data_redis_illX!E1097</f>
        <v>0</v>
      </c>
      <c r="R1230" s="10">
        <f>data_redis_illX!F1097</f>
        <v>0</v>
      </c>
      <c r="S1230" s="10">
        <f>data_redis_illX!G1097</f>
        <v>0</v>
      </c>
      <c r="T1230" s="10">
        <f>data_redis_illX!H1097</f>
        <v>0</v>
      </c>
      <c r="U1230" s="10">
        <f>data_redis_illX!I1097</f>
        <v>0</v>
      </c>
      <c r="V1230" s="10">
        <f>data_redis_illX!J1097</f>
        <v>0</v>
      </c>
      <c r="W1230" s="10">
        <f>data_redis_illX!K1097</f>
        <v>0</v>
      </c>
      <c r="X1230" s="10">
        <f>data_redis_illX!L1097</f>
        <v>0</v>
      </c>
      <c r="Y1230" s="5">
        <f t="shared" si="19"/>
        <v>0</v>
      </c>
    </row>
    <row r="1231" spans="13:25" x14ac:dyDescent="0.25">
      <c r="P1231" s="2" t="s">
        <v>18</v>
      </c>
      <c r="Q1231" s="10">
        <f>data_redis_illX!E1098</f>
        <v>0</v>
      </c>
      <c r="R1231" s="10">
        <f>data_redis_illX!F1098</f>
        <v>0</v>
      </c>
      <c r="S1231" s="10">
        <f>data_redis_illX!G1098</f>
        <v>0</v>
      </c>
      <c r="T1231" s="10">
        <f>data_redis_illX!H1098</f>
        <v>0</v>
      </c>
      <c r="U1231" s="10">
        <f>data_redis_illX!I1098</f>
        <v>0</v>
      </c>
      <c r="V1231" s="10">
        <f>data_redis_illX!J1098</f>
        <v>0</v>
      </c>
      <c r="W1231" s="10">
        <f>data_redis_illX!K1098</f>
        <v>0</v>
      </c>
      <c r="X1231" s="10">
        <f>data_redis_illX!L1098</f>
        <v>0</v>
      </c>
      <c r="Y1231" s="5">
        <f t="shared" si="19"/>
        <v>0</v>
      </c>
    </row>
    <row r="1232" spans="13:25" x14ac:dyDescent="0.25">
      <c r="P1232" s="2" t="s">
        <v>19</v>
      </c>
      <c r="Q1232" s="10">
        <f>data_redis_illX!E1099</f>
        <v>0</v>
      </c>
      <c r="R1232" s="10">
        <f>data_redis_illX!F1099</f>
        <v>0</v>
      </c>
      <c r="S1232" s="10">
        <f>data_redis_illX!G1099</f>
        <v>0</v>
      </c>
      <c r="T1232" s="10">
        <f>data_redis_illX!H1099</f>
        <v>0</v>
      </c>
      <c r="U1232" s="10">
        <f>data_redis_illX!I1099</f>
        <v>0</v>
      </c>
      <c r="V1232" s="10">
        <f>data_redis_illX!J1099</f>
        <v>0</v>
      </c>
      <c r="W1232" s="10">
        <f>data_redis_illX!K1099</f>
        <v>0</v>
      </c>
      <c r="X1232" s="10">
        <f>data_redis_illX!L1099</f>
        <v>0</v>
      </c>
      <c r="Y1232" s="5">
        <f t="shared" si="19"/>
        <v>0</v>
      </c>
    </row>
    <row r="1233" spans="16:25" x14ac:dyDescent="0.25">
      <c r="P1233" s="2" t="s">
        <v>20</v>
      </c>
      <c r="Q1233" s="10">
        <f>data_redis_illX!E1100</f>
        <v>0</v>
      </c>
      <c r="R1233" s="10">
        <f>data_redis_illX!F1100</f>
        <v>0</v>
      </c>
      <c r="S1233" s="10">
        <f>data_redis_illX!G1100</f>
        <v>0</v>
      </c>
      <c r="T1233" s="10">
        <f>data_redis_illX!H1100</f>
        <v>0</v>
      </c>
      <c r="U1233" s="10">
        <f>data_redis_illX!I1100</f>
        <v>0</v>
      </c>
      <c r="V1233" s="10">
        <f>data_redis_illX!J1100</f>
        <v>0</v>
      </c>
      <c r="W1233" s="10">
        <f>data_redis_illX!K1100</f>
        <v>0</v>
      </c>
      <c r="X1233" s="10">
        <f>data_redis_illX!L1100</f>
        <v>0</v>
      </c>
      <c r="Y1233" s="5">
        <f t="shared" si="19"/>
        <v>0</v>
      </c>
    </row>
    <row r="1234" spans="16:25" x14ac:dyDescent="0.25">
      <c r="P1234" s="2" t="s">
        <v>21</v>
      </c>
      <c r="Q1234" s="10">
        <f>data_redis_illX!E1101</f>
        <v>0</v>
      </c>
      <c r="R1234" s="10">
        <f>data_redis_illX!F1101</f>
        <v>0</v>
      </c>
      <c r="S1234" s="10">
        <f>data_redis_illX!G1101</f>
        <v>0</v>
      </c>
      <c r="T1234" s="10">
        <f>data_redis_illX!H1101</f>
        <v>0</v>
      </c>
      <c r="U1234" s="10">
        <f>data_redis_illX!I1101</f>
        <v>0</v>
      </c>
      <c r="V1234" s="10">
        <f>data_redis_illX!J1101</f>
        <v>0</v>
      </c>
      <c r="W1234" s="10">
        <f>data_redis_illX!K1101</f>
        <v>0</v>
      </c>
      <c r="X1234" s="10">
        <f>data_redis_illX!L1101</f>
        <v>0</v>
      </c>
      <c r="Y1234" s="5">
        <f t="shared" si="19"/>
        <v>0</v>
      </c>
    </row>
    <row r="1235" spans="16:25" x14ac:dyDescent="0.25">
      <c r="P1235" s="2" t="s">
        <v>22</v>
      </c>
      <c r="Q1235" s="10">
        <f>data_redis_illX!E1102</f>
        <v>0</v>
      </c>
      <c r="R1235" s="10">
        <f>data_redis_illX!F1102</f>
        <v>0</v>
      </c>
      <c r="S1235" s="10">
        <f>data_redis_illX!G1102</f>
        <v>0</v>
      </c>
      <c r="T1235" s="10">
        <f>data_redis_illX!H1102</f>
        <v>0</v>
      </c>
      <c r="U1235" s="10">
        <f>data_redis_illX!I1102</f>
        <v>0</v>
      </c>
      <c r="V1235" s="10">
        <f>data_redis_illX!J1102</f>
        <v>0</v>
      </c>
      <c r="W1235" s="10">
        <f>data_redis_illX!K1102</f>
        <v>0</v>
      </c>
      <c r="X1235" s="10">
        <f>data_redis_illX!L1102</f>
        <v>0</v>
      </c>
      <c r="Y1235" s="5">
        <f t="shared" si="19"/>
        <v>0</v>
      </c>
    </row>
    <row r="1236" spans="16:25" x14ac:dyDescent="0.25">
      <c r="P1236" s="2" t="s">
        <v>23</v>
      </c>
      <c r="Q1236" s="10">
        <f>data_redis_illX!E1103</f>
        <v>0</v>
      </c>
      <c r="R1236" s="10">
        <f>data_redis_illX!F1103</f>
        <v>0</v>
      </c>
      <c r="S1236" s="10">
        <f>data_redis_illX!G1103</f>
        <v>0</v>
      </c>
      <c r="T1236" s="10">
        <f>data_redis_illX!H1103</f>
        <v>0</v>
      </c>
      <c r="U1236" s="10">
        <f>data_redis_illX!I1103</f>
        <v>0</v>
      </c>
      <c r="V1236" s="10">
        <f>data_redis_illX!J1103</f>
        <v>0</v>
      </c>
      <c r="W1236" s="10">
        <f>data_redis_illX!K1103</f>
        <v>0</v>
      </c>
      <c r="X1236" s="10">
        <f>data_redis_illX!L1103</f>
        <v>0</v>
      </c>
      <c r="Y1236" s="5">
        <f t="shared" si="19"/>
        <v>0</v>
      </c>
    </row>
    <row r="1237" spans="16:25" x14ac:dyDescent="0.25">
      <c r="P1237" s="2" t="s">
        <v>24</v>
      </c>
      <c r="Q1237" s="10">
        <f>data_redis_illX!E1104</f>
        <v>0</v>
      </c>
      <c r="R1237" s="10">
        <f>data_redis_illX!F1104</f>
        <v>0</v>
      </c>
      <c r="S1237" s="10">
        <f>data_redis_illX!G1104</f>
        <v>0</v>
      </c>
      <c r="T1237" s="10">
        <f>data_redis_illX!H1104</f>
        <v>0</v>
      </c>
      <c r="U1237" s="10">
        <f>data_redis_illX!I1104</f>
        <v>0</v>
      </c>
      <c r="V1237" s="10">
        <f>data_redis_illX!J1104</f>
        <v>0</v>
      </c>
      <c r="W1237" s="10">
        <f>data_redis_illX!K1104</f>
        <v>0</v>
      </c>
      <c r="X1237" s="10">
        <f>data_redis_illX!L1104</f>
        <v>0</v>
      </c>
      <c r="Y1237" s="5">
        <f t="shared" si="19"/>
        <v>0</v>
      </c>
    </row>
    <row r="1238" spans="16:25" x14ac:dyDescent="0.25">
      <c r="P1238" s="2" t="s">
        <v>25</v>
      </c>
      <c r="Q1238" s="10">
        <f>data_redis_illX!E1105</f>
        <v>0</v>
      </c>
      <c r="R1238" s="10">
        <f>data_redis_illX!F1105</f>
        <v>0</v>
      </c>
      <c r="S1238" s="10">
        <f>data_redis_illX!G1105</f>
        <v>0</v>
      </c>
      <c r="T1238" s="10">
        <f>data_redis_illX!H1105</f>
        <v>0</v>
      </c>
      <c r="U1238" s="10">
        <f>data_redis_illX!I1105</f>
        <v>0</v>
      </c>
      <c r="V1238" s="10">
        <f>data_redis_illX!J1105</f>
        <v>0</v>
      </c>
      <c r="W1238" s="10">
        <f>data_redis_illX!K1105</f>
        <v>0</v>
      </c>
      <c r="X1238" s="10">
        <f>data_redis_illX!L1105</f>
        <v>0</v>
      </c>
      <c r="Y1238" s="5">
        <f t="shared" si="19"/>
        <v>0</v>
      </c>
    </row>
    <row r="1239" spans="16:25" x14ac:dyDescent="0.25">
      <c r="P1239" s="2" t="s">
        <v>26</v>
      </c>
      <c r="Q1239" s="10">
        <f>data_redis_illX!E1106</f>
        <v>0</v>
      </c>
      <c r="R1239" s="10">
        <f>data_redis_illX!F1106</f>
        <v>0</v>
      </c>
      <c r="S1239" s="10">
        <f>data_redis_illX!G1106</f>
        <v>0</v>
      </c>
      <c r="T1239" s="10">
        <f>data_redis_illX!H1106</f>
        <v>0</v>
      </c>
      <c r="U1239" s="10">
        <f>data_redis_illX!I1106</f>
        <v>0</v>
      </c>
      <c r="V1239" s="10">
        <f>data_redis_illX!J1106</f>
        <v>0</v>
      </c>
      <c r="W1239" s="10">
        <f>data_redis_illX!K1106</f>
        <v>0</v>
      </c>
      <c r="X1239" s="10">
        <f>data_redis_illX!L1106</f>
        <v>0</v>
      </c>
      <c r="Y1239" s="5">
        <f t="shared" si="19"/>
        <v>0</v>
      </c>
    </row>
    <row r="1240" spans="16:25" x14ac:dyDescent="0.25">
      <c r="P1240" s="2" t="s">
        <v>27</v>
      </c>
      <c r="Q1240" s="10">
        <f>data_redis_illX!E1107</f>
        <v>0</v>
      </c>
      <c r="R1240" s="10">
        <f>data_redis_illX!F1107</f>
        <v>0</v>
      </c>
      <c r="S1240" s="10">
        <f>data_redis_illX!G1107</f>
        <v>0</v>
      </c>
      <c r="T1240" s="10">
        <f>data_redis_illX!H1107</f>
        <v>0</v>
      </c>
      <c r="U1240" s="10">
        <f>data_redis_illX!I1107</f>
        <v>0</v>
      </c>
      <c r="V1240" s="10">
        <f>data_redis_illX!J1107</f>
        <v>0</v>
      </c>
      <c r="W1240" s="10">
        <f>data_redis_illX!K1107</f>
        <v>0</v>
      </c>
      <c r="X1240" s="10">
        <f>data_redis_illX!L1107</f>
        <v>0</v>
      </c>
      <c r="Y1240" s="5">
        <f t="shared" si="19"/>
        <v>0</v>
      </c>
    </row>
    <row r="1241" spans="16:25" x14ac:dyDescent="0.25">
      <c r="P1241" s="2" t="s">
        <v>28</v>
      </c>
      <c r="Q1241" s="10">
        <f>data_redis_illX!E1108</f>
        <v>0</v>
      </c>
      <c r="R1241" s="10">
        <f>data_redis_illX!F1108</f>
        <v>0</v>
      </c>
      <c r="S1241" s="10">
        <f>data_redis_illX!G1108</f>
        <v>0</v>
      </c>
      <c r="T1241" s="10">
        <f>data_redis_illX!H1108</f>
        <v>0</v>
      </c>
      <c r="U1241" s="10">
        <f>data_redis_illX!I1108</f>
        <v>0</v>
      </c>
      <c r="V1241" s="10">
        <f>data_redis_illX!J1108</f>
        <v>0</v>
      </c>
      <c r="W1241" s="10">
        <f>data_redis_illX!K1108</f>
        <v>0</v>
      </c>
      <c r="X1241" s="10">
        <f>data_redis_illX!L1108</f>
        <v>0</v>
      </c>
      <c r="Y1241" s="5">
        <f t="shared" si="19"/>
        <v>0</v>
      </c>
    </row>
    <row r="1242" spans="16:25" x14ac:dyDescent="0.25">
      <c r="P1242" s="2" t="s">
        <v>29</v>
      </c>
      <c r="Q1242" s="10">
        <f>data_redis_illX!E1109</f>
        <v>0</v>
      </c>
      <c r="R1242" s="10">
        <f>data_redis_illX!F1109</f>
        <v>0</v>
      </c>
      <c r="S1242" s="10">
        <f>data_redis_illX!G1109</f>
        <v>0</v>
      </c>
      <c r="T1242" s="10">
        <f>data_redis_illX!H1109</f>
        <v>0</v>
      </c>
      <c r="U1242" s="10">
        <f>data_redis_illX!I1109</f>
        <v>0</v>
      </c>
      <c r="V1242" s="10">
        <f>data_redis_illX!J1109</f>
        <v>0</v>
      </c>
      <c r="W1242" s="10">
        <f>data_redis_illX!K1109</f>
        <v>0</v>
      </c>
      <c r="X1242" s="10">
        <f>data_redis_illX!L1109</f>
        <v>0</v>
      </c>
      <c r="Y1242" s="5">
        <f t="shared" si="19"/>
        <v>0</v>
      </c>
    </row>
    <row r="1243" spans="16:25" x14ac:dyDescent="0.25">
      <c r="P1243" s="2" t="s">
        <v>30</v>
      </c>
      <c r="Q1243" s="10">
        <f>data_redis_illX!E1110</f>
        <v>0</v>
      </c>
      <c r="R1243" s="10">
        <f>data_redis_illX!F1110</f>
        <v>0</v>
      </c>
      <c r="S1243" s="10">
        <f>data_redis_illX!G1110</f>
        <v>0</v>
      </c>
      <c r="T1243" s="10">
        <f>data_redis_illX!H1110</f>
        <v>0</v>
      </c>
      <c r="U1243" s="10">
        <f>data_redis_illX!I1110</f>
        <v>0</v>
      </c>
      <c r="V1243" s="10">
        <f>data_redis_illX!J1110</f>
        <v>0</v>
      </c>
      <c r="W1243" s="10">
        <f>data_redis_illX!K1110</f>
        <v>0</v>
      </c>
      <c r="X1243" s="10">
        <f>data_redis_illX!L1110</f>
        <v>0</v>
      </c>
      <c r="Y1243" s="5">
        <f t="shared" si="19"/>
        <v>0</v>
      </c>
    </row>
    <row r="1244" spans="16:25" x14ac:dyDescent="0.25">
      <c r="P1244" s="2" t="s">
        <v>31</v>
      </c>
      <c r="Q1244" s="10">
        <f>data_redis_illX!E1111</f>
        <v>0</v>
      </c>
      <c r="R1244" s="10">
        <f>data_redis_illX!F1111</f>
        <v>0</v>
      </c>
      <c r="S1244" s="10">
        <f>data_redis_illX!G1111</f>
        <v>0</v>
      </c>
      <c r="T1244" s="10">
        <f>data_redis_illX!H1111</f>
        <v>0</v>
      </c>
      <c r="U1244" s="10">
        <f>data_redis_illX!I1111</f>
        <v>0</v>
      </c>
      <c r="V1244" s="10">
        <f>data_redis_illX!J1111</f>
        <v>0</v>
      </c>
      <c r="W1244" s="10">
        <f>data_redis_illX!K1111</f>
        <v>0</v>
      </c>
      <c r="X1244" s="10">
        <f>data_redis_illX!L1111</f>
        <v>0</v>
      </c>
      <c r="Y1244" s="5">
        <f t="shared" si="19"/>
        <v>0</v>
      </c>
    </row>
    <row r="1245" spans="16:25" x14ac:dyDescent="0.25">
      <c r="P1245" s="2" t="s">
        <v>32</v>
      </c>
      <c r="Q1245" s="10">
        <f>data_redis_illX!E1112</f>
        <v>0</v>
      </c>
      <c r="R1245" s="10">
        <f>data_redis_illX!F1112</f>
        <v>0</v>
      </c>
      <c r="S1245" s="10">
        <f>data_redis_illX!G1112</f>
        <v>0</v>
      </c>
      <c r="T1245" s="10">
        <f>data_redis_illX!H1112</f>
        <v>0</v>
      </c>
      <c r="U1245" s="10">
        <f>data_redis_illX!I1112</f>
        <v>0</v>
      </c>
      <c r="V1245" s="10">
        <f>data_redis_illX!J1112</f>
        <v>0</v>
      </c>
      <c r="W1245" s="10">
        <f>data_redis_illX!K1112</f>
        <v>0</v>
      </c>
      <c r="X1245" s="10">
        <f>data_redis_illX!L1112</f>
        <v>0</v>
      </c>
      <c r="Y1245" s="5">
        <f t="shared" si="19"/>
        <v>0</v>
      </c>
    </row>
    <row r="1246" spans="16:25" x14ac:dyDescent="0.25">
      <c r="P1246" s="2" t="s">
        <v>33</v>
      </c>
      <c r="Q1246" s="10">
        <f>data_redis_illX!E1113</f>
        <v>0</v>
      </c>
      <c r="R1246" s="10">
        <f>data_redis_illX!F1113</f>
        <v>0</v>
      </c>
      <c r="S1246" s="10">
        <f>data_redis_illX!G1113</f>
        <v>0</v>
      </c>
      <c r="T1246" s="10">
        <f>data_redis_illX!H1113</f>
        <v>0</v>
      </c>
      <c r="U1246" s="10">
        <f>data_redis_illX!I1113</f>
        <v>0</v>
      </c>
      <c r="V1246" s="10">
        <f>data_redis_illX!J1113</f>
        <v>0</v>
      </c>
      <c r="W1246" s="10">
        <f>data_redis_illX!K1113</f>
        <v>0</v>
      </c>
      <c r="X1246" s="10">
        <f>data_redis_illX!L1113</f>
        <v>0</v>
      </c>
      <c r="Y1246" s="5">
        <f t="shared" si="19"/>
        <v>0</v>
      </c>
    </row>
    <row r="1247" spans="16:25" x14ac:dyDescent="0.25">
      <c r="P1247" s="2" t="s">
        <v>34</v>
      </c>
      <c r="Q1247" s="10">
        <f>data_redis_illX!E1114</f>
        <v>0</v>
      </c>
      <c r="R1247" s="10">
        <f>data_redis_illX!F1114</f>
        <v>0</v>
      </c>
      <c r="S1247" s="10">
        <f>data_redis_illX!G1114</f>
        <v>0</v>
      </c>
      <c r="T1247" s="10">
        <f>data_redis_illX!H1114</f>
        <v>0</v>
      </c>
      <c r="U1247" s="10">
        <f>data_redis_illX!I1114</f>
        <v>0</v>
      </c>
      <c r="V1247" s="10">
        <f>data_redis_illX!J1114</f>
        <v>0</v>
      </c>
      <c r="W1247" s="10">
        <f>data_redis_illX!K1114</f>
        <v>0</v>
      </c>
      <c r="X1247" s="10">
        <f>data_redis_illX!L1114</f>
        <v>0</v>
      </c>
      <c r="Y1247" s="5">
        <f t="shared" si="19"/>
        <v>0</v>
      </c>
    </row>
    <row r="1248" spans="16:25" x14ac:dyDescent="0.25">
      <c r="P1248" s="2" t="s">
        <v>35</v>
      </c>
      <c r="Q1248" s="10">
        <f>data_redis_illX!E1115</f>
        <v>0</v>
      </c>
      <c r="R1248" s="10">
        <f>data_redis_illX!F1115</f>
        <v>0</v>
      </c>
      <c r="S1248" s="10">
        <f>data_redis_illX!G1115</f>
        <v>0</v>
      </c>
      <c r="T1248" s="10">
        <f>data_redis_illX!H1115</f>
        <v>0</v>
      </c>
      <c r="U1248" s="10">
        <f>data_redis_illX!I1115</f>
        <v>0</v>
      </c>
      <c r="V1248" s="10">
        <f>data_redis_illX!J1115</f>
        <v>0</v>
      </c>
      <c r="W1248" s="10">
        <f>data_redis_illX!K1115</f>
        <v>0</v>
      </c>
      <c r="X1248" s="10">
        <f>data_redis_illX!L1115</f>
        <v>0</v>
      </c>
      <c r="Y1248" s="5">
        <f t="shared" si="19"/>
        <v>0</v>
      </c>
    </row>
    <row r="1249" spans="13:25" x14ac:dyDescent="0.25">
      <c r="P1249" s="2" t="s">
        <v>36</v>
      </c>
      <c r="Q1249" s="10">
        <f>data_redis_illX!E1116</f>
        <v>0</v>
      </c>
      <c r="R1249" s="10">
        <f>data_redis_illX!F1116</f>
        <v>0</v>
      </c>
      <c r="S1249" s="10">
        <f>data_redis_illX!G1116</f>
        <v>0</v>
      </c>
      <c r="T1249" s="10">
        <f>data_redis_illX!H1116</f>
        <v>0</v>
      </c>
      <c r="U1249" s="10">
        <f>data_redis_illX!I1116</f>
        <v>0</v>
      </c>
      <c r="V1249" s="10">
        <f>data_redis_illX!J1116</f>
        <v>0</v>
      </c>
      <c r="W1249" s="10">
        <f>data_redis_illX!K1116</f>
        <v>0</v>
      </c>
      <c r="X1249" s="10">
        <f>data_redis_illX!L1116</f>
        <v>0</v>
      </c>
      <c r="Y1249" s="5">
        <f t="shared" si="19"/>
        <v>0</v>
      </c>
    </row>
    <row r="1250" spans="13:25" x14ac:dyDescent="0.25">
      <c r="P1250" s="2" t="s">
        <v>37</v>
      </c>
      <c r="Q1250" s="10">
        <f>data_redis_illX!E1117</f>
        <v>0</v>
      </c>
      <c r="R1250" s="10">
        <f>data_redis_illX!F1117</f>
        <v>0</v>
      </c>
      <c r="S1250" s="10">
        <f>data_redis_illX!G1117</f>
        <v>0</v>
      </c>
      <c r="T1250" s="10">
        <f>data_redis_illX!H1117</f>
        <v>0</v>
      </c>
      <c r="U1250" s="10">
        <f>data_redis_illX!I1117</f>
        <v>0</v>
      </c>
      <c r="V1250" s="10">
        <f>data_redis_illX!J1117</f>
        <v>0</v>
      </c>
      <c r="W1250" s="10">
        <f>data_redis_illX!K1117</f>
        <v>0</v>
      </c>
      <c r="X1250" s="10">
        <f>data_redis_illX!L1117</f>
        <v>0</v>
      </c>
      <c r="Y1250" s="5">
        <f t="shared" si="19"/>
        <v>0</v>
      </c>
    </row>
    <row r="1251" spans="13:25" x14ac:dyDescent="0.25">
      <c r="P1251" s="2" t="s">
        <v>38</v>
      </c>
      <c r="Q1251" s="10">
        <f>data_redis_illX!E1118</f>
        <v>0</v>
      </c>
      <c r="R1251" s="10">
        <f>data_redis_illX!F1118</f>
        <v>0</v>
      </c>
      <c r="S1251" s="10">
        <f>data_redis_illX!G1118</f>
        <v>0</v>
      </c>
      <c r="T1251" s="10">
        <f>data_redis_illX!H1118</f>
        <v>0</v>
      </c>
      <c r="U1251" s="10">
        <f>data_redis_illX!I1118</f>
        <v>0</v>
      </c>
      <c r="V1251" s="10">
        <f>data_redis_illX!J1118</f>
        <v>0</v>
      </c>
      <c r="W1251" s="10">
        <f>data_redis_illX!K1118</f>
        <v>0</v>
      </c>
      <c r="X1251" s="10">
        <f>data_redis_illX!L1118</f>
        <v>0</v>
      </c>
      <c r="Y1251" s="5">
        <f t="shared" si="19"/>
        <v>0</v>
      </c>
    </row>
    <row r="1252" spans="13:25" x14ac:dyDescent="0.25">
      <c r="P1252" s="2" t="s">
        <v>39</v>
      </c>
      <c r="Q1252" s="10">
        <f>data_redis_illX!E1119</f>
        <v>0</v>
      </c>
      <c r="R1252" s="10">
        <f>data_redis_illX!F1119</f>
        <v>0</v>
      </c>
      <c r="S1252" s="10">
        <f>data_redis_illX!G1119</f>
        <v>0</v>
      </c>
      <c r="T1252" s="10">
        <f>data_redis_illX!H1119</f>
        <v>0</v>
      </c>
      <c r="U1252" s="10">
        <f>data_redis_illX!I1119</f>
        <v>0</v>
      </c>
      <c r="V1252" s="10">
        <f>data_redis_illX!J1119</f>
        <v>0</v>
      </c>
      <c r="W1252" s="10">
        <f>data_redis_illX!K1119</f>
        <v>0</v>
      </c>
      <c r="X1252" s="10">
        <f>data_redis_illX!L1119</f>
        <v>0</v>
      </c>
      <c r="Y1252" s="5">
        <f t="shared" si="19"/>
        <v>0</v>
      </c>
    </row>
    <row r="1253" spans="13:25" x14ac:dyDescent="0.25">
      <c r="P1253" s="2" t="s">
        <v>40</v>
      </c>
      <c r="Q1253" s="10">
        <f>data_redis_illX!E1120</f>
        <v>0</v>
      </c>
      <c r="R1253" s="10">
        <f>data_redis_illX!F1120</f>
        <v>0</v>
      </c>
      <c r="S1253" s="10">
        <f>data_redis_illX!G1120</f>
        <v>0</v>
      </c>
      <c r="T1253" s="10">
        <f>data_redis_illX!H1120</f>
        <v>0</v>
      </c>
      <c r="U1253" s="10">
        <f>data_redis_illX!I1120</f>
        <v>0</v>
      </c>
      <c r="V1253" s="10">
        <f>data_redis_illX!J1120</f>
        <v>0</v>
      </c>
      <c r="W1253" s="10">
        <f>data_redis_illX!K1120</f>
        <v>0</v>
      </c>
      <c r="X1253" s="10">
        <f>data_redis_illX!L1120</f>
        <v>0</v>
      </c>
      <c r="Y1253" s="5">
        <f t="shared" si="19"/>
        <v>0</v>
      </c>
    </row>
    <row r="1254" spans="13:25" x14ac:dyDescent="0.25">
      <c r="P1254" s="2" t="s">
        <v>41</v>
      </c>
      <c r="Q1254" s="10">
        <f>data_redis_illX!E1121</f>
        <v>0</v>
      </c>
      <c r="R1254" s="10">
        <f>data_redis_illX!F1121</f>
        <v>0</v>
      </c>
      <c r="S1254" s="10">
        <f>data_redis_illX!G1121</f>
        <v>0</v>
      </c>
      <c r="T1254" s="10">
        <f>data_redis_illX!H1121</f>
        <v>0</v>
      </c>
      <c r="U1254" s="10">
        <f>data_redis_illX!I1121</f>
        <v>0</v>
      </c>
      <c r="V1254" s="10">
        <f>data_redis_illX!J1121</f>
        <v>0</v>
      </c>
      <c r="W1254" s="10">
        <f>data_redis_illX!K1121</f>
        <v>0</v>
      </c>
      <c r="X1254" s="10">
        <f>data_redis_illX!L1121</f>
        <v>0</v>
      </c>
      <c r="Y1254" s="5">
        <f t="shared" si="19"/>
        <v>0</v>
      </c>
    </row>
    <row r="1255" spans="13:25" x14ac:dyDescent="0.25">
      <c r="P1255" s="2" t="s">
        <v>42</v>
      </c>
      <c r="Q1255" s="10">
        <f>data_redis_illX!E1122</f>
        <v>0</v>
      </c>
      <c r="R1255" s="10">
        <f>data_redis_illX!F1122</f>
        <v>0</v>
      </c>
      <c r="S1255" s="10">
        <f>data_redis_illX!G1122</f>
        <v>0</v>
      </c>
      <c r="T1255" s="10">
        <f>data_redis_illX!H1122</f>
        <v>0</v>
      </c>
      <c r="U1255" s="10">
        <f>data_redis_illX!I1122</f>
        <v>0</v>
      </c>
      <c r="V1255" s="10">
        <f>data_redis_illX!J1122</f>
        <v>0</v>
      </c>
      <c r="W1255" s="10">
        <f>data_redis_illX!K1122</f>
        <v>0</v>
      </c>
      <c r="X1255" s="10">
        <f>data_redis_illX!L1122</f>
        <v>0</v>
      </c>
      <c r="Y1255" s="5">
        <f t="shared" si="19"/>
        <v>0</v>
      </c>
    </row>
    <row r="1256" spans="13:25" x14ac:dyDescent="0.25">
      <c r="P1256" s="2" t="s">
        <v>43</v>
      </c>
      <c r="Q1256" s="10">
        <f>data_redis_illX!E1123</f>
        <v>0</v>
      </c>
      <c r="R1256" s="10">
        <f>data_redis_illX!F1123</f>
        <v>0</v>
      </c>
      <c r="S1256" s="10">
        <f>data_redis_illX!G1123</f>
        <v>0</v>
      </c>
      <c r="T1256" s="10">
        <f>data_redis_illX!H1123</f>
        <v>0</v>
      </c>
      <c r="U1256" s="10">
        <f>data_redis_illX!I1123</f>
        <v>0</v>
      </c>
      <c r="V1256" s="10">
        <f>data_redis_illX!J1123</f>
        <v>0</v>
      </c>
      <c r="W1256" s="10">
        <f>data_redis_illX!K1123</f>
        <v>0</v>
      </c>
      <c r="X1256" s="10">
        <f>data_redis_illX!L1123</f>
        <v>0</v>
      </c>
      <c r="Y1256" s="5">
        <f t="shared" si="19"/>
        <v>0</v>
      </c>
    </row>
    <row r="1257" spans="13:25" x14ac:dyDescent="0.25">
      <c r="P1257" s="2" t="s">
        <v>44</v>
      </c>
      <c r="Q1257" s="10">
        <f>data_redis_illX!E1124</f>
        <v>0</v>
      </c>
      <c r="R1257" s="10">
        <f>data_redis_illX!F1124</f>
        <v>0</v>
      </c>
      <c r="S1257" s="10">
        <f>data_redis_illX!G1124</f>
        <v>0</v>
      </c>
      <c r="T1257" s="10">
        <f>data_redis_illX!H1124</f>
        <v>0</v>
      </c>
      <c r="U1257" s="10">
        <f>data_redis_illX!I1124</f>
        <v>0</v>
      </c>
      <c r="V1257" s="10">
        <f>data_redis_illX!J1124</f>
        <v>0</v>
      </c>
      <c r="W1257" s="10">
        <f>data_redis_illX!K1124</f>
        <v>0</v>
      </c>
      <c r="X1257" s="10">
        <f>data_redis_illX!L1124</f>
        <v>0</v>
      </c>
      <c r="Y1257" s="5">
        <f t="shared" si="19"/>
        <v>0</v>
      </c>
    </row>
    <row r="1258" spans="13:25" x14ac:dyDescent="0.25">
      <c r="M1258" t="s">
        <v>115</v>
      </c>
      <c r="N1258" t="s">
        <v>103</v>
      </c>
      <c r="O1258" t="s">
        <v>49</v>
      </c>
      <c r="P1258" s="2" t="s">
        <v>12</v>
      </c>
      <c r="Q1258" s="10">
        <f>data_redis_illX!E1125</f>
        <v>0</v>
      </c>
      <c r="R1258" s="10">
        <f>data_redis_illX!F1125</f>
        <v>0</v>
      </c>
      <c r="S1258" s="10">
        <f>data_redis_illX!G1125</f>
        <v>19.811129449732473</v>
      </c>
      <c r="T1258" s="10">
        <f>data_redis_illX!H1125</f>
        <v>20.972743418474721</v>
      </c>
      <c r="U1258" s="10">
        <f>data_redis_illX!I1125</f>
        <v>11.906475138067311</v>
      </c>
      <c r="V1258" s="10">
        <f>data_redis_illX!J1125</f>
        <v>0</v>
      </c>
      <c r="W1258" s="10">
        <f>data_redis_illX!K1125</f>
        <v>0</v>
      </c>
      <c r="X1258" s="10">
        <f>data_redis_illX!L1125</f>
        <v>0</v>
      </c>
      <c r="Y1258" s="5">
        <f t="shared" si="19"/>
        <v>52.690348006274505</v>
      </c>
    </row>
    <row r="1259" spans="13:25" x14ac:dyDescent="0.25">
      <c r="P1259" s="2" t="s">
        <v>13</v>
      </c>
      <c r="Q1259" s="10">
        <f>data_redis_illX!E1126</f>
        <v>0</v>
      </c>
      <c r="R1259" s="10">
        <f>data_redis_illX!F1126</f>
        <v>0</v>
      </c>
      <c r="S1259" s="10">
        <f>data_redis_illX!G1126</f>
        <v>90.250700826559026</v>
      </c>
      <c r="T1259" s="10">
        <f>data_redis_illX!H1126</f>
        <v>71.748859063202985</v>
      </c>
      <c r="U1259" s="10">
        <f>data_redis_illX!I1126</f>
        <v>27.060170768334793</v>
      </c>
      <c r="V1259" s="10">
        <f>data_redis_illX!J1126</f>
        <v>1.0877284812229977</v>
      </c>
      <c r="W1259" s="10">
        <f>data_redis_illX!K1126</f>
        <v>0</v>
      </c>
      <c r="X1259" s="10">
        <f>data_redis_illX!L1126</f>
        <v>0</v>
      </c>
      <c r="Y1259" s="5">
        <f t="shared" si="19"/>
        <v>190.14745913931978</v>
      </c>
    </row>
    <row r="1260" spans="13:25" x14ac:dyDescent="0.25">
      <c r="P1260" s="2" t="s">
        <v>14</v>
      </c>
      <c r="Q1260" s="10">
        <f>data_redis_illX!E1127</f>
        <v>0</v>
      </c>
      <c r="R1260" s="10">
        <f>data_redis_illX!F1127</f>
        <v>0</v>
      </c>
      <c r="S1260" s="10">
        <f>data_redis_illX!G1127</f>
        <v>30.817312477361622</v>
      </c>
      <c r="T1260" s="10">
        <f>data_redis_illX!H1127</f>
        <v>39.737829635004722</v>
      </c>
      <c r="U1260" s="10">
        <f>data_redis_illX!I1127</f>
        <v>30.30739126053497</v>
      </c>
      <c r="V1260" s="10">
        <f>data_redis_illX!J1127</f>
        <v>3.2631854436689931</v>
      </c>
      <c r="W1260" s="10">
        <f>data_redis_illX!K1127</f>
        <v>0</v>
      </c>
      <c r="X1260" s="10">
        <f>data_redis_illX!L1127</f>
        <v>0</v>
      </c>
      <c r="Y1260" s="5">
        <f t="shared" si="19"/>
        <v>104.1257188165703</v>
      </c>
    </row>
    <row r="1261" spans="13:25" x14ac:dyDescent="0.25">
      <c r="P1261" s="2" t="s">
        <v>15</v>
      </c>
      <c r="Q1261" s="10">
        <f>data_redis_illX!E1128</f>
        <v>0</v>
      </c>
      <c r="R1261" s="10">
        <f>data_redis_illX!F1128</f>
        <v>0</v>
      </c>
      <c r="S1261" s="10">
        <f>data_redis_illX!G1128</f>
        <v>11.006183027629151</v>
      </c>
      <c r="T1261" s="10">
        <f>data_redis_illX!H1128</f>
        <v>9.9344574087511806</v>
      </c>
      <c r="U1261" s="10">
        <f>data_redis_illX!I1128</f>
        <v>7.5768478151337426</v>
      </c>
      <c r="V1261" s="10">
        <f>data_redis_illX!J1128</f>
        <v>0</v>
      </c>
      <c r="W1261" s="10">
        <f>data_redis_illX!K1128</f>
        <v>0</v>
      </c>
      <c r="X1261" s="10">
        <f>data_redis_illX!L1128</f>
        <v>0</v>
      </c>
      <c r="Y1261" s="5">
        <f t="shared" si="19"/>
        <v>28.517488251514074</v>
      </c>
    </row>
    <row r="1262" spans="13:25" x14ac:dyDescent="0.25">
      <c r="P1262" s="2" t="s">
        <v>16</v>
      </c>
      <c r="Q1262" s="10">
        <f>data_redis_illX!E1129</f>
        <v>0</v>
      </c>
      <c r="R1262" s="10">
        <f>data_redis_illX!F1129</f>
        <v>0</v>
      </c>
      <c r="S1262" s="10">
        <f>data_redis_illX!G1129</f>
        <v>22.012366055258301</v>
      </c>
      <c r="T1262" s="10">
        <f>data_redis_illX!H1129</f>
        <v>68.437373260285909</v>
      </c>
      <c r="U1262" s="10">
        <f>data_redis_illX!I1129</f>
        <v>45.461086890802449</v>
      </c>
      <c r="V1262" s="10">
        <f>data_redis_illX!J1129</f>
        <v>6.5263708873379862</v>
      </c>
      <c r="W1262" s="10">
        <f>data_redis_illX!K1129</f>
        <v>0</v>
      </c>
      <c r="X1262" s="10">
        <f>data_redis_illX!L1129</f>
        <v>0</v>
      </c>
      <c r="Y1262" s="5">
        <f t="shared" si="19"/>
        <v>142.43719709368463</v>
      </c>
    </row>
    <row r="1263" spans="13:25" x14ac:dyDescent="0.25">
      <c r="P1263" s="2" t="s">
        <v>17</v>
      </c>
      <c r="Q1263" s="10">
        <f>data_redis_illX!E1130</f>
        <v>0</v>
      </c>
      <c r="R1263" s="10">
        <f>data_redis_illX!F1130</f>
        <v>0</v>
      </c>
      <c r="S1263" s="10">
        <f>data_redis_illX!G1130</f>
        <v>34.119167385650364</v>
      </c>
      <c r="T1263" s="10">
        <f>data_redis_illX!H1130</f>
        <v>38.63400103403238</v>
      </c>
      <c r="U1263" s="10">
        <f>data_redis_illX!I1130</f>
        <v>18.40091612246766</v>
      </c>
      <c r="V1263" s="10">
        <f>data_redis_illX!J1130</f>
        <v>1.0877284812229977</v>
      </c>
      <c r="W1263" s="10">
        <f>data_redis_illX!K1130</f>
        <v>0</v>
      </c>
      <c r="X1263" s="10">
        <f>data_redis_illX!L1130</f>
        <v>0</v>
      </c>
      <c r="Y1263" s="5">
        <f t="shared" si="19"/>
        <v>92.241813023373396</v>
      </c>
    </row>
    <row r="1264" spans="13:25" x14ac:dyDescent="0.25">
      <c r="P1264" s="2" t="s">
        <v>18</v>
      </c>
      <c r="Q1264" s="10">
        <f>data_redis_illX!E1131</f>
        <v>0</v>
      </c>
      <c r="R1264" s="10">
        <f>data_redis_illX!F1131</f>
        <v>0</v>
      </c>
      <c r="S1264" s="10">
        <f>data_redis_illX!G1131</f>
        <v>64.936479863011996</v>
      </c>
      <c r="T1264" s="10">
        <f>data_redis_illX!H1131</f>
        <v>114.79817450112476</v>
      </c>
      <c r="U1264" s="10">
        <f>data_redis_illX!I1131</f>
        <v>45.461086890802449</v>
      </c>
      <c r="V1264" s="10">
        <f>data_redis_illX!J1131</f>
        <v>7.6140993685609839</v>
      </c>
      <c r="W1264" s="10">
        <f>data_redis_illX!K1131</f>
        <v>0</v>
      </c>
      <c r="X1264" s="10">
        <f>data_redis_illX!L1131</f>
        <v>0</v>
      </c>
      <c r="Y1264" s="5">
        <f t="shared" si="19"/>
        <v>232.80984062350018</v>
      </c>
    </row>
    <row r="1265" spans="16:25" x14ac:dyDescent="0.25">
      <c r="P1265" s="2" t="s">
        <v>19</v>
      </c>
      <c r="Q1265" s="10">
        <f>data_redis_illX!E1132</f>
        <v>0</v>
      </c>
      <c r="R1265" s="10">
        <f>data_redis_illX!F1132</f>
        <v>0</v>
      </c>
      <c r="S1265" s="10">
        <f>data_redis_illX!G1132</f>
        <v>125.47048651497231</v>
      </c>
      <c r="T1265" s="10">
        <f>data_redis_illX!H1132</f>
        <v>167.78194734779777</v>
      </c>
      <c r="U1265" s="10">
        <f>data_redis_illX!I1132</f>
        <v>99.581428427472048</v>
      </c>
      <c r="V1265" s="10">
        <f>data_redis_illX!J1132</f>
        <v>8.7018278497839816</v>
      </c>
      <c r="W1265" s="10">
        <f>data_redis_illX!K1132</f>
        <v>1.0214285714285714</v>
      </c>
      <c r="X1265" s="10">
        <f>data_redis_illX!L1132</f>
        <v>0</v>
      </c>
      <c r="Y1265" s="5">
        <f t="shared" si="19"/>
        <v>402.55711871145462</v>
      </c>
    </row>
    <row r="1266" spans="16:25" x14ac:dyDescent="0.25">
      <c r="P1266" s="2" t="s">
        <v>20</v>
      </c>
      <c r="Q1266" s="10">
        <f>data_redis_illX!E1133</f>
        <v>0</v>
      </c>
      <c r="R1266" s="10">
        <f>data_redis_illX!F1133</f>
        <v>0</v>
      </c>
      <c r="S1266" s="10">
        <f>data_redis_illX!G1133</f>
        <v>55.030915138145751</v>
      </c>
      <c r="T1266" s="10">
        <f>data_redis_illX!H1133</f>
        <v>76.164173467092397</v>
      </c>
      <c r="U1266" s="10">
        <f>data_redis_illX!I1133</f>
        <v>47.625900552269243</v>
      </c>
      <c r="V1266" s="10">
        <f>data_redis_illX!J1133</f>
        <v>2.1754569624459954</v>
      </c>
      <c r="W1266" s="10">
        <f>data_redis_illX!K1133</f>
        <v>0</v>
      </c>
      <c r="X1266" s="10">
        <f>data_redis_illX!L1133</f>
        <v>0</v>
      </c>
      <c r="Y1266" s="5">
        <f t="shared" si="19"/>
        <v>180.99644611995336</v>
      </c>
    </row>
    <row r="1267" spans="16:25" x14ac:dyDescent="0.25">
      <c r="P1267" s="2" t="s">
        <v>21</v>
      </c>
      <c r="Q1267" s="10">
        <f>data_redis_illX!E1134</f>
        <v>0</v>
      </c>
      <c r="R1267" s="10">
        <f>data_redis_illX!F1134</f>
        <v>0</v>
      </c>
      <c r="S1267" s="10">
        <f>data_redis_illX!G1134</f>
        <v>105.65935706523985</v>
      </c>
      <c r="T1267" s="10">
        <f>data_redis_illX!H1134</f>
        <v>93.825431082650042</v>
      </c>
      <c r="U1267" s="10">
        <f>data_redis_illX!I1134</f>
        <v>58.449968859603153</v>
      </c>
      <c r="V1267" s="10">
        <f>data_redis_illX!J1134</f>
        <v>4.3509139248919908</v>
      </c>
      <c r="W1267" s="10">
        <f>data_redis_illX!K1134</f>
        <v>1.0214285714285714</v>
      </c>
      <c r="X1267" s="10">
        <f>data_redis_illX!L1134</f>
        <v>0</v>
      </c>
      <c r="Y1267" s="5">
        <f t="shared" si="19"/>
        <v>263.30709950381356</v>
      </c>
    </row>
    <row r="1268" spans="16:25" x14ac:dyDescent="0.25">
      <c r="P1268" s="2" t="s">
        <v>22</v>
      </c>
      <c r="Q1268" s="10">
        <f>data_redis_illX!E1135</f>
        <v>0</v>
      </c>
      <c r="R1268" s="10">
        <f>data_redis_illX!F1135</f>
        <v>0</v>
      </c>
      <c r="S1268" s="10">
        <f>data_redis_illX!G1135</f>
        <v>143.08037935917895</v>
      </c>
      <c r="T1268" s="10">
        <f>data_redis_illX!H1135</f>
        <v>174.40491895363189</v>
      </c>
      <c r="U1268" s="10">
        <f>data_redis_illX!I1135</f>
        <v>109.32308990407257</v>
      </c>
      <c r="V1268" s="10">
        <f>data_redis_illX!J1135</f>
        <v>7.6140993685609839</v>
      </c>
      <c r="W1268" s="10">
        <f>data_redis_illX!K1135</f>
        <v>0</v>
      </c>
      <c r="X1268" s="10">
        <f>data_redis_illX!L1135</f>
        <v>0</v>
      </c>
      <c r="Y1268" s="5">
        <f t="shared" si="19"/>
        <v>434.4224875854444</v>
      </c>
    </row>
    <row r="1269" spans="16:25" x14ac:dyDescent="0.25">
      <c r="P1269" s="2" t="s">
        <v>23</v>
      </c>
      <c r="Q1269" s="10">
        <f>data_redis_illX!E1136</f>
        <v>0</v>
      </c>
      <c r="R1269" s="10">
        <f>data_redis_illX!F1136</f>
        <v>0</v>
      </c>
      <c r="S1269" s="10">
        <f>data_redis_illX!G1136</f>
        <v>15.408656238680811</v>
      </c>
      <c r="T1269" s="10">
        <f>data_redis_illX!H1136</f>
        <v>45.25697263986649</v>
      </c>
      <c r="U1269" s="10">
        <f>data_redis_illX!I1136</f>
        <v>14.071288799534093</v>
      </c>
      <c r="V1269" s="10">
        <f>data_redis_illX!J1136</f>
        <v>1.0877284812229977</v>
      </c>
      <c r="W1269" s="10">
        <f>data_redis_illX!K1136</f>
        <v>0</v>
      </c>
      <c r="X1269" s="10">
        <f>data_redis_illX!L1136</f>
        <v>0</v>
      </c>
      <c r="Y1269" s="5">
        <f t="shared" si="19"/>
        <v>75.824646159304393</v>
      </c>
    </row>
    <row r="1270" spans="16:25" x14ac:dyDescent="0.25">
      <c r="P1270" s="2" t="s">
        <v>24</v>
      </c>
      <c r="Q1270" s="10">
        <f>data_redis_illX!E1137</f>
        <v>0</v>
      </c>
      <c r="R1270" s="10">
        <f>data_redis_illX!F1137</f>
        <v>0</v>
      </c>
      <c r="S1270" s="10">
        <f>data_redis_illX!G1137</f>
        <v>52.829678532619923</v>
      </c>
      <c r="T1270" s="10">
        <f>data_redis_illX!H1137</f>
        <v>71.748859063202985</v>
      </c>
      <c r="U1270" s="10">
        <f>data_redis_illX!I1137</f>
        <v>51.955527875202804</v>
      </c>
      <c r="V1270" s="10">
        <f>data_redis_illX!J1137</f>
        <v>2.1754569624459954</v>
      </c>
      <c r="W1270" s="10">
        <f>data_redis_illX!K1137</f>
        <v>0</v>
      </c>
      <c r="X1270" s="10">
        <f>data_redis_illX!L1137</f>
        <v>0</v>
      </c>
      <c r="Y1270" s="5">
        <f t="shared" si="19"/>
        <v>178.7095224334717</v>
      </c>
    </row>
    <row r="1271" spans="16:25" x14ac:dyDescent="0.25">
      <c r="P1271" s="2" t="s">
        <v>25</v>
      </c>
      <c r="Q1271" s="10">
        <f>data_redis_illX!E1138</f>
        <v>0</v>
      </c>
      <c r="R1271" s="10">
        <f>data_redis_illX!F1138</f>
        <v>0</v>
      </c>
      <c r="S1271" s="10">
        <f>data_redis_illX!G1138</f>
        <v>12.106801330392065</v>
      </c>
      <c r="T1271" s="10">
        <f>data_redis_illX!H1138</f>
        <v>16.557429014585303</v>
      </c>
      <c r="U1271" s="10">
        <f>data_redis_illX!I1138</f>
        <v>6.4944409844003506</v>
      </c>
      <c r="V1271" s="10">
        <f>data_redis_illX!J1138</f>
        <v>0</v>
      </c>
      <c r="W1271" s="10">
        <f>data_redis_illX!K1138</f>
        <v>0</v>
      </c>
      <c r="X1271" s="10">
        <f>data_redis_illX!L1138</f>
        <v>0</v>
      </c>
      <c r="Y1271" s="5">
        <f t="shared" si="19"/>
        <v>35.158671329377718</v>
      </c>
    </row>
    <row r="1272" spans="16:25" x14ac:dyDescent="0.25">
      <c r="P1272" s="2" t="s">
        <v>26</v>
      </c>
      <c r="Q1272" s="10">
        <f>data_redis_illX!E1139</f>
        <v>0</v>
      </c>
      <c r="R1272" s="10">
        <f>data_redis_illX!F1139</f>
        <v>0</v>
      </c>
      <c r="S1272" s="10">
        <f>data_redis_illX!G1139</f>
        <v>14.308037935917895</v>
      </c>
      <c r="T1272" s="10">
        <f>data_redis_illX!H1139</f>
        <v>18.765086216530012</v>
      </c>
      <c r="U1272" s="10">
        <f>data_redis_illX!I1139</f>
        <v>6.4944409844003506</v>
      </c>
      <c r="V1272" s="10">
        <f>data_redis_illX!J1139</f>
        <v>1.0877284812229977</v>
      </c>
      <c r="W1272" s="10">
        <f>data_redis_illX!K1139</f>
        <v>0</v>
      </c>
      <c r="X1272" s="10">
        <f>data_redis_illX!L1139</f>
        <v>0</v>
      </c>
      <c r="Y1272" s="5">
        <f t="shared" si="19"/>
        <v>40.655293618071248</v>
      </c>
    </row>
    <row r="1273" spans="16:25" x14ac:dyDescent="0.25">
      <c r="P1273" s="2" t="s">
        <v>27</v>
      </c>
      <c r="Q1273" s="10">
        <f>data_redis_illX!E1140</f>
        <v>0</v>
      </c>
      <c r="R1273" s="10">
        <f>data_redis_illX!F1140</f>
        <v>0</v>
      </c>
      <c r="S1273" s="10">
        <f>data_redis_illX!G1140</f>
        <v>27.515457569072876</v>
      </c>
      <c r="T1273" s="10">
        <f>data_redis_illX!H1140</f>
        <v>26.491886423336485</v>
      </c>
      <c r="U1273" s="10">
        <f>data_redis_illX!I1140</f>
        <v>16.236102461000879</v>
      </c>
      <c r="V1273" s="10">
        <f>data_redis_illX!J1140</f>
        <v>1.0877284812229977</v>
      </c>
      <c r="W1273" s="10">
        <f>data_redis_illX!K1140</f>
        <v>0</v>
      </c>
      <c r="X1273" s="10">
        <f>data_redis_illX!L1140</f>
        <v>0</v>
      </c>
      <c r="Y1273" s="5">
        <f t="shared" si="19"/>
        <v>71.331174934633239</v>
      </c>
    </row>
    <row r="1274" spans="16:25" x14ac:dyDescent="0.25">
      <c r="P1274" s="2" t="s">
        <v>28</v>
      </c>
      <c r="Q1274" s="10">
        <f>data_redis_illX!E1141</f>
        <v>0</v>
      </c>
      <c r="R1274" s="10">
        <f>data_redis_illX!F1141</f>
        <v>0</v>
      </c>
      <c r="S1274" s="10">
        <f>data_redis_illX!G1141</f>
        <v>648.26418032735694</v>
      </c>
      <c r="T1274" s="10">
        <f>data_redis_illX!H1141</f>
        <v>806.89870731079043</v>
      </c>
      <c r="U1274" s="10">
        <f>data_redis_illX!I1141</f>
        <v>376.67757709522033</v>
      </c>
      <c r="V1274" s="10">
        <f>data_redis_illX!J1141</f>
        <v>14.140470255898968</v>
      </c>
      <c r="W1274" s="10">
        <f>data_redis_illX!K1141</f>
        <v>1.0214285714285714</v>
      </c>
      <c r="X1274" s="10">
        <f>data_redis_illX!L1141</f>
        <v>0</v>
      </c>
      <c r="Y1274" s="5">
        <f t="shared" si="19"/>
        <v>1847.0023635606951</v>
      </c>
    </row>
    <row r="1275" spans="16:25" x14ac:dyDescent="0.25">
      <c r="P1275" s="2" t="s">
        <v>29</v>
      </c>
      <c r="Q1275" s="10">
        <f>data_redis_illX!E1142</f>
        <v>0</v>
      </c>
      <c r="R1275" s="10">
        <f>data_redis_illX!F1142</f>
        <v>0</v>
      </c>
      <c r="S1275" s="10">
        <f>data_redis_illX!G1142</f>
        <v>26.414839266309961</v>
      </c>
      <c r="T1275" s="10">
        <f>data_redis_illX!H1142</f>
        <v>22.076572019447074</v>
      </c>
      <c r="U1275" s="10">
        <f>data_redis_illX!I1142</f>
        <v>15.153695630267485</v>
      </c>
      <c r="V1275" s="10">
        <f>data_redis_illX!J1142</f>
        <v>0</v>
      </c>
      <c r="W1275" s="10">
        <f>data_redis_illX!K1142</f>
        <v>0</v>
      </c>
      <c r="X1275" s="10">
        <f>data_redis_illX!L1142</f>
        <v>0</v>
      </c>
      <c r="Y1275" s="5">
        <f t="shared" si="19"/>
        <v>63.645106916024524</v>
      </c>
    </row>
    <row r="1276" spans="16:25" x14ac:dyDescent="0.25">
      <c r="P1276" s="2" t="s">
        <v>30</v>
      </c>
      <c r="Q1276" s="10">
        <f>data_redis_illX!E1143</f>
        <v>0</v>
      </c>
      <c r="R1276" s="10">
        <f>data_redis_illX!F1143</f>
        <v>0</v>
      </c>
      <c r="S1276" s="10">
        <f>data_redis_illX!G1143</f>
        <v>112.26306688181732</v>
      </c>
      <c r="T1276" s="10">
        <f>data_redis_illX!H1143</f>
        <v>122.52497470793125</v>
      </c>
      <c r="U1276" s="10">
        <f>data_redis_illX!I1143</f>
        <v>71.438850828403858</v>
      </c>
      <c r="V1276" s="10">
        <f>data_redis_illX!J1143</f>
        <v>2.1754569624459954</v>
      </c>
      <c r="W1276" s="10">
        <f>data_redis_illX!K1143</f>
        <v>0</v>
      </c>
      <c r="X1276" s="10">
        <f>data_redis_illX!L1143</f>
        <v>0</v>
      </c>
      <c r="Y1276" s="5">
        <f t="shared" si="19"/>
        <v>308.40234938059842</v>
      </c>
    </row>
    <row r="1277" spans="16:25" x14ac:dyDescent="0.25">
      <c r="P1277" s="2" t="s">
        <v>31</v>
      </c>
      <c r="Q1277" s="10">
        <f>data_redis_illX!E1144</f>
        <v>0</v>
      </c>
      <c r="R1277" s="10">
        <f>data_redis_illX!F1144</f>
        <v>0</v>
      </c>
      <c r="S1277" s="10">
        <f>data_redis_illX!G1144</f>
        <v>0</v>
      </c>
      <c r="T1277" s="10">
        <f>data_redis_illX!H1144</f>
        <v>3.3114858029170606</v>
      </c>
      <c r="U1277" s="10">
        <f>data_redis_illX!I1144</f>
        <v>1.0824068307333916</v>
      </c>
      <c r="V1277" s="10">
        <f>data_redis_illX!J1144</f>
        <v>0</v>
      </c>
      <c r="W1277" s="10">
        <f>data_redis_illX!K1144</f>
        <v>0</v>
      </c>
      <c r="X1277" s="10">
        <f>data_redis_illX!L1144</f>
        <v>0</v>
      </c>
      <c r="Y1277" s="5">
        <f t="shared" si="19"/>
        <v>4.3938926336504522</v>
      </c>
    </row>
    <row r="1278" spans="16:25" x14ac:dyDescent="0.25">
      <c r="P1278" s="2" t="s">
        <v>32</v>
      </c>
      <c r="Q1278" s="10">
        <f>data_redis_illX!E1145</f>
        <v>0</v>
      </c>
      <c r="R1278" s="10">
        <f>data_redis_illX!F1145</f>
        <v>0</v>
      </c>
      <c r="S1278" s="10">
        <f>data_redis_illX!G1145</f>
        <v>0</v>
      </c>
      <c r="T1278" s="10">
        <f>data_redis_illX!H1145</f>
        <v>0</v>
      </c>
      <c r="U1278" s="10">
        <f>data_redis_illX!I1145</f>
        <v>0</v>
      </c>
      <c r="V1278" s="10">
        <f>data_redis_illX!J1145</f>
        <v>0</v>
      </c>
      <c r="W1278" s="10">
        <f>data_redis_illX!K1145</f>
        <v>0</v>
      </c>
      <c r="X1278" s="10">
        <f>data_redis_illX!L1145</f>
        <v>0</v>
      </c>
      <c r="Y1278" s="5">
        <f t="shared" si="19"/>
        <v>0</v>
      </c>
    </row>
    <row r="1279" spans="16:25" x14ac:dyDescent="0.25">
      <c r="P1279" s="2" t="s">
        <v>33</v>
      </c>
      <c r="Q1279" s="10">
        <f>data_redis_illX!E1146</f>
        <v>0</v>
      </c>
      <c r="R1279" s="10">
        <f>data_redis_illX!F1146</f>
        <v>0</v>
      </c>
      <c r="S1279" s="10">
        <f>data_redis_illX!G1146</f>
        <v>0</v>
      </c>
      <c r="T1279" s="10">
        <f>data_redis_illX!H1146</f>
        <v>2.2076572019447074</v>
      </c>
      <c r="U1279" s="10">
        <f>data_redis_illX!I1146</f>
        <v>3.2472204922001753</v>
      </c>
      <c r="V1279" s="10">
        <f>data_redis_illX!J1146</f>
        <v>0</v>
      </c>
      <c r="W1279" s="10">
        <f>data_redis_illX!K1146</f>
        <v>0</v>
      </c>
      <c r="X1279" s="10">
        <f>data_redis_illX!L1146</f>
        <v>0</v>
      </c>
      <c r="Y1279" s="5">
        <f t="shared" si="19"/>
        <v>5.4548776941448827</v>
      </c>
    </row>
    <row r="1280" spans="16:25" x14ac:dyDescent="0.25">
      <c r="P1280" s="2" t="s">
        <v>34</v>
      </c>
      <c r="Q1280" s="10">
        <f>data_redis_illX!E1147</f>
        <v>0</v>
      </c>
      <c r="R1280" s="10">
        <f>data_redis_illX!F1147</f>
        <v>0</v>
      </c>
      <c r="S1280" s="10">
        <f>data_redis_illX!G1147</f>
        <v>0</v>
      </c>
      <c r="T1280" s="10">
        <f>data_redis_illX!H1147</f>
        <v>0</v>
      </c>
      <c r="U1280" s="10">
        <f>data_redis_illX!I1147</f>
        <v>0</v>
      </c>
      <c r="V1280" s="10">
        <f>data_redis_illX!J1147</f>
        <v>0</v>
      </c>
      <c r="W1280" s="10">
        <f>data_redis_illX!K1147</f>
        <v>0</v>
      </c>
      <c r="X1280" s="10">
        <f>data_redis_illX!L1147</f>
        <v>0</v>
      </c>
      <c r="Y1280" s="5">
        <f t="shared" si="19"/>
        <v>0</v>
      </c>
    </row>
    <row r="1281" spans="13:25" x14ac:dyDescent="0.25">
      <c r="P1281" s="2" t="s">
        <v>35</v>
      </c>
      <c r="Q1281" s="10">
        <f>data_redis_illX!E1148</f>
        <v>0</v>
      </c>
      <c r="R1281" s="10">
        <f>data_redis_illX!F1148</f>
        <v>0</v>
      </c>
      <c r="S1281" s="10">
        <f>data_redis_illX!G1148</f>
        <v>1.1006183027629148</v>
      </c>
      <c r="T1281" s="10">
        <f>data_redis_illX!H1148</f>
        <v>1.1038286009723537</v>
      </c>
      <c r="U1281" s="10">
        <f>data_redis_illX!I1148</f>
        <v>4.3296273229335664</v>
      </c>
      <c r="V1281" s="10">
        <f>data_redis_illX!J1148</f>
        <v>0</v>
      </c>
      <c r="W1281" s="10">
        <f>data_redis_illX!K1148</f>
        <v>0</v>
      </c>
      <c r="X1281" s="10">
        <f>data_redis_illX!L1148</f>
        <v>0</v>
      </c>
      <c r="Y1281" s="5">
        <f t="shared" si="19"/>
        <v>6.5340742266688352</v>
      </c>
    </row>
    <row r="1282" spans="13:25" x14ac:dyDescent="0.25">
      <c r="P1282" s="2" t="s">
        <v>36</v>
      </c>
      <c r="Q1282" s="10">
        <f>data_redis_illX!E1149</f>
        <v>0</v>
      </c>
      <c r="R1282" s="10">
        <f>data_redis_illX!F1149</f>
        <v>0</v>
      </c>
      <c r="S1282" s="10">
        <f>data_redis_illX!G1149</f>
        <v>0</v>
      </c>
      <c r="T1282" s="10">
        <f>data_redis_illX!H1149</f>
        <v>0</v>
      </c>
      <c r="U1282" s="10">
        <f>data_redis_illX!I1149</f>
        <v>0</v>
      </c>
      <c r="V1282" s="10">
        <f>data_redis_illX!J1149</f>
        <v>0</v>
      </c>
      <c r="W1282" s="10">
        <f>data_redis_illX!K1149</f>
        <v>0</v>
      </c>
      <c r="X1282" s="10">
        <f>data_redis_illX!L1149</f>
        <v>0</v>
      </c>
      <c r="Y1282" s="5">
        <f t="shared" si="19"/>
        <v>0</v>
      </c>
    </row>
    <row r="1283" spans="13:25" x14ac:dyDescent="0.25">
      <c r="P1283" s="2" t="s">
        <v>37</v>
      </c>
      <c r="Q1283" s="10">
        <f>data_redis_illX!E1150</f>
        <v>0</v>
      </c>
      <c r="R1283" s="10">
        <f>data_redis_illX!F1150</f>
        <v>0</v>
      </c>
      <c r="S1283" s="10">
        <f>data_redis_illX!G1150</f>
        <v>1.1006183027629148</v>
      </c>
      <c r="T1283" s="10">
        <f>data_redis_illX!H1150</f>
        <v>0</v>
      </c>
      <c r="U1283" s="10">
        <f>data_redis_illX!I1150</f>
        <v>0</v>
      </c>
      <c r="V1283" s="10">
        <f>data_redis_illX!J1150</f>
        <v>0</v>
      </c>
      <c r="W1283" s="10">
        <f>data_redis_illX!K1150</f>
        <v>0</v>
      </c>
      <c r="X1283" s="10">
        <f>data_redis_illX!L1150</f>
        <v>0</v>
      </c>
      <c r="Y1283" s="5">
        <f t="shared" si="19"/>
        <v>1.1006183027629148</v>
      </c>
    </row>
    <row r="1284" spans="13:25" x14ac:dyDescent="0.25">
      <c r="P1284" s="2" t="s">
        <v>38</v>
      </c>
      <c r="Q1284" s="10">
        <f>data_redis_illX!E1151</f>
        <v>0</v>
      </c>
      <c r="R1284" s="10">
        <f>data_redis_illX!F1151</f>
        <v>0</v>
      </c>
      <c r="S1284" s="10">
        <f>data_redis_illX!G1151</f>
        <v>2.2012366055258297</v>
      </c>
      <c r="T1284" s="10">
        <f>data_redis_illX!H1151</f>
        <v>2.2076572019447074</v>
      </c>
      <c r="U1284" s="10">
        <f>data_redis_illX!I1151</f>
        <v>1.0824068307333916</v>
      </c>
      <c r="V1284" s="10">
        <f>data_redis_illX!J1151</f>
        <v>0</v>
      </c>
      <c r="W1284" s="10">
        <f>data_redis_illX!K1151</f>
        <v>0</v>
      </c>
      <c r="X1284" s="10">
        <f>data_redis_illX!L1151</f>
        <v>0</v>
      </c>
      <c r="Y1284" s="5">
        <f t="shared" si="19"/>
        <v>5.4913006382039296</v>
      </c>
    </row>
    <row r="1285" spans="13:25" x14ac:dyDescent="0.25">
      <c r="P1285" s="2" t="s">
        <v>39</v>
      </c>
      <c r="Q1285" s="10">
        <f>data_redis_illX!E1152</f>
        <v>0</v>
      </c>
      <c r="R1285" s="10">
        <f>data_redis_illX!F1152</f>
        <v>0</v>
      </c>
      <c r="S1285" s="10">
        <f>data_redis_illX!G1152</f>
        <v>0</v>
      </c>
      <c r="T1285" s="10">
        <f>data_redis_illX!H1152</f>
        <v>0</v>
      </c>
      <c r="U1285" s="10">
        <f>data_redis_illX!I1152</f>
        <v>0</v>
      </c>
      <c r="V1285" s="10">
        <f>data_redis_illX!J1152</f>
        <v>0</v>
      </c>
      <c r="W1285" s="10">
        <f>data_redis_illX!K1152</f>
        <v>0</v>
      </c>
      <c r="X1285" s="10">
        <f>data_redis_illX!L1152</f>
        <v>0</v>
      </c>
      <c r="Y1285" s="5">
        <f t="shared" ref="Y1285:Y1348" si="20">SUM(Q1285:X1285)</f>
        <v>0</v>
      </c>
    </row>
    <row r="1286" spans="13:25" x14ac:dyDescent="0.25">
      <c r="P1286" s="2" t="s">
        <v>40</v>
      </c>
      <c r="Q1286" s="10">
        <f>data_redis_illX!E1153</f>
        <v>0</v>
      </c>
      <c r="R1286" s="10">
        <f>data_redis_illX!F1153</f>
        <v>0</v>
      </c>
      <c r="S1286" s="10">
        <f>data_redis_illX!G1153</f>
        <v>0</v>
      </c>
      <c r="T1286" s="10">
        <f>data_redis_illX!H1153</f>
        <v>1.1038286009723537</v>
      </c>
      <c r="U1286" s="10">
        <f>data_redis_illX!I1153</f>
        <v>1.0824068307333916</v>
      </c>
      <c r="V1286" s="10">
        <f>data_redis_illX!J1153</f>
        <v>0</v>
      </c>
      <c r="W1286" s="10">
        <f>data_redis_illX!K1153</f>
        <v>0</v>
      </c>
      <c r="X1286" s="10">
        <f>data_redis_illX!L1153</f>
        <v>0</v>
      </c>
      <c r="Y1286" s="5">
        <f t="shared" si="20"/>
        <v>2.1862354317057453</v>
      </c>
    </row>
    <row r="1287" spans="13:25" x14ac:dyDescent="0.25">
      <c r="P1287" s="2" t="s">
        <v>41</v>
      </c>
      <c r="Q1287" s="10">
        <f>data_redis_illX!E1154</f>
        <v>0</v>
      </c>
      <c r="R1287" s="10">
        <f>data_redis_illX!F1154</f>
        <v>0</v>
      </c>
      <c r="S1287" s="10">
        <f>data_redis_illX!G1154</f>
        <v>0</v>
      </c>
      <c r="T1287" s="10">
        <f>data_redis_illX!H1154</f>
        <v>1.1038286009723537</v>
      </c>
      <c r="U1287" s="10">
        <f>data_redis_illX!I1154</f>
        <v>0</v>
      </c>
      <c r="V1287" s="10">
        <f>data_redis_illX!J1154</f>
        <v>0</v>
      </c>
      <c r="W1287" s="10">
        <f>data_redis_illX!K1154</f>
        <v>0</v>
      </c>
      <c r="X1287" s="10">
        <f>data_redis_illX!L1154</f>
        <v>0</v>
      </c>
      <c r="Y1287" s="5">
        <f t="shared" si="20"/>
        <v>1.1038286009723537</v>
      </c>
    </row>
    <row r="1288" spans="13:25" x14ac:dyDescent="0.25">
      <c r="P1288" s="2" t="s">
        <v>42</v>
      </c>
      <c r="Q1288" s="10">
        <f>data_redis_illX!E1155</f>
        <v>0</v>
      </c>
      <c r="R1288" s="10">
        <f>data_redis_illX!F1155</f>
        <v>0</v>
      </c>
      <c r="S1288" s="10">
        <f>data_redis_illX!G1155</f>
        <v>8.8049464221033187</v>
      </c>
      <c r="T1288" s="10">
        <f>data_redis_illX!H1155</f>
        <v>9.9344574087511806</v>
      </c>
      <c r="U1288" s="10">
        <f>data_redis_illX!I1155</f>
        <v>4.3296273229335664</v>
      </c>
      <c r="V1288" s="10">
        <f>data_redis_illX!J1155</f>
        <v>0</v>
      </c>
      <c r="W1288" s="10">
        <f>data_redis_illX!K1155</f>
        <v>0</v>
      </c>
      <c r="X1288" s="10">
        <f>data_redis_illX!L1155</f>
        <v>0</v>
      </c>
      <c r="Y1288" s="5">
        <f t="shared" si="20"/>
        <v>23.069031153788067</v>
      </c>
    </row>
    <row r="1289" spans="13:25" x14ac:dyDescent="0.25">
      <c r="P1289" s="2" t="s">
        <v>43</v>
      </c>
      <c r="Q1289" s="10">
        <f>data_redis_illX!E1156</f>
        <v>0</v>
      </c>
      <c r="R1289" s="10">
        <f>data_redis_illX!F1156</f>
        <v>0</v>
      </c>
      <c r="S1289" s="10">
        <f>data_redis_illX!G1156</f>
        <v>0</v>
      </c>
      <c r="T1289" s="10">
        <f>data_redis_illX!H1156</f>
        <v>0</v>
      </c>
      <c r="U1289" s="10">
        <f>data_redis_illX!I1156</f>
        <v>0</v>
      </c>
      <c r="V1289" s="10">
        <f>data_redis_illX!J1156</f>
        <v>0</v>
      </c>
      <c r="W1289" s="10">
        <f>data_redis_illX!K1156</f>
        <v>0</v>
      </c>
      <c r="X1289" s="10">
        <f>data_redis_illX!L1156</f>
        <v>0</v>
      </c>
      <c r="Y1289" s="5">
        <f t="shared" si="20"/>
        <v>0</v>
      </c>
    </row>
    <row r="1290" spans="13:25" x14ac:dyDescent="0.25">
      <c r="P1290" s="2" t="s">
        <v>44</v>
      </c>
      <c r="Q1290" s="10">
        <f>data_redis_illX!E1157</f>
        <v>0</v>
      </c>
      <c r="R1290" s="10">
        <f>data_redis_illX!F1157</f>
        <v>0</v>
      </c>
      <c r="S1290" s="10">
        <f>data_redis_illX!G1157</f>
        <v>23.112984358021219</v>
      </c>
      <c r="T1290" s="10">
        <f>data_redis_illX!H1157</f>
        <v>41.945486836949442</v>
      </c>
      <c r="U1290" s="10">
        <f>data_redis_illX!I1157</f>
        <v>9.7416614766005249</v>
      </c>
      <c r="V1290" s="10">
        <f>data_redis_illX!J1157</f>
        <v>0</v>
      </c>
      <c r="W1290" s="10">
        <f>data_redis_illX!K1157</f>
        <v>0</v>
      </c>
      <c r="X1290" s="10">
        <f>data_redis_illX!L1157</f>
        <v>0</v>
      </c>
      <c r="Y1290" s="5">
        <f t="shared" si="20"/>
        <v>74.800132671571191</v>
      </c>
    </row>
    <row r="1291" spans="13:25" x14ac:dyDescent="0.25">
      <c r="M1291" t="s">
        <v>115</v>
      </c>
      <c r="N1291" t="s">
        <v>103</v>
      </c>
      <c r="O1291" t="s">
        <v>50</v>
      </c>
      <c r="P1291" s="2" t="s">
        <v>12</v>
      </c>
      <c r="Q1291" s="10">
        <f>data_redis_illX!E1158</f>
        <v>0</v>
      </c>
      <c r="R1291" s="10">
        <f>data_redis_illX!F1158</f>
        <v>0</v>
      </c>
      <c r="S1291" s="10">
        <f>data_redis_illX!G1158</f>
        <v>0</v>
      </c>
      <c r="T1291" s="10">
        <f>data_redis_illX!H1158</f>
        <v>0</v>
      </c>
      <c r="U1291" s="10">
        <f>data_redis_illX!I1158</f>
        <v>0</v>
      </c>
      <c r="V1291" s="10">
        <f>data_redis_illX!J1158</f>
        <v>0</v>
      </c>
      <c r="W1291" s="10">
        <f>data_redis_illX!K1158</f>
        <v>0</v>
      </c>
      <c r="X1291" s="10">
        <f>data_redis_illX!L1158</f>
        <v>0</v>
      </c>
      <c r="Y1291" s="5">
        <f t="shared" si="20"/>
        <v>0</v>
      </c>
    </row>
    <row r="1292" spans="13:25" x14ac:dyDescent="0.25">
      <c r="P1292" s="2" t="s">
        <v>13</v>
      </c>
      <c r="Q1292" s="10">
        <f>data_redis_illX!E1159</f>
        <v>0</v>
      </c>
      <c r="R1292" s="10">
        <f>data_redis_illX!F1159</f>
        <v>0</v>
      </c>
      <c r="S1292" s="10">
        <f>data_redis_illX!G1159</f>
        <v>0</v>
      </c>
      <c r="T1292" s="10">
        <f>data_redis_illX!H1159</f>
        <v>0</v>
      </c>
      <c r="U1292" s="10">
        <f>data_redis_illX!I1159</f>
        <v>0</v>
      </c>
      <c r="V1292" s="10">
        <f>data_redis_illX!J1159</f>
        <v>0</v>
      </c>
      <c r="W1292" s="10">
        <f>data_redis_illX!K1159</f>
        <v>0</v>
      </c>
      <c r="X1292" s="10">
        <f>data_redis_illX!L1159</f>
        <v>0</v>
      </c>
      <c r="Y1292" s="5">
        <f t="shared" si="20"/>
        <v>0</v>
      </c>
    </row>
    <row r="1293" spans="13:25" x14ac:dyDescent="0.25">
      <c r="P1293" s="2" t="s">
        <v>14</v>
      </c>
      <c r="Q1293" s="10">
        <f>data_redis_illX!E1160</f>
        <v>0</v>
      </c>
      <c r="R1293" s="10">
        <f>data_redis_illX!F1160</f>
        <v>0</v>
      </c>
      <c r="S1293" s="10">
        <f>data_redis_illX!G1160</f>
        <v>0</v>
      </c>
      <c r="T1293" s="10">
        <f>data_redis_illX!H1160</f>
        <v>0</v>
      </c>
      <c r="U1293" s="10">
        <f>data_redis_illX!I1160</f>
        <v>0</v>
      </c>
      <c r="V1293" s="10">
        <f>data_redis_illX!J1160</f>
        <v>0</v>
      </c>
      <c r="W1293" s="10">
        <f>data_redis_illX!K1160</f>
        <v>0</v>
      </c>
      <c r="X1293" s="10">
        <f>data_redis_illX!L1160</f>
        <v>0</v>
      </c>
      <c r="Y1293" s="5">
        <f t="shared" si="20"/>
        <v>0</v>
      </c>
    </row>
    <row r="1294" spans="13:25" x14ac:dyDescent="0.25">
      <c r="P1294" s="2" t="s">
        <v>15</v>
      </c>
      <c r="Q1294" s="10">
        <f>data_redis_illX!E1161</f>
        <v>0</v>
      </c>
      <c r="R1294" s="10">
        <f>data_redis_illX!F1161</f>
        <v>0</v>
      </c>
      <c r="S1294" s="10">
        <f>data_redis_illX!G1161</f>
        <v>0</v>
      </c>
      <c r="T1294" s="10">
        <f>data_redis_illX!H1161</f>
        <v>0</v>
      </c>
      <c r="U1294" s="10">
        <f>data_redis_illX!I1161</f>
        <v>0</v>
      </c>
      <c r="V1294" s="10">
        <f>data_redis_illX!J1161</f>
        <v>0</v>
      </c>
      <c r="W1294" s="10">
        <f>data_redis_illX!K1161</f>
        <v>0</v>
      </c>
      <c r="X1294" s="10">
        <f>data_redis_illX!L1161</f>
        <v>0</v>
      </c>
      <c r="Y1294" s="5">
        <f t="shared" si="20"/>
        <v>0</v>
      </c>
    </row>
    <row r="1295" spans="13:25" x14ac:dyDescent="0.25">
      <c r="P1295" s="2" t="s">
        <v>16</v>
      </c>
      <c r="Q1295" s="10">
        <f>data_redis_illX!E1162</f>
        <v>0</v>
      </c>
      <c r="R1295" s="10">
        <f>data_redis_illX!F1162</f>
        <v>0</v>
      </c>
      <c r="S1295" s="10">
        <f>data_redis_illX!G1162</f>
        <v>0</v>
      </c>
      <c r="T1295" s="10">
        <f>data_redis_illX!H1162</f>
        <v>0</v>
      </c>
      <c r="U1295" s="10">
        <f>data_redis_illX!I1162</f>
        <v>0</v>
      </c>
      <c r="V1295" s="10">
        <f>data_redis_illX!J1162</f>
        <v>0</v>
      </c>
      <c r="W1295" s="10">
        <f>data_redis_illX!K1162</f>
        <v>0</v>
      </c>
      <c r="X1295" s="10">
        <f>data_redis_illX!L1162</f>
        <v>0</v>
      </c>
      <c r="Y1295" s="5">
        <f t="shared" si="20"/>
        <v>0</v>
      </c>
    </row>
    <row r="1296" spans="13:25" x14ac:dyDescent="0.25">
      <c r="P1296" s="2" t="s">
        <v>17</v>
      </c>
      <c r="Q1296" s="10">
        <f>data_redis_illX!E1163</f>
        <v>0</v>
      </c>
      <c r="R1296" s="10">
        <f>data_redis_illX!F1163</f>
        <v>0</v>
      </c>
      <c r="S1296" s="10">
        <f>data_redis_illX!G1163</f>
        <v>0</v>
      </c>
      <c r="T1296" s="10">
        <f>data_redis_illX!H1163</f>
        <v>0</v>
      </c>
      <c r="U1296" s="10">
        <f>data_redis_illX!I1163</f>
        <v>0</v>
      </c>
      <c r="V1296" s="10">
        <f>data_redis_illX!J1163</f>
        <v>0</v>
      </c>
      <c r="W1296" s="10">
        <f>data_redis_illX!K1163</f>
        <v>0</v>
      </c>
      <c r="X1296" s="10">
        <f>data_redis_illX!L1163</f>
        <v>0</v>
      </c>
      <c r="Y1296" s="5">
        <f t="shared" si="20"/>
        <v>0</v>
      </c>
    </row>
    <row r="1297" spans="16:25" x14ac:dyDescent="0.25">
      <c r="P1297" s="2" t="s">
        <v>18</v>
      </c>
      <c r="Q1297" s="10">
        <f>data_redis_illX!E1164</f>
        <v>0</v>
      </c>
      <c r="R1297" s="10">
        <f>data_redis_illX!F1164</f>
        <v>0</v>
      </c>
      <c r="S1297" s="10">
        <f>data_redis_illX!G1164</f>
        <v>0</v>
      </c>
      <c r="T1297" s="10">
        <f>data_redis_illX!H1164</f>
        <v>0</v>
      </c>
      <c r="U1297" s="10">
        <f>data_redis_illX!I1164</f>
        <v>0</v>
      </c>
      <c r="V1297" s="10">
        <f>data_redis_illX!J1164</f>
        <v>0</v>
      </c>
      <c r="W1297" s="10">
        <f>data_redis_illX!K1164</f>
        <v>0</v>
      </c>
      <c r="X1297" s="10">
        <f>data_redis_illX!L1164</f>
        <v>0</v>
      </c>
      <c r="Y1297" s="5">
        <f t="shared" si="20"/>
        <v>0</v>
      </c>
    </row>
    <row r="1298" spans="16:25" x14ac:dyDescent="0.25">
      <c r="P1298" s="2" t="s">
        <v>19</v>
      </c>
      <c r="Q1298" s="10">
        <f>data_redis_illX!E1165</f>
        <v>0</v>
      </c>
      <c r="R1298" s="10">
        <f>data_redis_illX!F1165</f>
        <v>0</v>
      </c>
      <c r="S1298" s="10">
        <f>data_redis_illX!G1165</f>
        <v>0</v>
      </c>
      <c r="T1298" s="10">
        <f>data_redis_illX!H1165</f>
        <v>0</v>
      </c>
      <c r="U1298" s="10">
        <f>data_redis_illX!I1165</f>
        <v>0</v>
      </c>
      <c r="V1298" s="10">
        <f>data_redis_illX!J1165</f>
        <v>0</v>
      </c>
      <c r="W1298" s="10">
        <f>data_redis_illX!K1165</f>
        <v>0</v>
      </c>
      <c r="X1298" s="10">
        <f>data_redis_illX!L1165</f>
        <v>0</v>
      </c>
      <c r="Y1298" s="5">
        <f t="shared" si="20"/>
        <v>0</v>
      </c>
    </row>
    <row r="1299" spans="16:25" x14ac:dyDescent="0.25">
      <c r="P1299" s="2" t="s">
        <v>20</v>
      </c>
      <c r="Q1299" s="10">
        <f>data_redis_illX!E1166</f>
        <v>0</v>
      </c>
      <c r="R1299" s="10">
        <f>data_redis_illX!F1166</f>
        <v>0</v>
      </c>
      <c r="S1299" s="10">
        <f>data_redis_illX!G1166</f>
        <v>0</v>
      </c>
      <c r="T1299" s="10">
        <f>data_redis_illX!H1166</f>
        <v>0</v>
      </c>
      <c r="U1299" s="10">
        <f>data_redis_illX!I1166</f>
        <v>0</v>
      </c>
      <c r="V1299" s="10">
        <f>data_redis_illX!J1166</f>
        <v>0</v>
      </c>
      <c r="W1299" s="10">
        <f>data_redis_illX!K1166</f>
        <v>0</v>
      </c>
      <c r="X1299" s="10">
        <f>data_redis_illX!L1166</f>
        <v>0</v>
      </c>
      <c r="Y1299" s="5">
        <f t="shared" si="20"/>
        <v>0</v>
      </c>
    </row>
    <row r="1300" spans="16:25" x14ac:dyDescent="0.25">
      <c r="P1300" s="2" t="s">
        <v>21</v>
      </c>
      <c r="Q1300" s="10">
        <f>data_redis_illX!E1167</f>
        <v>0</v>
      </c>
      <c r="R1300" s="10">
        <f>data_redis_illX!F1167</f>
        <v>0</v>
      </c>
      <c r="S1300" s="10">
        <f>data_redis_illX!G1167</f>
        <v>0</v>
      </c>
      <c r="T1300" s="10">
        <f>data_redis_illX!H1167</f>
        <v>0</v>
      </c>
      <c r="U1300" s="10">
        <f>data_redis_illX!I1167</f>
        <v>0</v>
      </c>
      <c r="V1300" s="10">
        <f>data_redis_illX!J1167</f>
        <v>0</v>
      </c>
      <c r="W1300" s="10">
        <f>data_redis_illX!K1167</f>
        <v>0</v>
      </c>
      <c r="X1300" s="10">
        <f>data_redis_illX!L1167</f>
        <v>0</v>
      </c>
      <c r="Y1300" s="5">
        <f t="shared" si="20"/>
        <v>0</v>
      </c>
    </row>
    <row r="1301" spans="16:25" x14ac:dyDescent="0.25">
      <c r="P1301" s="2" t="s">
        <v>22</v>
      </c>
      <c r="Q1301" s="10">
        <f>data_redis_illX!E1168</f>
        <v>0</v>
      </c>
      <c r="R1301" s="10">
        <f>data_redis_illX!F1168</f>
        <v>0</v>
      </c>
      <c r="S1301" s="10">
        <f>data_redis_illX!G1168</f>
        <v>0</v>
      </c>
      <c r="T1301" s="10">
        <f>data_redis_illX!H1168</f>
        <v>0</v>
      </c>
      <c r="U1301" s="10">
        <f>data_redis_illX!I1168</f>
        <v>0</v>
      </c>
      <c r="V1301" s="10">
        <f>data_redis_illX!J1168</f>
        <v>0</v>
      </c>
      <c r="W1301" s="10">
        <f>data_redis_illX!K1168</f>
        <v>0</v>
      </c>
      <c r="X1301" s="10">
        <f>data_redis_illX!L1168</f>
        <v>0</v>
      </c>
      <c r="Y1301" s="5">
        <f t="shared" si="20"/>
        <v>0</v>
      </c>
    </row>
    <row r="1302" spans="16:25" x14ac:dyDescent="0.25">
      <c r="P1302" s="2" t="s">
        <v>23</v>
      </c>
      <c r="Q1302" s="10">
        <f>data_redis_illX!E1169</f>
        <v>0</v>
      </c>
      <c r="R1302" s="10">
        <f>data_redis_illX!F1169</f>
        <v>0</v>
      </c>
      <c r="S1302" s="10">
        <f>data_redis_illX!G1169</f>
        <v>0</v>
      </c>
      <c r="T1302" s="10">
        <f>data_redis_illX!H1169</f>
        <v>0</v>
      </c>
      <c r="U1302" s="10">
        <f>data_redis_illX!I1169</f>
        <v>0</v>
      </c>
      <c r="V1302" s="10">
        <f>data_redis_illX!J1169</f>
        <v>0</v>
      </c>
      <c r="W1302" s="10">
        <f>data_redis_illX!K1169</f>
        <v>0</v>
      </c>
      <c r="X1302" s="10">
        <f>data_redis_illX!L1169</f>
        <v>0</v>
      </c>
      <c r="Y1302" s="5">
        <f t="shared" si="20"/>
        <v>0</v>
      </c>
    </row>
    <row r="1303" spans="16:25" x14ac:dyDescent="0.25">
      <c r="P1303" s="2" t="s">
        <v>24</v>
      </c>
      <c r="Q1303" s="10">
        <f>data_redis_illX!E1170</f>
        <v>0</v>
      </c>
      <c r="R1303" s="10">
        <f>data_redis_illX!F1170</f>
        <v>0</v>
      </c>
      <c r="S1303" s="10">
        <f>data_redis_illX!G1170</f>
        <v>0</v>
      </c>
      <c r="T1303" s="10">
        <f>data_redis_illX!H1170</f>
        <v>0</v>
      </c>
      <c r="U1303" s="10">
        <f>data_redis_illX!I1170</f>
        <v>0</v>
      </c>
      <c r="V1303" s="10">
        <f>data_redis_illX!J1170</f>
        <v>0</v>
      </c>
      <c r="W1303" s="10">
        <f>data_redis_illX!K1170</f>
        <v>0</v>
      </c>
      <c r="X1303" s="10">
        <f>data_redis_illX!L1170</f>
        <v>0</v>
      </c>
      <c r="Y1303" s="5">
        <f t="shared" si="20"/>
        <v>0</v>
      </c>
    </row>
    <row r="1304" spans="16:25" x14ac:dyDescent="0.25">
      <c r="P1304" s="2" t="s">
        <v>25</v>
      </c>
      <c r="Q1304" s="10">
        <f>data_redis_illX!E1171</f>
        <v>0</v>
      </c>
      <c r="R1304" s="10">
        <f>data_redis_illX!F1171</f>
        <v>0</v>
      </c>
      <c r="S1304" s="10">
        <f>data_redis_illX!G1171</f>
        <v>0</v>
      </c>
      <c r="T1304" s="10">
        <f>data_redis_illX!H1171</f>
        <v>0</v>
      </c>
      <c r="U1304" s="10">
        <f>data_redis_illX!I1171</f>
        <v>0</v>
      </c>
      <c r="V1304" s="10">
        <f>data_redis_illX!J1171</f>
        <v>0</v>
      </c>
      <c r="W1304" s="10">
        <f>data_redis_illX!K1171</f>
        <v>0</v>
      </c>
      <c r="X1304" s="10">
        <f>data_redis_illX!L1171</f>
        <v>0</v>
      </c>
      <c r="Y1304" s="5">
        <f t="shared" si="20"/>
        <v>0</v>
      </c>
    </row>
    <row r="1305" spans="16:25" x14ac:dyDescent="0.25">
      <c r="P1305" s="2" t="s">
        <v>26</v>
      </c>
      <c r="Q1305" s="10">
        <f>data_redis_illX!E1172</f>
        <v>0</v>
      </c>
      <c r="R1305" s="10">
        <f>data_redis_illX!F1172</f>
        <v>0</v>
      </c>
      <c r="S1305" s="10">
        <f>data_redis_illX!G1172</f>
        <v>0</v>
      </c>
      <c r="T1305" s="10">
        <f>data_redis_illX!H1172</f>
        <v>0</v>
      </c>
      <c r="U1305" s="10">
        <f>data_redis_illX!I1172</f>
        <v>0</v>
      </c>
      <c r="V1305" s="10">
        <f>data_redis_illX!J1172</f>
        <v>0</v>
      </c>
      <c r="W1305" s="10">
        <f>data_redis_illX!K1172</f>
        <v>0</v>
      </c>
      <c r="X1305" s="10">
        <f>data_redis_illX!L1172</f>
        <v>0</v>
      </c>
      <c r="Y1305" s="5">
        <f t="shared" si="20"/>
        <v>0</v>
      </c>
    </row>
    <row r="1306" spans="16:25" x14ac:dyDescent="0.25">
      <c r="P1306" s="2" t="s">
        <v>27</v>
      </c>
      <c r="Q1306" s="10">
        <f>data_redis_illX!E1173</f>
        <v>0</v>
      </c>
      <c r="R1306" s="10">
        <f>data_redis_illX!F1173</f>
        <v>0</v>
      </c>
      <c r="S1306" s="10">
        <f>data_redis_illX!G1173</f>
        <v>1.76</v>
      </c>
      <c r="T1306" s="10">
        <f>data_redis_illX!H1173</f>
        <v>0</v>
      </c>
      <c r="U1306" s="10">
        <f>data_redis_illX!I1173</f>
        <v>0</v>
      </c>
      <c r="V1306" s="10">
        <f>data_redis_illX!J1173</f>
        <v>0</v>
      </c>
      <c r="W1306" s="10">
        <f>data_redis_illX!K1173</f>
        <v>0</v>
      </c>
      <c r="X1306" s="10">
        <f>data_redis_illX!L1173</f>
        <v>0</v>
      </c>
      <c r="Y1306" s="5">
        <f t="shared" si="20"/>
        <v>1.76</v>
      </c>
    </row>
    <row r="1307" spans="16:25" x14ac:dyDescent="0.25">
      <c r="P1307" s="2" t="s">
        <v>28</v>
      </c>
      <c r="Q1307" s="10">
        <f>data_redis_illX!E1174</f>
        <v>0</v>
      </c>
      <c r="R1307" s="10">
        <f>data_redis_illX!F1174</f>
        <v>0</v>
      </c>
      <c r="S1307" s="10">
        <f>data_redis_illX!G1174</f>
        <v>0</v>
      </c>
      <c r="T1307" s="10">
        <f>data_redis_illX!H1174</f>
        <v>0</v>
      </c>
      <c r="U1307" s="10">
        <f>data_redis_illX!I1174</f>
        <v>0</v>
      </c>
      <c r="V1307" s="10">
        <f>data_redis_illX!J1174</f>
        <v>0</v>
      </c>
      <c r="W1307" s="10">
        <f>data_redis_illX!K1174</f>
        <v>0</v>
      </c>
      <c r="X1307" s="10">
        <f>data_redis_illX!L1174</f>
        <v>0</v>
      </c>
      <c r="Y1307" s="5">
        <f t="shared" si="20"/>
        <v>0</v>
      </c>
    </row>
    <row r="1308" spans="16:25" x14ac:dyDescent="0.25">
      <c r="P1308" s="2" t="s">
        <v>29</v>
      </c>
      <c r="Q1308" s="10">
        <f>data_redis_illX!E1175</f>
        <v>0</v>
      </c>
      <c r="R1308" s="10">
        <f>data_redis_illX!F1175</f>
        <v>0</v>
      </c>
      <c r="S1308" s="10">
        <f>data_redis_illX!G1175</f>
        <v>0</v>
      </c>
      <c r="T1308" s="10">
        <f>data_redis_illX!H1175</f>
        <v>0</v>
      </c>
      <c r="U1308" s="10">
        <f>data_redis_illX!I1175</f>
        <v>0</v>
      </c>
      <c r="V1308" s="10">
        <f>data_redis_illX!J1175</f>
        <v>0</v>
      </c>
      <c r="W1308" s="10">
        <f>data_redis_illX!K1175</f>
        <v>0</v>
      </c>
      <c r="X1308" s="10">
        <f>data_redis_illX!L1175</f>
        <v>0</v>
      </c>
      <c r="Y1308" s="5">
        <f t="shared" si="20"/>
        <v>0</v>
      </c>
    </row>
    <row r="1309" spans="16:25" x14ac:dyDescent="0.25">
      <c r="P1309" s="2" t="s">
        <v>30</v>
      </c>
      <c r="Q1309" s="10">
        <f>data_redis_illX!E1176</f>
        <v>0</v>
      </c>
      <c r="R1309" s="10">
        <f>data_redis_illX!F1176</f>
        <v>0</v>
      </c>
      <c r="S1309" s="10">
        <f>data_redis_illX!G1176</f>
        <v>4.193416269640986</v>
      </c>
      <c r="T1309" s="10">
        <f>data_redis_illX!H1176</f>
        <v>0</v>
      </c>
      <c r="U1309" s="10">
        <f>data_redis_illX!I1176</f>
        <v>0</v>
      </c>
      <c r="V1309" s="10">
        <f>data_redis_illX!J1176</f>
        <v>2.2919992997198877</v>
      </c>
      <c r="W1309" s="10">
        <f>data_redis_illX!K1176</f>
        <v>0</v>
      </c>
      <c r="X1309" s="10">
        <f>data_redis_illX!L1176</f>
        <v>0</v>
      </c>
      <c r="Y1309" s="5">
        <f t="shared" si="20"/>
        <v>6.4854155693608737</v>
      </c>
    </row>
    <row r="1310" spans="16:25" x14ac:dyDescent="0.25">
      <c r="P1310" s="2" t="s">
        <v>31</v>
      </c>
      <c r="Q1310" s="10">
        <f>data_redis_illX!E1177</f>
        <v>0</v>
      </c>
      <c r="R1310" s="10">
        <f>data_redis_illX!F1177</f>
        <v>0</v>
      </c>
      <c r="S1310" s="10">
        <f>data_redis_illX!G1177</f>
        <v>0</v>
      </c>
      <c r="T1310" s="10">
        <f>data_redis_illX!H1177</f>
        <v>0</v>
      </c>
      <c r="U1310" s="10">
        <f>data_redis_illX!I1177</f>
        <v>4.4235730662976529</v>
      </c>
      <c r="V1310" s="10">
        <f>data_redis_illX!J1177</f>
        <v>0</v>
      </c>
      <c r="W1310" s="10">
        <f>data_redis_illX!K1177</f>
        <v>0</v>
      </c>
      <c r="X1310" s="10">
        <f>data_redis_illX!L1177</f>
        <v>0</v>
      </c>
      <c r="Y1310" s="5">
        <f t="shared" si="20"/>
        <v>4.4235730662976529</v>
      </c>
    </row>
    <row r="1311" spans="16:25" x14ac:dyDescent="0.25">
      <c r="P1311" s="2" t="s">
        <v>32</v>
      </c>
      <c r="Q1311" s="10">
        <f>data_redis_illX!E1178</f>
        <v>0</v>
      </c>
      <c r="R1311" s="10">
        <f>data_redis_illX!F1178</f>
        <v>0</v>
      </c>
      <c r="S1311" s="10">
        <f>data_redis_illX!G1178</f>
        <v>0</v>
      </c>
      <c r="T1311" s="10">
        <f>data_redis_illX!H1178</f>
        <v>0</v>
      </c>
      <c r="U1311" s="10">
        <f>data_redis_illX!I1178</f>
        <v>0</v>
      </c>
      <c r="V1311" s="10">
        <f>data_redis_illX!J1178</f>
        <v>0</v>
      </c>
      <c r="W1311" s="10">
        <f>data_redis_illX!K1178</f>
        <v>0</v>
      </c>
      <c r="X1311" s="10">
        <f>data_redis_illX!L1178</f>
        <v>0</v>
      </c>
      <c r="Y1311" s="5">
        <f t="shared" si="20"/>
        <v>0</v>
      </c>
    </row>
    <row r="1312" spans="16:25" x14ac:dyDescent="0.25">
      <c r="P1312" s="2" t="s">
        <v>33</v>
      </c>
      <c r="Q1312" s="10">
        <f>data_redis_illX!E1179</f>
        <v>0</v>
      </c>
      <c r="R1312" s="10">
        <f>data_redis_illX!F1179</f>
        <v>0</v>
      </c>
      <c r="S1312" s="10">
        <f>data_redis_illX!G1179</f>
        <v>0</v>
      </c>
      <c r="T1312" s="10">
        <f>data_redis_illX!H1179</f>
        <v>0</v>
      </c>
      <c r="U1312" s="10">
        <f>data_redis_illX!I1179</f>
        <v>0</v>
      </c>
      <c r="V1312" s="10">
        <f>data_redis_illX!J1179</f>
        <v>0</v>
      </c>
      <c r="W1312" s="10">
        <f>data_redis_illX!K1179</f>
        <v>0</v>
      </c>
      <c r="X1312" s="10">
        <f>data_redis_illX!L1179</f>
        <v>0</v>
      </c>
      <c r="Y1312" s="5">
        <f t="shared" si="20"/>
        <v>0</v>
      </c>
    </row>
    <row r="1313" spans="13:25" x14ac:dyDescent="0.25">
      <c r="P1313" s="2" t="s">
        <v>34</v>
      </c>
      <c r="Q1313" s="10">
        <f>data_redis_illX!E1180</f>
        <v>0</v>
      </c>
      <c r="R1313" s="10">
        <f>data_redis_illX!F1180</f>
        <v>0</v>
      </c>
      <c r="S1313" s="10">
        <f>data_redis_illX!G1180</f>
        <v>0</v>
      </c>
      <c r="T1313" s="10">
        <f>data_redis_illX!H1180</f>
        <v>0</v>
      </c>
      <c r="U1313" s="10">
        <f>data_redis_illX!I1180</f>
        <v>0</v>
      </c>
      <c r="V1313" s="10">
        <f>data_redis_illX!J1180</f>
        <v>0</v>
      </c>
      <c r="W1313" s="10">
        <f>data_redis_illX!K1180</f>
        <v>0</v>
      </c>
      <c r="X1313" s="10">
        <f>data_redis_illX!L1180</f>
        <v>0</v>
      </c>
      <c r="Y1313" s="5">
        <f t="shared" si="20"/>
        <v>0</v>
      </c>
    </row>
    <row r="1314" spans="13:25" x14ac:dyDescent="0.25">
      <c r="P1314" s="2" t="s">
        <v>35</v>
      </c>
      <c r="Q1314" s="10">
        <f>data_redis_illX!E1181</f>
        <v>0</v>
      </c>
      <c r="R1314" s="10">
        <f>data_redis_illX!F1181</f>
        <v>0</v>
      </c>
      <c r="S1314" s="10">
        <f>data_redis_illX!G1181</f>
        <v>0</v>
      </c>
      <c r="T1314" s="10">
        <f>data_redis_illX!H1181</f>
        <v>0</v>
      </c>
      <c r="U1314" s="10">
        <f>data_redis_illX!I1181</f>
        <v>0</v>
      </c>
      <c r="V1314" s="10">
        <f>data_redis_illX!J1181</f>
        <v>0</v>
      </c>
      <c r="W1314" s="10">
        <f>data_redis_illX!K1181</f>
        <v>0</v>
      </c>
      <c r="X1314" s="10">
        <f>data_redis_illX!L1181</f>
        <v>0</v>
      </c>
      <c r="Y1314" s="5">
        <f t="shared" si="20"/>
        <v>0</v>
      </c>
    </row>
    <row r="1315" spans="13:25" x14ac:dyDescent="0.25">
      <c r="P1315" s="2" t="s">
        <v>36</v>
      </c>
      <c r="Q1315" s="10">
        <f>data_redis_illX!E1182</f>
        <v>0</v>
      </c>
      <c r="R1315" s="10">
        <f>data_redis_illX!F1182</f>
        <v>0</v>
      </c>
      <c r="S1315" s="10">
        <f>data_redis_illX!G1182</f>
        <v>0</v>
      </c>
      <c r="T1315" s="10">
        <f>data_redis_illX!H1182</f>
        <v>0</v>
      </c>
      <c r="U1315" s="10">
        <f>data_redis_illX!I1182</f>
        <v>0</v>
      </c>
      <c r="V1315" s="10">
        <f>data_redis_illX!J1182</f>
        <v>0</v>
      </c>
      <c r="W1315" s="10">
        <f>data_redis_illX!K1182</f>
        <v>0</v>
      </c>
      <c r="X1315" s="10">
        <f>data_redis_illX!L1182</f>
        <v>0</v>
      </c>
      <c r="Y1315" s="5">
        <f t="shared" si="20"/>
        <v>0</v>
      </c>
    </row>
    <row r="1316" spans="13:25" x14ac:dyDescent="0.25">
      <c r="P1316" s="2" t="s">
        <v>37</v>
      </c>
      <c r="Q1316" s="10">
        <f>data_redis_illX!E1183</f>
        <v>0</v>
      </c>
      <c r="R1316" s="10">
        <f>data_redis_illX!F1183</f>
        <v>0</v>
      </c>
      <c r="S1316" s="10">
        <f>data_redis_illX!G1183</f>
        <v>0</v>
      </c>
      <c r="T1316" s="10">
        <f>data_redis_illX!H1183</f>
        <v>0</v>
      </c>
      <c r="U1316" s="10">
        <f>data_redis_illX!I1183</f>
        <v>0</v>
      </c>
      <c r="V1316" s="10">
        <f>data_redis_illX!J1183</f>
        <v>0</v>
      </c>
      <c r="W1316" s="10">
        <f>data_redis_illX!K1183</f>
        <v>0</v>
      </c>
      <c r="X1316" s="10">
        <f>data_redis_illX!L1183</f>
        <v>0</v>
      </c>
      <c r="Y1316" s="5">
        <f t="shared" si="20"/>
        <v>0</v>
      </c>
    </row>
    <row r="1317" spans="13:25" x14ac:dyDescent="0.25">
      <c r="P1317" s="2" t="s">
        <v>38</v>
      </c>
      <c r="Q1317" s="10">
        <f>data_redis_illX!E1184</f>
        <v>0</v>
      </c>
      <c r="R1317" s="10">
        <f>data_redis_illX!F1184</f>
        <v>0</v>
      </c>
      <c r="S1317" s="10">
        <f>data_redis_illX!G1184</f>
        <v>0</v>
      </c>
      <c r="T1317" s="10">
        <f>data_redis_illX!H1184</f>
        <v>0</v>
      </c>
      <c r="U1317" s="10">
        <f>data_redis_illX!I1184</f>
        <v>0</v>
      </c>
      <c r="V1317" s="10">
        <f>data_redis_illX!J1184</f>
        <v>0</v>
      </c>
      <c r="W1317" s="10">
        <f>data_redis_illX!K1184</f>
        <v>0</v>
      </c>
      <c r="X1317" s="10">
        <f>data_redis_illX!L1184</f>
        <v>0</v>
      </c>
      <c r="Y1317" s="5">
        <f t="shared" si="20"/>
        <v>0</v>
      </c>
    </row>
    <row r="1318" spans="13:25" x14ac:dyDescent="0.25">
      <c r="P1318" s="2" t="s">
        <v>39</v>
      </c>
      <c r="Q1318" s="10">
        <f>data_redis_illX!E1185</f>
        <v>0</v>
      </c>
      <c r="R1318" s="10">
        <f>data_redis_illX!F1185</f>
        <v>0</v>
      </c>
      <c r="S1318" s="10">
        <f>data_redis_illX!G1185</f>
        <v>0</v>
      </c>
      <c r="T1318" s="10">
        <f>data_redis_illX!H1185</f>
        <v>0</v>
      </c>
      <c r="U1318" s="10">
        <f>data_redis_illX!I1185</f>
        <v>0</v>
      </c>
      <c r="V1318" s="10">
        <f>data_redis_illX!J1185</f>
        <v>0</v>
      </c>
      <c r="W1318" s="10">
        <f>data_redis_illX!K1185</f>
        <v>0</v>
      </c>
      <c r="X1318" s="10">
        <f>data_redis_illX!L1185</f>
        <v>0</v>
      </c>
      <c r="Y1318" s="5">
        <f t="shared" si="20"/>
        <v>0</v>
      </c>
    </row>
    <row r="1319" spans="13:25" x14ac:dyDescent="0.25">
      <c r="P1319" s="2" t="s">
        <v>40</v>
      </c>
      <c r="Q1319" s="10">
        <f>data_redis_illX!E1186</f>
        <v>0</v>
      </c>
      <c r="R1319" s="10">
        <f>data_redis_illX!F1186</f>
        <v>0</v>
      </c>
      <c r="S1319" s="10">
        <f>data_redis_illX!G1186</f>
        <v>2.4334162696409853</v>
      </c>
      <c r="T1319" s="10">
        <f>data_redis_illX!H1186</f>
        <v>0</v>
      </c>
      <c r="U1319" s="10">
        <f>data_redis_illX!I1186</f>
        <v>2.2117865331488265</v>
      </c>
      <c r="V1319" s="10">
        <f>data_redis_illX!J1186</f>
        <v>0</v>
      </c>
      <c r="W1319" s="10">
        <f>data_redis_illX!K1186</f>
        <v>0</v>
      </c>
      <c r="X1319" s="10">
        <f>data_redis_illX!L1186</f>
        <v>0</v>
      </c>
      <c r="Y1319" s="5">
        <f t="shared" si="20"/>
        <v>4.6452028027898118</v>
      </c>
    </row>
    <row r="1320" spans="13:25" x14ac:dyDescent="0.25">
      <c r="P1320" s="2" t="s">
        <v>41</v>
      </c>
      <c r="Q1320" s="10">
        <f>data_redis_illX!E1187</f>
        <v>0</v>
      </c>
      <c r="R1320" s="10">
        <f>data_redis_illX!F1187</f>
        <v>0</v>
      </c>
      <c r="S1320" s="10">
        <f>data_redis_illX!G1187</f>
        <v>0</v>
      </c>
      <c r="T1320" s="10">
        <f>data_redis_illX!H1187</f>
        <v>0</v>
      </c>
      <c r="U1320" s="10">
        <f>data_redis_illX!I1187</f>
        <v>0</v>
      </c>
      <c r="V1320" s="10">
        <f>data_redis_illX!J1187</f>
        <v>0</v>
      </c>
      <c r="W1320" s="10">
        <f>data_redis_illX!K1187</f>
        <v>0</v>
      </c>
      <c r="X1320" s="10">
        <f>data_redis_illX!L1187</f>
        <v>0</v>
      </c>
      <c r="Y1320" s="5">
        <f t="shared" si="20"/>
        <v>0</v>
      </c>
    </row>
    <row r="1321" spans="13:25" x14ac:dyDescent="0.25">
      <c r="P1321" s="2" t="s">
        <v>42</v>
      </c>
      <c r="Q1321" s="10">
        <f>data_redis_illX!E1188</f>
        <v>0</v>
      </c>
      <c r="R1321" s="10">
        <f>data_redis_illX!F1188</f>
        <v>0</v>
      </c>
      <c r="S1321" s="10">
        <f>data_redis_illX!G1188</f>
        <v>0</v>
      </c>
      <c r="T1321" s="10">
        <f>data_redis_illX!H1188</f>
        <v>0</v>
      </c>
      <c r="U1321" s="10">
        <f>data_redis_illX!I1188</f>
        <v>0</v>
      </c>
      <c r="V1321" s="10">
        <f>data_redis_illX!J1188</f>
        <v>0</v>
      </c>
      <c r="W1321" s="10">
        <f>data_redis_illX!K1188</f>
        <v>0</v>
      </c>
      <c r="X1321" s="10">
        <f>data_redis_illX!L1188</f>
        <v>0</v>
      </c>
      <c r="Y1321" s="5">
        <f t="shared" si="20"/>
        <v>0</v>
      </c>
    </row>
    <row r="1322" spans="13:25" x14ac:dyDescent="0.25">
      <c r="P1322" s="2" t="s">
        <v>43</v>
      </c>
      <c r="Q1322" s="10">
        <f>data_redis_illX!E1189</f>
        <v>0</v>
      </c>
      <c r="R1322" s="10">
        <f>data_redis_illX!F1189</f>
        <v>0</v>
      </c>
      <c r="S1322" s="10">
        <f>data_redis_illX!G1189</f>
        <v>218.11938768379193</v>
      </c>
      <c r="T1322" s="10">
        <f>data_redis_illX!H1189</f>
        <v>288.17478524282831</v>
      </c>
      <c r="U1322" s="10">
        <f>data_redis_illX!I1189</f>
        <v>119.10682092539955</v>
      </c>
      <c r="V1322" s="10">
        <f>data_redis_illX!J1189</f>
        <v>7.875997899159664</v>
      </c>
      <c r="W1322" s="10">
        <f>data_redis_illX!K1189</f>
        <v>0</v>
      </c>
      <c r="X1322" s="10">
        <f>data_redis_illX!L1189</f>
        <v>0</v>
      </c>
      <c r="Y1322" s="5">
        <f t="shared" si="20"/>
        <v>633.27699175117948</v>
      </c>
    </row>
    <row r="1323" spans="13:25" x14ac:dyDescent="0.25">
      <c r="P1323" s="2" t="s">
        <v>44</v>
      </c>
      <c r="Q1323" s="10">
        <f>data_redis_illX!E1190</f>
        <v>0</v>
      </c>
      <c r="R1323" s="10">
        <f>data_redis_illX!F1190</f>
        <v>0</v>
      </c>
      <c r="S1323" s="10">
        <f>data_redis_illX!G1190</f>
        <v>0</v>
      </c>
      <c r="T1323" s="10">
        <f>data_redis_illX!H1190</f>
        <v>0</v>
      </c>
      <c r="U1323" s="10">
        <f>data_redis_illX!I1190</f>
        <v>0</v>
      </c>
      <c r="V1323" s="10">
        <f>data_redis_illX!J1190</f>
        <v>0</v>
      </c>
      <c r="W1323" s="10">
        <f>data_redis_illX!K1190</f>
        <v>0</v>
      </c>
      <c r="X1323" s="10">
        <f>data_redis_illX!L1190</f>
        <v>0</v>
      </c>
      <c r="Y1323" s="5">
        <f t="shared" si="20"/>
        <v>0</v>
      </c>
    </row>
    <row r="1324" spans="13:25" x14ac:dyDescent="0.25">
      <c r="M1324" t="s">
        <v>115</v>
      </c>
      <c r="N1324" t="s">
        <v>103</v>
      </c>
      <c r="O1324" t="s">
        <v>51</v>
      </c>
      <c r="P1324" s="2" t="s">
        <v>12</v>
      </c>
      <c r="Q1324" s="10">
        <f>data_redis_illX!E1191</f>
        <v>0</v>
      </c>
      <c r="R1324" s="10">
        <f>data_redis_illX!F1191</f>
        <v>0</v>
      </c>
      <c r="S1324" s="10">
        <f>data_redis_illX!G1191</f>
        <v>0</v>
      </c>
      <c r="T1324" s="10">
        <f>data_redis_illX!H1191</f>
        <v>2.3883114915466304</v>
      </c>
      <c r="U1324" s="10">
        <f>data_redis_illX!I1191</f>
        <v>1.1540201031753368</v>
      </c>
      <c r="V1324" s="10">
        <f>data_redis_illX!J1191</f>
        <v>0</v>
      </c>
      <c r="W1324" s="10">
        <f>data_redis_illX!K1191</f>
        <v>0</v>
      </c>
      <c r="X1324" s="10">
        <f>data_redis_illX!L1191</f>
        <v>0</v>
      </c>
      <c r="Y1324" s="5">
        <f t="shared" si="20"/>
        <v>3.5423315947219671</v>
      </c>
    </row>
    <row r="1325" spans="13:25" x14ac:dyDescent="0.25">
      <c r="P1325" s="2" t="s">
        <v>13</v>
      </c>
      <c r="Q1325" s="10">
        <f>data_redis_illX!E1192</f>
        <v>0</v>
      </c>
      <c r="R1325" s="10">
        <f>data_redis_illX!F1192</f>
        <v>0</v>
      </c>
      <c r="S1325" s="10">
        <f>data_redis_illX!G1192</f>
        <v>19.324188023619588</v>
      </c>
      <c r="T1325" s="10">
        <f>data_redis_illX!H1192</f>
        <v>15.524024695053097</v>
      </c>
      <c r="U1325" s="10">
        <f>data_redis_illX!I1192</f>
        <v>9.2321608254026941</v>
      </c>
      <c r="V1325" s="10">
        <f>data_redis_illX!J1192</f>
        <v>1.1409063180827888</v>
      </c>
      <c r="W1325" s="10">
        <f>data_redis_illX!K1192</f>
        <v>0</v>
      </c>
      <c r="X1325" s="10">
        <f>data_redis_illX!L1192</f>
        <v>0</v>
      </c>
      <c r="Y1325" s="5">
        <f t="shared" si="20"/>
        <v>45.22127986215817</v>
      </c>
    </row>
    <row r="1326" spans="13:25" x14ac:dyDescent="0.25">
      <c r="P1326" s="2" t="s">
        <v>14</v>
      </c>
      <c r="Q1326" s="10">
        <f>data_redis_illX!E1193</f>
        <v>0</v>
      </c>
      <c r="R1326" s="10">
        <f>data_redis_illX!F1193</f>
        <v>0</v>
      </c>
      <c r="S1326" s="10">
        <f>data_redis_illX!G1193</f>
        <v>16.747629620470306</v>
      </c>
      <c r="T1326" s="10">
        <f>data_redis_illX!H1193</f>
        <v>45.377918339385978</v>
      </c>
      <c r="U1326" s="10">
        <f>data_redis_illX!I1193</f>
        <v>33.466582992084767</v>
      </c>
      <c r="V1326" s="10">
        <f>data_redis_illX!J1193</f>
        <v>4.563625272331155</v>
      </c>
      <c r="W1326" s="10">
        <f>data_redis_illX!K1193</f>
        <v>1.0781746031746031</v>
      </c>
      <c r="X1326" s="10">
        <f>data_redis_illX!L1193</f>
        <v>0</v>
      </c>
      <c r="Y1326" s="5">
        <f t="shared" si="20"/>
        <v>101.2339308274468</v>
      </c>
    </row>
    <row r="1327" spans="13:25" x14ac:dyDescent="0.25">
      <c r="P1327" s="2" t="s">
        <v>15</v>
      </c>
      <c r="Q1327" s="10">
        <f>data_redis_illX!E1194</f>
        <v>0</v>
      </c>
      <c r="R1327" s="10">
        <f>data_redis_illX!F1194</f>
        <v>0</v>
      </c>
      <c r="S1327" s="10">
        <f>data_redis_illX!G1194</f>
        <v>5.1531168062985566</v>
      </c>
      <c r="T1327" s="10">
        <f>data_redis_illX!H1194</f>
        <v>4.7766229830932607</v>
      </c>
      <c r="U1327" s="10">
        <f>data_redis_illX!I1194</f>
        <v>3.4620603095260103</v>
      </c>
      <c r="V1327" s="10">
        <f>data_redis_illX!J1194</f>
        <v>0</v>
      </c>
      <c r="W1327" s="10">
        <f>data_redis_illX!K1194</f>
        <v>0</v>
      </c>
      <c r="X1327" s="10">
        <f>data_redis_illX!L1194</f>
        <v>0</v>
      </c>
      <c r="Y1327" s="5">
        <f t="shared" si="20"/>
        <v>13.391800098917827</v>
      </c>
    </row>
    <row r="1328" spans="13:25" x14ac:dyDescent="0.25">
      <c r="P1328" s="2" t="s">
        <v>16</v>
      </c>
      <c r="Q1328" s="10">
        <f>data_redis_illX!E1195</f>
        <v>0</v>
      </c>
      <c r="R1328" s="10">
        <f>data_redis_illX!F1195</f>
        <v>0</v>
      </c>
      <c r="S1328" s="10">
        <f>data_redis_illX!G1195</f>
        <v>0</v>
      </c>
      <c r="T1328" s="10">
        <f>data_redis_illX!H1195</f>
        <v>9.5532459661865214</v>
      </c>
      <c r="U1328" s="10">
        <f>data_redis_illX!I1195</f>
        <v>8.0781407222273565</v>
      </c>
      <c r="V1328" s="10">
        <f>data_redis_illX!J1195</f>
        <v>0</v>
      </c>
      <c r="W1328" s="10">
        <f>data_redis_illX!K1195</f>
        <v>0</v>
      </c>
      <c r="X1328" s="10">
        <f>data_redis_illX!L1195</f>
        <v>0</v>
      </c>
      <c r="Y1328" s="5">
        <f t="shared" si="20"/>
        <v>17.631386688413876</v>
      </c>
    </row>
    <row r="1329" spans="16:25" x14ac:dyDescent="0.25">
      <c r="P1329" s="2" t="s">
        <v>17</v>
      </c>
      <c r="Q1329" s="10">
        <f>data_redis_illX!E1196</f>
        <v>0</v>
      </c>
      <c r="R1329" s="10">
        <f>data_redis_illX!F1196</f>
        <v>0</v>
      </c>
      <c r="S1329" s="10">
        <f>data_redis_illX!G1196</f>
        <v>7.7296752094478354</v>
      </c>
      <c r="T1329" s="10">
        <f>data_redis_illX!H1196</f>
        <v>3.5824672373199458</v>
      </c>
      <c r="U1329" s="10">
        <f>data_redis_illX!I1196</f>
        <v>4.6160804127013471</v>
      </c>
      <c r="V1329" s="10">
        <f>data_redis_illX!J1196</f>
        <v>1.1409063180827888</v>
      </c>
      <c r="W1329" s="10">
        <f>data_redis_illX!K1196</f>
        <v>2.1563492063492062</v>
      </c>
      <c r="X1329" s="10">
        <f>data_redis_illX!L1196</f>
        <v>0</v>
      </c>
      <c r="Y1329" s="5">
        <f t="shared" si="20"/>
        <v>19.225478383901123</v>
      </c>
    </row>
    <row r="1330" spans="16:25" x14ac:dyDescent="0.25">
      <c r="P1330" s="2" t="s">
        <v>18</v>
      </c>
      <c r="Q1330" s="10">
        <f>data_redis_illX!E1197</f>
        <v>0</v>
      </c>
      <c r="R1330" s="10">
        <f>data_redis_illX!F1197</f>
        <v>0</v>
      </c>
      <c r="S1330" s="10">
        <f>data_redis_illX!G1197</f>
        <v>11.594512814171754</v>
      </c>
      <c r="T1330" s="10">
        <f>data_redis_illX!H1197</f>
        <v>20.300647678146358</v>
      </c>
      <c r="U1330" s="10">
        <f>data_redis_illX!I1197</f>
        <v>19.618341753980726</v>
      </c>
      <c r="V1330" s="10">
        <f>data_redis_illX!J1197</f>
        <v>7.9863442265795204</v>
      </c>
      <c r="W1330" s="10">
        <f>data_redis_illX!K1197</f>
        <v>1.0781746031746031</v>
      </c>
      <c r="X1330" s="10">
        <f>data_redis_illX!L1197</f>
        <v>0</v>
      </c>
      <c r="Y1330" s="5">
        <f t="shared" si="20"/>
        <v>60.578021076052963</v>
      </c>
    </row>
    <row r="1331" spans="16:25" x14ac:dyDescent="0.25">
      <c r="P1331" s="2" t="s">
        <v>19</v>
      </c>
      <c r="Q1331" s="10">
        <f>data_redis_illX!E1198</f>
        <v>0</v>
      </c>
      <c r="R1331" s="10">
        <f>data_redis_illX!F1198</f>
        <v>0</v>
      </c>
      <c r="S1331" s="10">
        <f>data_redis_illX!G1198</f>
        <v>25.765584031492786</v>
      </c>
      <c r="T1331" s="10">
        <f>data_redis_illX!H1198</f>
        <v>102.6973941365051</v>
      </c>
      <c r="U1331" s="10">
        <f>data_redis_illX!I1198</f>
        <v>131.55829176198836</v>
      </c>
      <c r="V1331" s="10">
        <f>data_redis_illX!J1198</f>
        <v>20.536313725490199</v>
      </c>
      <c r="W1331" s="10">
        <f>data_redis_illX!K1198</f>
        <v>3.2345238095238091</v>
      </c>
      <c r="X1331" s="10">
        <f>data_redis_illX!L1198</f>
        <v>0</v>
      </c>
      <c r="Y1331" s="5">
        <f t="shared" si="20"/>
        <v>283.79210746500024</v>
      </c>
    </row>
    <row r="1332" spans="16:25" x14ac:dyDescent="0.25">
      <c r="P1332" s="2" t="s">
        <v>20</v>
      </c>
      <c r="Q1332" s="10">
        <f>data_redis_illX!E1199</f>
        <v>0</v>
      </c>
      <c r="R1332" s="10">
        <f>data_redis_illX!F1199</f>
        <v>0</v>
      </c>
      <c r="S1332" s="10">
        <f>data_redis_illX!G1199</f>
        <v>11.594512814171754</v>
      </c>
      <c r="T1332" s="10">
        <f>data_redis_illX!H1199</f>
        <v>15.524024695053097</v>
      </c>
      <c r="U1332" s="10">
        <f>data_redis_illX!I1199</f>
        <v>6.9241206190520206</v>
      </c>
      <c r="V1332" s="10">
        <f>data_redis_illX!J1199</f>
        <v>2.2818126361655775</v>
      </c>
      <c r="W1332" s="10">
        <f>data_redis_illX!K1199</f>
        <v>0</v>
      </c>
      <c r="X1332" s="10">
        <f>data_redis_illX!L1199</f>
        <v>0</v>
      </c>
      <c r="Y1332" s="5">
        <f t="shared" si="20"/>
        <v>36.324470764442445</v>
      </c>
    </row>
    <row r="1333" spans="16:25" x14ac:dyDescent="0.25">
      <c r="P1333" s="2" t="s">
        <v>21</v>
      </c>
      <c r="Q1333" s="10">
        <f>data_redis_illX!E1200</f>
        <v>0</v>
      </c>
      <c r="R1333" s="10">
        <f>data_redis_illX!F1200</f>
        <v>0</v>
      </c>
      <c r="S1333" s="10">
        <f>data_redis_illX!G1200</f>
        <v>1.2882792015746392</v>
      </c>
      <c r="T1333" s="10">
        <f>data_redis_illX!H1200</f>
        <v>21.49480342391967</v>
      </c>
      <c r="U1333" s="10">
        <f>data_redis_illX!I1200</f>
        <v>31.158542785734095</v>
      </c>
      <c r="V1333" s="10">
        <f>data_redis_illX!J1200</f>
        <v>13.690875816993463</v>
      </c>
      <c r="W1333" s="10">
        <f>data_redis_illX!K1200</f>
        <v>7.5472222222222225</v>
      </c>
      <c r="X1333" s="10">
        <f>data_redis_illX!L1200</f>
        <v>0</v>
      </c>
      <c r="Y1333" s="5">
        <f t="shared" si="20"/>
        <v>75.179723450444087</v>
      </c>
    </row>
    <row r="1334" spans="16:25" x14ac:dyDescent="0.25">
      <c r="P1334" s="2" t="s">
        <v>22</v>
      </c>
      <c r="Q1334" s="10">
        <f>data_redis_illX!E1201</f>
        <v>0</v>
      </c>
      <c r="R1334" s="10">
        <f>data_redis_illX!F1201</f>
        <v>0</v>
      </c>
      <c r="S1334" s="10">
        <f>data_redis_illX!G1201</f>
        <v>21.900746426768869</v>
      </c>
      <c r="T1334" s="10">
        <f>data_redis_illX!H1201</f>
        <v>46.572074085159294</v>
      </c>
      <c r="U1334" s="10">
        <f>data_redis_illX!I1201</f>
        <v>48.468844333364139</v>
      </c>
      <c r="V1334" s="10">
        <f>data_redis_illX!J1201</f>
        <v>10.2681568627451</v>
      </c>
      <c r="W1334" s="10">
        <f>data_redis_illX!K1201</f>
        <v>1.0781746031746031</v>
      </c>
      <c r="X1334" s="10">
        <f>data_redis_illX!L1201</f>
        <v>0</v>
      </c>
      <c r="Y1334" s="5">
        <f t="shared" si="20"/>
        <v>128.28799631121203</v>
      </c>
    </row>
    <row r="1335" spans="16:25" x14ac:dyDescent="0.25">
      <c r="P1335" s="2" t="s">
        <v>23</v>
      </c>
      <c r="Q1335" s="10">
        <f>data_redis_illX!E1202</f>
        <v>0</v>
      </c>
      <c r="R1335" s="10">
        <f>data_redis_illX!F1202</f>
        <v>0</v>
      </c>
      <c r="S1335" s="10">
        <f>data_redis_illX!G1202</f>
        <v>3.8648376047239177</v>
      </c>
      <c r="T1335" s="10">
        <f>data_redis_illX!H1202</f>
        <v>23.883114915466301</v>
      </c>
      <c r="U1335" s="10">
        <f>data_redis_illX!I1202</f>
        <v>18.464321650805388</v>
      </c>
      <c r="V1335" s="10">
        <f>data_redis_illX!J1202</f>
        <v>2.2818126361655775</v>
      </c>
      <c r="W1335" s="10">
        <f>data_redis_illX!K1202</f>
        <v>0</v>
      </c>
      <c r="X1335" s="10">
        <f>data_redis_illX!L1202</f>
        <v>0</v>
      </c>
      <c r="Y1335" s="5">
        <f t="shared" si="20"/>
        <v>48.494086807161182</v>
      </c>
    </row>
    <row r="1336" spans="16:25" x14ac:dyDescent="0.25">
      <c r="P1336" s="2" t="s">
        <v>24</v>
      </c>
      <c r="Q1336" s="10">
        <f>data_redis_illX!E1203</f>
        <v>0</v>
      </c>
      <c r="R1336" s="10">
        <f>data_redis_illX!F1203</f>
        <v>0</v>
      </c>
      <c r="S1336" s="10">
        <f>data_redis_illX!G1203</f>
        <v>14.171071217321032</v>
      </c>
      <c r="T1336" s="10">
        <f>data_redis_illX!H1203</f>
        <v>28.659737898559566</v>
      </c>
      <c r="U1336" s="10">
        <f>data_redis_illX!I1203</f>
        <v>27.696482476208082</v>
      </c>
      <c r="V1336" s="10">
        <f>data_redis_illX!J1203</f>
        <v>5.7045315904139429</v>
      </c>
      <c r="W1336" s="10">
        <f>data_redis_illX!K1203</f>
        <v>0</v>
      </c>
      <c r="X1336" s="10">
        <f>data_redis_illX!L1203</f>
        <v>0</v>
      </c>
      <c r="Y1336" s="5">
        <f t="shared" si="20"/>
        <v>76.231823182502637</v>
      </c>
    </row>
    <row r="1337" spans="16:25" x14ac:dyDescent="0.25">
      <c r="P1337" s="2" t="s">
        <v>25</v>
      </c>
      <c r="Q1337" s="10">
        <f>data_redis_illX!E1204</f>
        <v>0</v>
      </c>
      <c r="R1337" s="10">
        <f>data_redis_illX!F1204</f>
        <v>0</v>
      </c>
      <c r="S1337" s="10">
        <f>data_redis_illX!G1204</f>
        <v>3.8648376047239177</v>
      </c>
      <c r="T1337" s="10">
        <f>data_redis_illX!H1204</f>
        <v>15.524024695053097</v>
      </c>
      <c r="U1337" s="10">
        <f>data_redis_illX!I1204</f>
        <v>4.6160804127013471</v>
      </c>
      <c r="V1337" s="10">
        <f>data_redis_illX!J1204</f>
        <v>1.1409063180827888</v>
      </c>
      <c r="W1337" s="10">
        <f>data_redis_illX!K1204</f>
        <v>0</v>
      </c>
      <c r="X1337" s="10">
        <f>data_redis_illX!L1204</f>
        <v>0</v>
      </c>
      <c r="Y1337" s="5">
        <f t="shared" si="20"/>
        <v>25.145849030561148</v>
      </c>
    </row>
    <row r="1338" spans="16:25" x14ac:dyDescent="0.25">
      <c r="P1338" s="2" t="s">
        <v>26</v>
      </c>
      <c r="Q1338" s="10">
        <f>data_redis_illX!E1205</f>
        <v>0</v>
      </c>
      <c r="R1338" s="10">
        <f>data_redis_illX!F1205</f>
        <v>0</v>
      </c>
      <c r="S1338" s="10">
        <f>data_redis_illX!G1205</f>
        <v>6.4413960078731964</v>
      </c>
      <c r="T1338" s="10">
        <f>data_redis_illX!H1205</f>
        <v>22.688959169692989</v>
      </c>
      <c r="U1338" s="10">
        <f>data_redis_illX!I1205</f>
        <v>8.0781407222273565</v>
      </c>
      <c r="V1338" s="10">
        <f>data_redis_illX!J1205</f>
        <v>0</v>
      </c>
      <c r="W1338" s="10">
        <f>data_redis_illX!K1205</f>
        <v>0</v>
      </c>
      <c r="X1338" s="10">
        <f>data_redis_illX!L1205</f>
        <v>0</v>
      </c>
      <c r="Y1338" s="5">
        <f t="shared" si="20"/>
        <v>37.208495899793547</v>
      </c>
    </row>
    <row r="1339" spans="16:25" x14ac:dyDescent="0.25">
      <c r="P1339" s="2" t="s">
        <v>27</v>
      </c>
      <c r="Q1339" s="10">
        <f>data_redis_illX!E1206</f>
        <v>0</v>
      </c>
      <c r="R1339" s="10">
        <f>data_redis_illX!F1206</f>
        <v>0</v>
      </c>
      <c r="S1339" s="10">
        <f>data_redis_illX!G1206</f>
        <v>19.324188023619588</v>
      </c>
      <c r="T1339" s="10">
        <f>data_redis_illX!H1206</f>
        <v>25.077270661239616</v>
      </c>
      <c r="U1339" s="10">
        <f>data_redis_illX!I1206</f>
        <v>17.310301547630051</v>
      </c>
      <c r="V1339" s="10">
        <f>data_redis_illX!J1206</f>
        <v>1.1409063180827888</v>
      </c>
      <c r="W1339" s="10">
        <f>data_redis_illX!K1206</f>
        <v>0</v>
      </c>
      <c r="X1339" s="10">
        <f>data_redis_illX!L1206</f>
        <v>0</v>
      </c>
      <c r="Y1339" s="5">
        <f t="shared" si="20"/>
        <v>62.852666550572046</v>
      </c>
    </row>
    <row r="1340" spans="16:25" x14ac:dyDescent="0.25">
      <c r="P1340" s="2" t="s">
        <v>28</v>
      </c>
      <c r="Q1340" s="10">
        <f>data_redis_illX!E1207</f>
        <v>0</v>
      </c>
      <c r="R1340" s="10">
        <f>data_redis_illX!F1207</f>
        <v>0</v>
      </c>
      <c r="S1340" s="10">
        <f>data_redis_illX!G1207</f>
        <v>92.756102513374032</v>
      </c>
      <c r="T1340" s="10">
        <f>data_redis_illX!H1207</f>
        <v>140.91037800125119</v>
      </c>
      <c r="U1340" s="10">
        <f>data_redis_illX!I1207</f>
        <v>84.243467531799581</v>
      </c>
      <c r="V1340" s="10">
        <f>data_redis_illX!J1207</f>
        <v>11.409063180827886</v>
      </c>
      <c r="W1340" s="10">
        <f>data_redis_illX!K1207</f>
        <v>3.2345238095238091</v>
      </c>
      <c r="X1340" s="10">
        <f>data_redis_illX!L1207</f>
        <v>1</v>
      </c>
      <c r="Y1340" s="5">
        <f t="shared" si="20"/>
        <v>333.55353503677651</v>
      </c>
    </row>
    <row r="1341" spans="16:25" x14ac:dyDescent="0.25">
      <c r="P1341" s="2" t="s">
        <v>29</v>
      </c>
      <c r="Q1341" s="10">
        <f>data_redis_illX!E1208</f>
        <v>0</v>
      </c>
      <c r="R1341" s="10">
        <f>data_redis_illX!F1208</f>
        <v>0</v>
      </c>
      <c r="S1341" s="10">
        <f>data_redis_illX!G1208</f>
        <v>3.8648376047239177</v>
      </c>
      <c r="T1341" s="10">
        <f>data_redis_illX!H1208</f>
        <v>7.1649344746398915</v>
      </c>
      <c r="U1341" s="10">
        <f>data_redis_illX!I1208</f>
        <v>2.3080402063506735</v>
      </c>
      <c r="V1341" s="10">
        <f>data_redis_illX!J1208</f>
        <v>0</v>
      </c>
      <c r="W1341" s="10">
        <f>data_redis_illX!K1208</f>
        <v>0</v>
      </c>
      <c r="X1341" s="10">
        <f>data_redis_illX!L1208</f>
        <v>0</v>
      </c>
      <c r="Y1341" s="5">
        <f t="shared" si="20"/>
        <v>13.337812285714483</v>
      </c>
    </row>
    <row r="1342" spans="16:25" x14ac:dyDescent="0.25">
      <c r="P1342" s="2" t="s">
        <v>30</v>
      </c>
      <c r="Q1342" s="10">
        <f>data_redis_illX!E1209</f>
        <v>0</v>
      </c>
      <c r="R1342" s="10">
        <f>data_redis_illX!F1209</f>
        <v>0</v>
      </c>
      <c r="S1342" s="10">
        <f>data_redis_illX!G1209</f>
        <v>36.071817644089897</v>
      </c>
      <c r="T1342" s="10">
        <f>data_redis_illX!H1209</f>
        <v>29.853893644332878</v>
      </c>
      <c r="U1342" s="10">
        <f>data_redis_illX!I1209</f>
        <v>27.696482476208082</v>
      </c>
      <c r="V1342" s="10">
        <f>data_redis_illX!J1209</f>
        <v>2.2818126361655775</v>
      </c>
      <c r="W1342" s="10">
        <f>data_redis_illX!K1209</f>
        <v>0</v>
      </c>
      <c r="X1342" s="10">
        <f>data_redis_illX!L1209</f>
        <v>0</v>
      </c>
      <c r="Y1342" s="5">
        <f t="shared" si="20"/>
        <v>95.904006400796433</v>
      </c>
    </row>
    <row r="1343" spans="16:25" x14ac:dyDescent="0.25">
      <c r="P1343" s="2" t="s">
        <v>31</v>
      </c>
      <c r="Q1343" s="10">
        <f>data_redis_illX!E1210</f>
        <v>0</v>
      </c>
      <c r="R1343" s="10">
        <f>data_redis_illX!F1210</f>
        <v>0</v>
      </c>
      <c r="S1343" s="10">
        <f>data_redis_illX!G1210</f>
        <v>2.5765584031492783</v>
      </c>
      <c r="T1343" s="10">
        <f>data_redis_illX!H1210</f>
        <v>1.1941557457733152</v>
      </c>
      <c r="U1343" s="10">
        <f>data_redis_illX!I1210</f>
        <v>1.1540201031753368</v>
      </c>
      <c r="V1343" s="10">
        <f>data_redis_illX!J1210</f>
        <v>0</v>
      </c>
      <c r="W1343" s="10">
        <f>data_redis_illX!K1210</f>
        <v>0</v>
      </c>
      <c r="X1343" s="10">
        <f>data_redis_illX!L1210</f>
        <v>0</v>
      </c>
      <c r="Y1343" s="5">
        <f t="shared" si="20"/>
        <v>4.92473425209793</v>
      </c>
    </row>
    <row r="1344" spans="16:25" x14ac:dyDescent="0.25">
      <c r="P1344" s="2" t="s">
        <v>32</v>
      </c>
      <c r="Q1344" s="10">
        <f>data_redis_illX!E1211</f>
        <v>0</v>
      </c>
      <c r="R1344" s="10">
        <f>data_redis_illX!F1211</f>
        <v>0</v>
      </c>
      <c r="S1344" s="10">
        <f>data_redis_illX!G1211</f>
        <v>0</v>
      </c>
      <c r="T1344" s="10">
        <f>data_redis_illX!H1211</f>
        <v>0</v>
      </c>
      <c r="U1344" s="10">
        <f>data_redis_illX!I1211</f>
        <v>0</v>
      </c>
      <c r="V1344" s="10">
        <f>data_redis_illX!J1211</f>
        <v>0</v>
      </c>
      <c r="W1344" s="10">
        <f>data_redis_illX!K1211</f>
        <v>0</v>
      </c>
      <c r="X1344" s="10">
        <f>data_redis_illX!L1211</f>
        <v>0</v>
      </c>
      <c r="Y1344" s="5">
        <f t="shared" si="20"/>
        <v>0</v>
      </c>
    </row>
    <row r="1345" spans="13:25" x14ac:dyDescent="0.25">
      <c r="P1345" s="2" t="s">
        <v>33</v>
      </c>
      <c r="Q1345" s="10">
        <f>data_redis_illX!E1212</f>
        <v>0</v>
      </c>
      <c r="R1345" s="10">
        <f>data_redis_illX!F1212</f>
        <v>0</v>
      </c>
      <c r="S1345" s="10">
        <f>data_redis_illX!G1212</f>
        <v>0</v>
      </c>
      <c r="T1345" s="10">
        <f>data_redis_illX!H1212</f>
        <v>0</v>
      </c>
      <c r="U1345" s="10">
        <f>data_redis_illX!I1212</f>
        <v>0</v>
      </c>
      <c r="V1345" s="10">
        <f>data_redis_illX!J1212</f>
        <v>0</v>
      </c>
      <c r="W1345" s="10">
        <f>data_redis_illX!K1212</f>
        <v>0</v>
      </c>
      <c r="X1345" s="10">
        <f>data_redis_illX!L1212</f>
        <v>0</v>
      </c>
      <c r="Y1345" s="5">
        <f t="shared" si="20"/>
        <v>0</v>
      </c>
    </row>
    <row r="1346" spans="13:25" x14ac:dyDescent="0.25">
      <c r="P1346" s="2" t="s">
        <v>34</v>
      </c>
      <c r="Q1346" s="10">
        <f>data_redis_illX!E1213</f>
        <v>0</v>
      </c>
      <c r="R1346" s="10">
        <f>data_redis_illX!F1213</f>
        <v>0</v>
      </c>
      <c r="S1346" s="10">
        <f>data_redis_illX!G1213</f>
        <v>0</v>
      </c>
      <c r="T1346" s="10">
        <f>data_redis_illX!H1213</f>
        <v>0</v>
      </c>
      <c r="U1346" s="10">
        <f>data_redis_illX!I1213</f>
        <v>0</v>
      </c>
      <c r="V1346" s="10">
        <f>data_redis_illX!J1213</f>
        <v>0</v>
      </c>
      <c r="W1346" s="10">
        <f>data_redis_illX!K1213</f>
        <v>0</v>
      </c>
      <c r="X1346" s="10">
        <f>data_redis_illX!L1213</f>
        <v>0</v>
      </c>
      <c r="Y1346" s="5">
        <f t="shared" si="20"/>
        <v>0</v>
      </c>
    </row>
    <row r="1347" spans="13:25" x14ac:dyDescent="0.25">
      <c r="P1347" s="2" t="s">
        <v>35</v>
      </c>
      <c r="Q1347" s="10">
        <f>data_redis_illX!E1214</f>
        <v>0</v>
      </c>
      <c r="R1347" s="10">
        <f>data_redis_illX!F1214</f>
        <v>0</v>
      </c>
      <c r="S1347" s="10">
        <f>data_redis_illX!G1214</f>
        <v>0</v>
      </c>
      <c r="T1347" s="10">
        <f>data_redis_illX!H1214</f>
        <v>0</v>
      </c>
      <c r="U1347" s="10">
        <f>data_redis_illX!I1214</f>
        <v>0</v>
      </c>
      <c r="V1347" s="10">
        <f>data_redis_illX!J1214</f>
        <v>0</v>
      </c>
      <c r="W1347" s="10">
        <f>data_redis_illX!K1214</f>
        <v>0</v>
      </c>
      <c r="X1347" s="10">
        <f>data_redis_illX!L1214</f>
        <v>0</v>
      </c>
      <c r="Y1347" s="5">
        <f t="shared" si="20"/>
        <v>0</v>
      </c>
    </row>
    <row r="1348" spans="13:25" x14ac:dyDescent="0.25">
      <c r="P1348" s="2" t="s">
        <v>36</v>
      </c>
      <c r="Q1348" s="10">
        <f>data_redis_illX!E1215</f>
        <v>0</v>
      </c>
      <c r="R1348" s="10">
        <f>data_redis_illX!F1215</f>
        <v>0</v>
      </c>
      <c r="S1348" s="10">
        <f>data_redis_illX!G1215</f>
        <v>0</v>
      </c>
      <c r="T1348" s="10">
        <f>data_redis_illX!H1215</f>
        <v>0</v>
      </c>
      <c r="U1348" s="10">
        <f>data_redis_illX!I1215</f>
        <v>0</v>
      </c>
      <c r="V1348" s="10">
        <f>data_redis_illX!J1215</f>
        <v>0</v>
      </c>
      <c r="W1348" s="10">
        <f>data_redis_illX!K1215</f>
        <v>0</v>
      </c>
      <c r="X1348" s="10">
        <f>data_redis_illX!L1215</f>
        <v>0</v>
      </c>
      <c r="Y1348" s="5">
        <f t="shared" si="20"/>
        <v>0</v>
      </c>
    </row>
    <row r="1349" spans="13:25" x14ac:dyDescent="0.25">
      <c r="P1349" s="2" t="s">
        <v>37</v>
      </c>
      <c r="Q1349" s="10">
        <f>data_redis_illX!E1216</f>
        <v>0</v>
      </c>
      <c r="R1349" s="10">
        <f>data_redis_illX!F1216</f>
        <v>0</v>
      </c>
      <c r="S1349" s="10">
        <f>data_redis_illX!G1216</f>
        <v>0</v>
      </c>
      <c r="T1349" s="10">
        <f>data_redis_illX!H1216</f>
        <v>0</v>
      </c>
      <c r="U1349" s="10">
        <f>data_redis_illX!I1216</f>
        <v>0</v>
      </c>
      <c r="V1349" s="10">
        <f>data_redis_illX!J1216</f>
        <v>0</v>
      </c>
      <c r="W1349" s="10">
        <f>data_redis_illX!K1216</f>
        <v>0</v>
      </c>
      <c r="X1349" s="10">
        <f>data_redis_illX!L1216</f>
        <v>0</v>
      </c>
      <c r="Y1349" s="5">
        <f t="shared" ref="Y1349:Y1412" si="21">SUM(Q1349:X1349)</f>
        <v>0</v>
      </c>
    </row>
    <row r="1350" spans="13:25" x14ac:dyDescent="0.25">
      <c r="P1350" s="2" t="s">
        <v>38</v>
      </c>
      <c r="Q1350" s="10">
        <f>data_redis_illX!E1217</f>
        <v>0</v>
      </c>
      <c r="R1350" s="10">
        <f>data_redis_illX!F1217</f>
        <v>0</v>
      </c>
      <c r="S1350" s="10">
        <f>data_redis_illX!G1217</f>
        <v>0</v>
      </c>
      <c r="T1350" s="10">
        <f>data_redis_illX!H1217</f>
        <v>0</v>
      </c>
      <c r="U1350" s="10">
        <f>data_redis_illX!I1217</f>
        <v>0</v>
      </c>
      <c r="V1350" s="10">
        <f>data_redis_illX!J1217</f>
        <v>0</v>
      </c>
      <c r="W1350" s="10">
        <f>data_redis_illX!K1217</f>
        <v>0</v>
      </c>
      <c r="X1350" s="10">
        <f>data_redis_illX!L1217</f>
        <v>0</v>
      </c>
      <c r="Y1350" s="5">
        <f t="shared" si="21"/>
        <v>0</v>
      </c>
    </row>
    <row r="1351" spans="13:25" x14ac:dyDescent="0.25">
      <c r="P1351" s="2" t="s">
        <v>39</v>
      </c>
      <c r="Q1351" s="10">
        <f>data_redis_illX!E1218</f>
        <v>0</v>
      </c>
      <c r="R1351" s="10">
        <f>data_redis_illX!F1218</f>
        <v>0</v>
      </c>
      <c r="S1351" s="10">
        <f>data_redis_illX!G1218</f>
        <v>0</v>
      </c>
      <c r="T1351" s="10">
        <f>data_redis_illX!H1218</f>
        <v>0</v>
      </c>
      <c r="U1351" s="10">
        <f>data_redis_illX!I1218</f>
        <v>0</v>
      </c>
      <c r="V1351" s="10">
        <f>data_redis_illX!J1218</f>
        <v>0</v>
      </c>
      <c r="W1351" s="10">
        <f>data_redis_illX!K1218</f>
        <v>0</v>
      </c>
      <c r="X1351" s="10">
        <f>data_redis_illX!L1218</f>
        <v>0</v>
      </c>
      <c r="Y1351" s="5">
        <f t="shared" si="21"/>
        <v>0</v>
      </c>
    </row>
    <row r="1352" spans="13:25" x14ac:dyDescent="0.25">
      <c r="P1352" s="2" t="s">
        <v>40</v>
      </c>
      <c r="Q1352" s="10">
        <f>data_redis_illX!E1219</f>
        <v>0</v>
      </c>
      <c r="R1352" s="10">
        <f>data_redis_illX!F1219</f>
        <v>0</v>
      </c>
      <c r="S1352" s="10">
        <f>data_redis_illX!G1219</f>
        <v>0</v>
      </c>
      <c r="T1352" s="10">
        <f>data_redis_illX!H1219</f>
        <v>3.5824672373199458</v>
      </c>
      <c r="U1352" s="10">
        <f>data_redis_illX!I1219</f>
        <v>0</v>
      </c>
      <c r="V1352" s="10">
        <f>data_redis_illX!J1219</f>
        <v>0</v>
      </c>
      <c r="W1352" s="10">
        <f>data_redis_illX!K1219</f>
        <v>0</v>
      </c>
      <c r="X1352" s="10">
        <f>data_redis_illX!L1219</f>
        <v>0</v>
      </c>
      <c r="Y1352" s="5">
        <f t="shared" si="21"/>
        <v>3.5824672373199458</v>
      </c>
    </row>
    <row r="1353" spans="13:25" x14ac:dyDescent="0.25">
      <c r="P1353" s="2" t="s">
        <v>41</v>
      </c>
      <c r="Q1353" s="10">
        <f>data_redis_illX!E1220</f>
        <v>0</v>
      </c>
      <c r="R1353" s="10">
        <f>data_redis_illX!F1220</f>
        <v>0</v>
      </c>
      <c r="S1353" s="10">
        <f>data_redis_illX!G1220</f>
        <v>0</v>
      </c>
      <c r="T1353" s="10">
        <f>data_redis_illX!H1220</f>
        <v>0</v>
      </c>
      <c r="U1353" s="10">
        <f>data_redis_illX!I1220</f>
        <v>0</v>
      </c>
      <c r="V1353" s="10">
        <f>data_redis_illX!J1220</f>
        <v>0</v>
      </c>
      <c r="W1353" s="10">
        <f>data_redis_illX!K1220</f>
        <v>0</v>
      </c>
      <c r="X1353" s="10">
        <f>data_redis_illX!L1220</f>
        <v>0</v>
      </c>
      <c r="Y1353" s="5">
        <f t="shared" si="21"/>
        <v>0</v>
      </c>
    </row>
    <row r="1354" spans="13:25" x14ac:dyDescent="0.25">
      <c r="P1354" s="2" t="s">
        <v>42</v>
      </c>
      <c r="Q1354" s="10">
        <f>data_redis_illX!E1221</f>
        <v>0</v>
      </c>
      <c r="R1354" s="10">
        <f>data_redis_illX!F1221</f>
        <v>0</v>
      </c>
      <c r="S1354" s="10">
        <f>data_redis_illX!G1221</f>
        <v>2.5765584031492783</v>
      </c>
      <c r="T1354" s="10">
        <f>data_redis_illX!H1221</f>
        <v>2.3883114915466304</v>
      </c>
      <c r="U1354" s="10">
        <f>data_redis_illX!I1221</f>
        <v>1.1540201031753368</v>
      </c>
      <c r="V1354" s="10">
        <f>data_redis_illX!J1221</f>
        <v>0</v>
      </c>
      <c r="W1354" s="10">
        <f>data_redis_illX!K1221</f>
        <v>0</v>
      </c>
      <c r="X1354" s="10">
        <f>data_redis_illX!L1221</f>
        <v>0</v>
      </c>
      <c r="Y1354" s="5">
        <f t="shared" si="21"/>
        <v>6.1188899978712454</v>
      </c>
    </row>
    <row r="1355" spans="13:25" x14ac:dyDescent="0.25">
      <c r="P1355" s="2" t="s">
        <v>43</v>
      </c>
      <c r="Q1355" s="10">
        <f>data_redis_illX!E1222</f>
        <v>0</v>
      </c>
      <c r="R1355" s="10">
        <f>data_redis_illX!F1222</f>
        <v>0</v>
      </c>
      <c r="S1355" s="10">
        <f>data_redis_illX!G1222</f>
        <v>0</v>
      </c>
      <c r="T1355" s="10">
        <f>data_redis_illX!H1222</f>
        <v>3.5824672373199458</v>
      </c>
      <c r="U1355" s="10">
        <f>data_redis_illX!I1222</f>
        <v>0</v>
      </c>
      <c r="V1355" s="10">
        <f>data_redis_illX!J1222</f>
        <v>0</v>
      </c>
      <c r="W1355" s="10">
        <f>data_redis_illX!K1222</f>
        <v>0</v>
      </c>
      <c r="X1355" s="10">
        <f>data_redis_illX!L1222</f>
        <v>0</v>
      </c>
      <c r="Y1355" s="5">
        <f t="shared" si="21"/>
        <v>3.5824672373199458</v>
      </c>
    </row>
    <row r="1356" spans="13:25" x14ac:dyDescent="0.25">
      <c r="P1356" s="2" t="s">
        <v>44</v>
      </c>
      <c r="Q1356" s="10">
        <f>data_redis_illX!E1223</f>
        <v>0</v>
      </c>
      <c r="R1356" s="10">
        <f>data_redis_illX!F1223</f>
        <v>0</v>
      </c>
      <c r="S1356" s="10">
        <f>data_redis_illX!G1223</f>
        <v>21.900746426768869</v>
      </c>
      <c r="T1356" s="10">
        <f>data_redis_illX!H1223</f>
        <v>13.135713203506466</v>
      </c>
      <c r="U1356" s="10">
        <f>data_redis_illX!I1223</f>
        <v>8.0781407222273565</v>
      </c>
      <c r="V1356" s="10">
        <f>data_redis_illX!J1223</f>
        <v>0</v>
      </c>
      <c r="W1356" s="10">
        <f>data_redis_illX!K1223</f>
        <v>0</v>
      </c>
      <c r="X1356" s="10">
        <f>data_redis_illX!L1223</f>
        <v>0</v>
      </c>
      <c r="Y1356" s="5">
        <f t="shared" si="21"/>
        <v>43.114600352502691</v>
      </c>
    </row>
    <row r="1357" spans="13:25" x14ac:dyDescent="0.25">
      <c r="M1357" t="s">
        <v>115</v>
      </c>
      <c r="N1357" t="s">
        <v>103</v>
      </c>
      <c r="O1357" t="s">
        <v>52</v>
      </c>
      <c r="P1357" s="2" t="s">
        <v>12</v>
      </c>
      <c r="Q1357" s="10">
        <f>data_redis_illX!E1224</f>
        <v>0</v>
      </c>
      <c r="R1357" s="10">
        <f>data_redis_illX!F1224</f>
        <v>0</v>
      </c>
      <c r="S1357" s="10">
        <f>data_redis_illX!G1224</f>
        <v>0</v>
      </c>
      <c r="T1357" s="10">
        <f>data_redis_illX!H1224</f>
        <v>0</v>
      </c>
      <c r="U1357" s="10">
        <f>data_redis_illX!I1224</f>
        <v>0</v>
      </c>
      <c r="V1357" s="10">
        <f>data_redis_illX!J1224</f>
        <v>0</v>
      </c>
      <c r="W1357" s="10">
        <f>data_redis_illX!K1224</f>
        <v>0</v>
      </c>
      <c r="X1357" s="10">
        <f>data_redis_illX!L1224</f>
        <v>0</v>
      </c>
      <c r="Y1357" s="5">
        <f t="shared" si="21"/>
        <v>0</v>
      </c>
    </row>
    <row r="1358" spans="13:25" x14ac:dyDescent="0.25">
      <c r="P1358" s="2" t="s">
        <v>13</v>
      </c>
      <c r="Q1358" s="10">
        <f>data_redis_illX!E1225</f>
        <v>0</v>
      </c>
      <c r="R1358" s="10">
        <f>data_redis_illX!F1225</f>
        <v>0</v>
      </c>
      <c r="S1358" s="10">
        <f>data_redis_illX!G1225</f>
        <v>0</v>
      </c>
      <c r="T1358" s="10">
        <f>data_redis_illX!H1225</f>
        <v>0</v>
      </c>
      <c r="U1358" s="10">
        <f>data_redis_illX!I1225</f>
        <v>0</v>
      </c>
      <c r="V1358" s="10">
        <f>data_redis_illX!J1225</f>
        <v>0</v>
      </c>
      <c r="W1358" s="10">
        <f>data_redis_illX!K1225</f>
        <v>0</v>
      </c>
      <c r="X1358" s="10">
        <f>data_redis_illX!L1225</f>
        <v>0</v>
      </c>
      <c r="Y1358" s="5">
        <f t="shared" si="21"/>
        <v>0</v>
      </c>
    </row>
    <row r="1359" spans="13:25" x14ac:dyDescent="0.25">
      <c r="P1359" s="2" t="s">
        <v>14</v>
      </c>
      <c r="Q1359" s="10">
        <f>data_redis_illX!E1226</f>
        <v>0</v>
      </c>
      <c r="R1359" s="10">
        <f>data_redis_illX!F1226</f>
        <v>0</v>
      </c>
      <c r="S1359" s="10">
        <f>data_redis_illX!G1226</f>
        <v>0</v>
      </c>
      <c r="T1359" s="10">
        <f>data_redis_illX!H1226</f>
        <v>0</v>
      </c>
      <c r="U1359" s="10">
        <f>data_redis_illX!I1226</f>
        <v>0</v>
      </c>
      <c r="V1359" s="10">
        <f>data_redis_illX!J1226</f>
        <v>0</v>
      </c>
      <c r="W1359" s="10">
        <f>data_redis_illX!K1226</f>
        <v>0</v>
      </c>
      <c r="X1359" s="10">
        <f>data_redis_illX!L1226</f>
        <v>0</v>
      </c>
      <c r="Y1359" s="5">
        <f t="shared" si="21"/>
        <v>0</v>
      </c>
    </row>
    <row r="1360" spans="13:25" x14ac:dyDescent="0.25">
      <c r="P1360" s="2" t="s">
        <v>15</v>
      </c>
      <c r="Q1360" s="10">
        <f>data_redis_illX!E1227</f>
        <v>0</v>
      </c>
      <c r="R1360" s="10">
        <f>data_redis_illX!F1227</f>
        <v>0</v>
      </c>
      <c r="S1360" s="10">
        <f>data_redis_illX!G1227</f>
        <v>0</v>
      </c>
      <c r="T1360" s="10">
        <f>data_redis_illX!H1227</f>
        <v>0</v>
      </c>
      <c r="U1360" s="10">
        <f>data_redis_illX!I1227</f>
        <v>0</v>
      </c>
      <c r="V1360" s="10">
        <f>data_redis_illX!J1227</f>
        <v>0</v>
      </c>
      <c r="W1360" s="10">
        <f>data_redis_illX!K1227</f>
        <v>0</v>
      </c>
      <c r="X1360" s="10">
        <f>data_redis_illX!L1227</f>
        <v>0</v>
      </c>
      <c r="Y1360" s="5">
        <f t="shared" si="21"/>
        <v>0</v>
      </c>
    </row>
    <row r="1361" spans="16:25" x14ac:dyDescent="0.25">
      <c r="P1361" s="2" t="s">
        <v>16</v>
      </c>
      <c r="Q1361" s="10">
        <f>data_redis_illX!E1228</f>
        <v>0</v>
      </c>
      <c r="R1361" s="10">
        <f>data_redis_illX!F1228</f>
        <v>0</v>
      </c>
      <c r="S1361" s="10">
        <f>data_redis_illX!G1228</f>
        <v>0</v>
      </c>
      <c r="T1361" s="10">
        <f>data_redis_illX!H1228</f>
        <v>0</v>
      </c>
      <c r="U1361" s="10">
        <f>data_redis_illX!I1228</f>
        <v>0</v>
      </c>
      <c r="V1361" s="10">
        <f>data_redis_illX!J1228</f>
        <v>0</v>
      </c>
      <c r="W1361" s="10">
        <f>data_redis_illX!K1228</f>
        <v>0</v>
      </c>
      <c r="X1361" s="10">
        <f>data_redis_illX!L1228</f>
        <v>0</v>
      </c>
      <c r="Y1361" s="5">
        <f t="shared" si="21"/>
        <v>0</v>
      </c>
    </row>
    <row r="1362" spans="16:25" x14ac:dyDescent="0.25">
      <c r="P1362" s="2" t="s">
        <v>17</v>
      </c>
      <c r="Q1362" s="10">
        <f>data_redis_illX!E1229</f>
        <v>0</v>
      </c>
      <c r="R1362" s="10">
        <f>data_redis_illX!F1229</f>
        <v>0</v>
      </c>
      <c r="S1362" s="10">
        <f>data_redis_illX!G1229</f>
        <v>0</v>
      </c>
      <c r="T1362" s="10">
        <f>data_redis_illX!H1229</f>
        <v>0</v>
      </c>
      <c r="U1362" s="10">
        <f>data_redis_illX!I1229</f>
        <v>0</v>
      </c>
      <c r="V1362" s="10">
        <f>data_redis_illX!J1229</f>
        <v>0</v>
      </c>
      <c r="W1362" s="10">
        <f>data_redis_illX!K1229</f>
        <v>0</v>
      </c>
      <c r="X1362" s="10">
        <f>data_redis_illX!L1229</f>
        <v>0</v>
      </c>
      <c r="Y1362" s="5">
        <f t="shared" si="21"/>
        <v>0</v>
      </c>
    </row>
    <row r="1363" spans="16:25" x14ac:dyDescent="0.25">
      <c r="P1363" s="2" t="s">
        <v>18</v>
      </c>
      <c r="Q1363" s="10">
        <f>data_redis_illX!E1230</f>
        <v>0</v>
      </c>
      <c r="R1363" s="10">
        <f>data_redis_illX!F1230</f>
        <v>0</v>
      </c>
      <c r="S1363" s="10">
        <f>data_redis_illX!G1230</f>
        <v>0</v>
      </c>
      <c r="T1363" s="10">
        <f>data_redis_illX!H1230</f>
        <v>0</v>
      </c>
      <c r="U1363" s="10">
        <f>data_redis_illX!I1230</f>
        <v>0</v>
      </c>
      <c r="V1363" s="10">
        <f>data_redis_illX!J1230</f>
        <v>0</v>
      </c>
      <c r="W1363" s="10">
        <f>data_redis_illX!K1230</f>
        <v>0</v>
      </c>
      <c r="X1363" s="10">
        <f>data_redis_illX!L1230</f>
        <v>0</v>
      </c>
      <c r="Y1363" s="5">
        <f t="shared" si="21"/>
        <v>0</v>
      </c>
    </row>
    <row r="1364" spans="16:25" x14ac:dyDescent="0.25">
      <c r="P1364" s="2" t="s">
        <v>19</v>
      </c>
      <c r="Q1364" s="10">
        <f>data_redis_illX!E1231</f>
        <v>0</v>
      </c>
      <c r="R1364" s="10">
        <f>data_redis_illX!F1231</f>
        <v>0</v>
      </c>
      <c r="S1364" s="10">
        <f>data_redis_illX!G1231</f>
        <v>0</v>
      </c>
      <c r="T1364" s="10">
        <f>data_redis_illX!H1231</f>
        <v>0</v>
      </c>
      <c r="U1364" s="10">
        <f>data_redis_illX!I1231</f>
        <v>0</v>
      </c>
      <c r="V1364" s="10">
        <f>data_redis_illX!J1231</f>
        <v>0</v>
      </c>
      <c r="W1364" s="10">
        <f>data_redis_illX!K1231</f>
        <v>0</v>
      </c>
      <c r="X1364" s="10">
        <f>data_redis_illX!L1231</f>
        <v>0</v>
      </c>
      <c r="Y1364" s="5">
        <f t="shared" si="21"/>
        <v>0</v>
      </c>
    </row>
    <row r="1365" spans="16:25" x14ac:dyDescent="0.25">
      <c r="P1365" s="2" t="s">
        <v>20</v>
      </c>
      <c r="Q1365" s="10">
        <f>data_redis_illX!E1232</f>
        <v>0</v>
      </c>
      <c r="R1365" s="10">
        <f>data_redis_illX!F1232</f>
        <v>0</v>
      </c>
      <c r="S1365" s="10">
        <f>data_redis_illX!G1232</f>
        <v>0</v>
      </c>
      <c r="T1365" s="10">
        <f>data_redis_illX!H1232</f>
        <v>0</v>
      </c>
      <c r="U1365" s="10">
        <f>data_redis_illX!I1232</f>
        <v>0</v>
      </c>
      <c r="V1365" s="10">
        <f>data_redis_illX!J1232</f>
        <v>0</v>
      </c>
      <c r="W1365" s="10">
        <f>data_redis_illX!K1232</f>
        <v>0</v>
      </c>
      <c r="X1365" s="10">
        <f>data_redis_illX!L1232</f>
        <v>0</v>
      </c>
      <c r="Y1365" s="5">
        <f t="shared" si="21"/>
        <v>0</v>
      </c>
    </row>
    <row r="1366" spans="16:25" x14ac:dyDescent="0.25">
      <c r="P1366" s="2" t="s">
        <v>21</v>
      </c>
      <c r="Q1366" s="10">
        <f>data_redis_illX!E1233</f>
        <v>0</v>
      </c>
      <c r="R1366" s="10">
        <f>data_redis_illX!F1233</f>
        <v>0</v>
      </c>
      <c r="S1366" s="10">
        <f>data_redis_illX!G1233</f>
        <v>0</v>
      </c>
      <c r="T1366" s="10">
        <f>data_redis_illX!H1233</f>
        <v>0</v>
      </c>
      <c r="U1366" s="10">
        <f>data_redis_illX!I1233</f>
        <v>0</v>
      </c>
      <c r="V1366" s="10">
        <f>data_redis_illX!J1233</f>
        <v>0</v>
      </c>
      <c r="W1366" s="10">
        <f>data_redis_illX!K1233</f>
        <v>0</v>
      </c>
      <c r="X1366" s="10">
        <f>data_redis_illX!L1233</f>
        <v>0</v>
      </c>
      <c r="Y1366" s="5">
        <f t="shared" si="21"/>
        <v>0</v>
      </c>
    </row>
    <row r="1367" spans="16:25" x14ac:dyDescent="0.25">
      <c r="P1367" s="2" t="s">
        <v>22</v>
      </c>
      <c r="Q1367" s="10">
        <f>data_redis_illX!E1234</f>
        <v>0</v>
      </c>
      <c r="R1367" s="10">
        <f>data_redis_illX!F1234</f>
        <v>0</v>
      </c>
      <c r="S1367" s="10">
        <f>data_redis_illX!G1234</f>
        <v>0</v>
      </c>
      <c r="T1367" s="10">
        <f>data_redis_illX!H1234</f>
        <v>0</v>
      </c>
      <c r="U1367" s="10">
        <f>data_redis_illX!I1234</f>
        <v>0</v>
      </c>
      <c r="V1367" s="10">
        <f>data_redis_illX!J1234</f>
        <v>0</v>
      </c>
      <c r="W1367" s="10">
        <f>data_redis_illX!K1234</f>
        <v>0</v>
      </c>
      <c r="X1367" s="10">
        <f>data_redis_illX!L1234</f>
        <v>0</v>
      </c>
      <c r="Y1367" s="5">
        <f t="shared" si="21"/>
        <v>0</v>
      </c>
    </row>
    <row r="1368" spans="16:25" x14ac:dyDescent="0.25">
      <c r="P1368" s="2" t="s">
        <v>23</v>
      </c>
      <c r="Q1368" s="10">
        <f>data_redis_illX!E1235</f>
        <v>0</v>
      </c>
      <c r="R1368" s="10">
        <f>data_redis_illX!F1235</f>
        <v>0</v>
      </c>
      <c r="S1368" s="10">
        <f>data_redis_illX!G1235</f>
        <v>0</v>
      </c>
      <c r="T1368" s="10">
        <f>data_redis_illX!H1235</f>
        <v>0</v>
      </c>
      <c r="U1368" s="10">
        <f>data_redis_illX!I1235</f>
        <v>0</v>
      </c>
      <c r="V1368" s="10">
        <f>data_redis_illX!J1235</f>
        <v>0</v>
      </c>
      <c r="W1368" s="10">
        <f>data_redis_illX!K1235</f>
        <v>0</v>
      </c>
      <c r="X1368" s="10">
        <f>data_redis_illX!L1235</f>
        <v>0</v>
      </c>
      <c r="Y1368" s="5">
        <f t="shared" si="21"/>
        <v>0</v>
      </c>
    </row>
    <row r="1369" spans="16:25" x14ac:dyDescent="0.25">
      <c r="P1369" s="2" t="s">
        <v>24</v>
      </c>
      <c r="Q1369" s="10">
        <f>data_redis_illX!E1236</f>
        <v>0</v>
      </c>
      <c r="R1369" s="10">
        <f>data_redis_illX!F1236</f>
        <v>0</v>
      </c>
      <c r="S1369" s="10">
        <f>data_redis_illX!G1236</f>
        <v>0</v>
      </c>
      <c r="T1369" s="10">
        <f>data_redis_illX!H1236</f>
        <v>0</v>
      </c>
      <c r="U1369" s="10">
        <f>data_redis_illX!I1236</f>
        <v>0</v>
      </c>
      <c r="V1369" s="10">
        <f>data_redis_illX!J1236</f>
        <v>0</v>
      </c>
      <c r="W1369" s="10">
        <f>data_redis_illX!K1236</f>
        <v>0</v>
      </c>
      <c r="X1369" s="10">
        <f>data_redis_illX!L1236</f>
        <v>0</v>
      </c>
      <c r="Y1369" s="5">
        <f t="shared" si="21"/>
        <v>0</v>
      </c>
    </row>
    <row r="1370" spans="16:25" x14ac:dyDescent="0.25">
      <c r="P1370" s="2" t="s">
        <v>25</v>
      </c>
      <c r="Q1370" s="10">
        <f>data_redis_illX!E1237</f>
        <v>0</v>
      </c>
      <c r="R1370" s="10">
        <f>data_redis_illX!F1237</f>
        <v>0</v>
      </c>
      <c r="S1370" s="10">
        <f>data_redis_illX!G1237</f>
        <v>0</v>
      </c>
      <c r="T1370" s="10">
        <f>data_redis_illX!H1237</f>
        <v>0</v>
      </c>
      <c r="U1370" s="10">
        <f>data_redis_illX!I1237</f>
        <v>0</v>
      </c>
      <c r="V1370" s="10">
        <f>data_redis_illX!J1237</f>
        <v>0</v>
      </c>
      <c r="W1370" s="10">
        <f>data_redis_illX!K1237</f>
        <v>0</v>
      </c>
      <c r="X1370" s="10">
        <f>data_redis_illX!L1237</f>
        <v>0</v>
      </c>
      <c r="Y1370" s="5">
        <f t="shared" si="21"/>
        <v>0</v>
      </c>
    </row>
    <row r="1371" spans="16:25" x14ac:dyDescent="0.25">
      <c r="P1371" s="2" t="s">
        <v>26</v>
      </c>
      <c r="Q1371" s="10">
        <f>data_redis_illX!E1238</f>
        <v>0</v>
      </c>
      <c r="R1371" s="10">
        <f>data_redis_illX!F1238</f>
        <v>0</v>
      </c>
      <c r="S1371" s="10">
        <f>data_redis_illX!G1238</f>
        <v>0</v>
      </c>
      <c r="T1371" s="10">
        <f>data_redis_illX!H1238</f>
        <v>0</v>
      </c>
      <c r="U1371" s="10">
        <f>data_redis_illX!I1238</f>
        <v>0</v>
      </c>
      <c r="V1371" s="10">
        <f>data_redis_illX!J1238</f>
        <v>0</v>
      </c>
      <c r="W1371" s="10">
        <f>data_redis_illX!K1238</f>
        <v>0</v>
      </c>
      <c r="X1371" s="10">
        <f>data_redis_illX!L1238</f>
        <v>0</v>
      </c>
      <c r="Y1371" s="5">
        <f t="shared" si="21"/>
        <v>0</v>
      </c>
    </row>
    <row r="1372" spans="16:25" x14ac:dyDescent="0.25">
      <c r="P1372" s="2" t="s">
        <v>27</v>
      </c>
      <c r="Q1372" s="10">
        <f>data_redis_illX!E1239</f>
        <v>0</v>
      </c>
      <c r="R1372" s="10">
        <f>data_redis_illX!F1239</f>
        <v>0</v>
      </c>
      <c r="S1372" s="10">
        <f>data_redis_illX!G1239</f>
        <v>0</v>
      </c>
      <c r="T1372" s="10">
        <f>data_redis_illX!H1239</f>
        <v>0</v>
      </c>
      <c r="U1372" s="10">
        <f>data_redis_illX!I1239</f>
        <v>0</v>
      </c>
      <c r="V1372" s="10">
        <f>data_redis_illX!J1239</f>
        <v>0</v>
      </c>
      <c r="W1372" s="10">
        <f>data_redis_illX!K1239</f>
        <v>0</v>
      </c>
      <c r="X1372" s="10">
        <f>data_redis_illX!L1239</f>
        <v>0</v>
      </c>
      <c r="Y1372" s="5">
        <f t="shared" si="21"/>
        <v>0</v>
      </c>
    </row>
    <row r="1373" spans="16:25" x14ac:dyDescent="0.25">
      <c r="P1373" s="2" t="s">
        <v>28</v>
      </c>
      <c r="Q1373" s="10">
        <f>data_redis_illX!E1240</f>
        <v>0</v>
      </c>
      <c r="R1373" s="10">
        <f>data_redis_illX!F1240</f>
        <v>0</v>
      </c>
      <c r="S1373" s="10">
        <f>data_redis_illX!G1240</f>
        <v>0</v>
      </c>
      <c r="T1373" s="10">
        <f>data_redis_illX!H1240</f>
        <v>0</v>
      </c>
      <c r="U1373" s="10">
        <f>data_redis_illX!I1240</f>
        <v>0</v>
      </c>
      <c r="V1373" s="10">
        <f>data_redis_illX!J1240</f>
        <v>0</v>
      </c>
      <c r="W1373" s="10">
        <f>data_redis_illX!K1240</f>
        <v>0</v>
      </c>
      <c r="X1373" s="10">
        <f>data_redis_illX!L1240</f>
        <v>0</v>
      </c>
      <c r="Y1373" s="5">
        <f t="shared" si="21"/>
        <v>0</v>
      </c>
    </row>
    <row r="1374" spans="16:25" x14ac:dyDescent="0.25">
      <c r="P1374" s="2" t="s">
        <v>29</v>
      </c>
      <c r="Q1374" s="10">
        <f>data_redis_illX!E1241</f>
        <v>0</v>
      </c>
      <c r="R1374" s="10">
        <f>data_redis_illX!F1241</f>
        <v>0</v>
      </c>
      <c r="S1374" s="10">
        <f>data_redis_illX!G1241</f>
        <v>0</v>
      </c>
      <c r="T1374" s="10">
        <f>data_redis_illX!H1241</f>
        <v>0</v>
      </c>
      <c r="U1374" s="10">
        <f>data_redis_illX!I1241</f>
        <v>0</v>
      </c>
      <c r="V1374" s="10">
        <f>data_redis_illX!J1241</f>
        <v>0</v>
      </c>
      <c r="W1374" s="10">
        <f>data_redis_illX!K1241</f>
        <v>0</v>
      </c>
      <c r="X1374" s="10">
        <f>data_redis_illX!L1241</f>
        <v>0</v>
      </c>
      <c r="Y1374" s="5">
        <f t="shared" si="21"/>
        <v>0</v>
      </c>
    </row>
    <row r="1375" spans="16:25" x14ac:dyDescent="0.25">
      <c r="P1375" s="2" t="s">
        <v>30</v>
      </c>
      <c r="Q1375" s="10">
        <f>data_redis_illX!E1242</f>
        <v>0</v>
      </c>
      <c r="R1375" s="10">
        <f>data_redis_illX!F1242</f>
        <v>0</v>
      </c>
      <c r="S1375" s="10">
        <f>data_redis_illX!G1242</f>
        <v>0</v>
      </c>
      <c r="T1375" s="10">
        <f>data_redis_illX!H1242</f>
        <v>0</v>
      </c>
      <c r="U1375" s="10">
        <f>data_redis_illX!I1242</f>
        <v>0</v>
      </c>
      <c r="V1375" s="10">
        <f>data_redis_illX!J1242</f>
        <v>0</v>
      </c>
      <c r="W1375" s="10">
        <f>data_redis_illX!K1242</f>
        <v>0</v>
      </c>
      <c r="X1375" s="10">
        <f>data_redis_illX!L1242</f>
        <v>0</v>
      </c>
      <c r="Y1375" s="5">
        <f t="shared" si="21"/>
        <v>0</v>
      </c>
    </row>
    <row r="1376" spans="16:25" x14ac:dyDescent="0.25">
      <c r="P1376" s="2" t="s">
        <v>31</v>
      </c>
      <c r="Q1376" s="10">
        <f>data_redis_illX!E1243</f>
        <v>0</v>
      </c>
      <c r="R1376" s="10">
        <f>data_redis_illX!F1243</f>
        <v>0</v>
      </c>
      <c r="S1376" s="10">
        <f>data_redis_illX!G1243</f>
        <v>1</v>
      </c>
      <c r="T1376" s="10">
        <f>data_redis_illX!H1243</f>
        <v>0</v>
      </c>
      <c r="U1376" s="10">
        <f>data_redis_illX!I1243</f>
        <v>0</v>
      </c>
      <c r="V1376" s="10">
        <f>data_redis_illX!J1243</f>
        <v>0</v>
      </c>
      <c r="W1376" s="10">
        <f>data_redis_illX!K1243</f>
        <v>0</v>
      </c>
      <c r="X1376" s="10">
        <f>data_redis_illX!L1243</f>
        <v>0</v>
      </c>
      <c r="Y1376" s="5">
        <f t="shared" si="21"/>
        <v>1</v>
      </c>
    </row>
    <row r="1377" spans="13:25" x14ac:dyDescent="0.25">
      <c r="P1377" s="2" t="s">
        <v>32</v>
      </c>
      <c r="Q1377" s="10">
        <f>data_redis_illX!E1244</f>
        <v>0</v>
      </c>
      <c r="R1377" s="10">
        <f>data_redis_illX!F1244</f>
        <v>0</v>
      </c>
      <c r="S1377" s="10">
        <f>data_redis_illX!G1244</f>
        <v>0</v>
      </c>
      <c r="T1377" s="10">
        <f>data_redis_illX!H1244</f>
        <v>0</v>
      </c>
      <c r="U1377" s="10">
        <f>data_redis_illX!I1244</f>
        <v>0</v>
      </c>
      <c r="V1377" s="10">
        <f>data_redis_illX!J1244</f>
        <v>0</v>
      </c>
      <c r="W1377" s="10">
        <f>data_redis_illX!K1244</f>
        <v>0</v>
      </c>
      <c r="X1377" s="10">
        <f>data_redis_illX!L1244</f>
        <v>0</v>
      </c>
      <c r="Y1377" s="5">
        <f t="shared" si="21"/>
        <v>0</v>
      </c>
    </row>
    <row r="1378" spans="13:25" x14ac:dyDescent="0.25">
      <c r="P1378" s="2" t="s">
        <v>33</v>
      </c>
      <c r="Q1378" s="10">
        <f>data_redis_illX!E1245</f>
        <v>0</v>
      </c>
      <c r="R1378" s="10">
        <f>data_redis_illX!F1245</f>
        <v>0</v>
      </c>
      <c r="S1378" s="10">
        <f>data_redis_illX!G1245</f>
        <v>0</v>
      </c>
      <c r="T1378" s="10">
        <f>data_redis_illX!H1245</f>
        <v>0</v>
      </c>
      <c r="U1378" s="10">
        <f>data_redis_illX!I1245</f>
        <v>0</v>
      </c>
      <c r="V1378" s="10">
        <f>data_redis_illX!J1245</f>
        <v>0</v>
      </c>
      <c r="W1378" s="10">
        <f>data_redis_illX!K1245</f>
        <v>0</v>
      </c>
      <c r="X1378" s="10">
        <f>data_redis_illX!L1245</f>
        <v>0</v>
      </c>
      <c r="Y1378" s="5">
        <f t="shared" si="21"/>
        <v>0</v>
      </c>
    </row>
    <row r="1379" spans="13:25" x14ac:dyDescent="0.25">
      <c r="P1379" s="2" t="s">
        <v>34</v>
      </c>
      <c r="Q1379" s="10">
        <f>data_redis_illX!E1246</f>
        <v>0</v>
      </c>
      <c r="R1379" s="10">
        <f>data_redis_illX!F1246</f>
        <v>0</v>
      </c>
      <c r="S1379" s="10">
        <f>data_redis_illX!G1246</f>
        <v>0</v>
      </c>
      <c r="T1379" s="10">
        <f>data_redis_illX!H1246</f>
        <v>0</v>
      </c>
      <c r="U1379" s="10">
        <f>data_redis_illX!I1246</f>
        <v>0</v>
      </c>
      <c r="V1379" s="10">
        <f>data_redis_illX!J1246</f>
        <v>0</v>
      </c>
      <c r="W1379" s="10">
        <f>data_redis_illX!K1246</f>
        <v>0</v>
      </c>
      <c r="X1379" s="10">
        <f>data_redis_illX!L1246</f>
        <v>0</v>
      </c>
      <c r="Y1379" s="5">
        <f t="shared" si="21"/>
        <v>0</v>
      </c>
    </row>
    <row r="1380" spans="13:25" x14ac:dyDescent="0.25">
      <c r="P1380" s="2" t="s">
        <v>35</v>
      </c>
      <c r="Q1380" s="10">
        <f>data_redis_illX!E1247</f>
        <v>0</v>
      </c>
      <c r="R1380" s="10">
        <f>data_redis_illX!F1247</f>
        <v>0</v>
      </c>
      <c r="S1380" s="10">
        <f>data_redis_illX!G1247</f>
        <v>0</v>
      </c>
      <c r="T1380" s="10">
        <f>data_redis_illX!H1247</f>
        <v>0</v>
      </c>
      <c r="U1380" s="10">
        <f>data_redis_illX!I1247</f>
        <v>0</v>
      </c>
      <c r="V1380" s="10">
        <f>data_redis_illX!J1247</f>
        <v>0</v>
      </c>
      <c r="W1380" s="10">
        <f>data_redis_illX!K1247</f>
        <v>0</v>
      </c>
      <c r="X1380" s="10">
        <f>data_redis_illX!L1247</f>
        <v>0</v>
      </c>
      <c r="Y1380" s="5">
        <f t="shared" si="21"/>
        <v>0</v>
      </c>
    </row>
    <row r="1381" spans="13:25" x14ac:dyDescent="0.25">
      <c r="P1381" s="2" t="s">
        <v>36</v>
      </c>
      <c r="Q1381" s="10">
        <f>data_redis_illX!E1248</f>
        <v>0</v>
      </c>
      <c r="R1381" s="10">
        <f>data_redis_illX!F1248</f>
        <v>0</v>
      </c>
      <c r="S1381" s="10">
        <f>data_redis_illX!G1248</f>
        <v>0</v>
      </c>
      <c r="T1381" s="10">
        <f>data_redis_illX!H1248</f>
        <v>0</v>
      </c>
      <c r="U1381" s="10">
        <f>data_redis_illX!I1248</f>
        <v>0</v>
      </c>
      <c r="V1381" s="10">
        <f>data_redis_illX!J1248</f>
        <v>0</v>
      </c>
      <c r="W1381" s="10">
        <f>data_redis_illX!K1248</f>
        <v>0</v>
      </c>
      <c r="X1381" s="10">
        <f>data_redis_illX!L1248</f>
        <v>0</v>
      </c>
      <c r="Y1381" s="5">
        <f t="shared" si="21"/>
        <v>0</v>
      </c>
    </row>
    <row r="1382" spans="13:25" x14ac:dyDescent="0.25">
      <c r="P1382" s="2" t="s">
        <v>37</v>
      </c>
      <c r="Q1382" s="10">
        <f>data_redis_illX!E1249</f>
        <v>0</v>
      </c>
      <c r="R1382" s="10">
        <f>data_redis_illX!F1249</f>
        <v>0</v>
      </c>
      <c r="S1382" s="10">
        <f>data_redis_illX!G1249</f>
        <v>0</v>
      </c>
      <c r="T1382" s="10">
        <f>data_redis_illX!H1249</f>
        <v>0</v>
      </c>
      <c r="U1382" s="10">
        <f>data_redis_illX!I1249</f>
        <v>0</v>
      </c>
      <c r="V1382" s="10">
        <f>data_redis_illX!J1249</f>
        <v>0</v>
      </c>
      <c r="W1382" s="10">
        <f>data_redis_illX!K1249</f>
        <v>0</v>
      </c>
      <c r="X1382" s="10">
        <f>data_redis_illX!L1249</f>
        <v>0</v>
      </c>
      <c r="Y1382" s="5">
        <f t="shared" si="21"/>
        <v>0</v>
      </c>
    </row>
    <row r="1383" spans="13:25" x14ac:dyDescent="0.25">
      <c r="P1383" s="2" t="s">
        <v>38</v>
      </c>
      <c r="Q1383" s="10">
        <f>data_redis_illX!E1250</f>
        <v>0</v>
      </c>
      <c r="R1383" s="10">
        <f>data_redis_illX!F1250</f>
        <v>0</v>
      </c>
      <c r="S1383" s="10">
        <f>data_redis_illX!G1250</f>
        <v>0</v>
      </c>
      <c r="T1383" s="10">
        <f>data_redis_illX!H1250</f>
        <v>0</v>
      </c>
      <c r="U1383" s="10">
        <f>data_redis_illX!I1250</f>
        <v>0</v>
      </c>
      <c r="V1383" s="10">
        <f>data_redis_illX!J1250</f>
        <v>0</v>
      </c>
      <c r="W1383" s="10">
        <f>data_redis_illX!K1250</f>
        <v>0</v>
      </c>
      <c r="X1383" s="10">
        <f>data_redis_illX!L1250</f>
        <v>0</v>
      </c>
      <c r="Y1383" s="5">
        <f t="shared" si="21"/>
        <v>0</v>
      </c>
    </row>
    <row r="1384" spans="13:25" x14ac:dyDescent="0.25">
      <c r="P1384" s="2" t="s">
        <v>39</v>
      </c>
      <c r="Q1384" s="10">
        <f>data_redis_illX!E1251</f>
        <v>0</v>
      </c>
      <c r="R1384" s="10">
        <f>data_redis_illX!F1251</f>
        <v>0</v>
      </c>
      <c r="S1384" s="10">
        <f>data_redis_illX!G1251</f>
        <v>0</v>
      </c>
      <c r="T1384" s="10">
        <f>data_redis_illX!H1251</f>
        <v>1.017541114465665</v>
      </c>
      <c r="U1384" s="10">
        <f>data_redis_illX!I1251</f>
        <v>0</v>
      </c>
      <c r="V1384" s="10">
        <f>data_redis_illX!J1251</f>
        <v>0</v>
      </c>
      <c r="W1384" s="10">
        <f>data_redis_illX!K1251</f>
        <v>0</v>
      </c>
      <c r="X1384" s="10">
        <f>data_redis_illX!L1251</f>
        <v>0</v>
      </c>
      <c r="Y1384" s="5">
        <f t="shared" si="21"/>
        <v>1.017541114465665</v>
      </c>
    </row>
    <row r="1385" spans="13:25" x14ac:dyDescent="0.25">
      <c r="P1385" s="2" t="s">
        <v>40</v>
      </c>
      <c r="Q1385" s="10">
        <f>data_redis_illX!E1252</f>
        <v>0</v>
      </c>
      <c r="R1385" s="10">
        <f>data_redis_illX!F1252</f>
        <v>0</v>
      </c>
      <c r="S1385" s="10">
        <f>data_redis_illX!G1252</f>
        <v>1.0139234456837438</v>
      </c>
      <c r="T1385" s="10">
        <f>data_redis_illX!H1252</f>
        <v>3.0526233433969958</v>
      </c>
      <c r="U1385" s="10">
        <f>data_redis_illX!I1252</f>
        <v>4.5783981236180704</v>
      </c>
      <c r="V1385" s="10">
        <f>data_redis_illX!J1252</f>
        <v>0</v>
      </c>
      <c r="W1385" s="10">
        <f>data_redis_illX!K1252</f>
        <v>0</v>
      </c>
      <c r="X1385" s="10">
        <f>data_redis_illX!L1252</f>
        <v>0</v>
      </c>
      <c r="Y1385" s="5">
        <f t="shared" si="21"/>
        <v>8.6449449126988096</v>
      </c>
    </row>
    <row r="1386" spans="13:25" x14ac:dyDescent="0.25">
      <c r="P1386" s="2" t="s">
        <v>41</v>
      </c>
      <c r="Q1386" s="10">
        <f>data_redis_illX!E1253</f>
        <v>0</v>
      </c>
      <c r="R1386" s="10">
        <f>data_redis_illX!F1253</f>
        <v>0</v>
      </c>
      <c r="S1386" s="10">
        <f>data_redis_illX!G1253</f>
        <v>1.0139234456837438</v>
      </c>
      <c r="T1386" s="10">
        <f>data_redis_illX!H1253</f>
        <v>1.017541114465665</v>
      </c>
      <c r="U1386" s="10">
        <f>data_redis_illX!I1253</f>
        <v>1.5261327078726903</v>
      </c>
      <c r="V1386" s="10">
        <f>data_redis_illX!J1253</f>
        <v>0</v>
      </c>
      <c r="W1386" s="10">
        <f>data_redis_illX!K1253</f>
        <v>0</v>
      </c>
      <c r="X1386" s="10">
        <f>data_redis_illX!L1253</f>
        <v>0</v>
      </c>
      <c r="Y1386" s="5">
        <f t="shared" si="21"/>
        <v>3.5575972680220991</v>
      </c>
    </row>
    <row r="1387" spans="13:25" x14ac:dyDescent="0.25">
      <c r="P1387" s="2" t="s">
        <v>42</v>
      </c>
      <c r="Q1387" s="10">
        <f>data_redis_illX!E1254</f>
        <v>0</v>
      </c>
      <c r="R1387" s="10">
        <f>data_redis_illX!F1254</f>
        <v>0</v>
      </c>
      <c r="S1387" s="10">
        <f>data_redis_illX!G1254</f>
        <v>0</v>
      </c>
      <c r="T1387" s="10">
        <f>data_redis_illX!H1254</f>
        <v>0</v>
      </c>
      <c r="U1387" s="10">
        <f>data_redis_illX!I1254</f>
        <v>0</v>
      </c>
      <c r="V1387" s="10">
        <f>data_redis_illX!J1254</f>
        <v>0</v>
      </c>
      <c r="W1387" s="10">
        <f>data_redis_illX!K1254</f>
        <v>0</v>
      </c>
      <c r="X1387" s="10">
        <f>data_redis_illX!L1254</f>
        <v>0</v>
      </c>
      <c r="Y1387" s="5">
        <f t="shared" si="21"/>
        <v>0</v>
      </c>
    </row>
    <row r="1388" spans="13:25" x14ac:dyDescent="0.25">
      <c r="P1388" s="2" t="s">
        <v>43</v>
      </c>
      <c r="Q1388" s="10">
        <f>data_redis_illX!E1255</f>
        <v>0</v>
      </c>
      <c r="R1388" s="10">
        <f>data_redis_illX!F1255</f>
        <v>0</v>
      </c>
      <c r="S1388" s="10">
        <f>data_redis_illX!G1255</f>
        <v>0</v>
      </c>
      <c r="T1388" s="10">
        <f>data_redis_illX!H1255</f>
        <v>0</v>
      </c>
      <c r="U1388" s="10">
        <f>data_redis_illX!I1255</f>
        <v>0</v>
      </c>
      <c r="V1388" s="10">
        <f>data_redis_illX!J1255</f>
        <v>0</v>
      </c>
      <c r="W1388" s="10">
        <f>data_redis_illX!K1255</f>
        <v>0</v>
      </c>
      <c r="X1388" s="10">
        <f>data_redis_illX!L1255</f>
        <v>0</v>
      </c>
      <c r="Y1388" s="5">
        <f t="shared" si="21"/>
        <v>0</v>
      </c>
    </row>
    <row r="1389" spans="13:25" x14ac:dyDescent="0.25">
      <c r="P1389" s="2" t="s">
        <v>44</v>
      </c>
      <c r="Q1389" s="10">
        <f>data_redis_illX!E1256</f>
        <v>0</v>
      </c>
      <c r="R1389" s="10">
        <f>data_redis_illX!F1256</f>
        <v>0</v>
      </c>
      <c r="S1389" s="10">
        <f>data_redis_illX!G1256</f>
        <v>0</v>
      </c>
      <c r="T1389" s="10">
        <f>data_redis_illX!H1256</f>
        <v>0</v>
      </c>
      <c r="U1389" s="10">
        <f>data_redis_illX!I1256</f>
        <v>0</v>
      </c>
      <c r="V1389" s="10">
        <f>data_redis_illX!J1256</f>
        <v>0</v>
      </c>
      <c r="W1389" s="10">
        <f>data_redis_illX!K1256</f>
        <v>0</v>
      </c>
      <c r="X1389" s="10">
        <f>data_redis_illX!L1256</f>
        <v>0</v>
      </c>
      <c r="Y1389" s="5">
        <f t="shared" si="21"/>
        <v>0</v>
      </c>
    </row>
    <row r="1390" spans="13:25" x14ac:dyDescent="0.25">
      <c r="M1390" t="s">
        <v>115</v>
      </c>
      <c r="N1390" t="s">
        <v>103</v>
      </c>
      <c r="O1390" t="s">
        <v>53</v>
      </c>
      <c r="P1390" s="2" t="s">
        <v>12</v>
      </c>
      <c r="Q1390" s="10">
        <f>data_redis_illX!E1257</f>
        <v>0</v>
      </c>
      <c r="R1390" s="10">
        <f>data_redis_illX!F1257</f>
        <v>0</v>
      </c>
      <c r="S1390" s="10">
        <f>data_redis_illX!G1257</f>
        <v>0</v>
      </c>
      <c r="T1390" s="10">
        <f>data_redis_illX!H1257</f>
        <v>0</v>
      </c>
      <c r="U1390" s="10">
        <f>data_redis_illX!I1257</f>
        <v>0</v>
      </c>
      <c r="V1390" s="10">
        <f>data_redis_illX!J1257</f>
        <v>0</v>
      </c>
      <c r="W1390" s="10">
        <f>data_redis_illX!K1257</f>
        <v>0</v>
      </c>
      <c r="X1390" s="10">
        <f>data_redis_illX!L1257</f>
        <v>0</v>
      </c>
      <c r="Y1390" s="5">
        <f t="shared" si="21"/>
        <v>0</v>
      </c>
    </row>
    <row r="1391" spans="13:25" x14ac:dyDescent="0.25">
      <c r="P1391" s="2" t="s">
        <v>13</v>
      </c>
      <c r="Q1391" s="10">
        <f>data_redis_illX!E1258</f>
        <v>0</v>
      </c>
      <c r="R1391" s="10">
        <f>data_redis_illX!F1258</f>
        <v>0</v>
      </c>
      <c r="S1391" s="10">
        <f>data_redis_illX!G1258</f>
        <v>0</v>
      </c>
      <c r="T1391" s="10">
        <f>data_redis_illX!H1258</f>
        <v>0</v>
      </c>
      <c r="U1391" s="10">
        <f>data_redis_illX!I1258</f>
        <v>0</v>
      </c>
      <c r="V1391" s="10">
        <f>data_redis_illX!J1258</f>
        <v>0</v>
      </c>
      <c r="W1391" s="10">
        <f>data_redis_illX!K1258</f>
        <v>0</v>
      </c>
      <c r="X1391" s="10">
        <f>data_redis_illX!L1258</f>
        <v>0</v>
      </c>
      <c r="Y1391" s="5">
        <f t="shared" si="21"/>
        <v>0</v>
      </c>
    </row>
    <row r="1392" spans="13:25" x14ac:dyDescent="0.25">
      <c r="P1392" s="2" t="s">
        <v>14</v>
      </c>
      <c r="Q1392" s="10">
        <f>data_redis_illX!E1259</f>
        <v>0</v>
      </c>
      <c r="R1392" s="10">
        <f>data_redis_illX!F1259</f>
        <v>0</v>
      </c>
      <c r="S1392" s="10">
        <f>data_redis_illX!G1259</f>
        <v>0</v>
      </c>
      <c r="T1392" s="10">
        <f>data_redis_illX!H1259</f>
        <v>0</v>
      </c>
      <c r="U1392" s="10">
        <f>data_redis_illX!I1259</f>
        <v>0</v>
      </c>
      <c r="V1392" s="10">
        <f>data_redis_illX!J1259</f>
        <v>0</v>
      </c>
      <c r="W1392" s="10">
        <f>data_redis_illX!K1259</f>
        <v>0</v>
      </c>
      <c r="X1392" s="10">
        <f>data_redis_illX!L1259</f>
        <v>0</v>
      </c>
      <c r="Y1392" s="5">
        <f t="shared" si="21"/>
        <v>0</v>
      </c>
    </row>
    <row r="1393" spans="16:25" x14ac:dyDescent="0.25">
      <c r="P1393" s="2" t="s">
        <v>15</v>
      </c>
      <c r="Q1393" s="10">
        <f>data_redis_illX!E1260</f>
        <v>0</v>
      </c>
      <c r="R1393" s="10">
        <f>data_redis_illX!F1260</f>
        <v>0</v>
      </c>
      <c r="S1393" s="10">
        <f>data_redis_illX!G1260</f>
        <v>0</v>
      </c>
      <c r="T1393" s="10">
        <f>data_redis_illX!H1260</f>
        <v>3.0526233433969958</v>
      </c>
      <c r="U1393" s="10">
        <f>data_redis_illX!I1260</f>
        <v>0</v>
      </c>
      <c r="V1393" s="10">
        <f>data_redis_illX!J1260</f>
        <v>0</v>
      </c>
      <c r="W1393" s="10">
        <f>data_redis_illX!K1260</f>
        <v>0</v>
      </c>
      <c r="X1393" s="10">
        <f>data_redis_illX!L1260</f>
        <v>0</v>
      </c>
      <c r="Y1393" s="5">
        <f t="shared" si="21"/>
        <v>3.0526233433969958</v>
      </c>
    </row>
    <row r="1394" spans="16:25" x14ac:dyDescent="0.25">
      <c r="P1394" s="2" t="s">
        <v>16</v>
      </c>
      <c r="Q1394" s="10">
        <f>data_redis_illX!E1261</f>
        <v>0</v>
      </c>
      <c r="R1394" s="10">
        <f>data_redis_illX!F1261</f>
        <v>0</v>
      </c>
      <c r="S1394" s="10">
        <f>data_redis_illX!G1261</f>
        <v>0</v>
      </c>
      <c r="T1394" s="10">
        <f>data_redis_illX!H1261</f>
        <v>0</v>
      </c>
      <c r="U1394" s="10">
        <f>data_redis_illX!I1261</f>
        <v>0</v>
      </c>
      <c r="V1394" s="10">
        <f>data_redis_illX!J1261</f>
        <v>0</v>
      </c>
      <c r="W1394" s="10">
        <f>data_redis_illX!K1261</f>
        <v>0</v>
      </c>
      <c r="X1394" s="10">
        <f>data_redis_illX!L1261</f>
        <v>0</v>
      </c>
      <c r="Y1394" s="5">
        <f t="shared" si="21"/>
        <v>0</v>
      </c>
    </row>
    <row r="1395" spans="16:25" x14ac:dyDescent="0.25">
      <c r="P1395" s="2" t="s">
        <v>17</v>
      </c>
      <c r="Q1395" s="10">
        <f>data_redis_illX!E1262</f>
        <v>0</v>
      </c>
      <c r="R1395" s="10">
        <f>data_redis_illX!F1262</f>
        <v>0</v>
      </c>
      <c r="S1395" s="10">
        <f>data_redis_illX!G1262</f>
        <v>0</v>
      </c>
      <c r="T1395" s="10">
        <f>data_redis_illX!H1262</f>
        <v>0</v>
      </c>
      <c r="U1395" s="10">
        <f>data_redis_illX!I1262</f>
        <v>0</v>
      </c>
      <c r="V1395" s="10">
        <f>data_redis_illX!J1262</f>
        <v>0</v>
      </c>
      <c r="W1395" s="10">
        <f>data_redis_illX!K1262</f>
        <v>0</v>
      </c>
      <c r="X1395" s="10">
        <f>data_redis_illX!L1262</f>
        <v>0</v>
      </c>
      <c r="Y1395" s="5">
        <f t="shared" si="21"/>
        <v>0</v>
      </c>
    </row>
    <row r="1396" spans="16:25" x14ac:dyDescent="0.25">
      <c r="P1396" s="2" t="s">
        <v>18</v>
      </c>
      <c r="Q1396" s="10">
        <f>data_redis_illX!E1263</f>
        <v>0</v>
      </c>
      <c r="R1396" s="10">
        <f>data_redis_illX!F1263</f>
        <v>0</v>
      </c>
      <c r="S1396" s="10">
        <f>data_redis_illX!G1263</f>
        <v>0</v>
      </c>
      <c r="T1396" s="10">
        <f>data_redis_illX!H1263</f>
        <v>0</v>
      </c>
      <c r="U1396" s="10">
        <f>data_redis_illX!I1263</f>
        <v>0</v>
      </c>
      <c r="V1396" s="10">
        <f>data_redis_illX!J1263</f>
        <v>0</v>
      </c>
      <c r="W1396" s="10">
        <f>data_redis_illX!K1263</f>
        <v>0</v>
      </c>
      <c r="X1396" s="10">
        <f>data_redis_illX!L1263</f>
        <v>0</v>
      </c>
      <c r="Y1396" s="5">
        <f t="shared" si="21"/>
        <v>0</v>
      </c>
    </row>
    <row r="1397" spans="16:25" x14ac:dyDescent="0.25">
      <c r="P1397" s="2" t="s">
        <v>19</v>
      </c>
      <c r="Q1397" s="10">
        <f>data_redis_illX!E1264</f>
        <v>0</v>
      </c>
      <c r="R1397" s="10">
        <f>data_redis_illX!F1264</f>
        <v>0</v>
      </c>
      <c r="S1397" s="10">
        <f>data_redis_illX!G1264</f>
        <v>0</v>
      </c>
      <c r="T1397" s="10">
        <f>data_redis_illX!H1264</f>
        <v>0</v>
      </c>
      <c r="U1397" s="10">
        <f>data_redis_illX!I1264</f>
        <v>0</v>
      </c>
      <c r="V1397" s="10">
        <f>data_redis_illX!J1264</f>
        <v>0</v>
      </c>
      <c r="W1397" s="10">
        <f>data_redis_illX!K1264</f>
        <v>0</v>
      </c>
      <c r="X1397" s="10">
        <f>data_redis_illX!L1264</f>
        <v>0</v>
      </c>
      <c r="Y1397" s="5">
        <f t="shared" si="21"/>
        <v>0</v>
      </c>
    </row>
    <row r="1398" spans="16:25" x14ac:dyDescent="0.25">
      <c r="P1398" s="2" t="s">
        <v>20</v>
      </c>
      <c r="Q1398" s="10">
        <f>data_redis_illX!E1265</f>
        <v>0</v>
      </c>
      <c r="R1398" s="10">
        <f>data_redis_illX!F1265</f>
        <v>0</v>
      </c>
      <c r="S1398" s="10">
        <f>data_redis_illX!G1265</f>
        <v>0</v>
      </c>
      <c r="T1398" s="10">
        <f>data_redis_illX!H1265</f>
        <v>0</v>
      </c>
      <c r="U1398" s="10">
        <f>data_redis_illX!I1265</f>
        <v>0</v>
      </c>
      <c r="V1398" s="10">
        <f>data_redis_illX!J1265</f>
        <v>0</v>
      </c>
      <c r="W1398" s="10">
        <f>data_redis_illX!K1265</f>
        <v>0</v>
      </c>
      <c r="X1398" s="10">
        <f>data_redis_illX!L1265</f>
        <v>0</v>
      </c>
      <c r="Y1398" s="5">
        <f t="shared" si="21"/>
        <v>0</v>
      </c>
    </row>
    <row r="1399" spans="16:25" x14ac:dyDescent="0.25">
      <c r="P1399" s="2" t="s">
        <v>21</v>
      </c>
      <c r="Q1399" s="10">
        <f>data_redis_illX!E1266</f>
        <v>0</v>
      </c>
      <c r="R1399" s="10">
        <f>data_redis_illX!F1266</f>
        <v>0</v>
      </c>
      <c r="S1399" s="10">
        <f>data_redis_illX!G1266</f>
        <v>0</v>
      </c>
      <c r="T1399" s="10">
        <f>data_redis_illX!H1266</f>
        <v>0</v>
      </c>
      <c r="U1399" s="10">
        <f>data_redis_illX!I1266</f>
        <v>0</v>
      </c>
      <c r="V1399" s="10">
        <f>data_redis_illX!J1266</f>
        <v>0</v>
      </c>
      <c r="W1399" s="10">
        <f>data_redis_illX!K1266</f>
        <v>0</v>
      </c>
      <c r="X1399" s="10">
        <f>data_redis_illX!L1266</f>
        <v>0</v>
      </c>
      <c r="Y1399" s="5">
        <f t="shared" si="21"/>
        <v>0</v>
      </c>
    </row>
    <row r="1400" spans="16:25" x14ac:dyDescent="0.25">
      <c r="P1400" s="2" t="s">
        <v>22</v>
      </c>
      <c r="Q1400" s="10">
        <f>data_redis_illX!E1267</f>
        <v>0</v>
      </c>
      <c r="R1400" s="10">
        <f>data_redis_illX!F1267</f>
        <v>0</v>
      </c>
      <c r="S1400" s="10">
        <f>data_redis_illX!G1267</f>
        <v>0</v>
      </c>
      <c r="T1400" s="10">
        <f>data_redis_illX!H1267</f>
        <v>0</v>
      </c>
      <c r="U1400" s="10">
        <f>data_redis_illX!I1267</f>
        <v>0</v>
      </c>
      <c r="V1400" s="10">
        <f>data_redis_illX!J1267</f>
        <v>0</v>
      </c>
      <c r="W1400" s="10">
        <f>data_redis_illX!K1267</f>
        <v>0</v>
      </c>
      <c r="X1400" s="10">
        <f>data_redis_illX!L1267</f>
        <v>0</v>
      </c>
      <c r="Y1400" s="5">
        <f t="shared" si="21"/>
        <v>0</v>
      </c>
    </row>
    <row r="1401" spans="16:25" x14ac:dyDescent="0.25">
      <c r="P1401" s="2" t="s">
        <v>23</v>
      </c>
      <c r="Q1401" s="10">
        <f>data_redis_illX!E1268</f>
        <v>0</v>
      </c>
      <c r="R1401" s="10">
        <f>data_redis_illX!F1268</f>
        <v>0</v>
      </c>
      <c r="S1401" s="10">
        <f>data_redis_illX!G1268</f>
        <v>0</v>
      </c>
      <c r="T1401" s="10">
        <f>data_redis_illX!H1268</f>
        <v>0</v>
      </c>
      <c r="U1401" s="10">
        <f>data_redis_illX!I1268</f>
        <v>0</v>
      </c>
      <c r="V1401" s="10">
        <f>data_redis_illX!J1268</f>
        <v>0</v>
      </c>
      <c r="W1401" s="10">
        <f>data_redis_illX!K1268</f>
        <v>0</v>
      </c>
      <c r="X1401" s="10">
        <f>data_redis_illX!L1268</f>
        <v>0</v>
      </c>
      <c r="Y1401" s="5">
        <f t="shared" si="21"/>
        <v>0</v>
      </c>
    </row>
    <row r="1402" spans="16:25" x14ac:dyDescent="0.25">
      <c r="P1402" s="2" t="s">
        <v>24</v>
      </c>
      <c r="Q1402" s="10">
        <f>data_redis_illX!E1269</f>
        <v>0</v>
      </c>
      <c r="R1402" s="10">
        <f>data_redis_illX!F1269</f>
        <v>0</v>
      </c>
      <c r="S1402" s="10">
        <f>data_redis_illX!G1269</f>
        <v>0</v>
      </c>
      <c r="T1402" s="10">
        <f>data_redis_illX!H1269</f>
        <v>0</v>
      </c>
      <c r="U1402" s="10">
        <f>data_redis_illX!I1269</f>
        <v>0</v>
      </c>
      <c r="V1402" s="10">
        <f>data_redis_illX!J1269</f>
        <v>0</v>
      </c>
      <c r="W1402" s="10">
        <f>data_redis_illX!K1269</f>
        <v>0</v>
      </c>
      <c r="X1402" s="10">
        <f>data_redis_illX!L1269</f>
        <v>0</v>
      </c>
      <c r="Y1402" s="5">
        <f t="shared" si="21"/>
        <v>0</v>
      </c>
    </row>
    <row r="1403" spans="16:25" x14ac:dyDescent="0.25">
      <c r="P1403" s="2" t="s">
        <v>25</v>
      </c>
      <c r="Q1403" s="10">
        <f>data_redis_illX!E1270</f>
        <v>0</v>
      </c>
      <c r="R1403" s="10">
        <f>data_redis_illX!F1270</f>
        <v>0</v>
      </c>
      <c r="S1403" s="10">
        <f>data_redis_illX!G1270</f>
        <v>0</v>
      </c>
      <c r="T1403" s="10">
        <f>data_redis_illX!H1270</f>
        <v>0</v>
      </c>
      <c r="U1403" s="10">
        <f>data_redis_illX!I1270</f>
        <v>0</v>
      </c>
      <c r="V1403" s="10">
        <f>data_redis_illX!J1270</f>
        <v>0</v>
      </c>
      <c r="W1403" s="10">
        <f>data_redis_illX!K1270</f>
        <v>0</v>
      </c>
      <c r="X1403" s="10">
        <f>data_redis_illX!L1270</f>
        <v>0</v>
      </c>
      <c r="Y1403" s="5">
        <f t="shared" si="21"/>
        <v>0</v>
      </c>
    </row>
    <row r="1404" spans="16:25" x14ac:dyDescent="0.25">
      <c r="P1404" s="2" t="s">
        <v>26</v>
      </c>
      <c r="Q1404" s="10">
        <f>data_redis_illX!E1271</f>
        <v>0</v>
      </c>
      <c r="R1404" s="10">
        <f>data_redis_illX!F1271</f>
        <v>0</v>
      </c>
      <c r="S1404" s="10">
        <f>data_redis_illX!G1271</f>
        <v>0</v>
      </c>
      <c r="T1404" s="10">
        <f>data_redis_illX!H1271</f>
        <v>0</v>
      </c>
      <c r="U1404" s="10">
        <f>data_redis_illX!I1271</f>
        <v>0</v>
      </c>
      <c r="V1404" s="10">
        <f>data_redis_illX!J1271</f>
        <v>0</v>
      </c>
      <c r="W1404" s="10">
        <f>data_redis_illX!K1271</f>
        <v>0</v>
      </c>
      <c r="X1404" s="10">
        <f>data_redis_illX!L1271</f>
        <v>0</v>
      </c>
      <c r="Y1404" s="5">
        <f t="shared" si="21"/>
        <v>0</v>
      </c>
    </row>
    <row r="1405" spans="16:25" x14ac:dyDescent="0.25">
      <c r="P1405" s="2" t="s">
        <v>27</v>
      </c>
      <c r="Q1405" s="10">
        <f>data_redis_illX!E1272</f>
        <v>0</v>
      </c>
      <c r="R1405" s="10">
        <f>data_redis_illX!F1272</f>
        <v>0</v>
      </c>
      <c r="S1405" s="10">
        <f>data_redis_illX!G1272</f>
        <v>0</v>
      </c>
      <c r="T1405" s="10">
        <f>data_redis_illX!H1272</f>
        <v>0</v>
      </c>
      <c r="U1405" s="10">
        <f>data_redis_illX!I1272</f>
        <v>0</v>
      </c>
      <c r="V1405" s="10">
        <f>data_redis_illX!J1272</f>
        <v>0</v>
      </c>
      <c r="W1405" s="10">
        <f>data_redis_illX!K1272</f>
        <v>0</v>
      </c>
      <c r="X1405" s="10">
        <f>data_redis_illX!L1272</f>
        <v>0</v>
      </c>
      <c r="Y1405" s="5">
        <f t="shared" si="21"/>
        <v>0</v>
      </c>
    </row>
    <row r="1406" spans="16:25" x14ac:dyDescent="0.25">
      <c r="P1406" s="2" t="s">
        <v>28</v>
      </c>
      <c r="Q1406" s="10">
        <f>data_redis_illX!E1273</f>
        <v>0</v>
      </c>
      <c r="R1406" s="10">
        <f>data_redis_illX!F1273</f>
        <v>0</v>
      </c>
      <c r="S1406" s="10">
        <f>data_redis_illX!G1273</f>
        <v>1.0139234456837438</v>
      </c>
      <c r="T1406" s="10">
        <f>data_redis_illX!H1273</f>
        <v>0</v>
      </c>
      <c r="U1406" s="10">
        <f>data_redis_illX!I1273</f>
        <v>3.0522654157453806</v>
      </c>
      <c r="V1406" s="10">
        <f>data_redis_illX!J1273</f>
        <v>0</v>
      </c>
      <c r="W1406" s="10">
        <f>data_redis_illX!K1273</f>
        <v>0</v>
      </c>
      <c r="X1406" s="10">
        <f>data_redis_illX!L1273</f>
        <v>0</v>
      </c>
      <c r="Y1406" s="5">
        <f t="shared" si="21"/>
        <v>4.0661888614291239</v>
      </c>
    </row>
    <row r="1407" spans="16:25" x14ac:dyDescent="0.25">
      <c r="P1407" s="2" t="s">
        <v>29</v>
      </c>
      <c r="Q1407" s="10">
        <f>data_redis_illX!E1274</f>
        <v>0</v>
      </c>
      <c r="R1407" s="10">
        <f>data_redis_illX!F1274</f>
        <v>0</v>
      </c>
      <c r="S1407" s="10">
        <f>data_redis_illX!G1274</f>
        <v>0</v>
      </c>
      <c r="T1407" s="10">
        <f>data_redis_illX!H1274</f>
        <v>0</v>
      </c>
      <c r="U1407" s="10">
        <f>data_redis_illX!I1274</f>
        <v>0</v>
      </c>
      <c r="V1407" s="10">
        <f>data_redis_illX!J1274</f>
        <v>0</v>
      </c>
      <c r="W1407" s="10">
        <f>data_redis_illX!K1274</f>
        <v>0</v>
      </c>
      <c r="X1407" s="10">
        <f>data_redis_illX!L1274</f>
        <v>0</v>
      </c>
      <c r="Y1407" s="5">
        <f t="shared" si="21"/>
        <v>0</v>
      </c>
    </row>
    <row r="1408" spans="16:25" x14ac:dyDescent="0.25">
      <c r="P1408" s="2" t="s">
        <v>30</v>
      </c>
      <c r="Q1408" s="10">
        <f>data_redis_illX!E1275</f>
        <v>0</v>
      </c>
      <c r="R1408" s="10">
        <f>data_redis_illX!F1275</f>
        <v>0</v>
      </c>
      <c r="S1408" s="10">
        <f>data_redis_illX!G1275</f>
        <v>0</v>
      </c>
      <c r="T1408" s="10">
        <f>data_redis_illX!H1275</f>
        <v>0</v>
      </c>
      <c r="U1408" s="10">
        <f>data_redis_illX!I1275</f>
        <v>0</v>
      </c>
      <c r="V1408" s="10">
        <f>data_redis_illX!J1275</f>
        <v>0</v>
      </c>
      <c r="W1408" s="10">
        <f>data_redis_illX!K1275</f>
        <v>0</v>
      </c>
      <c r="X1408" s="10">
        <f>data_redis_illX!L1275</f>
        <v>0</v>
      </c>
      <c r="Y1408" s="5">
        <f t="shared" si="21"/>
        <v>0</v>
      </c>
    </row>
    <row r="1409" spans="13:25" x14ac:dyDescent="0.25">
      <c r="P1409" s="2" t="s">
        <v>31</v>
      </c>
      <c r="Q1409" s="10">
        <f>data_redis_illX!E1276</f>
        <v>0</v>
      </c>
      <c r="R1409" s="10">
        <f>data_redis_illX!F1276</f>
        <v>0</v>
      </c>
      <c r="S1409" s="10">
        <f>data_redis_illX!G1276</f>
        <v>0</v>
      </c>
      <c r="T1409" s="10">
        <f>data_redis_illX!H1276</f>
        <v>0</v>
      </c>
      <c r="U1409" s="10">
        <f>data_redis_illX!I1276</f>
        <v>0</v>
      </c>
      <c r="V1409" s="10">
        <f>data_redis_illX!J1276</f>
        <v>0</v>
      </c>
      <c r="W1409" s="10">
        <f>data_redis_illX!K1276</f>
        <v>0</v>
      </c>
      <c r="X1409" s="10">
        <f>data_redis_illX!L1276</f>
        <v>0</v>
      </c>
      <c r="Y1409" s="5">
        <f t="shared" si="21"/>
        <v>0</v>
      </c>
    </row>
    <row r="1410" spans="13:25" x14ac:dyDescent="0.25">
      <c r="P1410" s="2" t="s">
        <v>32</v>
      </c>
      <c r="Q1410" s="10">
        <f>data_redis_illX!E1277</f>
        <v>0</v>
      </c>
      <c r="R1410" s="10">
        <f>data_redis_illX!F1277</f>
        <v>0</v>
      </c>
      <c r="S1410" s="10">
        <f>data_redis_illX!G1277</f>
        <v>0</v>
      </c>
      <c r="T1410" s="10">
        <f>data_redis_illX!H1277</f>
        <v>0</v>
      </c>
      <c r="U1410" s="10">
        <f>data_redis_illX!I1277</f>
        <v>0</v>
      </c>
      <c r="V1410" s="10">
        <f>data_redis_illX!J1277</f>
        <v>0</v>
      </c>
      <c r="W1410" s="10">
        <f>data_redis_illX!K1277</f>
        <v>0</v>
      </c>
      <c r="X1410" s="10">
        <f>data_redis_illX!L1277</f>
        <v>0</v>
      </c>
      <c r="Y1410" s="5">
        <f t="shared" si="21"/>
        <v>0</v>
      </c>
    </row>
    <row r="1411" spans="13:25" x14ac:dyDescent="0.25">
      <c r="P1411" s="2" t="s">
        <v>33</v>
      </c>
      <c r="Q1411" s="10">
        <f>data_redis_illX!E1278</f>
        <v>0</v>
      </c>
      <c r="R1411" s="10">
        <f>data_redis_illX!F1278</f>
        <v>0</v>
      </c>
      <c r="S1411" s="10">
        <f>data_redis_illX!G1278</f>
        <v>0</v>
      </c>
      <c r="T1411" s="10">
        <f>data_redis_illX!H1278</f>
        <v>0</v>
      </c>
      <c r="U1411" s="10">
        <f>data_redis_illX!I1278</f>
        <v>0</v>
      </c>
      <c r="V1411" s="10">
        <f>data_redis_illX!J1278</f>
        <v>0</v>
      </c>
      <c r="W1411" s="10">
        <f>data_redis_illX!K1278</f>
        <v>0</v>
      </c>
      <c r="X1411" s="10">
        <f>data_redis_illX!L1278</f>
        <v>0</v>
      </c>
      <c r="Y1411" s="5">
        <f t="shared" si="21"/>
        <v>0</v>
      </c>
    </row>
    <row r="1412" spans="13:25" x14ac:dyDescent="0.25">
      <c r="P1412" s="2" t="s">
        <v>34</v>
      </c>
      <c r="Q1412" s="10">
        <f>data_redis_illX!E1279</f>
        <v>0</v>
      </c>
      <c r="R1412" s="10">
        <f>data_redis_illX!F1279</f>
        <v>0</v>
      </c>
      <c r="S1412" s="10">
        <f>data_redis_illX!G1279</f>
        <v>0</v>
      </c>
      <c r="T1412" s="10">
        <f>data_redis_illX!H1279</f>
        <v>0</v>
      </c>
      <c r="U1412" s="10">
        <f>data_redis_illX!I1279</f>
        <v>0</v>
      </c>
      <c r="V1412" s="10">
        <f>data_redis_illX!J1279</f>
        <v>0</v>
      </c>
      <c r="W1412" s="10">
        <f>data_redis_illX!K1279</f>
        <v>0</v>
      </c>
      <c r="X1412" s="10">
        <f>data_redis_illX!L1279</f>
        <v>0</v>
      </c>
      <c r="Y1412" s="5">
        <f t="shared" si="21"/>
        <v>0</v>
      </c>
    </row>
    <row r="1413" spans="13:25" x14ac:dyDescent="0.25">
      <c r="P1413" s="2" t="s">
        <v>35</v>
      </c>
      <c r="Q1413" s="10">
        <f>data_redis_illX!E1280</f>
        <v>0</v>
      </c>
      <c r="R1413" s="10">
        <f>data_redis_illX!F1280</f>
        <v>0</v>
      </c>
      <c r="S1413" s="10">
        <f>data_redis_illX!G1280</f>
        <v>0</v>
      </c>
      <c r="T1413" s="10">
        <f>data_redis_illX!H1280</f>
        <v>0</v>
      </c>
      <c r="U1413" s="10">
        <f>data_redis_illX!I1280</f>
        <v>0</v>
      </c>
      <c r="V1413" s="10">
        <f>data_redis_illX!J1280</f>
        <v>0</v>
      </c>
      <c r="W1413" s="10">
        <f>data_redis_illX!K1280</f>
        <v>0</v>
      </c>
      <c r="X1413" s="10">
        <f>data_redis_illX!L1280</f>
        <v>0</v>
      </c>
      <c r="Y1413" s="5">
        <f t="shared" ref="Y1413:Y1476" si="22">SUM(Q1413:X1413)</f>
        <v>0</v>
      </c>
    </row>
    <row r="1414" spans="13:25" x14ac:dyDescent="0.25">
      <c r="P1414" s="2" t="s">
        <v>36</v>
      </c>
      <c r="Q1414" s="10">
        <f>data_redis_illX!E1281</f>
        <v>0</v>
      </c>
      <c r="R1414" s="10">
        <f>data_redis_illX!F1281</f>
        <v>0</v>
      </c>
      <c r="S1414" s="10">
        <f>data_redis_illX!G1281</f>
        <v>0</v>
      </c>
      <c r="T1414" s="10">
        <f>data_redis_illX!H1281</f>
        <v>0</v>
      </c>
      <c r="U1414" s="10">
        <f>data_redis_illX!I1281</f>
        <v>0</v>
      </c>
      <c r="V1414" s="10">
        <f>data_redis_illX!J1281</f>
        <v>0</v>
      </c>
      <c r="W1414" s="10">
        <f>data_redis_illX!K1281</f>
        <v>0</v>
      </c>
      <c r="X1414" s="10">
        <f>data_redis_illX!L1281</f>
        <v>0</v>
      </c>
      <c r="Y1414" s="5">
        <f t="shared" si="22"/>
        <v>0</v>
      </c>
    </row>
    <row r="1415" spans="13:25" x14ac:dyDescent="0.25">
      <c r="P1415" s="2" t="s">
        <v>37</v>
      </c>
      <c r="Q1415" s="10">
        <f>data_redis_illX!E1282</f>
        <v>0</v>
      </c>
      <c r="R1415" s="10">
        <f>data_redis_illX!F1282</f>
        <v>0</v>
      </c>
      <c r="S1415" s="10">
        <f>data_redis_illX!G1282</f>
        <v>0</v>
      </c>
      <c r="T1415" s="10">
        <f>data_redis_illX!H1282</f>
        <v>0</v>
      </c>
      <c r="U1415" s="10">
        <f>data_redis_illX!I1282</f>
        <v>0</v>
      </c>
      <c r="V1415" s="10">
        <f>data_redis_illX!J1282</f>
        <v>0</v>
      </c>
      <c r="W1415" s="10">
        <f>data_redis_illX!K1282</f>
        <v>0</v>
      </c>
      <c r="X1415" s="10">
        <f>data_redis_illX!L1282</f>
        <v>0</v>
      </c>
      <c r="Y1415" s="5">
        <f t="shared" si="22"/>
        <v>0</v>
      </c>
    </row>
    <row r="1416" spans="13:25" x14ac:dyDescent="0.25">
      <c r="P1416" s="2" t="s">
        <v>38</v>
      </c>
      <c r="Q1416" s="10">
        <f>data_redis_illX!E1283</f>
        <v>0</v>
      </c>
      <c r="R1416" s="10">
        <f>data_redis_illX!F1283</f>
        <v>0</v>
      </c>
      <c r="S1416" s="10">
        <f>data_redis_illX!G1283</f>
        <v>0</v>
      </c>
      <c r="T1416" s="10">
        <f>data_redis_illX!H1283</f>
        <v>0</v>
      </c>
      <c r="U1416" s="10">
        <f>data_redis_illX!I1283</f>
        <v>0</v>
      </c>
      <c r="V1416" s="10">
        <f>data_redis_illX!J1283</f>
        <v>0</v>
      </c>
      <c r="W1416" s="10">
        <f>data_redis_illX!K1283</f>
        <v>0</v>
      </c>
      <c r="X1416" s="10">
        <f>data_redis_illX!L1283</f>
        <v>0</v>
      </c>
      <c r="Y1416" s="5">
        <f t="shared" si="22"/>
        <v>0</v>
      </c>
    </row>
    <row r="1417" spans="13:25" x14ac:dyDescent="0.25">
      <c r="P1417" s="2" t="s">
        <v>39</v>
      </c>
      <c r="Q1417" s="10">
        <f>data_redis_illX!E1284</f>
        <v>0</v>
      </c>
      <c r="R1417" s="10">
        <f>data_redis_illX!F1284</f>
        <v>0</v>
      </c>
      <c r="S1417" s="10">
        <f>data_redis_illX!G1284</f>
        <v>0</v>
      </c>
      <c r="T1417" s="10">
        <f>data_redis_illX!H1284</f>
        <v>0</v>
      </c>
      <c r="U1417" s="10">
        <f>data_redis_illX!I1284</f>
        <v>0</v>
      </c>
      <c r="V1417" s="10">
        <f>data_redis_illX!J1284</f>
        <v>0</v>
      </c>
      <c r="W1417" s="10">
        <f>data_redis_illX!K1284</f>
        <v>0</v>
      </c>
      <c r="X1417" s="10">
        <f>data_redis_illX!L1284</f>
        <v>0</v>
      </c>
      <c r="Y1417" s="5">
        <f t="shared" si="22"/>
        <v>0</v>
      </c>
    </row>
    <row r="1418" spans="13:25" x14ac:dyDescent="0.25">
      <c r="P1418" s="2" t="s">
        <v>40</v>
      </c>
      <c r="Q1418" s="10">
        <f>data_redis_illX!E1285</f>
        <v>0</v>
      </c>
      <c r="R1418" s="10">
        <f>data_redis_illX!F1285</f>
        <v>0</v>
      </c>
      <c r="S1418" s="10">
        <f>data_redis_illX!G1285</f>
        <v>0</v>
      </c>
      <c r="T1418" s="10">
        <f>data_redis_illX!H1285</f>
        <v>0</v>
      </c>
      <c r="U1418" s="10">
        <f>data_redis_illX!I1285</f>
        <v>0</v>
      </c>
      <c r="V1418" s="10">
        <f>data_redis_illX!J1285</f>
        <v>0</v>
      </c>
      <c r="W1418" s="10">
        <f>data_redis_illX!K1285</f>
        <v>0</v>
      </c>
      <c r="X1418" s="10">
        <f>data_redis_illX!L1285</f>
        <v>0</v>
      </c>
      <c r="Y1418" s="5">
        <f t="shared" si="22"/>
        <v>0</v>
      </c>
    </row>
    <row r="1419" spans="13:25" x14ac:dyDescent="0.25">
      <c r="P1419" s="2" t="s">
        <v>41</v>
      </c>
      <c r="Q1419" s="10">
        <f>data_redis_illX!E1286</f>
        <v>0</v>
      </c>
      <c r="R1419" s="10">
        <f>data_redis_illX!F1286</f>
        <v>0</v>
      </c>
      <c r="S1419" s="10">
        <f>data_redis_illX!G1286</f>
        <v>0</v>
      </c>
      <c r="T1419" s="10">
        <f>data_redis_illX!H1286</f>
        <v>0</v>
      </c>
      <c r="U1419" s="10">
        <f>data_redis_illX!I1286</f>
        <v>0</v>
      </c>
      <c r="V1419" s="10">
        <f>data_redis_illX!J1286</f>
        <v>0</v>
      </c>
      <c r="W1419" s="10">
        <f>data_redis_illX!K1286</f>
        <v>0</v>
      </c>
      <c r="X1419" s="10">
        <f>data_redis_illX!L1286</f>
        <v>0</v>
      </c>
      <c r="Y1419" s="5">
        <f t="shared" si="22"/>
        <v>0</v>
      </c>
    </row>
    <row r="1420" spans="13:25" x14ac:dyDescent="0.25">
      <c r="P1420" s="2" t="s">
        <v>42</v>
      </c>
      <c r="Q1420" s="10">
        <f>data_redis_illX!E1287</f>
        <v>0</v>
      </c>
      <c r="R1420" s="10">
        <f>data_redis_illX!F1287</f>
        <v>0</v>
      </c>
      <c r="S1420" s="10">
        <f>data_redis_illX!G1287</f>
        <v>0</v>
      </c>
      <c r="T1420" s="10">
        <f>data_redis_illX!H1287</f>
        <v>0</v>
      </c>
      <c r="U1420" s="10">
        <f>data_redis_illX!I1287</f>
        <v>0</v>
      </c>
      <c r="V1420" s="10">
        <f>data_redis_illX!J1287</f>
        <v>0</v>
      </c>
      <c r="W1420" s="10">
        <f>data_redis_illX!K1287</f>
        <v>0</v>
      </c>
      <c r="X1420" s="10">
        <f>data_redis_illX!L1287</f>
        <v>0</v>
      </c>
      <c r="Y1420" s="5">
        <f t="shared" si="22"/>
        <v>0</v>
      </c>
    </row>
    <row r="1421" spans="13:25" x14ac:dyDescent="0.25">
      <c r="P1421" s="2" t="s">
        <v>43</v>
      </c>
      <c r="Q1421" s="10">
        <f>data_redis_illX!E1288</f>
        <v>0</v>
      </c>
      <c r="R1421" s="10">
        <f>data_redis_illX!F1288</f>
        <v>0</v>
      </c>
      <c r="S1421" s="10">
        <f>data_redis_illX!G1288</f>
        <v>0</v>
      </c>
      <c r="T1421" s="10">
        <f>data_redis_illX!H1288</f>
        <v>0</v>
      </c>
      <c r="U1421" s="10">
        <f>data_redis_illX!I1288</f>
        <v>0</v>
      </c>
      <c r="V1421" s="10">
        <f>data_redis_illX!J1288</f>
        <v>0</v>
      </c>
      <c r="W1421" s="10">
        <f>data_redis_illX!K1288</f>
        <v>0</v>
      </c>
      <c r="X1421" s="10">
        <f>data_redis_illX!L1288</f>
        <v>0</v>
      </c>
      <c r="Y1421" s="5">
        <f t="shared" si="22"/>
        <v>0</v>
      </c>
    </row>
    <row r="1422" spans="13:25" x14ac:dyDescent="0.25">
      <c r="P1422" s="2" t="s">
        <v>44</v>
      </c>
      <c r="Q1422" s="10">
        <f>data_redis_illX!E1289</f>
        <v>0</v>
      </c>
      <c r="R1422" s="10">
        <f>data_redis_illX!F1289</f>
        <v>0</v>
      </c>
      <c r="S1422" s="10">
        <f>data_redis_illX!G1289</f>
        <v>0</v>
      </c>
      <c r="T1422" s="10">
        <f>data_redis_illX!H1289</f>
        <v>0</v>
      </c>
      <c r="U1422" s="10">
        <f>data_redis_illX!I1289</f>
        <v>0</v>
      </c>
      <c r="V1422" s="10">
        <f>data_redis_illX!J1289</f>
        <v>0</v>
      </c>
      <c r="W1422" s="10">
        <f>data_redis_illX!K1289</f>
        <v>0</v>
      </c>
      <c r="X1422" s="10">
        <f>data_redis_illX!L1289</f>
        <v>0</v>
      </c>
      <c r="Y1422" s="5">
        <f t="shared" si="22"/>
        <v>0</v>
      </c>
    </row>
    <row r="1423" spans="13:25" x14ac:dyDescent="0.25">
      <c r="M1423" t="s">
        <v>115</v>
      </c>
      <c r="N1423" t="s">
        <v>103</v>
      </c>
      <c r="O1423" t="s">
        <v>54</v>
      </c>
      <c r="P1423" s="2" t="s">
        <v>12</v>
      </c>
      <c r="Q1423" s="10">
        <f>data_redis_illX!E1290</f>
        <v>0</v>
      </c>
      <c r="R1423" s="10">
        <f>data_redis_illX!F1290</f>
        <v>0</v>
      </c>
      <c r="S1423" s="10">
        <f>data_redis_illX!G1290</f>
        <v>0</v>
      </c>
      <c r="T1423" s="10">
        <f>data_redis_illX!H1290</f>
        <v>2.010943479865539</v>
      </c>
      <c r="U1423" s="10">
        <f>data_redis_illX!I1290</f>
        <v>0</v>
      </c>
      <c r="V1423" s="10">
        <f>data_redis_illX!J1290</f>
        <v>0</v>
      </c>
      <c r="W1423" s="10">
        <f>data_redis_illX!K1290</f>
        <v>0</v>
      </c>
      <c r="X1423" s="10">
        <f>data_redis_illX!L1290</f>
        <v>3.0303030303030304E-2</v>
      </c>
      <c r="Y1423" s="5">
        <f t="shared" si="22"/>
        <v>2.0412465101685693</v>
      </c>
    </row>
    <row r="1424" spans="13:25" x14ac:dyDescent="0.25">
      <c r="P1424" s="2" t="s">
        <v>13</v>
      </c>
      <c r="Q1424" s="10">
        <f>data_redis_illX!E1291</f>
        <v>0</v>
      </c>
      <c r="R1424" s="10">
        <f>data_redis_illX!F1291</f>
        <v>0</v>
      </c>
      <c r="S1424" s="10">
        <f>data_redis_illX!G1291</f>
        <v>11.302468546919815</v>
      </c>
      <c r="T1424" s="10">
        <f>data_redis_illX!H1291</f>
        <v>8.043773919462156</v>
      </c>
      <c r="U1424" s="10">
        <f>data_redis_illX!I1291</f>
        <v>8.4490918865077607</v>
      </c>
      <c r="V1424" s="10">
        <f>data_redis_illX!J1291</f>
        <v>0</v>
      </c>
      <c r="W1424" s="10">
        <f>data_redis_illX!K1291</f>
        <v>0</v>
      </c>
      <c r="X1424" s="10">
        <f>data_redis_illX!L1291</f>
        <v>3.0303030303030304E-2</v>
      </c>
      <c r="Y1424" s="5">
        <f t="shared" si="22"/>
        <v>27.825637383192763</v>
      </c>
    </row>
    <row r="1425" spans="16:25" x14ac:dyDescent="0.25">
      <c r="P1425" s="2" t="s">
        <v>14</v>
      </c>
      <c r="Q1425" s="10">
        <f>data_redis_illX!E1292</f>
        <v>0</v>
      </c>
      <c r="R1425" s="10">
        <f>data_redis_illX!F1292</f>
        <v>0</v>
      </c>
      <c r="S1425" s="10">
        <f>data_redis_illX!G1292</f>
        <v>5.6512342734599077</v>
      </c>
      <c r="T1425" s="10">
        <f>data_redis_illX!H1292</f>
        <v>8.043773919462156</v>
      </c>
      <c r="U1425" s="10">
        <f>data_redis_illX!I1292</f>
        <v>8.4490918865077607</v>
      </c>
      <c r="V1425" s="10">
        <f>data_redis_illX!J1292</f>
        <v>2.5806214337586884</v>
      </c>
      <c r="W1425" s="10">
        <f>data_redis_illX!K1292</f>
        <v>0</v>
      </c>
      <c r="X1425" s="10">
        <f>data_redis_illX!L1292</f>
        <v>3.0303030303030304E-2</v>
      </c>
      <c r="Y1425" s="5">
        <f t="shared" si="22"/>
        <v>24.755024543491544</v>
      </c>
    </row>
    <row r="1426" spans="16:25" x14ac:dyDescent="0.25">
      <c r="P1426" s="2" t="s">
        <v>15</v>
      </c>
      <c r="Q1426" s="10">
        <f>data_redis_illX!E1293</f>
        <v>0</v>
      </c>
      <c r="R1426" s="10">
        <f>data_redis_illX!F1293</f>
        <v>0</v>
      </c>
      <c r="S1426" s="10">
        <f>data_redis_illX!G1293</f>
        <v>3.7674895156399386</v>
      </c>
      <c r="T1426" s="10">
        <f>data_redis_illX!H1293</f>
        <v>4.021886959731078</v>
      </c>
      <c r="U1426" s="10">
        <f>data_redis_illX!I1293</f>
        <v>6.3368189148808201</v>
      </c>
      <c r="V1426" s="10">
        <f>data_redis_illX!J1293</f>
        <v>2.5806214337586884</v>
      </c>
      <c r="W1426" s="10">
        <f>data_redis_illX!K1293</f>
        <v>0</v>
      </c>
      <c r="X1426" s="10">
        <f>data_redis_illX!L1293</f>
        <v>3.0303030303030304E-2</v>
      </c>
      <c r="Y1426" s="5">
        <f t="shared" si="22"/>
        <v>16.737119854313555</v>
      </c>
    </row>
    <row r="1427" spans="16:25" x14ac:dyDescent="0.25">
      <c r="P1427" s="2" t="s">
        <v>16</v>
      </c>
      <c r="Q1427" s="10">
        <f>data_redis_illX!E1294</f>
        <v>0</v>
      </c>
      <c r="R1427" s="10">
        <f>data_redis_illX!F1294</f>
        <v>0</v>
      </c>
      <c r="S1427" s="10">
        <f>data_redis_illX!G1294</f>
        <v>5.6512342734599077</v>
      </c>
      <c r="T1427" s="10">
        <f>data_redis_illX!H1294</f>
        <v>4.021886959731078</v>
      </c>
      <c r="U1427" s="10">
        <f>data_redis_illX!I1294</f>
        <v>6.3368189148808201</v>
      </c>
      <c r="V1427" s="10">
        <f>data_redis_illX!J1294</f>
        <v>0</v>
      </c>
      <c r="W1427" s="10">
        <f>data_redis_illX!K1294</f>
        <v>0</v>
      </c>
      <c r="X1427" s="10">
        <f>data_redis_illX!L1294</f>
        <v>3.0303030303030304E-2</v>
      </c>
      <c r="Y1427" s="5">
        <f t="shared" si="22"/>
        <v>16.040243178374837</v>
      </c>
    </row>
    <row r="1428" spans="16:25" x14ac:dyDescent="0.25">
      <c r="P1428" s="2" t="s">
        <v>17</v>
      </c>
      <c r="Q1428" s="10">
        <f>data_redis_illX!E1295</f>
        <v>0</v>
      </c>
      <c r="R1428" s="10">
        <f>data_redis_illX!F1295</f>
        <v>0</v>
      </c>
      <c r="S1428" s="10">
        <f>data_redis_illX!G1295</f>
        <v>3.7674895156399386</v>
      </c>
      <c r="T1428" s="10">
        <f>data_redis_illX!H1295</f>
        <v>6.0328304395966175</v>
      </c>
      <c r="U1428" s="10">
        <f>data_redis_illX!I1295</f>
        <v>4.2245459432538803</v>
      </c>
      <c r="V1428" s="10">
        <f>data_redis_illX!J1295</f>
        <v>2.5806214337586884</v>
      </c>
      <c r="W1428" s="10">
        <f>data_redis_illX!K1295</f>
        <v>0</v>
      </c>
      <c r="X1428" s="10">
        <f>data_redis_illX!L1295</f>
        <v>3.0303030303030304E-2</v>
      </c>
      <c r="Y1428" s="5">
        <f t="shared" si="22"/>
        <v>16.635790362552157</v>
      </c>
    </row>
    <row r="1429" spans="16:25" x14ac:dyDescent="0.25">
      <c r="P1429" s="2" t="s">
        <v>18</v>
      </c>
      <c r="Q1429" s="10">
        <f>data_redis_illX!E1296</f>
        <v>0</v>
      </c>
      <c r="R1429" s="10">
        <f>data_redis_illX!F1296</f>
        <v>0</v>
      </c>
      <c r="S1429" s="10">
        <f>data_redis_illX!G1296</f>
        <v>3.1337447578199691</v>
      </c>
      <c r="T1429" s="10">
        <f>data_redis_illX!H1296</f>
        <v>10.054717399327695</v>
      </c>
      <c r="U1429" s="10">
        <f>data_redis_illX!I1296</f>
        <v>10.5613648581347</v>
      </c>
      <c r="V1429" s="10">
        <f>data_redis_illX!J1296</f>
        <v>0</v>
      </c>
      <c r="W1429" s="10">
        <f>data_redis_illX!K1296</f>
        <v>0</v>
      </c>
      <c r="X1429" s="10">
        <f>data_redis_illX!L1296</f>
        <v>3.0303030303030304E-2</v>
      </c>
      <c r="Y1429" s="5">
        <f t="shared" si="22"/>
        <v>23.780130045585395</v>
      </c>
    </row>
    <row r="1430" spans="16:25" x14ac:dyDescent="0.25">
      <c r="P1430" s="2" t="s">
        <v>19</v>
      </c>
      <c r="Q1430" s="10">
        <f>data_redis_illX!E1297</f>
        <v>0</v>
      </c>
      <c r="R1430" s="10">
        <f>data_redis_illX!F1297</f>
        <v>0</v>
      </c>
      <c r="S1430" s="10">
        <f>data_redis_illX!G1297</f>
        <v>11.302468546919815</v>
      </c>
      <c r="T1430" s="10">
        <f>data_redis_illX!H1297</f>
        <v>20.109434798655389</v>
      </c>
      <c r="U1430" s="10">
        <f>data_redis_illX!I1297</f>
        <v>14.785910801388582</v>
      </c>
      <c r="V1430" s="10">
        <f>data_redis_illX!J1297</f>
        <v>0</v>
      </c>
      <c r="W1430" s="10">
        <f>data_redis_illX!K1297</f>
        <v>0</v>
      </c>
      <c r="X1430" s="10">
        <f>data_redis_illX!L1297</f>
        <v>3.0303030303030304E-2</v>
      </c>
      <c r="Y1430" s="5">
        <f t="shared" si="22"/>
        <v>46.228117177266817</v>
      </c>
    </row>
    <row r="1431" spans="16:25" x14ac:dyDescent="0.25">
      <c r="P1431" s="2" t="s">
        <v>20</v>
      </c>
      <c r="Q1431" s="10">
        <f>data_redis_illX!E1298</f>
        <v>0</v>
      </c>
      <c r="R1431" s="10">
        <f>data_redis_illX!F1298</f>
        <v>0</v>
      </c>
      <c r="S1431" s="10">
        <f>data_redis_illX!G1298</f>
        <v>56.512342734599081</v>
      </c>
      <c r="T1431" s="10">
        <f>data_redis_illX!H1298</f>
        <v>166.90830882883972</v>
      </c>
      <c r="U1431" s="10">
        <f>data_redis_illX!I1298</f>
        <v>82.378645893450653</v>
      </c>
      <c r="V1431" s="10">
        <f>data_redis_illX!J1298</f>
        <v>7.741864301276066</v>
      </c>
      <c r="W1431" s="10">
        <f>data_redis_illX!K1298</f>
        <v>0</v>
      </c>
      <c r="X1431" s="10">
        <f>data_redis_illX!L1298</f>
        <v>3.0303030303030304E-2</v>
      </c>
      <c r="Y1431" s="5">
        <f t="shared" si="22"/>
        <v>313.57146478846852</v>
      </c>
    </row>
    <row r="1432" spans="16:25" x14ac:dyDescent="0.25">
      <c r="P1432" s="2" t="s">
        <v>21</v>
      </c>
      <c r="Q1432" s="10">
        <f>data_redis_illX!E1299</f>
        <v>0</v>
      </c>
      <c r="R1432" s="10">
        <f>data_redis_illX!F1299</f>
        <v>0</v>
      </c>
      <c r="S1432" s="10">
        <f>data_redis_illX!G1299</f>
        <v>8.7849790312798763</v>
      </c>
      <c r="T1432" s="10">
        <f>data_redis_illX!H1299</f>
        <v>24.13132175838647</v>
      </c>
      <c r="U1432" s="10">
        <f>data_redis_illX!I1299</f>
        <v>16.898183773015521</v>
      </c>
      <c r="V1432" s="10">
        <f>data_redis_illX!J1299</f>
        <v>2.5806214337586884</v>
      </c>
      <c r="W1432" s="10">
        <f>data_redis_illX!K1299</f>
        <v>2.2471428571428573</v>
      </c>
      <c r="X1432" s="10">
        <f>data_redis_illX!L1299</f>
        <v>3.0303030303030304E-2</v>
      </c>
      <c r="Y1432" s="5">
        <f t="shared" si="22"/>
        <v>54.672551883886442</v>
      </c>
    </row>
    <row r="1433" spans="16:25" x14ac:dyDescent="0.25">
      <c r="P1433" s="2" t="s">
        <v>22</v>
      </c>
      <c r="Q1433" s="10">
        <f>data_redis_illX!E1300</f>
        <v>0</v>
      </c>
      <c r="R1433" s="10">
        <f>data_redis_illX!F1300</f>
        <v>0</v>
      </c>
      <c r="S1433" s="10">
        <f>data_redis_illX!G1300</f>
        <v>16.953702820379725</v>
      </c>
      <c r="T1433" s="10">
        <f>data_redis_illX!H1300</f>
        <v>22.120378278520931</v>
      </c>
      <c r="U1433" s="10">
        <f>data_redis_illX!I1300</f>
        <v>10.5613648581347</v>
      </c>
      <c r="V1433" s="10">
        <f>data_redis_illX!J1300</f>
        <v>0</v>
      </c>
      <c r="W1433" s="10">
        <f>data_redis_illX!K1300</f>
        <v>0</v>
      </c>
      <c r="X1433" s="10">
        <f>data_redis_illX!L1300</f>
        <v>3.0303030303030304E-2</v>
      </c>
      <c r="Y1433" s="5">
        <f t="shared" si="22"/>
        <v>49.665748987338389</v>
      </c>
    </row>
    <row r="1434" spans="16:25" x14ac:dyDescent="0.25">
      <c r="P1434" s="2" t="s">
        <v>23</v>
      </c>
      <c r="Q1434" s="10">
        <f>data_redis_illX!E1301</f>
        <v>0</v>
      </c>
      <c r="R1434" s="10">
        <f>data_redis_illX!F1301</f>
        <v>0</v>
      </c>
      <c r="S1434" s="10">
        <f>data_redis_illX!G1301</f>
        <v>3.7674895156399386</v>
      </c>
      <c r="T1434" s="10">
        <f>data_redis_illX!H1301</f>
        <v>8.043773919462156</v>
      </c>
      <c r="U1434" s="10">
        <f>data_redis_illX!I1301</f>
        <v>4.2245459432538803</v>
      </c>
      <c r="V1434" s="10">
        <f>data_redis_illX!J1301</f>
        <v>0</v>
      </c>
      <c r="W1434" s="10">
        <f>data_redis_illX!K1301</f>
        <v>0</v>
      </c>
      <c r="X1434" s="10">
        <f>data_redis_illX!L1301</f>
        <v>3.0303030303030304E-2</v>
      </c>
      <c r="Y1434" s="5">
        <f t="shared" si="22"/>
        <v>16.066112408659006</v>
      </c>
    </row>
    <row r="1435" spans="16:25" x14ac:dyDescent="0.25">
      <c r="P1435" s="2" t="s">
        <v>24</v>
      </c>
      <c r="Q1435" s="10">
        <f>data_redis_illX!E1302</f>
        <v>0</v>
      </c>
      <c r="R1435" s="10">
        <f>data_redis_illX!F1302</f>
        <v>0</v>
      </c>
      <c r="S1435" s="10">
        <f>data_redis_illX!G1302</f>
        <v>15.069958062559754</v>
      </c>
      <c r="T1435" s="10">
        <f>data_redis_illX!H1302</f>
        <v>54.295473956369555</v>
      </c>
      <c r="U1435" s="10">
        <f>data_redis_illX!I1302</f>
        <v>48.582278347419617</v>
      </c>
      <c r="V1435" s="10">
        <f>data_redis_illX!J1302</f>
        <v>2.5806214337586884</v>
      </c>
      <c r="W1435" s="10">
        <f>data_redis_illX!K1302</f>
        <v>0</v>
      </c>
      <c r="X1435" s="10">
        <f>data_redis_illX!L1302</f>
        <v>3.0303030303030304E-2</v>
      </c>
      <c r="Y1435" s="5">
        <f t="shared" si="22"/>
        <v>120.55863483041065</v>
      </c>
    </row>
    <row r="1436" spans="16:25" x14ac:dyDescent="0.25">
      <c r="P1436" s="2" t="s">
        <v>25</v>
      </c>
      <c r="Q1436" s="10">
        <f>data_redis_illX!E1303</f>
        <v>0</v>
      </c>
      <c r="R1436" s="10">
        <f>data_redis_illX!F1303</f>
        <v>0</v>
      </c>
      <c r="S1436" s="10">
        <f>data_redis_illX!G1303</f>
        <v>3.7674895156399386</v>
      </c>
      <c r="T1436" s="10">
        <f>data_redis_illX!H1303</f>
        <v>22.120378278520931</v>
      </c>
      <c r="U1436" s="10">
        <f>data_redis_illX!I1303</f>
        <v>8.4490918865077607</v>
      </c>
      <c r="V1436" s="10">
        <f>data_redis_illX!J1303</f>
        <v>0</v>
      </c>
      <c r="W1436" s="10">
        <f>data_redis_illX!K1303</f>
        <v>0</v>
      </c>
      <c r="X1436" s="10">
        <f>data_redis_illX!L1303</f>
        <v>3.0303030303030304E-2</v>
      </c>
      <c r="Y1436" s="5">
        <f t="shared" si="22"/>
        <v>34.367262710971659</v>
      </c>
    </row>
    <row r="1437" spans="16:25" x14ac:dyDescent="0.25">
      <c r="P1437" s="2" t="s">
        <v>26</v>
      </c>
      <c r="Q1437" s="10">
        <f>data_redis_illX!E1304</f>
        <v>0</v>
      </c>
      <c r="R1437" s="10">
        <f>data_redis_illX!F1304</f>
        <v>0</v>
      </c>
      <c r="S1437" s="10">
        <f>data_redis_illX!G1304</f>
        <v>1.8837447578199693</v>
      </c>
      <c r="T1437" s="10">
        <f>data_redis_illX!H1304</f>
        <v>8.043773919462156</v>
      </c>
      <c r="U1437" s="10">
        <f>data_redis_illX!I1304</f>
        <v>6.3368189148808201</v>
      </c>
      <c r="V1437" s="10">
        <f>data_redis_illX!J1304</f>
        <v>0</v>
      </c>
      <c r="W1437" s="10">
        <f>data_redis_illX!K1304</f>
        <v>0</v>
      </c>
      <c r="X1437" s="10">
        <f>data_redis_illX!L1304</f>
        <v>3.0303030303030304E-2</v>
      </c>
      <c r="Y1437" s="5">
        <f t="shared" si="22"/>
        <v>16.294640622465977</v>
      </c>
    </row>
    <row r="1438" spans="16:25" x14ac:dyDescent="0.25">
      <c r="P1438" s="2" t="s">
        <v>27</v>
      </c>
      <c r="Q1438" s="10">
        <f>data_redis_illX!E1305</f>
        <v>0</v>
      </c>
      <c r="R1438" s="10">
        <f>data_redis_illX!F1305</f>
        <v>0</v>
      </c>
      <c r="S1438" s="10">
        <f>data_redis_illX!G1305</f>
        <v>13.186213304739784</v>
      </c>
      <c r="T1438" s="10">
        <f>data_redis_illX!H1305</f>
        <v>20.109434798655389</v>
      </c>
      <c r="U1438" s="10">
        <f>data_redis_illX!I1305</f>
        <v>4.2245459432538803</v>
      </c>
      <c r="V1438" s="10">
        <f>data_redis_illX!J1305</f>
        <v>2.5806214337586884</v>
      </c>
      <c r="W1438" s="10">
        <f>data_redis_illX!K1305</f>
        <v>0</v>
      </c>
      <c r="X1438" s="10">
        <f>data_redis_illX!L1305</f>
        <v>3.0303030303030304E-2</v>
      </c>
      <c r="Y1438" s="5">
        <f t="shared" si="22"/>
        <v>40.13111851071077</v>
      </c>
    </row>
    <row r="1439" spans="16:25" x14ac:dyDescent="0.25">
      <c r="P1439" s="2" t="s">
        <v>28</v>
      </c>
      <c r="Q1439" s="10">
        <f>data_redis_illX!E1306</f>
        <v>0</v>
      </c>
      <c r="R1439" s="10">
        <f>data_redis_illX!F1306</f>
        <v>0</v>
      </c>
      <c r="S1439" s="10">
        <f>data_redis_illX!G1306</f>
        <v>35.791150398579418</v>
      </c>
      <c r="T1439" s="10">
        <f>data_redis_illX!H1306</f>
        <v>66.36113483556278</v>
      </c>
      <c r="U1439" s="10">
        <f>data_redis_illX!I1306</f>
        <v>42.245459432538802</v>
      </c>
      <c r="V1439" s="10">
        <f>data_redis_illX!J1306</f>
        <v>2.5806214337586884</v>
      </c>
      <c r="W1439" s="10">
        <f>data_redis_illX!K1306</f>
        <v>2.2471428571428573</v>
      </c>
      <c r="X1439" s="10">
        <f>data_redis_illX!L1306</f>
        <v>3.0303030303030304E-2</v>
      </c>
      <c r="Y1439" s="5">
        <f t="shared" si="22"/>
        <v>149.25581198788558</v>
      </c>
    </row>
    <row r="1440" spans="16:25" x14ac:dyDescent="0.25">
      <c r="P1440" s="2" t="s">
        <v>29</v>
      </c>
      <c r="Q1440" s="10">
        <f>data_redis_illX!E1307</f>
        <v>0</v>
      </c>
      <c r="R1440" s="10">
        <f>data_redis_illX!F1307</f>
        <v>0</v>
      </c>
      <c r="S1440" s="10">
        <f>data_redis_illX!G1307</f>
        <v>22.604937093839631</v>
      </c>
      <c r="T1440" s="10">
        <f>data_redis_illX!H1307</f>
        <v>70.383021795293871</v>
      </c>
      <c r="U1440" s="10">
        <f>data_redis_illX!I1307</f>
        <v>27.45954863115022</v>
      </c>
      <c r="V1440" s="10">
        <f>data_redis_illX!J1307</f>
        <v>0</v>
      </c>
      <c r="W1440" s="10">
        <f>data_redis_illX!K1307</f>
        <v>0</v>
      </c>
      <c r="X1440" s="10">
        <f>data_redis_illX!L1307</f>
        <v>3.0303030303030304E-2</v>
      </c>
      <c r="Y1440" s="5">
        <f t="shared" si="22"/>
        <v>120.47781055058675</v>
      </c>
    </row>
    <row r="1441" spans="13:25" x14ac:dyDescent="0.25">
      <c r="P1441" s="2" t="s">
        <v>30</v>
      </c>
      <c r="Q1441" s="10">
        <f>data_redis_illX!E1308</f>
        <v>0</v>
      </c>
      <c r="R1441" s="10">
        <f>data_redis_illX!F1308</f>
        <v>0</v>
      </c>
      <c r="S1441" s="10">
        <f>data_redis_illX!G1308</f>
        <v>298.88167173555519</v>
      </c>
      <c r="T1441" s="10">
        <f>data_redis_illX!H1308</f>
        <v>554.00945696302324</v>
      </c>
      <c r="U1441" s="10">
        <f>data_redis_illX!I1308</f>
        <v>348.52504031844512</v>
      </c>
      <c r="V1441" s="10">
        <f>data_redis_illX!J1308</f>
        <v>36.128700072621648</v>
      </c>
      <c r="W1441" s="10">
        <f>data_redis_illX!K1308</f>
        <v>2.2471428571428573</v>
      </c>
      <c r="X1441" s="10">
        <f>data_redis_illX!L1308</f>
        <v>3.0303030303030304E-2</v>
      </c>
      <c r="Y1441" s="5">
        <f t="shared" si="22"/>
        <v>1239.8223149770909</v>
      </c>
    </row>
    <row r="1442" spans="13:25" x14ac:dyDescent="0.25">
      <c r="P1442" s="2" t="s">
        <v>31</v>
      </c>
      <c r="Q1442" s="10">
        <f>data_redis_illX!E1309</f>
        <v>0</v>
      </c>
      <c r="R1442" s="10">
        <f>data_redis_illX!F1309</f>
        <v>0</v>
      </c>
      <c r="S1442" s="10">
        <f>data_redis_illX!G1309</f>
        <v>22.604937093839631</v>
      </c>
      <c r="T1442" s="10">
        <f>data_redis_illX!H1309</f>
        <v>46.251700036907401</v>
      </c>
      <c r="U1442" s="10">
        <f>data_redis_illX!I1309</f>
        <v>31.684094574404103</v>
      </c>
      <c r="V1442" s="10">
        <f>data_redis_illX!J1309</f>
        <v>2.5806214337586884</v>
      </c>
      <c r="W1442" s="10">
        <f>data_redis_illX!K1309</f>
        <v>2.2471428571428573</v>
      </c>
      <c r="X1442" s="10">
        <f>data_redis_illX!L1309</f>
        <v>3.0303030303030304E-2</v>
      </c>
      <c r="Y1442" s="5">
        <f t="shared" si="22"/>
        <v>105.39879902635572</v>
      </c>
    </row>
    <row r="1443" spans="13:25" x14ac:dyDescent="0.25">
      <c r="P1443" s="2" t="s">
        <v>32</v>
      </c>
      <c r="Q1443" s="10">
        <f>data_redis_illX!E1310</f>
        <v>0</v>
      </c>
      <c r="R1443" s="10">
        <f>data_redis_illX!F1310</f>
        <v>0</v>
      </c>
      <c r="S1443" s="10">
        <f>data_redis_illX!G1310</f>
        <v>0</v>
      </c>
      <c r="T1443" s="10">
        <f>data_redis_illX!H1310</f>
        <v>0</v>
      </c>
      <c r="U1443" s="10">
        <f>data_redis_illX!I1310</f>
        <v>0</v>
      </c>
      <c r="V1443" s="10">
        <f>data_redis_illX!J1310</f>
        <v>2.5806214337586884</v>
      </c>
      <c r="W1443" s="10">
        <f>data_redis_illX!K1310</f>
        <v>0</v>
      </c>
      <c r="X1443" s="10">
        <f>data_redis_illX!L1310</f>
        <v>3.0303030303030304E-2</v>
      </c>
      <c r="Y1443" s="5">
        <f t="shared" si="22"/>
        <v>2.6109244640617186</v>
      </c>
    </row>
    <row r="1444" spans="13:25" x14ac:dyDescent="0.25">
      <c r="P1444" s="2" t="s">
        <v>33</v>
      </c>
      <c r="Q1444" s="10">
        <f>data_redis_illX!E1311</f>
        <v>0</v>
      </c>
      <c r="R1444" s="10">
        <f>data_redis_illX!F1311</f>
        <v>0</v>
      </c>
      <c r="S1444" s="10">
        <f>data_redis_illX!G1311</f>
        <v>5.6512342734599077</v>
      </c>
      <c r="T1444" s="10">
        <f>data_redis_illX!H1311</f>
        <v>12.065660879193235</v>
      </c>
      <c r="U1444" s="10">
        <f>data_redis_illX!I1311</f>
        <v>14.785910801388582</v>
      </c>
      <c r="V1444" s="10">
        <f>data_redis_illX!J1311</f>
        <v>0</v>
      </c>
      <c r="W1444" s="10">
        <f>data_redis_illX!K1311</f>
        <v>0</v>
      </c>
      <c r="X1444" s="10">
        <f>data_redis_illX!L1311</f>
        <v>3.0303030303030304E-2</v>
      </c>
      <c r="Y1444" s="5">
        <f t="shared" si="22"/>
        <v>32.533108984344757</v>
      </c>
    </row>
    <row r="1445" spans="13:25" x14ac:dyDescent="0.25">
      <c r="P1445" s="2" t="s">
        <v>34</v>
      </c>
      <c r="Q1445" s="10">
        <f>data_redis_illX!E1312</f>
        <v>0</v>
      </c>
      <c r="R1445" s="10">
        <f>data_redis_illX!F1312</f>
        <v>0</v>
      </c>
      <c r="S1445" s="10">
        <f>data_redis_illX!G1312</f>
        <v>0</v>
      </c>
      <c r="T1445" s="10">
        <f>data_redis_illX!H1312</f>
        <v>0</v>
      </c>
      <c r="U1445" s="10">
        <f>data_redis_illX!I1312</f>
        <v>0</v>
      </c>
      <c r="V1445" s="10">
        <f>data_redis_illX!J1312</f>
        <v>0</v>
      </c>
      <c r="W1445" s="10">
        <f>data_redis_illX!K1312</f>
        <v>0</v>
      </c>
      <c r="X1445" s="10">
        <f>data_redis_illX!L1312</f>
        <v>3.0303030303030304E-2</v>
      </c>
      <c r="Y1445" s="5">
        <f t="shared" si="22"/>
        <v>3.0303030303030304E-2</v>
      </c>
    </row>
    <row r="1446" spans="13:25" x14ac:dyDescent="0.25">
      <c r="P1446" s="2" t="s">
        <v>35</v>
      </c>
      <c r="Q1446" s="10">
        <f>data_redis_illX!E1313</f>
        <v>0</v>
      </c>
      <c r="R1446" s="10">
        <f>data_redis_illX!F1313</f>
        <v>0</v>
      </c>
      <c r="S1446" s="10">
        <f>data_redis_illX!G1313</f>
        <v>1.8837447578199693</v>
      </c>
      <c r="T1446" s="10">
        <f>data_redis_illX!H1313</f>
        <v>0</v>
      </c>
      <c r="U1446" s="10">
        <f>data_redis_illX!I1313</f>
        <v>0</v>
      </c>
      <c r="V1446" s="10">
        <f>data_redis_illX!J1313</f>
        <v>0</v>
      </c>
      <c r="W1446" s="10">
        <f>data_redis_illX!K1313</f>
        <v>0</v>
      </c>
      <c r="X1446" s="10">
        <f>data_redis_illX!L1313</f>
        <v>3.0303030303030304E-2</v>
      </c>
      <c r="Y1446" s="5">
        <f t="shared" si="22"/>
        <v>1.9140477881229996</v>
      </c>
    </row>
    <row r="1447" spans="13:25" x14ac:dyDescent="0.25">
      <c r="P1447" s="2" t="s">
        <v>36</v>
      </c>
      <c r="Q1447" s="10">
        <f>data_redis_illX!E1314</f>
        <v>0</v>
      </c>
      <c r="R1447" s="10">
        <f>data_redis_illX!F1314</f>
        <v>0</v>
      </c>
      <c r="S1447" s="10">
        <f>data_redis_illX!G1314</f>
        <v>0</v>
      </c>
      <c r="T1447" s="10">
        <f>data_redis_illX!H1314</f>
        <v>0</v>
      </c>
      <c r="U1447" s="10">
        <f>data_redis_illX!I1314</f>
        <v>0</v>
      </c>
      <c r="V1447" s="10">
        <f>data_redis_illX!J1314</f>
        <v>0</v>
      </c>
      <c r="W1447" s="10">
        <f>data_redis_illX!K1314</f>
        <v>0</v>
      </c>
      <c r="X1447" s="10">
        <f>data_redis_illX!L1314</f>
        <v>3.0303030303030304E-2</v>
      </c>
      <c r="Y1447" s="5">
        <f t="shared" si="22"/>
        <v>3.0303030303030304E-2</v>
      </c>
    </row>
    <row r="1448" spans="13:25" x14ac:dyDescent="0.25">
      <c r="P1448" s="2" t="s">
        <v>37</v>
      </c>
      <c r="Q1448" s="10">
        <f>data_redis_illX!E1315</f>
        <v>0</v>
      </c>
      <c r="R1448" s="10">
        <f>data_redis_illX!F1315</f>
        <v>0</v>
      </c>
      <c r="S1448" s="10">
        <f>data_redis_illX!G1315</f>
        <v>0</v>
      </c>
      <c r="T1448" s="10">
        <f>data_redis_illX!H1315</f>
        <v>0</v>
      </c>
      <c r="U1448" s="10">
        <f>data_redis_illX!I1315</f>
        <v>0</v>
      </c>
      <c r="V1448" s="10">
        <f>data_redis_illX!J1315</f>
        <v>0</v>
      </c>
      <c r="W1448" s="10">
        <f>data_redis_illX!K1315</f>
        <v>0</v>
      </c>
      <c r="X1448" s="10">
        <f>data_redis_illX!L1315</f>
        <v>3.0303030303030304E-2</v>
      </c>
      <c r="Y1448" s="5">
        <f t="shared" si="22"/>
        <v>3.0303030303030304E-2</v>
      </c>
    </row>
    <row r="1449" spans="13:25" x14ac:dyDescent="0.25">
      <c r="P1449" s="2" t="s">
        <v>38</v>
      </c>
      <c r="Q1449" s="10">
        <f>data_redis_illX!E1316</f>
        <v>0</v>
      </c>
      <c r="R1449" s="10">
        <f>data_redis_illX!F1316</f>
        <v>0</v>
      </c>
      <c r="S1449" s="10">
        <f>data_redis_illX!G1316</f>
        <v>1.8837447578199693</v>
      </c>
      <c r="T1449" s="10">
        <f>data_redis_illX!H1316</f>
        <v>0</v>
      </c>
      <c r="U1449" s="10">
        <f>data_redis_illX!I1316</f>
        <v>0</v>
      </c>
      <c r="V1449" s="10">
        <f>data_redis_illX!J1316</f>
        <v>0</v>
      </c>
      <c r="W1449" s="10">
        <f>data_redis_illX!K1316</f>
        <v>0</v>
      </c>
      <c r="X1449" s="10">
        <f>data_redis_illX!L1316</f>
        <v>3.0303030303030304E-2</v>
      </c>
      <c r="Y1449" s="5">
        <f t="shared" si="22"/>
        <v>1.9140477881229996</v>
      </c>
    </row>
    <row r="1450" spans="13:25" x14ac:dyDescent="0.25">
      <c r="P1450" s="2" t="s">
        <v>39</v>
      </c>
      <c r="Q1450" s="10">
        <f>data_redis_illX!E1317</f>
        <v>0</v>
      </c>
      <c r="R1450" s="10">
        <f>data_redis_illX!F1317</f>
        <v>0</v>
      </c>
      <c r="S1450" s="10">
        <f>data_redis_illX!G1317</f>
        <v>13.186213304739784</v>
      </c>
      <c r="T1450" s="10">
        <f>data_redis_illX!H1317</f>
        <v>12.065660879193235</v>
      </c>
      <c r="U1450" s="10">
        <f>data_redis_illX!I1317</f>
        <v>4.2245459432538803</v>
      </c>
      <c r="V1450" s="10">
        <f>data_redis_illX!J1317</f>
        <v>0</v>
      </c>
      <c r="W1450" s="10">
        <f>data_redis_illX!K1317</f>
        <v>0</v>
      </c>
      <c r="X1450" s="10">
        <f>data_redis_illX!L1317</f>
        <v>3.0303030303030304E-2</v>
      </c>
      <c r="Y1450" s="5">
        <f t="shared" si="22"/>
        <v>29.50672315748993</v>
      </c>
    </row>
    <row r="1451" spans="13:25" x14ac:dyDescent="0.25">
      <c r="P1451" s="2" t="s">
        <v>40</v>
      </c>
      <c r="Q1451" s="10">
        <f>data_redis_illX!E1318</f>
        <v>0</v>
      </c>
      <c r="R1451" s="10">
        <f>data_redis_illX!F1318</f>
        <v>0</v>
      </c>
      <c r="S1451" s="10">
        <f>data_redis_illX!G1318</f>
        <v>24.488681851659599</v>
      </c>
      <c r="T1451" s="10">
        <f>data_redis_illX!H1318</f>
        <v>56.306417436235101</v>
      </c>
      <c r="U1451" s="10">
        <f>data_redis_illX!I1318</f>
        <v>29.571821602777163</v>
      </c>
      <c r="V1451" s="10">
        <f>data_redis_illX!J1318</f>
        <v>2.5806214337586884</v>
      </c>
      <c r="W1451" s="10">
        <f>data_redis_illX!K1318</f>
        <v>0</v>
      </c>
      <c r="X1451" s="10">
        <f>data_redis_illX!L1318</f>
        <v>3.0303030303030304E-2</v>
      </c>
      <c r="Y1451" s="5">
        <f t="shared" si="22"/>
        <v>112.97784535473359</v>
      </c>
    </row>
    <row r="1452" spans="13:25" x14ac:dyDescent="0.25">
      <c r="P1452" s="2" t="s">
        <v>41</v>
      </c>
      <c r="Q1452" s="10">
        <f>data_redis_illX!E1319</f>
        <v>0</v>
      </c>
      <c r="R1452" s="10">
        <f>data_redis_illX!F1319</f>
        <v>0</v>
      </c>
      <c r="S1452" s="10">
        <f>data_redis_illX!G1319</f>
        <v>7.5349790312798772</v>
      </c>
      <c r="T1452" s="10">
        <f>data_redis_illX!H1319</f>
        <v>14.076604359058775</v>
      </c>
      <c r="U1452" s="10">
        <f>data_redis_illX!I1319</f>
        <v>2.1122729716269402</v>
      </c>
      <c r="V1452" s="10">
        <f>data_redis_illX!J1319</f>
        <v>2.5806214337586884</v>
      </c>
      <c r="W1452" s="10">
        <f>data_redis_illX!K1319</f>
        <v>0</v>
      </c>
      <c r="X1452" s="10">
        <f>data_redis_illX!L1319</f>
        <v>3.0303030303030304E-2</v>
      </c>
      <c r="Y1452" s="5">
        <f t="shared" si="22"/>
        <v>26.334780826027313</v>
      </c>
    </row>
    <row r="1453" spans="13:25" x14ac:dyDescent="0.25">
      <c r="P1453" s="2" t="s">
        <v>42</v>
      </c>
      <c r="Q1453" s="10">
        <f>data_redis_illX!E1320</f>
        <v>0</v>
      </c>
      <c r="R1453" s="10">
        <f>data_redis_illX!F1320</f>
        <v>0</v>
      </c>
      <c r="S1453" s="10">
        <f>data_redis_illX!G1320</f>
        <v>16.319958062559753</v>
      </c>
      <c r="T1453" s="10">
        <f>data_redis_illX!H1320</f>
        <v>18.098491318789851</v>
      </c>
      <c r="U1453" s="10">
        <f>data_redis_illX!I1320</f>
        <v>10.5613648581347</v>
      </c>
      <c r="V1453" s="10">
        <f>data_redis_illX!J1320</f>
        <v>0</v>
      </c>
      <c r="W1453" s="10">
        <f>data_redis_illX!K1320</f>
        <v>0</v>
      </c>
      <c r="X1453" s="10">
        <f>data_redis_illX!L1320</f>
        <v>3.0303030303030304E-2</v>
      </c>
      <c r="Y1453" s="5">
        <f t="shared" si="22"/>
        <v>45.010117269787337</v>
      </c>
    </row>
    <row r="1454" spans="13:25" x14ac:dyDescent="0.25">
      <c r="P1454" s="2" t="s">
        <v>43</v>
      </c>
      <c r="Q1454" s="10">
        <f>data_redis_illX!E1321</f>
        <v>0</v>
      </c>
      <c r="R1454" s="10">
        <f>data_redis_illX!F1321</f>
        <v>0</v>
      </c>
      <c r="S1454" s="10">
        <f>data_redis_illX!G1321</f>
        <v>467.16869993935234</v>
      </c>
      <c r="T1454" s="10">
        <f>data_redis_illX!H1321</f>
        <v>937.08871813747567</v>
      </c>
      <c r="U1454" s="10">
        <f>data_redis_illX!I1321</f>
        <v>616.78370771506638</v>
      </c>
      <c r="V1454" s="10">
        <f>data_redis_illX!J1321</f>
        <v>41.289942940139014</v>
      </c>
      <c r="W1454" s="10">
        <f>data_redis_illX!K1321</f>
        <v>2.2471428571428573</v>
      </c>
      <c r="X1454" s="10">
        <f>data_redis_illX!L1321</f>
        <v>3.0303030303030304E-2</v>
      </c>
      <c r="Y1454" s="5">
        <f t="shared" si="22"/>
        <v>2064.6085146194791</v>
      </c>
    </row>
    <row r="1455" spans="13:25" x14ac:dyDescent="0.25">
      <c r="P1455" s="2" t="s">
        <v>44</v>
      </c>
      <c r="Q1455" s="10">
        <f>data_redis_illX!E1322</f>
        <v>0</v>
      </c>
      <c r="R1455" s="10">
        <f>data_redis_illX!F1322</f>
        <v>0</v>
      </c>
      <c r="S1455" s="10">
        <f>data_redis_illX!G1322</f>
        <v>22.604937093839631</v>
      </c>
      <c r="T1455" s="10">
        <f>data_redis_illX!H1322</f>
        <v>32.175095677848624</v>
      </c>
      <c r="U1455" s="10">
        <f>data_redis_illX!I1322</f>
        <v>19.010456744642461</v>
      </c>
      <c r="V1455" s="10">
        <f>data_redis_illX!J1322</f>
        <v>2.5806214337586884</v>
      </c>
      <c r="W1455" s="10">
        <f>data_redis_illX!K1322</f>
        <v>0</v>
      </c>
      <c r="X1455" s="10">
        <f>data_redis_illX!L1322</f>
        <v>3.0303030303030304E-2</v>
      </c>
      <c r="Y1455" s="5">
        <f t="shared" si="22"/>
        <v>76.401413980392448</v>
      </c>
    </row>
    <row r="1456" spans="13:25" x14ac:dyDescent="0.25">
      <c r="M1456" t="s">
        <v>115</v>
      </c>
      <c r="N1456" t="s">
        <v>116</v>
      </c>
      <c r="O1456" t="s">
        <v>102</v>
      </c>
      <c r="P1456" s="2" t="s">
        <v>12</v>
      </c>
      <c r="Q1456" s="10"/>
      <c r="R1456" s="10"/>
      <c r="S1456" s="10"/>
      <c r="T1456" s="10"/>
      <c r="U1456" s="10"/>
      <c r="V1456" s="10"/>
      <c r="W1456" s="10"/>
      <c r="X1456" s="10"/>
      <c r="Y1456" s="5">
        <f t="shared" si="22"/>
        <v>0</v>
      </c>
    </row>
    <row r="1457" spans="16:25" x14ac:dyDescent="0.25">
      <c r="P1457" s="2" t="s">
        <v>13</v>
      </c>
      <c r="Q1457" s="10"/>
      <c r="R1457" s="10"/>
      <c r="S1457" s="10"/>
      <c r="T1457" s="10"/>
      <c r="U1457" s="10"/>
      <c r="V1457" s="10"/>
      <c r="W1457" s="10"/>
      <c r="X1457" s="10"/>
      <c r="Y1457" s="5">
        <f t="shared" si="22"/>
        <v>0</v>
      </c>
    </row>
    <row r="1458" spans="16:25" x14ac:dyDescent="0.25">
      <c r="P1458" s="2" t="s">
        <v>14</v>
      </c>
      <c r="Q1458" s="10"/>
      <c r="R1458" s="10"/>
      <c r="S1458" s="10"/>
      <c r="T1458" s="10"/>
      <c r="U1458" s="10"/>
      <c r="V1458" s="10"/>
      <c r="W1458" s="10"/>
      <c r="X1458" s="10"/>
      <c r="Y1458" s="5">
        <f t="shared" si="22"/>
        <v>0</v>
      </c>
    </row>
    <row r="1459" spans="16:25" x14ac:dyDescent="0.25">
      <c r="P1459" s="2" t="s">
        <v>15</v>
      </c>
      <c r="Q1459" s="10"/>
      <c r="R1459" s="10"/>
      <c r="S1459" s="10"/>
      <c r="T1459" s="10"/>
      <c r="U1459" s="10"/>
      <c r="V1459" s="10"/>
      <c r="W1459" s="10"/>
      <c r="X1459" s="10"/>
      <c r="Y1459" s="5">
        <f t="shared" si="22"/>
        <v>0</v>
      </c>
    </row>
    <row r="1460" spans="16:25" x14ac:dyDescent="0.25">
      <c r="P1460" s="2" t="s">
        <v>16</v>
      </c>
      <c r="Q1460" s="10"/>
      <c r="R1460" s="10"/>
      <c r="S1460" s="10"/>
      <c r="T1460" s="10"/>
      <c r="U1460" s="10"/>
      <c r="V1460" s="10"/>
      <c r="W1460" s="10"/>
      <c r="X1460" s="10"/>
      <c r="Y1460" s="5">
        <f t="shared" si="22"/>
        <v>0</v>
      </c>
    </row>
    <row r="1461" spans="16:25" x14ac:dyDescent="0.25">
      <c r="P1461" s="2" t="s">
        <v>17</v>
      </c>
      <c r="Q1461" s="10"/>
      <c r="R1461" s="10"/>
      <c r="S1461" s="10"/>
      <c r="T1461" s="10"/>
      <c r="U1461" s="10"/>
      <c r="V1461" s="10"/>
      <c r="W1461" s="10"/>
      <c r="X1461" s="10"/>
      <c r="Y1461" s="5">
        <f t="shared" si="22"/>
        <v>0</v>
      </c>
    </row>
    <row r="1462" spans="16:25" x14ac:dyDescent="0.25">
      <c r="P1462" s="2" t="s">
        <v>18</v>
      </c>
      <c r="Q1462" s="10"/>
      <c r="R1462" s="10"/>
      <c r="S1462" s="10"/>
      <c r="T1462" s="10"/>
      <c r="U1462" s="10"/>
      <c r="V1462" s="10"/>
      <c r="W1462" s="10"/>
      <c r="X1462" s="10"/>
      <c r="Y1462" s="5">
        <f t="shared" si="22"/>
        <v>0</v>
      </c>
    </row>
    <row r="1463" spans="16:25" x14ac:dyDescent="0.25">
      <c r="P1463" s="2" t="s">
        <v>19</v>
      </c>
      <c r="Q1463" s="10"/>
      <c r="R1463" s="10"/>
      <c r="S1463" s="10"/>
      <c r="T1463" s="10"/>
      <c r="U1463" s="10"/>
      <c r="V1463" s="10"/>
      <c r="W1463" s="10"/>
      <c r="X1463" s="10"/>
      <c r="Y1463" s="5">
        <f t="shared" si="22"/>
        <v>0</v>
      </c>
    </row>
    <row r="1464" spans="16:25" x14ac:dyDescent="0.25">
      <c r="P1464" s="2" t="s">
        <v>20</v>
      </c>
      <c r="Q1464" s="10"/>
      <c r="R1464" s="10"/>
      <c r="S1464" s="10"/>
      <c r="T1464" s="10"/>
      <c r="U1464" s="10"/>
      <c r="V1464" s="10"/>
      <c r="W1464" s="10"/>
      <c r="X1464" s="10"/>
      <c r="Y1464" s="5">
        <f t="shared" si="22"/>
        <v>0</v>
      </c>
    </row>
    <row r="1465" spans="16:25" x14ac:dyDescent="0.25">
      <c r="P1465" s="2" t="s">
        <v>21</v>
      </c>
      <c r="Q1465" s="10"/>
      <c r="R1465" s="10"/>
      <c r="S1465" s="10"/>
      <c r="T1465" s="10"/>
      <c r="U1465" s="10"/>
      <c r="V1465" s="10"/>
      <c r="W1465" s="10"/>
      <c r="X1465" s="10"/>
      <c r="Y1465" s="5">
        <f t="shared" si="22"/>
        <v>0</v>
      </c>
    </row>
    <row r="1466" spans="16:25" x14ac:dyDescent="0.25">
      <c r="P1466" s="2" t="s">
        <v>22</v>
      </c>
      <c r="Q1466" s="10"/>
      <c r="R1466" s="10"/>
      <c r="S1466" s="10"/>
      <c r="T1466" s="10"/>
      <c r="U1466" s="10"/>
      <c r="V1466" s="10"/>
      <c r="W1466" s="10"/>
      <c r="X1466" s="10"/>
      <c r="Y1466" s="5">
        <f t="shared" si="22"/>
        <v>0</v>
      </c>
    </row>
    <row r="1467" spans="16:25" x14ac:dyDescent="0.25">
      <c r="P1467" s="2" t="s">
        <v>23</v>
      </c>
      <c r="Q1467" s="10"/>
      <c r="R1467" s="10"/>
      <c r="S1467" s="10"/>
      <c r="T1467" s="10"/>
      <c r="U1467" s="10"/>
      <c r="V1467" s="10"/>
      <c r="W1467" s="10"/>
      <c r="X1467" s="10"/>
      <c r="Y1467" s="5">
        <f t="shared" si="22"/>
        <v>0</v>
      </c>
    </row>
    <row r="1468" spans="16:25" x14ac:dyDescent="0.25">
      <c r="P1468" s="2" t="s">
        <v>24</v>
      </c>
      <c r="Q1468" s="10"/>
      <c r="R1468" s="10"/>
      <c r="S1468" s="10"/>
      <c r="T1468" s="10"/>
      <c r="U1468" s="10"/>
      <c r="V1468" s="10"/>
      <c r="W1468" s="10"/>
      <c r="X1468" s="10"/>
      <c r="Y1468" s="5">
        <f t="shared" si="22"/>
        <v>0</v>
      </c>
    </row>
    <row r="1469" spans="16:25" x14ac:dyDescent="0.25">
      <c r="P1469" s="2" t="s">
        <v>25</v>
      </c>
      <c r="Q1469" s="10"/>
      <c r="R1469" s="10"/>
      <c r="S1469" s="10"/>
      <c r="T1469" s="10"/>
      <c r="U1469" s="10"/>
      <c r="V1469" s="10"/>
      <c r="W1469" s="10"/>
      <c r="X1469" s="10"/>
      <c r="Y1469" s="5">
        <f t="shared" si="22"/>
        <v>0</v>
      </c>
    </row>
    <row r="1470" spans="16:25" x14ac:dyDescent="0.25">
      <c r="P1470" s="2" t="s">
        <v>26</v>
      </c>
      <c r="Q1470" s="10"/>
      <c r="R1470" s="10"/>
      <c r="S1470" s="10"/>
      <c r="T1470" s="10"/>
      <c r="U1470" s="10"/>
      <c r="V1470" s="10"/>
      <c r="W1470" s="10"/>
      <c r="X1470" s="10"/>
      <c r="Y1470" s="5">
        <f t="shared" si="22"/>
        <v>0</v>
      </c>
    </row>
    <row r="1471" spans="16:25" x14ac:dyDescent="0.25">
      <c r="P1471" s="2" t="s">
        <v>27</v>
      </c>
      <c r="Q1471" s="10"/>
      <c r="R1471" s="10"/>
      <c r="S1471" s="10"/>
      <c r="T1471" s="10"/>
      <c r="U1471" s="10"/>
      <c r="V1471" s="10"/>
      <c r="W1471" s="10"/>
      <c r="X1471" s="10"/>
      <c r="Y1471" s="5">
        <f t="shared" si="22"/>
        <v>0</v>
      </c>
    </row>
    <row r="1472" spans="16:25" x14ac:dyDescent="0.25">
      <c r="P1472" s="2" t="s">
        <v>28</v>
      </c>
      <c r="Q1472" s="10"/>
      <c r="R1472" s="10"/>
      <c r="S1472" s="10"/>
      <c r="T1472" s="10"/>
      <c r="U1472" s="10"/>
      <c r="V1472" s="10"/>
      <c r="W1472" s="10"/>
      <c r="X1472" s="10"/>
      <c r="Y1472" s="5">
        <f t="shared" si="22"/>
        <v>0</v>
      </c>
    </row>
    <row r="1473" spans="16:25" x14ac:dyDescent="0.25">
      <c r="P1473" s="2" t="s">
        <v>29</v>
      </c>
      <c r="Q1473" s="10"/>
      <c r="R1473" s="10"/>
      <c r="S1473" s="10"/>
      <c r="T1473" s="10"/>
      <c r="U1473" s="10"/>
      <c r="V1473" s="10"/>
      <c r="W1473" s="10"/>
      <c r="X1473" s="10"/>
      <c r="Y1473" s="5">
        <f t="shared" si="22"/>
        <v>0</v>
      </c>
    </row>
    <row r="1474" spans="16:25" x14ac:dyDescent="0.25">
      <c r="P1474" s="2" t="s">
        <v>30</v>
      </c>
      <c r="Q1474" s="10"/>
      <c r="R1474" s="10"/>
      <c r="S1474" s="10"/>
      <c r="T1474" s="10"/>
      <c r="U1474" s="10"/>
      <c r="V1474" s="10"/>
      <c r="W1474" s="10"/>
      <c r="X1474" s="10"/>
      <c r="Y1474" s="5">
        <f t="shared" si="22"/>
        <v>0</v>
      </c>
    </row>
    <row r="1475" spans="16:25" x14ac:dyDescent="0.25">
      <c r="P1475" s="2" t="s">
        <v>31</v>
      </c>
      <c r="Q1475" s="10"/>
      <c r="R1475" s="10"/>
      <c r="S1475" s="10"/>
      <c r="T1475" s="10"/>
      <c r="U1475" s="10"/>
      <c r="V1475" s="10"/>
      <c r="W1475" s="10"/>
      <c r="X1475" s="10"/>
      <c r="Y1475" s="5">
        <f t="shared" si="22"/>
        <v>0</v>
      </c>
    </row>
    <row r="1476" spans="16:25" x14ac:dyDescent="0.25">
      <c r="P1476" s="2" t="s">
        <v>32</v>
      </c>
      <c r="Q1476" s="10"/>
      <c r="R1476" s="10"/>
      <c r="S1476" s="10"/>
      <c r="T1476" s="10"/>
      <c r="U1476" s="10"/>
      <c r="V1476" s="10"/>
      <c r="W1476" s="10"/>
      <c r="X1476" s="10"/>
      <c r="Y1476" s="5">
        <f t="shared" si="22"/>
        <v>0</v>
      </c>
    </row>
    <row r="1477" spans="16:25" x14ac:dyDescent="0.25">
      <c r="P1477" s="2" t="s">
        <v>33</v>
      </c>
      <c r="Q1477" s="10"/>
      <c r="R1477" s="10"/>
      <c r="S1477" s="10"/>
      <c r="T1477" s="10"/>
      <c r="U1477" s="10"/>
      <c r="V1477" s="10"/>
      <c r="W1477" s="10"/>
      <c r="X1477" s="10"/>
      <c r="Y1477" s="5">
        <f t="shared" ref="Y1477:Y1540" si="23">SUM(Q1477:X1477)</f>
        <v>0</v>
      </c>
    </row>
    <row r="1478" spans="16:25" x14ac:dyDescent="0.25">
      <c r="P1478" s="2" t="s">
        <v>34</v>
      </c>
      <c r="Q1478" s="10"/>
      <c r="R1478" s="10"/>
      <c r="S1478" s="10"/>
      <c r="T1478" s="10"/>
      <c r="U1478" s="10"/>
      <c r="V1478" s="10"/>
      <c r="W1478" s="10"/>
      <c r="X1478" s="10"/>
      <c r="Y1478" s="5">
        <f t="shared" si="23"/>
        <v>0</v>
      </c>
    </row>
    <row r="1479" spans="16:25" x14ac:dyDescent="0.25">
      <c r="P1479" s="2" t="s">
        <v>35</v>
      </c>
      <c r="Q1479" s="10"/>
      <c r="R1479" s="10"/>
      <c r="S1479" s="10"/>
      <c r="T1479" s="10"/>
      <c r="U1479" s="10"/>
      <c r="V1479" s="10"/>
      <c r="W1479" s="10"/>
      <c r="X1479" s="10"/>
      <c r="Y1479" s="5">
        <f t="shared" si="23"/>
        <v>0</v>
      </c>
    </row>
    <row r="1480" spans="16:25" x14ac:dyDescent="0.25">
      <c r="P1480" s="2" t="s">
        <v>36</v>
      </c>
      <c r="Q1480" s="10"/>
      <c r="R1480" s="10"/>
      <c r="S1480" s="10"/>
      <c r="T1480" s="10"/>
      <c r="U1480" s="10"/>
      <c r="V1480" s="10"/>
      <c r="W1480" s="10"/>
      <c r="X1480" s="10"/>
      <c r="Y1480" s="5">
        <f t="shared" si="23"/>
        <v>0</v>
      </c>
    </row>
    <row r="1481" spans="16:25" x14ac:dyDescent="0.25">
      <c r="P1481" s="2" t="s">
        <v>37</v>
      </c>
      <c r="Q1481" s="10"/>
      <c r="R1481" s="10"/>
      <c r="S1481" s="10"/>
      <c r="T1481" s="10"/>
      <c r="U1481" s="10"/>
      <c r="V1481" s="10"/>
      <c r="W1481" s="10"/>
      <c r="X1481" s="10"/>
      <c r="Y1481" s="5">
        <f t="shared" si="23"/>
        <v>0</v>
      </c>
    </row>
    <row r="1482" spans="16:25" x14ac:dyDescent="0.25">
      <c r="P1482" s="2" t="s">
        <v>38</v>
      </c>
      <c r="Q1482" s="10"/>
      <c r="R1482" s="10"/>
      <c r="S1482" s="10"/>
      <c r="T1482" s="10"/>
      <c r="U1482" s="10"/>
      <c r="V1482" s="10"/>
      <c r="W1482" s="10"/>
      <c r="X1482" s="10"/>
      <c r="Y1482" s="5">
        <f t="shared" si="23"/>
        <v>0</v>
      </c>
    </row>
    <row r="1483" spans="16:25" x14ac:dyDescent="0.25">
      <c r="P1483" s="2" t="s">
        <v>39</v>
      </c>
      <c r="Q1483" s="10"/>
      <c r="R1483" s="10"/>
      <c r="S1483" s="10"/>
      <c r="T1483" s="10"/>
      <c r="U1483" s="10"/>
      <c r="V1483" s="10"/>
      <c r="W1483" s="10"/>
      <c r="X1483" s="10"/>
      <c r="Y1483" s="5">
        <f t="shared" si="23"/>
        <v>0</v>
      </c>
    </row>
    <row r="1484" spans="16:25" x14ac:dyDescent="0.25">
      <c r="P1484" s="2" t="s">
        <v>40</v>
      </c>
      <c r="Q1484" s="10"/>
      <c r="R1484" s="10"/>
      <c r="S1484" s="10"/>
      <c r="T1484" s="10"/>
      <c r="U1484" s="10"/>
      <c r="V1484" s="10"/>
      <c r="W1484" s="10"/>
      <c r="X1484" s="10"/>
      <c r="Y1484" s="5">
        <f t="shared" si="23"/>
        <v>0</v>
      </c>
    </row>
    <row r="1485" spans="16:25" x14ac:dyDescent="0.25">
      <c r="P1485" s="2" t="s">
        <v>41</v>
      </c>
      <c r="Q1485" s="10"/>
      <c r="R1485" s="10"/>
      <c r="S1485" s="10"/>
      <c r="T1485" s="10"/>
      <c r="U1485" s="10"/>
      <c r="V1485" s="10"/>
      <c r="W1485" s="10"/>
      <c r="X1485" s="10"/>
      <c r="Y1485" s="5">
        <f t="shared" si="23"/>
        <v>0</v>
      </c>
    </row>
    <row r="1486" spans="16:25" x14ac:dyDescent="0.25">
      <c r="P1486" s="2" t="s">
        <v>42</v>
      </c>
      <c r="Q1486" s="10"/>
      <c r="R1486" s="10"/>
      <c r="S1486" s="10"/>
      <c r="T1486" s="10"/>
      <c r="U1486" s="10"/>
      <c r="V1486" s="10"/>
      <c r="W1486" s="10"/>
      <c r="X1486" s="10"/>
      <c r="Y1486" s="5">
        <f t="shared" si="23"/>
        <v>0</v>
      </c>
    </row>
    <row r="1487" spans="16:25" x14ac:dyDescent="0.25">
      <c r="P1487" s="2" t="s">
        <v>43</v>
      </c>
      <c r="Q1487" s="10"/>
      <c r="R1487" s="10"/>
      <c r="S1487" s="10"/>
      <c r="T1487" s="10"/>
      <c r="U1487" s="10"/>
      <c r="V1487" s="10"/>
      <c r="W1487" s="10"/>
      <c r="X1487" s="10"/>
      <c r="Y1487" s="5">
        <f t="shared" si="23"/>
        <v>0</v>
      </c>
    </row>
    <row r="1488" spans="16:25" x14ac:dyDescent="0.25">
      <c r="P1488" s="2" t="s">
        <v>44</v>
      </c>
      <c r="Q1488" s="10"/>
      <c r="R1488" s="10"/>
      <c r="S1488" s="10"/>
      <c r="T1488" s="10"/>
      <c r="U1488" s="10"/>
      <c r="V1488" s="10"/>
      <c r="W1488" s="10"/>
      <c r="X1488" s="10"/>
      <c r="Y1488" s="5">
        <f t="shared" si="23"/>
        <v>0</v>
      </c>
    </row>
    <row r="1489" spans="13:25" x14ac:dyDescent="0.25">
      <c r="M1489" t="s">
        <v>115</v>
      </c>
      <c r="N1489" t="s">
        <v>116</v>
      </c>
      <c r="O1489" t="s">
        <v>45</v>
      </c>
      <c r="P1489" s="2" t="s">
        <v>12</v>
      </c>
      <c r="Q1489" s="10">
        <f>data_redis_illX!E1323</f>
        <v>0</v>
      </c>
      <c r="R1489" s="10">
        <f>data_redis_illX!F1323</f>
        <v>0</v>
      </c>
      <c r="S1489" s="10">
        <f>data_redis_illX!G1323</f>
        <v>0</v>
      </c>
      <c r="T1489" s="10">
        <f>data_redis_illX!H1323</f>
        <v>0</v>
      </c>
      <c r="U1489" s="10">
        <f>data_redis_illX!I1323</f>
        <v>0</v>
      </c>
      <c r="V1489" s="10">
        <f>data_redis_illX!J1323</f>
        <v>0</v>
      </c>
      <c r="W1489" s="10">
        <f>data_redis_illX!K1323</f>
        <v>0</v>
      </c>
      <c r="X1489" s="10">
        <f>data_redis_illX!L1323</f>
        <v>0</v>
      </c>
      <c r="Y1489" s="5">
        <f t="shared" si="23"/>
        <v>0</v>
      </c>
    </row>
    <row r="1490" spans="13:25" x14ac:dyDescent="0.25">
      <c r="P1490" s="2" t="s">
        <v>13</v>
      </c>
      <c r="Q1490" s="10">
        <f>data_redis_illX!E1324</f>
        <v>0</v>
      </c>
      <c r="R1490" s="10">
        <f>data_redis_illX!F1324</f>
        <v>0</v>
      </c>
      <c r="S1490" s="10">
        <f>data_redis_illX!G1324</f>
        <v>0</v>
      </c>
      <c r="T1490" s="10">
        <f>data_redis_illX!H1324</f>
        <v>0</v>
      </c>
      <c r="U1490" s="10">
        <f>data_redis_illX!I1324</f>
        <v>0</v>
      </c>
      <c r="V1490" s="10">
        <f>data_redis_illX!J1324</f>
        <v>0</v>
      </c>
      <c r="W1490" s="10">
        <f>data_redis_illX!K1324</f>
        <v>0</v>
      </c>
      <c r="X1490" s="10">
        <f>data_redis_illX!L1324</f>
        <v>0</v>
      </c>
      <c r="Y1490" s="5">
        <f t="shared" si="23"/>
        <v>0</v>
      </c>
    </row>
    <row r="1491" spans="13:25" x14ac:dyDescent="0.25">
      <c r="P1491" s="2" t="s">
        <v>14</v>
      </c>
      <c r="Q1491" s="10">
        <f>data_redis_illX!E1325</f>
        <v>0</v>
      </c>
      <c r="R1491" s="10">
        <f>data_redis_illX!F1325</f>
        <v>0</v>
      </c>
      <c r="S1491" s="10">
        <f>data_redis_illX!G1325</f>
        <v>0</v>
      </c>
      <c r="T1491" s="10">
        <f>data_redis_illX!H1325</f>
        <v>0</v>
      </c>
      <c r="U1491" s="10">
        <f>data_redis_illX!I1325</f>
        <v>0</v>
      </c>
      <c r="V1491" s="10">
        <f>data_redis_illX!J1325</f>
        <v>0</v>
      </c>
      <c r="W1491" s="10">
        <f>data_redis_illX!K1325</f>
        <v>0</v>
      </c>
      <c r="X1491" s="10">
        <f>data_redis_illX!L1325</f>
        <v>0</v>
      </c>
      <c r="Y1491" s="5">
        <f t="shared" si="23"/>
        <v>0</v>
      </c>
    </row>
    <row r="1492" spans="13:25" x14ac:dyDescent="0.25">
      <c r="P1492" s="2" t="s">
        <v>15</v>
      </c>
      <c r="Q1492" s="10">
        <f>data_redis_illX!E1326</f>
        <v>0</v>
      </c>
      <c r="R1492" s="10">
        <f>data_redis_illX!F1326</f>
        <v>0</v>
      </c>
      <c r="S1492" s="10">
        <f>data_redis_illX!G1326</f>
        <v>0</v>
      </c>
      <c r="T1492" s="10">
        <f>data_redis_illX!H1326</f>
        <v>0</v>
      </c>
      <c r="U1492" s="10">
        <f>data_redis_illX!I1326</f>
        <v>0</v>
      </c>
      <c r="V1492" s="10">
        <f>data_redis_illX!J1326</f>
        <v>0</v>
      </c>
      <c r="W1492" s="10">
        <f>data_redis_illX!K1326</f>
        <v>0</v>
      </c>
      <c r="X1492" s="10">
        <f>data_redis_illX!L1326</f>
        <v>0</v>
      </c>
      <c r="Y1492" s="5">
        <f t="shared" si="23"/>
        <v>0</v>
      </c>
    </row>
    <row r="1493" spans="13:25" x14ac:dyDescent="0.25">
      <c r="P1493" s="2" t="s">
        <v>16</v>
      </c>
      <c r="Q1493" s="10">
        <f>data_redis_illX!E1327</f>
        <v>0</v>
      </c>
      <c r="R1493" s="10">
        <f>data_redis_illX!F1327</f>
        <v>0</v>
      </c>
      <c r="S1493" s="10">
        <f>data_redis_illX!G1327</f>
        <v>0</v>
      </c>
      <c r="T1493" s="10">
        <f>data_redis_illX!H1327</f>
        <v>0</v>
      </c>
      <c r="U1493" s="10">
        <f>data_redis_illX!I1327</f>
        <v>0</v>
      </c>
      <c r="V1493" s="10">
        <f>data_redis_illX!J1327</f>
        <v>0</v>
      </c>
      <c r="W1493" s="10">
        <f>data_redis_illX!K1327</f>
        <v>0</v>
      </c>
      <c r="X1493" s="10">
        <f>data_redis_illX!L1327</f>
        <v>0</v>
      </c>
      <c r="Y1493" s="5">
        <f t="shared" si="23"/>
        <v>0</v>
      </c>
    </row>
    <row r="1494" spans="13:25" x14ac:dyDescent="0.25">
      <c r="P1494" s="2" t="s">
        <v>17</v>
      </c>
      <c r="Q1494" s="10">
        <f>data_redis_illX!E1328</f>
        <v>0</v>
      </c>
      <c r="R1494" s="10">
        <f>data_redis_illX!F1328</f>
        <v>0</v>
      </c>
      <c r="S1494" s="10">
        <f>data_redis_illX!G1328</f>
        <v>0</v>
      </c>
      <c r="T1494" s="10">
        <f>data_redis_illX!H1328</f>
        <v>0</v>
      </c>
      <c r="U1494" s="10">
        <f>data_redis_illX!I1328</f>
        <v>0</v>
      </c>
      <c r="V1494" s="10">
        <f>data_redis_illX!J1328</f>
        <v>0</v>
      </c>
      <c r="W1494" s="10">
        <f>data_redis_illX!K1328</f>
        <v>0</v>
      </c>
      <c r="X1494" s="10">
        <f>data_redis_illX!L1328</f>
        <v>0</v>
      </c>
      <c r="Y1494" s="5">
        <f t="shared" si="23"/>
        <v>0</v>
      </c>
    </row>
    <row r="1495" spans="13:25" x14ac:dyDescent="0.25">
      <c r="P1495" s="2" t="s">
        <v>18</v>
      </c>
      <c r="Q1495" s="10">
        <f>data_redis_illX!E1329</f>
        <v>0</v>
      </c>
      <c r="R1495" s="10">
        <f>data_redis_illX!F1329</f>
        <v>0</v>
      </c>
      <c r="S1495" s="10">
        <f>data_redis_illX!G1329</f>
        <v>0</v>
      </c>
      <c r="T1495" s="10">
        <f>data_redis_illX!H1329</f>
        <v>0</v>
      </c>
      <c r="U1495" s="10">
        <f>data_redis_illX!I1329</f>
        <v>0</v>
      </c>
      <c r="V1495" s="10">
        <f>data_redis_illX!J1329</f>
        <v>0</v>
      </c>
      <c r="W1495" s="10">
        <f>data_redis_illX!K1329</f>
        <v>0</v>
      </c>
      <c r="X1495" s="10">
        <f>data_redis_illX!L1329</f>
        <v>0</v>
      </c>
      <c r="Y1495" s="5">
        <f t="shared" si="23"/>
        <v>0</v>
      </c>
    </row>
    <row r="1496" spans="13:25" x14ac:dyDescent="0.25">
      <c r="P1496" s="2" t="s">
        <v>19</v>
      </c>
      <c r="Q1496" s="10">
        <f>data_redis_illX!E1330</f>
        <v>0</v>
      </c>
      <c r="R1496" s="10">
        <f>data_redis_illX!F1330</f>
        <v>0</v>
      </c>
      <c r="S1496" s="10">
        <f>data_redis_illX!G1330</f>
        <v>0</v>
      </c>
      <c r="T1496" s="10">
        <f>data_redis_illX!H1330</f>
        <v>0</v>
      </c>
      <c r="U1496" s="10">
        <f>data_redis_illX!I1330</f>
        <v>0</v>
      </c>
      <c r="V1496" s="10">
        <f>data_redis_illX!J1330</f>
        <v>0</v>
      </c>
      <c r="W1496" s="10">
        <f>data_redis_illX!K1330</f>
        <v>0</v>
      </c>
      <c r="X1496" s="10">
        <f>data_redis_illX!L1330</f>
        <v>0</v>
      </c>
      <c r="Y1496" s="5">
        <f t="shared" si="23"/>
        <v>0</v>
      </c>
    </row>
    <row r="1497" spans="13:25" x14ac:dyDescent="0.25">
      <c r="P1497" s="2" t="s">
        <v>20</v>
      </c>
      <c r="Q1497" s="10">
        <f>data_redis_illX!E1331</f>
        <v>0</v>
      </c>
      <c r="R1497" s="10">
        <f>data_redis_illX!F1331</f>
        <v>0</v>
      </c>
      <c r="S1497" s="10">
        <f>data_redis_illX!G1331</f>
        <v>0</v>
      </c>
      <c r="T1497" s="10">
        <f>data_redis_illX!H1331</f>
        <v>0</v>
      </c>
      <c r="U1497" s="10">
        <f>data_redis_illX!I1331</f>
        <v>0</v>
      </c>
      <c r="V1497" s="10">
        <f>data_redis_illX!J1331</f>
        <v>0</v>
      </c>
      <c r="W1497" s="10">
        <f>data_redis_illX!K1331</f>
        <v>0</v>
      </c>
      <c r="X1497" s="10">
        <f>data_redis_illX!L1331</f>
        <v>0</v>
      </c>
      <c r="Y1497" s="5">
        <f t="shared" si="23"/>
        <v>0</v>
      </c>
    </row>
    <row r="1498" spans="13:25" x14ac:dyDescent="0.25">
      <c r="P1498" s="2" t="s">
        <v>21</v>
      </c>
      <c r="Q1498" s="10">
        <f>data_redis_illX!E1332</f>
        <v>0</v>
      </c>
      <c r="R1498" s="10">
        <f>data_redis_illX!F1332</f>
        <v>0</v>
      </c>
      <c r="S1498" s="10">
        <f>data_redis_illX!G1332</f>
        <v>0</v>
      </c>
      <c r="T1498" s="10">
        <f>data_redis_illX!H1332</f>
        <v>0</v>
      </c>
      <c r="U1498" s="10">
        <f>data_redis_illX!I1332</f>
        <v>0</v>
      </c>
      <c r="V1498" s="10">
        <f>data_redis_illX!J1332</f>
        <v>0</v>
      </c>
      <c r="W1498" s="10">
        <f>data_redis_illX!K1332</f>
        <v>0</v>
      </c>
      <c r="X1498" s="10">
        <f>data_redis_illX!L1332</f>
        <v>0</v>
      </c>
      <c r="Y1498" s="5">
        <f t="shared" si="23"/>
        <v>0</v>
      </c>
    </row>
    <row r="1499" spans="13:25" x14ac:dyDescent="0.25">
      <c r="P1499" s="2" t="s">
        <v>22</v>
      </c>
      <c r="Q1499" s="10">
        <f>data_redis_illX!E1333</f>
        <v>0</v>
      </c>
      <c r="R1499" s="10">
        <f>data_redis_illX!F1333</f>
        <v>0</v>
      </c>
      <c r="S1499" s="10">
        <f>data_redis_illX!G1333</f>
        <v>0</v>
      </c>
      <c r="T1499" s="10">
        <f>data_redis_illX!H1333</f>
        <v>0</v>
      </c>
      <c r="U1499" s="10">
        <f>data_redis_illX!I1333</f>
        <v>0</v>
      </c>
      <c r="V1499" s="10">
        <f>data_redis_illX!J1333</f>
        <v>0</v>
      </c>
      <c r="W1499" s="10">
        <f>data_redis_illX!K1333</f>
        <v>0</v>
      </c>
      <c r="X1499" s="10">
        <f>data_redis_illX!L1333</f>
        <v>0</v>
      </c>
      <c r="Y1499" s="5">
        <f t="shared" si="23"/>
        <v>0</v>
      </c>
    </row>
    <row r="1500" spans="13:25" x14ac:dyDescent="0.25">
      <c r="P1500" s="2" t="s">
        <v>23</v>
      </c>
      <c r="Q1500" s="10">
        <f>data_redis_illX!E1334</f>
        <v>0</v>
      </c>
      <c r="R1500" s="10">
        <f>data_redis_illX!F1334</f>
        <v>0</v>
      </c>
      <c r="S1500" s="10">
        <f>data_redis_illX!G1334</f>
        <v>0</v>
      </c>
      <c r="T1500" s="10">
        <f>data_redis_illX!H1334</f>
        <v>0</v>
      </c>
      <c r="U1500" s="10">
        <f>data_redis_illX!I1334</f>
        <v>0</v>
      </c>
      <c r="V1500" s="10">
        <f>data_redis_illX!J1334</f>
        <v>0</v>
      </c>
      <c r="W1500" s="10">
        <f>data_redis_illX!K1334</f>
        <v>0</v>
      </c>
      <c r="X1500" s="10">
        <f>data_redis_illX!L1334</f>
        <v>0</v>
      </c>
      <c r="Y1500" s="5">
        <f t="shared" si="23"/>
        <v>0</v>
      </c>
    </row>
    <row r="1501" spans="13:25" x14ac:dyDescent="0.25">
      <c r="P1501" s="2" t="s">
        <v>24</v>
      </c>
      <c r="Q1501" s="10">
        <f>data_redis_illX!E1335</f>
        <v>0</v>
      </c>
      <c r="R1501" s="10">
        <f>data_redis_illX!F1335</f>
        <v>0</v>
      </c>
      <c r="S1501" s="10">
        <f>data_redis_illX!G1335</f>
        <v>0</v>
      </c>
      <c r="T1501" s="10">
        <f>data_redis_illX!H1335</f>
        <v>0</v>
      </c>
      <c r="U1501" s="10">
        <f>data_redis_illX!I1335</f>
        <v>0</v>
      </c>
      <c r="V1501" s="10">
        <f>data_redis_illX!J1335</f>
        <v>0</v>
      </c>
      <c r="W1501" s="10">
        <f>data_redis_illX!K1335</f>
        <v>0</v>
      </c>
      <c r="X1501" s="10">
        <f>data_redis_illX!L1335</f>
        <v>0</v>
      </c>
      <c r="Y1501" s="5">
        <f t="shared" si="23"/>
        <v>0</v>
      </c>
    </row>
    <row r="1502" spans="13:25" x14ac:dyDescent="0.25">
      <c r="P1502" s="2" t="s">
        <v>25</v>
      </c>
      <c r="Q1502" s="10">
        <f>data_redis_illX!E1336</f>
        <v>0</v>
      </c>
      <c r="R1502" s="10">
        <f>data_redis_illX!F1336</f>
        <v>0</v>
      </c>
      <c r="S1502" s="10">
        <f>data_redis_illX!G1336</f>
        <v>0</v>
      </c>
      <c r="T1502" s="10">
        <f>data_redis_illX!H1336</f>
        <v>0</v>
      </c>
      <c r="U1502" s="10">
        <f>data_redis_illX!I1336</f>
        <v>0</v>
      </c>
      <c r="V1502" s="10">
        <f>data_redis_illX!J1336</f>
        <v>0</v>
      </c>
      <c r="W1502" s="10">
        <f>data_redis_illX!K1336</f>
        <v>0</v>
      </c>
      <c r="X1502" s="10">
        <f>data_redis_illX!L1336</f>
        <v>0</v>
      </c>
      <c r="Y1502" s="5">
        <f t="shared" si="23"/>
        <v>0</v>
      </c>
    </row>
    <row r="1503" spans="13:25" x14ac:dyDescent="0.25">
      <c r="P1503" s="2" t="s">
        <v>26</v>
      </c>
      <c r="Q1503" s="10">
        <f>data_redis_illX!E1337</f>
        <v>0</v>
      </c>
      <c r="R1503" s="10">
        <f>data_redis_illX!F1337</f>
        <v>0</v>
      </c>
      <c r="S1503" s="10">
        <f>data_redis_illX!G1337</f>
        <v>0</v>
      </c>
      <c r="T1503" s="10">
        <f>data_redis_illX!H1337</f>
        <v>0</v>
      </c>
      <c r="U1503" s="10">
        <f>data_redis_illX!I1337</f>
        <v>0</v>
      </c>
      <c r="V1503" s="10">
        <f>data_redis_illX!J1337</f>
        <v>0</v>
      </c>
      <c r="W1503" s="10">
        <f>data_redis_illX!K1337</f>
        <v>0</v>
      </c>
      <c r="X1503" s="10">
        <f>data_redis_illX!L1337</f>
        <v>0</v>
      </c>
      <c r="Y1503" s="5">
        <f t="shared" si="23"/>
        <v>0</v>
      </c>
    </row>
    <row r="1504" spans="13:25" x14ac:dyDescent="0.25">
      <c r="P1504" s="2" t="s">
        <v>27</v>
      </c>
      <c r="Q1504" s="10">
        <f>data_redis_illX!E1338</f>
        <v>0</v>
      </c>
      <c r="R1504" s="10">
        <f>data_redis_illX!F1338</f>
        <v>0</v>
      </c>
      <c r="S1504" s="10">
        <f>data_redis_illX!G1338</f>
        <v>0</v>
      </c>
      <c r="T1504" s="10">
        <f>data_redis_illX!H1338</f>
        <v>0</v>
      </c>
      <c r="U1504" s="10">
        <f>data_redis_illX!I1338</f>
        <v>0</v>
      </c>
      <c r="V1504" s="10">
        <f>data_redis_illX!J1338</f>
        <v>0</v>
      </c>
      <c r="W1504" s="10">
        <f>data_redis_illX!K1338</f>
        <v>0</v>
      </c>
      <c r="X1504" s="10">
        <f>data_redis_illX!L1338</f>
        <v>0</v>
      </c>
      <c r="Y1504" s="5">
        <f t="shared" si="23"/>
        <v>0</v>
      </c>
    </row>
    <row r="1505" spans="16:25" x14ac:dyDescent="0.25">
      <c r="P1505" s="2" t="s">
        <v>28</v>
      </c>
      <c r="Q1505" s="10">
        <f>data_redis_illX!E1339</f>
        <v>0</v>
      </c>
      <c r="R1505" s="10">
        <f>data_redis_illX!F1339</f>
        <v>0</v>
      </c>
      <c r="S1505" s="10">
        <f>data_redis_illX!G1339</f>
        <v>0</v>
      </c>
      <c r="T1505" s="10">
        <f>data_redis_illX!H1339</f>
        <v>0</v>
      </c>
      <c r="U1505" s="10">
        <f>data_redis_illX!I1339</f>
        <v>0</v>
      </c>
      <c r="V1505" s="10">
        <f>data_redis_illX!J1339</f>
        <v>0</v>
      </c>
      <c r="W1505" s="10">
        <f>data_redis_illX!K1339</f>
        <v>0</v>
      </c>
      <c r="X1505" s="10">
        <f>data_redis_illX!L1339</f>
        <v>0</v>
      </c>
      <c r="Y1505" s="5">
        <f t="shared" si="23"/>
        <v>0</v>
      </c>
    </row>
    <row r="1506" spans="16:25" x14ac:dyDescent="0.25">
      <c r="P1506" s="2" t="s">
        <v>29</v>
      </c>
      <c r="Q1506" s="10">
        <f>data_redis_illX!E1340</f>
        <v>0</v>
      </c>
      <c r="R1506" s="10">
        <f>data_redis_illX!F1340</f>
        <v>0</v>
      </c>
      <c r="S1506" s="10">
        <f>data_redis_illX!G1340</f>
        <v>0</v>
      </c>
      <c r="T1506" s="10">
        <f>data_redis_illX!H1340</f>
        <v>0</v>
      </c>
      <c r="U1506" s="10">
        <f>data_redis_illX!I1340</f>
        <v>0</v>
      </c>
      <c r="V1506" s="10">
        <f>data_redis_illX!J1340</f>
        <v>0</v>
      </c>
      <c r="W1506" s="10">
        <f>data_redis_illX!K1340</f>
        <v>0</v>
      </c>
      <c r="X1506" s="10">
        <f>data_redis_illX!L1340</f>
        <v>0</v>
      </c>
      <c r="Y1506" s="5">
        <f t="shared" si="23"/>
        <v>0</v>
      </c>
    </row>
    <row r="1507" spans="16:25" x14ac:dyDescent="0.25">
      <c r="P1507" s="2" t="s">
        <v>30</v>
      </c>
      <c r="Q1507" s="10">
        <f>data_redis_illX!E1341</f>
        <v>0</v>
      </c>
      <c r="R1507" s="10">
        <f>data_redis_illX!F1341</f>
        <v>0</v>
      </c>
      <c r="S1507" s="10">
        <f>data_redis_illX!G1341</f>
        <v>0</v>
      </c>
      <c r="T1507" s="10">
        <f>data_redis_illX!H1341</f>
        <v>0</v>
      </c>
      <c r="U1507" s="10">
        <f>data_redis_illX!I1341</f>
        <v>0</v>
      </c>
      <c r="V1507" s="10">
        <f>data_redis_illX!J1341</f>
        <v>1.000925925925926</v>
      </c>
      <c r="W1507" s="10">
        <f>data_redis_illX!K1341</f>
        <v>0</v>
      </c>
      <c r="X1507" s="10">
        <f>data_redis_illX!L1341</f>
        <v>0</v>
      </c>
      <c r="Y1507" s="5">
        <f t="shared" si="23"/>
        <v>1.000925925925926</v>
      </c>
    </row>
    <row r="1508" spans="16:25" x14ac:dyDescent="0.25">
      <c r="P1508" s="2" t="s">
        <v>31</v>
      </c>
      <c r="Q1508" s="10">
        <f>data_redis_illX!E1342</f>
        <v>0</v>
      </c>
      <c r="R1508" s="10">
        <f>data_redis_illX!F1342</f>
        <v>0</v>
      </c>
      <c r="S1508" s="10">
        <f>data_redis_illX!G1342</f>
        <v>0</v>
      </c>
      <c r="T1508" s="10">
        <f>data_redis_illX!H1342</f>
        <v>0</v>
      </c>
      <c r="U1508" s="10">
        <f>data_redis_illX!I1342</f>
        <v>0</v>
      </c>
      <c r="V1508" s="10">
        <f>data_redis_illX!J1342</f>
        <v>0</v>
      </c>
      <c r="W1508" s="10">
        <f>data_redis_illX!K1342</f>
        <v>0</v>
      </c>
      <c r="X1508" s="10">
        <f>data_redis_illX!L1342</f>
        <v>0</v>
      </c>
      <c r="Y1508" s="5">
        <f t="shared" si="23"/>
        <v>0</v>
      </c>
    </row>
    <row r="1509" spans="16:25" x14ac:dyDescent="0.25">
      <c r="P1509" s="2" t="s">
        <v>32</v>
      </c>
      <c r="Q1509" s="10">
        <f>data_redis_illX!E1343</f>
        <v>0</v>
      </c>
      <c r="R1509" s="10">
        <f>data_redis_illX!F1343</f>
        <v>0</v>
      </c>
      <c r="S1509" s="10">
        <f>data_redis_illX!G1343</f>
        <v>0</v>
      </c>
      <c r="T1509" s="10">
        <f>data_redis_illX!H1343</f>
        <v>0</v>
      </c>
      <c r="U1509" s="10">
        <f>data_redis_illX!I1343</f>
        <v>0</v>
      </c>
      <c r="V1509" s="10">
        <f>data_redis_illX!J1343</f>
        <v>0</v>
      </c>
      <c r="W1509" s="10">
        <f>data_redis_illX!K1343</f>
        <v>0</v>
      </c>
      <c r="X1509" s="10">
        <f>data_redis_illX!L1343</f>
        <v>0</v>
      </c>
      <c r="Y1509" s="5">
        <f t="shared" si="23"/>
        <v>0</v>
      </c>
    </row>
    <row r="1510" spans="16:25" x14ac:dyDescent="0.25">
      <c r="P1510" s="2" t="s">
        <v>33</v>
      </c>
      <c r="Q1510" s="10">
        <f>data_redis_illX!E1344</f>
        <v>0</v>
      </c>
      <c r="R1510" s="10">
        <f>data_redis_illX!F1344</f>
        <v>0</v>
      </c>
      <c r="S1510" s="10">
        <f>data_redis_illX!G1344</f>
        <v>0</v>
      </c>
      <c r="T1510" s="10">
        <f>data_redis_illX!H1344</f>
        <v>0</v>
      </c>
      <c r="U1510" s="10">
        <f>data_redis_illX!I1344</f>
        <v>0</v>
      </c>
      <c r="V1510" s="10">
        <f>data_redis_illX!J1344</f>
        <v>0</v>
      </c>
      <c r="W1510" s="10">
        <f>data_redis_illX!K1344</f>
        <v>0</v>
      </c>
      <c r="X1510" s="10">
        <f>data_redis_illX!L1344</f>
        <v>0</v>
      </c>
      <c r="Y1510" s="5">
        <f t="shared" si="23"/>
        <v>0</v>
      </c>
    </row>
    <row r="1511" spans="16:25" x14ac:dyDescent="0.25">
      <c r="P1511" s="2" t="s">
        <v>34</v>
      </c>
      <c r="Q1511" s="10">
        <f>data_redis_illX!E1345</f>
        <v>0</v>
      </c>
      <c r="R1511" s="10">
        <f>data_redis_illX!F1345</f>
        <v>0</v>
      </c>
      <c r="S1511" s="10">
        <f>data_redis_illX!G1345</f>
        <v>0</v>
      </c>
      <c r="T1511" s="10">
        <f>data_redis_illX!H1345</f>
        <v>0</v>
      </c>
      <c r="U1511" s="10">
        <f>data_redis_illX!I1345</f>
        <v>0</v>
      </c>
      <c r="V1511" s="10">
        <f>data_redis_illX!J1345</f>
        <v>0</v>
      </c>
      <c r="W1511" s="10">
        <f>data_redis_illX!K1345</f>
        <v>0</v>
      </c>
      <c r="X1511" s="10">
        <f>data_redis_illX!L1345</f>
        <v>0</v>
      </c>
      <c r="Y1511" s="5">
        <f t="shared" si="23"/>
        <v>0</v>
      </c>
    </row>
    <row r="1512" spans="16:25" x14ac:dyDescent="0.25">
      <c r="P1512" s="2" t="s">
        <v>35</v>
      </c>
      <c r="Q1512" s="10">
        <f>data_redis_illX!E1346</f>
        <v>0</v>
      </c>
      <c r="R1512" s="10">
        <f>data_redis_illX!F1346</f>
        <v>0</v>
      </c>
      <c r="S1512" s="10">
        <f>data_redis_illX!G1346</f>
        <v>0</v>
      </c>
      <c r="T1512" s="10">
        <f>data_redis_illX!H1346</f>
        <v>0</v>
      </c>
      <c r="U1512" s="10">
        <f>data_redis_illX!I1346</f>
        <v>0</v>
      </c>
      <c r="V1512" s="10">
        <f>data_redis_illX!J1346</f>
        <v>0</v>
      </c>
      <c r="W1512" s="10">
        <f>data_redis_illX!K1346</f>
        <v>0</v>
      </c>
      <c r="X1512" s="10">
        <f>data_redis_illX!L1346</f>
        <v>0</v>
      </c>
      <c r="Y1512" s="5">
        <f t="shared" si="23"/>
        <v>0</v>
      </c>
    </row>
    <row r="1513" spans="16:25" x14ac:dyDescent="0.25">
      <c r="P1513" s="2" t="s">
        <v>36</v>
      </c>
      <c r="Q1513" s="10">
        <f>data_redis_illX!E1347</f>
        <v>0</v>
      </c>
      <c r="R1513" s="10">
        <f>data_redis_illX!F1347</f>
        <v>0</v>
      </c>
      <c r="S1513" s="10">
        <f>data_redis_illX!G1347</f>
        <v>0</v>
      </c>
      <c r="T1513" s="10">
        <f>data_redis_illX!H1347</f>
        <v>0</v>
      </c>
      <c r="U1513" s="10">
        <f>data_redis_illX!I1347</f>
        <v>0</v>
      </c>
      <c r="V1513" s="10">
        <f>data_redis_illX!J1347</f>
        <v>0</v>
      </c>
      <c r="W1513" s="10">
        <f>data_redis_illX!K1347</f>
        <v>0</v>
      </c>
      <c r="X1513" s="10">
        <f>data_redis_illX!L1347</f>
        <v>0</v>
      </c>
      <c r="Y1513" s="5">
        <f t="shared" si="23"/>
        <v>0</v>
      </c>
    </row>
    <row r="1514" spans="16:25" x14ac:dyDescent="0.25">
      <c r="P1514" s="2" t="s">
        <v>37</v>
      </c>
      <c r="Q1514" s="10">
        <f>data_redis_illX!E1348</f>
        <v>0</v>
      </c>
      <c r="R1514" s="10">
        <f>data_redis_illX!F1348</f>
        <v>0</v>
      </c>
      <c r="S1514" s="10">
        <f>data_redis_illX!G1348</f>
        <v>0</v>
      </c>
      <c r="T1514" s="10">
        <f>data_redis_illX!H1348</f>
        <v>0</v>
      </c>
      <c r="U1514" s="10">
        <f>data_redis_illX!I1348</f>
        <v>0</v>
      </c>
      <c r="V1514" s="10">
        <f>data_redis_illX!J1348</f>
        <v>0</v>
      </c>
      <c r="W1514" s="10">
        <f>data_redis_illX!K1348</f>
        <v>0</v>
      </c>
      <c r="X1514" s="10">
        <f>data_redis_illX!L1348</f>
        <v>0</v>
      </c>
      <c r="Y1514" s="5">
        <f t="shared" si="23"/>
        <v>0</v>
      </c>
    </row>
    <row r="1515" spans="16:25" x14ac:dyDescent="0.25">
      <c r="P1515" s="2" t="s">
        <v>38</v>
      </c>
      <c r="Q1515" s="10">
        <f>data_redis_illX!E1349</f>
        <v>0</v>
      </c>
      <c r="R1515" s="10">
        <f>data_redis_illX!F1349</f>
        <v>0</v>
      </c>
      <c r="S1515" s="10">
        <f>data_redis_illX!G1349</f>
        <v>0</v>
      </c>
      <c r="T1515" s="10">
        <f>data_redis_illX!H1349</f>
        <v>0</v>
      </c>
      <c r="U1515" s="10">
        <f>data_redis_illX!I1349</f>
        <v>0</v>
      </c>
      <c r="V1515" s="10">
        <f>data_redis_illX!J1349</f>
        <v>0</v>
      </c>
      <c r="W1515" s="10">
        <f>data_redis_illX!K1349</f>
        <v>0</v>
      </c>
      <c r="X1515" s="10">
        <f>data_redis_illX!L1349</f>
        <v>0</v>
      </c>
      <c r="Y1515" s="5">
        <f t="shared" si="23"/>
        <v>0</v>
      </c>
    </row>
    <row r="1516" spans="16:25" x14ac:dyDescent="0.25">
      <c r="P1516" s="2" t="s">
        <v>39</v>
      </c>
      <c r="Q1516" s="10">
        <f>data_redis_illX!E1350</f>
        <v>0</v>
      </c>
      <c r="R1516" s="10">
        <f>data_redis_illX!F1350</f>
        <v>0</v>
      </c>
      <c r="S1516" s="10">
        <f>data_redis_illX!G1350</f>
        <v>0</v>
      </c>
      <c r="T1516" s="10">
        <f>data_redis_illX!H1350</f>
        <v>0</v>
      </c>
      <c r="U1516" s="10">
        <f>data_redis_illX!I1350</f>
        <v>0</v>
      </c>
      <c r="V1516" s="10">
        <f>data_redis_illX!J1350</f>
        <v>0</v>
      </c>
      <c r="W1516" s="10">
        <f>data_redis_illX!K1350</f>
        <v>0</v>
      </c>
      <c r="X1516" s="10">
        <f>data_redis_illX!L1350</f>
        <v>0</v>
      </c>
      <c r="Y1516" s="5">
        <f t="shared" si="23"/>
        <v>0</v>
      </c>
    </row>
    <row r="1517" spans="16:25" x14ac:dyDescent="0.25">
      <c r="P1517" s="2" t="s">
        <v>40</v>
      </c>
      <c r="Q1517" s="10">
        <f>data_redis_illX!E1351</f>
        <v>0</v>
      </c>
      <c r="R1517" s="10">
        <f>data_redis_illX!F1351</f>
        <v>0</v>
      </c>
      <c r="S1517" s="10">
        <f>data_redis_illX!G1351</f>
        <v>0</v>
      </c>
      <c r="T1517" s="10">
        <f>data_redis_illX!H1351</f>
        <v>0</v>
      </c>
      <c r="U1517" s="10">
        <f>data_redis_illX!I1351</f>
        <v>0</v>
      </c>
      <c r="V1517" s="10">
        <f>data_redis_illX!J1351</f>
        <v>0</v>
      </c>
      <c r="W1517" s="10">
        <f>data_redis_illX!K1351</f>
        <v>0</v>
      </c>
      <c r="X1517" s="10">
        <f>data_redis_illX!L1351</f>
        <v>0</v>
      </c>
      <c r="Y1517" s="5">
        <f t="shared" si="23"/>
        <v>0</v>
      </c>
    </row>
    <row r="1518" spans="16:25" x14ac:dyDescent="0.25">
      <c r="P1518" s="2" t="s">
        <v>41</v>
      </c>
      <c r="Q1518" s="10">
        <f>data_redis_illX!E1352</f>
        <v>0</v>
      </c>
      <c r="R1518" s="10">
        <f>data_redis_illX!F1352</f>
        <v>0</v>
      </c>
      <c r="S1518" s="10">
        <f>data_redis_illX!G1352</f>
        <v>0</v>
      </c>
      <c r="T1518" s="10">
        <f>data_redis_illX!H1352</f>
        <v>0</v>
      </c>
      <c r="U1518" s="10">
        <f>data_redis_illX!I1352</f>
        <v>0</v>
      </c>
      <c r="V1518" s="10">
        <f>data_redis_illX!J1352</f>
        <v>0</v>
      </c>
      <c r="W1518" s="10">
        <f>data_redis_illX!K1352</f>
        <v>0</v>
      </c>
      <c r="X1518" s="10">
        <f>data_redis_illX!L1352</f>
        <v>0</v>
      </c>
      <c r="Y1518" s="5">
        <f t="shared" si="23"/>
        <v>0</v>
      </c>
    </row>
    <row r="1519" spans="16:25" x14ac:dyDescent="0.25">
      <c r="P1519" s="2" t="s">
        <v>42</v>
      </c>
      <c r="Q1519" s="10">
        <f>data_redis_illX!E1353</f>
        <v>0</v>
      </c>
      <c r="R1519" s="10">
        <f>data_redis_illX!F1353</f>
        <v>0</v>
      </c>
      <c r="S1519" s="10">
        <f>data_redis_illX!G1353</f>
        <v>0</v>
      </c>
      <c r="T1519" s="10">
        <f>data_redis_illX!H1353</f>
        <v>0</v>
      </c>
      <c r="U1519" s="10">
        <f>data_redis_illX!I1353</f>
        <v>0</v>
      </c>
      <c r="V1519" s="10">
        <f>data_redis_illX!J1353</f>
        <v>0</v>
      </c>
      <c r="W1519" s="10">
        <f>data_redis_illX!K1353</f>
        <v>0</v>
      </c>
      <c r="X1519" s="10">
        <f>data_redis_illX!L1353</f>
        <v>0</v>
      </c>
      <c r="Y1519" s="5">
        <f t="shared" si="23"/>
        <v>0</v>
      </c>
    </row>
    <row r="1520" spans="16:25" x14ac:dyDescent="0.25">
      <c r="P1520" s="2" t="s">
        <v>43</v>
      </c>
      <c r="Q1520" s="10">
        <f>data_redis_illX!E1354</f>
        <v>0</v>
      </c>
      <c r="R1520" s="10">
        <f>data_redis_illX!F1354</f>
        <v>0</v>
      </c>
      <c r="S1520" s="10">
        <f>data_redis_illX!G1354</f>
        <v>8.0152635344621981</v>
      </c>
      <c r="T1520" s="10">
        <f>data_redis_illX!H1354</f>
        <v>5.0127312214483633</v>
      </c>
      <c r="U1520" s="10">
        <f>data_redis_illX!I1354</f>
        <v>5.0078186082877245</v>
      </c>
      <c r="V1520" s="10">
        <f>data_redis_illX!J1354</f>
        <v>0</v>
      </c>
      <c r="W1520" s="10">
        <f>data_redis_illX!K1354</f>
        <v>0</v>
      </c>
      <c r="X1520" s="10">
        <f>data_redis_illX!L1354</f>
        <v>0</v>
      </c>
      <c r="Y1520" s="5">
        <f t="shared" si="23"/>
        <v>18.035813364198287</v>
      </c>
    </row>
    <row r="1521" spans="13:25" x14ac:dyDescent="0.25">
      <c r="P1521" s="2" t="s">
        <v>44</v>
      </c>
      <c r="Q1521" s="10">
        <f>data_redis_illX!E1355</f>
        <v>0</v>
      </c>
      <c r="R1521" s="10">
        <f>data_redis_illX!F1355</f>
        <v>0</v>
      </c>
      <c r="S1521" s="10">
        <f>data_redis_illX!G1355</f>
        <v>0</v>
      </c>
      <c r="T1521" s="10">
        <f>data_redis_illX!H1355</f>
        <v>0</v>
      </c>
      <c r="U1521" s="10">
        <f>data_redis_illX!I1355</f>
        <v>0</v>
      </c>
      <c r="V1521" s="10">
        <f>data_redis_illX!J1355</f>
        <v>0</v>
      </c>
      <c r="W1521" s="10">
        <f>data_redis_illX!K1355</f>
        <v>0</v>
      </c>
      <c r="X1521" s="10">
        <f>data_redis_illX!L1355</f>
        <v>0</v>
      </c>
      <c r="Y1521" s="5">
        <f t="shared" si="23"/>
        <v>0</v>
      </c>
    </row>
    <row r="1522" spans="13:25" x14ac:dyDescent="0.25">
      <c r="M1522" t="s">
        <v>115</v>
      </c>
      <c r="N1522" t="s">
        <v>116</v>
      </c>
      <c r="O1522" t="s">
        <v>46</v>
      </c>
      <c r="P1522" s="2" t="s">
        <v>12</v>
      </c>
      <c r="Q1522" s="10">
        <f>data_redis_illX!E1356</f>
        <v>0</v>
      </c>
      <c r="R1522" s="10">
        <f>data_redis_illX!F1356</f>
        <v>0</v>
      </c>
      <c r="S1522" s="10">
        <f>data_redis_illX!G1356</f>
        <v>0</v>
      </c>
      <c r="T1522" s="10">
        <f>data_redis_illX!H1356</f>
        <v>0</v>
      </c>
      <c r="U1522" s="10">
        <f>data_redis_illX!I1356</f>
        <v>0</v>
      </c>
      <c r="V1522" s="10">
        <f>data_redis_illX!J1356</f>
        <v>0</v>
      </c>
      <c r="W1522" s="10">
        <f>data_redis_illX!K1356</f>
        <v>0</v>
      </c>
      <c r="X1522" s="10">
        <f>data_redis_illX!L1356</f>
        <v>0</v>
      </c>
      <c r="Y1522" s="5">
        <f t="shared" si="23"/>
        <v>0</v>
      </c>
    </row>
    <row r="1523" spans="13:25" x14ac:dyDescent="0.25">
      <c r="P1523" s="2" t="s">
        <v>13</v>
      </c>
      <c r="Q1523" s="10">
        <f>data_redis_illX!E1357</f>
        <v>0</v>
      </c>
      <c r="R1523" s="10">
        <f>data_redis_illX!F1357</f>
        <v>0</v>
      </c>
      <c r="S1523" s="10">
        <f>data_redis_illX!G1357</f>
        <v>2.6717545114873995</v>
      </c>
      <c r="T1523" s="10">
        <f>data_redis_illX!H1357</f>
        <v>8.6144714324149643</v>
      </c>
      <c r="U1523" s="10">
        <f>data_redis_illX!I1357</f>
        <v>5.30239617348112</v>
      </c>
      <c r="V1523" s="10">
        <f>data_redis_illX!J1357</f>
        <v>0</v>
      </c>
      <c r="W1523" s="10">
        <f>data_redis_illX!K1357</f>
        <v>0</v>
      </c>
      <c r="X1523" s="10">
        <f>data_redis_illX!L1357</f>
        <v>0</v>
      </c>
      <c r="Y1523" s="5">
        <f t="shared" si="23"/>
        <v>16.588622117383483</v>
      </c>
    </row>
    <row r="1524" spans="13:25" x14ac:dyDescent="0.25">
      <c r="P1524" s="2" t="s">
        <v>14</v>
      </c>
      <c r="Q1524" s="10">
        <f>data_redis_illX!E1358</f>
        <v>0</v>
      </c>
      <c r="R1524" s="10">
        <f>data_redis_illX!F1358</f>
        <v>0</v>
      </c>
      <c r="S1524" s="10">
        <f>data_redis_illX!G1358</f>
        <v>0</v>
      </c>
      <c r="T1524" s="10">
        <f>data_redis_illX!H1358</f>
        <v>1.0768089290518705</v>
      </c>
      <c r="U1524" s="10">
        <f>data_redis_illX!I1358</f>
        <v>0</v>
      </c>
      <c r="V1524" s="10">
        <f>data_redis_illX!J1358</f>
        <v>0</v>
      </c>
      <c r="W1524" s="10">
        <f>data_redis_illX!K1358</f>
        <v>0</v>
      </c>
      <c r="X1524" s="10">
        <f>data_redis_illX!L1358</f>
        <v>0</v>
      </c>
      <c r="Y1524" s="5">
        <f t="shared" si="23"/>
        <v>1.0768089290518705</v>
      </c>
    </row>
    <row r="1525" spans="13:25" x14ac:dyDescent="0.25">
      <c r="P1525" s="2" t="s">
        <v>15</v>
      </c>
      <c r="Q1525" s="10">
        <f>data_redis_illX!E1359</f>
        <v>0</v>
      </c>
      <c r="R1525" s="10">
        <f>data_redis_illX!F1359</f>
        <v>0</v>
      </c>
      <c r="S1525" s="10">
        <f>data_redis_illX!G1359</f>
        <v>0</v>
      </c>
      <c r="T1525" s="10">
        <f>data_redis_illX!H1359</f>
        <v>0</v>
      </c>
      <c r="U1525" s="10">
        <f>data_redis_illX!I1359</f>
        <v>0</v>
      </c>
      <c r="V1525" s="10">
        <f>data_redis_illX!J1359</f>
        <v>0</v>
      </c>
      <c r="W1525" s="10">
        <f>data_redis_illX!K1359</f>
        <v>0</v>
      </c>
      <c r="X1525" s="10">
        <f>data_redis_illX!L1359</f>
        <v>0</v>
      </c>
      <c r="Y1525" s="5">
        <f t="shared" si="23"/>
        <v>0</v>
      </c>
    </row>
    <row r="1526" spans="13:25" x14ac:dyDescent="0.25">
      <c r="P1526" s="2" t="s">
        <v>16</v>
      </c>
      <c r="Q1526" s="10">
        <f>data_redis_illX!E1360</f>
        <v>0</v>
      </c>
      <c r="R1526" s="10">
        <f>data_redis_illX!F1360</f>
        <v>0</v>
      </c>
      <c r="S1526" s="10">
        <f>data_redis_illX!G1360</f>
        <v>2.6717545114873995</v>
      </c>
      <c r="T1526" s="10">
        <f>data_redis_illX!H1360</f>
        <v>0</v>
      </c>
      <c r="U1526" s="10">
        <f>data_redis_illX!I1360</f>
        <v>4.2419169387848967</v>
      </c>
      <c r="V1526" s="10">
        <f>data_redis_illX!J1360</f>
        <v>0</v>
      </c>
      <c r="W1526" s="10">
        <f>data_redis_illX!K1360</f>
        <v>0</v>
      </c>
      <c r="X1526" s="10">
        <f>data_redis_illX!L1360</f>
        <v>0</v>
      </c>
      <c r="Y1526" s="5">
        <f t="shared" si="23"/>
        <v>6.9136714502722967</v>
      </c>
    </row>
    <row r="1527" spans="13:25" x14ac:dyDescent="0.25">
      <c r="P1527" s="2" t="s">
        <v>17</v>
      </c>
      <c r="Q1527" s="10">
        <f>data_redis_illX!E1361</f>
        <v>0</v>
      </c>
      <c r="R1527" s="10">
        <f>data_redis_illX!F1361</f>
        <v>0</v>
      </c>
      <c r="S1527" s="10">
        <f>data_redis_illX!G1361</f>
        <v>1.3358772557436998</v>
      </c>
      <c r="T1527" s="10">
        <f>data_redis_illX!H1361</f>
        <v>0</v>
      </c>
      <c r="U1527" s="10">
        <f>data_redis_illX!I1361</f>
        <v>0</v>
      </c>
      <c r="V1527" s="10">
        <f>data_redis_illX!J1361</f>
        <v>0</v>
      </c>
      <c r="W1527" s="10">
        <f>data_redis_illX!K1361</f>
        <v>0</v>
      </c>
      <c r="X1527" s="10">
        <f>data_redis_illX!L1361</f>
        <v>0</v>
      </c>
      <c r="Y1527" s="5">
        <f t="shared" si="23"/>
        <v>1.3358772557436998</v>
      </c>
    </row>
    <row r="1528" spans="13:25" x14ac:dyDescent="0.25">
      <c r="P1528" s="2" t="s">
        <v>18</v>
      </c>
      <c r="Q1528" s="10">
        <f>data_redis_illX!E1362</f>
        <v>0</v>
      </c>
      <c r="R1528" s="10">
        <f>data_redis_illX!F1362</f>
        <v>0</v>
      </c>
      <c r="S1528" s="10">
        <f>data_redis_illX!G1362</f>
        <v>0</v>
      </c>
      <c r="T1528" s="10">
        <f>data_redis_illX!H1362</f>
        <v>1.0768089290518705</v>
      </c>
      <c r="U1528" s="10">
        <f>data_redis_illX!I1362</f>
        <v>3.1814377040886721</v>
      </c>
      <c r="V1528" s="10">
        <f>data_redis_illX!J1362</f>
        <v>0</v>
      </c>
      <c r="W1528" s="10">
        <f>data_redis_illX!K1362</f>
        <v>0</v>
      </c>
      <c r="X1528" s="10">
        <f>data_redis_illX!L1362</f>
        <v>0</v>
      </c>
      <c r="Y1528" s="5">
        <f t="shared" si="23"/>
        <v>4.2582466331405424</v>
      </c>
    </row>
    <row r="1529" spans="13:25" x14ac:dyDescent="0.25">
      <c r="P1529" s="2" t="s">
        <v>19</v>
      </c>
      <c r="Q1529" s="10">
        <f>data_redis_illX!E1363</f>
        <v>0</v>
      </c>
      <c r="R1529" s="10">
        <f>data_redis_illX!F1363</f>
        <v>0</v>
      </c>
      <c r="S1529" s="10">
        <f>data_redis_illX!G1363</f>
        <v>1.3358772557436998</v>
      </c>
      <c r="T1529" s="10">
        <f>data_redis_illX!H1363</f>
        <v>1.0768089290518705</v>
      </c>
      <c r="U1529" s="10">
        <f>data_redis_illX!I1363</f>
        <v>0</v>
      </c>
      <c r="V1529" s="10">
        <f>data_redis_illX!J1363</f>
        <v>0</v>
      </c>
      <c r="W1529" s="10">
        <f>data_redis_illX!K1363</f>
        <v>0</v>
      </c>
      <c r="X1529" s="10">
        <f>data_redis_illX!L1363</f>
        <v>0</v>
      </c>
      <c r="Y1529" s="5">
        <f t="shared" si="23"/>
        <v>2.4126861847955703</v>
      </c>
    </row>
    <row r="1530" spans="13:25" x14ac:dyDescent="0.25">
      <c r="P1530" s="2" t="s">
        <v>20</v>
      </c>
      <c r="Q1530" s="10">
        <f>data_redis_illX!E1364</f>
        <v>0</v>
      </c>
      <c r="R1530" s="10">
        <f>data_redis_illX!F1364</f>
        <v>0</v>
      </c>
      <c r="S1530" s="10">
        <f>data_redis_illX!G1364</f>
        <v>0</v>
      </c>
      <c r="T1530" s="10">
        <f>data_redis_illX!H1364</f>
        <v>0</v>
      </c>
      <c r="U1530" s="10">
        <f>data_redis_illX!I1364</f>
        <v>0</v>
      </c>
      <c r="V1530" s="10">
        <f>data_redis_illX!J1364</f>
        <v>0</v>
      </c>
      <c r="W1530" s="10">
        <f>data_redis_illX!K1364</f>
        <v>0</v>
      </c>
      <c r="X1530" s="10">
        <f>data_redis_illX!L1364</f>
        <v>0</v>
      </c>
      <c r="Y1530" s="5">
        <f t="shared" si="23"/>
        <v>0</v>
      </c>
    </row>
    <row r="1531" spans="13:25" x14ac:dyDescent="0.25">
      <c r="P1531" s="2" t="s">
        <v>21</v>
      </c>
      <c r="Q1531" s="10">
        <f>data_redis_illX!E1365</f>
        <v>0</v>
      </c>
      <c r="R1531" s="10">
        <f>data_redis_illX!F1365</f>
        <v>0</v>
      </c>
      <c r="S1531" s="10">
        <f>data_redis_illX!G1365</f>
        <v>0</v>
      </c>
      <c r="T1531" s="10">
        <f>data_redis_illX!H1365</f>
        <v>0</v>
      </c>
      <c r="U1531" s="10">
        <f>data_redis_illX!I1365</f>
        <v>1.0604792346962242</v>
      </c>
      <c r="V1531" s="10">
        <f>data_redis_illX!J1365</f>
        <v>0</v>
      </c>
      <c r="W1531" s="10">
        <f>data_redis_illX!K1365</f>
        <v>0</v>
      </c>
      <c r="X1531" s="10">
        <f>data_redis_illX!L1365</f>
        <v>0</v>
      </c>
      <c r="Y1531" s="5">
        <f t="shared" si="23"/>
        <v>1.0604792346962242</v>
      </c>
    </row>
    <row r="1532" spans="13:25" x14ac:dyDescent="0.25">
      <c r="P1532" s="2" t="s">
        <v>22</v>
      </c>
      <c r="Q1532" s="10">
        <f>data_redis_illX!E1366</f>
        <v>0</v>
      </c>
      <c r="R1532" s="10">
        <f>data_redis_illX!F1366</f>
        <v>0</v>
      </c>
      <c r="S1532" s="10">
        <f>data_redis_illX!G1366</f>
        <v>0</v>
      </c>
      <c r="T1532" s="10">
        <f>data_redis_illX!H1366</f>
        <v>1.0768089290518705</v>
      </c>
      <c r="U1532" s="10">
        <f>data_redis_illX!I1366</f>
        <v>0</v>
      </c>
      <c r="V1532" s="10">
        <f>data_redis_illX!J1366</f>
        <v>0</v>
      </c>
      <c r="W1532" s="10">
        <f>data_redis_illX!K1366</f>
        <v>0</v>
      </c>
      <c r="X1532" s="10">
        <f>data_redis_illX!L1366</f>
        <v>0</v>
      </c>
      <c r="Y1532" s="5">
        <f t="shared" si="23"/>
        <v>1.0768089290518705</v>
      </c>
    </row>
    <row r="1533" spans="13:25" x14ac:dyDescent="0.25">
      <c r="P1533" s="2" t="s">
        <v>23</v>
      </c>
      <c r="Q1533" s="10">
        <f>data_redis_illX!E1367</f>
        <v>0</v>
      </c>
      <c r="R1533" s="10">
        <f>data_redis_illX!F1367</f>
        <v>0</v>
      </c>
      <c r="S1533" s="10">
        <f>data_redis_illX!G1367</f>
        <v>0</v>
      </c>
      <c r="T1533" s="10">
        <f>data_redis_illX!H1367</f>
        <v>0</v>
      </c>
      <c r="U1533" s="10">
        <f>data_redis_illX!I1367</f>
        <v>0</v>
      </c>
      <c r="V1533" s="10">
        <f>data_redis_illX!J1367</f>
        <v>0</v>
      </c>
      <c r="W1533" s="10">
        <f>data_redis_illX!K1367</f>
        <v>0</v>
      </c>
      <c r="X1533" s="10">
        <f>data_redis_illX!L1367</f>
        <v>0</v>
      </c>
      <c r="Y1533" s="5">
        <f t="shared" si="23"/>
        <v>0</v>
      </c>
    </row>
    <row r="1534" spans="13:25" x14ac:dyDescent="0.25">
      <c r="P1534" s="2" t="s">
        <v>24</v>
      </c>
      <c r="Q1534" s="10">
        <f>data_redis_illX!E1368</f>
        <v>0</v>
      </c>
      <c r="R1534" s="10">
        <f>data_redis_illX!F1368</f>
        <v>0</v>
      </c>
      <c r="S1534" s="10">
        <f>data_redis_illX!G1368</f>
        <v>0</v>
      </c>
      <c r="T1534" s="10">
        <f>data_redis_illX!H1368</f>
        <v>0</v>
      </c>
      <c r="U1534" s="10">
        <f>data_redis_illX!I1368</f>
        <v>0</v>
      </c>
      <c r="V1534" s="10">
        <f>data_redis_illX!J1368</f>
        <v>0</v>
      </c>
      <c r="W1534" s="10">
        <f>data_redis_illX!K1368</f>
        <v>0</v>
      </c>
      <c r="X1534" s="10">
        <f>data_redis_illX!L1368</f>
        <v>0</v>
      </c>
      <c r="Y1534" s="5">
        <f t="shared" si="23"/>
        <v>0</v>
      </c>
    </row>
    <row r="1535" spans="13:25" x14ac:dyDescent="0.25">
      <c r="P1535" s="2" t="s">
        <v>25</v>
      </c>
      <c r="Q1535" s="10">
        <f>data_redis_illX!E1369</f>
        <v>0</v>
      </c>
      <c r="R1535" s="10">
        <f>data_redis_illX!F1369</f>
        <v>0</v>
      </c>
      <c r="S1535" s="10">
        <f>data_redis_illX!G1369</f>
        <v>0</v>
      </c>
      <c r="T1535" s="10">
        <f>data_redis_illX!H1369</f>
        <v>0</v>
      </c>
      <c r="U1535" s="10">
        <f>data_redis_illX!I1369</f>
        <v>0</v>
      </c>
      <c r="V1535" s="10">
        <f>data_redis_illX!J1369</f>
        <v>0</v>
      </c>
      <c r="W1535" s="10">
        <f>data_redis_illX!K1369</f>
        <v>0</v>
      </c>
      <c r="X1535" s="10">
        <f>data_redis_illX!L1369</f>
        <v>0</v>
      </c>
      <c r="Y1535" s="5">
        <f t="shared" si="23"/>
        <v>0</v>
      </c>
    </row>
    <row r="1536" spans="13:25" x14ac:dyDescent="0.25">
      <c r="P1536" s="2" t="s">
        <v>26</v>
      </c>
      <c r="Q1536" s="10">
        <f>data_redis_illX!E1370</f>
        <v>0</v>
      </c>
      <c r="R1536" s="10">
        <f>data_redis_illX!F1370</f>
        <v>0</v>
      </c>
      <c r="S1536" s="10">
        <f>data_redis_illX!G1370</f>
        <v>0</v>
      </c>
      <c r="T1536" s="10">
        <f>data_redis_illX!H1370</f>
        <v>0</v>
      </c>
      <c r="U1536" s="10">
        <f>data_redis_illX!I1370</f>
        <v>0</v>
      </c>
      <c r="V1536" s="10">
        <f>data_redis_illX!J1370</f>
        <v>0</v>
      </c>
      <c r="W1536" s="10">
        <f>data_redis_illX!K1370</f>
        <v>0</v>
      </c>
      <c r="X1536" s="10">
        <f>data_redis_illX!L1370</f>
        <v>0</v>
      </c>
      <c r="Y1536" s="5">
        <f t="shared" si="23"/>
        <v>0</v>
      </c>
    </row>
    <row r="1537" spans="16:25" x14ac:dyDescent="0.25">
      <c r="P1537" s="2" t="s">
        <v>27</v>
      </c>
      <c r="Q1537" s="10">
        <f>data_redis_illX!E1371</f>
        <v>0</v>
      </c>
      <c r="R1537" s="10">
        <f>data_redis_illX!F1371</f>
        <v>0</v>
      </c>
      <c r="S1537" s="10">
        <f>data_redis_illX!G1371</f>
        <v>0</v>
      </c>
      <c r="T1537" s="10">
        <f>data_redis_illX!H1371</f>
        <v>0</v>
      </c>
      <c r="U1537" s="10">
        <f>data_redis_illX!I1371</f>
        <v>0</v>
      </c>
      <c r="V1537" s="10">
        <f>data_redis_illX!J1371</f>
        <v>0</v>
      </c>
      <c r="W1537" s="10">
        <f>data_redis_illX!K1371</f>
        <v>0</v>
      </c>
      <c r="X1537" s="10">
        <f>data_redis_illX!L1371</f>
        <v>0</v>
      </c>
      <c r="Y1537" s="5">
        <f t="shared" si="23"/>
        <v>0</v>
      </c>
    </row>
    <row r="1538" spans="16:25" x14ac:dyDescent="0.25">
      <c r="P1538" s="2" t="s">
        <v>28</v>
      </c>
      <c r="Q1538" s="10">
        <f>data_redis_illX!E1372</f>
        <v>0</v>
      </c>
      <c r="R1538" s="10">
        <f>data_redis_illX!F1372</f>
        <v>0</v>
      </c>
      <c r="S1538" s="10">
        <f>data_redis_illX!G1372</f>
        <v>1.3358772557436998</v>
      </c>
      <c r="T1538" s="10">
        <f>data_redis_illX!H1372</f>
        <v>4.3072357162074821</v>
      </c>
      <c r="U1538" s="10">
        <f>data_redis_illX!I1372</f>
        <v>1.0604792346962242</v>
      </c>
      <c r="V1538" s="10">
        <f>data_redis_illX!J1372</f>
        <v>0</v>
      </c>
      <c r="W1538" s="10">
        <f>data_redis_illX!K1372</f>
        <v>0</v>
      </c>
      <c r="X1538" s="10">
        <f>data_redis_illX!L1372</f>
        <v>0</v>
      </c>
      <c r="Y1538" s="5">
        <f t="shared" si="23"/>
        <v>6.7035922066474063</v>
      </c>
    </row>
    <row r="1539" spans="16:25" x14ac:dyDescent="0.25">
      <c r="P1539" s="2" t="s">
        <v>29</v>
      </c>
      <c r="Q1539" s="10">
        <f>data_redis_illX!E1373</f>
        <v>0</v>
      </c>
      <c r="R1539" s="10">
        <f>data_redis_illX!F1373</f>
        <v>0</v>
      </c>
      <c r="S1539" s="10">
        <f>data_redis_illX!G1373</f>
        <v>4.007631767231099</v>
      </c>
      <c r="T1539" s="10">
        <f>data_redis_illX!H1373</f>
        <v>4.3072357162074821</v>
      </c>
      <c r="U1539" s="10">
        <f>data_redis_illX!I1373</f>
        <v>0</v>
      </c>
      <c r="V1539" s="10">
        <f>data_redis_illX!J1373</f>
        <v>0</v>
      </c>
      <c r="W1539" s="10">
        <f>data_redis_illX!K1373</f>
        <v>0</v>
      </c>
      <c r="X1539" s="10">
        <f>data_redis_illX!L1373</f>
        <v>0</v>
      </c>
      <c r="Y1539" s="5">
        <f t="shared" si="23"/>
        <v>8.3148674834385812</v>
      </c>
    </row>
    <row r="1540" spans="16:25" x14ac:dyDescent="0.25">
      <c r="P1540" s="2" t="s">
        <v>30</v>
      </c>
      <c r="Q1540" s="10">
        <f>data_redis_illX!E1374</f>
        <v>0</v>
      </c>
      <c r="R1540" s="10">
        <f>data_redis_illX!F1374</f>
        <v>0</v>
      </c>
      <c r="S1540" s="10">
        <f>data_redis_illX!G1374</f>
        <v>1.3358772557436998</v>
      </c>
      <c r="T1540" s="10">
        <f>data_redis_illX!H1374</f>
        <v>4.3072357162074821</v>
      </c>
      <c r="U1540" s="10">
        <f>data_redis_illX!I1374</f>
        <v>1.0604792346962242</v>
      </c>
      <c r="V1540" s="10">
        <f>data_redis_illX!J1374</f>
        <v>0</v>
      </c>
      <c r="W1540" s="10">
        <f>data_redis_illX!K1374</f>
        <v>0</v>
      </c>
      <c r="X1540" s="10">
        <f>data_redis_illX!L1374</f>
        <v>0</v>
      </c>
      <c r="Y1540" s="5">
        <f t="shared" si="23"/>
        <v>6.7035922066474063</v>
      </c>
    </row>
    <row r="1541" spans="16:25" x14ac:dyDescent="0.25">
      <c r="P1541" s="2" t="s">
        <v>31</v>
      </c>
      <c r="Q1541" s="10">
        <f>data_redis_illX!E1375</f>
        <v>0</v>
      </c>
      <c r="R1541" s="10">
        <f>data_redis_illX!F1375</f>
        <v>0</v>
      </c>
      <c r="S1541" s="10">
        <f>data_redis_illX!G1375</f>
        <v>2.6717545114873995</v>
      </c>
      <c r="T1541" s="10">
        <f>data_redis_illX!H1375</f>
        <v>0</v>
      </c>
      <c r="U1541" s="10">
        <f>data_redis_illX!I1375</f>
        <v>2.1209584693924484</v>
      </c>
      <c r="V1541" s="10">
        <f>data_redis_illX!J1375</f>
        <v>0</v>
      </c>
      <c r="W1541" s="10">
        <f>data_redis_illX!K1375</f>
        <v>0</v>
      </c>
      <c r="X1541" s="10">
        <f>data_redis_illX!L1375</f>
        <v>0</v>
      </c>
      <c r="Y1541" s="5">
        <f t="shared" ref="Y1541:Y1604" si="24">SUM(Q1541:X1541)</f>
        <v>4.7927129808798483</v>
      </c>
    </row>
    <row r="1542" spans="16:25" x14ac:dyDescent="0.25">
      <c r="P1542" s="2" t="s">
        <v>32</v>
      </c>
      <c r="Q1542" s="10">
        <f>data_redis_illX!E1376</f>
        <v>0</v>
      </c>
      <c r="R1542" s="10">
        <f>data_redis_illX!F1376</f>
        <v>0</v>
      </c>
      <c r="S1542" s="10">
        <f>data_redis_illX!G1376</f>
        <v>0</v>
      </c>
      <c r="T1542" s="10">
        <f>data_redis_illX!H1376</f>
        <v>0</v>
      </c>
      <c r="U1542" s="10">
        <f>data_redis_illX!I1376</f>
        <v>0</v>
      </c>
      <c r="V1542" s="10">
        <f>data_redis_illX!J1376</f>
        <v>0</v>
      </c>
      <c r="W1542" s="10">
        <f>data_redis_illX!K1376</f>
        <v>0</v>
      </c>
      <c r="X1542" s="10">
        <f>data_redis_illX!L1376</f>
        <v>0</v>
      </c>
      <c r="Y1542" s="5">
        <f t="shared" si="24"/>
        <v>0</v>
      </c>
    </row>
    <row r="1543" spans="16:25" x14ac:dyDescent="0.25">
      <c r="P1543" s="2" t="s">
        <v>33</v>
      </c>
      <c r="Q1543" s="10">
        <f>data_redis_illX!E1377</f>
        <v>0</v>
      </c>
      <c r="R1543" s="10">
        <f>data_redis_illX!F1377</f>
        <v>0</v>
      </c>
      <c r="S1543" s="10">
        <f>data_redis_illX!G1377</f>
        <v>0</v>
      </c>
      <c r="T1543" s="10">
        <f>data_redis_illX!H1377</f>
        <v>0</v>
      </c>
      <c r="U1543" s="10">
        <f>data_redis_illX!I1377</f>
        <v>0</v>
      </c>
      <c r="V1543" s="10">
        <f>data_redis_illX!J1377</f>
        <v>0</v>
      </c>
      <c r="W1543" s="10">
        <f>data_redis_illX!K1377</f>
        <v>0</v>
      </c>
      <c r="X1543" s="10">
        <f>data_redis_illX!L1377</f>
        <v>0</v>
      </c>
      <c r="Y1543" s="5">
        <f t="shared" si="24"/>
        <v>0</v>
      </c>
    </row>
    <row r="1544" spans="16:25" x14ac:dyDescent="0.25">
      <c r="P1544" s="2" t="s">
        <v>34</v>
      </c>
      <c r="Q1544" s="10">
        <f>data_redis_illX!E1378</f>
        <v>0</v>
      </c>
      <c r="R1544" s="10">
        <f>data_redis_illX!F1378</f>
        <v>0</v>
      </c>
      <c r="S1544" s="10">
        <f>data_redis_illX!G1378</f>
        <v>0</v>
      </c>
      <c r="T1544" s="10">
        <f>data_redis_illX!H1378</f>
        <v>0</v>
      </c>
      <c r="U1544" s="10">
        <f>data_redis_illX!I1378</f>
        <v>0</v>
      </c>
      <c r="V1544" s="10">
        <f>data_redis_illX!J1378</f>
        <v>0</v>
      </c>
      <c r="W1544" s="10">
        <f>data_redis_illX!K1378</f>
        <v>0</v>
      </c>
      <c r="X1544" s="10">
        <f>data_redis_illX!L1378</f>
        <v>0</v>
      </c>
      <c r="Y1544" s="5">
        <f t="shared" si="24"/>
        <v>0</v>
      </c>
    </row>
    <row r="1545" spans="16:25" x14ac:dyDescent="0.25">
      <c r="P1545" s="2" t="s">
        <v>35</v>
      </c>
      <c r="Q1545" s="10">
        <f>data_redis_illX!E1379</f>
        <v>0</v>
      </c>
      <c r="R1545" s="10">
        <f>data_redis_illX!F1379</f>
        <v>0</v>
      </c>
      <c r="S1545" s="10">
        <f>data_redis_illX!G1379</f>
        <v>0</v>
      </c>
      <c r="T1545" s="10">
        <f>data_redis_illX!H1379</f>
        <v>0</v>
      </c>
      <c r="U1545" s="10">
        <f>data_redis_illX!I1379</f>
        <v>0</v>
      </c>
      <c r="V1545" s="10">
        <f>data_redis_illX!J1379</f>
        <v>0</v>
      </c>
      <c r="W1545" s="10">
        <f>data_redis_illX!K1379</f>
        <v>0</v>
      </c>
      <c r="X1545" s="10">
        <f>data_redis_illX!L1379</f>
        <v>0</v>
      </c>
      <c r="Y1545" s="5">
        <f t="shared" si="24"/>
        <v>0</v>
      </c>
    </row>
    <row r="1546" spans="16:25" x14ac:dyDescent="0.25">
      <c r="P1546" s="2" t="s">
        <v>36</v>
      </c>
      <c r="Q1546" s="10">
        <f>data_redis_illX!E1380</f>
        <v>0</v>
      </c>
      <c r="R1546" s="10">
        <f>data_redis_illX!F1380</f>
        <v>0</v>
      </c>
      <c r="S1546" s="10">
        <f>data_redis_illX!G1380</f>
        <v>0</v>
      </c>
      <c r="T1546" s="10">
        <f>data_redis_illX!H1380</f>
        <v>0</v>
      </c>
      <c r="U1546" s="10">
        <f>data_redis_illX!I1380</f>
        <v>0</v>
      </c>
      <c r="V1546" s="10">
        <f>data_redis_illX!J1380</f>
        <v>0</v>
      </c>
      <c r="W1546" s="10">
        <f>data_redis_illX!K1380</f>
        <v>0</v>
      </c>
      <c r="X1546" s="10">
        <f>data_redis_illX!L1380</f>
        <v>0</v>
      </c>
      <c r="Y1546" s="5">
        <f t="shared" si="24"/>
        <v>0</v>
      </c>
    </row>
    <row r="1547" spans="16:25" x14ac:dyDescent="0.25">
      <c r="P1547" s="2" t="s">
        <v>37</v>
      </c>
      <c r="Q1547" s="10">
        <f>data_redis_illX!E1381</f>
        <v>0</v>
      </c>
      <c r="R1547" s="10">
        <f>data_redis_illX!F1381</f>
        <v>0</v>
      </c>
      <c r="S1547" s="10">
        <f>data_redis_illX!G1381</f>
        <v>0</v>
      </c>
      <c r="T1547" s="10">
        <f>data_redis_illX!H1381</f>
        <v>0</v>
      </c>
      <c r="U1547" s="10">
        <f>data_redis_illX!I1381</f>
        <v>0</v>
      </c>
      <c r="V1547" s="10">
        <f>data_redis_illX!J1381</f>
        <v>0</v>
      </c>
      <c r="W1547" s="10">
        <f>data_redis_illX!K1381</f>
        <v>0</v>
      </c>
      <c r="X1547" s="10">
        <f>data_redis_illX!L1381</f>
        <v>0</v>
      </c>
      <c r="Y1547" s="5">
        <f t="shared" si="24"/>
        <v>0</v>
      </c>
    </row>
    <row r="1548" spans="16:25" x14ac:dyDescent="0.25">
      <c r="P1548" s="2" t="s">
        <v>38</v>
      </c>
      <c r="Q1548" s="10">
        <f>data_redis_illX!E1382</f>
        <v>0</v>
      </c>
      <c r="R1548" s="10">
        <f>data_redis_illX!F1382</f>
        <v>0</v>
      </c>
      <c r="S1548" s="10">
        <f>data_redis_illX!G1382</f>
        <v>0</v>
      </c>
      <c r="T1548" s="10">
        <f>data_redis_illX!H1382</f>
        <v>0</v>
      </c>
      <c r="U1548" s="10">
        <f>data_redis_illX!I1382</f>
        <v>0</v>
      </c>
      <c r="V1548" s="10">
        <f>data_redis_illX!J1382</f>
        <v>0</v>
      </c>
      <c r="W1548" s="10">
        <f>data_redis_illX!K1382</f>
        <v>0</v>
      </c>
      <c r="X1548" s="10">
        <f>data_redis_illX!L1382</f>
        <v>0</v>
      </c>
      <c r="Y1548" s="5">
        <f t="shared" si="24"/>
        <v>0</v>
      </c>
    </row>
    <row r="1549" spans="16:25" x14ac:dyDescent="0.25">
      <c r="P1549" s="2" t="s">
        <v>39</v>
      </c>
      <c r="Q1549" s="10">
        <f>data_redis_illX!E1383</f>
        <v>0</v>
      </c>
      <c r="R1549" s="10">
        <f>data_redis_illX!F1383</f>
        <v>0</v>
      </c>
      <c r="S1549" s="10">
        <f>data_redis_illX!G1383</f>
        <v>0</v>
      </c>
      <c r="T1549" s="10">
        <f>data_redis_illX!H1383</f>
        <v>0</v>
      </c>
      <c r="U1549" s="10">
        <f>data_redis_illX!I1383</f>
        <v>0</v>
      </c>
      <c r="V1549" s="10">
        <f>data_redis_illX!J1383</f>
        <v>0</v>
      </c>
      <c r="W1549" s="10">
        <f>data_redis_illX!K1383</f>
        <v>0</v>
      </c>
      <c r="X1549" s="10">
        <f>data_redis_illX!L1383</f>
        <v>0</v>
      </c>
      <c r="Y1549" s="5">
        <f t="shared" si="24"/>
        <v>0</v>
      </c>
    </row>
    <row r="1550" spans="16:25" x14ac:dyDescent="0.25">
      <c r="P1550" s="2" t="s">
        <v>40</v>
      </c>
      <c r="Q1550" s="10">
        <f>data_redis_illX!E1384</f>
        <v>0</v>
      </c>
      <c r="R1550" s="10">
        <f>data_redis_illX!F1384</f>
        <v>0</v>
      </c>
      <c r="S1550" s="10">
        <f>data_redis_illX!G1384</f>
        <v>0</v>
      </c>
      <c r="T1550" s="10">
        <f>data_redis_illX!H1384</f>
        <v>0</v>
      </c>
      <c r="U1550" s="10">
        <f>data_redis_illX!I1384</f>
        <v>0</v>
      </c>
      <c r="V1550" s="10">
        <f>data_redis_illX!J1384</f>
        <v>0</v>
      </c>
      <c r="W1550" s="10">
        <f>data_redis_illX!K1384</f>
        <v>0</v>
      </c>
      <c r="X1550" s="10">
        <f>data_redis_illX!L1384</f>
        <v>0</v>
      </c>
      <c r="Y1550" s="5">
        <f t="shared" si="24"/>
        <v>0</v>
      </c>
    </row>
    <row r="1551" spans="16:25" x14ac:dyDescent="0.25">
      <c r="P1551" s="2" t="s">
        <v>41</v>
      </c>
      <c r="Q1551" s="10">
        <f>data_redis_illX!E1385</f>
        <v>0</v>
      </c>
      <c r="R1551" s="10">
        <f>data_redis_illX!F1385</f>
        <v>0</v>
      </c>
      <c r="S1551" s="10">
        <f>data_redis_illX!G1385</f>
        <v>0</v>
      </c>
      <c r="T1551" s="10">
        <f>data_redis_illX!H1385</f>
        <v>1.0768089290518705</v>
      </c>
      <c r="U1551" s="10">
        <f>data_redis_illX!I1385</f>
        <v>0</v>
      </c>
      <c r="V1551" s="10">
        <f>data_redis_illX!J1385</f>
        <v>0</v>
      </c>
      <c r="W1551" s="10">
        <f>data_redis_illX!K1385</f>
        <v>0</v>
      </c>
      <c r="X1551" s="10">
        <f>data_redis_illX!L1385</f>
        <v>0</v>
      </c>
      <c r="Y1551" s="5">
        <f t="shared" si="24"/>
        <v>1.0768089290518705</v>
      </c>
    </row>
    <row r="1552" spans="16:25" x14ac:dyDescent="0.25">
      <c r="P1552" s="2" t="s">
        <v>42</v>
      </c>
      <c r="Q1552" s="10">
        <f>data_redis_illX!E1386</f>
        <v>0</v>
      </c>
      <c r="R1552" s="10">
        <f>data_redis_illX!F1386</f>
        <v>0</v>
      </c>
      <c r="S1552" s="10">
        <f>data_redis_illX!G1386</f>
        <v>1.3358772557436998</v>
      </c>
      <c r="T1552" s="10">
        <f>data_redis_illX!H1386</f>
        <v>2.1536178581037411</v>
      </c>
      <c r="U1552" s="10">
        <f>data_redis_illX!I1386</f>
        <v>0</v>
      </c>
      <c r="V1552" s="10">
        <f>data_redis_illX!J1386</f>
        <v>0</v>
      </c>
      <c r="W1552" s="10">
        <f>data_redis_illX!K1386</f>
        <v>0</v>
      </c>
      <c r="X1552" s="10">
        <f>data_redis_illX!L1386</f>
        <v>0</v>
      </c>
      <c r="Y1552" s="5">
        <f t="shared" si="24"/>
        <v>3.4894951138474406</v>
      </c>
    </row>
    <row r="1553" spans="13:25" x14ac:dyDescent="0.25">
      <c r="P1553" s="2" t="s">
        <v>43</v>
      </c>
      <c r="Q1553" s="10">
        <f>data_redis_illX!E1387</f>
        <v>0</v>
      </c>
      <c r="R1553" s="10">
        <f>data_redis_illX!F1387</f>
        <v>0</v>
      </c>
      <c r="S1553" s="10">
        <f>data_redis_illX!G1387</f>
        <v>1.3358772557436998</v>
      </c>
      <c r="T1553" s="10">
        <f>data_redis_illX!H1387</f>
        <v>0</v>
      </c>
      <c r="U1553" s="10">
        <f>data_redis_illX!I1387</f>
        <v>0</v>
      </c>
      <c r="V1553" s="10">
        <f>data_redis_illX!J1387</f>
        <v>0</v>
      </c>
      <c r="W1553" s="10">
        <f>data_redis_illX!K1387</f>
        <v>0</v>
      </c>
      <c r="X1553" s="10">
        <f>data_redis_illX!L1387</f>
        <v>0</v>
      </c>
      <c r="Y1553" s="5">
        <f t="shared" si="24"/>
        <v>1.3358772557436998</v>
      </c>
    </row>
    <row r="1554" spans="13:25" x14ac:dyDescent="0.25">
      <c r="P1554" s="2" t="s">
        <v>44</v>
      </c>
      <c r="Q1554" s="10">
        <f>data_redis_illX!E1388</f>
        <v>0</v>
      </c>
      <c r="R1554" s="10">
        <f>data_redis_illX!F1388</f>
        <v>0</v>
      </c>
      <c r="S1554" s="10">
        <f>data_redis_illX!G1388</f>
        <v>0</v>
      </c>
      <c r="T1554" s="10">
        <f>data_redis_illX!H1388</f>
        <v>0</v>
      </c>
      <c r="U1554" s="10">
        <f>data_redis_illX!I1388</f>
        <v>0</v>
      </c>
      <c r="V1554" s="10">
        <f>data_redis_illX!J1388</f>
        <v>0</v>
      </c>
      <c r="W1554" s="10">
        <f>data_redis_illX!K1388</f>
        <v>0</v>
      </c>
      <c r="X1554" s="10">
        <f>data_redis_illX!L1388</f>
        <v>0</v>
      </c>
      <c r="Y1554" s="5">
        <f t="shared" si="24"/>
        <v>0</v>
      </c>
    </row>
    <row r="1555" spans="13:25" x14ac:dyDescent="0.25">
      <c r="M1555" t="s">
        <v>115</v>
      </c>
      <c r="N1555" t="s">
        <v>116</v>
      </c>
      <c r="O1555" t="s">
        <v>47</v>
      </c>
      <c r="P1555" s="2" t="s">
        <v>12</v>
      </c>
      <c r="Q1555" s="10">
        <f>data_redis_illX!E1389</f>
        <v>0</v>
      </c>
      <c r="R1555" s="10">
        <f>data_redis_illX!F1389</f>
        <v>0</v>
      </c>
      <c r="S1555" s="10">
        <f>data_redis_illX!G1389</f>
        <v>0</v>
      </c>
      <c r="T1555" s="10">
        <f>data_redis_illX!H1389</f>
        <v>0</v>
      </c>
      <c r="U1555" s="10">
        <f>data_redis_illX!I1389</f>
        <v>0</v>
      </c>
      <c r="V1555" s="10">
        <f>data_redis_illX!J1389</f>
        <v>0</v>
      </c>
      <c r="W1555" s="10">
        <f>data_redis_illX!K1389</f>
        <v>0</v>
      </c>
      <c r="X1555" s="10">
        <f>data_redis_illX!L1389</f>
        <v>0</v>
      </c>
      <c r="Y1555" s="5">
        <f t="shared" si="24"/>
        <v>0</v>
      </c>
    </row>
    <row r="1556" spans="13:25" x14ac:dyDescent="0.25">
      <c r="P1556" s="2" t="s">
        <v>13</v>
      </c>
      <c r="Q1556" s="10">
        <f>data_redis_illX!E1390</f>
        <v>0</v>
      </c>
      <c r="R1556" s="10">
        <f>data_redis_illX!F1390</f>
        <v>0</v>
      </c>
      <c r="S1556" s="10">
        <f>data_redis_illX!G1390</f>
        <v>0</v>
      </c>
      <c r="T1556" s="10">
        <f>data_redis_illX!H1390</f>
        <v>0</v>
      </c>
      <c r="U1556" s="10">
        <f>data_redis_illX!I1390</f>
        <v>0</v>
      </c>
      <c r="V1556" s="10">
        <f>data_redis_illX!J1390</f>
        <v>0</v>
      </c>
      <c r="W1556" s="10">
        <f>data_redis_illX!K1390</f>
        <v>0</v>
      </c>
      <c r="X1556" s="10">
        <f>data_redis_illX!L1390</f>
        <v>0</v>
      </c>
      <c r="Y1556" s="5">
        <f t="shared" si="24"/>
        <v>0</v>
      </c>
    </row>
    <row r="1557" spans="13:25" x14ac:dyDescent="0.25">
      <c r="P1557" s="2" t="s">
        <v>14</v>
      </c>
      <c r="Q1557" s="10">
        <f>data_redis_illX!E1391</f>
        <v>0</v>
      </c>
      <c r="R1557" s="10">
        <f>data_redis_illX!F1391</f>
        <v>0</v>
      </c>
      <c r="S1557" s="10">
        <f>data_redis_illX!G1391</f>
        <v>0</v>
      </c>
      <c r="T1557" s="10">
        <f>data_redis_illX!H1391</f>
        <v>0</v>
      </c>
      <c r="U1557" s="10">
        <f>data_redis_illX!I1391</f>
        <v>0</v>
      </c>
      <c r="V1557" s="10">
        <f>data_redis_illX!J1391</f>
        <v>0</v>
      </c>
      <c r="W1557" s="10">
        <f>data_redis_illX!K1391</f>
        <v>0</v>
      </c>
      <c r="X1557" s="10">
        <f>data_redis_illX!L1391</f>
        <v>0</v>
      </c>
      <c r="Y1557" s="5">
        <f t="shared" si="24"/>
        <v>0</v>
      </c>
    </row>
    <row r="1558" spans="13:25" x14ac:dyDescent="0.25">
      <c r="P1558" s="2" t="s">
        <v>15</v>
      </c>
      <c r="Q1558" s="10">
        <f>data_redis_illX!E1392</f>
        <v>0</v>
      </c>
      <c r="R1558" s="10">
        <f>data_redis_illX!F1392</f>
        <v>0</v>
      </c>
      <c r="S1558" s="10">
        <f>data_redis_illX!G1392</f>
        <v>0</v>
      </c>
      <c r="T1558" s="10">
        <f>data_redis_illX!H1392</f>
        <v>0</v>
      </c>
      <c r="U1558" s="10">
        <f>data_redis_illX!I1392</f>
        <v>0</v>
      </c>
      <c r="V1558" s="10">
        <f>data_redis_illX!J1392</f>
        <v>0</v>
      </c>
      <c r="W1558" s="10">
        <f>data_redis_illX!K1392</f>
        <v>0</v>
      </c>
      <c r="X1558" s="10">
        <f>data_redis_illX!L1392</f>
        <v>0</v>
      </c>
      <c r="Y1558" s="5">
        <f t="shared" si="24"/>
        <v>0</v>
      </c>
    </row>
    <row r="1559" spans="13:25" x14ac:dyDescent="0.25">
      <c r="P1559" s="2" t="s">
        <v>16</v>
      </c>
      <c r="Q1559" s="10">
        <f>data_redis_illX!E1393</f>
        <v>0</v>
      </c>
      <c r="R1559" s="10">
        <f>data_redis_illX!F1393</f>
        <v>0</v>
      </c>
      <c r="S1559" s="10">
        <f>data_redis_illX!G1393</f>
        <v>0</v>
      </c>
      <c r="T1559" s="10">
        <f>data_redis_illX!H1393</f>
        <v>0</v>
      </c>
      <c r="U1559" s="10">
        <f>data_redis_illX!I1393</f>
        <v>0</v>
      </c>
      <c r="V1559" s="10">
        <f>data_redis_illX!J1393</f>
        <v>0</v>
      </c>
      <c r="W1559" s="10">
        <f>data_redis_illX!K1393</f>
        <v>0</v>
      </c>
      <c r="X1559" s="10">
        <f>data_redis_illX!L1393</f>
        <v>0</v>
      </c>
      <c r="Y1559" s="5">
        <f t="shared" si="24"/>
        <v>0</v>
      </c>
    </row>
    <row r="1560" spans="13:25" x14ac:dyDescent="0.25">
      <c r="P1560" s="2" t="s">
        <v>17</v>
      </c>
      <c r="Q1560" s="10">
        <f>data_redis_illX!E1394</f>
        <v>0</v>
      </c>
      <c r="R1560" s="10">
        <f>data_redis_illX!F1394</f>
        <v>0</v>
      </c>
      <c r="S1560" s="10">
        <f>data_redis_illX!G1394</f>
        <v>0</v>
      </c>
      <c r="T1560" s="10">
        <f>data_redis_illX!H1394</f>
        <v>0</v>
      </c>
      <c r="U1560" s="10">
        <f>data_redis_illX!I1394</f>
        <v>0</v>
      </c>
      <c r="V1560" s="10">
        <f>data_redis_illX!J1394</f>
        <v>0</v>
      </c>
      <c r="W1560" s="10">
        <f>data_redis_illX!K1394</f>
        <v>0</v>
      </c>
      <c r="X1560" s="10">
        <f>data_redis_illX!L1394</f>
        <v>0</v>
      </c>
      <c r="Y1560" s="5">
        <f t="shared" si="24"/>
        <v>0</v>
      </c>
    </row>
    <row r="1561" spans="13:25" x14ac:dyDescent="0.25">
      <c r="P1561" s="2" t="s">
        <v>18</v>
      </c>
      <c r="Q1561" s="10">
        <f>data_redis_illX!E1395</f>
        <v>0</v>
      </c>
      <c r="R1561" s="10">
        <f>data_redis_illX!F1395</f>
        <v>0</v>
      </c>
      <c r="S1561" s="10">
        <f>data_redis_illX!G1395</f>
        <v>0</v>
      </c>
      <c r="T1561" s="10">
        <f>data_redis_illX!H1395</f>
        <v>0</v>
      </c>
      <c r="U1561" s="10">
        <f>data_redis_illX!I1395</f>
        <v>0</v>
      </c>
      <c r="V1561" s="10">
        <f>data_redis_illX!J1395</f>
        <v>0</v>
      </c>
      <c r="W1561" s="10">
        <f>data_redis_illX!K1395</f>
        <v>0</v>
      </c>
      <c r="X1561" s="10">
        <f>data_redis_illX!L1395</f>
        <v>0</v>
      </c>
      <c r="Y1561" s="5">
        <f t="shared" si="24"/>
        <v>0</v>
      </c>
    </row>
    <row r="1562" spans="13:25" x14ac:dyDescent="0.25">
      <c r="P1562" s="2" t="s">
        <v>19</v>
      </c>
      <c r="Q1562" s="10">
        <f>data_redis_illX!E1396</f>
        <v>0</v>
      </c>
      <c r="R1562" s="10">
        <f>data_redis_illX!F1396</f>
        <v>0</v>
      </c>
      <c r="S1562" s="10">
        <f>data_redis_illX!G1396</f>
        <v>0</v>
      </c>
      <c r="T1562" s="10">
        <f>data_redis_illX!H1396</f>
        <v>0</v>
      </c>
      <c r="U1562" s="10">
        <f>data_redis_illX!I1396</f>
        <v>0</v>
      </c>
      <c r="V1562" s="10">
        <f>data_redis_illX!J1396</f>
        <v>0</v>
      </c>
      <c r="W1562" s="10">
        <f>data_redis_illX!K1396</f>
        <v>0</v>
      </c>
      <c r="X1562" s="10">
        <f>data_redis_illX!L1396</f>
        <v>0</v>
      </c>
      <c r="Y1562" s="5">
        <f t="shared" si="24"/>
        <v>0</v>
      </c>
    </row>
    <row r="1563" spans="13:25" x14ac:dyDescent="0.25">
      <c r="P1563" s="2" t="s">
        <v>20</v>
      </c>
      <c r="Q1563" s="10">
        <f>data_redis_illX!E1397</f>
        <v>0</v>
      </c>
      <c r="R1563" s="10">
        <f>data_redis_illX!F1397</f>
        <v>0</v>
      </c>
      <c r="S1563" s="10">
        <f>data_redis_illX!G1397</f>
        <v>0</v>
      </c>
      <c r="T1563" s="10">
        <f>data_redis_illX!H1397</f>
        <v>0</v>
      </c>
      <c r="U1563" s="10">
        <f>data_redis_illX!I1397</f>
        <v>0</v>
      </c>
      <c r="V1563" s="10">
        <f>data_redis_illX!J1397</f>
        <v>0</v>
      </c>
      <c r="W1563" s="10">
        <f>data_redis_illX!K1397</f>
        <v>0</v>
      </c>
      <c r="X1563" s="10">
        <f>data_redis_illX!L1397</f>
        <v>0</v>
      </c>
      <c r="Y1563" s="5">
        <f t="shared" si="24"/>
        <v>0</v>
      </c>
    </row>
    <row r="1564" spans="13:25" x14ac:dyDescent="0.25">
      <c r="P1564" s="2" t="s">
        <v>21</v>
      </c>
      <c r="Q1564" s="10">
        <f>data_redis_illX!E1398</f>
        <v>0</v>
      </c>
      <c r="R1564" s="10">
        <f>data_redis_illX!F1398</f>
        <v>0</v>
      </c>
      <c r="S1564" s="10">
        <f>data_redis_illX!G1398</f>
        <v>0</v>
      </c>
      <c r="T1564" s="10">
        <f>data_redis_illX!H1398</f>
        <v>0</v>
      </c>
      <c r="U1564" s="10">
        <f>data_redis_illX!I1398</f>
        <v>0</v>
      </c>
      <c r="V1564" s="10">
        <f>data_redis_illX!J1398</f>
        <v>0</v>
      </c>
      <c r="W1564" s="10">
        <f>data_redis_illX!K1398</f>
        <v>0</v>
      </c>
      <c r="X1564" s="10">
        <f>data_redis_illX!L1398</f>
        <v>0</v>
      </c>
      <c r="Y1564" s="5">
        <f t="shared" si="24"/>
        <v>0</v>
      </c>
    </row>
    <row r="1565" spans="13:25" x14ac:dyDescent="0.25">
      <c r="P1565" s="2" t="s">
        <v>22</v>
      </c>
      <c r="Q1565" s="10">
        <f>data_redis_illX!E1399</f>
        <v>0</v>
      </c>
      <c r="R1565" s="10">
        <f>data_redis_illX!F1399</f>
        <v>0</v>
      </c>
      <c r="S1565" s="10">
        <f>data_redis_illX!G1399</f>
        <v>0</v>
      </c>
      <c r="T1565" s="10">
        <f>data_redis_illX!H1399</f>
        <v>0</v>
      </c>
      <c r="U1565" s="10">
        <f>data_redis_illX!I1399</f>
        <v>0</v>
      </c>
      <c r="V1565" s="10">
        <f>data_redis_illX!J1399</f>
        <v>0</v>
      </c>
      <c r="W1565" s="10">
        <f>data_redis_illX!K1399</f>
        <v>0</v>
      </c>
      <c r="X1565" s="10">
        <f>data_redis_illX!L1399</f>
        <v>0</v>
      </c>
      <c r="Y1565" s="5">
        <f t="shared" si="24"/>
        <v>0</v>
      </c>
    </row>
    <row r="1566" spans="13:25" x14ac:dyDescent="0.25">
      <c r="P1566" s="2" t="s">
        <v>23</v>
      </c>
      <c r="Q1566" s="10">
        <f>data_redis_illX!E1400</f>
        <v>0</v>
      </c>
      <c r="R1566" s="10">
        <f>data_redis_illX!F1400</f>
        <v>0</v>
      </c>
      <c r="S1566" s="10">
        <f>data_redis_illX!G1400</f>
        <v>0</v>
      </c>
      <c r="T1566" s="10">
        <f>data_redis_illX!H1400</f>
        <v>0</v>
      </c>
      <c r="U1566" s="10">
        <f>data_redis_illX!I1400</f>
        <v>0</v>
      </c>
      <c r="V1566" s="10">
        <f>data_redis_illX!J1400</f>
        <v>0</v>
      </c>
      <c r="W1566" s="10">
        <f>data_redis_illX!K1400</f>
        <v>0</v>
      </c>
      <c r="X1566" s="10">
        <f>data_redis_illX!L1400</f>
        <v>0</v>
      </c>
      <c r="Y1566" s="5">
        <f t="shared" si="24"/>
        <v>0</v>
      </c>
    </row>
    <row r="1567" spans="13:25" x14ac:dyDescent="0.25">
      <c r="P1567" s="2" t="s">
        <v>24</v>
      </c>
      <c r="Q1567" s="10">
        <f>data_redis_illX!E1401</f>
        <v>0</v>
      </c>
      <c r="R1567" s="10">
        <f>data_redis_illX!F1401</f>
        <v>0</v>
      </c>
      <c r="S1567" s="10">
        <f>data_redis_illX!G1401</f>
        <v>0</v>
      </c>
      <c r="T1567" s="10">
        <f>data_redis_illX!H1401</f>
        <v>0</v>
      </c>
      <c r="U1567" s="10">
        <f>data_redis_illX!I1401</f>
        <v>0</v>
      </c>
      <c r="V1567" s="10">
        <f>data_redis_illX!J1401</f>
        <v>0</v>
      </c>
      <c r="W1567" s="10">
        <f>data_redis_illX!K1401</f>
        <v>0</v>
      </c>
      <c r="X1567" s="10">
        <f>data_redis_illX!L1401</f>
        <v>0</v>
      </c>
      <c r="Y1567" s="5">
        <f t="shared" si="24"/>
        <v>0</v>
      </c>
    </row>
    <row r="1568" spans="13:25" x14ac:dyDescent="0.25">
      <c r="P1568" s="2" t="s">
        <v>25</v>
      </c>
      <c r="Q1568" s="10">
        <f>data_redis_illX!E1402</f>
        <v>0</v>
      </c>
      <c r="R1568" s="10">
        <f>data_redis_illX!F1402</f>
        <v>0</v>
      </c>
      <c r="S1568" s="10">
        <f>data_redis_illX!G1402</f>
        <v>0</v>
      </c>
      <c r="T1568" s="10">
        <f>data_redis_illX!H1402</f>
        <v>0</v>
      </c>
      <c r="U1568" s="10">
        <f>data_redis_illX!I1402</f>
        <v>0</v>
      </c>
      <c r="V1568" s="10">
        <f>data_redis_illX!J1402</f>
        <v>0</v>
      </c>
      <c r="W1568" s="10">
        <f>data_redis_illX!K1402</f>
        <v>0</v>
      </c>
      <c r="X1568" s="10">
        <f>data_redis_illX!L1402</f>
        <v>0</v>
      </c>
      <c r="Y1568" s="5">
        <f t="shared" si="24"/>
        <v>0</v>
      </c>
    </row>
    <row r="1569" spans="16:25" x14ac:dyDescent="0.25">
      <c r="P1569" s="2" t="s">
        <v>26</v>
      </c>
      <c r="Q1569" s="10">
        <f>data_redis_illX!E1403</f>
        <v>0</v>
      </c>
      <c r="R1569" s="10">
        <f>data_redis_illX!F1403</f>
        <v>0</v>
      </c>
      <c r="S1569" s="10">
        <f>data_redis_illX!G1403</f>
        <v>0</v>
      </c>
      <c r="T1569" s="10">
        <f>data_redis_illX!H1403</f>
        <v>0</v>
      </c>
      <c r="U1569" s="10">
        <f>data_redis_illX!I1403</f>
        <v>0</v>
      </c>
      <c r="V1569" s="10">
        <f>data_redis_illX!J1403</f>
        <v>0</v>
      </c>
      <c r="W1569" s="10">
        <f>data_redis_illX!K1403</f>
        <v>0</v>
      </c>
      <c r="X1569" s="10">
        <f>data_redis_illX!L1403</f>
        <v>0</v>
      </c>
      <c r="Y1569" s="5">
        <f t="shared" si="24"/>
        <v>0</v>
      </c>
    </row>
    <row r="1570" spans="16:25" x14ac:dyDescent="0.25">
      <c r="P1570" s="2" t="s">
        <v>27</v>
      </c>
      <c r="Q1570" s="10">
        <f>data_redis_illX!E1404</f>
        <v>0</v>
      </c>
      <c r="R1570" s="10">
        <f>data_redis_illX!F1404</f>
        <v>0</v>
      </c>
      <c r="S1570" s="10">
        <f>data_redis_illX!G1404</f>
        <v>0</v>
      </c>
      <c r="T1570" s="10">
        <f>data_redis_illX!H1404</f>
        <v>0</v>
      </c>
      <c r="U1570" s="10">
        <f>data_redis_illX!I1404</f>
        <v>0</v>
      </c>
      <c r="V1570" s="10">
        <f>data_redis_illX!J1404</f>
        <v>0</v>
      </c>
      <c r="W1570" s="10">
        <f>data_redis_illX!K1404</f>
        <v>0</v>
      </c>
      <c r="X1570" s="10">
        <f>data_redis_illX!L1404</f>
        <v>0</v>
      </c>
      <c r="Y1570" s="5">
        <f t="shared" si="24"/>
        <v>0</v>
      </c>
    </row>
    <row r="1571" spans="16:25" x14ac:dyDescent="0.25">
      <c r="P1571" s="2" t="s">
        <v>28</v>
      </c>
      <c r="Q1571" s="10">
        <f>data_redis_illX!E1405</f>
        <v>0</v>
      </c>
      <c r="R1571" s="10">
        <f>data_redis_illX!F1405</f>
        <v>0</v>
      </c>
      <c r="S1571" s="10">
        <f>data_redis_illX!G1405</f>
        <v>0</v>
      </c>
      <c r="T1571" s="10">
        <f>data_redis_illX!H1405</f>
        <v>0</v>
      </c>
      <c r="U1571" s="10">
        <f>data_redis_illX!I1405</f>
        <v>0</v>
      </c>
      <c r="V1571" s="10">
        <f>data_redis_illX!J1405</f>
        <v>0</v>
      </c>
      <c r="W1571" s="10">
        <f>data_redis_illX!K1405</f>
        <v>0</v>
      </c>
      <c r="X1571" s="10">
        <f>data_redis_illX!L1405</f>
        <v>0</v>
      </c>
      <c r="Y1571" s="5">
        <f t="shared" si="24"/>
        <v>0</v>
      </c>
    </row>
    <row r="1572" spans="16:25" x14ac:dyDescent="0.25">
      <c r="P1572" s="2" t="s">
        <v>29</v>
      </c>
      <c r="Q1572" s="10">
        <f>data_redis_illX!E1406</f>
        <v>0</v>
      </c>
      <c r="R1572" s="10">
        <f>data_redis_illX!F1406</f>
        <v>0</v>
      </c>
      <c r="S1572" s="10">
        <f>data_redis_illX!G1406</f>
        <v>0</v>
      </c>
      <c r="T1572" s="10">
        <f>data_redis_illX!H1406</f>
        <v>0</v>
      </c>
      <c r="U1572" s="10">
        <f>data_redis_illX!I1406</f>
        <v>0</v>
      </c>
      <c r="V1572" s="10">
        <f>data_redis_illX!J1406</f>
        <v>0</v>
      </c>
      <c r="W1572" s="10">
        <f>data_redis_illX!K1406</f>
        <v>0</v>
      </c>
      <c r="X1572" s="10">
        <f>data_redis_illX!L1406</f>
        <v>0</v>
      </c>
      <c r="Y1572" s="5">
        <f t="shared" si="24"/>
        <v>0</v>
      </c>
    </row>
    <row r="1573" spans="16:25" x14ac:dyDescent="0.25">
      <c r="P1573" s="2" t="s">
        <v>30</v>
      </c>
      <c r="Q1573" s="10">
        <f>data_redis_illX!E1407</f>
        <v>0</v>
      </c>
      <c r="R1573" s="10">
        <f>data_redis_illX!F1407</f>
        <v>0</v>
      </c>
      <c r="S1573" s="10">
        <f>data_redis_illX!G1407</f>
        <v>0</v>
      </c>
      <c r="T1573" s="10">
        <f>data_redis_illX!H1407</f>
        <v>0</v>
      </c>
      <c r="U1573" s="10">
        <f>data_redis_illX!I1407</f>
        <v>0</v>
      </c>
      <c r="V1573" s="10">
        <f>data_redis_illX!J1407</f>
        <v>0</v>
      </c>
      <c r="W1573" s="10">
        <f>data_redis_illX!K1407</f>
        <v>0</v>
      </c>
      <c r="X1573" s="10">
        <f>data_redis_illX!L1407</f>
        <v>0</v>
      </c>
      <c r="Y1573" s="5">
        <f t="shared" si="24"/>
        <v>0</v>
      </c>
    </row>
    <row r="1574" spans="16:25" x14ac:dyDescent="0.25">
      <c r="P1574" s="2" t="s">
        <v>31</v>
      </c>
      <c r="Q1574" s="10">
        <f>data_redis_illX!E1408</f>
        <v>0</v>
      </c>
      <c r="R1574" s="10">
        <f>data_redis_illX!F1408</f>
        <v>0</v>
      </c>
      <c r="S1574" s="10">
        <f>data_redis_illX!G1408</f>
        <v>0</v>
      </c>
      <c r="T1574" s="10">
        <f>data_redis_illX!H1408</f>
        <v>0</v>
      </c>
      <c r="U1574" s="10">
        <f>data_redis_illX!I1408</f>
        <v>0</v>
      </c>
      <c r="V1574" s="10">
        <f>data_redis_illX!J1408</f>
        <v>0</v>
      </c>
      <c r="W1574" s="10">
        <f>data_redis_illX!K1408</f>
        <v>0</v>
      </c>
      <c r="X1574" s="10">
        <f>data_redis_illX!L1408</f>
        <v>0</v>
      </c>
      <c r="Y1574" s="5">
        <f t="shared" si="24"/>
        <v>0</v>
      </c>
    </row>
    <row r="1575" spans="16:25" x14ac:dyDescent="0.25">
      <c r="P1575" s="2" t="s">
        <v>32</v>
      </c>
      <c r="Q1575" s="10">
        <f>data_redis_illX!E1409</f>
        <v>0</v>
      </c>
      <c r="R1575" s="10">
        <f>data_redis_illX!F1409</f>
        <v>0</v>
      </c>
      <c r="S1575" s="10">
        <f>data_redis_illX!G1409</f>
        <v>0</v>
      </c>
      <c r="T1575" s="10">
        <f>data_redis_illX!H1409</f>
        <v>0</v>
      </c>
      <c r="U1575" s="10">
        <f>data_redis_illX!I1409</f>
        <v>0</v>
      </c>
      <c r="V1575" s="10">
        <f>data_redis_illX!J1409</f>
        <v>0</v>
      </c>
      <c r="W1575" s="10">
        <f>data_redis_illX!K1409</f>
        <v>0</v>
      </c>
      <c r="X1575" s="10">
        <f>data_redis_illX!L1409</f>
        <v>0</v>
      </c>
      <c r="Y1575" s="5">
        <f t="shared" si="24"/>
        <v>0</v>
      </c>
    </row>
    <row r="1576" spans="16:25" x14ac:dyDescent="0.25">
      <c r="P1576" s="2" t="s">
        <v>33</v>
      </c>
      <c r="Q1576" s="10">
        <f>data_redis_illX!E1410</f>
        <v>0</v>
      </c>
      <c r="R1576" s="10">
        <f>data_redis_illX!F1410</f>
        <v>0</v>
      </c>
      <c r="S1576" s="10">
        <f>data_redis_illX!G1410</f>
        <v>0</v>
      </c>
      <c r="T1576" s="10">
        <f>data_redis_illX!H1410</f>
        <v>0</v>
      </c>
      <c r="U1576" s="10">
        <f>data_redis_illX!I1410</f>
        <v>0</v>
      </c>
      <c r="V1576" s="10">
        <f>data_redis_illX!J1410</f>
        <v>0</v>
      </c>
      <c r="W1576" s="10">
        <f>data_redis_illX!K1410</f>
        <v>0</v>
      </c>
      <c r="X1576" s="10">
        <f>data_redis_illX!L1410</f>
        <v>0</v>
      </c>
      <c r="Y1576" s="5">
        <f t="shared" si="24"/>
        <v>0</v>
      </c>
    </row>
    <row r="1577" spans="16:25" x14ac:dyDescent="0.25">
      <c r="P1577" s="2" t="s">
        <v>34</v>
      </c>
      <c r="Q1577" s="10">
        <f>data_redis_illX!E1411</f>
        <v>0</v>
      </c>
      <c r="R1577" s="10">
        <f>data_redis_illX!F1411</f>
        <v>0</v>
      </c>
      <c r="S1577" s="10">
        <f>data_redis_illX!G1411</f>
        <v>0</v>
      </c>
      <c r="T1577" s="10">
        <f>data_redis_illX!H1411</f>
        <v>0</v>
      </c>
      <c r="U1577" s="10">
        <f>data_redis_illX!I1411</f>
        <v>0</v>
      </c>
      <c r="V1577" s="10">
        <f>data_redis_illX!J1411</f>
        <v>0</v>
      </c>
      <c r="W1577" s="10">
        <f>data_redis_illX!K1411</f>
        <v>0</v>
      </c>
      <c r="X1577" s="10">
        <f>data_redis_illX!L1411</f>
        <v>0</v>
      </c>
      <c r="Y1577" s="5">
        <f t="shared" si="24"/>
        <v>0</v>
      </c>
    </row>
    <row r="1578" spans="16:25" x14ac:dyDescent="0.25">
      <c r="P1578" s="2" t="s">
        <v>35</v>
      </c>
      <c r="Q1578" s="10">
        <f>data_redis_illX!E1412</f>
        <v>0</v>
      </c>
      <c r="R1578" s="10">
        <f>data_redis_illX!F1412</f>
        <v>0</v>
      </c>
      <c r="S1578" s="10">
        <f>data_redis_illX!G1412</f>
        <v>0</v>
      </c>
      <c r="T1578" s="10">
        <f>data_redis_illX!H1412</f>
        <v>0</v>
      </c>
      <c r="U1578" s="10">
        <f>data_redis_illX!I1412</f>
        <v>0</v>
      </c>
      <c r="V1578" s="10">
        <f>data_redis_illX!J1412</f>
        <v>0</v>
      </c>
      <c r="W1578" s="10">
        <f>data_redis_illX!K1412</f>
        <v>0</v>
      </c>
      <c r="X1578" s="10">
        <f>data_redis_illX!L1412</f>
        <v>0</v>
      </c>
      <c r="Y1578" s="5">
        <f t="shared" si="24"/>
        <v>0</v>
      </c>
    </row>
    <row r="1579" spans="16:25" x14ac:dyDescent="0.25">
      <c r="P1579" s="2" t="s">
        <v>36</v>
      </c>
      <c r="Q1579" s="10">
        <f>data_redis_illX!E1413</f>
        <v>0</v>
      </c>
      <c r="R1579" s="10">
        <f>data_redis_illX!F1413</f>
        <v>0</v>
      </c>
      <c r="S1579" s="10">
        <f>data_redis_illX!G1413</f>
        <v>0</v>
      </c>
      <c r="T1579" s="10">
        <f>data_redis_illX!H1413</f>
        <v>0</v>
      </c>
      <c r="U1579" s="10">
        <f>data_redis_illX!I1413</f>
        <v>0</v>
      </c>
      <c r="V1579" s="10">
        <f>data_redis_illX!J1413</f>
        <v>0</v>
      </c>
      <c r="W1579" s="10">
        <f>data_redis_illX!K1413</f>
        <v>0</v>
      </c>
      <c r="X1579" s="10">
        <f>data_redis_illX!L1413</f>
        <v>0</v>
      </c>
      <c r="Y1579" s="5">
        <f t="shared" si="24"/>
        <v>0</v>
      </c>
    </row>
    <row r="1580" spans="16:25" x14ac:dyDescent="0.25">
      <c r="P1580" s="2" t="s">
        <v>37</v>
      </c>
      <c r="Q1580" s="10">
        <f>data_redis_illX!E1414</f>
        <v>0</v>
      </c>
      <c r="R1580" s="10">
        <f>data_redis_illX!F1414</f>
        <v>0</v>
      </c>
      <c r="S1580" s="10">
        <f>data_redis_illX!G1414</f>
        <v>0</v>
      </c>
      <c r="T1580" s="10">
        <f>data_redis_illX!H1414</f>
        <v>0</v>
      </c>
      <c r="U1580" s="10">
        <f>data_redis_illX!I1414</f>
        <v>0</v>
      </c>
      <c r="V1580" s="10">
        <f>data_redis_illX!J1414</f>
        <v>0</v>
      </c>
      <c r="W1580" s="10">
        <f>data_redis_illX!K1414</f>
        <v>0</v>
      </c>
      <c r="X1580" s="10">
        <f>data_redis_illX!L1414</f>
        <v>0</v>
      </c>
      <c r="Y1580" s="5">
        <f t="shared" si="24"/>
        <v>0</v>
      </c>
    </row>
    <row r="1581" spans="16:25" x14ac:dyDescent="0.25">
      <c r="P1581" s="2" t="s">
        <v>38</v>
      </c>
      <c r="Q1581" s="10">
        <f>data_redis_illX!E1415</f>
        <v>0</v>
      </c>
      <c r="R1581" s="10">
        <f>data_redis_illX!F1415</f>
        <v>0</v>
      </c>
      <c r="S1581" s="10">
        <f>data_redis_illX!G1415</f>
        <v>0</v>
      </c>
      <c r="T1581" s="10">
        <f>data_redis_illX!H1415</f>
        <v>0</v>
      </c>
      <c r="U1581" s="10">
        <f>data_redis_illX!I1415</f>
        <v>0</v>
      </c>
      <c r="V1581" s="10">
        <f>data_redis_illX!J1415</f>
        <v>0</v>
      </c>
      <c r="W1581" s="10">
        <f>data_redis_illX!K1415</f>
        <v>0</v>
      </c>
      <c r="X1581" s="10">
        <f>data_redis_illX!L1415</f>
        <v>0</v>
      </c>
      <c r="Y1581" s="5">
        <f t="shared" si="24"/>
        <v>0</v>
      </c>
    </row>
    <row r="1582" spans="16:25" x14ac:dyDescent="0.25">
      <c r="P1582" s="2" t="s">
        <v>39</v>
      </c>
      <c r="Q1582" s="10">
        <f>data_redis_illX!E1416</f>
        <v>0</v>
      </c>
      <c r="R1582" s="10">
        <f>data_redis_illX!F1416</f>
        <v>0</v>
      </c>
      <c r="S1582" s="10">
        <f>data_redis_illX!G1416</f>
        <v>0</v>
      </c>
      <c r="T1582" s="10">
        <f>data_redis_illX!H1416</f>
        <v>0</v>
      </c>
      <c r="U1582" s="10">
        <f>data_redis_illX!I1416</f>
        <v>0</v>
      </c>
      <c r="V1582" s="10">
        <f>data_redis_illX!J1416</f>
        <v>0</v>
      </c>
      <c r="W1582" s="10">
        <f>data_redis_illX!K1416</f>
        <v>0</v>
      </c>
      <c r="X1582" s="10">
        <f>data_redis_illX!L1416</f>
        <v>0</v>
      </c>
      <c r="Y1582" s="5">
        <f t="shared" si="24"/>
        <v>0</v>
      </c>
    </row>
    <row r="1583" spans="16:25" x14ac:dyDescent="0.25">
      <c r="P1583" s="2" t="s">
        <v>40</v>
      </c>
      <c r="Q1583" s="10">
        <f>data_redis_illX!E1417</f>
        <v>0</v>
      </c>
      <c r="R1583" s="10">
        <f>data_redis_illX!F1417</f>
        <v>0</v>
      </c>
      <c r="S1583" s="10">
        <f>data_redis_illX!G1417</f>
        <v>0</v>
      </c>
      <c r="T1583" s="10">
        <f>data_redis_illX!H1417</f>
        <v>0</v>
      </c>
      <c r="U1583" s="10">
        <f>data_redis_illX!I1417</f>
        <v>0</v>
      </c>
      <c r="V1583" s="10">
        <f>data_redis_illX!J1417</f>
        <v>0</v>
      </c>
      <c r="W1583" s="10">
        <f>data_redis_illX!K1417</f>
        <v>0</v>
      </c>
      <c r="X1583" s="10">
        <f>data_redis_illX!L1417</f>
        <v>0</v>
      </c>
      <c r="Y1583" s="5">
        <f t="shared" si="24"/>
        <v>0</v>
      </c>
    </row>
    <row r="1584" spans="16:25" x14ac:dyDescent="0.25">
      <c r="P1584" s="2" t="s">
        <v>41</v>
      </c>
      <c r="Q1584" s="10">
        <f>data_redis_illX!E1418</f>
        <v>0</v>
      </c>
      <c r="R1584" s="10">
        <f>data_redis_illX!F1418</f>
        <v>0</v>
      </c>
      <c r="S1584" s="10">
        <f>data_redis_illX!G1418</f>
        <v>0</v>
      </c>
      <c r="T1584" s="10">
        <f>data_redis_illX!H1418</f>
        <v>0</v>
      </c>
      <c r="U1584" s="10">
        <f>data_redis_illX!I1418</f>
        <v>0</v>
      </c>
      <c r="V1584" s="10">
        <f>data_redis_illX!J1418</f>
        <v>0</v>
      </c>
      <c r="W1584" s="10">
        <f>data_redis_illX!K1418</f>
        <v>0</v>
      </c>
      <c r="X1584" s="10">
        <f>data_redis_illX!L1418</f>
        <v>0</v>
      </c>
      <c r="Y1584" s="5">
        <f t="shared" si="24"/>
        <v>0</v>
      </c>
    </row>
    <row r="1585" spans="13:25" x14ac:dyDescent="0.25">
      <c r="P1585" s="2" t="s">
        <v>42</v>
      </c>
      <c r="Q1585" s="10">
        <f>data_redis_illX!E1419</f>
        <v>0</v>
      </c>
      <c r="R1585" s="10">
        <f>data_redis_illX!F1419</f>
        <v>0</v>
      </c>
      <c r="S1585" s="10">
        <f>data_redis_illX!G1419</f>
        <v>0</v>
      </c>
      <c r="T1585" s="10">
        <f>data_redis_illX!H1419</f>
        <v>0</v>
      </c>
      <c r="U1585" s="10">
        <f>data_redis_illX!I1419</f>
        <v>0</v>
      </c>
      <c r="V1585" s="10">
        <f>data_redis_illX!J1419</f>
        <v>0</v>
      </c>
      <c r="W1585" s="10">
        <f>data_redis_illX!K1419</f>
        <v>0</v>
      </c>
      <c r="X1585" s="10">
        <f>data_redis_illX!L1419</f>
        <v>0</v>
      </c>
      <c r="Y1585" s="5">
        <f t="shared" si="24"/>
        <v>0</v>
      </c>
    </row>
    <row r="1586" spans="13:25" x14ac:dyDescent="0.25">
      <c r="P1586" s="2" t="s">
        <v>43</v>
      </c>
      <c r="Q1586" s="10">
        <f>data_redis_illX!E1420</f>
        <v>0</v>
      </c>
      <c r="R1586" s="10">
        <f>data_redis_illX!F1420</f>
        <v>0</v>
      </c>
      <c r="S1586" s="10">
        <f>data_redis_illX!G1420</f>
        <v>0</v>
      </c>
      <c r="T1586" s="10">
        <f>data_redis_illX!H1420</f>
        <v>0</v>
      </c>
      <c r="U1586" s="10">
        <f>data_redis_illX!I1420</f>
        <v>0</v>
      </c>
      <c r="V1586" s="10">
        <f>data_redis_illX!J1420</f>
        <v>0</v>
      </c>
      <c r="W1586" s="10">
        <f>data_redis_illX!K1420</f>
        <v>0</v>
      </c>
      <c r="X1586" s="10">
        <f>data_redis_illX!L1420</f>
        <v>0</v>
      </c>
      <c r="Y1586" s="5">
        <f t="shared" si="24"/>
        <v>0</v>
      </c>
    </row>
    <row r="1587" spans="13:25" x14ac:dyDescent="0.25">
      <c r="P1587" s="2" t="s">
        <v>44</v>
      </c>
      <c r="Q1587" s="10">
        <f>data_redis_illX!E1421</f>
        <v>0</v>
      </c>
      <c r="R1587" s="10">
        <f>data_redis_illX!F1421</f>
        <v>0</v>
      </c>
      <c r="S1587" s="10">
        <f>data_redis_illX!G1421</f>
        <v>0</v>
      </c>
      <c r="T1587" s="10">
        <f>data_redis_illX!H1421</f>
        <v>0</v>
      </c>
      <c r="U1587" s="10">
        <f>data_redis_illX!I1421</f>
        <v>0</v>
      </c>
      <c r="V1587" s="10">
        <f>data_redis_illX!J1421</f>
        <v>0</v>
      </c>
      <c r="W1587" s="10">
        <f>data_redis_illX!K1421</f>
        <v>0</v>
      </c>
      <c r="X1587" s="10">
        <f>data_redis_illX!L1421</f>
        <v>0</v>
      </c>
      <c r="Y1587" s="5">
        <f t="shared" si="24"/>
        <v>0</v>
      </c>
    </row>
    <row r="1588" spans="13:25" x14ac:dyDescent="0.25">
      <c r="M1588" t="s">
        <v>115</v>
      </c>
      <c r="N1588" t="s">
        <v>116</v>
      </c>
      <c r="O1588" t="s">
        <v>48</v>
      </c>
      <c r="P1588" s="2" t="s">
        <v>12</v>
      </c>
      <c r="Q1588" s="10">
        <f>data_redis_illX!E1422</f>
        <v>0</v>
      </c>
      <c r="R1588" s="10">
        <f>data_redis_illX!F1422</f>
        <v>0</v>
      </c>
      <c r="S1588" s="10">
        <f>data_redis_illX!G1422</f>
        <v>0</v>
      </c>
      <c r="T1588" s="10">
        <f>data_redis_illX!H1422</f>
        <v>0</v>
      </c>
      <c r="U1588" s="10">
        <f>data_redis_illX!I1422</f>
        <v>0</v>
      </c>
      <c r="V1588" s="10">
        <f>data_redis_illX!J1422</f>
        <v>0</v>
      </c>
      <c r="W1588" s="10">
        <f>data_redis_illX!K1422</f>
        <v>0</v>
      </c>
      <c r="X1588" s="10">
        <f>data_redis_illX!L1422</f>
        <v>0</v>
      </c>
      <c r="Y1588" s="5">
        <f t="shared" si="24"/>
        <v>0</v>
      </c>
    </row>
    <row r="1589" spans="13:25" x14ac:dyDescent="0.25">
      <c r="P1589" s="2" t="s">
        <v>13</v>
      </c>
      <c r="Q1589" s="10">
        <f>data_redis_illX!E1423</f>
        <v>0</v>
      </c>
      <c r="R1589" s="10">
        <f>data_redis_illX!F1423</f>
        <v>0</v>
      </c>
      <c r="S1589" s="10">
        <f>data_redis_illX!G1423</f>
        <v>0</v>
      </c>
      <c r="T1589" s="10">
        <f>data_redis_illX!H1423</f>
        <v>0</v>
      </c>
      <c r="U1589" s="10">
        <f>data_redis_illX!I1423</f>
        <v>0</v>
      </c>
      <c r="V1589" s="10">
        <f>data_redis_illX!J1423</f>
        <v>0</v>
      </c>
      <c r="W1589" s="10">
        <f>data_redis_illX!K1423</f>
        <v>0</v>
      </c>
      <c r="X1589" s="10">
        <f>data_redis_illX!L1423</f>
        <v>0</v>
      </c>
      <c r="Y1589" s="5">
        <f t="shared" si="24"/>
        <v>0</v>
      </c>
    </row>
    <row r="1590" spans="13:25" x14ac:dyDescent="0.25">
      <c r="P1590" s="2" t="s">
        <v>14</v>
      </c>
      <c r="Q1590" s="10">
        <f>data_redis_illX!E1424</f>
        <v>0</v>
      </c>
      <c r="R1590" s="10">
        <f>data_redis_illX!F1424</f>
        <v>0</v>
      </c>
      <c r="S1590" s="10">
        <f>data_redis_illX!G1424</f>
        <v>0</v>
      </c>
      <c r="T1590" s="10">
        <f>data_redis_illX!H1424</f>
        <v>0</v>
      </c>
      <c r="U1590" s="10">
        <f>data_redis_illX!I1424</f>
        <v>0</v>
      </c>
      <c r="V1590" s="10">
        <f>data_redis_illX!J1424</f>
        <v>0</v>
      </c>
      <c r="W1590" s="10">
        <f>data_redis_illX!K1424</f>
        <v>0</v>
      </c>
      <c r="X1590" s="10">
        <f>data_redis_illX!L1424</f>
        <v>0</v>
      </c>
      <c r="Y1590" s="5">
        <f t="shared" si="24"/>
        <v>0</v>
      </c>
    </row>
    <row r="1591" spans="13:25" x14ac:dyDescent="0.25">
      <c r="P1591" s="2" t="s">
        <v>15</v>
      </c>
      <c r="Q1591" s="10">
        <f>data_redis_illX!E1425</f>
        <v>0</v>
      </c>
      <c r="R1591" s="10">
        <f>data_redis_illX!F1425</f>
        <v>0</v>
      </c>
      <c r="S1591" s="10">
        <f>data_redis_illX!G1425</f>
        <v>0</v>
      </c>
      <c r="T1591" s="10">
        <f>data_redis_illX!H1425</f>
        <v>0</v>
      </c>
      <c r="U1591" s="10">
        <f>data_redis_illX!I1425</f>
        <v>0</v>
      </c>
      <c r="V1591" s="10">
        <f>data_redis_illX!J1425</f>
        <v>0</v>
      </c>
      <c r="W1591" s="10">
        <f>data_redis_illX!K1425</f>
        <v>0</v>
      </c>
      <c r="X1591" s="10">
        <f>data_redis_illX!L1425</f>
        <v>0</v>
      </c>
      <c r="Y1591" s="5">
        <f t="shared" si="24"/>
        <v>0</v>
      </c>
    </row>
    <row r="1592" spans="13:25" x14ac:dyDescent="0.25">
      <c r="P1592" s="2" t="s">
        <v>16</v>
      </c>
      <c r="Q1592" s="10">
        <f>data_redis_illX!E1426</f>
        <v>0</v>
      </c>
      <c r="R1592" s="10">
        <f>data_redis_illX!F1426</f>
        <v>0</v>
      </c>
      <c r="S1592" s="10">
        <f>data_redis_illX!G1426</f>
        <v>0</v>
      </c>
      <c r="T1592" s="10">
        <f>data_redis_illX!H1426</f>
        <v>0</v>
      </c>
      <c r="U1592" s="10">
        <f>data_redis_illX!I1426</f>
        <v>0</v>
      </c>
      <c r="V1592" s="10">
        <f>data_redis_illX!J1426</f>
        <v>0</v>
      </c>
      <c r="W1592" s="10">
        <f>data_redis_illX!K1426</f>
        <v>0</v>
      </c>
      <c r="X1592" s="10">
        <f>data_redis_illX!L1426</f>
        <v>0</v>
      </c>
      <c r="Y1592" s="5">
        <f t="shared" si="24"/>
        <v>0</v>
      </c>
    </row>
    <row r="1593" spans="13:25" x14ac:dyDescent="0.25">
      <c r="P1593" s="2" t="s">
        <v>17</v>
      </c>
      <c r="Q1593" s="10">
        <f>data_redis_illX!E1427</f>
        <v>0</v>
      </c>
      <c r="R1593" s="10">
        <f>data_redis_illX!F1427</f>
        <v>0</v>
      </c>
      <c r="S1593" s="10">
        <f>data_redis_illX!G1427</f>
        <v>0</v>
      </c>
      <c r="T1593" s="10">
        <f>data_redis_illX!H1427</f>
        <v>0</v>
      </c>
      <c r="U1593" s="10">
        <f>data_redis_illX!I1427</f>
        <v>0</v>
      </c>
      <c r="V1593" s="10">
        <f>data_redis_illX!J1427</f>
        <v>0</v>
      </c>
      <c r="W1593" s="10">
        <f>data_redis_illX!K1427</f>
        <v>0</v>
      </c>
      <c r="X1593" s="10">
        <f>data_redis_illX!L1427</f>
        <v>0</v>
      </c>
      <c r="Y1593" s="5">
        <f t="shared" si="24"/>
        <v>0</v>
      </c>
    </row>
    <row r="1594" spans="13:25" x14ac:dyDescent="0.25">
      <c r="P1594" s="2" t="s">
        <v>18</v>
      </c>
      <c r="Q1594" s="10">
        <f>data_redis_illX!E1428</f>
        <v>0</v>
      </c>
      <c r="R1594" s="10">
        <f>data_redis_illX!F1428</f>
        <v>0</v>
      </c>
      <c r="S1594" s="10">
        <f>data_redis_illX!G1428</f>
        <v>0</v>
      </c>
      <c r="T1594" s="10">
        <f>data_redis_illX!H1428</f>
        <v>0</v>
      </c>
      <c r="U1594" s="10">
        <f>data_redis_illX!I1428</f>
        <v>0</v>
      </c>
      <c r="V1594" s="10">
        <f>data_redis_illX!J1428</f>
        <v>0</v>
      </c>
      <c r="W1594" s="10">
        <f>data_redis_illX!K1428</f>
        <v>0</v>
      </c>
      <c r="X1594" s="10">
        <f>data_redis_illX!L1428</f>
        <v>0</v>
      </c>
      <c r="Y1594" s="5">
        <f t="shared" si="24"/>
        <v>0</v>
      </c>
    </row>
    <row r="1595" spans="13:25" x14ac:dyDescent="0.25">
      <c r="P1595" s="2" t="s">
        <v>19</v>
      </c>
      <c r="Q1595" s="10">
        <f>data_redis_illX!E1429</f>
        <v>0</v>
      </c>
      <c r="R1595" s="10">
        <f>data_redis_illX!F1429</f>
        <v>0</v>
      </c>
      <c r="S1595" s="10">
        <f>data_redis_illX!G1429</f>
        <v>0</v>
      </c>
      <c r="T1595" s="10">
        <f>data_redis_illX!H1429</f>
        <v>0</v>
      </c>
      <c r="U1595" s="10">
        <f>data_redis_illX!I1429</f>
        <v>0</v>
      </c>
      <c r="V1595" s="10">
        <f>data_redis_illX!J1429</f>
        <v>0</v>
      </c>
      <c r="W1595" s="10">
        <f>data_redis_illX!K1429</f>
        <v>0</v>
      </c>
      <c r="X1595" s="10">
        <f>data_redis_illX!L1429</f>
        <v>0</v>
      </c>
      <c r="Y1595" s="5">
        <f t="shared" si="24"/>
        <v>0</v>
      </c>
    </row>
    <row r="1596" spans="13:25" x14ac:dyDescent="0.25">
      <c r="P1596" s="2" t="s">
        <v>20</v>
      </c>
      <c r="Q1596" s="10">
        <f>data_redis_illX!E1430</f>
        <v>0</v>
      </c>
      <c r="R1596" s="10">
        <f>data_redis_illX!F1430</f>
        <v>0</v>
      </c>
      <c r="S1596" s="10">
        <f>data_redis_illX!G1430</f>
        <v>0</v>
      </c>
      <c r="T1596" s="10">
        <f>data_redis_illX!H1430</f>
        <v>0</v>
      </c>
      <c r="U1596" s="10">
        <f>data_redis_illX!I1430</f>
        <v>0</v>
      </c>
      <c r="V1596" s="10">
        <f>data_redis_illX!J1430</f>
        <v>0</v>
      </c>
      <c r="W1596" s="10">
        <f>data_redis_illX!K1430</f>
        <v>0</v>
      </c>
      <c r="X1596" s="10">
        <f>data_redis_illX!L1430</f>
        <v>0</v>
      </c>
      <c r="Y1596" s="5">
        <f t="shared" si="24"/>
        <v>0</v>
      </c>
    </row>
    <row r="1597" spans="13:25" x14ac:dyDescent="0.25">
      <c r="P1597" s="2" t="s">
        <v>21</v>
      </c>
      <c r="Q1597" s="10">
        <f>data_redis_illX!E1431</f>
        <v>0</v>
      </c>
      <c r="R1597" s="10">
        <f>data_redis_illX!F1431</f>
        <v>0</v>
      </c>
      <c r="S1597" s="10">
        <f>data_redis_illX!G1431</f>
        <v>0</v>
      </c>
      <c r="T1597" s="10">
        <f>data_redis_illX!H1431</f>
        <v>0</v>
      </c>
      <c r="U1597" s="10">
        <f>data_redis_illX!I1431</f>
        <v>0</v>
      </c>
      <c r="V1597" s="10">
        <f>data_redis_illX!J1431</f>
        <v>0</v>
      </c>
      <c r="W1597" s="10">
        <f>data_redis_illX!K1431</f>
        <v>0</v>
      </c>
      <c r="X1597" s="10">
        <f>data_redis_illX!L1431</f>
        <v>0</v>
      </c>
      <c r="Y1597" s="5">
        <f t="shared" si="24"/>
        <v>0</v>
      </c>
    </row>
    <row r="1598" spans="13:25" x14ac:dyDescent="0.25">
      <c r="P1598" s="2" t="s">
        <v>22</v>
      </c>
      <c r="Q1598" s="10">
        <f>data_redis_illX!E1432</f>
        <v>0</v>
      </c>
      <c r="R1598" s="10">
        <f>data_redis_illX!F1432</f>
        <v>0</v>
      </c>
      <c r="S1598" s="10">
        <f>data_redis_illX!G1432</f>
        <v>0</v>
      </c>
      <c r="T1598" s="10">
        <f>data_redis_illX!H1432</f>
        <v>0</v>
      </c>
      <c r="U1598" s="10">
        <f>data_redis_illX!I1432</f>
        <v>0</v>
      </c>
      <c r="V1598" s="10">
        <f>data_redis_illX!J1432</f>
        <v>0</v>
      </c>
      <c r="W1598" s="10">
        <f>data_redis_illX!K1432</f>
        <v>0</v>
      </c>
      <c r="X1598" s="10">
        <f>data_redis_illX!L1432</f>
        <v>0</v>
      </c>
      <c r="Y1598" s="5">
        <f t="shared" si="24"/>
        <v>0</v>
      </c>
    </row>
    <row r="1599" spans="13:25" x14ac:dyDescent="0.25">
      <c r="P1599" s="2" t="s">
        <v>23</v>
      </c>
      <c r="Q1599" s="10">
        <f>data_redis_illX!E1433</f>
        <v>0</v>
      </c>
      <c r="R1599" s="10">
        <f>data_redis_illX!F1433</f>
        <v>0</v>
      </c>
      <c r="S1599" s="10">
        <f>data_redis_illX!G1433</f>
        <v>0</v>
      </c>
      <c r="T1599" s="10">
        <f>data_redis_illX!H1433</f>
        <v>0</v>
      </c>
      <c r="U1599" s="10">
        <f>data_redis_illX!I1433</f>
        <v>0</v>
      </c>
      <c r="V1599" s="10">
        <f>data_redis_illX!J1433</f>
        <v>0</v>
      </c>
      <c r="W1599" s="10">
        <f>data_redis_illX!K1433</f>
        <v>0</v>
      </c>
      <c r="X1599" s="10">
        <f>data_redis_illX!L1433</f>
        <v>0</v>
      </c>
      <c r="Y1599" s="5">
        <f t="shared" si="24"/>
        <v>0</v>
      </c>
    </row>
    <row r="1600" spans="13:25" x14ac:dyDescent="0.25">
      <c r="P1600" s="2" t="s">
        <v>24</v>
      </c>
      <c r="Q1600" s="10">
        <f>data_redis_illX!E1434</f>
        <v>0</v>
      </c>
      <c r="R1600" s="10">
        <f>data_redis_illX!F1434</f>
        <v>0</v>
      </c>
      <c r="S1600" s="10">
        <f>data_redis_illX!G1434</f>
        <v>0</v>
      </c>
      <c r="T1600" s="10">
        <f>data_redis_illX!H1434</f>
        <v>0</v>
      </c>
      <c r="U1600" s="10">
        <f>data_redis_illX!I1434</f>
        <v>0</v>
      </c>
      <c r="V1600" s="10">
        <f>data_redis_illX!J1434</f>
        <v>0</v>
      </c>
      <c r="W1600" s="10">
        <f>data_redis_illX!K1434</f>
        <v>0</v>
      </c>
      <c r="X1600" s="10">
        <f>data_redis_illX!L1434</f>
        <v>0</v>
      </c>
      <c r="Y1600" s="5">
        <f t="shared" si="24"/>
        <v>0</v>
      </c>
    </row>
    <row r="1601" spans="16:25" x14ac:dyDescent="0.25">
      <c r="P1601" s="2" t="s">
        <v>25</v>
      </c>
      <c r="Q1601" s="10">
        <f>data_redis_illX!E1435</f>
        <v>0</v>
      </c>
      <c r="R1601" s="10">
        <f>data_redis_illX!F1435</f>
        <v>0</v>
      </c>
      <c r="S1601" s="10">
        <f>data_redis_illX!G1435</f>
        <v>0</v>
      </c>
      <c r="T1601" s="10">
        <f>data_redis_illX!H1435</f>
        <v>0</v>
      </c>
      <c r="U1601" s="10">
        <f>data_redis_illX!I1435</f>
        <v>0</v>
      </c>
      <c r="V1601" s="10">
        <f>data_redis_illX!J1435</f>
        <v>0</v>
      </c>
      <c r="W1601" s="10">
        <f>data_redis_illX!K1435</f>
        <v>0</v>
      </c>
      <c r="X1601" s="10">
        <f>data_redis_illX!L1435</f>
        <v>0</v>
      </c>
      <c r="Y1601" s="5">
        <f t="shared" si="24"/>
        <v>0</v>
      </c>
    </row>
    <row r="1602" spans="16:25" x14ac:dyDescent="0.25">
      <c r="P1602" s="2" t="s">
        <v>26</v>
      </c>
      <c r="Q1602" s="10">
        <f>data_redis_illX!E1436</f>
        <v>0</v>
      </c>
      <c r="R1602" s="10">
        <f>data_redis_illX!F1436</f>
        <v>0</v>
      </c>
      <c r="S1602" s="10">
        <f>data_redis_illX!G1436</f>
        <v>0</v>
      </c>
      <c r="T1602" s="10">
        <f>data_redis_illX!H1436</f>
        <v>0</v>
      </c>
      <c r="U1602" s="10">
        <f>data_redis_illX!I1436</f>
        <v>0</v>
      </c>
      <c r="V1602" s="10">
        <f>data_redis_illX!J1436</f>
        <v>0</v>
      </c>
      <c r="W1602" s="10">
        <f>data_redis_illX!K1436</f>
        <v>0</v>
      </c>
      <c r="X1602" s="10">
        <f>data_redis_illX!L1436</f>
        <v>0</v>
      </c>
      <c r="Y1602" s="5">
        <f t="shared" si="24"/>
        <v>0</v>
      </c>
    </row>
    <row r="1603" spans="16:25" x14ac:dyDescent="0.25">
      <c r="P1603" s="2" t="s">
        <v>27</v>
      </c>
      <c r="Q1603" s="10">
        <f>data_redis_illX!E1437</f>
        <v>0</v>
      </c>
      <c r="R1603" s="10">
        <f>data_redis_illX!F1437</f>
        <v>0</v>
      </c>
      <c r="S1603" s="10">
        <f>data_redis_illX!G1437</f>
        <v>0</v>
      </c>
      <c r="T1603" s="10">
        <f>data_redis_illX!H1437</f>
        <v>0</v>
      </c>
      <c r="U1603" s="10">
        <f>data_redis_illX!I1437</f>
        <v>0</v>
      </c>
      <c r="V1603" s="10">
        <f>data_redis_illX!J1437</f>
        <v>0</v>
      </c>
      <c r="W1603" s="10">
        <f>data_redis_illX!K1437</f>
        <v>0</v>
      </c>
      <c r="X1603" s="10">
        <f>data_redis_illX!L1437</f>
        <v>0</v>
      </c>
      <c r="Y1603" s="5">
        <f t="shared" si="24"/>
        <v>0</v>
      </c>
    </row>
    <row r="1604" spans="16:25" x14ac:dyDescent="0.25">
      <c r="P1604" s="2" t="s">
        <v>28</v>
      </c>
      <c r="Q1604" s="10">
        <f>data_redis_illX!E1438</f>
        <v>0</v>
      </c>
      <c r="R1604" s="10">
        <f>data_redis_illX!F1438</f>
        <v>0</v>
      </c>
      <c r="S1604" s="10">
        <f>data_redis_illX!G1438</f>
        <v>0</v>
      </c>
      <c r="T1604" s="10">
        <f>data_redis_illX!H1438</f>
        <v>0</v>
      </c>
      <c r="U1604" s="10">
        <f>data_redis_illX!I1438</f>
        <v>0</v>
      </c>
      <c r="V1604" s="10">
        <f>data_redis_illX!J1438</f>
        <v>0</v>
      </c>
      <c r="W1604" s="10">
        <f>data_redis_illX!K1438</f>
        <v>0</v>
      </c>
      <c r="X1604" s="10">
        <f>data_redis_illX!L1438</f>
        <v>0</v>
      </c>
      <c r="Y1604" s="5">
        <f t="shared" si="24"/>
        <v>0</v>
      </c>
    </row>
    <row r="1605" spans="16:25" x14ac:dyDescent="0.25">
      <c r="P1605" s="2" t="s">
        <v>29</v>
      </c>
      <c r="Q1605" s="10">
        <f>data_redis_illX!E1439</f>
        <v>0</v>
      </c>
      <c r="R1605" s="10">
        <f>data_redis_illX!F1439</f>
        <v>0</v>
      </c>
      <c r="S1605" s="10">
        <f>data_redis_illX!G1439</f>
        <v>0</v>
      </c>
      <c r="T1605" s="10">
        <f>data_redis_illX!H1439</f>
        <v>0</v>
      </c>
      <c r="U1605" s="10">
        <f>data_redis_illX!I1439</f>
        <v>0</v>
      </c>
      <c r="V1605" s="10">
        <f>data_redis_illX!J1439</f>
        <v>0</v>
      </c>
      <c r="W1605" s="10">
        <f>data_redis_illX!K1439</f>
        <v>0</v>
      </c>
      <c r="X1605" s="10">
        <f>data_redis_illX!L1439</f>
        <v>0</v>
      </c>
      <c r="Y1605" s="5">
        <f t="shared" ref="Y1605:Y1668" si="25">SUM(Q1605:X1605)</f>
        <v>0</v>
      </c>
    </row>
    <row r="1606" spans="16:25" x14ac:dyDescent="0.25">
      <c r="P1606" s="2" t="s">
        <v>30</v>
      </c>
      <c r="Q1606" s="10">
        <f>data_redis_illX!E1440</f>
        <v>0</v>
      </c>
      <c r="R1606" s="10">
        <f>data_redis_illX!F1440</f>
        <v>0</v>
      </c>
      <c r="S1606" s="10">
        <f>data_redis_illX!G1440</f>
        <v>0</v>
      </c>
      <c r="T1606" s="10">
        <f>data_redis_illX!H1440</f>
        <v>0</v>
      </c>
      <c r="U1606" s="10">
        <f>data_redis_illX!I1440</f>
        <v>0</v>
      </c>
      <c r="V1606" s="10">
        <f>data_redis_illX!J1440</f>
        <v>0</v>
      </c>
      <c r="W1606" s="10">
        <f>data_redis_illX!K1440</f>
        <v>0</v>
      </c>
      <c r="X1606" s="10">
        <f>data_redis_illX!L1440</f>
        <v>0</v>
      </c>
      <c r="Y1606" s="5">
        <f t="shared" si="25"/>
        <v>0</v>
      </c>
    </row>
    <row r="1607" spans="16:25" x14ac:dyDescent="0.25">
      <c r="P1607" s="2" t="s">
        <v>31</v>
      </c>
      <c r="Q1607" s="10">
        <f>data_redis_illX!E1441</f>
        <v>0</v>
      </c>
      <c r="R1607" s="10">
        <f>data_redis_illX!F1441</f>
        <v>0</v>
      </c>
      <c r="S1607" s="10">
        <f>data_redis_illX!G1441</f>
        <v>0</v>
      </c>
      <c r="T1607" s="10">
        <f>data_redis_illX!H1441</f>
        <v>0</v>
      </c>
      <c r="U1607" s="10">
        <f>data_redis_illX!I1441</f>
        <v>0</v>
      </c>
      <c r="V1607" s="10">
        <f>data_redis_illX!J1441</f>
        <v>0</v>
      </c>
      <c r="W1607" s="10">
        <f>data_redis_illX!K1441</f>
        <v>0</v>
      </c>
      <c r="X1607" s="10">
        <f>data_redis_illX!L1441</f>
        <v>0</v>
      </c>
      <c r="Y1607" s="5">
        <f t="shared" si="25"/>
        <v>0</v>
      </c>
    </row>
    <row r="1608" spans="16:25" x14ac:dyDescent="0.25">
      <c r="P1608" s="2" t="s">
        <v>32</v>
      </c>
      <c r="Q1608" s="10">
        <f>data_redis_illX!E1442</f>
        <v>0</v>
      </c>
      <c r="R1608" s="10">
        <f>data_redis_illX!F1442</f>
        <v>0</v>
      </c>
      <c r="S1608" s="10">
        <f>data_redis_illX!G1442</f>
        <v>0</v>
      </c>
      <c r="T1608" s="10">
        <f>data_redis_illX!H1442</f>
        <v>0</v>
      </c>
      <c r="U1608" s="10">
        <f>data_redis_illX!I1442</f>
        <v>0</v>
      </c>
      <c r="V1608" s="10">
        <f>data_redis_illX!J1442</f>
        <v>0</v>
      </c>
      <c r="W1608" s="10">
        <f>data_redis_illX!K1442</f>
        <v>0</v>
      </c>
      <c r="X1608" s="10">
        <f>data_redis_illX!L1442</f>
        <v>0</v>
      </c>
      <c r="Y1608" s="5">
        <f t="shared" si="25"/>
        <v>0</v>
      </c>
    </row>
    <row r="1609" spans="16:25" x14ac:dyDescent="0.25">
      <c r="P1609" s="2" t="s">
        <v>33</v>
      </c>
      <c r="Q1609" s="10">
        <f>data_redis_illX!E1443</f>
        <v>0</v>
      </c>
      <c r="R1609" s="10">
        <f>data_redis_illX!F1443</f>
        <v>0</v>
      </c>
      <c r="S1609" s="10">
        <f>data_redis_illX!G1443</f>
        <v>0</v>
      </c>
      <c r="T1609" s="10">
        <f>data_redis_illX!H1443</f>
        <v>0</v>
      </c>
      <c r="U1609" s="10">
        <f>data_redis_illX!I1443</f>
        <v>0</v>
      </c>
      <c r="V1609" s="10">
        <f>data_redis_illX!J1443</f>
        <v>0</v>
      </c>
      <c r="W1609" s="10">
        <f>data_redis_illX!K1443</f>
        <v>0</v>
      </c>
      <c r="X1609" s="10">
        <f>data_redis_illX!L1443</f>
        <v>0</v>
      </c>
      <c r="Y1609" s="5">
        <f t="shared" si="25"/>
        <v>0</v>
      </c>
    </row>
    <row r="1610" spans="16:25" x14ac:dyDescent="0.25">
      <c r="P1610" s="2" t="s">
        <v>34</v>
      </c>
      <c r="Q1610" s="10">
        <f>data_redis_illX!E1444</f>
        <v>0</v>
      </c>
      <c r="R1610" s="10">
        <f>data_redis_illX!F1444</f>
        <v>0</v>
      </c>
      <c r="S1610" s="10">
        <f>data_redis_illX!G1444</f>
        <v>0</v>
      </c>
      <c r="T1610" s="10">
        <f>data_redis_illX!H1444</f>
        <v>0</v>
      </c>
      <c r="U1610" s="10">
        <f>data_redis_illX!I1444</f>
        <v>0</v>
      </c>
      <c r="V1610" s="10">
        <f>data_redis_illX!J1444</f>
        <v>0</v>
      </c>
      <c r="W1610" s="10">
        <f>data_redis_illX!K1444</f>
        <v>0</v>
      </c>
      <c r="X1610" s="10">
        <f>data_redis_illX!L1444</f>
        <v>0</v>
      </c>
      <c r="Y1610" s="5">
        <f t="shared" si="25"/>
        <v>0</v>
      </c>
    </row>
    <row r="1611" spans="16:25" x14ac:dyDescent="0.25">
      <c r="P1611" s="2" t="s">
        <v>35</v>
      </c>
      <c r="Q1611" s="10">
        <f>data_redis_illX!E1445</f>
        <v>0</v>
      </c>
      <c r="R1611" s="10">
        <f>data_redis_illX!F1445</f>
        <v>0</v>
      </c>
      <c r="S1611" s="10">
        <f>data_redis_illX!G1445</f>
        <v>0</v>
      </c>
      <c r="T1611" s="10">
        <f>data_redis_illX!H1445</f>
        <v>0</v>
      </c>
      <c r="U1611" s="10">
        <f>data_redis_illX!I1445</f>
        <v>0</v>
      </c>
      <c r="V1611" s="10">
        <f>data_redis_illX!J1445</f>
        <v>0</v>
      </c>
      <c r="W1611" s="10">
        <f>data_redis_illX!K1445</f>
        <v>0</v>
      </c>
      <c r="X1611" s="10">
        <f>data_redis_illX!L1445</f>
        <v>0</v>
      </c>
      <c r="Y1611" s="5">
        <f t="shared" si="25"/>
        <v>0</v>
      </c>
    </row>
    <row r="1612" spans="16:25" x14ac:dyDescent="0.25">
      <c r="P1612" s="2" t="s">
        <v>36</v>
      </c>
      <c r="Q1612" s="10">
        <f>data_redis_illX!E1446</f>
        <v>0</v>
      </c>
      <c r="R1612" s="10">
        <f>data_redis_illX!F1446</f>
        <v>0</v>
      </c>
      <c r="S1612" s="10">
        <f>data_redis_illX!G1446</f>
        <v>0</v>
      </c>
      <c r="T1612" s="10">
        <f>data_redis_illX!H1446</f>
        <v>0</v>
      </c>
      <c r="U1612" s="10">
        <f>data_redis_illX!I1446</f>
        <v>0</v>
      </c>
      <c r="V1612" s="10">
        <f>data_redis_illX!J1446</f>
        <v>0</v>
      </c>
      <c r="W1612" s="10">
        <f>data_redis_illX!K1446</f>
        <v>0</v>
      </c>
      <c r="X1612" s="10">
        <f>data_redis_illX!L1446</f>
        <v>0</v>
      </c>
      <c r="Y1612" s="5">
        <f t="shared" si="25"/>
        <v>0</v>
      </c>
    </row>
    <row r="1613" spans="16:25" x14ac:dyDescent="0.25">
      <c r="P1613" s="2" t="s">
        <v>37</v>
      </c>
      <c r="Q1613" s="10">
        <f>data_redis_illX!E1447</f>
        <v>0</v>
      </c>
      <c r="R1613" s="10">
        <f>data_redis_illX!F1447</f>
        <v>0</v>
      </c>
      <c r="S1613" s="10">
        <f>data_redis_illX!G1447</f>
        <v>0</v>
      </c>
      <c r="T1613" s="10">
        <f>data_redis_illX!H1447</f>
        <v>0</v>
      </c>
      <c r="U1613" s="10">
        <f>data_redis_illX!I1447</f>
        <v>0</v>
      </c>
      <c r="V1613" s="10">
        <f>data_redis_illX!J1447</f>
        <v>0</v>
      </c>
      <c r="W1613" s="10">
        <f>data_redis_illX!K1447</f>
        <v>0</v>
      </c>
      <c r="X1613" s="10">
        <f>data_redis_illX!L1447</f>
        <v>0</v>
      </c>
      <c r="Y1613" s="5">
        <f t="shared" si="25"/>
        <v>0</v>
      </c>
    </row>
    <row r="1614" spans="16:25" x14ac:dyDescent="0.25">
      <c r="P1614" s="2" t="s">
        <v>38</v>
      </c>
      <c r="Q1614" s="10">
        <f>data_redis_illX!E1448</f>
        <v>0</v>
      </c>
      <c r="R1614" s="10">
        <f>data_redis_illX!F1448</f>
        <v>0</v>
      </c>
      <c r="S1614" s="10">
        <f>data_redis_illX!G1448</f>
        <v>0</v>
      </c>
      <c r="T1614" s="10">
        <f>data_redis_illX!H1448</f>
        <v>0</v>
      </c>
      <c r="U1614" s="10">
        <f>data_redis_illX!I1448</f>
        <v>0</v>
      </c>
      <c r="V1614" s="10">
        <f>data_redis_illX!J1448</f>
        <v>0</v>
      </c>
      <c r="W1614" s="10">
        <f>data_redis_illX!K1448</f>
        <v>0</v>
      </c>
      <c r="X1614" s="10">
        <f>data_redis_illX!L1448</f>
        <v>0</v>
      </c>
      <c r="Y1614" s="5">
        <f t="shared" si="25"/>
        <v>0</v>
      </c>
    </row>
    <row r="1615" spans="16:25" x14ac:dyDescent="0.25">
      <c r="P1615" s="2" t="s">
        <v>39</v>
      </c>
      <c r="Q1615" s="10">
        <f>data_redis_illX!E1449</f>
        <v>0</v>
      </c>
      <c r="R1615" s="10">
        <f>data_redis_illX!F1449</f>
        <v>0</v>
      </c>
      <c r="S1615" s="10">
        <f>data_redis_illX!G1449</f>
        <v>0</v>
      </c>
      <c r="T1615" s="10">
        <f>data_redis_illX!H1449</f>
        <v>0</v>
      </c>
      <c r="U1615" s="10">
        <f>data_redis_illX!I1449</f>
        <v>0</v>
      </c>
      <c r="V1615" s="10">
        <f>data_redis_illX!J1449</f>
        <v>0</v>
      </c>
      <c r="W1615" s="10">
        <f>data_redis_illX!K1449</f>
        <v>0</v>
      </c>
      <c r="X1615" s="10">
        <f>data_redis_illX!L1449</f>
        <v>0</v>
      </c>
      <c r="Y1615" s="5">
        <f t="shared" si="25"/>
        <v>0</v>
      </c>
    </row>
    <row r="1616" spans="16:25" x14ac:dyDescent="0.25">
      <c r="P1616" s="2" t="s">
        <v>40</v>
      </c>
      <c r="Q1616" s="10">
        <f>data_redis_illX!E1450</f>
        <v>0</v>
      </c>
      <c r="R1616" s="10">
        <f>data_redis_illX!F1450</f>
        <v>0</v>
      </c>
      <c r="S1616" s="10">
        <f>data_redis_illX!G1450</f>
        <v>0</v>
      </c>
      <c r="T1616" s="10">
        <f>data_redis_illX!H1450</f>
        <v>0</v>
      </c>
      <c r="U1616" s="10">
        <f>data_redis_illX!I1450</f>
        <v>0</v>
      </c>
      <c r="V1616" s="10">
        <f>data_redis_illX!J1450</f>
        <v>0</v>
      </c>
      <c r="W1616" s="10">
        <f>data_redis_illX!K1450</f>
        <v>0</v>
      </c>
      <c r="X1616" s="10">
        <f>data_redis_illX!L1450</f>
        <v>0</v>
      </c>
      <c r="Y1616" s="5">
        <f t="shared" si="25"/>
        <v>0</v>
      </c>
    </row>
    <row r="1617" spans="13:25" x14ac:dyDescent="0.25">
      <c r="P1617" s="2" t="s">
        <v>41</v>
      </c>
      <c r="Q1617" s="10">
        <f>data_redis_illX!E1451</f>
        <v>0</v>
      </c>
      <c r="R1617" s="10">
        <f>data_redis_illX!F1451</f>
        <v>0</v>
      </c>
      <c r="S1617" s="10">
        <f>data_redis_illX!G1451</f>
        <v>0</v>
      </c>
      <c r="T1617" s="10">
        <f>data_redis_illX!H1451</f>
        <v>0</v>
      </c>
      <c r="U1617" s="10">
        <f>data_redis_illX!I1451</f>
        <v>0</v>
      </c>
      <c r="V1617" s="10">
        <f>data_redis_illX!J1451</f>
        <v>0</v>
      </c>
      <c r="W1617" s="10">
        <f>data_redis_illX!K1451</f>
        <v>0</v>
      </c>
      <c r="X1617" s="10">
        <f>data_redis_illX!L1451</f>
        <v>0</v>
      </c>
      <c r="Y1617" s="5">
        <f t="shared" si="25"/>
        <v>0</v>
      </c>
    </row>
    <row r="1618" spans="13:25" x14ac:dyDescent="0.25">
      <c r="P1618" s="2" t="s">
        <v>42</v>
      </c>
      <c r="Q1618" s="10">
        <f>data_redis_illX!E1452</f>
        <v>0</v>
      </c>
      <c r="R1618" s="10">
        <f>data_redis_illX!F1452</f>
        <v>0</v>
      </c>
      <c r="S1618" s="10">
        <f>data_redis_illX!G1452</f>
        <v>0</v>
      </c>
      <c r="T1618" s="10">
        <f>data_redis_illX!H1452</f>
        <v>0</v>
      </c>
      <c r="U1618" s="10">
        <f>data_redis_illX!I1452</f>
        <v>0</v>
      </c>
      <c r="V1618" s="10">
        <f>data_redis_illX!J1452</f>
        <v>0</v>
      </c>
      <c r="W1618" s="10">
        <f>data_redis_illX!K1452</f>
        <v>0</v>
      </c>
      <c r="X1618" s="10">
        <f>data_redis_illX!L1452</f>
        <v>0</v>
      </c>
      <c r="Y1618" s="5">
        <f t="shared" si="25"/>
        <v>0</v>
      </c>
    </row>
    <row r="1619" spans="13:25" x14ac:dyDescent="0.25">
      <c r="P1619" s="2" t="s">
        <v>43</v>
      </c>
      <c r="Q1619" s="10">
        <f>data_redis_illX!E1453</f>
        <v>0</v>
      </c>
      <c r="R1619" s="10">
        <f>data_redis_illX!F1453</f>
        <v>0</v>
      </c>
      <c r="S1619" s="10">
        <f>data_redis_illX!G1453</f>
        <v>0</v>
      </c>
      <c r="T1619" s="10">
        <f>data_redis_illX!H1453</f>
        <v>0</v>
      </c>
      <c r="U1619" s="10">
        <f>data_redis_illX!I1453</f>
        <v>0</v>
      </c>
      <c r="V1619" s="10">
        <f>data_redis_illX!J1453</f>
        <v>0</v>
      </c>
      <c r="W1619" s="10">
        <f>data_redis_illX!K1453</f>
        <v>0</v>
      </c>
      <c r="X1619" s="10">
        <f>data_redis_illX!L1453</f>
        <v>0</v>
      </c>
      <c r="Y1619" s="5">
        <f t="shared" si="25"/>
        <v>0</v>
      </c>
    </row>
    <row r="1620" spans="13:25" x14ac:dyDescent="0.25">
      <c r="P1620" s="2" t="s">
        <v>44</v>
      </c>
      <c r="Q1620" s="10">
        <f>data_redis_illX!E1454</f>
        <v>0</v>
      </c>
      <c r="R1620" s="10">
        <f>data_redis_illX!F1454</f>
        <v>0</v>
      </c>
      <c r="S1620" s="10">
        <f>data_redis_illX!G1454</f>
        <v>0</v>
      </c>
      <c r="T1620" s="10">
        <f>data_redis_illX!H1454</f>
        <v>0</v>
      </c>
      <c r="U1620" s="10">
        <f>data_redis_illX!I1454</f>
        <v>0</v>
      </c>
      <c r="V1620" s="10">
        <f>data_redis_illX!J1454</f>
        <v>0</v>
      </c>
      <c r="W1620" s="10">
        <f>data_redis_illX!K1454</f>
        <v>0</v>
      </c>
      <c r="X1620" s="10">
        <f>data_redis_illX!L1454</f>
        <v>0</v>
      </c>
      <c r="Y1620" s="5">
        <f t="shared" si="25"/>
        <v>0</v>
      </c>
    </row>
    <row r="1621" spans="13:25" x14ac:dyDescent="0.25">
      <c r="M1621" t="s">
        <v>115</v>
      </c>
      <c r="N1621" t="s">
        <v>116</v>
      </c>
      <c r="O1621" t="s">
        <v>49</v>
      </c>
      <c r="P1621" s="2" t="s">
        <v>12</v>
      </c>
      <c r="Q1621" s="10">
        <f>data_redis_illX!E1455</f>
        <v>0</v>
      </c>
      <c r="R1621" s="10">
        <f>data_redis_illX!F1455</f>
        <v>0</v>
      </c>
      <c r="S1621" s="10">
        <f>data_redis_illX!G1455</f>
        <v>3.2028052372480613</v>
      </c>
      <c r="T1621" s="10">
        <f>data_redis_illX!H1455</f>
        <v>3.2568881024347127</v>
      </c>
      <c r="U1621" s="10">
        <f>data_redis_illX!I1455</f>
        <v>0</v>
      </c>
      <c r="V1621" s="10">
        <f>data_redis_illX!J1455</f>
        <v>0</v>
      </c>
      <c r="W1621" s="10">
        <f>data_redis_illX!K1455</f>
        <v>0</v>
      </c>
      <c r="X1621" s="10">
        <f>data_redis_illX!L1455</f>
        <v>0</v>
      </c>
      <c r="Y1621" s="5">
        <f t="shared" si="25"/>
        <v>6.459693339682774</v>
      </c>
    </row>
    <row r="1622" spans="13:25" x14ac:dyDescent="0.25">
      <c r="P1622" s="2" t="s">
        <v>13</v>
      </c>
      <c r="Q1622" s="10">
        <f>data_redis_illX!E1456</f>
        <v>0</v>
      </c>
      <c r="R1622" s="10">
        <f>data_redis_illX!F1456</f>
        <v>0</v>
      </c>
      <c r="S1622" s="10">
        <f>data_redis_illX!G1456</f>
        <v>14.946424440490956</v>
      </c>
      <c r="T1622" s="10">
        <f>data_redis_illX!H1456</f>
        <v>22.79821671704299</v>
      </c>
      <c r="U1622" s="10">
        <f>data_redis_illX!I1456</f>
        <v>11.645354987100617</v>
      </c>
      <c r="V1622" s="10">
        <f>data_redis_illX!J1456</f>
        <v>0</v>
      </c>
      <c r="W1622" s="10">
        <f>data_redis_illX!K1456</f>
        <v>0</v>
      </c>
      <c r="X1622" s="10">
        <f>data_redis_illX!L1456</f>
        <v>0</v>
      </c>
      <c r="Y1622" s="5">
        <f t="shared" si="25"/>
        <v>49.389996144634566</v>
      </c>
    </row>
    <row r="1623" spans="13:25" x14ac:dyDescent="0.25">
      <c r="P1623" s="2" t="s">
        <v>14</v>
      </c>
      <c r="Q1623" s="10">
        <f>data_redis_illX!E1457</f>
        <v>0</v>
      </c>
      <c r="R1623" s="10">
        <f>data_redis_illX!F1457</f>
        <v>0</v>
      </c>
      <c r="S1623" s="10">
        <f>data_redis_illX!G1457</f>
        <v>2.1352034914987077</v>
      </c>
      <c r="T1623" s="10">
        <f>data_redis_illX!H1457</f>
        <v>9.7706643073041377</v>
      </c>
      <c r="U1623" s="10">
        <f>data_redis_illX!I1457</f>
        <v>7.410680446336757</v>
      </c>
      <c r="V1623" s="10">
        <f>data_redis_illX!J1457</f>
        <v>0</v>
      </c>
      <c r="W1623" s="10">
        <f>data_redis_illX!K1457</f>
        <v>0</v>
      </c>
      <c r="X1623" s="10">
        <f>data_redis_illX!L1457</f>
        <v>0</v>
      </c>
      <c r="Y1623" s="5">
        <f t="shared" si="25"/>
        <v>19.3165482451396</v>
      </c>
    </row>
    <row r="1624" spans="13:25" x14ac:dyDescent="0.25">
      <c r="P1624" s="2" t="s">
        <v>15</v>
      </c>
      <c r="Q1624" s="10">
        <f>data_redis_illX!E1458</f>
        <v>0</v>
      </c>
      <c r="R1624" s="10">
        <f>data_redis_illX!F1458</f>
        <v>0</v>
      </c>
      <c r="S1624" s="10">
        <f>data_redis_illX!G1458</f>
        <v>2.1352034914987077</v>
      </c>
      <c r="T1624" s="10">
        <f>data_redis_illX!H1458</f>
        <v>3.2568881024347127</v>
      </c>
      <c r="U1624" s="10">
        <f>data_redis_illX!I1458</f>
        <v>1.0586686351909653</v>
      </c>
      <c r="V1624" s="10">
        <f>data_redis_illX!J1458</f>
        <v>0</v>
      </c>
      <c r="W1624" s="10">
        <f>data_redis_illX!K1458</f>
        <v>0</v>
      </c>
      <c r="X1624" s="10">
        <f>data_redis_illX!L1458</f>
        <v>0</v>
      </c>
      <c r="Y1624" s="5">
        <f t="shared" si="25"/>
        <v>6.450760229124386</v>
      </c>
    </row>
    <row r="1625" spans="13:25" x14ac:dyDescent="0.25">
      <c r="P1625" s="2" t="s">
        <v>16</v>
      </c>
      <c r="Q1625" s="10">
        <f>data_redis_illX!E1459</f>
        <v>0</v>
      </c>
      <c r="R1625" s="10">
        <f>data_redis_illX!F1459</f>
        <v>0</v>
      </c>
      <c r="S1625" s="10">
        <f>data_redis_illX!G1459</f>
        <v>3.2028052372480613</v>
      </c>
      <c r="T1625" s="10">
        <f>data_redis_illX!H1459</f>
        <v>5.4281468373911874</v>
      </c>
      <c r="U1625" s="10">
        <f>data_redis_illX!I1459</f>
        <v>13.762692257482547</v>
      </c>
      <c r="V1625" s="10">
        <f>data_redis_illX!J1459</f>
        <v>0</v>
      </c>
      <c r="W1625" s="10">
        <f>data_redis_illX!K1459</f>
        <v>0</v>
      </c>
      <c r="X1625" s="10">
        <f>data_redis_illX!L1459</f>
        <v>0</v>
      </c>
      <c r="Y1625" s="5">
        <f t="shared" si="25"/>
        <v>22.393644332121795</v>
      </c>
    </row>
    <row r="1626" spans="13:25" x14ac:dyDescent="0.25">
      <c r="P1626" s="2" t="s">
        <v>17</v>
      </c>
      <c r="Q1626" s="10">
        <f>data_redis_illX!E1460</f>
        <v>0</v>
      </c>
      <c r="R1626" s="10">
        <f>data_redis_illX!F1460</f>
        <v>0</v>
      </c>
      <c r="S1626" s="10">
        <f>data_redis_illX!G1460</f>
        <v>5.338008728746769</v>
      </c>
      <c r="T1626" s="10">
        <f>data_redis_illX!H1460</f>
        <v>8.6850349398258988</v>
      </c>
      <c r="U1626" s="10">
        <f>data_redis_illX!I1460</f>
        <v>1.0586686351909653</v>
      </c>
      <c r="V1626" s="10">
        <f>data_redis_illX!J1460</f>
        <v>0</v>
      </c>
      <c r="W1626" s="10">
        <f>data_redis_illX!K1460</f>
        <v>0</v>
      </c>
      <c r="X1626" s="10">
        <f>data_redis_illX!L1460</f>
        <v>0</v>
      </c>
      <c r="Y1626" s="5">
        <f t="shared" si="25"/>
        <v>15.081712303763634</v>
      </c>
    </row>
    <row r="1627" spans="13:25" x14ac:dyDescent="0.25">
      <c r="P1627" s="2" t="s">
        <v>18</v>
      </c>
      <c r="Q1627" s="10">
        <f>data_redis_illX!E1461</f>
        <v>0</v>
      </c>
      <c r="R1627" s="10">
        <f>data_redis_illX!F1461</f>
        <v>0</v>
      </c>
      <c r="S1627" s="10">
        <f>data_redis_illX!G1461</f>
        <v>14.946424440490956</v>
      </c>
      <c r="T1627" s="10">
        <f>data_redis_illX!H1461</f>
        <v>24.969475451999461</v>
      </c>
      <c r="U1627" s="10">
        <f>data_redis_illX!I1461</f>
        <v>11.645354987100617</v>
      </c>
      <c r="V1627" s="10">
        <f>data_redis_illX!J1461</f>
        <v>1.1035552183836497</v>
      </c>
      <c r="W1627" s="10">
        <f>data_redis_illX!K1461</f>
        <v>0</v>
      </c>
      <c r="X1627" s="10">
        <f>data_redis_illX!L1461</f>
        <v>0</v>
      </c>
      <c r="Y1627" s="5">
        <f t="shared" si="25"/>
        <v>52.66481009797468</v>
      </c>
    </row>
    <row r="1628" spans="13:25" x14ac:dyDescent="0.25">
      <c r="P1628" s="2" t="s">
        <v>19</v>
      </c>
      <c r="Q1628" s="10">
        <f>data_redis_illX!E1462</f>
        <v>0</v>
      </c>
      <c r="R1628" s="10">
        <f>data_redis_illX!F1462</f>
        <v>0</v>
      </c>
      <c r="S1628" s="10">
        <f>data_redis_illX!G1462</f>
        <v>16.014026186240308</v>
      </c>
      <c r="T1628" s="10">
        <f>data_redis_illX!H1462</f>
        <v>31.483251656868891</v>
      </c>
      <c r="U1628" s="10">
        <f>data_redis_illX!I1462</f>
        <v>17.997366798246411</v>
      </c>
      <c r="V1628" s="10">
        <f>data_redis_illX!J1462</f>
        <v>2.2071104367672993</v>
      </c>
      <c r="W1628" s="10">
        <f>data_redis_illX!K1462</f>
        <v>0</v>
      </c>
      <c r="X1628" s="10">
        <f>data_redis_illX!L1462</f>
        <v>0</v>
      </c>
      <c r="Y1628" s="5">
        <f t="shared" si="25"/>
        <v>67.701755078122915</v>
      </c>
    </row>
    <row r="1629" spans="13:25" x14ac:dyDescent="0.25">
      <c r="P1629" s="2" t="s">
        <v>20</v>
      </c>
      <c r="Q1629" s="10">
        <f>data_redis_illX!E1463</f>
        <v>0</v>
      </c>
      <c r="R1629" s="10">
        <f>data_redis_illX!F1463</f>
        <v>0</v>
      </c>
      <c r="S1629" s="10">
        <f>data_redis_illX!G1463</f>
        <v>8.5408139659948308</v>
      </c>
      <c r="T1629" s="10">
        <f>data_redis_illX!H1463</f>
        <v>11.941923042260614</v>
      </c>
      <c r="U1629" s="10">
        <f>data_redis_illX!I1463</f>
        <v>8.4693490815277226</v>
      </c>
      <c r="V1629" s="10">
        <f>data_redis_illX!J1463</f>
        <v>0</v>
      </c>
      <c r="W1629" s="10">
        <f>data_redis_illX!K1463</f>
        <v>0</v>
      </c>
      <c r="X1629" s="10">
        <f>data_redis_illX!L1463</f>
        <v>0</v>
      </c>
      <c r="Y1629" s="5">
        <f t="shared" si="25"/>
        <v>28.952086089783165</v>
      </c>
    </row>
    <row r="1630" spans="13:25" x14ac:dyDescent="0.25">
      <c r="P1630" s="2" t="s">
        <v>21</v>
      </c>
      <c r="Q1630" s="10">
        <f>data_redis_illX!E1464</f>
        <v>0</v>
      </c>
      <c r="R1630" s="10">
        <f>data_redis_illX!F1464</f>
        <v>0</v>
      </c>
      <c r="S1630" s="10">
        <f>data_redis_illX!G1464</f>
        <v>11.743619203242892</v>
      </c>
      <c r="T1630" s="10">
        <f>data_redis_illX!H1464</f>
        <v>14.113181777217088</v>
      </c>
      <c r="U1630" s="10">
        <f>data_redis_illX!I1464</f>
        <v>11.645354987100617</v>
      </c>
      <c r="V1630" s="10">
        <f>data_redis_illX!J1464</f>
        <v>1.1035552183836497</v>
      </c>
      <c r="W1630" s="10">
        <f>data_redis_illX!K1464</f>
        <v>0</v>
      </c>
      <c r="X1630" s="10">
        <f>data_redis_illX!L1464</f>
        <v>0</v>
      </c>
      <c r="Y1630" s="5">
        <f t="shared" si="25"/>
        <v>38.605711185944244</v>
      </c>
    </row>
    <row r="1631" spans="13:25" x14ac:dyDescent="0.25">
      <c r="P1631" s="2" t="s">
        <v>22</v>
      </c>
      <c r="Q1631" s="10">
        <f>data_redis_illX!E1465</f>
        <v>0</v>
      </c>
      <c r="R1631" s="10">
        <f>data_redis_illX!F1465</f>
        <v>0</v>
      </c>
      <c r="S1631" s="10">
        <f>data_redis_illX!G1465</f>
        <v>19.216831423488372</v>
      </c>
      <c r="T1631" s="10">
        <f>data_redis_illX!H1465</f>
        <v>31.483251656868891</v>
      </c>
      <c r="U1631" s="10">
        <f>data_redis_illX!I1465</f>
        <v>17.997366798246411</v>
      </c>
      <c r="V1631" s="10">
        <f>data_redis_illX!J1465</f>
        <v>2.2071104367672993</v>
      </c>
      <c r="W1631" s="10">
        <f>data_redis_illX!K1465</f>
        <v>0</v>
      </c>
      <c r="X1631" s="10">
        <f>data_redis_illX!L1465</f>
        <v>0</v>
      </c>
      <c r="Y1631" s="5">
        <f t="shared" si="25"/>
        <v>70.904560315370958</v>
      </c>
    </row>
    <row r="1632" spans="13:25" x14ac:dyDescent="0.25">
      <c r="P1632" s="2" t="s">
        <v>23</v>
      </c>
      <c r="Q1632" s="10">
        <f>data_redis_illX!E1466</f>
        <v>0</v>
      </c>
      <c r="R1632" s="10">
        <f>data_redis_illX!F1466</f>
        <v>0</v>
      </c>
      <c r="S1632" s="10">
        <f>data_redis_illX!G1466</f>
        <v>2.1352034914987077</v>
      </c>
      <c r="T1632" s="10">
        <f>data_redis_illX!H1466</f>
        <v>6.5137762048694254</v>
      </c>
      <c r="U1632" s="10">
        <f>data_redis_illX!I1466</f>
        <v>3.1760059055728957</v>
      </c>
      <c r="V1632" s="10">
        <f>data_redis_illX!J1466</f>
        <v>0</v>
      </c>
      <c r="W1632" s="10">
        <f>data_redis_illX!K1466</f>
        <v>0</v>
      </c>
      <c r="X1632" s="10">
        <f>data_redis_illX!L1466</f>
        <v>0</v>
      </c>
      <c r="Y1632" s="5">
        <f t="shared" si="25"/>
        <v>11.82498560194103</v>
      </c>
    </row>
    <row r="1633" spans="16:25" x14ac:dyDescent="0.25">
      <c r="P1633" s="2" t="s">
        <v>24</v>
      </c>
      <c r="Q1633" s="10">
        <f>data_redis_illX!E1467</f>
        <v>0</v>
      </c>
      <c r="R1633" s="10">
        <f>data_redis_illX!F1467</f>
        <v>0</v>
      </c>
      <c r="S1633" s="10">
        <f>data_redis_illX!G1467</f>
        <v>3.2028052372480613</v>
      </c>
      <c r="T1633" s="10">
        <f>data_redis_illX!H1467</f>
        <v>11.941923042260614</v>
      </c>
      <c r="U1633" s="10">
        <f>data_redis_illX!I1467</f>
        <v>4.2346745407638613</v>
      </c>
      <c r="V1633" s="10">
        <f>data_redis_illX!J1467</f>
        <v>1.1035552183836497</v>
      </c>
      <c r="W1633" s="10">
        <f>data_redis_illX!K1467</f>
        <v>0</v>
      </c>
      <c r="X1633" s="10">
        <f>data_redis_illX!L1467</f>
        <v>0</v>
      </c>
      <c r="Y1633" s="5">
        <f t="shared" si="25"/>
        <v>20.482958038656186</v>
      </c>
    </row>
    <row r="1634" spans="16:25" x14ac:dyDescent="0.25">
      <c r="P1634" s="2" t="s">
        <v>25</v>
      </c>
      <c r="Q1634" s="10">
        <f>data_redis_illX!E1468</f>
        <v>0</v>
      </c>
      <c r="R1634" s="10">
        <f>data_redis_illX!F1468</f>
        <v>0</v>
      </c>
      <c r="S1634" s="10">
        <f>data_redis_illX!G1468</f>
        <v>2.1352034914987077</v>
      </c>
      <c r="T1634" s="10">
        <f>data_redis_illX!H1468</f>
        <v>1.0856293674782374</v>
      </c>
      <c r="U1634" s="10">
        <f>data_redis_illX!I1468</f>
        <v>1.0586686351909653</v>
      </c>
      <c r="V1634" s="10">
        <f>data_redis_illX!J1468</f>
        <v>0</v>
      </c>
      <c r="W1634" s="10">
        <f>data_redis_illX!K1468</f>
        <v>0</v>
      </c>
      <c r="X1634" s="10">
        <f>data_redis_illX!L1468</f>
        <v>0</v>
      </c>
      <c r="Y1634" s="5">
        <f t="shared" si="25"/>
        <v>4.2795014941679108</v>
      </c>
    </row>
    <row r="1635" spans="16:25" x14ac:dyDescent="0.25">
      <c r="P1635" s="2" t="s">
        <v>26</v>
      </c>
      <c r="Q1635" s="10">
        <f>data_redis_illX!E1469</f>
        <v>0</v>
      </c>
      <c r="R1635" s="10">
        <f>data_redis_illX!F1469</f>
        <v>0</v>
      </c>
      <c r="S1635" s="10">
        <f>data_redis_illX!G1469</f>
        <v>2.1352034914987077</v>
      </c>
      <c r="T1635" s="10">
        <f>data_redis_illX!H1469</f>
        <v>2.1712587349564747</v>
      </c>
      <c r="U1635" s="10">
        <f>data_redis_illX!I1469</f>
        <v>2.1173372703819306</v>
      </c>
      <c r="V1635" s="10">
        <f>data_redis_illX!J1469</f>
        <v>0</v>
      </c>
      <c r="W1635" s="10">
        <f>data_redis_illX!K1469</f>
        <v>0</v>
      </c>
      <c r="X1635" s="10">
        <f>data_redis_illX!L1469</f>
        <v>0</v>
      </c>
      <c r="Y1635" s="5">
        <f t="shared" si="25"/>
        <v>6.4237994968371126</v>
      </c>
    </row>
    <row r="1636" spans="16:25" x14ac:dyDescent="0.25">
      <c r="P1636" s="2" t="s">
        <v>27</v>
      </c>
      <c r="Q1636" s="10">
        <f>data_redis_illX!E1470</f>
        <v>0</v>
      </c>
      <c r="R1636" s="10">
        <f>data_redis_illX!F1470</f>
        <v>0</v>
      </c>
      <c r="S1636" s="10">
        <f>data_redis_illX!G1470</f>
        <v>3.2028052372480613</v>
      </c>
      <c r="T1636" s="10">
        <f>data_redis_illX!H1470</f>
        <v>3.2568881024347127</v>
      </c>
      <c r="U1636" s="10">
        <f>data_redis_illX!I1470</f>
        <v>2.1173372703819306</v>
      </c>
      <c r="V1636" s="10">
        <f>data_redis_illX!J1470</f>
        <v>0</v>
      </c>
      <c r="W1636" s="10">
        <f>data_redis_illX!K1470</f>
        <v>0</v>
      </c>
      <c r="X1636" s="10">
        <f>data_redis_illX!L1470</f>
        <v>0</v>
      </c>
      <c r="Y1636" s="5">
        <f t="shared" si="25"/>
        <v>8.5770306100647051</v>
      </c>
    </row>
    <row r="1637" spans="16:25" x14ac:dyDescent="0.25">
      <c r="P1637" s="2" t="s">
        <v>28</v>
      </c>
      <c r="Q1637" s="10">
        <f>data_redis_illX!E1471</f>
        <v>0</v>
      </c>
      <c r="R1637" s="10">
        <f>data_redis_illX!F1471</f>
        <v>0</v>
      </c>
      <c r="S1637" s="10">
        <f>data_redis_illX!G1471</f>
        <v>41.636468084224802</v>
      </c>
      <c r="T1637" s="10">
        <f>data_redis_illX!H1471</f>
        <v>64.052132681216023</v>
      </c>
      <c r="U1637" s="10">
        <f>data_redis_illX!I1471</f>
        <v>28.584053150156063</v>
      </c>
      <c r="V1637" s="10">
        <f>data_redis_illX!J1471</f>
        <v>4.4142208735345987</v>
      </c>
      <c r="W1637" s="10">
        <f>data_redis_illX!K1471</f>
        <v>0</v>
      </c>
      <c r="X1637" s="10">
        <f>data_redis_illX!L1471</f>
        <v>0</v>
      </c>
      <c r="Y1637" s="5">
        <f t="shared" si="25"/>
        <v>138.68687478913148</v>
      </c>
    </row>
    <row r="1638" spans="16:25" x14ac:dyDescent="0.25">
      <c r="P1638" s="2" t="s">
        <v>29</v>
      </c>
      <c r="Q1638" s="10">
        <f>data_redis_illX!E1472</f>
        <v>0</v>
      </c>
      <c r="R1638" s="10">
        <f>data_redis_illX!F1472</f>
        <v>0</v>
      </c>
      <c r="S1638" s="10">
        <f>data_redis_illX!G1472</f>
        <v>8.5408139659948308</v>
      </c>
      <c r="T1638" s="10">
        <f>data_redis_illX!H1472</f>
        <v>5.4281468373911874</v>
      </c>
      <c r="U1638" s="10">
        <f>data_redis_illX!I1472</f>
        <v>3.1760059055728957</v>
      </c>
      <c r="V1638" s="10">
        <f>data_redis_illX!J1472</f>
        <v>0</v>
      </c>
      <c r="W1638" s="10">
        <f>data_redis_illX!K1472</f>
        <v>0</v>
      </c>
      <c r="X1638" s="10">
        <f>data_redis_illX!L1472</f>
        <v>0</v>
      </c>
      <c r="Y1638" s="5">
        <f t="shared" si="25"/>
        <v>17.144966708958915</v>
      </c>
    </row>
    <row r="1639" spans="16:25" x14ac:dyDescent="0.25">
      <c r="P1639" s="2" t="s">
        <v>30</v>
      </c>
      <c r="Q1639" s="10">
        <f>data_redis_illX!E1473</f>
        <v>0</v>
      </c>
      <c r="R1639" s="10">
        <f>data_redis_illX!F1473</f>
        <v>0</v>
      </c>
      <c r="S1639" s="10">
        <f>data_redis_illX!G1473</f>
        <v>8.5408139659948308</v>
      </c>
      <c r="T1639" s="10">
        <f>data_redis_illX!H1473</f>
        <v>17.370069879651798</v>
      </c>
      <c r="U1639" s="10">
        <f>data_redis_illX!I1473</f>
        <v>4.2346745407638613</v>
      </c>
      <c r="V1639" s="10">
        <f>data_redis_illX!J1473</f>
        <v>1.1035552183836497</v>
      </c>
      <c r="W1639" s="10">
        <f>data_redis_illX!K1473</f>
        <v>0</v>
      </c>
      <c r="X1639" s="10">
        <f>data_redis_illX!L1473</f>
        <v>0</v>
      </c>
      <c r="Y1639" s="5">
        <f t="shared" si="25"/>
        <v>31.249113604794143</v>
      </c>
    </row>
    <row r="1640" spans="16:25" x14ac:dyDescent="0.25">
      <c r="P1640" s="2" t="s">
        <v>31</v>
      </c>
      <c r="Q1640" s="10">
        <f>data_redis_illX!E1474</f>
        <v>0</v>
      </c>
      <c r="R1640" s="10">
        <f>data_redis_illX!F1474</f>
        <v>0</v>
      </c>
      <c r="S1640" s="10">
        <f>data_redis_illX!G1474</f>
        <v>0</v>
      </c>
      <c r="T1640" s="10">
        <f>data_redis_illX!H1474</f>
        <v>1.0856293674782374</v>
      </c>
      <c r="U1640" s="10">
        <f>data_redis_illX!I1474</f>
        <v>1.0586686351909653</v>
      </c>
      <c r="V1640" s="10">
        <f>data_redis_illX!J1474</f>
        <v>0</v>
      </c>
      <c r="W1640" s="10">
        <f>data_redis_illX!K1474</f>
        <v>0</v>
      </c>
      <c r="X1640" s="10">
        <f>data_redis_illX!L1474</f>
        <v>0</v>
      </c>
      <c r="Y1640" s="5">
        <f t="shared" si="25"/>
        <v>2.1442980026692027</v>
      </c>
    </row>
    <row r="1641" spans="16:25" x14ac:dyDescent="0.25">
      <c r="P1641" s="2" t="s">
        <v>32</v>
      </c>
      <c r="Q1641" s="10">
        <f>data_redis_illX!E1475</f>
        <v>0</v>
      </c>
      <c r="R1641" s="10">
        <f>data_redis_illX!F1475</f>
        <v>0</v>
      </c>
      <c r="S1641" s="10">
        <f>data_redis_illX!G1475</f>
        <v>0</v>
      </c>
      <c r="T1641" s="10">
        <f>data_redis_illX!H1475</f>
        <v>1.0856293674782374</v>
      </c>
      <c r="U1641" s="10">
        <f>data_redis_illX!I1475</f>
        <v>0</v>
      </c>
      <c r="V1641" s="10">
        <f>data_redis_illX!J1475</f>
        <v>0</v>
      </c>
      <c r="W1641" s="10">
        <f>data_redis_illX!K1475</f>
        <v>0</v>
      </c>
      <c r="X1641" s="10">
        <f>data_redis_illX!L1475</f>
        <v>0</v>
      </c>
      <c r="Y1641" s="5">
        <f t="shared" si="25"/>
        <v>1.0856293674782374</v>
      </c>
    </row>
    <row r="1642" spans="16:25" x14ac:dyDescent="0.25">
      <c r="P1642" s="2" t="s">
        <v>33</v>
      </c>
      <c r="Q1642" s="10">
        <f>data_redis_illX!E1476</f>
        <v>0</v>
      </c>
      <c r="R1642" s="10">
        <f>data_redis_illX!F1476</f>
        <v>0</v>
      </c>
      <c r="S1642" s="10">
        <f>data_redis_illX!G1476</f>
        <v>0</v>
      </c>
      <c r="T1642" s="10">
        <f>data_redis_illX!H1476</f>
        <v>0</v>
      </c>
      <c r="U1642" s="10">
        <f>data_redis_illX!I1476</f>
        <v>0</v>
      </c>
      <c r="V1642" s="10">
        <f>data_redis_illX!J1476</f>
        <v>0</v>
      </c>
      <c r="W1642" s="10">
        <f>data_redis_illX!K1476</f>
        <v>0</v>
      </c>
      <c r="X1642" s="10">
        <f>data_redis_illX!L1476</f>
        <v>0</v>
      </c>
      <c r="Y1642" s="5">
        <f t="shared" si="25"/>
        <v>0</v>
      </c>
    </row>
    <row r="1643" spans="16:25" x14ac:dyDescent="0.25">
      <c r="P1643" s="2" t="s">
        <v>34</v>
      </c>
      <c r="Q1643" s="10">
        <f>data_redis_illX!E1477</f>
        <v>0</v>
      </c>
      <c r="R1643" s="10">
        <f>data_redis_illX!F1477</f>
        <v>0</v>
      </c>
      <c r="S1643" s="10">
        <f>data_redis_illX!G1477</f>
        <v>0</v>
      </c>
      <c r="T1643" s="10">
        <f>data_redis_illX!H1477</f>
        <v>0</v>
      </c>
      <c r="U1643" s="10">
        <f>data_redis_illX!I1477</f>
        <v>0</v>
      </c>
      <c r="V1643" s="10">
        <f>data_redis_illX!J1477</f>
        <v>0</v>
      </c>
      <c r="W1643" s="10">
        <f>data_redis_illX!K1477</f>
        <v>0</v>
      </c>
      <c r="X1643" s="10">
        <f>data_redis_illX!L1477</f>
        <v>0</v>
      </c>
      <c r="Y1643" s="5">
        <f t="shared" si="25"/>
        <v>0</v>
      </c>
    </row>
    <row r="1644" spans="16:25" x14ac:dyDescent="0.25">
      <c r="P1644" s="2" t="s">
        <v>35</v>
      </c>
      <c r="Q1644" s="10">
        <f>data_redis_illX!E1478</f>
        <v>0</v>
      </c>
      <c r="R1644" s="10">
        <f>data_redis_illX!F1478</f>
        <v>0</v>
      </c>
      <c r="S1644" s="10">
        <f>data_redis_illX!G1478</f>
        <v>0</v>
      </c>
      <c r="T1644" s="10">
        <f>data_redis_illX!H1478</f>
        <v>0</v>
      </c>
      <c r="U1644" s="10">
        <f>data_redis_illX!I1478</f>
        <v>0</v>
      </c>
      <c r="V1644" s="10">
        <f>data_redis_illX!J1478</f>
        <v>0</v>
      </c>
      <c r="W1644" s="10">
        <f>data_redis_illX!K1478</f>
        <v>0</v>
      </c>
      <c r="X1644" s="10">
        <f>data_redis_illX!L1478</f>
        <v>0</v>
      </c>
      <c r="Y1644" s="5">
        <f t="shared" si="25"/>
        <v>0</v>
      </c>
    </row>
    <row r="1645" spans="16:25" x14ac:dyDescent="0.25">
      <c r="P1645" s="2" t="s">
        <v>36</v>
      </c>
      <c r="Q1645" s="10">
        <f>data_redis_illX!E1479</f>
        <v>0</v>
      </c>
      <c r="R1645" s="10">
        <f>data_redis_illX!F1479</f>
        <v>0</v>
      </c>
      <c r="S1645" s="10">
        <f>data_redis_illX!G1479</f>
        <v>0</v>
      </c>
      <c r="T1645" s="10">
        <f>data_redis_illX!H1479</f>
        <v>0</v>
      </c>
      <c r="U1645" s="10">
        <f>data_redis_illX!I1479</f>
        <v>0</v>
      </c>
      <c r="V1645" s="10">
        <f>data_redis_illX!J1479</f>
        <v>0</v>
      </c>
      <c r="W1645" s="10">
        <f>data_redis_illX!K1479</f>
        <v>0</v>
      </c>
      <c r="X1645" s="10">
        <f>data_redis_illX!L1479</f>
        <v>0</v>
      </c>
      <c r="Y1645" s="5">
        <f t="shared" si="25"/>
        <v>0</v>
      </c>
    </row>
    <row r="1646" spans="16:25" x14ac:dyDescent="0.25">
      <c r="P1646" s="2" t="s">
        <v>37</v>
      </c>
      <c r="Q1646" s="10">
        <f>data_redis_illX!E1480</f>
        <v>0</v>
      </c>
      <c r="R1646" s="10">
        <f>data_redis_illX!F1480</f>
        <v>0</v>
      </c>
      <c r="S1646" s="10">
        <f>data_redis_illX!G1480</f>
        <v>0</v>
      </c>
      <c r="T1646" s="10">
        <f>data_redis_illX!H1480</f>
        <v>0</v>
      </c>
      <c r="U1646" s="10">
        <f>data_redis_illX!I1480</f>
        <v>0</v>
      </c>
      <c r="V1646" s="10">
        <f>data_redis_illX!J1480</f>
        <v>0</v>
      </c>
      <c r="W1646" s="10">
        <f>data_redis_illX!K1480</f>
        <v>0</v>
      </c>
      <c r="X1646" s="10">
        <f>data_redis_illX!L1480</f>
        <v>0</v>
      </c>
      <c r="Y1646" s="5">
        <f t="shared" si="25"/>
        <v>0</v>
      </c>
    </row>
    <row r="1647" spans="16:25" x14ac:dyDescent="0.25">
      <c r="P1647" s="2" t="s">
        <v>38</v>
      </c>
      <c r="Q1647" s="10">
        <f>data_redis_illX!E1481</f>
        <v>0</v>
      </c>
      <c r="R1647" s="10">
        <f>data_redis_illX!F1481</f>
        <v>0</v>
      </c>
      <c r="S1647" s="10">
        <f>data_redis_illX!G1481</f>
        <v>0</v>
      </c>
      <c r="T1647" s="10">
        <f>data_redis_illX!H1481</f>
        <v>0</v>
      </c>
      <c r="U1647" s="10">
        <f>data_redis_illX!I1481</f>
        <v>0</v>
      </c>
      <c r="V1647" s="10">
        <f>data_redis_illX!J1481</f>
        <v>0</v>
      </c>
      <c r="W1647" s="10">
        <f>data_redis_illX!K1481</f>
        <v>0</v>
      </c>
      <c r="X1647" s="10">
        <f>data_redis_illX!L1481</f>
        <v>0</v>
      </c>
      <c r="Y1647" s="5">
        <f t="shared" si="25"/>
        <v>0</v>
      </c>
    </row>
    <row r="1648" spans="16:25" x14ac:dyDescent="0.25">
      <c r="P1648" s="2" t="s">
        <v>39</v>
      </c>
      <c r="Q1648" s="10">
        <f>data_redis_illX!E1482</f>
        <v>0</v>
      </c>
      <c r="R1648" s="10">
        <f>data_redis_illX!F1482</f>
        <v>0</v>
      </c>
      <c r="S1648" s="10">
        <f>data_redis_illX!G1482</f>
        <v>0</v>
      </c>
      <c r="T1648" s="10">
        <f>data_redis_illX!H1482</f>
        <v>1.0856293674782374</v>
      </c>
      <c r="U1648" s="10">
        <f>data_redis_illX!I1482</f>
        <v>0</v>
      </c>
      <c r="V1648" s="10">
        <f>data_redis_illX!J1482</f>
        <v>0</v>
      </c>
      <c r="W1648" s="10">
        <f>data_redis_illX!K1482</f>
        <v>0</v>
      </c>
      <c r="X1648" s="10">
        <f>data_redis_illX!L1482</f>
        <v>0</v>
      </c>
      <c r="Y1648" s="5">
        <f t="shared" si="25"/>
        <v>1.0856293674782374</v>
      </c>
    </row>
    <row r="1649" spans="13:25" x14ac:dyDescent="0.25">
      <c r="P1649" s="2" t="s">
        <v>40</v>
      </c>
      <c r="Q1649" s="10">
        <f>data_redis_illX!E1483</f>
        <v>0</v>
      </c>
      <c r="R1649" s="10">
        <f>data_redis_illX!F1483</f>
        <v>0</v>
      </c>
      <c r="S1649" s="10">
        <f>data_redis_illX!G1483</f>
        <v>0</v>
      </c>
      <c r="T1649" s="10">
        <f>data_redis_illX!H1483</f>
        <v>0</v>
      </c>
      <c r="U1649" s="10">
        <f>data_redis_illX!I1483</f>
        <v>0</v>
      </c>
      <c r="V1649" s="10">
        <f>data_redis_illX!J1483</f>
        <v>0</v>
      </c>
      <c r="W1649" s="10">
        <f>data_redis_illX!K1483</f>
        <v>0</v>
      </c>
      <c r="X1649" s="10">
        <f>data_redis_illX!L1483</f>
        <v>0</v>
      </c>
      <c r="Y1649" s="5">
        <f t="shared" si="25"/>
        <v>0</v>
      </c>
    </row>
    <row r="1650" spans="13:25" x14ac:dyDescent="0.25">
      <c r="P1650" s="2" t="s">
        <v>41</v>
      </c>
      <c r="Q1650" s="10">
        <f>data_redis_illX!E1484</f>
        <v>0</v>
      </c>
      <c r="R1650" s="10">
        <f>data_redis_illX!F1484</f>
        <v>0</v>
      </c>
      <c r="S1650" s="10">
        <f>data_redis_illX!G1484</f>
        <v>0</v>
      </c>
      <c r="T1650" s="10">
        <f>data_redis_illX!H1484</f>
        <v>0</v>
      </c>
      <c r="U1650" s="10">
        <f>data_redis_illX!I1484</f>
        <v>0</v>
      </c>
      <c r="V1650" s="10">
        <f>data_redis_illX!J1484</f>
        <v>0</v>
      </c>
      <c r="W1650" s="10">
        <f>data_redis_illX!K1484</f>
        <v>0</v>
      </c>
      <c r="X1650" s="10">
        <f>data_redis_illX!L1484</f>
        <v>0</v>
      </c>
      <c r="Y1650" s="5">
        <f t="shared" si="25"/>
        <v>0</v>
      </c>
    </row>
    <row r="1651" spans="13:25" x14ac:dyDescent="0.25">
      <c r="P1651" s="2" t="s">
        <v>42</v>
      </c>
      <c r="Q1651" s="10">
        <f>data_redis_illX!E1485</f>
        <v>0</v>
      </c>
      <c r="R1651" s="10">
        <f>data_redis_illX!F1485</f>
        <v>0</v>
      </c>
      <c r="S1651" s="10">
        <f>data_redis_illX!G1485</f>
        <v>2.1352034914987077</v>
      </c>
      <c r="T1651" s="10">
        <f>data_redis_illX!H1485</f>
        <v>4.3425174699129494</v>
      </c>
      <c r="U1651" s="10">
        <f>data_redis_illX!I1485</f>
        <v>2.1173372703819306</v>
      </c>
      <c r="V1651" s="10">
        <f>data_redis_illX!J1485</f>
        <v>0</v>
      </c>
      <c r="W1651" s="10">
        <f>data_redis_illX!K1485</f>
        <v>0</v>
      </c>
      <c r="X1651" s="10">
        <f>data_redis_illX!L1485</f>
        <v>0</v>
      </c>
      <c r="Y1651" s="5">
        <f t="shared" si="25"/>
        <v>8.5950582317935886</v>
      </c>
    </row>
    <row r="1652" spans="13:25" x14ac:dyDescent="0.25">
      <c r="P1652" s="2" t="s">
        <v>43</v>
      </c>
      <c r="Q1652" s="10">
        <f>data_redis_illX!E1486</f>
        <v>0</v>
      </c>
      <c r="R1652" s="10">
        <f>data_redis_illX!F1486</f>
        <v>0</v>
      </c>
      <c r="S1652" s="10">
        <f>data_redis_illX!G1486</f>
        <v>0</v>
      </c>
      <c r="T1652" s="10">
        <f>data_redis_illX!H1486</f>
        <v>0</v>
      </c>
      <c r="U1652" s="10">
        <f>data_redis_illX!I1486</f>
        <v>0</v>
      </c>
      <c r="V1652" s="10">
        <f>data_redis_illX!J1486</f>
        <v>0</v>
      </c>
      <c r="W1652" s="10">
        <f>data_redis_illX!K1486</f>
        <v>0</v>
      </c>
      <c r="X1652" s="10">
        <f>data_redis_illX!L1486</f>
        <v>0</v>
      </c>
      <c r="Y1652" s="5">
        <f t="shared" si="25"/>
        <v>0</v>
      </c>
    </row>
    <row r="1653" spans="13:25" x14ac:dyDescent="0.25">
      <c r="P1653" s="2" t="s">
        <v>44</v>
      </c>
      <c r="Q1653" s="10">
        <f>data_redis_illX!E1487</f>
        <v>0</v>
      </c>
      <c r="R1653" s="10">
        <f>data_redis_illX!F1487</f>
        <v>0</v>
      </c>
      <c r="S1653" s="10">
        <f>data_redis_illX!G1487</f>
        <v>6.4056104744961226</v>
      </c>
      <c r="T1653" s="10">
        <f>data_redis_illX!H1487</f>
        <v>5.4281468373911874</v>
      </c>
      <c r="U1653" s="10">
        <f>data_redis_illX!I1487</f>
        <v>2.1173372703819306</v>
      </c>
      <c r="V1653" s="10">
        <f>data_redis_illX!J1487</f>
        <v>0</v>
      </c>
      <c r="W1653" s="10">
        <f>data_redis_illX!K1487</f>
        <v>0</v>
      </c>
      <c r="X1653" s="10">
        <f>data_redis_illX!L1487</f>
        <v>0</v>
      </c>
      <c r="Y1653" s="5">
        <f t="shared" si="25"/>
        <v>13.951094582269242</v>
      </c>
    </row>
    <row r="1654" spans="13:25" x14ac:dyDescent="0.25">
      <c r="M1654" t="s">
        <v>115</v>
      </c>
      <c r="N1654" t="s">
        <v>116</v>
      </c>
      <c r="O1654" t="s">
        <v>50</v>
      </c>
      <c r="P1654" s="2" t="s">
        <v>12</v>
      </c>
      <c r="Q1654" s="10">
        <f>data_redis_illX!E1488</f>
        <v>0</v>
      </c>
      <c r="R1654" s="10">
        <f>data_redis_illX!F1488</f>
        <v>0</v>
      </c>
      <c r="S1654" s="10">
        <f>data_redis_illX!G1488</f>
        <v>0</v>
      </c>
      <c r="T1654" s="10">
        <f>data_redis_illX!H1488</f>
        <v>0</v>
      </c>
      <c r="U1654" s="10">
        <f>data_redis_illX!I1488</f>
        <v>0</v>
      </c>
      <c r="V1654" s="10">
        <f>data_redis_illX!J1488</f>
        <v>0</v>
      </c>
      <c r="W1654" s="10">
        <f>data_redis_illX!K1488</f>
        <v>0</v>
      </c>
      <c r="X1654" s="10">
        <f>data_redis_illX!L1488</f>
        <v>0</v>
      </c>
      <c r="Y1654" s="5">
        <f t="shared" si="25"/>
        <v>0</v>
      </c>
    </row>
    <row r="1655" spans="13:25" x14ac:dyDescent="0.25">
      <c r="P1655" s="2" t="s">
        <v>13</v>
      </c>
      <c r="Q1655" s="10">
        <f>data_redis_illX!E1489</f>
        <v>0</v>
      </c>
      <c r="R1655" s="10">
        <f>data_redis_illX!F1489</f>
        <v>0</v>
      </c>
      <c r="S1655" s="10">
        <f>data_redis_illX!G1489</f>
        <v>0</v>
      </c>
      <c r="T1655" s="10">
        <f>data_redis_illX!H1489</f>
        <v>0</v>
      </c>
      <c r="U1655" s="10">
        <f>data_redis_illX!I1489</f>
        <v>0</v>
      </c>
      <c r="V1655" s="10">
        <f>data_redis_illX!J1489</f>
        <v>0</v>
      </c>
      <c r="W1655" s="10">
        <f>data_redis_illX!K1489</f>
        <v>0</v>
      </c>
      <c r="X1655" s="10">
        <f>data_redis_illX!L1489</f>
        <v>0</v>
      </c>
      <c r="Y1655" s="5">
        <f t="shared" si="25"/>
        <v>0</v>
      </c>
    </row>
    <row r="1656" spans="13:25" x14ac:dyDescent="0.25">
      <c r="P1656" s="2" t="s">
        <v>14</v>
      </c>
      <c r="Q1656" s="10">
        <f>data_redis_illX!E1490</f>
        <v>0</v>
      </c>
      <c r="R1656" s="10">
        <f>data_redis_illX!F1490</f>
        <v>0</v>
      </c>
      <c r="S1656" s="10">
        <f>data_redis_illX!G1490</f>
        <v>0</v>
      </c>
      <c r="T1656" s="10">
        <f>data_redis_illX!H1490</f>
        <v>0</v>
      </c>
      <c r="U1656" s="10">
        <f>data_redis_illX!I1490</f>
        <v>0</v>
      </c>
      <c r="V1656" s="10">
        <f>data_redis_illX!J1490</f>
        <v>0</v>
      </c>
      <c r="W1656" s="10">
        <f>data_redis_illX!K1490</f>
        <v>0</v>
      </c>
      <c r="X1656" s="10">
        <f>data_redis_illX!L1490</f>
        <v>0</v>
      </c>
      <c r="Y1656" s="5">
        <f t="shared" si="25"/>
        <v>0</v>
      </c>
    </row>
    <row r="1657" spans="13:25" x14ac:dyDescent="0.25">
      <c r="P1657" s="2" t="s">
        <v>15</v>
      </c>
      <c r="Q1657" s="10">
        <f>data_redis_illX!E1491</f>
        <v>0</v>
      </c>
      <c r="R1657" s="10">
        <f>data_redis_illX!F1491</f>
        <v>0</v>
      </c>
      <c r="S1657" s="10">
        <f>data_redis_illX!G1491</f>
        <v>0</v>
      </c>
      <c r="T1657" s="10">
        <f>data_redis_illX!H1491</f>
        <v>0</v>
      </c>
      <c r="U1657" s="10">
        <f>data_redis_illX!I1491</f>
        <v>0</v>
      </c>
      <c r="V1657" s="10">
        <f>data_redis_illX!J1491</f>
        <v>0</v>
      </c>
      <c r="W1657" s="10">
        <f>data_redis_illX!K1491</f>
        <v>0</v>
      </c>
      <c r="X1657" s="10">
        <f>data_redis_illX!L1491</f>
        <v>0</v>
      </c>
      <c r="Y1657" s="5">
        <f t="shared" si="25"/>
        <v>0</v>
      </c>
    </row>
    <row r="1658" spans="13:25" x14ac:dyDescent="0.25">
      <c r="P1658" s="2" t="s">
        <v>16</v>
      </c>
      <c r="Q1658" s="10">
        <f>data_redis_illX!E1492</f>
        <v>0</v>
      </c>
      <c r="R1658" s="10">
        <f>data_redis_illX!F1492</f>
        <v>0</v>
      </c>
      <c r="S1658" s="10">
        <f>data_redis_illX!G1492</f>
        <v>0</v>
      </c>
      <c r="T1658" s="10">
        <f>data_redis_illX!H1492</f>
        <v>0</v>
      </c>
      <c r="U1658" s="10">
        <f>data_redis_illX!I1492</f>
        <v>0</v>
      </c>
      <c r="V1658" s="10">
        <f>data_redis_illX!J1492</f>
        <v>0</v>
      </c>
      <c r="W1658" s="10">
        <f>data_redis_illX!K1492</f>
        <v>0</v>
      </c>
      <c r="X1658" s="10">
        <f>data_redis_illX!L1492</f>
        <v>0</v>
      </c>
      <c r="Y1658" s="5">
        <f t="shared" si="25"/>
        <v>0</v>
      </c>
    </row>
    <row r="1659" spans="13:25" x14ac:dyDescent="0.25">
      <c r="P1659" s="2" t="s">
        <v>17</v>
      </c>
      <c r="Q1659" s="10">
        <f>data_redis_illX!E1493</f>
        <v>0</v>
      </c>
      <c r="R1659" s="10">
        <f>data_redis_illX!F1493</f>
        <v>0</v>
      </c>
      <c r="S1659" s="10">
        <f>data_redis_illX!G1493</f>
        <v>0</v>
      </c>
      <c r="T1659" s="10">
        <f>data_redis_illX!H1493</f>
        <v>0</v>
      </c>
      <c r="U1659" s="10">
        <f>data_redis_illX!I1493</f>
        <v>0</v>
      </c>
      <c r="V1659" s="10">
        <f>data_redis_illX!J1493</f>
        <v>0</v>
      </c>
      <c r="W1659" s="10">
        <f>data_redis_illX!K1493</f>
        <v>0</v>
      </c>
      <c r="X1659" s="10">
        <f>data_redis_illX!L1493</f>
        <v>0</v>
      </c>
      <c r="Y1659" s="5">
        <f t="shared" si="25"/>
        <v>0</v>
      </c>
    </row>
    <row r="1660" spans="13:25" x14ac:dyDescent="0.25">
      <c r="P1660" s="2" t="s">
        <v>18</v>
      </c>
      <c r="Q1660" s="10">
        <f>data_redis_illX!E1494</f>
        <v>0</v>
      </c>
      <c r="R1660" s="10">
        <f>data_redis_illX!F1494</f>
        <v>0</v>
      </c>
      <c r="S1660" s="10">
        <f>data_redis_illX!G1494</f>
        <v>0</v>
      </c>
      <c r="T1660" s="10">
        <f>data_redis_illX!H1494</f>
        <v>0</v>
      </c>
      <c r="U1660" s="10">
        <f>data_redis_illX!I1494</f>
        <v>0</v>
      </c>
      <c r="V1660" s="10">
        <f>data_redis_illX!J1494</f>
        <v>0</v>
      </c>
      <c r="W1660" s="10">
        <f>data_redis_illX!K1494</f>
        <v>0</v>
      </c>
      <c r="X1660" s="10">
        <f>data_redis_illX!L1494</f>
        <v>0</v>
      </c>
      <c r="Y1660" s="5">
        <f t="shared" si="25"/>
        <v>0</v>
      </c>
    </row>
    <row r="1661" spans="13:25" x14ac:dyDescent="0.25">
      <c r="P1661" s="2" t="s">
        <v>19</v>
      </c>
      <c r="Q1661" s="10">
        <f>data_redis_illX!E1495</f>
        <v>0</v>
      </c>
      <c r="R1661" s="10">
        <f>data_redis_illX!F1495</f>
        <v>0</v>
      </c>
      <c r="S1661" s="10">
        <f>data_redis_illX!G1495</f>
        <v>0</v>
      </c>
      <c r="T1661" s="10">
        <f>data_redis_illX!H1495</f>
        <v>0</v>
      </c>
      <c r="U1661" s="10">
        <f>data_redis_illX!I1495</f>
        <v>0</v>
      </c>
      <c r="V1661" s="10">
        <f>data_redis_illX!J1495</f>
        <v>0</v>
      </c>
      <c r="W1661" s="10">
        <f>data_redis_illX!K1495</f>
        <v>0</v>
      </c>
      <c r="X1661" s="10">
        <f>data_redis_illX!L1495</f>
        <v>0</v>
      </c>
      <c r="Y1661" s="5">
        <f t="shared" si="25"/>
        <v>0</v>
      </c>
    </row>
    <row r="1662" spans="13:25" x14ac:dyDescent="0.25">
      <c r="P1662" s="2" t="s">
        <v>20</v>
      </c>
      <c r="Q1662" s="10">
        <f>data_redis_illX!E1496</f>
        <v>0</v>
      </c>
      <c r="R1662" s="10">
        <f>data_redis_illX!F1496</f>
        <v>0</v>
      </c>
      <c r="S1662" s="10">
        <f>data_redis_illX!G1496</f>
        <v>0</v>
      </c>
      <c r="T1662" s="10">
        <f>data_redis_illX!H1496</f>
        <v>0</v>
      </c>
      <c r="U1662" s="10">
        <f>data_redis_illX!I1496</f>
        <v>0</v>
      </c>
      <c r="V1662" s="10">
        <f>data_redis_illX!J1496</f>
        <v>0</v>
      </c>
      <c r="W1662" s="10">
        <f>data_redis_illX!K1496</f>
        <v>0</v>
      </c>
      <c r="X1662" s="10">
        <f>data_redis_illX!L1496</f>
        <v>0</v>
      </c>
      <c r="Y1662" s="5">
        <f t="shared" si="25"/>
        <v>0</v>
      </c>
    </row>
    <row r="1663" spans="13:25" x14ac:dyDescent="0.25">
      <c r="P1663" s="2" t="s">
        <v>21</v>
      </c>
      <c r="Q1663" s="10">
        <f>data_redis_illX!E1497</f>
        <v>0</v>
      </c>
      <c r="R1663" s="10">
        <f>data_redis_illX!F1497</f>
        <v>0</v>
      </c>
      <c r="S1663" s="10">
        <f>data_redis_illX!G1497</f>
        <v>0</v>
      </c>
      <c r="T1663" s="10">
        <f>data_redis_illX!H1497</f>
        <v>0</v>
      </c>
      <c r="U1663" s="10">
        <f>data_redis_illX!I1497</f>
        <v>0</v>
      </c>
      <c r="V1663" s="10">
        <f>data_redis_illX!J1497</f>
        <v>0</v>
      </c>
      <c r="W1663" s="10">
        <f>data_redis_illX!K1497</f>
        <v>0</v>
      </c>
      <c r="X1663" s="10">
        <f>data_redis_illX!L1497</f>
        <v>0</v>
      </c>
      <c r="Y1663" s="5">
        <f t="shared" si="25"/>
        <v>0</v>
      </c>
    </row>
    <row r="1664" spans="13:25" x14ac:dyDescent="0.25">
      <c r="P1664" s="2" t="s">
        <v>22</v>
      </c>
      <c r="Q1664" s="10">
        <f>data_redis_illX!E1498</f>
        <v>0</v>
      </c>
      <c r="R1664" s="10">
        <f>data_redis_illX!F1498</f>
        <v>0</v>
      </c>
      <c r="S1664" s="10">
        <f>data_redis_illX!G1498</f>
        <v>0</v>
      </c>
      <c r="T1664" s="10">
        <f>data_redis_illX!H1498</f>
        <v>0</v>
      </c>
      <c r="U1664" s="10">
        <f>data_redis_illX!I1498</f>
        <v>0</v>
      </c>
      <c r="V1664" s="10">
        <f>data_redis_illX!J1498</f>
        <v>0</v>
      </c>
      <c r="W1664" s="10">
        <f>data_redis_illX!K1498</f>
        <v>0</v>
      </c>
      <c r="X1664" s="10">
        <f>data_redis_illX!L1498</f>
        <v>0</v>
      </c>
      <c r="Y1664" s="5">
        <f t="shared" si="25"/>
        <v>0</v>
      </c>
    </row>
    <row r="1665" spans="16:25" x14ac:dyDescent="0.25">
      <c r="P1665" s="2" t="s">
        <v>23</v>
      </c>
      <c r="Q1665" s="10">
        <f>data_redis_illX!E1499</f>
        <v>0</v>
      </c>
      <c r="R1665" s="10">
        <f>data_redis_illX!F1499</f>
        <v>0</v>
      </c>
      <c r="S1665" s="10">
        <f>data_redis_illX!G1499</f>
        <v>0</v>
      </c>
      <c r="T1665" s="10">
        <f>data_redis_illX!H1499</f>
        <v>0</v>
      </c>
      <c r="U1665" s="10">
        <f>data_redis_illX!I1499</f>
        <v>0</v>
      </c>
      <c r="V1665" s="10">
        <f>data_redis_illX!J1499</f>
        <v>0</v>
      </c>
      <c r="W1665" s="10">
        <f>data_redis_illX!K1499</f>
        <v>0</v>
      </c>
      <c r="X1665" s="10">
        <f>data_redis_illX!L1499</f>
        <v>0</v>
      </c>
      <c r="Y1665" s="5">
        <f t="shared" si="25"/>
        <v>0</v>
      </c>
    </row>
    <row r="1666" spans="16:25" x14ac:dyDescent="0.25">
      <c r="P1666" s="2" t="s">
        <v>24</v>
      </c>
      <c r="Q1666" s="10">
        <f>data_redis_illX!E1500</f>
        <v>0</v>
      </c>
      <c r="R1666" s="10">
        <f>data_redis_illX!F1500</f>
        <v>0</v>
      </c>
      <c r="S1666" s="10">
        <f>data_redis_illX!G1500</f>
        <v>0</v>
      </c>
      <c r="T1666" s="10">
        <f>data_redis_illX!H1500</f>
        <v>0</v>
      </c>
      <c r="U1666" s="10">
        <f>data_redis_illX!I1500</f>
        <v>0</v>
      </c>
      <c r="V1666" s="10">
        <f>data_redis_illX!J1500</f>
        <v>0</v>
      </c>
      <c r="W1666" s="10">
        <f>data_redis_illX!K1500</f>
        <v>0</v>
      </c>
      <c r="X1666" s="10">
        <f>data_redis_illX!L1500</f>
        <v>0</v>
      </c>
      <c r="Y1666" s="5">
        <f t="shared" si="25"/>
        <v>0</v>
      </c>
    </row>
    <row r="1667" spans="16:25" x14ac:dyDescent="0.25">
      <c r="P1667" s="2" t="s">
        <v>25</v>
      </c>
      <c r="Q1667" s="10">
        <f>data_redis_illX!E1501</f>
        <v>0</v>
      </c>
      <c r="R1667" s="10">
        <f>data_redis_illX!F1501</f>
        <v>0</v>
      </c>
      <c r="S1667" s="10">
        <f>data_redis_illX!G1501</f>
        <v>0</v>
      </c>
      <c r="T1667" s="10">
        <f>data_redis_illX!H1501</f>
        <v>0</v>
      </c>
      <c r="U1667" s="10">
        <f>data_redis_illX!I1501</f>
        <v>0</v>
      </c>
      <c r="V1667" s="10">
        <f>data_redis_illX!J1501</f>
        <v>0</v>
      </c>
      <c r="W1667" s="10">
        <f>data_redis_illX!K1501</f>
        <v>0</v>
      </c>
      <c r="X1667" s="10">
        <f>data_redis_illX!L1501</f>
        <v>0</v>
      </c>
      <c r="Y1667" s="5">
        <f t="shared" si="25"/>
        <v>0</v>
      </c>
    </row>
    <row r="1668" spans="16:25" x14ac:dyDescent="0.25">
      <c r="P1668" s="2" t="s">
        <v>26</v>
      </c>
      <c r="Q1668" s="10">
        <f>data_redis_illX!E1502</f>
        <v>0</v>
      </c>
      <c r="R1668" s="10">
        <f>data_redis_illX!F1502</f>
        <v>0</v>
      </c>
      <c r="S1668" s="10">
        <f>data_redis_illX!G1502</f>
        <v>0</v>
      </c>
      <c r="T1668" s="10">
        <f>data_redis_illX!H1502</f>
        <v>0</v>
      </c>
      <c r="U1668" s="10">
        <f>data_redis_illX!I1502</f>
        <v>0</v>
      </c>
      <c r="V1668" s="10">
        <f>data_redis_illX!J1502</f>
        <v>0</v>
      </c>
      <c r="W1668" s="10">
        <f>data_redis_illX!K1502</f>
        <v>0</v>
      </c>
      <c r="X1668" s="10">
        <f>data_redis_illX!L1502</f>
        <v>0</v>
      </c>
      <c r="Y1668" s="5">
        <f t="shared" si="25"/>
        <v>0</v>
      </c>
    </row>
    <row r="1669" spans="16:25" x14ac:dyDescent="0.25">
      <c r="P1669" s="2" t="s">
        <v>27</v>
      </c>
      <c r="Q1669" s="10">
        <f>data_redis_illX!E1503</f>
        <v>0</v>
      </c>
      <c r="R1669" s="10">
        <f>data_redis_illX!F1503</f>
        <v>0</v>
      </c>
      <c r="S1669" s="10">
        <f>data_redis_illX!G1503</f>
        <v>0</v>
      </c>
      <c r="T1669" s="10">
        <f>data_redis_illX!H1503</f>
        <v>0</v>
      </c>
      <c r="U1669" s="10">
        <f>data_redis_illX!I1503</f>
        <v>0</v>
      </c>
      <c r="V1669" s="10">
        <f>data_redis_illX!J1503</f>
        <v>0</v>
      </c>
      <c r="W1669" s="10">
        <f>data_redis_illX!K1503</f>
        <v>0</v>
      </c>
      <c r="X1669" s="10">
        <f>data_redis_illX!L1503</f>
        <v>0</v>
      </c>
      <c r="Y1669" s="5">
        <f t="shared" ref="Y1669:Y1732" si="26">SUM(Q1669:X1669)</f>
        <v>0</v>
      </c>
    </row>
    <row r="1670" spans="16:25" x14ac:dyDescent="0.25">
      <c r="P1670" s="2" t="s">
        <v>28</v>
      </c>
      <c r="Q1670" s="10">
        <f>data_redis_illX!E1504</f>
        <v>0</v>
      </c>
      <c r="R1670" s="10">
        <f>data_redis_illX!F1504</f>
        <v>0</v>
      </c>
      <c r="S1670" s="10">
        <f>data_redis_illX!G1504</f>
        <v>0</v>
      </c>
      <c r="T1670" s="10">
        <f>data_redis_illX!H1504</f>
        <v>0</v>
      </c>
      <c r="U1670" s="10">
        <f>data_redis_illX!I1504</f>
        <v>0</v>
      </c>
      <c r="V1670" s="10">
        <f>data_redis_illX!J1504</f>
        <v>0</v>
      </c>
      <c r="W1670" s="10">
        <f>data_redis_illX!K1504</f>
        <v>0</v>
      </c>
      <c r="X1670" s="10">
        <f>data_redis_illX!L1504</f>
        <v>0</v>
      </c>
      <c r="Y1670" s="5">
        <f t="shared" si="26"/>
        <v>0</v>
      </c>
    </row>
    <row r="1671" spans="16:25" x14ac:dyDescent="0.25">
      <c r="P1671" s="2" t="s">
        <v>29</v>
      </c>
      <c r="Q1671" s="10">
        <f>data_redis_illX!E1505</f>
        <v>0</v>
      </c>
      <c r="R1671" s="10">
        <f>data_redis_illX!F1505</f>
        <v>0</v>
      </c>
      <c r="S1671" s="10">
        <f>data_redis_illX!G1505</f>
        <v>0</v>
      </c>
      <c r="T1671" s="10">
        <f>data_redis_illX!H1505</f>
        <v>0</v>
      </c>
      <c r="U1671" s="10">
        <f>data_redis_illX!I1505</f>
        <v>0</v>
      </c>
      <c r="V1671" s="10">
        <f>data_redis_illX!J1505</f>
        <v>0</v>
      </c>
      <c r="W1671" s="10">
        <f>data_redis_illX!K1505</f>
        <v>0</v>
      </c>
      <c r="X1671" s="10">
        <f>data_redis_illX!L1505</f>
        <v>0</v>
      </c>
      <c r="Y1671" s="5">
        <f t="shared" si="26"/>
        <v>0</v>
      </c>
    </row>
    <row r="1672" spans="16:25" x14ac:dyDescent="0.25">
      <c r="P1672" s="2" t="s">
        <v>30</v>
      </c>
      <c r="Q1672" s="10">
        <f>data_redis_illX!E1506</f>
        <v>0</v>
      </c>
      <c r="R1672" s="10">
        <f>data_redis_illX!F1506</f>
        <v>0</v>
      </c>
      <c r="S1672" s="10">
        <f>data_redis_illX!G1506</f>
        <v>0</v>
      </c>
      <c r="T1672" s="10">
        <f>data_redis_illX!H1506</f>
        <v>0</v>
      </c>
      <c r="U1672" s="10">
        <f>data_redis_illX!I1506</f>
        <v>0</v>
      </c>
      <c r="V1672" s="10">
        <f>data_redis_illX!J1506</f>
        <v>0</v>
      </c>
      <c r="W1672" s="10">
        <f>data_redis_illX!K1506</f>
        <v>0</v>
      </c>
      <c r="X1672" s="10">
        <f>data_redis_illX!L1506</f>
        <v>0</v>
      </c>
      <c r="Y1672" s="5">
        <f t="shared" si="26"/>
        <v>0</v>
      </c>
    </row>
    <row r="1673" spans="16:25" x14ac:dyDescent="0.25">
      <c r="P1673" s="2" t="s">
        <v>31</v>
      </c>
      <c r="Q1673" s="10">
        <f>data_redis_illX!E1507</f>
        <v>0</v>
      </c>
      <c r="R1673" s="10">
        <f>data_redis_illX!F1507</f>
        <v>0</v>
      </c>
      <c r="S1673" s="10">
        <f>data_redis_illX!G1507</f>
        <v>0</v>
      </c>
      <c r="T1673" s="10">
        <f>data_redis_illX!H1507</f>
        <v>4.2962847055216971</v>
      </c>
      <c r="U1673" s="10">
        <f>data_redis_illX!I1507</f>
        <v>5.0871090262423007</v>
      </c>
      <c r="V1673" s="10">
        <f>data_redis_illX!J1507</f>
        <v>2.0373327108621226</v>
      </c>
      <c r="W1673" s="10">
        <f>data_redis_illX!K1507</f>
        <v>0</v>
      </c>
      <c r="X1673" s="10">
        <f>data_redis_illX!L1507</f>
        <v>0</v>
      </c>
      <c r="Y1673" s="5">
        <f t="shared" si="26"/>
        <v>11.420726442626121</v>
      </c>
    </row>
    <row r="1674" spans="16:25" x14ac:dyDescent="0.25">
      <c r="P1674" s="2" t="s">
        <v>32</v>
      </c>
      <c r="Q1674" s="10">
        <f>data_redis_illX!E1508</f>
        <v>0</v>
      </c>
      <c r="R1674" s="10">
        <f>data_redis_illX!F1508</f>
        <v>0</v>
      </c>
      <c r="S1674" s="10">
        <f>data_redis_illX!G1508</f>
        <v>0</v>
      </c>
      <c r="T1674" s="10">
        <f>data_redis_illX!H1508</f>
        <v>0</v>
      </c>
      <c r="U1674" s="10">
        <f>data_redis_illX!I1508</f>
        <v>0</v>
      </c>
      <c r="V1674" s="10">
        <f>data_redis_illX!J1508</f>
        <v>0</v>
      </c>
      <c r="W1674" s="10">
        <f>data_redis_illX!K1508</f>
        <v>0</v>
      </c>
      <c r="X1674" s="10">
        <f>data_redis_illX!L1508</f>
        <v>0</v>
      </c>
      <c r="Y1674" s="5">
        <f t="shared" si="26"/>
        <v>0</v>
      </c>
    </row>
    <row r="1675" spans="16:25" x14ac:dyDescent="0.25">
      <c r="P1675" s="2" t="s">
        <v>33</v>
      </c>
      <c r="Q1675" s="10">
        <f>data_redis_illX!E1509</f>
        <v>0</v>
      </c>
      <c r="R1675" s="10">
        <f>data_redis_illX!F1509</f>
        <v>0</v>
      </c>
      <c r="S1675" s="10">
        <f>data_redis_illX!G1509</f>
        <v>0</v>
      </c>
      <c r="T1675" s="10">
        <f>data_redis_illX!H1509</f>
        <v>0</v>
      </c>
      <c r="U1675" s="10">
        <f>data_redis_illX!I1509</f>
        <v>0</v>
      </c>
      <c r="V1675" s="10">
        <f>data_redis_illX!J1509</f>
        <v>0</v>
      </c>
      <c r="W1675" s="10">
        <f>data_redis_illX!K1509</f>
        <v>0</v>
      </c>
      <c r="X1675" s="10">
        <f>data_redis_illX!L1509</f>
        <v>0</v>
      </c>
      <c r="Y1675" s="5">
        <f t="shared" si="26"/>
        <v>0</v>
      </c>
    </row>
    <row r="1676" spans="16:25" x14ac:dyDescent="0.25">
      <c r="P1676" s="2" t="s">
        <v>34</v>
      </c>
      <c r="Q1676" s="10">
        <f>data_redis_illX!E1510</f>
        <v>0</v>
      </c>
      <c r="R1676" s="10">
        <f>data_redis_illX!F1510</f>
        <v>0</v>
      </c>
      <c r="S1676" s="10">
        <f>data_redis_illX!G1510</f>
        <v>0</v>
      </c>
      <c r="T1676" s="10">
        <f>data_redis_illX!H1510</f>
        <v>0</v>
      </c>
      <c r="U1676" s="10">
        <f>data_redis_illX!I1510</f>
        <v>0</v>
      </c>
      <c r="V1676" s="10">
        <f>data_redis_illX!J1510</f>
        <v>0</v>
      </c>
      <c r="W1676" s="10">
        <f>data_redis_illX!K1510</f>
        <v>0</v>
      </c>
      <c r="X1676" s="10">
        <f>data_redis_illX!L1510</f>
        <v>0</v>
      </c>
      <c r="Y1676" s="5">
        <f t="shared" si="26"/>
        <v>0</v>
      </c>
    </row>
    <row r="1677" spans="16:25" x14ac:dyDescent="0.25">
      <c r="P1677" s="2" t="s">
        <v>35</v>
      </c>
      <c r="Q1677" s="10">
        <f>data_redis_illX!E1511</f>
        <v>0</v>
      </c>
      <c r="R1677" s="10">
        <f>data_redis_illX!F1511</f>
        <v>0</v>
      </c>
      <c r="S1677" s="10">
        <f>data_redis_illX!G1511</f>
        <v>0</v>
      </c>
      <c r="T1677" s="10">
        <f>data_redis_illX!H1511</f>
        <v>0</v>
      </c>
      <c r="U1677" s="10">
        <f>data_redis_illX!I1511</f>
        <v>0</v>
      </c>
      <c r="V1677" s="10">
        <f>data_redis_illX!J1511</f>
        <v>0</v>
      </c>
      <c r="W1677" s="10">
        <f>data_redis_illX!K1511</f>
        <v>0</v>
      </c>
      <c r="X1677" s="10">
        <f>data_redis_illX!L1511</f>
        <v>0</v>
      </c>
      <c r="Y1677" s="5">
        <f t="shared" si="26"/>
        <v>0</v>
      </c>
    </row>
    <row r="1678" spans="16:25" x14ac:dyDescent="0.25">
      <c r="P1678" s="2" t="s">
        <v>36</v>
      </c>
      <c r="Q1678" s="10">
        <f>data_redis_illX!E1512</f>
        <v>0</v>
      </c>
      <c r="R1678" s="10">
        <f>data_redis_illX!F1512</f>
        <v>0</v>
      </c>
      <c r="S1678" s="10">
        <f>data_redis_illX!G1512</f>
        <v>0</v>
      </c>
      <c r="T1678" s="10">
        <f>data_redis_illX!H1512</f>
        <v>0</v>
      </c>
      <c r="U1678" s="10">
        <f>data_redis_illX!I1512</f>
        <v>0</v>
      </c>
      <c r="V1678" s="10">
        <f>data_redis_illX!J1512</f>
        <v>0</v>
      </c>
      <c r="W1678" s="10">
        <f>data_redis_illX!K1512</f>
        <v>0</v>
      </c>
      <c r="X1678" s="10">
        <f>data_redis_illX!L1512</f>
        <v>0</v>
      </c>
      <c r="Y1678" s="5">
        <f t="shared" si="26"/>
        <v>0</v>
      </c>
    </row>
    <row r="1679" spans="16:25" x14ac:dyDescent="0.25">
      <c r="P1679" s="2" t="s">
        <v>37</v>
      </c>
      <c r="Q1679" s="10">
        <f>data_redis_illX!E1513</f>
        <v>0</v>
      </c>
      <c r="R1679" s="10">
        <f>data_redis_illX!F1513</f>
        <v>0</v>
      </c>
      <c r="S1679" s="10">
        <f>data_redis_illX!G1513</f>
        <v>0</v>
      </c>
      <c r="T1679" s="10">
        <f>data_redis_illX!H1513</f>
        <v>0</v>
      </c>
      <c r="U1679" s="10">
        <f>data_redis_illX!I1513</f>
        <v>0</v>
      </c>
      <c r="V1679" s="10">
        <f>data_redis_illX!J1513</f>
        <v>0</v>
      </c>
      <c r="W1679" s="10">
        <f>data_redis_illX!K1513</f>
        <v>0</v>
      </c>
      <c r="X1679" s="10">
        <f>data_redis_illX!L1513</f>
        <v>0</v>
      </c>
      <c r="Y1679" s="5">
        <f t="shared" si="26"/>
        <v>0</v>
      </c>
    </row>
    <row r="1680" spans="16:25" x14ac:dyDescent="0.25">
      <c r="P1680" s="2" t="s">
        <v>38</v>
      </c>
      <c r="Q1680" s="10">
        <f>data_redis_illX!E1514</f>
        <v>0</v>
      </c>
      <c r="R1680" s="10">
        <f>data_redis_illX!F1514</f>
        <v>0</v>
      </c>
      <c r="S1680" s="10">
        <f>data_redis_illX!G1514</f>
        <v>0</v>
      </c>
      <c r="T1680" s="10">
        <f>data_redis_illX!H1514</f>
        <v>0</v>
      </c>
      <c r="U1680" s="10">
        <f>data_redis_illX!I1514</f>
        <v>0</v>
      </c>
      <c r="V1680" s="10">
        <f>data_redis_illX!J1514</f>
        <v>0</v>
      </c>
      <c r="W1680" s="10">
        <f>data_redis_illX!K1514</f>
        <v>0</v>
      </c>
      <c r="X1680" s="10">
        <f>data_redis_illX!L1514</f>
        <v>0</v>
      </c>
      <c r="Y1680" s="5">
        <f t="shared" si="26"/>
        <v>0</v>
      </c>
    </row>
    <row r="1681" spans="13:25" x14ac:dyDescent="0.25">
      <c r="P1681" s="2" t="s">
        <v>39</v>
      </c>
      <c r="Q1681" s="10">
        <f>data_redis_illX!E1515</f>
        <v>0</v>
      </c>
      <c r="R1681" s="10">
        <f>data_redis_illX!F1515</f>
        <v>0</v>
      </c>
      <c r="S1681" s="10">
        <f>data_redis_illX!G1515</f>
        <v>0</v>
      </c>
      <c r="T1681" s="10">
        <f>data_redis_illX!H1515</f>
        <v>0</v>
      </c>
      <c r="U1681" s="10">
        <f>data_redis_illX!I1515</f>
        <v>0</v>
      </c>
      <c r="V1681" s="10">
        <f>data_redis_illX!J1515</f>
        <v>0</v>
      </c>
      <c r="W1681" s="10">
        <f>data_redis_illX!K1515</f>
        <v>0</v>
      </c>
      <c r="X1681" s="10">
        <f>data_redis_illX!L1515</f>
        <v>0</v>
      </c>
      <c r="Y1681" s="5">
        <f t="shared" si="26"/>
        <v>0</v>
      </c>
    </row>
    <row r="1682" spans="13:25" x14ac:dyDescent="0.25">
      <c r="P1682" s="2" t="s">
        <v>40</v>
      </c>
      <c r="Q1682" s="10">
        <f>data_redis_illX!E1516</f>
        <v>0</v>
      </c>
      <c r="R1682" s="10">
        <f>data_redis_illX!F1516</f>
        <v>0</v>
      </c>
      <c r="S1682" s="10">
        <f>data_redis_illX!G1516</f>
        <v>0</v>
      </c>
      <c r="T1682" s="10">
        <f>data_redis_illX!H1516</f>
        <v>0</v>
      </c>
      <c r="U1682" s="10">
        <f>data_redis_illX!I1516</f>
        <v>0</v>
      </c>
      <c r="V1682" s="10">
        <f>data_redis_illX!J1516</f>
        <v>0</v>
      </c>
      <c r="W1682" s="10">
        <f>data_redis_illX!K1516</f>
        <v>0</v>
      </c>
      <c r="X1682" s="10">
        <f>data_redis_illX!L1516</f>
        <v>0</v>
      </c>
      <c r="Y1682" s="5">
        <f t="shared" si="26"/>
        <v>0</v>
      </c>
    </row>
    <row r="1683" spans="13:25" x14ac:dyDescent="0.25">
      <c r="P1683" s="2" t="s">
        <v>41</v>
      </c>
      <c r="Q1683" s="10">
        <f>data_redis_illX!E1517</f>
        <v>0</v>
      </c>
      <c r="R1683" s="10">
        <f>data_redis_illX!F1517</f>
        <v>0</v>
      </c>
      <c r="S1683" s="10">
        <f>data_redis_illX!G1517</f>
        <v>0</v>
      </c>
      <c r="T1683" s="10">
        <f>data_redis_illX!H1517</f>
        <v>0</v>
      </c>
      <c r="U1683" s="10">
        <f>data_redis_illX!I1517</f>
        <v>0</v>
      </c>
      <c r="V1683" s="10">
        <f>data_redis_illX!J1517</f>
        <v>0</v>
      </c>
      <c r="W1683" s="10">
        <f>data_redis_illX!K1517</f>
        <v>0</v>
      </c>
      <c r="X1683" s="10">
        <f>data_redis_illX!L1517</f>
        <v>0</v>
      </c>
      <c r="Y1683" s="5">
        <f t="shared" si="26"/>
        <v>0</v>
      </c>
    </row>
    <row r="1684" spans="13:25" x14ac:dyDescent="0.25">
      <c r="P1684" s="2" t="s">
        <v>42</v>
      </c>
      <c r="Q1684" s="10">
        <f>data_redis_illX!E1518</f>
        <v>0</v>
      </c>
      <c r="R1684" s="10">
        <f>data_redis_illX!F1518</f>
        <v>0</v>
      </c>
      <c r="S1684" s="10">
        <f>data_redis_illX!G1518</f>
        <v>0</v>
      </c>
      <c r="T1684" s="10">
        <f>data_redis_illX!H1518</f>
        <v>0</v>
      </c>
      <c r="U1684" s="10">
        <f>data_redis_illX!I1518</f>
        <v>0</v>
      </c>
      <c r="V1684" s="10">
        <f>data_redis_illX!J1518</f>
        <v>0</v>
      </c>
      <c r="W1684" s="10">
        <f>data_redis_illX!K1518</f>
        <v>0</v>
      </c>
      <c r="X1684" s="10">
        <f>data_redis_illX!L1518</f>
        <v>0</v>
      </c>
      <c r="Y1684" s="5">
        <f t="shared" si="26"/>
        <v>0</v>
      </c>
    </row>
    <row r="1685" spans="13:25" x14ac:dyDescent="0.25">
      <c r="P1685" s="2" t="s">
        <v>43</v>
      </c>
      <c r="Q1685" s="10">
        <f>data_redis_illX!E1519</f>
        <v>0</v>
      </c>
      <c r="R1685" s="10">
        <f>data_redis_illX!F1519</f>
        <v>0</v>
      </c>
      <c r="S1685" s="10">
        <f>data_redis_illX!G1519</f>
        <v>26.292392359358622</v>
      </c>
      <c r="T1685" s="10">
        <f>data_redis_illX!H1519</f>
        <v>22.036996469325942</v>
      </c>
      <c r="U1685" s="10">
        <f>data_redis_illX!I1519</f>
        <v>7.0871090262423007</v>
      </c>
      <c r="V1685" s="10">
        <f>data_redis_illX!J1519</f>
        <v>0</v>
      </c>
      <c r="W1685" s="10">
        <f>data_redis_illX!K1519</f>
        <v>0</v>
      </c>
      <c r="X1685" s="10">
        <f>data_redis_illX!L1519</f>
        <v>0</v>
      </c>
      <c r="Y1685" s="5">
        <f t="shared" si="26"/>
        <v>55.416497854926867</v>
      </c>
    </row>
    <row r="1686" spans="13:25" x14ac:dyDescent="0.25">
      <c r="P1686" s="2" t="s">
        <v>44</v>
      </c>
      <c r="Q1686" s="10">
        <f>data_redis_illX!E1520</f>
        <v>0</v>
      </c>
      <c r="R1686" s="10">
        <f>data_redis_illX!F1520</f>
        <v>0</v>
      </c>
      <c r="S1686" s="10">
        <f>data_redis_illX!G1520</f>
        <v>0</v>
      </c>
      <c r="T1686" s="10">
        <f>data_redis_illX!H1520</f>
        <v>0</v>
      </c>
      <c r="U1686" s="10">
        <f>data_redis_illX!I1520</f>
        <v>0</v>
      </c>
      <c r="V1686" s="10">
        <f>data_redis_illX!J1520</f>
        <v>0</v>
      </c>
      <c r="W1686" s="10">
        <f>data_redis_illX!K1520</f>
        <v>0</v>
      </c>
      <c r="X1686" s="10">
        <f>data_redis_illX!L1520</f>
        <v>0</v>
      </c>
      <c r="Y1686" s="5">
        <f t="shared" si="26"/>
        <v>0</v>
      </c>
    </row>
    <row r="1687" spans="13:25" x14ac:dyDescent="0.25">
      <c r="M1687" t="s">
        <v>115</v>
      </c>
      <c r="N1687" t="s">
        <v>116</v>
      </c>
      <c r="O1687" t="s">
        <v>51</v>
      </c>
      <c r="P1687" s="2" t="s">
        <v>12</v>
      </c>
      <c r="Q1687" s="10">
        <f>data_redis_illX!E1521</f>
        <v>0</v>
      </c>
      <c r="R1687" s="10">
        <f>data_redis_illX!F1521</f>
        <v>0</v>
      </c>
      <c r="S1687" s="10">
        <f>data_redis_illX!G1521</f>
        <v>0</v>
      </c>
      <c r="T1687" s="10">
        <f>data_redis_illX!H1521</f>
        <v>0</v>
      </c>
      <c r="U1687" s="10">
        <f>data_redis_illX!I1521</f>
        <v>0</v>
      </c>
      <c r="V1687" s="10">
        <f>data_redis_illX!J1521</f>
        <v>0</v>
      </c>
      <c r="W1687" s="10">
        <f>data_redis_illX!K1521</f>
        <v>0</v>
      </c>
      <c r="X1687" s="10">
        <f>data_redis_illX!L1521</f>
        <v>0</v>
      </c>
      <c r="Y1687" s="5">
        <f t="shared" si="26"/>
        <v>0</v>
      </c>
    </row>
    <row r="1688" spans="13:25" x14ac:dyDescent="0.25">
      <c r="P1688" s="2" t="s">
        <v>13</v>
      </c>
      <c r="Q1688" s="10">
        <f>data_redis_illX!E1522</f>
        <v>0</v>
      </c>
      <c r="R1688" s="10">
        <f>data_redis_illX!F1522</f>
        <v>0</v>
      </c>
      <c r="S1688" s="10">
        <f>data_redis_illX!G1522</f>
        <v>7.0974641197862072</v>
      </c>
      <c r="T1688" s="10">
        <f>data_redis_illX!H1522</f>
        <v>0</v>
      </c>
      <c r="U1688" s="10">
        <f>data_redis_illX!I1522</f>
        <v>3.3148258816159508</v>
      </c>
      <c r="V1688" s="10">
        <f>data_redis_illX!J1522</f>
        <v>0</v>
      </c>
      <c r="W1688" s="10">
        <f>data_redis_illX!K1522</f>
        <v>0</v>
      </c>
      <c r="X1688" s="10">
        <f>data_redis_illX!L1522</f>
        <v>0</v>
      </c>
      <c r="Y1688" s="5">
        <f t="shared" si="26"/>
        <v>10.412290001402159</v>
      </c>
    </row>
    <row r="1689" spans="13:25" x14ac:dyDescent="0.25">
      <c r="P1689" s="2" t="s">
        <v>14</v>
      </c>
      <c r="Q1689" s="10">
        <f>data_redis_illX!E1523</f>
        <v>0</v>
      </c>
      <c r="R1689" s="10">
        <f>data_redis_illX!F1523</f>
        <v>0</v>
      </c>
      <c r="S1689" s="10">
        <f>data_redis_illX!G1523</f>
        <v>1.1829106866310346</v>
      </c>
      <c r="T1689" s="10">
        <f>data_redis_illX!H1523</f>
        <v>4.7017417013241074</v>
      </c>
      <c r="U1689" s="10">
        <f>data_redis_illX!I1523</f>
        <v>5.5247098026932511</v>
      </c>
      <c r="V1689" s="10">
        <f>data_redis_illX!J1523</f>
        <v>5.5427434045513637</v>
      </c>
      <c r="W1689" s="10">
        <f>data_redis_illX!K1523</f>
        <v>0</v>
      </c>
      <c r="X1689" s="10">
        <f>data_redis_illX!L1523</f>
        <v>0</v>
      </c>
      <c r="Y1689" s="5">
        <f t="shared" si="26"/>
        <v>16.952105595199757</v>
      </c>
    </row>
    <row r="1690" spans="13:25" x14ac:dyDescent="0.25">
      <c r="P1690" s="2" t="s">
        <v>15</v>
      </c>
      <c r="Q1690" s="10">
        <f>data_redis_illX!E1524</f>
        <v>0</v>
      </c>
      <c r="R1690" s="10">
        <f>data_redis_illX!F1524</f>
        <v>0</v>
      </c>
      <c r="S1690" s="10">
        <f>data_redis_illX!G1524</f>
        <v>0</v>
      </c>
      <c r="T1690" s="10">
        <f>data_redis_illX!H1524</f>
        <v>0</v>
      </c>
      <c r="U1690" s="10">
        <f>data_redis_illX!I1524</f>
        <v>0</v>
      </c>
      <c r="V1690" s="10">
        <f>data_redis_illX!J1524</f>
        <v>0</v>
      </c>
      <c r="W1690" s="10">
        <f>data_redis_illX!K1524</f>
        <v>0</v>
      </c>
      <c r="X1690" s="10">
        <f>data_redis_illX!L1524</f>
        <v>0</v>
      </c>
      <c r="Y1690" s="5">
        <f t="shared" si="26"/>
        <v>0</v>
      </c>
    </row>
    <row r="1691" spans="13:25" x14ac:dyDescent="0.25">
      <c r="P1691" s="2" t="s">
        <v>16</v>
      </c>
      <c r="Q1691" s="10">
        <f>data_redis_illX!E1525</f>
        <v>0</v>
      </c>
      <c r="R1691" s="10">
        <f>data_redis_illX!F1525</f>
        <v>0</v>
      </c>
      <c r="S1691" s="10">
        <f>data_redis_illX!G1525</f>
        <v>0</v>
      </c>
      <c r="T1691" s="10">
        <f>data_redis_illX!H1525</f>
        <v>1.1754354253310269</v>
      </c>
      <c r="U1691" s="10">
        <f>data_redis_illX!I1525</f>
        <v>3.3148258816159508</v>
      </c>
      <c r="V1691" s="10">
        <f>data_redis_illX!J1525</f>
        <v>0</v>
      </c>
      <c r="W1691" s="10">
        <f>data_redis_illX!K1525</f>
        <v>2.0428571428571427</v>
      </c>
      <c r="X1691" s="10">
        <f>data_redis_illX!L1525</f>
        <v>0</v>
      </c>
      <c r="Y1691" s="5">
        <f t="shared" si="26"/>
        <v>6.5331184498041202</v>
      </c>
    </row>
    <row r="1692" spans="13:25" x14ac:dyDescent="0.25">
      <c r="P1692" s="2" t="s">
        <v>17</v>
      </c>
      <c r="Q1692" s="10">
        <f>data_redis_illX!E1526</f>
        <v>0</v>
      </c>
      <c r="R1692" s="10">
        <f>data_redis_illX!F1526</f>
        <v>0</v>
      </c>
      <c r="S1692" s="10">
        <f>data_redis_illX!G1526</f>
        <v>1.1829106866310346</v>
      </c>
      <c r="T1692" s="10">
        <f>data_redis_illX!H1526</f>
        <v>0</v>
      </c>
      <c r="U1692" s="10">
        <f>data_redis_illX!I1526</f>
        <v>2.2098839210773007</v>
      </c>
      <c r="V1692" s="10">
        <f>data_redis_illX!J1526</f>
        <v>0</v>
      </c>
      <c r="W1692" s="10">
        <f>data_redis_illX!K1526</f>
        <v>0</v>
      </c>
      <c r="X1692" s="10">
        <f>data_redis_illX!L1526</f>
        <v>0</v>
      </c>
      <c r="Y1692" s="5">
        <f t="shared" si="26"/>
        <v>3.3927946077083355</v>
      </c>
    </row>
    <row r="1693" spans="13:25" x14ac:dyDescent="0.25">
      <c r="P1693" s="2" t="s">
        <v>18</v>
      </c>
      <c r="Q1693" s="10">
        <f>data_redis_illX!E1527</f>
        <v>0</v>
      </c>
      <c r="R1693" s="10">
        <f>data_redis_illX!F1527</f>
        <v>0</v>
      </c>
      <c r="S1693" s="10">
        <f>data_redis_illX!G1527</f>
        <v>1.1829106866310346</v>
      </c>
      <c r="T1693" s="10">
        <f>data_redis_illX!H1527</f>
        <v>2.3508708506620537</v>
      </c>
      <c r="U1693" s="10">
        <f>data_redis_illX!I1527</f>
        <v>1.1049419605386503</v>
      </c>
      <c r="V1693" s="10">
        <f>data_redis_illX!J1527</f>
        <v>4.4341947236410908</v>
      </c>
      <c r="W1693" s="10">
        <f>data_redis_illX!K1527</f>
        <v>0</v>
      </c>
      <c r="X1693" s="10">
        <f>data_redis_illX!L1527</f>
        <v>0</v>
      </c>
      <c r="Y1693" s="5">
        <f t="shared" si="26"/>
        <v>9.072918221472829</v>
      </c>
    </row>
    <row r="1694" spans="13:25" x14ac:dyDescent="0.25">
      <c r="P1694" s="2" t="s">
        <v>19</v>
      </c>
      <c r="Q1694" s="10">
        <f>data_redis_illX!E1528</f>
        <v>0</v>
      </c>
      <c r="R1694" s="10">
        <f>data_redis_illX!F1528</f>
        <v>0</v>
      </c>
      <c r="S1694" s="10">
        <f>data_redis_illX!G1528</f>
        <v>4.7316427465241384</v>
      </c>
      <c r="T1694" s="10">
        <f>data_redis_illX!H1528</f>
        <v>16.456095954634378</v>
      </c>
      <c r="U1694" s="10">
        <f>data_redis_illX!I1528</f>
        <v>29.833432934543559</v>
      </c>
      <c r="V1694" s="10">
        <f>data_redis_illX!J1528</f>
        <v>7.7598407663719078</v>
      </c>
      <c r="W1694" s="10">
        <f>data_redis_illX!K1528</f>
        <v>2.0428571428571427</v>
      </c>
      <c r="X1694" s="10">
        <f>data_redis_illX!L1528</f>
        <v>0</v>
      </c>
      <c r="Y1694" s="5">
        <f t="shared" si="26"/>
        <v>60.823869544931128</v>
      </c>
    </row>
    <row r="1695" spans="13:25" x14ac:dyDescent="0.25">
      <c r="P1695" s="2" t="s">
        <v>20</v>
      </c>
      <c r="Q1695" s="10">
        <f>data_redis_illX!E1529</f>
        <v>0</v>
      </c>
      <c r="R1695" s="10">
        <f>data_redis_illX!F1529</f>
        <v>0</v>
      </c>
      <c r="S1695" s="10">
        <f>data_redis_illX!G1529</f>
        <v>0</v>
      </c>
      <c r="T1695" s="10">
        <f>data_redis_illX!H1529</f>
        <v>8.2280479773171891</v>
      </c>
      <c r="U1695" s="10">
        <f>data_redis_illX!I1529</f>
        <v>1.1049419605386503</v>
      </c>
      <c r="V1695" s="10">
        <f>data_redis_illX!J1529</f>
        <v>1.1085486809102727</v>
      </c>
      <c r="W1695" s="10">
        <f>data_redis_illX!K1529</f>
        <v>0</v>
      </c>
      <c r="X1695" s="10">
        <f>data_redis_illX!L1529</f>
        <v>0</v>
      </c>
      <c r="Y1695" s="5">
        <f t="shared" si="26"/>
        <v>10.441538618766112</v>
      </c>
    </row>
    <row r="1696" spans="13:25" x14ac:dyDescent="0.25">
      <c r="P1696" s="2" t="s">
        <v>21</v>
      </c>
      <c r="Q1696" s="10">
        <f>data_redis_illX!E1530</f>
        <v>0</v>
      </c>
      <c r="R1696" s="10">
        <f>data_redis_illX!F1530</f>
        <v>0</v>
      </c>
      <c r="S1696" s="10">
        <f>data_redis_illX!G1530</f>
        <v>2.3658213732620692</v>
      </c>
      <c r="T1696" s="10">
        <f>data_redis_illX!H1530</f>
        <v>2.3508708506620537</v>
      </c>
      <c r="U1696" s="10">
        <f>data_redis_illX!I1530</f>
        <v>11.049419605386502</v>
      </c>
      <c r="V1696" s="10">
        <f>data_redis_illX!J1530</f>
        <v>7.7598407663719078</v>
      </c>
      <c r="W1696" s="10">
        <f>data_redis_illX!K1530</f>
        <v>6.1285714285714281</v>
      </c>
      <c r="X1696" s="10">
        <f>data_redis_illX!L1530</f>
        <v>0</v>
      </c>
      <c r="Y1696" s="5">
        <f t="shared" si="26"/>
        <v>29.654524024253959</v>
      </c>
    </row>
    <row r="1697" spans="16:25" x14ac:dyDescent="0.25">
      <c r="P1697" s="2" t="s">
        <v>22</v>
      </c>
      <c r="Q1697" s="10">
        <f>data_redis_illX!E1531</f>
        <v>0</v>
      </c>
      <c r="R1697" s="10">
        <f>data_redis_illX!F1531</f>
        <v>0</v>
      </c>
      <c r="S1697" s="10">
        <f>data_redis_illX!G1531</f>
        <v>0</v>
      </c>
      <c r="T1697" s="10">
        <f>data_redis_illX!H1531</f>
        <v>7.0526125519861624</v>
      </c>
      <c r="U1697" s="10">
        <f>data_redis_illX!I1531</f>
        <v>11.049419605386502</v>
      </c>
      <c r="V1697" s="10">
        <f>data_redis_illX!J1531</f>
        <v>3.3256460427308179</v>
      </c>
      <c r="W1697" s="10">
        <f>data_redis_illX!K1531</f>
        <v>2.0428571428571427</v>
      </c>
      <c r="X1697" s="10">
        <f>data_redis_illX!L1531</f>
        <v>0</v>
      </c>
      <c r="Y1697" s="5">
        <f t="shared" si="26"/>
        <v>23.470535342960623</v>
      </c>
    </row>
    <row r="1698" spans="16:25" x14ac:dyDescent="0.25">
      <c r="P1698" s="2" t="s">
        <v>23</v>
      </c>
      <c r="Q1698" s="10">
        <f>data_redis_illX!E1532</f>
        <v>0</v>
      </c>
      <c r="R1698" s="10">
        <f>data_redis_illX!F1532</f>
        <v>0</v>
      </c>
      <c r="S1698" s="10">
        <f>data_redis_illX!G1532</f>
        <v>4.7316427465241384</v>
      </c>
      <c r="T1698" s="10">
        <f>data_redis_illX!H1532</f>
        <v>2.3508708506620537</v>
      </c>
      <c r="U1698" s="10">
        <f>data_redis_illX!I1532</f>
        <v>7.7345937237705531</v>
      </c>
      <c r="V1698" s="10">
        <f>data_redis_illX!J1532</f>
        <v>1.1085486809102727</v>
      </c>
      <c r="W1698" s="10">
        <f>data_redis_illX!K1532</f>
        <v>1.0214285714285714</v>
      </c>
      <c r="X1698" s="10">
        <f>data_redis_illX!L1532</f>
        <v>0</v>
      </c>
      <c r="Y1698" s="5">
        <f t="shared" si="26"/>
        <v>16.947084573295591</v>
      </c>
    </row>
    <row r="1699" spans="16:25" x14ac:dyDescent="0.25">
      <c r="P1699" s="2" t="s">
        <v>24</v>
      </c>
      <c r="Q1699" s="10">
        <f>data_redis_illX!E1533</f>
        <v>0</v>
      </c>
      <c r="R1699" s="10">
        <f>data_redis_illX!F1533</f>
        <v>0</v>
      </c>
      <c r="S1699" s="10">
        <f>data_redis_illX!G1533</f>
        <v>0</v>
      </c>
      <c r="T1699" s="10">
        <f>data_redis_illX!H1533</f>
        <v>1.1754354253310269</v>
      </c>
      <c r="U1699" s="10">
        <f>data_redis_illX!I1533</f>
        <v>6.6296517632319016</v>
      </c>
      <c r="V1699" s="10">
        <f>data_redis_illX!J1533</f>
        <v>0</v>
      </c>
      <c r="W1699" s="10">
        <f>data_redis_illX!K1533</f>
        <v>0</v>
      </c>
      <c r="X1699" s="10">
        <f>data_redis_illX!L1533</f>
        <v>0</v>
      </c>
      <c r="Y1699" s="5">
        <f t="shared" si="26"/>
        <v>7.8050871885629283</v>
      </c>
    </row>
    <row r="1700" spans="16:25" x14ac:dyDescent="0.25">
      <c r="P1700" s="2" t="s">
        <v>25</v>
      </c>
      <c r="Q1700" s="10">
        <f>data_redis_illX!E1534</f>
        <v>0</v>
      </c>
      <c r="R1700" s="10">
        <f>data_redis_illX!F1534</f>
        <v>0</v>
      </c>
      <c r="S1700" s="10">
        <f>data_redis_illX!G1534</f>
        <v>0</v>
      </c>
      <c r="T1700" s="10">
        <f>data_redis_illX!H1534</f>
        <v>0</v>
      </c>
      <c r="U1700" s="10">
        <f>data_redis_illX!I1534</f>
        <v>1.1049419605386503</v>
      </c>
      <c r="V1700" s="10">
        <f>data_redis_illX!J1534</f>
        <v>1.1085486809102727</v>
      </c>
      <c r="W1700" s="10">
        <f>data_redis_illX!K1534</f>
        <v>0</v>
      </c>
      <c r="X1700" s="10">
        <f>data_redis_illX!L1534</f>
        <v>0</v>
      </c>
      <c r="Y1700" s="5">
        <f t="shared" si="26"/>
        <v>2.213490641448923</v>
      </c>
    </row>
    <row r="1701" spans="16:25" x14ac:dyDescent="0.25">
      <c r="P1701" s="2" t="s">
        <v>26</v>
      </c>
      <c r="Q1701" s="10">
        <f>data_redis_illX!E1535</f>
        <v>0</v>
      </c>
      <c r="R1701" s="10">
        <f>data_redis_illX!F1535</f>
        <v>0</v>
      </c>
      <c r="S1701" s="10">
        <f>data_redis_illX!G1535</f>
        <v>0</v>
      </c>
      <c r="T1701" s="10">
        <f>data_redis_illX!H1535</f>
        <v>2.3508708506620537</v>
      </c>
      <c r="U1701" s="10">
        <f>data_redis_illX!I1535</f>
        <v>1.1049419605386503</v>
      </c>
      <c r="V1701" s="10">
        <f>data_redis_illX!J1535</f>
        <v>3.3256460427308179</v>
      </c>
      <c r="W1701" s="10">
        <f>data_redis_illX!K1535</f>
        <v>0</v>
      </c>
      <c r="X1701" s="10">
        <f>data_redis_illX!L1535</f>
        <v>0</v>
      </c>
      <c r="Y1701" s="5">
        <f t="shared" si="26"/>
        <v>6.7814588539315217</v>
      </c>
    </row>
    <row r="1702" spans="16:25" x14ac:dyDescent="0.25">
      <c r="P1702" s="2" t="s">
        <v>27</v>
      </c>
      <c r="Q1702" s="10">
        <f>data_redis_illX!E1536</f>
        <v>0</v>
      </c>
      <c r="R1702" s="10">
        <f>data_redis_illX!F1536</f>
        <v>0</v>
      </c>
      <c r="S1702" s="10">
        <f>data_redis_illX!G1536</f>
        <v>2.3658213732620692</v>
      </c>
      <c r="T1702" s="10">
        <f>data_redis_illX!H1536</f>
        <v>1.1754354253310269</v>
      </c>
      <c r="U1702" s="10">
        <f>data_redis_illX!I1536</f>
        <v>1.1049419605386503</v>
      </c>
      <c r="V1702" s="10">
        <f>data_redis_illX!J1536</f>
        <v>0</v>
      </c>
      <c r="W1702" s="10">
        <f>data_redis_illX!K1536</f>
        <v>0</v>
      </c>
      <c r="X1702" s="10">
        <f>data_redis_illX!L1536</f>
        <v>0</v>
      </c>
      <c r="Y1702" s="5">
        <f t="shared" si="26"/>
        <v>4.6461987591317468</v>
      </c>
    </row>
    <row r="1703" spans="16:25" x14ac:dyDescent="0.25">
      <c r="P1703" s="2" t="s">
        <v>28</v>
      </c>
      <c r="Q1703" s="10">
        <f>data_redis_illX!E1537</f>
        <v>0</v>
      </c>
      <c r="R1703" s="10">
        <f>data_redis_illX!F1537</f>
        <v>0</v>
      </c>
      <c r="S1703" s="10">
        <f>data_redis_illX!G1537</f>
        <v>8.2803748064172407</v>
      </c>
      <c r="T1703" s="10">
        <f>data_redis_illX!H1537</f>
        <v>10.578918827979242</v>
      </c>
      <c r="U1703" s="10">
        <f>data_redis_illX!I1537</f>
        <v>14.364245487002453</v>
      </c>
      <c r="V1703" s="10">
        <f>data_redis_illX!J1537</f>
        <v>0</v>
      </c>
      <c r="W1703" s="10">
        <f>data_redis_illX!K1537</f>
        <v>2.0428571428571427</v>
      </c>
      <c r="X1703" s="10">
        <f>data_redis_illX!L1537</f>
        <v>0</v>
      </c>
      <c r="Y1703" s="5">
        <f t="shared" si="26"/>
        <v>35.26639626425608</v>
      </c>
    </row>
    <row r="1704" spans="16:25" x14ac:dyDescent="0.25">
      <c r="P1704" s="2" t="s">
        <v>29</v>
      </c>
      <c r="Q1704" s="10">
        <f>data_redis_illX!E1538</f>
        <v>0</v>
      </c>
      <c r="R1704" s="10">
        <f>data_redis_illX!F1538</f>
        <v>0</v>
      </c>
      <c r="S1704" s="10">
        <f>data_redis_illX!G1538</f>
        <v>1.1829106866310346</v>
      </c>
      <c r="T1704" s="10">
        <f>data_redis_illX!H1538</f>
        <v>1.1754354253310269</v>
      </c>
      <c r="U1704" s="10">
        <f>data_redis_illX!I1538</f>
        <v>1.1049419605386503</v>
      </c>
      <c r="V1704" s="10">
        <f>data_redis_illX!J1538</f>
        <v>0</v>
      </c>
      <c r="W1704" s="10">
        <f>data_redis_illX!K1538</f>
        <v>0</v>
      </c>
      <c r="X1704" s="10">
        <f>data_redis_illX!L1538</f>
        <v>0</v>
      </c>
      <c r="Y1704" s="5">
        <f t="shared" si="26"/>
        <v>3.4632880725007116</v>
      </c>
    </row>
    <row r="1705" spans="16:25" x14ac:dyDescent="0.25">
      <c r="P1705" s="2" t="s">
        <v>30</v>
      </c>
      <c r="Q1705" s="10">
        <f>data_redis_illX!E1539</f>
        <v>0</v>
      </c>
      <c r="R1705" s="10">
        <f>data_redis_illX!F1539</f>
        <v>0</v>
      </c>
      <c r="S1705" s="10">
        <f>data_redis_illX!G1539</f>
        <v>0</v>
      </c>
      <c r="T1705" s="10">
        <f>data_redis_illX!H1539</f>
        <v>3.5263062759930812</v>
      </c>
      <c r="U1705" s="10">
        <f>data_redis_illX!I1539</f>
        <v>0</v>
      </c>
      <c r="V1705" s="10">
        <f>data_redis_illX!J1539</f>
        <v>2.2170973618205454</v>
      </c>
      <c r="W1705" s="10">
        <f>data_redis_illX!K1539</f>
        <v>0</v>
      </c>
      <c r="X1705" s="10">
        <f>data_redis_illX!L1539</f>
        <v>0</v>
      </c>
      <c r="Y1705" s="5">
        <f t="shared" si="26"/>
        <v>5.7434036378136266</v>
      </c>
    </row>
    <row r="1706" spans="16:25" x14ac:dyDescent="0.25">
      <c r="P1706" s="2" t="s">
        <v>31</v>
      </c>
      <c r="Q1706" s="10">
        <f>data_redis_illX!E1540</f>
        <v>0</v>
      </c>
      <c r="R1706" s="10">
        <f>data_redis_illX!F1540</f>
        <v>0</v>
      </c>
      <c r="S1706" s="10">
        <f>data_redis_illX!G1540</f>
        <v>0</v>
      </c>
      <c r="T1706" s="10">
        <f>data_redis_illX!H1540</f>
        <v>2.3508708506620537</v>
      </c>
      <c r="U1706" s="10">
        <f>data_redis_illX!I1540</f>
        <v>0</v>
      </c>
      <c r="V1706" s="10">
        <f>data_redis_illX!J1540</f>
        <v>0</v>
      </c>
      <c r="W1706" s="10">
        <f>data_redis_illX!K1540</f>
        <v>0</v>
      </c>
      <c r="X1706" s="10">
        <f>data_redis_illX!L1540</f>
        <v>0</v>
      </c>
      <c r="Y1706" s="5">
        <f t="shared" si="26"/>
        <v>2.3508708506620537</v>
      </c>
    </row>
    <row r="1707" spans="16:25" x14ac:dyDescent="0.25">
      <c r="P1707" s="2" t="s">
        <v>32</v>
      </c>
      <c r="Q1707" s="10">
        <f>data_redis_illX!E1541</f>
        <v>0</v>
      </c>
      <c r="R1707" s="10">
        <f>data_redis_illX!F1541</f>
        <v>0</v>
      </c>
      <c r="S1707" s="10">
        <f>data_redis_illX!G1541</f>
        <v>0</v>
      </c>
      <c r="T1707" s="10">
        <f>data_redis_illX!H1541</f>
        <v>0</v>
      </c>
      <c r="U1707" s="10">
        <f>data_redis_illX!I1541</f>
        <v>0</v>
      </c>
      <c r="V1707" s="10">
        <f>data_redis_illX!J1541</f>
        <v>0</v>
      </c>
      <c r="W1707" s="10">
        <f>data_redis_illX!K1541</f>
        <v>0</v>
      </c>
      <c r="X1707" s="10">
        <f>data_redis_illX!L1541</f>
        <v>0</v>
      </c>
      <c r="Y1707" s="5">
        <f t="shared" si="26"/>
        <v>0</v>
      </c>
    </row>
    <row r="1708" spans="16:25" x14ac:dyDescent="0.25">
      <c r="P1708" s="2" t="s">
        <v>33</v>
      </c>
      <c r="Q1708" s="10">
        <f>data_redis_illX!E1542</f>
        <v>0</v>
      </c>
      <c r="R1708" s="10">
        <f>data_redis_illX!F1542</f>
        <v>0</v>
      </c>
      <c r="S1708" s="10">
        <f>data_redis_illX!G1542</f>
        <v>0</v>
      </c>
      <c r="T1708" s="10">
        <f>data_redis_illX!H1542</f>
        <v>0</v>
      </c>
      <c r="U1708" s="10">
        <f>data_redis_illX!I1542</f>
        <v>0</v>
      </c>
      <c r="V1708" s="10">
        <f>data_redis_illX!J1542</f>
        <v>0</v>
      </c>
      <c r="W1708" s="10">
        <f>data_redis_illX!K1542</f>
        <v>0</v>
      </c>
      <c r="X1708" s="10">
        <f>data_redis_illX!L1542</f>
        <v>0</v>
      </c>
      <c r="Y1708" s="5">
        <f t="shared" si="26"/>
        <v>0</v>
      </c>
    </row>
    <row r="1709" spans="16:25" x14ac:dyDescent="0.25">
      <c r="P1709" s="2" t="s">
        <v>34</v>
      </c>
      <c r="Q1709" s="10">
        <f>data_redis_illX!E1543</f>
        <v>0</v>
      </c>
      <c r="R1709" s="10">
        <f>data_redis_illX!F1543</f>
        <v>0</v>
      </c>
      <c r="S1709" s="10">
        <f>data_redis_illX!G1543</f>
        <v>0</v>
      </c>
      <c r="T1709" s="10">
        <f>data_redis_illX!H1543</f>
        <v>0</v>
      </c>
      <c r="U1709" s="10">
        <f>data_redis_illX!I1543</f>
        <v>0</v>
      </c>
      <c r="V1709" s="10">
        <f>data_redis_illX!J1543</f>
        <v>0</v>
      </c>
      <c r="W1709" s="10">
        <f>data_redis_illX!K1543</f>
        <v>0</v>
      </c>
      <c r="X1709" s="10">
        <f>data_redis_illX!L1543</f>
        <v>0</v>
      </c>
      <c r="Y1709" s="5">
        <f t="shared" si="26"/>
        <v>0</v>
      </c>
    </row>
    <row r="1710" spans="16:25" x14ac:dyDescent="0.25">
      <c r="P1710" s="2" t="s">
        <v>35</v>
      </c>
      <c r="Q1710" s="10">
        <f>data_redis_illX!E1544</f>
        <v>0</v>
      </c>
      <c r="R1710" s="10">
        <f>data_redis_illX!F1544</f>
        <v>0</v>
      </c>
      <c r="S1710" s="10">
        <f>data_redis_illX!G1544</f>
        <v>0</v>
      </c>
      <c r="T1710" s="10">
        <f>data_redis_illX!H1544</f>
        <v>0</v>
      </c>
      <c r="U1710" s="10">
        <f>data_redis_illX!I1544</f>
        <v>0</v>
      </c>
      <c r="V1710" s="10">
        <f>data_redis_illX!J1544</f>
        <v>0</v>
      </c>
      <c r="W1710" s="10">
        <f>data_redis_illX!K1544</f>
        <v>0</v>
      </c>
      <c r="X1710" s="10">
        <f>data_redis_illX!L1544</f>
        <v>0</v>
      </c>
      <c r="Y1710" s="5">
        <f t="shared" si="26"/>
        <v>0</v>
      </c>
    </row>
    <row r="1711" spans="16:25" x14ac:dyDescent="0.25">
      <c r="P1711" s="2" t="s">
        <v>36</v>
      </c>
      <c r="Q1711" s="10">
        <f>data_redis_illX!E1545</f>
        <v>0</v>
      </c>
      <c r="R1711" s="10">
        <f>data_redis_illX!F1545</f>
        <v>0</v>
      </c>
      <c r="S1711" s="10">
        <f>data_redis_illX!G1545</f>
        <v>0</v>
      </c>
      <c r="T1711" s="10">
        <f>data_redis_illX!H1545</f>
        <v>0</v>
      </c>
      <c r="U1711" s="10">
        <f>data_redis_illX!I1545</f>
        <v>0</v>
      </c>
      <c r="V1711" s="10">
        <f>data_redis_illX!J1545</f>
        <v>0</v>
      </c>
      <c r="W1711" s="10">
        <f>data_redis_illX!K1545</f>
        <v>0</v>
      </c>
      <c r="X1711" s="10">
        <f>data_redis_illX!L1545</f>
        <v>0</v>
      </c>
      <c r="Y1711" s="5">
        <f t="shared" si="26"/>
        <v>0</v>
      </c>
    </row>
    <row r="1712" spans="16:25" x14ac:dyDescent="0.25">
      <c r="P1712" s="2" t="s">
        <v>37</v>
      </c>
      <c r="Q1712" s="10">
        <f>data_redis_illX!E1546</f>
        <v>0</v>
      </c>
      <c r="R1712" s="10">
        <f>data_redis_illX!F1546</f>
        <v>0</v>
      </c>
      <c r="S1712" s="10">
        <f>data_redis_illX!G1546</f>
        <v>0</v>
      </c>
      <c r="T1712" s="10">
        <f>data_redis_illX!H1546</f>
        <v>0</v>
      </c>
      <c r="U1712" s="10">
        <f>data_redis_illX!I1546</f>
        <v>0</v>
      </c>
      <c r="V1712" s="10">
        <f>data_redis_illX!J1546</f>
        <v>0</v>
      </c>
      <c r="W1712" s="10">
        <f>data_redis_illX!K1546</f>
        <v>0</v>
      </c>
      <c r="X1712" s="10">
        <f>data_redis_illX!L1546</f>
        <v>0</v>
      </c>
      <c r="Y1712" s="5">
        <f t="shared" si="26"/>
        <v>0</v>
      </c>
    </row>
    <row r="1713" spans="13:25" x14ac:dyDescent="0.25">
      <c r="P1713" s="2" t="s">
        <v>38</v>
      </c>
      <c r="Q1713" s="10">
        <f>data_redis_illX!E1547</f>
        <v>0</v>
      </c>
      <c r="R1713" s="10">
        <f>data_redis_illX!F1547</f>
        <v>0</v>
      </c>
      <c r="S1713" s="10">
        <f>data_redis_illX!G1547</f>
        <v>0</v>
      </c>
      <c r="T1713" s="10">
        <f>data_redis_illX!H1547</f>
        <v>0</v>
      </c>
      <c r="U1713" s="10">
        <f>data_redis_illX!I1547</f>
        <v>0</v>
      </c>
      <c r="V1713" s="10">
        <f>data_redis_illX!J1547</f>
        <v>0</v>
      </c>
      <c r="W1713" s="10">
        <f>data_redis_illX!K1547</f>
        <v>0</v>
      </c>
      <c r="X1713" s="10">
        <f>data_redis_illX!L1547</f>
        <v>0</v>
      </c>
      <c r="Y1713" s="5">
        <f t="shared" si="26"/>
        <v>0</v>
      </c>
    </row>
    <row r="1714" spans="13:25" x14ac:dyDescent="0.25">
      <c r="P1714" s="2" t="s">
        <v>39</v>
      </c>
      <c r="Q1714" s="10">
        <f>data_redis_illX!E1548</f>
        <v>0</v>
      </c>
      <c r="R1714" s="10">
        <f>data_redis_illX!F1548</f>
        <v>0</v>
      </c>
      <c r="S1714" s="10">
        <f>data_redis_illX!G1548</f>
        <v>0</v>
      </c>
      <c r="T1714" s="10">
        <f>data_redis_illX!H1548</f>
        <v>0</v>
      </c>
      <c r="U1714" s="10">
        <f>data_redis_illX!I1548</f>
        <v>0</v>
      </c>
      <c r="V1714" s="10">
        <f>data_redis_illX!J1548</f>
        <v>0</v>
      </c>
      <c r="W1714" s="10">
        <f>data_redis_illX!K1548</f>
        <v>0</v>
      </c>
      <c r="X1714" s="10">
        <f>data_redis_illX!L1548</f>
        <v>0</v>
      </c>
      <c r="Y1714" s="5">
        <f t="shared" si="26"/>
        <v>0</v>
      </c>
    </row>
    <row r="1715" spans="13:25" x14ac:dyDescent="0.25">
      <c r="P1715" s="2" t="s">
        <v>40</v>
      </c>
      <c r="Q1715" s="10">
        <f>data_redis_illX!E1549</f>
        <v>0</v>
      </c>
      <c r="R1715" s="10">
        <f>data_redis_illX!F1549</f>
        <v>0</v>
      </c>
      <c r="S1715" s="10">
        <f>data_redis_illX!G1549</f>
        <v>0</v>
      </c>
      <c r="T1715" s="10">
        <f>data_redis_illX!H1549</f>
        <v>0</v>
      </c>
      <c r="U1715" s="10">
        <f>data_redis_illX!I1549</f>
        <v>0</v>
      </c>
      <c r="V1715" s="10">
        <f>data_redis_illX!J1549</f>
        <v>0</v>
      </c>
      <c r="W1715" s="10">
        <f>data_redis_illX!K1549</f>
        <v>0</v>
      </c>
      <c r="X1715" s="10">
        <f>data_redis_illX!L1549</f>
        <v>0</v>
      </c>
      <c r="Y1715" s="5">
        <f t="shared" si="26"/>
        <v>0</v>
      </c>
    </row>
    <row r="1716" spans="13:25" x14ac:dyDescent="0.25">
      <c r="P1716" s="2" t="s">
        <v>41</v>
      </c>
      <c r="Q1716" s="10">
        <f>data_redis_illX!E1550</f>
        <v>0</v>
      </c>
      <c r="R1716" s="10">
        <f>data_redis_illX!F1550</f>
        <v>0</v>
      </c>
      <c r="S1716" s="10">
        <f>data_redis_illX!G1550</f>
        <v>0</v>
      </c>
      <c r="T1716" s="10">
        <f>data_redis_illX!H1550</f>
        <v>0</v>
      </c>
      <c r="U1716" s="10">
        <f>data_redis_illX!I1550</f>
        <v>0</v>
      </c>
      <c r="V1716" s="10">
        <f>data_redis_illX!J1550</f>
        <v>0</v>
      </c>
      <c r="W1716" s="10">
        <f>data_redis_illX!K1550</f>
        <v>0</v>
      </c>
      <c r="X1716" s="10">
        <f>data_redis_illX!L1550</f>
        <v>0</v>
      </c>
      <c r="Y1716" s="5">
        <f t="shared" si="26"/>
        <v>0</v>
      </c>
    </row>
    <row r="1717" spans="13:25" x14ac:dyDescent="0.25">
      <c r="P1717" s="2" t="s">
        <v>42</v>
      </c>
      <c r="Q1717" s="10">
        <f>data_redis_illX!E1551</f>
        <v>0</v>
      </c>
      <c r="R1717" s="10">
        <f>data_redis_illX!F1551</f>
        <v>0</v>
      </c>
      <c r="S1717" s="10">
        <f>data_redis_illX!G1551</f>
        <v>1.1829106866310346</v>
      </c>
      <c r="T1717" s="10">
        <f>data_redis_illX!H1551</f>
        <v>1.1754354253310269</v>
      </c>
      <c r="U1717" s="10">
        <f>data_redis_illX!I1551</f>
        <v>1.1049419605386503</v>
      </c>
      <c r="V1717" s="10">
        <f>data_redis_illX!J1551</f>
        <v>0</v>
      </c>
      <c r="W1717" s="10">
        <f>data_redis_illX!K1551</f>
        <v>0</v>
      </c>
      <c r="X1717" s="10">
        <f>data_redis_illX!L1551</f>
        <v>0</v>
      </c>
      <c r="Y1717" s="5">
        <f t="shared" si="26"/>
        <v>3.4632880725007116</v>
      </c>
    </row>
    <row r="1718" spans="13:25" x14ac:dyDescent="0.25">
      <c r="P1718" s="2" t="s">
        <v>43</v>
      </c>
      <c r="Q1718" s="10">
        <f>data_redis_illX!E1552</f>
        <v>0</v>
      </c>
      <c r="R1718" s="10">
        <f>data_redis_illX!F1552</f>
        <v>0</v>
      </c>
      <c r="S1718" s="10">
        <f>data_redis_illX!G1552</f>
        <v>0</v>
      </c>
      <c r="T1718" s="10">
        <f>data_redis_illX!H1552</f>
        <v>0</v>
      </c>
      <c r="U1718" s="10">
        <f>data_redis_illX!I1552</f>
        <v>0</v>
      </c>
      <c r="V1718" s="10">
        <f>data_redis_illX!J1552</f>
        <v>0</v>
      </c>
      <c r="W1718" s="10">
        <f>data_redis_illX!K1552</f>
        <v>0</v>
      </c>
      <c r="X1718" s="10">
        <f>data_redis_illX!L1552</f>
        <v>0</v>
      </c>
      <c r="Y1718" s="5">
        <f t="shared" si="26"/>
        <v>0</v>
      </c>
    </row>
    <row r="1719" spans="13:25" x14ac:dyDescent="0.25">
      <c r="P1719" s="2" t="s">
        <v>44</v>
      </c>
      <c r="Q1719" s="10">
        <f>data_redis_illX!E1553</f>
        <v>0</v>
      </c>
      <c r="R1719" s="10">
        <f>data_redis_illX!F1553</f>
        <v>0</v>
      </c>
      <c r="S1719" s="10">
        <f>data_redis_illX!G1553</f>
        <v>0</v>
      </c>
      <c r="T1719" s="10">
        <f>data_redis_illX!H1553</f>
        <v>0</v>
      </c>
      <c r="U1719" s="10">
        <f>data_redis_illX!I1553</f>
        <v>0</v>
      </c>
      <c r="V1719" s="10">
        <f>data_redis_illX!J1553</f>
        <v>0</v>
      </c>
      <c r="W1719" s="10">
        <f>data_redis_illX!K1553</f>
        <v>0</v>
      </c>
      <c r="X1719" s="10">
        <f>data_redis_illX!L1553</f>
        <v>0</v>
      </c>
      <c r="Y1719" s="5">
        <f t="shared" si="26"/>
        <v>0</v>
      </c>
    </row>
    <row r="1720" spans="13:25" x14ac:dyDescent="0.25">
      <c r="M1720" t="s">
        <v>115</v>
      </c>
      <c r="N1720" t="s">
        <v>116</v>
      </c>
      <c r="O1720" t="s">
        <v>52</v>
      </c>
      <c r="P1720" s="2" t="s">
        <v>12</v>
      </c>
      <c r="Q1720" s="10">
        <f>data_redis_illX!E1554</f>
        <v>0</v>
      </c>
      <c r="R1720" s="10">
        <f>data_redis_illX!F1554</f>
        <v>0</v>
      </c>
      <c r="S1720" s="10">
        <f>data_redis_illX!G1554</f>
        <v>0</v>
      </c>
      <c r="T1720" s="10">
        <f>data_redis_illX!H1554</f>
        <v>0</v>
      </c>
      <c r="U1720" s="10">
        <f>data_redis_illX!I1554</f>
        <v>0</v>
      </c>
      <c r="V1720" s="10">
        <f>data_redis_illX!J1554</f>
        <v>0</v>
      </c>
      <c r="W1720" s="10">
        <f>data_redis_illX!K1554</f>
        <v>0</v>
      </c>
      <c r="X1720" s="10">
        <f>data_redis_illX!L1554</f>
        <v>0</v>
      </c>
      <c r="Y1720" s="5">
        <f t="shared" si="26"/>
        <v>0</v>
      </c>
    </row>
    <row r="1721" spans="13:25" x14ac:dyDescent="0.25">
      <c r="P1721" s="2" t="s">
        <v>13</v>
      </c>
      <c r="Q1721" s="10">
        <f>data_redis_illX!E1555</f>
        <v>0</v>
      </c>
      <c r="R1721" s="10">
        <f>data_redis_illX!F1555</f>
        <v>0</v>
      </c>
      <c r="S1721" s="10">
        <f>data_redis_illX!G1555</f>
        <v>0</v>
      </c>
      <c r="T1721" s="10">
        <f>data_redis_illX!H1555</f>
        <v>0</v>
      </c>
      <c r="U1721" s="10">
        <f>data_redis_illX!I1555</f>
        <v>0</v>
      </c>
      <c r="V1721" s="10">
        <f>data_redis_illX!J1555</f>
        <v>0</v>
      </c>
      <c r="W1721" s="10">
        <f>data_redis_illX!K1555</f>
        <v>0</v>
      </c>
      <c r="X1721" s="10">
        <f>data_redis_illX!L1555</f>
        <v>0</v>
      </c>
      <c r="Y1721" s="5">
        <f t="shared" si="26"/>
        <v>0</v>
      </c>
    </row>
    <row r="1722" spans="13:25" x14ac:dyDescent="0.25">
      <c r="P1722" s="2" t="s">
        <v>14</v>
      </c>
      <c r="Q1722" s="10">
        <f>data_redis_illX!E1556</f>
        <v>0</v>
      </c>
      <c r="R1722" s="10">
        <f>data_redis_illX!F1556</f>
        <v>0</v>
      </c>
      <c r="S1722" s="10">
        <f>data_redis_illX!G1556</f>
        <v>0</v>
      </c>
      <c r="T1722" s="10">
        <f>data_redis_illX!H1556</f>
        <v>0</v>
      </c>
      <c r="U1722" s="10">
        <f>data_redis_illX!I1556</f>
        <v>0</v>
      </c>
      <c r="V1722" s="10">
        <f>data_redis_illX!J1556</f>
        <v>0</v>
      </c>
      <c r="W1722" s="10">
        <f>data_redis_illX!K1556</f>
        <v>0</v>
      </c>
      <c r="X1722" s="10">
        <f>data_redis_illX!L1556</f>
        <v>0</v>
      </c>
      <c r="Y1722" s="5">
        <f t="shared" si="26"/>
        <v>0</v>
      </c>
    </row>
    <row r="1723" spans="13:25" x14ac:dyDescent="0.25">
      <c r="P1723" s="2" t="s">
        <v>15</v>
      </c>
      <c r="Q1723" s="10">
        <f>data_redis_illX!E1557</f>
        <v>0</v>
      </c>
      <c r="R1723" s="10">
        <f>data_redis_illX!F1557</f>
        <v>0</v>
      </c>
      <c r="S1723" s="10">
        <f>data_redis_illX!G1557</f>
        <v>0</v>
      </c>
      <c r="T1723" s="10">
        <f>data_redis_illX!H1557</f>
        <v>0</v>
      </c>
      <c r="U1723" s="10">
        <f>data_redis_illX!I1557</f>
        <v>0</v>
      </c>
      <c r="V1723" s="10">
        <f>data_redis_illX!J1557</f>
        <v>0</v>
      </c>
      <c r="W1723" s="10">
        <f>data_redis_illX!K1557</f>
        <v>0</v>
      </c>
      <c r="X1723" s="10">
        <f>data_redis_illX!L1557</f>
        <v>0</v>
      </c>
      <c r="Y1723" s="5">
        <f t="shared" si="26"/>
        <v>0</v>
      </c>
    </row>
    <row r="1724" spans="13:25" x14ac:dyDescent="0.25">
      <c r="P1724" s="2" t="s">
        <v>16</v>
      </c>
      <c r="Q1724" s="10">
        <f>data_redis_illX!E1558</f>
        <v>0</v>
      </c>
      <c r="R1724" s="10">
        <f>data_redis_illX!F1558</f>
        <v>0</v>
      </c>
      <c r="S1724" s="10">
        <f>data_redis_illX!G1558</f>
        <v>0</v>
      </c>
      <c r="T1724" s="10">
        <f>data_redis_illX!H1558</f>
        <v>0</v>
      </c>
      <c r="U1724" s="10">
        <f>data_redis_illX!I1558</f>
        <v>0</v>
      </c>
      <c r="V1724" s="10">
        <f>data_redis_illX!J1558</f>
        <v>0</v>
      </c>
      <c r="W1724" s="10">
        <f>data_redis_illX!K1558</f>
        <v>0</v>
      </c>
      <c r="X1724" s="10">
        <f>data_redis_illX!L1558</f>
        <v>0</v>
      </c>
      <c r="Y1724" s="5">
        <f t="shared" si="26"/>
        <v>0</v>
      </c>
    </row>
    <row r="1725" spans="13:25" x14ac:dyDescent="0.25">
      <c r="P1725" s="2" t="s">
        <v>17</v>
      </c>
      <c r="Q1725" s="10">
        <f>data_redis_illX!E1559</f>
        <v>0</v>
      </c>
      <c r="R1725" s="10">
        <f>data_redis_illX!F1559</f>
        <v>0</v>
      </c>
      <c r="S1725" s="10">
        <f>data_redis_illX!G1559</f>
        <v>0</v>
      </c>
      <c r="T1725" s="10">
        <f>data_redis_illX!H1559</f>
        <v>0</v>
      </c>
      <c r="U1725" s="10">
        <f>data_redis_illX!I1559</f>
        <v>0</v>
      </c>
      <c r="V1725" s="10">
        <f>data_redis_illX!J1559</f>
        <v>0</v>
      </c>
      <c r="W1725" s="10">
        <f>data_redis_illX!K1559</f>
        <v>0</v>
      </c>
      <c r="X1725" s="10">
        <f>data_redis_illX!L1559</f>
        <v>0</v>
      </c>
      <c r="Y1725" s="5">
        <f t="shared" si="26"/>
        <v>0</v>
      </c>
    </row>
    <row r="1726" spans="13:25" x14ac:dyDescent="0.25">
      <c r="P1726" s="2" t="s">
        <v>18</v>
      </c>
      <c r="Q1726" s="10">
        <f>data_redis_illX!E1560</f>
        <v>0</v>
      </c>
      <c r="R1726" s="10">
        <f>data_redis_illX!F1560</f>
        <v>0</v>
      </c>
      <c r="S1726" s="10">
        <f>data_redis_illX!G1560</f>
        <v>0</v>
      </c>
      <c r="T1726" s="10">
        <f>data_redis_illX!H1560</f>
        <v>0</v>
      </c>
      <c r="U1726" s="10">
        <f>data_redis_illX!I1560</f>
        <v>0</v>
      </c>
      <c r="V1726" s="10">
        <f>data_redis_illX!J1560</f>
        <v>0</v>
      </c>
      <c r="W1726" s="10">
        <f>data_redis_illX!K1560</f>
        <v>0</v>
      </c>
      <c r="X1726" s="10">
        <f>data_redis_illX!L1560</f>
        <v>0</v>
      </c>
      <c r="Y1726" s="5">
        <f t="shared" si="26"/>
        <v>0</v>
      </c>
    </row>
    <row r="1727" spans="13:25" x14ac:dyDescent="0.25">
      <c r="P1727" s="2" t="s">
        <v>19</v>
      </c>
      <c r="Q1727" s="10">
        <f>data_redis_illX!E1561</f>
        <v>0</v>
      </c>
      <c r="R1727" s="10">
        <f>data_redis_illX!F1561</f>
        <v>0</v>
      </c>
      <c r="S1727" s="10">
        <f>data_redis_illX!G1561</f>
        <v>0</v>
      </c>
      <c r="T1727" s="10">
        <f>data_redis_illX!H1561</f>
        <v>0</v>
      </c>
      <c r="U1727" s="10">
        <f>data_redis_illX!I1561</f>
        <v>0</v>
      </c>
      <c r="V1727" s="10">
        <f>data_redis_illX!J1561</f>
        <v>0</v>
      </c>
      <c r="W1727" s="10">
        <f>data_redis_illX!K1561</f>
        <v>0</v>
      </c>
      <c r="X1727" s="10">
        <f>data_redis_illX!L1561</f>
        <v>0</v>
      </c>
      <c r="Y1727" s="5">
        <f t="shared" si="26"/>
        <v>0</v>
      </c>
    </row>
    <row r="1728" spans="13:25" x14ac:dyDescent="0.25">
      <c r="P1728" s="2" t="s">
        <v>20</v>
      </c>
      <c r="Q1728" s="10">
        <f>data_redis_illX!E1562</f>
        <v>0</v>
      </c>
      <c r="R1728" s="10">
        <f>data_redis_illX!F1562</f>
        <v>0</v>
      </c>
      <c r="S1728" s="10">
        <f>data_redis_illX!G1562</f>
        <v>0</v>
      </c>
      <c r="T1728" s="10">
        <f>data_redis_illX!H1562</f>
        <v>0</v>
      </c>
      <c r="U1728" s="10">
        <f>data_redis_illX!I1562</f>
        <v>0</v>
      </c>
      <c r="V1728" s="10">
        <f>data_redis_illX!J1562</f>
        <v>0</v>
      </c>
      <c r="W1728" s="10">
        <f>data_redis_illX!K1562</f>
        <v>0</v>
      </c>
      <c r="X1728" s="10">
        <f>data_redis_illX!L1562</f>
        <v>0</v>
      </c>
      <c r="Y1728" s="5">
        <f t="shared" si="26"/>
        <v>0</v>
      </c>
    </row>
    <row r="1729" spans="16:25" x14ac:dyDescent="0.25">
      <c r="P1729" s="2" t="s">
        <v>21</v>
      </c>
      <c r="Q1729" s="10">
        <f>data_redis_illX!E1563</f>
        <v>0</v>
      </c>
      <c r="R1729" s="10">
        <f>data_redis_illX!F1563</f>
        <v>0</v>
      </c>
      <c r="S1729" s="10">
        <f>data_redis_illX!G1563</f>
        <v>0</v>
      </c>
      <c r="T1729" s="10">
        <f>data_redis_illX!H1563</f>
        <v>0</v>
      </c>
      <c r="U1729" s="10">
        <f>data_redis_illX!I1563</f>
        <v>0</v>
      </c>
      <c r="V1729" s="10">
        <f>data_redis_illX!J1563</f>
        <v>0</v>
      </c>
      <c r="W1729" s="10">
        <f>data_redis_illX!K1563</f>
        <v>0</v>
      </c>
      <c r="X1729" s="10">
        <f>data_redis_illX!L1563</f>
        <v>0</v>
      </c>
      <c r="Y1729" s="5">
        <f t="shared" si="26"/>
        <v>0</v>
      </c>
    </row>
    <row r="1730" spans="16:25" x14ac:dyDescent="0.25">
      <c r="P1730" s="2" t="s">
        <v>22</v>
      </c>
      <c r="Q1730" s="10">
        <f>data_redis_illX!E1564</f>
        <v>0</v>
      </c>
      <c r="R1730" s="10">
        <f>data_redis_illX!F1564</f>
        <v>0</v>
      </c>
      <c r="S1730" s="10">
        <f>data_redis_illX!G1564</f>
        <v>0</v>
      </c>
      <c r="T1730" s="10">
        <f>data_redis_illX!H1564</f>
        <v>0</v>
      </c>
      <c r="U1730" s="10">
        <f>data_redis_illX!I1564</f>
        <v>0</v>
      </c>
      <c r="V1730" s="10">
        <f>data_redis_illX!J1564</f>
        <v>0</v>
      </c>
      <c r="W1730" s="10">
        <f>data_redis_illX!K1564</f>
        <v>0</v>
      </c>
      <c r="X1730" s="10">
        <f>data_redis_illX!L1564</f>
        <v>0</v>
      </c>
      <c r="Y1730" s="5">
        <f t="shared" si="26"/>
        <v>0</v>
      </c>
    </row>
    <row r="1731" spans="16:25" x14ac:dyDescent="0.25">
      <c r="P1731" s="2" t="s">
        <v>23</v>
      </c>
      <c r="Q1731" s="10">
        <f>data_redis_illX!E1565</f>
        <v>0</v>
      </c>
      <c r="R1731" s="10">
        <f>data_redis_illX!F1565</f>
        <v>0</v>
      </c>
      <c r="S1731" s="10">
        <f>data_redis_illX!G1565</f>
        <v>0</v>
      </c>
      <c r="T1731" s="10">
        <f>data_redis_illX!H1565</f>
        <v>0</v>
      </c>
      <c r="U1731" s="10">
        <f>data_redis_illX!I1565</f>
        <v>0</v>
      </c>
      <c r="V1731" s="10">
        <f>data_redis_illX!J1565</f>
        <v>0</v>
      </c>
      <c r="W1731" s="10">
        <f>data_redis_illX!K1565</f>
        <v>0</v>
      </c>
      <c r="X1731" s="10">
        <f>data_redis_illX!L1565</f>
        <v>0</v>
      </c>
      <c r="Y1731" s="5">
        <f t="shared" si="26"/>
        <v>0</v>
      </c>
    </row>
    <row r="1732" spans="16:25" x14ac:dyDescent="0.25">
      <c r="P1732" s="2" t="s">
        <v>24</v>
      </c>
      <c r="Q1732" s="10">
        <f>data_redis_illX!E1566</f>
        <v>0</v>
      </c>
      <c r="R1732" s="10">
        <f>data_redis_illX!F1566</f>
        <v>0</v>
      </c>
      <c r="S1732" s="10">
        <f>data_redis_illX!G1566</f>
        <v>0</v>
      </c>
      <c r="T1732" s="10">
        <f>data_redis_illX!H1566</f>
        <v>0</v>
      </c>
      <c r="U1732" s="10">
        <f>data_redis_illX!I1566</f>
        <v>0</v>
      </c>
      <c r="V1732" s="10">
        <f>data_redis_illX!J1566</f>
        <v>0</v>
      </c>
      <c r="W1732" s="10">
        <f>data_redis_illX!K1566</f>
        <v>0</v>
      </c>
      <c r="X1732" s="10">
        <f>data_redis_illX!L1566</f>
        <v>0</v>
      </c>
      <c r="Y1732" s="5">
        <f t="shared" si="26"/>
        <v>0</v>
      </c>
    </row>
    <row r="1733" spans="16:25" x14ac:dyDescent="0.25">
      <c r="P1733" s="2" t="s">
        <v>25</v>
      </c>
      <c r="Q1733" s="10">
        <f>data_redis_illX!E1567</f>
        <v>0</v>
      </c>
      <c r="R1733" s="10">
        <f>data_redis_illX!F1567</f>
        <v>0</v>
      </c>
      <c r="S1733" s="10">
        <f>data_redis_illX!G1567</f>
        <v>0</v>
      </c>
      <c r="T1733" s="10">
        <f>data_redis_illX!H1567</f>
        <v>0</v>
      </c>
      <c r="U1733" s="10">
        <f>data_redis_illX!I1567</f>
        <v>0</v>
      </c>
      <c r="V1733" s="10">
        <f>data_redis_illX!J1567</f>
        <v>0</v>
      </c>
      <c r="W1733" s="10">
        <f>data_redis_illX!K1567</f>
        <v>0</v>
      </c>
      <c r="X1733" s="10">
        <f>data_redis_illX!L1567</f>
        <v>0</v>
      </c>
      <c r="Y1733" s="5">
        <f t="shared" ref="Y1733:Y1796" si="27">SUM(Q1733:X1733)</f>
        <v>0</v>
      </c>
    </row>
    <row r="1734" spans="16:25" x14ac:dyDescent="0.25">
      <c r="P1734" s="2" t="s">
        <v>26</v>
      </c>
      <c r="Q1734" s="10">
        <f>data_redis_illX!E1568</f>
        <v>0</v>
      </c>
      <c r="R1734" s="10">
        <f>data_redis_illX!F1568</f>
        <v>0</v>
      </c>
      <c r="S1734" s="10">
        <f>data_redis_illX!G1568</f>
        <v>0</v>
      </c>
      <c r="T1734" s="10">
        <f>data_redis_illX!H1568</f>
        <v>0</v>
      </c>
      <c r="U1734" s="10">
        <f>data_redis_illX!I1568</f>
        <v>0</v>
      </c>
      <c r="V1734" s="10">
        <f>data_redis_illX!J1568</f>
        <v>0</v>
      </c>
      <c r="W1734" s="10">
        <f>data_redis_illX!K1568</f>
        <v>0</v>
      </c>
      <c r="X1734" s="10">
        <f>data_redis_illX!L1568</f>
        <v>0</v>
      </c>
      <c r="Y1734" s="5">
        <f t="shared" si="27"/>
        <v>0</v>
      </c>
    </row>
    <row r="1735" spans="16:25" x14ac:dyDescent="0.25">
      <c r="P1735" s="2" t="s">
        <v>27</v>
      </c>
      <c r="Q1735" s="10">
        <f>data_redis_illX!E1569</f>
        <v>0</v>
      </c>
      <c r="R1735" s="10">
        <f>data_redis_illX!F1569</f>
        <v>0</v>
      </c>
      <c r="S1735" s="10">
        <f>data_redis_illX!G1569</f>
        <v>0</v>
      </c>
      <c r="T1735" s="10">
        <f>data_redis_illX!H1569</f>
        <v>0</v>
      </c>
      <c r="U1735" s="10">
        <f>data_redis_illX!I1569</f>
        <v>0</v>
      </c>
      <c r="V1735" s="10">
        <f>data_redis_illX!J1569</f>
        <v>0</v>
      </c>
      <c r="W1735" s="10">
        <f>data_redis_illX!K1569</f>
        <v>0</v>
      </c>
      <c r="X1735" s="10">
        <f>data_redis_illX!L1569</f>
        <v>0</v>
      </c>
      <c r="Y1735" s="5">
        <f t="shared" si="27"/>
        <v>0</v>
      </c>
    </row>
    <row r="1736" spans="16:25" x14ac:dyDescent="0.25">
      <c r="P1736" s="2" t="s">
        <v>28</v>
      </c>
      <c r="Q1736" s="10">
        <f>data_redis_illX!E1570</f>
        <v>0</v>
      </c>
      <c r="R1736" s="10">
        <f>data_redis_illX!F1570</f>
        <v>0</v>
      </c>
      <c r="S1736" s="10">
        <f>data_redis_illX!G1570</f>
        <v>0</v>
      </c>
      <c r="T1736" s="10">
        <f>data_redis_illX!H1570</f>
        <v>0</v>
      </c>
      <c r="U1736" s="10">
        <f>data_redis_illX!I1570</f>
        <v>0</v>
      </c>
      <c r="V1736" s="10">
        <f>data_redis_illX!J1570</f>
        <v>0</v>
      </c>
      <c r="W1736" s="10">
        <f>data_redis_illX!K1570</f>
        <v>0</v>
      </c>
      <c r="X1736" s="10">
        <f>data_redis_illX!L1570</f>
        <v>0</v>
      </c>
      <c r="Y1736" s="5">
        <f t="shared" si="27"/>
        <v>0</v>
      </c>
    </row>
    <row r="1737" spans="16:25" x14ac:dyDescent="0.25">
      <c r="P1737" s="2" t="s">
        <v>29</v>
      </c>
      <c r="Q1737" s="10">
        <f>data_redis_illX!E1571</f>
        <v>0</v>
      </c>
      <c r="R1737" s="10">
        <f>data_redis_illX!F1571</f>
        <v>0</v>
      </c>
      <c r="S1737" s="10">
        <f>data_redis_illX!G1571</f>
        <v>0</v>
      </c>
      <c r="T1737" s="10">
        <f>data_redis_illX!H1571</f>
        <v>0</v>
      </c>
      <c r="U1737" s="10">
        <f>data_redis_illX!I1571</f>
        <v>0</v>
      </c>
      <c r="V1737" s="10">
        <f>data_redis_illX!J1571</f>
        <v>0</v>
      </c>
      <c r="W1737" s="10">
        <f>data_redis_illX!K1571</f>
        <v>0</v>
      </c>
      <c r="X1737" s="10">
        <f>data_redis_illX!L1571</f>
        <v>0</v>
      </c>
      <c r="Y1737" s="5">
        <f t="shared" si="27"/>
        <v>0</v>
      </c>
    </row>
    <row r="1738" spans="16:25" x14ac:dyDescent="0.25">
      <c r="P1738" s="2" t="s">
        <v>30</v>
      </c>
      <c r="Q1738" s="10">
        <f>data_redis_illX!E1572</f>
        <v>0</v>
      </c>
      <c r="R1738" s="10">
        <f>data_redis_illX!F1572</f>
        <v>0</v>
      </c>
      <c r="S1738" s="10">
        <f>data_redis_illX!G1572</f>
        <v>0</v>
      </c>
      <c r="T1738" s="10">
        <f>data_redis_illX!H1572</f>
        <v>0</v>
      </c>
      <c r="U1738" s="10">
        <f>data_redis_illX!I1572</f>
        <v>0</v>
      </c>
      <c r="V1738" s="10">
        <f>data_redis_illX!J1572</f>
        <v>0</v>
      </c>
      <c r="W1738" s="10">
        <f>data_redis_illX!K1572</f>
        <v>0</v>
      </c>
      <c r="X1738" s="10">
        <f>data_redis_illX!L1572</f>
        <v>0</v>
      </c>
      <c r="Y1738" s="5">
        <f t="shared" si="27"/>
        <v>0</v>
      </c>
    </row>
    <row r="1739" spans="16:25" x14ac:dyDescent="0.25">
      <c r="P1739" s="2" t="s">
        <v>31</v>
      </c>
      <c r="Q1739" s="10">
        <f>data_redis_illX!E1573</f>
        <v>0</v>
      </c>
      <c r="R1739" s="10">
        <f>data_redis_illX!F1573</f>
        <v>0</v>
      </c>
      <c r="S1739" s="10">
        <f>data_redis_illX!G1573</f>
        <v>0</v>
      </c>
      <c r="T1739" s="10">
        <f>data_redis_illX!H1573</f>
        <v>0</v>
      </c>
      <c r="U1739" s="10">
        <f>data_redis_illX!I1573</f>
        <v>0</v>
      </c>
      <c r="V1739" s="10">
        <f>data_redis_illX!J1573</f>
        <v>0</v>
      </c>
      <c r="W1739" s="10">
        <f>data_redis_illX!K1573</f>
        <v>0</v>
      </c>
      <c r="X1739" s="10">
        <f>data_redis_illX!L1573</f>
        <v>0</v>
      </c>
      <c r="Y1739" s="5">
        <f t="shared" si="27"/>
        <v>0</v>
      </c>
    </row>
    <row r="1740" spans="16:25" x14ac:dyDescent="0.25">
      <c r="P1740" s="2" t="s">
        <v>32</v>
      </c>
      <c r="Q1740" s="10">
        <f>data_redis_illX!E1574</f>
        <v>0</v>
      </c>
      <c r="R1740" s="10">
        <f>data_redis_illX!F1574</f>
        <v>0</v>
      </c>
      <c r="S1740" s="10">
        <f>data_redis_illX!G1574</f>
        <v>0</v>
      </c>
      <c r="T1740" s="10">
        <f>data_redis_illX!H1574</f>
        <v>0</v>
      </c>
      <c r="U1740" s="10">
        <f>data_redis_illX!I1574</f>
        <v>0</v>
      </c>
      <c r="V1740" s="10">
        <f>data_redis_illX!J1574</f>
        <v>0</v>
      </c>
      <c r="W1740" s="10">
        <f>data_redis_illX!K1574</f>
        <v>0</v>
      </c>
      <c r="X1740" s="10">
        <f>data_redis_illX!L1574</f>
        <v>0</v>
      </c>
      <c r="Y1740" s="5">
        <f t="shared" si="27"/>
        <v>0</v>
      </c>
    </row>
    <row r="1741" spans="16:25" x14ac:dyDescent="0.25">
      <c r="P1741" s="2" t="s">
        <v>33</v>
      </c>
      <c r="Q1741" s="10">
        <f>data_redis_illX!E1575</f>
        <v>0</v>
      </c>
      <c r="R1741" s="10">
        <f>data_redis_illX!F1575</f>
        <v>0</v>
      </c>
      <c r="S1741" s="10">
        <f>data_redis_illX!G1575</f>
        <v>0</v>
      </c>
      <c r="T1741" s="10">
        <f>data_redis_illX!H1575</f>
        <v>0</v>
      </c>
      <c r="U1741" s="10">
        <f>data_redis_illX!I1575</f>
        <v>0</v>
      </c>
      <c r="V1741" s="10">
        <f>data_redis_illX!J1575</f>
        <v>0</v>
      </c>
      <c r="W1741" s="10">
        <f>data_redis_illX!K1575</f>
        <v>0</v>
      </c>
      <c r="X1741" s="10">
        <f>data_redis_illX!L1575</f>
        <v>0</v>
      </c>
      <c r="Y1741" s="5">
        <f t="shared" si="27"/>
        <v>0</v>
      </c>
    </row>
    <row r="1742" spans="16:25" x14ac:dyDescent="0.25">
      <c r="P1742" s="2" t="s">
        <v>34</v>
      </c>
      <c r="Q1742" s="10">
        <f>data_redis_illX!E1576</f>
        <v>0</v>
      </c>
      <c r="R1742" s="10">
        <f>data_redis_illX!F1576</f>
        <v>0</v>
      </c>
      <c r="S1742" s="10">
        <f>data_redis_illX!G1576</f>
        <v>0</v>
      </c>
      <c r="T1742" s="10">
        <f>data_redis_illX!H1576</f>
        <v>0</v>
      </c>
      <c r="U1742" s="10">
        <f>data_redis_illX!I1576</f>
        <v>0</v>
      </c>
      <c r="V1742" s="10">
        <f>data_redis_illX!J1576</f>
        <v>0</v>
      </c>
      <c r="W1742" s="10">
        <f>data_redis_illX!K1576</f>
        <v>0</v>
      </c>
      <c r="X1742" s="10">
        <f>data_redis_illX!L1576</f>
        <v>0</v>
      </c>
      <c r="Y1742" s="5">
        <f t="shared" si="27"/>
        <v>0</v>
      </c>
    </row>
    <row r="1743" spans="16:25" x14ac:dyDescent="0.25">
      <c r="P1743" s="2" t="s">
        <v>35</v>
      </c>
      <c r="Q1743" s="10">
        <f>data_redis_illX!E1577</f>
        <v>0</v>
      </c>
      <c r="R1743" s="10">
        <f>data_redis_illX!F1577</f>
        <v>0</v>
      </c>
      <c r="S1743" s="10">
        <f>data_redis_illX!G1577</f>
        <v>0</v>
      </c>
      <c r="T1743" s="10">
        <f>data_redis_illX!H1577</f>
        <v>0</v>
      </c>
      <c r="U1743" s="10">
        <f>data_redis_illX!I1577</f>
        <v>0</v>
      </c>
      <c r="V1743" s="10">
        <f>data_redis_illX!J1577</f>
        <v>0</v>
      </c>
      <c r="W1743" s="10">
        <f>data_redis_illX!K1577</f>
        <v>0</v>
      </c>
      <c r="X1743" s="10">
        <f>data_redis_illX!L1577</f>
        <v>0</v>
      </c>
      <c r="Y1743" s="5">
        <f t="shared" si="27"/>
        <v>0</v>
      </c>
    </row>
    <row r="1744" spans="16:25" x14ac:dyDescent="0.25">
      <c r="P1744" s="2" t="s">
        <v>36</v>
      </c>
      <c r="Q1744" s="10">
        <f>data_redis_illX!E1578</f>
        <v>0</v>
      </c>
      <c r="R1744" s="10">
        <f>data_redis_illX!F1578</f>
        <v>0</v>
      </c>
      <c r="S1744" s="10">
        <f>data_redis_illX!G1578</f>
        <v>0</v>
      </c>
      <c r="T1744" s="10">
        <f>data_redis_illX!H1578</f>
        <v>0</v>
      </c>
      <c r="U1744" s="10">
        <f>data_redis_illX!I1578</f>
        <v>0</v>
      </c>
      <c r="V1744" s="10">
        <f>data_redis_illX!J1578</f>
        <v>0</v>
      </c>
      <c r="W1744" s="10">
        <f>data_redis_illX!K1578</f>
        <v>0</v>
      </c>
      <c r="X1744" s="10">
        <f>data_redis_illX!L1578</f>
        <v>0</v>
      </c>
      <c r="Y1744" s="5">
        <f t="shared" si="27"/>
        <v>0</v>
      </c>
    </row>
    <row r="1745" spans="13:25" x14ac:dyDescent="0.25">
      <c r="P1745" s="2" t="s">
        <v>37</v>
      </c>
      <c r="Q1745" s="10">
        <f>data_redis_illX!E1579</f>
        <v>0</v>
      </c>
      <c r="R1745" s="10">
        <f>data_redis_illX!F1579</f>
        <v>0</v>
      </c>
      <c r="S1745" s="10">
        <f>data_redis_illX!G1579</f>
        <v>0</v>
      </c>
      <c r="T1745" s="10">
        <f>data_redis_illX!H1579</f>
        <v>0</v>
      </c>
      <c r="U1745" s="10">
        <f>data_redis_illX!I1579</f>
        <v>0</v>
      </c>
      <c r="V1745" s="10">
        <f>data_redis_illX!J1579</f>
        <v>0</v>
      </c>
      <c r="W1745" s="10">
        <f>data_redis_illX!K1579</f>
        <v>0</v>
      </c>
      <c r="X1745" s="10">
        <f>data_redis_illX!L1579</f>
        <v>0</v>
      </c>
      <c r="Y1745" s="5">
        <f t="shared" si="27"/>
        <v>0</v>
      </c>
    </row>
    <row r="1746" spans="13:25" x14ac:dyDescent="0.25">
      <c r="P1746" s="2" t="s">
        <v>38</v>
      </c>
      <c r="Q1746" s="10">
        <f>data_redis_illX!E1580</f>
        <v>0</v>
      </c>
      <c r="R1746" s="10">
        <f>data_redis_illX!F1580</f>
        <v>0</v>
      </c>
      <c r="S1746" s="10">
        <f>data_redis_illX!G1580</f>
        <v>0</v>
      </c>
      <c r="T1746" s="10">
        <f>data_redis_illX!H1580</f>
        <v>0</v>
      </c>
      <c r="U1746" s="10">
        <f>data_redis_illX!I1580</f>
        <v>0</v>
      </c>
      <c r="V1746" s="10">
        <f>data_redis_illX!J1580</f>
        <v>0</v>
      </c>
      <c r="W1746" s="10">
        <f>data_redis_illX!K1580</f>
        <v>0</v>
      </c>
      <c r="X1746" s="10">
        <f>data_redis_illX!L1580</f>
        <v>0</v>
      </c>
      <c r="Y1746" s="5">
        <f t="shared" si="27"/>
        <v>0</v>
      </c>
    </row>
    <row r="1747" spans="13:25" x14ac:dyDescent="0.25">
      <c r="P1747" s="2" t="s">
        <v>39</v>
      </c>
      <c r="Q1747" s="10">
        <f>data_redis_illX!E1581</f>
        <v>0</v>
      </c>
      <c r="R1747" s="10">
        <f>data_redis_illX!F1581</f>
        <v>0</v>
      </c>
      <c r="S1747" s="10">
        <f>data_redis_illX!G1581</f>
        <v>0</v>
      </c>
      <c r="T1747" s="10">
        <f>data_redis_illX!H1581</f>
        <v>0</v>
      </c>
      <c r="U1747" s="10">
        <f>data_redis_illX!I1581</f>
        <v>0</v>
      </c>
      <c r="V1747" s="10">
        <f>data_redis_illX!J1581</f>
        <v>0</v>
      </c>
      <c r="W1747" s="10">
        <f>data_redis_illX!K1581</f>
        <v>0</v>
      </c>
      <c r="X1747" s="10">
        <f>data_redis_illX!L1581</f>
        <v>0</v>
      </c>
      <c r="Y1747" s="5">
        <f t="shared" si="27"/>
        <v>0</v>
      </c>
    </row>
    <row r="1748" spans="13:25" x14ac:dyDescent="0.25">
      <c r="P1748" s="2" t="s">
        <v>40</v>
      </c>
      <c r="Q1748" s="10">
        <f>data_redis_illX!E1582</f>
        <v>0</v>
      </c>
      <c r="R1748" s="10">
        <f>data_redis_illX!F1582</f>
        <v>0</v>
      </c>
      <c r="S1748" s="10">
        <f>data_redis_illX!G1582</f>
        <v>1.0139234456837438</v>
      </c>
      <c r="T1748" s="10">
        <f>data_redis_illX!H1582</f>
        <v>0</v>
      </c>
      <c r="U1748" s="10">
        <f>data_redis_illX!I1582</f>
        <v>0</v>
      </c>
      <c r="V1748" s="10">
        <f>data_redis_illX!J1582</f>
        <v>0</v>
      </c>
      <c r="W1748" s="10">
        <f>data_redis_illX!K1582</f>
        <v>0</v>
      </c>
      <c r="X1748" s="10">
        <f>data_redis_illX!L1582</f>
        <v>0</v>
      </c>
      <c r="Y1748" s="5">
        <f t="shared" si="27"/>
        <v>1.0139234456837438</v>
      </c>
    </row>
    <row r="1749" spans="13:25" x14ac:dyDescent="0.25">
      <c r="P1749" s="2" t="s">
        <v>41</v>
      </c>
      <c r="Q1749" s="10">
        <f>data_redis_illX!E1583</f>
        <v>0</v>
      </c>
      <c r="R1749" s="10">
        <f>data_redis_illX!F1583</f>
        <v>0</v>
      </c>
      <c r="S1749" s="10">
        <f>data_redis_illX!G1583</f>
        <v>0</v>
      </c>
      <c r="T1749" s="10">
        <f>data_redis_illX!H1583</f>
        <v>0</v>
      </c>
      <c r="U1749" s="10">
        <f>data_redis_illX!I1583</f>
        <v>0</v>
      </c>
      <c r="V1749" s="10">
        <f>data_redis_illX!J1583</f>
        <v>0</v>
      </c>
      <c r="W1749" s="10">
        <f>data_redis_illX!K1583</f>
        <v>0</v>
      </c>
      <c r="X1749" s="10">
        <f>data_redis_illX!L1583</f>
        <v>0</v>
      </c>
      <c r="Y1749" s="5">
        <f t="shared" si="27"/>
        <v>0</v>
      </c>
    </row>
    <row r="1750" spans="13:25" x14ac:dyDescent="0.25">
      <c r="P1750" s="2" t="s">
        <v>42</v>
      </c>
      <c r="Q1750" s="10">
        <f>data_redis_illX!E1584</f>
        <v>0</v>
      </c>
      <c r="R1750" s="10">
        <f>data_redis_illX!F1584</f>
        <v>0</v>
      </c>
      <c r="S1750" s="10">
        <f>data_redis_illX!G1584</f>
        <v>0</v>
      </c>
      <c r="T1750" s="10">
        <f>data_redis_illX!H1584</f>
        <v>0</v>
      </c>
      <c r="U1750" s="10">
        <f>data_redis_illX!I1584</f>
        <v>0</v>
      </c>
      <c r="V1750" s="10">
        <f>data_redis_illX!J1584</f>
        <v>0</v>
      </c>
      <c r="W1750" s="10">
        <f>data_redis_illX!K1584</f>
        <v>0</v>
      </c>
      <c r="X1750" s="10">
        <f>data_redis_illX!L1584</f>
        <v>0</v>
      </c>
      <c r="Y1750" s="5">
        <f t="shared" si="27"/>
        <v>0</v>
      </c>
    </row>
    <row r="1751" spans="13:25" x14ac:dyDescent="0.25">
      <c r="P1751" s="2" t="s">
        <v>43</v>
      </c>
      <c r="Q1751" s="10">
        <f>data_redis_illX!E1585</f>
        <v>0</v>
      </c>
      <c r="R1751" s="10">
        <f>data_redis_illX!F1585</f>
        <v>0</v>
      </c>
      <c r="S1751" s="10">
        <f>data_redis_illX!G1585</f>
        <v>0</v>
      </c>
      <c r="T1751" s="10">
        <f>data_redis_illX!H1585</f>
        <v>1.017541114465665</v>
      </c>
      <c r="U1751" s="10">
        <f>data_redis_illX!I1585</f>
        <v>0</v>
      </c>
      <c r="V1751" s="10">
        <f>data_redis_illX!J1585</f>
        <v>0</v>
      </c>
      <c r="W1751" s="10">
        <f>data_redis_illX!K1585</f>
        <v>0</v>
      </c>
      <c r="X1751" s="10">
        <f>data_redis_illX!L1585</f>
        <v>0</v>
      </c>
      <c r="Y1751" s="5">
        <f t="shared" si="27"/>
        <v>1.017541114465665</v>
      </c>
    </row>
    <row r="1752" spans="13:25" x14ac:dyDescent="0.25">
      <c r="P1752" s="2" t="s">
        <v>44</v>
      </c>
      <c r="Q1752" s="10">
        <f>data_redis_illX!E1586</f>
        <v>0</v>
      </c>
      <c r="R1752" s="10">
        <f>data_redis_illX!F1586</f>
        <v>0</v>
      </c>
      <c r="S1752" s="10">
        <f>data_redis_illX!G1586</f>
        <v>0</v>
      </c>
      <c r="T1752" s="10">
        <f>data_redis_illX!H1586</f>
        <v>0</v>
      </c>
      <c r="U1752" s="10">
        <f>data_redis_illX!I1586</f>
        <v>0</v>
      </c>
      <c r="V1752" s="10">
        <f>data_redis_illX!J1586</f>
        <v>0</v>
      </c>
      <c r="W1752" s="10">
        <f>data_redis_illX!K1586</f>
        <v>0</v>
      </c>
      <c r="X1752" s="10">
        <f>data_redis_illX!L1586</f>
        <v>0</v>
      </c>
      <c r="Y1752" s="5">
        <f t="shared" si="27"/>
        <v>0</v>
      </c>
    </row>
    <row r="1753" spans="13:25" x14ac:dyDescent="0.25">
      <c r="M1753" t="s">
        <v>115</v>
      </c>
      <c r="N1753" t="s">
        <v>116</v>
      </c>
      <c r="O1753" t="s">
        <v>53</v>
      </c>
      <c r="P1753" s="2" t="s">
        <v>12</v>
      </c>
      <c r="Q1753" s="10">
        <f>data_redis_illX!E1587</f>
        <v>0</v>
      </c>
      <c r="R1753" s="10">
        <f>data_redis_illX!F1587</f>
        <v>0</v>
      </c>
      <c r="S1753" s="10">
        <f>data_redis_illX!G1587</f>
        <v>6.1027983202537696E-2</v>
      </c>
      <c r="T1753" s="10">
        <f>data_redis_illX!H1587</f>
        <v>3.083457922623228E-2</v>
      </c>
      <c r="U1753" s="10">
        <f>data_redis_illX!I1587</f>
        <v>0</v>
      </c>
      <c r="V1753" s="10">
        <f>data_redis_illX!J1587</f>
        <v>0</v>
      </c>
      <c r="W1753" s="10">
        <f>data_redis_illX!K1587</f>
        <v>0</v>
      </c>
      <c r="X1753" s="10">
        <f>data_redis_illX!L1587</f>
        <v>0</v>
      </c>
      <c r="Y1753" s="5">
        <f t="shared" si="27"/>
        <v>9.1862562428769973E-2</v>
      </c>
    </row>
    <row r="1754" spans="13:25" x14ac:dyDescent="0.25">
      <c r="P1754" s="2" t="s">
        <v>13</v>
      </c>
      <c r="Q1754" s="10">
        <f>data_redis_illX!E1588</f>
        <v>0</v>
      </c>
      <c r="R1754" s="10">
        <f>data_redis_illX!F1588</f>
        <v>0</v>
      </c>
      <c r="S1754" s="10">
        <f>data_redis_illX!G1588</f>
        <v>6.1027983202537696E-2</v>
      </c>
      <c r="T1754" s="10">
        <f>data_redis_illX!H1588</f>
        <v>3.083457922623228E-2</v>
      </c>
      <c r="U1754" s="10">
        <f>data_redis_illX!I1588</f>
        <v>0</v>
      </c>
      <c r="V1754" s="10">
        <f>data_redis_illX!J1588</f>
        <v>0</v>
      </c>
      <c r="W1754" s="10">
        <f>data_redis_illX!K1588</f>
        <v>0</v>
      </c>
      <c r="X1754" s="10">
        <f>data_redis_illX!L1588</f>
        <v>0</v>
      </c>
      <c r="Y1754" s="5">
        <f t="shared" si="27"/>
        <v>9.1862562428769973E-2</v>
      </c>
    </row>
    <row r="1755" spans="13:25" x14ac:dyDescent="0.25">
      <c r="P1755" s="2" t="s">
        <v>14</v>
      </c>
      <c r="Q1755" s="10">
        <f>data_redis_illX!E1589</f>
        <v>0</v>
      </c>
      <c r="R1755" s="10">
        <f>data_redis_illX!F1589</f>
        <v>0</v>
      </c>
      <c r="S1755" s="10">
        <f>data_redis_illX!G1589</f>
        <v>6.1027983202537696E-2</v>
      </c>
      <c r="T1755" s="10">
        <f>data_redis_illX!H1589</f>
        <v>3.083457922623228E-2</v>
      </c>
      <c r="U1755" s="10">
        <f>data_redis_illX!I1589</f>
        <v>0</v>
      </c>
      <c r="V1755" s="10">
        <f>data_redis_illX!J1589</f>
        <v>0</v>
      </c>
      <c r="W1755" s="10">
        <f>data_redis_illX!K1589</f>
        <v>0</v>
      </c>
      <c r="X1755" s="10">
        <f>data_redis_illX!L1589</f>
        <v>0</v>
      </c>
      <c r="Y1755" s="5">
        <f t="shared" si="27"/>
        <v>9.1862562428769973E-2</v>
      </c>
    </row>
    <row r="1756" spans="13:25" x14ac:dyDescent="0.25">
      <c r="P1756" s="2" t="s">
        <v>15</v>
      </c>
      <c r="Q1756" s="10">
        <f>data_redis_illX!E1590</f>
        <v>0</v>
      </c>
      <c r="R1756" s="10">
        <f>data_redis_illX!F1590</f>
        <v>0</v>
      </c>
      <c r="S1756" s="10">
        <f>data_redis_illX!G1590</f>
        <v>6.1027983202537696E-2</v>
      </c>
      <c r="T1756" s="10">
        <f>data_redis_illX!H1590</f>
        <v>3.083457922623228E-2</v>
      </c>
      <c r="U1756" s="10">
        <f>data_redis_illX!I1590</f>
        <v>0</v>
      </c>
      <c r="V1756" s="10">
        <f>data_redis_illX!J1590</f>
        <v>0</v>
      </c>
      <c r="W1756" s="10">
        <f>data_redis_illX!K1590</f>
        <v>0</v>
      </c>
      <c r="X1756" s="10">
        <f>data_redis_illX!L1590</f>
        <v>0</v>
      </c>
      <c r="Y1756" s="5">
        <f t="shared" si="27"/>
        <v>9.1862562428769973E-2</v>
      </c>
    </row>
    <row r="1757" spans="13:25" x14ac:dyDescent="0.25">
      <c r="P1757" s="2" t="s">
        <v>16</v>
      </c>
      <c r="Q1757" s="10">
        <f>data_redis_illX!E1591</f>
        <v>0</v>
      </c>
      <c r="R1757" s="10">
        <f>data_redis_illX!F1591</f>
        <v>0</v>
      </c>
      <c r="S1757" s="10">
        <f>data_redis_illX!G1591</f>
        <v>6.1027983202537696E-2</v>
      </c>
      <c r="T1757" s="10">
        <f>data_redis_illX!H1591</f>
        <v>3.083457922623228E-2</v>
      </c>
      <c r="U1757" s="10">
        <f>data_redis_illX!I1591</f>
        <v>0</v>
      </c>
      <c r="V1757" s="10">
        <f>data_redis_illX!J1591</f>
        <v>0</v>
      </c>
      <c r="W1757" s="10">
        <f>data_redis_illX!K1591</f>
        <v>0</v>
      </c>
      <c r="X1757" s="10">
        <f>data_redis_illX!L1591</f>
        <v>0</v>
      </c>
      <c r="Y1757" s="5">
        <f t="shared" si="27"/>
        <v>9.1862562428769973E-2</v>
      </c>
    </row>
    <row r="1758" spans="13:25" x14ac:dyDescent="0.25">
      <c r="P1758" s="2" t="s">
        <v>17</v>
      </c>
      <c r="Q1758" s="10">
        <f>data_redis_illX!E1592</f>
        <v>0</v>
      </c>
      <c r="R1758" s="10">
        <f>data_redis_illX!F1592</f>
        <v>0</v>
      </c>
      <c r="S1758" s="10">
        <f>data_redis_illX!G1592</f>
        <v>6.1027983202537696E-2</v>
      </c>
      <c r="T1758" s="10">
        <f>data_redis_illX!H1592</f>
        <v>3.083457922623228E-2</v>
      </c>
      <c r="U1758" s="10">
        <f>data_redis_illX!I1592</f>
        <v>0</v>
      </c>
      <c r="V1758" s="10">
        <f>data_redis_illX!J1592</f>
        <v>0</v>
      </c>
      <c r="W1758" s="10">
        <f>data_redis_illX!K1592</f>
        <v>0</v>
      </c>
      <c r="X1758" s="10">
        <f>data_redis_illX!L1592</f>
        <v>0</v>
      </c>
      <c r="Y1758" s="5">
        <f t="shared" si="27"/>
        <v>9.1862562428769973E-2</v>
      </c>
    </row>
    <row r="1759" spans="13:25" x14ac:dyDescent="0.25">
      <c r="P1759" s="2" t="s">
        <v>18</v>
      </c>
      <c r="Q1759" s="10">
        <f>data_redis_illX!E1593</f>
        <v>0</v>
      </c>
      <c r="R1759" s="10">
        <f>data_redis_illX!F1593</f>
        <v>0</v>
      </c>
      <c r="S1759" s="10">
        <f>data_redis_illX!G1593</f>
        <v>6.1027983202537696E-2</v>
      </c>
      <c r="T1759" s="10">
        <f>data_redis_illX!H1593</f>
        <v>3.083457922623228E-2</v>
      </c>
      <c r="U1759" s="10">
        <f>data_redis_illX!I1593</f>
        <v>0</v>
      </c>
      <c r="V1759" s="10">
        <f>data_redis_illX!J1593</f>
        <v>0</v>
      </c>
      <c r="W1759" s="10">
        <f>data_redis_illX!K1593</f>
        <v>0</v>
      </c>
      <c r="X1759" s="10">
        <f>data_redis_illX!L1593</f>
        <v>0</v>
      </c>
      <c r="Y1759" s="5">
        <f t="shared" si="27"/>
        <v>9.1862562428769973E-2</v>
      </c>
    </row>
    <row r="1760" spans="13:25" x14ac:dyDescent="0.25">
      <c r="P1760" s="2" t="s">
        <v>19</v>
      </c>
      <c r="Q1760" s="10">
        <f>data_redis_illX!E1594</f>
        <v>0</v>
      </c>
      <c r="R1760" s="10">
        <f>data_redis_illX!F1594</f>
        <v>0</v>
      </c>
      <c r="S1760" s="10">
        <f>data_redis_illX!G1594</f>
        <v>6.1027983202537696E-2</v>
      </c>
      <c r="T1760" s="10">
        <f>data_redis_illX!H1594</f>
        <v>3.083457922623228E-2</v>
      </c>
      <c r="U1760" s="10">
        <f>data_redis_illX!I1594</f>
        <v>0</v>
      </c>
      <c r="V1760" s="10">
        <f>data_redis_illX!J1594</f>
        <v>0</v>
      </c>
      <c r="W1760" s="10">
        <f>data_redis_illX!K1594</f>
        <v>0</v>
      </c>
      <c r="X1760" s="10">
        <f>data_redis_illX!L1594</f>
        <v>0</v>
      </c>
      <c r="Y1760" s="5">
        <f t="shared" si="27"/>
        <v>9.1862562428769973E-2</v>
      </c>
    </row>
    <row r="1761" spans="16:25" x14ac:dyDescent="0.25">
      <c r="P1761" s="2" t="s">
        <v>20</v>
      </c>
      <c r="Q1761" s="10">
        <f>data_redis_illX!E1595</f>
        <v>0</v>
      </c>
      <c r="R1761" s="10">
        <f>data_redis_illX!F1595</f>
        <v>0</v>
      </c>
      <c r="S1761" s="10">
        <f>data_redis_illX!G1595</f>
        <v>6.1027983202537696E-2</v>
      </c>
      <c r="T1761" s="10">
        <f>data_redis_illX!H1595</f>
        <v>3.083457922623228E-2</v>
      </c>
      <c r="U1761" s="10">
        <f>data_redis_illX!I1595</f>
        <v>0</v>
      </c>
      <c r="V1761" s="10">
        <f>data_redis_illX!J1595</f>
        <v>0</v>
      </c>
      <c r="W1761" s="10">
        <f>data_redis_illX!K1595</f>
        <v>0</v>
      </c>
      <c r="X1761" s="10">
        <f>data_redis_illX!L1595</f>
        <v>0</v>
      </c>
      <c r="Y1761" s="5">
        <f t="shared" si="27"/>
        <v>9.1862562428769973E-2</v>
      </c>
    </row>
    <row r="1762" spans="16:25" x14ac:dyDescent="0.25">
      <c r="P1762" s="2" t="s">
        <v>21</v>
      </c>
      <c r="Q1762" s="10">
        <f>data_redis_illX!E1596</f>
        <v>0</v>
      </c>
      <c r="R1762" s="10">
        <f>data_redis_illX!F1596</f>
        <v>0</v>
      </c>
      <c r="S1762" s="10">
        <f>data_redis_illX!G1596</f>
        <v>6.1027983202537696E-2</v>
      </c>
      <c r="T1762" s="10">
        <f>data_redis_illX!H1596</f>
        <v>3.083457922623228E-2</v>
      </c>
      <c r="U1762" s="10">
        <f>data_redis_illX!I1596</f>
        <v>0</v>
      </c>
      <c r="V1762" s="10">
        <f>data_redis_illX!J1596</f>
        <v>0</v>
      </c>
      <c r="W1762" s="10">
        <f>data_redis_illX!K1596</f>
        <v>0</v>
      </c>
      <c r="X1762" s="10">
        <f>data_redis_illX!L1596</f>
        <v>0</v>
      </c>
      <c r="Y1762" s="5">
        <f t="shared" si="27"/>
        <v>9.1862562428769973E-2</v>
      </c>
    </row>
    <row r="1763" spans="16:25" x14ac:dyDescent="0.25">
      <c r="P1763" s="2" t="s">
        <v>22</v>
      </c>
      <c r="Q1763" s="10">
        <f>data_redis_illX!E1597</f>
        <v>0</v>
      </c>
      <c r="R1763" s="10">
        <f>data_redis_illX!F1597</f>
        <v>0</v>
      </c>
      <c r="S1763" s="10">
        <f>data_redis_illX!G1597</f>
        <v>6.1027983202537696E-2</v>
      </c>
      <c r="T1763" s="10">
        <f>data_redis_illX!H1597</f>
        <v>3.083457922623228E-2</v>
      </c>
      <c r="U1763" s="10">
        <f>data_redis_illX!I1597</f>
        <v>0</v>
      </c>
      <c r="V1763" s="10">
        <f>data_redis_illX!J1597</f>
        <v>0</v>
      </c>
      <c r="W1763" s="10">
        <f>data_redis_illX!K1597</f>
        <v>0</v>
      </c>
      <c r="X1763" s="10">
        <f>data_redis_illX!L1597</f>
        <v>0</v>
      </c>
      <c r="Y1763" s="5">
        <f t="shared" si="27"/>
        <v>9.1862562428769973E-2</v>
      </c>
    </row>
    <row r="1764" spans="16:25" x14ac:dyDescent="0.25">
      <c r="P1764" s="2" t="s">
        <v>23</v>
      </c>
      <c r="Q1764" s="10">
        <f>data_redis_illX!E1598</f>
        <v>0</v>
      </c>
      <c r="R1764" s="10">
        <f>data_redis_illX!F1598</f>
        <v>0</v>
      </c>
      <c r="S1764" s="10">
        <f>data_redis_illX!G1598</f>
        <v>6.1027983202537696E-2</v>
      </c>
      <c r="T1764" s="10">
        <f>data_redis_illX!H1598</f>
        <v>3.083457922623228E-2</v>
      </c>
      <c r="U1764" s="10">
        <f>data_redis_illX!I1598</f>
        <v>0</v>
      </c>
      <c r="V1764" s="10">
        <f>data_redis_illX!J1598</f>
        <v>0</v>
      </c>
      <c r="W1764" s="10">
        <f>data_redis_illX!K1598</f>
        <v>0</v>
      </c>
      <c r="X1764" s="10">
        <f>data_redis_illX!L1598</f>
        <v>0</v>
      </c>
      <c r="Y1764" s="5">
        <f t="shared" si="27"/>
        <v>9.1862562428769973E-2</v>
      </c>
    </row>
    <row r="1765" spans="16:25" x14ac:dyDescent="0.25">
      <c r="P1765" s="2" t="s">
        <v>24</v>
      </c>
      <c r="Q1765" s="10">
        <f>data_redis_illX!E1599</f>
        <v>0</v>
      </c>
      <c r="R1765" s="10">
        <f>data_redis_illX!F1599</f>
        <v>0</v>
      </c>
      <c r="S1765" s="10">
        <f>data_redis_illX!G1599</f>
        <v>6.1027983202537696E-2</v>
      </c>
      <c r="T1765" s="10">
        <f>data_redis_illX!H1599</f>
        <v>3.083457922623228E-2</v>
      </c>
      <c r="U1765" s="10">
        <f>data_redis_illX!I1599</f>
        <v>0</v>
      </c>
      <c r="V1765" s="10">
        <f>data_redis_illX!J1599</f>
        <v>0</v>
      </c>
      <c r="W1765" s="10">
        <f>data_redis_illX!K1599</f>
        <v>0</v>
      </c>
      <c r="X1765" s="10">
        <f>data_redis_illX!L1599</f>
        <v>0</v>
      </c>
      <c r="Y1765" s="5">
        <f t="shared" si="27"/>
        <v>9.1862562428769973E-2</v>
      </c>
    </row>
    <row r="1766" spans="16:25" x14ac:dyDescent="0.25">
      <c r="P1766" s="2" t="s">
        <v>25</v>
      </c>
      <c r="Q1766" s="10">
        <f>data_redis_illX!E1600</f>
        <v>0</v>
      </c>
      <c r="R1766" s="10">
        <f>data_redis_illX!F1600</f>
        <v>0</v>
      </c>
      <c r="S1766" s="10">
        <f>data_redis_illX!G1600</f>
        <v>6.1027983202537696E-2</v>
      </c>
      <c r="T1766" s="10">
        <f>data_redis_illX!H1600</f>
        <v>3.083457922623228E-2</v>
      </c>
      <c r="U1766" s="10">
        <f>data_redis_illX!I1600</f>
        <v>0</v>
      </c>
      <c r="V1766" s="10">
        <f>data_redis_illX!J1600</f>
        <v>0</v>
      </c>
      <c r="W1766" s="10">
        <f>data_redis_illX!K1600</f>
        <v>0</v>
      </c>
      <c r="X1766" s="10">
        <f>data_redis_illX!L1600</f>
        <v>0</v>
      </c>
      <c r="Y1766" s="5">
        <f t="shared" si="27"/>
        <v>9.1862562428769973E-2</v>
      </c>
    </row>
    <row r="1767" spans="16:25" x14ac:dyDescent="0.25">
      <c r="P1767" s="2" t="s">
        <v>26</v>
      </c>
      <c r="Q1767" s="10">
        <f>data_redis_illX!E1601</f>
        <v>0</v>
      </c>
      <c r="R1767" s="10">
        <f>data_redis_illX!F1601</f>
        <v>0</v>
      </c>
      <c r="S1767" s="10">
        <f>data_redis_illX!G1601</f>
        <v>6.1027983202537696E-2</v>
      </c>
      <c r="T1767" s="10">
        <f>data_redis_illX!H1601</f>
        <v>3.083457922623228E-2</v>
      </c>
      <c r="U1767" s="10">
        <f>data_redis_illX!I1601</f>
        <v>0</v>
      </c>
      <c r="V1767" s="10">
        <f>data_redis_illX!J1601</f>
        <v>0</v>
      </c>
      <c r="W1767" s="10">
        <f>data_redis_illX!K1601</f>
        <v>0</v>
      </c>
      <c r="X1767" s="10">
        <f>data_redis_illX!L1601</f>
        <v>0</v>
      </c>
      <c r="Y1767" s="5">
        <f t="shared" si="27"/>
        <v>9.1862562428769973E-2</v>
      </c>
    </row>
    <row r="1768" spans="16:25" x14ac:dyDescent="0.25">
      <c r="P1768" s="2" t="s">
        <v>27</v>
      </c>
      <c r="Q1768" s="10">
        <f>data_redis_illX!E1602</f>
        <v>0</v>
      </c>
      <c r="R1768" s="10">
        <f>data_redis_illX!F1602</f>
        <v>0</v>
      </c>
      <c r="S1768" s="10">
        <f>data_redis_illX!G1602</f>
        <v>6.1027983202537696E-2</v>
      </c>
      <c r="T1768" s="10">
        <f>data_redis_illX!H1602</f>
        <v>3.083457922623228E-2</v>
      </c>
      <c r="U1768" s="10">
        <f>data_redis_illX!I1602</f>
        <v>0</v>
      </c>
      <c r="V1768" s="10">
        <f>data_redis_illX!J1602</f>
        <v>0</v>
      </c>
      <c r="W1768" s="10">
        <f>data_redis_illX!K1602</f>
        <v>0</v>
      </c>
      <c r="X1768" s="10">
        <f>data_redis_illX!L1602</f>
        <v>0</v>
      </c>
      <c r="Y1768" s="5">
        <f t="shared" si="27"/>
        <v>9.1862562428769973E-2</v>
      </c>
    </row>
    <row r="1769" spans="16:25" x14ac:dyDescent="0.25">
      <c r="P1769" s="2" t="s">
        <v>28</v>
      </c>
      <c r="Q1769" s="10">
        <f>data_redis_illX!E1603</f>
        <v>0</v>
      </c>
      <c r="R1769" s="10">
        <f>data_redis_illX!F1603</f>
        <v>0</v>
      </c>
      <c r="S1769" s="10">
        <f>data_redis_illX!G1603</f>
        <v>6.1027983202537696E-2</v>
      </c>
      <c r="T1769" s="10">
        <f>data_redis_illX!H1603</f>
        <v>3.083457922623228E-2</v>
      </c>
      <c r="U1769" s="10">
        <f>data_redis_illX!I1603</f>
        <v>0</v>
      </c>
      <c r="V1769" s="10">
        <f>data_redis_illX!J1603</f>
        <v>0</v>
      </c>
      <c r="W1769" s="10">
        <f>data_redis_illX!K1603</f>
        <v>0</v>
      </c>
      <c r="X1769" s="10">
        <f>data_redis_illX!L1603</f>
        <v>0</v>
      </c>
      <c r="Y1769" s="5">
        <f t="shared" si="27"/>
        <v>9.1862562428769973E-2</v>
      </c>
    </row>
    <row r="1770" spans="16:25" x14ac:dyDescent="0.25">
      <c r="P1770" s="2" t="s">
        <v>29</v>
      </c>
      <c r="Q1770" s="10">
        <f>data_redis_illX!E1604</f>
        <v>0</v>
      </c>
      <c r="R1770" s="10">
        <f>data_redis_illX!F1604</f>
        <v>0</v>
      </c>
      <c r="S1770" s="10">
        <f>data_redis_illX!G1604</f>
        <v>6.1027983202537696E-2</v>
      </c>
      <c r="T1770" s="10">
        <f>data_redis_illX!H1604</f>
        <v>3.083457922623228E-2</v>
      </c>
      <c r="U1770" s="10">
        <f>data_redis_illX!I1604</f>
        <v>0</v>
      </c>
      <c r="V1770" s="10">
        <f>data_redis_illX!J1604</f>
        <v>0</v>
      </c>
      <c r="W1770" s="10">
        <f>data_redis_illX!K1604</f>
        <v>0</v>
      </c>
      <c r="X1770" s="10">
        <f>data_redis_illX!L1604</f>
        <v>0</v>
      </c>
      <c r="Y1770" s="5">
        <f t="shared" si="27"/>
        <v>9.1862562428769973E-2</v>
      </c>
    </row>
    <row r="1771" spans="16:25" x14ac:dyDescent="0.25">
      <c r="P1771" s="2" t="s">
        <v>30</v>
      </c>
      <c r="Q1771" s="10">
        <f>data_redis_illX!E1605</f>
        <v>0</v>
      </c>
      <c r="R1771" s="10">
        <f>data_redis_illX!F1605</f>
        <v>0</v>
      </c>
      <c r="S1771" s="10">
        <f>data_redis_illX!G1605</f>
        <v>6.1027983202537696E-2</v>
      </c>
      <c r="T1771" s="10">
        <f>data_redis_illX!H1605</f>
        <v>3.083457922623228E-2</v>
      </c>
      <c r="U1771" s="10">
        <f>data_redis_illX!I1605</f>
        <v>0</v>
      </c>
      <c r="V1771" s="10">
        <f>data_redis_illX!J1605</f>
        <v>0</v>
      </c>
      <c r="W1771" s="10">
        <f>data_redis_illX!K1605</f>
        <v>0</v>
      </c>
      <c r="X1771" s="10">
        <f>data_redis_illX!L1605</f>
        <v>0</v>
      </c>
      <c r="Y1771" s="5">
        <f t="shared" si="27"/>
        <v>9.1862562428769973E-2</v>
      </c>
    </row>
    <row r="1772" spans="16:25" x14ac:dyDescent="0.25">
      <c r="P1772" s="2" t="s">
        <v>31</v>
      </c>
      <c r="Q1772" s="10">
        <f>data_redis_illX!E1606</f>
        <v>0</v>
      </c>
      <c r="R1772" s="10">
        <f>data_redis_illX!F1606</f>
        <v>0</v>
      </c>
      <c r="S1772" s="10">
        <f>data_redis_illX!G1606</f>
        <v>6.1027983202537696E-2</v>
      </c>
      <c r="T1772" s="10">
        <f>data_redis_illX!H1606</f>
        <v>3.083457922623228E-2</v>
      </c>
      <c r="U1772" s="10">
        <f>data_redis_illX!I1606</f>
        <v>0</v>
      </c>
      <c r="V1772" s="10">
        <f>data_redis_illX!J1606</f>
        <v>0</v>
      </c>
      <c r="W1772" s="10">
        <f>data_redis_illX!K1606</f>
        <v>0</v>
      </c>
      <c r="X1772" s="10">
        <f>data_redis_illX!L1606</f>
        <v>0</v>
      </c>
      <c r="Y1772" s="5">
        <f t="shared" si="27"/>
        <v>9.1862562428769973E-2</v>
      </c>
    </row>
    <row r="1773" spans="16:25" x14ac:dyDescent="0.25">
      <c r="P1773" s="2" t="s">
        <v>32</v>
      </c>
      <c r="Q1773" s="10">
        <f>data_redis_illX!E1607</f>
        <v>0</v>
      </c>
      <c r="R1773" s="10">
        <f>data_redis_illX!F1607</f>
        <v>0</v>
      </c>
      <c r="S1773" s="10">
        <f>data_redis_illX!G1607</f>
        <v>6.1027983202537696E-2</v>
      </c>
      <c r="T1773" s="10">
        <f>data_redis_illX!H1607</f>
        <v>3.083457922623228E-2</v>
      </c>
      <c r="U1773" s="10">
        <f>data_redis_illX!I1607</f>
        <v>0</v>
      </c>
      <c r="V1773" s="10">
        <f>data_redis_illX!J1607</f>
        <v>0</v>
      </c>
      <c r="W1773" s="10">
        <f>data_redis_illX!K1607</f>
        <v>0</v>
      </c>
      <c r="X1773" s="10">
        <f>data_redis_illX!L1607</f>
        <v>0</v>
      </c>
      <c r="Y1773" s="5">
        <f t="shared" si="27"/>
        <v>9.1862562428769973E-2</v>
      </c>
    </row>
    <row r="1774" spans="16:25" x14ac:dyDescent="0.25">
      <c r="P1774" s="2" t="s">
        <v>33</v>
      </c>
      <c r="Q1774" s="10">
        <f>data_redis_illX!E1608</f>
        <v>0</v>
      </c>
      <c r="R1774" s="10">
        <f>data_redis_illX!F1608</f>
        <v>0</v>
      </c>
      <c r="S1774" s="10">
        <f>data_redis_illX!G1608</f>
        <v>6.1027983202537696E-2</v>
      </c>
      <c r="T1774" s="10">
        <f>data_redis_illX!H1608</f>
        <v>3.083457922623228E-2</v>
      </c>
      <c r="U1774" s="10">
        <f>data_redis_illX!I1608</f>
        <v>0</v>
      </c>
      <c r="V1774" s="10">
        <f>data_redis_illX!J1608</f>
        <v>0</v>
      </c>
      <c r="W1774" s="10">
        <f>data_redis_illX!K1608</f>
        <v>0</v>
      </c>
      <c r="X1774" s="10">
        <f>data_redis_illX!L1608</f>
        <v>0</v>
      </c>
      <c r="Y1774" s="5">
        <f t="shared" si="27"/>
        <v>9.1862562428769973E-2</v>
      </c>
    </row>
    <row r="1775" spans="16:25" x14ac:dyDescent="0.25">
      <c r="P1775" s="2" t="s">
        <v>34</v>
      </c>
      <c r="Q1775" s="10">
        <f>data_redis_illX!E1609</f>
        <v>0</v>
      </c>
      <c r="R1775" s="10">
        <f>data_redis_illX!F1609</f>
        <v>0</v>
      </c>
      <c r="S1775" s="10">
        <f>data_redis_illX!G1609</f>
        <v>6.1027983202537696E-2</v>
      </c>
      <c r="T1775" s="10">
        <f>data_redis_illX!H1609</f>
        <v>3.083457922623228E-2</v>
      </c>
      <c r="U1775" s="10">
        <f>data_redis_illX!I1609</f>
        <v>0</v>
      </c>
      <c r="V1775" s="10">
        <f>data_redis_illX!J1609</f>
        <v>0</v>
      </c>
      <c r="W1775" s="10">
        <f>data_redis_illX!K1609</f>
        <v>0</v>
      </c>
      <c r="X1775" s="10">
        <f>data_redis_illX!L1609</f>
        <v>0</v>
      </c>
      <c r="Y1775" s="5">
        <f t="shared" si="27"/>
        <v>9.1862562428769973E-2</v>
      </c>
    </row>
    <row r="1776" spans="16:25" x14ac:dyDescent="0.25">
      <c r="P1776" s="2" t="s">
        <v>35</v>
      </c>
      <c r="Q1776" s="10">
        <f>data_redis_illX!E1610</f>
        <v>0</v>
      </c>
      <c r="R1776" s="10">
        <f>data_redis_illX!F1610</f>
        <v>0</v>
      </c>
      <c r="S1776" s="10">
        <f>data_redis_illX!G1610</f>
        <v>6.1027983202537696E-2</v>
      </c>
      <c r="T1776" s="10">
        <f>data_redis_illX!H1610</f>
        <v>3.083457922623228E-2</v>
      </c>
      <c r="U1776" s="10">
        <f>data_redis_illX!I1610</f>
        <v>0</v>
      </c>
      <c r="V1776" s="10">
        <f>data_redis_illX!J1610</f>
        <v>0</v>
      </c>
      <c r="W1776" s="10">
        <f>data_redis_illX!K1610</f>
        <v>0</v>
      </c>
      <c r="X1776" s="10">
        <f>data_redis_illX!L1610</f>
        <v>0</v>
      </c>
      <c r="Y1776" s="5">
        <f t="shared" si="27"/>
        <v>9.1862562428769973E-2</v>
      </c>
    </row>
    <row r="1777" spans="13:25" x14ac:dyDescent="0.25">
      <c r="P1777" s="2" t="s">
        <v>36</v>
      </c>
      <c r="Q1777" s="10">
        <f>data_redis_illX!E1611</f>
        <v>0</v>
      </c>
      <c r="R1777" s="10">
        <f>data_redis_illX!F1611</f>
        <v>0</v>
      </c>
      <c r="S1777" s="10">
        <f>data_redis_illX!G1611</f>
        <v>6.1027983202537696E-2</v>
      </c>
      <c r="T1777" s="10">
        <f>data_redis_illX!H1611</f>
        <v>3.083457922623228E-2</v>
      </c>
      <c r="U1777" s="10">
        <f>data_redis_illX!I1611</f>
        <v>0</v>
      </c>
      <c r="V1777" s="10">
        <f>data_redis_illX!J1611</f>
        <v>0</v>
      </c>
      <c r="W1777" s="10">
        <f>data_redis_illX!K1611</f>
        <v>0</v>
      </c>
      <c r="X1777" s="10">
        <f>data_redis_illX!L1611</f>
        <v>0</v>
      </c>
      <c r="Y1777" s="5">
        <f t="shared" si="27"/>
        <v>9.1862562428769973E-2</v>
      </c>
    </row>
    <row r="1778" spans="13:25" x14ac:dyDescent="0.25">
      <c r="P1778" s="2" t="s">
        <v>37</v>
      </c>
      <c r="Q1778" s="10">
        <f>data_redis_illX!E1612</f>
        <v>0</v>
      </c>
      <c r="R1778" s="10">
        <f>data_redis_illX!F1612</f>
        <v>0</v>
      </c>
      <c r="S1778" s="10">
        <f>data_redis_illX!G1612</f>
        <v>6.1027983202537696E-2</v>
      </c>
      <c r="T1778" s="10">
        <f>data_redis_illX!H1612</f>
        <v>3.083457922623228E-2</v>
      </c>
      <c r="U1778" s="10">
        <f>data_redis_illX!I1612</f>
        <v>0</v>
      </c>
      <c r="V1778" s="10">
        <f>data_redis_illX!J1612</f>
        <v>0</v>
      </c>
      <c r="W1778" s="10">
        <f>data_redis_illX!K1612</f>
        <v>0</v>
      </c>
      <c r="X1778" s="10">
        <f>data_redis_illX!L1612</f>
        <v>0</v>
      </c>
      <c r="Y1778" s="5">
        <f t="shared" si="27"/>
        <v>9.1862562428769973E-2</v>
      </c>
    </row>
    <row r="1779" spans="13:25" x14ac:dyDescent="0.25">
      <c r="P1779" s="2" t="s">
        <v>38</v>
      </c>
      <c r="Q1779" s="10">
        <f>data_redis_illX!E1613</f>
        <v>0</v>
      </c>
      <c r="R1779" s="10">
        <f>data_redis_illX!F1613</f>
        <v>0</v>
      </c>
      <c r="S1779" s="10">
        <f>data_redis_illX!G1613</f>
        <v>6.1027983202537696E-2</v>
      </c>
      <c r="T1779" s="10">
        <f>data_redis_illX!H1613</f>
        <v>3.083457922623228E-2</v>
      </c>
      <c r="U1779" s="10">
        <f>data_redis_illX!I1613</f>
        <v>0</v>
      </c>
      <c r="V1779" s="10">
        <f>data_redis_illX!J1613</f>
        <v>0</v>
      </c>
      <c r="W1779" s="10">
        <f>data_redis_illX!K1613</f>
        <v>0</v>
      </c>
      <c r="X1779" s="10">
        <f>data_redis_illX!L1613</f>
        <v>0</v>
      </c>
      <c r="Y1779" s="5">
        <f t="shared" si="27"/>
        <v>9.1862562428769973E-2</v>
      </c>
    </row>
    <row r="1780" spans="13:25" x14ac:dyDescent="0.25">
      <c r="P1780" s="2" t="s">
        <v>39</v>
      </c>
      <c r="Q1780" s="10">
        <f>data_redis_illX!E1614</f>
        <v>0</v>
      </c>
      <c r="R1780" s="10">
        <f>data_redis_illX!F1614</f>
        <v>0</v>
      </c>
      <c r="S1780" s="10">
        <f>data_redis_illX!G1614</f>
        <v>6.1027983202537696E-2</v>
      </c>
      <c r="T1780" s="10">
        <f>data_redis_illX!H1614</f>
        <v>3.083457922623228E-2</v>
      </c>
      <c r="U1780" s="10">
        <f>data_redis_illX!I1614</f>
        <v>0</v>
      </c>
      <c r="V1780" s="10">
        <f>data_redis_illX!J1614</f>
        <v>0</v>
      </c>
      <c r="W1780" s="10">
        <f>data_redis_illX!K1614</f>
        <v>0</v>
      </c>
      <c r="X1780" s="10">
        <f>data_redis_illX!L1614</f>
        <v>0</v>
      </c>
      <c r="Y1780" s="5">
        <f t="shared" si="27"/>
        <v>9.1862562428769973E-2</v>
      </c>
    </row>
    <row r="1781" spans="13:25" x14ac:dyDescent="0.25">
      <c r="P1781" s="2" t="s">
        <v>40</v>
      </c>
      <c r="Q1781" s="10">
        <f>data_redis_illX!E1615</f>
        <v>0</v>
      </c>
      <c r="R1781" s="10">
        <f>data_redis_illX!F1615</f>
        <v>0</v>
      </c>
      <c r="S1781" s="10">
        <f>data_redis_illX!G1615</f>
        <v>6.1027983202537696E-2</v>
      </c>
      <c r="T1781" s="10">
        <f>data_redis_illX!H1615</f>
        <v>3.083457922623228E-2</v>
      </c>
      <c r="U1781" s="10">
        <f>data_redis_illX!I1615</f>
        <v>0</v>
      </c>
      <c r="V1781" s="10">
        <f>data_redis_illX!J1615</f>
        <v>0</v>
      </c>
      <c r="W1781" s="10">
        <f>data_redis_illX!K1615</f>
        <v>0</v>
      </c>
      <c r="X1781" s="10">
        <f>data_redis_illX!L1615</f>
        <v>0</v>
      </c>
      <c r="Y1781" s="5">
        <f t="shared" si="27"/>
        <v>9.1862562428769973E-2</v>
      </c>
    </row>
    <row r="1782" spans="13:25" x14ac:dyDescent="0.25">
      <c r="P1782" s="2" t="s">
        <v>41</v>
      </c>
      <c r="Q1782" s="10">
        <f>data_redis_illX!E1616</f>
        <v>0</v>
      </c>
      <c r="R1782" s="10">
        <f>data_redis_illX!F1616</f>
        <v>0</v>
      </c>
      <c r="S1782" s="10">
        <f>data_redis_illX!G1616</f>
        <v>6.1027983202537696E-2</v>
      </c>
      <c r="T1782" s="10">
        <f>data_redis_illX!H1616</f>
        <v>3.083457922623228E-2</v>
      </c>
      <c r="U1782" s="10">
        <f>data_redis_illX!I1616</f>
        <v>0</v>
      </c>
      <c r="V1782" s="10">
        <f>data_redis_illX!J1616</f>
        <v>0</v>
      </c>
      <c r="W1782" s="10">
        <f>data_redis_illX!K1616</f>
        <v>0</v>
      </c>
      <c r="X1782" s="10">
        <f>data_redis_illX!L1616</f>
        <v>0</v>
      </c>
      <c r="Y1782" s="5">
        <f t="shared" si="27"/>
        <v>9.1862562428769973E-2</v>
      </c>
    </row>
    <row r="1783" spans="13:25" x14ac:dyDescent="0.25">
      <c r="P1783" s="2" t="s">
        <v>42</v>
      </c>
      <c r="Q1783" s="10">
        <f>data_redis_illX!E1617</f>
        <v>0</v>
      </c>
      <c r="R1783" s="10">
        <f>data_redis_illX!F1617</f>
        <v>0</v>
      </c>
      <c r="S1783" s="10">
        <f>data_redis_illX!G1617</f>
        <v>6.1027983202537696E-2</v>
      </c>
      <c r="T1783" s="10">
        <f>data_redis_illX!H1617</f>
        <v>3.083457922623228E-2</v>
      </c>
      <c r="U1783" s="10">
        <f>data_redis_illX!I1617</f>
        <v>0</v>
      </c>
      <c r="V1783" s="10">
        <f>data_redis_illX!J1617</f>
        <v>0</v>
      </c>
      <c r="W1783" s="10">
        <f>data_redis_illX!K1617</f>
        <v>0</v>
      </c>
      <c r="X1783" s="10">
        <f>data_redis_illX!L1617</f>
        <v>0</v>
      </c>
      <c r="Y1783" s="5">
        <f t="shared" si="27"/>
        <v>9.1862562428769973E-2</v>
      </c>
    </row>
    <row r="1784" spans="13:25" x14ac:dyDescent="0.25">
      <c r="P1784" s="2" t="s">
        <v>43</v>
      </c>
      <c r="Q1784" s="10">
        <f>data_redis_illX!E1618</f>
        <v>0</v>
      </c>
      <c r="R1784" s="10">
        <f>data_redis_illX!F1618</f>
        <v>0</v>
      </c>
      <c r="S1784" s="10">
        <f>data_redis_illX!G1618</f>
        <v>6.1027983202537696E-2</v>
      </c>
      <c r="T1784" s="10">
        <f>data_redis_illX!H1618</f>
        <v>3.083457922623228E-2</v>
      </c>
      <c r="U1784" s="10">
        <f>data_redis_illX!I1618</f>
        <v>0</v>
      </c>
      <c r="V1784" s="10">
        <f>data_redis_illX!J1618</f>
        <v>0</v>
      </c>
      <c r="W1784" s="10">
        <f>data_redis_illX!K1618</f>
        <v>0</v>
      </c>
      <c r="X1784" s="10">
        <f>data_redis_illX!L1618</f>
        <v>0</v>
      </c>
      <c r="Y1784" s="5">
        <f t="shared" si="27"/>
        <v>9.1862562428769973E-2</v>
      </c>
    </row>
    <row r="1785" spans="13:25" x14ac:dyDescent="0.25">
      <c r="P1785" s="2" t="s">
        <v>44</v>
      </c>
      <c r="Q1785" s="10">
        <f>data_redis_illX!E1619</f>
        <v>0</v>
      </c>
      <c r="R1785" s="10">
        <f>data_redis_illX!F1619</f>
        <v>0</v>
      </c>
      <c r="S1785" s="10">
        <f>data_redis_illX!G1619</f>
        <v>6.1027983202537696E-2</v>
      </c>
      <c r="T1785" s="10">
        <f>data_redis_illX!H1619</f>
        <v>3.083457922623228E-2</v>
      </c>
      <c r="U1785" s="10">
        <f>data_redis_illX!I1619</f>
        <v>0</v>
      </c>
      <c r="V1785" s="10">
        <f>data_redis_illX!J1619</f>
        <v>0</v>
      </c>
      <c r="W1785" s="10">
        <f>data_redis_illX!K1619</f>
        <v>0</v>
      </c>
      <c r="X1785" s="10">
        <f>data_redis_illX!L1619</f>
        <v>0</v>
      </c>
      <c r="Y1785" s="5">
        <f t="shared" si="27"/>
        <v>9.1862562428769973E-2</v>
      </c>
    </row>
    <row r="1786" spans="13:25" x14ac:dyDescent="0.25">
      <c r="M1786" t="s">
        <v>115</v>
      </c>
      <c r="N1786" t="s">
        <v>116</v>
      </c>
      <c r="O1786" t="s">
        <v>54</v>
      </c>
      <c r="P1786" s="2" t="s">
        <v>12</v>
      </c>
      <c r="Q1786" s="10">
        <f>data_redis_illX!E1620</f>
        <v>0</v>
      </c>
      <c r="R1786" s="10">
        <f>data_redis_illX!F1620</f>
        <v>0</v>
      </c>
      <c r="S1786" s="10">
        <f>data_redis_illX!G1620</f>
        <v>0</v>
      </c>
      <c r="T1786" s="10">
        <f>data_redis_illX!H1620</f>
        <v>5.3057500968566824</v>
      </c>
      <c r="U1786" s="10">
        <f>data_redis_illX!I1620</f>
        <v>0</v>
      </c>
      <c r="V1786" s="10">
        <f>data_redis_illX!J1620</f>
        <v>0</v>
      </c>
      <c r="W1786" s="10">
        <f>data_redis_illX!K1620</f>
        <v>0</v>
      </c>
      <c r="X1786" s="10">
        <f>data_redis_illX!L1620</f>
        <v>3.0303030303030304E-2</v>
      </c>
      <c r="Y1786" s="5">
        <f t="shared" si="27"/>
        <v>5.3360531271597127</v>
      </c>
    </row>
    <row r="1787" spans="13:25" x14ac:dyDescent="0.25">
      <c r="P1787" s="2" t="s">
        <v>13</v>
      </c>
      <c r="Q1787" s="10">
        <f>data_redis_illX!E1621</f>
        <v>0</v>
      </c>
      <c r="R1787" s="10">
        <f>data_redis_illX!F1621</f>
        <v>0</v>
      </c>
      <c r="S1787" s="10">
        <f>data_redis_illX!G1621</f>
        <v>7.0738845047703061</v>
      </c>
      <c r="T1787" s="10">
        <f>data_redis_illX!H1621</f>
        <v>15.917250290570047</v>
      </c>
      <c r="U1787" s="10">
        <f>data_redis_illX!I1621</f>
        <v>17.448024690007173</v>
      </c>
      <c r="V1787" s="10">
        <f>data_redis_illX!J1621</f>
        <v>0</v>
      </c>
      <c r="W1787" s="10">
        <f>data_redis_illX!K1621</f>
        <v>3.4047619047619042</v>
      </c>
      <c r="X1787" s="10">
        <f>data_redis_illX!L1621</f>
        <v>3.0303030303030304E-2</v>
      </c>
      <c r="Y1787" s="5">
        <f t="shared" si="27"/>
        <v>43.874224420412467</v>
      </c>
    </row>
    <row r="1788" spans="13:25" x14ac:dyDescent="0.25">
      <c r="P1788" s="2" t="s">
        <v>14</v>
      </c>
      <c r="Q1788" s="10">
        <f>data_redis_illX!E1622</f>
        <v>0</v>
      </c>
      <c r="R1788" s="10">
        <f>data_redis_illX!F1622</f>
        <v>0</v>
      </c>
      <c r="S1788" s="10">
        <f>data_redis_illX!G1622</f>
        <v>3.536942252385153</v>
      </c>
      <c r="T1788" s="10">
        <f>data_redis_illX!H1622</f>
        <v>15.917250290570047</v>
      </c>
      <c r="U1788" s="10">
        <f>data_redis_illX!I1622</f>
        <v>0</v>
      </c>
      <c r="V1788" s="10">
        <f>data_redis_illX!J1622</f>
        <v>11.96932967631497</v>
      </c>
      <c r="W1788" s="10">
        <f>data_redis_illX!K1622</f>
        <v>0</v>
      </c>
      <c r="X1788" s="10">
        <f>data_redis_illX!L1622</f>
        <v>3.0303030303030304E-2</v>
      </c>
      <c r="Y1788" s="5">
        <f t="shared" si="27"/>
        <v>31.453825249573203</v>
      </c>
    </row>
    <row r="1789" spans="13:25" x14ac:dyDescent="0.25">
      <c r="P1789" s="2" t="s">
        <v>15</v>
      </c>
      <c r="Q1789" s="10">
        <f>data_redis_illX!E1623</f>
        <v>0</v>
      </c>
      <c r="R1789" s="10">
        <f>data_redis_illX!F1623</f>
        <v>0</v>
      </c>
      <c r="S1789" s="10">
        <f>data_redis_illX!G1623</f>
        <v>3.536942252385153</v>
      </c>
      <c r="T1789" s="10">
        <f>data_redis_illX!H1623</f>
        <v>0</v>
      </c>
      <c r="U1789" s="10">
        <f>data_redis_illX!I1623</f>
        <v>0</v>
      </c>
      <c r="V1789" s="10">
        <f>data_redis_illX!J1623</f>
        <v>0</v>
      </c>
      <c r="W1789" s="10">
        <f>data_redis_illX!K1623</f>
        <v>0</v>
      </c>
      <c r="X1789" s="10">
        <f>data_redis_illX!L1623</f>
        <v>3.0303030303030304E-2</v>
      </c>
      <c r="Y1789" s="5">
        <f t="shared" si="27"/>
        <v>3.5672452826881833</v>
      </c>
    </row>
    <row r="1790" spans="13:25" x14ac:dyDescent="0.25">
      <c r="P1790" s="2" t="s">
        <v>16</v>
      </c>
      <c r="Q1790" s="10">
        <f>data_redis_illX!E1624</f>
        <v>0</v>
      </c>
      <c r="R1790" s="10">
        <f>data_redis_illX!F1624</f>
        <v>0</v>
      </c>
      <c r="S1790" s="10">
        <f>data_redis_illX!G1624</f>
        <v>0</v>
      </c>
      <c r="T1790" s="10">
        <f>data_redis_illX!H1624</f>
        <v>0</v>
      </c>
      <c r="U1790" s="10">
        <f>data_redis_illX!I1624</f>
        <v>0</v>
      </c>
      <c r="V1790" s="10">
        <f>data_redis_illX!J1624</f>
        <v>0</v>
      </c>
      <c r="W1790" s="10">
        <f>data_redis_illX!K1624</f>
        <v>0</v>
      </c>
      <c r="X1790" s="10">
        <f>data_redis_illX!L1624</f>
        <v>3.0303030303030304E-2</v>
      </c>
      <c r="Y1790" s="5">
        <f t="shared" si="27"/>
        <v>3.0303030303030304E-2</v>
      </c>
    </row>
    <row r="1791" spans="13:25" x14ac:dyDescent="0.25">
      <c r="P1791" s="2" t="s">
        <v>17</v>
      </c>
      <c r="Q1791" s="10">
        <f>data_redis_illX!E1625</f>
        <v>0</v>
      </c>
      <c r="R1791" s="10">
        <f>data_redis_illX!F1625</f>
        <v>0</v>
      </c>
      <c r="S1791" s="10">
        <f>data_redis_illX!G1625</f>
        <v>0</v>
      </c>
      <c r="T1791" s="10">
        <f>data_redis_illX!H1625</f>
        <v>5.3057500968566824</v>
      </c>
      <c r="U1791" s="10">
        <f>data_redis_illX!I1625</f>
        <v>0</v>
      </c>
      <c r="V1791" s="10">
        <f>data_redis_illX!J1625</f>
        <v>0</v>
      </c>
      <c r="W1791" s="10">
        <f>data_redis_illX!K1625</f>
        <v>0</v>
      </c>
      <c r="X1791" s="10">
        <f>data_redis_illX!L1625</f>
        <v>3.0303030303030304E-2</v>
      </c>
      <c r="Y1791" s="5">
        <f t="shared" si="27"/>
        <v>5.3360531271597127</v>
      </c>
    </row>
    <row r="1792" spans="13:25" x14ac:dyDescent="0.25">
      <c r="P1792" s="2" t="s">
        <v>18</v>
      </c>
      <c r="Q1792" s="10">
        <f>data_redis_illX!E1626</f>
        <v>0</v>
      </c>
      <c r="R1792" s="10">
        <f>data_redis_illX!F1626</f>
        <v>0</v>
      </c>
      <c r="S1792" s="10">
        <f>data_redis_illX!G1626</f>
        <v>0</v>
      </c>
      <c r="T1792" s="10">
        <f>data_redis_illX!H1626</f>
        <v>5.3057500968566824</v>
      </c>
      <c r="U1792" s="10">
        <f>data_redis_illX!I1626</f>
        <v>5.8160082300023923</v>
      </c>
      <c r="V1792" s="10">
        <f>data_redis_illX!J1626</f>
        <v>5.9846648381574852</v>
      </c>
      <c r="W1792" s="10">
        <f>data_redis_illX!K1626</f>
        <v>0</v>
      </c>
      <c r="X1792" s="10">
        <f>data_redis_illX!L1626</f>
        <v>3.0303030303030304E-2</v>
      </c>
      <c r="Y1792" s="5">
        <f t="shared" si="27"/>
        <v>17.136726195319589</v>
      </c>
    </row>
    <row r="1793" spans="16:25" x14ac:dyDescent="0.25">
      <c r="P1793" s="2" t="s">
        <v>19</v>
      </c>
      <c r="Q1793" s="10">
        <f>data_redis_illX!E1627</f>
        <v>0</v>
      </c>
      <c r="R1793" s="10">
        <f>data_redis_illX!F1627</f>
        <v>0</v>
      </c>
      <c r="S1793" s="10">
        <f>data_redis_illX!G1627</f>
        <v>0</v>
      </c>
      <c r="T1793" s="10">
        <f>data_redis_illX!H1627</f>
        <v>0</v>
      </c>
      <c r="U1793" s="10">
        <f>data_redis_illX!I1627</f>
        <v>5.8160082300023923</v>
      </c>
      <c r="V1793" s="10">
        <f>data_redis_illX!J1627</f>
        <v>0</v>
      </c>
      <c r="W1793" s="10">
        <f>data_redis_illX!K1627</f>
        <v>0</v>
      </c>
      <c r="X1793" s="10">
        <f>data_redis_illX!L1627</f>
        <v>3.0303030303030304E-2</v>
      </c>
      <c r="Y1793" s="5">
        <f t="shared" si="27"/>
        <v>5.8463112603054226</v>
      </c>
    </row>
    <row r="1794" spans="16:25" x14ac:dyDescent="0.25">
      <c r="P1794" s="2" t="s">
        <v>20</v>
      </c>
      <c r="Q1794" s="10">
        <f>data_redis_illX!E1628</f>
        <v>0</v>
      </c>
      <c r="R1794" s="10">
        <f>data_redis_illX!F1628</f>
        <v>0</v>
      </c>
      <c r="S1794" s="10">
        <f>data_redis_illX!G1628</f>
        <v>7.0738845047703061</v>
      </c>
      <c r="T1794" s="10">
        <f>data_redis_illX!H1628</f>
        <v>37.140250677996782</v>
      </c>
      <c r="U1794" s="10">
        <f>data_redis_illX!I1628</f>
        <v>46.528065840019138</v>
      </c>
      <c r="V1794" s="10">
        <f>data_redis_illX!J1628</f>
        <v>0</v>
      </c>
      <c r="W1794" s="10">
        <f>data_redis_illX!K1628</f>
        <v>0</v>
      </c>
      <c r="X1794" s="10">
        <f>data_redis_illX!L1628</f>
        <v>3.0303030303030304E-2</v>
      </c>
      <c r="Y1794" s="5">
        <f t="shared" si="27"/>
        <v>90.77250405308925</v>
      </c>
    </row>
    <row r="1795" spans="16:25" x14ac:dyDescent="0.25">
      <c r="P1795" s="2" t="s">
        <v>21</v>
      </c>
      <c r="Q1795" s="10">
        <f>data_redis_illX!E1629</f>
        <v>0</v>
      </c>
      <c r="R1795" s="10">
        <f>data_redis_illX!F1629</f>
        <v>0</v>
      </c>
      <c r="S1795" s="10">
        <f>data_redis_illX!G1629</f>
        <v>3.536942252385153</v>
      </c>
      <c r="T1795" s="10">
        <f>data_redis_illX!H1629</f>
        <v>0</v>
      </c>
      <c r="U1795" s="10">
        <f>data_redis_illX!I1629</f>
        <v>11.632016460004785</v>
      </c>
      <c r="V1795" s="10">
        <f>data_redis_illX!J1629</f>
        <v>5.9846648381574852</v>
      </c>
      <c r="W1795" s="10">
        <f>data_redis_illX!K1629</f>
        <v>3.4047619047619042</v>
      </c>
      <c r="X1795" s="10">
        <f>data_redis_illX!L1629</f>
        <v>3.0303030303030304E-2</v>
      </c>
      <c r="Y1795" s="5">
        <f t="shared" si="27"/>
        <v>24.588688485612359</v>
      </c>
    </row>
    <row r="1796" spans="16:25" x14ac:dyDescent="0.25">
      <c r="P1796" s="2" t="s">
        <v>22</v>
      </c>
      <c r="Q1796" s="10">
        <f>data_redis_illX!E1630</f>
        <v>0</v>
      </c>
      <c r="R1796" s="10">
        <f>data_redis_illX!F1630</f>
        <v>0</v>
      </c>
      <c r="S1796" s="10">
        <f>data_redis_illX!G1630</f>
        <v>7.0738845047703061</v>
      </c>
      <c r="T1796" s="10">
        <f>data_redis_illX!H1630</f>
        <v>10.611500193713365</v>
      </c>
      <c r="U1796" s="10">
        <f>data_redis_illX!I1630</f>
        <v>5.8160082300023923</v>
      </c>
      <c r="V1796" s="10">
        <f>data_redis_illX!J1630</f>
        <v>0</v>
      </c>
      <c r="W1796" s="10">
        <f>data_redis_illX!K1630</f>
        <v>3.4047619047619042</v>
      </c>
      <c r="X1796" s="10">
        <f>data_redis_illX!L1630</f>
        <v>3.0303030303030304E-2</v>
      </c>
      <c r="Y1796" s="5">
        <f t="shared" si="27"/>
        <v>26.936457863550999</v>
      </c>
    </row>
    <row r="1797" spans="16:25" x14ac:dyDescent="0.25">
      <c r="P1797" s="2" t="s">
        <v>23</v>
      </c>
      <c r="Q1797" s="10">
        <f>data_redis_illX!E1631</f>
        <v>0</v>
      </c>
      <c r="R1797" s="10">
        <f>data_redis_illX!F1631</f>
        <v>0</v>
      </c>
      <c r="S1797" s="10">
        <f>data_redis_illX!G1631</f>
        <v>0</v>
      </c>
      <c r="T1797" s="10">
        <f>data_redis_illX!H1631</f>
        <v>0</v>
      </c>
      <c r="U1797" s="10">
        <f>data_redis_illX!I1631</f>
        <v>5.8160082300023923</v>
      </c>
      <c r="V1797" s="10">
        <f>data_redis_illX!J1631</f>
        <v>0</v>
      </c>
      <c r="W1797" s="10">
        <f>data_redis_illX!K1631</f>
        <v>0</v>
      </c>
      <c r="X1797" s="10">
        <f>data_redis_illX!L1631</f>
        <v>3.0303030303030304E-2</v>
      </c>
      <c r="Y1797" s="5">
        <f t="shared" ref="Y1797:Y1860" si="28">SUM(Q1797:X1797)</f>
        <v>5.8463112603054226</v>
      </c>
    </row>
    <row r="1798" spans="16:25" x14ac:dyDescent="0.25">
      <c r="P1798" s="2" t="s">
        <v>24</v>
      </c>
      <c r="Q1798" s="10">
        <f>data_redis_illX!E1632</f>
        <v>0</v>
      </c>
      <c r="R1798" s="10">
        <f>data_redis_illX!F1632</f>
        <v>0</v>
      </c>
      <c r="S1798" s="10">
        <f>data_redis_illX!G1632</f>
        <v>0</v>
      </c>
      <c r="T1798" s="10">
        <f>data_redis_illX!H1632</f>
        <v>10.611500193713365</v>
      </c>
      <c r="U1798" s="10">
        <f>data_redis_illX!I1632</f>
        <v>17.448024690007173</v>
      </c>
      <c r="V1798" s="10">
        <f>data_redis_illX!J1632</f>
        <v>0</v>
      </c>
      <c r="W1798" s="10">
        <f>data_redis_illX!K1632</f>
        <v>0</v>
      </c>
      <c r="X1798" s="10">
        <f>data_redis_illX!L1632</f>
        <v>3.0303030303030304E-2</v>
      </c>
      <c r="Y1798" s="5">
        <f t="shared" si="28"/>
        <v>28.089827914023569</v>
      </c>
    </row>
    <row r="1799" spans="16:25" x14ac:dyDescent="0.25">
      <c r="P1799" s="2" t="s">
        <v>25</v>
      </c>
      <c r="Q1799" s="10">
        <f>data_redis_illX!E1633</f>
        <v>0</v>
      </c>
      <c r="R1799" s="10">
        <f>data_redis_illX!F1633</f>
        <v>0</v>
      </c>
      <c r="S1799" s="10">
        <f>data_redis_illX!G1633</f>
        <v>0</v>
      </c>
      <c r="T1799" s="10">
        <f>data_redis_illX!H1633</f>
        <v>5.3057500968566824</v>
      </c>
      <c r="U1799" s="10">
        <f>data_redis_illX!I1633</f>
        <v>0</v>
      </c>
      <c r="V1799" s="10">
        <f>data_redis_illX!J1633</f>
        <v>0</v>
      </c>
      <c r="W1799" s="10">
        <f>data_redis_illX!K1633</f>
        <v>0</v>
      </c>
      <c r="X1799" s="10">
        <f>data_redis_illX!L1633</f>
        <v>3.0303030303030304E-2</v>
      </c>
      <c r="Y1799" s="5">
        <f t="shared" si="28"/>
        <v>5.3360531271597127</v>
      </c>
    </row>
    <row r="1800" spans="16:25" x14ac:dyDescent="0.25">
      <c r="P1800" s="2" t="s">
        <v>26</v>
      </c>
      <c r="Q1800" s="10">
        <f>data_redis_illX!E1634</f>
        <v>0</v>
      </c>
      <c r="R1800" s="10">
        <f>data_redis_illX!F1634</f>
        <v>0</v>
      </c>
      <c r="S1800" s="10">
        <f>data_redis_illX!G1634</f>
        <v>0</v>
      </c>
      <c r="T1800" s="10">
        <f>data_redis_illX!H1634</f>
        <v>0</v>
      </c>
      <c r="U1800" s="10">
        <f>data_redis_illX!I1634</f>
        <v>0</v>
      </c>
      <c r="V1800" s="10">
        <f>data_redis_illX!J1634</f>
        <v>11.96932967631497</v>
      </c>
      <c r="W1800" s="10">
        <f>data_redis_illX!K1634</f>
        <v>0</v>
      </c>
      <c r="X1800" s="10">
        <f>data_redis_illX!L1634</f>
        <v>3.0303030303030304E-2</v>
      </c>
      <c r="Y1800" s="5">
        <f t="shared" si="28"/>
        <v>11.999632706618002</v>
      </c>
    </row>
    <row r="1801" spans="16:25" x14ac:dyDescent="0.25">
      <c r="P1801" s="2" t="s">
        <v>27</v>
      </c>
      <c r="Q1801" s="10">
        <f>data_redis_illX!E1635</f>
        <v>0</v>
      </c>
      <c r="R1801" s="10">
        <f>data_redis_illX!F1635</f>
        <v>0</v>
      </c>
      <c r="S1801" s="10">
        <f>data_redis_illX!G1635</f>
        <v>0</v>
      </c>
      <c r="T1801" s="10">
        <f>data_redis_illX!H1635</f>
        <v>5.3057500968566824</v>
      </c>
      <c r="U1801" s="10">
        <f>data_redis_illX!I1635</f>
        <v>0</v>
      </c>
      <c r="V1801" s="10">
        <f>data_redis_illX!J1635</f>
        <v>0</v>
      </c>
      <c r="W1801" s="10">
        <f>data_redis_illX!K1635</f>
        <v>0</v>
      </c>
      <c r="X1801" s="10">
        <f>data_redis_illX!L1635</f>
        <v>3.0303030303030304E-2</v>
      </c>
      <c r="Y1801" s="5">
        <f t="shared" si="28"/>
        <v>5.3360531271597127</v>
      </c>
    </row>
    <row r="1802" spans="16:25" x14ac:dyDescent="0.25">
      <c r="P1802" s="2" t="s">
        <v>28</v>
      </c>
      <c r="Q1802" s="10">
        <f>data_redis_illX!E1636</f>
        <v>0</v>
      </c>
      <c r="R1802" s="10">
        <f>data_redis_illX!F1636</f>
        <v>0</v>
      </c>
      <c r="S1802" s="10">
        <f>data_redis_illX!G1636</f>
        <v>3.536942252385153</v>
      </c>
      <c r="T1802" s="10">
        <f>data_redis_illX!H1636</f>
        <v>21.22300038742673</v>
      </c>
      <c r="U1802" s="10">
        <f>data_redis_illX!I1636</f>
        <v>11.632016460004785</v>
      </c>
      <c r="V1802" s="10">
        <f>data_redis_illX!J1636</f>
        <v>5.9846648381574852</v>
      </c>
      <c r="W1802" s="10">
        <f>data_redis_illX!K1636</f>
        <v>0</v>
      </c>
      <c r="X1802" s="10">
        <f>data_redis_illX!L1636</f>
        <v>3.0303030303030304E-2</v>
      </c>
      <c r="Y1802" s="5">
        <f t="shared" si="28"/>
        <v>42.406926968277183</v>
      </c>
    </row>
    <row r="1803" spans="16:25" x14ac:dyDescent="0.25">
      <c r="P1803" s="2" t="s">
        <v>29</v>
      </c>
      <c r="Q1803" s="10">
        <f>data_redis_illX!E1637</f>
        <v>0</v>
      </c>
      <c r="R1803" s="10">
        <f>data_redis_illX!F1637</f>
        <v>0</v>
      </c>
      <c r="S1803" s="10">
        <f>data_redis_illX!G1637</f>
        <v>10.61082675715546</v>
      </c>
      <c r="T1803" s="10">
        <f>data_redis_illX!H1637</f>
        <v>84.892001549706919</v>
      </c>
      <c r="U1803" s="10">
        <f>data_redis_illX!I1637</f>
        <v>29.080041150011958</v>
      </c>
      <c r="V1803" s="10">
        <f>data_redis_illX!J1637</f>
        <v>5.9846648381574852</v>
      </c>
      <c r="W1803" s="10">
        <f>data_redis_illX!K1637</f>
        <v>0</v>
      </c>
      <c r="X1803" s="10">
        <f>data_redis_illX!L1637</f>
        <v>3.0303030303030304E-2</v>
      </c>
      <c r="Y1803" s="5">
        <f t="shared" si="28"/>
        <v>130.59783732533484</v>
      </c>
    </row>
    <row r="1804" spans="16:25" x14ac:dyDescent="0.25">
      <c r="P1804" s="2" t="s">
        <v>30</v>
      </c>
      <c r="Q1804" s="10">
        <f>data_redis_illX!E1638</f>
        <v>0</v>
      </c>
      <c r="R1804" s="10">
        <f>data_redis_illX!F1638</f>
        <v>0</v>
      </c>
      <c r="S1804" s="10">
        <f>data_redis_illX!G1638</f>
        <v>17.684711261925763</v>
      </c>
      <c r="T1804" s="10">
        <f>data_redis_illX!H1638</f>
        <v>37.140250677996782</v>
      </c>
      <c r="U1804" s="10">
        <f>data_redis_illX!I1638</f>
        <v>35.896049380014347</v>
      </c>
      <c r="V1804" s="10">
        <f>data_redis_illX!J1638</f>
        <v>17.953994514472456</v>
      </c>
      <c r="W1804" s="10">
        <f>data_redis_illX!K1638</f>
        <v>0</v>
      </c>
      <c r="X1804" s="10">
        <f>data_redis_illX!L1638</f>
        <v>3.0303030303030304E-2</v>
      </c>
      <c r="Y1804" s="5">
        <f t="shared" si="28"/>
        <v>108.70530886471238</v>
      </c>
    </row>
    <row r="1805" spans="16:25" x14ac:dyDescent="0.25">
      <c r="P1805" s="2" t="s">
        <v>31</v>
      </c>
      <c r="Q1805" s="10">
        <f>data_redis_illX!E1639</f>
        <v>0</v>
      </c>
      <c r="R1805" s="10">
        <f>data_redis_illX!F1639</f>
        <v>0</v>
      </c>
      <c r="S1805" s="10">
        <f>data_redis_illX!G1639</f>
        <v>14.147769009540612</v>
      </c>
      <c r="T1805" s="10">
        <f>data_redis_illX!H1639</f>
        <v>21.22300038742673</v>
      </c>
      <c r="U1805" s="10">
        <f>data_redis_illX!I1639</f>
        <v>11.632016460004785</v>
      </c>
      <c r="V1805" s="10">
        <f>data_redis_illX!J1639</f>
        <v>0</v>
      </c>
      <c r="W1805" s="10">
        <f>data_redis_illX!K1639</f>
        <v>0</v>
      </c>
      <c r="X1805" s="10">
        <f>data_redis_illX!L1639</f>
        <v>3.0303030303030304E-2</v>
      </c>
      <c r="Y1805" s="5">
        <f t="shared" si="28"/>
        <v>47.033088887275156</v>
      </c>
    </row>
    <row r="1806" spans="16:25" x14ac:dyDescent="0.25">
      <c r="P1806" s="2" t="s">
        <v>32</v>
      </c>
      <c r="Q1806" s="10">
        <f>data_redis_illX!E1640</f>
        <v>0</v>
      </c>
      <c r="R1806" s="10">
        <f>data_redis_illX!F1640</f>
        <v>0</v>
      </c>
      <c r="S1806" s="10">
        <f>data_redis_illX!G1640</f>
        <v>0</v>
      </c>
      <c r="T1806" s="10">
        <f>data_redis_illX!H1640</f>
        <v>0</v>
      </c>
      <c r="U1806" s="10">
        <f>data_redis_illX!I1640</f>
        <v>0</v>
      </c>
      <c r="V1806" s="10">
        <f>data_redis_illX!J1640</f>
        <v>0</v>
      </c>
      <c r="W1806" s="10">
        <f>data_redis_illX!K1640</f>
        <v>0</v>
      </c>
      <c r="X1806" s="10">
        <f>data_redis_illX!L1640</f>
        <v>3.0303030303030304E-2</v>
      </c>
      <c r="Y1806" s="5">
        <f t="shared" si="28"/>
        <v>3.0303030303030304E-2</v>
      </c>
    </row>
    <row r="1807" spans="16:25" x14ac:dyDescent="0.25">
      <c r="P1807" s="2" t="s">
        <v>33</v>
      </c>
      <c r="Q1807" s="10">
        <f>data_redis_illX!E1641</f>
        <v>0</v>
      </c>
      <c r="R1807" s="10">
        <f>data_redis_illX!F1641</f>
        <v>0</v>
      </c>
      <c r="S1807" s="10">
        <f>data_redis_illX!G1641</f>
        <v>0</v>
      </c>
      <c r="T1807" s="10">
        <f>data_redis_illX!H1641</f>
        <v>5.3057500968566824</v>
      </c>
      <c r="U1807" s="10">
        <f>data_redis_illX!I1641</f>
        <v>0</v>
      </c>
      <c r="V1807" s="10">
        <f>data_redis_illX!J1641</f>
        <v>0</v>
      </c>
      <c r="W1807" s="10">
        <f>data_redis_illX!K1641</f>
        <v>0</v>
      </c>
      <c r="X1807" s="10">
        <f>data_redis_illX!L1641</f>
        <v>3.0303030303030304E-2</v>
      </c>
      <c r="Y1807" s="5">
        <f t="shared" si="28"/>
        <v>5.3360531271597127</v>
      </c>
    </row>
    <row r="1808" spans="16:25" x14ac:dyDescent="0.25">
      <c r="P1808" s="2" t="s">
        <v>34</v>
      </c>
      <c r="Q1808" s="10">
        <f>data_redis_illX!E1642</f>
        <v>0</v>
      </c>
      <c r="R1808" s="10">
        <f>data_redis_illX!F1642</f>
        <v>0</v>
      </c>
      <c r="S1808" s="10">
        <f>data_redis_illX!G1642</f>
        <v>0</v>
      </c>
      <c r="T1808" s="10">
        <f>data_redis_illX!H1642</f>
        <v>0</v>
      </c>
      <c r="U1808" s="10">
        <f>data_redis_illX!I1642</f>
        <v>0</v>
      </c>
      <c r="V1808" s="10">
        <f>data_redis_illX!J1642</f>
        <v>0</v>
      </c>
      <c r="W1808" s="10">
        <f>data_redis_illX!K1642</f>
        <v>0</v>
      </c>
      <c r="X1808" s="10">
        <f>data_redis_illX!L1642</f>
        <v>3.0303030303030304E-2</v>
      </c>
      <c r="Y1808" s="5">
        <f t="shared" si="28"/>
        <v>3.0303030303030304E-2</v>
      </c>
    </row>
    <row r="1809" spans="13:25" x14ac:dyDescent="0.25">
      <c r="P1809" s="2" t="s">
        <v>35</v>
      </c>
      <c r="Q1809" s="10">
        <f>data_redis_illX!E1643</f>
        <v>0</v>
      </c>
      <c r="R1809" s="10">
        <f>data_redis_illX!F1643</f>
        <v>0</v>
      </c>
      <c r="S1809" s="10">
        <f>data_redis_illX!G1643</f>
        <v>0</v>
      </c>
      <c r="T1809" s="10">
        <f>data_redis_illX!H1643</f>
        <v>0</v>
      </c>
      <c r="U1809" s="10">
        <f>data_redis_illX!I1643</f>
        <v>5.8160082300023923</v>
      </c>
      <c r="V1809" s="10">
        <f>data_redis_illX!J1643</f>
        <v>0</v>
      </c>
      <c r="W1809" s="10">
        <f>data_redis_illX!K1643</f>
        <v>0</v>
      </c>
      <c r="X1809" s="10">
        <f>data_redis_illX!L1643</f>
        <v>3.0303030303030304E-2</v>
      </c>
      <c r="Y1809" s="5">
        <f t="shared" si="28"/>
        <v>5.8463112603054226</v>
      </c>
    </row>
    <row r="1810" spans="13:25" x14ac:dyDescent="0.25">
      <c r="P1810" s="2" t="s">
        <v>36</v>
      </c>
      <c r="Q1810" s="10">
        <f>data_redis_illX!E1644</f>
        <v>0</v>
      </c>
      <c r="R1810" s="10">
        <f>data_redis_illX!F1644</f>
        <v>0</v>
      </c>
      <c r="S1810" s="10">
        <f>data_redis_illX!G1644</f>
        <v>0</v>
      </c>
      <c r="T1810" s="10">
        <f>data_redis_illX!H1644</f>
        <v>0</v>
      </c>
      <c r="U1810" s="10">
        <f>data_redis_illX!I1644</f>
        <v>0</v>
      </c>
      <c r="V1810" s="10">
        <f>data_redis_illX!J1644</f>
        <v>0</v>
      </c>
      <c r="W1810" s="10">
        <f>data_redis_illX!K1644</f>
        <v>0</v>
      </c>
      <c r="X1810" s="10">
        <f>data_redis_illX!L1644</f>
        <v>3.0303030303030304E-2</v>
      </c>
      <c r="Y1810" s="5">
        <f t="shared" si="28"/>
        <v>3.0303030303030304E-2</v>
      </c>
    </row>
    <row r="1811" spans="13:25" x14ac:dyDescent="0.25">
      <c r="P1811" s="2" t="s">
        <v>37</v>
      </c>
      <c r="Q1811" s="10">
        <f>data_redis_illX!E1645</f>
        <v>0</v>
      </c>
      <c r="R1811" s="10">
        <f>data_redis_illX!F1645</f>
        <v>0</v>
      </c>
      <c r="S1811" s="10">
        <f>data_redis_illX!G1645</f>
        <v>0</v>
      </c>
      <c r="T1811" s="10">
        <f>data_redis_illX!H1645</f>
        <v>0</v>
      </c>
      <c r="U1811" s="10">
        <f>data_redis_illX!I1645</f>
        <v>0</v>
      </c>
      <c r="V1811" s="10">
        <f>data_redis_illX!J1645</f>
        <v>0</v>
      </c>
      <c r="W1811" s="10">
        <f>data_redis_illX!K1645</f>
        <v>0</v>
      </c>
      <c r="X1811" s="10">
        <f>data_redis_illX!L1645</f>
        <v>3.0303030303030304E-2</v>
      </c>
      <c r="Y1811" s="5">
        <f t="shared" si="28"/>
        <v>3.0303030303030304E-2</v>
      </c>
    </row>
    <row r="1812" spans="13:25" x14ac:dyDescent="0.25">
      <c r="P1812" s="2" t="s">
        <v>38</v>
      </c>
      <c r="Q1812" s="10">
        <f>data_redis_illX!E1646</f>
        <v>0</v>
      </c>
      <c r="R1812" s="10">
        <f>data_redis_illX!F1646</f>
        <v>0</v>
      </c>
      <c r="S1812" s="10">
        <f>data_redis_illX!G1646</f>
        <v>0</v>
      </c>
      <c r="T1812" s="10">
        <f>data_redis_illX!H1646</f>
        <v>0</v>
      </c>
      <c r="U1812" s="10">
        <f>data_redis_illX!I1646</f>
        <v>0</v>
      </c>
      <c r="V1812" s="10">
        <f>data_redis_illX!J1646</f>
        <v>0</v>
      </c>
      <c r="W1812" s="10">
        <f>data_redis_illX!K1646</f>
        <v>0</v>
      </c>
      <c r="X1812" s="10">
        <f>data_redis_illX!L1646</f>
        <v>3.0303030303030304E-2</v>
      </c>
      <c r="Y1812" s="5">
        <f t="shared" si="28"/>
        <v>3.0303030303030304E-2</v>
      </c>
    </row>
    <row r="1813" spans="13:25" x14ac:dyDescent="0.25">
      <c r="P1813" s="2" t="s">
        <v>39</v>
      </c>
      <c r="Q1813" s="10">
        <f>data_redis_illX!E1647</f>
        <v>0</v>
      </c>
      <c r="R1813" s="10">
        <f>data_redis_illX!F1647</f>
        <v>0</v>
      </c>
      <c r="S1813" s="10">
        <f>data_redis_illX!G1647</f>
        <v>0</v>
      </c>
      <c r="T1813" s="10">
        <f>data_redis_illX!H1647</f>
        <v>5.3057500968566824</v>
      </c>
      <c r="U1813" s="10">
        <f>data_redis_illX!I1647</f>
        <v>11.632016460004785</v>
      </c>
      <c r="V1813" s="10">
        <f>data_redis_illX!J1647</f>
        <v>0</v>
      </c>
      <c r="W1813" s="10">
        <f>data_redis_illX!K1647</f>
        <v>0</v>
      </c>
      <c r="X1813" s="10">
        <f>data_redis_illX!L1647</f>
        <v>3.0303030303030304E-2</v>
      </c>
      <c r="Y1813" s="5">
        <f t="shared" si="28"/>
        <v>16.9680695871645</v>
      </c>
    </row>
    <row r="1814" spans="13:25" x14ac:dyDescent="0.25">
      <c r="P1814" s="2" t="s">
        <v>40</v>
      </c>
      <c r="Q1814" s="10">
        <f>data_redis_illX!E1648</f>
        <v>0</v>
      </c>
      <c r="R1814" s="10">
        <f>data_redis_illX!F1648</f>
        <v>0</v>
      </c>
      <c r="S1814" s="10">
        <f>data_redis_illX!G1648</f>
        <v>0</v>
      </c>
      <c r="T1814" s="10">
        <f>data_redis_illX!H1648</f>
        <v>10.611500193713365</v>
      </c>
      <c r="U1814" s="10">
        <f>data_redis_illX!I1648</f>
        <v>23.264032920009569</v>
      </c>
      <c r="V1814" s="10">
        <f>data_redis_illX!J1648</f>
        <v>0</v>
      </c>
      <c r="W1814" s="10">
        <f>data_redis_illX!K1648</f>
        <v>0</v>
      </c>
      <c r="X1814" s="10">
        <f>data_redis_illX!L1648</f>
        <v>3.0303030303030304E-2</v>
      </c>
      <c r="Y1814" s="5">
        <f t="shared" si="28"/>
        <v>33.905836144025969</v>
      </c>
    </row>
    <row r="1815" spans="13:25" x14ac:dyDescent="0.25">
      <c r="P1815" s="2" t="s">
        <v>41</v>
      </c>
      <c r="Q1815" s="10">
        <f>data_redis_illX!E1649</f>
        <v>0</v>
      </c>
      <c r="R1815" s="10">
        <f>data_redis_illX!F1649</f>
        <v>0</v>
      </c>
      <c r="S1815" s="10">
        <f>data_redis_illX!G1649</f>
        <v>0</v>
      </c>
      <c r="T1815" s="10">
        <f>data_redis_illX!H1649</f>
        <v>15.917250290570047</v>
      </c>
      <c r="U1815" s="10">
        <f>data_redis_illX!I1649</f>
        <v>5.8160082300023923</v>
      </c>
      <c r="V1815" s="10">
        <f>data_redis_illX!J1649</f>
        <v>0</v>
      </c>
      <c r="W1815" s="10">
        <f>data_redis_illX!K1649</f>
        <v>0</v>
      </c>
      <c r="X1815" s="10">
        <f>data_redis_illX!L1649</f>
        <v>3.0303030303030304E-2</v>
      </c>
      <c r="Y1815" s="5">
        <f t="shared" si="28"/>
        <v>21.763561550875473</v>
      </c>
    </row>
    <row r="1816" spans="13:25" x14ac:dyDescent="0.25">
      <c r="P1816" s="2" t="s">
        <v>42</v>
      </c>
      <c r="Q1816" s="10">
        <f>data_redis_illX!E1650</f>
        <v>0</v>
      </c>
      <c r="R1816" s="10">
        <f>data_redis_illX!F1650</f>
        <v>0</v>
      </c>
      <c r="S1816" s="10">
        <f>data_redis_illX!G1650</f>
        <v>3.536942252385153</v>
      </c>
      <c r="T1816" s="10">
        <f>data_redis_illX!H1650</f>
        <v>21.22300038742673</v>
      </c>
      <c r="U1816" s="10">
        <f>data_redis_illX!I1650</f>
        <v>0</v>
      </c>
      <c r="V1816" s="10">
        <f>data_redis_illX!J1650</f>
        <v>0</v>
      </c>
      <c r="W1816" s="10">
        <f>data_redis_illX!K1650</f>
        <v>0</v>
      </c>
      <c r="X1816" s="10">
        <f>data_redis_illX!L1650</f>
        <v>3.0303030303030304E-2</v>
      </c>
      <c r="Y1816" s="5">
        <f t="shared" si="28"/>
        <v>24.790245670114913</v>
      </c>
    </row>
    <row r="1817" spans="13:25" x14ac:dyDescent="0.25">
      <c r="P1817" s="2" t="s">
        <v>43</v>
      </c>
      <c r="Q1817" s="10">
        <f>data_redis_illX!E1651</f>
        <v>0</v>
      </c>
      <c r="R1817" s="10">
        <f>data_redis_illX!F1651</f>
        <v>0</v>
      </c>
      <c r="S1817" s="10">
        <f>data_redis_illX!G1651</f>
        <v>60.128018290547601</v>
      </c>
      <c r="T1817" s="10">
        <f>data_redis_illX!H1651</f>
        <v>159.1725029057005</v>
      </c>
      <c r="U1817" s="10">
        <f>data_redis_illX!I1651</f>
        <v>139.58419752005739</v>
      </c>
      <c r="V1817" s="10">
        <f>data_redis_illX!J1651</f>
        <v>23.938659352629941</v>
      </c>
      <c r="W1817" s="10">
        <f>data_redis_illX!K1651</f>
        <v>0</v>
      </c>
      <c r="X1817" s="10">
        <f>data_redis_illX!L1651</f>
        <v>3.0303030303030304E-2</v>
      </c>
      <c r="Y1817" s="5">
        <f t="shared" si="28"/>
        <v>382.85368109923843</v>
      </c>
    </row>
    <row r="1818" spans="13:25" x14ac:dyDescent="0.25">
      <c r="P1818" s="2" t="s">
        <v>44</v>
      </c>
      <c r="Q1818" s="10">
        <f>data_redis_illX!E1652</f>
        <v>0</v>
      </c>
      <c r="R1818" s="10">
        <f>data_redis_illX!F1652</f>
        <v>0</v>
      </c>
      <c r="S1818" s="10">
        <f>data_redis_illX!G1652</f>
        <v>10.61082675715546</v>
      </c>
      <c r="T1818" s="10">
        <f>data_redis_illX!H1652</f>
        <v>21.22300038742673</v>
      </c>
      <c r="U1818" s="10">
        <f>data_redis_illX!I1652</f>
        <v>0</v>
      </c>
      <c r="V1818" s="10">
        <f>data_redis_illX!J1652</f>
        <v>5.9846648381574852</v>
      </c>
      <c r="W1818" s="10">
        <f>data_redis_illX!K1652</f>
        <v>0</v>
      </c>
      <c r="X1818" s="10">
        <f>data_redis_illX!L1652</f>
        <v>3.0303030303030304E-2</v>
      </c>
      <c r="Y1818" s="5">
        <f t="shared" si="28"/>
        <v>37.848795013042704</v>
      </c>
    </row>
    <row r="1819" spans="13:25" x14ac:dyDescent="0.25">
      <c r="M1819" t="s">
        <v>115</v>
      </c>
      <c r="N1819" t="s">
        <v>117</v>
      </c>
      <c r="O1819" t="s">
        <v>102</v>
      </c>
      <c r="P1819" s="2" t="s">
        <v>12</v>
      </c>
      <c r="Q1819" s="10"/>
      <c r="R1819" s="10"/>
      <c r="S1819" s="10"/>
      <c r="T1819" s="10"/>
      <c r="U1819" s="10"/>
      <c r="V1819" s="10"/>
      <c r="W1819" s="10"/>
      <c r="X1819" s="10"/>
      <c r="Y1819" s="5">
        <f t="shared" si="28"/>
        <v>0</v>
      </c>
    </row>
    <row r="1820" spans="13:25" x14ac:dyDescent="0.25">
      <c r="P1820" s="2" t="s">
        <v>13</v>
      </c>
      <c r="Q1820" s="10"/>
      <c r="R1820" s="10"/>
      <c r="S1820" s="10"/>
      <c r="T1820" s="10"/>
      <c r="U1820" s="10"/>
      <c r="V1820" s="10"/>
      <c r="W1820" s="10"/>
      <c r="X1820" s="10"/>
      <c r="Y1820" s="5">
        <f t="shared" si="28"/>
        <v>0</v>
      </c>
    </row>
    <row r="1821" spans="13:25" x14ac:dyDescent="0.25">
      <c r="P1821" s="2" t="s">
        <v>14</v>
      </c>
      <c r="Q1821" s="10"/>
      <c r="R1821" s="10"/>
      <c r="S1821" s="10"/>
      <c r="T1821" s="10"/>
      <c r="U1821" s="10"/>
      <c r="V1821" s="10"/>
      <c r="W1821" s="10"/>
      <c r="X1821" s="10"/>
      <c r="Y1821" s="5">
        <f t="shared" si="28"/>
        <v>0</v>
      </c>
    </row>
    <row r="1822" spans="13:25" x14ac:dyDescent="0.25">
      <c r="P1822" s="2" t="s">
        <v>15</v>
      </c>
      <c r="Q1822" s="10"/>
      <c r="R1822" s="10"/>
      <c r="S1822" s="10"/>
      <c r="T1822" s="10"/>
      <c r="U1822" s="10"/>
      <c r="V1822" s="10"/>
      <c r="W1822" s="10"/>
      <c r="X1822" s="10"/>
      <c r="Y1822" s="5">
        <f t="shared" si="28"/>
        <v>0</v>
      </c>
    </row>
    <row r="1823" spans="13:25" x14ac:dyDescent="0.25">
      <c r="P1823" s="2" t="s">
        <v>16</v>
      </c>
      <c r="Q1823" s="10"/>
      <c r="R1823" s="10"/>
      <c r="S1823" s="10"/>
      <c r="T1823" s="10"/>
      <c r="U1823" s="10"/>
      <c r="V1823" s="10"/>
      <c r="W1823" s="10"/>
      <c r="X1823" s="10"/>
      <c r="Y1823" s="5">
        <f t="shared" si="28"/>
        <v>0</v>
      </c>
    </row>
    <row r="1824" spans="13:25" x14ac:dyDescent="0.25">
      <c r="P1824" s="2" t="s">
        <v>17</v>
      </c>
      <c r="Q1824" s="10"/>
      <c r="R1824" s="10"/>
      <c r="S1824" s="10"/>
      <c r="T1824" s="10"/>
      <c r="U1824" s="10"/>
      <c r="V1824" s="10"/>
      <c r="W1824" s="10"/>
      <c r="X1824" s="10"/>
      <c r="Y1824" s="5">
        <f t="shared" si="28"/>
        <v>0</v>
      </c>
    </row>
    <row r="1825" spans="16:25" x14ac:dyDescent="0.25">
      <c r="P1825" s="2" t="s">
        <v>18</v>
      </c>
      <c r="Q1825" s="10"/>
      <c r="R1825" s="10"/>
      <c r="S1825" s="10"/>
      <c r="T1825" s="10"/>
      <c r="U1825" s="10"/>
      <c r="V1825" s="10"/>
      <c r="W1825" s="10"/>
      <c r="X1825" s="10"/>
      <c r="Y1825" s="5">
        <f t="shared" si="28"/>
        <v>0</v>
      </c>
    </row>
    <row r="1826" spans="16:25" x14ac:dyDescent="0.25">
      <c r="P1826" s="2" t="s">
        <v>19</v>
      </c>
      <c r="Q1826" s="10"/>
      <c r="R1826" s="10"/>
      <c r="S1826" s="10"/>
      <c r="T1826" s="10"/>
      <c r="U1826" s="10"/>
      <c r="V1826" s="10"/>
      <c r="W1826" s="10"/>
      <c r="X1826" s="10"/>
      <c r="Y1826" s="5">
        <f t="shared" si="28"/>
        <v>0</v>
      </c>
    </row>
    <row r="1827" spans="16:25" x14ac:dyDescent="0.25">
      <c r="P1827" s="2" t="s">
        <v>20</v>
      </c>
      <c r="Q1827" s="10"/>
      <c r="R1827" s="10"/>
      <c r="S1827" s="10"/>
      <c r="T1827" s="10"/>
      <c r="U1827" s="10"/>
      <c r="V1827" s="10"/>
      <c r="W1827" s="10"/>
      <c r="X1827" s="10"/>
      <c r="Y1827" s="5">
        <f t="shared" si="28"/>
        <v>0</v>
      </c>
    </row>
    <row r="1828" spans="16:25" x14ac:dyDescent="0.25">
      <c r="P1828" s="2" t="s">
        <v>21</v>
      </c>
      <c r="Q1828" s="10"/>
      <c r="R1828" s="10"/>
      <c r="S1828" s="10"/>
      <c r="T1828" s="10"/>
      <c r="U1828" s="10"/>
      <c r="V1828" s="10"/>
      <c r="W1828" s="10"/>
      <c r="X1828" s="10"/>
      <c r="Y1828" s="5">
        <f t="shared" si="28"/>
        <v>0</v>
      </c>
    </row>
    <row r="1829" spans="16:25" x14ac:dyDescent="0.25">
      <c r="P1829" s="2" t="s">
        <v>22</v>
      </c>
      <c r="Q1829" s="10"/>
      <c r="R1829" s="10"/>
      <c r="S1829" s="10"/>
      <c r="T1829" s="10"/>
      <c r="U1829" s="10"/>
      <c r="V1829" s="10"/>
      <c r="W1829" s="10"/>
      <c r="X1829" s="10"/>
      <c r="Y1829" s="5">
        <f t="shared" si="28"/>
        <v>0</v>
      </c>
    </row>
    <row r="1830" spans="16:25" x14ac:dyDescent="0.25">
      <c r="P1830" s="2" t="s">
        <v>23</v>
      </c>
      <c r="Q1830" s="10"/>
      <c r="R1830" s="10"/>
      <c r="S1830" s="10"/>
      <c r="T1830" s="10"/>
      <c r="U1830" s="10"/>
      <c r="V1830" s="10"/>
      <c r="W1830" s="10"/>
      <c r="X1830" s="10"/>
      <c r="Y1830" s="5">
        <f t="shared" si="28"/>
        <v>0</v>
      </c>
    </row>
    <row r="1831" spans="16:25" x14ac:dyDescent="0.25">
      <c r="P1831" s="2" t="s">
        <v>24</v>
      </c>
      <c r="Q1831" s="10"/>
      <c r="R1831" s="10"/>
      <c r="S1831" s="10"/>
      <c r="T1831" s="10"/>
      <c r="U1831" s="10"/>
      <c r="V1831" s="10"/>
      <c r="W1831" s="10"/>
      <c r="X1831" s="10"/>
      <c r="Y1831" s="5">
        <f t="shared" si="28"/>
        <v>0</v>
      </c>
    </row>
    <row r="1832" spans="16:25" x14ac:dyDescent="0.25">
      <c r="P1832" s="2" t="s">
        <v>25</v>
      </c>
      <c r="Q1832" s="10"/>
      <c r="R1832" s="10"/>
      <c r="S1832" s="10"/>
      <c r="T1832" s="10"/>
      <c r="U1832" s="10"/>
      <c r="V1832" s="10"/>
      <c r="W1832" s="10"/>
      <c r="X1832" s="10"/>
      <c r="Y1832" s="5">
        <f t="shared" si="28"/>
        <v>0</v>
      </c>
    </row>
    <row r="1833" spans="16:25" x14ac:dyDescent="0.25">
      <c r="P1833" s="2" t="s">
        <v>26</v>
      </c>
      <c r="Q1833" s="10"/>
      <c r="R1833" s="10"/>
      <c r="S1833" s="10"/>
      <c r="T1833" s="10"/>
      <c r="U1833" s="10"/>
      <c r="V1833" s="10"/>
      <c r="W1833" s="10"/>
      <c r="X1833" s="10"/>
      <c r="Y1833" s="5">
        <f t="shared" si="28"/>
        <v>0</v>
      </c>
    </row>
    <row r="1834" spans="16:25" x14ac:dyDescent="0.25">
      <c r="P1834" s="2" t="s">
        <v>27</v>
      </c>
      <c r="Q1834" s="10"/>
      <c r="R1834" s="10"/>
      <c r="S1834" s="10"/>
      <c r="T1834" s="10"/>
      <c r="U1834" s="10"/>
      <c r="V1834" s="10"/>
      <c r="W1834" s="10"/>
      <c r="X1834" s="10"/>
      <c r="Y1834" s="5">
        <f t="shared" si="28"/>
        <v>0</v>
      </c>
    </row>
    <row r="1835" spans="16:25" x14ac:dyDescent="0.25">
      <c r="P1835" s="2" t="s">
        <v>28</v>
      </c>
      <c r="Q1835" s="10"/>
      <c r="R1835" s="10"/>
      <c r="S1835" s="10"/>
      <c r="T1835" s="10"/>
      <c r="U1835" s="10"/>
      <c r="V1835" s="10"/>
      <c r="W1835" s="10"/>
      <c r="X1835" s="10"/>
      <c r="Y1835" s="5">
        <f t="shared" si="28"/>
        <v>0</v>
      </c>
    </row>
    <row r="1836" spans="16:25" x14ac:dyDescent="0.25">
      <c r="P1836" s="2" t="s">
        <v>29</v>
      </c>
      <c r="Q1836" s="10"/>
      <c r="R1836" s="10"/>
      <c r="S1836" s="10"/>
      <c r="T1836" s="10"/>
      <c r="U1836" s="10"/>
      <c r="V1836" s="10"/>
      <c r="W1836" s="10"/>
      <c r="X1836" s="10"/>
      <c r="Y1836" s="5">
        <f t="shared" si="28"/>
        <v>0</v>
      </c>
    </row>
    <row r="1837" spans="16:25" x14ac:dyDescent="0.25">
      <c r="P1837" s="2" t="s">
        <v>30</v>
      </c>
      <c r="Q1837" s="10"/>
      <c r="R1837" s="10"/>
      <c r="S1837" s="10"/>
      <c r="T1837" s="10"/>
      <c r="U1837" s="10"/>
      <c r="V1837" s="10"/>
      <c r="W1837" s="10"/>
      <c r="X1837" s="10"/>
      <c r="Y1837" s="5">
        <f t="shared" si="28"/>
        <v>0</v>
      </c>
    </row>
    <row r="1838" spans="16:25" x14ac:dyDescent="0.25">
      <c r="P1838" s="2" t="s">
        <v>31</v>
      </c>
      <c r="Q1838" s="10"/>
      <c r="R1838" s="10"/>
      <c r="S1838" s="10"/>
      <c r="T1838" s="10"/>
      <c r="U1838" s="10"/>
      <c r="V1838" s="10"/>
      <c r="W1838" s="10"/>
      <c r="X1838" s="10"/>
      <c r="Y1838" s="5">
        <f t="shared" si="28"/>
        <v>0</v>
      </c>
    </row>
    <row r="1839" spans="16:25" x14ac:dyDescent="0.25">
      <c r="P1839" s="2" t="s">
        <v>32</v>
      </c>
      <c r="Q1839" s="10"/>
      <c r="R1839" s="10"/>
      <c r="S1839" s="10"/>
      <c r="T1839" s="10"/>
      <c r="U1839" s="10"/>
      <c r="V1839" s="10"/>
      <c r="W1839" s="10"/>
      <c r="X1839" s="10"/>
      <c r="Y1839" s="5">
        <f t="shared" si="28"/>
        <v>0</v>
      </c>
    </row>
    <row r="1840" spans="16:25" x14ac:dyDescent="0.25">
      <c r="P1840" s="2" t="s">
        <v>33</v>
      </c>
      <c r="Q1840" s="10"/>
      <c r="R1840" s="10"/>
      <c r="S1840" s="10"/>
      <c r="T1840" s="10"/>
      <c r="U1840" s="10"/>
      <c r="V1840" s="10"/>
      <c r="W1840" s="10"/>
      <c r="X1840" s="10"/>
      <c r="Y1840" s="5">
        <f t="shared" si="28"/>
        <v>0</v>
      </c>
    </row>
    <row r="1841" spans="13:25" x14ac:dyDescent="0.25">
      <c r="P1841" s="2" t="s">
        <v>34</v>
      </c>
      <c r="Q1841" s="10"/>
      <c r="R1841" s="10"/>
      <c r="S1841" s="10"/>
      <c r="T1841" s="10"/>
      <c r="U1841" s="10"/>
      <c r="V1841" s="10"/>
      <c r="W1841" s="10"/>
      <c r="X1841" s="10"/>
      <c r="Y1841" s="5">
        <f t="shared" si="28"/>
        <v>0</v>
      </c>
    </row>
    <row r="1842" spans="13:25" x14ac:dyDescent="0.25">
      <c r="P1842" s="2" t="s">
        <v>35</v>
      </c>
      <c r="Q1842" s="10"/>
      <c r="R1842" s="10"/>
      <c r="S1842" s="10"/>
      <c r="T1842" s="10"/>
      <c r="U1842" s="10"/>
      <c r="V1842" s="10"/>
      <c r="W1842" s="10"/>
      <c r="X1842" s="10"/>
      <c r="Y1842" s="5">
        <f t="shared" si="28"/>
        <v>0</v>
      </c>
    </row>
    <row r="1843" spans="13:25" x14ac:dyDescent="0.25">
      <c r="P1843" s="2" t="s">
        <v>36</v>
      </c>
      <c r="Q1843" s="10"/>
      <c r="R1843" s="10"/>
      <c r="S1843" s="10"/>
      <c r="T1843" s="10"/>
      <c r="U1843" s="10"/>
      <c r="V1843" s="10"/>
      <c r="W1843" s="10"/>
      <c r="X1843" s="10"/>
      <c r="Y1843" s="5">
        <f t="shared" si="28"/>
        <v>0</v>
      </c>
    </row>
    <row r="1844" spans="13:25" x14ac:dyDescent="0.25">
      <c r="P1844" s="2" t="s">
        <v>37</v>
      </c>
      <c r="Q1844" s="10"/>
      <c r="R1844" s="10"/>
      <c r="S1844" s="10"/>
      <c r="T1844" s="10"/>
      <c r="U1844" s="10"/>
      <c r="V1844" s="10"/>
      <c r="W1844" s="10"/>
      <c r="X1844" s="10"/>
      <c r="Y1844" s="5">
        <f t="shared" si="28"/>
        <v>0</v>
      </c>
    </row>
    <row r="1845" spans="13:25" x14ac:dyDescent="0.25">
      <c r="P1845" s="2" t="s">
        <v>38</v>
      </c>
      <c r="Q1845" s="10"/>
      <c r="R1845" s="10"/>
      <c r="S1845" s="10"/>
      <c r="T1845" s="10"/>
      <c r="U1845" s="10"/>
      <c r="V1845" s="10"/>
      <c r="W1845" s="10"/>
      <c r="X1845" s="10"/>
      <c r="Y1845" s="5">
        <f t="shared" si="28"/>
        <v>0</v>
      </c>
    </row>
    <row r="1846" spans="13:25" x14ac:dyDescent="0.25">
      <c r="P1846" s="2" t="s">
        <v>39</v>
      </c>
      <c r="Q1846" s="10"/>
      <c r="R1846" s="10"/>
      <c r="S1846" s="10"/>
      <c r="T1846" s="10"/>
      <c r="U1846" s="10"/>
      <c r="V1846" s="10"/>
      <c r="W1846" s="10"/>
      <c r="X1846" s="10"/>
      <c r="Y1846" s="5">
        <f t="shared" si="28"/>
        <v>0</v>
      </c>
    </row>
    <row r="1847" spans="13:25" x14ac:dyDescent="0.25">
      <c r="P1847" s="2" t="s">
        <v>40</v>
      </c>
      <c r="Q1847" s="10"/>
      <c r="R1847" s="10"/>
      <c r="S1847" s="10"/>
      <c r="T1847" s="10"/>
      <c r="U1847" s="10"/>
      <c r="V1847" s="10"/>
      <c r="W1847" s="10"/>
      <c r="X1847" s="10"/>
      <c r="Y1847" s="5">
        <f t="shared" si="28"/>
        <v>0</v>
      </c>
    </row>
    <row r="1848" spans="13:25" x14ac:dyDescent="0.25">
      <c r="P1848" s="2" t="s">
        <v>41</v>
      </c>
      <c r="Q1848" s="10"/>
      <c r="R1848" s="10"/>
      <c r="S1848" s="10"/>
      <c r="T1848" s="10"/>
      <c r="U1848" s="10"/>
      <c r="V1848" s="10"/>
      <c r="W1848" s="10"/>
      <c r="X1848" s="10"/>
      <c r="Y1848" s="5">
        <f t="shared" si="28"/>
        <v>0</v>
      </c>
    </row>
    <row r="1849" spans="13:25" x14ac:dyDescent="0.25">
      <c r="P1849" s="2" t="s">
        <v>42</v>
      </c>
      <c r="Q1849" s="10"/>
      <c r="R1849" s="10"/>
      <c r="S1849" s="10"/>
      <c r="T1849" s="10"/>
      <c r="U1849" s="10"/>
      <c r="V1849" s="10"/>
      <c r="W1849" s="10"/>
      <c r="X1849" s="10"/>
      <c r="Y1849" s="5">
        <f t="shared" si="28"/>
        <v>0</v>
      </c>
    </row>
    <row r="1850" spans="13:25" x14ac:dyDescent="0.25">
      <c r="P1850" s="2" t="s">
        <v>43</v>
      </c>
      <c r="Q1850" s="10"/>
      <c r="R1850" s="10"/>
      <c r="S1850" s="10"/>
      <c r="T1850" s="10"/>
      <c r="U1850" s="10"/>
      <c r="V1850" s="10"/>
      <c r="W1850" s="10"/>
      <c r="X1850" s="10"/>
      <c r="Y1850" s="5">
        <f t="shared" si="28"/>
        <v>0</v>
      </c>
    </row>
    <row r="1851" spans="13:25" x14ac:dyDescent="0.25">
      <c r="P1851" s="2" t="s">
        <v>44</v>
      </c>
      <c r="Q1851" s="10"/>
      <c r="R1851" s="10"/>
      <c r="S1851" s="10"/>
      <c r="T1851" s="10"/>
      <c r="U1851" s="10"/>
      <c r="V1851" s="10"/>
      <c r="W1851" s="10"/>
      <c r="X1851" s="10"/>
      <c r="Y1851" s="5">
        <f t="shared" si="28"/>
        <v>0</v>
      </c>
    </row>
    <row r="1852" spans="13:25" x14ac:dyDescent="0.25">
      <c r="M1852" t="s">
        <v>115</v>
      </c>
      <c r="N1852" t="s">
        <v>117</v>
      </c>
      <c r="O1852" t="s">
        <v>45</v>
      </c>
      <c r="P1852" s="2" t="s">
        <v>12</v>
      </c>
      <c r="Q1852" s="10">
        <f>data_redis_illX!E1653</f>
        <v>0</v>
      </c>
      <c r="R1852" s="10">
        <f>data_redis_illX!F1653</f>
        <v>0</v>
      </c>
      <c r="S1852" s="10">
        <f>data_redis_illX!G1653</f>
        <v>0</v>
      </c>
      <c r="T1852" s="10">
        <f>data_redis_illX!H1653</f>
        <v>0</v>
      </c>
      <c r="U1852" s="10">
        <f>data_redis_illX!I1653</f>
        <v>0</v>
      </c>
      <c r="V1852" s="10">
        <f>data_redis_illX!J1653</f>
        <v>0</v>
      </c>
      <c r="W1852" s="10">
        <f>data_redis_illX!K1653</f>
        <v>0</v>
      </c>
      <c r="X1852" s="10">
        <f>data_redis_illX!L1653</f>
        <v>0</v>
      </c>
      <c r="Y1852" s="5">
        <f t="shared" si="28"/>
        <v>0</v>
      </c>
    </row>
    <row r="1853" spans="13:25" x14ac:dyDescent="0.25">
      <c r="P1853" s="2" t="s">
        <v>13</v>
      </c>
      <c r="Q1853" s="10">
        <f>data_redis_illX!E1654</f>
        <v>0</v>
      </c>
      <c r="R1853" s="10">
        <f>data_redis_illX!F1654</f>
        <v>0</v>
      </c>
      <c r="S1853" s="10">
        <f>data_redis_illX!G1654</f>
        <v>0</v>
      </c>
      <c r="T1853" s="10">
        <f>data_redis_illX!H1654</f>
        <v>0</v>
      </c>
      <c r="U1853" s="10">
        <f>data_redis_illX!I1654</f>
        <v>0</v>
      </c>
      <c r="V1853" s="10">
        <f>data_redis_illX!J1654</f>
        <v>0</v>
      </c>
      <c r="W1853" s="10">
        <f>data_redis_illX!K1654</f>
        <v>0</v>
      </c>
      <c r="X1853" s="10">
        <f>data_redis_illX!L1654</f>
        <v>0</v>
      </c>
      <c r="Y1853" s="5">
        <f t="shared" si="28"/>
        <v>0</v>
      </c>
    </row>
    <row r="1854" spans="13:25" x14ac:dyDescent="0.25">
      <c r="P1854" s="2" t="s">
        <v>14</v>
      </c>
      <c r="Q1854" s="10">
        <f>data_redis_illX!E1655</f>
        <v>0</v>
      </c>
      <c r="R1854" s="10">
        <f>data_redis_illX!F1655</f>
        <v>0</v>
      </c>
      <c r="S1854" s="10">
        <f>data_redis_illX!G1655</f>
        <v>0</v>
      </c>
      <c r="T1854" s="10">
        <f>data_redis_illX!H1655</f>
        <v>0</v>
      </c>
      <c r="U1854" s="10">
        <f>data_redis_illX!I1655</f>
        <v>0</v>
      </c>
      <c r="V1854" s="10">
        <f>data_redis_illX!J1655</f>
        <v>0</v>
      </c>
      <c r="W1854" s="10">
        <f>data_redis_illX!K1655</f>
        <v>0</v>
      </c>
      <c r="X1854" s="10">
        <f>data_redis_illX!L1655</f>
        <v>0</v>
      </c>
      <c r="Y1854" s="5">
        <f t="shared" si="28"/>
        <v>0</v>
      </c>
    </row>
    <row r="1855" spans="13:25" x14ac:dyDescent="0.25">
      <c r="P1855" s="2" t="s">
        <v>15</v>
      </c>
      <c r="Q1855" s="10">
        <f>data_redis_illX!E1656</f>
        <v>0</v>
      </c>
      <c r="R1855" s="10">
        <f>data_redis_illX!F1656</f>
        <v>0</v>
      </c>
      <c r="S1855" s="10">
        <f>data_redis_illX!G1656</f>
        <v>0</v>
      </c>
      <c r="T1855" s="10">
        <f>data_redis_illX!H1656</f>
        <v>0</v>
      </c>
      <c r="U1855" s="10">
        <f>data_redis_illX!I1656</f>
        <v>0</v>
      </c>
      <c r="V1855" s="10">
        <f>data_redis_illX!J1656</f>
        <v>0</v>
      </c>
      <c r="W1855" s="10">
        <f>data_redis_illX!K1656</f>
        <v>0</v>
      </c>
      <c r="X1855" s="10">
        <f>data_redis_illX!L1656</f>
        <v>0</v>
      </c>
      <c r="Y1855" s="5">
        <f t="shared" si="28"/>
        <v>0</v>
      </c>
    </row>
    <row r="1856" spans="13:25" x14ac:dyDescent="0.25">
      <c r="P1856" s="2" t="s">
        <v>16</v>
      </c>
      <c r="Q1856" s="10">
        <f>data_redis_illX!E1657</f>
        <v>0</v>
      </c>
      <c r="R1856" s="10">
        <f>data_redis_illX!F1657</f>
        <v>0</v>
      </c>
      <c r="S1856" s="10">
        <f>data_redis_illX!G1657</f>
        <v>0</v>
      </c>
      <c r="T1856" s="10">
        <f>data_redis_illX!H1657</f>
        <v>0</v>
      </c>
      <c r="U1856" s="10">
        <f>data_redis_illX!I1657</f>
        <v>0</v>
      </c>
      <c r="V1856" s="10">
        <f>data_redis_illX!J1657</f>
        <v>0</v>
      </c>
      <c r="W1856" s="10">
        <f>data_redis_illX!K1657</f>
        <v>0</v>
      </c>
      <c r="X1856" s="10">
        <f>data_redis_illX!L1657</f>
        <v>0</v>
      </c>
      <c r="Y1856" s="5">
        <f t="shared" si="28"/>
        <v>0</v>
      </c>
    </row>
    <row r="1857" spans="16:25" x14ac:dyDescent="0.25">
      <c r="P1857" s="2" t="s">
        <v>17</v>
      </c>
      <c r="Q1857" s="10">
        <f>data_redis_illX!E1658</f>
        <v>0</v>
      </c>
      <c r="R1857" s="10">
        <f>data_redis_illX!F1658</f>
        <v>0</v>
      </c>
      <c r="S1857" s="10">
        <f>data_redis_illX!G1658</f>
        <v>0</v>
      </c>
      <c r="T1857" s="10">
        <f>data_redis_illX!H1658</f>
        <v>0</v>
      </c>
      <c r="U1857" s="10">
        <f>data_redis_illX!I1658</f>
        <v>0</v>
      </c>
      <c r="V1857" s="10">
        <f>data_redis_illX!J1658</f>
        <v>0</v>
      </c>
      <c r="W1857" s="10">
        <f>data_redis_illX!K1658</f>
        <v>0</v>
      </c>
      <c r="X1857" s="10">
        <f>data_redis_illX!L1658</f>
        <v>0</v>
      </c>
      <c r="Y1857" s="5">
        <f t="shared" si="28"/>
        <v>0</v>
      </c>
    </row>
    <row r="1858" spans="16:25" x14ac:dyDescent="0.25">
      <c r="P1858" s="2" t="s">
        <v>18</v>
      </c>
      <c r="Q1858" s="10">
        <f>data_redis_illX!E1659</f>
        <v>0</v>
      </c>
      <c r="R1858" s="10">
        <f>data_redis_illX!F1659</f>
        <v>0</v>
      </c>
      <c r="S1858" s="10">
        <f>data_redis_illX!G1659</f>
        <v>0</v>
      </c>
      <c r="T1858" s="10">
        <f>data_redis_illX!H1659</f>
        <v>0</v>
      </c>
      <c r="U1858" s="10">
        <f>data_redis_illX!I1659</f>
        <v>0</v>
      </c>
      <c r="V1858" s="10">
        <f>data_redis_illX!J1659</f>
        <v>0</v>
      </c>
      <c r="W1858" s="10">
        <f>data_redis_illX!K1659</f>
        <v>0</v>
      </c>
      <c r="X1858" s="10">
        <f>data_redis_illX!L1659</f>
        <v>0</v>
      </c>
      <c r="Y1858" s="5">
        <f t="shared" si="28"/>
        <v>0</v>
      </c>
    </row>
    <row r="1859" spans="16:25" x14ac:dyDescent="0.25">
      <c r="P1859" s="2" t="s">
        <v>19</v>
      </c>
      <c r="Q1859" s="10">
        <f>data_redis_illX!E1660</f>
        <v>0</v>
      </c>
      <c r="R1859" s="10">
        <f>data_redis_illX!F1660</f>
        <v>0</v>
      </c>
      <c r="S1859" s="10">
        <f>data_redis_illX!G1660</f>
        <v>0</v>
      </c>
      <c r="T1859" s="10">
        <f>data_redis_illX!H1660</f>
        <v>0</v>
      </c>
      <c r="U1859" s="10">
        <f>data_redis_illX!I1660</f>
        <v>0</v>
      </c>
      <c r="V1859" s="10">
        <f>data_redis_illX!J1660</f>
        <v>0</v>
      </c>
      <c r="W1859" s="10">
        <f>data_redis_illX!K1660</f>
        <v>0</v>
      </c>
      <c r="X1859" s="10">
        <f>data_redis_illX!L1660</f>
        <v>0</v>
      </c>
      <c r="Y1859" s="5">
        <f t="shared" si="28"/>
        <v>0</v>
      </c>
    </row>
    <row r="1860" spans="16:25" x14ac:dyDescent="0.25">
      <c r="P1860" s="2" t="s">
        <v>20</v>
      </c>
      <c r="Q1860" s="10">
        <f>data_redis_illX!E1661</f>
        <v>0</v>
      </c>
      <c r="R1860" s="10">
        <f>data_redis_illX!F1661</f>
        <v>0</v>
      </c>
      <c r="S1860" s="10">
        <f>data_redis_illX!G1661</f>
        <v>0</v>
      </c>
      <c r="T1860" s="10">
        <f>data_redis_illX!H1661</f>
        <v>0</v>
      </c>
      <c r="U1860" s="10">
        <f>data_redis_illX!I1661</f>
        <v>0</v>
      </c>
      <c r="V1860" s="10">
        <f>data_redis_illX!J1661</f>
        <v>0</v>
      </c>
      <c r="W1860" s="10">
        <f>data_redis_illX!K1661</f>
        <v>0</v>
      </c>
      <c r="X1860" s="10">
        <f>data_redis_illX!L1661</f>
        <v>0</v>
      </c>
      <c r="Y1860" s="5">
        <f t="shared" si="28"/>
        <v>0</v>
      </c>
    </row>
    <row r="1861" spans="16:25" x14ac:dyDescent="0.25">
      <c r="P1861" s="2" t="s">
        <v>21</v>
      </c>
      <c r="Q1861" s="10">
        <f>data_redis_illX!E1662</f>
        <v>0</v>
      </c>
      <c r="R1861" s="10">
        <f>data_redis_illX!F1662</f>
        <v>0</v>
      </c>
      <c r="S1861" s="10">
        <f>data_redis_illX!G1662</f>
        <v>0</v>
      </c>
      <c r="T1861" s="10">
        <f>data_redis_illX!H1662</f>
        <v>0</v>
      </c>
      <c r="U1861" s="10">
        <f>data_redis_illX!I1662</f>
        <v>0</v>
      </c>
      <c r="V1861" s="10">
        <f>data_redis_illX!J1662</f>
        <v>0</v>
      </c>
      <c r="W1861" s="10">
        <f>data_redis_illX!K1662</f>
        <v>0</v>
      </c>
      <c r="X1861" s="10">
        <f>data_redis_illX!L1662</f>
        <v>0</v>
      </c>
      <c r="Y1861" s="5">
        <f t="shared" ref="Y1861:Y1924" si="29">SUM(Q1861:X1861)</f>
        <v>0</v>
      </c>
    </row>
    <row r="1862" spans="16:25" x14ac:dyDescent="0.25">
      <c r="P1862" s="2" t="s">
        <v>22</v>
      </c>
      <c r="Q1862" s="10">
        <f>data_redis_illX!E1663</f>
        <v>0</v>
      </c>
      <c r="R1862" s="10">
        <f>data_redis_illX!F1663</f>
        <v>0</v>
      </c>
      <c r="S1862" s="10">
        <f>data_redis_illX!G1663</f>
        <v>0</v>
      </c>
      <c r="T1862" s="10">
        <f>data_redis_illX!H1663</f>
        <v>0</v>
      </c>
      <c r="U1862" s="10">
        <f>data_redis_illX!I1663</f>
        <v>0</v>
      </c>
      <c r="V1862" s="10">
        <f>data_redis_illX!J1663</f>
        <v>0</v>
      </c>
      <c r="W1862" s="10">
        <f>data_redis_illX!K1663</f>
        <v>0</v>
      </c>
      <c r="X1862" s="10">
        <f>data_redis_illX!L1663</f>
        <v>0</v>
      </c>
      <c r="Y1862" s="5">
        <f t="shared" si="29"/>
        <v>0</v>
      </c>
    </row>
    <row r="1863" spans="16:25" x14ac:dyDescent="0.25">
      <c r="P1863" s="2" t="s">
        <v>23</v>
      </c>
      <c r="Q1863" s="10">
        <f>data_redis_illX!E1664</f>
        <v>0</v>
      </c>
      <c r="R1863" s="10">
        <f>data_redis_illX!F1664</f>
        <v>0</v>
      </c>
      <c r="S1863" s="10">
        <f>data_redis_illX!G1664</f>
        <v>0</v>
      </c>
      <c r="T1863" s="10">
        <f>data_redis_illX!H1664</f>
        <v>0</v>
      </c>
      <c r="U1863" s="10">
        <f>data_redis_illX!I1664</f>
        <v>0</v>
      </c>
      <c r="V1863" s="10">
        <f>data_redis_illX!J1664</f>
        <v>0</v>
      </c>
      <c r="W1863" s="10">
        <f>data_redis_illX!K1664</f>
        <v>0</v>
      </c>
      <c r="X1863" s="10">
        <f>data_redis_illX!L1664</f>
        <v>0</v>
      </c>
      <c r="Y1863" s="5">
        <f t="shared" si="29"/>
        <v>0</v>
      </c>
    </row>
    <row r="1864" spans="16:25" x14ac:dyDescent="0.25">
      <c r="P1864" s="2" t="s">
        <v>24</v>
      </c>
      <c r="Q1864" s="10">
        <f>data_redis_illX!E1665</f>
        <v>0</v>
      </c>
      <c r="R1864" s="10">
        <f>data_redis_illX!F1665</f>
        <v>0</v>
      </c>
      <c r="S1864" s="10">
        <f>data_redis_illX!G1665</f>
        <v>0</v>
      </c>
      <c r="T1864" s="10">
        <f>data_redis_illX!H1665</f>
        <v>0</v>
      </c>
      <c r="U1864" s="10">
        <f>data_redis_illX!I1665</f>
        <v>0</v>
      </c>
      <c r="V1864" s="10">
        <f>data_redis_illX!J1665</f>
        <v>0</v>
      </c>
      <c r="W1864" s="10">
        <f>data_redis_illX!K1665</f>
        <v>0</v>
      </c>
      <c r="X1864" s="10">
        <f>data_redis_illX!L1665</f>
        <v>0</v>
      </c>
      <c r="Y1864" s="5">
        <f t="shared" si="29"/>
        <v>0</v>
      </c>
    </row>
    <row r="1865" spans="16:25" x14ac:dyDescent="0.25">
      <c r="P1865" s="2" t="s">
        <v>25</v>
      </c>
      <c r="Q1865" s="10">
        <f>data_redis_illX!E1666</f>
        <v>0</v>
      </c>
      <c r="R1865" s="10">
        <f>data_redis_illX!F1666</f>
        <v>0</v>
      </c>
      <c r="S1865" s="10">
        <f>data_redis_illX!G1666</f>
        <v>0</v>
      </c>
      <c r="T1865" s="10">
        <f>data_redis_illX!H1666</f>
        <v>0</v>
      </c>
      <c r="U1865" s="10">
        <f>data_redis_illX!I1666</f>
        <v>0</v>
      </c>
      <c r="V1865" s="10">
        <f>data_redis_illX!J1666</f>
        <v>0</v>
      </c>
      <c r="W1865" s="10">
        <f>data_redis_illX!K1666</f>
        <v>0</v>
      </c>
      <c r="X1865" s="10">
        <f>data_redis_illX!L1666</f>
        <v>0</v>
      </c>
      <c r="Y1865" s="5">
        <f t="shared" si="29"/>
        <v>0</v>
      </c>
    </row>
    <row r="1866" spans="16:25" x14ac:dyDescent="0.25">
      <c r="P1866" s="2" t="s">
        <v>26</v>
      </c>
      <c r="Q1866" s="10">
        <f>data_redis_illX!E1667</f>
        <v>0</v>
      </c>
      <c r="R1866" s="10">
        <f>data_redis_illX!F1667</f>
        <v>0</v>
      </c>
      <c r="S1866" s="10">
        <f>data_redis_illX!G1667</f>
        <v>0</v>
      </c>
      <c r="T1866" s="10">
        <f>data_redis_illX!H1667</f>
        <v>0</v>
      </c>
      <c r="U1866" s="10">
        <f>data_redis_illX!I1667</f>
        <v>0</v>
      </c>
      <c r="V1866" s="10">
        <f>data_redis_illX!J1667</f>
        <v>0</v>
      </c>
      <c r="W1866" s="10">
        <f>data_redis_illX!K1667</f>
        <v>0</v>
      </c>
      <c r="X1866" s="10">
        <f>data_redis_illX!L1667</f>
        <v>0</v>
      </c>
      <c r="Y1866" s="5">
        <f t="shared" si="29"/>
        <v>0</v>
      </c>
    </row>
    <row r="1867" spans="16:25" x14ac:dyDescent="0.25">
      <c r="P1867" s="2" t="s">
        <v>27</v>
      </c>
      <c r="Q1867" s="10">
        <f>data_redis_illX!E1668</f>
        <v>0</v>
      </c>
      <c r="R1867" s="10">
        <f>data_redis_illX!F1668</f>
        <v>0</v>
      </c>
      <c r="S1867" s="10">
        <f>data_redis_illX!G1668</f>
        <v>0</v>
      </c>
      <c r="T1867" s="10">
        <f>data_redis_illX!H1668</f>
        <v>0</v>
      </c>
      <c r="U1867" s="10">
        <f>data_redis_illX!I1668</f>
        <v>0</v>
      </c>
      <c r="V1867" s="10">
        <f>data_redis_illX!J1668</f>
        <v>0</v>
      </c>
      <c r="W1867" s="10">
        <f>data_redis_illX!K1668</f>
        <v>0</v>
      </c>
      <c r="X1867" s="10">
        <f>data_redis_illX!L1668</f>
        <v>0</v>
      </c>
      <c r="Y1867" s="5">
        <f t="shared" si="29"/>
        <v>0</v>
      </c>
    </row>
    <row r="1868" spans="16:25" x14ac:dyDescent="0.25">
      <c r="P1868" s="2" t="s">
        <v>28</v>
      </c>
      <c r="Q1868" s="10">
        <f>data_redis_illX!E1669</f>
        <v>0</v>
      </c>
      <c r="R1868" s="10">
        <f>data_redis_illX!F1669</f>
        <v>0</v>
      </c>
      <c r="S1868" s="10">
        <f>data_redis_illX!G1669</f>
        <v>0</v>
      </c>
      <c r="T1868" s="10">
        <f>data_redis_illX!H1669</f>
        <v>0</v>
      </c>
      <c r="U1868" s="10">
        <f>data_redis_illX!I1669</f>
        <v>0</v>
      </c>
      <c r="V1868" s="10">
        <f>data_redis_illX!J1669</f>
        <v>0</v>
      </c>
      <c r="W1868" s="10">
        <f>data_redis_illX!K1669</f>
        <v>0</v>
      </c>
      <c r="X1868" s="10">
        <f>data_redis_illX!L1669</f>
        <v>0</v>
      </c>
      <c r="Y1868" s="5">
        <f t="shared" si="29"/>
        <v>0</v>
      </c>
    </row>
    <row r="1869" spans="16:25" x14ac:dyDescent="0.25">
      <c r="P1869" s="2" t="s">
        <v>29</v>
      </c>
      <c r="Q1869" s="10">
        <f>data_redis_illX!E1670</f>
        <v>0</v>
      </c>
      <c r="R1869" s="10">
        <f>data_redis_illX!F1670</f>
        <v>0</v>
      </c>
      <c r="S1869" s="10">
        <f>data_redis_illX!G1670</f>
        <v>0</v>
      </c>
      <c r="T1869" s="10">
        <f>data_redis_illX!H1670</f>
        <v>0</v>
      </c>
      <c r="U1869" s="10">
        <f>data_redis_illX!I1670</f>
        <v>0</v>
      </c>
      <c r="V1869" s="10">
        <f>data_redis_illX!J1670</f>
        <v>0</v>
      </c>
      <c r="W1869" s="10">
        <f>data_redis_illX!K1670</f>
        <v>0</v>
      </c>
      <c r="X1869" s="10">
        <f>data_redis_illX!L1670</f>
        <v>0</v>
      </c>
      <c r="Y1869" s="5">
        <f t="shared" si="29"/>
        <v>0</v>
      </c>
    </row>
    <row r="1870" spans="16:25" x14ac:dyDescent="0.25">
      <c r="P1870" s="2" t="s">
        <v>30</v>
      </c>
      <c r="Q1870" s="10">
        <f>data_redis_illX!E1671</f>
        <v>0</v>
      </c>
      <c r="R1870" s="10">
        <f>data_redis_illX!F1671</f>
        <v>0</v>
      </c>
      <c r="S1870" s="10">
        <f>data_redis_illX!G1671</f>
        <v>0</v>
      </c>
      <c r="T1870" s="10">
        <f>data_redis_illX!H1671</f>
        <v>1.0025462442896727</v>
      </c>
      <c r="U1870" s="10">
        <f>data_redis_illX!I1671</f>
        <v>0</v>
      </c>
      <c r="V1870" s="10">
        <f>data_redis_illX!J1671</f>
        <v>0</v>
      </c>
      <c r="W1870" s="10">
        <f>data_redis_illX!K1671</f>
        <v>0</v>
      </c>
      <c r="X1870" s="10">
        <f>data_redis_illX!L1671</f>
        <v>0</v>
      </c>
      <c r="Y1870" s="5">
        <f t="shared" si="29"/>
        <v>1.0025462442896727</v>
      </c>
    </row>
    <row r="1871" spans="16:25" x14ac:dyDescent="0.25">
      <c r="P1871" s="2" t="s">
        <v>31</v>
      </c>
      <c r="Q1871" s="10">
        <f>data_redis_illX!E1672</f>
        <v>0</v>
      </c>
      <c r="R1871" s="10">
        <f>data_redis_illX!F1672</f>
        <v>0</v>
      </c>
      <c r="S1871" s="10">
        <f>data_redis_illX!G1672</f>
        <v>0</v>
      </c>
      <c r="T1871" s="10">
        <f>data_redis_illX!H1672</f>
        <v>0</v>
      </c>
      <c r="U1871" s="10">
        <f>data_redis_illX!I1672</f>
        <v>0</v>
      </c>
      <c r="V1871" s="10">
        <f>data_redis_illX!J1672</f>
        <v>0</v>
      </c>
      <c r="W1871" s="10">
        <f>data_redis_illX!K1672</f>
        <v>0</v>
      </c>
      <c r="X1871" s="10">
        <f>data_redis_illX!L1672</f>
        <v>0</v>
      </c>
      <c r="Y1871" s="5">
        <f t="shared" si="29"/>
        <v>0</v>
      </c>
    </row>
    <row r="1872" spans="16:25" x14ac:dyDescent="0.25">
      <c r="P1872" s="2" t="s">
        <v>32</v>
      </c>
      <c r="Q1872" s="10">
        <f>data_redis_illX!E1673</f>
        <v>0</v>
      </c>
      <c r="R1872" s="10">
        <f>data_redis_illX!F1673</f>
        <v>0</v>
      </c>
      <c r="S1872" s="10">
        <f>data_redis_illX!G1673</f>
        <v>0</v>
      </c>
      <c r="T1872" s="10">
        <f>data_redis_illX!H1673</f>
        <v>0</v>
      </c>
      <c r="U1872" s="10">
        <f>data_redis_illX!I1673</f>
        <v>0</v>
      </c>
      <c r="V1872" s="10">
        <f>data_redis_illX!J1673</f>
        <v>0</v>
      </c>
      <c r="W1872" s="10">
        <f>data_redis_illX!K1673</f>
        <v>0</v>
      </c>
      <c r="X1872" s="10">
        <f>data_redis_illX!L1673</f>
        <v>0</v>
      </c>
      <c r="Y1872" s="5">
        <f t="shared" si="29"/>
        <v>0</v>
      </c>
    </row>
    <row r="1873" spans="13:25" x14ac:dyDescent="0.25">
      <c r="P1873" s="2" t="s">
        <v>33</v>
      </c>
      <c r="Q1873" s="10">
        <f>data_redis_illX!E1674</f>
        <v>0</v>
      </c>
      <c r="R1873" s="10">
        <f>data_redis_illX!F1674</f>
        <v>0</v>
      </c>
      <c r="S1873" s="10">
        <f>data_redis_illX!G1674</f>
        <v>0</v>
      </c>
      <c r="T1873" s="10">
        <f>data_redis_illX!H1674</f>
        <v>0</v>
      </c>
      <c r="U1873" s="10">
        <f>data_redis_illX!I1674</f>
        <v>0</v>
      </c>
      <c r="V1873" s="10">
        <f>data_redis_illX!J1674</f>
        <v>0</v>
      </c>
      <c r="W1873" s="10">
        <f>data_redis_illX!K1674</f>
        <v>0</v>
      </c>
      <c r="X1873" s="10">
        <f>data_redis_illX!L1674</f>
        <v>0</v>
      </c>
      <c r="Y1873" s="5">
        <f t="shared" si="29"/>
        <v>0</v>
      </c>
    </row>
    <row r="1874" spans="13:25" x14ac:dyDescent="0.25">
      <c r="P1874" s="2" t="s">
        <v>34</v>
      </c>
      <c r="Q1874" s="10">
        <f>data_redis_illX!E1675</f>
        <v>0</v>
      </c>
      <c r="R1874" s="10">
        <f>data_redis_illX!F1675</f>
        <v>0</v>
      </c>
      <c r="S1874" s="10">
        <f>data_redis_illX!G1675</f>
        <v>0</v>
      </c>
      <c r="T1874" s="10">
        <f>data_redis_illX!H1675</f>
        <v>0</v>
      </c>
      <c r="U1874" s="10">
        <f>data_redis_illX!I1675</f>
        <v>0</v>
      </c>
      <c r="V1874" s="10">
        <f>data_redis_illX!J1675</f>
        <v>0</v>
      </c>
      <c r="W1874" s="10">
        <f>data_redis_illX!K1675</f>
        <v>0</v>
      </c>
      <c r="X1874" s="10">
        <f>data_redis_illX!L1675</f>
        <v>0</v>
      </c>
      <c r="Y1874" s="5">
        <f t="shared" si="29"/>
        <v>0</v>
      </c>
    </row>
    <row r="1875" spans="13:25" x14ac:dyDescent="0.25">
      <c r="P1875" s="2" t="s">
        <v>35</v>
      </c>
      <c r="Q1875" s="10">
        <f>data_redis_illX!E1676</f>
        <v>0</v>
      </c>
      <c r="R1875" s="10">
        <f>data_redis_illX!F1676</f>
        <v>0</v>
      </c>
      <c r="S1875" s="10">
        <f>data_redis_illX!G1676</f>
        <v>0</v>
      </c>
      <c r="T1875" s="10">
        <f>data_redis_illX!H1676</f>
        <v>0</v>
      </c>
      <c r="U1875" s="10">
        <f>data_redis_illX!I1676</f>
        <v>0</v>
      </c>
      <c r="V1875" s="10">
        <f>data_redis_illX!J1676</f>
        <v>0</v>
      </c>
      <c r="W1875" s="10">
        <f>data_redis_illX!K1676</f>
        <v>0</v>
      </c>
      <c r="X1875" s="10">
        <f>data_redis_illX!L1676</f>
        <v>0</v>
      </c>
      <c r="Y1875" s="5">
        <f t="shared" si="29"/>
        <v>0</v>
      </c>
    </row>
    <row r="1876" spans="13:25" x14ac:dyDescent="0.25">
      <c r="P1876" s="2" t="s">
        <v>36</v>
      </c>
      <c r="Q1876" s="10">
        <f>data_redis_illX!E1677</f>
        <v>0</v>
      </c>
      <c r="R1876" s="10">
        <f>data_redis_illX!F1677</f>
        <v>0</v>
      </c>
      <c r="S1876" s="10">
        <f>data_redis_illX!G1677</f>
        <v>0</v>
      </c>
      <c r="T1876" s="10">
        <f>data_redis_illX!H1677</f>
        <v>0</v>
      </c>
      <c r="U1876" s="10">
        <f>data_redis_illX!I1677</f>
        <v>0</v>
      </c>
      <c r="V1876" s="10">
        <f>data_redis_illX!J1677</f>
        <v>0</v>
      </c>
      <c r="W1876" s="10">
        <f>data_redis_illX!K1677</f>
        <v>0</v>
      </c>
      <c r="X1876" s="10">
        <f>data_redis_illX!L1677</f>
        <v>0</v>
      </c>
      <c r="Y1876" s="5">
        <f t="shared" si="29"/>
        <v>0</v>
      </c>
    </row>
    <row r="1877" spans="13:25" x14ac:dyDescent="0.25">
      <c r="P1877" s="2" t="s">
        <v>37</v>
      </c>
      <c r="Q1877" s="10">
        <f>data_redis_illX!E1678</f>
        <v>0</v>
      </c>
      <c r="R1877" s="10">
        <f>data_redis_illX!F1678</f>
        <v>0</v>
      </c>
      <c r="S1877" s="10">
        <f>data_redis_illX!G1678</f>
        <v>0</v>
      </c>
      <c r="T1877" s="10">
        <f>data_redis_illX!H1678</f>
        <v>0</v>
      </c>
      <c r="U1877" s="10">
        <f>data_redis_illX!I1678</f>
        <v>0</v>
      </c>
      <c r="V1877" s="10">
        <f>data_redis_illX!J1678</f>
        <v>0</v>
      </c>
      <c r="W1877" s="10">
        <f>data_redis_illX!K1678</f>
        <v>0</v>
      </c>
      <c r="X1877" s="10">
        <f>data_redis_illX!L1678</f>
        <v>0</v>
      </c>
      <c r="Y1877" s="5">
        <f t="shared" si="29"/>
        <v>0</v>
      </c>
    </row>
    <row r="1878" spans="13:25" x14ac:dyDescent="0.25">
      <c r="P1878" s="2" t="s">
        <v>38</v>
      </c>
      <c r="Q1878" s="10">
        <f>data_redis_illX!E1679</f>
        <v>0</v>
      </c>
      <c r="R1878" s="10">
        <f>data_redis_illX!F1679</f>
        <v>0</v>
      </c>
      <c r="S1878" s="10">
        <f>data_redis_illX!G1679</f>
        <v>0</v>
      </c>
      <c r="T1878" s="10">
        <f>data_redis_illX!H1679</f>
        <v>0</v>
      </c>
      <c r="U1878" s="10">
        <f>data_redis_illX!I1679</f>
        <v>0</v>
      </c>
      <c r="V1878" s="10">
        <f>data_redis_illX!J1679</f>
        <v>0</v>
      </c>
      <c r="W1878" s="10">
        <f>data_redis_illX!K1679</f>
        <v>0</v>
      </c>
      <c r="X1878" s="10">
        <f>data_redis_illX!L1679</f>
        <v>0</v>
      </c>
      <c r="Y1878" s="5">
        <f t="shared" si="29"/>
        <v>0</v>
      </c>
    </row>
    <row r="1879" spans="13:25" x14ac:dyDescent="0.25">
      <c r="P1879" s="2" t="s">
        <v>39</v>
      </c>
      <c r="Q1879" s="10">
        <f>data_redis_illX!E1680</f>
        <v>0</v>
      </c>
      <c r="R1879" s="10">
        <f>data_redis_illX!F1680</f>
        <v>0</v>
      </c>
      <c r="S1879" s="10">
        <f>data_redis_illX!G1680</f>
        <v>0</v>
      </c>
      <c r="T1879" s="10">
        <f>data_redis_illX!H1680</f>
        <v>0</v>
      </c>
      <c r="U1879" s="10">
        <f>data_redis_illX!I1680</f>
        <v>0</v>
      </c>
      <c r="V1879" s="10">
        <f>data_redis_illX!J1680</f>
        <v>0</v>
      </c>
      <c r="W1879" s="10">
        <f>data_redis_illX!K1680</f>
        <v>0</v>
      </c>
      <c r="X1879" s="10">
        <f>data_redis_illX!L1680</f>
        <v>0</v>
      </c>
      <c r="Y1879" s="5">
        <f t="shared" si="29"/>
        <v>0</v>
      </c>
    </row>
    <row r="1880" spans="13:25" x14ac:dyDescent="0.25">
      <c r="P1880" s="2" t="s">
        <v>40</v>
      </c>
      <c r="Q1880" s="10">
        <f>data_redis_illX!E1681</f>
        <v>0</v>
      </c>
      <c r="R1880" s="10">
        <f>data_redis_illX!F1681</f>
        <v>0</v>
      </c>
      <c r="S1880" s="10">
        <f>data_redis_illX!G1681</f>
        <v>0</v>
      </c>
      <c r="T1880" s="10">
        <f>data_redis_illX!H1681</f>
        <v>0</v>
      </c>
      <c r="U1880" s="10">
        <f>data_redis_illX!I1681</f>
        <v>0</v>
      </c>
      <c r="V1880" s="10">
        <f>data_redis_illX!J1681</f>
        <v>1.000925925925926</v>
      </c>
      <c r="W1880" s="10">
        <f>data_redis_illX!K1681</f>
        <v>0</v>
      </c>
      <c r="X1880" s="10">
        <f>data_redis_illX!L1681</f>
        <v>0</v>
      </c>
      <c r="Y1880" s="5">
        <f t="shared" si="29"/>
        <v>1.000925925925926</v>
      </c>
    </row>
    <row r="1881" spans="13:25" x14ac:dyDescent="0.25">
      <c r="P1881" s="2" t="s">
        <v>41</v>
      </c>
      <c r="Q1881" s="10">
        <f>data_redis_illX!E1682</f>
        <v>0</v>
      </c>
      <c r="R1881" s="10">
        <f>data_redis_illX!F1682</f>
        <v>0</v>
      </c>
      <c r="S1881" s="10">
        <f>data_redis_illX!G1682</f>
        <v>0</v>
      </c>
      <c r="T1881" s="10">
        <f>data_redis_illX!H1682</f>
        <v>0</v>
      </c>
      <c r="U1881" s="10">
        <f>data_redis_illX!I1682</f>
        <v>0</v>
      </c>
      <c r="V1881" s="10">
        <f>data_redis_illX!J1682</f>
        <v>0</v>
      </c>
      <c r="W1881" s="10">
        <f>data_redis_illX!K1682</f>
        <v>0</v>
      </c>
      <c r="X1881" s="10">
        <f>data_redis_illX!L1682</f>
        <v>0</v>
      </c>
      <c r="Y1881" s="5">
        <f t="shared" si="29"/>
        <v>0</v>
      </c>
    </row>
    <row r="1882" spans="13:25" x14ac:dyDescent="0.25">
      <c r="P1882" s="2" t="s">
        <v>42</v>
      </c>
      <c r="Q1882" s="10">
        <f>data_redis_illX!E1683</f>
        <v>0</v>
      </c>
      <c r="R1882" s="10">
        <f>data_redis_illX!F1683</f>
        <v>0</v>
      </c>
      <c r="S1882" s="10">
        <f>data_redis_illX!G1683</f>
        <v>0</v>
      </c>
      <c r="T1882" s="10">
        <f>data_redis_illX!H1683</f>
        <v>0</v>
      </c>
      <c r="U1882" s="10">
        <f>data_redis_illX!I1683</f>
        <v>0</v>
      </c>
      <c r="V1882" s="10">
        <f>data_redis_illX!J1683</f>
        <v>0</v>
      </c>
      <c r="W1882" s="10">
        <f>data_redis_illX!K1683</f>
        <v>0</v>
      </c>
      <c r="X1882" s="10">
        <f>data_redis_illX!L1683</f>
        <v>0</v>
      </c>
      <c r="Y1882" s="5">
        <f t="shared" si="29"/>
        <v>0</v>
      </c>
    </row>
    <row r="1883" spans="13:25" x14ac:dyDescent="0.25">
      <c r="P1883" s="2" t="s">
        <v>43</v>
      </c>
      <c r="Q1883" s="10">
        <f>data_redis_illX!E1684</f>
        <v>0</v>
      </c>
      <c r="R1883" s="10">
        <f>data_redis_illX!F1684</f>
        <v>0</v>
      </c>
      <c r="S1883" s="10">
        <f>data_redis_illX!G1684</f>
        <v>8.0152635344621981</v>
      </c>
      <c r="T1883" s="10">
        <f>data_redis_illX!H1684</f>
        <v>6.0152774657380368</v>
      </c>
      <c r="U1883" s="10">
        <f>data_redis_illX!I1684</f>
        <v>4.0062548866301801</v>
      </c>
      <c r="V1883" s="10">
        <f>data_redis_illX!J1684</f>
        <v>1.000925925925926</v>
      </c>
      <c r="W1883" s="10">
        <f>data_redis_illX!K1684</f>
        <v>0</v>
      </c>
      <c r="X1883" s="10">
        <f>data_redis_illX!L1684</f>
        <v>1</v>
      </c>
      <c r="Y1883" s="5">
        <f t="shared" si="29"/>
        <v>20.037721812756342</v>
      </c>
    </row>
    <row r="1884" spans="13:25" x14ac:dyDescent="0.25">
      <c r="P1884" s="2" t="s">
        <v>44</v>
      </c>
      <c r="Q1884" s="10">
        <f>data_redis_illX!E1685</f>
        <v>0</v>
      </c>
      <c r="R1884" s="10">
        <f>data_redis_illX!F1685</f>
        <v>0</v>
      </c>
      <c r="S1884" s="10">
        <f>data_redis_illX!G1685</f>
        <v>0</v>
      </c>
      <c r="T1884" s="10">
        <f>data_redis_illX!H1685</f>
        <v>0</v>
      </c>
      <c r="U1884" s="10">
        <f>data_redis_illX!I1685</f>
        <v>0</v>
      </c>
      <c r="V1884" s="10">
        <f>data_redis_illX!J1685</f>
        <v>0</v>
      </c>
      <c r="W1884" s="10">
        <f>data_redis_illX!K1685</f>
        <v>0</v>
      </c>
      <c r="X1884" s="10">
        <f>data_redis_illX!L1685</f>
        <v>0</v>
      </c>
      <c r="Y1884" s="5">
        <f t="shared" si="29"/>
        <v>0</v>
      </c>
    </row>
    <row r="1885" spans="13:25" x14ac:dyDescent="0.25">
      <c r="M1885" t="s">
        <v>115</v>
      </c>
      <c r="N1885" t="s">
        <v>117</v>
      </c>
      <c r="O1885" t="s">
        <v>46</v>
      </c>
      <c r="P1885" s="2" t="s">
        <v>12</v>
      </c>
      <c r="Q1885" s="10">
        <f>data_redis_illX!E1686</f>
        <v>0</v>
      </c>
      <c r="R1885" s="10">
        <f>data_redis_illX!F1686</f>
        <v>0</v>
      </c>
      <c r="S1885" s="10">
        <f>data_redis_illX!G1686</f>
        <v>4.4094959416924597</v>
      </c>
      <c r="T1885" s="10">
        <f>data_redis_illX!H1686</f>
        <v>3.9838021812563311</v>
      </c>
      <c r="U1885" s="10">
        <f>data_redis_illX!I1686</f>
        <v>0</v>
      </c>
      <c r="V1885" s="10">
        <f>data_redis_illX!J1686</f>
        <v>0</v>
      </c>
      <c r="W1885" s="10">
        <f>data_redis_illX!K1686</f>
        <v>0</v>
      </c>
      <c r="X1885" s="10">
        <f>data_redis_illX!L1686</f>
        <v>0</v>
      </c>
      <c r="Y1885" s="5">
        <f t="shared" si="29"/>
        <v>8.3932981229487904</v>
      </c>
    </row>
    <row r="1886" spans="13:25" x14ac:dyDescent="0.25">
      <c r="P1886" s="2" t="s">
        <v>13</v>
      </c>
      <c r="Q1886" s="10">
        <f>data_redis_illX!E1687</f>
        <v>0</v>
      </c>
      <c r="R1886" s="10">
        <f>data_redis_illX!F1687</f>
        <v>0</v>
      </c>
      <c r="S1886" s="10">
        <f>data_redis_illX!G1687</f>
        <v>69.082103086515218</v>
      </c>
      <c r="T1886" s="10">
        <f>data_redis_illX!H1687</f>
        <v>49.133560235494748</v>
      </c>
      <c r="U1886" s="10">
        <f>data_redis_illX!I1687</f>
        <v>12.503392267144191</v>
      </c>
      <c r="V1886" s="10">
        <f>data_redis_illX!J1687</f>
        <v>0</v>
      </c>
      <c r="W1886" s="10">
        <f>data_redis_illX!K1687</f>
        <v>0</v>
      </c>
      <c r="X1886" s="10">
        <f>data_redis_illX!L1687</f>
        <v>0</v>
      </c>
      <c r="Y1886" s="5">
        <f t="shared" si="29"/>
        <v>130.71905558915415</v>
      </c>
    </row>
    <row r="1887" spans="13:25" x14ac:dyDescent="0.25">
      <c r="P1887" s="2" t="s">
        <v>14</v>
      </c>
      <c r="Q1887" s="10">
        <f>data_redis_illX!E1688</f>
        <v>0</v>
      </c>
      <c r="R1887" s="10">
        <f>data_redis_illX!F1688</f>
        <v>0</v>
      </c>
      <c r="S1887" s="10">
        <f>data_redis_illX!G1688</f>
        <v>0</v>
      </c>
      <c r="T1887" s="10">
        <f>data_redis_illX!H1688</f>
        <v>0</v>
      </c>
      <c r="U1887" s="10">
        <f>data_redis_illX!I1688</f>
        <v>1.3892658074604658</v>
      </c>
      <c r="V1887" s="10">
        <f>data_redis_illX!J1688</f>
        <v>0</v>
      </c>
      <c r="W1887" s="10">
        <f>data_redis_illX!K1688</f>
        <v>0</v>
      </c>
      <c r="X1887" s="10">
        <f>data_redis_illX!L1688</f>
        <v>0</v>
      </c>
      <c r="Y1887" s="5">
        <f t="shared" si="29"/>
        <v>1.3892658074604658</v>
      </c>
    </row>
    <row r="1888" spans="13:25" x14ac:dyDescent="0.25">
      <c r="P1888" s="2" t="s">
        <v>15</v>
      </c>
      <c r="Q1888" s="10">
        <f>data_redis_illX!E1689</f>
        <v>0</v>
      </c>
      <c r="R1888" s="10">
        <f>data_redis_illX!F1689</f>
        <v>0</v>
      </c>
      <c r="S1888" s="10">
        <f>data_redis_illX!G1689</f>
        <v>1.4698319805641533</v>
      </c>
      <c r="T1888" s="10">
        <f>data_redis_illX!H1689</f>
        <v>0</v>
      </c>
      <c r="U1888" s="10">
        <f>data_redis_illX!I1689</f>
        <v>0</v>
      </c>
      <c r="V1888" s="10">
        <f>data_redis_illX!J1689</f>
        <v>0</v>
      </c>
      <c r="W1888" s="10">
        <f>data_redis_illX!K1689</f>
        <v>0</v>
      </c>
      <c r="X1888" s="10">
        <f>data_redis_illX!L1689</f>
        <v>0</v>
      </c>
      <c r="Y1888" s="5">
        <f t="shared" si="29"/>
        <v>1.4698319805641533</v>
      </c>
    </row>
    <row r="1889" spans="16:25" x14ac:dyDescent="0.25">
      <c r="P1889" s="2" t="s">
        <v>16</v>
      </c>
      <c r="Q1889" s="10">
        <f>data_redis_illX!E1690</f>
        <v>0</v>
      </c>
      <c r="R1889" s="10">
        <f>data_redis_illX!F1690</f>
        <v>0</v>
      </c>
      <c r="S1889" s="10">
        <f>data_redis_illX!G1690</f>
        <v>7.3491599028207668</v>
      </c>
      <c r="T1889" s="10">
        <f>data_redis_illX!H1690</f>
        <v>9.2955384229314397</v>
      </c>
      <c r="U1889" s="10">
        <f>data_redis_illX!I1690</f>
        <v>4.1677974223813967</v>
      </c>
      <c r="V1889" s="10">
        <f>data_redis_illX!J1690</f>
        <v>0</v>
      </c>
      <c r="W1889" s="10">
        <f>data_redis_illX!K1690</f>
        <v>0</v>
      </c>
      <c r="X1889" s="10">
        <f>data_redis_illX!L1690</f>
        <v>0</v>
      </c>
      <c r="Y1889" s="5">
        <f t="shared" si="29"/>
        <v>20.812495748133603</v>
      </c>
    </row>
    <row r="1890" spans="16:25" x14ac:dyDescent="0.25">
      <c r="P1890" s="2" t="s">
        <v>17</v>
      </c>
      <c r="Q1890" s="10">
        <f>data_redis_illX!E1691</f>
        <v>0</v>
      </c>
      <c r="R1890" s="10">
        <f>data_redis_illX!F1691</f>
        <v>0</v>
      </c>
      <c r="S1890" s="10">
        <f>data_redis_illX!G1691</f>
        <v>0</v>
      </c>
      <c r="T1890" s="10">
        <f>data_redis_illX!H1691</f>
        <v>0</v>
      </c>
      <c r="U1890" s="10">
        <f>data_redis_illX!I1691</f>
        <v>0</v>
      </c>
      <c r="V1890" s="10">
        <f>data_redis_illX!J1691</f>
        <v>0</v>
      </c>
      <c r="W1890" s="10">
        <f>data_redis_illX!K1691</f>
        <v>0</v>
      </c>
      <c r="X1890" s="10">
        <f>data_redis_illX!L1691</f>
        <v>0</v>
      </c>
      <c r="Y1890" s="5">
        <f t="shared" si="29"/>
        <v>0</v>
      </c>
    </row>
    <row r="1891" spans="16:25" x14ac:dyDescent="0.25">
      <c r="P1891" s="2" t="s">
        <v>18</v>
      </c>
      <c r="Q1891" s="10">
        <f>data_redis_illX!E1692</f>
        <v>0</v>
      </c>
      <c r="R1891" s="10">
        <f>data_redis_illX!F1692</f>
        <v>0</v>
      </c>
      <c r="S1891" s="10">
        <f>data_redis_illX!G1692</f>
        <v>7.3491599028207668</v>
      </c>
      <c r="T1891" s="10">
        <f>data_redis_illX!H1692</f>
        <v>2.6558681208375541</v>
      </c>
      <c r="U1891" s="10">
        <f>data_redis_illX!I1692</f>
        <v>2.7785316149209316</v>
      </c>
      <c r="V1891" s="10">
        <f>data_redis_illX!J1692</f>
        <v>0</v>
      </c>
      <c r="W1891" s="10">
        <f>data_redis_illX!K1692</f>
        <v>0</v>
      </c>
      <c r="X1891" s="10">
        <f>data_redis_illX!L1692</f>
        <v>0</v>
      </c>
      <c r="Y1891" s="5">
        <f t="shared" si="29"/>
        <v>12.783559638579252</v>
      </c>
    </row>
    <row r="1892" spans="16:25" x14ac:dyDescent="0.25">
      <c r="P1892" s="2" t="s">
        <v>19</v>
      </c>
      <c r="Q1892" s="10">
        <f>data_redis_illX!E1693</f>
        <v>0</v>
      </c>
      <c r="R1892" s="10">
        <f>data_redis_illX!F1693</f>
        <v>0</v>
      </c>
      <c r="S1892" s="10">
        <f>data_redis_illX!G1693</f>
        <v>10.288823863949073</v>
      </c>
      <c r="T1892" s="10">
        <f>data_redis_illX!H1693</f>
        <v>22.574879027119209</v>
      </c>
      <c r="U1892" s="10">
        <f>data_redis_illX!I1693</f>
        <v>5.5570632298418632</v>
      </c>
      <c r="V1892" s="10">
        <f>data_redis_illX!J1693</f>
        <v>2.001851851851852</v>
      </c>
      <c r="W1892" s="10">
        <f>data_redis_illX!K1693</f>
        <v>0</v>
      </c>
      <c r="X1892" s="10">
        <f>data_redis_illX!L1693</f>
        <v>0</v>
      </c>
      <c r="Y1892" s="5">
        <f t="shared" si="29"/>
        <v>40.422617972762005</v>
      </c>
    </row>
    <row r="1893" spans="16:25" x14ac:dyDescent="0.25">
      <c r="P1893" s="2" t="s">
        <v>20</v>
      </c>
      <c r="Q1893" s="10">
        <f>data_redis_illX!E1694</f>
        <v>0</v>
      </c>
      <c r="R1893" s="10">
        <f>data_redis_illX!F1694</f>
        <v>0</v>
      </c>
      <c r="S1893" s="10">
        <f>data_redis_illX!G1694</f>
        <v>5.8793279222566133</v>
      </c>
      <c r="T1893" s="10">
        <f>data_redis_illX!H1694</f>
        <v>14.607274664606548</v>
      </c>
      <c r="U1893" s="10">
        <f>data_redis_illX!I1694</f>
        <v>4.1677974223813967</v>
      </c>
      <c r="V1893" s="10">
        <f>data_redis_illX!J1694</f>
        <v>0</v>
      </c>
      <c r="W1893" s="10">
        <f>data_redis_illX!K1694</f>
        <v>0</v>
      </c>
      <c r="X1893" s="10">
        <f>data_redis_illX!L1694</f>
        <v>0</v>
      </c>
      <c r="Y1893" s="5">
        <f t="shared" si="29"/>
        <v>24.654400009244558</v>
      </c>
    </row>
    <row r="1894" spans="16:25" x14ac:dyDescent="0.25">
      <c r="P1894" s="2" t="s">
        <v>21</v>
      </c>
      <c r="Q1894" s="10">
        <f>data_redis_illX!E1695</f>
        <v>0</v>
      </c>
      <c r="R1894" s="10">
        <f>data_redis_illX!F1695</f>
        <v>0</v>
      </c>
      <c r="S1894" s="10">
        <f>data_redis_illX!G1695</f>
        <v>1.4698319805641533</v>
      </c>
      <c r="T1894" s="10">
        <f>data_redis_illX!H1695</f>
        <v>0</v>
      </c>
      <c r="U1894" s="10">
        <f>data_redis_illX!I1695</f>
        <v>0</v>
      </c>
      <c r="V1894" s="10">
        <f>data_redis_illX!J1695</f>
        <v>0</v>
      </c>
      <c r="W1894" s="10">
        <f>data_redis_illX!K1695</f>
        <v>0</v>
      </c>
      <c r="X1894" s="10">
        <f>data_redis_illX!L1695</f>
        <v>0</v>
      </c>
      <c r="Y1894" s="5">
        <f t="shared" si="29"/>
        <v>1.4698319805641533</v>
      </c>
    </row>
    <row r="1895" spans="16:25" x14ac:dyDescent="0.25">
      <c r="P1895" s="2" t="s">
        <v>22</v>
      </c>
      <c r="Q1895" s="10">
        <f>data_redis_illX!E1696</f>
        <v>0</v>
      </c>
      <c r="R1895" s="10">
        <f>data_redis_illX!F1696</f>
        <v>0</v>
      </c>
      <c r="S1895" s="10">
        <f>data_redis_illX!G1696</f>
        <v>0</v>
      </c>
      <c r="T1895" s="10">
        <f>data_redis_illX!H1696</f>
        <v>2.6558681208375541</v>
      </c>
      <c r="U1895" s="10">
        <f>data_redis_illX!I1696</f>
        <v>0</v>
      </c>
      <c r="V1895" s="10">
        <f>data_redis_illX!J1696</f>
        <v>0</v>
      </c>
      <c r="W1895" s="10">
        <f>data_redis_illX!K1696</f>
        <v>0</v>
      </c>
      <c r="X1895" s="10">
        <f>data_redis_illX!L1696</f>
        <v>0</v>
      </c>
      <c r="Y1895" s="5">
        <f t="shared" si="29"/>
        <v>2.6558681208375541</v>
      </c>
    </row>
    <row r="1896" spans="16:25" x14ac:dyDescent="0.25">
      <c r="P1896" s="2" t="s">
        <v>23</v>
      </c>
      <c r="Q1896" s="10">
        <f>data_redis_illX!E1697</f>
        <v>0</v>
      </c>
      <c r="R1896" s="10">
        <f>data_redis_illX!F1697</f>
        <v>0</v>
      </c>
      <c r="S1896" s="10">
        <f>data_redis_illX!G1697</f>
        <v>0</v>
      </c>
      <c r="T1896" s="10">
        <f>data_redis_illX!H1697</f>
        <v>1.327934060418777</v>
      </c>
      <c r="U1896" s="10">
        <f>data_redis_illX!I1697</f>
        <v>1.3892658074604658</v>
      </c>
      <c r="V1896" s="10">
        <f>data_redis_illX!J1697</f>
        <v>0</v>
      </c>
      <c r="W1896" s="10">
        <f>data_redis_illX!K1697</f>
        <v>0</v>
      </c>
      <c r="X1896" s="10">
        <f>data_redis_illX!L1697</f>
        <v>0</v>
      </c>
      <c r="Y1896" s="5">
        <f t="shared" si="29"/>
        <v>2.7171998678792431</v>
      </c>
    </row>
    <row r="1897" spans="16:25" x14ac:dyDescent="0.25">
      <c r="P1897" s="2" t="s">
        <v>24</v>
      </c>
      <c r="Q1897" s="10">
        <f>data_redis_illX!E1698</f>
        <v>0</v>
      </c>
      <c r="R1897" s="10">
        <f>data_redis_illX!F1698</f>
        <v>0</v>
      </c>
      <c r="S1897" s="10">
        <f>data_redis_illX!G1698</f>
        <v>1.4698319805641533</v>
      </c>
      <c r="T1897" s="10">
        <f>data_redis_illX!H1698</f>
        <v>0</v>
      </c>
      <c r="U1897" s="10">
        <f>data_redis_illX!I1698</f>
        <v>0</v>
      </c>
      <c r="V1897" s="10">
        <f>data_redis_illX!J1698</f>
        <v>0</v>
      </c>
      <c r="W1897" s="10">
        <f>data_redis_illX!K1698</f>
        <v>0</v>
      </c>
      <c r="X1897" s="10">
        <f>data_redis_illX!L1698</f>
        <v>0</v>
      </c>
      <c r="Y1897" s="5">
        <f t="shared" si="29"/>
        <v>1.4698319805641533</v>
      </c>
    </row>
    <row r="1898" spans="16:25" x14ac:dyDescent="0.25">
      <c r="P1898" s="2" t="s">
        <v>25</v>
      </c>
      <c r="Q1898" s="10">
        <f>data_redis_illX!E1699</f>
        <v>0</v>
      </c>
      <c r="R1898" s="10">
        <f>data_redis_illX!F1699</f>
        <v>0</v>
      </c>
      <c r="S1898" s="10">
        <f>data_redis_illX!G1699</f>
        <v>1.4698319805641533</v>
      </c>
      <c r="T1898" s="10">
        <f>data_redis_illX!H1699</f>
        <v>2.6558681208375541</v>
      </c>
      <c r="U1898" s="10">
        <f>data_redis_illX!I1699</f>
        <v>0</v>
      </c>
      <c r="V1898" s="10">
        <f>data_redis_illX!J1699</f>
        <v>0</v>
      </c>
      <c r="W1898" s="10">
        <f>data_redis_illX!K1699</f>
        <v>0</v>
      </c>
      <c r="X1898" s="10">
        <f>data_redis_illX!L1699</f>
        <v>0</v>
      </c>
      <c r="Y1898" s="5">
        <f t="shared" si="29"/>
        <v>4.1257001014017076</v>
      </c>
    </row>
    <row r="1899" spans="16:25" x14ac:dyDescent="0.25">
      <c r="P1899" s="2" t="s">
        <v>26</v>
      </c>
      <c r="Q1899" s="10">
        <f>data_redis_illX!E1700</f>
        <v>0</v>
      </c>
      <c r="R1899" s="10">
        <f>data_redis_illX!F1700</f>
        <v>0</v>
      </c>
      <c r="S1899" s="10">
        <f>data_redis_illX!G1700</f>
        <v>0</v>
      </c>
      <c r="T1899" s="10">
        <f>data_redis_illX!H1700</f>
        <v>0</v>
      </c>
      <c r="U1899" s="10">
        <f>data_redis_illX!I1700</f>
        <v>0</v>
      </c>
      <c r="V1899" s="10">
        <f>data_redis_illX!J1700</f>
        <v>0</v>
      </c>
      <c r="W1899" s="10">
        <f>data_redis_illX!K1700</f>
        <v>0</v>
      </c>
      <c r="X1899" s="10">
        <f>data_redis_illX!L1700</f>
        <v>0</v>
      </c>
      <c r="Y1899" s="5">
        <f t="shared" si="29"/>
        <v>0</v>
      </c>
    </row>
    <row r="1900" spans="16:25" x14ac:dyDescent="0.25">
      <c r="P1900" s="2" t="s">
        <v>27</v>
      </c>
      <c r="Q1900" s="10">
        <f>data_redis_illX!E1701</f>
        <v>0</v>
      </c>
      <c r="R1900" s="10">
        <f>data_redis_illX!F1701</f>
        <v>0</v>
      </c>
      <c r="S1900" s="10">
        <f>data_redis_illX!G1701</f>
        <v>8.8189918833849195</v>
      </c>
      <c r="T1900" s="10">
        <f>data_redis_illX!H1701</f>
        <v>7.9676043625126622</v>
      </c>
      <c r="U1900" s="10">
        <f>data_redis_illX!I1701</f>
        <v>1.3892658074604658</v>
      </c>
      <c r="V1900" s="10">
        <f>data_redis_illX!J1701</f>
        <v>0</v>
      </c>
      <c r="W1900" s="10">
        <f>data_redis_illX!K1701</f>
        <v>0</v>
      </c>
      <c r="X1900" s="10">
        <f>data_redis_illX!L1701</f>
        <v>0</v>
      </c>
      <c r="Y1900" s="5">
        <f t="shared" si="29"/>
        <v>18.175862053358046</v>
      </c>
    </row>
    <row r="1901" spans="16:25" x14ac:dyDescent="0.25">
      <c r="P1901" s="2" t="s">
        <v>28</v>
      </c>
      <c r="Q1901" s="10">
        <f>data_redis_illX!E1702</f>
        <v>0</v>
      </c>
      <c r="R1901" s="10">
        <f>data_redis_illX!F1702</f>
        <v>0</v>
      </c>
      <c r="S1901" s="10">
        <f>data_redis_illX!G1702</f>
        <v>52.91395130030952</v>
      </c>
      <c r="T1901" s="10">
        <f>data_redis_illX!H1702</f>
        <v>79.676043625126624</v>
      </c>
      <c r="U1901" s="10">
        <f>data_redis_illX!I1702</f>
        <v>16.671189689525587</v>
      </c>
      <c r="V1901" s="10">
        <f>data_redis_illX!J1702</f>
        <v>0</v>
      </c>
      <c r="W1901" s="10">
        <f>data_redis_illX!K1702</f>
        <v>0</v>
      </c>
      <c r="X1901" s="10">
        <f>data_redis_illX!L1702</f>
        <v>0</v>
      </c>
      <c r="Y1901" s="5">
        <f t="shared" si="29"/>
        <v>149.26118461496173</v>
      </c>
    </row>
    <row r="1902" spans="16:25" x14ac:dyDescent="0.25">
      <c r="P1902" s="2" t="s">
        <v>29</v>
      </c>
      <c r="Q1902" s="10">
        <f>data_redis_illX!E1703</f>
        <v>0</v>
      </c>
      <c r="R1902" s="10">
        <f>data_redis_illX!F1703</f>
        <v>0</v>
      </c>
      <c r="S1902" s="10">
        <f>data_redis_illX!G1703</f>
        <v>14.698319805641534</v>
      </c>
      <c r="T1902" s="10">
        <f>data_redis_illX!H1703</f>
        <v>9.2955384229314397</v>
      </c>
      <c r="U1902" s="10">
        <f>data_redis_illX!I1703</f>
        <v>1.3892658074604658</v>
      </c>
      <c r="V1902" s="10">
        <f>data_redis_illX!J1703</f>
        <v>0</v>
      </c>
      <c r="W1902" s="10">
        <f>data_redis_illX!K1703</f>
        <v>0</v>
      </c>
      <c r="X1902" s="10">
        <f>data_redis_illX!L1703</f>
        <v>0</v>
      </c>
      <c r="Y1902" s="5">
        <f t="shared" si="29"/>
        <v>25.38312403603344</v>
      </c>
    </row>
    <row r="1903" spans="16:25" x14ac:dyDescent="0.25">
      <c r="P1903" s="2" t="s">
        <v>30</v>
      </c>
      <c r="Q1903" s="10">
        <f>data_redis_illX!E1704</f>
        <v>0</v>
      </c>
      <c r="R1903" s="10">
        <f>data_redis_illX!F1704</f>
        <v>0</v>
      </c>
      <c r="S1903" s="10">
        <f>data_redis_illX!G1704</f>
        <v>57.323447242001969</v>
      </c>
      <c r="T1903" s="10">
        <f>data_redis_illX!H1704</f>
        <v>61.084966779263745</v>
      </c>
      <c r="U1903" s="10">
        <f>data_redis_illX!I1704</f>
        <v>26.396050341748847</v>
      </c>
      <c r="V1903" s="10">
        <f>data_redis_illX!J1704</f>
        <v>2.001851851851852</v>
      </c>
      <c r="W1903" s="10">
        <f>data_redis_illX!K1704</f>
        <v>0</v>
      </c>
      <c r="X1903" s="10">
        <f>data_redis_illX!L1704</f>
        <v>0</v>
      </c>
      <c r="Y1903" s="5">
        <f t="shared" si="29"/>
        <v>146.80631621486643</v>
      </c>
    </row>
    <row r="1904" spans="16:25" x14ac:dyDescent="0.25">
      <c r="P1904" s="2" t="s">
        <v>31</v>
      </c>
      <c r="Q1904" s="10">
        <f>data_redis_illX!E1705</f>
        <v>0</v>
      </c>
      <c r="R1904" s="10">
        <f>data_redis_illX!F1705</f>
        <v>0</v>
      </c>
      <c r="S1904" s="10">
        <f>data_redis_illX!G1705</f>
        <v>8.8189918833849195</v>
      </c>
      <c r="T1904" s="10">
        <f>data_redis_illX!H1705</f>
        <v>11.951406543768993</v>
      </c>
      <c r="U1904" s="10">
        <f>data_redis_illX!I1705</f>
        <v>2.7785316149209316</v>
      </c>
      <c r="V1904" s="10">
        <f>data_redis_illX!J1705</f>
        <v>0</v>
      </c>
      <c r="W1904" s="10">
        <f>data_redis_illX!K1705</f>
        <v>0</v>
      </c>
      <c r="X1904" s="10">
        <f>data_redis_illX!L1705</f>
        <v>0</v>
      </c>
      <c r="Y1904" s="5">
        <f t="shared" si="29"/>
        <v>23.548930042074847</v>
      </c>
    </row>
    <row r="1905" spans="13:25" x14ac:dyDescent="0.25">
      <c r="P1905" s="2" t="s">
        <v>32</v>
      </c>
      <c r="Q1905" s="10">
        <f>data_redis_illX!E1706</f>
        <v>0</v>
      </c>
      <c r="R1905" s="10">
        <f>data_redis_illX!F1706</f>
        <v>0</v>
      </c>
      <c r="S1905" s="10">
        <f>data_redis_illX!G1706</f>
        <v>0</v>
      </c>
      <c r="T1905" s="10">
        <f>data_redis_illX!H1706</f>
        <v>0</v>
      </c>
      <c r="U1905" s="10">
        <f>data_redis_illX!I1706</f>
        <v>0</v>
      </c>
      <c r="V1905" s="10">
        <f>data_redis_illX!J1706</f>
        <v>0</v>
      </c>
      <c r="W1905" s="10">
        <f>data_redis_illX!K1706</f>
        <v>0</v>
      </c>
      <c r="X1905" s="10">
        <f>data_redis_illX!L1706</f>
        <v>0</v>
      </c>
      <c r="Y1905" s="5">
        <f t="shared" si="29"/>
        <v>0</v>
      </c>
    </row>
    <row r="1906" spans="13:25" x14ac:dyDescent="0.25">
      <c r="P1906" s="2" t="s">
        <v>33</v>
      </c>
      <c r="Q1906" s="10">
        <f>data_redis_illX!E1707</f>
        <v>0</v>
      </c>
      <c r="R1906" s="10">
        <f>data_redis_illX!F1707</f>
        <v>0</v>
      </c>
      <c r="S1906" s="10">
        <f>data_redis_illX!G1707</f>
        <v>0</v>
      </c>
      <c r="T1906" s="10">
        <f>data_redis_illX!H1707</f>
        <v>0</v>
      </c>
      <c r="U1906" s="10">
        <f>data_redis_illX!I1707</f>
        <v>0</v>
      </c>
      <c r="V1906" s="10">
        <f>data_redis_illX!J1707</f>
        <v>0</v>
      </c>
      <c r="W1906" s="10">
        <f>data_redis_illX!K1707</f>
        <v>0</v>
      </c>
      <c r="X1906" s="10">
        <f>data_redis_illX!L1707</f>
        <v>0</v>
      </c>
      <c r="Y1906" s="5">
        <f t="shared" si="29"/>
        <v>0</v>
      </c>
    </row>
    <row r="1907" spans="13:25" x14ac:dyDescent="0.25">
      <c r="P1907" s="2" t="s">
        <v>34</v>
      </c>
      <c r="Q1907" s="10">
        <f>data_redis_illX!E1708</f>
        <v>0</v>
      </c>
      <c r="R1907" s="10">
        <f>data_redis_illX!F1708</f>
        <v>0</v>
      </c>
      <c r="S1907" s="10">
        <f>data_redis_illX!G1708</f>
        <v>0</v>
      </c>
      <c r="T1907" s="10">
        <f>data_redis_illX!H1708</f>
        <v>1.327934060418777</v>
      </c>
      <c r="U1907" s="10">
        <f>data_redis_illX!I1708</f>
        <v>0</v>
      </c>
      <c r="V1907" s="10">
        <f>data_redis_illX!J1708</f>
        <v>0</v>
      </c>
      <c r="W1907" s="10">
        <f>data_redis_illX!K1708</f>
        <v>0</v>
      </c>
      <c r="X1907" s="10">
        <f>data_redis_illX!L1708</f>
        <v>0</v>
      </c>
      <c r="Y1907" s="5">
        <f t="shared" si="29"/>
        <v>1.327934060418777</v>
      </c>
    </row>
    <row r="1908" spans="13:25" x14ac:dyDescent="0.25">
      <c r="P1908" s="2" t="s">
        <v>35</v>
      </c>
      <c r="Q1908" s="10">
        <f>data_redis_illX!E1709</f>
        <v>0</v>
      </c>
      <c r="R1908" s="10">
        <f>data_redis_illX!F1709</f>
        <v>0</v>
      </c>
      <c r="S1908" s="10">
        <f>data_redis_illX!G1709</f>
        <v>0</v>
      </c>
      <c r="T1908" s="10">
        <f>data_redis_illX!H1709</f>
        <v>0</v>
      </c>
      <c r="U1908" s="10">
        <f>data_redis_illX!I1709</f>
        <v>0</v>
      </c>
      <c r="V1908" s="10">
        <f>data_redis_illX!J1709</f>
        <v>0</v>
      </c>
      <c r="W1908" s="10">
        <f>data_redis_illX!K1709</f>
        <v>0</v>
      </c>
      <c r="X1908" s="10">
        <f>data_redis_illX!L1709</f>
        <v>0</v>
      </c>
      <c r="Y1908" s="5">
        <f t="shared" si="29"/>
        <v>0</v>
      </c>
    </row>
    <row r="1909" spans="13:25" x14ac:dyDescent="0.25">
      <c r="P1909" s="2" t="s">
        <v>36</v>
      </c>
      <c r="Q1909" s="10">
        <f>data_redis_illX!E1710</f>
        <v>0</v>
      </c>
      <c r="R1909" s="10">
        <f>data_redis_illX!F1710</f>
        <v>0</v>
      </c>
      <c r="S1909" s="10">
        <f>data_redis_illX!G1710</f>
        <v>0</v>
      </c>
      <c r="T1909" s="10">
        <f>data_redis_illX!H1710</f>
        <v>0</v>
      </c>
      <c r="U1909" s="10">
        <f>data_redis_illX!I1710</f>
        <v>0</v>
      </c>
      <c r="V1909" s="10">
        <f>data_redis_illX!J1710</f>
        <v>0</v>
      </c>
      <c r="W1909" s="10">
        <f>data_redis_illX!K1710</f>
        <v>0</v>
      </c>
      <c r="X1909" s="10">
        <f>data_redis_illX!L1710</f>
        <v>0</v>
      </c>
      <c r="Y1909" s="5">
        <f t="shared" si="29"/>
        <v>0</v>
      </c>
    </row>
    <row r="1910" spans="13:25" x14ac:dyDescent="0.25">
      <c r="P1910" s="2" t="s">
        <v>37</v>
      </c>
      <c r="Q1910" s="10">
        <f>data_redis_illX!E1711</f>
        <v>0</v>
      </c>
      <c r="R1910" s="10">
        <f>data_redis_illX!F1711</f>
        <v>0</v>
      </c>
      <c r="S1910" s="10">
        <f>data_redis_illX!G1711</f>
        <v>0</v>
      </c>
      <c r="T1910" s="10">
        <f>data_redis_illX!H1711</f>
        <v>0</v>
      </c>
      <c r="U1910" s="10">
        <f>data_redis_illX!I1711</f>
        <v>0</v>
      </c>
      <c r="V1910" s="10">
        <f>data_redis_illX!J1711</f>
        <v>0</v>
      </c>
      <c r="W1910" s="10">
        <f>data_redis_illX!K1711</f>
        <v>0</v>
      </c>
      <c r="X1910" s="10">
        <f>data_redis_illX!L1711</f>
        <v>0</v>
      </c>
      <c r="Y1910" s="5">
        <f t="shared" si="29"/>
        <v>0</v>
      </c>
    </row>
    <row r="1911" spans="13:25" x14ac:dyDescent="0.25">
      <c r="P1911" s="2" t="s">
        <v>38</v>
      </c>
      <c r="Q1911" s="10">
        <f>data_redis_illX!E1712</f>
        <v>0</v>
      </c>
      <c r="R1911" s="10">
        <f>data_redis_illX!F1712</f>
        <v>0</v>
      </c>
      <c r="S1911" s="10">
        <f>data_redis_illX!G1712</f>
        <v>1.4698319805641533</v>
      </c>
      <c r="T1911" s="10">
        <f>data_redis_illX!H1712</f>
        <v>0</v>
      </c>
      <c r="U1911" s="10">
        <f>data_redis_illX!I1712</f>
        <v>1.3892658074604658</v>
      </c>
      <c r="V1911" s="10">
        <f>data_redis_illX!J1712</f>
        <v>0</v>
      </c>
      <c r="W1911" s="10">
        <f>data_redis_illX!K1712</f>
        <v>0</v>
      </c>
      <c r="X1911" s="10">
        <f>data_redis_illX!L1712</f>
        <v>0</v>
      </c>
      <c r="Y1911" s="5">
        <f t="shared" si="29"/>
        <v>2.8590977880246191</v>
      </c>
    </row>
    <row r="1912" spans="13:25" x14ac:dyDescent="0.25">
      <c r="P1912" s="2" t="s">
        <v>39</v>
      </c>
      <c r="Q1912" s="10">
        <f>data_redis_illX!E1713</f>
        <v>0</v>
      </c>
      <c r="R1912" s="10">
        <f>data_redis_illX!F1713</f>
        <v>0</v>
      </c>
      <c r="S1912" s="10">
        <f>data_redis_illX!G1713</f>
        <v>0</v>
      </c>
      <c r="T1912" s="10">
        <f>data_redis_illX!H1713</f>
        <v>0</v>
      </c>
      <c r="U1912" s="10">
        <f>data_redis_illX!I1713</f>
        <v>0</v>
      </c>
      <c r="V1912" s="10">
        <f>data_redis_illX!J1713</f>
        <v>0</v>
      </c>
      <c r="W1912" s="10">
        <f>data_redis_illX!K1713</f>
        <v>0</v>
      </c>
      <c r="X1912" s="10">
        <f>data_redis_illX!L1713</f>
        <v>0</v>
      </c>
      <c r="Y1912" s="5">
        <f t="shared" si="29"/>
        <v>0</v>
      </c>
    </row>
    <row r="1913" spans="13:25" x14ac:dyDescent="0.25">
      <c r="P1913" s="2" t="s">
        <v>40</v>
      </c>
      <c r="Q1913" s="10">
        <f>data_redis_illX!E1714</f>
        <v>0</v>
      </c>
      <c r="R1913" s="10">
        <f>data_redis_illX!F1714</f>
        <v>0</v>
      </c>
      <c r="S1913" s="10">
        <f>data_redis_illX!G1714</f>
        <v>0</v>
      </c>
      <c r="T1913" s="10">
        <f>data_redis_illX!H1714</f>
        <v>1.327934060418777</v>
      </c>
      <c r="U1913" s="10">
        <f>data_redis_illX!I1714</f>
        <v>0</v>
      </c>
      <c r="V1913" s="10">
        <f>data_redis_illX!J1714</f>
        <v>0</v>
      </c>
      <c r="W1913" s="10">
        <f>data_redis_illX!K1714</f>
        <v>0</v>
      </c>
      <c r="X1913" s="10">
        <f>data_redis_illX!L1714</f>
        <v>0</v>
      </c>
      <c r="Y1913" s="5">
        <f t="shared" si="29"/>
        <v>1.327934060418777</v>
      </c>
    </row>
    <row r="1914" spans="13:25" x14ac:dyDescent="0.25">
      <c r="P1914" s="2" t="s">
        <v>41</v>
      </c>
      <c r="Q1914" s="10">
        <f>data_redis_illX!E1715</f>
        <v>0</v>
      </c>
      <c r="R1914" s="10">
        <f>data_redis_illX!F1715</f>
        <v>0</v>
      </c>
      <c r="S1914" s="10">
        <f>data_redis_illX!G1715</f>
        <v>0</v>
      </c>
      <c r="T1914" s="10">
        <f>data_redis_illX!H1715</f>
        <v>0</v>
      </c>
      <c r="U1914" s="10">
        <f>data_redis_illX!I1715</f>
        <v>0</v>
      </c>
      <c r="V1914" s="10">
        <f>data_redis_illX!J1715</f>
        <v>0</v>
      </c>
      <c r="W1914" s="10">
        <f>data_redis_illX!K1715</f>
        <v>0</v>
      </c>
      <c r="X1914" s="10">
        <f>data_redis_illX!L1715</f>
        <v>0</v>
      </c>
      <c r="Y1914" s="5">
        <f t="shared" si="29"/>
        <v>0</v>
      </c>
    </row>
    <row r="1915" spans="13:25" x14ac:dyDescent="0.25">
      <c r="P1915" s="2" t="s">
        <v>42</v>
      </c>
      <c r="Q1915" s="10">
        <f>data_redis_illX!E1716</f>
        <v>0</v>
      </c>
      <c r="R1915" s="10">
        <f>data_redis_illX!F1716</f>
        <v>0</v>
      </c>
      <c r="S1915" s="10">
        <f>data_redis_illX!G1716</f>
        <v>2.9396639611283066</v>
      </c>
      <c r="T1915" s="10">
        <f>data_redis_illX!H1716</f>
        <v>6.6396703020938848</v>
      </c>
      <c r="U1915" s="10">
        <f>data_redis_illX!I1716</f>
        <v>2.7785316149209316</v>
      </c>
      <c r="V1915" s="10">
        <f>data_redis_illX!J1716</f>
        <v>0</v>
      </c>
      <c r="W1915" s="10">
        <f>data_redis_illX!K1716</f>
        <v>0</v>
      </c>
      <c r="X1915" s="10">
        <f>data_redis_illX!L1716</f>
        <v>0</v>
      </c>
      <c r="Y1915" s="5">
        <f t="shared" si="29"/>
        <v>12.357865878143123</v>
      </c>
    </row>
    <row r="1916" spans="13:25" x14ac:dyDescent="0.25">
      <c r="P1916" s="2" t="s">
        <v>43</v>
      </c>
      <c r="Q1916" s="10">
        <f>data_redis_illX!E1717</f>
        <v>0</v>
      </c>
      <c r="R1916" s="10">
        <f>data_redis_illX!F1717</f>
        <v>0</v>
      </c>
      <c r="S1916" s="10">
        <f>data_redis_illX!G1717</f>
        <v>1.4698319805641533</v>
      </c>
      <c r="T1916" s="10">
        <f>data_redis_illX!H1717</f>
        <v>2.6558681208375541</v>
      </c>
      <c r="U1916" s="10">
        <f>data_redis_illX!I1717</f>
        <v>0</v>
      </c>
      <c r="V1916" s="10">
        <f>data_redis_illX!J1717</f>
        <v>0</v>
      </c>
      <c r="W1916" s="10">
        <f>data_redis_illX!K1717</f>
        <v>0</v>
      </c>
      <c r="X1916" s="10">
        <f>data_redis_illX!L1717</f>
        <v>0</v>
      </c>
      <c r="Y1916" s="5">
        <f t="shared" si="29"/>
        <v>4.1257001014017076</v>
      </c>
    </row>
    <row r="1917" spans="13:25" x14ac:dyDescent="0.25">
      <c r="P1917" s="2" t="s">
        <v>44</v>
      </c>
      <c r="Q1917" s="10">
        <f>data_redis_illX!E1718</f>
        <v>0</v>
      </c>
      <c r="R1917" s="10">
        <f>data_redis_illX!F1718</f>
        <v>0</v>
      </c>
      <c r="S1917" s="10">
        <f>data_redis_illX!G1718</f>
        <v>8.8189918833849195</v>
      </c>
      <c r="T1917" s="10">
        <f>data_redis_illX!H1718</f>
        <v>11.951406543768993</v>
      </c>
      <c r="U1917" s="10">
        <f>data_redis_illX!I1718</f>
        <v>1.3892658074604658</v>
      </c>
      <c r="V1917" s="10">
        <f>data_redis_illX!J1718</f>
        <v>0</v>
      </c>
      <c r="W1917" s="10">
        <f>data_redis_illX!K1718</f>
        <v>0</v>
      </c>
      <c r="X1917" s="10">
        <f>data_redis_illX!L1718</f>
        <v>0</v>
      </c>
      <c r="Y1917" s="5">
        <f t="shared" si="29"/>
        <v>22.159664234614379</v>
      </c>
    </row>
    <row r="1918" spans="13:25" x14ac:dyDescent="0.25">
      <c r="M1918" t="s">
        <v>115</v>
      </c>
      <c r="N1918" t="s">
        <v>117</v>
      </c>
      <c r="O1918" t="s">
        <v>47</v>
      </c>
      <c r="P1918" s="2" t="s">
        <v>12</v>
      </c>
      <c r="Q1918" s="10">
        <f>data_redis_illX!E1719</f>
        <v>0</v>
      </c>
      <c r="R1918" s="10">
        <f>data_redis_illX!F1719</f>
        <v>0</v>
      </c>
      <c r="S1918" s="10">
        <f>data_redis_illX!G1719</f>
        <v>0</v>
      </c>
      <c r="T1918" s="10">
        <f>data_redis_illX!H1719</f>
        <v>0</v>
      </c>
      <c r="U1918" s="10">
        <f>data_redis_illX!I1719</f>
        <v>0</v>
      </c>
      <c r="V1918" s="10">
        <f>data_redis_illX!J1719</f>
        <v>0</v>
      </c>
      <c r="W1918" s="10">
        <f>data_redis_illX!K1719</f>
        <v>0</v>
      </c>
      <c r="X1918" s="10">
        <f>data_redis_illX!L1719</f>
        <v>0</v>
      </c>
      <c r="Y1918" s="5">
        <f t="shared" si="29"/>
        <v>0</v>
      </c>
    </row>
    <row r="1919" spans="13:25" x14ac:dyDescent="0.25">
      <c r="P1919" s="2" t="s">
        <v>13</v>
      </c>
      <c r="Q1919" s="10">
        <f>data_redis_illX!E1720</f>
        <v>0</v>
      </c>
      <c r="R1919" s="10">
        <f>data_redis_illX!F1720</f>
        <v>0</v>
      </c>
      <c r="S1919" s="10">
        <f>data_redis_illX!G1720</f>
        <v>0</v>
      </c>
      <c r="T1919" s="10">
        <f>data_redis_illX!H1720</f>
        <v>0</v>
      </c>
      <c r="U1919" s="10">
        <f>data_redis_illX!I1720</f>
        <v>0</v>
      </c>
      <c r="V1919" s="10">
        <f>data_redis_illX!J1720</f>
        <v>0</v>
      </c>
      <c r="W1919" s="10">
        <f>data_redis_illX!K1720</f>
        <v>0</v>
      </c>
      <c r="X1919" s="10">
        <f>data_redis_illX!L1720</f>
        <v>0</v>
      </c>
      <c r="Y1919" s="5">
        <f t="shared" si="29"/>
        <v>0</v>
      </c>
    </row>
    <row r="1920" spans="13:25" x14ac:dyDescent="0.25">
      <c r="P1920" s="2" t="s">
        <v>14</v>
      </c>
      <c r="Q1920" s="10">
        <f>data_redis_illX!E1721</f>
        <v>0</v>
      </c>
      <c r="R1920" s="10">
        <f>data_redis_illX!F1721</f>
        <v>0</v>
      </c>
      <c r="S1920" s="10">
        <f>data_redis_illX!G1721</f>
        <v>0</v>
      </c>
      <c r="T1920" s="10">
        <f>data_redis_illX!H1721</f>
        <v>0</v>
      </c>
      <c r="U1920" s="10">
        <f>data_redis_illX!I1721</f>
        <v>0</v>
      </c>
      <c r="V1920" s="10">
        <f>data_redis_illX!J1721</f>
        <v>0</v>
      </c>
      <c r="W1920" s="10">
        <f>data_redis_illX!K1721</f>
        <v>0</v>
      </c>
      <c r="X1920" s="10">
        <f>data_redis_illX!L1721</f>
        <v>0</v>
      </c>
      <c r="Y1920" s="5">
        <f t="shared" si="29"/>
        <v>0</v>
      </c>
    </row>
    <row r="1921" spans="16:25" x14ac:dyDescent="0.25">
      <c r="P1921" s="2" t="s">
        <v>15</v>
      </c>
      <c r="Q1921" s="10">
        <f>data_redis_illX!E1722</f>
        <v>0</v>
      </c>
      <c r="R1921" s="10">
        <f>data_redis_illX!F1722</f>
        <v>0</v>
      </c>
      <c r="S1921" s="10">
        <f>data_redis_illX!G1722</f>
        <v>0</v>
      </c>
      <c r="T1921" s="10">
        <f>data_redis_illX!H1722</f>
        <v>0</v>
      </c>
      <c r="U1921" s="10">
        <f>data_redis_illX!I1722</f>
        <v>0</v>
      </c>
      <c r="V1921" s="10">
        <f>data_redis_illX!J1722</f>
        <v>0</v>
      </c>
      <c r="W1921" s="10">
        <f>data_redis_illX!K1722</f>
        <v>0</v>
      </c>
      <c r="X1921" s="10">
        <f>data_redis_illX!L1722</f>
        <v>0</v>
      </c>
      <c r="Y1921" s="5">
        <f t="shared" si="29"/>
        <v>0</v>
      </c>
    </row>
    <row r="1922" spans="16:25" x14ac:dyDescent="0.25">
      <c r="P1922" s="2" t="s">
        <v>16</v>
      </c>
      <c r="Q1922" s="10">
        <f>data_redis_illX!E1723</f>
        <v>0</v>
      </c>
      <c r="R1922" s="10">
        <f>data_redis_illX!F1723</f>
        <v>0</v>
      </c>
      <c r="S1922" s="10">
        <f>data_redis_illX!G1723</f>
        <v>0</v>
      </c>
      <c r="T1922" s="10">
        <f>data_redis_illX!H1723</f>
        <v>0</v>
      </c>
      <c r="U1922" s="10">
        <f>data_redis_illX!I1723</f>
        <v>0</v>
      </c>
      <c r="V1922" s="10">
        <f>data_redis_illX!J1723</f>
        <v>0</v>
      </c>
      <c r="W1922" s="10">
        <f>data_redis_illX!K1723</f>
        <v>0</v>
      </c>
      <c r="X1922" s="10">
        <f>data_redis_illX!L1723</f>
        <v>0</v>
      </c>
      <c r="Y1922" s="5">
        <f t="shared" si="29"/>
        <v>0</v>
      </c>
    </row>
    <row r="1923" spans="16:25" x14ac:dyDescent="0.25">
      <c r="P1923" s="2" t="s">
        <v>17</v>
      </c>
      <c r="Q1923" s="10">
        <f>data_redis_illX!E1724</f>
        <v>0</v>
      </c>
      <c r="R1923" s="10">
        <f>data_redis_illX!F1724</f>
        <v>0</v>
      </c>
      <c r="S1923" s="10">
        <f>data_redis_illX!G1724</f>
        <v>0</v>
      </c>
      <c r="T1923" s="10">
        <f>data_redis_illX!H1724</f>
        <v>0</v>
      </c>
      <c r="U1923" s="10">
        <f>data_redis_illX!I1724</f>
        <v>0</v>
      </c>
      <c r="V1923" s="10">
        <f>data_redis_illX!J1724</f>
        <v>0</v>
      </c>
      <c r="W1923" s="10">
        <f>data_redis_illX!K1724</f>
        <v>0</v>
      </c>
      <c r="X1923" s="10">
        <f>data_redis_illX!L1724</f>
        <v>0</v>
      </c>
      <c r="Y1923" s="5">
        <f t="shared" si="29"/>
        <v>0</v>
      </c>
    </row>
    <row r="1924" spans="16:25" x14ac:dyDescent="0.25">
      <c r="P1924" s="2" t="s">
        <v>18</v>
      </c>
      <c r="Q1924" s="10">
        <f>data_redis_illX!E1725</f>
        <v>0</v>
      </c>
      <c r="R1924" s="10">
        <f>data_redis_illX!F1725</f>
        <v>0</v>
      </c>
      <c r="S1924" s="10">
        <f>data_redis_illX!G1725</f>
        <v>0</v>
      </c>
      <c r="T1924" s="10">
        <f>data_redis_illX!H1725</f>
        <v>0</v>
      </c>
      <c r="U1924" s="10">
        <f>data_redis_illX!I1725</f>
        <v>0</v>
      </c>
      <c r="V1924" s="10">
        <f>data_redis_illX!J1725</f>
        <v>0</v>
      </c>
      <c r="W1924" s="10">
        <f>data_redis_illX!K1725</f>
        <v>0</v>
      </c>
      <c r="X1924" s="10">
        <f>data_redis_illX!L1725</f>
        <v>0</v>
      </c>
      <c r="Y1924" s="5">
        <f t="shared" si="29"/>
        <v>0</v>
      </c>
    </row>
    <row r="1925" spans="16:25" x14ac:dyDescent="0.25">
      <c r="P1925" s="2" t="s">
        <v>19</v>
      </c>
      <c r="Q1925" s="10">
        <f>data_redis_illX!E1726</f>
        <v>0</v>
      </c>
      <c r="R1925" s="10">
        <f>data_redis_illX!F1726</f>
        <v>0</v>
      </c>
      <c r="S1925" s="10">
        <f>data_redis_illX!G1726</f>
        <v>0</v>
      </c>
      <c r="T1925" s="10">
        <f>data_redis_illX!H1726</f>
        <v>0</v>
      </c>
      <c r="U1925" s="10">
        <f>data_redis_illX!I1726</f>
        <v>0</v>
      </c>
      <c r="V1925" s="10">
        <f>data_redis_illX!J1726</f>
        <v>0</v>
      </c>
      <c r="W1925" s="10">
        <f>data_redis_illX!K1726</f>
        <v>0</v>
      </c>
      <c r="X1925" s="10">
        <f>data_redis_illX!L1726</f>
        <v>0</v>
      </c>
      <c r="Y1925" s="5">
        <f t="shared" ref="Y1925:Y1988" si="30">SUM(Q1925:X1925)</f>
        <v>0</v>
      </c>
    </row>
    <row r="1926" spans="16:25" x14ac:dyDescent="0.25">
      <c r="P1926" s="2" t="s">
        <v>20</v>
      </c>
      <c r="Q1926" s="10">
        <f>data_redis_illX!E1727</f>
        <v>0</v>
      </c>
      <c r="R1926" s="10">
        <f>data_redis_illX!F1727</f>
        <v>0</v>
      </c>
      <c r="S1926" s="10">
        <f>data_redis_illX!G1727</f>
        <v>0</v>
      </c>
      <c r="T1926" s="10">
        <f>data_redis_illX!H1727</f>
        <v>0</v>
      </c>
      <c r="U1926" s="10">
        <f>data_redis_illX!I1727</f>
        <v>0</v>
      </c>
      <c r="V1926" s="10">
        <f>data_redis_illX!J1727</f>
        <v>0</v>
      </c>
      <c r="W1926" s="10">
        <f>data_redis_illX!K1727</f>
        <v>0</v>
      </c>
      <c r="X1926" s="10">
        <f>data_redis_illX!L1727</f>
        <v>0</v>
      </c>
      <c r="Y1926" s="5">
        <f t="shared" si="30"/>
        <v>0</v>
      </c>
    </row>
    <row r="1927" spans="16:25" x14ac:dyDescent="0.25">
      <c r="P1927" s="2" t="s">
        <v>21</v>
      </c>
      <c r="Q1927" s="10">
        <f>data_redis_illX!E1728</f>
        <v>0</v>
      </c>
      <c r="R1927" s="10">
        <f>data_redis_illX!F1728</f>
        <v>0</v>
      </c>
      <c r="S1927" s="10">
        <f>data_redis_illX!G1728</f>
        <v>0</v>
      </c>
      <c r="T1927" s="10">
        <f>data_redis_illX!H1728</f>
        <v>0</v>
      </c>
      <c r="U1927" s="10">
        <f>data_redis_illX!I1728</f>
        <v>0</v>
      </c>
      <c r="V1927" s="10">
        <f>data_redis_illX!J1728</f>
        <v>0</v>
      </c>
      <c r="W1927" s="10">
        <f>data_redis_illX!K1728</f>
        <v>0</v>
      </c>
      <c r="X1927" s="10">
        <f>data_redis_illX!L1728</f>
        <v>0</v>
      </c>
      <c r="Y1927" s="5">
        <f t="shared" si="30"/>
        <v>0</v>
      </c>
    </row>
    <row r="1928" spans="16:25" x14ac:dyDescent="0.25">
      <c r="P1928" s="2" t="s">
        <v>22</v>
      </c>
      <c r="Q1928" s="10">
        <f>data_redis_illX!E1729</f>
        <v>0</v>
      </c>
      <c r="R1928" s="10">
        <f>data_redis_illX!F1729</f>
        <v>0</v>
      </c>
      <c r="S1928" s="10">
        <f>data_redis_illX!G1729</f>
        <v>0</v>
      </c>
      <c r="T1928" s="10">
        <f>data_redis_illX!H1729</f>
        <v>0</v>
      </c>
      <c r="U1928" s="10">
        <f>data_redis_illX!I1729</f>
        <v>0</v>
      </c>
      <c r="V1928" s="10">
        <f>data_redis_illX!J1729</f>
        <v>0</v>
      </c>
      <c r="W1928" s="10">
        <f>data_redis_illX!K1729</f>
        <v>0</v>
      </c>
      <c r="X1928" s="10">
        <f>data_redis_illX!L1729</f>
        <v>0</v>
      </c>
      <c r="Y1928" s="5">
        <f t="shared" si="30"/>
        <v>0</v>
      </c>
    </row>
    <row r="1929" spans="16:25" x14ac:dyDescent="0.25">
      <c r="P1929" s="2" t="s">
        <v>23</v>
      </c>
      <c r="Q1929" s="10">
        <f>data_redis_illX!E1730</f>
        <v>0</v>
      </c>
      <c r="R1929" s="10">
        <f>data_redis_illX!F1730</f>
        <v>0</v>
      </c>
      <c r="S1929" s="10">
        <f>data_redis_illX!G1730</f>
        <v>0</v>
      </c>
      <c r="T1929" s="10">
        <f>data_redis_illX!H1730</f>
        <v>0</v>
      </c>
      <c r="U1929" s="10">
        <f>data_redis_illX!I1730</f>
        <v>0</v>
      </c>
      <c r="V1929" s="10">
        <f>data_redis_illX!J1730</f>
        <v>0</v>
      </c>
      <c r="W1929" s="10">
        <f>data_redis_illX!K1730</f>
        <v>0</v>
      </c>
      <c r="X1929" s="10">
        <f>data_redis_illX!L1730</f>
        <v>0</v>
      </c>
      <c r="Y1929" s="5">
        <f t="shared" si="30"/>
        <v>0</v>
      </c>
    </row>
    <row r="1930" spans="16:25" x14ac:dyDescent="0.25">
      <c r="P1930" s="2" t="s">
        <v>24</v>
      </c>
      <c r="Q1930" s="10">
        <f>data_redis_illX!E1731</f>
        <v>0</v>
      </c>
      <c r="R1930" s="10">
        <f>data_redis_illX!F1731</f>
        <v>0</v>
      </c>
      <c r="S1930" s="10">
        <f>data_redis_illX!G1731</f>
        <v>0</v>
      </c>
      <c r="T1930" s="10">
        <f>data_redis_illX!H1731</f>
        <v>0</v>
      </c>
      <c r="U1930" s="10">
        <f>data_redis_illX!I1731</f>
        <v>0</v>
      </c>
      <c r="V1930" s="10">
        <f>data_redis_illX!J1731</f>
        <v>0</v>
      </c>
      <c r="W1930" s="10">
        <f>data_redis_illX!K1731</f>
        <v>0</v>
      </c>
      <c r="X1930" s="10">
        <f>data_redis_illX!L1731</f>
        <v>0</v>
      </c>
      <c r="Y1930" s="5">
        <f t="shared" si="30"/>
        <v>0</v>
      </c>
    </row>
    <row r="1931" spans="16:25" x14ac:dyDescent="0.25">
      <c r="P1931" s="2" t="s">
        <v>25</v>
      </c>
      <c r="Q1931" s="10">
        <f>data_redis_illX!E1732</f>
        <v>0</v>
      </c>
      <c r="R1931" s="10">
        <f>data_redis_illX!F1732</f>
        <v>0</v>
      </c>
      <c r="S1931" s="10">
        <f>data_redis_illX!G1732</f>
        <v>0</v>
      </c>
      <c r="T1931" s="10">
        <f>data_redis_illX!H1732</f>
        <v>0</v>
      </c>
      <c r="U1931" s="10">
        <f>data_redis_illX!I1732</f>
        <v>0</v>
      </c>
      <c r="V1931" s="10">
        <f>data_redis_illX!J1732</f>
        <v>0</v>
      </c>
      <c r="W1931" s="10">
        <f>data_redis_illX!K1732</f>
        <v>0</v>
      </c>
      <c r="X1931" s="10">
        <f>data_redis_illX!L1732</f>
        <v>0</v>
      </c>
      <c r="Y1931" s="5">
        <f t="shared" si="30"/>
        <v>0</v>
      </c>
    </row>
    <row r="1932" spans="16:25" x14ac:dyDescent="0.25">
      <c r="P1932" s="2" t="s">
        <v>26</v>
      </c>
      <c r="Q1932" s="10">
        <f>data_redis_illX!E1733</f>
        <v>0</v>
      </c>
      <c r="R1932" s="10">
        <f>data_redis_illX!F1733</f>
        <v>0</v>
      </c>
      <c r="S1932" s="10">
        <f>data_redis_illX!G1733</f>
        <v>0</v>
      </c>
      <c r="T1932" s="10">
        <f>data_redis_illX!H1733</f>
        <v>0</v>
      </c>
      <c r="U1932" s="10">
        <f>data_redis_illX!I1733</f>
        <v>0</v>
      </c>
      <c r="V1932" s="10">
        <f>data_redis_illX!J1733</f>
        <v>0</v>
      </c>
      <c r="W1932" s="10">
        <f>data_redis_illX!K1733</f>
        <v>0</v>
      </c>
      <c r="X1932" s="10">
        <f>data_redis_illX!L1733</f>
        <v>0</v>
      </c>
      <c r="Y1932" s="5">
        <f t="shared" si="30"/>
        <v>0</v>
      </c>
    </row>
    <row r="1933" spans="16:25" x14ac:dyDescent="0.25">
      <c r="P1933" s="2" t="s">
        <v>27</v>
      </c>
      <c r="Q1933" s="10">
        <f>data_redis_illX!E1734</f>
        <v>0</v>
      </c>
      <c r="R1933" s="10">
        <f>data_redis_illX!F1734</f>
        <v>0</v>
      </c>
      <c r="S1933" s="10">
        <f>data_redis_illX!G1734</f>
        <v>0</v>
      </c>
      <c r="T1933" s="10">
        <f>data_redis_illX!H1734</f>
        <v>0</v>
      </c>
      <c r="U1933" s="10">
        <f>data_redis_illX!I1734</f>
        <v>0</v>
      </c>
      <c r="V1933" s="10">
        <f>data_redis_illX!J1734</f>
        <v>0</v>
      </c>
      <c r="W1933" s="10">
        <f>data_redis_illX!K1734</f>
        <v>0</v>
      </c>
      <c r="X1933" s="10">
        <f>data_redis_illX!L1734</f>
        <v>0</v>
      </c>
      <c r="Y1933" s="5">
        <f t="shared" si="30"/>
        <v>0</v>
      </c>
    </row>
    <row r="1934" spans="16:25" x14ac:dyDescent="0.25">
      <c r="P1934" s="2" t="s">
        <v>28</v>
      </c>
      <c r="Q1934" s="10">
        <f>data_redis_illX!E1735</f>
        <v>0</v>
      </c>
      <c r="R1934" s="10">
        <f>data_redis_illX!F1735</f>
        <v>0</v>
      </c>
      <c r="S1934" s="10">
        <f>data_redis_illX!G1735</f>
        <v>0</v>
      </c>
      <c r="T1934" s="10">
        <f>data_redis_illX!H1735</f>
        <v>0</v>
      </c>
      <c r="U1934" s="10">
        <f>data_redis_illX!I1735</f>
        <v>0</v>
      </c>
      <c r="V1934" s="10">
        <f>data_redis_illX!J1735</f>
        <v>0</v>
      </c>
      <c r="W1934" s="10">
        <f>data_redis_illX!K1735</f>
        <v>0</v>
      </c>
      <c r="X1934" s="10">
        <f>data_redis_illX!L1735</f>
        <v>0</v>
      </c>
      <c r="Y1934" s="5">
        <f t="shared" si="30"/>
        <v>0</v>
      </c>
    </row>
    <row r="1935" spans="16:25" x14ac:dyDescent="0.25">
      <c r="P1935" s="2" t="s">
        <v>29</v>
      </c>
      <c r="Q1935" s="10">
        <f>data_redis_illX!E1736</f>
        <v>0</v>
      </c>
      <c r="R1935" s="10">
        <f>data_redis_illX!F1736</f>
        <v>0</v>
      </c>
      <c r="S1935" s="10">
        <f>data_redis_illX!G1736</f>
        <v>0</v>
      </c>
      <c r="T1935" s="10">
        <f>data_redis_illX!H1736</f>
        <v>0</v>
      </c>
      <c r="U1935" s="10">
        <f>data_redis_illX!I1736</f>
        <v>0</v>
      </c>
      <c r="V1935" s="10">
        <f>data_redis_illX!J1736</f>
        <v>0</v>
      </c>
      <c r="W1935" s="10">
        <f>data_redis_illX!K1736</f>
        <v>0</v>
      </c>
      <c r="X1935" s="10">
        <f>data_redis_illX!L1736</f>
        <v>0</v>
      </c>
      <c r="Y1935" s="5">
        <f t="shared" si="30"/>
        <v>0</v>
      </c>
    </row>
    <row r="1936" spans="16:25" x14ac:dyDescent="0.25">
      <c r="P1936" s="2" t="s">
        <v>30</v>
      </c>
      <c r="Q1936" s="10">
        <f>data_redis_illX!E1737</f>
        <v>0</v>
      </c>
      <c r="R1936" s="10">
        <f>data_redis_illX!F1737</f>
        <v>0</v>
      </c>
      <c r="S1936" s="10">
        <f>data_redis_illX!G1737</f>
        <v>0</v>
      </c>
      <c r="T1936" s="10">
        <f>data_redis_illX!H1737</f>
        <v>0</v>
      </c>
      <c r="U1936" s="10">
        <f>data_redis_illX!I1737</f>
        <v>0</v>
      </c>
      <c r="V1936" s="10">
        <f>data_redis_illX!J1737</f>
        <v>0</v>
      </c>
      <c r="W1936" s="10">
        <f>data_redis_illX!K1737</f>
        <v>0</v>
      </c>
      <c r="X1936" s="10">
        <f>data_redis_illX!L1737</f>
        <v>0</v>
      </c>
      <c r="Y1936" s="5">
        <f t="shared" si="30"/>
        <v>0</v>
      </c>
    </row>
    <row r="1937" spans="13:25" x14ac:dyDescent="0.25">
      <c r="P1937" s="2" t="s">
        <v>31</v>
      </c>
      <c r="Q1937" s="10">
        <f>data_redis_illX!E1738</f>
        <v>0</v>
      </c>
      <c r="R1937" s="10">
        <f>data_redis_illX!F1738</f>
        <v>0</v>
      </c>
      <c r="S1937" s="10">
        <f>data_redis_illX!G1738</f>
        <v>0</v>
      </c>
      <c r="T1937" s="10">
        <f>data_redis_illX!H1738</f>
        <v>0</v>
      </c>
      <c r="U1937" s="10">
        <f>data_redis_illX!I1738</f>
        <v>0</v>
      </c>
      <c r="V1937" s="10">
        <f>data_redis_illX!J1738</f>
        <v>0</v>
      </c>
      <c r="W1937" s="10">
        <f>data_redis_illX!K1738</f>
        <v>0</v>
      </c>
      <c r="X1937" s="10">
        <f>data_redis_illX!L1738</f>
        <v>0</v>
      </c>
      <c r="Y1937" s="5">
        <f t="shared" si="30"/>
        <v>0</v>
      </c>
    </row>
    <row r="1938" spans="13:25" x14ac:dyDescent="0.25">
      <c r="P1938" s="2" t="s">
        <v>32</v>
      </c>
      <c r="Q1938" s="10">
        <f>data_redis_illX!E1739</f>
        <v>0</v>
      </c>
      <c r="R1938" s="10">
        <f>data_redis_illX!F1739</f>
        <v>0</v>
      </c>
      <c r="S1938" s="10">
        <f>data_redis_illX!G1739</f>
        <v>0</v>
      </c>
      <c r="T1938" s="10">
        <f>data_redis_illX!H1739</f>
        <v>0</v>
      </c>
      <c r="U1938" s="10">
        <f>data_redis_illX!I1739</f>
        <v>0</v>
      </c>
      <c r="V1938" s="10">
        <f>data_redis_illX!J1739</f>
        <v>0</v>
      </c>
      <c r="W1938" s="10">
        <f>data_redis_illX!K1739</f>
        <v>0</v>
      </c>
      <c r="X1938" s="10">
        <f>data_redis_illX!L1739</f>
        <v>0</v>
      </c>
      <c r="Y1938" s="5">
        <f t="shared" si="30"/>
        <v>0</v>
      </c>
    </row>
    <row r="1939" spans="13:25" x14ac:dyDescent="0.25">
      <c r="P1939" s="2" t="s">
        <v>33</v>
      </c>
      <c r="Q1939" s="10">
        <f>data_redis_illX!E1740</f>
        <v>0</v>
      </c>
      <c r="R1939" s="10">
        <f>data_redis_illX!F1740</f>
        <v>0</v>
      </c>
      <c r="S1939" s="10">
        <f>data_redis_illX!G1740</f>
        <v>0</v>
      </c>
      <c r="T1939" s="10">
        <f>data_redis_illX!H1740</f>
        <v>0</v>
      </c>
      <c r="U1939" s="10">
        <f>data_redis_illX!I1740</f>
        <v>0</v>
      </c>
      <c r="V1939" s="10">
        <f>data_redis_illX!J1740</f>
        <v>0</v>
      </c>
      <c r="W1939" s="10">
        <f>data_redis_illX!K1740</f>
        <v>0</v>
      </c>
      <c r="X1939" s="10">
        <f>data_redis_illX!L1740</f>
        <v>0</v>
      </c>
      <c r="Y1939" s="5">
        <f t="shared" si="30"/>
        <v>0</v>
      </c>
    </row>
    <row r="1940" spans="13:25" x14ac:dyDescent="0.25">
      <c r="P1940" s="2" t="s">
        <v>34</v>
      </c>
      <c r="Q1940" s="10">
        <f>data_redis_illX!E1741</f>
        <v>0</v>
      </c>
      <c r="R1940" s="10">
        <f>data_redis_illX!F1741</f>
        <v>0</v>
      </c>
      <c r="S1940" s="10">
        <f>data_redis_illX!G1741</f>
        <v>0</v>
      </c>
      <c r="T1940" s="10">
        <f>data_redis_illX!H1741</f>
        <v>0</v>
      </c>
      <c r="U1940" s="10">
        <f>data_redis_illX!I1741</f>
        <v>0</v>
      </c>
      <c r="V1940" s="10">
        <f>data_redis_illX!J1741</f>
        <v>0</v>
      </c>
      <c r="W1940" s="10">
        <f>data_redis_illX!K1741</f>
        <v>0</v>
      </c>
      <c r="X1940" s="10">
        <f>data_redis_illX!L1741</f>
        <v>0</v>
      </c>
      <c r="Y1940" s="5">
        <f t="shared" si="30"/>
        <v>0</v>
      </c>
    </row>
    <row r="1941" spans="13:25" x14ac:dyDescent="0.25">
      <c r="P1941" s="2" t="s">
        <v>35</v>
      </c>
      <c r="Q1941" s="10">
        <f>data_redis_illX!E1742</f>
        <v>0</v>
      </c>
      <c r="R1941" s="10">
        <f>data_redis_illX!F1742</f>
        <v>0</v>
      </c>
      <c r="S1941" s="10">
        <f>data_redis_illX!G1742</f>
        <v>0</v>
      </c>
      <c r="T1941" s="10">
        <f>data_redis_illX!H1742</f>
        <v>0</v>
      </c>
      <c r="U1941" s="10">
        <f>data_redis_illX!I1742</f>
        <v>0</v>
      </c>
      <c r="V1941" s="10">
        <f>data_redis_illX!J1742</f>
        <v>0</v>
      </c>
      <c r="W1941" s="10">
        <f>data_redis_illX!K1742</f>
        <v>0</v>
      </c>
      <c r="X1941" s="10">
        <f>data_redis_illX!L1742</f>
        <v>0</v>
      </c>
      <c r="Y1941" s="5">
        <f t="shared" si="30"/>
        <v>0</v>
      </c>
    </row>
    <row r="1942" spans="13:25" x14ac:dyDescent="0.25">
      <c r="P1942" s="2" t="s">
        <v>36</v>
      </c>
      <c r="Q1942" s="10">
        <f>data_redis_illX!E1743</f>
        <v>0</v>
      </c>
      <c r="R1942" s="10">
        <f>data_redis_illX!F1743</f>
        <v>0</v>
      </c>
      <c r="S1942" s="10">
        <f>data_redis_illX!G1743</f>
        <v>0</v>
      </c>
      <c r="T1942" s="10">
        <f>data_redis_illX!H1743</f>
        <v>0</v>
      </c>
      <c r="U1942" s="10">
        <f>data_redis_illX!I1743</f>
        <v>0</v>
      </c>
      <c r="V1942" s="10">
        <f>data_redis_illX!J1743</f>
        <v>0</v>
      </c>
      <c r="W1942" s="10">
        <f>data_redis_illX!K1743</f>
        <v>0</v>
      </c>
      <c r="X1942" s="10">
        <f>data_redis_illX!L1743</f>
        <v>0</v>
      </c>
      <c r="Y1942" s="5">
        <f t="shared" si="30"/>
        <v>0</v>
      </c>
    </row>
    <row r="1943" spans="13:25" x14ac:dyDescent="0.25">
      <c r="P1943" s="2" t="s">
        <v>37</v>
      </c>
      <c r="Q1943" s="10">
        <f>data_redis_illX!E1744</f>
        <v>0</v>
      </c>
      <c r="R1943" s="10">
        <f>data_redis_illX!F1744</f>
        <v>0</v>
      </c>
      <c r="S1943" s="10">
        <f>data_redis_illX!G1744</f>
        <v>0</v>
      </c>
      <c r="T1943" s="10">
        <f>data_redis_illX!H1744</f>
        <v>0</v>
      </c>
      <c r="U1943" s="10">
        <f>data_redis_illX!I1744</f>
        <v>0</v>
      </c>
      <c r="V1943" s="10">
        <f>data_redis_illX!J1744</f>
        <v>0</v>
      </c>
      <c r="W1943" s="10">
        <f>data_redis_illX!K1744</f>
        <v>0</v>
      </c>
      <c r="X1943" s="10">
        <f>data_redis_illX!L1744</f>
        <v>0</v>
      </c>
      <c r="Y1943" s="5">
        <f t="shared" si="30"/>
        <v>0</v>
      </c>
    </row>
    <row r="1944" spans="13:25" x14ac:dyDescent="0.25">
      <c r="P1944" s="2" t="s">
        <v>38</v>
      </c>
      <c r="Q1944" s="10">
        <f>data_redis_illX!E1745</f>
        <v>0</v>
      </c>
      <c r="R1944" s="10">
        <f>data_redis_illX!F1745</f>
        <v>0</v>
      </c>
      <c r="S1944" s="10">
        <f>data_redis_illX!G1745</f>
        <v>0</v>
      </c>
      <c r="T1944" s="10">
        <f>data_redis_illX!H1745</f>
        <v>0</v>
      </c>
      <c r="U1944" s="10">
        <f>data_redis_illX!I1745</f>
        <v>0</v>
      </c>
      <c r="V1944" s="10">
        <f>data_redis_illX!J1745</f>
        <v>0</v>
      </c>
      <c r="W1944" s="10">
        <f>data_redis_illX!K1745</f>
        <v>0</v>
      </c>
      <c r="X1944" s="10">
        <f>data_redis_illX!L1745</f>
        <v>0</v>
      </c>
      <c r="Y1944" s="5">
        <f t="shared" si="30"/>
        <v>0</v>
      </c>
    </row>
    <row r="1945" spans="13:25" x14ac:dyDescent="0.25">
      <c r="P1945" s="2" t="s">
        <v>39</v>
      </c>
      <c r="Q1945" s="10">
        <f>data_redis_illX!E1746</f>
        <v>0</v>
      </c>
      <c r="R1945" s="10">
        <f>data_redis_illX!F1746</f>
        <v>0</v>
      </c>
      <c r="S1945" s="10">
        <f>data_redis_illX!G1746</f>
        <v>0</v>
      </c>
      <c r="T1945" s="10">
        <f>data_redis_illX!H1746</f>
        <v>0</v>
      </c>
      <c r="U1945" s="10">
        <f>data_redis_illX!I1746</f>
        <v>0</v>
      </c>
      <c r="V1945" s="10">
        <f>data_redis_illX!J1746</f>
        <v>0</v>
      </c>
      <c r="W1945" s="10">
        <f>data_redis_illX!K1746</f>
        <v>0</v>
      </c>
      <c r="X1945" s="10">
        <f>data_redis_illX!L1746</f>
        <v>0</v>
      </c>
      <c r="Y1945" s="5">
        <f t="shared" si="30"/>
        <v>0</v>
      </c>
    </row>
    <row r="1946" spans="13:25" x14ac:dyDescent="0.25">
      <c r="P1946" s="2" t="s">
        <v>40</v>
      </c>
      <c r="Q1946" s="10">
        <f>data_redis_illX!E1747</f>
        <v>0</v>
      </c>
      <c r="R1946" s="10">
        <f>data_redis_illX!F1747</f>
        <v>0</v>
      </c>
      <c r="S1946" s="10">
        <f>data_redis_illX!G1747</f>
        <v>0</v>
      </c>
      <c r="T1946" s="10">
        <f>data_redis_illX!H1747</f>
        <v>0</v>
      </c>
      <c r="U1946" s="10">
        <f>data_redis_illX!I1747</f>
        <v>0</v>
      </c>
      <c r="V1946" s="10">
        <f>data_redis_illX!J1747</f>
        <v>0</v>
      </c>
      <c r="W1946" s="10">
        <f>data_redis_illX!K1747</f>
        <v>0</v>
      </c>
      <c r="X1946" s="10">
        <f>data_redis_illX!L1747</f>
        <v>0</v>
      </c>
      <c r="Y1946" s="5">
        <f t="shared" si="30"/>
        <v>0</v>
      </c>
    </row>
    <row r="1947" spans="13:25" x14ac:dyDescent="0.25">
      <c r="P1947" s="2" t="s">
        <v>41</v>
      </c>
      <c r="Q1947" s="10">
        <f>data_redis_illX!E1748</f>
        <v>0</v>
      </c>
      <c r="R1947" s="10">
        <f>data_redis_illX!F1748</f>
        <v>0</v>
      </c>
      <c r="S1947" s="10">
        <f>data_redis_illX!G1748</f>
        <v>0</v>
      </c>
      <c r="T1947" s="10">
        <f>data_redis_illX!H1748</f>
        <v>0</v>
      </c>
      <c r="U1947" s="10">
        <f>data_redis_illX!I1748</f>
        <v>0</v>
      </c>
      <c r="V1947" s="10">
        <f>data_redis_illX!J1748</f>
        <v>0</v>
      </c>
      <c r="W1947" s="10">
        <f>data_redis_illX!K1748</f>
        <v>0</v>
      </c>
      <c r="X1947" s="10">
        <f>data_redis_illX!L1748</f>
        <v>0</v>
      </c>
      <c r="Y1947" s="5">
        <f t="shared" si="30"/>
        <v>0</v>
      </c>
    </row>
    <row r="1948" spans="13:25" x14ac:dyDescent="0.25">
      <c r="P1948" s="2" t="s">
        <v>42</v>
      </c>
      <c r="Q1948" s="10">
        <f>data_redis_illX!E1749</f>
        <v>0</v>
      </c>
      <c r="R1948" s="10">
        <f>data_redis_illX!F1749</f>
        <v>0</v>
      </c>
      <c r="S1948" s="10">
        <f>data_redis_illX!G1749</f>
        <v>0</v>
      </c>
      <c r="T1948" s="10">
        <f>data_redis_illX!H1749</f>
        <v>0</v>
      </c>
      <c r="U1948" s="10">
        <f>data_redis_illX!I1749</f>
        <v>0</v>
      </c>
      <c r="V1948" s="10">
        <f>data_redis_illX!J1749</f>
        <v>0</v>
      </c>
      <c r="W1948" s="10">
        <f>data_redis_illX!K1749</f>
        <v>0</v>
      </c>
      <c r="X1948" s="10">
        <f>data_redis_illX!L1749</f>
        <v>0</v>
      </c>
      <c r="Y1948" s="5">
        <f t="shared" si="30"/>
        <v>0</v>
      </c>
    </row>
    <row r="1949" spans="13:25" x14ac:dyDescent="0.25">
      <c r="P1949" s="2" t="s">
        <v>43</v>
      </c>
      <c r="Q1949" s="10">
        <f>data_redis_illX!E1750</f>
        <v>0</v>
      </c>
      <c r="R1949" s="10">
        <f>data_redis_illX!F1750</f>
        <v>0</v>
      </c>
      <c r="S1949" s="10">
        <f>data_redis_illX!G1750</f>
        <v>0</v>
      </c>
      <c r="T1949" s="10">
        <f>data_redis_illX!H1750</f>
        <v>0</v>
      </c>
      <c r="U1949" s="10">
        <f>data_redis_illX!I1750</f>
        <v>1.001563721657545</v>
      </c>
      <c r="V1949" s="10">
        <f>data_redis_illX!J1750</f>
        <v>0</v>
      </c>
      <c r="W1949" s="10">
        <f>data_redis_illX!K1750</f>
        <v>0</v>
      </c>
      <c r="X1949" s="10">
        <f>data_redis_illX!L1750</f>
        <v>0</v>
      </c>
      <c r="Y1949" s="5">
        <f t="shared" si="30"/>
        <v>1.001563721657545</v>
      </c>
    </row>
    <row r="1950" spans="13:25" x14ac:dyDescent="0.25">
      <c r="P1950" s="2" t="s">
        <v>44</v>
      </c>
      <c r="Q1950" s="10">
        <f>data_redis_illX!E1751</f>
        <v>0</v>
      </c>
      <c r="R1950" s="10">
        <f>data_redis_illX!F1751</f>
        <v>0</v>
      </c>
      <c r="S1950" s="10">
        <f>data_redis_illX!G1751</f>
        <v>0</v>
      </c>
      <c r="T1950" s="10">
        <f>data_redis_illX!H1751</f>
        <v>0</v>
      </c>
      <c r="U1950" s="10">
        <f>data_redis_illX!I1751</f>
        <v>0</v>
      </c>
      <c r="V1950" s="10">
        <f>data_redis_illX!J1751</f>
        <v>0</v>
      </c>
      <c r="W1950" s="10">
        <f>data_redis_illX!K1751</f>
        <v>0</v>
      </c>
      <c r="X1950" s="10">
        <f>data_redis_illX!L1751</f>
        <v>0</v>
      </c>
      <c r="Y1950" s="5">
        <f t="shared" si="30"/>
        <v>0</v>
      </c>
    </row>
    <row r="1951" spans="13:25" x14ac:dyDescent="0.25">
      <c r="M1951" t="s">
        <v>115</v>
      </c>
      <c r="N1951" t="s">
        <v>117</v>
      </c>
      <c r="O1951" t="s">
        <v>48</v>
      </c>
      <c r="P1951" s="2" t="s">
        <v>12</v>
      </c>
      <c r="Q1951" s="10">
        <f>data_redis_illX!E1752</f>
        <v>0</v>
      </c>
      <c r="R1951" s="10">
        <f>data_redis_illX!F1752</f>
        <v>0</v>
      </c>
      <c r="S1951" s="10">
        <f>data_redis_illX!G1752</f>
        <v>0</v>
      </c>
      <c r="T1951" s="10">
        <f>data_redis_illX!H1752</f>
        <v>0</v>
      </c>
      <c r="U1951" s="10">
        <f>data_redis_illX!I1752</f>
        <v>0</v>
      </c>
      <c r="V1951" s="10">
        <f>data_redis_illX!J1752</f>
        <v>0</v>
      </c>
      <c r="W1951" s="10">
        <f>data_redis_illX!K1752</f>
        <v>0</v>
      </c>
      <c r="X1951" s="10">
        <f>data_redis_illX!L1752</f>
        <v>0</v>
      </c>
      <c r="Y1951" s="5">
        <f t="shared" si="30"/>
        <v>0</v>
      </c>
    </row>
    <row r="1952" spans="13:25" x14ac:dyDescent="0.25">
      <c r="P1952" s="2" t="s">
        <v>13</v>
      </c>
      <c r="Q1952" s="10">
        <f>data_redis_illX!E1753</f>
        <v>0</v>
      </c>
      <c r="R1952" s="10">
        <f>data_redis_illX!F1753</f>
        <v>0</v>
      </c>
      <c r="S1952" s="10">
        <f>data_redis_illX!G1753</f>
        <v>0</v>
      </c>
      <c r="T1952" s="10">
        <f>data_redis_illX!H1753</f>
        <v>0</v>
      </c>
      <c r="U1952" s="10">
        <f>data_redis_illX!I1753</f>
        <v>0</v>
      </c>
      <c r="V1952" s="10">
        <f>data_redis_illX!J1753</f>
        <v>0</v>
      </c>
      <c r="W1952" s="10">
        <f>data_redis_illX!K1753</f>
        <v>0</v>
      </c>
      <c r="X1952" s="10">
        <f>data_redis_illX!L1753</f>
        <v>0</v>
      </c>
      <c r="Y1952" s="5">
        <f t="shared" si="30"/>
        <v>0</v>
      </c>
    </row>
    <row r="1953" spans="16:25" x14ac:dyDescent="0.25">
      <c r="P1953" s="2" t="s">
        <v>14</v>
      </c>
      <c r="Q1953" s="10">
        <f>data_redis_illX!E1754</f>
        <v>0</v>
      </c>
      <c r="R1953" s="10">
        <f>data_redis_illX!F1754</f>
        <v>0</v>
      </c>
      <c r="S1953" s="10">
        <f>data_redis_illX!G1754</f>
        <v>0</v>
      </c>
      <c r="T1953" s="10">
        <f>data_redis_illX!H1754</f>
        <v>0</v>
      </c>
      <c r="U1953" s="10">
        <f>data_redis_illX!I1754</f>
        <v>0</v>
      </c>
      <c r="V1953" s="10">
        <f>data_redis_illX!J1754</f>
        <v>0</v>
      </c>
      <c r="W1953" s="10">
        <f>data_redis_illX!K1754</f>
        <v>0</v>
      </c>
      <c r="X1953" s="10">
        <f>data_redis_illX!L1754</f>
        <v>0</v>
      </c>
      <c r="Y1953" s="5">
        <f t="shared" si="30"/>
        <v>0</v>
      </c>
    </row>
    <row r="1954" spans="16:25" x14ac:dyDescent="0.25">
      <c r="P1954" s="2" t="s">
        <v>15</v>
      </c>
      <c r="Q1954" s="10">
        <f>data_redis_illX!E1755</f>
        <v>0</v>
      </c>
      <c r="R1954" s="10">
        <f>data_redis_illX!F1755</f>
        <v>0</v>
      </c>
      <c r="S1954" s="10">
        <f>data_redis_illX!G1755</f>
        <v>0</v>
      </c>
      <c r="T1954" s="10">
        <f>data_redis_illX!H1755</f>
        <v>0</v>
      </c>
      <c r="U1954" s="10">
        <f>data_redis_illX!I1755</f>
        <v>0</v>
      </c>
      <c r="V1954" s="10">
        <f>data_redis_illX!J1755</f>
        <v>0</v>
      </c>
      <c r="W1954" s="10">
        <f>data_redis_illX!K1755</f>
        <v>0</v>
      </c>
      <c r="X1954" s="10">
        <f>data_redis_illX!L1755</f>
        <v>0</v>
      </c>
      <c r="Y1954" s="5">
        <f t="shared" si="30"/>
        <v>0</v>
      </c>
    </row>
    <row r="1955" spans="16:25" x14ac:dyDescent="0.25">
      <c r="P1955" s="2" t="s">
        <v>16</v>
      </c>
      <c r="Q1955" s="10">
        <f>data_redis_illX!E1756</f>
        <v>0</v>
      </c>
      <c r="R1955" s="10">
        <f>data_redis_illX!F1756</f>
        <v>0</v>
      </c>
      <c r="S1955" s="10">
        <f>data_redis_illX!G1756</f>
        <v>0</v>
      </c>
      <c r="T1955" s="10">
        <f>data_redis_illX!H1756</f>
        <v>0</v>
      </c>
      <c r="U1955" s="10">
        <f>data_redis_illX!I1756</f>
        <v>0</v>
      </c>
      <c r="V1955" s="10">
        <f>data_redis_illX!J1756</f>
        <v>0</v>
      </c>
      <c r="W1955" s="10">
        <f>data_redis_illX!K1756</f>
        <v>0</v>
      </c>
      <c r="X1955" s="10">
        <f>data_redis_illX!L1756</f>
        <v>0</v>
      </c>
      <c r="Y1955" s="5">
        <f t="shared" si="30"/>
        <v>0</v>
      </c>
    </row>
    <row r="1956" spans="16:25" x14ac:dyDescent="0.25">
      <c r="P1956" s="2" t="s">
        <v>17</v>
      </c>
      <c r="Q1956" s="10">
        <f>data_redis_illX!E1757</f>
        <v>0</v>
      </c>
      <c r="R1956" s="10">
        <f>data_redis_illX!F1757</f>
        <v>0</v>
      </c>
      <c r="S1956" s="10">
        <f>data_redis_illX!G1757</f>
        <v>0</v>
      </c>
      <c r="T1956" s="10">
        <f>data_redis_illX!H1757</f>
        <v>0</v>
      </c>
      <c r="U1956" s="10">
        <f>data_redis_illX!I1757</f>
        <v>0</v>
      </c>
      <c r="V1956" s="10">
        <f>data_redis_illX!J1757</f>
        <v>0</v>
      </c>
      <c r="W1956" s="10">
        <f>data_redis_illX!K1757</f>
        <v>0</v>
      </c>
      <c r="X1956" s="10">
        <f>data_redis_illX!L1757</f>
        <v>0</v>
      </c>
      <c r="Y1956" s="5">
        <f t="shared" si="30"/>
        <v>0</v>
      </c>
    </row>
    <row r="1957" spans="16:25" x14ac:dyDescent="0.25">
      <c r="P1957" s="2" t="s">
        <v>18</v>
      </c>
      <c r="Q1957" s="10">
        <f>data_redis_illX!E1758</f>
        <v>0</v>
      </c>
      <c r="R1957" s="10">
        <f>data_redis_illX!F1758</f>
        <v>0</v>
      </c>
      <c r="S1957" s="10">
        <f>data_redis_illX!G1758</f>
        <v>0</v>
      </c>
      <c r="T1957" s="10">
        <f>data_redis_illX!H1758</f>
        <v>0</v>
      </c>
      <c r="U1957" s="10">
        <f>data_redis_illX!I1758</f>
        <v>0</v>
      </c>
      <c r="V1957" s="10">
        <f>data_redis_illX!J1758</f>
        <v>0</v>
      </c>
      <c r="W1957" s="10">
        <f>data_redis_illX!K1758</f>
        <v>0</v>
      </c>
      <c r="X1957" s="10">
        <f>data_redis_illX!L1758</f>
        <v>0</v>
      </c>
      <c r="Y1957" s="5">
        <f t="shared" si="30"/>
        <v>0</v>
      </c>
    </row>
    <row r="1958" spans="16:25" x14ac:dyDescent="0.25">
      <c r="P1958" s="2" t="s">
        <v>19</v>
      </c>
      <c r="Q1958" s="10">
        <f>data_redis_illX!E1759</f>
        <v>0</v>
      </c>
      <c r="R1958" s="10">
        <f>data_redis_illX!F1759</f>
        <v>0</v>
      </c>
      <c r="S1958" s="10">
        <f>data_redis_illX!G1759</f>
        <v>0</v>
      </c>
      <c r="T1958" s="10">
        <f>data_redis_illX!H1759</f>
        <v>0</v>
      </c>
      <c r="U1958" s="10">
        <f>data_redis_illX!I1759</f>
        <v>0</v>
      </c>
      <c r="V1958" s="10">
        <f>data_redis_illX!J1759</f>
        <v>0</v>
      </c>
      <c r="W1958" s="10">
        <f>data_redis_illX!K1759</f>
        <v>0</v>
      </c>
      <c r="X1958" s="10">
        <f>data_redis_illX!L1759</f>
        <v>0</v>
      </c>
      <c r="Y1958" s="5">
        <f t="shared" si="30"/>
        <v>0</v>
      </c>
    </row>
    <row r="1959" spans="16:25" x14ac:dyDescent="0.25">
      <c r="P1959" s="2" t="s">
        <v>20</v>
      </c>
      <c r="Q1959" s="10">
        <f>data_redis_illX!E1760</f>
        <v>0</v>
      </c>
      <c r="R1959" s="10">
        <f>data_redis_illX!F1760</f>
        <v>0</v>
      </c>
      <c r="S1959" s="10">
        <f>data_redis_illX!G1760</f>
        <v>0</v>
      </c>
      <c r="T1959" s="10">
        <f>data_redis_illX!H1760</f>
        <v>0</v>
      </c>
      <c r="U1959" s="10">
        <f>data_redis_illX!I1760</f>
        <v>0</v>
      </c>
      <c r="V1959" s="10">
        <f>data_redis_illX!J1760</f>
        <v>0</v>
      </c>
      <c r="W1959" s="10">
        <f>data_redis_illX!K1760</f>
        <v>0</v>
      </c>
      <c r="X1959" s="10">
        <f>data_redis_illX!L1760</f>
        <v>0</v>
      </c>
      <c r="Y1959" s="5">
        <f t="shared" si="30"/>
        <v>0</v>
      </c>
    </row>
    <row r="1960" spans="16:25" x14ac:dyDescent="0.25">
      <c r="P1960" s="2" t="s">
        <v>21</v>
      </c>
      <c r="Q1960" s="10">
        <f>data_redis_illX!E1761</f>
        <v>0</v>
      </c>
      <c r="R1960" s="10">
        <f>data_redis_illX!F1761</f>
        <v>0</v>
      </c>
      <c r="S1960" s="10">
        <f>data_redis_illX!G1761</f>
        <v>0</v>
      </c>
      <c r="T1960" s="10">
        <f>data_redis_illX!H1761</f>
        <v>0</v>
      </c>
      <c r="U1960" s="10">
        <f>data_redis_illX!I1761</f>
        <v>0</v>
      </c>
      <c r="V1960" s="10">
        <f>data_redis_illX!J1761</f>
        <v>0</v>
      </c>
      <c r="W1960" s="10">
        <f>data_redis_illX!K1761</f>
        <v>0</v>
      </c>
      <c r="X1960" s="10">
        <f>data_redis_illX!L1761</f>
        <v>0</v>
      </c>
      <c r="Y1960" s="5">
        <f t="shared" si="30"/>
        <v>0</v>
      </c>
    </row>
    <row r="1961" spans="16:25" x14ac:dyDescent="0.25">
      <c r="P1961" s="2" t="s">
        <v>22</v>
      </c>
      <c r="Q1961" s="10">
        <f>data_redis_illX!E1762</f>
        <v>0</v>
      </c>
      <c r="R1961" s="10">
        <f>data_redis_illX!F1762</f>
        <v>0</v>
      </c>
      <c r="S1961" s="10">
        <f>data_redis_illX!G1762</f>
        <v>0</v>
      </c>
      <c r="T1961" s="10">
        <f>data_redis_illX!H1762</f>
        <v>0</v>
      </c>
      <c r="U1961" s="10">
        <f>data_redis_illX!I1762</f>
        <v>0</v>
      </c>
      <c r="V1961" s="10">
        <f>data_redis_illX!J1762</f>
        <v>0</v>
      </c>
      <c r="W1961" s="10">
        <f>data_redis_illX!K1762</f>
        <v>0</v>
      </c>
      <c r="X1961" s="10">
        <f>data_redis_illX!L1762</f>
        <v>0</v>
      </c>
      <c r="Y1961" s="5">
        <f t="shared" si="30"/>
        <v>0</v>
      </c>
    </row>
    <row r="1962" spans="16:25" x14ac:dyDescent="0.25">
      <c r="P1962" s="2" t="s">
        <v>23</v>
      </c>
      <c r="Q1962" s="10">
        <f>data_redis_illX!E1763</f>
        <v>0</v>
      </c>
      <c r="R1962" s="10">
        <f>data_redis_illX!F1763</f>
        <v>0</v>
      </c>
      <c r="S1962" s="10">
        <f>data_redis_illX!G1763</f>
        <v>0</v>
      </c>
      <c r="T1962" s="10">
        <f>data_redis_illX!H1763</f>
        <v>0</v>
      </c>
      <c r="U1962" s="10">
        <f>data_redis_illX!I1763</f>
        <v>0</v>
      </c>
      <c r="V1962" s="10">
        <f>data_redis_illX!J1763</f>
        <v>0</v>
      </c>
      <c r="W1962" s="10">
        <f>data_redis_illX!K1763</f>
        <v>0</v>
      </c>
      <c r="X1962" s="10">
        <f>data_redis_illX!L1763</f>
        <v>0</v>
      </c>
      <c r="Y1962" s="5">
        <f t="shared" si="30"/>
        <v>0</v>
      </c>
    </row>
    <row r="1963" spans="16:25" x14ac:dyDescent="0.25">
      <c r="P1963" s="2" t="s">
        <v>24</v>
      </c>
      <c r="Q1963" s="10">
        <f>data_redis_illX!E1764</f>
        <v>0</v>
      </c>
      <c r="R1963" s="10">
        <f>data_redis_illX!F1764</f>
        <v>0</v>
      </c>
      <c r="S1963" s="10">
        <f>data_redis_illX!G1764</f>
        <v>0</v>
      </c>
      <c r="T1963" s="10">
        <f>data_redis_illX!H1764</f>
        <v>0</v>
      </c>
      <c r="U1963" s="10">
        <f>data_redis_illX!I1764</f>
        <v>0</v>
      </c>
      <c r="V1963" s="10">
        <f>data_redis_illX!J1764</f>
        <v>0</v>
      </c>
      <c r="W1963" s="10">
        <f>data_redis_illX!K1764</f>
        <v>0</v>
      </c>
      <c r="X1963" s="10">
        <f>data_redis_illX!L1764</f>
        <v>0</v>
      </c>
      <c r="Y1963" s="5">
        <f t="shared" si="30"/>
        <v>0</v>
      </c>
    </row>
    <row r="1964" spans="16:25" x14ac:dyDescent="0.25">
      <c r="P1964" s="2" t="s">
        <v>25</v>
      </c>
      <c r="Q1964" s="10">
        <f>data_redis_illX!E1765</f>
        <v>0</v>
      </c>
      <c r="R1964" s="10">
        <f>data_redis_illX!F1765</f>
        <v>0</v>
      </c>
      <c r="S1964" s="10">
        <f>data_redis_illX!G1765</f>
        <v>0</v>
      </c>
      <c r="T1964" s="10">
        <f>data_redis_illX!H1765</f>
        <v>0</v>
      </c>
      <c r="U1964" s="10">
        <f>data_redis_illX!I1765</f>
        <v>0</v>
      </c>
      <c r="V1964" s="10">
        <f>data_redis_illX!J1765</f>
        <v>0</v>
      </c>
      <c r="W1964" s="10">
        <f>data_redis_illX!K1765</f>
        <v>0</v>
      </c>
      <c r="X1964" s="10">
        <f>data_redis_illX!L1765</f>
        <v>0</v>
      </c>
      <c r="Y1964" s="5">
        <f t="shared" si="30"/>
        <v>0</v>
      </c>
    </row>
    <row r="1965" spans="16:25" x14ac:dyDescent="0.25">
      <c r="P1965" s="2" t="s">
        <v>26</v>
      </c>
      <c r="Q1965" s="10">
        <f>data_redis_illX!E1766</f>
        <v>0</v>
      </c>
      <c r="R1965" s="10">
        <f>data_redis_illX!F1766</f>
        <v>0</v>
      </c>
      <c r="S1965" s="10">
        <f>data_redis_illX!G1766</f>
        <v>0</v>
      </c>
      <c r="T1965" s="10">
        <f>data_redis_illX!H1766</f>
        <v>0</v>
      </c>
      <c r="U1965" s="10">
        <f>data_redis_illX!I1766</f>
        <v>0</v>
      </c>
      <c r="V1965" s="10">
        <f>data_redis_illX!J1766</f>
        <v>0</v>
      </c>
      <c r="W1965" s="10">
        <f>data_redis_illX!K1766</f>
        <v>0</v>
      </c>
      <c r="X1965" s="10">
        <f>data_redis_illX!L1766</f>
        <v>0</v>
      </c>
      <c r="Y1965" s="5">
        <f t="shared" si="30"/>
        <v>0</v>
      </c>
    </row>
    <row r="1966" spans="16:25" x14ac:dyDescent="0.25">
      <c r="P1966" s="2" t="s">
        <v>27</v>
      </c>
      <c r="Q1966" s="10">
        <f>data_redis_illX!E1767</f>
        <v>0</v>
      </c>
      <c r="R1966" s="10">
        <f>data_redis_illX!F1767</f>
        <v>0</v>
      </c>
      <c r="S1966" s="10">
        <f>data_redis_illX!G1767</f>
        <v>0</v>
      </c>
      <c r="T1966" s="10">
        <f>data_redis_illX!H1767</f>
        <v>0</v>
      </c>
      <c r="U1966" s="10">
        <f>data_redis_illX!I1767</f>
        <v>0</v>
      </c>
      <c r="V1966" s="10">
        <f>data_redis_illX!J1767</f>
        <v>0</v>
      </c>
      <c r="W1966" s="10">
        <f>data_redis_illX!K1767</f>
        <v>0</v>
      </c>
      <c r="X1966" s="10">
        <f>data_redis_illX!L1767</f>
        <v>0</v>
      </c>
      <c r="Y1966" s="5">
        <f t="shared" si="30"/>
        <v>0</v>
      </c>
    </row>
    <row r="1967" spans="16:25" x14ac:dyDescent="0.25">
      <c r="P1967" s="2" t="s">
        <v>28</v>
      </c>
      <c r="Q1967" s="10">
        <f>data_redis_illX!E1768</f>
        <v>0</v>
      </c>
      <c r="R1967" s="10">
        <f>data_redis_illX!F1768</f>
        <v>0</v>
      </c>
      <c r="S1967" s="10">
        <f>data_redis_illX!G1768</f>
        <v>0</v>
      </c>
      <c r="T1967" s="10">
        <f>data_redis_illX!H1768</f>
        <v>0</v>
      </c>
      <c r="U1967" s="10">
        <f>data_redis_illX!I1768</f>
        <v>0</v>
      </c>
      <c r="V1967" s="10">
        <f>data_redis_illX!J1768</f>
        <v>0</v>
      </c>
      <c r="W1967" s="10">
        <f>data_redis_illX!K1768</f>
        <v>0</v>
      </c>
      <c r="X1967" s="10">
        <f>data_redis_illX!L1768</f>
        <v>0</v>
      </c>
      <c r="Y1967" s="5">
        <f t="shared" si="30"/>
        <v>0</v>
      </c>
    </row>
    <row r="1968" spans="16:25" x14ac:dyDescent="0.25">
      <c r="P1968" s="2" t="s">
        <v>29</v>
      </c>
      <c r="Q1968" s="10">
        <f>data_redis_illX!E1769</f>
        <v>0</v>
      </c>
      <c r="R1968" s="10">
        <f>data_redis_illX!F1769</f>
        <v>0</v>
      </c>
      <c r="S1968" s="10">
        <f>data_redis_illX!G1769</f>
        <v>0</v>
      </c>
      <c r="T1968" s="10">
        <f>data_redis_illX!H1769</f>
        <v>0</v>
      </c>
      <c r="U1968" s="10">
        <f>data_redis_illX!I1769</f>
        <v>0</v>
      </c>
      <c r="V1968" s="10">
        <f>data_redis_illX!J1769</f>
        <v>0</v>
      </c>
      <c r="W1968" s="10">
        <f>data_redis_illX!K1769</f>
        <v>0</v>
      </c>
      <c r="X1968" s="10">
        <f>data_redis_illX!L1769</f>
        <v>0</v>
      </c>
      <c r="Y1968" s="5">
        <f t="shared" si="30"/>
        <v>0</v>
      </c>
    </row>
    <row r="1969" spans="13:25" x14ac:dyDescent="0.25">
      <c r="P1969" s="2" t="s">
        <v>30</v>
      </c>
      <c r="Q1969" s="10">
        <f>data_redis_illX!E1770</f>
        <v>0</v>
      </c>
      <c r="R1969" s="10">
        <f>data_redis_illX!F1770</f>
        <v>0</v>
      </c>
      <c r="S1969" s="10">
        <f>data_redis_illX!G1770</f>
        <v>0</v>
      </c>
      <c r="T1969" s="10">
        <f>data_redis_illX!H1770</f>
        <v>0</v>
      </c>
      <c r="U1969" s="10">
        <f>data_redis_illX!I1770</f>
        <v>0</v>
      </c>
      <c r="V1969" s="10">
        <f>data_redis_illX!J1770</f>
        <v>0</v>
      </c>
      <c r="W1969" s="10">
        <f>data_redis_illX!K1770</f>
        <v>0</v>
      </c>
      <c r="X1969" s="10">
        <f>data_redis_illX!L1770</f>
        <v>0</v>
      </c>
      <c r="Y1969" s="5">
        <f t="shared" si="30"/>
        <v>0</v>
      </c>
    </row>
    <row r="1970" spans="13:25" x14ac:dyDescent="0.25">
      <c r="P1970" s="2" t="s">
        <v>31</v>
      </c>
      <c r="Q1970" s="10">
        <f>data_redis_illX!E1771</f>
        <v>0</v>
      </c>
      <c r="R1970" s="10">
        <f>data_redis_illX!F1771</f>
        <v>0</v>
      </c>
      <c r="S1970" s="10">
        <f>data_redis_illX!G1771</f>
        <v>0</v>
      </c>
      <c r="T1970" s="10">
        <f>data_redis_illX!H1771</f>
        <v>0</v>
      </c>
      <c r="U1970" s="10">
        <f>data_redis_illX!I1771</f>
        <v>0</v>
      </c>
      <c r="V1970" s="10">
        <f>data_redis_illX!J1771</f>
        <v>0</v>
      </c>
      <c r="W1970" s="10">
        <f>data_redis_illX!K1771</f>
        <v>0</v>
      </c>
      <c r="X1970" s="10">
        <f>data_redis_illX!L1771</f>
        <v>0</v>
      </c>
      <c r="Y1970" s="5">
        <f t="shared" si="30"/>
        <v>0</v>
      </c>
    </row>
    <row r="1971" spans="13:25" x14ac:dyDescent="0.25">
      <c r="P1971" s="2" t="s">
        <v>32</v>
      </c>
      <c r="Q1971" s="10">
        <f>data_redis_illX!E1772</f>
        <v>0</v>
      </c>
      <c r="R1971" s="10">
        <f>data_redis_illX!F1772</f>
        <v>0</v>
      </c>
      <c r="S1971" s="10">
        <f>data_redis_illX!G1772</f>
        <v>0</v>
      </c>
      <c r="T1971" s="10">
        <f>data_redis_illX!H1772</f>
        <v>0</v>
      </c>
      <c r="U1971" s="10">
        <f>data_redis_illX!I1772</f>
        <v>0</v>
      </c>
      <c r="V1971" s="10">
        <f>data_redis_illX!J1772</f>
        <v>0</v>
      </c>
      <c r="W1971" s="10">
        <f>data_redis_illX!K1772</f>
        <v>0</v>
      </c>
      <c r="X1971" s="10">
        <f>data_redis_illX!L1772</f>
        <v>0</v>
      </c>
      <c r="Y1971" s="5">
        <f t="shared" si="30"/>
        <v>0</v>
      </c>
    </row>
    <row r="1972" spans="13:25" x14ac:dyDescent="0.25">
      <c r="P1972" s="2" t="s">
        <v>33</v>
      </c>
      <c r="Q1972" s="10">
        <f>data_redis_illX!E1773</f>
        <v>0</v>
      </c>
      <c r="R1972" s="10">
        <f>data_redis_illX!F1773</f>
        <v>0</v>
      </c>
      <c r="S1972" s="10">
        <f>data_redis_illX!G1773</f>
        <v>0</v>
      </c>
      <c r="T1972" s="10">
        <f>data_redis_illX!H1773</f>
        <v>0</v>
      </c>
      <c r="U1972" s="10">
        <f>data_redis_illX!I1773</f>
        <v>0</v>
      </c>
      <c r="V1972" s="10">
        <f>data_redis_illX!J1773</f>
        <v>0</v>
      </c>
      <c r="W1972" s="10">
        <f>data_redis_illX!K1773</f>
        <v>0</v>
      </c>
      <c r="X1972" s="10">
        <f>data_redis_illX!L1773</f>
        <v>0</v>
      </c>
      <c r="Y1972" s="5">
        <f t="shared" si="30"/>
        <v>0</v>
      </c>
    </row>
    <row r="1973" spans="13:25" x14ac:dyDescent="0.25">
      <c r="P1973" s="2" t="s">
        <v>34</v>
      </c>
      <c r="Q1973" s="10">
        <f>data_redis_illX!E1774</f>
        <v>0</v>
      </c>
      <c r="R1973" s="10">
        <f>data_redis_illX!F1774</f>
        <v>0</v>
      </c>
      <c r="S1973" s="10">
        <f>data_redis_illX!G1774</f>
        <v>0</v>
      </c>
      <c r="T1973" s="10">
        <f>data_redis_illX!H1774</f>
        <v>0</v>
      </c>
      <c r="U1973" s="10">
        <f>data_redis_illX!I1774</f>
        <v>0</v>
      </c>
      <c r="V1973" s="10">
        <f>data_redis_illX!J1774</f>
        <v>0</v>
      </c>
      <c r="W1973" s="10">
        <f>data_redis_illX!K1774</f>
        <v>0</v>
      </c>
      <c r="X1973" s="10">
        <f>data_redis_illX!L1774</f>
        <v>0</v>
      </c>
      <c r="Y1973" s="5">
        <f t="shared" si="30"/>
        <v>0</v>
      </c>
    </row>
    <row r="1974" spans="13:25" x14ac:dyDescent="0.25">
      <c r="P1974" s="2" t="s">
        <v>35</v>
      </c>
      <c r="Q1974" s="10">
        <f>data_redis_illX!E1775</f>
        <v>0</v>
      </c>
      <c r="R1974" s="10">
        <f>data_redis_illX!F1775</f>
        <v>0</v>
      </c>
      <c r="S1974" s="10">
        <f>data_redis_illX!G1775</f>
        <v>0</v>
      </c>
      <c r="T1974" s="10">
        <f>data_redis_illX!H1775</f>
        <v>0</v>
      </c>
      <c r="U1974" s="10">
        <f>data_redis_illX!I1775</f>
        <v>0</v>
      </c>
      <c r="V1974" s="10">
        <f>data_redis_illX!J1775</f>
        <v>0</v>
      </c>
      <c r="W1974" s="10">
        <f>data_redis_illX!K1775</f>
        <v>0</v>
      </c>
      <c r="X1974" s="10">
        <f>data_redis_illX!L1775</f>
        <v>0</v>
      </c>
      <c r="Y1974" s="5">
        <f t="shared" si="30"/>
        <v>0</v>
      </c>
    </row>
    <row r="1975" spans="13:25" x14ac:dyDescent="0.25">
      <c r="P1975" s="2" t="s">
        <v>36</v>
      </c>
      <c r="Q1975" s="10">
        <f>data_redis_illX!E1776</f>
        <v>0</v>
      </c>
      <c r="R1975" s="10">
        <f>data_redis_illX!F1776</f>
        <v>0</v>
      </c>
      <c r="S1975" s="10">
        <f>data_redis_illX!G1776</f>
        <v>0</v>
      </c>
      <c r="T1975" s="10">
        <f>data_redis_illX!H1776</f>
        <v>0</v>
      </c>
      <c r="U1975" s="10">
        <f>data_redis_illX!I1776</f>
        <v>0</v>
      </c>
      <c r="V1975" s="10">
        <f>data_redis_illX!J1776</f>
        <v>0</v>
      </c>
      <c r="W1975" s="10">
        <f>data_redis_illX!K1776</f>
        <v>0</v>
      </c>
      <c r="X1975" s="10">
        <f>data_redis_illX!L1776</f>
        <v>0</v>
      </c>
      <c r="Y1975" s="5">
        <f t="shared" si="30"/>
        <v>0</v>
      </c>
    </row>
    <row r="1976" spans="13:25" x14ac:dyDescent="0.25">
      <c r="P1976" s="2" t="s">
        <v>37</v>
      </c>
      <c r="Q1976" s="10">
        <f>data_redis_illX!E1777</f>
        <v>0</v>
      </c>
      <c r="R1976" s="10">
        <f>data_redis_illX!F1777</f>
        <v>0</v>
      </c>
      <c r="S1976" s="10">
        <f>data_redis_illX!G1777</f>
        <v>0</v>
      </c>
      <c r="T1976" s="10">
        <f>data_redis_illX!H1777</f>
        <v>0</v>
      </c>
      <c r="U1976" s="10">
        <f>data_redis_illX!I1777</f>
        <v>0</v>
      </c>
      <c r="V1976" s="10">
        <f>data_redis_illX!J1777</f>
        <v>0</v>
      </c>
      <c r="W1976" s="10">
        <f>data_redis_illX!K1777</f>
        <v>0</v>
      </c>
      <c r="X1976" s="10">
        <f>data_redis_illX!L1777</f>
        <v>0</v>
      </c>
      <c r="Y1976" s="5">
        <f t="shared" si="30"/>
        <v>0</v>
      </c>
    </row>
    <row r="1977" spans="13:25" x14ac:dyDescent="0.25">
      <c r="P1977" s="2" t="s">
        <v>38</v>
      </c>
      <c r="Q1977" s="10">
        <f>data_redis_illX!E1778</f>
        <v>0</v>
      </c>
      <c r="R1977" s="10">
        <f>data_redis_illX!F1778</f>
        <v>0</v>
      </c>
      <c r="S1977" s="10">
        <f>data_redis_illX!G1778</f>
        <v>0</v>
      </c>
      <c r="T1977" s="10">
        <f>data_redis_illX!H1778</f>
        <v>0</v>
      </c>
      <c r="U1977" s="10">
        <f>data_redis_illX!I1778</f>
        <v>0</v>
      </c>
      <c r="V1977" s="10">
        <f>data_redis_illX!J1778</f>
        <v>0</v>
      </c>
      <c r="W1977" s="10">
        <f>data_redis_illX!K1778</f>
        <v>0</v>
      </c>
      <c r="X1977" s="10">
        <f>data_redis_illX!L1778</f>
        <v>0</v>
      </c>
      <c r="Y1977" s="5">
        <f t="shared" si="30"/>
        <v>0</v>
      </c>
    </row>
    <row r="1978" spans="13:25" x14ac:dyDescent="0.25">
      <c r="P1978" s="2" t="s">
        <v>39</v>
      </c>
      <c r="Q1978" s="10">
        <f>data_redis_illX!E1779</f>
        <v>0</v>
      </c>
      <c r="R1978" s="10">
        <f>data_redis_illX!F1779</f>
        <v>0</v>
      </c>
      <c r="S1978" s="10">
        <f>data_redis_illX!G1779</f>
        <v>0</v>
      </c>
      <c r="T1978" s="10">
        <f>data_redis_illX!H1779</f>
        <v>0</v>
      </c>
      <c r="U1978" s="10">
        <f>data_redis_illX!I1779</f>
        <v>0</v>
      </c>
      <c r="V1978" s="10">
        <f>data_redis_illX!J1779</f>
        <v>0</v>
      </c>
      <c r="W1978" s="10">
        <f>data_redis_illX!K1779</f>
        <v>0</v>
      </c>
      <c r="X1978" s="10">
        <f>data_redis_illX!L1779</f>
        <v>0</v>
      </c>
      <c r="Y1978" s="5">
        <f t="shared" si="30"/>
        <v>0</v>
      </c>
    </row>
    <row r="1979" spans="13:25" x14ac:dyDescent="0.25">
      <c r="P1979" s="2" t="s">
        <v>40</v>
      </c>
      <c r="Q1979" s="10">
        <f>data_redis_illX!E1780</f>
        <v>0</v>
      </c>
      <c r="R1979" s="10">
        <f>data_redis_illX!F1780</f>
        <v>0</v>
      </c>
      <c r="S1979" s="10">
        <f>data_redis_illX!G1780</f>
        <v>0</v>
      </c>
      <c r="T1979" s="10">
        <f>data_redis_illX!H1780</f>
        <v>0</v>
      </c>
      <c r="U1979" s="10">
        <f>data_redis_illX!I1780</f>
        <v>0</v>
      </c>
      <c r="V1979" s="10">
        <f>data_redis_illX!J1780</f>
        <v>0</v>
      </c>
      <c r="W1979" s="10">
        <f>data_redis_illX!K1780</f>
        <v>0</v>
      </c>
      <c r="X1979" s="10">
        <f>data_redis_illX!L1780</f>
        <v>0</v>
      </c>
      <c r="Y1979" s="5">
        <f t="shared" si="30"/>
        <v>0</v>
      </c>
    </row>
    <row r="1980" spans="13:25" x14ac:dyDescent="0.25">
      <c r="P1980" s="2" t="s">
        <v>41</v>
      </c>
      <c r="Q1980" s="10">
        <f>data_redis_illX!E1781</f>
        <v>0</v>
      </c>
      <c r="R1980" s="10">
        <f>data_redis_illX!F1781</f>
        <v>0</v>
      </c>
      <c r="S1980" s="10">
        <f>data_redis_illX!G1781</f>
        <v>0</v>
      </c>
      <c r="T1980" s="10">
        <f>data_redis_illX!H1781</f>
        <v>0</v>
      </c>
      <c r="U1980" s="10">
        <f>data_redis_illX!I1781</f>
        <v>0</v>
      </c>
      <c r="V1980" s="10">
        <f>data_redis_illX!J1781</f>
        <v>0</v>
      </c>
      <c r="W1980" s="10">
        <f>data_redis_illX!K1781</f>
        <v>0</v>
      </c>
      <c r="X1980" s="10">
        <f>data_redis_illX!L1781</f>
        <v>0</v>
      </c>
      <c r="Y1980" s="5">
        <f t="shared" si="30"/>
        <v>0</v>
      </c>
    </row>
    <row r="1981" spans="13:25" x14ac:dyDescent="0.25">
      <c r="P1981" s="2" t="s">
        <v>42</v>
      </c>
      <c r="Q1981" s="10">
        <f>data_redis_illX!E1782</f>
        <v>0</v>
      </c>
      <c r="R1981" s="10">
        <f>data_redis_illX!F1782</f>
        <v>0</v>
      </c>
      <c r="S1981" s="10">
        <f>data_redis_illX!G1782</f>
        <v>0</v>
      </c>
      <c r="T1981" s="10">
        <f>data_redis_illX!H1782</f>
        <v>0</v>
      </c>
      <c r="U1981" s="10">
        <f>data_redis_illX!I1782</f>
        <v>0</v>
      </c>
      <c r="V1981" s="10">
        <f>data_redis_illX!J1782</f>
        <v>0</v>
      </c>
      <c r="W1981" s="10">
        <f>data_redis_illX!K1782</f>
        <v>0</v>
      </c>
      <c r="X1981" s="10">
        <f>data_redis_illX!L1782</f>
        <v>0</v>
      </c>
      <c r="Y1981" s="5">
        <f t="shared" si="30"/>
        <v>0</v>
      </c>
    </row>
    <row r="1982" spans="13:25" x14ac:dyDescent="0.25">
      <c r="P1982" s="2" t="s">
        <v>43</v>
      </c>
      <c r="Q1982" s="10">
        <f>data_redis_illX!E1783</f>
        <v>0</v>
      </c>
      <c r="R1982" s="10">
        <f>data_redis_illX!F1783</f>
        <v>0</v>
      </c>
      <c r="S1982" s="10">
        <f>data_redis_illX!G1783</f>
        <v>0</v>
      </c>
      <c r="T1982" s="10">
        <f>data_redis_illX!H1783</f>
        <v>0</v>
      </c>
      <c r="U1982" s="10">
        <f>data_redis_illX!I1783</f>
        <v>0</v>
      </c>
      <c r="V1982" s="10">
        <f>data_redis_illX!J1783</f>
        <v>0</v>
      </c>
      <c r="W1982" s="10">
        <f>data_redis_illX!K1783</f>
        <v>0</v>
      </c>
      <c r="X1982" s="10">
        <f>data_redis_illX!L1783</f>
        <v>0</v>
      </c>
      <c r="Y1982" s="5">
        <f t="shared" si="30"/>
        <v>0</v>
      </c>
    </row>
    <row r="1983" spans="13:25" x14ac:dyDescent="0.25">
      <c r="P1983" s="2" t="s">
        <v>44</v>
      </c>
      <c r="Q1983" s="10">
        <f>data_redis_illX!E1784</f>
        <v>0</v>
      </c>
      <c r="R1983" s="10">
        <f>data_redis_illX!F1784</f>
        <v>0</v>
      </c>
      <c r="S1983" s="10">
        <f>data_redis_illX!G1784</f>
        <v>0</v>
      </c>
      <c r="T1983" s="10">
        <f>data_redis_illX!H1784</f>
        <v>0</v>
      </c>
      <c r="U1983" s="10">
        <f>data_redis_illX!I1784</f>
        <v>0</v>
      </c>
      <c r="V1983" s="10">
        <f>data_redis_illX!J1784</f>
        <v>0</v>
      </c>
      <c r="W1983" s="10">
        <f>data_redis_illX!K1784</f>
        <v>0</v>
      </c>
      <c r="X1983" s="10">
        <f>data_redis_illX!L1784</f>
        <v>0</v>
      </c>
      <c r="Y1983" s="5">
        <f t="shared" si="30"/>
        <v>0</v>
      </c>
    </row>
    <row r="1984" spans="13:25" x14ac:dyDescent="0.25">
      <c r="M1984" t="s">
        <v>115</v>
      </c>
      <c r="N1984" t="s">
        <v>117</v>
      </c>
      <c r="O1984" t="s">
        <v>49</v>
      </c>
      <c r="P1984" s="2" t="s">
        <v>12</v>
      </c>
      <c r="Q1984" s="10">
        <f>data_redis_illX!E1785</f>
        <v>0</v>
      </c>
      <c r="R1984" s="10">
        <f>data_redis_illX!F1785</f>
        <v>0</v>
      </c>
      <c r="S1984" s="10">
        <f>data_redis_illX!G1785</f>
        <v>14.375181296582857</v>
      </c>
      <c r="T1984" s="10">
        <f>data_redis_illX!H1785</f>
        <v>24.840939229240096</v>
      </c>
      <c r="U1984" s="10">
        <f>data_redis_illX!I1785</f>
        <v>8.2291469542154854</v>
      </c>
      <c r="V1984" s="10">
        <f>data_redis_illX!J1785</f>
        <v>1.233122430258653</v>
      </c>
      <c r="W1984" s="10">
        <f>data_redis_illX!K1785</f>
        <v>0</v>
      </c>
      <c r="X1984" s="10">
        <f>data_redis_illX!L1785</f>
        <v>0</v>
      </c>
      <c r="Y1984" s="5">
        <f t="shared" si="30"/>
        <v>48.678389910297092</v>
      </c>
    </row>
    <row r="1985" spans="16:25" x14ac:dyDescent="0.25">
      <c r="P1985" s="2" t="s">
        <v>13</v>
      </c>
      <c r="Q1985" s="10">
        <f>data_redis_illX!E1786</f>
        <v>0</v>
      </c>
      <c r="R1985" s="10">
        <f>data_redis_illX!F1786</f>
        <v>0</v>
      </c>
      <c r="S1985" s="10">
        <f>data_redis_illX!G1786</f>
        <v>148.97915161913144</v>
      </c>
      <c r="T1985" s="10">
        <f>data_redis_illX!H1786</f>
        <v>139.10925968374457</v>
      </c>
      <c r="U1985" s="10">
        <f>data_redis_illX!I1786</f>
        <v>47.023696881231352</v>
      </c>
      <c r="V1985" s="10">
        <f>data_redis_illX!J1786</f>
        <v>7.3987345815519197</v>
      </c>
      <c r="W1985" s="10">
        <f>data_redis_illX!K1786</f>
        <v>0</v>
      </c>
      <c r="X1985" s="10">
        <f>data_redis_illX!L1786</f>
        <v>0</v>
      </c>
      <c r="Y1985" s="5">
        <f t="shared" si="30"/>
        <v>342.51084276565928</v>
      </c>
    </row>
    <row r="1986" spans="16:25" x14ac:dyDescent="0.25">
      <c r="P1986" s="2" t="s">
        <v>14</v>
      </c>
      <c r="Q1986" s="10">
        <f>data_redis_illX!E1787</f>
        <v>0</v>
      </c>
      <c r="R1986" s="10">
        <f>data_redis_illX!F1787</f>
        <v>0</v>
      </c>
      <c r="S1986" s="10">
        <f>data_redis_illX!G1787</f>
        <v>47.046047879725712</v>
      </c>
      <c r="T1986" s="10">
        <f>data_redis_illX!H1787</f>
        <v>73.280770726258297</v>
      </c>
      <c r="U1986" s="10">
        <f>data_redis_illX!I1787</f>
        <v>29.389810550769592</v>
      </c>
      <c r="V1986" s="10">
        <f>data_redis_illX!J1787</f>
        <v>6.1656121512932662</v>
      </c>
      <c r="W1986" s="10">
        <f>data_redis_illX!K1787</f>
        <v>0</v>
      </c>
      <c r="X1986" s="10">
        <f>data_redis_illX!L1787</f>
        <v>0</v>
      </c>
      <c r="Y1986" s="5">
        <f t="shared" si="30"/>
        <v>155.88224130804687</v>
      </c>
    </row>
    <row r="1987" spans="16:25" x14ac:dyDescent="0.25">
      <c r="P1987" s="2" t="s">
        <v>15</v>
      </c>
      <c r="Q1987" s="10">
        <f>data_redis_illX!E1788</f>
        <v>0</v>
      </c>
      <c r="R1987" s="10">
        <f>data_redis_illX!F1788</f>
        <v>0</v>
      </c>
      <c r="S1987" s="10">
        <f>data_redis_illX!G1788</f>
        <v>7.841007979954286</v>
      </c>
      <c r="T1987" s="10">
        <f>data_redis_illX!H1788</f>
        <v>12.420469614620048</v>
      </c>
      <c r="U1987" s="10">
        <f>data_redis_illX!I1788</f>
        <v>3.5267772660923518</v>
      </c>
      <c r="V1987" s="10">
        <f>data_redis_illX!J1788</f>
        <v>0</v>
      </c>
      <c r="W1987" s="10">
        <f>data_redis_illX!K1788</f>
        <v>0</v>
      </c>
      <c r="X1987" s="10">
        <f>data_redis_illX!L1788</f>
        <v>0</v>
      </c>
      <c r="Y1987" s="5">
        <f t="shared" si="30"/>
        <v>23.788254860666687</v>
      </c>
    </row>
    <row r="1988" spans="16:25" x14ac:dyDescent="0.25">
      <c r="P1988" s="2" t="s">
        <v>16</v>
      </c>
      <c r="Q1988" s="10">
        <f>data_redis_illX!E1789</f>
        <v>0</v>
      </c>
      <c r="R1988" s="10">
        <f>data_redis_illX!F1789</f>
        <v>0</v>
      </c>
      <c r="S1988" s="10">
        <f>data_redis_illX!G1789</f>
        <v>22.216189276537143</v>
      </c>
      <c r="T1988" s="10">
        <f>data_redis_illX!H1789</f>
        <v>83.217146417954325</v>
      </c>
      <c r="U1988" s="10">
        <f>data_redis_illX!I1789</f>
        <v>64.657583211693108</v>
      </c>
      <c r="V1988" s="10">
        <f>data_redis_illX!J1789</f>
        <v>6.1656121512932662</v>
      </c>
      <c r="W1988" s="10">
        <f>data_redis_illX!K1789</f>
        <v>0</v>
      </c>
      <c r="X1988" s="10">
        <f>data_redis_illX!L1789</f>
        <v>0</v>
      </c>
      <c r="Y1988" s="5">
        <f t="shared" si="30"/>
        <v>176.25653105747784</v>
      </c>
    </row>
    <row r="1989" spans="16:25" x14ac:dyDescent="0.25">
      <c r="P1989" s="2" t="s">
        <v>17</v>
      </c>
      <c r="Q1989" s="10">
        <f>data_redis_illX!E1790</f>
        <v>0</v>
      </c>
      <c r="R1989" s="10">
        <f>data_redis_illX!F1790</f>
        <v>0</v>
      </c>
      <c r="S1989" s="10">
        <f>data_redis_illX!G1790</f>
        <v>41.818709226422854</v>
      </c>
      <c r="T1989" s="10">
        <f>data_redis_illX!H1790</f>
        <v>54.65006630432822</v>
      </c>
      <c r="U1989" s="10">
        <f>data_redis_illX!I1790</f>
        <v>21.160663596554109</v>
      </c>
      <c r="V1989" s="10">
        <f>data_redis_illX!J1790</f>
        <v>0</v>
      </c>
      <c r="W1989" s="10">
        <f>data_redis_illX!K1790</f>
        <v>0</v>
      </c>
      <c r="X1989" s="10">
        <f>data_redis_illX!L1790</f>
        <v>0</v>
      </c>
      <c r="Y1989" s="5">
        <f t="shared" ref="Y1989:Y2052" si="31">SUM(Q1989:X1989)</f>
        <v>117.62943912730518</v>
      </c>
    </row>
    <row r="1990" spans="16:25" x14ac:dyDescent="0.25">
      <c r="P1990" s="2" t="s">
        <v>18</v>
      </c>
      <c r="Q1990" s="10">
        <f>data_redis_illX!E1791</f>
        <v>0</v>
      </c>
      <c r="R1990" s="10">
        <f>data_redis_illX!F1791</f>
        <v>0</v>
      </c>
      <c r="S1990" s="10">
        <f>data_redis_illX!G1791</f>
        <v>113.69461570933713</v>
      </c>
      <c r="T1990" s="10">
        <f>data_redis_illX!H1791</f>
        <v>135.38311879935853</v>
      </c>
      <c r="U1990" s="10">
        <f>data_redis_illX!I1791</f>
        <v>70.535545321847025</v>
      </c>
      <c r="V1990" s="10">
        <f>data_redis_illX!J1791</f>
        <v>4.9324897210346119</v>
      </c>
      <c r="W1990" s="10">
        <f>data_redis_illX!K1791</f>
        <v>0</v>
      </c>
      <c r="X1990" s="10">
        <f>data_redis_illX!L1791</f>
        <v>0</v>
      </c>
      <c r="Y1990" s="5">
        <f t="shared" si="31"/>
        <v>324.54576955157722</v>
      </c>
    </row>
    <row r="1991" spans="16:25" x14ac:dyDescent="0.25">
      <c r="P1991" s="2" t="s">
        <v>19</v>
      </c>
      <c r="Q1991" s="10">
        <f>data_redis_illX!E1792</f>
        <v>0</v>
      </c>
      <c r="R1991" s="10">
        <f>data_redis_illX!F1792</f>
        <v>0</v>
      </c>
      <c r="S1991" s="10">
        <f>data_redis_illX!G1792</f>
        <v>98.012599749428574</v>
      </c>
      <c r="T1991" s="10">
        <f>data_redis_illX!H1792</f>
        <v>187.54909118076276</v>
      </c>
      <c r="U1991" s="10">
        <f>data_redis_illX!I1792</f>
        <v>90.520616496370351</v>
      </c>
      <c r="V1991" s="10">
        <f>data_redis_illX!J1792</f>
        <v>3.6993672907759598</v>
      </c>
      <c r="W1991" s="10">
        <f>data_redis_illX!K1792</f>
        <v>0</v>
      </c>
      <c r="X1991" s="10">
        <f>data_redis_illX!L1792</f>
        <v>0</v>
      </c>
      <c r="Y1991" s="5">
        <f t="shared" si="31"/>
        <v>379.78167471733764</v>
      </c>
    </row>
    <row r="1992" spans="16:25" x14ac:dyDescent="0.25">
      <c r="P1992" s="2" t="s">
        <v>20</v>
      </c>
      <c r="Q1992" s="10">
        <f>data_redis_illX!E1793</f>
        <v>0</v>
      </c>
      <c r="R1992" s="10">
        <f>data_redis_illX!F1793</f>
        <v>0</v>
      </c>
      <c r="S1992" s="10">
        <f>data_redis_illX!G1793</f>
        <v>60.114394512982855</v>
      </c>
      <c r="T1992" s="10">
        <f>data_redis_illX!H1793</f>
        <v>95.637616032574385</v>
      </c>
      <c r="U1992" s="10">
        <f>data_redis_illX!I1793</f>
        <v>56.428436257477628</v>
      </c>
      <c r="V1992" s="10">
        <f>data_redis_illX!J1793</f>
        <v>1.233122430258653</v>
      </c>
      <c r="W1992" s="10">
        <f>data_redis_illX!K1793</f>
        <v>0</v>
      </c>
      <c r="X1992" s="10">
        <f>data_redis_illX!L1793</f>
        <v>0</v>
      </c>
      <c r="Y1992" s="5">
        <f t="shared" si="31"/>
        <v>213.41356923329354</v>
      </c>
    </row>
    <row r="1993" spans="16:25" x14ac:dyDescent="0.25">
      <c r="P1993" s="2" t="s">
        <v>21</v>
      </c>
      <c r="Q1993" s="10">
        <f>data_redis_illX!E1794</f>
        <v>0</v>
      </c>
      <c r="R1993" s="10">
        <f>data_redis_illX!F1794</f>
        <v>0</v>
      </c>
      <c r="S1993" s="10">
        <f>data_redis_illX!G1794</f>
        <v>91.478426432800021</v>
      </c>
      <c r="T1993" s="10">
        <f>data_redis_illX!H1794</f>
        <v>60.860301111638243</v>
      </c>
      <c r="U1993" s="10">
        <f>data_redis_illX!I1794</f>
        <v>28.214218128738814</v>
      </c>
      <c r="V1993" s="10">
        <f>data_redis_illX!J1794</f>
        <v>4.9324897210346119</v>
      </c>
      <c r="W1993" s="10">
        <f>data_redis_illX!K1794</f>
        <v>0</v>
      </c>
      <c r="X1993" s="10">
        <f>data_redis_illX!L1794</f>
        <v>0</v>
      </c>
      <c r="Y1993" s="5">
        <f t="shared" si="31"/>
        <v>185.48543539421169</v>
      </c>
    </row>
    <row r="1994" spans="16:25" x14ac:dyDescent="0.25">
      <c r="P1994" s="2" t="s">
        <v>22</v>
      </c>
      <c r="Q1994" s="10">
        <f>data_redis_illX!E1795</f>
        <v>0</v>
      </c>
      <c r="R1994" s="10">
        <f>data_redis_illX!F1795</f>
        <v>0</v>
      </c>
      <c r="S1994" s="10">
        <f>data_redis_illX!G1795</f>
        <v>126.76296234259429</v>
      </c>
      <c r="T1994" s="10">
        <f>data_redis_illX!H1795</f>
        <v>170.16043372029469</v>
      </c>
      <c r="U1994" s="10">
        <f>data_redis_illX!I1795</f>
        <v>86.993839230277999</v>
      </c>
      <c r="V1994" s="10">
        <f>data_redis_illX!J1795</f>
        <v>9.8649794420692238</v>
      </c>
      <c r="W1994" s="10">
        <f>data_redis_illX!K1795</f>
        <v>1.0214285714285714</v>
      </c>
      <c r="X1994" s="10">
        <f>data_redis_illX!L1795</f>
        <v>0</v>
      </c>
      <c r="Y1994" s="5">
        <f t="shared" si="31"/>
        <v>394.80364330666475</v>
      </c>
    </row>
    <row r="1995" spans="16:25" x14ac:dyDescent="0.25">
      <c r="P1995" s="2" t="s">
        <v>23</v>
      </c>
      <c r="Q1995" s="10">
        <f>data_redis_illX!E1796</f>
        <v>0</v>
      </c>
      <c r="R1995" s="10">
        <f>data_redis_illX!F1796</f>
        <v>0</v>
      </c>
      <c r="S1995" s="10">
        <f>data_redis_illX!G1796</f>
        <v>27.443527929840002</v>
      </c>
      <c r="T1995" s="10">
        <f>data_redis_illX!H1796</f>
        <v>38.503455805322155</v>
      </c>
      <c r="U1995" s="10">
        <f>data_redis_illX!I1796</f>
        <v>15.282701486400189</v>
      </c>
      <c r="V1995" s="10">
        <f>data_redis_illX!J1796</f>
        <v>1.233122430258653</v>
      </c>
      <c r="W1995" s="10">
        <f>data_redis_illX!K1796</f>
        <v>0</v>
      </c>
      <c r="X1995" s="10">
        <f>data_redis_illX!L1796</f>
        <v>0</v>
      </c>
      <c r="Y1995" s="5">
        <f t="shared" si="31"/>
        <v>82.462807651820981</v>
      </c>
    </row>
    <row r="1996" spans="16:25" x14ac:dyDescent="0.25">
      <c r="P1996" s="2" t="s">
        <v>24</v>
      </c>
      <c r="Q1996" s="10">
        <f>data_redis_illX!E1797</f>
        <v>0</v>
      </c>
      <c r="R1996" s="10">
        <f>data_redis_illX!F1797</f>
        <v>0</v>
      </c>
      <c r="S1996" s="10">
        <f>data_redis_illX!G1797</f>
        <v>91.478426432800021</v>
      </c>
      <c r="T1996" s="10">
        <f>data_redis_illX!H1797</f>
        <v>91.911475148188359</v>
      </c>
      <c r="U1996" s="10">
        <f>data_redis_illX!I1797</f>
        <v>38.794549927015865</v>
      </c>
      <c r="V1996" s="10">
        <f>data_redis_illX!J1797</f>
        <v>2.466244860517306</v>
      </c>
      <c r="W1996" s="10">
        <f>data_redis_illX!K1797</f>
        <v>1.0214285714285714</v>
      </c>
      <c r="X1996" s="10">
        <f>data_redis_illX!L1797</f>
        <v>0</v>
      </c>
      <c r="Y1996" s="5">
        <f t="shared" si="31"/>
        <v>225.67212493995012</v>
      </c>
    </row>
    <row r="1997" spans="16:25" x14ac:dyDescent="0.25">
      <c r="P1997" s="2" t="s">
        <v>25</v>
      </c>
      <c r="Q1997" s="10">
        <f>data_redis_illX!E1798</f>
        <v>0</v>
      </c>
      <c r="R1997" s="10">
        <f>data_redis_illX!F1798</f>
        <v>0</v>
      </c>
      <c r="S1997" s="10">
        <f>data_redis_illX!G1798</f>
        <v>11.761511969931428</v>
      </c>
      <c r="T1997" s="10">
        <f>data_redis_illX!H1798</f>
        <v>18.630704421930073</v>
      </c>
      <c r="U1997" s="10">
        <f>data_redis_illX!I1798</f>
        <v>9.404739376246269</v>
      </c>
      <c r="V1997" s="10">
        <f>data_redis_illX!J1798</f>
        <v>0</v>
      </c>
      <c r="W1997" s="10">
        <f>data_redis_illX!K1798</f>
        <v>0</v>
      </c>
      <c r="X1997" s="10">
        <f>data_redis_illX!L1798</f>
        <v>0</v>
      </c>
      <c r="Y1997" s="5">
        <f t="shared" si="31"/>
        <v>39.796955768107772</v>
      </c>
    </row>
    <row r="1998" spans="16:25" x14ac:dyDescent="0.25">
      <c r="P1998" s="2" t="s">
        <v>26</v>
      </c>
      <c r="Q1998" s="10">
        <f>data_redis_illX!E1799</f>
        <v>0</v>
      </c>
      <c r="R1998" s="10">
        <f>data_redis_illX!F1799</f>
        <v>0</v>
      </c>
      <c r="S1998" s="10">
        <f>data_redis_illX!G1799</f>
        <v>10.454677306605713</v>
      </c>
      <c r="T1998" s="10">
        <f>data_redis_illX!H1799</f>
        <v>24.840939229240096</v>
      </c>
      <c r="U1998" s="10">
        <f>data_redis_illX!I1799</f>
        <v>11.755924220307838</v>
      </c>
      <c r="V1998" s="10">
        <f>data_redis_illX!J1799</f>
        <v>0</v>
      </c>
      <c r="W1998" s="10">
        <f>data_redis_illX!K1799</f>
        <v>0</v>
      </c>
      <c r="X1998" s="10">
        <f>data_redis_illX!L1799</f>
        <v>0</v>
      </c>
      <c r="Y1998" s="5">
        <f t="shared" si="31"/>
        <v>47.051540756153649</v>
      </c>
    </row>
    <row r="1999" spans="16:25" x14ac:dyDescent="0.25">
      <c r="P1999" s="2" t="s">
        <v>27</v>
      </c>
      <c r="Q1999" s="10">
        <f>data_redis_illX!E1800</f>
        <v>0</v>
      </c>
      <c r="R1999" s="10">
        <f>data_redis_illX!F1800</f>
        <v>0</v>
      </c>
      <c r="S1999" s="10">
        <f>data_redis_illX!G1800</f>
        <v>168.58167156901712</v>
      </c>
      <c r="T1999" s="10">
        <f>data_redis_illX!H1800</f>
        <v>209.90593648707883</v>
      </c>
      <c r="U1999" s="10">
        <f>data_redis_illX!I1800</f>
        <v>65.833175633723883</v>
      </c>
      <c r="V1999" s="10">
        <f>data_redis_illX!J1800</f>
        <v>3.6993672907759598</v>
      </c>
      <c r="W1999" s="10">
        <f>data_redis_illX!K1800</f>
        <v>0</v>
      </c>
      <c r="X1999" s="10">
        <f>data_redis_illX!L1800</f>
        <v>0</v>
      </c>
      <c r="Y1999" s="5">
        <f t="shared" si="31"/>
        <v>448.02015098059582</v>
      </c>
    </row>
    <row r="2000" spans="16:25" x14ac:dyDescent="0.25">
      <c r="P2000" s="2" t="s">
        <v>28</v>
      </c>
      <c r="Q2000" s="10">
        <f>data_redis_illX!E1801</f>
        <v>0</v>
      </c>
      <c r="R2000" s="10">
        <f>data_redis_illX!F1801</f>
        <v>0</v>
      </c>
      <c r="S2000" s="10">
        <f>data_redis_illX!G1801</f>
        <v>628.58747305966858</v>
      </c>
      <c r="T2000" s="10">
        <f>data_redis_illX!H1801</f>
        <v>688.09401664995085</v>
      </c>
      <c r="U2000" s="10">
        <f>data_redis_illX!I1801</f>
        <v>269.21066464504952</v>
      </c>
      <c r="V2000" s="10">
        <f>data_redis_illX!J1801</f>
        <v>30.828060756466332</v>
      </c>
      <c r="W2000" s="10">
        <f>data_redis_illX!K1801</f>
        <v>1.0214285714285714</v>
      </c>
      <c r="X2000" s="10">
        <f>data_redis_illX!L1801</f>
        <v>0</v>
      </c>
      <c r="Y2000" s="5">
        <f t="shared" si="31"/>
        <v>1617.7416436825638</v>
      </c>
    </row>
    <row r="2001" spans="16:25" x14ac:dyDescent="0.25">
      <c r="P2001" s="2" t="s">
        <v>29</v>
      </c>
      <c r="Q2001" s="10">
        <f>data_redis_illX!E1802</f>
        <v>0</v>
      </c>
      <c r="R2001" s="10">
        <f>data_redis_illX!F1802</f>
        <v>0</v>
      </c>
      <c r="S2001" s="10">
        <f>data_redis_illX!G1802</f>
        <v>23.523023939862856</v>
      </c>
      <c r="T2001" s="10">
        <f>data_redis_illX!H1802</f>
        <v>27.32503315216411</v>
      </c>
      <c r="U2001" s="10">
        <f>data_redis_illX!I1802</f>
        <v>11.755924220307838</v>
      </c>
      <c r="V2001" s="10">
        <f>data_redis_illX!J1802</f>
        <v>1.233122430258653</v>
      </c>
      <c r="W2001" s="10">
        <f>data_redis_illX!K1802</f>
        <v>0</v>
      </c>
      <c r="X2001" s="10">
        <f>data_redis_illX!L1802</f>
        <v>0</v>
      </c>
      <c r="Y2001" s="5">
        <f t="shared" si="31"/>
        <v>63.837103742593456</v>
      </c>
    </row>
    <row r="2002" spans="16:25" x14ac:dyDescent="0.25">
      <c r="P2002" s="2" t="s">
        <v>30</v>
      </c>
      <c r="Q2002" s="10">
        <f>data_redis_illX!E1803</f>
        <v>0</v>
      </c>
      <c r="R2002" s="10">
        <f>data_redis_illX!F1803</f>
        <v>0</v>
      </c>
      <c r="S2002" s="10">
        <f>data_redis_illX!G1803</f>
        <v>313.64031919817143</v>
      </c>
      <c r="T2002" s="10">
        <f>data_redis_illX!H1803</f>
        <v>421.05391993561966</v>
      </c>
      <c r="U2002" s="10">
        <f>data_redis_illX!I1803</f>
        <v>152.82701486400191</v>
      </c>
      <c r="V2002" s="10">
        <f>data_redis_illX!J1803</f>
        <v>4.9324897210346119</v>
      </c>
      <c r="W2002" s="10">
        <f>data_redis_illX!K1803</f>
        <v>1.0214285714285714</v>
      </c>
      <c r="X2002" s="10">
        <f>data_redis_illX!L1803</f>
        <v>0</v>
      </c>
      <c r="Y2002" s="5">
        <f t="shared" si="31"/>
        <v>893.4751722902563</v>
      </c>
    </row>
    <row r="2003" spans="16:25" x14ac:dyDescent="0.25">
      <c r="P2003" s="2" t="s">
        <v>31</v>
      </c>
      <c r="Q2003" s="10">
        <f>data_redis_illX!E1804</f>
        <v>0</v>
      </c>
      <c r="R2003" s="10">
        <f>data_redis_illX!F1804</f>
        <v>0</v>
      </c>
      <c r="S2003" s="10">
        <f>data_redis_illX!G1804</f>
        <v>3.920503989977143</v>
      </c>
      <c r="T2003" s="10">
        <f>data_redis_illX!H1804</f>
        <v>0</v>
      </c>
      <c r="U2003" s="10">
        <f>data_redis_illX!I1804</f>
        <v>1.1755924220307836</v>
      </c>
      <c r="V2003" s="10">
        <f>data_redis_illX!J1804</f>
        <v>0</v>
      </c>
      <c r="W2003" s="10">
        <f>data_redis_illX!K1804</f>
        <v>0</v>
      </c>
      <c r="X2003" s="10">
        <f>data_redis_illX!L1804</f>
        <v>0</v>
      </c>
      <c r="Y2003" s="5">
        <f t="shared" si="31"/>
        <v>5.0960964120079266</v>
      </c>
    </row>
    <row r="2004" spans="16:25" x14ac:dyDescent="0.25">
      <c r="P2004" s="2" t="s">
        <v>32</v>
      </c>
      <c r="Q2004" s="10">
        <f>data_redis_illX!E1805</f>
        <v>0</v>
      </c>
      <c r="R2004" s="10">
        <f>data_redis_illX!F1805</f>
        <v>0</v>
      </c>
      <c r="S2004" s="10">
        <f>data_redis_illX!G1805</f>
        <v>0</v>
      </c>
      <c r="T2004" s="10">
        <f>data_redis_illX!H1805</f>
        <v>0</v>
      </c>
      <c r="U2004" s="10">
        <f>data_redis_illX!I1805</f>
        <v>0</v>
      </c>
      <c r="V2004" s="10">
        <f>data_redis_illX!J1805</f>
        <v>0</v>
      </c>
      <c r="W2004" s="10">
        <f>data_redis_illX!K1805</f>
        <v>0</v>
      </c>
      <c r="X2004" s="10">
        <f>data_redis_illX!L1805</f>
        <v>0</v>
      </c>
      <c r="Y2004" s="5">
        <f t="shared" si="31"/>
        <v>0</v>
      </c>
    </row>
    <row r="2005" spans="16:25" x14ac:dyDescent="0.25">
      <c r="P2005" s="2" t="s">
        <v>33</v>
      </c>
      <c r="Q2005" s="10">
        <f>data_redis_illX!E1806</f>
        <v>0</v>
      </c>
      <c r="R2005" s="10">
        <f>data_redis_illX!F1806</f>
        <v>0</v>
      </c>
      <c r="S2005" s="10">
        <f>data_redis_illX!G1806</f>
        <v>1.3068346633257142</v>
      </c>
      <c r="T2005" s="10">
        <f>data_redis_illX!H1806</f>
        <v>2.4840939229240098</v>
      </c>
      <c r="U2005" s="10">
        <f>data_redis_illX!I1806</f>
        <v>1.1755924220307836</v>
      </c>
      <c r="V2005" s="10">
        <f>data_redis_illX!J1806</f>
        <v>0</v>
      </c>
      <c r="W2005" s="10">
        <f>data_redis_illX!K1806</f>
        <v>0</v>
      </c>
      <c r="X2005" s="10">
        <f>data_redis_illX!L1806</f>
        <v>0</v>
      </c>
      <c r="Y2005" s="5">
        <f t="shared" si="31"/>
        <v>4.9665210082805071</v>
      </c>
    </row>
    <row r="2006" spans="16:25" x14ac:dyDescent="0.25">
      <c r="P2006" s="2" t="s">
        <v>34</v>
      </c>
      <c r="Q2006" s="10">
        <f>data_redis_illX!E1807</f>
        <v>0</v>
      </c>
      <c r="R2006" s="10">
        <f>data_redis_illX!F1807</f>
        <v>0</v>
      </c>
      <c r="S2006" s="10">
        <f>data_redis_illX!G1807</f>
        <v>1.3068346633257142</v>
      </c>
      <c r="T2006" s="10">
        <f>data_redis_illX!H1807</f>
        <v>0</v>
      </c>
      <c r="U2006" s="10">
        <f>data_redis_illX!I1807</f>
        <v>0</v>
      </c>
      <c r="V2006" s="10">
        <f>data_redis_illX!J1807</f>
        <v>0</v>
      </c>
      <c r="W2006" s="10">
        <f>data_redis_illX!K1807</f>
        <v>0</v>
      </c>
      <c r="X2006" s="10">
        <f>data_redis_illX!L1807</f>
        <v>0</v>
      </c>
      <c r="Y2006" s="5">
        <f t="shared" si="31"/>
        <v>1.3068346633257142</v>
      </c>
    </row>
    <row r="2007" spans="16:25" x14ac:dyDescent="0.25">
      <c r="P2007" s="2" t="s">
        <v>35</v>
      </c>
      <c r="Q2007" s="10">
        <f>data_redis_illX!E1808</f>
        <v>0</v>
      </c>
      <c r="R2007" s="10">
        <f>data_redis_illX!F1808</f>
        <v>0</v>
      </c>
      <c r="S2007" s="10">
        <f>data_redis_illX!G1808</f>
        <v>0</v>
      </c>
      <c r="T2007" s="10">
        <f>data_redis_illX!H1808</f>
        <v>0</v>
      </c>
      <c r="U2007" s="10">
        <f>data_redis_illX!I1808</f>
        <v>0</v>
      </c>
      <c r="V2007" s="10">
        <f>data_redis_illX!J1808</f>
        <v>0</v>
      </c>
      <c r="W2007" s="10">
        <f>data_redis_illX!K1808</f>
        <v>0</v>
      </c>
      <c r="X2007" s="10">
        <f>data_redis_illX!L1808</f>
        <v>0</v>
      </c>
      <c r="Y2007" s="5">
        <f t="shared" si="31"/>
        <v>0</v>
      </c>
    </row>
    <row r="2008" spans="16:25" x14ac:dyDescent="0.25">
      <c r="P2008" s="2" t="s">
        <v>36</v>
      </c>
      <c r="Q2008" s="10">
        <f>data_redis_illX!E1809</f>
        <v>0</v>
      </c>
      <c r="R2008" s="10">
        <f>data_redis_illX!F1809</f>
        <v>0</v>
      </c>
      <c r="S2008" s="10">
        <f>data_redis_illX!G1809</f>
        <v>0</v>
      </c>
      <c r="T2008" s="10">
        <f>data_redis_illX!H1809</f>
        <v>0</v>
      </c>
      <c r="U2008" s="10">
        <f>data_redis_illX!I1809</f>
        <v>0</v>
      </c>
      <c r="V2008" s="10">
        <f>data_redis_illX!J1809</f>
        <v>0</v>
      </c>
      <c r="W2008" s="10">
        <f>data_redis_illX!K1809</f>
        <v>0</v>
      </c>
      <c r="X2008" s="10">
        <f>data_redis_illX!L1809</f>
        <v>0</v>
      </c>
      <c r="Y2008" s="5">
        <f t="shared" si="31"/>
        <v>0</v>
      </c>
    </row>
    <row r="2009" spans="16:25" x14ac:dyDescent="0.25">
      <c r="P2009" s="2" t="s">
        <v>37</v>
      </c>
      <c r="Q2009" s="10">
        <f>data_redis_illX!E1810</f>
        <v>0</v>
      </c>
      <c r="R2009" s="10">
        <f>data_redis_illX!F1810</f>
        <v>0</v>
      </c>
      <c r="S2009" s="10">
        <f>data_redis_illX!G1810</f>
        <v>0</v>
      </c>
      <c r="T2009" s="10">
        <f>data_redis_illX!H1810</f>
        <v>0</v>
      </c>
      <c r="U2009" s="10">
        <f>data_redis_illX!I1810</f>
        <v>0</v>
      </c>
      <c r="V2009" s="10">
        <f>data_redis_illX!J1810</f>
        <v>0</v>
      </c>
      <c r="W2009" s="10">
        <f>data_redis_illX!K1810</f>
        <v>0</v>
      </c>
      <c r="X2009" s="10">
        <f>data_redis_illX!L1810</f>
        <v>0</v>
      </c>
      <c r="Y2009" s="5">
        <f t="shared" si="31"/>
        <v>0</v>
      </c>
    </row>
    <row r="2010" spans="16:25" x14ac:dyDescent="0.25">
      <c r="P2010" s="2" t="s">
        <v>38</v>
      </c>
      <c r="Q2010" s="10">
        <f>data_redis_illX!E1811</f>
        <v>0</v>
      </c>
      <c r="R2010" s="10">
        <f>data_redis_illX!F1811</f>
        <v>0</v>
      </c>
      <c r="S2010" s="10">
        <f>data_redis_illX!G1811</f>
        <v>19.602519949885714</v>
      </c>
      <c r="T2010" s="10">
        <f>data_redis_illX!H1811</f>
        <v>16.146610499006066</v>
      </c>
      <c r="U2010" s="10">
        <f>data_redis_illX!I1811</f>
        <v>2.3511848440615672</v>
      </c>
      <c r="V2010" s="10">
        <f>data_redis_illX!J1811</f>
        <v>2.466244860517306</v>
      </c>
      <c r="W2010" s="10">
        <f>data_redis_illX!K1811</f>
        <v>0</v>
      </c>
      <c r="X2010" s="10">
        <f>data_redis_illX!L1811</f>
        <v>0</v>
      </c>
      <c r="Y2010" s="5">
        <f t="shared" si="31"/>
        <v>40.566560153470647</v>
      </c>
    </row>
    <row r="2011" spans="16:25" x14ac:dyDescent="0.25">
      <c r="P2011" s="2" t="s">
        <v>39</v>
      </c>
      <c r="Q2011" s="10">
        <f>data_redis_illX!E1812</f>
        <v>0</v>
      </c>
      <c r="R2011" s="10">
        <f>data_redis_illX!F1812</f>
        <v>0</v>
      </c>
      <c r="S2011" s="10">
        <f>data_redis_illX!G1812</f>
        <v>1.3068346633257142</v>
      </c>
      <c r="T2011" s="10">
        <f>data_redis_illX!H1812</f>
        <v>0</v>
      </c>
      <c r="U2011" s="10">
        <f>data_redis_illX!I1812</f>
        <v>0</v>
      </c>
      <c r="V2011" s="10">
        <f>data_redis_illX!J1812</f>
        <v>0</v>
      </c>
      <c r="W2011" s="10">
        <f>data_redis_illX!K1812</f>
        <v>0</v>
      </c>
      <c r="X2011" s="10">
        <f>data_redis_illX!L1812</f>
        <v>0</v>
      </c>
      <c r="Y2011" s="5">
        <f t="shared" si="31"/>
        <v>1.3068346633257142</v>
      </c>
    </row>
    <row r="2012" spans="16:25" x14ac:dyDescent="0.25">
      <c r="P2012" s="2" t="s">
        <v>40</v>
      </c>
      <c r="Q2012" s="10">
        <f>data_redis_illX!E1813</f>
        <v>0</v>
      </c>
      <c r="R2012" s="10">
        <f>data_redis_illX!F1813</f>
        <v>0</v>
      </c>
      <c r="S2012" s="10">
        <f>data_redis_illX!G1813</f>
        <v>2.6136693266514284</v>
      </c>
      <c r="T2012" s="10">
        <f>data_redis_illX!H1813</f>
        <v>2.4840939229240098</v>
      </c>
      <c r="U2012" s="10">
        <f>data_redis_illX!I1813</f>
        <v>0</v>
      </c>
      <c r="V2012" s="10">
        <f>data_redis_illX!J1813</f>
        <v>0</v>
      </c>
      <c r="W2012" s="10">
        <f>data_redis_illX!K1813</f>
        <v>0</v>
      </c>
      <c r="X2012" s="10">
        <f>data_redis_illX!L1813</f>
        <v>0</v>
      </c>
      <c r="Y2012" s="5">
        <f t="shared" si="31"/>
        <v>5.0977632495754381</v>
      </c>
    </row>
    <row r="2013" spans="16:25" x14ac:dyDescent="0.25">
      <c r="P2013" s="2" t="s">
        <v>41</v>
      </c>
      <c r="Q2013" s="10">
        <f>data_redis_illX!E1814</f>
        <v>0</v>
      </c>
      <c r="R2013" s="10">
        <f>data_redis_illX!F1814</f>
        <v>0</v>
      </c>
      <c r="S2013" s="10">
        <f>data_redis_illX!G1814</f>
        <v>1.3068346633257142</v>
      </c>
      <c r="T2013" s="10">
        <f>data_redis_illX!H1814</f>
        <v>0</v>
      </c>
      <c r="U2013" s="10">
        <f>data_redis_illX!I1814</f>
        <v>0</v>
      </c>
      <c r="V2013" s="10">
        <f>data_redis_illX!J1814</f>
        <v>0</v>
      </c>
      <c r="W2013" s="10">
        <f>data_redis_illX!K1814</f>
        <v>0</v>
      </c>
      <c r="X2013" s="10">
        <f>data_redis_illX!L1814</f>
        <v>0</v>
      </c>
      <c r="Y2013" s="5">
        <f t="shared" si="31"/>
        <v>1.3068346633257142</v>
      </c>
    </row>
    <row r="2014" spans="16:25" x14ac:dyDescent="0.25">
      <c r="P2014" s="2" t="s">
        <v>42</v>
      </c>
      <c r="Q2014" s="10">
        <f>data_redis_illX!E1815</f>
        <v>0</v>
      </c>
      <c r="R2014" s="10">
        <f>data_redis_illX!F1815</f>
        <v>0</v>
      </c>
      <c r="S2014" s="10">
        <f>data_redis_illX!G1815</f>
        <v>16.988850623234288</v>
      </c>
      <c r="T2014" s="10">
        <f>data_redis_illX!H1815</f>
        <v>33.535267959474126</v>
      </c>
      <c r="U2014" s="10">
        <f>data_redis_illX!I1815</f>
        <v>7.0535545321847035</v>
      </c>
      <c r="V2014" s="10">
        <f>data_redis_illX!J1815</f>
        <v>0</v>
      </c>
      <c r="W2014" s="10">
        <f>data_redis_illX!K1815</f>
        <v>0</v>
      </c>
      <c r="X2014" s="10">
        <f>data_redis_illX!L1815</f>
        <v>0</v>
      </c>
      <c r="Y2014" s="5">
        <f t="shared" si="31"/>
        <v>57.577673114893116</v>
      </c>
    </row>
    <row r="2015" spans="16:25" x14ac:dyDescent="0.25">
      <c r="P2015" s="2" t="s">
        <v>43</v>
      </c>
      <c r="Q2015" s="10">
        <f>data_redis_illX!E1816</f>
        <v>0</v>
      </c>
      <c r="R2015" s="10">
        <f>data_redis_illX!F1816</f>
        <v>0</v>
      </c>
      <c r="S2015" s="10">
        <f>data_redis_illX!G1816</f>
        <v>1.3068346633257142</v>
      </c>
      <c r="T2015" s="10">
        <f>data_redis_illX!H1816</f>
        <v>0</v>
      </c>
      <c r="U2015" s="10">
        <f>data_redis_illX!I1816</f>
        <v>0</v>
      </c>
      <c r="V2015" s="10">
        <f>data_redis_illX!J1816</f>
        <v>0</v>
      </c>
      <c r="W2015" s="10">
        <f>data_redis_illX!K1816</f>
        <v>0</v>
      </c>
      <c r="X2015" s="10">
        <f>data_redis_illX!L1816</f>
        <v>0</v>
      </c>
      <c r="Y2015" s="5">
        <f t="shared" si="31"/>
        <v>1.3068346633257142</v>
      </c>
    </row>
    <row r="2016" spans="16:25" x14ac:dyDescent="0.25">
      <c r="P2016" s="2" t="s">
        <v>44</v>
      </c>
      <c r="Q2016" s="10">
        <f>data_redis_illX!E1817</f>
        <v>0</v>
      </c>
      <c r="R2016" s="10">
        <f>data_redis_illX!F1817</f>
        <v>0</v>
      </c>
      <c r="S2016" s="10">
        <f>data_redis_illX!G1817</f>
        <v>78.410079799542856</v>
      </c>
      <c r="T2016" s="10">
        <f>data_redis_illX!H1817</f>
        <v>84.459193379416348</v>
      </c>
      <c r="U2016" s="10">
        <f>data_redis_illX!I1817</f>
        <v>25.863033284677243</v>
      </c>
      <c r="V2016" s="10">
        <f>data_redis_illX!J1817</f>
        <v>1.233122430258653</v>
      </c>
      <c r="W2016" s="10">
        <f>data_redis_illX!K1817</f>
        <v>0</v>
      </c>
      <c r="X2016" s="10">
        <f>data_redis_illX!L1817</f>
        <v>0</v>
      </c>
      <c r="Y2016" s="5">
        <f t="shared" si="31"/>
        <v>189.96542889389508</v>
      </c>
    </row>
    <row r="2017" spans="13:25" x14ac:dyDescent="0.25">
      <c r="M2017" t="s">
        <v>115</v>
      </c>
      <c r="N2017" t="s">
        <v>117</v>
      </c>
      <c r="O2017" t="s">
        <v>50</v>
      </c>
      <c r="P2017" s="2" t="s">
        <v>12</v>
      </c>
      <c r="Q2017" s="10">
        <f>data_redis_illX!E1818</f>
        <v>0</v>
      </c>
      <c r="R2017" s="10">
        <f>data_redis_illX!F1818</f>
        <v>0</v>
      </c>
      <c r="S2017" s="10">
        <f>data_redis_illX!G1818</f>
        <v>0</v>
      </c>
      <c r="T2017" s="10">
        <f>data_redis_illX!H1818</f>
        <v>0</v>
      </c>
      <c r="U2017" s="10">
        <f>data_redis_illX!I1818</f>
        <v>0</v>
      </c>
      <c r="V2017" s="10">
        <f>data_redis_illX!J1818</f>
        <v>0</v>
      </c>
      <c r="W2017" s="10">
        <f>data_redis_illX!K1818</f>
        <v>3.0952380952380953E-2</v>
      </c>
      <c r="X2017" s="10">
        <f>data_redis_illX!L1818</f>
        <v>0</v>
      </c>
      <c r="Y2017" s="5">
        <f t="shared" si="31"/>
        <v>3.0952380952380953E-2</v>
      </c>
    </row>
    <row r="2018" spans="13:25" x14ac:dyDescent="0.25">
      <c r="P2018" s="2" t="s">
        <v>13</v>
      </c>
      <c r="Q2018" s="10">
        <f>data_redis_illX!E1819</f>
        <v>0</v>
      </c>
      <c r="R2018" s="10">
        <f>data_redis_illX!F1819</f>
        <v>0</v>
      </c>
      <c r="S2018" s="10">
        <f>data_redis_illX!G1819</f>
        <v>0</v>
      </c>
      <c r="T2018" s="10">
        <f>data_redis_illX!H1819</f>
        <v>0</v>
      </c>
      <c r="U2018" s="10">
        <f>data_redis_illX!I1819</f>
        <v>0</v>
      </c>
      <c r="V2018" s="10">
        <f>data_redis_illX!J1819</f>
        <v>0</v>
      </c>
      <c r="W2018" s="10">
        <f>data_redis_illX!K1819</f>
        <v>3.0952380952380953E-2</v>
      </c>
      <c r="X2018" s="10">
        <f>data_redis_illX!L1819</f>
        <v>0</v>
      </c>
      <c r="Y2018" s="5">
        <f t="shared" si="31"/>
        <v>3.0952380952380953E-2</v>
      </c>
    </row>
    <row r="2019" spans="13:25" x14ac:dyDescent="0.25">
      <c r="P2019" s="2" t="s">
        <v>14</v>
      </c>
      <c r="Q2019" s="10">
        <f>data_redis_illX!E1820</f>
        <v>0</v>
      </c>
      <c r="R2019" s="10">
        <f>data_redis_illX!F1820</f>
        <v>0</v>
      </c>
      <c r="S2019" s="10">
        <f>data_redis_illX!G1820</f>
        <v>0</v>
      </c>
      <c r="T2019" s="10">
        <f>data_redis_illX!H1820</f>
        <v>0</v>
      </c>
      <c r="U2019" s="10">
        <f>data_redis_illX!I1820</f>
        <v>0</v>
      </c>
      <c r="V2019" s="10">
        <f>data_redis_illX!J1820</f>
        <v>0</v>
      </c>
      <c r="W2019" s="10">
        <f>data_redis_illX!K1820</f>
        <v>3.0952380952380953E-2</v>
      </c>
      <c r="X2019" s="10">
        <f>data_redis_illX!L1820</f>
        <v>0</v>
      </c>
      <c r="Y2019" s="5">
        <f t="shared" si="31"/>
        <v>3.0952380952380953E-2</v>
      </c>
    </row>
    <row r="2020" spans="13:25" x14ac:dyDescent="0.25">
      <c r="P2020" s="2" t="s">
        <v>15</v>
      </c>
      <c r="Q2020" s="10">
        <f>data_redis_illX!E1821</f>
        <v>0</v>
      </c>
      <c r="R2020" s="10">
        <f>data_redis_illX!F1821</f>
        <v>0</v>
      </c>
      <c r="S2020" s="10">
        <f>data_redis_illX!G1821</f>
        <v>0</v>
      </c>
      <c r="T2020" s="10">
        <f>data_redis_illX!H1821</f>
        <v>0</v>
      </c>
      <c r="U2020" s="10">
        <f>data_redis_illX!I1821</f>
        <v>0</v>
      </c>
      <c r="V2020" s="10">
        <f>data_redis_illX!J1821</f>
        <v>0</v>
      </c>
      <c r="W2020" s="10">
        <f>data_redis_illX!K1821</f>
        <v>3.0952380952380953E-2</v>
      </c>
      <c r="X2020" s="10">
        <f>data_redis_illX!L1821</f>
        <v>0</v>
      </c>
      <c r="Y2020" s="5">
        <f t="shared" si="31"/>
        <v>3.0952380952380953E-2</v>
      </c>
    </row>
    <row r="2021" spans="13:25" x14ac:dyDescent="0.25">
      <c r="P2021" s="2" t="s">
        <v>16</v>
      </c>
      <c r="Q2021" s="10">
        <f>data_redis_illX!E1822</f>
        <v>0</v>
      </c>
      <c r="R2021" s="10">
        <f>data_redis_illX!F1822</f>
        <v>0</v>
      </c>
      <c r="S2021" s="10">
        <f>data_redis_illX!G1822</f>
        <v>0</v>
      </c>
      <c r="T2021" s="10">
        <f>data_redis_illX!H1822</f>
        <v>0</v>
      </c>
      <c r="U2021" s="10">
        <f>data_redis_illX!I1822</f>
        <v>0</v>
      </c>
      <c r="V2021" s="10">
        <f>data_redis_illX!J1822</f>
        <v>0</v>
      </c>
      <c r="W2021" s="10">
        <f>data_redis_illX!K1822</f>
        <v>3.0952380952380953E-2</v>
      </c>
      <c r="X2021" s="10">
        <f>data_redis_illX!L1822</f>
        <v>0</v>
      </c>
      <c r="Y2021" s="5">
        <f t="shared" si="31"/>
        <v>3.0952380952380953E-2</v>
      </c>
    </row>
    <row r="2022" spans="13:25" x14ac:dyDescent="0.25">
      <c r="P2022" s="2" t="s">
        <v>17</v>
      </c>
      <c r="Q2022" s="10">
        <f>data_redis_illX!E1823</f>
        <v>0</v>
      </c>
      <c r="R2022" s="10">
        <f>data_redis_illX!F1823</f>
        <v>0</v>
      </c>
      <c r="S2022" s="10">
        <f>data_redis_illX!G1823</f>
        <v>0</v>
      </c>
      <c r="T2022" s="10">
        <f>data_redis_illX!H1823</f>
        <v>0</v>
      </c>
      <c r="U2022" s="10">
        <f>data_redis_illX!I1823</f>
        <v>0</v>
      </c>
      <c r="V2022" s="10">
        <f>data_redis_illX!J1823</f>
        <v>0</v>
      </c>
      <c r="W2022" s="10">
        <f>data_redis_illX!K1823</f>
        <v>3.0952380952380953E-2</v>
      </c>
      <c r="X2022" s="10">
        <f>data_redis_illX!L1823</f>
        <v>0</v>
      </c>
      <c r="Y2022" s="5">
        <f t="shared" si="31"/>
        <v>3.0952380952380953E-2</v>
      </c>
    </row>
    <row r="2023" spans="13:25" x14ac:dyDescent="0.25">
      <c r="P2023" s="2" t="s">
        <v>18</v>
      </c>
      <c r="Q2023" s="10">
        <f>data_redis_illX!E1824</f>
        <v>0</v>
      </c>
      <c r="R2023" s="10">
        <f>data_redis_illX!F1824</f>
        <v>0</v>
      </c>
      <c r="S2023" s="10">
        <f>data_redis_illX!G1824</f>
        <v>0</v>
      </c>
      <c r="T2023" s="10">
        <f>data_redis_illX!H1824</f>
        <v>0</v>
      </c>
      <c r="U2023" s="10">
        <f>data_redis_illX!I1824</f>
        <v>0</v>
      </c>
      <c r="V2023" s="10">
        <f>data_redis_illX!J1824</f>
        <v>0</v>
      </c>
      <c r="W2023" s="10">
        <f>data_redis_illX!K1824</f>
        <v>3.0952380952380953E-2</v>
      </c>
      <c r="X2023" s="10">
        <f>data_redis_illX!L1824</f>
        <v>0</v>
      </c>
      <c r="Y2023" s="5">
        <f t="shared" si="31"/>
        <v>3.0952380952380953E-2</v>
      </c>
    </row>
    <row r="2024" spans="13:25" x14ac:dyDescent="0.25">
      <c r="P2024" s="2" t="s">
        <v>19</v>
      </c>
      <c r="Q2024" s="10">
        <f>data_redis_illX!E1825</f>
        <v>0</v>
      </c>
      <c r="R2024" s="10">
        <f>data_redis_illX!F1825</f>
        <v>0</v>
      </c>
      <c r="S2024" s="10">
        <f>data_redis_illX!G1825</f>
        <v>0</v>
      </c>
      <c r="T2024" s="10">
        <f>data_redis_illX!H1825</f>
        <v>0</v>
      </c>
      <c r="U2024" s="10">
        <f>data_redis_illX!I1825</f>
        <v>0</v>
      </c>
      <c r="V2024" s="10">
        <f>data_redis_illX!J1825</f>
        <v>0</v>
      </c>
      <c r="W2024" s="10">
        <f>data_redis_illX!K1825</f>
        <v>3.0952380952380953E-2</v>
      </c>
      <c r="X2024" s="10">
        <f>data_redis_illX!L1825</f>
        <v>0</v>
      </c>
      <c r="Y2024" s="5">
        <f t="shared" si="31"/>
        <v>3.0952380952380953E-2</v>
      </c>
    </row>
    <row r="2025" spans="13:25" x14ac:dyDescent="0.25">
      <c r="P2025" s="2" t="s">
        <v>20</v>
      </c>
      <c r="Q2025" s="10">
        <f>data_redis_illX!E1826</f>
        <v>0</v>
      </c>
      <c r="R2025" s="10">
        <f>data_redis_illX!F1826</f>
        <v>0</v>
      </c>
      <c r="S2025" s="10">
        <f>data_redis_illX!G1826</f>
        <v>0</v>
      </c>
      <c r="T2025" s="10">
        <f>data_redis_illX!H1826</f>
        <v>0</v>
      </c>
      <c r="U2025" s="10">
        <f>data_redis_illX!I1826</f>
        <v>0</v>
      </c>
      <c r="V2025" s="10">
        <f>data_redis_illX!J1826</f>
        <v>0</v>
      </c>
      <c r="W2025" s="10">
        <f>data_redis_illX!K1826</f>
        <v>3.0952380952380953E-2</v>
      </c>
      <c r="X2025" s="10">
        <f>data_redis_illX!L1826</f>
        <v>0</v>
      </c>
      <c r="Y2025" s="5">
        <f t="shared" si="31"/>
        <v>3.0952380952380953E-2</v>
      </c>
    </row>
    <row r="2026" spans="13:25" x14ac:dyDescent="0.25">
      <c r="P2026" s="2" t="s">
        <v>21</v>
      </c>
      <c r="Q2026" s="10">
        <f>data_redis_illX!E1827</f>
        <v>0</v>
      </c>
      <c r="R2026" s="10">
        <f>data_redis_illX!F1827</f>
        <v>0</v>
      </c>
      <c r="S2026" s="10">
        <f>data_redis_illX!G1827</f>
        <v>0</v>
      </c>
      <c r="T2026" s="10">
        <f>data_redis_illX!H1827</f>
        <v>0</v>
      </c>
      <c r="U2026" s="10">
        <f>data_redis_illX!I1827</f>
        <v>0</v>
      </c>
      <c r="V2026" s="10">
        <f>data_redis_illX!J1827</f>
        <v>0</v>
      </c>
      <c r="W2026" s="10">
        <f>data_redis_illX!K1827</f>
        <v>3.0952380952380953E-2</v>
      </c>
      <c r="X2026" s="10">
        <f>data_redis_illX!L1827</f>
        <v>0</v>
      </c>
      <c r="Y2026" s="5">
        <f t="shared" si="31"/>
        <v>3.0952380952380953E-2</v>
      </c>
    </row>
    <row r="2027" spans="13:25" x14ac:dyDescent="0.25">
      <c r="P2027" s="2" t="s">
        <v>22</v>
      </c>
      <c r="Q2027" s="10">
        <f>data_redis_illX!E1828</f>
        <v>0</v>
      </c>
      <c r="R2027" s="10">
        <f>data_redis_illX!F1828</f>
        <v>0</v>
      </c>
      <c r="S2027" s="10">
        <f>data_redis_illX!G1828</f>
        <v>0</v>
      </c>
      <c r="T2027" s="10">
        <f>data_redis_illX!H1828</f>
        <v>0</v>
      </c>
      <c r="U2027" s="10">
        <f>data_redis_illX!I1828</f>
        <v>0</v>
      </c>
      <c r="V2027" s="10">
        <f>data_redis_illX!J1828</f>
        <v>0</v>
      </c>
      <c r="W2027" s="10">
        <f>data_redis_illX!K1828</f>
        <v>3.0952380952380953E-2</v>
      </c>
      <c r="X2027" s="10">
        <f>data_redis_illX!L1828</f>
        <v>0</v>
      </c>
      <c r="Y2027" s="5">
        <f t="shared" si="31"/>
        <v>3.0952380952380953E-2</v>
      </c>
    </row>
    <row r="2028" spans="13:25" x14ac:dyDescent="0.25">
      <c r="P2028" s="2" t="s">
        <v>23</v>
      </c>
      <c r="Q2028" s="10">
        <f>data_redis_illX!E1829</f>
        <v>0</v>
      </c>
      <c r="R2028" s="10">
        <f>data_redis_illX!F1829</f>
        <v>0</v>
      </c>
      <c r="S2028" s="10">
        <f>data_redis_illX!G1829</f>
        <v>0</v>
      </c>
      <c r="T2028" s="10">
        <f>data_redis_illX!H1829</f>
        <v>0</v>
      </c>
      <c r="U2028" s="10">
        <f>data_redis_illX!I1829</f>
        <v>0</v>
      </c>
      <c r="V2028" s="10">
        <f>data_redis_illX!J1829</f>
        <v>0</v>
      </c>
      <c r="W2028" s="10">
        <f>data_redis_illX!K1829</f>
        <v>3.0952380952380953E-2</v>
      </c>
      <c r="X2028" s="10">
        <f>data_redis_illX!L1829</f>
        <v>0</v>
      </c>
      <c r="Y2028" s="5">
        <f t="shared" si="31"/>
        <v>3.0952380952380953E-2</v>
      </c>
    </row>
    <row r="2029" spans="13:25" x14ac:dyDescent="0.25">
      <c r="P2029" s="2" t="s">
        <v>24</v>
      </c>
      <c r="Q2029" s="10">
        <f>data_redis_illX!E1830</f>
        <v>0</v>
      </c>
      <c r="R2029" s="10">
        <f>data_redis_illX!F1830</f>
        <v>0</v>
      </c>
      <c r="S2029" s="10">
        <f>data_redis_illX!G1830</f>
        <v>0</v>
      </c>
      <c r="T2029" s="10">
        <f>data_redis_illX!H1830</f>
        <v>0</v>
      </c>
      <c r="U2029" s="10">
        <f>data_redis_illX!I1830</f>
        <v>0</v>
      </c>
      <c r="V2029" s="10">
        <f>data_redis_illX!J1830</f>
        <v>0</v>
      </c>
      <c r="W2029" s="10">
        <f>data_redis_illX!K1830</f>
        <v>3.0952380952380953E-2</v>
      </c>
      <c r="X2029" s="10">
        <f>data_redis_illX!L1830</f>
        <v>0</v>
      </c>
      <c r="Y2029" s="5">
        <f t="shared" si="31"/>
        <v>3.0952380952380953E-2</v>
      </c>
    </row>
    <row r="2030" spans="13:25" x14ac:dyDescent="0.25">
      <c r="P2030" s="2" t="s">
        <v>25</v>
      </c>
      <c r="Q2030" s="10">
        <f>data_redis_illX!E1831</f>
        <v>0</v>
      </c>
      <c r="R2030" s="10">
        <f>data_redis_illX!F1831</f>
        <v>0</v>
      </c>
      <c r="S2030" s="10">
        <f>data_redis_illX!G1831</f>
        <v>0</v>
      </c>
      <c r="T2030" s="10">
        <f>data_redis_illX!H1831</f>
        <v>0</v>
      </c>
      <c r="U2030" s="10">
        <f>data_redis_illX!I1831</f>
        <v>0</v>
      </c>
      <c r="V2030" s="10">
        <f>data_redis_illX!J1831</f>
        <v>0</v>
      </c>
      <c r="W2030" s="10">
        <f>data_redis_illX!K1831</f>
        <v>3.0952380952380953E-2</v>
      </c>
      <c r="X2030" s="10">
        <f>data_redis_illX!L1831</f>
        <v>0</v>
      </c>
      <c r="Y2030" s="5">
        <f t="shared" si="31"/>
        <v>3.0952380952380953E-2</v>
      </c>
    </row>
    <row r="2031" spans="13:25" x14ac:dyDescent="0.25">
      <c r="P2031" s="2" t="s">
        <v>26</v>
      </c>
      <c r="Q2031" s="10">
        <f>data_redis_illX!E1832</f>
        <v>0</v>
      </c>
      <c r="R2031" s="10">
        <f>data_redis_illX!F1832</f>
        <v>0</v>
      </c>
      <c r="S2031" s="10">
        <f>data_redis_illX!G1832</f>
        <v>0</v>
      </c>
      <c r="T2031" s="10">
        <f>data_redis_illX!H1832</f>
        <v>0</v>
      </c>
      <c r="U2031" s="10">
        <f>data_redis_illX!I1832</f>
        <v>0</v>
      </c>
      <c r="V2031" s="10">
        <f>data_redis_illX!J1832</f>
        <v>0</v>
      </c>
      <c r="W2031" s="10">
        <f>data_redis_illX!K1832</f>
        <v>3.0952380952380953E-2</v>
      </c>
      <c r="X2031" s="10">
        <f>data_redis_illX!L1832</f>
        <v>0</v>
      </c>
      <c r="Y2031" s="5">
        <f t="shared" si="31"/>
        <v>3.0952380952380953E-2</v>
      </c>
    </row>
    <row r="2032" spans="13:25" x14ac:dyDescent="0.25">
      <c r="P2032" s="2" t="s">
        <v>27</v>
      </c>
      <c r="Q2032" s="10">
        <f>data_redis_illX!E1833</f>
        <v>0</v>
      </c>
      <c r="R2032" s="10">
        <f>data_redis_illX!F1833</f>
        <v>0</v>
      </c>
      <c r="S2032" s="10">
        <f>data_redis_illX!G1833</f>
        <v>2.6594713329409676</v>
      </c>
      <c r="T2032" s="10">
        <f>data_redis_illX!H1833</f>
        <v>0</v>
      </c>
      <c r="U2032" s="10">
        <f>data_redis_illX!I1833</f>
        <v>0</v>
      </c>
      <c r="V2032" s="10">
        <f>data_redis_illX!J1833</f>
        <v>0</v>
      </c>
      <c r="W2032" s="10">
        <f>data_redis_illX!K1833</f>
        <v>3.0952380952380953E-2</v>
      </c>
      <c r="X2032" s="10">
        <f>data_redis_illX!L1833</f>
        <v>0</v>
      </c>
      <c r="Y2032" s="5">
        <f t="shared" si="31"/>
        <v>2.6904237138933484</v>
      </c>
    </row>
    <row r="2033" spans="16:25" x14ac:dyDescent="0.25">
      <c r="P2033" s="2" t="s">
        <v>28</v>
      </c>
      <c r="Q2033" s="10">
        <f>data_redis_illX!E1834</f>
        <v>0</v>
      </c>
      <c r="R2033" s="10">
        <f>data_redis_illX!F1834</f>
        <v>0</v>
      </c>
      <c r="S2033" s="10">
        <f>data_redis_illX!G1834</f>
        <v>0</v>
      </c>
      <c r="T2033" s="10">
        <f>data_redis_illX!H1834</f>
        <v>0</v>
      </c>
      <c r="U2033" s="10">
        <f>data_redis_illX!I1834</f>
        <v>0</v>
      </c>
      <c r="V2033" s="10">
        <f>data_redis_illX!J1834</f>
        <v>0</v>
      </c>
      <c r="W2033" s="10">
        <f>data_redis_illX!K1834</f>
        <v>3.0952380952380953E-2</v>
      </c>
      <c r="X2033" s="10">
        <f>data_redis_illX!L1834</f>
        <v>0</v>
      </c>
      <c r="Y2033" s="5">
        <f t="shared" si="31"/>
        <v>3.0952380952380953E-2</v>
      </c>
    </row>
    <row r="2034" spans="16:25" x14ac:dyDescent="0.25">
      <c r="P2034" s="2" t="s">
        <v>29</v>
      </c>
      <c r="Q2034" s="10">
        <f>data_redis_illX!E1835</f>
        <v>0</v>
      </c>
      <c r="R2034" s="10">
        <f>data_redis_illX!F1835</f>
        <v>0</v>
      </c>
      <c r="S2034" s="10">
        <f>data_redis_illX!G1835</f>
        <v>0</v>
      </c>
      <c r="T2034" s="10">
        <f>data_redis_illX!H1835</f>
        <v>0</v>
      </c>
      <c r="U2034" s="10">
        <f>data_redis_illX!I1835</f>
        <v>0</v>
      </c>
      <c r="V2034" s="10">
        <f>data_redis_illX!J1835</f>
        <v>0</v>
      </c>
      <c r="W2034" s="10">
        <f>data_redis_illX!K1835</f>
        <v>3.0952380952380953E-2</v>
      </c>
      <c r="X2034" s="10">
        <f>data_redis_illX!L1835</f>
        <v>0</v>
      </c>
      <c r="Y2034" s="5">
        <f t="shared" si="31"/>
        <v>3.0952380952380953E-2</v>
      </c>
    </row>
    <row r="2035" spans="16:25" x14ac:dyDescent="0.25">
      <c r="P2035" s="2" t="s">
        <v>30</v>
      </c>
      <c r="Q2035" s="10">
        <f>data_redis_illX!E1836</f>
        <v>0</v>
      </c>
      <c r="R2035" s="10">
        <f>data_redis_illX!F1836</f>
        <v>0</v>
      </c>
      <c r="S2035" s="10">
        <f>data_redis_illX!G1836</f>
        <v>0</v>
      </c>
      <c r="T2035" s="10">
        <f>data_redis_illX!H1836</f>
        <v>2.9343046091568019</v>
      </c>
      <c r="U2035" s="10">
        <f>data_redis_illX!I1836</f>
        <v>2.6409672391555774</v>
      </c>
      <c r="V2035" s="10">
        <f>data_redis_illX!J1836</f>
        <v>0</v>
      </c>
      <c r="W2035" s="10">
        <f>data_redis_illX!K1836</f>
        <v>3.0952380952380953E-2</v>
      </c>
      <c r="X2035" s="10">
        <f>data_redis_illX!L1836</f>
        <v>0</v>
      </c>
      <c r="Y2035" s="5">
        <f t="shared" si="31"/>
        <v>5.6062242292647602</v>
      </c>
    </row>
    <row r="2036" spans="16:25" x14ac:dyDescent="0.25">
      <c r="P2036" s="2" t="s">
        <v>31</v>
      </c>
      <c r="Q2036" s="10">
        <f>data_redis_illX!E1837</f>
        <v>0</v>
      </c>
      <c r="R2036" s="10">
        <f>data_redis_illX!F1837</f>
        <v>0</v>
      </c>
      <c r="S2036" s="10">
        <f>data_redis_illX!G1837</f>
        <v>0</v>
      </c>
      <c r="T2036" s="10">
        <f>data_redis_illX!H1837</f>
        <v>5.8686092183136038</v>
      </c>
      <c r="U2036" s="10">
        <f>data_redis_illX!I1837</f>
        <v>0</v>
      </c>
      <c r="V2036" s="10">
        <f>data_redis_illX!J1837</f>
        <v>0</v>
      </c>
      <c r="W2036" s="10">
        <f>data_redis_illX!K1837</f>
        <v>3.0952380952380953E-2</v>
      </c>
      <c r="X2036" s="10">
        <f>data_redis_illX!L1837</f>
        <v>0</v>
      </c>
      <c r="Y2036" s="5">
        <f t="shared" si="31"/>
        <v>5.8995615992659847</v>
      </c>
    </row>
    <row r="2037" spans="16:25" x14ac:dyDescent="0.25">
      <c r="P2037" s="2" t="s">
        <v>32</v>
      </c>
      <c r="Q2037" s="10">
        <f>data_redis_illX!E1838</f>
        <v>0</v>
      </c>
      <c r="R2037" s="10">
        <f>data_redis_illX!F1838</f>
        <v>0</v>
      </c>
      <c r="S2037" s="10">
        <f>data_redis_illX!G1838</f>
        <v>0</v>
      </c>
      <c r="T2037" s="10">
        <f>data_redis_illX!H1838</f>
        <v>0</v>
      </c>
      <c r="U2037" s="10">
        <f>data_redis_illX!I1838</f>
        <v>0</v>
      </c>
      <c r="V2037" s="10">
        <f>data_redis_illX!J1838</f>
        <v>0</v>
      </c>
      <c r="W2037" s="10">
        <f>data_redis_illX!K1838</f>
        <v>3.0952380952380953E-2</v>
      </c>
      <c r="X2037" s="10">
        <f>data_redis_illX!L1838</f>
        <v>0</v>
      </c>
      <c r="Y2037" s="5">
        <f t="shared" si="31"/>
        <v>3.0952380952380953E-2</v>
      </c>
    </row>
    <row r="2038" spans="16:25" x14ac:dyDescent="0.25">
      <c r="P2038" s="2" t="s">
        <v>33</v>
      </c>
      <c r="Q2038" s="10">
        <f>data_redis_illX!E1839</f>
        <v>0</v>
      </c>
      <c r="R2038" s="10">
        <f>data_redis_illX!F1839</f>
        <v>0</v>
      </c>
      <c r="S2038" s="10">
        <f>data_redis_illX!G1839</f>
        <v>0</v>
      </c>
      <c r="T2038" s="10">
        <f>data_redis_illX!H1839</f>
        <v>0</v>
      </c>
      <c r="U2038" s="10">
        <f>data_redis_illX!I1839</f>
        <v>0</v>
      </c>
      <c r="V2038" s="10">
        <f>data_redis_illX!J1839</f>
        <v>0</v>
      </c>
      <c r="W2038" s="10">
        <f>data_redis_illX!K1839</f>
        <v>3.0952380952380953E-2</v>
      </c>
      <c r="X2038" s="10">
        <f>data_redis_illX!L1839</f>
        <v>0</v>
      </c>
      <c r="Y2038" s="5">
        <f t="shared" si="31"/>
        <v>3.0952380952380953E-2</v>
      </c>
    </row>
    <row r="2039" spans="16:25" x14ac:dyDescent="0.25">
      <c r="P2039" s="2" t="s">
        <v>34</v>
      </c>
      <c r="Q2039" s="10">
        <f>data_redis_illX!E1840</f>
        <v>0</v>
      </c>
      <c r="R2039" s="10">
        <f>data_redis_illX!F1840</f>
        <v>0</v>
      </c>
      <c r="S2039" s="10">
        <f>data_redis_illX!G1840</f>
        <v>0</v>
      </c>
      <c r="T2039" s="10">
        <f>data_redis_illX!H1840</f>
        <v>0</v>
      </c>
      <c r="U2039" s="10">
        <f>data_redis_illX!I1840</f>
        <v>0</v>
      </c>
      <c r="V2039" s="10">
        <f>data_redis_illX!J1840</f>
        <v>0</v>
      </c>
      <c r="W2039" s="10">
        <f>data_redis_illX!K1840</f>
        <v>3.0952380952380953E-2</v>
      </c>
      <c r="X2039" s="10">
        <f>data_redis_illX!L1840</f>
        <v>0</v>
      </c>
      <c r="Y2039" s="5">
        <f t="shared" si="31"/>
        <v>3.0952380952380953E-2</v>
      </c>
    </row>
    <row r="2040" spans="16:25" x14ac:dyDescent="0.25">
      <c r="P2040" s="2" t="s">
        <v>35</v>
      </c>
      <c r="Q2040" s="10">
        <f>data_redis_illX!E1841</f>
        <v>0</v>
      </c>
      <c r="R2040" s="10">
        <f>data_redis_illX!F1841</f>
        <v>0</v>
      </c>
      <c r="S2040" s="10">
        <f>data_redis_illX!G1841</f>
        <v>0</v>
      </c>
      <c r="T2040" s="10">
        <f>data_redis_illX!H1841</f>
        <v>0</v>
      </c>
      <c r="U2040" s="10">
        <f>data_redis_illX!I1841</f>
        <v>0</v>
      </c>
      <c r="V2040" s="10">
        <f>data_redis_illX!J1841</f>
        <v>0</v>
      </c>
      <c r="W2040" s="10">
        <f>data_redis_illX!K1841</f>
        <v>3.0952380952380953E-2</v>
      </c>
      <c r="X2040" s="10">
        <f>data_redis_illX!L1841</f>
        <v>0</v>
      </c>
      <c r="Y2040" s="5">
        <f t="shared" si="31"/>
        <v>3.0952380952380953E-2</v>
      </c>
    </row>
    <row r="2041" spans="16:25" x14ac:dyDescent="0.25">
      <c r="P2041" s="2" t="s">
        <v>36</v>
      </c>
      <c r="Q2041" s="10">
        <f>data_redis_illX!E1842</f>
        <v>0</v>
      </c>
      <c r="R2041" s="10">
        <f>data_redis_illX!F1842</f>
        <v>0</v>
      </c>
      <c r="S2041" s="10">
        <f>data_redis_illX!G1842</f>
        <v>0</v>
      </c>
      <c r="T2041" s="10">
        <f>data_redis_illX!H1842</f>
        <v>0</v>
      </c>
      <c r="U2041" s="10">
        <f>data_redis_illX!I1842</f>
        <v>0</v>
      </c>
      <c r="V2041" s="10">
        <f>data_redis_illX!J1842</f>
        <v>0</v>
      </c>
      <c r="W2041" s="10">
        <f>data_redis_illX!K1842</f>
        <v>3.0952380952380953E-2</v>
      </c>
      <c r="X2041" s="10">
        <f>data_redis_illX!L1842</f>
        <v>0</v>
      </c>
      <c r="Y2041" s="5">
        <f t="shared" si="31"/>
        <v>3.0952380952380953E-2</v>
      </c>
    </row>
    <row r="2042" spans="16:25" x14ac:dyDescent="0.25">
      <c r="P2042" s="2" t="s">
        <v>37</v>
      </c>
      <c r="Q2042" s="10">
        <f>data_redis_illX!E1843</f>
        <v>0</v>
      </c>
      <c r="R2042" s="10">
        <f>data_redis_illX!F1843</f>
        <v>0</v>
      </c>
      <c r="S2042" s="10">
        <f>data_redis_illX!G1843</f>
        <v>0</v>
      </c>
      <c r="T2042" s="10">
        <f>data_redis_illX!H1843</f>
        <v>0</v>
      </c>
      <c r="U2042" s="10">
        <f>data_redis_illX!I1843</f>
        <v>0</v>
      </c>
      <c r="V2042" s="10">
        <f>data_redis_illX!J1843</f>
        <v>0</v>
      </c>
      <c r="W2042" s="10">
        <f>data_redis_illX!K1843</f>
        <v>3.0952380952380953E-2</v>
      </c>
      <c r="X2042" s="10">
        <f>data_redis_illX!L1843</f>
        <v>0</v>
      </c>
      <c r="Y2042" s="5">
        <f t="shared" si="31"/>
        <v>3.0952380952380953E-2</v>
      </c>
    </row>
    <row r="2043" spans="16:25" x14ac:dyDescent="0.25">
      <c r="P2043" s="2" t="s">
        <v>38</v>
      </c>
      <c r="Q2043" s="10">
        <f>data_redis_illX!E1844</f>
        <v>0</v>
      </c>
      <c r="R2043" s="10">
        <f>data_redis_illX!F1844</f>
        <v>0</v>
      </c>
      <c r="S2043" s="10">
        <f>data_redis_illX!G1844</f>
        <v>0</v>
      </c>
      <c r="T2043" s="10">
        <f>data_redis_illX!H1844</f>
        <v>0</v>
      </c>
      <c r="U2043" s="10">
        <f>data_redis_illX!I1844</f>
        <v>0</v>
      </c>
      <c r="V2043" s="10">
        <f>data_redis_illX!J1844</f>
        <v>0</v>
      </c>
      <c r="W2043" s="10">
        <f>data_redis_illX!K1844</f>
        <v>3.0952380952380953E-2</v>
      </c>
      <c r="X2043" s="10">
        <f>data_redis_illX!L1844</f>
        <v>0</v>
      </c>
      <c r="Y2043" s="5">
        <f t="shared" si="31"/>
        <v>3.0952380952380953E-2</v>
      </c>
    </row>
    <row r="2044" spans="16:25" x14ac:dyDescent="0.25">
      <c r="P2044" s="2" t="s">
        <v>39</v>
      </c>
      <c r="Q2044" s="10">
        <f>data_redis_illX!E1845</f>
        <v>0</v>
      </c>
      <c r="R2044" s="10">
        <f>data_redis_illX!F1845</f>
        <v>0</v>
      </c>
      <c r="S2044" s="10">
        <f>data_redis_illX!G1845</f>
        <v>0</v>
      </c>
      <c r="T2044" s="10">
        <f>data_redis_illX!H1845</f>
        <v>7.4519425516469369</v>
      </c>
      <c r="U2044" s="10">
        <f>data_redis_illX!I1845</f>
        <v>0</v>
      </c>
      <c r="V2044" s="10">
        <f>data_redis_illX!J1845</f>
        <v>0</v>
      </c>
      <c r="W2044" s="10">
        <f>data_redis_illX!K1845</f>
        <v>3.0952380952380953E-2</v>
      </c>
      <c r="X2044" s="10">
        <f>data_redis_illX!L1845</f>
        <v>0</v>
      </c>
      <c r="Y2044" s="5">
        <f t="shared" si="31"/>
        <v>7.4828949325993177</v>
      </c>
    </row>
    <row r="2045" spans="16:25" x14ac:dyDescent="0.25">
      <c r="P2045" s="2" t="s">
        <v>40</v>
      </c>
      <c r="Q2045" s="10">
        <f>data_redis_illX!E1846</f>
        <v>0</v>
      </c>
      <c r="R2045" s="10">
        <f>data_redis_illX!F1846</f>
        <v>0</v>
      </c>
      <c r="S2045" s="10">
        <f>data_redis_illX!G1846</f>
        <v>2.6594713329409676</v>
      </c>
      <c r="T2045" s="10">
        <f>data_redis_illX!H1846</f>
        <v>0</v>
      </c>
      <c r="U2045" s="10">
        <f>data_redis_illX!I1846</f>
        <v>0</v>
      </c>
      <c r="V2045" s="10">
        <f>data_redis_illX!J1846</f>
        <v>0</v>
      </c>
      <c r="W2045" s="10">
        <f>data_redis_illX!K1846</f>
        <v>3.0952380952380953E-2</v>
      </c>
      <c r="X2045" s="10">
        <f>data_redis_illX!L1846</f>
        <v>0</v>
      </c>
      <c r="Y2045" s="5">
        <f t="shared" si="31"/>
        <v>2.6904237138933484</v>
      </c>
    </row>
    <row r="2046" spans="16:25" x14ac:dyDescent="0.25">
      <c r="P2046" s="2" t="s">
        <v>41</v>
      </c>
      <c r="Q2046" s="10">
        <f>data_redis_illX!E1847</f>
        <v>0</v>
      </c>
      <c r="R2046" s="10">
        <f>data_redis_illX!F1847</f>
        <v>0</v>
      </c>
      <c r="S2046" s="10">
        <f>data_redis_illX!G1847</f>
        <v>2.6594713329409676</v>
      </c>
      <c r="T2046" s="10">
        <f>data_redis_illX!H1847</f>
        <v>0</v>
      </c>
      <c r="U2046" s="10">
        <f>data_redis_illX!I1847</f>
        <v>0</v>
      </c>
      <c r="V2046" s="10">
        <f>data_redis_illX!J1847</f>
        <v>0</v>
      </c>
      <c r="W2046" s="10">
        <f>data_redis_illX!K1847</f>
        <v>3.0952380952380953E-2</v>
      </c>
      <c r="X2046" s="10">
        <f>data_redis_illX!L1847</f>
        <v>0</v>
      </c>
      <c r="Y2046" s="5">
        <f t="shared" si="31"/>
        <v>2.6904237138933484</v>
      </c>
    </row>
    <row r="2047" spans="16:25" x14ac:dyDescent="0.25">
      <c r="P2047" s="2" t="s">
        <v>42</v>
      </c>
      <c r="Q2047" s="10">
        <f>data_redis_illX!E1848</f>
        <v>0</v>
      </c>
      <c r="R2047" s="10">
        <f>data_redis_illX!F1848</f>
        <v>0</v>
      </c>
      <c r="S2047" s="10">
        <f>data_redis_illX!G1848</f>
        <v>0</v>
      </c>
      <c r="T2047" s="10">
        <f>data_redis_illX!H1848</f>
        <v>0</v>
      </c>
      <c r="U2047" s="10">
        <f>data_redis_illX!I1848</f>
        <v>0</v>
      </c>
      <c r="V2047" s="10">
        <f>data_redis_illX!J1848</f>
        <v>0</v>
      </c>
      <c r="W2047" s="10">
        <f>data_redis_illX!K1848</f>
        <v>3.0952380952380953E-2</v>
      </c>
      <c r="X2047" s="10">
        <f>data_redis_illX!L1848</f>
        <v>0</v>
      </c>
      <c r="Y2047" s="5">
        <f t="shared" si="31"/>
        <v>3.0952380952380953E-2</v>
      </c>
    </row>
    <row r="2048" spans="16:25" x14ac:dyDescent="0.25">
      <c r="P2048" s="2" t="s">
        <v>43</v>
      </c>
      <c r="Q2048" s="10">
        <f>data_redis_illX!E1849</f>
        <v>0</v>
      </c>
      <c r="R2048" s="10">
        <f>data_redis_illX!F1849</f>
        <v>0</v>
      </c>
      <c r="S2048" s="10">
        <f>data_redis_illX!G1849</f>
        <v>200.2493373105761</v>
      </c>
      <c r="T2048" s="10">
        <f>data_redis_illX!H1849</f>
        <v>293.0953400083676</v>
      </c>
      <c r="U2048" s="10">
        <f>data_redis_illX!I1849</f>
        <v>159.48449300115655</v>
      </c>
      <c r="V2048" s="10">
        <f>data_redis_illX!J1849</f>
        <v>23.335994397759102</v>
      </c>
      <c r="W2048" s="10">
        <f>data_redis_illX!K1849</f>
        <v>2.0309523809523808</v>
      </c>
      <c r="X2048" s="10">
        <f>data_redis_illX!L1849</f>
        <v>0</v>
      </c>
      <c r="Y2048" s="5">
        <f t="shared" si="31"/>
        <v>678.19611709881178</v>
      </c>
    </row>
    <row r="2049" spans="13:25" x14ac:dyDescent="0.25">
      <c r="P2049" s="2" t="s">
        <v>44</v>
      </c>
      <c r="Q2049" s="10">
        <f>data_redis_illX!E1850</f>
        <v>0</v>
      </c>
      <c r="R2049" s="10">
        <f>data_redis_illX!F1850</f>
        <v>0</v>
      </c>
      <c r="S2049" s="10">
        <f>data_redis_illX!G1850</f>
        <v>0</v>
      </c>
      <c r="T2049" s="10">
        <f>data_redis_illX!H1850</f>
        <v>0</v>
      </c>
      <c r="U2049" s="10">
        <f>data_redis_illX!I1850</f>
        <v>0</v>
      </c>
      <c r="V2049" s="10">
        <f>data_redis_illX!J1850</f>
        <v>0</v>
      </c>
      <c r="W2049" s="10">
        <f>data_redis_illX!K1850</f>
        <v>3.0952380952380953E-2</v>
      </c>
      <c r="X2049" s="10">
        <f>data_redis_illX!L1850</f>
        <v>0</v>
      </c>
      <c r="Y2049" s="5">
        <f t="shared" si="31"/>
        <v>3.0952380952380953E-2</v>
      </c>
    </row>
    <row r="2050" spans="13:25" x14ac:dyDescent="0.25">
      <c r="M2050" t="s">
        <v>115</v>
      </c>
      <c r="N2050" t="s">
        <v>117</v>
      </c>
      <c r="O2050" t="s">
        <v>51</v>
      </c>
      <c r="P2050" s="2" t="s">
        <v>12</v>
      </c>
      <c r="Q2050" s="10">
        <f>data_redis_illX!E1851</f>
        <v>0</v>
      </c>
      <c r="R2050" s="10">
        <f>data_redis_illX!F1851</f>
        <v>0</v>
      </c>
      <c r="S2050" s="10">
        <f>data_redis_illX!G1851</f>
        <v>0</v>
      </c>
      <c r="T2050" s="10">
        <f>data_redis_illX!H1851</f>
        <v>4.2708063677572987</v>
      </c>
      <c r="U2050" s="10">
        <f>data_redis_illX!I1851</f>
        <v>2.6808257090673711</v>
      </c>
      <c r="V2050" s="10">
        <f>data_redis_illX!J1851</f>
        <v>0</v>
      </c>
      <c r="W2050" s="10">
        <f>data_redis_illX!K1851</f>
        <v>0</v>
      </c>
      <c r="X2050" s="10">
        <f>data_redis_illX!L1851</f>
        <v>0</v>
      </c>
      <c r="Y2050" s="5">
        <f t="shared" si="31"/>
        <v>6.9516320768246693</v>
      </c>
    </row>
    <row r="2051" spans="13:25" x14ac:dyDescent="0.25">
      <c r="P2051" s="2" t="s">
        <v>13</v>
      </c>
      <c r="Q2051" s="10">
        <f>data_redis_illX!E1852</f>
        <v>0</v>
      </c>
      <c r="R2051" s="10">
        <f>data_redis_illX!F1852</f>
        <v>0</v>
      </c>
      <c r="S2051" s="10">
        <f>data_redis_illX!G1852</f>
        <v>34.942378030403944</v>
      </c>
      <c r="T2051" s="10">
        <f>data_redis_illX!H1852</f>
        <v>38.437257309815692</v>
      </c>
      <c r="U2051" s="10">
        <f>data_redis_illX!I1852</f>
        <v>6.7020642726684283</v>
      </c>
      <c r="V2051" s="10">
        <f>data_redis_illX!J1852</f>
        <v>2.4300715466909653</v>
      </c>
      <c r="W2051" s="10">
        <f>data_redis_illX!K1852</f>
        <v>0</v>
      </c>
      <c r="X2051" s="10">
        <f>data_redis_illX!L1852</f>
        <v>0</v>
      </c>
      <c r="Y2051" s="5">
        <f t="shared" si="31"/>
        <v>82.511771159579027</v>
      </c>
    </row>
    <row r="2052" spans="13:25" x14ac:dyDescent="0.25">
      <c r="P2052" s="2" t="s">
        <v>14</v>
      </c>
      <c r="Q2052" s="10">
        <f>data_redis_illX!E1853</f>
        <v>0</v>
      </c>
      <c r="R2052" s="10">
        <f>data_redis_illX!F1853</f>
        <v>0</v>
      </c>
      <c r="S2052" s="10">
        <f>data_redis_illX!G1853</f>
        <v>19.750039756315271</v>
      </c>
      <c r="T2052" s="10">
        <f>data_redis_illX!H1853</f>
        <v>29.895644574301095</v>
      </c>
      <c r="U2052" s="10">
        <f>data_redis_illX!I1853</f>
        <v>58.978165599482168</v>
      </c>
      <c r="V2052" s="10">
        <f>data_redis_illX!J1853</f>
        <v>18.225536600182242</v>
      </c>
      <c r="W2052" s="10">
        <f>data_redis_illX!K1853</f>
        <v>4.8067226890756301</v>
      </c>
      <c r="X2052" s="10">
        <f>data_redis_illX!L1853</f>
        <v>0</v>
      </c>
      <c r="Y2052" s="5">
        <f t="shared" si="31"/>
        <v>131.65610921935641</v>
      </c>
    </row>
    <row r="2053" spans="13:25" x14ac:dyDescent="0.25">
      <c r="P2053" s="2" t="s">
        <v>15</v>
      </c>
      <c r="Q2053" s="10">
        <f>data_redis_illX!E1854</f>
        <v>0</v>
      </c>
      <c r="R2053" s="10">
        <f>data_redis_illX!F1854</f>
        <v>0</v>
      </c>
      <c r="S2053" s="10">
        <f>data_redis_illX!G1854</f>
        <v>3.0384676548177341</v>
      </c>
      <c r="T2053" s="10">
        <f>data_redis_illX!H1854</f>
        <v>4.2708063677572987</v>
      </c>
      <c r="U2053" s="10">
        <f>data_redis_illX!I1854</f>
        <v>2.6808257090673711</v>
      </c>
      <c r="V2053" s="10">
        <f>data_redis_illX!J1854</f>
        <v>0</v>
      </c>
      <c r="W2053" s="10">
        <f>data_redis_illX!K1854</f>
        <v>0</v>
      </c>
      <c r="X2053" s="10">
        <f>data_redis_illX!L1854</f>
        <v>0</v>
      </c>
      <c r="Y2053" s="5">
        <f t="shared" ref="Y2053:Y2116" si="32">SUM(Q2053:X2053)</f>
        <v>9.9900997316424043</v>
      </c>
    </row>
    <row r="2054" spans="13:25" x14ac:dyDescent="0.25">
      <c r="P2054" s="2" t="s">
        <v>16</v>
      </c>
      <c r="Q2054" s="10">
        <f>data_redis_illX!E1855</f>
        <v>0</v>
      </c>
      <c r="R2054" s="10">
        <f>data_redis_illX!F1855</f>
        <v>0</v>
      </c>
      <c r="S2054" s="10">
        <f>data_redis_illX!G1855</f>
        <v>4.5577014822266015</v>
      </c>
      <c r="T2054" s="10">
        <f>data_redis_illX!H1855</f>
        <v>15.65962334844343</v>
      </c>
      <c r="U2054" s="10">
        <f>data_redis_illX!I1855</f>
        <v>24.127431381606343</v>
      </c>
      <c r="V2054" s="10">
        <f>data_redis_illX!J1855</f>
        <v>3.6451073200364483</v>
      </c>
      <c r="W2054" s="10">
        <f>data_redis_illX!K1855</f>
        <v>0</v>
      </c>
      <c r="X2054" s="10">
        <f>data_redis_illX!L1855</f>
        <v>0</v>
      </c>
      <c r="Y2054" s="5">
        <f t="shared" si="32"/>
        <v>47.989863532312825</v>
      </c>
    </row>
    <row r="2055" spans="13:25" x14ac:dyDescent="0.25">
      <c r="P2055" s="2" t="s">
        <v>17</v>
      </c>
      <c r="Q2055" s="10">
        <f>data_redis_illX!E1856</f>
        <v>0</v>
      </c>
      <c r="R2055" s="10">
        <f>data_redis_illX!F1856</f>
        <v>0</v>
      </c>
      <c r="S2055" s="10">
        <f>data_redis_illX!G1856</f>
        <v>4.5577014822266015</v>
      </c>
      <c r="T2055" s="10">
        <f>data_redis_illX!H1856</f>
        <v>17.083225471029195</v>
      </c>
      <c r="U2055" s="10">
        <f>data_redis_illX!I1856</f>
        <v>9.3828899817357989</v>
      </c>
      <c r="V2055" s="10">
        <f>data_redis_illX!J1856</f>
        <v>4.8601430933819305</v>
      </c>
      <c r="W2055" s="10">
        <f>data_redis_illX!K1856</f>
        <v>0</v>
      </c>
      <c r="X2055" s="10">
        <f>data_redis_illX!L1856</f>
        <v>0</v>
      </c>
      <c r="Y2055" s="5">
        <f t="shared" si="32"/>
        <v>35.883960028373522</v>
      </c>
    </row>
    <row r="2056" spans="13:25" x14ac:dyDescent="0.25">
      <c r="P2056" s="2" t="s">
        <v>18</v>
      </c>
      <c r="Q2056" s="10">
        <f>data_redis_illX!E1857</f>
        <v>0</v>
      </c>
      <c r="R2056" s="10">
        <f>data_redis_illX!F1857</f>
        <v>0</v>
      </c>
      <c r="S2056" s="10">
        <f>data_redis_illX!G1857</f>
        <v>9.1154029644532031</v>
      </c>
      <c r="T2056" s="10">
        <f>data_redis_illX!H1857</f>
        <v>37.013655187229922</v>
      </c>
      <c r="U2056" s="10">
        <f>data_redis_illX!I1857</f>
        <v>24.127431381606343</v>
      </c>
      <c r="V2056" s="10">
        <f>data_redis_illX!J1857</f>
        <v>10.935321960109347</v>
      </c>
      <c r="W2056" s="10">
        <f>data_redis_illX!K1857</f>
        <v>9.6134453781512601</v>
      </c>
      <c r="X2056" s="10">
        <f>data_redis_illX!L1857</f>
        <v>0</v>
      </c>
      <c r="Y2056" s="5">
        <f t="shared" si="32"/>
        <v>90.805256871550071</v>
      </c>
    </row>
    <row r="2057" spans="13:25" x14ac:dyDescent="0.25">
      <c r="P2057" s="2" t="s">
        <v>19</v>
      </c>
      <c r="Q2057" s="10">
        <f>data_redis_illX!E1858</f>
        <v>0</v>
      </c>
      <c r="R2057" s="10">
        <f>data_redis_illX!F1858</f>
        <v>0</v>
      </c>
      <c r="S2057" s="10">
        <f>data_redis_illX!G1858</f>
        <v>36.461611857812812</v>
      </c>
      <c r="T2057" s="10">
        <f>data_redis_illX!H1858</f>
        <v>109.617363439104</v>
      </c>
      <c r="U2057" s="10">
        <f>data_redis_illX!I1858</f>
        <v>151.46665256230648</v>
      </c>
      <c r="V2057" s="10">
        <f>data_redis_illX!J1858</f>
        <v>30.375894333637067</v>
      </c>
      <c r="W2057" s="10">
        <f>data_redis_illX!K1858</f>
        <v>0</v>
      </c>
      <c r="X2057" s="10">
        <f>data_redis_illX!L1858</f>
        <v>1</v>
      </c>
      <c r="Y2057" s="5">
        <f t="shared" si="32"/>
        <v>328.92152219286032</v>
      </c>
    </row>
    <row r="2058" spans="13:25" x14ac:dyDescent="0.25">
      <c r="P2058" s="2" t="s">
        <v>20</v>
      </c>
      <c r="Q2058" s="10">
        <f>data_redis_illX!E1859</f>
        <v>0</v>
      </c>
      <c r="R2058" s="10">
        <f>data_redis_illX!F1859</f>
        <v>0</v>
      </c>
      <c r="S2058" s="10">
        <f>data_redis_illX!G1859</f>
        <v>16.711572101497541</v>
      </c>
      <c r="T2058" s="10">
        <f>data_redis_illX!H1859</f>
        <v>38.437257309815692</v>
      </c>
      <c r="U2058" s="10">
        <f>data_redis_illX!I1859</f>
        <v>25.467844236140024</v>
      </c>
      <c r="V2058" s="10">
        <f>data_redis_illX!J1859</f>
        <v>2.4300715466909653</v>
      </c>
      <c r="W2058" s="10">
        <f>data_redis_illX!K1859</f>
        <v>0</v>
      </c>
      <c r="X2058" s="10">
        <f>data_redis_illX!L1859</f>
        <v>0</v>
      </c>
      <c r="Y2058" s="5">
        <f t="shared" si="32"/>
        <v>83.046745194144222</v>
      </c>
    </row>
    <row r="2059" spans="13:25" x14ac:dyDescent="0.25">
      <c r="P2059" s="2" t="s">
        <v>21</v>
      </c>
      <c r="Q2059" s="10">
        <f>data_redis_illX!E1860</f>
        <v>0</v>
      </c>
      <c r="R2059" s="10">
        <f>data_redis_illX!F1860</f>
        <v>0</v>
      </c>
      <c r="S2059" s="10">
        <f>data_redis_illX!G1860</f>
        <v>7.5961691370443347</v>
      </c>
      <c r="T2059" s="10">
        <f>data_redis_illX!H1860</f>
        <v>21.35403183878649</v>
      </c>
      <c r="U2059" s="10">
        <f>data_redis_illX!I1860</f>
        <v>46.914449908678996</v>
      </c>
      <c r="V2059" s="10">
        <f>data_redis_illX!J1860</f>
        <v>40.096180520400928</v>
      </c>
      <c r="W2059" s="10">
        <f>data_redis_illX!K1860</f>
        <v>10.815126050420167</v>
      </c>
      <c r="X2059" s="10">
        <f>data_redis_illX!L1860</f>
        <v>1</v>
      </c>
      <c r="Y2059" s="5">
        <f t="shared" si="32"/>
        <v>127.77595745533091</v>
      </c>
    </row>
    <row r="2060" spans="13:25" x14ac:dyDescent="0.25">
      <c r="P2060" s="2" t="s">
        <v>22</v>
      </c>
      <c r="Q2060" s="10">
        <f>data_redis_illX!E1861</f>
        <v>0</v>
      </c>
      <c r="R2060" s="10">
        <f>data_redis_illX!F1861</f>
        <v>0</v>
      </c>
      <c r="S2060" s="10">
        <f>data_redis_illX!G1861</f>
        <v>16.711572101497541</v>
      </c>
      <c r="T2060" s="10">
        <f>data_redis_illX!H1861</f>
        <v>62.638493393773722</v>
      </c>
      <c r="U2060" s="10">
        <f>data_redis_illX!I1861</f>
        <v>46.914449908678996</v>
      </c>
      <c r="V2060" s="10">
        <f>data_redis_illX!J1861</f>
        <v>15.795465053491275</v>
      </c>
      <c r="W2060" s="10">
        <f>data_redis_illX!K1861</f>
        <v>0</v>
      </c>
      <c r="X2060" s="10">
        <f>data_redis_illX!L1861</f>
        <v>0</v>
      </c>
      <c r="Y2060" s="5">
        <f t="shared" si="32"/>
        <v>142.05998045744155</v>
      </c>
    </row>
    <row r="2061" spans="13:25" x14ac:dyDescent="0.25">
      <c r="P2061" s="2" t="s">
        <v>23</v>
      </c>
      <c r="Q2061" s="10">
        <f>data_redis_illX!E1862</f>
        <v>0</v>
      </c>
      <c r="R2061" s="10">
        <f>data_redis_illX!F1862</f>
        <v>0</v>
      </c>
      <c r="S2061" s="10">
        <f>data_redis_illX!G1862</f>
        <v>21.269273583724139</v>
      </c>
      <c r="T2061" s="10">
        <f>data_redis_illX!H1862</f>
        <v>52.673278535673354</v>
      </c>
      <c r="U2061" s="10">
        <f>data_redis_illX!I1862</f>
        <v>52.276101326813745</v>
      </c>
      <c r="V2061" s="10">
        <f>data_redis_illX!J1862</f>
        <v>8.5052504134183788</v>
      </c>
      <c r="W2061" s="10">
        <f>data_redis_illX!K1862</f>
        <v>2.403361344537815</v>
      </c>
      <c r="X2061" s="10">
        <f>data_redis_illX!L1862</f>
        <v>0</v>
      </c>
      <c r="Y2061" s="5">
        <f t="shared" si="32"/>
        <v>137.12726520416743</v>
      </c>
    </row>
    <row r="2062" spans="13:25" x14ac:dyDescent="0.25">
      <c r="P2062" s="2" t="s">
        <v>24</v>
      </c>
      <c r="Q2062" s="10">
        <f>data_redis_illX!E1863</f>
        <v>0</v>
      </c>
      <c r="R2062" s="10">
        <f>data_redis_illX!F1863</f>
        <v>0</v>
      </c>
      <c r="S2062" s="10">
        <f>data_redis_illX!G1863</f>
        <v>6.0769353096354681</v>
      </c>
      <c r="T2062" s="10">
        <f>data_redis_illX!H1863</f>
        <v>42.70806367757298</v>
      </c>
      <c r="U2062" s="10">
        <f>data_redis_illX!I1863</f>
        <v>13.404128545336857</v>
      </c>
      <c r="V2062" s="10">
        <f>data_redis_illX!J1863</f>
        <v>4.8601430933819305</v>
      </c>
      <c r="W2062" s="10">
        <f>data_redis_illX!K1863</f>
        <v>0</v>
      </c>
      <c r="X2062" s="10">
        <f>data_redis_illX!L1863</f>
        <v>0</v>
      </c>
      <c r="Y2062" s="5">
        <f t="shared" si="32"/>
        <v>67.049270625927235</v>
      </c>
    </row>
    <row r="2063" spans="13:25" x14ac:dyDescent="0.25">
      <c r="P2063" s="2" t="s">
        <v>25</v>
      </c>
      <c r="Q2063" s="10">
        <f>data_redis_illX!E1864</f>
        <v>0</v>
      </c>
      <c r="R2063" s="10">
        <f>data_redis_illX!F1864</f>
        <v>0</v>
      </c>
      <c r="S2063" s="10">
        <f>data_redis_illX!G1864</f>
        <v>9.1154029644532031</v>
      </c>
      <c r="T2063" s="10">
        <f>data_redis_illX!H1864</f>
        <v>9.9652148581003637</v>
      </c>
      <c r="U2063" s="10">
        <f>data_redis_illX!I1864</f>
        <v>5.3616514181347421</v>
      </c>
      <c r="V2063" s="10">
        <f>data_redis_illX!J1864</f>
        <v>0</v>
      </c>
      <c r="W2063" s="10">
        <f>data_redis_illX!K1864</f>
        <v>0</v>
      </c>
      <c r="X2063" s="10">
        <f>data_redis_illX!L1864</f>
        <v>0</v>
      </c>
      <c r="Y2063" s="5">
        <f t="shared" si="32"/>
        <v>24.442269240688308</v>
      </c>
    </row>
    <row r="2064" spans="13:25" x14ac:dyDescent="0.25">
      <c r="P2064" s="2" t="s">
        <v>26</v>
      </c>
      <c r="Q2064" s="10">
        <f>data_redis_illX!E1865</f>
        <v>0</v>
      </c>
      <c r="R2064" s="10">
        <f>data_redis_illX!F1865</f>
        <v>0</v>
      </c>
      <c r="S2064" s="10">
        <f>data_redis_illX!G1865</f>
        <v>9.1154029644532031</v>
      </c>
      <c r="T2064" s="10">
        <f>data_redis_illX!H1865</f>
        <v>14.236021225857664</v>
      </c>
      <c r="U2064" s="10">
        <f>data_redis_illX!I1865</f>
        <v>13.404128545336857</v>
      </c>
      <c r="V2064" s="10">
        <f>data_redis_illX!J1865</f>
        <v>3.6451073200364483</v>
      </c>
      <c r="W2064" s="10">
        <f>data_redis_illX!K1865</f>
        <v>0</v>
      </c>
      <c r="X2064" s="10">
        <f>data_redis_illX!L1865</f>
        <v>0</v>
      </c>
      <c r="Y2064" s="5">
        <f t="shared" si="32"/>
        <v>40.40066005568417</v>
      </c>
    </row>
    <row r="2065" spans="16:25" x14ac:dyDescent="0.25">
      <c r="P2065" s="2" t="s">
        <v>27</v>
      </c>
      <c r="Q2065" s="10">
        <f>data_redis_illX!E1866</f>
        <v>0</v>
      </c>
      <c r="R2065" s="10">
        <f>data_redis_illX!F1866</f>
        <v>0</v>
      </c>
      <c r="S2065" s="10">
        <f>data_redis_illX!G1866</f>
        <v>37.980845685221681</v>
      </c>
      <c r="T2065" s="10">
        <f>data_redis_illX!H1866</f>
        <v>95.381342213246342</v>
      </c>
      <c r="U2065" s="10">
        <f>data_redis_illX!I1866</f>
        <v>56.29733989041479</v>
      </c>
      <c r="V2065" s="10">
        <f>data_redis_illX!J1866</f>
        <v>3.6451073200364483</v>
      </c>
      <c r="W2065" s="10">
        <f>data_redis_illX!K1866</f>
        <v>2.403361344537815</v>
      </c>
      <c r="X2065" s="10">
        <f>data_redis_illX!L1866</f>
        <v>0</v>
      </c>
      <c r="Y2065" s="5">
        <f t="shared" si="32"/>
        <v>195.7079964534571</v>
      </c>
    </row>
    <row r="2066" spans="16:25" x14ac:dyDescent="0.25">
      <c r="P2066" s="2" t="s">
        <v>28</v>
      </c>
      <c r="Q2066" s="10">
        <f>data_redis_illX!E1867</f>
        <v>0</v>
      </c>
      <c r="R2066" s="10">
        <f>data_redis_illX!F1867</f>
        <v>0</v>
      </c>
      <c r="S2066" s="10">
        <f>data_redis_illX!G1867</f>
        <v>120.0194723653005</v>
      </c>
      <c r="T2066" s="10">
        <f>data_redis_illX!H1867</f>
        <v>145.20741650374816</v>
      </c>
      <c r="U2066" s="10">
        <f>data_redis_illX!I1867</f>
        <v>108.57344121722853</v>
      </c>
      <c r="V2066" s="10">
        <f>data_redis_illX!J1867</f>
        <v>20.655608146873202</v>
      </c>
      <c r="W2066" s="10">
        <f>data_redis_illX!K1867</f>
        <v>7.2100840336134446</v>
      </c>
      <c r="X2066" s="10">
        <f>data_redis_illX!L1867</f>
        <v>2</v>
      </c>
      <c r="Y2066" s="5">
        <f t="shared" si="32"/>
        <v>403.66602226676383</v>
      </c>
    </row>
    <row r="2067" spans="16:25" x14ac:dyDescent="0.25">
      <c r="P2067" s="2" t="s">
        <v>29</v>
      </c>
      <c r="Q2067" s="10">
        <f>data_redis_illX!E1868</f>
        <v>0</v>
      </c>
      <c r="R2067" s="10">
        <f>data_redis_illX!F1868</f>
        <v>0</v>
      </c>
      <c r="S2067" s="10">
        <f>data_redis_illX!G1868</f>
        <v>1.519233827408867</v>
      </c>
      <c r="T2067" s="10">
        <f>data_redis_illX!H1868</f>
        <v>5.694408490343065</v>
      </c>
      <c r="U2067" s="10">
        <f>data_redis_illX!I1868</f>
        <v>8.0424771272021136</v>
      </c>
      <c r="V2067" s="10">
        <f>data_redis_illX!J1868</f>
        <v>0</v>
      </c>
      <c r="W2067" s="10">
        <f>data_redis_illX!K1868</f>
        <v>0</v>
      </c>
      <c r="X2067" s="10">
        <f>data_redis_illX!L1868</f>
        <v>0</v>
      </c>
      <c r="Y2067" s="5">
        <f t="shared" si="32"/>
        <v>15.256119444954045</v>
      </c>
    </row>
    <row r="2068" spans="16:25" x14ac:dyDescent="0.25">
      <c r="P2068" s="2" t="s">
        <v>30</v>
      </c>
      <c r="Q2068" s="10">
        <f>data_redis_illX!E1869</f>
        <v>0</v>
      </c>
      <c r="R2068" s="10">
        <f>data_redis_illX!F1869</f>
        <v>0</v>
      </c>
      <c r="S2068" s="10">
        <f>data_redis_illX!G1869</f>
        <v>74.442457543034479</v>
      </c>
      <c r="T2068" s="10">
        <f>data_redis_illX!H1869</f>
        <v>109.617363439104</v>
      </c>
      <c r="U2068" s="10">
        <f>data_redis_illX!I1869</f>
        <v>72.382294144819014</v>
      </c>
      <c r="V2068" s="10">
        <f>data_redis_illX!J1869</f>
        <v>23.085679693564174</v>
      </c>
      <c r="W2068" s="10">
        <f>data_redis_illX!K1869</f>
        <v>2.403361344537815</v>
      </c>
      <c r="X2068" s="10">
        <f>data_redis_illX!L1869</f>
        <v>2</v>
      </c>
      <c r="Y2068" s="5">
        <f t="shared" si="32"/>
        <v>283.93115616505946</v>
      </c>
    </row>
    <row r="2069" spans="16:25" x14ac:dyDescent="0.25">
      <c r="P2069" s="2" t="s">
        <v>31</v>
      </c>
      <c r="Q2069" s="10">
        <f>data_redis_illX!E1870</f>
        <v>0</v>
      </c>
      <c r="R2069" s="10">
        <f>data_redis_illX!F1870</f>
        <v>0</v>
      </c>
      <c r="S2069" s="10">
        <f>data_redis_illX!G1870</f>
        <v>3.0384676548177341</v>
      </c>
      <c r="T2069" s="10">
        <f>data_redis_illX!H1870</f>
        <v>5.694408490343065</v>
      </c>
      <c r="U2069" s="10">
        <f>data_redis_illX!I1870</f>
        <v>0</v>
      </c>
      <c r="V2069" s="10">
        <f>data_redis_illX!J1870</f>
        <v>2.4300715466909653</v>
      </c>
      <c r="W2069" s="10">
        <f>data_redis_illX!K1870</f>
        <v>0</v>
      </c>
      <c r="X2069" s="10">
        <f>data_redis_illX!L1870</f>
        <v>0</v>
      </c>
      <c r="Y2069" s="5">
        <f t="shared" si="32"/>
        <v>11.162947691851762</v>
      </c>
    </row>
    <row r="2070" spans="16:25" x14ac:dyDescent="0.25">
      <c r="P2070" s="2" t="s">
        <v>32</v>
      </c>
      <c r="Q2070" s="10">
        <f>data_redis_illX!E1871</f>
        <v>0</v>
      </c>
      <c r="R2070" s="10">
        <f>data_redis_illX!F1871</f>
        <v>0</v>
      </c>
      <c r="S2070" s="10">
        <f>data_redis_illX!G1871</f>
        <v>0</v>
      </c>
      <c r="T2070" s="10">
        <f>data_redis_illX!H1871</f>
        <v>0</v>
      </c>
      <c r="U2070" s="10">
        <f>data_redis_illX!I1871</f>
        <v>0</v>
      </c>
      <c r="V2070" s="10">
        <f>data_redis_illX!J1871</f>
        <v>0</v>
      </c>
      <c r="W2070" s="10">
        <f>data_redis_illX!K1871</f>
        <v>0</v>
      </c>
      <c r="X2070" s="10">
        <f>data_redis_illX!L1871</f>
        <v>0</v>
      </c>
      <c r="Y2070" s="5">
        <f t="shared" si="32"/>
        <v>0</v>
      </c>
    </row>
    <row r="2071" spans="16:25" x14ac:dyDescent="0.25">
      <c r="P2071" s="2" t="s">
        <v>33</v>
      </c>
      <c r="Q2071" s="10">
        <f>data_redis_illX!E1872</f>
        <v>0</v>
      </c>
      <c r="R2071" s="10">
        <f>data_redis_illX!F1872</f>
        <v>0</v>
      </c>
      <c r="S2071" s="10">
        <f>data_redis_illX!G1872</f>
        <v>0</v>
      </c>
      <c r="T2071" s="10">
        <f>data_redis_illX!H1872</f>
        <v>0</v>
      </c>
      <c r="U2071" s="10">
        <f>data_redis_illX!I1872</f>
        <v>1.3404128545336855</v>
      </c>
      <c r="V2071" s="10">
        <f>data_redis_illX!J1872</f>
        <v>0</v>
      </c>
      <c r="W2071" s="10">
        <f>data_redis_illX!K1872</f>
        <v>0</v>
      </c>
      <c r="X2071" s="10">
        <f>data_redis_illX!L1872</f>
        <v>0</v>
      </c>
      <c r="Y2071" s="5">
        <f t="shared" si="32"/>
        <v>1.3404128545336855</v>
      </c>
    </row>
    <row r="2072" spans="16:25" x14ac:dyDescent="0.25">
      <c r="P2072" s="2" t="s">
        <v>34</v>
      </c>
      <c r="Q2072" s="10">
        <f>data_redis_illX!E1873</f>
        <v>0</v>
      </c>
      <c r="R2072" s="10">
        <f>data_redis_illX!F1873</f>
        <v>0</v>
      </c>
      <c r="S2072" s="10">
        <f>data_redis_illX!G1873</f>
        <v>0</v>
      </c>
      <c r="T2072" s="10">
        <f>data_redis_illX!H1873</f>
        <v>0</v>
      </c>
      <c r="U2072" s="10">
        <f>data_redis_illX!I1873</f>
        <v>0</v>
      </c>
      <c r="V2072" s="10">
        <f>data_redis_illX!J1873</f>
        <v>0</v>
      </c>
      <c r="W2072" s="10">
        <f>data_redis_illX!K1873</f>
        <v>0</v>
      </c>
      <c r="X2072" s="10">
        <f>data_redis_illX!L1873</f>
        <v>0</v>
      </c>
      <c r="Y2072" s="5">
        <f t="shared" si="32"/>
        <v>0</v>
      </c>
    </row>
    <row r="2073" spans="16:25" x14ac:dyDescent="0.25">
      <c r="P2073" s="2" t="s">
        <v>35</v>
      </c>
      <c r="Q2073" s="10">
        <f>data_redis_illX!E1874</f>
        <v>0</v>
      </c>
      <c r="R2073" s="10">
        <f>data_redis_illX!F1874</f>
        <v>0</v>
      </c>
      <c r="S2073" s="10">
        <f>data_redis_illX!G1874</f>
        <v>0</v>
      </c>
      <c r="T2073" s="10">
        <f>data_redis_illX!H1874</f>
        <v>0</v>
      </c>
      <c r="U2073" s="10">
        <f>data_redis_illX!I1874</f>
        <v>0</v>
      </c>
      <c r="V2073" s="10">
        <f>data_redis_illX!J1874</f>
        <v>0</v>
      </c>
      <c r="W2073" s="10">
        <f>data_redis_illX!K1874</f>
        <v>0</v>
      </c>
      <c r="X2073" s="10">
        <f>data_redis_illX!L1874</f>
        <v>0</v>
      </c>
      <c r="Y2073" s="5">
        <f t="shared" si="32"/>
        <v>0</v>
      </c>
    </row>
    <row r="2074" spans="16:25" x14ac:dyDescent="0.25">
      <c r="P2074" s="2" t="s">
        <v>36</v>
      </c>
      <c r="Q2074" s="10">
        <f>data_redis_illX!E1875</f>
        <v>0</v>
      </c>
      <c r="R2074" s="10">
        <f>data_redis_illX!F1875</f>
        <v>0</v>
      </c>
      <c r="S2074" s="10">
        <f>data_redis_illX!G1875</f>
        <v>0</v>
      </c>
      <c r="T2074" s="10">
        <f>data_redis_illX!H1875</f>
        <v>0</v>
      </c>
      <c r="U2074" s="10">
        <f>data_redis_illX!I1875</f>
        <v>0</v>
      </c>
      <c r="V2074" s="10">
        <f>data_redis_illX!J1875</f>
        <v>0</v>
      </c>
      <c r="W2074" s="10">
        <f>data_redis_illX!K1875</f>
        <v>0</v>
      </c>
      <c r="X2074" s="10">
        <f>data_redis_illX!L1875</f>
        <v>0</v>
      </c>
      <c r="Y2074" s="5">
        <f t="shared" si="32"/>
        <v>0</v>
      </c>
    </row>
    <row r="2075" spans="16:25" x14ac:dyDescent="0.25">
      <c r="P2075" s="2" t="s">
        <v>37</v>
      </c>
      <c r="Q2075" s="10">
        <f>data_redis_illX!E1876</f>
        <v>0</v>
      </c>
      <c r="R2075" s="10">
        <f>data_redis_illX!F1876</f>
        <v>0</v>
      </c>
      <c r="S2075" s="10">
        <f>data_redis_illX!G1876</f>
        <v>0</v>
      </c>
      <c r="T2075" s="10">
        <f>data_redis_illX!H1876</f>
        <v>0</v>
      </c>
      <c r="U2075" s="10">
        <f>data_redis_illX!I1876</f>
        <v>0</v>
      </c>
      <c r="V2075" s="10">
        <f>data_redis_illX!J1876</f>
        <v>0</v>
      </c>
      <c r="W2075" s="10">
        <f>data_redis_illX!K1876</f>
        <v>0</v>
      </c>
      <c r="X2075" s="10">
        <f>data_redis_illX!L1876</f>
        <v>0</v>
      </c>
      <c r="Y2075" s="5">
        <f t="shared" si="32"/>
        <v>0</v>
      </c>
    </row>
    <row r="2076" spans="16:25" x14ac:dyDescent="0.25">
      <c r="P2076" s="2" t="s">
        <v>38</v>
      </c>
      <c r="Q2076" s="10">
        <f>data_redis_illX!E1877</f>
        <v>0</v>
      </c>
      <c r="R2076" s="10">
        <f>data_redis_illX!F1877</f>
        <v>0</v>
      </c>
      <c r="S2076" s="10">
        <f>data_redis_illX!G1877</f>
        <v>3.0384676548177341</v>
      </c>
      <c r="T2076" s="10">
        <f>data_redis_illX!H1877</f>
        <v>1.4236021225857662</v>
      </c>
      <c r="U2076" s="10">
        <f>data_redis_illX!I1877</f>
        <v>1.3404128545336855</v>
      </c>
      <c r="V2076" s="10">
        <f>data_redis_illX!J1877</f>
        <v>2.4300715466909653</v>
      </c>
      <c r="W2076" s="10">
        <f>data_redis_illX!K1877</f>
        <v>0</v>
      </c>
      <c r="X2076" s="10">
        <f>data_redis_illX!L1877</f>
        <v>0</v>
      </c>
      <c r="Y2076" s="5">
        <f t="shared" si="32"/>
        <v>8.2325541786281509</v>
      </c>
    </row>
    <row r="2077" spans="16:25" x14ac:dyDescent="0.25">
      <c r="P2077" s="2" t="s">
        <v>39</v>
      </c>
      <c r="Q2077" s="10">
        <f>data_redis_illX!E1878</f>
        <v>0</v>
      </c>
      <c r="R2077" s="10">
        <f>data_redis_illX!F1878</f>
        <v>0</v>
      </c>
      <c r="S2077" s="10">
        <f>data_redis_illX!G1878</f>
        <v>0</v>
      </c>
      <c r="T2077" s="10">
        <f>data_redis_illX!H1878</f>
        <v>0</v>
      </c>
      <c r="U2077" s="10">
        <f>data_redis_illX!I1878</f>
        <v>1.3404128545336855</v>
      </c>
      <c r="V2077" s="10">
        <f>data_redis_illX!J1878</f>
        <v>0</v>
      </c>
      <c r="W2077" s="10">
        <f>data_redis_illX!K1878</f>
        <v>0</v>
      </c>
      <c r="X2077" s="10">
        <f>data_redis_illX!L1878</f>
        <v>0</v>
      </c>
      <c r="Y2077" s="5">
        <f t="shared" si="32"/>
        <v>1.3404128545336855</v>
      </c>
    </row>
    <row r="2078" spans="16:25" x14ac:dyDescent="0.25">
      <c r="P2078" s="2" t="s">
        <v>40</v>
      </c>
      <c r="Q2078" s="10">
        <f>data_redis_illX!E1879</f>
        <v>0</v>
      </c>
      <c r="R2078" s="10">
        <f>data_redis_illX!F1879</f>
        <v>0</v>
      </c>
      <c r="S2078" s="10">
        <f>data_redis_illX!G1879</f>
        <v>0</v>
      </c>
      <c r="T2078" s="10">
        <f>data_redis_illX!H1879</f>
        <v>0</v>
      </c>
      <c r="U2078" s="10">
        <f>data_redis_illX!I1879</f>
        <v>1.3404128545336855</v>
      </c>
      <c r="V2078" s="10">
        <f>data_redis_illX!J1879</f>
        <v>0</v>
      </c>
      <c r="W2078" s="10">
        <f>data_redis_illX!K1879</f>
        <v>0</v>
      </c>
      <c r="X2078" s="10">
        <f>data_redis_illX!L1879</f>
        <v>0</v>
      </c>
      <c r="Y2078" s="5">
        <f t="shared" si="32"/>
        <v>1.3404128545336855</v>
      </c>
    </row>
    <row r="2079" spans="16:25" x14ac:dyDescent="0.25">
      <c r="P2079" s="2" t="s">
        <v>41</v>
      </c>
      <c r="Q2079" s="10">
        <f>data_redis_illX!E1880</f>
        <v>0</v>
      </c>
      <c r="R2079" s="10">
        <f>data_redis_illX!F1880</f>
        <v>0</v>
      </c>
      <c r="S2079" s="10">
        <f>data_redis_illX!G1880</f>
        <v>0</v>
      </c>
      <c r="T2079" s="10">
        <f>data_redis_illX!H1880</f>
        <v>0</v>
      </c>
      <c r="U2079" s="10">
        <f>data_redis_illX!I1880</f>
        <v>0</v>
      </c>
      <c r="V2079" s="10">
        <f>data_redis_illX!J1880</f>
        <v>0</v>
      </c>
      <c r="W2079" s="10">
        <f>data_redis_illX!K1880</f>
        <v>0</v>
      </c>
      <c r="X2079" s="10">
        <f>data_redis_illX!L1880</f>
        <v>0</v>
      </c>
      <c r="Y2079" s="5">
        <f t="shared" si="32"/>
        <v>0</v>
      </c>
    </row>
    <row r="2080" spans="16:25" x14ac:dyDescent="0.25">
      <c r="P2080" s="2" t="s">
        <v>42</v>
      </c>
      <c r="Q2080" s="10">
        <f>data_redis_illX!E1881</f>
        <v>0</v>
      </c>
      <c r="R2080" s="10">
        <f>data_redis_illX!F1881</f>
        <v>0</v>
      </c>
      <c r="S2080" s="10">
        <f>data_redis_illX!G1881</f>
        <v>4.5577014822266015</v>
      </c>
      <c r="T2080" s="10">
        <f>data_redis_illX!H1881</f>
        <v>5.694408490343065</v>
      </c>
      <c r="U2080" s="10">
        <f>data_redis_illX!I1881</f>
        <v>2.6808257090673711</v>
      </c>
      <c r="V2080" s="10">
        <f>data_redis_illX!J1881</f>
        <v>1.2150357733454826</v>
      </c>
      <c r="W2080" s="10">
        <f>data_redis_illX!K1881</f>
        <v>0</v>
      </c>
      <c r="X2080" s="10">
        <f>data_redis_illX!L1881</f>
        <v>0</v>
      </c>
      <c r="Y2080" s="5">
        <f t="shared" si="32"/>
        <v>14.147971454982519</v>
      </c>
    </row>
    <row r="2081" spans="13:25" x14ac:dyDescent="0.25">
      <c r="P2081" s="2" t="s">
        <v>43</v>
      </c>
      <c r="Q2081" s="10">
        <f>data_redis_illX!E1882</f>
        <v>0</v>
      </c>
      <c r="R2081" s="10">
        <f>data_redis_illX!F1882</f>
        <v>0</v>
      </c>
      <c r="S2081" s="10">
        <f>data_redis_illX!G1882</f>
        <v>0</v>
      </c>
      <c r="T2081" s="10">
        <f>data_redis_illX!H1882</f>
        <v>1.4236021225857662</v>
      </c>
      <c r="U2081" s="10">
        <f>data_redis_illX!I1882</f>
        <v>1.3404128545336855</v>
      </c>
      <c r="V2081" s="10">
        <f>data_redis_illX!J1882</f>
        <v>0</v>
      </c>
      <c r="W2081" s="10">
        <f>data_redis_illX!K1882</f>
        <v>0</v>
      </c>
      <c r="X2081" s="10">
        <f>data_redis_illX!L1882</f>
        <v>0</v>
      </c>
      <c r="Y2081" s="5">
        <f t="shared" si="32"/>
        <v>2.7640149771194515</v>
      </c>
    </row>
    <row r="2082" spans="13:25" x14ac:dyDescent="0.25">
      <c r="P2082" s="2" t="s">
        <v>44</v>
      </c>
      <c r="Q2082" s="10">
        <f>data_redis_illX!E1883</f>
        <v>0</v>
      </c>
      <c r="R2082" s="10">
        <f>data_redis_illX!F1883</f>
        <v>0</v>
      </c>
      <c r="S2082" s="10">
        <f>data_redis_illX!G1883</f>
        <v>22.788507411133008</v>
      </c>
      <c r="T2082" s="10">
        <f>data_redis_illX!H1883</f>
        <v>41.284461554987224</v>
      </c>
      <c r="U2082" s="10">
        <f>data_redis_illX!I1883</f>
        <v>21.446605672538968</v>
      </c>
      <c r="V2082" s="10">
        <f>data_redis_illX!J1883</f>
        <v>2.4300715466909653</v>
      </c>
      <c r="W2082" s="10">
        <f>data_redis_illX!K1883</f>
        <v>1.2016806722689075</v>
      </c>
      <c r="X2082" s="10">
        <f>data_redis_illX!L1883</f>
        <v>0</v>
      </c>
      <c r="Y2082" s="5">
        <f t="shared" si="32"/>
        <v>89.151326857619068</v>
      </c>
    </row>
    <row r="2083" spans="13:25" x14ac:dyDescent="0.25">
      <c r="M2083" t="s">
        <v>115</v>
      </c>
      <c r="N2083" t="s">
        <v>117</v>
      </c>
      <c r="O2083" t="s">
        <v>52</v>
      </c>
      <c r="P2083" s="2" t="s">
        <v>12</v>
      </c>
      <c r="Q2083" s="10">
        <f>data_redis_illX!E1884</f>
        <v>0</v>
      </c>
      <c r="R2083" s="10">
        <f>data_redis_illX!F1884</f>
        <v>0</v>
      </c>
      <c r="S2083" s="10">
        <f>data_redis_illX!G1884</f>
        <v>0</v>
      </c>
      <c r="T2083" s="10">
        <f>data_redis_illX!H1884</f>
        <v>0</v>
      </c>
      <c r="U2083" s="10">
        <f>data_redis_illX!I1884</f>
        <v>0</v>
      </c>
      <c r="V2083" s="10">
        <f>data_redis_illX!J1884</f>
        <v>0</v>
      </c>
      <c r="W2083" s="10">
        <f>data_redis_illX!K1884</f>
        <v>0</v>
      </c>
      <c r="X2083" s="10">
        <f>data_redis_illX!L1884</f>
        <v>0</v>
      </c>
      <c r="Y2083" s="5">
        <f t="shared" si="32"/>
        <v>0</v>
      </c>
    </row>
    <row r="2084" spans="13:25" x14ac:dyDescent="0.25">
      <c r="P2084" s="2" t="s">
        <v>13</v>
      </c>
      <c r="Q2084" s="10">
        <f>data_redis_illX!E1885</f>
        <v>0</v>
      </c>
      <c r="R2084" s="10">
        <f>data_redis_illX!F1885</f>
        <v>0</v>
      </c>
      <c r="S2084" s="10">
        <f>data_redis_illX!G1885</f>
        <v>0</v>
      </c>
      <c r="T2084" s="10">
        <f>data_redis_illX!H1885</f>
        <v>0</v>
      </c>
      <c r="U2084" s="10">
        <f>data_redis_illX!I1885</f>
        <v>0</v>
      </c>
      <c r="V2084" s="10">
        <f>data_redis_illX!J1885</f>
        <v>0</v>
      </c>
      <c r="W2084" s="10">
        <f>data_redis_illX!K1885</f>
        <v>0</v>
      </c>
      <c r="X2084" s="10">
        <f>data_redis_illX!L1885</f>
        <v>0</v>
      </c>
      <c r="Y2084" s="5">
        <f t="shared" si="32"/>
        <v>0</v>
      </c>
    </row>
    <row r="2085" spans="13:25" x14ac:dyDescent="0.25">
      <c r="P2085" s="2" t="s">
        <v>14</v>
      </c>
      <c r="Q2085" s="10">
        <f>data_redis_illX!E1886</f>
        <v>0</v>
      </c>
      <c r="R2085" s="10">
        <f>data_redis_illX!F1886</f>
        <v>0</v>
      </c>
      <c r="S2085" s="10">
        <f>data_redis_illX!G1886</f>
        <v>0</v>
      </c>
      <c r="T2085" s="10">
        <f>data_redis_illX!H1886</f>
        <v>0</v>
      </c>
      <c r="U2085" s="10">
        <f>data_redis_illX!I1886</f>
        <v>0</v>
      </c>
      <c r="V2085" s="10">
        <f>data_redis_illX!J1886</f>
        <v>0</v>
      </c>
      <c r="W2085" s="10">
        <f>data_redis_illX!K1886</f>
        <v>0</v>
      </c>
      <c r="X2085" s="10">
        <f>data_redis_illX!L1886</f>
        <v>0</v>
      </c>
      <c r="Y2085" s="5">
        <f t="shared" si="32"/>
        <v>0</v>
      </c>
    </row>
    <row r="2086" spans="13:25" x14ac:dyDescent="0.25">
      <c r="P2086" s="2" t="s">
        <v>15</v>
      </c>
      <c r="Q2086" s="10">
        <f>data_redis_illX!E1887</f>
        <v>0</v>
      </c>
      <c r="R2086" s="10">
        <f>data_redis_illX!F1887</f>
        <v>0</v>
      </c>
      <c r="S2086" s="10">
        <f>data_redis_illX!G1887</f>
        <v>0</v>
      </c>
      <c r="T2086" s="10">
        <f>data_redis_illX!H1887</f>
        <v>0</v>
      </c>
      <c r="U2086" s="10">
        <f>data_redis_illX!I1887</f>
        <v>0</v>
      </c>
      <c r="V2086" s="10">
        <f>data_redis_illX!J1887</f>
        <v>0</v>
      </c>
      <c r="W2086" s="10">
        <f>data_redis_illX!K1887</f>
        <v>0</v>
      </c>
      <c r="X2086" s="10">
        <f>data_redis_illX!L1887</f>
        <v>0</v>
      </c>
      <c r="Y2086" s="5">
        <f t="shared" si="32"/>
        <v>0</v>
      </c>
    </row>
    <row r="2087" spans="13:25" x14ac:dyDescent="0.25">
      <c r="P2087" s="2" t="s">
        <v>16</v>
      </c>
      <c r="Q2087" s="10">
        <f>data_redis_illX!E1888</f>
        <v>0</v>
      </c>
      <c r="R2087" s="10">
        <f>data_redis_illX!F1888</f>
        <v>0</v>
      </c>
      <c r="S2087" s="10">
        <f>data_redis_illX!G1888</f>
        <v>0</v>
      </c>
      <c r="T2087" s="10">
        <f>data_redis_illX!H1888</f>
        <v>0</v>
      </c>
      <c r="U2087" s="10">
        <f>data_redis_illX!I1888</f>
        <v>0</v>
      </c>
      <c r="V2087" s="10">
        <f>data_redis_illX!J1888</f>
        <v>0</v>
      </c>
      <c r="W2087" s="10">
        <f>data_redis_illX!K1888</f>
        <v>0</v>
      </c>
      <c r="X2087" s="10">
        <f>data_redis_illX!L1888</f>
        <v>0</v>
      </c>
      <c r="Y2087" s="5">
        <f t="shared" si="32"/>
        <v>0</v>
      </c>
    </row>
    <row r="2088" spans="13:25" x14ac:dyDescent="0.25">
      <c r="P2088" s="2" t="s">
        <v>17</v>
      </c>
      <c r="Q2088" s="10">
        <f>data_redis_illX!E1889</f>
        <v>0</v>
      </c>
      <c r="R2088" s="10">
        <f>data_redis_illX!F1889</f>
        <v>0</v>
      </c>
      <c r="S2088" s="10">
        <f>data_redis_illX!G1889</f>
        <v>0</v>
      </c>
      <c r="T2088" s="10">
        <f>data_redis_illX!H1889</f>
        <v>0</v>
      </c>
      <c r="U2088" s="10">
        <f>data_redis_illX!I1889</f>
        <v>0</v>
      </c>
      <c r="V2088" s="10">
        <f>data_redis_illX!J1889</f>
        <v>0</v>
      </c>
      <c r="W2088" s="10">
        <f>data_redis_illX!K1889</f>
        <v>0</v>
      </c>
      <c r="X2088" s="10">
        <f>data_redis_illX!L1889</f>
        <v>0</v>
      </c>
      <c r="Y2088" s="5">
        <f t="shared" si="32"/>
        <v>0</v>
      </c>
    </row>
    <row r="2089" spans="13:25" x14ac:dyDescent="0.25">
      <c r="P2089" s="2" t="s">
        <v>18</v>
      </c>
      <c r="Q2089" s="10">
        <f>data_redis_illX!E1890</f>
        <v>0</v>
      </c>
      <c r="R2089" s="10">
        <f>data_redis_illX!F1890</f>
        <v>0</v>
      </c>
      <c r="S2089" s="10">
        <f>data_redis_illX!G1890</f>
        <v>0</v>
      </c>
      <c r="T2089" s="10">
        <f>data_redis_illX!H1890</f>
        <v>0</v>
      </c>
      <c r="U2089" s="10">
        <f>data_redis_illX!I1890</f>
        <v>0</v>
      </c>
      <c r="V2089" s="10">
        <f>data_redis_illX!J1890</f>
        <v>0</v>
      </c>
      <c r="W2089" s="10">
        <f>data_redis_illX!K1890</f>
        <v>0</v>
      </c>
      <c r="X2089" s="10">
        <f>data_redis_illX!L1890</f>
        <v>0</v>
      </c>
      <c r="Y2089" s="5">
        <f t="shared" si="32"/>
        <v>0</v>
      </c>
    </row>
    <row r="2090" spans="13:25" x14ac:dyDescent="0.25">
      <c r="P2090" s="2" t="s">
        <v>19</v>
      </c>
      <c r="Q2090" s="10">
        <f>data_redis_illX!E1891</f>
        <v>0</v>
      </c>
      <c r="R2090" s="10">
        <f>data_redis_illX!F1891</f>
        <v>0</v>
      </c>
      <c r="S2090" s="10">
        <f>data_redis_illX!G1891</f>
        <v>0</v>
      </c>
      <c r="T2090" s="10">
        <f>data_redis_illX!H1891</f>
        <v>0</v>
      </c>
      <c r="U2090" s="10">
        <f>data_redis_illX!I1891</f>
        <v>0</v>
      </c>
      <c r="V2090" s="10">
        <f>data_redis_illX!J1891</f>
        <v>0</v>
      </c>
      <c r="W2090" s="10">
        <f>data_redis_illX!K1891</f>
        <v>0</v>
      </c>
      <c r="X2090" s="10">
        <f>data_redis_illX!L1891</f>
        <v>0</v>
      </c>
      <c r="Y2090" s="5">
        <f t="shared" si="32"/>
        <v>0</v>
      </c>
    </row>
    <row r="2091" spans="13:25" x14ac:dyDescent="0.25">
      <c r="P2091" s="2" t="s">
        <v>20</v>
      </c>
      <c r="Q2091" s="10">
        <f>data_redis_illX!E1892</f>
        <v>0</v>
      </c>
      <c r="R2091" s="10">
        <f>data_redis_illX!F1892</f>
        <v>0</v>
      </c>
      <c r="S2091" s="10">
        <f>data_redis_illX!G1892</f>
        <v>0</v>
      </c>
      <c r="T2091" s="10">
        <f>data_redis_illX!H1892</f>
        <v>0</v>
      </c>
      <c r="U2091" s="10">
        <f>data_redis_illX!I1892</f>
        <v>0</v>
      </c>
      <c r="V2091" s="10">
        <f>data_redis_illX!J1892</f>
        <v>0</v>
      </c>
      <c r="W2091" s="10">
        <f>data_redis_illX!K1892</f>
        <v>0</v>
      </c>
      <c r="X2091" s="10">
        <f>data_redis_illX!L1892</f>
        <v>0</v>
      </c>
      <c r="Y2091" s="5">
        <f t="shared" si="32"/>
        <v>0</v>
      </c>
    </row>
    <row r="2092" spans="13:25" x14ac:dyDescent="0.25">
      <c r="P2092" s="2" t="s">
        <v>21</v>
      </c>
      <c r="Q2092" s="10">
        <f>data_redis_illX!E1893</f>
        <v>0</v>
      </c>
      <c r="R2092" s="10">
        <f>data_redis_illX!F1893</f>
        <v>0</v>
      </c>
      <c r="S2092" s="10">
        <f>data_redis_illX!G1893</f>
        <v>0</v>
      </c>
      <c r="T2092" s="10">
        <f>data_redis_illX!H1893</f>
        <v>0</v>
      </c>
      <c r="U2092" s="10">
        <f>data_redis_illX!I1893</f>
        <v>0</v>
      </c>
      <c r="V2092" s="10">
        <f>data_redis_illX!J1893</f>
        <v>0</v>
      </c>
      <c r="W2092" s="10">
        <f>data_redis_illX!K1893</f>
        <v>0</v>
      </c>
      <c r="X2092" s="10">
        <f>data_redis_illX!L1893</f>
        <v>0</v>
      </c>
      <c r="Y2092" s="5">
        <f t="shared" si="32"/>
        <v>0</v>
      </c>
    </row>
    <row r="2093" spans="13:25" x14ac:dyDescent="0.25">
      <c r="P2093" s="2" t="s">
        <v>22</v>
      </c>
      <c r="Q2093" s="10">
        <f>data_redis_illX!E1894</f>
        <v>0</v>
      </c>
      <c r="R2093" s="10">
        <f>data_redis_illX!F1894</f>
        <v>0</v>
      </c>
      <c r="S2093" s="10">
        <f>data_redis_illX!G1894</f>
        <v>0</v>
      </c>
      <c r="T2093" s="10">
        <f>data_redis_illX!H1894</f>
        <v>0</v>
      </c>
      <c r="U2093" s="10">
        <f>data_redis_illX!I1894</f>
        <v>0</v>
      </c>
      <c r="V2093" s="10">
        <f>data_redis_illX!J1894</f>
        <v>0</v>
      </c>
      <c r="W2093" s="10">
        <f>data_redis_illX!K1894</f>
        <v>0</v>
      </c>
      <c r="X2093" s="10">
        <f>data_redis_illX!L1894</f>
        <v>0</v>
      </c>
      <c r="Y2093" s="5">
        <f t="shared" si="32"/>
        <v>0</v>
      </c>
    </row>
    <row r="2094" spans="13:25" x14ac:dyDescent="0.25">
      <c r="P2094" s="2" t="s">
        <v>23</v>
      </c>
      <c r="Q2094" s="10">
        <f>data_redis_illX!E1895</f>
        <v>0</v>
      </c>
      <c r="R2094" s="10">
        <f>data_redis_illX!F1895</f>
        <v>0</v>
      </c>
      <c r="S2094" s="10">
        <f>data_redis_illX!G1895</f>
        <v>0</v>
      </c>
      <c r="T2094" s="10">
        <f>data_redis_illX!H1895</f>
        <v>0</v>
      </c>
      <c r="U2094" s="10">
        <f>data_redis_illX!I1895</f>
        <v>0</v>
      </c>
      <c r="V2094" s="10">
        <f>data_redis_illX!J1895</f>
        <v>0</v>
      </c>
      <c r="W2094" s="10">
        <f>data_redis_illX!K1895</f>
        <v>0</v>
      </c>
      <c r="X2094" s="10">
        <f>data_redis_illX!L1895</f>
        <v>0</v>
      </c>
      <c r="Y2094" s="5">
        <f t="shared" si="32"/>
        <v>0</v>
      </c>
    </row>
    <row r="2095" spans="13:25" x14ac:dyDescent="0.25">
      <c r="P2095" s="2" t="s">
        <v>24</v>
      </c>
      <c r="Q2095" s="10">
        <f>data_redis_illX!E1896</f>
        <v>0</v>
      </c>
      <c r="R2095" s="10">
        <f>data_redis_illX!F1896</f>
        <v>0</v>
      </c>
      <c r="S2095" s="10">
        <f>data_redis_illX!G1896</f>
        <v>0</v>
      </c>
      <c r="T2095" s="10">
        <f>data_redis_illX!H1896</f>
        <v>0</v>
      </c>
      <c r="U2095" s="10">
        <f>data_redis_illX!I1896</f>
        <v>0</v>
      </c>
      <c r="V2095" s="10">
        <f>data_redis_illX!J1896</f>
        <v>0</v>
      </c>
      <c r="W2095" s="10">
        <f>data_redis_illX!K1896</f>
        <v>0</v>
      </c>
      <c r="X2095" s="10">
        <f>data_redis_illX!L1896</f>
        <v>0</v>
      </c>
      <c r="Y2095" s="5">
        <f t="shared" si="32"/>
        <v>0</v>
      </c>
    </row>
    <row r="2096" spans="13:25" x14ac:dyDescent="0.25">
      <c r="P2096" s="2" t="s">
        <v>25</v>
      </c>
      <c r="Q2096" s="10">
        <f>data_redis_illX!E1897</f>
        <v>0</v>
      </c>
      <c r="R2096" s="10">
        <f>data_redis_illX!F1897</f>
        <v>0</v>
      </c>
      <c r="S2096" s="10">
        <f>data_redis_illX!G1897</f>
        <v>0</v>
      </c>
      <c r="T2096" s="10">
        <f>data_redis_illX!H1897</f>
        <v>0</v>
      </c>
      <c r="U2096" s="10">
        <f>data_redis_illX!I1897</f>
        <v>0</v>
      </c>
      <c r="V2096" s="10">
        <f>data_redis_illX!J1897</f>
        <v>0</v>
      </c>
      <c r="W2096" s="10">
        <f>data_redis_illX!K1897</f>
        <v>0</v>
      </c>
      <c r="X2096" s="10">
        <f>data_redis_illX!L1897</f>
        <v>0</v>
      </c>
      <c r="Y2096" s="5">
        <f t="shared" si="32"/>
        <v>0</v>
      </c>
    </row>
    <row r="2097" spans="16:25" x14ac:dyDescent="0.25">
      <c r="P2097" s="2" t="s">
        <v>26</v>
      </c>
      <c r="Q2097" s="10">
        <f>data_redis_illX!E1898</f>
        <v>0</v>
      </c>
      <c r="R2097" s="10">
        <f>data_redis_illX!F1898</f>
        <v>0</v>
      </c>
      <c r="S2097" s="10">
        <f>data_redis_illX!G1898</f>
        <v>0</v>
      </c>
      <c r="T2097" s="10">
        <f>data_redis_illX!H1898</f>
        <v>0</v>
      </c>
      <c r="U2097" s="10">
        <f>data_redis_illX!I1898</f>
        <v>0</v>
      </c>
      <c r="V2097" s="10">
        <f>data_redis_illX!J1898</f>
        <v>0</v>
      </c>
      <c r="W2097" s="10">
        <f>data_redis_illX!K1898</f>
        <v>0</v>
      </c>
      <c r="X2097" s="10">
        <f>data_redis_illX!L1898</f>
        <v>0</v>
      </c>
      <c r="Y2097" s="5">
        <f t="shared" si="32"/>
        <v>0</v>
      </c>
    </row>
    <row r="2098" spans="16:25" x14ac:dyDescent="0.25">
      <c r="P2098" s="2" t="s">
        <v>27</v>
      </c>
      <c r="Q2098" s="10">
        <f>data_redis_illX!E1899</f>
        <v>0</v>
      </c>
      <c r="R2098" s="10">
        <f>data_redis_illX!F1899</f>
        <v>0</v>
      </c>
      <c r="S2098" s="10">
        <f>data_redis_illX!G1899</f>
        <v>0</v>
      </c>
      <c r="T2098" s="10">
        <f>data_redis_illX!H1899</f>
        <v>0</v>
      </c>
      <c r="U2098" s="10">
        <f>data_redis_illX!I1899</f>
        <v>0</v>
      </c>
      <c r="V2098" s="10">
        <f>data_redis_illX!J1899</f>
        <v>0</v>
      </c>
      <c r="W2098" s="10">
        <f>data_redis_illX!K1899</f>
        <v>0</v>
      </c>
      <c r="X2098" s="10">
        <f>data_redis_illX!L1899</f>
        <v>0</v>
      </c>
      <c r="Y2098" s="5">
        <f t="shared" si="32"/>
        <v>0</v>
      </c>
    </row>
    <row r="2099" spans="16:25" x14ac:dyDescent="0.25">
      <c r="P2099" s="2" t="s">
        <v>28</v>
      </c>
      <c r="Q2099" s="10">
        <f>data_redis_illX!E1900</f>
        <v>0</v>
      </c>
      <c r="R2099" s="10">
        <f>data_redis_illX!F1900</f>
        <v>0</v>
      </c>
      <c r="S2099" s="10">
        <f>data_redis_illX!G1900</f>
        <v>0</v>
      </c>
      <c r="T2099" s="10">
        <f>data_redis_illX!H1900</f>
        <v>1.017541114465665</v>
      </c>
      <c r="U2099" s="10">
        <f>data_redis_illX!I1900</f>
        <v>0</v>
      </c>
      <c r="V2099" s="10">
        <f>data_redis_illX!J1900</f>
        <v>0</v>
      </c>
      <c r="W2099" s="10">
        <f>data_redis_illX!K1900</f>
        <v>0</v>
      </c>
      <c r="X2099" s="10">
        <f>data_redis_illX!L1900</f>
        <v>0</v>
      </c>
      <c r="Y2099" s="5">
        <f t="shared" si="32"/>
        <v>1.017541114465665</v>
      </c>
    </row>
    <row r="2100" spans="16:25" x14ac:dyDescent="0.25">
      <c r="P2100" s="2" t="s">
        <v>29</v>
      </c>
      <c r="Q2100" s="10">
        <f>data_redis_illX!E1901</f>
        <v>0</v>
      </c>
      <c r="R2100" s="10">
        <f>data_redis_illX!F1901</f>
        <v>0</v>
      </c>
      <c r="S2100" s="10">
        <f>data_redis_illX!G1901</f>
        <v>0</v>
      </c>
      <c r="T2100" s="10">
        <f>data_redis_illX!H1901</f>
        <v>0</v>
      </c>
      <c r="U2100" s="10">
        <f>data_redis_illX!I1901</f>
        <v>0</v>
      </c>
      <c r="V2100" s="10">
        <f>data_redis_illX!J1901</f>
        <v>0</v>
      </c>
      <c r="W2100" s="10">
        <f>data_redis_illX!K1901</f>
        <v>0</v>
      </c>
      <c r="X2100" s="10">
        <f>data_redis_illX!L1901</f>
        <v>0</v>
      </c>
      <c r="Y2100" s="5">
        <f t="shared" si="32"/>
        <v>0</v>
      </c>
    </row>
    <row r="2101" spans="16:25" x14ac:dyDescent="0.25">
      <c r="P2101" s="2" t="s">
        <v>30</v>
      </c>
      <c r="Q2101" s="10">
        <f>data_redis_illX!E1902</f>
        <v>0</v>
      </c>
      <c r="R2101" s="10">
        <f>data_redis_illX!F1902</f>
        <v>0</v>
      </c>
      <c r="S2101" s="10">
        <f>data_redis_illX!G1902</f>
        <v>0</v>
      </c>
      <c r="T2101" s="10">
        <f>data_redis_illX!H1902</f>
        <v>0</v>
      </c>
      <c r="U2101" s="10">
        <f>data_redis_illX!I1902</f>
        <v>0</v>
      </c>
      <c r="V2101" s="10">
        <f>data_redis_illX!J1902</f>
        <v>0</v>
      </c>
      <c r="W2101" s="10">
        <f>data_redis_illX!K1902</f>
        <v>0</v>
      </c>
      <c r="X2101" s="10">
        <f>data_redis_illX!L1902</f>
        <v>0</v>
      </c>
      <c r="Y2101" s="5">
        <f t="shared" si="32"/>
        <v>0</v>
      </c>
    </row>
    <row r="2102" spans="16:25" x14ac:dyDescent="0.25">
      <c r="P2102" s="2" t="s">
        <v>31</v>
      </c>
      <c r="Q2102" s="10">
        <f>data_redis_illX!E1903</f>
        <v>0</v>
      </c>
      <c r="R2102" s="10">
        <f>data_redis_illX!F1903</f>
        <v>0</v>
      </c>
      <c r="S2102" s="10">
        <f>data_redis_illX!G1903</f>
        <v>1.0139234456837438</v>
      </c>
      <c r="T2102" s="10">
        <f>data_redis_illX!H1903</f>
        <v>0</v>
      </c>
      <c r="U2102" s="10">
        <f>data_redis_illX!I1903</f>
        <v>0</v>
      </c>
      <c r="V2102" s="10">
        <f>data_redis_illX!J1903</f>
        <v>0</v>
      </c>
      <c r="W2102" s="10">
        <f>data_redis_illX!K1903</f>
        <v>0</v>
      </c>
      <c r="X2102" s="10">
        <f>data_redis_illX!L1903</f>
        <v>0</v>
      </c>
      <c r="Y2102" s="5">
        <f t="shared" si="32"/>
        <v>1.0139234456837438</v>
      </c>
    </row>
    <row r="2103" spans="16:25" x14ac:dyDescent="0.25">
      <c r="P2103" s="2" t="s">
        <v>32</v>
      </c>
      <c r="Q2103" s="10">
        <f>data_redis_illX!E1904</f>
        <v>0</v>
      </c>
      <c r="R2103" s="10">
        <f>data_redis_illX!F1904</f>
        <v>0</v>
      </c>
      <c r="S2103" s="10">
        <f>data_redis_illX!G1904</f>
        <v>0</v>
      </c>
      <c r="T2103" s="10">
        <f>data_redis_illX!H1904</f>
        <v>0</v>
      </c>
      <c r="U2103" s="10">
        <f>data_redis_illX!I1904</f>
        <v>0</v>
      </c>
      <c r="V2103" s="10">
        <f>data_redis_illX!J1904</f>
        <v>0</v>
      </c>
      <c r="W2103" s="10">
        <f>data_redis_illX!K1904</f>
        <v>0</v>
      </c>
      <c r="X2103" s="10">
        <f>data_redis_illX!L1904</f>
        <v>0</v>
      </c>
      <c r="Y2103" s="5">
        <f t="shared" si="32"/>
        <v>0</v>
      </c>
    </row>
    <row r="2104" spans="16:25" x14ac:dyDescent="0.25">
      <c r="P2104" s="2" t="s">
        <v>33</v>
      </c>
      <c r="Q2104" s="10">
        <f>data_redis_illX!E1905</f>
        <v>0</v>
      </c>
      <c r="R2104" s="10">
        <f>data_redis_illX!F1905</f>
        <v>0</v>
      </c>
      <c r="S2104" s="10">
        <f>data_redis_illX!G1905</f>
        <v>0</v>
      </c>
      <c r="T2104" s="10">
        <f>data_redis_illX!H1905</f>
        <v>0</v>
      </c>
      <c r="U2104" s="10">
        <f>data_redis_illX!I1905</f>
        <v>0</v>
      </c>
      <c r="V2104" s="10">
        <f>data_redis_illX!J1905</f>
        <v>0</v>
      </c>
      <c r="W2104" s="10">
        <f>data_redis_illX!K1905</f>
        <v>0</v>
      </c>
      <c r="X2104" s="10">
        <f>data_redis_illX!L1905</f>
        <v>0</v>
      </c>
      <c r="Y2104" s="5">
        <f t="shared" si="32"/>
        <v>0</v>
      </c>
    </row>
    <row r="2105" spans="16:25" x14ac:dyDescent="0.25">
      <c r="P2105" s="2" t="s">
        <v>34</v>
      </c>
      <c r="Q2105" s="10">
        <f>data_redis_illX!E1906</f>
        <v>0</v>
      </c>
      <c r="R2105" s="10">
        <f>data_redis_illX!F1906</f>
        <v>0</v>
      </c>
      <c r="S2105" s="10">
        <f>data_redis_illX!G1906</f>
        <v>0</v>
      </c>
      <c r="T2105" s="10">
        <f>data_redis_illX!H1906</f>
        <v>0</v>
      </c>
      <c r="U2105" s="10">
        <f>data_redis_illX!I1906</f>
        <v>0</v>
      </c>
      <c r="V2105" s="10">
        <f>data_redis_illX!J1906</f>
        <v>0</v>
      </c>
      <c r="W2105" s="10">
        <f>data_redis_illX!K1906</f>
        <v>0</v>
      </c>
      <c r="X2105" s="10">
        <f>data_redis_illX!L1906</f>
        <v>0</v>
      </c>
      <c r="Y2105" s="5">
        <f t="shared" si="32"/>
        <v>0</v>
      </c>
    </row>
    <row r="2106" spans="16:25" x14ac:dyDescent="0.25">
      <c r="P2106" s="2" t="s">
        <v>35</v>
      </c>
      <c r="Q2106" s="10">
        <f>data_redis_illX!E1907</f>
        <v>0</v>
      </c>
      <c r="R2106" s="10">
        <f>data_redis_illX!F1907</f>
        <v>0</v>
      </c>
      <c r="S2106" s="10">
        <f>data_redis_illX!G1907</f>
        <v>0</v>
      </c>
      <c r="T2106" s="10">
        <f>data_redis_illX!H1907</f>
        <v>0</v>
      </c>
      <c r="U2106" s="10">
        <f>data_redis_illX!I1907</f>
        <v>0</v>
      </c>
      <c r="V2106" s="10">
        <f>data_redis_illX!J1907</f>
        <v>0</v>
      </c>
      <c r="W2106" s="10">
        <f>data_redis_illX!K1907</f>
        <v>0</v>
      </c>
      <c r="X2106" s="10">
        <f>data_redis_illX!L1907</f>
        <v>0</v>
      </c>
      <c r="Y2106" s="5">
        <f t="shared" si="32"/>
        <v>0</v>
      </c>
    </row>
    <row r="2107" spans="16:25" x14ac:dyDescent="0.25">
      <c r="P2107" s="2" t="s">
        <v>36</v>
      </c>
      <c r="Q2107" s="10">
        <f>data_redis_illX!E1908</f>
        <v>0</v>
      </c>
      <c r="R2107" s="10">
        <f>data_redis_illX!F1908</f>
        <v>0</v>
      </c>
      <c r="S2107" s="10">
        <f>data_redis_illX!G1908</f>
        <v>0</v>
      </c>
      <c r="T2107" s="10">
        <f>data_redis_illX!H1908</f>
        <v>0</v>
      </c>
      <c r="U2107" s="10">
        <f>data_redis_illX!I1908</f>
        <v>0</v>
      </c>
      <c r="V2107" s="10">
        <f>data_redis_illX!J1908</f>
        <v>0</v>
      </c>
      <c r="W2107" s="10">
        <f>data_redis_illX!K1908</f>
        <v>0</v>
      </c>
      <c r="X2107" s="10">
        <f>data_redis_illX!L1908</f>
        <v>0</v>
      </c>
      <c r="Y2107" s="5">
        <f t="shared" si="32"/>
        <v>0</v>
      </c>
    </row>
    <row r="2108" spans="16:25" x14ac:dyDescent="0.25">
      <c r="P2108" s="2" t="s">
        <v>37</v>
      </c>
      <c r="Q2108" s="10">
        <f>data_redis_illX!E1909</f>
        <v>0</v>
      </c>
      <c r="R2108" s="10">
        <f>data_redis_illX!F1909</f>
        <v>0</v>
      </c>
      <c r="S2108" s="10">
        <f>data_redis_illX!G1909</f>
        <v>0</v>
      </c>
      <c r="T2108" s="10">
        <f>data_redis_illX!H1909</f>
        <v>0</v>
      </c>
      <c r="U2108" s="10">
        <f>data_redis_illX!I1909</f>
        <v>0</v>
      </c>
      <c r="V2108" s="10">
        <f>data_redis_illX!J1909</f>
        <v>0</v>
      </c>
      <c r="W2108" s="10">
        <f>data_redis_illX!K1909</f>
        <v>0</v>
      </c>
      <c r="X2108" s="10">
        <f>data_redis_illX!L1909</f>
        <v>0</v>
      </c>
      <c r="Y2108" s="5">
        <f t="shared" si="32"/>
        <v>0</v>
      </c>
    </row>
    <row r="2109" spans="16:25" x14ac:dyDescent="0.25">
      <c r="P2109" s="2" t="s">
        <v>38</v>
      </c>
      <c r="Q2109" s="10">
        <f>data_redis_illX!E1910</f>
        <v>0</v>
      </c>
      <c r="R2109" s="10">
        <f>data_redis_illX!F1910</f>
        <v>0</v>
      </c>
      <c r="S2109" s="10">
        <f>data_redis_illX!G1910</f>
        <v>0</v>
      </c>
      <c r="T2109" s="10">
        <f>data_redis_illX!H1910</f>
        <v>0</v>
      </c>
      <c r="U2109" s="10">
        <f>data_redis_illX!I1910</f>
        <v>0</v>
      </c>
      <c r="V2109" s="10">
        <f>data_redis_illX!J1910</f>
        <v>0</v>
      </c>
      <c r="W2109" s="10">
        <f>data_redis_illX!K1910</f>
        <v>0</v>
      </c>
      <c r="X2109" s="10">
        <f>data_redis_illX!L1910</f>
        <v>0</v>
      </c>
      <c r="Y2109" s="5">
        <f t="shared" si="32"/>
        <v>0</v>
      </c>
    </row>
    <row r="2110" spans="16:25" x14ac:dyDescent="0.25">
      <c r="P2110" s="2" t="s">
        <v>39</v>
      </c>
      <c r="Q2110" s="10">
        <f>data_redis_illX!E1911</f>
        <v>0</v>
      </c>
      <c r="R2110" s="10">
        <f>data_redis_illX!F1911</f>
        <v>0</v>
      </c>
      <c r="S2110" s="10">
        <f>data_redis_illX!G1911</f>
        <v>0</v>
      </c>
      <c r="T2110" s="10">
        <f>data_redis_illX!H1911</f>
        <v>1.017541114465665</v>
      </c>
      <c r="U2110" s="10">
        <f>data_redis_illX!I1911</f>
        <v>0</v>
      </c>
      <c r="V2110" s="10">
        <f>data_redis_illX!J1911</f>
        <v>0</v>
      </c>
      <c r="W2110" s="10">
        <f>data_redis_illX!K1911</f>
        <v>0</v>
      </c>
      <c r="X2110" s="10">
        <f>data_redis_illX!L1911</f>
        <v>0</v>
      </c>
      <c r="Y2110" s="5">
        <f t="shared" si="32"/>
        <v>1.017541114465665</v>
      </c>
    </row>
    <row r="2111" spans="16:25" x14ac:dyDescent="0.25">
      <c r="P2111" s="2" t="s">
        <v>40</v>
      </c>
      <c r="Q2111" s="10">
        <f>data_redis_illX!E1912</f>
        <v>0</v>
      </c>
      <c r="R2111" s="10">
        <f>data_redis_illX!F1912</f>
        <v>0</v>
      </c>
      <c r="S2111" s="10">
        <f>data_redis_illX!G1912</f>
        <v>0</v>
      </c>
      <c r="T2111" s="10">
        <f>data_redis_illX!H1912</f>
        <v>6.1052466867939916</v>
      </c>
      <c r="U2111" s="10">
        <f>data_redis_illX!I1912</f>
        <v>3.0522654157453806</v>
      </c>
      <c r="V2111" s="10">
        <f>data_redis_illX!J1912</f>
        <v>1.0186663554310613</v>
      </c>
      <c r="W2111" s="10">
        <f>data_redis_illX!K1912</f>
        <v>0</v>
      </c>
      <c r="X2111" s="10">
        <f>data_redis_illX!L1912</f>
        <v>0</v>
      </c>
      <c r="Y2111" s="5">
        <f t="shared" si="32"/>
        <v>10.176178457970433</v>
      </c>
    </row>
    <row r="2112" spans="16:25" x14ac:dyDescent="0.25">
      <c r="P2112" s="2" t="s">
        <v>41</v>
      </c>
      <c r="Q2112" s="10">
        <f>data_redis_illX!E1913</f>
        <v>0</v>
      </c>
      <c r="R2112" s="10">
        <f>data_redis_illX!F1913</f>
        <v>0</v>
      </c>
      <c r="S2112" s="10">
        <f>data_redis_illX!G1913</f>
        <v>0</v>
      </c>
      <c r="T2112" s="10">
        <f>data_redis_illX!H1913</f>
        <v>0</v>
      </c>
      <c r="U2112" s="10">
        <f>data_redis_illX!I1913</f>
        <v>0</v>
      </c>
      <c r="V2112" s="10">
        <f>data_redis_illX!J1913</f>
        <v>0</v>
      </c>
      <c r="W2112" s="10">
        <f>data_redis_illX!K1913</f>
        <v>0</v>
      </c>
      <c r="X2112" s="10">
        <f>data_redis_illX!L1913</f>
        <v>0</v>
      </c>
      <c r="Y2112" s="5">
        <f t="shared" si="32"/>
        <v>0</v>
      </c>
    </row>
    <row r="2113" spans="13:25" x14ac:dyDescent="0.25">
      <c r="P2113" s="2" t="s">
        <v>42</v>
      </c>
      <c r="Q2113" s="10">
        <f>data_redis_illX!E1914</f>
        <v>0</v>
      </c>
      <c r="R2113" s="10">
        <f>data_redis_illX!F1914</f>
        <v>0</v>
      </c>
      <c r="S2113" s="10">
        <f>data_redis_illX!G1914</f>
        <v>0</v>
      </c>
      <c r="T2113" s="10">
        <f>data_redis_illX!H1914</f>
        <v>0</v>
      </c>
      <c r="U2113" s="10">
        <f>data_redis_illX!I1914</f>
        <v>0</v>
      </c>
      <c r="V2113" s="10">
        <f>data_redis_illX!J1914</f>
        <v>0</v>
      </c>
      <c r="W2113" s="10">
        <f>data_redis_illX!K1914</f>
        <v>0</v>
      </c>
      <c r="X2113" s="10">
        <f>data_redis_illX!L1914</f>
        <v>0</v>
      </c>
      <c r="Y2113" s="5">
        <f t="shared" si="32"/>
        <v>0</v>
      </c>
    </row>
    <row r="2114" spans="13:25" x14ac:dyDescent="0.25">
      <c r="P2114" s="2" t="s">
        <v>43</v>
      </c>
      <c r="Q2114" s="10">
        <f>data_redis_illX!E1915</f>
        <v>0</v>
      </c>
      <c r="R2114" s="10">
        <f>data_redis_illX!F1915</f>
        <v>0</v>
      </c>
      <c r="S2114" s="10">
        <f>data_redis_illX!G1915</f>
        <v>0</v>
      </c>
      <c r="T2114" s="10">
        <f>data_redis_illX!H1915</f>
        <v>0</v>
      </c>
      <c r="U2114" s="10">
        <f>data_redis_illX!I1915</f>
        <v>0</v>
      </c>
      <c r="V2114" s="10">
        <f>data_redis_illX!J1915</f>
        <v>0</v>
      </c>
      <c r="W2114" s="10">
        <f>data_redis_illX!K1915</f>
        <v>0</v>
      </c>
      <c r="X2114" s="10">
        <f>data_redis_illX!L1915</f>
        <v>0</v>
      </c>
      <c r="Y2114" s="5">
        <f t="shared" si="32"/>
        <v>0</v>
      </c>
    </row>
    <row r="2115" spans="13:25" x14ac:dyDescent="0.25">
      <c r="P2115" s="2" t="s">
        <v>44</v>
      </c>
      <c r="Q2115" s="10">
        <f>data_redis_illX!E1916</f>
        <v>0</v>
      </c>
      <c r="R2115" s="10">
        <f>data_redis_illX!F1916</f>
        <v>0</v>
      </c>
      <c r="S2115" s="10">
        <f>data_redis_illX!G1916</f>
        <v>0</v>
      </c>
      <c r="T2115" s="10">
        <f>data_redis_illX!H1916</f>
        <v>0</v>
      </c>
      <c r="U2115" s="10">
        <f>data_redis_illX!I1916</f>
        <v>0</v>
      </c>
      <c r="V2115" s="10">
        <f>data_redis_illX!J1916</f>
        <v>0</v>
      </c>
      <c r="W2115" s="10">
        <f>data_redis_illX!K1916</f>
        <v>0</v>
      </c>
      <c r="X2115" s="10">
        <f>data_redis_illX!L1916</f>
        <v>0</v>
      </c>
      <c r="Y2115" s="5">
        <f t="shared" si="32"/>
        <v>0</v>
      </c>
    </row>
    <row r="2116" spans="13:25" x14ac:dyDescent="0.25">
      <c r="M2116" t="s">
        <v>115</v>
      </c>
      <c r="N2116" t="s">
        <v>117</v>
      </c>
      <c r="O2116" t="s">
        <v>53</v>
      </c>
      <c r="P2116" s="2" t="s">
        <v>12</v>
      </c>
      <c r="Q2116" s="10">
        <f>data_redis_illX!E1917</f>
        <v>0</v>
      </c>
      <c r="R2116" s="10">
        <f>data_redis_illX!F1917</f>
        <v>0</v>
      </c>
      <c r="S2116" s="10">
        <f>data_redis_illX!G1917</f>
        <v>9.1752936102045088E-2</v>
      </c>
      <c r="T2116" s="10">
        <f>data_redis_illX!H1917</f>
        <v>0</v>
      </c>
      <c r="U2116" s="10">
        <f>data_redis_illX!I1917</f>
        <v>0</v>
      </c>
      <c r="V2116" s="10">
        <f>data_redis_illX!J1917</f>
        <v>3.0868677437304891E-2</v>
      </c>
      <c r="W2116" s="10">
        <f>data_redis_illX!K1917</f>
        <v>0</v>
      </c>
      <c r="X2116" s="10">
        <f>data_redis_illX!L1917</f>
        <v>0</v>
      </c>
      <c r="Y2116" s="5">
        <f t="shared" si="32"/>
        <v>0.12262161353934997</v>
      </c>
    </row>
    <row r="2117" spans="13:25" x14ac:dyDescent="0.25">
      <c r="P2117" s="2" t="s">
        <v>13</v>
      </c>
      <c r="Q2117" s="10">
        <f>data_redis_illX!E1918</f>
        <v>0</v>
      </c>
      <c r="R2117" s="10">
        <f>data_redis_illX!F1918</f>
        <v>0</v>
      </c>
      <c r="S2117" s="10">
        <f>data_redis_illX!G1918</f>
        <v>9.1752936102045088E-2</v>
      </c>
      <c r="T2117" s="10">
        <f>data_redis_illX!H1918</f>
        <v>0</v>
      </c>
      <c r="U2117" s="10">
        <f>data_redis_illX!I1918</f>
        <v>0</v>
      </c>
      <c r="V2117" s="10">
        <f>data_redis_illX!J1918</f>
        <v>3.0868677437304891E-2</v>
      </c>
      <c r="W2117" s="10">
        <f>data_redis_illX!K1918</f>
        <v>0</v>
      </c>
      <c r="X2117" s="10">
        <f>data_redis_illX!L1918</f>
        <v>0</v>
      </c>
      <c r="Y2117" s="5">
        <f t="shared" ref="Y2117:Y2180" si="33">SUM(Q2117:X2117)</f>
        <v>0.12262161353934997</v>
      </c>
    </row>
    <row r="2118" spans="13:25" x14ac:dyDescent="0.25">
      <c r="P2118" s="2" t="s">
        <v>14</v>
      </c>
      <c r="Q2118" s="10">
        <f>data_redis_illX!E1919</f>
        <v>0</v>
      </c>
      <c r="R2118" s="10">
        <f>data_redis_illX!F1919</f>
        <v>0</v>
      </c>
      <c r="S2118" s="10">
        <f>data_redis_illX!G1919</f>
        <v>9.1752936102045088E-2</v>
      </c>
      <c r="T2118" s="10">
        <f>data_redis_illX!H1919</f>
        <v>0</v>
      </c>
      <c r="U2118" s="10">
        <f>data_redis_illX!I1919</f>
        <v>0</v>
      </c>
      <c r="V2118" s="10">
        <f>data_redis_illX!J1919</f>
        <v>3.0868677437304891E-2</v>
      </c>
      <c r="W2118" s="10">
        <f>data_redis_illX!K1919</f>
        <v>0</v>
      </c>
      <c r="X2118" s="10">
        <f>data_redis_illX!L1919</f>
        <v>0</v>
      </c>
      <c r="Y2118" s="5">
        <f t="shared" si="33"/>
        <v>0.12262161353934997</v>
      </c>
    </row>
    <row r="2119" spans="13:25" x14ac:dyDescent="0.25">
      <c r="P2119" s="2" t="s">
        <v>15</v>
      </c>
      <c r="Q2119" s="10">
        <f>data_redis_illX!E1920</f>
        <v>0</v>
      </c>
      <c r="R2119" s="10">
        <f>data_redis_illX!F1920</f>
        <v>0</v>
      </c>
      <c r="S2119" s="10">
        <f>data_redis_illX!G1920</f>
        <v>9.1752936102045088E-2</v>
      </c>
      <c r="T2119" s="10">
        <f>data_redis_illX!H1920</f>
        <v>0</v>
      </c>
      <c r="U2119" s="10">
        <f>data_redis_illX!I1920</f>
        <v>0</v>
      </c>
      <c r="V2119" s="10">
        <f>data_redis_illX!J1920</f>
        <v>3.0868677437304891E-2</v>
      </c>
      <c r="W2119" s="10">
        <f>data_redis_illX!K1920</f>
        <v>0</v>
      </c>
      <c r="X2119" s="10">
        <f>data_redis_illX!L1920</f>
        <v>0</v>
      </c>
      <c r="Y2119" s="5">
        <f t="shared" si="33"/>
        <v>0.12262161353934997</v>
      </c>
    </row>
    <row r="2120" spans="13:25" x14ac:dyDescent="0.25">
      <c r="P2120" s="2" t="s">
        <v>16</v>
      </c>
      <c r="Q2120" s="10">
        <f>data_redis_illX!E1921</f>
        <v>0</v>
      </c>
      <c r="R2120" s="10">
        <f>data_redis_illX!F1921</f>
        <v>0</v>
      </c>
      <c r="S2120" s="10">
        <f>data_redis_illX!G1921</f>
        <v>9.1752936102045088E-2</v>
      </c>
      <c r="T2120" s="10">
        <f>data_redis_illX!H1921</f>
        <v>0</v>
      </c>
      <c r="U2120" s="10">
        <f>data_redis_illX!I1921</f>
        <v>0</v>
      </c>
      <c r="V2120" s="10">
        <f>data_redis_illX!J1921</f>
        <v>3.0868677437304891E-2</v>
      </c>
      <c r="W2120" s="10">
        <f>data_redis_illX!K1921</f>
        <v>0</v>
      </c>
      <c r="X2120" s="10">
        <f>data_redis_illX!L1921</f>
        <v>0</v>
      </c>
      <c r="Y2120" s="5">
        <f t="shared" si="33"/>
        <v>0.12262161353934997</v>
      </c>
    </row>
    <row r="2121" spans="13:25" x14ac:dyDescent="0.25">
      <c r="P2121" s="2" t="s">
        <v>17</v>
      </c>
      <c r="Q2121" s="10">
        <f>data_redis_illX!E1922</f>
        <v>0</v>
      </c>
      <c r="R2121" s="10">
        <f>data_redis_illX!F1922</f>
        <v>0</v>
      </c>
      <c r="S2121" s="10">
        <f>data_redis_illX!G1922</f>
        <v>9.1752936102045088E-2</v>
      </c>
      <c r="T2121" s="10">
        <f>data_redis_illX!H1922</f>
        <v>0</v>
      </c>
      <c r="U2121" s="10">
        <f>data_redis_illX!I1922</f>
        <v>0</v>
      </c>
      <c r="V2121" s="10">
        <f>data_redis_illX!J1922</f>
        <v>3.0868677437304891E-2</v>
      </c>
      <c r="W2121" s="10">
        <f>data_redis_illX!K1922</f>
        <v>0</v>
      </c>
      <c r="X2121" s="10">
        <f>data_redis_illX!L1922</f>
        <v>0</v>
      </c>
      <c r="Y2121" s="5">
        <f t="shared" si="33"/>
        <v>0.12262161353934997</v>
      </c>
    </row>
    <row r="2122" spans="13:25" x14ac:dyDescent="0.25">
      <c r="P2122" s="2" t="s">
        <v>18</v>
      </c>
      <c r="Q2122" s="10">
        <f>data_redis_illX!E1923</f>
        <v>0</v>
      </c>
      <c r="R2122" s="10">
        <f>data_redis_illX!F1923</f>
        <v>0</v>
      </c>
      <c r="S2122" s="10">
        <f>data_redis_illX!G1923</f>
        <v>9.1752936102045088E-2</v>
      </c>
      <c r="T2122" s="10">
        <f>data_redis_illX!H1923</f>
        <v>0</v>
      </c>
      <c r="U2122" s="10">
        <f>data_redis_illX!I1923</f>
        <v>0</v>
      </c>
      <c r="V2122" s="10">
        <f>data_redis_illX!J1923</f>
        <v>3.0868677437304891E-2</v>
      </c>
      <c r="W2122" s="10">
        <f>data_redis_illX!K1923</f>
        <v>0</v>
      </c>
      <c r="X2122" s="10">
        <f>data_redis_illX!L1923</f>
        <v>0</v>
      </c>
      <c r="Y2122" s="5">
        <f t="shared" si="33"/>
        <v>0.12262161353934997</v>
      </c>
    </row>
    <row r="2123" spans="13:25" x14ac:dyDescent="0.25">
      <c r="P2123" s="2" t="s">
        <v>19</v>
      </c>
      <c r="Q2123" s="10">
        <f>data_redis_illX!E1924</f>
        <v>0</v>
      </c>
      <c r="R2123" s="10">
        <f>data_redis_illX!F1924</f>
        <v>0</v>
      </c>
      <c r="S2123" s="10">
        <f>data_redis_illX!G1924</f>
        <v>9.1752936102045088E-2</v>
      </c>
      <c r="T2123" s="10">
        <f>data_redis_illX!H1924</f>
        <v>0</v>
      </c>
      <c r="U2123" s="10">
        <f>data_redis_illX!I1924</f>
        <v>0</v>
      </c>
      <c r="V2123" s="10">
        <f>data_redis_illX!J1924</f>
        <v>3.0868677437304891E-2</v>
      </c>
      <c r="W2123" s="10">
        <f>data_redis_illX!K1924</f>
        <v>0</v>
      </c>
      <c r="X2123" s="10">
        <f>data_redis_illX!L1924</f>
        <v>0</v>
      </c>
      <c r="Y2123" s="5">
        <f t="shared" si="33"/>
        <v>0.12262161353934997</v>
      </c>
    </row>
    <row r="2124" spans="13:25" x14ac:dyDescent="0.25">
      <c r="P2124" s="2" t="s">
        <v>20</v>
      </c>
      <c r="Q2124" s="10">
        <f>data_redis_illX!E1925</f>
        <v>0</v>
      </c>
      <c r="R2124" s="10">
        <f>data_redis_illX!F1925</f>
        <v>0</v>
      </c>
      <c r="S2124" s="10">
        <f>data_redis_illX!G1925</f>
        <v>9.1752936102045088E-2</v>
      </c>
      <c r="T2124" s="10">
        <f>data_redis_illX!H1925</f>
        <v>0</v>
      </c>
      <c r="U2124" s="10">
        <f>data_redis_illX!I1925</f>
        <v>0</v>
      </c>
      <c r="V2124" s="10">
        <f>data_redis_illX!J1925</f>
        <v>3.0868677437304891E-2</v>
      </c>
      <c r="W2124" s="10">
        <f>data_redis_illX!K1925</f>
        <v>0</v>
      </c>
      <c r="X2124" s="10">
        <f>data_redis_illX!L1925</f>
        <v>0</v>
      </c>
      <c r="Y2124" s="5">
        <f t="shared" si="33"/>
        <v>0.12262161353934997</v>
      </c>
    </row>
    <row r="2125" spans="13:25" x14ac:dyDescent="0.25">
      <c r="P2125" s="2" t="s">
        <v>21</v>
      </c>
      <c r="Q2125" s="10">
        <f>data_redis_illX!E1926</f>
        <v>0</v>
      </c>
      <c r="R2125" s="10">
        <f>data_redis_illX!F1926</f>
        <v>0</v>
      </c>
      <c r="S2125" s="10">
        <f>data_redis_illX!G1926</f>
        <v>9.1752936102045088E-2</v>
      </c>
      <c r="T2125" s="10">
        <f>data_redis_illX!H1926</f>
        <v>0</v>
      </c>
      <c r="U2125" s="10">
        <f>data_redis_illX!I1926</f>
        <v>0</v>
      </c>
      <c r="V2125" s="10">
        <f>data_redis_illX!J1926</f>
        <v>3.0868677437304891E-2</v>
      </c>
      <c r="W2125" s="10">
        <f>data_redis_illX!K1926</f>
        <v>0</v>
      </c>
      <c r="X2125" s="10">
        <f>data_redis_illX!L1926</f>
        <v>0</v>
      </c>
      <c r="Y2125" s="5">
        <f t="shared" si="33"/>
        <v>0.12262161353934997</v>
      </c>
    </row>
    <row r="2126" spans="13:25" x14ac:dyDescent="0.25">
      <c r="P2126" s="2" t="s">
        <v>22</v>
      </c>
      <c r="Q2126" s="10">
        <f>data_redis_illX!E1927</f>
        <v>0</v>
      </c>
      <c r="R2126" s="10">
        <f>data_redis_illX!F1927</f>
        <v>0</v>
      </c>
      <c r="S2126" s="10">
        <f>data_redis_illX!G1927</f>
        <v>9.1752936102045088E-2</v>
      </c>
      <c r="T2126" s="10">
        <f>data_redis_illX!H1927</f>
        <v>0</v>
      </c>
      <c r="U2126" s="10">
        <f>data_redis_illX!I1927</f>
        <v>0</v>
      </c>
      <c r="V2126" s="10">
        <f>data_redis_illX!J1927</f>
        <v>3.0868677437304891E-2</v>
      </c>
      <c r="W2126" s="10">
        <f>data_redis_illX!K1927</f>
        <v>0</v>
      </c>
      <c r="X2126" s="10">
        <f>data_redis_illX!L1927</f>
        <v>0</v>
      </c>
      <c r="Y2126" s="5">
        <f t="shared" si="33"/>
        <v>0.12262161353934997</v>
      </c>
    </row>
    <row r="2127" spans="13:25" x14ac:dyDescent="0.25">
      <c r="P2127" s="2" t="s">
        <v>23</v>
      </c>
      <c r="Q2127" s="10">
        <f>data_redis_illX!E1928</f>
        <v>0</v>
      </c>
      <c r="R2127" s="10">
        <f>data_redis_illX!F1928</f>
        <v>0</v>
      </c>
      <c r="S2127" s="10">
        <f>data_redis_illX!G1928</f>
        <v>9.1752936102045088E-2</v>
      </c>
      <c r="T2127" s="10">
        <f>data_redis_illX!H1928</f>
        <v>0</v>
      </c>
      <c r="U2127" s="10">
        <f>data_redis_illX!I1928</f>
        <v>0</v>
      </c>
      <c r="V2127" s="10">
        <f>data_redis_illX!J1928</f>
        <v>3.0868677437304891E-2</v>
      </c>
      <c r="W2127" s="10">
        <f>data_redis_illX!K1928</f>
        <v>0</v>
      </c>
      <c r="X2127" s="10">
        <f>data_redis_illX!L1928</f>
        <v>0</v>
      </c>
      <c r="Y2127" s="5">
        <f t="shared" si="33"/>
        <v>0.12262161353934997</v>
      </c>
    </row>
    <row r="2128" spans="13:25" x14ac:dyDescent="0.25">
      <c r="P2128" s="2" t="s">
        <v>24</v>
      </c>
      <c r="Q2128" s="10">
        <f>data_redis_illX!E1929</f>
        <v>0</v>
      </c>
      <c r="R2128" s="10">
        <f>data_redis_illX!F1929</f>
        <v>0</v>
      </c>
      <c r="S2128" s="10">
        <f>data_redis_illX!G1929</f>
        <v>9.1752936102045088E-2</v>
      </c>
      <c r="T2128" s="10">
        <f>data_redis_illX!H1929</f>
        <v>0</v>
      </c>
      <c r="U2128" s="10">
        <f>data_redis_illX!I1929</f>
        <v>0</v>
      </c>
      <c r="V2128" s="10">
        <f>data_redis_illX!J1929</f>
        <v>3.0868677437304891E-2</v>
      </c>
      <c r="W2128" s="10">
        <f>data_redis_illX!K1929</f>
        <v>0</v>
      </c>
      <c r="X2128" s="10">
        <f>data_redis_illX!L1929</f>
        <v>0</v>
      </c>
      <c r="Y2128" s="5">
        <f t="shared" si="33"/>
        <v>0.12262161353934997</v>
      </c>
    </row>
    <row r="2129" spans="16:25" x14ac:dyDescent="0.25">
      <c r="P2129" s="2" t="s">
        <v>25</v>
      </c>
      <c r="Q2129" s="10">
        <f>data_redis_illX!E1930</f>
        <v>0</v>
      </c>
      <c r="R2129" s="10">
        <f>data_redis_illX!F1930</f>
        <v>0</v>
      </c>
      <c r="S2129" s="10">
        <f>data_redis_illX!G1930</f>
        <v>9.1752936102045088E-2</v>
      </c>
      <c r="T2129" s="10">
        <f>data_redis_illX!H1930</f>
        <v>0</v>
      </c>
      <c r="U2129" s="10">
        <f>data_redis_illX!I1930</f>
        <v>0</v>
      </c>
      <c r="V2129" s="10">
        <f>data_redis_illX!J1930</f>
        <v>3.0868677437304891E-2</v>
      </c>
      <c r="W2129" s="10">
        <f>data_redis_illX!K1930</f>
        <v>0</v>
      </c>
      <c r="X2129" s="10">
        <f>data_redis_illX!L1930</f>
        <v>0</v>
      </c>
      <c r="Y2129" s="5">
        <f t="shared" si="33"/>
        <v>0.12262161353934997</v>
      </c>
    </row>
    <row r="2130" spans="16:25" x14ac:dyDescent="0.25">
      <c r="P2130" s="2" t="s">
        <v>26</v>
      </c>
      <c r="Q2130" s="10">
        <f>data_redis_illX!E1931</f>
        <v>0</v>
      </c>
      <c r="R2130" s="10">
        <f>data_redis_illX!F1931</f>
        <v>0</v>
      </c>
      <c r="S2130" s="10">
        <f>data_redis_illX!G1931</f>
        <v>9.1752936102045088E-2</v>
      </c>
      <c r="T2130" s="10">
        <f>data_redis_illX!H1931</f>
        <v>0</v>
      </c>
      <c r="U2130" s="10">
        <f>data_redis_illX!I1931</f>
        <v>0</v>
      </c>
      <c r="V2130" s="10">
        <f>data_redis_illX!J1931</f>
        <v>3.0868677437304891E-2</v>
      </c>
      <c r="W2130" s="10">
        <f>data_redis_illX!K1931</f>
        <v>0</v>
      </c>
      <c r="X2130" s="10">
        <f>data_redis_illX!L1931</f>
        <v>0</v>
      </c>
      <c r="Y2130" s="5">
        <f t="shared" si="33"/>
        <v>0.12262161353934997</v>
      </c>
    </row>
    <row r="2131" spans="16:25" x14ac:dyDescent="0.25">
      <c r="P2131" s="2" t="s">
        <v>27</v>
      </c>
      <c r="Q2131" s="10">
        <f>data_redis_illX!E1932</f>
        <v>0</v>
      </c>
      <c r="R2131" s="10">
        <f>data_redis_illX!F1932</f>
        <v>0</v>
      </c>
      <c r="S2131" s="10">
        <f>data_redis_illX!G1932</f>
        <v>9.1752936102045088E-2</v>
      </c>
      <c r="T2131" s="10">
        <f>data_redis_illX!H1932</f>
        <v>0</v>
      </c>
      <c r="U2131" s="10">
        <f>data_redis_illX!I1932</f>
        <v>0</v>
      </c>
      <c r="V2131" s="10">
        <f>data_redis_illX!J1932</f>
        <v>3.0868677437304891E-2</v>
      </c>
      <c r="W2131" s="10">
        <f>data_redis_illX!K1932</f>
        <v>0</v>
      </c>
      <c r="X2131" s="10">
        <f>data_redis_illX!L1932</f>
        <v>0</v>
      </c>
      <c r="Y2131" s="5">
        <f t="shared" si="33"/>
        <v>0.12262161353934997</v>
      </c>
    </row>
    <row r="2132" spans="16:25" x14ac:dyDescent="0.25">
      <c r="P2132" s="2" t="s">
        <v>28</v>
      </c>
      <c r="Q2132" s="10">
        <f>data_redis_illX!E1933</f>
        <v>0</v>
      </c>
      <c r="R2132" s="10">
        <f>data_redis_illX!F1933</f>
        <v>0</v>
      </c>
      <c r="S2132" s="10">
        <f>data_redis_illX!G1933</f>
        <v>9.1752936102045088E-2</v>
      </c>
      <c r="T2132" s="10">
        <f>data_redis_illX!H1933</f>
        <v>0</v>
      </c>
      <c r="U2132" s="10">
        <f>data_redis_illX!I1933</f>
        <v>0</v>
      </c>
      <c r="V2132" s="10">
        <f>data_redis_illX!J1933</f>
        <v>3.0868677437304891E-2</v>
      </c>
      <c r="W2132" s="10">
        <f>data_redis_illX!K1933</f>
        <v>0</v>
      </c>
      <c r="X2132" s="10">
        <f>data_redis_illX!L1933</f>
        <v>0</v>
      </c>
      <c r="Y2132" s="5">
        <f t="shared" si="33"/>
        <v>0.12262161353934997</v>
      </c>
    </row>
    <row r="2133" spans="16:25" x14ac:dyDescent="0.25">
      <c r="P2133" s="2" t="s">
        <v>29</v>
      </c>
      <c r="Q2133" s="10">
        <f>data_redis_illX!E1934</f>
        <v>0</v>
      </c>
      <c r="R2133" s="10">
        <f>data_redis_illX!F1934</f>
        <v>0</v>
      </c>
      <c r="S2133" s="10">
        <f>data_redis_illX!G1934</f>
        <v>9.1752936102045088E-2</v>
      </c>
      <c r="T2133" s="10">
        <f>data_redis_illX!H1934</f>
        <v>0</v>
      </c>
      <c r="U2133" s="10">
        <f>data_redis_illX!I1934</f>
        <v>0</v>
      </c>
      <c r="V2133" s="10">
        <f>data_redis_illX!J1934</f>
        <v>3.0868677437304891E-2</v>
      </c>
      <c r="W2133" s="10">
        <f>data_redis_illX!K1934</f>
        <v>0</v>
      </c>
      <c r="X2133" s="10">
        <f>data_redis_illX!L1934</f>
        <v>0</v>
      </c>
      <c r="Y2133" s="5">
        <f t="shared" si="33"/>
        <v>0.12262161353934997</v>
      </c>
    </row>
    <row r="2134" spans="16:25" x14ac:dyDescent="0.25">
      <c r="P2134" s="2" t="s">
        <v>30</v>
      </c>
      <c r="Q2134" s="10">
        <f>data_redis_illX!E1935</f>
        <v>0</v>
      </c>
      <c r="R2134" s="10">
        <f>data_redis_illX!F1935</f>
        <v>0</v>
      </c>
      <c r="S2134" s="10">
        <f>data_redis_illX!G1935</f>
        <v>9.1752936102045088E-2</v>
      </c>
      <c r="T2134" s="10">
        <f>data_redis_illX!H1935</f>
        <v>0</v>
      </c>
      <c r="U2134" s="10">
        <f>data_redis_illX!I1935</f>
        <v>0</v>
      </c>
      <c r="V2134" s="10">
        <f>data_redis_illX!J1935</f>
        <v>3.0868677437304891E-2</v>
      </c>
      <c r="W2134" s="10">
        <f>data_redis_illX!K1935</f>
        <v>0</v>
      </c>
      <c r="X2134" s="10">
        <f>data_redis_illX!L1935</f>
        <v>0</v>
      </c>
      <c r="Y2134" s="5">
        <f t="shared" si="33"/>
        <v>0.12262161353934997</v>
      </c>
    </row>
    <row r="2135" spans="16:25" x14ac:dyDescent="0.25">
      <c r="P2135" s="2" t="s">
        <v>31</v>
      </c>
      <c r="Q2135" s="10">
        <f>data_redis_illX!E1936</f>
        <v>0</v>
      </c>
      <c r="R2135" s="10">
        <f>data_redis_illX!F1936</f>
        <v>0</v>
      </c>
      <c r="S2135" s="10">
        <f>data_redis_illX!G1936</f>
        <v>9.1752936102045088E-2</v>
      </c>
      <c r="T2135" s="10">
        <f>data_redis_illX!H1936</f>
        <v>0</v>
      </c>
      <c r="U2135" s="10">
        <f>data_redis_illX!I1936</f>
        <v>0</v>
      </c>
      <c r="V2135" s="10">
        <f>data_redis_illX!J1936</f>
        <v>3.0868677437304891E-2</v>
      </c>
      <c r="W2135" s="10">
        <f>data_redis_illX!K1936</f>
        <v>0</v>
      </c>
      <c r="X2135" s="10">
        <f>data_redis_illX!L1936</f>
        <v>0</v>
      </c>
      <c r="Y2135" s="5">
        <f t="shared" si="33"/>
        <v>0.12262161353934997</v>
      </c>
    </row>
    <row r="2136" spans="16:25" x14ac:dyDescent="0.25">
      <c r="P2136" s="2" t="s">
        <v>32</v>
      </c>
      <c r="Q2136" s="10">
        <f>data_redis_illX!E1937</f>
        <v>0</v>
      </c>
      <c r="R2136" s="10">
        <f>data_redis_illX!F1937</f>
        <v>0</v>
      </c>
      <c r="S2136" s="10">
        <f>data_redis_illX!G1937</f>
        <v>9.1752936102045088E-2</v>
      </c>
      <c r="T2136" s="10">
        <f>data_redis_illX!H1937</f>
        <v>0</v>
      </c>
      <c r="U2136" s="10">
        <f>data_redis_illX!I1937</f>
        <v>0</v>
      </c>
      <c r="V2136" s="10">
        <f>data_redis_illX!J1937</f>
        <v>3.0868677437304891E-2</v>
      </c>
      <c r="W2136" s="10">
        <f>data_redis_illX!K1937</f>
        <v>0</v>
      </c>
      <c r="X2136" s="10">
        <f>data_redis_illX!L1937</f>
        <v>0</v>
      </c>
      <c r="Y2136" s="5">
        <f t="shared" si="33"/>
        <v>0.12262161353934997</v>
      </c>
    </row>
    <row r="2137" spans="16:25" x14ac:dyDescent="0.25">
      <c r="P2137" s="2" t="s">
        <v>33</v>
      </c>
      <c r="Q2137" s="10">
        <f>data_redis_illX!E1938</f>
        <v>0</v>
      </c>
      <c r="R2137" s="10">
        <f>data_redis_illX!F1938</f>
        <v>0</v>
      </c>
      <c r="S2137" s="10">
        <f>data_redis_illX!G1938</f>
        <v>9.1752936102045088E-2</v>
      </c>
      <c r="T2137" s="10">
        <f>data_redis_illX!H1938</f>
        <v>0</v>
      </c>
      <c r="U2137" s="10">
        <f>data_redis_illX!I1938</f>
        <v>0</v>
      </c>
      <c r="V2137" s="10">
        <f>data_redis_illX!J1938</f>
        <v>3.0868677437304891E-2</v>
      </c>
      <c r="W2137" s="10">
        <f>data_redis_illX!K1938</f>
        <v>0</v>
      </c>
      <c r="X2137" s="10">
        <f>data_redis_illX!L1938</f>
        <v>0</v>
      </c>
      <c r="Y2137" s="5">
        <f t="shared" si="33"/>
        <v>0.12262161353934997</v>
      </c>
    </row>
    <row r="2138" spans="16:25" x14ac:dyDescent="0.25">
      <c r="P2138" s="2" t="s">
        <v>34</v>
      </c>
      <c r="Q2138" s="10">
        <f>data_redis_illX!E1939</f>
        <v>0</v>
      </c>
      <c r="R2138" s="10">
        <f>data_redis_illX!F1939</f>
        <v>0</v>
      </c>
      <c r="S2138" s="10">
        <f>data_redis_illX!G1939</f>
        <v>9.1752936102045088E-2</v>
      </c>
      <c r="T2138" s="10">
        <f>data_redis_illX!H1939</f>
        <v>0</v>
      </c>
      <c r="U2138" s="10">
        <f>data_redis_illX!I1939</f>
        <v>0</v>
      </c>
      <c r="V2138" s="10">
        <f>data_redis_illX!J1939</f>
        <v>3.0868677437304891E-2</v>
      </c>
      <c r="W2138" s="10">
        <f>data_redis_illX!K1939</f>
        <v>0</v>
      </c>
      <c r="X2138" s="10">
        <f>data_redis_illX!L1939</f>
        <v>0</v>
      </c>
      <c r="Y2138" s="5">
        <f t="shared" si="33"/>
        <v>0.12262161353934997</v>
      </c>
    </row>
    <row r="2139" spans="16:25" x14ac:dyDescent="0.25">
      <c r="P2139" s="2" t="s">
        <v>35</v>
      </c>
      <c r="Q2139" s="10">
        <f>data_redis_illX!E1940</f>
        <v>0</v>
      </c>
      <c r="R2139" s="10">
        <f>data_redis_illX!F1940</f>
        <v>0</v>
      </c>
      <c r="S2139" s="10">
        <f>data_redis_illX!G1940</f>
        <v>9.1752936102045088E-2</v>
      </c>
      <c r="T2139" s="10">
        <f>data_redis_illX!H1940</f>
        <v>0</v>
      </c>
      <c r="U2139" s="10">
        <f>data_redis_illX!I1940</f>
        <v>0</v>
      </c>
      <c r="V2139" s="10">
        <f>data_redis_illX!J1940</f>
        <v>3.0868677437304891E-2</v>
      </c>
      <c r="W2139" s="10">
        <f>data_redis_illX!K1940</f>
        <v>0</v>
      </c>
      <c r="X2139" s="10">
        <f>data_redis_illX!L1940</f>
        <v>0</v>
      </c>
      <c r="Y2139" s="5">
        <f t="shared" si="33"/>
        <v>0.12262161353934997</v>
      </c>
    </row>
    <row r="2140" spans="16:25" x14ac:dyDescent="0.25">
      <c r="P2140" s="2" t="s">
        <v>36</v>
      </c>
      <c r="Q2140" s="10">
        <f>data_redis_illX!E1941</f>
        <v>0</v>
      </c>
      <c r="R2140" s="10">
        <f>data_redis_illX!F1941</f>
        <v>0</v>
      </c>
      <c r="S2140" s="10">
        <f>data_redis_illX!G1941</f>
        <v>9.1752936102045088E-2</v>
      </c>
      <c r="T2140" s="10">
        <f>data_redis_illX!H1941</f>
        <v>0</v>
      </c>
      <c r="U2140" s="10">
        <f>data_redis_illX!I1941</f>
        <v>0</v>
      </c>
      <c r="V2140" s="10">
        <f>data_redis_illX!J1941</f>
        <v>3.0868677437304891E-2</v>
      </c>
      <c r="W2140" s="10">
        <f>data_redis_illX!K1941</f>
        <v>0</v>
      </c>
      <c r="X2140" s="10">
        <f>data_redis_illX!L1941</f>
        <v>0</v>
      </c>
      <c r="Y2140" s="5">
        <f t="shared" si="33"/>
        <v>0.12262161353934997</v>
      </c>
    </row>
    <row r="2141" spans="16:25" x14ac:dyDescent="0.25">
      <c r="P2141" s="2" t="s">
        <v>37</v>
      </c>
      <c r="Q2141" s="10">
        <f>data_redis_illX!E1942</f>
        <v>0</v>
      </c>
      <c r="R2141" s="10">
        <f>data_redis_illX!F1942</f>
        <v>0</v>
      </c>
      <c r="S2141" s="10">
        <f>data_redis_illX!G1942</f>
        <v>9.1752936102045088E-2</v>
      </c>
      <c r="T2141" s="10">
        <f>data_redis_illX!H1942</f>
        <v>0</v>
      </c>
      <c r="U2141" s="10">
        <f>data_redis_illX!I1942</f>
        <v>0</v>
      </c>
      <c r="V2141" s="10">
        <f>data_redis_illX!J1942</f>
        <v>3.0868677437304891E-2</v>
      </c>
      <c r="W2141" s="10">
        <f>data_redis_illX!K1942</f>
        <v>0</v>
      </c>
      <c r="X2141" s="10">
        <f>data_redis_illX!L1942</f>
        <v>0</v>
      </c>
      <c r="Y2141" s="5">
        <f t="shared" si="33"/>
        <v>0.12262161353934997</v>
      </c>
    </row>
    <row r="2142" spans="16:25" x14ac:dyDescent="0.25">
      <c r="P2142" s="2" t="s">
        <v>38</v>
      </c>
      <c r="Q2142" s="10">
        <f>data_redis_illX!E1943</f>
        <v>0</v>
      </c>
      <c r="R2142" s="10">
        <f>data_redis_illX!F1943</f>
        <v>0</v>
      </c>
      <c r="S2142" s="10">
        <f>data_redis_illX!G1943</f>
        <v>9.1752936102045088E-2</v>
      </c>
      <c r="T2142" s="10">
        <f>data_redis_illX!H1943</f>
        <v>0</v>
      </c>
      <c r="U2142" s="10">
        <f>data_redis_illX!I1943</f>
        <v>0</v>
      </c>
      <c r="V2142" s="10">
        <f>data_redis_illX!J1943</f>
        <v>3.0868677437304891E-2</v>
      </c>
      <c r="W2142" s="10">
        <f>data_redis_illX!K1943</f>
        <v>0</v>
      </c>
      <c r="X2142" s="10">
        <f>data_redis_illX!L1943</f>
        <v>0</v>
      </c>
      <c r="Y2142" s="5">
        <f t="shared" si="33"/>
        <v>0.12262161353934997</v>
      </c>
    </row>
    <row r="2143" spans="16:25" x14ac:dyDescent="0.25">
      <c r="P2143" s="2" t="s">
        <v>39</v>
      </c>
      <c r="Q2143" s="10">
        <f>data_redis_illX!E1944</f>
        <v>0</v>
      </c>
      <c r="R2143" s="10">
        <f>data_redis_illX!F1944</f>
        <v>0</v>
      </c>
      <c r="S2143" s="10">
        <f>data_redis_illX!G1944</f>
        <v>9.1752936102045088E-2</v>
      </c>
      <c r="T2143" s="10">
        <f>data_redis_illX!H1944</f>
        <v>0</v>
      </c>
      <c r="U2143" s="10">
        <f>data_redis_illX!I1944</f>
        <v>0</v>
      </c>
      <c r="V2143" s="10">
        <f>data_redis_illX!J1944</f>
        <v>3.0868677437304891E-2</v>
      </c>
      <c r="W2143" s="10">
        <f>data_redis_illX!K1944</f>
        <v>0</v>
      </c>
      <c r="X2143" s="10">
        <f>data_redis_illX!L1944</f>
        <v>0</v>
      </c>
      <c r="Y2143" s="5">
        <f t="shared" si="33"/>
        <v>0.12262161353934997</v>
      </c>
    </row>
    <row r="2144" spans="16:25" x14ac:dyDescent="0.25">
      <c r="P2144" s="2" t="s">
        <v>40</v>
      </c>
      <c r="Q2144" s="10">
        <f>data_redis_illX!E1945</f>
        <v>0</v>
      </c>
      <c r="R2144" s="10">
        <f>data_redis_illX!F1945</f>
        <v>0</v>
      </c>
      <c r="S2144" s="10">
        <f>data_redis_illX!G1945</f>
        <v>9.1752936102045088E-2</v>
      </c>
      <c r="T2144" s="10">
        <f>data_redis_illX!H1945</f>
        <v>0</v>
      </c>
      <c r="U2144" s="10">
        <f>data_redis_illX!I1945</f>
        <v>0</v>
      </c>
      <c r="V2144" s="10">
        <f>data_redis_illX!J1945</f>
        <v>3.0868677437304891E-2</v>
      </c>
      <c r="W2144" s="10">
        <f>data_redis_illX!K1945</f>
        <v>0</v>
      </c>
      <c r="X2144" s="10">
        <f>data_redis_illX!L1945</f>
        <v>0</v>
      </c>
      <c r="Y2144" s="5">
        <f t="shared" si="33"/>
        <v>0.12262161353934997</v>
      </c>
    </row>
    <row r="2145" spans="13:25" x14ac:dyDescent="0.25">
      <c r="P2145" s="2" t="s">
        <v>41</v>
      </c>
      <c r="Q2145" s="10">
        <f>data_redis_illX!E1946</f>
        <v>0</v>
      </c>
      <c r="R2145" s="10">
        <f>data_redis_illX!F1946</f>
        <v>0</v>
      </c>
      <c r="S2145" s="10">
        <f>data_redis_illX!G1946</f>
        <v>9.1752936102045088E-2</v>
      </c>
      <c r="T2145" s="10">
        <f>data_redis_illX!H1946</f>
        <v>0</v>
      </c>
      <c r="U2145" s="10">
        <f>data_redis_illX!I1946</f>
        <v>0</v>
      </c>
      <c r="V2145" s="10">
        <f>data_redis_illX!J1946</f>
        <v>3.0868677437304891E-2</v>
      </c>
      <c r="W2145" s="10">
        <f>data_redis_illX!K1946</f>
        <v>0</v>
      </c>
      <c r="X2145" s="10">
        <f>data_redis_illX!L1946</f>
        <v>0</v>
      </c>
      <c r="Y2145" s="5">
        <f t="shared" si="33"/>
        <v>0.12262161353934997</v>
      </c>
    </row>
    <row r="2146" spans="13:25" x14ac:dyDescent="0.25">
      <c r="P2146" s="2" t="s">
        <v>42</v>
      </c>
      <c r="Q2146" s="10">
        <f>data_redis_illX!E1947</f>
        <v>0</v>
      </c>
      <c r="R2146" s="10">
        <f>data_redis_illX!F1947</f>
        <v>0</v>
      </c>
      <c r="S2146" s="10">
        <f>data_redis_illX!G1947</f>
        <v>9.1752936102045088E-2</v>
      </c>
      <c r="T2146" s="10">
        <f>data_redis_illX!H1947</f>
        <v>0</v>
      </c>
      <c r="U2146" s="10">
        <f>data_redis_illX!I1947</f>
        <v>0</v>
      </c>
      <c r="V2146" s="10">
        <f>data_redis_illX!J1947</f>
        <v>3.0868677437304891E-2</v>
      </c>
      <c r="W2146" s="10">
        <f>data_redis_illX!K1947</f>
        <v>0</v>
      </c>
      <c r="X2146" s="10">
        <f>data_redis_illX!L1947</f>
        <v>0</v>
      </c>
      <c r="Y2146" s="5">
        <f t="shared" si="33"/>
        <v>0.12262161353934997</v>
      </c>
    </row>
    <row r="2147" spans="13:25" x14ac:dyDescent="0.25">
      <c r="P2147" s="2" t="s">
        <v>43</v>
      </c>
      <c r="Q2147" s="10">
        <f>data_redis_illX!E1948</f>
        <v>0</v>
      </c>
      <c r="R2147" s="10">
        <f>data_redis_illX!F1948</f>
        <v>0</v>
      </c>
      <c r="S2147" s="10">
        <f>data_redis_illX!G1948</f>
        <v>9.1752936102045088E-2</v>
      </c>
      <c r="T2147" s="10">
        <f>data_redis_illX!H1948</f>
        <v>2.03508222893133</v>
      </c>
      <c r="U2147" s="10">
        <f>data_redis_illX!I1948</f>
        <v>0</v>
      </c>
      <c r="V2147" s="10">
        <f>data_redis_illX!J1948</f>
        <v>3.0868677437304891E-2</v>
      </c>
      <c r="W2147" s="10">
        <f>data_redis_illX!K1948</f>
        <v>0</v>
      </c>
      <c r="X2147" s="10">
        <f>data_redis_illX!L1948</f>
        <v>0</v>
      </c>
      <c r="Y2147" s="5">
        <f t="shared" si="33"/>
        <v>2.15770384247068</v>
      </c>
    </row>
    <row r="2148" spans="13:25" x14ac:dyDescent="0.25">
      <c r="P2148" s="2" t="s">
        <v>44</v>
      </c>
      <c r="Q2148" s="10">
        <f>data_redis_illX!E1949</f>
        <v>0</v>
      </c>
      <c r="R2148" s="10">
        <f>data_redis_illX!F1949</f>
        <v>0</v>
      </c>
      <c r="S2148" s="10">
        <f>data_redis_illX!G1949</f>
        <v>9.1752936102045088E-2</v>
      </c>
      <c r="T2148" s="10">
        <f>data_redis_illX!H1949</f>
        <v>0</v>
      </c>
      <c r="U2148" s="10">
        <f>data_redis_illX!I1949</f>
        <v>0</v>
      </c>
      <c r="V2148" s="10">
        <f>data_redis_illX!J1949</f>
        <v>3.0868677437304891E-2</v>
      </c>
      <c r="W2148" s="10">
        <f>data_redis_illX!K1949</f>
        <v>0</v>
      </c>
      <c r="X2148" s="10">
        <f>data_redis_illX!L1949</f>
        <v>0</v>
      </c>
      <c r="Y2148" s="5">
        <f t="shared" si="33"/>
        <v>0.12262161353934997</v>
      </c>
    </row>
    <row r="2149" spans="13:25" x14ac:dyDescent="0.25">
      <c r="M2149" t="s">
        <v>115</v>
      </c>
      <c r="N2149" t="s">
        <v>117</v>
      </c>
      <c r="O2149" t="s">
        <v>54</v>
      </c>
      <c r="P2149" s="2" t="s">
        <v>12</v>
      </c>
      <c r="Q2149" s="10">
        <f>data_redis_illX!E1950</f>
        <v>0</v>
      </c>
      <c r="R2149" s="10">
        <f>data_redis_illX!F1950</f>
        <v>0</v>
      </c>
      <c r="S2149" s="10">
        <f>data_redis_illX!G1950</f>
        <v>0</v>
      </c>
      <c r="T2149" s="10">
        <f>data_redis_illX!H1950</f>
        <v>2.7115996003242633</v>
      </c>
      <c r="U2149" s="10">
        <f>data_redis_illX!I1950</f>
        <v>2.8894134310701118</v>
      </c>
      <c r="V2149" s="10">
        <f>data_redis_illX!J1950</f>
        <v>0</v>
      </c>
      <c r="W2149" s="10">
        <f>data_redis_illX!K1950</f>
        <v>0</v>
      </c>
      <c r="X2149" s="10">
        <f>data_redis_illX!L1950</f>
        <v>0</v>
      </c>
      <c r="Y2149" s="5">
        <f t="shared" si="33"/>
        <v>5.6010130313943751</v>
      </c>
    </row>
    <row r="2150" spans="13:25" x14ac:dyDescent="0.25">
      <c r="P2150" s="2" t="s">
        <v>13</v>
      </c>
      <c r="Q2150" s="10">
        <f>data_redis_illX!E1951</f>
        <v>0</v>
      </c>
      <c r="R2150" s="10">
        <f>data_redis_illX!F1951</f>
        <v>0</v>
      </c>
      <c r="S2150" s="10">
        <f>data_redis_illX!G1951</f>
        <v>56.124589886870766</v>
      </c>
      <c r="T2150" s="10">
        <f>data_redis_illX!H1951</f>
        <v>43.385593605188213</v>
      </c>
      <c r="U2150" s="10">
        <f>data_redis_illX!I1951</f>
        <v>11.557653724280447</v>
      </c>
      <c r="V2150" s="10">
        <f>data_redis_illX!J1951</f>
        <v>0</v>
      </c>
      <c r="W2150" s="10">
        <f>data_redis_illX!K1951</f>
        <v>0</v>
      </c>
      <c r="X2150" s="10">
        <f>data_redis_illX!L1951</f>
        <v>0</v>
      </c>
      <c r="Y2150" s="5">
        <f t="shared" si="33"/>
        <v>111.06783721633943</v>
      </c>
    </row>
    <row r="2151" spans="13:25" x14ac:dyDescent="0.25">
      <c r="P2151" s="2" t="s">
        <v>14</v>
      </c>
      <c r="Q2151" s="10">
        <f>data_redis_illX!E1952</f>
        <v>0</v>
      </c>
      <c r="R2151" s="10">
        <f>data_redis_illX!F1952</f>
        <v>0</v>
      </c>
      <c r="S2151" s="10">
        <f>data_redis_illX!G1952</f>
        <v>9.7607982411949141</v>
      </c>
      <c r="T2151" s="10">
        <f>data_redis_illX!H1952</f>
        <v>13.557998001621318</v>
      </c>
      <c r="U2151" s="10">
        <f>data_redis_illX!I1952</f>
        <v>8.6682402932103351</v>
      </c>
      <c r="V2151" s="10">
        <f>data_redis_illX!J1952</f>
        <v>3.5861213533032261</v>
      </c>
      <c r="W2151" s="10">
        <f>data_redis_illX!K1952</f>
        <v>0</v>
      </c>
      <c r="X2151" s="10">
        <f>data_redis_illX!L1952</f>
        <v>0</v>
      </c>
      <c r="Y2151" s="5">
        <f t="shared" si="33"/>
        <v>35.573157889329792</v>
      </c>
    </row>
    <row r="2152" spans="13:25" x14ac:dyDescent="0.25">
      <c r="P2152" s="2" t="s">
        <v>15</v>
      </c>
      <c r="Q2152" s="10">
        <f>data_redis_illX!E1953</f>
        <v>0</v>
      </c>
      <c r="R2152" s="10">
        <f>data_redis_illX!F1953</f>
        <v>0</v>
      </c>
      <c r="S2152" s="10">
        <f>data_redis_illX!G1953</f>
        <v>2.4401995602987285</v>
      </c>
      <c r="T2152" s="10">
        <f>data_redis_illX!H1953</f>
        <v>8.1347988009727903</v>
      </c>
      <c r="U2152" s="10">
        <f>data_redis_illX!I1953</f>
        <v>2.8894134310701118</v>
      </c>
      <c r="V2152" s="10">
        <f>data_redis_illX!J1953</f>
        <v>3.5861213533032261</v>
      </c>
      <c r="W2152" s="10">
        <f>data_redis_illX!K1953</f>
        <v>0</v>
      </c>
      <c r="X2152" s="10">
        <f>data_redis_illX!L1953</f>
        <v>0</v>
      </c>
      <c r="Y2152" s="5">
        <f t="shared" si="33"/>
        <v>17.050533145644856</v>
      </c>
    </row>
    <row r="2153" spans="13:25" x14ac:dyDescent="0.25">
      <c r="P2153" s="2" t="s">
        <v>16</v>
      </c>
      <c r="Q2153" s="10">
        <f>data_redis_illX!E1954</f>
        <v>0</v>
      </c>
      <c r="R2153" s="10">
        <f>data_redis_illX!F1954</f>
        <v>0</v>
      </c>
      <c r="S2153" s="10">
        <f>data_redis_illX!G1954</f>
        <v>0</v>
      </c>
      <c r="T2153" s="10">
        <f>data_redis_illX!H1954</f>
        <v>8.1347988009727903</v>
      </c>
      <c r="U2153" s="10">
        <f>data_redis_illX!I1954</f>
        <v>11.557653724280447</v>
      </c>
      <c r="V2153" s="10">
        <f>data_redis_illX!J1954</f>
        <v>0</v>
      </c>
      <c r="W2153" s="10">
        <f>data_redis_illX!K1954</f>
        <v>0</v>
      </c>
      <c r="X2153" s="10">
        <f>data_redis_illX!L1954</f>
        <v>0</v>
      </c>
      <c r="Y2153" s="5">
        <f t="shared" si="33"/>
        <v>19.692452525253238</v>
      </c>
    </row>
    <row r="2154" spans="13:25" x14ac:dyDescent="0.25">
      <c r="P2154" s="2" t="s">
        <v>17</v>
      </c>
      <c r="Q2154" s="10">
        <f>data_redis_illX!E1955</f>
        <v>0</v>
      </c>
      <c r="R2154" s="10">
        <f>data_redis_illX!F1955</f>
        <v>0</v>
      </c>
      <c r="S2154" s="10">
        <f>data_redis_illX!G1955</f>
        <v>2.4401995602987285</v>
      </c>
      <c r="T2154" s="10">
        <f>data_redis_illX!H1955</f>
        <v>0</v>
      </c>
      <c r="U2154" s="10">
        <f>data_redis_illX!I1955</f>
        <v>8.6682402932103351</v>
      </c>
      <c r="V2154" s="10">
        <f>data_redis_illX!J1955</f>
        <v>0</v>
      </c>
      <c r="W2154" s="10">
        <f>data_redis_illX!K1955</f>
        <v>0</v>
      </c>
      <c r="X2154" s="10">
        <f>data_redis_illX!L1955</f>
        <v>0</v>
      </c>
      <c r="Y2154" s="5">
        <f t="shared" si="33"/>
        <v>11.108439853509063</v>
      </c>
    </row>
    <row r="2155" spans="13:25" x14ac:dyDescent="0.25">
      <c r="P2155" s="2" t="s">
        <v>18</v>
      </c>
      <c r="Q2155" s="10">
        <f>data_redis_illX!E1956</f>
        <v>0</v>
      </c>
      <c r="R2155" s="10">
        <f>data_redis_illX!F1956</f>
        <v>0</v>
      </c>
      <c r="S2155" s="10">
        <f>data_redis_illX!G1956</f>
        <v>7.320598680896186</v>
      </c>
      <c r="T2155" s="10">
        <f>data_redis_illX!H1956</f>
        <v>16.269597601945581</v>
      </c>
      <c r="U2155" s="10">
        <f>data_redis_illX!I1956</f>
        <v>11.557653724280447</v>
      </c>
      <c r="V2155" s="10">
        <f>data_redis_illX!J1956</f>
        <v>3.5861213533032261</v>
      </c>
      <c r="W2155" s="10">
        <f>data_redis_illX!K1956</f>
        <v>3.7792857142857144</v>
      </c>
      <c r="X2155" s="10">
        <f>data_redis_illX!L1956</f>
        <v>0</v>
      </c>
      <c r="Y2155" s="5">
        <f t="shared" si="33"/>
        <v>42.513257074711156</v>
      </c>
    </row>
    <row r="2156" spans="13:25" x14ac:dyDescent="0.25">
      <c r="P2156" s="2" t="s">
        <v>19</v>
      </c>
      <c r="Q2156" s="10">
        <f>data_redis_illX!E1957</f>
        <v>0</v>
      </c>
      <c r="R2156" s="10">
        <f>data_redis_illX!F1957</f>
        <v>0</v>
      </c>
      <c r="S2156" s="10">
        <f>data_redis_illX!G1957</f>
        <v>21.961796042688555</v>
      </c>
      <c r="T2156" s="10">
        <f>data_redis_illX!H1957</f>
        <v>40.673994004863943</v>
      </c>
      <c r="U2156" s="10">
        <f>data_redis_illX!I1957</f>
        <v>28.894134310701119</v>
      </c>
      <c r="V2156" s="10">
        <f>data_redis_illX!J1957</f>
        <v>0</v>
      </c>
      <c r="W2156" s="10">
        <f>data_redis_illX!K1957</f>
        <v>0</v>
      </c>
      <c r="X2156" s="10">
        <f>data_redis_illX!L1957</f>
        <v>0</v>
      </c>
      <c r="Y2156" s="5">
        <f t="shared" si="33"/>
        <v>91.529924358253623</v>
      </c>
    </row>
    <row r="2157" spans="13:25" x14ac:dyDescent="0.25">
      <c r="P2157" s="2" t="s">
        <v>20</v>
      </c>
      <c r="Q2157" s="10">
        <f>data_redis_illX!E1958</f>
        <v>0</v>
      </c>
      <c r="R2157" s="10">
        <f>data_redis_illX!F1958</f>
        <v>0</v>
      </c>
      <c r="S2157" s="10">
        <f>data_redis_illX!G1958</f>
        <v>26.842195163286018</v>
      </c>
      <c r="T2157" s="10">
        <f>data_redis_illX!H1958</f>
        <v>127.4451812152404</v>
      </c>
      <c r="U2157" s="10">
        <f>data_redis_illX!I1958</f>
        <v>98.240056656383828</v>
      </c>
      <c r="V2157" s="10">
        <f>data_redis_illX!J1958</f>
        <v>14.344485413212904</v>
      </c>
      <c r="W2157" s="10">
        <f>data_redis_illX!K1958</f>
        <v>0</v>
      </c>
      <c r="X2157" s="10">
        <f>data_redis_illX!L1958</f>
        <v>0</v>
      </c>
      <c r="Y2157" s="5">
        <f t="shared" si="33"/>
        <v>266.87191844812315</v>
      </c>
    </row>
    <row r="2158" spans="13:25" x14ac:dyDescent="0.25">
      <c r="P2158" s="2" t="s">
        <v>21</v>
      </c>
      <c r="Q2158" s="10">
        <f>data_redis_illX!E1959</f>
        <v>0</v>
      </c>
      <c r="R2158" s="10">
        <f>data_redis_illX!F1959</f>
        <v>0</v>
      </c>
      <c r="S2158" s="10">
        <f>data_redis_illX!G1959</f>
        <v>31.722594283883474</v>
      </c>
      <c r="T2158" s="10">
        <f>data_redis_illX!H1959</f>
        <v>29.827595603566898</v>
      </c>
      <c r="U2158" s="10">
        <f>data_redis_illX!I1959</f>
        <v>20.225894017490784</v>
      </c>
      <c r="V2158" s="10">
        <f>data_redis_illX!J1959</f>
        <v>21.516728119819355</v>
      </c>
      <c r="W2158" s="10">
        <f>data_redis_illX!K1959</f>
        <v>0</v>
      </c>
      <c r="X2158" s="10">
        <f>data_redis_illX!L1959</f>
        <v>0</v>
      </c>
      <c r="Y2158" s="5">
        <f t="shared" si="33"/>
        <v>103.29281202476051</v>
      </c>
    </row>
    <row r="2159" spans="13:25" x14ac:dyDescent="0.25">
      <c r="P2159" s="2" t="s">
        <v>22</v>
      </c>
      <c r="Q2159" s="10">
        <f>data_redis_illX!E1960</f>
        <v>0</v>
      </c>
      <c r="R2159" s="10">
        <f>data_redis_illX!F1960</f>
        <v>0</v>
      </c>
      <c r="S2159" s="10">
        <f>data_redis_illX!G1960</f>
        <v>26.842195163286018</v>
      </c>
      <c r="T2159" s="10">
        <f>data_redis_illX!H1960</f>
        <v>32.539195203891161</v>
      </c>
      <c r="U2159" s="10">
        <f>data_redis_illX!I1960</f>
        <v>31.78354774177123</v>
      </c>
      <c r="V2159" s="10">
        <f>data_redis_illX!J1960</f>
        <v>17.930606766516128</v>
      </c>
      <c r="W2159" s="10">
        <f>data_redis_illX!K1960</f>
        <v>0</v>
      </c>
      <c r="X2159" s="10">
        <f>data_redis_illX!L1960</f>
        <v>0</v>
      </c>
      <c r="Y2159" s="5">
        <f t="shared" si="33"/>
        <v>109.09554487546453</v>
      </c>
    </row>
    <row r="2160" spans="13:25" x14ac:dyDescent="0.25">
      <c r="P2160" s="2" t="s">
        <v>23</v>
      </c>
      <c r="Q2160" s="10">
        <f>data_redis_illX!E1961</f>
        <v>0</v>
      </c>
      <c r="R2160" s="10">
        <f>data_redis_illX!F1961</f>
        <v>0</v>
      </c>
      <c r="S2160" s="10">
        <f>data_redis_illX!G1961</f>
        <v>2.4401995602987285</v>
      </c>
      <c r="T2160" s="10">
        <f>data_redis_illX!H1961</f>
        <v>27.115996003242635</v>
      </c>
      <c r="U2160" s="10">
        <f>data_redis_illX!I1961</f>
        <v>2.8894134310701118</v>
      </c>
      <c r="V2160" s="10">
        <f>data_redis_illX!J1961</f>
        <v>3.5861213533032261</v>
      </c>
      <c r="W2160" s="10">
        <f>data_redis_illX!K1961</f>
        <v>0</v>
      </c>
      <c r="X2160" s="10">
        <f>data_redis_illX!L1961</f>
        <v>0</v>
      </c>
      <c r="Y2160" s="5">
        <f t="shared" si="33"/>
        <v>36.031730347914703</v>
      </c>
    </row>
    <row r="2161" spans="16:25" x14ac:dyDescent="0.25">
      <c r="P2161" s="2" t="s">
        <v>24</v>
      </c>
      <c r="Q2161" s="10">
        <f>data_redis_illX!E1962</f>
        <v>0</v>
      </c>
      <c r="R2161" s="10">
        <f>data_redis_illX!F1962</f>
        <v>0</v>
      </c>
      <c r="S2161" s="10">
        <f>data_redis_illX!G1962</f>
        <v>21.961796042688555</v>
      </c>
      <c r="T2161" s="10">
        <f>data_redis_illX!H1962</f>
        <v>56.943591606809534</v>
      </c>
      <c r="U2161" s="10">
        <f>data_redis_illX!I1962</f>
        <v>28.894134310701119</v>
      </c>
      <c r="V2161" s="10">
        <f>data_redis_illX!J1962</f>
        <v>7.1722427066064522</v>
      </c>
      <c r="W2161" s="10">
        <f>data_redis_illX!K1962</f>
        <v>3.7792857142857144</v>
      </c>
      <c r="X2161" s="10">
        <f>data_redis_illX!L1962</f>
        <v>0</v>
      </c>
      <c r="Y2161" s="5">
        <f t="shared" si="33"/>
        <v>118.75105038109139</v>
      </c>
    </row>
    <row r="2162" spans="16:25" x14ac:dyDescent="0.25">
      <c r="P2162" s="2" t="s">
        <v>25</v>
      </c>
      <c r="Q2162" s="10">
        <f>data_redis_illX!E1963</f>
        <v>0</v>
      </c>
      <c r="R2162" s="10">
        <f>data_redis_illX!F1963</f>
        <v>0</v>
      </c>
      <c r="S2162" s="10">
        <f>data_redis_illX!G1963</f>
        <v>2.4401995602987285</v>
      </c>
      <c r="T2162" s="10">
        <f>data_redis_illX!H1963</f>
        <v>13.557998001621318</v>
      </c>
      <c r="U2162" s="10">
        <f>data_redis_illX!I1963</f>
        <v>8.6682402932103351</v>
      </c>
      <c r="V2162" s="10">
        <f>data_redis_illX!J1963</f>
        <v>0</v>
      </c>
      <c r="W2162" s="10">
        <f>data_redis_illX!K1963</f>
        <v>0</v>
      </c>
      <c r="X2162" s="10">
        <f>data_redis_illX!L1963</f>
        <v>0</v>
      </c>
      <c r="Y2162" s="5">
        <f t="shared" si="33"/>
        <v>24.666437855130383</v>
      </c>
    </row>
    <row r="2163" spans="16:25" x14ac:dyDescent="0.25">
      <c r="P2163" s="2" t="s">
        <v>26</v>
      </c>
      <c r="Q2163" s="10">
        <f>data_redis_illX!E1964</f>
        <v>0</v>
      </c>
      <c r="R2163" s="10">
        <f>data_redis_illX!F1964</f>
        <v>0</v>
      </c>
      <c r="S2163" s="10">
        <f>data_redis_illX!G1964</f>
        <v>2.4401995602987285</v>
      </c>
      <c r="T2163" s="10">
        <f>data_redis_illX!H1964</f>
        <v>13.557998001621318</v>
      </c>
      <c r="U2163" s="10">
        <f>data_redis_illX!I1964</f>
        <v>17.33648058642067</v>
      </c>
      <c r="V2163" s="10">
        <f>data_redis_illX!J1964</f>
        <v>3.5861213533032261</v>
      </c>
      <c r="W2163" s="10">
        <f>data_redis_illX!K1964</f>
        <v>0</v>
      </c>
      <c r="X2163" s="10">
        <f>data_redis_illX!L1964</f>
        <v>0</v>
      </c>
      <c r="Y2163" s="5">
        <f t="shared" si="33"/>
        <v>36.920799501643941</v>
      </c>
    </row>
    <row r="2164" spans="16:25" x14ac:dyDescent="0.25">
      <c r="P2164" s="2" t="s">
        <v>27</v>
      </c>
      <c r="Q2164" s="10">
        <f>data_redis_illX!E1965</f>
        <v>0</v>
      </c>
      <c r="R2164" s="10">
        <f>data_redis_illX!F1965</f>
        <v>0</v>
      </c>
      <c r="S2164" s="10">
        <f>data_redis_illX!G1965</f>
        <v>19.521596482389828</v>
      </c>
      <c r="T2164" s="10">
        <f>data_redis_illX!H1965</f>
        <v>62.366790807458059</v>
      </c>
      <c r="U2164" s="10">
        <f>data_redis_illX!I1965</f>
        <v>37.562374603911458</v>
      </c>
      <c r="V2164" s="10">
        <f>data_redis_illX!J1965</f>
        <v>3.5861213533032261</v>
      </c>
      <c r="W2164" s="10">
        <f>data_redis_illX!K1965</f>
        <v>0</v>
      </c>
      <c r="X2164" s="10">
        <f>data_redis_illX!L1965</f>
        <v>0</v>
      </c>
      <c r="Y2164" s="5">
        <f t="shared" si="33"/>
        <v>123.03688324706256</v>
      </c>
    </row>
    <row r="2165" spans="16:25" x14ac:dyDescent="0.25">
      <c r="P2165" s="2" t="s">
        <v>28</v>
      </c>
      <c r="Q2165" s="10">
        <f>data_redis_illX!E1966</f>
        <v>0</v>
      </c>
      <c r="R2165" s="10">
        <f>data_redis_illX!F1966</f>
        <v>0</v>
      </c>
      <c r="S2165" s="10">
        <f>data_redis_illX!G1966</f>
        <v>63.445188567766948</v>
      </c>
      <c r="T2165" s="10">
        <f>data_redis_illX!H1966</f>
        <v>100.32918521199777</v>
      </c>
      <c r="U2165" s="10">
        <f>data_redis_illX!I1966</f>
        <v>72.345922345682681</v>
      </c>
      <c r="V2165" s="10">
        <f>data_redis_illX!J1966</f>
        <v>10.758364059909677</v>
      </c>
      <c r="W2165" s="10">
        <f>data_redis_illX!K1966</f>
        <v>0</v>
      </c>
      <c r="X2165" s="10">
        <f>data_redis_illX!L1966</f>
        <v>0</v>
      </c>
      <c r="Y2165" s="5">
        <f t="shared" si="33"/>
        <v>246.87866018535706</v>
      </c>
    </row>
    <row r="2166" spans="16:25" x14ac:dyDescent="0.25">
      <c r="P2166" s="2" t="s">
        <v>29</v>
      </c>
      <c r="Q2166" s="10">
        <f>data_redis_illX!E1967</f>
        <v>0</v>
      </c>
      <c r="R2166" s="10">
        <f>data_redis_illX!F1967</f>
        <v>0</v>
      </c>
      <c r="S2166" s="10">
        <f>data_redis_illX!G1967</f>
        <v>58.564789447169488</v>
      </c>
      <c r="T2166" s="10">
        <f>data_redis_illX!H1967</f>
        <v>132.86838041588891</v>
      </c>
      <c r="U2166" s="10">
        <f>data_redis_illX!I1967</f>
        <v>49.120028328191914</v>
      </c>
      <c r="V2166" s="10">
        <f>data_redis_illX!J1967</f>
        <v>7.1722427066064522</v>
      </c>
      <c r="W2166" s="10">
        <f>data_redis_illX!K1967</f>
        <v>3.7792857142857144</v>
      </c>
      <c r="X2166" s="10">
        <f>data_redis_illX!L1967</f>
        <v>0</v>
      </c>
      <c r="Y2166" s="5">
        <f t="shared" si="33"/>
        <v>251.50472661214249</v>
      </c>
    </row>
    <row r="2167" spans="16:25" x14ac:dyDescent="0.25">
      <c r="P2167" s="2" t="s">
        <v>30</v>
      </c>
      <c r="Q2167" s="10">
        <f>data_redis_illX!E1968</f>
        <v>0</v>
      </c>
      <c r="R2167" s="10">
        <f>data_redis_illX!F1968</f>
        <v>0</v>
      </c>
      <c r="S2167" s="10">
        <f>data_redis_illX!G1968</f>
        <v>367.52993404480935</v>
      </c>
      <c r="T2167" s="10">
        <f>data_redis_illX!H1968</f>
        <v>672.4767008804173</v>
      </c>
      <c r="U2167" s="10">
        <f>data_redis_illX!I1968</f>
        <v>485.42145641977879</v>
      </c>
      <c r="V2167" s="10">
        <f>data_redis_illX!J1968</f>
        <v>69.136305712761299</v>
      </c>
      <c r="W2167" s="10">
        <f>data_redis_illX!K1968</f>
        <v>7.5585714285714287</v>
      </c>
      <c r="X2167" s="10">
        <f>data_redis_illX!L1968</f>
        <v>1</v>
      </c>
      <c r="Y2167" s="5">
        <f t="shared" si="33"/>
        <v>1603.1229684863379</v>
      </c>
    </row>
    <row r="2168" spans="16:25" x14ac:dyDescent="0.25">
      <c r="P2168" s="2" t="s">
        <v>31</v>
      </c>
      <c r="Q2168" s="10">
        <f>data_redis_illX!E1969</f>
        <v>0</v>
      </c>
      <c r="R2168" s="10">
        <f>data_redis_illX!F1969</f>
        <v>0</v>
      </c>
      <c r="S2168" s="10">
        <f>data_redis_illX!G1969</f>
        <v>25.901995602987288</v>
      </c>
      <c r="T2168" s="10">
        <f>data_redis_illX!H1969</f>
        <v>59.655191207133797</v>
      </c>
      <c r="U2168" s="10">
        <f>data_redis_illX!I1969</f>
        <v>26.004720879631009</v>
      </c>
      <c r="V2168" s="10">
        <f>data_redis_illX!J1969</f>
        <v>0</v>
      </c>
      <c r="W2168" s="10">
        <f>data_redis_illX!K1969</f>
        <v>0</v>
      </c>
      <c r="X2168" s="10">
        <f>data_redis_illX!L1969</f>
        <v>0</v>
      </c>
      <c r="Y2168" s="5">
        <f t="shared" si="33"/>
        <v>111.56190768975209</v>
      </c>
    </row>
    <row r="2169" spans="16:25" x14ac:dyDescent="0.25">
      <c r="P2169" s="2" t="s">
        <v>32</v>
      </c>
      <c r="Q2169" s="10">
        <f>data_redis_illX!E1970</f>
        <v>0</v>
      </c>
      <c r="R2169" s="10">
        <f>data_redis_illX!F1970</f>
        <v>0</v>
      </c>
      <c r="S2169" s="10">
        <f>data_redis_illX!G1970</f>
        <v>0</v>
      </c>
      <c r="T2169" s="10">
        <f>data_redis_illX!H1970</f>
        <v>0</v>
      </c>
      <c r="U2169" s="10">
        <f>data_redis_illX!I1970</f>
        <v>5.7788268621402237</v>
      </c>
      <c r="V2169" s="10">
        <f>data_redis_illX!J1970</f>
        <v>0</v>
      </c>
      <c r="W2169" s="10">
        <f>data_redis_illX!K1970</f>
        <v>0</v>
      </c>
      <c r="X2169" s="10">
        <f>data_redis_illX!L1970</f>
        <v>0</v>
      </c>
      <c r="Y2169" s="5">
        <f t="shared" si="33"/>
        <v>5.7788268621402237</v>
      </c>
    </row>
    <row r="2170" spans="16:25" x14ac:dyDescent="0.25">
      <c r="P2170" s="2" t="s">
        <v>33</v>
      </c>
      <c r="Q2170" s="10">
        <f>data_redis_illX!E1971</f>
        <v>0</v>
      </c>
      <c r="R2170" s="10">
        <f>data_redis_illX!F1971</f>
        <v>0</v>
      </c>
      <c r="S2170" s="10">
        <f>data_redis_illX!G1971</f>
        <v>2.4401995602987285</v>
      </c>
      <c r="T2170" s="10">
        <f>data_redis_illX!H1971</f>
        <v>13.557998001621318</v>
      </c>
      <c r="U2170" s="10">
        <f>data_redis_illX!I1971</f>
        <v>5.7788268621402237</v>
      </c>
      <c r="V2170" s="10">
        <f>data_redis_illX!J1971</f>
        <v>0</v>
      </c>
      <c r="W2170" s="10">
        <f>data_redis_illX!K1971</f>
        <v>0</v>
      </c>
      <c r="X2170" s="10">
        <f>data_redis_illX!L1971</f>
        <v>0</v>
      </c>
      <c r="Y2170" s="5">
        <f t="shared" si="33"/>
        <v>21.777024424060269</v>
      </c>
    </row>
    <row r="2171" spans="16:25" x14ac:dyDescent="0.25">
      <c r="P2171" s="2" t="s">
        <v>34</v>
      </c>
      <c r="Q2171" s="10">
        <f>data_redis_illX!E1972</f>
        <v>0</v>
      </c>
      <c r="R2171" s="10">
        <f>data_redis_illX!F1972</f>
        <v>0</v>
      </c>
      <c r="S2171" s="10">
        <f>data_redis_illX!G1972</f>
        <v>2.4401995602987285</v>
      </c>
      <c r="T2171" s="10">
        <f>data_redis_illX!H1972</f>
        <v>0</v>
      </c>
      <c r="U2171" s="10">
        <f>data_redis_illX!I1972</f>
        <v>2.8894134310701118</v>
      </c>
      <c r="V2171" s="10">
        <f>data_redis_illX!J1972</f>
        <v>0</v>
      </c>
      <c r="W2171" s="10">
        <f>data_redis_illX!K1972</f>
        <v>0</v>
      </c>
      <c r="X2171" s="10">
        <f>data_redis_illX!L1972</f>
        <v>0</v>
      </c>
      <c r="Y2171" s="5">
        <f t="shared" si="33"/>
        <v>5.3296129913688404</v>
      </c>
    </row>
    <row r="2172" spans="16:25" x14ac:dyDescent="0.25">
      <c r="P2172" s="2" t="s">
        <v>35</v>
      </c>
      <c r="Q2172" s="10">
        <f>data_redis_illX!E1973</f>
        <v>0</v>
      </c>
      <c r="R2172" s="10">
        <f>data_redis_illX!F1973</f>
        <v>0</v>
      </c>
      <c r="S2172" s="10">
        <f>data_redis_illX!G1973</f>
        <v>0</v>
      </c>
      <c r="T2172" s="10">
        <f>data_redis_illX!H1973</f>
        <v>0</v>
      </c>
      <c r="U2172" s="10">
        <f>data_redis_illX!I1973</f>
        <v>2.8894134310701118</v>
      </c>
      <c r="V2172" s="10">
        <f>data_redis_illX!J1973</f>
        <v>0</v>
      </c>
      <c r="W2172" s="10">
        <f>data_redis_illX!K1973</f>
        <v>0</v>
      </c>
      <c r="X2172" s="10">
        <f>data_redis_illX!L1973</f>
        <v>0</v>
      </c>
      <c r="Y2172" s="5">
        <f t="shared" si="33"/>
        <v>2.8894134310701118</v>
      </c>
    </row>
    <row r="2173" spans="16:25" x14ac:dyDescent="0.25">
      <c r="P2173" s="2" t="s">
        <v>36</v>
      </c>
      <c r="Q2173" s="10">
        <f>data_redis_illX!E1974</f>
        <v>0</v>
      </c>
      <c r="R2173" s="10">
        <f>data_redis_illX!F1974</f>
        <v>0</v>
      </c>
      <c r="S2173" s="10">
        <f>data_redis_illX!G1974</f>
        <v>0</v>
      </c>
      <c r="T2173" s="10">
        <f>data_redis_illX!H1974</f>
        <v>0</v>
      </c>
      <c r="U2173" s="10">
        <f>data_redis_illX!I1974</f>
        <v>0</v>
      </c>
      <c r="V2173" s="10">
        <f>data_redis_illX!J1974</f>
        <v>0</v>
      </c>
      <c r="W2173" s="10">
        <f>data_redis_illX!K1974</f>
        <v>0</v>
      </c>
      <c r="X2173" s="10">
        <f>data_redis_illX!L1974</f>
        <v>0</v>
      </c>
      <c r="Y2173" s="5">
        <f t="shared" si="33"/>
        <v>0</v>
      </c>
    </row>
    <row r="2174" spans="16:25" x14ac:dyDescent="0.25">
      <c r="P2174" s="2" t="s">
        <v>37</v>
      </c>
      <c r="Q2174" s="10">
        <f>data_redis_illX!E1975</f>
        <v>0</v>
      </c>
      <c r="R2174" s="10">
        <f>data_redis_illX!F1975</f>
        <v>0</v>
      </c>
      <c r="S2174" s="10">
        <f>data_redis_illX!G1975</f>
        <v>0</v>
      </c>
      <c r="T2174" s="10">
        <f>data_redis_illX!H1975</f>
        <v>0</v>
      </c>
      <c r="U2174" s="10">
        <f>data_redis_illX!I1975</f>
        <v>0</v>
      </c>
      <c r="V2174" s="10">
        <f>data_redis_illX!J1975</f>
        <v>0</v>
      </c>
      <c r="W2174" s="10">
        <f>data_redis_illX!K1975</f>
        <v>0</v>
      </c>
      <c r="X2174" s="10">
        <f>data_redis_illX!L1975</f>
        <v>0</v>
      </c>
      <c r="Y2174" s="5">
        <f t="shared" si="33"/>
        <v>0</v>
      </c>
    </row>
    <row r="2175" spans="16:25" x14ac:dyDescent="0.25">
      <c r="P2175" s="2" t="s">
        <v>38</v>
      </c>
      <c r="Q2175" s="10">
        <f>data_redis_illX!E1976</f>
        <v>0</v>
      </c>
      <c r="R2175" s="10">
        <f>data_redis_illX!F1976</f>
        <v>0</v>
      </c>
      <c r="S2175" s="10">
        <f>data_redis_illX!G1976</f>
        <v>0</v>
      </c>
      <c r="T2175" s="10">
        <f>data_redis_illX!H1976</f>
        <v>2.7115996003242633</v>
      </c>
      <c r="U2175" s="10">
        <f>data_redis_illX!I1976</f>
        <v>2.8894134310701118</v>
      </c>
      <c r="V2175" s="10">
        <f>data_redis_illX!J1976</f>
        <v>0</v>
      </c>
      <c r="W2175" s="10">
        <f>data_redis_illX!K1976</f>
        <v>0</v>
      </c>
      <c r="X2175" s="10">
        <f>data_redis_illX!L1976</f>
        <v>0</v>
      </c>
      <c r="Y2175" s="5">
        <f t="shared" si="33"/>
        <v>5.6010130313943751</v>
      </c>
    </row>
    <row r="2176" spans="16:25" x14ac:dyDescent="0.25">
      <c r="P2176" s="2" t="s">
        <v>39</v>
      </c>
      <c r="Q2176" s="10">
        <f>data_redis_illX!E1977</f>
        <v>0</v>
      </c>
      <c r="R2176" s="10">
        <f>data_redis_illX!F1977</f>
        <v>0</v>
      </c>
      <c r="S2176" s="10">
        <f>data_redis_illX!G1977</f>
        <v>9.7607982411949141</v>
      </c>
      <c r="T2176" s="10">
        <f>data_redis_illX!H1977</f>
        <v>32.539195203891161</v>
      </c>
      <c r="U2176" s="10">
        <f>data_redis_illX!I1977</f>
        <v>8.6682402932103351</v>
      </c>
      <c r="V2176" s="10">
        <f>data_redis_illX!J1977</f>
        <v>0</v>
      </c>
      <c r="W2176" s="10">
        <f>data_redis_illX!K1977</f>
        <v>0</v>
      </c>
      <c r="X2176" s="10">
        <f>data_redis_illX!L1977</f>
        <v>0</v>
      </c>
      <c r="Y2176" s="5">
        <f t="shared" si="33"/>
        <v>50.968233738296405</v>
      </c>
    </row>
    <row r="2177" spans="16:25" x14ac:dyDescent="0.25">
      <c r="P2177" s="2" t="s">
        <v>40</v>
      </c>
      <c r="Q2177" s="10">
        <f>data_redis_illX!E1978</f>
        <v>0</v>
      </c>
      <c r="R2177" s="10">
        <f>data_redis_illX!F1978</f>
        <v>0</v>
      </c>
      <c r="S2177" s="10">
        <f>data_redis_illX!G1978</f>
        <v>19.521596482389828</v>
      </c>
      <c r="T2177" s="10">
        <f>data_redis_illX!H1978</f>
        <v>84.059587610052162</v>
      </c>
      <c r="U2177" s="10">
        <f>data_redis_illX!I1978</f>
        <v>57.788268621402239</v>
      </c>
      <c r="V2177" s="10">
        <f>data_redis_illX!J1978</f>
        <v>17.930606766516128</v>
      </c>
      <c r="W2177" s="10">
        <f>data_redis_illX!K1978</f>
        <v>3.7792857142857144</v>
      </c>
      <c r="X2177" s="10">
        <f>data_redis_illX!L1978</f>
        <v>0</v>
      </c>
      <c r="Y2177" s="5">
        <f t="shared" si="33"/>
        <v>183.07934519464607</v>
      </c>
    </row>
    <row r="2178" spans="16:25" x14ac:dyDescent="0.25">
      <c r="P2178" s="2" t="s">
        <v>41</v>
      </c>
      <c r="Q2178" s="10">
        <f>data_redis_illX!E1979</f>
        <v>0</v>
      </c>
      <c r="R2178" s="10">
        <f>data_redis_illX!F1979</f>
        <v>0</v>
      </c>
      <c r="S2178" s="10">
        <f>data_redis_illX!G1979</f>
        <v>4.8803991205974571</v>
      </c>
      <c r="T2178" s="10">
        <f>data_redis_illX!H1979</f>
        <v>21.692796802594106</v>
      </c>
      <c r="U2178" s="10">
        <f>data_redis_illX!I1979</f>
        <v>5.7788268621402237</v>
      </c>
      <c r="V2178" s="10">
        <f>data_redis_illX!J1979</f>
        <v>0</v>
      </c>
      <c r="W2178" s="10">
        <f>data_redis_illX!K1979</f>
        <v>0</v>
      </c>
      <c r="X2178" s="10">
        <f>data_redis_illX!L1979</f>
        <v>0</v>
      </c>
      <c r="Y2178" s="5">
        <f t="shared" si="33"/>
        <v>32.352022785331783</v>
      </c>
    </row>
    <row r="2179" spans="16:25" x14ac:dyDescent="0.25">
      <c r="P2179" s="2" t="s">
        <v>42</v>
      </c>
      <c r="Q2179" s="10">
        <f>data_redis_illX!E1980</f>
        <v>0</v>
      </c>
      <c r="R2179" s="10">
        <f>data_redis_illX!F1980</f>
        <v>0</v>
      </c>
      <c r="S2179" s="10">
        <f>data_redis_illX!G1980</f>
        <v>19.521596482389828</v>
      </c>
      <c r="T2179" s="10">
        <f>data_redis_illX!H1980</f>
        <v>32.539195203891161</v>
      </c>
      <c r="U2179" s="10">
        <f>data_redis_illX!I1980</f>
        <v>26.004720879631009</v>
      </c>
      <c r="V2179" s="10">
        <f>data_redis_illX!J1980</f>
        <v>3.5861213533032261</v>
      </c>
      <c r="W2179" s="10">
        <f>data_redis_illX!K1980</f>
        <v>0</v>
      </c>
      <c r="X2179" s="10">
        <f>data_redis_illX!L1980</f>
        <v>0</v>
      </c>
      <c r="Y2179" s="5">
        <f t="shared" si="33"/>
        <v>81.651633919215229</v>
      </c>
    </row>
    <row r="2180" spans="16:25" x14ac:dyDescent="0.25">
      <c r="P2180" s="2" t="s">
        <v>43</v>
      </c>
      <c r="Q2180" s="10">
        <f>data_redis_illX!E1981</f>
        <v>0</v>
      </c>
      <c r="R2180" s="10">
        <f>data_redis_illX!F1981</f>
        <v>0</v>
      </c>
      <c r="S2180" s="10">
        <f>data_redis_illX!G1981</f>
        <v>546.60470150691515</v>
      </c>
      <c r="T2180" s="10">
        <f>data_redis_illX!H1981</f>
        <v>1293.4330093546739</v>
      </c>
      <c r="U2180" s="10">
        <f>data_redis_illX!I1981</f>
        <v>719.46394433645787</v>
      </c>
      <c r="V2180" s="10">
        <f>data_redis_illX!J1981</f>
        <v>154.20321819203872</v>
      </c>
      <c r="W2180" s="10">
        <f>data_redis_illX!K1981</f>
        <v>15.117142857142857</v>
      </c>
      <c r="X2180" s="10">
        <f>data_redis_illX!L1981</f>
        <v>0</v>
      </c>
      <c r="Y2180" s="5">
        <f t="shared" si="33"/>
        <v>2728.8220162472285</v>
      </c>
    </row>
    <row r="2181" spans="16:25" x14ac:dyDescent="0.25">
      <c r="P2181" s="2" t="s">
        <v>44</v>
      </c>
      <c r="Q2181" s="10">
        <f>data_redis_illX!E1982</f>
        <v>0</v>
      </c>
      <c r="R2181" s="10">
        <f>data_redis_illX!F1982</f>
        <v>0</v>
      </c>
      <c r="S2181" s="10">
        <f>data_redis_illX!G1982</f>
        <v>34.162793844182197</v>
      </c>
      <c r="T2181" s="10">
        <f>data_redis_illX!H1982</f>
        <v>51.520392406161008</v>
      </c>
      <c r="U2181" s="10">
        <f>data_redis_illX!I1982</f>
        <v>23.115307448560895</v>
      </c>
      <c r="V2181" s="10">
        <f>data_redis_illX!J1982</f>
        <v>7.1722427066064522</v>
      </c>
      <c r="W2181" s="10">
        <f>data_redis_illX!K1982</f>
        <v>0</v>
      </c>
      <c r="X2181" s="10">
        <f>data_redis_illX!L1982</f>
        <v>0</v>
      </c>
      <c r="Y2181" s="5">
        <f>SUM(Q2181:X2181)</f>
        <v>115.97073640551055</v>
      </c>
    </row>
    <row r="2182" spans="16:25" x14ac:dyDescent="0.25">
      <c r="Q2182" s="16">
        <f t="shared" ref="Q2182:X2182" si="34">SUM(Q4:Q2181)</f>
        <v>0</v>
      </c>
      <c r="R2182" s="16">
        <f t="shared" si="34"/>
        <v>0</v>
      </c>
      <c r="S2182" s="16">
        <f t="shared" si="34"/>
        <v>27731.000000000051</v>
      </c>
      <c r="T2182" s="16">
        <f t="shared" si="34"/>
        <v>40800.000000000051</v>
      </c>
      <c r="U2182" s="16">
        <f t="shared" si="34"/>
        <v>21082.999999999953</v>
      </c>
      <c r="V2182" s="16">
        <f t="shared" si="34"/>
        <v>2913.000000000005</v>
      </c>
      <c r="W2182" s="16">
        <f t="shared" si="34"/>
        <v>419.00000000000017</v>
      </c>
      <c r="X2182" s="16">
        <f t="shared" si="34"/>
        <v>53.000000000000064</v>
      </c>
      <c r="Y2182" s="16">
        <f>SUM(Y4:Y2181)</f>
        <v>92999.000000000306</v>
      </c>
    </row>
    <row r="2183" spans="16:25" x14ac:dyDescent="0.25">
      <c r="P2183" s="15"/>
      <c r="Q2183" s="17">
        <f>data_redis_illX!E1988</f>
        <v>0</v>
      </c>
      <c r="R2183" s="17">
        <f>data_redis_illX!F1988</f>
        <v>0</v>
      </c>
      <c r="S2183" s="17">
        <f>data_redis_illX!G1988</f>
        <v>27730.999999999964</v>
      </c>
      <c r="T2183" s="17">
        <f>data_redis_illX!H1988</f>
        <v>40799.999999999971</v>
      </c>
      <c r="U2183" s="17">
        <f>data_redis_illX!I1988</f>
        <v>21082.999999999985</v>
      </c>
      <c r="V2183" s="17">
        <f>data_redis_illX!J1988</f>
        <v>2913.0000000000009</v>
      </c>
      <c r="W2183" s="17">
        <f>data_redis_illX!K1988</f>
        <v>419</v>
      </c>
      <c r="X2183" s="17">
        <f>data_redis_illX!L1988</f>
        <v>53.000000000000007</v>
      </c>
      <c r="Y2183" s="18">
        <f>data_redis_illX!M1988</f>
        <v>92998.999999999927</v>
      </c>
    </row>
    <row r="2184" spans="16:25" x14ac:dyDescent="0.25">
      <c r="P2184" s="15"/>
      <c r="Q2184" s="19"/>
      <c r="R2184" s="19"/>
      <c r="S2184" s="19"/>
      <c r="T2184" s="19"/>
      <c r="U2184" s="19"/>
      <c r="V2184" s="19"/>
      <c r="W2184" s="19"/>
      <c r="X2184" s="19"/>
      <c r="Y2184" s="1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997"/>
  <sheetViews>
    <sheetView zoomScale="90" zoomScaleNormal="90" workbookViewId="0">
      <pane xSplit="4" ySplit="2" topLeftCell="E1965" activePane="bottomRight" state="frozen"/>
      <selection pane="topRight" activeCell="E1" sqref="E1"/>
      <selection pane="bottomLeft" activeCell="A3" sqref="A3"/>
      <selection pane="bottomRight" activeCell="G1990" sqref="G1990"/>
    </sheetView>
  </sheetViews>
  <sheetFormatPr defaultRowHeight="15" x14ac:dyDescent="0.25"/>
  <cols>
    <col min="1" max="1" width="8.42578125" customWidth="1"/>
    <col min="2" max="2" width="12.85546875" customWidth="1"/>
    <col min="3" max="3" width="8.42578125" customWidth="1"/>
    <col min="4" max="4" width="7.140625" customWidth="1"/>
    <col min="5" max="5" width="6" style="32" customWidth="1"/>
    <col min="6" max="6" width="5.5703125" style="32" customWidth="1"/>
    <col min="7" max="8" width="6.7109375" style="32" bestFit="1" customWidth="1"/>
    <col min="9" max="9" width="7.7109375" style="32" bestFit="1" customWidth="1"/>
    <col min="10" max="10" width="7.140625" style="32" bestFit="1" customWidth="1"/>
    <col min="11" max="11" width="6.7109375" style="32" bestFit="1" customWidth="1"/>
    <col min="12" max="12" width="7" style="32" customWidth="1"/>
    <col min="13" max="13" width="11.42578125" style="32" bestFit="1" customWidth="1"/>
    <col min="14" max="14" width="8.140625" customWidth="1"/>
    <col min="15" max="15" width="5.28515625" style="34" customWidth="1"/>
    <col min="16" max="16" width="8.42578125" customWidth="1"/>
    <col min="17" max="17" width="11.140625" customWidth="1"/>
    <col min="18" max="18" width="8.42578125" customWidth="1"/>
    <col min="19" max="19" width="7.140625" customWidth="1"/>
    <col min="20" max="20" width="6" customWidth="1"/>
    <col min="21" max="21" width="5.5703125" customWidth="1"/>
    <col min="22" max="23" width="6.7109375" bestFit="1" customWidth="1"/>
    <col min="24" max="24" width="7.7109375" bestFit="1" customWidth="1"/>
    <col min="25" max="25" width="7.140625" bestFit="1" customWidth="1"/>
    <col min="26" max="26" width="6.7109375" bestFit="1" customWidth="1"/>
    <col min="27" max="27" width="7" customWidth="1"/>
    <col min="28" max="28" width="11.42578125" bestFit="1" customWidth="1"/>
    <col min="29" max="29" width="6.42578125" customWidth="1"/>
    <col min="30" max="30" width="6.7109375" customWidth="1"/>
    <col min="33" max="33" width="6.42578125" customWidth="1"/>
    <col min="35" max="35" width="5.5703125" customWidth="1"/>
    <col min="36" max="39" width="6.42578125" bestFit="1" customWidth="1"/>
    <col min="40" max="40" width="7" bestFit="1" customWidth="1"/>
    <col min="41" max="42" width="6.42578125" bestFit="1" customWidth="1"/>
    <col min="43" max="43" width="10.42578125" bestFit="1" customWidth="1"/>
    <col min="47" max="47" width="6.42578125" customWidth="1"/>
    <col min="49" max="49" width="5.5703125" customWidth="1"/>
    <col min="50" max="50" width="5.140625" bestFit="1" customWidth="1"/>
    <col min="51" max="53" width="6.140625" bestFit="1" customWidth="1"/>
    <col min="54" max="54" width="6.7109375" bestFit="1" customWidth="1"/>
    <col min="55" max="55" width="6.140625" bestFit="1" customWidth="1"/>
    <col min="56" max="56" width="4.85546875" bestFit="1" customWidth="1"/>
    <col min="57" max="57" width="10.42578125" bestFit="1" customWidth="1"/>
    <col min="72" max="72" width="10" customWidth="1"/>
  </cols>
  <sheetData>
    <row r="1" spans="1:86" x14ac:dyDescent="0.25">
      <c r="A1" s="4" t="s">
        <v>141</v>
      </c>
      <c r="B1" s="4"/>
      <c r="D1" s="2"/>
      <c r="E1" s="15" t="s">
        <v>57</v>
      </c>
      <c r="F1" s="15"/>
      <c r="G1" s="15"/>
      <c r="H1" s="15"/>
      <c r="I1" s="15"/>
      <c r="J1" s="15"/>
      <c r="K1" s="15"/>
      <c r="L1" s="15"/>
      <c r="P1" s="37" t="s">
        <v>144</v>
      </c>
      <c r="Q1" s="37"/>
      <c r="R1" s="37"/>
      <c r="S1" s="2"/>
      <c r="T1" s="2" t="s">
        <v>57</v>
      </c>
      <c r="U1" s="2"/>
      <c r="V1" s="2"/>
      <c r="W1" s="2"/>
      <c r="X1" s="2"/>
      <c r="Y1" s="2"/>
      <c r="Z1" s="2"/>
      <c r="AA1" s="2"/>
      <c r="AE1" s="23" t="s">
        <v>140</v>
      </c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S1" s="24" t="s">
        <v>142</v>
      </c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6" x14ac:dyDescent="0.25">
      <c r="A2" t="s">
        <v>1</v>
      </c>
      <c r="B2" t="s">
        <v>55</v>
      </c>
      <c r="C2" t="s">
        <v>2</v>
      </c>
      <c r="D2" s="2" t="s">
        <v>3</v>
      </c>
      <c r="E2" s="15" t="s">
        <v>62</v>
      </c>
      <c r="F2" s="15" t="s">
        <v>63</v>
      </c>
      <c r="G2" s="15" t="s">
        <v>64</v>
      </c>
      <c r="H2" s="15" t="s">
        <v>65</v>
      </c>
      <c r="I2" s="15" t="s">
        <v>66</v>
      </c>
      <c r="J2" s="15" t="s">
        <v>67</v>
      </c>
      <c r="K2" s="15" t="s">
        <v>68</v>
      </c>
      <c r="L2" s="15" t="s">
        <v>69</v>
      </c>
      <c r="M2" s="32" t="s">
        <v>56</v>
      </c>
      <c r="P2" t="s">
        <v>1</v>
      </c>
      <c r="Q2" t="s">
        <v>55</v>
      </c>
      <c r="R2" t="s">
        <v>2</v>
      </c>
      <c r="S2" s="2" t="s">
        <v>3</v>
      </c>
      <c r="T2" s="2" t="s">
        <v>62</v>
      </c>
      <c r="U2" s="2" t="s">
        <v>63</v>
      </c>
      <c r="V2" s="2" t="s">
        <v>64</v>
      </c>
      <c r="W2" s="2" t="s">
        <v>65</v>
      </c>
      <c r="X2" s="2" t="s">
        <v>66</v>
      </c>
      <c r="Y2" s="2" t="s">
        <v>67</v>
      </c>
      <c r="Z2" s="2" t="s">
        <v>68</v>
      </c>
      <c r="AA2" s="2" t="s">
        <v>69</v>
      </c>
      <c r="AB2" t="s">
        <v>56</v>
      </c>
      <c r="AE2" t="s">
        <v>1</v>
      </c>
      <c r="AF2" t="s">
        <v>55</v>
      </c>
      <c r="AG2" t="s">
        <v>2</v>
      </c>
      <c r="AH2" s="2" t="s">
        <v>3</v>
      </c>
      <c r="AI2" s="2" t="s">
        <v>62</v>
      </c>
      <c r="AJ2" s="2" t="s">
        <v>63</v>
      </c>
      <c r="AK2" s="2" t="s">
        <v>64</v>
      </c>
      <c r="AL2" s="2" t="s">
        <v>65</v>
      </c>
      <c r="AM2" s="2" t="s">
        <v>66</v>
      </c>
      <c r="AN2" s="2" t="s">
        <v>67</v>
      </c>
      <c r="AO2" s="2" t="s">
        <v>68</v>
      </c>
      <c r="AP2" s="2" t="s">
        <v>69</v>
      </c>
      <c r="AQ2" t="s">
        <v>56</v>
      </c>
      <c r="AS2" t="s">
        <v>1</v>
      </c>
      <c r="AT2" t="s">
        <v>55</v>
      </c>
      <c r="AU2" t="s">
        <v>2</v>
      </c>
      <c r="AV2" s="2" t="s">
        <v>3</v>
      </c>
      <c r="AW2" s="2" t="s">
        <v>62</v>
      </c>
      <c r="AX2" s="2" t="s">
        <v>63</v>
      </c>
      <c r="AY2" s="2" t="s">
        <v>64</v>
      </c>
      <c r="AZ2" s="2" t="s">
        <v>65</v>
      </c>
      <c r="BA2" s="2" t="s">
        <v>66</v>
      </c>
      <c r="BB2" s="2" t="s">
        <v>67</v>
      </c>
      <c r="BC2" s="2" t="s">
        <v>68</v>
      </c>
      <c r="BD2" s="2" t="s">
        <v>69</v>
      </c>
      <c r="BE2" t="s">
        <v>56</v>
      </c>
      <c r="BH2" t="s">
        <v>1</v>
      </c>
      <c r="BI2" t="s">
        <v>55</v>
      </c>
      <c r="BJ2" t="s">
        <v>2</v>
      </c>
      <c r="BK2" s="2" t="s">
        <v>3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t="s">
        <v>56</v>
      </c>
      <c r="BV2" t="s">
        <v>1</v>
      </c>
      <c r="BW2" t="s">
        <v>55</v>
      </c>
      <c r="BX2" t="s">
        <v>2</v>
      </c>
      <c r="BY2" s="2" t="s">
        <v>3</v>
      </c>
      <c r="BZ2" s="2" t="s">
        <v>62</v>
      </c>
      <c r="CA2" s="2" t="s">
        <v>63</v>
      </c>
      <c r="CB2" s="2" t="s">
        <v>64</v>
      </c>
      <c r="CC2" s="2" t="s">
        <v>65</v>
      </c>
      <c r="CD2" s="2" t="s">
        <v>66</v>
      </c>
      <c r="CE2" s="2" t="s">
        <v>67</v>
      </c>
      <c r="CF2" s="2" t="s">
        <v>68</v>
      </c>
      <c r="CG2" s="2" t="s">
        <v>69</v>
      </c>
      <c r="CH2" t="s">
        <v>56</v>
      </c>
    </row>
    <row r="3" spans="1:86" x14ac:dyDescent="0.25">
      <c r="A3" s="23" t="s">
        <v>104</v>
      </c>
      <c r="B3" s="23" t="s">
        <v>103</v>
      </c>
      <c r="C3" s="23" t="s">
        <v>105</v>
      </c>
      <c r="D3" t="s">
        <v>70</v>
      </c>
      <c r="E3" s="35">
        <f>T3+IFERROR((T3/SUM(T$3:T$992)*AI$630),0)</f>
        <v>0</v>
      </c>
      <c r="F3" s="35">
        <f t="shared" ref="F3:L3" si="0">U3+IFERROR((U3/SUM(U$3:U$992)*AJ$630),0)</f>
        <v>0</v>
      </c>
      <c r="G3" s="35">
        <f t="shared" si="0"/>
        <v>0</v>
      </c>
      <c r="H3" s="35">
        <f t="shared" si="0"/>
        <v>0</v>
      </c>
      <c r="I3" s="35">
        <f t="shared" si="0"/>
        <v>0</v>
      </c>
      <c r="J3" s="35">
        <f t="shared" si="0"/>
        <v>0</v>
      </c>
      <c r="K3" s="35">
        <f t="shared" si="0"/>
        <v>0</v>
      </c>
      <c r="L3" s="35">
        <f t="shared" si="0"/>
        <v>0</v>
      </c>
      <c r="M3" s="35">
        <f>SUM(E3:L3)</f>
        <v>0</v>
      </c>
      <c r="P3" t="s">
        <v>104</v>
      </c>
      <c r="Q3" t="s">
        <v>103</v>
      </c>
      <c r="R3" t="s">
        <v>105</v>
      </c>
      <c r="S3" t="s">
        <v>70</v>
      </c>
      <c r="T3" s="5">
        <f>data_origin!T37</f>
        <v>0</v>
      </c>
      <c r="U3" s="5">
        <f>data_origin!U37</f>
        <v>0</v>
      </c>
      <c r="V3" s="5">
        <f>data_origin!V37</f>
        <v>0</v>
      </c>
      <c r="W3" s="5">
        <f>data_origin!W37</f>
        <v>0</v>
      </c>
      <c r="X3" s="5">
        <f>data_origin!X37</f>
        <v>0</v>
      </c>
      <c r="Y3" s="5">
        <f>data_origin!Y37</f>
        <v>0</v>
      </c>
      <c r="Z3" s="5">
        <f>data_origin!Z37</f>
        <v>0</v>
      </c>
      <c r="AA3" s="5">
        <f>data_origin!AA37</f>
        <v>0</v>
      </c>
      <c r="AB3" s="5">
        <f t="shared" ref="AB3:AB33" si="1">SUM(T3:AA3)</f>
        <v>0</v>
      </c>
      <c r="AE3" t="s">
        <v>104</v>
      </c>
      <c r="AF3" t="s">
        <v>103</v>
      </c>
      <c r="AG3" s="28" t="s">
        <v>132</v>
      </c>
      <c r="AH3" t="s">
        <v>70</v>
      </c>
      <c r="AI3" s="5">
        <f>data_origin!T2250</f>
        <v>0</v>
      </c>
      <c r="AJ3" s="5">
        <f>data_origin!U2250</f>
        <v>0</v>
      </c>
      <c r="AK3" s="5">
        <f>data_origin!V2250</f>
        <v>0</v>
      </c>
      <c r="AL3" s="5">
        <f>data_origin!W2250</f>
        <v>0</v>
      </c>
      <c r="AM3" s="5">
        <f>data_origin!X2250</f>
        <v>0</v>
      </c>
      <c r="AN3" s="5">
        <f>data_origin!Y2250</f>
        <v>0</v>
      </c>
      <c r="AO3" s="5">
        <f>data_origin!Z2250</f>
        <v>0</v>
      </c>
      <c r="AP3" s="5">
        <f>data_origin!AA2250</f>
        <v>0</v>
      </c>
      <c r="AQ3" s="9">
        <f>SUM(AI3:AP3)</f>
        <v>0</v>
      </c>
      <c r="AS3" t="s">
        <v>115</v>
      </c>
      <c r="AT3" t="s">
        <v>103</v>
      </c>
      <c r="AU3" s="28" t="s">
        <v>132</v>
      </c>
      <c r="AV3" t="s">
        <v>70</v>
      </c>
      <c r="AW3" s="5">
        <f>data_origin!T2964</f>
        <v>0</v>
      </c>
      <c r="AX3" s="5">
        <f>data_origin!U2964</f>
        <v>0</v>
      </c>
      <c r="AY3" s="5">
        <f>data_origin!V2964</f>
        <v>0</v>
      </c>
      <c r="AZ3" s="5">
        <f>data_origin!W2964</f>
        <v>0</v>
      </c>
      <c r="BA3" s="5">
        <f>data_origin!X2964</f>
        <v>0</v>
      </c>
      <c r="BB3" s="5">
        <f>data_origin!Y2964</f>
        <v>0</v>
      </c>
      <c r="BC3" s="5">
        <f>data_origin!Z2964</f>
        <v>0</v>
      </c>
      <c r="BD3" s="5">
        <f>data_origin!AA2964</f>
        <v>0</v>
      </c>
      <c r="BE3" s="9">
        <f>SUM(AW3:BD3)</f>
        <v>0</v>
      </c>
      <c r="BH3" s="29" t="s">
        <v>104</v>
      </c>
      <c r="BI3" s="29" t="s">
        <v>143</v>
      </c>
      <c r="BJ3" s="29" t="s">
        <v>102</v>
      </c>
      <c r="BK3" s="29" t="s">
        <v>70</v>
      </c>
      <c r="BL3" s="30">
        <f>data_origin!T3+data_origin!T377+data_origin!T751</f>
        <v>0</v>
      </c>
      <c r="BM3" s="30">
        <f>data_origin!U3+data_origin!U377+data_origin!U751</f>
        <v>0</v>
      </c>
      <c r="BN3" s="30">
        <f>data_origin!V3+data_origin!V377+data_origin!V751</f>
        <v>0</v>
      </c>
      <c r="BO3" s="30">
        <f>data_origin!W3+data_origin!W377+data_origin!W751</f>
        <v>0</v>
      </c>
      <c r="BP3" s="30">
        <f>data_origin!X3+data_origin!X377+data_origin!X751</f>
        <v>0</v>
      </c>
      <c r="BQ3" s="30">
        <f>data_origin!Y3+data_origin!Y377+data_origin!Y751</f>
        <v>0</v>
      </c>
      <c r="BR3" s="30">
        <f>data_origin!Z3+data_origin!Z377+data_origin!Z751</f>
        <v>0</v>
      </c>
      <c r="BS3" s="30">
        <f>data_origin!AA3+data_origin!AA377+data_origin!AA751</f>
        <v>0</v>
      </c>
      <c r="BT3" s="9">
        <f t="shared" ref="BT3:BT35" si="2">SUM(BL3:BS3)</f>
        <v>0</v>
      </c>
      <c r="BV3" s="29" t="s">
        <v>115</v>
      </c>
      <c r="BW3" s="29" t="s">
        <v>143</v>
      </c>
      <c r="BX3" s="29" t="s">
        <v>102</v>
      </c>
      <c r="BY3" s="29" t="s">
        <v>70</v>
      </c>
      <c r="BZ3" s="30">
        <f>data_origin!T1125+data_origin!T1499+data_origin!T1873</f>
        <v>0</v>
      </c>
      <c r="CA3" s="30">
        <f>data_origin!U1125+data_origin!U1499+data_origin!U1873</f>
        <v>0</v>
      </c>
      <c r="CB3" s="30">
        <f>data_origin!V1125+data_origin!V1499+data_origin!V1873</f>
        <v>0</v>
      </c>
      <c r="CC3" s="30">
        <f>data_origin!W1125+data_origin!W1499+data_origin!W1873</f>
        <v>0</v>
      </c>
      <c r="CD3" s="30">
        <f>data_origin!X1125+data_origin!X1499+data_origin!X1873</f>
        <v>0</v>
      </c>
      <c r="CE3" s="30">
        <f>data_origin!Y1125+data_origin!Y1499+data_origin!Y1873</f>
        <v>0</v>
      </c>
      <c r="CF3" s="30">
        <f>data_origin!Z1125+data_origin!Z1499+data_origin!Z1873</f>
        <v>0</v>
      </c>
      <c r="CG3" s="30">
        <f>data_origin!AA1125+data_origin!AA1499+data_origin!AA1873</f>
        <v>0</v>
      </c>
      <c r="CH3" s="9">
        <f t="shared" ref="CH3:CH35" si="3">SUM(BZ3:CG3)</f>
        <v>0</v>
      </c>
    </row>
    <row r="4" spans="1:86" x14ac:dyDescent="0.25">
      <c r="D4" t="s">
        <v>71</v>
      </c>
      <c r="E4" s="35">
        <f t="shared" ref="E4:L35" si="4">T4+IFERROR((T4/SUM(T$3:T$992)*AI$630),0)</f>
        <v>0</v>
      </c>
      <c r="F4" s="35">
        <f t="shared" si="4"/>
        <v>0</v>
      </c>
      <c r="G4" s="35">
        <f t="shared" si="4"/>
        <v>1.152977392977393</v>
      </c>
      <c r="H4" s="35">
        <f t="shared" si="4"/>
        <v>0</v>
      </c>
      <c r="I4" s="35">
        <f t="shared" si="4"/>
        <v>0</v>
      </c>
      <c r="J4" s="35">
        <f t="shared" si="4"/>
        <v>0</v>
      </c>
      <c r="K4" s="35">
        <f t="shared" si="4"/>
        <v>0</v>
      </c>
      <c r="L4" s="35">
        <f t="shared" si="4"/>
        <v>0</v>
      </c>
      <c r="M4" s="35">
        <f t="shared" ref="M4:M66" si="5">SUM(E4:L4)</f>
        <v>1.152977392977393</v>
      </c>
      <c r="S4" t="s">
        <v>71</v>
      </c>
      <c r="T4" s="5">
        <f>data_origin!T38</f>
        <v>0</v>
      </c>
      <c r="U4" s="5">
        <f>data_origin!U38</f>
        <v>0</v>
      </c>
      <c r="V4" s="5">
        <f>data_origin!V38</f>
        <v>1.1515151515151516</v>
      </c>
      <c r="W4" s="5">
        <f>data_origin!W38</f>
        <v>0</v>
      </c>
      <c r="X4" s="5">
        <f>data_origin!X38</f>
        <v>0</v>
      </c>
      <c r="Y4" s="5">
        <f>data_origin!Y38</f>
        <v>0</v>
      </c>
      <c r="Z4" s="5">
        <f>data_origin!Z38</f>
        <v>0</v>
      </c>
      <c r="AA4" s="5">
        <f>data_origin!AA38</f>
        <v>0</v>
      </c>
      <c r="AB4" s="5">
        <f t="shared" si="1"/>
        <v>1.1515151515151516</v>
      </c>
      <c r="AH4" t="s">
        <v>71</v>
      </c>
      <c r="AI4" s="5">
        <f>data_origin!T2251</f>
        <v>0</v>
      </c>
      <c r="AJ4" s="5">
        <f>data_origin!U2251</f>
        <v>0</v>
      </c>
      <c r="AK4" s="5">
        <f>data_origin!V2251</f>
        <v>0</v>
      </c>
      <c r="AL4" s="5">
        <f>data_origin!W2251</f>
        <v>0</v>
      </c>
      <c r="AM4" s="5">
        <f>data_origin!X2251</f>
        <v>0</v>
      </c>
      <c r="AN4" s="5">
        <f>data_origin!Y2251</f>
        <v>0</v>
      </c>
      <c r="AO4" s="5">
        <f>data_origin!Z2251</f>
        <v>0</v>
      </c>
      <c r="AP4" s="5">
        <f>data_origin!AA2251</f>
        <v>0</v>
      </c>
      <c r="AQ4" s="9">
        <f t="shared" ref="AQ4:AQ34" si="6">SUM(AI4:AP4)</f>
        <v>0</v>
      </c>
      <c r="AV4" t="s">
        <v>71</v>
      </c>
      <c r="AW4" s="5">
        <f>data_origin!T2965</f>
        <v>0</v>
      </c>
      <c r="AX4" s="5">
        <f>data_origin!U2965</f>
        <v>0</v>
      </c>
      <c r="AY4" s="5">
        <f>data_origin!V2965</f>
        <v>0</v>
      </c>
      <c r="AZ4" s="5">
        <f>data_origin!W2965</f>
        <v>0</v>
      </c>
      <c r="BA4" s="5">
        <f>data_origin!X2965</f>
        <v>0</v>
      </c>
      <c r="BB4" s="5">
        <f>data_origin!Y2965</f>
        <v>0</v>
      </c>
      <c r="BC4" s="5">
        <f>data_origin!Z2965</f>
        <v>0</v>
      </c>
      <c r="BD4" s="5">
        <f>data_origin!AA2965</f>
        <v>0</v>
      </c>
      <c r="BE4" s="9">
        <f t="shared" ref="BE4:BE26" si="7">SUM(AW4:BD4)</f>
        <v>0</v>
      </c>
      <c r="BH4" s="33" t="s">
        <v>139</v>
      </c>
      <c r="BI4" s="29"/>
      <c r="BJ4" s="29"/>
      <c r="BK4" s="29" t="s">
        <v>71</v>
      </c>
      <c r="BL4" s="30">
        <f>data_origin!T4+data_origin!T378+data_origin!T752</f>
        <v>0</v>
      </c>
      <c r="BM4" s="30">
        <f>data_origin!U4+data_origin!U378+data_origin!U752</f>
        <v>0</v>
      </c>
      <c r="BN4" s="30">
        <f>data_origin!V4+data_origin!V378+data_origin!V752</f>
        <v>0</v>
      </c>
      <c r="BO4" s="30">
        <f>data_origin!W4+data_origin!W378+data_origin!W752</f>
        <v>0</v>
      </c>
      <c r="BP4" s="30">
        <f>data_origin!X4+data_origin!X378+data_origin!X752</f>
        <v>0</v>
      </c>
      <c r="BQ4" s="30">
        <f>data_origin!Y4+data_origin!Y378+data_origin!Y752</f>
        <v>0</v>
      </c>
      <c r="BR4" s="30">
        <f>data_origin!Z4+data_origin!Z378+data_origin!Z752</f>
        <v>0</v>
      </c>
      <c r="BS4" s="30">
        <f>data_origin!AA4+data_origin!AA378+data_origin!AA752</f>
        <v>0</v>
      </c>
      <c r="BT4" s="9">
        <f t="shared" si="2"/>
        <v>0</v>
      </c>
      <c r="BV4" s="33" t="s">
        <v>139</v>
      </c>
      <c r="BW4" s="29"/>
      <c r="BX4" s="29"/>
      <c r="BY4" s="29" t="s">
        <v>71</v>
      </c>
      <c r="BZ4" s="30">
        <f>data_origin!T1126+data_origin!T1500+data_origin!T1874</f>
        <v>0</v>
      </c>
      <c r="CA4" s="30">
        <f>data_origin!U1126+data_origin!U1500+data_origin!U1874</f>
        <v>0</v>
      </c>
      <c r="CB4" s="30">
        <f>data_origin!V1126+data_origin!V1500+data_origin!V1874</f>
        <v>0</v>
      </c>
      <c r="CC4" s="30">
        <f>data_origin!W1126+data_origin!W1500+data_origin!W1874</f>
        <v>0</v>
      </c>
      <c r="CD4" s="30">
        <f>data_origin!X1126+data_origin!X1500+data_origin!X1874</f>
        <v>0</v>
      </c>
      <c r="CE4" s="30">
        <f>data_origin!Y1126+data_origin!Y1500+data_origin!Y1874</f>
        <v>0</v>
      </c>
      <c r="CF4" s="30">
        <f>data_origin!Z1126+data_origin!Z1500+data_origin!Z1874</f>
        <v>0</v>
      </c>
      <c r="CG4" s="30">
        <f>data_origin!AA1126+data_origin!AA1500+data_origin!AA1874</f>
        <v>0</v>
      </c>
      <c r="CH4" s="9">
        <f t="shared" si="3"/>
        <v>0</v>
      </c>
    </row>
    <row r="5" spans="1:86" x14ac:dyDescent="0.25">
      <c r="D5" t="s">
        <v>72</v>
      </c>
      <c r="E5" s="35">
        <f t="shared" si="4"/>
        <v>0</v>
      </c>
      <c r="F5" s="35">
        <f t="shared" si="4"/>
        <v>0</v>
      </c>
      <c r="G5" s="35">
        <f t="shared" si="4"/>
        <v>0</v>
      </c>
      <c r="H5" s="35">
        <f t="shared" si="4"/>
        <v>1.159300592885792</v>
      </c>
      <c r="I5" s="35">
        <f t="shared" si="4"/>
        <v>0</v>
      </c>
      <c r="J5" s="35">
        <f t="shared" si="4"/>
        <v>0</v>
      </c>
      <c r="K5" s="35">
        <f t="shared" si="4"/>
        <v>0</v>
      </c>
      <c r="L5" s="35">
        <f t="shared" si="4"/>
        <v>0</v>
      </c>
      <c r="M5" s="35">
        <f t="shared" si="5"/>
        <v>1.159300592885792</v>
      </c>
      <c r="S5" t="s">
        <v>72</v>
      </c>
      <c r="T5" s="5">
        <f>data_origin!T39</f>
        <v>0</v>
      </c>
      <c r="U5" s="5">
        <f>data_origin!U39</f>
        <v>0</v>
      </c>
      <c r="V5" s="5">
        <f>data_origin!V39</f>
        <v>0</v>
      </c>
      <c r="W5" s="5">
        <f>data_origin!W39</f>
        <v>1.1573033707865168</v>
      </c>
      <c r="X5" s="5">
        <f>data_origin!X39</f>
        <v>0</v>
      </c>
      <c r="Y5" s="5">
        <f>data_origin!Y39</f>
        <v>0</v>
      </c>
      <c r="Z5" s="5">
        <f>data_origin!Z39</f>
        <v>0</v>
      </c>
      <c r="AA5" s="5">
        <f>data_origin!AA39</f>
        <v>0</v>
      </c>
      <c r="AB5" s="5">
        <f t="shared" si="1"/>
        <v>1.1573033707865168</v>
      </c>
      <c r="AH5" t="s">
        <v>72</v>
      </c>
      <c r="AI5" s="5">
        <f>data_origin!T2252</f>
        <v>0</v>
      </c>
      <c r="AJ5" s="5">
        <f>data_origin!U2252</f>
        <v>0</v>
      </c>
      <c r="AK5" s="5">
        <f>data_origin!V2252</f>
        <v>0</v>
      </c>
      <c r="AL5" s="5">
        <f>data_origin!W2252</f>
        <v>0</v>
      </c>
      <c r="AM5" s="5">
        <f>data_origin!X2252</f>
        <v>0</v>
      </c>
      <c r="AN5" s="5">
        <f>data_origin!Y2252</f>
        <v>0</v>
      </c>
      <c r="AO5" s="5">
        <f>data_origin!Z2252</f>
        <v>0</v>
      </c>
      <c r="AP5" s="5">
        <f>data_origin!AA2252</f>
        <v>0</v>
      </c>
      <c r="AQ5" s="9">
        <f t="shared" si="6"/>
        <v>0</v>
      </c>
      <c r="AV5" t="s">
        <v>72</v>
      </c>
      <c r="AW5" s="5">
        <f>data_origin!T2966</f>
        <v>0</v>
      </c>
      <c r="AX5" s="5">
        <f>data_origin!U2966</f>
        <v>0</v>
      </c>
      <c r="AY5" s="5">
        <f>data_origin!V2966</f>
        <v>0</v>
      </c>
      <c r="AZ5" s="5">
        <f>data_origin!W2966</f>
        <v>0</v>
      </c>
      <c r="BA5" s="5">
        <f>data_origin!X2966</f>
        <v>0</v>
      </c>
      <c r="BB5" s="5">
        <f>data_origin!Y2966</f>
        <v>0</v>
      </c>
      <c r="BC5" s="5">
        <f>data_origin!Z2966</f>
        <v>0</v>
      </c>
      <c r="BD5" s="5">
        <f>data_origin!AA2966</f>
        <v>0</v>
      </c>
      <c r="BE5" s="9">
        <f t="shared" si="7"/>
        <v>0</v>
      </c>
      <c r="BH5" s="29"/>
      <c r="BI5" s="29"/>
      <c r="BJ5" s="29"/>
      <c r="BK5" s="29" t="s">
        <v>72</v>
      </c>
      <c r="BL5" s="30">
        <f>data_origin!T5+data_origin!T379+data_origin!T753</f>
        <v>0</v>
      </c>
      <c r="BM5" s="30">
        <f>data_origin!U5+data_origin!U379+data_origin!U753</f>
        <v>0</v>
      </c>
      <c r="BN5" s="30">
        <f>data_origin!V5+data_origin!V379+data_origin!V753</f>
        <v>0</v>
      </c>
      <c r="BO5" s="30">
        <f>data_origin!W5+data_origin!W379+data_origin!W753</f>
        <v>0</v>
      </c>
      <c r="BP5" s="30">
        <f>data_origin!X5+data_origin!X379+data_origin!X753</f>
        <v>0</v>
      </c>
      <c r="BQ5" s="30">
        <f>data_origin!Y5+data_origin!Y379+data_origin!Y753</f>
        <v>0</v>
      </c>
      <c r="BR5" s="30">
        <f>data_origin!Z5+data_origin!Z379+data_origin!Z753</f>
        <v>0</v>
      </c>
      <c r="BS5" s="30">
        <f>data_origin!AA5+data_origin!AA379+data_origin!AA753</f>
        <v>0</v>
      </c>
      <c r="BT5" s="9">
        <f t="shared" si="2"/>
        <v>0</v>
      </c>
      <c r="BV5" s="29"/>
      <c r="BW5" s="29"/>
      <c r="BX5" s="29"/>
      <c r="BY5" s="29" t="s">
        <v>72</v>
      </c>
      <c r="BZ5" s="30">
        <f>data_origin!T1127+data_origin!T1501+data_origin!T1875</f>
        <v>0</v>
      </c>
      <c r="CA5" s="30">
        <f>data_origin!U1127+data_origin!U1501+data_origin!U1875</f>
        <v>0</v>
      </c>
      <c r="CB5" s="30">
        <f>data_origin!V1127+data_origin!V1501+data_origin!V1875</f>
        <v>0</v>
      </c>
      <c r="CC5" s="30">
        <f>data_origin!W1127+data_origin!W1501+data_origin!W1875</f>
        <v>0</v>
      </c>
      <c r="CD5" s="30">
        <f>data_origin!X1127+data_origin!X1501+data_origin!X1875</f>
        <v>0</v>
      </c>
      <c r="CE5" s="30">
        <f>data_origin!Y1127+data_origin!Y1501+data_origin!Y1875</f>
        <v>0</v>
      </c>
      <c r="CF5" s="30">
        <f>data_origin!Z1127+data_origin!Z1501+data_origin!Z1875</f>
        <v>0</v>
      </c>
      <c r="CG5" s="30">
        <f>data_origin!AA1127+data_origin!AA1501+data_origin!AA1875</f>
        <v>0</v>
      </c>
      <c r="CH5" s="9">
        <f t="shared" si="3"/>
        <v>0</v>
      </c>
    </row>
    <row r="6" spans="1:86" x14ac:dyDescent="0.25">
      <c r="D6" t="s">
        <v>73</v>
      </c>
      <c r="E6" s="35">
        <f t="shared" si="4"/>
        <v>0</v>
      </c>
      <c r="F6" s="35">
        <f t="shared" si="4"/>
        <v>0</v>
      </c>
      <c r="G6" s="35">
        <f t="shared" si="4"/>
        <v>0</v>
      </c>
      <c r="H6" s="35">
        <f t="shared" si="4"/>
        <v>0</v>
      </c>
      <c r="I6" s="35">
        <f t="shared" si="4"/>
        <v>0</v>
      </c>
      <c r="J6" s="35">
        <f t="shared" si="4"/>
        <v>0</v>
      </c>
      <c r="K6" s="35">
        <f t="shared" si="4"/>
        <v>0</v>
      </c>
      <c r="L6" s="35">
        <f t="shared" si="4"/>
        <v>0</v>
      </c>
      <c r="M6" s="35">
        <f t="shared" si="5"/>
        <v>0</v>
      </c>
      <c r="S6" t="s">
        <v>73</v>
      </c>
      <c r="T6" s="5">
        <f>data_origin!T40</f>
        <v>0</v>
      </c>
      <c r="U6" s="5">
        <f>data_origin!U40</f>
        <v>0</v>
      </c>
      <c r="V6" s="5">
        <f>data_origin!V40</f>
        <v>0</v>
      </c>
      <c r="W6" s="5">
        <f>data_origin!W40</f>
        <v>0</v>
      </c>
      <c r="X6" s="5">
        <f>data_origin!X40</f>
        <v>0</v>
      </c>
      <c r="Y6" s="5">
        <f>data_origin!Y40</f>
        <v>0</v>
      </c>
      <c r="Z6" s="5">
        <f>data_origin!Z40</f>
        <v>0</v>
      </c>
      <c r="AA6" s="5">
        <f>data_origin!AA40</f>
        <v>0</v>
      </c>
      <c r="AB6" s="5">
        <f t="shared" si="1"/>
        <v>0</v>
      </c>
      <c r="AH6" t="s">
        <v>73</v>
      </c>
      <c r="AI6" s="5">
        <f>data_origin!T2253</f>
        <v>0</v>
      </c>
      <c r="AJ6" s="5">
        <f>data_origin!U2253</f>
        <v>0</v>
      </c>
      <c r="AK6" s="5">
        <f>data_origin!V2253</f>
        <v>0</v>
      </c>
      <c r="AL6" s="5">
        <f>data_origin!W2253</f>
        <v>0</v>
      </c>
      <c r="AM6" s="5">
        <f>data_origin!X2253</f>
        <v>0</v>
      </c>
      <c r="AN6" s="5">
        <f>data_origin!Y2253</f>
        <v>0</v>
      </c>
      <c r="AO6" s="5">
        <f>data_origin!Z2253</f>
        <v>0</v>
      </c>
      <c r="AP6" s="5">
        <f>data_origin!AA2253</f>
        <v>0</v>
      </c>
      <c r="AQ6" s="9">
        <f t="shared" si="6"/>
        <v>0</v>
      </c>
      <c r="AV6" t="s">
        <v>73</v>
      </c>
      <c r="AW6" s="5">
        <f>data_origin!T2967</f>
        <v>0</v>
      </c>
      <c r="AX6" s="5">
        <f>data_origin!U2967</f>
        <v>0</v>
      </c>
      <c r="AY6" s="5">
        <f>data_origin!V2967</f>
        <v>0</v>
      </c>
      <c r="AZ6" s="5">
        <f>data_origin!W2967</f>
        <v>0</v>
      </c>
      <c r="BA6" s="5">
        <f>data_origin!X2967</f>
        <v>0</v>
      </c>
      <c r="BB6" s="5">
        <f>data_origin!Y2967</f>
        <v>0</v>
      </c>
      <c r="BC6" s="5">
        <f>data_origin!Z2967</f>
        <v>0</v>
      </c>
      <c r="BD6" s="5">
        <f>data_origin!AA2967</f>
        <v>0</v>
      </c>
      <c r="BE6" s="9">
        <f t="shared" si="7"/>
        <v>0</v>
      </c>
      <c r="BH6" s="29"/>
      <c r="BI6" s="29"/>
      <c r="BJ6" s="29"/>
      <c r="BK6" s="29" t="s">
        <v>73</v>
      </c>
      <c r="BL6" s="30">
        <f>data_origin!T6+data_origin!T380+data_origin!T754</f>
        <v>0</v>
      </c>
      <c r="BM6" s="30">
        <f>data_origin!U6+data_origin!U380+data_origin!U754</f>
        <v>0</v>
      </c>
      <c r="BN6" s="30">
        <f>data_origin!V6+data_origin!V380+data_origin!V754</f>
        <v>0</v>
      </c>
      <c r="BO6" s="30">
        <f>data_origin!W6+data_origin!W380+data_origin!W754</f>
        <v>0</v>
      </c>
      <c r="BP6" s="30">
        <f>data_origin!X6+data_origin!X380+data_origin!X754</f>
        <v>0</v>
      </c>
      <c r="BQ6" s="30">
        <f>data_origin!Y6+data_origin!Y380+data_origin!Y754</f>
        <v>0</v>
      </c>
      <c r="BR6" s="30">
        <f>data_origin!Z6+data_origin!Z380+data_origin!Z754</f>
        <v>0</v>
      </c>
      <c r="BS6" s="30">
        <f>data_origin!AA6+data_origin!AA380+data_origin!AA754</f>
        <v>0</v>
      </c>
      <c r="BT6" s="9">
        <f t="shared" si="2"/>
        <v>0</v>
      </c>
      <c r="BV6" s="29"/>
      <c r="BW6" s="29"/>
      <c r="BX6" s="29"/>
      <c r="BY6" s="29" t="s">
        <v>73</v>
      </c>
      <c r="BZ6" s="30">
        <f>data_origin!T1128+data_origin!T1502+data_origin!T1876</f>
        <v>0</v>
      </c>
      <c r="CA6" s="30">
        <f>data_origin!U1128+data_origin!U1502+data_origin!U1876</f>
        <v>0</v>
      </c>
      <c r="CB6" s="30">
        <f>data_origin!V1128+data_origin!V1502+data_origin!V1876</f>
        <v>0</v>
      </c>
      <c r="CC6" s="30">
        <f>data_origin!W1128+data_origin!W1502+data_origin!W1876</f>
        <v>0</v>
      </c>
      <c r="CD6" s="30">
        <f>data_origin!X1128+data_origin!X1502+data_origin!X1876</f>
        <v>0</v>
      </c>
      <c r="CE6" s="30">
        <f>data_origin!Y1128+data_origin!Y1502+data_origin!Y1876</f>
        <v>0</v>
      </c>
      <c r="CF6" s="30">
        <f>data_origin!Z1128+data_origin!Z1502+data_origin!Z1876</f>
        <v>0</v>
      </c>
      <c r="CG6" s="30">
        <f>data_origin!AA1128+data_origin!AA1502+data_origin!AA1876</f>
        <v>0</v>
      </c>
      <c r="CH6" s="9">
        <f t="shared" si="3"/>
        <v>0</v>
      </c>
    </row>
    <row r="7" spans="1:86" x14ac:dyDescent="0.25">
      <c r="D7" t="s">
        <v>74</v>
      </c>
      <c r="E7" s="35">
        <f t="shared" si="4"/>
        <v>0</v>
      </c>
      <c r="F7" s="35">
        <f t="shared" si="4"/>
        <v>0</v>
      </c>
      <c r="G7" s="35">
        <f t="shared" si="4"/>
        <v>0</v>
      </c>
      <c r="H7" s="35">
        <f t="shared" si="4"/>
        <v>0</v>
      </c>
      <c r="I7" s="35">
        <f t="shared" si="4"/>
        <v>0</v>
      </c>
      <c r="J7" s="35">
        <f t="shared" si="4"/>
        <v>0</v>
      </c>
      <c r="K7" s="35">
        <f t="shared" si="4"/>
        <v>0</v>
      </c>
      <c r="L7" s="35">
        <f t="shared" si="4"/>
        <v>0</v>
      </c>
      <c r="M7" s="35">
        <f t="shared" si="5"/>
        <v>0</v>
      </c>
      <c r="S7" t="s">
        <v>74</v>
      </c>
      <c r="T7" s="5">
        <f>data_origin!T41</f>
        <v>0</v>
      </c>
      <c r="U7" s="5">
        <f>data_origin!U41</f>
        <v>0</v>
      </c>
      <c r="V7" s="5">
        <f>data_origin!V41</f>
        <v>0</v>
      </c>
      <c r="W7" s="5">
        <f>data_origin!W41</f>
        <v>0</v>
      </c>
      <c r="X7" s="5">
        <f>data_origin!X41</f>
        <v>0</v>
      </c>
      <c r="Y7" s="5">
        <f>data_origin!Y41</f>
        <v>0</v>
      </c>
      <c r="Z7" s="5">
        <f>data_origin!Z41</f>
        <v>0</v>
      </c>
      <c r="AA7" s="5">
        <f>data_origin!AA41</f>
        <v>0</v>
      </c>
      <c r="AB7" s="5">
        <f t="shared" si="1"/>
        <v>0</v>
      </c>
      <c r="AH7" t="s">
        <v>74</v>
      </c>
      <c r="AI7" s="5">
        <f>data_origin!T2254</f>
        <v>0</v>
      </c>
      <c r="AJ7" s="5">
        <f>data_origin!U2254</f>
        <v>0</v>
      </c>
      <c r="AK7" s="5">
        <f>data_origin!V2254</f>
        <v>0</v>
      </c>
      <c r="AL7" s="5">
        <f>data_origin!W2254</f>
        <v>0</v>
      </c>
      <c r="AM7" s="5">
        <f>data_origin!X2254</f>
        <v>0</v>
      </c>
      <c r="AN7" s="5">
        <f>data_origin!Y2254</f>
        <v>0</v>
      </c>
      <c r="AO7" s="5">
        <f>data_origin!Z2254</f>
        <v>0</v>
      </c>
      <c r="AP7" s="5">
        <f>data_origin!AA2254</f>
        <v>0</v>
      </c>
      <c r="AQ7" s="9">
        <f t="shared" si="6"/>
        <v>0</v>
      </c>
      <c r="AV7" t="s">
        <v>74</v>
      </c>
      <c r="AW7" s="5">
        <f>data_origin!T2968</f>
        <v>0</v>
      </c>
      <c r="AX7" s="5">
        <f>data_origin!U2968</f>
        <v>0</v>
      </c>
      <c r="AY7" s="5">
        <f>data_origin!V2968</f>
        <v>0</v>
      </c>
      <c r="AZ7" s="5">
        <f>data_origin!W2968</f>
        <v>0</v>
      </c>
      <c r="BA7" s="5">
        <f>data_origin!X2968</f>
        <v>0</v>
      </c>
      <c r="BB7" s="5">
        <f>data_origin!Y2968</f>
        <v>0</v>
      </c>
      <c r="BC7" s="5">
        <f>data_origin!Z2968</f>
        <v>0</v>
      </c>
      <c r="BD7" s="5">
        <f>data_origin!AA2968</f>
        <v>0</v>
      </c>
      <c r="BE7" s="9">
        <f t="shared" si="7"/>
        <v>0</v>
      </c>
      <c r="BH7" s="29"/>
      <c r="BI7" s="29"/>
      <c r="BJ7" s="29"/>
      <c r="BK7" s="29" t="s">
        <v>74</v>
      </c>
      <c r="BL7" s="30">
        <f>data_origin!T7+data_origin!T381+data_origin!T755</f>
        <v>0</v>
      </c>
      <c r="BM7" s="30">
        <f>data_origin!U7+data_origin!U381+data_origin!U755</f>
        <v>0</v>
      </c>
      <c r="BN7" s="30">
        <f>data_origin!V7+data_origin!V381+data_origin!V755</f>
        <v>0</v>
      </c>
      <c r="BO7" s="30">
        <f>data_origin!W7+data_origin!W381+data_origin!W755</f>
        <v>0</v>
      </c>
      <c r="BP7" s="30">
        <f>data_origin!X7+data_origin!X381+data_origin!X755</f>
        <v>0</v>
      </c>
      <c r="BQ7" s="30">
        <f>data_origin!Y7+data_origin!Y381+data_origin!Y755</f>
        <v>0</v>
      </c>
      <c r="BR7" s="30">
        <f>data_origin!Z7+data_origin!Z381+data_origin!Z755</f>
        <v>0</v>
      </c>
      <c r="BS7" s="30">
        <f>data_origin!AA7+data_origin!AA381+data_origin!AA755</f>
        <v>0</v>
      </c>
      <c r="BT7" s="9">
        <f t="shared" si="2"/>
        <v>0</v>
      </c>
      <c r="BV7" s="29"/>
      <c r="BW7" s="29"/>
      <c r="BX7" s="29"/>
      <c r="BY7" s="29" t="s">
        <v>74</v>
      </c>
      <c r="BZ7" s="30">
        <f>data_origin!T1129+data_origin!T1503+data_origin!T1877</f>
        <v>0</v>
      </c>
      <c r="CA7" s="30">
        <f>data_origin!U1129+data_origin!U1503+data_origin!U1877</f>
        <v>0</v>
      </c>
      <c r="CB7" s="30">
        <f>data_origin!V1129+data_origin!V1503+data_origin!V1877</f>
        <v>0</v>
      </c>
      <c r="CC7" s="30">
        <f>data_origin!W1129+data_origin!W1503+data_origin!W1877</f>
        <v>0</v>
      </c>
      <c r="CD7" s="30">
        <f>data_origin!X1129+data_origin!X1503+data_origin!X1877</f>
        <v>0</v>
      </c>
      <c r="CE7" s="30">
        <f>data_origin!Y1129+data_origin!Y1503+data_origin!Y1877</f>
        <v>0</v>
      </c>
      <c r="CF7" s="30">
        <f>data_origin!Z1129+data_origin!Z1503+data_origin!Z1877</f>
        <v>0</v>
      </c>
      <c r="CG7" s="30">
        <f>data_origin!AA1129+data_origin!AA1503+data_origin!AA1877</f>
        <v>0</v>
      </c>
      <c r="CH7" s="9">
        <f t="shared" si="3"/>
        <v>0</v>
      </c>
    </row>
    <row r="8" spans="1:86" x14ac:dyDescent="0.25">
      <c r="D8" t="s">
        <v>75</v>
      </c>
      <c r="E8" s="35">
        <f t="shared" si="4"/>
        <v>0</v>
      </c>
      <c r="F8" s="35">
        <f t="shared" si="4"/>
        <v>0</v>
      </c>
      <c r="G8" s="35">
        <f t="shared" si="4"/>
        <v>0</v>
      </c>
      <c r="H8" s="35">
        <f t="shared" si="4"/>
        <v>0</v>
      </c>
      <c r="I8" s="35">
        <f t="shared" si="4"/>
        <v>1.1185790755416889</v>
      </c>
      <c r="J8" s="35">
        <f t="shared" si="4"/>
        <v>0</v>
      </c>
      <c r="K8" s="35">
        <f t="shared" si="4"/>
        <v>0</v>
      </c>
      <c r="L8" s="35">
        <f t="shared" si="4"/>
        <v>0</v>
      </c>
      <c r="M8" s="35">
        <f t="shared" si="5"/>
        <v>1.1185790755416889</v>
      </c>
      <c r="S8" t="s">
        <v>75</v>
      </c>
      <c r="T8" s="5">
        <f>data_origin!T42</f>
        <v>0</v>
      </c>
      <c r="U8" s="5">
        <f>data_origin!U42</f>
        <v>0</v>
      </c>
      <c r="V8" s="5">
        <f>data_origin!V42</f>
        <v>0</v>
      </c>
      <c r="W8" s="5">
        <f>data_origin!W42</f>
        <v>0</v>
      </c>
      <c r="X8" s="5">
        <f>data_origin!X42</f>
        <v>1.1153846153846154</v>
      </c>
      <c r="Y8" s="5">
        <f>data_origin!Y42</f>
        <v>0</v>
      </c>
      <c r="Z8" s="5">
        <f>data_origin!Z42</f>
        <v>0</v>
      </c>
      <c r="AA8" s="5">
        <f>data_origin!AA42</f>
        <v>0</v>
      </c>
      <c r="AB8" s="5">
        <f t="shared" si="1"/>
        <v>1.1153846153846154</v>
      </c>
      <c r="AH8" t="s">
        <v>75</v>
      </c>
      <c r="AI8" s="5">
        <f>data_origin!T2255</f>
        <v>0</v>
      </c>
      <c r="AJ8" s="5">
        <f>data_origin!U2255</f>
        <v>0</v>
      </c>
      <c r="AK8" s="5">
        <f>data_origin!V2255</f>
        <v>0</v>
      </c>
      <c r="AL8" s="5">
        <f>data_origin!W2255</f>
        <v>0</v>
      </c>
      <c r="AM8" s="5">
        <f>data_origin!X2255</f>
        <v>0</v>
      </c>
      <c r="AN8" s="5">
        <f>data_origin!Y2255</f>
        <v>0</v>
      </c>
      <c r="AO8" s="5">
        <f>data_origin!Z2255</f>
        <v>0</v>
      </c>
      <c r="AP8" s="5">
        <f>data_origin!AA2255</f>
        <v>0</v>
      </c>
      <c r="AQ8" s="9">
        <f t="shared" si="6"/>
        <v>0</v>
      </c>
      <c r="AV8" t="s">
        <v>75</v>
      </c>
      <c r="AW8" s="5">
        <f>data_origin!T2969</f>
        <v>0</v>
      </c>
      <c r="AX8" s="5">
        <f>data_origin!U2969</f>
        <v>0</v>
      </c>
      <c r="AY8" s="5">
        <f>data_origin!V2969</f>
        <v>0</v>
      </c>
      <c r="AZ8" s="5">
        <f>data_origin!W2969</f>
        <v>0</v>
      </c>
      <c r="BA8" s="5">
        <f>data_origin!X2969</f>
        <v>0</v>
      </c>
      <c r="BB8" s="5">
        <f>data_origin!Y2969</f>
        <v>0</v>
      </c>
      <c r="BC8" s="5">
        <f>data_origin!Z2969</f>
        <v>0</v>
      </c>
      <c r="BD8" s="5">
        <f>data_origin!AA2969</f>
        <v>0</v>
      </c>
      <c r="BE8" s="9">
        <f t="shared" si="7"/>
        <v>0</v>
      </c>
      <c r="BH8" s="29"/>
      <c r="BI8" s="29"/>
      <c r="BJ8" s="29"/>
      <c r="BK8" s="29" t="s">
        <v>75</v>
      </c>
      <c r="BL8" s="30">
        <f>data_origin!T8+data_origin!T382+data_origin!T756</f>
        <v>0</v>
      </c>
      <c r="BM8" s="30">
        <f>data_origin!U8+data_origin!U382+data_origin!U756</f>
        <v>0</v>
      </c>
      <c r="BN8" s="30">
        <f>data_origin!V8+data_origin!V382+data_origin!V756</f>
        <v>0</v>
      </c>
      <c r="BO8" s="30">
        <f>data_origin!W8+data_origin!W382+data_origin!W756</f>
        <v>0</v>
      </c>
      <c r="BP8" s="30">
        <f>data_origin!X8+data_origin!X382+data_origin!X756</f>
        <v>0</v>
      </c>
      <c r="BQ8" s="30">
        <f>data_origin!Y8+data_origin!Y382+data_origin!Y756</f>
        <v>0</v>
      </c>
      <c r="BR8" s="30">
        <f>data_origin!Z8+data_origin!Z382+data_origin!Z756</f>
        <v>0</v>
      </c>
      <c r="BS8" s="30">
        <f>data_origin!AA8+data_origin!AA382+data_origin!AA756</f>
        <v>0</v>
      </c>
      <c r="BT8" s="9">
        <f t="shared" si="2"/>
        <v>0</v>
      </c>
      <c r="BV8" s="29"/>
      <c r="BW8" s="29"/>
      <c r="BX8" s="29"/>
      <c r="BY8" s="29" t="s">
        <v>75</v>
      </c>
      <c r="BZ8" s="30">
        <f>data_origin!T1130+data_origin!T1504+data_origin!T1878</f>
        <v>0</v>
      </c>
      <c r="CA8" s="30">
        <f>data_origin!U1130+data_origin!U1504+data_origin!U1878</f>
        <v>0</v>
      </c>
      <c r="CB8" s="30">
        <f>data_origin!V1130+data_origin!V1504+data_origin!V1878</f>
        <v>0</v>
      </c>
      <c r="CC8" s="30">
        <f>data_origin!W1130+data_origin!W1504+data_origin!W1878</f>
        <v>0</v>
      </c>
      <c r="CD8" s="30">
        <f>data_origin!X1130+data_origin!X1504+data_origin!X1878</f>
        <v>0</v>
      </c>
      <c r="CE8" s="30">
        <f>data_origin!Y1130+data_origin!Y1504+data_origin!Y1878</f>
        <v>0</v>
      </c>
      <c r="CF8" s="30">
        <f>data_origin!Z1130+data_origin!Z1504+data_origin!Z1878</f>
        <v>0</v>
      </c>
      <c r="CG8" s="30">
        <f>data_origin!AA1130+data_origin!AA1504+data_origin!AA1878</f>
        <v>0</v>
      </c>
      <c r="CH8" s="9">
        <f t="shared" si="3"/>
        <v>0</v>
      </c>
    </row>
    <row r="9" spans="1:86" x14ac:dyDescent="0.25">
      <c r="D9" t="s">
        <v>76</v>
      </c>
      <c r="E9" s="35">
        <f t="shared" si="4"/>
        <v>0</v>
      </c>
      <c r="F9" s="35">
        <f t="shared" si="4"/>
        <v>0</v>
      </c>
      <c r="G9" s="35">
        <f t="shared" si="4"/>
        <v>0</v>
      </c>
      <c r="H9" s="35">
        <f t="shared" si="4"/>
        <v>0</v>
      </c>
      <c r="I9" s="35">
        <f t="shared" si="4"/>
        <v>0</v>
      </c>
      <c r="J9" s="35">
        <f t="shared" si="4"/>
        <v>0</v>
      </c>
      <c r="K9" s="35">
        <f t="shared" si="4"/>
        <v>0</v>
      </c>
      <c r="L9" s="35">
        <f t="shared" si="4"/>
        <v>0</v>
      </c>
      <c r="M9" s="35">
        <f t="shared" si="5"/>
        <v>0</v>
      </c>
      <c r="S9" t="s">
        <v>76</v>
      </c>
      <c r="T9" s="5">
        <f>data_origin!T43</f>
        <v>0</v>
      </c>
      <c r="U9" s="5">
        <f>data_origin!U43</f>
        <v>0</v>
      </c>
      <c r="V9" s="5">
        <f>data_origin!V43</f>
        <v>0</v>
      </c>
      <c r="W9" s="5">
        <f>data_origin!W43</f>
        <v>0</v>
      </c>
      <c r="X9" s="5">
        <f>data_origin!X43</f>
        <v>0</v>
      </c>
      <c r="Y9" s="5">
        <f>data_origin!Y43</f>
        <v>0</v>
      </c>
      <c r="Z9" s="5">
        <f>data_origin!Z43</f>
        <v>0</v>
      </c>
      <c r="AA9" s="5">
        <f>data_origin!AA43</f>
        <v>0</v>
      </c>
      <c r="AB9" s="5">
        <f t="shared" si="1"/>
        <v>0</v>
      </c>
      <c r="AH9" t="s">
        <v>76</v>
      </c>
      <c r="AI9" s="5">
        <f>data_origin!T2256</f>
        <v>0</v>
      </c>
      <c r="AJ9" s="5">
        <f>data_origin!U2256</f>
        <v>0</v>
      </c>
      <c r="AK9" s="5">
        <f>data_origin!V2256</f>
        <v>0</v>
      </c>
      <c r="AL9" s="5">
        <f>data_origin!W2256</f>
        <v>0</v>
      </c>
      <c r="AM9" s="5">
        <f>data_origin!X2256</f>
        <v>0</v>
      </c>
      <c r="AN9" s="5">
        <f>data_origin!Y2256</f>
        <v>0</v>
      </c>
      <c r="AO9" s="5">
        <f>data_origin!Z2256</f>
        <v>0</v>
      </c>
      <c r="AP9" s="5">
        <f>data_origin!AA2256</f>
        <v>0</v>
      </c>
      <c r="AQ9" s="9">
        <f t="shared" si="6"/>
        <v>0</v>
      </c>
      <c r="AV9" t="s">
        <v>76</v>
      </c>
      <c r="AW9" s="5">
        <f>data_origin!T2970</f>
        <v>0</v>
      </c>
      <c r="AX9" s="5">
        <f>data_origin!U2970</f>
        <v>0</v>
      </c>
      <c r="AY9" s="5">
        <f>data_origin!V2970</f>
        <v>0</v>
      </c>
      <c r="AZ9" s="5">
        <f>data_origin!W2970</f>
        <v>0</v>
      </c>
      <c r="BA9" s="5">
        <f>data_origin!X2970</f>
        <v>0</v>
      </c>
      <c r="BB9" s="5">
        <f>data_origin!Y2970</f>
        <v>0</v>
      </c>
      <c r="BC9" s="5">
        <f>data_origin!Z2970</f>
        <v>0</v>
      </c>
      <c r="BD9" s="5">
        <f>data_origin!AA2970</f>
        <v>0</v>
      </c>
      <c r="BE9" s="9">
        <f t="shared" si="7"/>
        <v>0</v>
      </c>
      <c r="BH9" s="29"/>
      <c r="BI9" s="29"/>
      <c r="BJ9" s="29"/>
      <c r="BK9" s="29" t="s">
        <v>76</v>
      </c>
      <c r="BL9" s="30">
        <f>data_origin!T9+data_origin!T383+data_origin!T757</f>
        <v>0</v>
      </c>
      <c r="BM9" s="30">
        <f>data_origin!U9+data_origin!U383+data_origin!U757</f>
        <v>0</v>
      </c>
      <c r="BN9" s="30">
        <f>data_origin!V9+data_origin!V383+data_origin!V757</f>
        <v>0</v>
      </c>
      <c r="BO9" s="30">
        <f>data_origin!W9+data_origin!W383+data_origin!W757</f>
        <v>0</v>
      </c>
      <c r="BP9" s="30">
        <f>data_origin!X9+data_origin!X383+data_origin!X757</f>
        <v>0</v>
      </c>
      <c r="BQ9" s="30">
        <f>data_origin!Y9+data_origin!Y383+data_origin!Y757</f>
        <v>0</v>
      </c>
      <c r="BR9" s="30">
        <f>data_origin!Z9+data_origin!Z383+data_origin!Z757</f>
        <v>0</v>
      </c>
      <c r="BS9" s="30">
        <f>data_origin!AA9+data_origin!AA383+data_origin!AA757</f>
        <v>0</v>
      </c>
      <c r="BT9" s="9">
        <f t="shared" si="2"/>
        <v>0</v>
      </c>
      <c r="BV9" s="29"/>
      <c r="BW9" s="29"/>
      <c r="BX9" s="29"/>
      <c r="BY9" s="29" t="s">
        <v>76</v>
      </c>
      <c r="BZ9" s="30">
        <f>data_origin!T1131+data_origin!T1505+data_origin!T1879</f>
        <v>0</v>
      </c>
      <c r="CA9" s="30">
        <f>data_origin!U1131+data_origin!U1505+data_origin!U1879</f>
        <v>0</v>
      </c>
      <c r="CB9" s="30">
        <f>data_origin!V1131+data_origin!V1505+data_origin!V1879</f>
        <v>0</v>
      </c>
      <c r="CC9" s="30">
        <f>data_origin!W1131+data_origin!W1505+data_origin!W1879</f>
        <v>0</v>
      </c>
      <c r="CD9" s="30">
        <f>data_origin!X1131+data_origin!X1505+data_origin!X1879</f>
        <v>0</v>
      </c>
      <c r="CE9" s="30">
        <f>data_origin!Y1131+data_origin!Y1505+data_origin!Y1879</f>
        <v>0</v>
      </c>
      <c r="CF9" s="30">
        <f>data_origin!Z1131+data_origin!Z1505+data_origin!Z1879</f>
        <v>0</v>
      </c>
      <c r="CG9" s="30">
        <f>data_origin!AA1131+data_origin!AA1505+data_origin!AA1879</f>
        <v>0</v>
      </c>
      <c r="CH9" s="9">
        <f t="shared" si="3"/>
        <v>0</v>
      </c>
    </row>
    <row r="10" spans="1:86" x14ac:dyDescent="0.25">
      <c r="D10" t="s">
        <v>77</v>
      </c>
      <c r="E10" s="35">
        <f t="shared" si="4"/>
        <v>0</v>
      </c>
      <c r="F10" s="35">
        <f t="shared" si="4"/>
        <v>0</v>
      </c>
      <c r="G10" s="35">
        <f t="shared" si="4"/>
        <v>0</v>
      </c>
      <c r="H10" s="35">
        <f t="shared" si="4"/>
        <v>0</v>
      </c>
      <c r="I10" s="35">
        <f t="shared" si="4"/>
        <v>0</v>
      </c>
      <c r="J10" s="35">
        <f t="shared" si="4"/>
        <v>0</v>
      </c>
      <c r="K10" s="35">
        <f t="shared" si="4"/>
        <v>0</v>
      </c>
      <c r="L10" s="35">
        <f t="shared" si="4"/>
        <v>0</v>
      </c>
      <c r="M10" s="35">
        <f t="shared" si="5"/>
        <v>0</v>
      </c>
      <c r="S10" t="s">
        <v>77</v>
      </c>
      <c r="T10" s="5">
        <f>data_origin!T44</f>
        <v>0</v>
      </c>
      <c r="U10" s="5">
        <f>data_origin!U44</f>
        <v>0</v>
      </c>
      <c r="V10" s="5">
        <f>data_origin!V44</f>
        <v>0</v>
      </c>
      <c r="W10" s="5">
        <f>data_origin!W44</f>
        <v>0</v>
      </c>
      <c r="X10" s="5">
        <f>data_origin!X44</f>
        <v>0</v>
      </c>
      <c r="Y10" s="5">
        <f>data_origin!Y44</f>
        <v>0</v>
      </c>
      <c r="Z10" s="5">
        <f>data_origin!Z44</f>
        <v>0</v>
      </c>
      <c r="AA10" s="5">
        <f>data_origin!AA44</f>
        <v>0</v>
      </c>
      <c r="AB10" s="5">
        <f t="shared" si="1"/>
        <v>0</v>
      </c>
      <c r="AH10" t="s">
        <v>77</v>
      </c>
      <c r="AI10" s="5">
        <f>data_origin!T2257</f>
        <v>0</v>
      </c>
      <c r="AJ10" s="5">
        <f>data_origin!U2257</f>
        <v>0</v>
      </c>
      <c r="AK10" s="5">
        <f>data_origin!V2257</f>
        <v>0</v>
      </c>
      <c r="AL10" s="5">
        <f>data_origin!W2257</f>
        <v>0</v>
      </c>
      <c r="AM10" s="5">
        <f>data_origin!X2257</f>
        <v>0</v>
      </c>
      <c r="AN10" s="5">
        <f>data_origin!Y2257</f>
        <v>0</v>
      </c>
      <c r="AO10" s="5">
        <f>data_origin!Z2257</f>
        <v>0</v>
      </c>
      <c r="AP10" s="5">
        <f>data_origin!AA2257</f>
        <v>0</v>
      </c>
      <c r="AQ10" s="9">
        <f t="shared" si="6"/>
        <v>0</v>
      </c>
      <c r="AV10" t="s">
        <v>77</v>
      </c>
      <c r="AW10" s="5">
        <f>data_origin!T2971</f>
        <v>0</v>
      </c>
      <c r="AX10" s="5">
        <f>data_origin!U2971</f>
        <v>0</v>
      </c>
      <c r="AY10" s="5">
        <f>data_origin!V2971</f>
        <v>0</v>
      </c>
      <c r="AZ10" s="5">
        <f>data_origin!W2971</f>
        <v>0</v>
      </c>
      <c r="BA10" s="5">
        <f>data_origin!X2971</f>
        <v>0</v>
      </c>
      <c r="BB10" s="5">
        <f>data_origin!Y2971</f>
        <v>0</v>
      </c>
      <c r="BC10" s="5">
        <f>data_origin!Z2971</f>
        <v>0</v>
      </c>
      <c r="BD10" s="5">
        <f>data_origin!AA2971</f>
        <v>0</v>
      </c>
      <c r="BE10" s="9">
        <f t="shared" si="7"/>
        <v>0</v>
      </c>
      <c r="BH10" s="29"/>
      <c r="BI10" s="29"/>
      <c r="BJ10" s="29"/>
      <c r="BK10" s="29" t="s">
        <v>77</v>
      </c>
      <c r="BL10" s="30">
        <f>data_origin!T10+data_origin!T384+data_origin!T758</f>
        <v>0</v>
      </c>
      <c r="BM10" s="30">
        <f>data_origin!U10+data_origin!U384+data_origin!U758</f>
        <v>0</v>
      </c>
      <c r="BN10" s="30">
        <f>data_origin!V10+data_origin!V384+data_origin!V758</f>
        <v>0</v>
      </c>
      <c r="BO10" s="30">
        <f>data_origin!W10+data_origin!W384+data_origin!W758</f>
        <v>0</v>
      </c>
      <c r="BP10" s="30">
        <f>data_origin!X10+data_origin!X384+data_origin!X758</f>
        <v>0</v>
      </c>
      <c r="BQ10" s="30">
        <f>data_origin!Y10+data_origin!Y384+data_origin!Y758</f>
        <v>0</v>
      </c>
      <c r="BR10" s="30">
        <f>data_origin!Z10+data_origin!Z384+data_origin!Z758</f>
        <v>0</v>
      </c>
      <c r="BS10" s="30">
        <f>data_origin!AA10+data_origin!AA384+data_origin!AA758</f>
        <v>0</v>
      </c>
      <c r="BT10" s="9">
        <f t="shared" si="2"/>
        <v>0</v>
      </c>
      <c r="BV10" s="29"/>
      <c r="BW10" s="29"/>
      <c r="BX10" s="29"/>
      <c r="BY10" s="29" t="s">
        <v>77</v>
      </c>
      <c r="BZ10" s="30">
        <f>data_origin!T1132+data_origin!T1506+data_origin!T1880</f>
        <v>0</v>
      </c>
      <c r="CA10" s="30">
        <f>data_origin!U1132+data_origin!U1506+data_origin!U1880</f>
        <v>0</v>
      </c>
      <c r="CB10" s="30">
        <f>data_origin!V1132+data_origin!V1506+data_origin!V1880</f>
        <v>0</v>
      </c>
      <c r="CC10" s="30">
        <f>data_origin!W1132+data_origin!W1506+data_origin!W1880</f>
        <v>0</v>
      </c>
      <c r="CD10" s="30">
        <f>data_origin!X1132+data_origin!X1506+data_origin!X1880</f>
        <v>0</v>
      </c>
      <c r="CE10" s="30">
        <f>data_origin!Y1132+data_origin!Y1506+data_origin!Y1880</f>
        <v>0</v>
      </c>
      <c r="CF10" s="30">
        <f>data_origin!Z1132+data_origin!Z1506+data_origin!Z1880</f>
        <v>0</v>
      </c>
      <c r="CG10" s="30">
        <f>data_origin!AA1132+data_origin!AA1506+data_origin!AA1880</f>
        <v>0</v>
      </c>
      <c r="CH10" s="9">
        <f t="shared" si="3"/>
        <v>0</v>
      </c>
    </row>
    <row r="11" spans="1:86" x14ac:dyDescent="0.25">
      <c r="D11" t="s">
        <v>78</v>
      </c>
      <c r="E11" s="35">
        <f t="shared" si="4"/>
        <v>0</v>
      </c>
      <c r="F11" s="35">
        <f t="shared" si="4"/>
        <v>0</v>
      </c>
      <c r="G11" s="35">
        <f t="shared" si="4"/>
        <v>2.305954785954786</v>
      </c>
      <c r="H11" s="35">
        <f t="shared" si="4"/>
        <v>3.477901778657376</v>
      </c>
      <c r="I11" s="35">
        <f t="shared" si="4"/>
        <v>0</v>
      </c>
      <c r="J11" s="35">
        <f t="shared" si="4"/>
        <v>0</v>
      </c>
      <c r="K11" s="35">
        <f t="shared" si="4"/>
        <v>0</v>
      </c>
      <c r="L11" s="35">
        <f t="shared" si="4"/>
        <v>0</v>
      </c>
      <c r="M11" s="35">
        <f t="shared" si="5"/>
        <v>5.7838565646121616</v>
      </c>
      <c r="S11" t="s">
        <v>78</v>
      </c>
      <c r="T11" s="5">
        <f>data_origin!T45</f>
        <v>0</v>
      </c>
      <c r="U11" s="5">
        <f>data_origin!U45</f>
        <v>0</v>
      </c>
      <c r="V11" s="5">
        <f>data_origin!V45</f>
        <v>2.3030303030303032</v>
      </c>
      <c r="W11" s="5">
        <f>data_origin!W45</f>
        <v>3.4719101123595504</v>
      </c>
      <c r="X11" s="5">
        <f>data_origin!X45</f>
        <v>0</v>
      </c>
      <c r="Y11" s="5">
        <f>data_origin!Y45</f>
        <v>0</v>
      </c>
      <c r="Z11" s="5">
        <f>data_origin!Z45</f>
        <v>0</v>
      </c>
      <c r="AA11" s="5">
        <f>data_origin!AA45</f>
        <v>0</v>
      </c>
      <c r="AB11" s="5">
        <f t="shared" si="1"/>
        <v>5.7749404153898531</v>
      </c>
      <c r="AH11" t="s">
        <v>78</v>
      </c>
      <c r="AI11" s="5">
        <f>data_origin!T2258</f>
        <v>0</v>
      </c>
      <c r="AJ11" s="5">
        <f>data_origin!U2258</f>
        <v>0</v>
      </c>
      <c r="AK11" s="5">
        <f>data_origin!V2258</f>
        <v>0</v>
      </c>
      <c r="AL11" s="5">
        <f>data_origin!W2258</f>
        <v>0</v>
      </c>
      <c r="AM11" s="5">
        <f>data_origin!X2258</f>
        <v>0</v>
      </c>
      <c r="AN11" s="5">
        <f>data_origin!Y2258</f>
        <v>0</v>
      </c>
      <c r="AO11" s="5">
        <f>data_origin!Z2258</f>
        <v>0</v>
      </c>
      <c r="AP11" s="5">
        <f>data_origin!AA2258</f>
        <v>0</v>
      </c>
      <c r="AQ11" s="9">
        <f t="shared" si="6"/>
        <v>0</v>
      </c>
      <c r="AV11" t="s">
        <v>78</v>
      </c>
      <c r="AW11" s="5">
        <f>data_origin!T2972</f>
        <v>0</v>
      </c>
      <c r="AX11" s="5">
        <f>data_origin!U2972</f>
        <v>0</v>
      </c>
      <c r="AY11" s="5">
        <f>data_origin!V2972</f>
        <v>0</v>
      </c>
      <c r="AZ11" s="5">
        <f>data_origin!W2972</f>
        <v>0</v>
      </c>
      <c r="BA11" s="5">
        <f>data_origin!X2972</f>
        <v>0</v>
      </c>
      <c r="BB11" s="5">
        <f>data_origin!Y2972</f>
        <v>0</v>
      </c>
      <c r="BC11" s="5">
        <f>data_origin!Z2972</f>
        <v>0</v>
      </c>
      <c r="BD11" s="5">
        <f>data_origin!AA2972</f>
        <v>0</v>
      </c>
      <c r="BE11" s="9">
        <f t="shared" si="7"/>
        <v>0</v>
      </c>
      <c r="BH11" s="29"/>
      <c r="BI11" s="29"/>
      <c r="BJ11" s="29"/>
      <c r="BK11" s="29" t="s">
        <v>78</v>
      </c>
      <c r="BL11" s="30">
        <f>data_origin!T11+data_origin!T385+data_origin!T759</f>
        <v>0</v>
      </c>
      <c r="BM11" s="30">
        <f>data_origin!U11+data_origin!U385+data_origin!U759</f>
        <v>0</v>
      </c>
      <c r="BN11" s="30">
        <f>data_origin!V11+data_origin!V385+data_origin!V759</f>
        <v>0</v>
      </c>
      <c r="BO11" s="30">
        <f>data_origin!W11+data_origin!W385+data_origin!W759</f>
        <v>0</v>
      </c>
      <c r="BP11" s="30">
        <f>data_origin!X11+data_origin!X385+data_origin!X759</f>
        <v>0</v>
      </c>
      <c r="BQ11" s="30">
        <f>data_origin!Y11+data_origin!Y385+data_origin!Y759</f>
        <v>0</v>
      </c>
      <c r="BR11" s="30">
        <f>data_origin!Z11+data_origin!Z385+data_origin!Z759</f>
        <v>0</v>
      </c>
      <c r="BS11" s="30">
        <f>data_origin!AA11+data_origin!AA385+data_origin!AA759</f>
        <v>0</v>
      </c>
      <c r="BT11" s="9">
        <f t="shared" si="2"/>
        <v>0</v>
      </c>
      <c r="BV11" s="29"/>
      <c r="BW11" s="29"/>
      <c r="BX11" s="29"/>
      <c r="BY11" s="29" t="s">
        <v>78</v>
      </c>
      <c r="BZ11" s="30">
        <f>data_origin!T1133+data_origin!T1507+data_origin!T1881</f>
        <v>0</v>
      </c>
      <c r="CA11" s="30">
        <f>data_origin!U1133+data_origin!U1507+data_origin!U1881</f>
        <v>0</v>
      </c>
      <c r="CB11" s="30">
        <f>data_origin!V1133+data_origin!V1507+data_origin!V1881</f>
        <v>0</v>
      </c>
      <c r="CC11" s="30">
        <f>data_origin!W1133+data_origin!W1507+data_origin!W1881</f>
        <v>0</v>
      </c>
      <c r="CD11" s="30">
        <f>data_origin!X1133+data_origin!X1507+data_origin!X1881</f>
        <v>0</v>
      </c>
      <c r="CE11" s="30">
        <f>data_origin!Y1133+data_origin!Y1507+data_origin!Y1881</f>
        <v>0</v>
      </c>
      <c r="CF11" s="30">
        <f>data_origin!Z1133+data_origin!Z1507+data_origin!Z1881</f>
        <v>0</v>
      </c>
      <c r="CG11" s="30">
        <f>data_origin!AA1133+data_origin!AA1507+data_origin!AA1881</f>
        <v>0</v>
      </c>
      <c r="CH11" s="9">
        <f t="shared" si="3"/>
        <v>0</v>
      </c>
    </row>
    <row r="12" spans="1:86" x14ac:dyDescent="0.25">
      <c r="D12" t="s">
        <v>79</v>
      </c>
      <c r="E12" s="35">
        <f t="shared" si="4"/>
        <v>0</v>
      </c>
      <c r="F12" s="35">
        <f t="shared" si="4"/>
        <v>0</v>
      </c>
      <c r="G12" s="35">
        <f t="shared" si="4"/>
        <v>0</v>
      </c>
      <c r="H12" s="35">
        <f t="shared" si="4"/>
        <v>0</v>
      </c>
      <c r="I12" s="35">
        <f t="shared" si="4"/>
        <v>0</v>
      </c>
      <c r="J12" s="35">
        <f t="shared" si="4"/>
        <v>0</v>
      </c>
      <c r="K12" s="35">
        <f t="shared" si="4"/>
        <v>0</v>
      </c>
      <c r="L12" s="35">
        <f t="shared" si="4"/>
        <v>0</v>
      </c>
      <c r="M12" s="35">
        <f t="shared" si="5"/>
        <v>0</v>
      </c>
      <c r="S12" t="s">
        <v>79</v>
      </c>
      <c r="T12" s="5">
        <f>data_origin!T46</f>
        <v>0</v>
      </c>
      <c r="U12" s="5">
        <f>data_origin!U46</f>
        <v>0</v>
      </c>
      <c r="V12" s="5">
        <f>data_origin!V46</f>
        <v>0</v>
      </c>
      <c r="W12" s="5">
        <f>data_origin!W46</f>
        <v>0</v>
      </c>
      <c r="X12" s="5">
        <f>data_origin!X46</f>
        <v>0</v>
      </c>
      <c r="Y12" s="5">
        <f>data_origin!Y46</f>
        <v>0</v>
      </c>
      <c r="Z12" s="5">
        <f>data_origin!Z46</f>
        <v>0</v>
      </c>
      <c r="AA12" s="5">
        <f>data_origin!AA46</f>
        <v>0</v>
      </c>
      <c r="AB12" s="5">
        <f t="shared" si="1"/>
        <v>0</v>
      </c>
      <c r="AH12" t="s">
        <v>79</v>
      </c>
      <c r="AI12" s="5">
        <f>data_origin!T2259</f>
        <v>0</v>
      </c>
      <c r="AJ12" s="5">
        <f>data_origin!U2259</f>
        <v>0</v>
      </c>
      <c r="AK12" s="5">
        <f>data_origin!V2259</f>
        <v>0</v>
      </c>
      <c r="AL12" s="5">
        <f>data_origin!W2259</f>
        <v>0</v>
      </c>
      <c r="AM12" s="5">
        <f>data_origin!X2259</f>
        <v>0</v>
      </c>
      <c r="AN12" s="5">
        <f>data_origin!Y2259</f>
        <v>0</v>
      </c>
      <c r="AO12" s="5">
        <f>data_origin!Z2259</f>
        <v>0</v>
      </c>
      <c r="AP12" s="5">
        <f>data_origin!AA2259</f>
        <v>0</v>
      </c>
      <c r="AQ12" s="9">
        <f t="shared" si="6"/>
        <v>0</v>
      </c>
      <c r="AV12" t="s">
        <v>79</v>
      </c>
      <c r="AW12" s="5">
        <f>data_origin!T2973</f>
        <v>0</v>
      </c>
      <c r="AX12" s="5">
        <f>data_origin!U2973</f>
        <v>0</v>
      </c>
      <c r="AY12" s="5">
        <f>data_origin!V2973</f>
        <v>0</v>
      </c>
      <c r="AZ12" s="5">
        <f>data_origin!W2973</f>
        <v>0</v>
      </c>
      <c r="BA12" s="5">
        <f>data_origin!X2973</f>
        <v>0</v>
      </c>
      <c r="BB12" s="5">
        <f>data_origin!Y2973</f>
        <v>0</v>
      </c>
      <c r="BC12" s="5">
        <f>data_origin!Z2973</f>
        <v>0</v>
      </c>
      <c r="BD12" s="5">
        <f>data_origin!AA2973</f>
        <v>0</v>
      </c>
      <c r="BE12" s="9">
        <f t="shared" si="7"/>
        <v>0</v>
      </c>
      <c r="BH12" s="29"/>
      <c r="BI12" s="29"/>
      <c r="BJ12" s="29"/>
      <c r="BK12" s="29" t="s">
        <v>79</v>
      </c>
      <c r="BL12" s="30">
        <f>data_origin!T12+data_origin!T386+data_origin!T760</f>
        <v>0</v>
      </c>
      <c r="BM12" s="30">
        <f>data_origin!U12+data_origin!U386+data_origin!U760</f>
        <v>0</v>
      </c>
      <c r="BN12" s="30">
        <f>data_origin!V12+data_origin!V386+data_origin!V760</f>
        <v>0</v>
      </c>
      <c r="BO12" s="30">
        <f>data_origin!W12+data_origin!W386+data_origin!W760</f>
        <v>0</v>
      </c>
      <c r="BP12" s="30">
        <f>data_origin!X12+data_origin!X386+data_origin!X760</f>
        <v>0</v>
      </c>
      <c r="BQ12" s="30">
        <f>data_origin!Y12+data_origin!Y386+data_origin!Y760</f>
        <v>0</v>
      </c>
      <c r="BR12" s="30">
        <f>data_origin!Z12+data_origin!Z386+data_origin!Z760</f>
        <v>0</v>
      </c>
      <c r="BS12" s="30">
        <f>data_origin!AA12+data_origin!AA386+data_origin!AA760</f>
        <v>0</v>
      </c>
      <c r="BT12" s="9">
        <f t="shared" si="2"/>
        <v>0</v>
      </c>
      <c r="BV12" s="29"/>
      <c r="BW12" s="29"/>
      <c r="BX12" s="29"/>
      <c r="BY12" s="29" t="s">
        <v>79</v>
      </c>
      <c r="BZ12" s="30">
        <f>data_origin!T1134+data_origin!T1508+data_origin!T1882</f>
        <v>0</v>
      </c>
      <c r="CA12" s="30">
        <f>data_origin!U1134+data_origin!U1508+data_origin!U1882</f>
        <v>0</v>
      </c>
      <c r="CB12" s="30">
        <f>data_origin!V1134+data_origin!V1508+data_origin!V1882</f>
        <v>0</v>
      </c>
      <c r="CC12" s="30">
        <f>data_origin!W1134+data_origin!W1508+data_origin!W1882</f>
        <v>0</v>
      </c>
      <c r="CD12" s="30">
        <f>data_origin!X1134+data_origin!X1508+data_origin!X1882</f>
        <v>0</v>
      </c>
      <c r="CE12" s="30">
        <f>data_origin!Y1134+data_origin!Y1508+data_origin!Y1882</f>
        <v>0</v>
      </c>
      <c r="CF12" s="30">
        <f>data_origin!Z1134+data_origin!Z1508+data_origin!Z1882</f>
        <v>0</v>
      </c>
      <c r="CG12" s="30">
        <f>data_origin!AA1134+data_origin!AA1508+data_origin!AA1882</f>
        <v>0</v>
      </c>
      <c r="CH12" s="9">
        <f t="shared" si="3"/>
        <v>0</v>
      </c>
    </row>
    <row r="13" spans="1:86" x14ac:dyDescent="0.25">
      <c r="D13" t="s">
        <v>80</v>
      </c>
      <c r="E13" s="35">
        <f t="shared" si="4"/>
        <v>0</v>
      </c>
      <c r="F13" s="35">
        <f t="shared" si="4"/>
        <v>0</v>
      </c>
      <c r="G13" s="35">
        <f t="shared" si="4"/>
        <v>0</v>
      </c>
      <c r="H13" s="35">
        <f t="shared" si="4"/>
        <v>0</v>
      </c>
      <c r="I13" s="35">
        <f t="shared" si="4"/>
        <v>0</v>
      </c>
      <c r="J13" s="35">
        <f t="shared" si="4"/>
        <v>0</v>
      </c>
      <c r="K13" s="35">
        <f t="shared" si="4"/>
        <v>0</v>
      </c>
      <c r="L13" s="35">
        <f t="shared" si="4"/>
        <v>0</v>
      </c>
      <c r="M13" s="35">
        <f t="shared" si="5"/>
        <v>0</v>
      </c>
      <c r="S13" t="s">
        <v>80</v>
      </c>
      <c r="T13" s="5">
        <f>data_origin!T47</f>
        <v>0</v>
      </c>
      <c r="U13" s="5">
        <f>data_origin!U47</f>
        <v>0</v>
      </c>
      <c r="V13" s="5">
        <f>data_origin!V47</f>
        <v>0</v>
      </c>
      <c r="W13" s="5">
        <f>data_origin!W47</f>
        <v>0</v>
      </c>
      <c r="X13" s="5">
        <f>data_origin!X47</f>
        <v>0</v>
      </c>
      <c r="Y13" s="5">
        <f>data_origin!Y47</f>
        <v>0</v>
      </c>
      <c r="Z13" s="5">
        <f>data_origin!Z47</f>
        <v>0</v>
      </c>
      <c r="AA13" s="5">
        <f>data_origin!AA47</f>
        <v>0</v>
      </c>
      <c r="AB13" s="5">
        <f t="shared" si="1"/>
        <v>0</v>
      </c>
      <c r="AH13" t="s">
        <v>80</v>
      </c>
      <c r="AI13" s="5">
        <f>data_origin!T2260</f>
        <v>0</v>
      </c>
      <c r="AJ13" s="5">
        <f>data_origin!U2260</f>
        <v>0</v>
      </c>
      <c r="AK13" s="5">
        <f>data_origin!V2260</f>
        <v>0</v>
      </c>
      <c r="AL13" s="5">
        <f>data_origin!W2260</f>
        <v>0</v>
      </c>
      <c r="AM13" s="5">
        <f>data_origin!X2260</f>
        <v>0</v>
      </c>
      <c r="AN13" s="5">
        <f>data_origin!Y2260</f>
        <v>0</v>
      </c>
      <c r="AO13" s="5">
        <f>data_origin!Z2260</f>
        <v>0</v>
      </c>
      <c r="AP13" s="5">
        <f>data_origin!AA2260</f>
        <v>0</v>
      </c>
      <c r="AQ13" s="9">
        <f t="shared" si="6"/>
        <v>0</v>
      </c>
      <c r="AV13" t="s">
        <v>80</v>
      </c>
      <c r="AW13" s="5">
        <f>data_origin!T2974</f>
        <v>0</v>
      </c>
      <c r="AX13" s="5">
        <f>data_origin!U2974</f>
        <v>0</v>
      </c>
      <c r="AY13" s="5">
        <f>data_origin!V2974</f>
        <v>0</v>
      </c>
      <c r="AZ13" s="5">
        <f>data_origin!W2974</f>
        <v>0</v>
      </c>
      <c r="BA13" s="5">
        <f>data_origin!X2974</f>
        <v>0</v>
      </c>
      <c r="BB13" s="5">
        <f>data_origin!Y2974</f>
        <v>0</v>
      </c>
      <c r="BC13" s="5">
        <f>data_origin!Z2974</f>
        <v>0</v>
      </c>
      <c r="BD13" s="5">
        <f>data_origin!AA2974</f>
        <v>0</v>
      </c>
      <c r="BE13" s="9">
        <f t="shared" si="7"/>
        <v>0</v>
      </c>
      <c r="BH13" s="29"/>
      <c r="BI13" s="29"/>
      <c r="BJ13" s="29"/>
      <c r="BK13" s="29" t="s">
        <v>80</v>
      </c>
      <c r="BL13" s="30">
        <f>data_origin!T13+data_origin!T387+data_origin!T761</f>
        <v>0</v>
      </c>
      <c r="BM13" s="30">
        <f>data_origin!U13+data_origin!U387+data_origin!U761</f>
        <v>0</v>
      </c>
      <c r="BN13" s="30">
        <f>data_origin!V13+data_origin!V387+data_origin!V761</f>
        <v>0</v>
      </c>
      <c r="BO13" s="30">
        <f>data_origin!W13+data_origin!W387+data_origin!W761</f>
        <v>0</v>
      </c>
      <c r="BP13" s="30">
        <f>data_origin!X13+data_origin!X387+data_origin!X761</f>
        <v>0</v>
      </c>
      <c r="BQ13" s="30">
        <f>data_origin!Y13+data_origin!Y387+data_origin!Y761</f>
        <v>0</v>
      </c>
      <c r="BR13" s="30">
        <f>data_origin!Z13+data_origin!Z387+data_origin!Z761</f>
        <v>0</v>
      </c>
      <c r="BS13" s="30">
        <f>data_origin!AA13+data_origin!AA387+data_origin!AA761</f>
        <v>0</v>
      </c>
      <c r="BT13" s="9">
        <f t="shared" si="2"/>
        <v>0</v>
      </c>
      <c r="BV13" s="29"/>
      <c r="BW13" s="29"/>
      <c r="BX13" s="29"/>
      <c r="BY13" s="29" t="s">
        <v>80</v>
      </c>
      <c r="BZ13" s="30">
        <f>data_origin!T1135+data_origin!T1509+data_origin!T1883</f>
        <v>0</v>
      </c>
      <c r="CA13" s="30">
        <f>data_origin!U1135+data_origin!U1509+data_origin!U1883</f>
        <v>0</v>
      </c>
      <c r="CB13" s="30">
        <f>data_origin!V1135+data_origin!V1509+data_origin!V1883</f>
        <v>0</v>
      </c>
      <c r="CC13" s="30">
        <f>data_origin!W1135+data_origin!W1509+data_origin!W1883</f>
        <v>0</v>
      </c>
      <c r="CD13" s="30">
        <f>data_origin!X1135+data_origin!X1509+data_origin!X1883</f>
        <v>0</v>
      </c>
      <c r="CE13" s="30">
        <f>data_origin!Y1135+data_origin!Y1509+data_origin!Y1883</f>
        <v>0</v>
      </c>
      <c r="CF13" s="30">
        <f>data_origin!Z1135+data_origin!Z1509+data_origin!Z1883</f>
        <v>0</v>
      </c>
      <c r="CG13" s="30">
        <f>data_origin!AA1135+data_origin!AA1509+data_origin!AA1883</f>
        <v>0</v>
      </c>
      <c r="CH13" s="9">
        <f t="shared" si="3"/>
        <v>0</v>
      </c>
    </row>
    <row r="14" spans="1:86" x14ac:dyDescent="0.25">
      <c r="B14" s="5"/>
      <c r="D14" t="s">
        <v>81</v>
      </c>
      <c r="E14" s="35">
        <f t="shared" si="4"/>
        <v>0</v>
      </c>
      <c r="F14" s="35">
        <f t="shared" si="4"/>
        <v>0</v>
      </c>
      <c r="G14" s="35">
        <f t="shared" si="4"/>
        <v>0</v>
      </c>
      <c r="H14" s="35">
        <f t="shared" si="4"/>
        <v>0</v>
      </c>
      <c r="I14" s="35">
        <f t="shared" si="4"/>
        <v>0</v>
      </c>
      <c r="J14" s="35">
        <f t="shared" si="4"/>
        <v>0</v>
      </c>
      <c r="K14" s="35">
        <f t="shared" si="4"/>
        <v>0</v>
      </c>
      <c r="L14" s="35">
        <f t="shared" si="4"/>
        <v>0</v>
      </c>
      <c r="M14" s="35">
        <f t="shared" si="5"/>
        <v>0</v>
      </c>
      <c r="S14" t="s">
        <v>81</v>
      </c>
      <c r="T14" s="5">
        <f>data_origin!T48</f>
        <v>0</v>
      </c>
      <c r="U14" s="5">
        <f>data_origin!U48</f>
        <v>0</v>
      </c>
      <c r="V14" s="5">
        <f>data_origin!V48</f>
        <v>0</v>
      </c>
      <c r="W14" s="5">
        <f>data_origin!W48</f>
        <v>0</v>
      </c>
      <c r="X14" s="5">
        <f>data_origin!X48</f>
        <v>0</v>
      </c>
      <c r="Y14" s="5">
        <f>data_origin!Y48</f>
        <v>0</v>
      </c>
      <c r="Z14" s="5">
        <f>data_origin!Z48</f>
        <v>0</v>
      </c>
      <c r="AA14" s="5">
        <f>data_origin!AA48</f>
        <v>0</v>
      </c>
      <c r="AB14" s="5">
        <f t="shared" si="1"/>
        <v>0</v>
      </c>
      <c r="AH14" t="s">
        <v>81</v>
      </c>
      <c r="AI14" s="5">
        <f>data_origin!T2261</f>
        <v>0</v>
      </c>
      <c r="AJ14" s="5">
        <f>data_origin!U2261</f>
        <v>0</v>
      </c>
      <c r="AK14" s="5">
        <f>data_origin!V2261</f>
        <v>0</v>
      </c>
      <c r="AL14" s="5">
        <f>data_origin!W2261</f>
        <v>0</v>
      </c>
      <c r="AM14" s="5">
        <f>data_origin!X2261</f>
        <v>0</v>
      </c>
      <c r="AN14" s="5">
        <f>data_origin!Y2261</f>
        <v>0</v>
      </c>
      <c r="AO14" s="5">
        <f>data_origin!Z2261</f>
        <v>0</v>
      </c>
      <c r="AP14" s="5">
        <f>data_origin!AA2261</f>
        <v>0</v>
      </c>
      <c r="AQ14" s="9">
        <f t="shared" si="6"/>
        <v>0</v>
      </c>
      <c r="AV14" t="s">
        <v>81</v>
      </c>
      <c r="AW14" s="5">
        <f>data_origin!T2975</f>
        <v>0</v>
      </c>
      <c r="AX14" s="5">
        <f>data_origin!U2975</f>
        <v>0</v>
      </c>
      <c r="AY14" s="5">
        <f>data_origin!V2975</f>
        <v>0</v>
      </c>
      <c r="AZ14" s="5">
        <f>data_origin!W2975</f>
        <v>0</v>
      </c>
      <c r="BA14" s="5">
        <f>data_origin!X2975</f>
        <v>0</v>
      </c>
      <c r="BB14" s="5">
        <f>data_origin!Y2975</f>
        <v>0</v>
      </c>
      <c r="BC14" s="5">
        <f>data_origin!Z2975</f>
        <v>0</v>
      </c>
      <c r="BD14" s="5">
        <f>data_origin!AA2975</f>
        <v>0</v>
      </c>
      <c r="BE14" s="9">
        <f t="shared" si="7"/>
        <v>0</v>
      </c>
      <c r="BH14" s="29"/>
      <c r="BI14" s="29"/>
      <c r="BJ14" s="29"/>
      <c r="BK14" s="29" t="s">
        <v>81</v>
      </c>
      <c r="BL14" s="30">
        <f>data_origin!T14+data_origin!T388+data_origin!T762</f>
        <v>0</v>
      </c>
      <c r="BM14" s="30">
        <f>data_origin!U14+data_origin!U388+data_origin!U762</f>
        <v>0</v>
      </c>
      <c r="BN14" s="30">
        <f>data_origin!V14+data_origin!V388+data_origin!V762</f>
        <v>0</v>
      </c>
      <c r="BO14" s="30">
        <f>data_origin!W14+data_origin!W388+data_origin!W762</f>
        <v>0</v>
      </c>
      <c r="BP14" s="30">
        <f>data_origin!X14+data_origin!X388+data_origin!X762</f>
        <v>0</v>
      </c>
      <c r="BQ14" s="30">
        <f>data_origin!Y14+data_origin!Y388+data_origin!Y762</f>
        <v>0</v>
      </c>
      <c r="BR14" s="30">
        <f>data_origin!Z14+data_origin!Z388+data_origin!Z762</f>
        <v>0</v>
      </c>
      <c r="BS14" s="30">
        <f>data_origin!AA14+data_origin!AA388+data_origin!AA762</f>
        <v>0</v>
      </c>
      <c r="BT14" s="9">
        <f t="shared" si="2"/>
        <v>0</v>
      </c>
      <c r="BV14" s="29"/>
      <c r="BW14" s="29"/>
      <c r="BX14" s="29"/>
      <c r="BY14" s="29" t="s">
        <v>81</v>
      </c>
      <c r="BZ14" s="30">
        <f>data_origin!T1136+data_origin!T1510+data_origin!T1884</f>
        <v>0</v>
      </c>
      <c r="CA14" s="30">
        <f>data_origin!U1136+data_origin!U1510+data_origin!U1884</f>
        <v>0</v>
      </c>
      <c r="CB14" s="30">
        <f>data_origin!V1136+data_origin!V1510+data_origin!V1884</f>
        <v>0</v>
      </c>
      <c r="CC14" s="30">
        <f>data_origin!W1136+data_origin!W1510+data_origin!W1884</f>
        <v>0</v>
      </c>
      <c r="CD14" s="30">
        <f>data_origin!X1136+data_origin!X1510+data_origin!X1884</f>
        <v>0</v>
      </c>
      <c r="CE14" s="30">
        <f>data_origin!Y1136+data_origin!Y1510+data_origin!Y1884</f>
        <v>0</v>
      </c>
      <c r="CF14" s="30">
        <f>data_origin!Z1136+data_origin!Z1510+data_origin!Z1884</f>
        <v>0</v>
      </c>
      <c r="CG14" s="30">
        <f>data_origin!AA1136+data_origin!AA1510+data_origin!AA1884</f>
        <v>0</v>
      </c>
      <c r="CH14" s="9">
        <f t="shared" si="3"/>
        <v>0</v>
      </c>
    </row>
    <row r="15" spans="1:86" x14ac:dyDescent="0.25">
      <c r="D15" t="s">
        <v>82</v>
      </c>
      <c r="E15" s="35">
        <f t="shared" si="4"/>
        <v>0</v>
      </c>
      <c r="F15" s="35">
        <f t="shared" si="4"/>
        <v>0</v>
      </c>
      <c r="G15" s="35">
        <f t="shared" si="4"/>
        <v>0</v>
      </c>
      <c r="H15" s="35">
        <f t="shared" si="4"/>
        <v>0</v>
      </c>
      <c r="I15" s="35">
        <f t="shared" si="4"/>
        <v>0</v>
      </c>
      <c r="J15" s="35">
        <f t="shared" si="4"/>
        <v>0</v>
      </c>
      <c r="K15" s="35">
        <f t="shared" si="4"/>
        <v>0</v>
      </c>
      <c r="L15" s="35">
        <f t="shared" si="4"/>
        <v>0</v>
      </c>
      <c r="M15" s="35">
        <f t="shared" si="5"/>
        <v>0</v>
      </c>
      <c r="S15" t="s">
        <v>82</v>
      </c>
      <c r="T15" s="5">
        <f>data_origin!T49</f>
        <v>0</v>
      </c>
      <c r="U15" s="5">
        <f>data_origin!U49</f>
        <v>0</v>
      </c>
      <c r="V15" s="5">
        <f>data_origin!V49</f>
        <v>0</v>
      </c>
      <c r="W15" s="5">
        <f>data_origin!W49</f>
        <v>0</v>
      </c>
      <c r="X15" s="5">
        <f>data_origin!X49</f>
        <v>0</v>
      </c>
      <c r="Y15" s="5">
        <f>data_origin!Y49</f>
        <v>0</v>
      </c>
      <c r="Z15" s="5">
        <f>data_origin!Z49</f>
        <v>0</v>
      </c>
      <c r="AA15" s="5">
        <f>data_origin!AA49</f>
        <v>0</v>
      </c>
      <c r="AB15" s="5">
        <f t="shared" si="1"/>
        <v>0</v>
      </c>
      <c r="AH15" t="s">
        <v>82</v>
      </c>
      <c r="AI15" s="5">
        <f>data_origin!T2262</f>
        <v>0</v>
      </c>
      <c r="AJ15" s="5">
        <f>data_origin!U2262</f>
        <v>0</v>
      </c>
      <c r="AK15" s="5">
        <f>data_origin!V2262</f>
        <v>0</v>
      </c>
      <c r="AL15" s="5">
        <f>data_origin!W2262</f>
        <v>0</v>
      </c>
      <c r="AM15" s="5">
        <f>data_origin!X2262</f>
        <v>0</v>
      </c>
      <c r="AN15" s="5">
        <f>data_origin!Y2262</f>
        <v>0</v>
      </c>
      <c r="AO15" s="5">
        <f>data_origin!Z2262</f>
        <v>0</v>
      </c>
      <c r="AP15" s="5">
        <f>data_origin!AA2262</f>
        <v>0</v>
      </c>
      <c r="AQ15" s="9">
        <f t="shared" si="6"/>
        <v>0</v>
      </c>
      <c r="AV15" t="s">
        <v>82</v>
      </c>
      <c r="AW15" s="5">
        <f>data_origin!T2976</f>
        <v>0</v>
      </c>
      <c r="AX15" s="5">
        <f>data_origin!U2976</f>
        <v>0</v>
      </c>
      <c r="AY15" s="5">
        <f>data_origin!V2976</f>
        <v>0</v>
      </c>
      <c r="AZ15" s="5">
        <f>data_origin!W2976</f>
        <v>0</v>
      </c>
      <c r="BA15" s="5">
        <f>data_origin!X2976</f>
        <v>0</v>
      </c>
      <c r="BB15" s="5">
        <f>data_origin!Y2976</f>
        <v>0</v>
      </c>
      <c r="BC15" s="5">
        <f>data_origin!Z2976</f>
        <v>0</v>
      </c>
      <c r="BD15" s="5">
        <f>data_origin!AA2976</f>
        <v>0</v>
      </c>
      <c r="BE15" s="9">
        <f t="shared" si="7"/>
        <v>0</v>
      </c>
      <c r="BH15" s="29"/>
      <c r="BI15" s="29"/>
      <c r="BJ15" s="29"/>
      <c r="BK15" s="29" t="s">
        <v>82</v>
      </c>
      <c r="BL15" s="30">
        <f>data_origin!T15+data_origin!T389+data_origin!T763</f>
        <v>0</v>
      </c>
      <c r="BM15" s="30">
        <f>data_origin!U15+data_origin!U389+data_origin!U763</f>
        <v>0</v>
      </c>
      <c r="BN15" s="30">
        <f>data_origin!V15+data_origin!V389+data_origin!V763</f>
        <v>0</v>
      </c>
      <c r="BO15" s="30">
        <f>data_origin!W15+data_origin!W389+data_origin!W763</f>
        <v>0</v>
      </c>
      <c r="BP15" s="30">
        <f>data_origin!X15+data_origin!X389+data_origin!X763</f>
        <v>0</v>
      </c>
      <c r="BQ15" s="30">
        <f>data_origin!Y15+data_origin!Y389+data_origin!Y763</f>
        <v>0</v>
      </c>
      <c r="BR15" s="30">
        <f>data_origin!Z15+data_origin!Z389+data_origin!Z763</f>
        <v>0</v>
      </c>
      <c r="BS15" s="30">
        <f>data_origin!AA15+data_origin!AA389+data_origin!AA763</f>
        <v>0</v>
      </c>
      <c r="BT15" s="9">
        <f t="shared" si="2"/>
        <v>0</v>
      </c>
      <c r="BV15" s="29"/>
      <c r="BW15" s="29"/>
      <c r="BX15" s="29"/>
      <c r="BY15" s="29" t="s">
        <v>82</v>
      </c>
      <c r="BZ15" s="30">
        <f>data_origin!T1137+data_origin!T1511+data_origin!T1885</f>
        <v>0</v>
      </c>
      <c r="CA15" s="30">
        <f>data_origin!U1137+data_origin!U1511+data_origin!U1885</f>
        <v>0</v>
      </c>
      <c r="CB15" s="30">
        <f>data_origin!V1137+data_origin!V1511+data_origin!V1885</f>
        <v>0</v>
      </c>
      <c r="CC15" s="30">
        <f>data_origin!W1137+data_origin!W1511+data_origin!W1885</f>
        <v>0</v>
      </c>
      <c r="CD15" s="30">
        <f>data_origin!X1137+data_origin!X1511+data_origin!X1885</f>
        <v>0</v>
      </c>
      <c r="CE15" s="30">
        <f>data_origin!Y1137+data_origin!Y1511+data_origin!Y1885</f>
        <v>0</v>
      </c>
      <c r="CF15" s="30">
        <f>data_origin!Z1137+data_origin!Z1511+data_origin!Z1885</f>
        <v>0</v>
      </c>
      <c r="CG15" s="30">
        <f>data_origin!AA1137+data_origin!AA1511+data_origin!AA1885</f>
        <v>0</v>
      </c>
      <c r="CH15" s="9">
        <f t="shared" si="3"/>
        <v>0</v>
      </c>
    </row>
    <row r="16" spans="1:86" x14ac:dyDescent="0.25">
      <c r="D16" t="s">
        <v>83</v>
      </c>
      <c r="E16" s="35">
        <f t="shared" si="4"/>
        <v>0</v>
      </c>
      <c r="F16" s="35">
        <f t="shared" si="4"/>
        <v>0</v>
      </c>
      <c r="G16" s="35">
        <f t="shared" si="4"/>
        <v>0</v>
      </c>
      <c r="H16" s="35">
        <f t="shared" si="4"/>
        <v>0</v>
      </c>
      <c r="I16" s="35">
        <f t="shared" si="4"/>
        <v>0</v>
      </c>
      <c r="J16" s="35">
        <f t="shared" si="4"/>
        <v>0</v>
      </c>
      <c r="K16" s="35">
        <f t="shared" si="4"/>
        <v>0</v>
      </c>
      <c r="L16" s="35">
        <f t="shared" si="4"/>
        <v>0</v>
      </c>
      <c r="M16" s="35">
        <f t="shared" si="5"/>
        <v>0</v>
      </c>
      <c r="S16" t="s">
        <v>83</v>
      </c>
      <c r="T16" s="5">
        <f>data_origin!T50</f>
        <v>0</v>
      </c>
      <c r="U16" s="5">
        <f>data_origin!U50</f>
        <v>0</v>
      </c>
      <c r="V16" s="5">
        <f>data_origin!V50</f>
        <v>0</v>
      </c>
      <c r="W16" s="5">
        <f>data_origin!W50</f>
        <v>0</v>
      </c>
      <c r="X16" s="5">
        <f>data_origin!X50</f>
        <v>0</v>
      </c>
      <c r="Y16" s="5">
        <f>data_origin!Y50</f>
        <v>0</v>
      </c>
      <c r="Z16" s="5">
        <f>data_origin!Z50</f>
        <v>0</v>
      </c>
      <c r="AA16" s="5">
        <f>data_origin!AA50</f>
        <v>0</v>
      </c>
      <c r="AB16" s="5">
        <f t="shared" si="1"/>
        <v>0</v>
      </c>
      <c r="AH16" t="s">
        <v>83</v>
      </c>
      <c r="AI16" s="5">
        <f>data_origin!T2263</f>
        <v>0</v>
      </c>
      <c r="AJ16" s="5">
        <f>data_origin!U2263</f>
        <v>0</v>
      </c>
      <c r="AK16" s="5">
        <f>data_origin!V2263</f>
        <v>0</v>
      </c>
      <c r="AL16" s="5">
        <f>data_origin!W2263</f>
        <v>0</v>
      </c>
      <c r="AM16" s="5">
        <f>data_origin!X2263</f>
        <v>0</v>
      </c>
      <c r="AN16" s="5">
        <f>data_origin!Y2263</f>
        <v>0</v>
      </c>
      <c r="AO16" s="5">
        <f>data_origin!Z2263</f>
        <v>0</v>
      </c>
      <c r="AP16" s="5">
        <f>data_origin!AA2263</f>
        <v>0</v>
      </c>
      <c r="AQ16" s="9">
        <f t="shared" si="6"/>
        <v>0</v>
      </c>
      <c r="AV16" t="s">
        <v>83</v>
      </c>
      <c r="AW16" s="5">
        <f>data_origin!T2977</f>
        <v>0</v>
      </c>
      <c r="AX16" s="5">
        <f>data_origin!U2977</f>
        <v>0</v>
      </c>
      <c r="AY16" s="5">
        <f>data_origin!V2977</f>
        <v>0</v>
      </c>
      <c r="AZ16" s="5">
        <f>data_origin!W2977</f>
        <v>0</v>
      </c>
      <c r="BA16" s="5">
        <f>data_origin!X2977</f>
        <v>0</v>
      </c>
      <c r="BB16" s="5">
        <f>data_origin!Y2977</f>
        <v>0</v>
      </c>
      <c r="BC16" s="5">
        <f>data_origin!Z2977</f>
        <v>0</v>
      </c>
      <c r="BD16" s="5">
        <f>data_origin!AA2977</f>
        <v>0</v>
      </c>
      <c r="BE16" s="9">
        <f t="shared" si="7"/>
        <v>0</v>
      </c>
      <c r="BH16" s="29"/>
      <c r="BI16" s="29"/>
      <c r="BJ16" s="29"/>
      <c r="BK16" s="29" t="s">
        <v>83</v>
      </c>
      <c r="BL16" s="30">
        <f>data_origin!T16+data_origin!T390+data_origin!T764</f>
        <v>0</v>
      </c>
      <c r="BM16" s="30">
        <f>data_origin!U16+data_origin!U390+data_origin!U764</f>
        <v>0</v>
      </c>
      <c r="BN16" s="30">
        <f>data_origin!V16+data_origin!V390+data_origin!V764</f>
        <v>0</v>
      </c>
      <c r="BO16" s="30">
        <f>data_origin!W16+data_origin!W390+data_origin!W764</f>
        <v>0</v>
      </c>
      <c r="BP16" s="30">
        <f>data_origin!X16+data_origin!X390+data_origin!X764</f>
        <v>0</v>
      </c>
      <c r="BQ16" s="30">
        <f>data_origin!Y16+data_origin!Y390+data_origin!Y764</f>
        <v>0</v>
      </c>
      <c r="BR16" s="30">
        <f>data_origin!Z16+data_origin!Z390+data_origin!Z764</f>
        <v>0</v>
      </c>
      <c r="BS16" s="30">
        <f>data_origin!AA16+data_origin!AA390+data_origin!AA764</f>
        <v>0</v>
      </c>
      <c r="BT16" s="9">
        <f t="shared" si="2"/>
        <v>0</v>
      </c>
      <c r="BV16" s="29"/>
      <c r="BW16" s="29"/>
      <c r="BX16" s="29"/>
      <c r="BY16" s="29" t="s">
        <v>83</v>
      </c>
      <c r="BZ16" s="30">
        <f>data_origin!T1138+data_origin!T1512+data_origin!T1886</f>
        <v>0</v>
      </c>
      <c r="CA16" s="30">
        <f>data_origin!U1138+data_origin!U1512+data_origin!U1886</f>
        <v>0</v>
      </c>
      <c r="CB16" s="30">
        <f>data_origin!V1138+data_origin!V1512+data_origin!V1886</f>
        <v>0</v>
      </c>
      <c r="CC16" s="30">
        <f>data_origin!W1138+data_origin!W1512+data_origin!W1886</f>
        <v>0</v>
      </c>
      <c r="CD16" s="30">
        <f>data_origin!X1138+data_origin!X1512+data_origin!X1886</f>
        <v>0</v>
      </c>
      <c r="CE16" s="30">
        <f>data_origin!Y1138+data_origin!Y1512+data_origin!Y1886</f>
        <v>0</v>
      </c>
      <c r="CF16" s="30">
        <f>data_origin!Z1138+data_origin!Z1512+data_origin!Z1886</f>
        <v>0</v>
      </c>
      <c r="CG16" s="30">
        <f>data_origin!AA1138+data_origin!AA1512+data_origin!AA1886</f>
        <v>0</v>
      </c>
      <c r="CH16" s="9">
        <f t="shared" si="3"/>
        <v>0</v>
      </c>
    </row>
    <row r="17" spans="4:86" x14ac:dyDescent="0.25">
      <c r="D17" t="s">
        <v>84</v>
      </c>
      <c r="E17" s="35">
        <f t="shared" si="4"/>
        <v>0</v>
      </c>
      <c r="F17" s="35">
        <f t="shared" si="4"/>
        <v>0</v>
      </c>
      <c r="G17" s="35">
        <f t="shared" si="4"/>
        <v>0</v>
      </c>
      <c r="H17" s="35">
        <f t="shared" si="4"/>
        <v>0</v>
      </c>
      <c r="I17" s="35">
        <f t="shared" si="4"/>
        <v>0</v>
      </c>
      <c r="J17" s="35">
        <f t="shared" si="4"/>
        <v>0</v>
      </c>
      <c r="K17" s="35">
        <f t="shared" si="4"/>
        <v>0</v>
      </c>
      <c r="L17" s="35">
        <f t="shared" si="4"/>
        <v>0</v>
      </c>
      <c r="M17" s="35">
        <f t="shared" si="5"/>
        <v>0</v>
      </c>
      <c r="S17" t="s">
        <v>84</v>
      </c>
      <c r="T17" s="5">
        <f>data_origin!T51</f>
        <v>0</v>
      </c>
      <c r="U17" s="5">
        <f>data_origin!U51</f>
        <v>0</v>
      </c>
      <c r="V17" s="5">
        <f>data_origin!V51</f>
        <v>0</v>
      </c>
      <c r="W17" s="5">
        <f>data_origin!W51</f>
        <v>0</v>
      </c>
      <c r="X17" s="5">
        <f>data_origin!X51</f>
        <v>0</v>
      </c>
      <c r="Y17" s="5">
        <f>data_origin!Y51</f>
        <v>0</v>
      </c>
      <c r="Z17" s="5">
        <f>data_origin!Z51</f>
        <v>0</v>
      </c>
      <c r="AA17" s="5">
        <f>data_origin!AA51</f>
        <v>0</v>
      </c>
      <c r="AB17" s="5">
        <f t="shared" si="1"/>
        <v>0</v>
      </c>
      <c r="AH17" t="s">
        <v>84</v>
      </c>
      <c r="AI17" s="5">
        <f>data_origin!T2264</f>
        <v>0</v>
      </c>
      <c r="AJ17" s="5">
        <f>data_origin!U2264</f>
        <v>0</v>
      </c>
      <c r="AK17" s="5">
        <f>data_origin!V2264</f>
        <v>0</v>
      </c>
      <c r="AL17" s="5">
        <f>data_origin!W2264</f>
        <v>0</v>
      </c>
      <c r="AM17" s="5">
        <f>data_origin!X2264</f>
        <v>0</v>
      </c>
      <c r="AN17" s="5">
        <f>data_origin!Y2264</f>
        <v>0</v>
      </c>
      <c r="AO17" s="5">
        <f>data_origin!Z2264</f>
        <v>0</v>
      </c>
      <c r="AP17" s="5">
        <f>data_origin!AA2264</f>
        <v>0</v>
      </c>
      <c r="AQ17" s="9">
        <f t="shared" si="6"/>
        <v>0</v>
      </c>
      <c r="AV17" t="s">
        <v>84</v>
      </c>
      <c r="AW17" s="5">
        <f>data_origin!T2978</f>
        <v>0</v>
      </c>
      <c r="AX17" s="5">
        <f>data_origin!U2978</f>
        <v>0</v>
      </c>
      <c r="AY17" s="5">
        <f>data_origin!V2978</f>
        <v>0</v>
      </c>
      <c r="AZ17" s="5">
        <f>data_origin!W2978</f>
        <v>0</v>
      </c>
      <c r="BA17" s="5">
        <f>data_origin!X2978</f>
        <v>0</v>
      </c>
      <c r="BB17" s="5">
        <f>data_origin!Y2978</f>
        <v>0</v>
      </c>
      <c r="BC17" s="5">
        <f>data_origin!Z2978</f>
        <v>0</v>
      </c>
      <c r="BD17" s="5">
        <f>data_origin!AA2978</f>
        <v>0</v>
      </c>
      <c r="BE17" s="9">
        <f t="shared" si="7"/>
        <v>0</v>
      </c>
      <c r="BH17" s="29"/>
      <c r="BI17" s="29"/>
      <c r="BJ17" s="29"/>
      <c r="BK17" s="29" t="s">
        <v>84</v>
      </c>
      <c r="BL17" s="30">
        <f>data_origin!T17+data_origin!T391+data_origin!T765</f>
        <v>0</v>
      </c>
      <c r="BM17" s="30">
        <f>data_origin!U17+data_origin!U391+data_origin!U765</f>
        <v>0</v>
      </c>
      <c r="BN17" s="30">
        <f>data_origin!V17+data_origin!V391+data_origin!V765</f>
        <v>0</v>
      </c>
      <c r="BO17" s="30">
        <f>data_origin!W17+data_origin!W391+data_origin!W765</f>
        <v>0</v>
      </c>
      <c r="BP17" s="30">
        <f>data_origin!X17+data_origin!X391+data_origin!X765</f>
        <v>0</v>
      </c>
      <c r="BQ17" s="30">
        <f>data_origin!Y17+data_origin!Y391+data_origin!Y765</f>
        <v>0</v>
      </c>
      <c r="BR17" s="30">
        <f>data_origin!Z17+data_origin!Z391+data_origin!Z765</f>
        <v>0</v>
      </c>
      <c r="BS17" s="30">
        <f>data_origin!AA17+data_origin!AA391+data_origin!AA765</f>
        <v>0</v>
      </c>
      <c r="BT17" s="9">
        <f t="shared" si="2"/>
        <v>0</v>
      </c>
      <c r="BV17" s="29"/>
      <c r="BW17" s="29"/>
      <c r="BX17" s="29"/>
      <c r="BY17" s="29" t="s">
        <v>84</v>
      </c>
      <c r="BZ17" s="30">
        <f>data_origin!T1139+data_origin!T1513+data_origin!T1887</f>
        <v>0</v>
      </c>
      <c r="CA17" s="30">
        <f>data_origin!U1139+data_origin!U1513+data_origin!U1887</f>
        <v>0</v>
      </c>
      <c r="CB17" s="30">
        <f>data_origin!V1139+data_origin!V1513+data_origin!V1887</f>
        <v>0</v>
      </c>
      <c r="CC17" s="30">
        <f>data_origin!W1139+data_origin!W1513+data_origin!W1887</f>
        <v>0</v>
      </c>
      <c r="CD17" s="30">
        <f>data_origin!X1139+data_origin!X1513+data_origin!X1887</f>
        <v>0</v>
      </c>
      <c r="CE17" s="30">
        <f>data_origin!Y1139+data_origin!Y1513+data_origin!Y1887</f>
        <v>0</v>
      </c>
      <c r="CF17" s="30">
        <f>data_origin!Z1139+data_origin!Z1513+data_origin!Z1887</f>
        <v>0</v>
      </c>
      <c r="CG17" s="30">
        <f>data_origin!AA1139+data_origin!AA1513+data_origin!AA1887</f>
        <v>0</v>
      </c>
      <c r="CH17" s="9">
        <f t="shared" si="3"/>
        <v>0</v>
      </c>
    </row>
    <row r="18" spans="4:86" x14ac:dyDescent="0.25">
      <c r="D18" t="s">
        <v>85</v>
      </c>
      <c r="E18" s="35">
        <f t="shared" si="4"/>
        <v>0</v>
      </c>
      <c r="F18" s="35">
        <f t="shared" si="4"/>
        <v>0</v>
      </c>
      <c r="G18" s="35">
        <f t="shared" si="4"/>
        <v>0</v>
      </c>
      <c r="H18" s="35">
        <f t="shared" si="4"/>
        <v>0</v>
      </c>
      <c r="I18" s="35">
        <f t="shared" si="4"/>
        <v>0</v>
      </c>
      <c r="J18" s="35">
        <f t="shared" si="4"/>
        <v>0</v>
      </c>
      <c r="K18" s="35">
        <f t="shared" si="4"/>
        <v>0</v>
      </c>
      <c r="L18" s="35">
        <f t="shared" si="4"/>
        <v>0</v>
      </c>
      <c r="M18" s="35">
        <f t="shared" si="5"/>
        <v>0</v>
      </c>
      <c r="S18" t="s">
        <v>85</v>
      </c>
      <c r="T18" s="5">
        <f>data_origin!T52</f>
        <v>0</v>
      </c>
      <c r="U18" s="5">
        <f>data_origin!U52</f>
        <v>0</v>
      </c>
      <c r="V18" s="5">
        <f>data_origin!V52</f>
        <v>0</v>
      </c>
      <c r="W18" s="5">
        <f>data_origin!W52</f>
        <v>0</v>
      </c>
      <c r="X18" s="5">
        <f>data_origin!X52</f>
        <v>0</v>
      </c>
      <c r="Y18" s="5">
        <f>data_origin!Y52</f>
        <v>0</v>
      </c>
      <c r="Z18" s="5">
        <f>data_origin!Z52</f>
        <v>0</v>
      </c>
      <c r="AA18" s="5">
        <f>data_origin!AA52</f>
        <v>0</v>
      </c>
      <c r="AB18" s="5">
        <f t="shared" si="1"/>
        <v>0</v>
      </c>
      <c r="AH18" t="s">
        <v>85</v>
      </c>
      <c r="AI18" s="5">
        <f>data_origin!T2265</f>
        <v>0</v>
      </c>
      <c r="AJ18" s="5">
        <f>data_origin!U2265</f>
        <v>0</v>
      </c>
      <c r="AK18" s="5">
        <f>data_origin!V2265</f>
        <v>0</v>
      </c>
      <c r="AL18" s="5">
        <f>data_origin!W2265</f>
        <v>0</v>
      </c>
      <c r="AM18" s="5">
        <f>data_origin!X2265</f>
        <v>0</v>
      </c>
      <c r="AN18" s="5">
        <f>data_origin!Y2265</f>
        <v>0</v>
      </c>
      <c r="AO18" s="5">
        <f>data_origin!Z2265</f>
        <v>0</v>
      </c>
      <c r="AP18" s="5">
        <f>data_origin!AA2265</f>
        <v>0</v>
      </c>
      <c r="AQ18" s="9">
        <f t="shared" si="6"/>
        <v>0</v>
      </c>
      <c r="AV18" t="s">
        <v>85</v>
      </c>
      <c r="AW18" s="5">
        <f>data_origin!T2979</f>
        <v>0</v>
      </c>
      <c r="AX18" s="5">
        <f>data_origin!U2979</f>
        <v>0</v>
      </c>
      <c r="AY18" s="5">
        <f>data_origin!V2979</f>
        <v>0</v>
      </c>
      <c r="AZ18" s="5">
        <f>data_origin!W2979</f>
        <v>0</v>
      </c>
      <c r="BA18" s="5">
        <f>data_origin!X2979</f>
        <v>0</v>
      </c>
      <c r="BB18" s="5">
        <f>data_origin!Y2979</f>
        <v>0</v>
      </c>
      <c r="BC18" s="5">
        <f>data_origin!Z2979</f>
        <v>0</v>
      </c>
      <c r="BD18" s="5">
        <f>data_origin!AA2979</f>
        <v>0</v>
      </c>
      <c r="BE18" s="9">
        <f t="shared" si="7"/>
        <v>0</v>
      </c>
      <c r="BH18" s="29"/>
      <c r="BI18" s="29"/>
      <c r="BJ18" s="29"/>
      <c r="BK18" s="29" t="s">
        <v>85</v>
      </c>
      <c r="BL18" s="30">
        <f>data_origin!T18+data_origin!T392+data_origin!T766</f>
        <v>0</v>
      </c>
      <c r="BM18" s="30">
        <f>data_origin!U18+data_origin!U392+data_origin!U766</f>
        <v>0</v>
      </c>
      <c r="BN18" s="30">
        <f>data_origin!V18+data_origin!V392+data_origin!V766</f>
        <v>0</v>
      </c>
      <c r="BO18" s="30">
        <f>data_origin!W18+data_origin!W392+data_origin!W766</f>
        <v>0</v>
      </c>
      <c r="BP18" s="30">
        <f>data_origin!X18+data_origin!X392+data_origin!X766</f>
        <v>0</v>
      </c>
      <c r="BQ18" s="30">
        <f>data_origin!Y18+data_origin!Y392+data_origin!Y766</f>
        <v>0</v>
      </c>
      <c r="BR18" s="30">
        <f>data_origin!Z18+data_origin!Z392+data_origin!Z766</f>
        <v>0</v>
      </c>
      <c r="BS18" s="30">
        <f>data_origin!AA18+data_origin!AA392+data_origin!AA766</f>
        <v>0</v>
      </c>
      <c r="BT18" s="9">
        <f t="shared" si="2"/>
        <v>0</v>
      </c>
      <c r="BV18" s="29"/>
      <c r="BW18" s="29"/>
      <c r="BX18" s="29"/>
      <c r="BY18" s="29" t="s">
        <v>85</v>
      </c>
      <c r="BZ18" s="30">
        <f>data_origin!T1140+data_origin!T1514+data_origin!T1888</f>
        <v>0</v>
      </c>
      <c r="CA18" s="30">
        <f>data_origin!U1140+data_origin!U1514+data_origin!U1888</f>
        <v>0</v>
      </c>
      <c r="CB18" s="30">
        <f>data_origin!V1140+data_origin!V1514+data_origin!V1888</f>
        <v>0</v>
      </c>
      <c r="CC18" s="30">
        <f>data_origin!W1140+data_origin!W1514+data_origin!W1888</f>
        <v>0</v>
      </c>
      <c r="CD18" s="30">
        <f>data_origin!X1140+data_origin!X1514+data_origin!X1888</f>
        <v>0</v>
      </c>
      <c r="CE18" s="30">
        <f>data_origin!Y1140+data_origin!Y1514+data_origin!Y1888</f>
        <v>0</v>
      </c>
      <c r="CF18" s="30">
        <f>data_origin!Z1140+data_origin!Z1514+data_origin!Z1888</f>
        <v>0</v>
      </c>
      <c r="CG18" s="30">
        <f>data_origin!AA1140+data_origin!AA1514+data_origin!AA1888</f>
        <v>0</v>
      </c>
      <c r="CH18" s="9">
        <f t="shared" si="3"/>
        <v>0</v>
      </c>
    </row>
    <row r="19" spans="4:86" x14ac:dyDescent="0.25">
      <c r="D19" t="s">
        <v>86</v>
      </c>
      <c r="E19" s="35">
        <f t="shared" si="4"/>
        <v>0</v>
      </c>
      <c r="F19" s="35">
        <f t="shared" si="4"/>
        <v>0</v>
      </c>
      <c r="G19" s="35">
        <f t="shared" si="4"/>
        <v>0</v>
      </c>
      <c r="H19" s="35">
        <f t="shared" si="4"/>
        <v>2.318601185771584</v>
      </c>
      <c r="I19" s="35">
        <f t="shared" si="4"/>
        <v>0</v>
      </c>
      <c r="J19" s="35">
        <f t="shared" si="4"/>
        <v>0</v>
      </c>
      <c r="K19" s="35">
        <f t="shared" si="4"/>
        <v>0</v>
      </c>
      <c r="L19" s="35">
        <f t="shared" si="4"/>
        <v>0</v>
      </c>
      <c r="M19" s="35">
        <f t="shared" si="5"/>
        <v>2.318601185771584</v>
      </c>
      <c r="S19" t="s">
        <v>86</v>
      </c>
      <c r="T19" s="5">
        <f>data_origin!T53</f>
        <v>0</v>
      </c>
      <c r="U19" s="5">
        <f>data_origin!U53</f>
        <v>0</v>
      </c>
      <c r="V19" s="5">
        <f>data_origin!V53</f>
        <v>0</v>
      </c>
      <c r="W19" s="5">
        <f>data_origin!W53</f>
        <v>2.3146067415730336</v>
      </c>
      <c r="X19" s="5">
        <f>data_origin!X53</f>
        <v>0</v>
      </c>
      <c r="Y19" s="5">
        <f>data_origin!Y53</f>
        <v>0</v>
      </c>
      <c r="Z19" s="5">
        <f>data_origin!Z53</f>
        <v>0</v>
      </c>
      <c r="AA19" s="5">
        <f>data_origin!AA53</f>
        <v>0</v>
      </c>
      <c r="AB19" s="5">
        <f t="shared" si="1"/>
        <v>2.3146067415730336</v>
      </c>
      <c r="AH19" t="s">
        <v>86</v>
      </c>
      <c r="AI19" s="5">
        <f>data_origin!T2266</f>
        <v>0</v>
      </c>
      <c r="AJ19" s="5">
        <f>data_origin!U2266</f>
        <v>0</v>
      </c>
      <c r="AK19" s="5">
        <f>data_origin!V2266</f>
        <v>0</v>
      </c>
      <c r="AL19" s="5">
        <f>data_origin!W2266</f>
        <v>0</v>
      </c>
      <c r="AM19" s="5">
        <f>data_origin!X2266</f>
        <v>0</v>
      </c>
      <c r="AN19" s="5">
        <f>data_origin!Y2266</f>
        <v>0</v>
      </c>
      <c r="AO19" s="5">
        <f>data_origin!Z2266</f>
        <v>0</v>
      </c>
      <c r="AP19" s="5">
        <f>data_origin!AA2266</f>
        <v>0</v>
      </c>
      <c r="AQ19" s="9">
        <f t="shared" si="6"/>
        <v>0</v>
      </c>
      <c r="AV19" t="s">
        <v>86</v>
      </c>
      <c r="AW19" s="5">
        <f>data_origin!T2980</f>
        <v>0</v>
      </c>
      <c r="AX19" s="5">
        <f>data_origin!U2980</f>
        <v>0</v>
      </c>
      <c r="AY19" s="5">
        <f>data_origin!V2980</f>
        <v>0</v>
      </c>
      <c r="AZ19" s="5">
        <f>data_origin!W2980</f>
        <v>0</v>
      </c>
      <c r="BA19" s="5">
        <f>data_origin!X2980</f>
        <v>0</v>
      </c>
      <c r="BB19" s="5">
        <f>data_origin!Y2980</f>
        <v>0</v>
      </c>
      <c r="BC19" s="5">
        <f>data_origin!Z2980</f>
        <v>0</v>
      </c>
      <c r="BD19" s="5">
        <f>data_origin!AA2980</f>
        <v>0</v>
      </c>
      <c r="BE19" s="9">
        <f t="shared" si="7"/>
        <v>0</v>
      </c>
      <c r="BH19" s="29"/>
      <c r="BI19" s="29"/>
      <c r="BJ19" s="29"/>
      <c r="BK19" s="29" t="s">
        <v>86</v>
      </c>
      <c r="BL19" s="30">
        <f>data_origin!T19+data_origin!T393+data_origin!T767</f>
        <v>0</v>
      </c>
      <c r="BM19" s="30">
        <f>data_origin!U19+data_origin!U393+data_origin!U767</f>
        <v>0</v>
      </c>
      <c r="BN19" s="30">
        <f>data_origin!V19+data_origin!V393+data_origin!V767</f>
        <v>0</v>
      </c>
      <c r="BO19" s="30">
        <f>data_origin!W19+data_origin!W393+data_origin!W767</f>
        <v>0</v>
      </c>
      <c r="BP19" s="30">
        <f>data_origin!X19+data_origin!X393+data_origin!X767</f>
        <v>0</v>
      </c>
      <c r="BQ19" s="30">
        <f>data_origin!Y19+data_origin!Y393+data_origin!Y767</f>
        <v>0</v>
      </c>
      <c r="BR19" s="30">
        <f>data_origin!Z19+data_origin!Z393+data_origin!Z767</f>
        <v>0</v>
      </c>
      <c r="BS19" s="30">
        <f>data_origin!AA19+data_origin!AA393+data_origin!AA767</f>
        <v>0</v>
      </c>
      <c r="BT19" s="9">
        <f t="shared" si="2"/>
        <v>0</v>
      </c>
      <c r="BV19" s="29"/>
      <c r="BW19" s="29"/>
      <c r="BX19" s="29"/>
      <c r="BY19" s="29" t="s">
        <v>86</v>
      </c>
      <c r="BZ19" s="30">
        <f>data_origin!T1141+data_origin!T1515+data_origin!T1889</f>
        <v>0</v>
      </c>
      <c r="CA19" s="30">
        <f>data_origin!U1141+data_origin!U1515+data_origin!U1889</f>
        <v>0</v>
      </c>
      <c r="CB19" s="30">
        <f>data_origin!V1141+data_origin!V1515+data_origin!V1889</f>
        <v>0</v>
      </c>
      <c r="CC19" s="30">
        <f>data_origin!W1141+data_origin!W1515+data_origin!W1889</f>
        <v>0</v>
      </c>
      <c r="CD19" s="30">
        <f>data_origin!X1141+data_origin!X1515+data_origin!X1889</f>
        <v>0</v>
      </c>
      <c r="CE19" s="30">
        <f>data_origin!Y1141+data_origin!Y1515+data_origin!Y1889</f>
        <v>0</v>
      </c>
      <c r="CF19" s="30">
        <f>data_origin!Z1141+data_origin!Z1515+data_origin!Z1889</f>
        <v>0</v>
      </c>
      <c r="CG19" s="30">
        <f>data_origin!AA1141+data_origin!AA1515+data_origin!AA1889</f>
        <v>0</v>
      </c>
      <c r="CH19" s="9">
        <f t="shared" si="3"/>
        <v>0</v>
      </c>
    </row>
    <row r="20" spans="4:86" x14ac:dyDescent="0.25">
      <c r="D20" t="s">
        <v>87</v>
      </c>
      <c r="E20" s="35">
        <f t="shared" si="4"/>
        <v>0</v>
      </c>
      <c r="F20" s="35">
        <f t="shared" si="4"/>
        <v>0</v>
      </c>
      <c r="G20" s="35">
        <f t="shared" si="4"/>
        <v>0</v>
      </c>
      <c r="H20" s="35">
        <f t="shared" si="4"/>
        <v>0</v>
      </c>
      <c r="I20" s="35">
        <f t="shared" si="4"/>
        <v>0</v>
      </c>
      <c r="J20" s="35">
        <f t="shared" si="4"/>
        <v>0</v>
      </c>
      <c r="K20" s="35">
        <f t="shared" si="4"/>
        <v>0</v>
      </c>
      <c r="L20" s="35">
        <f t="shared" si="4"/>
        <v>0</v>
      </c>
      <c r="M20" s="35">
        <f t="shared" si="5"/>
        <v>0</v>
      </c>
      <c r="S20" t="s">
        <v>87</v>
      </c>
      <c r="T20" s="5">
        <f>data_origin!T54</f>
        <v>0</v>
      </c>
      <c r="U20" s="5">
        <f>data_origin!U54</f>
        <v>0</v>
      </c>
      <c r="V20" s="5">
        <f>data_origin!V54</f>
        <v>0</v>
      </c>
      <c r="W20" s="5">
        <f>data_origin!W54</f>
        <v>0</v>
      </c>
      <c r="X20" s="5">
        <f>data_origin!X54</f>
        <v>0</v>
      </c>
      <c r="Y20" s="5">
        <f>data_origin!Y54</f>
        <v>0</v>
      </c>
      <c r="Z20" s="5">
        <f>data_origin!Z54</f>
        <v>0</v>
      </c>
      <c r="AA20" s="5">
        <f>data_origin!AA54</f>
        <v>0</v>
      </c>
      <c r="AB20" s="5">
        <f t="shared" si="1"/>
        <v>0</v>
      </c>
      <c r="AH20" t="s">
        <v>87</v>
      </c>
      <c r="AI20" s="5">
        <f>data_origin!T2267</f>
        <v>0</v>
      </c>
      <c r="AJ20" s="5">
        <f>data_origin!U2267</f>
        <v>0</v>
      </c>
      <c r="AK20" s="5">
        <f>data_origin!V2267</f>
        <v>0</v>
      </c>
      <c r="AL20" s="5">
        <f>data_origin!W2267</f>
        <v>0</v>
      </c>
      <c r="AM20" s="5">
        <f>data_origin!X2267</f>
        <v>0</v>
      </c>
      <c r="AN20" s="5">
        <f>data_origin!Y2267</f>
        <v>0</v>
      </c>
      <c r="AO20" s="5">
        <f>data_origin!Z2267</f>
        <v>0</v>
      </c>
      <c r="AP20" s="5">
        <f>data_origin!AA2267</f>
        <v>0</v>
      </c>
      <c r="AQ20" s="9">
        <f t="shared" si="6"/>
        <v>0</v>
      </c>
      <c r="AV20" t="s">
        <v>87</v>
      </c>
      <c r="AW20" s="5">
        <f>data_origin!T2981</f>
        <v>0</v>
      </c>
      <c r="AX20" s="5">
        <f>data_origin!U2981</f>
        <v>0</v>
      </c>
      <c r="AY20" s="5">
        <f>data_origin!V2981</f>
        <v>0</v>
      </c>
      <c r="AZ20" s="5">
        <f>data_origin!W2981</f>
        <v>0</v>
      </c>
      <c r="BA20" s="5">
        <f>data_origin!X2981</f>
        <v>0</v>
      </c>
      <c r="BB20" s="5">
        <f>data_origin!Y2981</f>
        <v>0</v>
      </c>
      <c r="BC20" s="5">
        <f>data_origin!Z2981</f>
        <v>0</v>
      </c>
      <c r="BD20" s="5">
        <f>data_origin!AA2981</f>
        <v>0</v>
      </c>
      <c r="BE20" s="9">
        <f t="shared" si="7"/>
        <v>0</v>
      </c>
      <c r="BH20" s="29"/>
      <c r="BI20" s="29"/>
      <c r="BJ20" s="29"/>
      <c r="BK20" s="29" t="s">
        <v>87</v>
      </c>
      <c r="BL20" s="30">
        <f>data_origin!T20+data_origin!T394+data_origin!T768</f>
        <v>0</v>
      </c>
      <c r="BM20" s="30">
        <f>data_origin!U20+data_origin!U394+data_origin!U768</f>
        <v>0</v>
      </c>
      <c r="BN20" s="30">
        <f>data_origin!V20+data_origin!V394+data_origin!V768</f>
        <v>0</v>
      </c>
      <c r="BO20" s="30">
        <f>data_origin!W20+data_origin!W394+data_origin!W768</f>
        <v>0</v>
      </c>
      <c r="BP20" s="30">
        <f>data_origin!X20+data_origin!X394+data_origin!X768</f>
        <v>0</v>
      </c>
      <c r="BQ20" s="30">
        <f>data_origin!Y20+data_origin!Y394+data_origin!Y768</f>
        <v>0</v>
      </c>
      <c r="BR20" s="30">
        <f>data_origin!Z20+data_origin!Z394+data_origin!Z768</f>
        <v>0</v>
      </c>
      <c r="BS20" s="30">
        <f>data_origin!AA20+data_origin!AA394+data_origin!AA768</f>
        <v>0</v>
      </c>
      <c r="BT20" s="9">
        <f t="shared" si="2"/>
        <v>0</v>
      </c>
      <c r="BV20" s="29"/>
      <c r="BW20" s="29"/>
      <c r="BX20" s="29"/>
      <c r="BY20" s="29" t="s">
        <v>87</v>
      </c>
      <c r="BZ20" s="30">
        <f>data_origin!T1142+data_origin!T1516+data_origin!T1890</f>
        <v>0</v>
      </c>
      <c r="CA20" s="30">
        <f>data_origin!U1142+data_origin!U1516+data_origin!U1890</f>
        <v>0</v>
      </c>
      <c r="CB20" s="30">
        <f>data_origin!V1142+data_origin!V1516+data_origin!V1890</f>
        <v>0</v>
      </c>
      <c r="CC20" s="30">
        <f>data_origin!W1142+data_origin!W1516+data_origin!W1890</f>
        <v>0</v>
      </c>
      <c r="CD20" s="30">
        <f>data_origin!X1142+data_origin!X1516+data_origin!X1890</f>
        <v>0</v>
      </c>
      <c r="CE20" s="30">
        <f>data_origin!Y1142+data_origin!Y1516+data_origin!Y1890</f>
        <v>0</v>
      </c>
      <c r="CF20" s="30">
        <f>data_origin!Z1142+data_origin!Z1516+data_origin!Z1890</f>
        <v>0</v>
      </c>
      <c r="CG20" s="30">
        <f>data_origin!AA1142+data_origin!AA1516+data_origin!AA1890</f>
        <v>0</v>
      </c>
      <c r="CH20" s="9">
        <f t="shared" si="3"/>
        <v>0</v>
      </c>
    </row>
    <row r="21" spans="4:86" x14ac:dyDescent="0.25">
      <c r="D21" t="s">
        <v>88</v>
      </c>
      <c r="E21" s="35">
        <f t="shared" si="4"/>
        <v>0</v>
      </c>
      <c r="F21" s="35">
        <f t="shared" si="4"/>
        <v>0</v>
      </c>
      <c r="G21" s="35">
        <f t="shared" si="4"/>
        <v>10.376796536796537</v>
      </c>
      <c r="H21" s="35">
        <f t="shared" si="4"/>
        <v>17.38950889328688</v>
      </c>
      <c r="I21" s="35">
        <f t="shared" si="4"/>
        <v>3.3557372266250662</v>
      </c>
      <c r="J21" s="35">
        <f t="shared" si="4"/>
        <v>0</v>
      </c>
      <c r="K21" s="35">
        <f t="shared" si="4"/>
        <v>0</v>
      </c>
      <c r="L21" s="35">
        <f t="shared" si="4"/>
        <v>0</v>
      </c>
      <c r="M21" s="35">
        <f t="shared" si="5"/>
        <v>31.122042656708484</v>
      </c>
      <c r="S21" t="s">
        <v>88</v>
      </c>
      <c r="T21" s="5">
        <f>data_origin!T55</f>
        <v>0</v>
      </c>
      <c r="U21" s="5">
        <f>data_origin!U55</f>
        <v>0</v>
      </c>
      <c r="V21" s="5">
        <f>data_origin!V55</f>
        <v>10.363636363636363</v>
      </c>
      <c r="W21" s="5">
        <f>data_origin!W55</f>
        <v>17.359550561797754</v>
      </c>
      <c r="X21" s="5">
        <f>data_origin!X55</f>
        <v>3.3461538461538463</v>
      </c>
      <c r="Y21" s="5">
        <f>data_origin!Y55</f>
        <v>0</v>
      </c>
      <c r="Z21" s="5">
        <f>data_origin!Z55</f>
        <v>0</v>
      </c>
      <c r="AA21" s="5">
        <f>data_origin!AA55</f>
        <v>0</v>
      </c>
      <c r="AB21" s="5">
        <f t="shared" si="1"/>
        <v>31.069340771587964</v>
      </c>
      <c r="AH21" t="s">
        <v>88</v>
      </c>
      <c r="AI21" s="5">
        <f>data_origin!T2268</f>
        <v>0</v>
      </c>
      <c r="AJ21" s="5">
        <f>data_origin!U2268</f>
        <v>0</v>
      </c>
      <c r="AK21" s="5">
        <f>data_origin!V2268</f>
        <v>0</v>
      </c>
      <c r="AL21" s="5">
        <f>data_origin!W2268</f>
        <v>0</v>
      </c>
      <c r="AM21" s="5">
        <f>data_origin!X2268</f>
        <v>0</v>
      </c>
      <c r="AN21" s="5">
        <f>data_origin!Y2268</f>
        <v>0</v>
      </c>
      <c r="AO21" s="5">
        <f>data_origin!Z2268</f>
        <v>0</v>
      </c>
      <c r="AP21" s="5">
        <f>data_origin!AA2268</f>
        <v>0</v>
      </c>
      <c r="AQ21" s="9">
        <f t="shared" si="6"/>
        <v>0</v>
      </c>
      <c r="AV21" t="s">
        <v>88</v>
      </c>
      <c r="AW21" s="5">
        <f>data_origin!T2982</f>
        <v>0</v>
      </c>
      <c r="AX21" s="5">
        <f>data_origin!U2982</f>
        <v>0</v>
      </c>
      <c r="AY21" s="5">
        <f>data_origin!V2982</f>
        <v>0</v>
      </c>
      <c r="AZ21" s="5">
        <f>data_origin!W2982</f>
        <v>0</v>
      </c>
      <c r="BA21" s="5">
        <f>data_origin!X2982</f>
        <v>0</v>
      </c>
      <c r="BB21" s="5">
        <f>data_origin!Y2982</f>
        <v>0</v>
      </c>
      <c r="BC21" s="5">
        <f>data_origin!Z2982</f>
        <v>0</v>
      </c>
      <c r="BD21" s="5">
        <f>data_origin!AA2982</f>
        <v>0</v>
      </c>
      <c r="BE21" s="9">
        <f t="shared" si="7"/>
        <v>0</v>
      </c>
      <c r="BH21" s="29"/>
      <c r="BI21" s="29"/>
      <c r="BJ21" s="29"/>
      <c r="BK21" s="29" t="s">
        <v>88</v>
      </c>
      <c r="BL21" s="30">
        <f>data_origin!T21+data_origin!T395+data_origin!T769</f>
        <v>0</v>
      </c>
      <c r="BM21" s="30">
        <f>data_origin!U21+data_origin!U395+data_origin!U769</f>
        <v>0</v>
      </c>
      <c r="BN21" s="30">
        <f>data_origin!V21+data_origin!V395+data_origin!V769</f>
        <v>0</v>
      </c>
      <c r="BO21" s="30">
        <f>data_origin!W21+data_origin!W395+data_origin!W769</f>
        <v>0</v>
      </c>
      <c r="BP21" s="30">
        <f>data_origin!X21+data_origin!X395+data_origin!X769</f>
        <v>0</v>
      </c>
      <c r="BQ21" s="30">
        <f>data_origin!Y21+data_origin!Y395+data_origin!Y769</f>
        <v>0</v>
      </c>
      <c r="BR21" s="30">
        <f>data_origin!Z21+data_origin!Z395+data_origin!Z769</f>
        <v>0</v>
      </c>
      <c r="BS21" s="30">
        <f>data_origin!AA21+data_origin!AA395+data_origin!AA769</f>
        <v>0</v>
      </c>
      <c r="BT21" s="9">
        <f t="shared" si="2"/>
        <v>0</v>
      </c>
      <c r="BV21" s="29"/>
      <c r="BW21" s="29"/>
      <c r="BX21" s="29"/>
      <c r="BY21" s="29" t="s">
        <v>88</v>
      </c>
      <c r="BZ21" s="30">
        <f>data_origin!T1143+data_origin!T1517+data_origin!T1891</f>
        <v>0</v>
      </c>
      <c r="CA21" s="30">
        <f>data_origin!U1143+data_origin!U1517+data_origin!U1891</f>
        <v>0</v>
      </c>
      <c r="CB21" s="30">
        <f>data_origin!V1143+data_origin!V1517+data_origin!V1891</f>
        <v>0</v>
      </c>
      <c r="CC21" s="30">
        <f>data_origin!W1143+data_origin!W1517+data_origin!W1891</f>
        <v>0</v>
      </c>
      <c r="CD21" s="30">
        <f>data_origin!X1143+data_origin!X1517+data_origin!X1891</f>
        <v>0</v>
      </c>
      <c r="CE21" s="30">
        <f>data_origin!Y1143+data_origin!Y1517+data_origin!Y1891</f>
        <v>0</v>
      </c>
      <c r="CF21" s="30">
        <f>data_origin!Z1143+data_origin!Z1517+data_origin!Z1891</f>
        <v>0</v>
      </c>
      <c r="CG21" s="30">
        <f>data_origin!AA1143+data_origin!AA1517+data_origin!AA1891</f>
        <v>0</v>
      </c>
      <c r="CH21" s="9">
        <f t="shared" si="3"/>
        <v>0</v>
      </c>
    </row>
    <row r="22" spans="4:86" x14ac:dyDescent="0.25">
      <c r="D22" t="s">
        <v>89</v>
      </c>
      <c r="E22" s="35">
        <f t="shared" si="4"/>
        <v>0</v>
      </c>
      <c r="F22" s="35">
        <f t="shared" si="4"/>
        <v>0</v>
      </c>
      <c r="G22" s="35">
        <f t="shared" si="4"/>
        <v>0</v>
      </c>
      <c r="H22" s="35">
        <f t="shared" si="4"/>
        <v>0</v>
      </c>
      <c r="I22" s="35">
        <f t="shared" si="4"/>
        <v>1.1185790755416889</v>
      </c>
      <c r="J22" s="35">
        <f t="shared" si="4"/>
        <v>0</v>
      </c>
      <c r="K22" s="35">
        <f t="shared" si="4"/>
        <v>0</v>
      </c>
      <c r="L22" s="35">
        <f t="shared" si="4"/>
        <v>0</v>
      </c>
      <c r="M22" s="35">
        <f t="shared" si="5"/>
        <v>1.1185790755416889</v>
      </c>
      <c r="S22" t="s">
        <v>89</v>
      </c>
      <c r="T22" s="5">
        <f>data_origin!T56</f>
        <v>0</v>
      </c>
      <c r="U22" s="5">
        <f>data_origin!U56</f>
        <v>0</v>
      </c>
      <c r="V22" s="5">
        <f>data_origin!V56</f>
        <v>0</v>
      </c>
      <c r="W22" s="5">
        <f>data_origin!W56</f>
        <v>0</v>
      </c>
      <c r="X22" s="5">
        <f>data_origin!X56</f>
        <v>1.1153846153846154</v>
      </c>
      <c r="Y22" s="5">
        <f>data_origin!Y56</f>
        <v>0</v>
      </c>
      <c r="Z22" s="5">
        <f>data_origin!Z56</f>
        <v>0</v>
      </c>
      <c r="AA22" s="5">
        <f>data_origin!AA56</f>
        <v>0</v>
      </c>
      <c r="AB22" s="5">
        <f t="shared" si="1"/>
        <v>1.1153846153846154</v>
      </c>
      <c r="AH22" t="s">
        <v>89</v>
      </c>
      <c r="AI22" s="5">
        <f>data_origin!T2269</f>
        <v>0</v>
      </c>
      <c r="AJ22" s="5">
        <f>data_origin!U2269</f>
        <v>0</v>
      </c>
      <c r="AK22" s="5">
        <f>data_origin!V2269</f>
        <v>0</v>
      </c>
      <c r="AL22" s="5">
        <f>data_origin!W2269</f>
        <v>0</v>
      </c>
      <c r="AM22" s="5">
        <f>data_origin!X2269</f>
        <v>0</v>
      </c>
      <c r="AN22" s="5">
        <f>data_origin!Y2269</f>
        <v>0</v>
      </c>
      <c r="AO22" s="5">
        <f>data_origin!Z2269</f>
        <v>0</v>
      </c>
      <c r="AP22" s="5">
        <f>data_origin!AA2269</f>
        <v>0</v>
      </c>
      <c r="AQ22" s="9">
        <f t="shared" si="6"/>
        <v>0</v>
      </c>
      <c r="AV22" t="s">
        <v>89</v>
      </c>
      <c r="AW22" s="5">
        <f>data_origin!T2983</f>
        <v>0</v>
      </c>
      <c r="AX22" s="5">
        <f>data_origin!U2983</f>
        <v>0</v>
      </c>
      <c r="AY22" s="5">
        <f>data_origin!V2983</f>
        <v>0</v>
      </c>
      <c r="AZ22" s="5">
        <f>data_origin!W2983</f>
        <v>0</v>
      </c>
      <c r="BA22" s="5">
        <f>data_origin!X2983</f>
        <v>0</v>
      </c>
      <c r="BB22" s="5">
        <f>data_origin!Y2983</f>
        <v>0</v>
      </c>
      <c r="BC22" s="5">
        <f>data_origin!Z2983</f>
        <v>0</v>
      </c>
      <c r="BD22" s="5">
        <f>data_origin!AA2983</f>
        <v>0</v>
      </c>
      <c r="BE22" s="9">
        <f t="shared" si="7"/>
        <v>0</v>
      </c>
      <c r="BH22" s="29"/>
      <c r="BI22" s="29"/>
      <c r="BJ22" s="29"/>
      <c r="BK22" s="29" t="s">
        <v>89</v>
      </c>
      <c r="BL22" s="30">
        <f>data_origin!T22+data_origin!T396+data_origin!T770</f>
        <v>0</v>
      </c>
      <c r="BM22" s="30">
        <f>data_origin!U22+data_origin!U396+data_origin!U770</f>
        <v>0</v>
      </c>
      <c r="BN22" s="30">
        <f>data_origin!V22+data_origin!V396+data_origin!V770</f>
        <v>0</v>
      </c>
      <c r="BO22" s="30">
        <f>data_origin!W22+data_origin!W396+data_origin!W770</f>
        <v>0</v>
      </c>
      <c r="BP22" s="30">
        <f>data_origin!X22+data_origin!X396+data_origin!X770</f>
        <v>0</v>
      </c>
      <c r="BQ22" s="30">
        <f>data_origin!Y22+data_origin!Y396+data_origin!Y770</f>
        <v>0</v>
      </c>
      <c r="BR22" s="30">
        <f>data_origin!Z22+data_origin!Z396+data_origin!Z770</f>
        <v>0</v>
      </c>
      <c r="BS22" s="30">
        <f>data_origin!AA22+data_origin!AA396+data_origin!AA770</f>
        <v>0</v>
      </c>
      <c r="BT22" s="9">
        <f t="shared" si="2"/>
        <v>0</v>
      </c>
      <c r="BV22" s="29"/>
      <c r="BW22" s="29"/>
      <c r="BX22" s="29"/>
      <c r="BY22" s="29" t="s">
        <v>89</v>
      </c>
      <c r="BZ22" s="30">
        <f>data_origin!T1144+data_origin!T1518+data_origin!T1892</f>
        <v>0</v>
      </c>
      <c r="CA22" s="30">
        <f>data_origin!U1144+data_origin!U1518+data_origin!U1892</f>
        <v>0</v>
      </c>
      <c r="CB22" s="30">
        <f>data_origin!V1144+data_origin!V1518+data_origin!V1892</f>
        <v>0</v>
      </c>
      <c r="CC22" s="30">
        <f>data_origin!W1144+data_origin!W1518+data_origin!W1892</f>
        <v>0</v>
      </c>
      <c r="CD22" s="30">
        <f>data_origin!X1144+data_origin!X1518+data_origin!X1892</f>
        <v>0</v>
      </c>
      <c r="CE22" s="30">
        <f>data_origin!Y1144+data_origin!Y1518+data_origin!Y1892</f>
        <v>0</v>
      </c>
      <c r="CF22" s="30">
        <f>data_origin!Z1144+data_origin!Z1518+data_origin!Z1892</f>
        <v>0</v>
      </c>
      <c r="CG22" s="30">
        <f>data_origin!AA1144+data_origin!AA1518+data_origin!AA1892</f>
        <v>0</v>
      </c>
      <c r="CH22" s="9">
        <f t="shared" si="3"/>
        <v>0</v>
      </c>
    </row>
    <row r="23" spans="4:86" x14ac:dyDescent="0.25">
      <c r="D23" t="s">
        <v>90</v>
      </c>
      <c r="E23" s="35">
        <f t="shared" si="4"/>
        <v>0</v>
      </c>
      <c r="F23" s="35">
        <f t="shared" si="4"/>
        <v>0</v>
      </c>
      <c r="G23" s="35">
        <f t="shared" si="4"/>
        <v>0</v>
      </c>
      <c r="H23" s="35">
        <f t="shared" si="4"/>
        <v>0</v>
      </c>
      <c r="I23" s="35">
        <f t="shared" si="4"/>
        <v>0</v>
      </c>
      <c r="J23" s="35">
        <f t="shared" si="4"/>
        <v>0</v>
      </c>
      <c r="K23" s="35">
        <f t="shared" si="4"/>
        <v>0</v>
      </c>
      <c r="L23" s="35">
        <f t="shared" si="4"/>
        <v>0</v>
      </c>
      <c r="M23" s="35">
        <f t="shared" si="5"/>
        <v>0</v>
      </c>
      <c r="S23" t="s">
        <v>90</v>
      </c>
      <c r="T23" s="5">
        <f>data_origin!T57</f>
        <v>0</v>
      </c>
      <c r="U23" s="5">
        <f>data_origin!U57</f>
        <v>0</v>
      </c>
      <c r="V23" s="5">
        <f>data_origin!V57</f>
        <v>0</v>
      </c>
      <c r="W23" s="5">
        <f>data_origin!W57</f>
        <v>0</v>
      </c>
      <c r="X23" s="5">
        <f>data_origin!X57</f>
        <v>0</v>
      </c>
      <c r="Y23" s="5">
        <f>data_origin!Y57</f>
        <v>0</v>
      </c>
      <c r="Z23" s="5">
        <f>data_origin!Z57</f>
        <v>0</v>
      </c>
      <c r="AA23" s="5">
        <f>data_origin!AA57</f>
        <v>0</v>
      </c>
      <c r="AB23" s="5">
        <f t="shared" si="1"/>
        <v>0</v>
      </c>
      <c r="AH23" t="s">
        <v>90</v>
      </c>
      <c r="AI23" s="5">
        <f>data_origin!T2270</f>
        <v>0</v>
      </c>
      <c r="AJ23" s="5">
        <f>data_origin!U2270</f>
        <v>0</v>
      </c>
      <c r="AK23" s="5">
        <f>data_origin!V2270</f>
        <v>0</v>
      </c>
      <c r="AL23" s="5">
        <f>data_origin!W2270</f>
        <v>0</v>
      </c>
      <c r="AM23" s="5">
        <f>data_origin!X2270</f>
        <v>0</v>
      </c>
      <c r="AN23" s="5">
        <f>data_origin!Y2270</f>
        <v>0</v>
      </c>
      <c r="AO23" s="5">
        <f>data_origin!Z2270</f>
        <v>0</v>
      </c>
      <c r="AP23" s="5">
        <f>data_origin!AA2270</f>
        <v>0</v>
      </c>
      <c r="AQ23" s="9">
        <f t="shared" si="6"/>
        <v>0</v>
      </c>
      <c r="AV23" t="s">
        <v>90</v>
      </c>
      <c r="AW23" s="5">
        <f>data_origin!T2984</f>
        <v>0</v>
      </c>
      <c r="AX23" s="5">
        <f>data_origin!U2984</f>
        <v>0</v>
      </c>
      <c r="AY23" s="5">
        <f>data_origin!V2984</f>
        <v>0</v>
      </c>
      <c r="AZ23" s="5">
        <f>data_origin!W2984</f>
        <v>0</v>
      </c>
      <c r="BA23" s="5">
        <f>data_origin!X2984</f>
        <v>0</v>
      </c>
      <c r="BB23" s="5">
        <f>data_origin!Y2984</f>
        <v>0</v>
      </c>
      <c r="BC23" s="5">
        <f>data_origin!Z2984</f>
        <v>0</v>
      </c>
      <c r="BD23" s="5">
        <f>data_origin!AA2984</f>
        <v>0</v>
      </c>
      <c r="BE23" s="9">
        <f t="shared" si="7"/>
        <v>0</v>
      </c>
      <c r="BH23" s="29"/>
      <c r="BI23" s="29"/>
      <c r="BJ23" s="29"/>
      <c r="BK23" s="29" t="s">
        <v>90</v>
      </c>
      <c r="BL23" s="30">
        <f>data_origin!T23+data_origin!T397+data_origin!T771</f>
        <v>0</v>
      </c>
      <c r="BM23" s="30">
        <f>data_origin!U23+data_origin!U397+data_origin!U771</f>
        <v>0</v>
      </c>
      <c r="BN23" s="30">
        <f>data_origin!V23+data_origin!V397+data_origin!V771</f>
        <v>0</v>
      </c>
      <c r="BO23" s="30">
        <f>data_origin!W23+data_origin!W397+data_origin!W771</f>
        <v>0</v>
      </c>
      <c r="BP23" s="30">
        <f>data_origin!X23+data_origin!X397+data_origin!X771</f>
        <v>0</v>
      </c>
      <c r="BQ23" s="30">
        <f>data_origin!Y23+data_origin!Y397+data_origin!Y771</f>
        <v>0</v>
      </c>
      <c r="BR23" s="30">
        <f>data_origin!Z23+data_origin!Z397+data_origin!Z771</f>
        <v>0</v>
      </c>
      <c r="BS23" s="30">
        <f>data_origin!AA23+data_origin!AA397+data_origin!AA771</f>
        <v>0</v>
      </c>
      <c r="BT23" s="9">
        <f t="shared" si="2"/>
        <v>0</v>
      </c>
      <c r="BV23" s="29"/>
      <c r="BW23" s="29"/>
      <c r="BX23" s="29"/>
      <c r="BY23" s="29" t="s">
        <v>90</v>
      </c>
      <c r="BZ23" s="30">
        <f>data_origin!T1145+data_origin!T1519+data_origin!T1893</f>
        <v>0</v>
      </c>
      <c r="CA23" s="30">
        <f>data_origin!U1145+data_origin!U1519+data_origin!U1893</f>
        <v>0</v>
      </c>
      <c r="CB23" s="30">
        <f>data_origin!V1145+data_origin!V1519+data_origin!V1893</f>
        <v>0</v>
      </c>
      <c r="CC23" s="30">
        <f>data_origin!W1145+data_origin!W1519+data_origin!W1893</f>
        <v>0</v>
      </c>
      <c r="CD23" s="30">
        <f>data_origin!X1145+data_origin!X1519+data_origin!X1893</f>
        <v>0</v>
      </c>
      <c r="CE23" s="30">
        <f>data_origin!Y1145+data_origin!Y1519+data_origin!Y1893</f>
        <v>0</v>
      </c>
      <c r="CF23" s="30">
        <f>data_origin!Z1145+data_origin!Z1519+data_origin!Z1893</f>
        <v>0</v>
      </c>
      <c r="CG23" s="30">
        <f>data_origin!AA1145+data_origin!AA1519+data_origin!AA1893</f>
        <v>0</v>
      </c>
      <c r="CH23" s="9">
        <f t="shared" si="3"/>
        <v>0</v>
      </c>
    </row>
    <row r="24" spans="4:86" x14ac:dyDescent="0.25">
      <c r="D24" t="s">
        <v>91</v>
      </c>
      <c r="E24" s="35">
        <f t="shared" si="4"/>
        <v>0</v>
      </c>
      <c r="F24" s="35">
        <f t="shared" si="4"/>
        <v>0</v>
      </c>
      <c r="G24" s="35">
        <f t="shared" si="4"/>
        <v>0</v>
      </c>
      <c r="H24" s="35">
        <f t="shared" si="4"/>
        <v>0</v>
      </c>
      <c r="I24" s="35">
        <f t="shared" si="4"/>
        <v>0</v>
      </c>
      <c r="J24" s="35">
        <f t="shared" si="4"/>
        <v>0</v>
      </c>
      <c r="K24" s="35">
        <f t="shared" si="4"/>
        <v>0</v>
      </c>
      <c r="L24" s="35">
        <f t="shared" si="4"/>
        <v>0</v>
      </c>
      <c r="M24" s="35">
        <f t="shared" si="5"/>
        <v>0</v>
      </c>
      <c r="S24" t="s">
        <v>91</v>
      </c>
      <c r="T24" s="5">
        <f>data_origin!T58</f>
        <v>0</v>
      </c>
      <c r="U24" s="5">
        <f>data_origin!U58</f>
        <v>0</v>
      </c>
      <c r="V24" s="5">
        <f>data_origin!V58</f>
        <v>0</v>
      </c>
      <c r="W24" s="5">
        <f>data_origin!W58</f>
        <v>0</v>
      </c>
      <c r="X24" s="5">
        <f>data_origin!X58</f>
        <v>0</v>
      </c>
      <c r="Y24" s="5">
        <f>data_origin!Y58</f>
        <v>0</v>
      </c>
      <c r="Z24" s="5">
        <f>data_origin!Z58</f>
        <v>0</v>
      </c>
      <c r="AA24" s="5">
        <f>data_origin!AA58</f>
        <v>0</v>
      </c>
      <c r="AB24" s="5">
        <f t="shared" si="1"/>
        <v>0</v>
      </c>
      <c r="AH24" t="s">
        <v>91</v>
      </c>
      <c r="AI24" s="5">
        <f>data_origin!T2271</f>
        <v>0</v>
      </c>
      <c r="AJ24" s="5">
        <f>data_origin!U2271</f>
        <v>0</v>
      </c>
      <c r="AK24" s="5">
        <f>data_origin!V2271</f>
        <v>0</v>
      </c>
      <c r="AL24" s="5">
        <f>data_origin!W2271</f>
        <v>0</v>
      </c>
      <c r="AM24" s="5">
        <f>data_origin!X2271</f>
        <v>0</v>
      </c>
      <c r="AN24" s="5">
        <f>data_origin!Y2271</f>
        <v>0</v>
      </c>
      <c r="AO24" s="5">
        <f>data_origin!Z2271</f>
        <v>0</v>
      </c>
      <c r="AP24" s="5">
        <f>data_origin!AA2271</f>
        <v>0</v>
      </c>
      <c r="AQ24" s="9">
        <f t="shared" si="6"/>
        <v>0</v>
      </c>
      <c r="AV24" t="s">
        <v>91</v>
      </c>
      <c r="AW24" s="5">
        <f>data_origin!T2985</f>
        <v>0</v>
      </c>
      <c r="AX24" s="5">
        <f>data_origin!U2985</f>
        <v>0</v>
      </c>
      <c r="AY24" s="5">
        <f>data_origin!V2985</f>
        <v>0</v>
      </c>
      <c r="AZ24" s="5">
        <f>data_origin!W2985</f>
        <v>0</v>
      </c>
      <c r="BA24" s="5">
        <f>data_origin!X2985</f>
        <v>0</v>
      </c>
      <c r="BB24" s="5">
        <f>data_origin!Y2985</f>
        <v>0</v>
      </c>
      <c r="BC24" s="5">
        <f>data_origin!Z2985</f>
        <v>0</v>
      </c>
      <c r="BD24" s="5">
        <f>data_origin!AA2985</f>
        <v>0</v>
      </c>
      <c r="BE24" s="9">
        <f t="shared" si="7"/>
        <v>0</v>
      </c>
      <c r="BH24" s="29"/>
      <c r="BI24" s="29"/>
      <c r="BJ24" s="29"/>
      <c r="BK24" s="29" t="s">
        <v>91</v>
      </c>
      <c r="BL24" s="30">
        <f>data_origin!T24+data_origin!T398+data_origin!T772</f>
        <v>0</v>
      </c>
      <c r="BM24" s="30">
        <f>data_origin!U24+data_origin!U398+data_origin!U772</f>
        <v>0</v>
      </c>
      <c r="BN24" s="30">
        <f>data_origin!V24+data_origin!V398+data_origin!V772</f>
        <v>0</v>
      </c>
      <c r="BO24" s="30">
        <f>data_origin!W24+data_origin!W398+data_origin!W772</f>
        <v>0</v>
      </c>
      <c r="BP24" s="30">
        <f>data_origin!X24+data_origin!X398+data_origin!X772</f>
        <v>0</v>
      </c>
      <c r="BQ24" s="30">
        <f>data_origin!Y24+data_origin!Y398+data_origin!Y772</f>
        <v>0</v>
      </c>
      <c r="BR24" s="30">
        <f>data_origin!Z24+data_origin!Z398+data_origin!Z772</f>
        <v>0</v>
      </c>
      <c r="BS24" s="30">
        <f>data_origin!AA24+data_origin!AA398+data_origin!AA772</f>
        <v>0</v>
      </c>
      <c r="BT24" s="9">
        <f t="shared" si="2"/>
        <v>0</v>
      </c>
      <c r="BV24" s="29"/>
      <c r="BW24" s="29"/>
      <c r="BX24" s="29"/>
      <c r="BY24" s="29" t="s">
        <v>91</v>
      </c>
      <c r="BZ24" s="30">
        <f>data_origin!T1146+data_origin!T1520+data_origin!T1894</f>
        <v>0</v>
      </c>
      <c r="CA24" s="30">
        <f>data_origin!U1146+data_origin!U1520+data_origin!U1894</f>
        <v>0</v>
      </c>
      <c r="CB24" s="30">
        <f>data_origin!V1146+data_origin!V1520+data_origin!V1894</f>
        <v>0</v>
      </c>
      <c r="CC24" s="30">
        <f>data_origin!W1146+data_origin!W1520+data_origin!W1894</f>
        <v>0</v>
      </c>
      <c r="CD24" s="30">
        <f>data_origin!X1146+data_origin!X1520+data_origin!X1894</f>
        <v>0</v>
      </c>
      <c r="CE24" s="30">
        <f>data_origin!Y1146+data_origin!Y1520+data_origin!Y1894</f>
        <v>0</v>
      </c>
      <c r="CF24" s="30">
        <f>data_origin!Z1146+data_origin!Z1520+data_origin!Z1894</f>
        <v>0</v>
      </c>
      <c r="CG24" s="30">
        <f>data_origin!AA1146+data_origin!AA1520+data_origin!AA1894</f>
        <v>0</v>
      </c>
      <c r="CH24" s="9">
        <f t="shared" si="3"/>
        <v>0</v>
      </c>
    </row>
    <row r="25" spans="4:86" x14ac:dyDescent="0.25">
      <c r="D25" t="s">
        <v>92</v>
      </c>
      <c r="E25" s="35">
        <f t="shared" si="4"/>
        <v>0</v>
      </c>
      <c r="F25" s="35">
        <f t="shared" si="4"/>
        <v>0</v>
      </c>
      <c r="G25" s="35">
        <f t="shared" si="4"/>
        <v>0</v>
      </c>
      <c r="H25" s="35">
        <f t="shared" si="4"/>
        <v>0</v>
      </c>
      <c r="I25" s="35">
        <f t="shared" si="4"/>
        <v>0</v>
      </c>
      <c r="J25" s="35">
        <f t="shared" si="4"/>
        <v>0</v>
      </c>
      <c r="K25" s="35">
        <f t="shared" si="4"/>
        <v>0</v>
      </c>
      <c r="L25" s="35">
        <f t="shared" si="4"/>
        <v>0</v>
      </c>
      <c r="M25" s="35">
        <f t="shared" si="5"/>
        <v>0</v>
      </c>
      <c r="S25" t="s">
        <v>92</v>
      </c>
      <c r="T25" s="5">
        <f>data_origin!T59</f>
        <v>0</v>
      </c>
      <c r="U25" s="5">
        <f>data_origin!U59</f>
        <v>0</v>
      </c>
      <c r="V25" s="5">
        <f>data_origin!V59</f>
        <v>0</v>
      </c>
      <c r="W25" s="5">
        <f>data_origin!W59</f>
        <v>0</v>
      </c>
      <c r="X25" s="5">
        <f>data_origin!X59</f>
        <v>0</v>
      </c>
      <c r="Y25" s="5">
        <f>data_origin!Y59</f>
        <v>0</v>
      </c>
      <c r="Z25" s="5">
        <f>data_origin!Z59</f>
        <v>0</v>
      </c>
      <c r="AA25" s="5">
        <f>data_origin!AA59</f>
        <v>0</v>
      </c>
      <c r="AB25" s="5">
        <f t="shared" si="1"/>
        <v>0</v>
      </c>
      <c r="AH25" t="s">
        <v>92</v>
      </c>
      <c r="AI25" s="5">
        <f>data_origin!T2272</f>
        <v>0</v>
      </c>
      <c r="AJ25" s="5">
        <f>data_origin!U2272</f>
        <v>0</v>
      </c>
      <c r="AK25" s="5">
        <f>data_origin!V2272</f>
        <v>0</v>
      </c>
      <c r="AL25" s="5">
        <f>data_origin!W2272</f>
        <v>0</v>
      </c>
      <c r="AM25" s="5">
        <f>data_origin!X2272</f>
        <v>0</v>
      </c>
      <c r="AN25" s="5">
        <f>data_origin!Y2272</f>
        <v>0</v>
      </c>
      <c r="AO25" s="5">
        <f>data_origin!Z2272</f>
        <v>0</v>
      </c>
      <c r="AP25" s="5">
        <f>data_origin!AA2272</f>
        <v>0</v>
      </c>
      <c r="AQ25" s="9">
        <f t="shared" si="6"/>
        <v>0</v>
      </c>
      <c r="AV25" t="s">
        <v>92</v>
      </c>
      <c r="AW25" s="5">
        <f>data_origin!T2986</f>
        <v>0</v>
      </c>
      <c r="AX25" s="5">
        <f>data_origin!U2986</f>
        <v>0</v>
      </c>
      <c r="AY25" s="5">
        <f>data_origin!V2986</f>
        <v>0</v>
      </c>
      <c r="AZ25" s="5">
        <f>data_origin!W2986</f>
        <v>0</v>
      </c>
      <c r="BA25" s="5">
        <f>data_origin!X2986</f>
        <v>0</v>
      </c>
      <c r="BB25" s="5">
        <f>data_origin!Y2986</f>
        <v>0</v>
      </c>
      <c r="BC25" s="5">
        <f>data_origin!Z2986</f>
        <v>0</v>
      </c>
      <c r="BD25" s="5">
        <f>data_origin!AA2986</f>
        <v>0</v>
      </c>
      <c r="BE25" s="9">
        <f t="shared" si="7"/>
        <v>0</v>
      </c>
      <c r="BH25" s="29"/>
      <c r="BI25" s="29"/>
      <c r="BJ25" s="29"/>
      <c r="BK25" s="29" t="s">
        <v>92</v>
      </c>
      <c r="BL25" s="30">
        <f>data_origin!T25+data_origin!T399+data_origin!T773</f>
        <v>0</v>
      </c>
      <c r="BM25" s="30">
        <f>data_origin!U25+data_origin!U399+data_origin!U773</f>
        <v>0</v>
      </c>
      <c r="BN25" s="30">
        <f>data_origin!V25+data_origin!V399+data_origin!V773</f>
        <v>0</v>
      </c>
      <c r="BO25" s="30">
        <f>data_origin!W25+data_origin!W399+data_origin!W773</f>
        <v>0</v>
      </c>
      <c r="BP25" s="30">
        <f>data_origin!X25+data_origin!X399+data_origin!X773</f>
        <v>0</v>
      </c>
      <c r="BQ25" s="30">
        <f>data_origin!Y25+data_origin!Y399+data_origin!Y773</f>
        <v>0</v>
      </c>
      <c r="BR25" s="30">
        <f>data_origin!Z25+data_origin!Z399+data_origin!Z773</f>
        <v>0</v>
      </c>
      <c r="BS25" s="30">
        <f>data_origin!AA25+data_origin!AA399+data_origin!AA773</f>
        <v>0</v>
      </c>
      <c r="BT25" s="9">
        <f t="shared" si="2"/>
        <v>0</v>
      </c>
      <c r="BV25" s="29"/>
      <c r="BW25" s="29"/>
      <c r="BX25" s="29"/>
      <c r="BY25" s="29" t="s">
        <v>92</v>
      </c>
      <c r="BZ25" s="30">
        <f>data_origin!T1147+data_origin!T1521+data_origin!T1895</f>
        <v>0</v>
      </c>
      <c r="CA25" s="30">
        <f>data_origin!U1147+data_origin!U1521+data_origin!U1895</f>
        <v>0</v>
      </c>
      <c r="CB25" s="30">
        <f>data_origin!V1147+data_origin!V1521+data_origin!V1895</f>
        <v>0</v>
      </c>
      <c r="CC25" s="30">
        <f>data_origin!W1147+data_origin!W1521+data_origin!W1895</f>
        <v>0</v>
      </c>
      <c r="CD25" s="30">
        <f>data_origin!X1147+data_origin!X1521+data_origin!X1895</f>
        <v>0</v>
      </c>
      <c r="CE25" s="30">
        <f>data_origin!Y1147+data_origin!Y1521+data_origin!Y1895</f>
        <v>0</v>
      </c>
      <c r="CF25" s="30">
        <f>data_origin!Z1147+data_origin!Z1521+data_origin!Z1895</f>
        <v>0</v>
      </c>
      <c r="CG25" s="30">
        <f>data_origin!AA1147+data_origin!AA1521+data_origin!AA1895</f>
        <v>0</v>
      </c>
      <c r="CH25" s="9">
        <f t="shared" si="3"/>
        <v>0</v>
      </c>
    </row>
    <row r="26" spans="4:86" x14ac:dyDescent="0.25">
      <c r="D26" t="s">
        <v>93</v>
      </c>
      <c r="E26" s="35">
        <f t="shared" si="4"/>
        <v>0</v>
      </c>
      <c r="F26" s="35">
        <f t="shared" si="4"/>
        <v>0</v>
      </c>
      <c r="G26" s="35">
        <f t="shared" si="4"/>
        <v>0</v>
      </c>
      <c r="H26" s="35">
        <f t="shared" si="4"/>
        <v>0</v>
      </c>
      <c r="I26" s="35">
        <f t="shared" si="4"/>
        <v>0</v>
      </c>
      <c r="J26" s="35">
        <f t="shared" si="4"/>
        <v>0</v>
      </c>
      <c r="K26" s="35">
        <f t="shared" si="4"/>
        <v>0</v>
      </c>
      <c r="L26" s="35">
        <f t="shared" si="4"/>
        <v>0</v>
      </c>
      <c r="M26" s="35">
        <f t="shared" si="5"/>
        <v>0</v>
      </c>
      <c r="S26" t="s">
        <v>93</v>
      </c>
      <c r="T26" s="5">
        <f>data_origin!T60</f>
        <v>0</v>
      </c>
      <c r="U26" s="5">
        <f>data_origin!U60</f>
        <v>0</v>
      </c>
      <c r="V26" s="5">
        <f>data_origin!V60</f>
        <v>0</v>
      </c>
      <c r="W26" s="5">
        <f>data_origin!W60</f>
        <v>0</v>
      </c>
      <c r="X26" s="5">
        <f>data_origin!X60</f>
        <v>0</v>
      </c>
      <c r="Y26" s="5">
        <f>data_origin!Y60</f>
        <v>0</v>
      </c>
      <c r="Z26" s="5">
        <f>data_origin!Z60</f>
        <v>0</v>
      </c>
      <c r="AA26" s="5">
        <f>data_origin!AA60</f>
        <v>0</v>
      </c>
      <c r="AB26" s="5">
        <f t="shared" si="1"/>
        <v>0</v>
      </c>
      <c r="AH26" t="s">
        <v>93</v>
      </c>
      <c r="AI26" s="5">
        <f>data_origin!T2273</f>
        <v>0</v>
      </c>
      <c r="AJ26" s="5">
        <f>data_origin!U2273</f>
        <v>0</v>
      </c>
      <c r="AK26" s="5">
        <f>data_origin!V2273</f>
        <v>0</v>
      </c>
      <c r="AL26" s="5">
        <f>data_origin!W2273</f>
        <v>0</v>
      </c>
      <c r="AM26" s="5">
        <f>data_origin!X2273</f>
        <v>0</v>
      </c>
      <c r="AN26" s="5">
        <f>data_origin!Y2273</f>
        <v>0</v>
      </c>
      <c r="AO26" s="5">
        <f>data_origin!Z2273</f>
        <v>0</v>
      </c>
      <c r="AP26" s="5">
        <f>data_origin!AA2273</f>
        <v>0</v>
      </c>
      <c r="AQ26" s="9">
        <f t="shared" si="6"/>
        <v>0</v>
      </c>
      <c r="AV26" t="s">
        <v>93</v>
      </c>
      <c r="AW26" s="5">
        <f>data_origin!T2987</f>
        <v>0</v>
      </c>
      <c r="AX26" s="5">
        <f>data_origin!U2987</f>
        <v>0</v>
      </c>
      <c r="AY26" s="5">
        <f>data_origin!V2987</f>
        <v>0</v>
      </c>
      <c r="AZ26" s="5">
        <f>data_origin!W2987</f>
        <v>0</v>
      </c>
      <c r="BA26" s="5">
        <f>data_origin!X2987</f>
        <v>0</v>
      </c>
      <c r="BB26" s="5">
        <f>data_origin!Y2987</f>
        <v>0</v>
      </c>
      <c r="BC26" s="5">
        <f>data_origin!Z2987</f>
        <v>0</v>
      </c>
      <c r="BD26" s="5">
        <f>data_origin!AA2987</f>
        <v>0</v>
      </c>
      <c r="BE26" s="9">
        <f t="shared" si="7"/>
        <v>0</v>
      </c>
      <c r="BH26" s="29"/>
      <c r="BI26" s="29"/>
      <c r="BJ26" s="29"/>
      <c r="BK26" s="29" t="s">
        <v>93</v>
      </c>
      <c r="BL26" s="30">
        <f>data_origin!T26+data_origin!T400+data_origin!T774</f>
        <v>0</v>
      </c>
      <c r="BM26" s="30">
        <f>data_origin!U26+data_origin!U400+data_origin!U774</f>
        <v>0</v>
      </c>
      <c r="BN26" s="30">
        <f>data_origin!V26+data_origin!V400+data_origin!V774</f>
        <v>0</v>
      </c>
      <c r="BO26" s="30">
        <f>data_origin!W26+data_origin!W400+data_origin!W774</f>
        <v>0</v>
      </c>
      <c r="BP26" s="30">
        <f>data_origin!X26+data_origin!X400+data_origin!X774</f>
        <v>0</v>
      </c>
      <c r="BQ26" s="30">
        <f>data_origin!Y26+data_origin!Y400+data_origin!Y774</f>
        <v>0</v>
      </c>
      <c r="BR26" s="30">
        <f>data_origin!Z26+data_origin!Z400+data_origin!Z774</f>
        <v>0</v>
      </c>
      <c r="BS26" s="30">
        <f>data_origin!AA26+data_origin!AA400+data_origin!AA774</f>
        <v>0</v>
      </c>
      <c r="BT26" s="9">
        <f t="shared" si="2"/>
        <v>0</v>
      </c>
      <c r="BV26" s="29"/>
      <c r="BW26" s="29"/>
      <c r="BX26" s="29"/>
      <c r="BY26" s="29" t="s">
        <v>93</v>
      </c>
      <c r="BZ26" s="30">
        <f>data_origin!T1148+data_origin!T1522+data_origin!T1896</f>
        <v>0</v>
      </c>
      <c r="CA26" s="30">
        <f>data_origin!U1148+data_origin!U1522+data_origin!U1896</f>
        <v>0</v>
      </c>
      <c r="CB26" s="30">
        <f>data_origin!V1148+data_origin!V1522+data_origin!V1896</f>
        <v>0</v>
      </c>
      <c r="CC26" s="30">
        <f>data_origin!W1148+data_origin!W1522+data_origin!W1896</f>
        <v>0</v>
      </c>
      <c r="CD26" s="30">
        <f>data_origin!X1148+data_origin!X1522+data_origin!X1896</f>
        <v>0</v>
      </c>
      <c r="CE26" s="30">
        <f>data_origin!Y1148+data_origin!Y1522+data_origin!Y1896</f>
        <v>0</v>
      </c>
      <c r="CF26" s="30">
        <f>data_origin!Z1148+data_origin!Z1522+data_origin!Z1896</f>
        <v>0</v>
      </c>
      <c r="CG26" s="30">
        <f>data_origin!AA1148+data_origin!AA1522+data_origin!AA1896</f>
        <v>0</v>
      </c>
      <c r="CH26" s="9">
        <f t="shared" si="3"/>
        <v>0</v>
      </c>
    </row>
    <row r="27" spans="4:86" x14ac:dyDescent="0.25">
      <c r="D27" t="s">
        <v>94</v>
      </c>
      <c r="E27" s="35">
        <f t="shared" si="4"/>
        <v>0</v>
      </c>
      <c r="F27" s="35">
        <f t="shared" si="4"/>
        <v>0</v>
      </c>
      <c r="G27" s="35">
        <f t="shared" si="4"/>
        <v>0</v>
      </c>
      <c r="H27" s="35">
        <f t="shared" si="4"/>
        <v>0</v>
      </c>
      <c r="I27" s="35">
        <f t="shared" si="4"/>
        <v>0</v>
      </c>
      <c r="J27" s="35">
        <f t="shared" si="4"/>
        <v>0</v>
      </c>
      <c r="K27" s="35">
        <f t="shared" si="4"/>
        <v>0</v>
      </c>
      <c r="L27" s="35">
        <f t="shared" si="4"/>
        <v>0</v>
      </c>
      <c r="M27" s="35">
        <f t="shared" si="5"/>
        <v>0</v>
      </c>
      <c r="S27" t="s">
        <v>94</v>
      </c>
      <c r="T27" s="5">
        <f>data_origin!T61</f>
        <v>0</v>
      </c>
      <c r="U27" s="5">
        <f>data_origin!U61</f>
        <v>0</v>
      </c>
      <c r="V27" s="5">
        <f>data_origin!V61</f>
        <v>0</v>
      </c>
      <c r="W27" s="5">
        <f>data_origin!W61</f>
        <v>0</v>
      </c>
      <c r="X27" s="5">
        <f>data_origin!X61</f>
        <v>0</v>
      </c>
      <c r="Y27" s="5">
        <f>data_origin!Y61</f>
        <v>0</v>
      </c>
      <c r="Z27" s="5">
        <f>data_origin!Z61</f>
        <v>0</v>
      </c>
      <c r="AA27" s="5">
        <f>data_origin!AA61</f>
        <v>0</v>
      </c>
      <c r="AB27" s="5">
        <f t="shared" si="1"/>
        <v>0</v>
      </c>
      <c r="AH27" t="s">
        <v>94</v>
      </c>
      <c r="AI27" s="5">
        <f>data_origin!T2274</f>
        <v>0</v>
      </c>
      <c r="AJ27" s="5">
        <f>data_origin!U2274</f>
        <v>0</v>
      </c>
      <c r="AK27" s="5">
        <f>data_origin!V2274</f>
        <v>0</v>
      </c>
      <c r="AL27" s="5">
        <f>data_origin!W2274</f>
        <v>0</v>
      </c>
      <c r="AM27" s="5">
        <f>data_origin!X2274</f>
        <v>0</v>
      </c>
      <c r="AN27" s="5">
        <f>data_origin!Y2274</f>
        <v>0</v>
      </c>
      <c r="AO27" s="5">
        <f>data_origin!Z2274</f>
        <v>0</v>
      </c>
      <c r="AP27" s="5">
        <f>data_origin!AA2274</f>
        <v>0</v>
      </c>
      <c r="AQ27" s="9">
        <f>SUM(AI27:AP27)</f>
        <v>0</v>
      </c>
      <c r="AV27" t="s">
        <v>94</v>
      </c>
      <c r="AW27" s="5">
        <f>data_origin!T2988</f>
        <v>0</v>
      </c>
      <c r="AX27" s="5">
        <f>data_origin!U2988</f>
        <v>0</v>
      </c>
      <c r="AY27" s="5">
        <f>data_origin!V2988</f>
        <v>0</v>
      </c>
      <c r="AZ27" s="5">
        <f>data_origin!W2988</f>
        <v>0</v>
      </c>
      <c r="BA27" s="5">
        <f>data_origin!X2988</f>
        <v>0</v>
      </c>
      <c r="BB27" s="5">
        <f>data_origin!Y2988</f>
        <v>0</v>
      </c>
      <c r="BC27" s="5">
        <f>data_origin!Z2988</f>
        <v>0</v>
      </c>
      <c r="BD27" s="5">
        <f>data_origin!AA2988</f>
        <v>0</v>
      </c>
      <c r="BE27" s="9">
        <f>SUM(AW27:BD27)</f>
        <v>0</v>
      </c>
      <c r="BH27" s="29"/>
      <c r="BI27" s="29"/>
      <c r="BJ27" s="29"/>
      <c r="BK27" s="29" t="s">
        <v>94</v>
      </c>
      <c r="BL27" s="30">
        <f>data_origin!T27+data_origin!T401+data_origin!T775</f>
        <v>0</v>
      </c>
      <c r="BM27" s="30">
        <f>data_origin!U27+data_origin!U401+data_origin!U775</f>
        <v>0</v>
      </c>
      <c r="BN27" s="30">
        <f>data_origin!V27+data_origin!V401+data_origin!V775</f>
        <v>0</v>
      </c>
      <c r="BO27" s="30">
        <f>data_origin!W27+data_origin!W401+data_origin!W775</f>
        <v>0</v>
      </c>
      <c r="BP27" s="30">
        <f>data_origin!X27+data_origin!X401+data_origin!X775</f>
        <v>0</v>
      </c>
      <c r="BQ27" s="30">
        <f>data_origin!Y27+data_origin!Y401+data_origin!Y775</f>
        <v>0</v>
      </c>
      <c r="BR27" s="30">
        <f>data_origin!Z27+data_origin!Z401+data_origin!Z775</f>
        <v>0</v>
      </c>
      <c r="BS27" s="30">
        <f>data_origin!AA27+data_origin!AA401+data_origin!AA775</f>
        <v>0</v>
      </c>
      <c r="BT27" s="9">
        <f t="shared" si="2"/>
        <v>0</v>
      </c>
      <c r="BV27" s="29"/>
      <c r="BW27" s="29"/>
      <c r="BX27" s="29"/>
      <c r="BY27" s="29" t="s">
        <v>94</v>
      </c>
      <c r="BZ27" s="30">
        <f>data_origin!T1149+data_origin!T1523+data_origin!T1897</f>
        <v>0</v>
      </c>
      <c r="CA27" s="30">
        <f>data_origin!U1149+data_origin!U1523+data_origin!U1897</f>
        <v>0</v>
      </c>
      <c r="CB27" s="30">
        <f>data_origin!V1149+data_origin!V1523+data_origin!V1897</f>
        <v>0</v>
      </c>
      <c r="CC27" s="30">
        <f>data_origin!W1149+data_origin!W1523+data_origin!W1897</f>
        <v>0</v>
      </c>
      <c r="CD27" s="30">
        <f>data_origin!X1149+data_origin!X1523+data_origin!X1897</f>
        <v>0</v>
      </c>
      <c r="CE27" s="30">
        <f>data_origin!Y1149+data_origin!Y1523+data_origin!Y1897</f>
        <v>0</v>
      </c>
      <c r="CF27" s="30">
        <f>data_origin!Z1149+data_origin!Z1523+data_origin!Z1897</f>
        <v>0</v>
      </c>
      <c r="CG27" s="30">
        <f>data_origin!AA1149+data_origin!AA1523+data_origin!AA1897</f>
        <v>0</v>
      </c>
      <c r="CH27" s="9">
        <f t="shared" si="3"/>
        <v>0</v>
      </c>
    </row>
    <row r="28" spans="4:86" x14ac:dyDescent="0.25">
      <c r="D28" t="s">
        <v>95</v>
      </c>
      <c r="E28" s="35">
        <f t="shared" si="4"/>
        <v>0</v>
      </c>
      <c r="F28" s="35">
        <f t="shared" si="4"/>
        <v>0</v>
      </c>
      <c r="G28" s="35">
        <f t="shared" si="4"/>
        <v>0</v>
      </c>
      <c r="H28" s="35">
        <f t="shared" si="4"/>
        <v>0</v>
      </c>
      <c r="I28" s="35">
        <f t="shared" si="4"/>
        <v>0</v>
      </c>
      <c r="J28" s="35">
        <f t="shared" si="4"/>
        <v>0</v>
      </c>
      <c r="K28" s="35">
        <f t="shared" si="4"/>
        <v>0</v>
      </c>
      <c r="L28" s="35">
        <f t="shared" si="4"/>
        <v>0</v>
      </c>
      <c r="M28" s="35">
        <f t="shared" si="5"/>
        <v>0</v>
      </c>
      <c r="S28" t="s">
        <v>95</v>
      </c>
      <c r="T28" s="5">
        <f>data_origin!T62</f>
        <v>0</v>
      </c>
      <c r="U28" s="5">
        <f>data_origin!U62</f>
        <v>0</v>
      </c>
      <c r="V28" s="5">
        <f>data_origin!V62</f>
        <v>0</v>
      </c>
      <c r="W28" s="5">
        <f>data_origin!W62</f>
        <v>0</v>
      </c>
      <c r="X28" s="5">
        <f>data_origin!X62</f>
        <v>0</v>
      </c>
      <c r="Y28" s="5">
        <f>data_origin!Y62</f>
        <v>0</v>
      </c>
      <c r="Z28" s="5">
        <f>data_origin!Z62</f>
        <v>0</v>
      </c>
      <c r="AA28" s="5">
        <f>data_origin!AA62</f>
        <v>0</v>
      </c>
      <c r="AB28" s="5">
        <f t="shared" si="1"/>
        <v>0</v>
      </c>
      <c r="AH28" t="s">
        <v>95</v>
      </c>
      <c r="AI28" s="5">
        <f>data_origin!T2275</f>
        <v>0</v>
      </c>
      <c r="AJ28" s="5">
        <f>data_origin!U2275</f>
        <v>0</v>
      </c>
      <c r="AK28" s="5">
        <f>data_origin!V2275</f>
        <v>0</v>
      </c>
      <c r="AL28" s="5">
        <f>data_origin!W2275</f>
        <v>0</v>
      </c>
      <c r="AM28" s="5">
        <f>data_origin!X2275</f>
        <v>0</v>
      </c>
      <c r="AN28" s="5">
        <f>data_origin!Y2275</f>
        <v>0</v>
      </c>
      <c r="AO28" s="5">
        <f>data_origin!Z2275</f>
        <v>0</v>
      </c>
      <c r="AP28" s="5">
        <f>data_origin!AA2275</f>
        <v>0</v>
      </c>
      <c r="AQ28" s="9">
        <f t="shared" si="6"/>
        <v>0</v>
      </c>
      <c r="AV28" t="s">
        <v>95</v>
      </c>
      <c r="AW28" s="5">
        <f>data_origin!T2989</f>
        <v>0</v>
      </c>
      <c r="AX28" s="5">
        <f>data_origin!U2989</f>
        <v>0</v>
      </c>
      <c r="AY28" s="5">
        <f>data_origin!V2989</f>
        <v>0</v>
      </c>
      <c r="AZ28" s="5">
        <f>data_origin!W2989</f>
        <v>0</v>
      </c>
      <c r="BA28" s="5">
        <f>data_origin!X2989</f>
        <v>0</v>
      </c>
      <c r="BB28" s="5">
        <f>data_origin!Y2989</f>
        <v>0</v>
      </c>
      <c r="BC28" s="5">
        <f>data_origin!Z2989</f>
        <v>0</v>
      </c>
      <c r="BD28" s="5">
        <f>data_origin!AA2989</f>
        <v>0</v>
      </c>
      <c r="BE28" s="9">
        <f t="shared" ref="BE28:BE34" si="8">SUM(AW28:BD28)</f>
        <v>0</v>
      </c>
      <c r="BH28" s="29"/>
      <c r="BI28" s="29"/>
      <c r="BJ28" s="29"/>
      <c r="BK28" s="29" t="s">
        <v>95</v>
      </c>
      <c r="BL28" s="30">
        <f>data_origin!T28+data_origin!T402+data_origin!T776</f>
        <v>0</v>
      </c>
      <c r="BM28" s="30">
        <f>data_origin!U28+data_origin!U402+data_origin!U776</f>
        <v>0</v>
      </c>
      <c r="BN28" s="30">
        <f>data_origin!V28+data_origin!V402+data_origin!V776</f>
        <v>0</v>
      </c>
      <c r="BO28" s="30">
        <f>data_origin!W28+data_origin!W402+data_origin!W776</f>
        <v>0</v>
      </c>
      <c r="BP28" s="30">
        <f>data_origin!X28+data_origin!X402+data_origin!X776</f>
        <v>0</v>
      </c>
      <c r="BQ28" s="30">
        <f>data_origin!Y28+data_origin!Y402+data_origin!Y776</f>
        <v>0</v>
      </c>
      <c r="BR28" s="30">
        <f>data_origin!Z28+data_origin!Z402+data_origin!Z776</f>
        <v>0</v>
      </c>
      <c r="BS28" s="30">
        <f>data_origin!AA28+data_origin!AA402+data_origin!AA776</f>
        <v>0</v>
      </c>
      <c r="BT28" s="9">
        <f t="shared" si="2"/>
        <v>0</v>
      </c>
      <c r="BV28" s="29"/>
      <c r="BW28" s="29"/>
      <c r="BX28" s="29"/>
      <c r="BY28" s="29" t="s">
        <v>95</v>
      </c>
      <c r="BZ28" s="30">
        <f>data_origin!T1150+data_origin!T1524+data_origin!T1898</f>
        <v>0</v>
      </c>
      <c r="CA28" s="30">
        <f>data_origin!U1150+data_origin!U1524+data_origin!U1898</f>
        <v>0</v>
      </c>
      <c r="CB28" s="30">
        <f>data_origin!V1150+data_origin!V1524+data_origin!V1898</f>
        <v>0</v>
      </c>
      <c r="CC28" s="30">
        <f>data_origin!W1150+data_origin!W1524+data_origin!W1898</f>
        <v>0</v>
      </c>
      <c r="CD28" s="30">
        <f>data_origin!X1150+data_origin!X1524+data_origin!X1898</f>
        <v>0</v>
      </c>
      <c r="CE28" s="30">
        <f>data_origin!Y1150+data_origin!Y1524+data_origin!Y1898</f>
        <v>0</v>
      </c>
      <c r="CF28" s="30">
        <f>data_origin!Z1150+data_origin!Z1524+data_origin!Z1898</f>
        <v>0</v>
      </c>
      <c r="CG28" s="30">
        <f>data_origin!AA1150+data_origin!AA1524+data_origin!AA1898</f>
        <v>0</v>
      </c>
      <c r="CH28" s="9">
        <f t="shared" si="3"/>
        <v>0</v>
      </c>
    </row>
    <row r="29" spans="4:86" x14ac:dyDescent="0.25">
      <c r="D29" t="s">
        <v>96</v>
      </c>
      <c r="E29" s="35">
        <f t="shared" si="4"/>
        <v>0</v>
      </c>
      <c r="F29" s="35">
        <f t="shared" si="4"/>
        <v>0</v>
      </c>
      <c r="G29" s="35">
        <f t="shared" si="4"/>
        <v>0</v>
      </c>
      <c r="H29" s="35">
        <f t="shared" si="4"/>
        <v>0</v>
      </c>
      <c r="I29" s="35">
        <f t="shared" si="4"/>
        <v>0</v>
      </c>
      <c r="J29" s="35">
        <f t="shared" si="4"/>
        <v>0</v>
      </c>
      <c r="K29" s="35">
        <f t="shared" si="4"/>
        <v>0</v>
      </c>
      <c r="L29" s="35">
        <f t="shared" si="4"/>
        <v>0</v>
      </c>
      <c r="M29" s="35">
        <f t="shared" si="5"/>
        <v>0</v>
      </c>
      <c r="S29" t="s">
        <v>96</v>
      </c>
      <c r="T29" s="5">
        <f>data_origin!T63</f>
        <v>0</v>
      </c>
      <c r="U29" s="5">
        <f>data_origin!U63</f>
        <v>0</v>
      </c>
      <c r="V29" s="5">
        <f>data_origin!V63</f>
        <v>0</v>
      </c>
      <c r="W29" s="5">
        <f>data_origin!W63</f>
        <v>0</v>
      </c>
      <c r="X29" s="5">
        <f>data_origin!X63</f>
        <v>0</v>
      </c>
      <c r="Y29" s="5">
        <f>data_origin!Y63</f>
        <v>0</v>
      </c>
      <c r="Z29" s="5">
        <f>data_origin!Z63</f>
        <v>0</v>
      </c>
      <c r="AA29" s="5">
        <f>data_origin!AA63</f>
        <v>0</v>
      </c>
      <c r="AB29" s="5">
        <f t="shared" si="1"/>
        <v>0</v>
      </c>
      <c r="AH29" t="s">
        <v>96</v>
      </c>
      <c r="AI29" s="5">
        <f>data_origin!T2276</f>
        <v>0</v>
      </c>
      <c r="AJ29" s="5">
        <f>data_origin!U2276</f>
        <v>0</v>
      </c>
      <c r="AK29" s="5">
        <f>data_origin!V2276</f>
        <v>0</v>
      </c>
      <c r="AL29" s="5">
        <f>data_origin!W2276</f>
        <v>0</v>
      </c>
      <c r="AM29" s="5">
        <f>data_origin!X2276</f>
        <v>0</v>
      </c>
      <c r="AN29" s="5">
        <f>data_origin!Y2276</f>
        <v>0</v>
      </c>
      <c r="AO29" s="5">
        <f>data_origin!Z2276</f>
        <v>0</v>
      </c>
      <c r="AP29" s="5">
        <f>data_origin!AA2276</f>
        <v>0</v>
      </c>
      <c r="AQ29" s="9">
        <f t="shared" si="6"/>
        <v>0</v>
      </c>
      <c r="AV29" t="s">
        <v>96</v>
      </c>
      <c r="AW29" s="5">
        <f>data_origin!T2990</f>
        <v>0</v>
      </c>
      <c r="AX29" s="5">
        <f>data_origin!U2990</f>
        <v>0</v>
      </c>
      <c r="AY29" s="5">
        <f>data_origin!V2990</f>
        <v>0</v>
      </c>
      <c r="AZ29" s="5">
        <f>data_origin!W2990</f>
        <v>0</v>
      </c>
      <c r="BA29" s="5">
        <f>data_origin!X2990</f>
        <v>0</v>
      </c>
      <c r="BB29" s="5">
        <f>data_origin!Y2990</f>
        <v>0</v>
      </c>
      <c r="BC29" s="5">
        <f>data_origin!Z2990</f>
        <v>0</v>
      </c>
      <c r="BD29" s="5">
        <f>data_origin!AA2990</f>
        <v>0</v>
      </c>
      <c r="BE29" s="9">
        <f t="shared" si="8"/>
        <v>0</v>
      </c>
      <c r="BH29" s="29"/>
      <c r="BI29" s="29"/>
      <c r="BJ29" s="29"/>
      <c r="BK29" s="29" t="s">
        <v>96</v>
      </c>
      <c r="BL29" s="30">
        <f>data_origin!T29+data_origin!T403+data_origin!T777</f>
        <v>0</v>
      </c>
      <c r="BM29" s="30">
        <f>data_origin!U29+data_origin!U403+data_origin!U777</f>
        <v>0</v>
      </c>
      <c r="BN29" s="30">
        <f>data_origin!V29+data_origin!V403+data_origin!V777</f>
        <v>0</v>
      </c>
      <c r="BO29" s="30">
        <f>data_origin!W29+data_origin!W403+data_origin!W777</f>
        <v>0</v>
      </c>
      <c r="BP29" s="30">
        <f>data_origin!X29+data_origin!X403+data_origin!X777</f>
        <v>0</v>
      </c>
      <c r="BQ29" s="30">
        <f>data_origin!Y29+data_origin!Y403+data_origin!Y777</f>
        <v>0</v>
      </c>
      <c r="BR29" s="30">
        <f>data_origin!Z29+data_origin!Z403+data_origin!Z777</f>
        <v>0</v>
      </c>
      <c r="BS29" s="30">
        <f>data_origin!AA29+data_origin!AA403+data_origin!AA777</f>
        <v>0</v>
      </c>
      <c r="BT29" s="9">
        <f t="shared" si="2"/>
        <v>0</v>
      </c>
      <c r="BV29" s="29"/>
      <c r="BW29" s="29"/>
      <c r="BX29" s="29"/>
      <c r="BY29" s="29" t="s">
        <v>96</v>
      </c>
      <c r="BZ29" s="30">
        <f>data_origin!T1151+data_origin!T1525+data_origin!T1899</f>
        <v>0</v>
      </c>
      <c r="CA29" s="30">
        <f>data_origin!U1151+data_origin!U1525+data_origin!U1899</f>
        <v>0</v>
      </c>
      <c r="CB29" s="30">
        <f>data_origin!V1151+data_origin!V1525+data_origin!V1899</f>
        <v>0</v>
      </c>
      <c r="CC29" s="30">
        <f>data_origin!W1151+data_origin!W1525+data_origin!W1899</f>
        <v>0</v>
      </c>
      <c r="CD29" s="30">
        <f>data_origin!X1151+data_origin!X1525+data_origin!X1899</f>
        <v>0</v>
      </c>
      <c r="CE29" s="30">
        <f>data_origin!Y1151+data_origin!Y1525+data_origin!Y1899</f>
        <v>0</v>
      </c>
      <c r="CF29" s="30">
        <f>data_origin!Z1151+data_origin!Z1525+data_origin!Z1899</f>
        <v>0</v>
      </c>
      <c r="CG29" s="30">
        <f>data_origin!AA1151+data_origin!AA1525+data_origin!AA1899</f>
        <v>0</v>
      </c>
      <c r="CH29" s="9">
        <f t="shared" si="3"/>
        <v>0</v>
      </c>
    </row>
    <row r="30" spans="4:86" x14ac:dyDescent="0.25">
      <c r="D30" t="s">
        <v>97</v>
      </c>
      <c r="E30" s="35">
        <f t="shared" si="4"/>
        <v>0</v>
      </c>
      <c r="F30" s="35">
        <f t="shared" si="4"/>
        <v>0</v>
      </c>
      <c r="G30" s="35">
        <f t="shared" si="4"/>
        <v>0</v>
      </c>
      <c r="H30" s="35">
        <f t="shared" si="4"/>
        <v>0</v>
      </c>
      <c r="I30" s="35">
        <f t="shared" si="4"/>
        <v>0</v>
      </c>
      <c r="J30" s="35">
        <f t="shared" si="4"/>
        <v>0</v>
      </c>
      <c r="K30" s="35">
        <f t="shared" si="4"/>
        <v>0</v>
      </c>
      <c r="L30" s="35">
        <f t="shared" si="4"/>
        <v>0</v>
      </c>
      <c r="M30" s="35">
        <f t="shared" si="5"/>
        <v>0</v>
      </c>
      <c r="S30" t="s">
        <v>97</v>
      </c>
      <c r="T30" s="5">
        <f>data_origin!T64</f>
        <v>0</v>
      </c>
      <c r="U30" s="5">
        <f>data_origin!U64</f>
        <v>0</v>
      </c>
      <c r="V30" s="5">
        <f>data_origin!V64</f>
        <v>0</v>
      </c>
      <c r="W30" s="5">
        <f>data_origin!W64</f>
        <v>0</v>
      </c>
      <c r="X30" s="5">
        <f>data_origin!X64</f>
        <v>0</v>
      </c>
      <c r="Y30" s="5">
        <f>data_origin!Y64</f>
        <v>0</v>
      </c>
      <c r="Z30" s="5">
        <f>data_origin!Z64</f>
        <v>0</v>
      </c>
      <c r="AA30" s="5">
        <f>data_origin!AA64</f>
        <v>0</v>
      </c>
      <c r="AB30" s="5">
        <f t="shared" si="1"/>
        <v>0</v>
      </c>
      <c r="AH30" t="s">
        <v>97</v>
      </c>
      <c r="AI30" s="5">
        <f>data_origin!T2277</f>
        <v>0</v>
      </c>
      <c r="AJ30" s="5">
        <f>data_origin!U2277</f>
        <v>0</v>
      </c>
      <c r="AK30" s="5">
        <f>data_origin!V2277</f>
        <v>0</v>
      </c>
      <c r="AL30" s="5">
        <f>data_origin!W2277</f>
        <v>0</v>
      </c>
      <c r="AM30" s="5">
        <f>data_origin!X2277</f>
        <v>0</v>
      </c>
      <c r="AN30" s="5">
        <f>data_origin!Y2277</f>
        <v>0</v>
      </c>
      <c r="AO30" s="5">
        <f>data_origin!Z2277</f>
        <v>0</v>
      </c>
      <c r="AP30" s="5">
        <f>data_origin!AA2277</f>
        <v>0</v>
      </c>
      <c r="AQ30" s="9">
        <f t="shared" si="6"/>
        <v>0</v>
      </c>
      <c r="AV30" t="s">
        <v>97</v>
      </c>
      <c r="AW30" s="5">
        <f>data_origin!T2991</f>
        <v>0</v>
      </c>
      <c r="AX30" s="5">
        <f>data_origin!U2991</f>
        <v>0</v>
      </c>
      <c r="AY30" s="5">
        <f>data_origin!V2991</f>
        <v>0</v>
      </c>
      <c r="AZ30" s="5">
        <f>data_origin!W2991</f>
        <v>0</v>
      </c>
      <c r="BA30" s="5">
        <f>data_origin!X2991</f>
        <v>0</v>
      </c>
      <c r="BB30" s="5">
        <f>data_origin!Y2991</f>
        <v>0</v>
      </c>
      <c r="BC30" s="5">
        <f>data_origin!Z2991</f>
        <v>0</v>
      </c>
      <c r="BD30" s="5">
        <f>data_origin!AA2991</f>
        <v>0</v>
      </c>
      <c r="BE30" s="9">
        <f t="shared" si="8"/>
        <v>0</v>
      </c>
      <c r="BH30" s="29"/>
      <c r="BI30" s="29"/>
      <c r="BJ30" s="29"/>
      <c r="BK30" s="29" t="s">
        <v>97</v>
      </c>
      <c r="BL30" s="30">
        <f>data_origin!T30+data_origin!T404+data_origin!T778</f>
        <v>0</v>
      </c>
      <c r="BM30" s="30">
        <f>data_origin!U30+data_origin!U404+data_origin!U778</f>
        <v>0</v>
      </c>
      <c r="BN30" s="30">
        <f>data_origin!V30+data_origin!V404+data_origin!V778</f>
        <v>0</v>
      </c>
      <c r="BO30" s="30">
        <f>data_origin!W30+data_origin!W404+data_origin!W778</f>
        <v>0</v>
      </c>
      <c r="BP30" s="30">
        <f>data_origin!X30+data_origin!X404+data_origin!X778</f>
        <v>0</v>
      </c>
      <c r="BQ30" s="30">
        <f>data_origin!Y30+data_origin!Y404+data_origin!Y778</f>
        <v>0</v>
      </c>
      <c r="BR30" s="30">
        <f>data_origin!Z30+data_origin!Z404+data_origin!Z778</f>
        <v>0</v>
      </c>
      <c r="BS30" s="30">
        <f>data_origin!AA30+data_origin!AA404+data_origin!AA778</f>
        <v>0</v>
      </c>
      <c r="BT30" s="9">
        <f t="shared" si="2"/>
        <v>0</v>
      </c>
      <c r="BV30" s="29"/>
      <c r="BW30" s="29"/>
      <c r="BX30" s="29"/>
      <c r="BY30" s="29" t="s">
        <v>97</v>
      </c>
      <c r="BZ30" s="30">
        <f>data_origin!T1152+data_origin!T1526+data_origin!T1900</f>
        <v>0</v>
      </c>
      <c r="CA30" s="30">
        <f>data_origin!U1152+data_origin!U1526+data_origin!U1900</f>
        <v>0</v>
      </c>
      <c r="CB30" s="30">
        <f>data_origin!V1152+data_origin!V1526+data_origin!V1900</f>
        <v>0</v>
      </c>
      <c r="CC30" s="30">
        <f>data_origin!W1152+data_origin!W1526+data_origin!W1900</f>
        <v>0</v>
      </c>
      <c r="CD30" s="30">
        <f>data_origin!X1152+data_origin!X1526+data_origin!X1900</f>
        <v>0</v>
      </c>
      <c r="CE30" s="30">
        <f>data_origin!Y1152+data_origin!Y1526+data_origin!Y1900</f>
        <v>0</v>
      </c>
      <c r="CF30" s="30">
        <f>data_origin!Z1152+data_origin!Z1526+data_origin!Z1900</f>
        <v>0</v>
      </c>
      <c r="CG30" s="30">
        <f>data_origin!AA1152+data_origin!AA1526+data_origin!AA1900</f>
        <v>0</v>
      </c>
      <c r="CH30" s="9">
        <f t="shared" si="3"/>
        <v>0</v>
      </c>
    </row>
    <row r="31" spans="4:86" x14ac:dyDescent="0.25">
      <c r="D31" t="s">
        <v>98</v>
      </c>
      <c r="E31" s="35">
        <f t="shared" si="4"/>
        <v>0</v>
      </c>
      <c r="F31" s="35">
        <f t="shared" si="4"/>
        <v>0</v>
      </c>
      <c r="G31" s="35">
        <f t="shared" si="4"/>
        <v>0</v>
      </c>
      <c r="H31" s="35">
        <f t="shared" si="4"/>
        <v>0</v>
      </c>
      <c r="I31" s="35">
        <f t="shared" si="4"/>
        <v>0</v>
      </c>
      <c r="J31" s="35">
        <f t="shared" si="4"/>
        <v>0</v>
      </c>
      <c r="K31" s="35">
        <f t="shared" si="4"/>
        <v>0</v>
      </c>
      <c r="L31" s="35">
        <f t="shared" si="4"/>
        <v>0</v>
      </c>
      <c r="M31" s="35">
        <f t="shared" si="5"/>
        <v>0</v>
      </c>
      <c r="S31" t="s">
        <v>98</v>
      </c>
      <c r="T31" s="5">
        <f>data_origin!T65</f>
        <v>0</v>
      </c>
      <c r="U31" s="5">
        <f>data_origin!U65</f>
        <v>0</v>
      </c>
      <c r="V31" s="5">
        <f>data_origin!V65</f>
        <v>0</v>
      </c>
      <c r="W31" s="5">
        <f>data_origin!W65</f>
        <v>0</v>
      </c>
      <c r="X31" s="5">
        <f>data_origin!X65</f>
        <v>0</v>
      </c>
      <c r="Y31" s="5">
        <f>data_origin!Y65</f>
        <v>0</v>
      </c>
      <c r="Z31" s="5">
        <f>data_origin!Z65</f>
        <v>0</v>
      </c>
      <c r="AA31" s="5">
        <f>data_origin!AA65</f>
        <v>0</v>
      </c>
      <c r="AB31" s="5">
        <f t="shared" si="1"/>
        <v>0</v>
      </c>
      <c r="AH31" t="s">
        <v>98</v>
      </c>
      <c r="AI31" s="5">
        <f>data_origin!T2278</f>
        <v>0</v>
      </c>
      <c r="AJ31" s="5">
        <f>data_origin!U2278</f>
        <v>0</v>
      </c>
      <c r="AK31" s="5">
        <f>data_origin!V2278</f>
        <v>0</v>
      </c>
      <c r="AL31" s="5">
        <f>data_origin!W2278</f>
        <v>0</v>
      </c>
      <c r="AM31" s="5">
        <f>data_origin!X2278</f>
        <v>0</v>
      </c>
      <c r="AN31" s="5">
        <f>data_origin!Y2278</f>
        <v>0</v>
      </c>
      <c r="AO31" s="5">
        <f>data_origin!Z2278</f>
        <v>0</v>
      </c>
      <c r="AP31" s="5">
        <f>data_origin!AA2278</f>
        <v>0</v>
      </c>
      <c r="AQ31" s="9">
        <f t="shared" si="6"/>
        <v>0</v>
      </c>
      <c r="AV31" t="s">
        <v>98</v>
      </c>
      <c r="AW31" s="5">
        <f>data_origin!T2992</f>
        <v>0</v>
      </c>
      <c r="AX31" s="5">
        <f>data_origin!U2992</f>
        <v>0</v>
      </c>
      <c r="AY31" s="5">
        <f>data_origin!V2992</f>
        <v>0</v>
      </c>
      <c r="AZ31" s="5">
        <f>data_origin!W2992</f>
        <v>0</v>
      </c>
      <c r="BA31" s="5">
        <f>data_origin!X2992</f>
        <v>0</v>
      </c>
      <c r="BB31" s="5">
        <f>data_origin!Y2992</f>
        <v>0</v>
      </c>
      <c r="BC31" s="5">
        <f>data_origin!Z2992</f>
        <v>0</v>
      </c>
      <c r="BD31" s="5">
        <f>data_origin!AA2992</f>
        <v>0</v>
      </c>
      <c r="BE31" s="9">
        <f t="shared" si="8"/>
        <v>0</v>
      </c>
      <c r="BH31" s="29"/>
      <c r="BI31" s="29"/>
      <c r="BJ31" s="29"/>
      <c r="BK31" s="29" t="s">
        <v>98</v>
      </c>
      <c r="BL31" s="30">
        <f>data_origin!T31+data_origin!T405+data_origin!T779</f>
        <v>0</v>
      </c>
      <c r="BM31" s="30">
        <f>data_origin!U31+data_origin!U405+data_origin!U779</f>
        <v>0</v>
      </c>
      <c r="BN31" s="30">
        <f>data_origin!V31+data_origin!V405+data_origin!V779</f>
        <v>0</v>
      </c>
      <c r="BO31" s="30">
        <f>data_origin!W31+data_origin!W405+data_origin!W779</f>
        <v>0</v>
      </c>
      <c r="BP31" s="30">
        <f>data_origin!X31+data_origin!X405+data_origin!X779</f>
        <v>0</v>
      </c>
      <c r="BQ31" s="30">
        <f>data_origin!Y31+data_origin!Y405+data_origin!Y779</f>
        <v>0</v>
      </c>
      <c r="BR31" s="30">
        <f>data_origin!Z31+data_origin!Z405+data_origin!Z779</f>
        <v>0</v>
      </c>
      <c r="BS31" s="30">
        <f>data_origin!AA31+data_origin!AA405+data_origin!AA779</f>
        <v>0</v>
      </c>
      <c r="BT31" s="9">
        <f t="shared" si="2"/>
        <v>0</v>
      </c>
      <c r="BV31" s="29"/>
      <c r="BW31" s="29"/>
      <c r="BX31" s="29"/>
      <c r="BY31" s="29" t="s">
        <v>98</v>
      </c>
      <c r="BZ31" s="30">
        <f>data_origin!T1153+data_origin!T1527+data_origin!T1901</f>
        <v>0</v>
      </c>
      <c r="CA31" s="30">
        <f>data_origin!U1153+data_origin!U1527+data_origin!U1901</f>
        <v>0</v>
      </c>
      <c r="CB31" s="30">
        <f>data_origin!V1153+data_origin!V1527+data_origin!V1901</f>
        <v>0</v>
      </c>
      <c r="CC31" s="30">
        <f>data_origin!W1153+data_origin!W1527+data_origin!W1901</f>
        <v>0</v>
      </c>
      <c r="CD31" s="30">
        <f>data_origin!X1153+data_origin!X1527+data_origin!X1901</f>
        <v>0</v>
      </c>
      <c r="CE31" s="30">
        <f>data_origin!Y1153+data_origin!Y1527+data_origin!Y1901</f>
        <v>0</v>
      </c>
      <c r="CF31" s="30">
        <f>data_origin!Z1153+data_origin!Z1527+data_origin!Z1901</f>
        <v>0</v>
      </c>
      <c r="CG31" s="30">
        <f>data_origin!AA1153+data_origin!AA1527+data_origin!AA1901</f>
        <v>0</v>
      </c>
      <c r="CH31" s="9">
        <f t="shared" si="3"/>
        <v>0</v>
      </c>
    </row>
    <row r="32" spans="4:86" x14ac:dyDescent="0.25">
      <c r="D32" t="s">
        <v>119</v>
      </c>
      <c r="E32" s="35">
        <f t="shared" si="4"/>
        <v>0</v>
      </c>
      <c r="F32" s="35">
        <f t="shared" si="4"/>
        <v>0</v>
      </c>
      <c r="G32" s="35">
        <f t="shared" si="4"/>
        <v>0</v>
      </c>
      <c r="H32" s="35">
        <f t="shared" si="4"/>
        <v>1.159300592885792</v>
      </c>
      <c r="I32" s="35">
        <f t="shared" si="4"/>
        <v>0</v>
      </c>
      <c r="J32" s="35">
        <f t="shared" si="4"/>
        <v>0</v>
      </c>
      <c r="K32" s="35">
        <f t="shared" si="4"/>
        <v>0</v>
      </c>
      <c r="L32" s="35">
        <f t="shared" si="4"/>
        <v>0</v>
      </c>
      <c r="M32" s="35">
        <f t="shared" si="5"/>
        <v>1.159300592885792</v>
      </c>
      <c r="S32" t="s">
        <v>119</v>
      </c>
      <c r="T32" s="5">
        <f>data_origin!T66</f>
        <v>0</v>
      </c>
      <c r="U32" s="5">
        <f>data_origin!U66</f>
        <v>0</v>
      </c>
      <c r="V32" s="5">
        <f>data_origin!V66</f>
        <v>0</v>
      </c>
      <c r="W32" s="5">
        <f>data_origin!W66</f>
        <v>1.1573033707865168</v>
      </c>
      <c r="X32" s="5">
        <f>data_origin!X66</f>
        <v>0</v>
      </c>
      <c r="Y32" s="5">
        <f>data_origin!Y66</f>
        <v>0</v>
      </c>
      <c r="Z32" s="5">
        <f>data_origin!Z66</f>
        <v>0</v>
      </c>
      <c r="AA32" s="5">
        <f>data_origin!AA66</f>
        <v>0</v>
      </c>
      <c r="AB32" s="5">
        <f t="shared" si="1"/>
        <v>1.1573033707865168</v>
      </c>
      <c r="AH32" t="s">
        <v>119</v>
      </c>
      <c r="AI32" s="5">
        <f>data_origin!T2279</f>
        <v>0</v>
      </c>
      <c r="AJ32" s="5">
        <f>data_origin!U2279</f>
        <v>0</v>
      </c>
      <c r="AK32" s="5">
        <f>data_origin!V2279</f>
        <v>0</v>
      </c>
      <c r="AL32" s="5">
        <f>data_origin!W2279</f>
        <v>0</v>
      </c>
      <c r="AM32" s="5">
        <f>data_origin!X2279</f>
        <v>0</v>
      </c>
      <c r="AN32" s="5">
        <f>data_origin!Y2279</f>
        <v>0</v>
      </c>
      <c r="AO32" s="5">
        <f>data_origin!Z2279</f>
        <v>0</v>
      </c>
      <c r="AP32" s="5">
        <f>data_origin!AA2279</f>
        <v>0</v>
      </c>
      <c r="AQ32" s="9">
        <f t="shared" si="6"/>
        <v>0</v>
      </c>
      <c r="AV32" t="s">
        <v>119</v>
      </c>
      <c r="AW32" s="5">
        <f>data_origin!T2993</f>
        <v>0</v>
      </c>
      <c r="AX32" s="5">
        <f>data_origin!U2993</f>
        <v>0</v>
      </c>
      <c r="AY32" s="5">
        <f>data_origin!V2993</f>
        <v>0</v>
      </c>
      <c r="AZ32" s="5">
        <f>data_origin!W2993</f>
        <v>0</v>
      </c>
      <c r="BA32" s="5">
        <f>data_origin!X2993</f>
        <v>0</v>
      </c>
      <c r="BB32" s="5">
        <f>data_origin!Y2993</f>
        <v>0</v>
      </c>
      <c r="BC32" s="5">
        <f>data_origin!Z2993</f>
        <v>0</v>
      </c>
      <c r="BD32" s="5">
        <f>data_origin!AA2993</f>
        <v>0</v>
      </c>
      <c r="BE32" s="9">
        <f t="shared" si="8"/>
        <v>0</v>
      </c>
      <c r="BH32" s="29"/>
      <c r="BI32" s="29"/>
      <c r="BJ32" s="29"/>
      <c r="BK32" s="29" t="s">
        <v>119</v>
      </c>
      <c r="BL32" s="30">
        <f>data_origin!T32+data_origin!T406+data_origin!T780</f>
        <v>0</v>
      </c>
      <c r="BM32" s="30">
        <f>data_origin!U32+data_origin!U406+data_origin!U780</f>
        <v>0</v>
      </c>
      <c r="BN32" s="30">
        <f>data_origin!V32+data_origin!V406+data_origin!V780</f>
        <v>0</v>
      </c>
      <c r="BO32" s="30">
        <f>data_origin!W32+data_origin!W406+data_origin!W780</f>
        <v>0</v>
      </c>
      <c r="BP32" s="30">
        <f>data_origin!X32+data_origin!X406+data_origin!X780</f>
        <v>0</v>
      </c>
      <c r="BQ32" s="30">
        <f>data_origin!Y32+data_origin!Y406+data_origin!Y780</f>
        <v>0</v>
      </c>
      <c r="BR32" s="30">
        <f>data_origin!Z32+data_origin!Z406+data_origin!Z780</f>
        <v>0</v>
      </c>
      <c r="BS32" s="30">
        <f>data_origin!AA32+data_origin!AA406+data_origin!AA780</f>
        <v>0</v>
      </c>
      <c r="BT32" s="9">
        <f t="shared" si="2"/>
        <v>0</v>
      </c>
      <c r="BV32" s="29"/>
      <c r="BW32" s="29"/>
      <c r="BX32" s="29"/>
      <c r="BY32" s="29" t="s">
        <v>119</v>
      </c>
      <c r="BZ32" s="30">
        <f>data_origin!T1154+data_origin!T1528+data_origin!T1902</f>
        <v>0</v>
      </c>
      <c r="CA32" s="30">
        <f>data_origin!U1154+data_origin!U1528+data_origin!U1902</f>
        <v>0</v>
      </c>
      <c r="CB32" s="30">
        <f>data_origin!V1154+data_origin!V1528+data_origin!V1902</f>
        <v>0</v>
      </c>
      <c r="CC32" s="30">
        <f>data_origin!W1154+data_origin!W1528+data_origin!W1902</f>
        <v>0</v>
      </c>
      <c r="CD32" s="30">
        <f>data_origin!X1154+data_origin!X1528+data_origin!X1902</f>
        <v>0</v>
      </c>
      <c r="CE32" s="30">
        <f>data_origin!Y1154+data_origin!Y1528+data_origin!Y1902</f>
        <v>0</v>
      </c>
      <c r="CF32" s="30">
        <f>data_origin!Z1154+data_origin!Z1528+data_origin!Z1902</f>
        <v>0</v>
      </c>
      <c r="CG32" s="30">
        <f>data_origin!AA1154+data_origin!AA1528+data_origin!AA1902</f>
        <v>0</v>
      </c>
      <c r="CH32" s="9">
        <f t="shared" si="3"/>
        <v>0</v>
      </c>
    </row>
    <row r="33" spans="1:86" x14ac:dyDescent="0.25">
      <c r="D33" t="s">
        <v>99</v>
      </c>
      <c r="E33" s="35">
        <f t="shared" si="4"/>
        <v>0</v>
      </c>
      <c r="F33" s="35">
        <f t="shared" si="4"/>
        <v>0</v>
      </c>
      <c r="G33" s="35">
        <f t="shared" si="4"/>
        <v>0</v>
      </c>
      <c r="H33" s="35">
        <f t="shared" si="4"/>
        <v>1.159300592885792</v>
      </c>
      <c r="I33" s="35">
        <f t="shared" si="4"/>
        <v>1.1185790755416889</v>
      </c>
      <c r="J33" s="35">
        <f t="shared" si="4"/>
        <v>0</v>
      </c>
      <c r="K33" s="35">
        <f t="shared" si="4"/>
        <v>0</v>
      </c>
      <c r="L33" s="35">
        <f t="shared" si="4"/>
        <v>0</v>
      </c>
      <c r="M33" s="35">
        <f t="shared" si="5"/>
        <v>2.2778796684274809</v>
      </c>
      <c r="S33" t="s">
        <v>99</v>
      </c>
      <c r="T33" s="5">
        <f>data_origin!T67</f>
        <v>0</v>
      </c>
      <c r="U33" s="5">
        <f>data_origin!U67</f>
        <v>0</v>
      </c>
      <c r="V33" s="5">
        <f>data_origin!V67</f>
        <v>0</v>
      </c>
      <c r="W33" s="5">
        <f>data_origin!W67</f>
        <v>1.1573033707865168</v>
      </c>
      <c r="X33" s="5">
        <f>data_origin!X67</f>
        <v>1.1153846153846154</v>
      </c>
      <c r="Y33" s="5">
        <f>data_origin!Y67</f>
        <v>0</v>
      </c>
      <c r="Z33" s="5">
        <f>data_origin!Z67</f>
        <v>0</v>
      </c>
      <c r="AA33" s="5">
        <f>data_origin!AA67</f>
        <v>0</v>
      </c>
      <c r="AB33" s="5">
        <f t="shared" si="1"/>
        <v>2.2726879861711322</v>
      </c>
      <c r="AH33" t="s">
        <v>99</v>
      </c>
      <c r="AI33" s="5">
        <f>data_origin!T2280</f>
        <v>0</v>
      </c>
      <c r="AJ33" s="5">
        <f>data_origin!U2280</f>
        <v>0</v>
      </c>
      <c r="AK33" s="5">
        <f>data_origin!V2280</f>
        <v>0</v>
      </c>
      <c r="AL33" s="5">
        <f>data_origin!W2280</f>
        <v>0</v>
      </c>
      <c r="AM33" s="5">
        <f>data_origin!X2280</f>
        <v>0</v>
      </c>
      <c r="AN33" s="5">
        <f>data_origin!Y2280</f>
        <v>0</v>
      </c>
      <c r="AO33" s="5">
        <f>data_origin!Z2280</f>
        <v>0</v>
      </c>
      <c r="AP33" s="5">
        <f>data_origin!AA2280</f>
        <v>0</v>
      </c>
      <c r="AQ33" s="9">
        <f t="shared" si="6"/>
        <v>0</v>
      </c>
      <c r="AV33" t="s">
        <v>99</v>
      </c>
      <c r="AW33" s="5">
        <f>data_origin!T2994</f>
        <v>0</v>
      </c>
      <c r="AX33" s="5">
        <f>data_origin!U2994</f>
        <v>0</v>
      </c>
      <c r="AY33" s="5">
        <f>data_origin!V2994</f>
        <v>0</v>
      </c>
      <c r="AZ33" s="5">
        <f>data_origin!W2994</f>
        <v>0</v>
      </c>
      <c r="BA33" s="5">
        <f>data_origin!X2994</f>
        <v>0</v>
      </c>
      <c r="BB33" s="5">
        <f>data_origin!Y2994</f>
        <v>0</v>
      </c>
      <c r="BC33" s="5">
        <f>data_origin!Z2994</f>
        <v>0</v>
      </c>
      <c r="BD33" s="5">
        <f>data_origin!AA2994</f>
        <v>0</v>
      </c>
      <c r="BE33" s="9">
        <f t="shared" si="8"/>
        <v>0</v>
      </c>
      <c r="BH33" s="29"/>
      <c r="BI33" s="29"/>
      <c r="BJ33" s="29"/>
      <c r="BK33" s="29" t="s">
        <v>99</v>
      </c>
      <c r="BL33" s="30">
        <f>data_origin!T33+data_origin!T407+data_origin!T781</f>
        <v>0</v>
      </c>
      <c r="BM33" s="30">
        <f>data_origin!U33+data_origin!U407+data_origin!U781</f>
        <v>0</v>
      </c>
      <c r="BN33" s="30">
        <f>data_origin!V33+data_origin!V407+data_origin!V781</f>
        <v>0</v>
      </c>
      <c r="BO33" s="30">
        <f>data_origin!W33+data_origin!W407+data_origin!W781</f>
        <v>0</v>
      </c>
      <c r="BP33" s="30">
        <f>data_origin!X33+data_origin!X407+data_origin!X781</f>
        <v>0</v>
      </c>
      <c r="BQ33" s="30">
        <f>data_origin!Y33+data_origin!Y407+data_origin!Y781</f>
        <v>0</v>
      </c>
      <c r="BR33" s="30">
        <f>data_origin!Z33+data_origin!Z407+data_origin!Z781</f>
        <v>0</v>
      </c>
      <c r="BS33" s="30">
        <f>data_origin!AA33+data_origin!AA407+data_origin!AA781</f>
        <v>0</v>
      </c>
      <c r="BT33" s="9">
        <f t="shared" si="2"/>
        <v>0</v>
      </c>
      <c r="BV33" s="29"/>
      <c r="BW33" s="29"/>
      <c r="BX33" s="29"/>
      <c r="BY33" s="29" t="s">
        <v>99</v>
      </c>
      <c r="BZ33" s="30">
        <f>data_origin!T1155+data_origin!T1529+data_origin!T1903</f>
        <v>0</v>
      </c>
      <c r="CA33" s="30">
        <f>data_origin!U1155+data_origin!U1529+data_origin!U1903</f>
        <v>0</v>
      </c>
      <c r="CB33" s="30">
        <f>data_origin!V1155+data_origin!V1529+data_origin!V1903</f>
        <v>0</v>
      </c>
      <c r="CC33" s="30">
        <f>data_origin!W1155+data_origin!W1529+data_origin!W1903</f>
        <v>0</v>
      </c>
      <c r="CD33" s="30">
        <f>data_origin!X1155+data_origin!X1529+data_origin!X1903</f>
        <v>0</v>
      </c>
      <c r="CE33" s="30">
        <f>data_origin!Y1155+data_origin!Y1529+data_origin!Y1903</f>
        <v>0</v>
      </c>
      <c r="CF33" s="30">
        <f>data_origin!Z1155+data_origin!Z1529+data_origin!Z1903</f>
        <v>0</v>
      </c>
      <c r="CG33" s="30">
        <f>data_origin!AA1155+data_origin!AA1529+data_origin!AA1903</f>
        <v>0</v>
      </c>
      <c r="CH33" s="9">
        <f t="shared" si="3"/>
        <v>0</v>
      </c>
    </row>
    <row r="34" spans="1:86" x14ac:dyDescent="0.25">
      <c r="D34" t="s">
        <v>100</v>
      </c>
      <c r="E34" s="35">
        <f t="shared" si="4"/>
        <v>0</v>
      </c>
      <c r="F34" s="35">
        <f t="shared" si="4"/>
        <v>0</v>
      </c>
      <c r="G34" s="35">
        <f t="shared" si="4"/>
        <v>58.80184704184704</v>
      </c>
      <c r="H34" s="35">
        <f t="shared" si="4"/>
        <v>75.354538537576488</v>
      </c>
      <c r="I34" s="35">
        <f t="shared" si="4"/>
        <v>21.253002435292089</v>
      </c>
      <c r="J34" s="35">
        <f t="shared" si="4"/>
        <v>1.0062429057888762</v>
      </c>
      <c r="K34" s="35">
        <f t="shared" si="4"/>
        <v>0</v>
      </c>
      <c r="L34" s="35">
        <f t="shared" si="4"/>
        <v>0</v>
      </c>
      <c r="M34" s="35">
        <f t="shared" si="5"/>
        <v>156.41563092050447</v>
      </c>
      <c r="S34" t="s">
        <v>100</v>
      </c>
      <c r="T34" s="5">
        <f>data_origin!T68</f>
        <v>0</v>
      </c>
      <c r="U34" s="5">
        <f>data_origin!U68</f>
        <v>0</v>
      </c>
      <c r="V34" s="5">
        <f>data_origin!V68</f>
        <v>58.727272727272727</v>
      </c>
      <c r="W34" s="5">
        <f>data_origin!W68</f>
        <v>75.224719101123597</v>
      </c>
      <c r="X34" s="5">
        <f>data_origin!X68</f>
        <v>21.192307692307693</v>
      </c>
      <c r="Y34" s="5">
        <f>data_origin!Y68</f>
        <v>1</v>
      </c>
      <c r="Z34" s="5">
        <f>data_origin!Z68</f>
        <v>0</v>
      </c>
      <c r="AA34" s="5">
        <f>data_origin!AA68</f>
        <v>0</v>
      </c>
      <c r="AB34" s="5">
        <f t="shared" ref="AB34:AB95" si="9">SUM(T34:AA34)</f>
        <v>156.14429952070401</v>
      </c>
      <c r="AH34" t="s">
        <v>100</v>
      </c>
      <c r="AI34" s="5">
        <f>data_origin!T2281</f>
        <v>0</v>
      </c>
      <c r="AJ34" s="5">
        <f>data_origin!U2281</f>
        <v>0</v>
      </c>
      <c r="AK34" s="5">
        <f>data_origin!V2281</f>
        <v>0</v>
      </c>
      <c r="AL34" s="5">
        <f>data_origin!W2281</f>
        <v>0</v>
      </c>
      <c r="AM34" s="5">
        <f>data_origin!X2281</f>
        <v>0</v>
      </c>
      <c r="AN34" s="5">
        <f>data_origin!Y2281</f>
        <v>0</v>
      </c>
      <c r="AO34" s="5">
        <f>data_origin!Z2281</f>
        <v>0</v>
      </c>
      <c r="AP34" s="5">
        <f>data_origin!AA2281</f>
        <v>0</v>
      </c>
      <c r="AQ34" s="9">
        <f t="shared" si="6"/>
        <v>0</v>
      </c>
      <c r="AV34" t="s">
        <v>100</v>
      </c>
      <c r="AW34" s="5">
        <f>data_origin!T2995</f>
        <v>0</v>
      </c>
      <c r="AX34" s="5">
        <f>data_origin!U2995</f>
        <v>0</v>
      </c>
      <c r="AY34" s="5">
        <f>data_origin!V2995</f>
        <v>0</v>
      </c>
      <c r="AZ34" s="5">
        <f>data_origin!W2995</f>
        <v>0</v>
      </c>
      <c r="BA34" s="5">
        <f>data_origin!X2995</f>
        <v>0</v>
      </c>
      <c r="BB34" s="5">
        <f>data_origin!Y2995</f>
        <v>0</v>
      </c>
      <c r="BC34" s="5">
        <f>data_origin!Z2995</f>
        <v>0</v>
      </c>
      <c r="BD34" s="5">
        <f>data_origin!AA2995</f>
        <v>0</v>
      </c>
      <c r="BE34" s="9">
        <f t="shared" si="8"/>
        <v>0</v>
      </c>
      <c r="BH34" s="29"/>
      <c r="BI34" s="29"/>
      <c r="BJ34" s="29"/>
      <c r="BK34" s="29" t="s">
        <v>100</v>
      </c>
      <c r="BL34" s="30">
        <f>data_origin!T34+data_origin!T408+data_origin!T782</f>
        <v>0</v>
      </c>
      <c r="BM34" s="30">
        <f>data_origin!U34+data_origin!U408+data_origin!U782</f>
        <v>0</v>
      </c>
      <c r="BN34" s="30">
        <f>data_origin!V34+data_origin!V408+data_origin!V782</f>
        <v>0</v>
      </c>
      <c r="BO34" s="30">
        <f>data_origin!W34+data_origin!W408+data_origin!W782</f>
        <v>0</v>
      </c>
      <c r="BP34" s="30">
        <f>data_origin!X34+data_origin!X408+data_origin!X782</f>
        <v>0</v>
      </c>
      <c r="BQ34" s="30">
        <f>data_origin!Y34+data_origin!Y408+data_origin!Y782</f>
        <v>0</v>
      </c>
      <c r="BR34" s="30">
        <f>data_origin!Z34+data_origin!Z408+data_origin!Z782</f>
        <v>0</v>
      </c>
      <c r="BS34" s="30">
        <f>data_origin!AA34+data_origin!AA408+data_origin!AA782</f>
        <v>0</v>
      </c>
      <c r="BT34" s="9">
        <f t="shared" si="2"/>
        <v>0</v>
      </c>
      <c r="BV34" s="29"/>
      <c r="BW34" s="29"/>
      <c r="BX34" s="29"/>
      <c r="BY34" s="29" t="s">
        <v>100</v>
      </c>
      <c r="BZ34" s="30">
        <f>data_origin!T1156+data_origin!T1530+data_origin!T1904</f>
        <v>0</v>
      </c>
      <c r="CA34" s="30">
        <f>data_origin!U1156+data_origin!U1530+data_origin!U1904</f>
        <v>0</v>
      </c>
      <c r="CB34" s="30">
        <f>data_origin!V1156+data_origin!V1530+data_origin!V1904</f>
        <v>0</v>
      </c>
      <c r="CC34" s="30">
        <f>data_origin!W1156+data_origin!W1530+data_origin!W1904</f>
        <v>0</v>
      </c>
      <c r="CD34" s="30">
        <f>data_origin!X1156+data_origin!X1530+data_origin!X1904</f>
        <v>0</v>
      </c>
      <c r="CE34" s="30">
        <f>data_origin!Y1156+data_origin!Y1530+data_origin!Y1904</f>
        <v>0</v>
      </c>
      <c r="CF34" s="30">
        <f>data_origin!Z1156+data_origin!Z1530+data_origin!Z1904</f>
        <v>0</v>
      </c>
      <c r="CG34" s="30">
        <f>data_origin!AA1156+data_origin!AA1530+data_origin!AA1904</f>
        <v>0</v>
      </c>
      <c r="CH34" s="9">
        <f t="shared" si="3"/>
        <v>0</v>
      </c>
    </row>
    <row r="35" spans="1:86" x14ac:dyDescent="0.25">
      <c r="D35" t="s">
        <v>101</v>
      </c>
      <c r="E35" s="35">
        <f t="shared" si="4"/>
        <v>0</v>
      </c>
      <c r="F35" s="35">
        <f t="shared" si="4"/>
        <v>0</v>
      </c>
      <c r="G35" s="35">
        <f t="shared" si="4"/>
        <v>3.4589321789321787</v>
      </c>
      <c r="H35" s="35">
        <f t="shared" si="4"/>
        <v>1.159300592885792</v>
      </c>
      <c r="I35" s="35">
        <f t="shared" si="4"/>
        <v>1.1185790755416889</v>
      </c>
      <c r="J35" s="35">
        <f t="shared" si="4"/>
        <v>0</v>
      </c>
      <c r="K35" s="35">
        <f t="shared" si="4"/>
        <v>0</v>
      </c>
      <c r="L35" s="35">
        <f t="shared" ref="L35:L98" si="10">AA35+IFERROR((AA35/SUM(AA$3:AA$992)*AP$630),0)</f>
        <v>0</v>
      </c>
      <c r="M35" s="35">
        <f t="shared" si="5"/>
        <v>5.7368118473596592</v>
      </c>
      <c r="N35" s="5">
        <f>SUM(M3:M35)</f>
        <v>209.36355957321621</v>
      </c>
      <c r="S35" t="s">
        <v>101</v>
      </c>
      <c r="T35" s="5">
        <f>data_origin!T69</f>
        <v>0</v>
      </c>
      <c r="U35" s="5">
        <f>data_origin!U69</f>
        <v>0</v>
      </c>
      <c r="V35" s="5">
        <f>data_origin!V69</f>
        <v>3.4545454545454546</v>
      </c>
      <c r="W35" s="5">
        <f>data_origin!W69</f>
        <v>1.1573033707865168</v>
      </c>
      <c r="X35" s="5">
        <f>data_origin!X69</f>
        <v>1.1153846153846154</v>
      </c>
      <c r="Y35" s="5">
        <f>data_origin!Y69</f>
        <v>0</v>
      </c>
      <c r="Z35" s="5">
        <f>data_origin!Z69</f>
        <v>0</v>
      </c>
      <c r="AA35" s="5">
        <f>data_origin!AA69</f>
        <v>0</v>
      </c>
      <c r="AB35" s="5">
        <f t="shared" si="9"/>
        <v>5.7272334407165868</v>
      </c>
      <c r="AC35" s="5">
        <f>SUM(AB3:AB35)</f>
        <v>209</v>
      </c>
      <c r="AH35" t="s">
        <v>101</v>
      </c>
      <c r="AI35" s="5">
        <f>data_origin!T2282</f>
        <v>0</v>
      </c>
      <c r="AJ35" s="5">
        <f>data_origin!U2282</f>
        <v>0</v>
      </c>
      <c r="AK35" s="5">
        <f>data_origin!V2282</f>
        <v>0</v>
      </c>
      <c r="AL35" s="5">
        <f>data_origin!W2282</f>
        <v>0</v>
      </c>
      <c r="AM35" s="5">
        <f>data_origin!X2282</f>
        <v>0</v>
      </c>
      <c r="AN35" s="5">
        <f>data_origin!Y2282</f>
        <v>0</v>
      </c>
      <c r="AO35" s="5">
        <f>data_origin!Z2282</f>
        <v>0</v>
      </c>
      <c r="AP35" s="5">
        <f>data_origin!AA2282</f>
        <v>0</v>
      </c>
      <c r="AQ35" s="9">
        <f>SUM(AI35:AP35)</f>
        <v>0</v>
      </c>
      <c r="AR35" s="5">
        <f>SUM(AQ3:AQ35)</f>
        <v>0</v>
      </c>
      <c r="AV35" t="s">
        <v>101</v>
      </c>
      <c r="AW35" s="5">
        <f>data_origin!T2996</f>
        <v>0</v>
      </c>
      <c r="AX35" s="5">
        <f>data_origin!U2996</f>
        <v>0</v>
      </c>
      <c r="AY35" s="5">
        <f>data_origin!V2996</f>
        <v>0</v>
      </c>
      <c r="AZ35" s="5">
        <f>data_origin!W2996</f>
        <v>0</v>
      </c>
      <c r="BA35" s="5">
        <f>data_origin!X2996</f>
        <v>0</v>
      </c>
      <c r="BB35" s="5">
        <f>data_origin!Y2996</f>
        <v>0</v>
      </c>
      <c r="BC35" s="5">
        <f>data_origin!Z2996</f>
        <v>0</v>
      </c>
      <c r="BD35" s="5">
        <f>data_origin!AA2996</f>
        <v>0</v>
      </c>
      <c r="BE35" s="9">
        <f>SUM(AW35:BD35)</f>
        <v>0</v>
      </c>
      <c r="BF35" s="9">
        <f>SUM(BE3:BE35)</f>
        <v>0</v>
      </c>
      <c r="BH35" s="29"/>
      <c r="BI35" s="29"/>
      <c r="BJ35" s="29"/>
      <c r="BK35" s="29" t="s">
        <v>101</v>
      </c>
      <c r="BL35" s="30">
        <f>data_origin!T35+data_origin!T409+data_origin!T783</f>
        <v>0</v>
      </c>
      <c r="BM35" s="30">
        <f>data_origin!U35+data_origin!U409+data_origin!U783</f>
        <v>0</v>
      </c>
      <c r="BN35" s="30">
        <f>data_origin!V35+data_origin!V409+data_origin!V783</f>
        <v>0</v>
      </c>
      <c r="BO35" s="30">
        <f>data_origin!W35+data_origin!W409+data_origin!W783</f>
        <v>0</v>
      </c>
      <c r="BP35" s="30">
        <f>data_origin!X35+data_origin!X409+data_origin!X783</f>
        <v>0</v>
      </c>
      <c r="BQ35" s="30">
        <f>data_origin!Y35+data_origin!Y409+data_origin!Y783</f>
        <v>0</v>
      </c>
      <c r="BR35" s="30">
        <f>data_origin!Z35+data_origin!Z409+data_origin!Z783</f>
        <v>0</v>
      </c>
      <c r="BS35" s="30">
        <f>data_origin!AA35+data_origin!AA409+data_origin!AA783</f>
        <v>0</v>
      </c>
      <c r="BT35" s="9">
        <f t="shared" si="2"/>
        <v>0</v>
      </c>
      <c r="BU35" s="5">
        <f>SUM(BT3:BT35)</f>
        <v>0</v>
      </c>
      <c r="BV35" s="29"/>
      <c r="BW35" s="29"/>
      <c r="BX35" s="29"/>
      <c r="BY35" s="29" t="s">
        <v>101</v>
      </c>
      <c r="BZ35" s="30">
        <f>data_origin!T1157+data_origin!T1531+data_origin!T1905</f>
        <v>0</v>
      </c>
      <c r="CA35" s="30">
        <f>data_origin!U1157+data_origin!U1531+data_origin!U1905</f>
        <v>0</v>
      </c>
      <c r="CB35" s="30">
        <f>data_origin!V1157+data_origin!V1531+data_origin!V1905</f>
        <v>0</v>
      </c>
      <c r="CC35" s="30">
        <f>data_origin!W1157+data_origin!W1531+data_origin!W1905</f>
        <v>0</v>
      </c>
      <c r="CD35" s="30">
        <f>data_origin!X1157+data_origin!X1531+data_origin!X1905</f>
        <v>0</v>
      </c>
      <c r="CE35" s="30">
        <f>data_origin!Y1157+data_origin!Y1531+data_origin!Y1905</f>
        <v>0</v>
      </c>
      <c r="CF35" s="30">
        <f>data_origin!Z1157+data_origin!Z1531+data_origin!Z1905</f>
        <v>0</v>
      </c>
      <c r="CG35" s="30">
        <f>data_origin!AA1157+data_origin!AA1531+data_origin!AA1905</f>
        <v>0</v>
      </c>
      <c r="CH35" s="9">
        <f t="shared" si="3"/>
        <v>0</v>
      </c>
    </row>
    <row r="36" spans="1:86" x14ac:dyDescent="0.25">
      <c r="A36" s="23" t="s">
        <v>104</v>
      </c>
      <c r="B36" s="23" t="s">
        <v>103</v>
      </c>
      <c r="C36" s="23" t="s">
        <v>106</v>
      </c>
      <c r="D36" t="s">
        <v>70</v>
      </c>
      <c r="E36" s="35">
        <f t="shared" ref="E36:K72" si="11">T36+IFERROR((T36/SUM(T$3:T$992)*AI$630),0)</f>
        <v>0</v>
      </c>
      <c r="F36" s="35">
        <f t="shared" si="11"/>
        <v>0</v>
      </c>
      <c r="G36" s="35">
        <f t="shared" si="11"/>
        <v>23.475555555555555</v>
      </c>
      <c r="H36" s="35">
        <f t="shared" si="11"/>
        <v>31.210794185265971</v>
      </c>
      <c r="I36" s="35">
        <f t="shared" si="11"/>
        <v>7.6209859516779641</v>
      </c>
      <c r="J36" s="35">
        <f t="shared" si="11"/>
        <v>0</v>
      </c>
      <c r="K36" s="35">
        <f t="shared" si="11"/>
        <v>3.0303030303030304E-2</v>
      </c>
      <c r="L36" s="35">
        <f t="shared" si="10"/>
        <v>0</v>
      </c>
      <c r="M36" s="35">
        <f t="shared" si="5"/>
        <v>62.337638722802524</v>
      </c>
      <c r="N36" s="5"/>
      <c r="P36" t="s">
        <v>104</v>
      </c>
      <c r="Q36" t="s">
        <v>103</v>
      </c>
      <c r="R36" t="s">
        <v>106</v>
      </c>
      <c r="S36" t="s">
        <v>70</v>
      </c>
      <c r="T36" s="5">
        <f>data_origin!T71</f>
        <v>0</v>
      </c>
      <c r="U36" s="5">
        <f>data_origin!U71</f>
        <v>0</v>
      </c>
      <c r="V36" s="5">
        <f>data_origin!V71</f>
        <v>23.445783132530121</v>
      </c>
      <c r="W36" s="5">
        <f>data_origin!W71</f>
        <v>31.15702479338843</v>
      </c>
      <c r="X36" s="5">
        <f>data_origin!X71</f>
        <v>7.5992217898832681</v>
      </c>
      <c r="Y36" s="5">
        <f>data_origin!Y71</f>
        <v>0</v>
      </c>
      <c r="Z36" s="5">
        <f>data_origin!Z71</f>
        <v>3.0303030303030304E-2</v>
      </c>
      <c r="AA36" s="5">
        <f>data_origin!AA71</f>
        <v>0</v>
      </c>
      <c r="AB36" s="5">
        <f t="shared" si="9"/>
        <v>62.232332746104852</v>
      </c>
      <c r="AE36" t="s">
        <v>104</v>
      </c>
      <c r="AF36" t="s">
        <v>103</v>
      </c>
      <c r="AG36" s="28" t="s">
        <v>133</v>
      </c>
      <c r="AH36" t="s">
        <v>70</v>
      </c>
      <c r="AI36" s="5">
        <f>data_origin!T2284</f>
        <v>0</v>
      </c>
      <c r="AJ36" s="5">
        <f>data_origin!U2284</f>
        <v>0</v>
      </c>
      <c r="AK36" s="5">
        <f>data_origin!V2284</f>
        <v>0</v>
      </c>
      <c r="AL36" s="5">
        <f>data_origin!W2284</f>
        <v>0</v>
      </c>
      <c r="AM36" s="5">
        <f>data_origin!X2284</f>
        <v>0</v>
      </c>
      <c r="AN36" s="5">
        <f>data_origin!Y2284</f>
        <v>0</v>
      </c>
      <c r="AO36" s="5">
        <f>data_origin!Z2284</f>
        <v>0</v>
      </c>
      <c r="AP36" s="5">
        <f>data_origin!AA2284</f>
        <v>0</v>
      </c>
      <c r="AQ36" s="9">
        <f t="shared" ref="AQ36:AQ99" si="12">SUM(AI36:AP36)</f>
        <v>0</v>
      </c>
      <c r="AS36" t="s">
        <v>115</v>
      </c>
      <c r="AT36" t="s">
        <v>103</v>
      </c>
      <c r="AU36" s="28" t="s">
        <v>133</v>
      </c>
      <c r="AV36" t="s">
        <v>70</v>
      </c>
      <c r="AW36" s="5">
        <f>data_origin!T2998</f>
        <v>0</v>
      </c>
      <c r="AX36" s="5">
        <f>data_origin!U2998</f>
        <v>0</v>
      </c>
      <c r="AY36" s="5">
        <f>data_origin!V2998</f>
        <v>0</v>
      </c>
      <c r="AZ36" s="5">
        <f>data_origin!W2998</f>
        <v>0</v>
      </c>
      <c r="BA36" s="5">
        <f>data_origin!X2998</f>
        <v>0</v>
      </c>
      <c r="BB36" s="5">
        <f>data_origin!Y2998</f>
        <v>0</v>
      </c>
      <c r="BC36" s="5">
        <f>data_origin!Z2998</f>
        <v>0</v>
      </c>
      <c r="BD36" s="5">
        <f>data_origin!AA2998</f>
        <v>0</v>
      </c>
      <c r="BE36" s="9">
        <f t="shared" ref="BE36:BE99" si="13">SUM(AW36:BD36)</f>
        <v>0</v>
      </c>
      <c r="BT36" s="9"/>
      <c r="BU36" s="5"/>
      <c r="CH36" s="9">
        <f>SUM(CH3:CH35)</f>
        <v>0</v>
      </c>
    </row>
    <row r="37" spans="1:86" x14ac:dyDescent="0.25">
      <c r="D37" t="s">
        <v>71</v>
      </c>
      <c r="E37" s="35">
        <f t="shared" si="11"/>
        <v>0</v>
      </c>
      <c r="F37" s="35">
        <f t="shared" si="11"/>
        <v>0</v>
      </c>
      <c r="G37" s="35">
        <f t="shared" si="11"/>
        <v>97.10343434343433</v>
      </c>
      <c r="H37" s="35">
        <f t="shared" si="11"/>
        <v>91.479913991296812</v>
      </c>
      <c r="I37" s="35">
        <f t="shared" si="11"/>
        <v>16.330684182167065</v>
      </c>
      <c r="J37" s="35">
        <f t="shared" si="11"/>
        <v>0</v>
      </c>
      <c r="K37" s="35">
        <f t="shared" si="11"/>
        <v>3.0303030303030304E-2</v>
      </c>
      <c r="L37" s="35">
        <f t="shared" si="10"/>
        <v>0</v>
      </c>
      <c r="M37" s="35">
        <f t="shared" si="5"/>
        <v>204.94433554720123</v>
      </c>
      <c r="S37" t="s">
        <v>71</v>
      </c>
      <c r="T37" s="5">
        <f>data_origin!T72</f>
        <v>0</v>
      </c>
      <c r="U37" s="5">
        <f>data_origin!U72</f>
        <v>0</v>
      </c>
      <c r="V37" s="5">
        <f>data_origin!V72</f>
        <v>96.980284775465492</v>
      </c>
      <c r="W37" s="5">
        <f>data_origin!W72</f>
        <v>91.32231404958678</v>
      </c>
      <c r="X37" s="5">
        <f>data_origin!X72</f>
        <v>16.284046692607003</v>
      </c>
      <c r="Y37" s="5">
        <f>data_origin!Y72</f>
        <v>0</v>
      </c>
      <c r="Z37" s="5">
        <f>data_origin!Z72</f>
        <v>3.0303030303030304E-2</v>
      </c>
      <c r="AA37" s="5">
        <f>data_origin!AA72</f>
        <v>0</v>
      </c>
      <c r="AB37" s="5">
        <f t="shared" si="9"/>
        <v>204.61694854796229</v>
      </c>
      <c r="AH37" t="s">
        <v>71</v>
      </c>
      <c r="AI37" s="5">
        <f>data_origin!T2285</f>
        <v>0</v>
      </c>
      <c r="AJ37" s="5">
        <f>data_origin!U2285</f>
        <v>0</v>
      </c>
      <c r="AK37" s="5">
        <f>data_origin!V2285</f>
        <v>0</v>
      </c>
      <c r="AL37" s="5">
        <f>data_origin!W2285</f>
        <v>0</v>
      </c>
      <c r="AM37" s="5">
        <f>data_origin!X2285</f>
        <v>0</v>
      </c>
      <c r="AN37" s="5">
        <f>data_origin!Y2285</f>
        <v>0</v>
      </c>
      <c r="AO37" s="5">
        <f>data_origin!Z2285</f>
        <v>0</v>
      </c>
      <c r="AP37" s="5">
        <f>data_origin!AA2285</f>
        <v>0</v>
      </c>
      <c r="AQ37" s="9">
        <f t="shared" si="12"/>
        <v>0</v>
      </c>
      <c r="AV37" t="s">
        <v>71</v>
      </c>
      <c r="AW37" s="5">
        <f>data_origin!T2999</f>
        <v>0</v>
      </c>
      <c r="AX37" s="5">
        <f>data_origin!U2999</f>
        <v>0</v>
      </c>
      <c r="AY37" s="5">
        <f>data_origin!V2999</f>
        <v>0</v>
      </c>
      <c r="AZ37" s="5">
        <f>data_origin!W2999</f>
        <v>0</v>
      </c>
      <c r="BA37" s="5">
        <f>data_origin!X2999</f>
        <v>0</v>
      </c>
      <c r="BB37" s="5">
        <f>data_origin!Y2999</f>
        <v>0</v>
      </c>
      <c r="BC37" s="5">
        <f>data_origin!Z2999</f>
        <v>0</v>
      </c>
      <c r="BD37" s="5">
        <f>data_origin!AA2999</f>
        <v>0</v>
      </c>
      <c r="BE37" s="9">
        <f t="shared" si="13"/>
        <v>0</v>
      </c>
      <c r="BK37" t="s">
        <v>131</v>
      </c>
      <c r="BL37" s="5">
        <f>SUM(BL3:BL35)</f>
        <v>0</v>
      </c>
      <c r="BM37" s="5">
        <f t="shared" ref="BM37:BT37" si="14">SUM(BM3:BM35)</f>
        <v>0</v>
      </c>
      <c r="BN37" s="5">
        <f t="shared" si="14"/>
        <v>0</v>
      </c>
      <c r="BO37" s="5">
        <f t="shared" si="14"/>
        <v>0</v>
      </c>
      <c r="BP37" s="5">
        <f t="shared" si="14"/>
        <v>0</v>
      </c>
      <c r="BQ37" s="5">
        <f t="shared" si="14"/>
        <v>0</v>
      </c>
      <c r="BR37" s="5">
        <f t="shared" si="14"/>
        <v>0</v>
      </c>
      <c r="BS37" s="5">
        <f t="shared" si="14"/>
        <v>0</v>
      </c>
      <c r="BT37" s="5">
        <f t="shared" si="14"/>
        <v>0</v>
      </c>
      <c r="BY37" t="s">
        <v>131</v>
      </c>
      <c r="BZ37" s="5">
        <f>SUM(BZ3:BZ35)</f>
        <v>0</v>
      </c>
      <c r="CA37" s="5">
        <f t="shared" ref="CA37:CH37" si="15">SUM(CA3:CA35)</f>
        <v>0</v>
      </c>
      <c r="CB37" s="5">
        <f t="shared" si="15"/>
        <v>0</v>
      </c>
      <c r="CC37" s="5">
        <f t="shared" si="15"/>
        <v>0</v>
      </c>
      <c r="CD37" s="5">
        <f t="shared" si="15"/>
        <v>0</v>
      </c>
      <c r="CE37" s="5">
        <f t="shared" si="15"/>
        <v>0</v>
      </c>
      <c r="CF37" s="5">
        <f t="shared" si="15"/>
        <v>0</v>
      </c>
      <c r="CG37" s="5">
        <f t="shared" si="15"/>
        <v>0</v>
      </c>
      <c r="CH37" s="5">
        <f t="shared" si="15"/>
        <v>0</v>
      </c>
    </row>
    <row r="38" spans="1:86" x14ac:dyDescent="0.25">
      <c r="D38" t="s">
        <v>72</v>
      </c>
      <c r="E38" s="35">
        <f t="shared" si="11"/>
        <v>0</v>
      </c>
      <c r="F38" s="35">
        <f t="shared" si="11"/>
        <v>0</v>
      </c>
      <c r="G38" s="35">
        <f t="shared" si="11"/>
        <v>2.1341414141414141</v>
      </c>
      <c r="H38" s="35">
        <f t="shared" si="11"/>
        <v>3.2287028467516521</v>
      </c>
      <c r="I38" s="35">
        <f t="shared" si="11"/>
        <v>0</v>
      </c>
      <c r="J38" s="35">
        <f t="shared" si="11"/>
        <v>0</v>
      </c>
      <c r="K38" s="35">
        <f t="shared" si="11"/>
        <v>3.0303030303030304E-2</v>
      </c>
      <c r="L38" s="35">
        <f t="shared" si="10"/>
        <v>0</v>
      </c>
      <c r="M38" s="35">
        <f t="shared" si="5"/>
        <v>5.3931472911960965</v>
      </c>
      <c r="S38" t="s">
        <v>72</v>
      </c>
      <c r="T38" s="5">
        <f>data_origin!T73</f>
        <v>0</v>
      </c>
      <c r="U38" s="5">
        <f>data_origin!U73</f>
        <v>0</v>
      </c>
      <c r="V38" s="5">
        <f>data_origin!V73</f>
        <v>2.131434830230011</v>
      </c>
      <c r="W38" s="5">
        <f>data_origin!W73</f>
        <v>3.2231404958677685</v>
      </c>
      <c r="X38" s="5">
        <f>data_origin!X73</f>
        <v>0</v>
      </c>
      <c r="Y38" s="5">
        <f>data_origin!Y73</f>
        <v>0</v>
      </c>
      <c r="Z38" s="5">
        <f>data_origin!Z73</f>
        <v>3.0303030303030304E-2</v>
      </c>
      <c r="AA38" s="5">
        <f>data_origin!AA73</f>
        <v>0</v>
      </c>
      <c r="AB38" s="5">
        <f t="shared" si="9"/>
        <v>5.3848783564008098</v>
      </c>
      <c r="AH38" t="s">
        <v>72</v>
      </c>
      <c r="AI38" s="5">
        <f>data_origin!T2286</f>
        <v>0</v>
      </c>
      <c r="AJ38" s="5">
        <f>data_origin!U2286</f>
        <v>0</v>
      </c>
      <c r="AK38" s="5">
        <f>data_origin!V2286</f>
        <v>0</v>
      </c>
      <c r="AL38" s="5">
        <f>data_origin!W2286</f>
        <v>0</v>
      </c>
      <c r="AM38" s="5">
        <f>data_origin!X2286</f>
        <v>0</v>
      </c>
      <c r="AN38" s="5">
        <f>data_origin!Y2286</f>
        <v>0</v>
      </c>
      <c r="AO38" s="5">
        <f>data_origin!Z2286</f>
        <v>0</v>
      </c>
      <c r="AP38" s="5">
        <f>data_origin!AA2286</f>
        <v>0</v>
      </c>
      <c r="AQ38" s="9">
        <f t="shared" si="12"/>
        <v>0</v>
      </c>
      <c r="AV38" t="s">
        <v>72</v>
      </c>
      <c r="AW38" s="5">
        <f>data_origin!T3000</f>
        <v>0</v>
      </c>
      <c r="AX38" s="5">
        <f>data_origin!U3000</f>
        <v>0</v>
      </c>
      <c r="AY38" s="5">
        <f>data_origin!V3000</f>
        <v>0</v>
      </c>
      <c r="AZ38" s="5">
        <f>data_origin!W3000</f>
        <v>0</v>
      </c>
      <c r="BA38" s="5">
        <f>data_origin!X3000</f>
        <v>0</v>
      </c>
      <c r="BB38" s="5">
        <f>data_origin!Y3000</f>
        <v>0</v>
      </c>
      <c r="BC38" s="5">
        <f>data_origin!Z3000</f>
        <v>0</v>
      </c>
      <c r="BD38" s="5">
        <f>data_origin!AA3000</f>
        <v>0</v>
      </c>
      <c r="BE38" s="9">
        <f t="shared" si="13"/>
        <v>0</v>
      </c>
    </row>
    <row r="39" spans="1:86" x14ac:dyDescent="0.25">
      <c r="D39" t="s">
        <v>73</v>
      </c>
      <c r="E39" s="35">
        <f t="shared" si="11"/>
        <v>0</v>
      </c>
      <c r="F39" s="35">
        <f t="shared" si="11"/>
        <v>0</v>
      </c>
      <c r="G39" s="35">
        <f t="shared" si="11"/>
        <v>8.5365656565656565</v>
      </c>
      <c r="H39" s="35">
        <f t="shared" si="11"/>
        <v>3.2287028467516521</v>
      </c>
      <c r="I39" s="35">
        <f t="shared" si="11"/>
        <v>0</v>
      </c>
      <c r="J39" s="35">
        <f t="shared" si="11"/>
        <v>0</v>
      </c>
      <c r="K39" s="35">
        <f t="shared" si="11"/>
        <v>3.0303030303030304E-2</v>
      </c>
      <c r="L39" s="35">
        <f t="shared" si="10"/>
        <v>0</v>
      </c>
      <c r="M39" s="35">
        <f t="shared" si="5"/>
        <v>11.79557153362034</v>
      </c>
      <c r="S39" t="s">
        <v>73</v>
      </c>
      <c r="T39" s="5">
        <f>data_origin!T74</f>
        <v>0</v>
      </c>
      <c r="U39" s="5">
        <f>data_origin!U74</f>
        <v>0</v>
      </c>
      <c r="V39" s="5">
        <f>data_origin!V74</f>
        <v>8.5257393209200441</v>
      </c>
      <c r="W39" s="5">
        <f>data_origin!W74</f>
        <v>3.2231404958677685</v>
      </c>
      <c r="X39" s="5">
        <f>data_origin!X74</f>
        <v>0</v>
      </c>
      <c r="Y39" s="5">
        <f>data_origin!Y74</f>
        <v>0</v>
      </c>
      <c r="Z39" s="5">
        <f>data_origin!Z74</f>
        <v>3.0303030303030304E-2</v>
      </c>
      <c r="AA39" s="5">
        <f>data_origin!AA74</f>
        <v>0</v>
      </c>
      <c r="AB39" s="5">
        <f t="shared" si="9"/>
        <v>11.779182847090844</v>
      </c>
      <c r="AH39" t="s">
        <v>73</v>
      </c>
      <c r="AI39" s="5">
        <f>data_origin!T2287</f>
        <v>0</v>
      </c>
      <c r="AJ39" s="5">
        <f>data_origin!U2287</f>
        <v>0</v>
      </c>
      <c r="AK39" s="5">
        <f>data_origin!V2287</f>
        <v>0</v>
      </c>
      <c r="AL39" s="5">
        <f>data_origin!W2287</f>
        <v>0</v>
      </c>
      <c r="AM39" s="5">
        <f>data_origin!X2287</f>
        <v>0</v>
      </c>
      <c r="AN39" s="5">
        <f>data_origin!Y2287</f>
        <v>0</v>
      </c>
      <c r="AO39" s="5">
        <f>data_origin!Z2287</f>
        <v>0</v>
      </c>
      <c r="AP39" s="5">
        <f>data_origin!AA2287</f>
        <v>0</v>
      </c>
      <c r="AQ39" s="9">
        <f t="shared" si="12"/>
        <v>0</v>
      </c>
      <c r="AV39" t="s">
        <v>73</v>
      </c>
      <c r="AW39" s="5">
        <f>data_origin!T3001</f>
        <v>0</v>
      </c>
      <c r="AX39" s="5">
        <f>data_origin!U3001</f>
        <v>0</v>
      </c>
      <c r="AY39" s="5">
        <f>data_origin!V3001</f>
        <v>0</v>
      </c>
      <c r="AZ39" s="5">
        <f>data_origin!W3001</f>
        <v>0</v>
      </c>
      <c r="BA39" s="5">
        <f>data_origin!X3001</f>
        <v>0</v>
      </c>
      <c r="BB39" s="5">
        <f>data_origin!Y3001</f>
        <v>0</v>
      </c>
      <c r="BC39" s="5">
        <f>data_origin!Z3001</f>
        <v>0</v>
      </c>
      <c r="BD39" s="5">
        <f>data_origin!AA3001</f>
        <v>0</v>
      </c>
      <c r="BE39" s="9">
        <f t="shared" si="13"/>
        <v>0</v>
      </c>
    </row>
    <row r="40" spans="1:86" x14ac:dyDescent="0.25">
      <c r="D40" t="s">
        <v>74</v>
      </c>
      <c r="E40" s="35">
        <f t="shared" si="11"/>
        <v>0</v>
      </c>
      <c r="F40" s="35">
        <f t="shared" si="11"/>
        <v>0</v>
      </c>
      <c r="G40" s="35">
        <f t="shared" si="11"/>
        <v>7.4694949494949494</v>
      </c>
      <c r="H40" s="35">
        <f t="shared" si="11"/>
        <v>17.21974851600881</v>
      </c>
      <c r="I40" s="35">
        <f t="shared" si="11"/>
        <v>7.6209859516779641</v>
      </c>
      <c r="J40" s="35">
        <f t="shared" si="11"/>
        <v>1.0062429057888762</v>
      </c>
      <c r="K40" s="35">
        <f t="shared" si="11"/>
        <v>3.0303030303030304E-2</v>
      </c>
      <c r="L40" s="35">
        <f t="shared" si="10"/>
        <v>0</v>
      </c>
      <c r="M40" s="35">
        <f t="shared" si="5"/>
        <v>33.346775353273628</v>
      </c>
      <c r="S40" t="s">
        <v>74</v>
      </c>
      <c r="T40" s="5">
        <f>data_origin!T75</f>
        <v>0</v>
      </c>
      <c r="U40" s="5">
        <f>data_origin!U75</f>
        <v>0</v>
      </c>
      <c r="V40" s="5">
        <f>data_origin!V75</f>
        <v>7.4600219058050383</v>
      </c>
      <c r="W40" s="5">
        <f>data_origin!W75</f>
        <v>17.190082644628099</v>
      </c>
      <c r="X40" s="5">
        <f>data_origin!X75</f>
        <v>7.5992217898832681</v>
      </c>
      <c r="Y40" s="5">
        <f>data_origin!Y75</f>
        <v>1</v>
      </c>
      <c r="Z40" s="5">
        <f>data_origin!Z75</f>
        <v>3.0303030303030304E-2</v>
      </c>
      <c r="AA40" s="5">
        <f>data_origin!AA75</f>
        <v>0</v>
      </c>
      <c r="AB40" s="5">
        <f t="shared" si="9"/>
        <v>33.279629370619439</v>
      </c>
      <c r="AH40" t="s">
        <v>74</v>
      </c>
      <c r="AI40" s="5">
        <f>data_origin!T2288</f>
        <v>0</v>
      </c>
      <c r="AJ40" s="5">
        <f>data_origin!U2288</f>
        <v>0</v>
      </c>
      <c r="AK40" s="5">
        <f>data_origin!V2288</f>
        <v>0</v>
      </c>
      <c r="AL40" s="5">
        <f>data_origin!W2288</f>
        <v>0</v>
      </c>
      <c r="AM40" s="5">
        <f>data_origin!X2288</f>
        <v>1.8571428571428572</v>
      </c>
      <c r="AN40" s="5">
        <f>data_origin!Y2288</f>
        <v>0</v>
      </c>
      <c r="AO40" s="5">
        <f>data_origin!Z2288</f>
        <v>0</v>
      </c>
      <c r="AP40" s="5">
        <f>data_origin!AA2288</f>
        <v>0</v>
      </c>
      <c r="AQ40" s="9">
        <f t="shared" si="12"/>
        <v>1.8571428571428572</v>
      </c>
      <c r="AV40" t="s">
        <v>74</v>
      </c>
      <c r="AW40" s="5">
        <f>data_origin!T3002</f>
        <v>0</v>
      </c>
      <c r="AX40" s="5">
        <f>data_origin!U3002</f>
        <v>0</v>
      </c>
      <c r="AY40" s="5">
        <f>data_origin!V3002</f>
        <v>0</v>
      </c>
      <c r="AZ40" s="5">
        <f>data_origin!W3002</f>
        <v>0</v>
      </c>
      <c r="BA40" s="5">
        <f>data_origin!X3002</f>
        <v>0</v>
      </c>
      <c r="BB40" s="5">
        <f>data_origin!Y3002</f>
        <v>0</v>
      </c>
      <c r="BC40" s="5">
        <f>data_origin!Z3002</f>
        <v>0</v>
      </c>
      <c r="BD40" s="5">
        <f>data_origin!AA3002</f>
        <v>0</v>
      </c>
      <c r="BE40" s="9">
        <f t="shared" si="13"/>
        <v>0</v>
      </c>
    </row>
    <row r="41" spans="1:86" x14ac:dyDescent="0.25">
      <c r="D41" t="s">
        <v>75</v>
      </c>
      <c r="E41" s="35">
        <f t="shared" si="11"/>
        <v>0</v>
      </c>
      <c r="F41" s="35">
        <f t="shared" si="11"/>
        <v>0</v>
      </c>
      <c r="G41" s="35">
        <f t="shared" si="11"/>
        <v>4.2682828282828282</v>
      </c>
      <c r="H41" s="35">
        <f t="shared" si="11"/>
        <v>0</v>
      </c>
      <c r="I41" s="35">
        <f t="shared" si="11"/>
        <v>0</v>
      </c>
      <c r="J41" s="35">
        <f t="shared" si="11"/>
        <v>0</v>
      </c>
      <c r="K41" s="35">
        <f t="shared" si="11"/>
        <v>3.0303030303030304E-2</v>
      </c>
      <c r="L41" s="35">
        <f t="shared" si="10"/>
        <v>0</v>
      </c>
      <c r="M41" s="35">
        <f t="shared" si="5"/>
        <v>4.2985858585858585</v>
      </c>
      <c r="S41" t="s">
        <v>75</v>
      </c>
      <c r="T41" s="5">
        <f>data_origin!T76</f>
        <v>0</v>
      </c>
      <c r="U41" s="5">
        <f>data_origin!U76</f>
        <v>0</v>
      </c>
      <c r="V41" s="5">
        <f>data_origin!V76</f>
        <v>4.262869660460022</v>
      </c>
      <c r="W41" s="5">
        <f>data_origin!W76</f>
        <v>0</v>
      </c>
      <c r="X41" s="5">
        <f>data_origin!X76</f>
        <v>0</v>
      </c>
      <c r="Y41" s="5">
        <f>data_origin!Y76</f>
        <v>0</v>
      </c>
      <c r="Z41" s="5">
        <f>data_origin!Z76</f>
        <v>3.0303030303030304E-2</v>
      </c>
      <c r="AA41" s="5">
        <f>data_origin!AA76</f>
        <v>0</v>
      </c>
      <c r="AB41" s="5">
        <f t="shared" si="9"/>
        <v>4.2931726907630523</v>
      </c>
      <c r="AH41" t="s">
        <v>75</v>
      </c>
      <c r="AI41" s="5">
        <f>data_origin!T2289</f>
        <v>0</v>
      </c>
      <c r="AJ41" s="5">
        <f>data_origin!U2289</f>
        <v>0</v>
      </c>
      <c r="AK41" s="5">
        <f>data_origin!V2289</f>
        <v>0</v>
      </c>
      <c r="AL41" s="5">
        <f>data_origin!W2289</f>
        <v>0</v>
      </c>
      <c r="AM41" s="5">
        <f>data_origin!X2289</f>
        <v>0</v>
      </c>
      <c r="AN41" s="5">
        <f>data_origin!Y2289</f>
        <v>0</v>
      </c>
      <c r="AO41" s="5">
        <f>data_origin!Z2289</f>
        <v>0</v>
      </c>
      <c r="AP41" s="5">
        <f>data_origin!AA2289</f>
        <v>0</v>
      </c>
      <c r="AQ41" s="9">
        <f t="shared" si="12"/>
        <v>0</v>
      </c>
      <c r="AV41" t="s">
        <v>75</v>
      </c>
      <c r="AW41" s="5">
        <f>data_origin!T3003</f>
        <v>0</v>
      </c>
      <c r="AX41" s="5">
        <f>data_origin!U3003</f>
        <v>0</v>
      </c>
      <c r="AY41" s="5">
        <f>data_origin!V3003</f>
        <v>0</v>
      </c>
      <c r="AZ41" s="5">
        <f>data_origin!W3003</f>
        <v>0</v>
      </c>
      <c r="BA41" s="5">
        <f>data_origin!X3003</f>
        <v>0</v>
      </c>
      <c r="BB41" s="5">
        <f>data_origin!Y3003</f>
        <v>0</v>
      </c>
      <c r="BC41" s="5">
        <f>data_origin!Z3003</f>
        <v>0</v>
      </c>
      <c r="BD41" s="5">
        <f>data_origin!AA3003</f>
        <v>0</v>
      </c>
      <c r="BE41" s="9">
        <f t="shared" si="13"/>
        <v>0</v>
      </c>
    </row>
    <row r="42" spans="1:86" x14ac:dyDescent="0.25">
      <c r="D42" t="s">
        <v>76</v>
      </c>
      <c r="E42" s="35">
        <f t="shared" si="11"/>
        <v>0</v>
      </c>
      <c r="F42" s="35">
        <f t="shared" si="11"/>
        <v>0</v>
      </c>
      <c r="G42" s="35">
        <f t="shared" si="11"/>
        <v>18.140202020202022</v>
      </c>
      <c r="H42" s="35">
        <f t="shared" si="11"/>
        <v>11.838577104756059</v>
      </c>
      <c r="I42" s="35">
        <f t="shared" si="11"/>
        <v>7.6209859516779641</v>
      </c>
      <c r="J42" s="35">
        <f t="shared" si="11"/>
        <v>0</v>
      </c>
      <c r="K42" s="35">
        <f t="shared" si="11"/>
        <v>3.0303030303030304E-2</v>
      </c>
      <c r="L42" s="35">
        <f t="shared" si="10"/>
        <v>0</v>
      </c>
      <c r="M42" s="35">
        <f t="shared" si="5"/>
        <v>37.630068106939078</v>
      </c>
      <c r="S42" t="s">
        <v>76</v>
      </c>
      <c r="T42" s="5">
        <f>data_origin!T77</f>
        <v>0</v>
      </c>
      <c r="U42" s="5">
        <f>data_origin!U77</f>
        <v>0</v>
      </c>
      <c r="V42" s="5">
        <f>data_origin!V77</f>
        <v>18.117196056955095</v>
      </c>
      <c r="W42" s="5">
        <f>data_origin!W77</f>
        <v>11.818181818181818</v>
      </c>
      <c r="X42" s="5">
        <f>data_origin!X77</f>
        <v>7.5992217898832681</v>
      </c>
      <c r="Y42" s="5">
        <f>data_origin!Y77</f>
        <v>0</v>
      </c>
      <c r="Z42" s="5">
        <f>data_origin!Z77</f>
        <v>3.0303030303030304E-2</v>
      </c>
      <c r="AA42" s="5">
        <f>data_origin!AA77</f>
        <v>0</v>
      </c>
      <c r="AB42" s="5">
        <f t="shared" si="9"/>
        <v>37.564902695323212</v>
      </c>
      <c r="AH42" t="s">
        <v>76</v>
      </c>
      <c r="AI42" s="5">
        <f>data_origin!T2290</f>
        <v>0</v>
      </c>
      <c r="AJ42" s="5">
        <f>data_origin!U2290</f>
        <v>0</v>
      </c>
      <c r="AK42" s="5">
        <f>data_origin!V2290</f>
        <v>0</v>
      </c>
      <c r="AL42" s="5">
        <f>data_origin!W2290</f>
        <v>0</v>
      </c>
      <c r="AM42" s="5">
        <f>data_origin!X2290</f>
        <v>0</v>
      </c>
      <c r="AN42" s="5">
        <f>data_origin!Y2290</f>
        <v>0</v>
      </c>
      <c r="AO42" s="5">
        <f>data_origin!Z2290</f>
        <v>0</v>
      </c>
      <c r="AP42" s="5">
        <f>data_origin!AA2290</f>
        <v>0</v>
      </c>
      <c r="AQ42" s="9">
        <f t="shared" si="12"/>
        <v>0</v>
      </c>
      <c r="AV42" t="s">
        <v>76</v>
      </c>
      <c r="AW42" s="5">
        <f>data_origin!T3004</f>
        <v>0</v>
      </c>
      <c r="AX42" s="5">
        <f>data_origin!U3004</f>
        <v>0</v>
      </c>
      <c r="AY42" s="5">
        <f>data_origin!V3004</f>
        <v>0</v>
      </c>
      <c r="AZ42" s="5">
        <f>data_origin!W3004</f>
        <v>0</v>
      </c>
      <c r="BA42" s="5">
        <f>data_origin!X3004</f>
        <v>0</v>
      </c>
      <c r="BB42" s="5">
        <f>data_origin!Y3004</f>
        <v>0</v>
      </c>
      <c r="BC42" s="5">
        <f>data_origin!Z3004</f>
        <v>0</v>
      </c>
      <c r="BD42" s="5">
        <f>data_origin!AA3004</f>
        <v>0</v>
      </c>
      <c r="BE42" s="9">
        <f t="shared" si="13"/>
        <v>0</v>
      </c>
    </row>
    <row r="43" spans="1:86" x14ac:dyDescent="0.25">
      <c r="D43" t="s">
        <v>77</v>
      </c>
      <c r="E43" s="35">
        <f t="shared" si="11"/>
        <v>0</v>
      </c>
      <c r="F43" s="35">
        <f t="shared" si="11"/>
        <v>0</v>
      </c>
      <c r="G43" s="35">
        <f t="shared" si="11"/>
        <v>36.280404040404044</v>
      </c>
      <c r="H43" s="35">
        <f t="shared" si="11"/>
        <v>39.820668443270371</v>
      </c>
      <c r="I43" s="35">
        <f t="shared" si="11"/>
        <v>18.508108739789343</v>
      </c>
      <c r="J43" s="35">
        <f t="shared" si="11"/>
        <v>1.0062429057888762</v>
      </c>
      <c r="K43" s="35">
        <f t="shared" si="11"/>
        <v>3.0303030303030304E-2</v>
      </c>
      <c r="L43" s="35">
        <f t="shared" si="10"/>
        <v>0</v>
      </c>
      <c r="M43" s="35">
        <f t="shared" si="5"/>
        <v>95.645727159555676</v>
      </c>
      <c r="S43" t="s">
        <v>77</v>
      </c>
      <c r="T43" s="5">
        <f>data_origin!T78</f>
        <v>0</v>
      </c>
      <c r="U43" s="5">
        <f>data_origin!U78</f>
        <v>0</v>
      </c>
      <c r="V43" s="5">
        <f>data_origin!V78</f>
        <v>36.234392113910189</v>
      </c>
      <c r="W43" s="5">
        <f>data_origin!W78</f>
        <v>39.752066115702476</v>
      </c>
      <c r="X43" s="5">
        <f>data_origin!X78</f>
        <v>18.455252918287936</v>
      </c>
      <c r="Y43" s="5">
        <f>data_origin!Y78</f>
        <v>1</v>
      </c>
      <c r="Z43" s="5">
        <f>data_origin!Z78</f>
        <v>3.0303030303030304E-2</v>
      </c>
      <c r="AA43" s="5">
        <f>data_origin!AA78</f>
        <v>0</v>
      </c>
      <c r="AB43" s="5">
        <f t="shared" si="9"/>
        <v>95.472014178203636</v>
      </c>
      <c r="AH43" t="s">
        <v>77</v>
      </c>
      <c r="AI43" s="5">
        <f>data_origin!T2291</f>
        <v>0</v>
      </c>
      <c r="AJ43" s="5">
        <f>data_origin!U2291</f>
        <v>0</v>
      </c>
      <c r="AK43" s="5">
        <f>data_origin!V2291</f>
        <v>0</v>
      </c>
      <c r="AL43" s="5">
        <f>data_origin!W2291</f>
        <v>0</v>
      </c>
      <c r="AM43" s="5">
        <f>data_origin!X2291</f>
        <v>0</v>
      </c>
      <c r="AN43" s="5">
        <f>data_origin!Y2291</f>
        <v>0</v>
      </c>
      <c r="AO43" s="5">
        <f>data_origin!Z2291</f>
        <v>0</v>
      </c>
      <c r="AP43" s="5">
        <f>data_origin!AA2291</f>
        <v>0</v>
      </c>
      <c r="AQ43" s="9">
        <f t="shared" si="12"/>
        <v>0</v>
      </c>
      <c r="AV43" t="s">
        <v>77</v>
      </c>
      <c r="AW43" s="5">
        <f>data_origin!T3005</f>
        <v>0</v>
      </c>
      <c r="AX43" s="5">
        <f>data_origin!U3005</f>
        <v>0</v>
      </c>
      <c r="AY43" s="5">
        <f>data_origin!V3005</f>
        <v>0</v>
      </c>
      <c r="AZ43" s="5">
        <f>data_origin!W3005</f>
        <v>0</v>
      </c>
      <c r="BA43" s="5">
        <f>data_origin!X3005</f>
        <v>0</v>
      </c>
      <c r="BB43" s="5">
        <f>data_origin!Y3005</f>
        <v>0</v>
      </c>
      <c r="BC43" s="5">
        <f>data_origin!Z3005</f>
        <v>0</v>
      </c>
      <c r="BD43" s="5">
        <f>data_origin!AA3005</f>
        <v>0</v>
      </c>
      <c r="BE43" s="9">
        <f t="shared" si="13"/>
        <v>0</v>
      </c>
    </row>
    <row r="44" spans="1:86" x14ac:dyDescent="0.25">
      <c r="D44" t="s">
        <v>78</v>
      </c>
      <c r="E44" s="35">
        <f t="shared" si="11"/>
        <v>0</v>
      </c>
      <c r="F44" s="35">
        <f t="shared" si="11"/>
        <v>0</v>
      </c>
      <c r="G44" s="35">
        <f t="shared" si="11"/>
        <v>36.280404040404044</v>
      </c>
      <c r="H44" s="35">
        <f t="shared" si="11"/>
        <v>25.829622774013217</v>
      </c>
      <c r="I44" s="35">
        <f t="shared" si="11"/>
        <v>8.7096982304891011</v>
      </c>
      <c r="J44" s="35">
        <f t="shared" si="11"/>
        <v>0</v>
      </c>
      <c r="K44" s="35">
        <f t="shared" si="11"/>
        <v>3.0303030303030304E-2</v>
      </c>
      <c r="L44" s="35">
        <f t="shared" si="10"/>
        <v>0</v>
      </c>
      <c r="M44" s="35">
        <f t="shared" si="5"/>
        <v>70.850028075209394</v>
      </c>
      <c r="S44" t="s">
        <v>78</v>
      </c>
      <c r="T44" s="5">
        <f>data_origin!T79</f>
        <v>0</v>
      </c>
      <c r="U44" s="5">
        <f>data_origin!U79</f>
        <v>0</v>
      </c>
      <c r="V44" s="5">
        <f>data_origin!V79</f>
        <v>36.234392113910189</v>
      </c>
      <c r="W44" s="5">
        <f>data_origin!W79</f>
        <v>25.785123966942148</v>
      </c>
      <c r="X44" s="5">
        <f>data_origin!X79</f>
        <v>8.6848249027237348</v>
      </c>
      <c r="Y44" s="5">
        <f>data_origin!Y79</f>
        <v>0</v>
      </c>
      <c r="Z44" s="5">
        <f>data_origin!Z79</f>
        <v>3.0303030303030304E-2</v>
      </c>
      <c r="AA44" s="5">
        <f>data_origin!AA79</f>
        <v>0</v>
      </c>
      <c r="AB44" s="5">
        <f t="shared" si="9"/>
        <v>70.734644013879105</v>
      </c>
      <c r="AH44" t="s">
        <v>78</v>
      </c>
      <c r="AI44" s="5">
        <f>data_origin!T2292</f>
        <v>0</v>
      </c>
      <c r="AJ44" s="5">
        <f>data_origin!U2292</f>
        <v>0</v>
      </c>
      <c r="AK44" s="5">
        <f>data_origin!V2292</f>
        <v>0</v>
      </c>
      <c r="AL44" s="5">
        <f>data_origin!W2292</f>
        <v>0</v>
      </c>
      <c r="AM44" s="5">
        <f>data_origin!X2292</f>
        <v>0</v>
      </c>
      <c r="AN44" s="5">
        <f>data_origin!Y2292</f>
        <v>0</v>
      </c>
      <c r="AO44" s="5">
        <f>data_origin!Z2292</f>
        <v>0</v>
      </c>
      <c r="AP44" s="5">
        <f>data_origin!AA2292</f>
        <v>0</v>
      </c>
      <c r="AQ44" s="9">
        <f t="shared" si="12"/>
        <v>0</v>
      </c>
      <c r="AV44" t="s">
        <v>78</v>
      </c>
      <c r="AW44" s="5">
        <f>data_origin!T3006</f>
        <v>0</v>
      </c>
      <c r="AX44" s="5">
        <f>data_origin!U3006</f>
        <v>0</v>
      </c>
      <c r="AY44" s="5">
        <f>data_origin!V3006</f>
        <v>0</v>
      </c>
      <c r="AZ44" s="5">
        <f>data_origin!W3006</f>
        <v>0</v>
      </c>
      <c r="BA44" s="5">
        <f>data_origin!X3006</f>
        <v>0</v>
      </c>
      <c r="BB44" s="5">
        <f>data_origin!Y3006</f>
        <v>0</v>
      </c>
      <c r="BC44" s="5">
        <f>data_origin!Z3006</f>
        <v>0</v>
      </c>
      <c r="BD44" s="5">
        <f>data_origin!AA3006</f>
        <v>0</v>
      </c>
      <c r="BE44" s="9">
        <f t="shared" si="13"/>
        <v>0</v>
      </c>
    </row>
    <row r="45" spans="1:86" x14ac:dyDescent="0.25">
      <c r="D45" t="s">
        <v>79</v>
      </c>
      <c r="E45" s="35">
        <f t="shared" si="11"/>
        <v>0</v>
      </c>
      <c r="F45" s="35">
        <f t="shared" si="11"/>
        <v>0</v>
      </c>
      <c r="G45" s="35">
        <f t="shared" si="11"/>
        <v>3.2012121212121212</v>
      </c>
      <c r="H45" s="35">
        <f t="shared" si="11"/>
        <v>4.3049371290022025</v>
      </c>
      <c r="I45" s="35">
        <f t="shared" si="11"/>
        <v>0</v>
      </c>
      <c r="J45" s="35">
        <f t="shared" si="11"/>
        <v>0</v>
      </c>
      <c r="K45" s="35">
        <f t="shared" si="11"/>
        <v>3.0303030303030304E-2</v>
      </c>
      <c r="L45" s="35">
        <f t="shared" si="10"/>
        <v>0</v>
      </c>
      <c r="M45" s="35">
        <f t="shared" si="5"/>
        <v>7.5364522805173539</v>
      </c>
      <c r="S45" t="s">
        <v>79</v>
      </c>
      <c r="T45" s="5">
        <f>data_origin!T80</f>
        <v>0</v>
      </c>
      <c r="U45" s="5">
        <f>data_origin!U80</f>
        <v>0</v>
      </c>
      <c r="V45" s="5">
        <f>data_origin!V80</f>
        <v>3.1971522453450163</v>
      </c>
      <c r="W45" s="5">
        <f>data_origin!W80</f>
        <v>4.2975206611570247</v>
      </c>
      <c r="X45" s="5">
        <f>data_origin!X80</f>
        <v>0</v>
      </c>
      <c r="Y45" s="5">
        <f>data_origin!Y80</f>
        <v>0</v>
      </c>
      <c r="Z45" s="5">
        <f>data_origin!Z80</f>
        <v>3.0303030303030304E-2</v>
      </c>
      <c r="AA45" s="5">
        <f>data_origin!AA80</f>
        <v>0</v>
      </c>
      <c r="AB45" s="5">
        <f t="shared" si="9"/>
        <v>7.5249759368050713</v>
      </c>
      <c r="AH45" t="s">
        <v>79</v>
      </c>
      <c r="AI45" s="5">
        <f>data_origin!T2293</f>
        <v>0</v>
      </c>
      <c r="AJ45" s="5">
        <f>data_origin!U2293</f>
        <v>0</v>
      </c>
      <c r="AK45" s="5">
        <f>data_origin!V2293</f>
        <v>0</v>
      </c>
      <c r="AL45" s="5">
        <f>data_origin!W2293</f>
        <v>0</v>
      </c>
      <c r="AM45" s="5">
        <f>data_origin!X2293</f>
        <v>0</v>
      </c>
      <c r="AN45" s="5">
        <f>data_origin!Y2293</f>
        <v>0</v>
      </c>
      <c r="AO45" s="5">
        <f>data_origin!Z2293</f>
        <v>0</v>
      </c>
      <c r="AP45" s="5">
        <f>data_origin!AA2293</f>
        <v>0</v>
      </c>
      <c r="AQ45" s="9">
        <f t="shared" si="12"/>
        <v>0</v>
      </c>
      <c r="AV45" t="s">
        <v>79</v>
      </c>
      <c r="AW45" s="5">
        <f>data_origin!T3007</f>
        <v>0</v>
      </c>
      <c r="AX45" s="5">
        <f>data_origin!U3007</f>
        <v>0</v>
      </c>
      <c r="AY45" s="5">
        <f>data_origin!V3007</f>
        <v>0</v>
      </c>
      <c r="AZ45" s="5">
        <f>data_origin!W3007</f>
        <v>0</v>
      </c>
      <c r="BA45" s="5">
        <f>data_origin!X3007</f>
        <v>0</v>
      </c>
      <c r="BB45" s="5">
        <f>data_origin!Y3007</f>
        <v>0</v>
      </c>
      <c r="BC45" s="5">
        <f>data_origin!Z3007</f>
        <v>0</v>
      </c>
      <c r="BD45" s="5">
        <f>data_origin!AA3007</f>
        <v>0</v>
      </c>
      <c r="BE45" s="9">
        <f t="shared" si="13"/>
        <v>0</v>
      </c>
    </row>
    <row r="46" spans="1:86" x14ac:dyDescent="0.25">
      <c r="D46" t="s">
        <v>80</v>
      </c>
      <c r="E46" s="35">
        <f t="shared" si="11"/>
        <v>0</v>
      </c>
      <c r="F46" s="35">
        <f t="shared" si="11"/>
        <v>0</v>
      </c>
      <c r="G46" s="35">
        <f t="shared" si="11"/>
        <v>9.6036363636363635</v>
      </c>
      <c r="H46" s="35">
        <f t="shared" si="11"/>
        <v>6.4574056935033042</v>
      </c>
      <c r="I46" s="35">
        <f t="shared" si="11"/>
        <v>1.0887122788111376</v>
      </c>
      <c r="J46" s="35">
        <f t="shared" si="11"/>
        <v>0</v>
      </c>
      <c r="K46" s="35">
        <f t="shared" si="11"/>
        <v>3.0303030303030304E-2</v>
      </c>
      <c r="L46" s="35">
        <f t="shared" si="10"/>
        <v>0</v>
      </c>
      <c r="M46" s="35">
        <f t="shared" si="5"/>
        <v>17.180057366253834</v>
      </c>
      <c r="S46" t="s">
        <v>80</v>
      </c>
      <c r="T46" s="5">
        <f>data_origin!T81</f>
        <v>0</v>
      </c>
      <c r="U46" s="5">
        <f>data_origin!U81</f>
        <v>0</v>
      </c>
      <c r="V46" s="5">
        <f>data_origin!V81</f>
        <v>9.5914567360350489</v>
      </c>
      <c r="W46" s="5">
        <f>data_origin!W81</f>
        <v>6.446280991735537</v>
      </c>
      <c r="X46" s="5">
        <f>data_origin!X81</f>
        <v>1.0856031128404668</v>
      </c>
      <c r="Y46" s="5">
        <f>data_origin!Y81</f>
        <v>0</v>
      </c>
      <c r="Z46" s="5">
        <f>data_origin!Z81</f>
        <v>3.0303030303030304E-2</v>
      </c>
      <c r="AA46" s="5">
        <f>data_origin!AA81</f>
        <v>0</v>
      </c>
      <c r="AB46" s="5">
        <f t="shared" si="9"/>
        <v>17.153643870914085</v>
      </c>
      <c r="AH46" t="s">
        <v>80</v>
      </c>
      <c r="AI46" s="5">
        <f>data_origin!T2294</f>
        <v>0</v>
      </c>
      <c r="AJ46" s="5">
        <f>data_origin!U2294</f>
        <v>0</v>
      </c>
      <c r="AK46" s="5">
        <f>data_origin!V2294</f>
        <v>0</v>
      </c>
      <c r="AL46" s="5">
        <f>data_origin!W2294</f>
        <v>0</v>
      </c>
      <c r="AM46" s="5">
        <f>data_origin!X2294</f>
        <v>0</v>
      </c>
      <c r="AN46" s="5">
        <f>data_origin!Y2294</f>
        <v>0</v>
      </c>
      <c r="AO46" s="5">
        <f>data_origin!Z2294</f>
        <v>0</v>
      </c>
      <c r="AP46" s="5">
        <f>data_origin!AA2294</f>
        <v>0</v>
      </c>
      <c r="AQ46" s="9">
        <f t="shared" si="12"/>
        <v>0</v>
      </c>
      <c r="AV46" t="s">
        <v>80</v>
      </c>
      <c r="AW46" s="5">
        <f>data_origin!T3008</f>
        <v>0</v>
      </c>
      <c r="AX46" s="5">
        <f>data_origin!U3008</f>
        <v>0</v>
      </c>
      <c r="AY46" s="5">
        <f>data_origin!V3008</f>
        <v>0</v>
      </c>
      <c r="AZ46" s="5">
        <f>data_origin!W3008</f>
        <v>0</v>
      </c>
      <c r="BA46" s="5">
        <f>data_origin!X3008</f>
        <v>0</v>
      </c>
      <c r="BB46" s="5">
        <f>data_origin!Y3008</f>
        <v>0</v>
      </c>
      <c r="BC46" s="5">
        <f>data_origin!Z3008</f>
        <v>0</v>
      </c>
      <c r="BD46" s="5">
        <f>data_origin!AA3008</f>
        <v>0</v>
      </c>
      <c r="BE46" s="9">
        <f t="shared" si="13"/>
        <v>0</v>
      </c>
    </row>
    <row r="47" spans="1:86" x14ac:dyDescent="0.25">
      <c r="D47" t="s">
        <v>81</v>
      </c>
      <c r="E47" s="35">
        <f t="shared" si="11"/>
        <v>0</v>
      </c>
      <c r="F47" s="35">
        <f t="shared" si="11"/>
        <v>0</v>
      </c>
      <c r="G47" s="35">
        <f t="shared" si="11"/>
        <v>2.1341414141414141</v>
      </c>
      <c r="H47" s="35">
        <f t="shared" si="11"/>
        <v>0</v>
      </c>
      <c r="I47" s="35">
        <f t="shared" si="11"/>
        <v>0</v>
      </c>
      <c r="J47" s="35">
        <f t="shared" si="11"/>
        <v>0</v>
      </c>
      <c r="K47" s="35">
        <f t="shared" si="11"/>
        <v>3.0303030303030304E-2</v>
      </c>
      <c r="L47" s="35">
        <f t="shared" si="10"/>
        <v>0</v>
      </c>
      <c r="M47" s="35">
        <f t="shared" si="5"/>
        <v>2.1644444444444444</v>
      </c>
      <c r="S47" t="s">
        <v>81</v>
      </c>
      <c r="T47" s="5">
        <f>data_origin!T82</f>
        <v>0</v>
      </c>
      <c r="U47" s="5">
        <f>data_origin!U82</f>
        <v>0</v>
      </c>
      <c r="V47" s="5">
        <f>data_origin!V82</f>
        <v>2.131434830230011</v>
      </c>
      <c r="W47" s="5">
        <f>data_origin!W82</f>
        <v>0</v>
      </c>
      <c r="X47" s="5">
        <f>data_origin!X82</f>
        <v>0</v>
      </c>
      <c r="Y47" s="5">
        <f>data_origin!Y82</f>
        <v>0</v>
      </c>
      <c r="Z47" s="5">
        <f>data_origin!Z82</f>
        <v>3.0303030303030304E-2</v>
      </c>
      <c r="AA47" s="5">
        <f>data_origin!AA82</f>
        <v>0</v>
      </c>
      <c r="AB47" s="5">
        <f t="shared" si="9"/>
        <v>2.1617378605330413</v>
      </c>
      <c r="AH47" t="s">
        <v>81</v>
      </c>
      <c r="AI47" s="5">
        <f>data_origin!T2295</f>
        <v>0</v>
      </c>
      <c r="AJ47" s="5">
        <f>data_origin!U2295</f>
        <v>0</v>
      </c>
      <c r="AK47" s="5">
        <f>data_origin!V2295</f>
        <v>0</v>
      </c>
      <c r="AL47" s="5">
        <f>data_origin!W2295</f>
        <v>0</v>
      </c>
      <c r="AM47" s="5">
        <f>data_origin!X2295</f>
        <v>0</v>
      </c>
      <c r="AN47" s="5">
        <f>data_origin!Y2295</f>
        <v>0</v>
      </c>
      <c r="AO47" s="5">
        <f>data_origin!Z2295</f>
        <v>0</v>
      </c>
      <c r="AP47" s="5">
        <f>data_origin!AA2295</f>
        <v>0</v>
      </c>
      <c r="AQ47" s="9">
        <f t="shared" si="12"/>
        <v>0</v>
      </c>
      <c r="AV47" t="s">
        <v>81</v>
      </c>
      <c r="AW47" s="5">
        <f>data_origin!T3009</f>
        <v>0</v>
      </c>
      <c r="AX47" s="5">
        <f>data_origin!U3009</f>
        <v>0</v>
      </c>
      <c r="AY47" s="5">
        <f>data_origin!V3009</f>
        <v>0</v>
      </c>
      <c r="AZ47" s="5">
        <f>data_origin!W3009</f>
        <v>0</v>
      </c>
      <c r="BA47" s="5">
        <f>data_origin!X3009</f>
        <v>0</v>
      </c>
      <c r="BB47" s="5">
        <f>data_origin!Y3009</f>
        <v>0</v>
      </c>
      <c r="BC47" s="5">
        <f>data_origin!Z3009</f>
        <v>0</v>
      </c>
      <c r="BD47" s="5">
        <f>data_origin!AA3009</f>
        <v>0</v>
      </c>
      <c r="BE47" s="9">
        <f t="shared" si="13"/>
        <v>0</v>
      </c>
    </row>
    <row r="48" spans="1:86" x14ac:dyDescent="0.25">
      <c r="D48" t="s">
        <v>82</v>
      </c>
      <c r="E48" s="35">
        <f t="shared" si="11"/>
        <v>0</v>
      </c>
      <c r="F48" s="35">
        <f t="shared" si="11"/>
        <v>0</v>
      </c>
      <c r="G48" s="35">
        <f t="shared" si="11"/>
        <v>5.3353535353535353</v>
      </c>
      <c r="H48" s="35">
        <f t="shared" si="11"/>
        <v>2.1524685645011012</v>
      </c>
      <c r="I48" s="35">
        <f t="shared" si="11"/>
        <v>0</v>
      </c>
      <c r="J48" s="35">
        <f t="shared" si="11"/>
        <v>0</v>
      </c>
      <c r="K48" s="35">
        <f t="shared" si="11"/>
        <v>3.0303030303030304E-2</v>
      </c>
      <c r="L48" s="35">
        <f t="shared" si="10"/>
        <v>0</v>
      </c>
      <c r="M48" s="35">
        <f t="shared" si="5"/>
        <v>7.5181251301576664</v>
      </c>
      <c r="S48" t="s">
        <v>82</v>
      </c>
      <c r="T48" s="5">
        <f>data_origin!T83</f>
        <v>0</v>
      </c>
      <c r="U48" s="5">
        <f>data_origin!U83</f>
        <v>0</v>
      </c>
      <c r="V48" s="5">
        <f>data_origin!V83</f>
        <v>5.3285870755750278</v>
      </c>
      <c r="W48" s="5">
        <f>data_origin!W83</f>
        <v>2.1487603305785123</v>
      </c>
      <c r="X48" s="5">
        <f>data_origin!X83</f>
        <v>0</v>
      </c>
      <c r="Y48" s="5">
        <f>data_origin!Y83</f>
        <v>0</v>
      </c>
      <c r="Z48" s="5">
        <f>data_origin!Z83</f>
        <v>3.0303030303030304E-2</v>
      </c>
      <c r="AA48" s="5">
        <f>data_origin!AA83</f>
        <v>0</v>
      </c>
      <c r="AB48" s="5">
        <f t="shared" si="9"/>
        <v>7.5076504364565704</v>
      </c>
      <c r="AH48" t="s">
        <v>82</v>
      </c>
      <c r="AI48" s="5">
        <f>data_origin!T2296</f>
        <v>0</v>
      </c>
      <c r="AJ48" s="5">
        <f>data_origin!U2296</f>
        <v>0</v>
      </c>
      <c r="AK48" s="5">
        <f>data_origin!V2296</f>
        <v>0</v>
      </c>
      <c r="AL48" s="5">
        <f>data_origin!W2296</f>
        <v>0</v>
      </c>
      <c r="AM48" s="5">
        <f>data_origin!X2296</f>
        <v>0</v>
      </c>
      <c r="AN48" s="5">
        <f>data_origin!Y2296</f>
        <v>0</v>
      </c>
      <c r="AO48" s="5">
        <f>data_origin!Z2296</f>
        <v>0</v>
      </c>
      <c r="AP48" s="5">
        <f>data_origin!AA2296</f>
        <v>0</v>
      </c>
      <c r="AQ48" s="9">
        <f t="shared" si="12"/>
        <v>0</v>
      </c>
      <c r="AV48" t="s">
        <v>82</v>
      </c>
      <c r="AW48" s="5">
        <f>data_origin!T3010</f>
        <v>0</v>
      </c>
      <c r="AX48" s="5">
        <f>data_origin!U3010</f>
        <v>0</v>
      </c>
      <c r="AY48" s="5">
        <f>data_origin!V3010</f>
        <v>0</v>
      </c>
      <c r="AZ48" s="5">
        <f>data_origin!W3010</f>
        <v>0</v>
      </c>
      <c r="BA48" s="5">
        <f>data_origin!X3010</f>
        <v>0</v>
      </c>
      <c r="BB48" s="5">
        <f>data_origin!Y3010</f>
        <v>0</v>
      </c>
      <c r="BC48" s="5">
        <f>data_origin!Z3010</f>
        <v>0</v>
      </c>
      <c r="BD48" s="5">
        <f>data_origin!AA3010</f>
        <v>0</v>
      </c>
      <c r="BE48" s="9">
        <f t="shared" si="13"/>
        <v>0</v>
      </c>
    </row>
    <row r="49" spans="4:57" x14ac:dyDescent="0.25">
      <c r="D49" t="s">
        <v>83</v>
      </c>
      <c r="E49" s="35">
        <f t="shared" si="11"/>
        <v>0</v>
      </c>
      <c r="F49" s="35">
        <f t="shared" si="11"/>
        <v>0</v>
      </c>
      <c r="G49" s="35">
        <f t="shared" si="11"/>
        <v>0</v>
      </c>
      <c r="H49" s="35">
        <f t="shared" si="11"/>
        <v>2.1524685645011012</v>
      </c>
      <c r="I49" s="35">
        <f t="shared" si="11"/>
        <v>1.0887122788111376</v>
      </c>
      <c r="J49" s="35">
        <f t="shared" si="11"/>
        <v>0</v>
      </c>
      <c r="K49" s="35">
        <f t="shared" si="11"/>
        <v>3.0303030303030304E-2</v>
      </c>
      <c r="L49" s="35">
        <f t="shared" si="10"/>
        <v>0</v>
      </c>
      <c r="M49" s="35">
        <f t="shared" si="5"/>
        <v>3.2714838736152689</v>
      </c>
      <c r="S49" t="s">
        <v>83</v>
      </c>
      <c r="T49" s="5">
        <f>data_origin!T84</f>
        <v>0</v>
      </c>
      <c r="U49" s="5">
        <f>data_origin!U84</f>
        <v>0</v>
      </c>
      <c r="V49" s="5">
        <f>data_origin!V84</f>
        <v>0</v>
      </c>
      <c r="W49" s="5">
        <f>data_origin!W84</f>
        <v>2.1487603305785123</v>
      </c>
      <c r="X49" s="5">
        <f>data_origin!X84</f>
        <v>1.0856031128404668</v>
      </c>
      <c r="Y49" s="5">
        <f>data_origin!Y84</f>
        <v>0</v>
      </c>
      <c r="Z49" s="5">
        <f>data_origin!Z84</f>
        <v>3.0303030303030304E-2</v>
      </c>
      <c r="AA49" s="5">
        <f>data_origin!AA84</f>
        <v>0</v>
      </c>
      <c r="AB49" s="5">
        <f t="shared" si="9"/>
        <v>3.2646664737220092</v>
      </c>
      <c r="AH49" t="s">
        <v>83</v>
      </c>
      <c r="AI49" s="5">
        <f>data_origin!T2297</f>
        <v>0</v>
      </c>
      <c r="AJ49" s="5">
        <f>data_origin!U2297</f>
        <v>0</v>
      </c>
      <c r="AK49" s="5">
        <f>data_origin!V2297</f>
        <v>0</v>
      </c>
      <c r="AL49" s="5">
        <f>data_origin!W2297</f>
        <v>0</v>
      </c>
      <c r="AM49" s="5">
        <f>data_origin!X2297</f>
        <v>0</v>
      </c>
      <c r="AN49" s="5">
        <f>data_origin!Y2297</f>
        <v>0</v>
      </c>
      <c r="AO49" s="5">
        <f>data_origin!Z2297</f>
        <v>0</v>
      </c>
      <c r="AP49" s="5">
        <f>data_origin!AA2297</f>
        <v>0</v>
      </c>
      <c r="AQ49" s="9">
        <f t="shared" si="12"/>
        <v>0</v>
      </c>
      <c r="AV49" t="s">
        <v>83</v>
      </c>
      <c r="AW49" s="5">
        <f>data_origin!T3011</f>
        <v>0</v>
      </c>
      <c r="AX49" s="5">
        <f>data_origin!U3011</f>
        <v>0</v>
      </c>
      <c r="AY49" s="5">
        <f>data_origin!V3011</f>
        <v>0</v>
      </c>
      <c r="AZ49" s="5">
        <f>data_origin!W3011</f>
        <v>0</v>
      </c>
      <c r="BA49" s="5">
        <f>data_origin!X3011</f>
        <v>0</v>
      </c>
      <c r="BB49" s="5">
        <f>data_origin!Y3011</f>
        <v>0</v>
      </c>
      <c r="BC49" s="5">
        <f>data_origin!Z3011</f>
        <v>0</v>
      </c>
      <c r="BD49" s="5">
        <f>data_origin!AA3011</f>
        <v>0</v>
      </c>
      <c r="BE49" s="9">
        <f t="shared" si="13"/>
        <v>0</v>
      </c>
    </row>
    <row r="50" spans="4:57" x14ac:dyDescent="0.25">
      <c r="D50" t="s">
        <v>84</v>
      </c>
      <c r="E50" s="35">
        <f t="shared" si="11"/>
        <v>0</v>
      </c>
      <c r="F50" s="35">
        <f t="shared" si="11"/>
        <v>0</v>
      </c>
      <c r="G50" s="35">
        <f t="shared" si="11"/>
        <v>1.0670707070707071</v>
      </c>
      <c r="H50" s="35">
        <f t="shared" si="11"/>
        <v>1.0762342822505506</v>
      </c>
      <c r="I50" s="35">
        <f t="shared" si="11"/>
        <v>1.0887122788111376</v>
      </c>
      <c r="J50" s="35">
        <f t="shared" si="11"/>
        <v>0</v>
      </c>
      <c r="K50" s="35">
        <f t="shared" si="11"/>
        <v>3.0303030303030304E-2</v>
      </c>
      <c r="L50" s="35">
        <f t="shared" si="10"/>
        <v>0</v>
      </c>
      <c r="M50" s="35">
        <f t="shared" si="5"/>
        <v>3.2623202984354256</v>
      </c>
      <c r="S50" t="s">
        <v>84</v>
      </c>
      <c r="T50" s="5">
        <f>data_origin!T85</f>
        <v>0</v>
      </c>
      <c r="U50" s="5">
        <f>data_origin!U85</f>
        <v>0</v>
      </c>
      <c r="V50" s="5">
        <f>data_origin!V85</f>
        <v>1.0657174151150055</v>
      </c>
      <c r="W50" s="5">
        <f>data_origin!W85</f>
        <v>1.0743801652892562</v>
      </c>
      <c r="X50" s="5">
        <f>data_origin!X85</f>
        <v>1.0856031128404668</v>
      </c>
      <c r="Y50" s="5">
        <f>data_origin!Y85</f>
        <v>0</v>
      </c>
      <c r="Z50" s="5">
        <f>data_origin!Z85</f>
        <v>3.0303030303030304E-2</v>
      </c>
      <c r="AA50" s="5">
        <f>data_origin!AA85</f>
        <v>0</v>
      </c>
      <c r="AB50" s="5">
        <f t="shared" si="9"/>
        <v>3.2560037235477584</v>
      </c>
      <c r="AH50" t="s">
        <v>84</v>
      </c>
      <c r="AI50" s="5">
        <f>data_origin!T2298</f>
        <v>0</v>
      </c>
      <c r="AJ50" s="5">
        <f>data_origin!U2298</f>
        <v>0</v>
      </c>
      <c r="AK50" s="5">
        <f>data_origin!V2298</f>
        <v>0</v>
      </c>
      <c r="AL50" s="5">
        <f>data_origin!W2298</f>
        <v>0</v>
      </c>
      <c r="AM50" s="5">
        <f>data_origin!X2298</f>
        <v>0</v>
      </c>
      <c r="AN50" s="5">
        <f>data_origin!Y2298</f>
        <v>0</v>
      </c>
      <c r="AO50" s="5">
        <f>data_origin!Z2298</f>
        <v>0</v>
      </c>
      <c r="AP50" s="5">
        <f>data_origin!AA2298</f>
        <v>0</v>
      </c>
      <c r="AQ50" s="9">
        <f t="shared" si="12"/>
        <v>0</v>
      </c>
      <c r="AV50" t="s">
        <v>84</v>
      </c>
      <c r="AW50" s="5">
        <f>data_origin!T3012</f>
        <v>0</v>
      </c>
      <c r="AX50" s="5">
        <f>data_origin!U3012</f>
        <v>0</v>
      </c>
      <c r="AY50" s="5">
        <f>data_origin!V3012</f>
        <v>0</v>
      </c>
      <c r="AZ50" s="5">
        <f>data_origin!W3012</f>
        <v>0</v>
      </c>
      <c r="BA50" s="5">
        <f>data_origin!X3012</f>
        <v>0</v>
      </c>
      <c r="BB50" s="5">
        <f>data_origin!Y3012</f>
        <v>0</v>
      </c>
      <c r="BC50" s="5">
        <f>data_origin!Z3012</f>
        <v>0</v>
      </c>
      <c r="BD50" s="5">
        <f>data_origin!AA3012</f>
        <v>0</v>
      </c>
      <c r="BE50" s="9">
        <f t="shared" si="13"/>
        <v>0</v>
      </c>
    </row>
    <row r="51" spans="4:57" x14ac:dyDescent="0.25">
      <c r="D51" t="s">
        <v>85</v>
      </c>
      <c r="E51" s="35">
        <f t="shared" si="11"/>
        <v>0</v>
      </c>
      <c r="F51" s="35">
        <f t="shared" si="11"/>
        <v>0</v>
      </c>
      <c r="G51" s="35">
        <f t="shared" si="11"/>
        <v>2.1341414141414141</v>
      </c>
      <c r="H51" s="35">
        <f t="shared" si="11"/>
        <v>4.3049371290022025</v>
      </c>
      <c r="I51" s="35">
        <f t="shared" si="11"/>
        <v>3.2661368364334136</v>
      </c>
      <c r="J51" s="35">
        <f t="shared" si="11"/>
        <v>0</v>
      </c>
      <c r="K51" s="35">
        <f t="shared" si="11"/>
        <v>3.0303030303030304E-2</v>
      </c>
      <c r="L51" s="35">
        <f t="shared" si="10"/>
        <v>0</v>
      </c>
      <c r="M51" s="35">
        <f t="shared" si="5"/>
        <v>9.7355184098800613</v>
      </c>
      <c r="S51" t="s">
        <v>85</v>
      </c>
      <c r="T51" s="5">
        <f>data_origin!T86</f>
        <v>0</v>
      </c>
      <c r="U51" s="5">
        <f>data_origin!U86</f>
        <v>0</v>
      </c>
      <c r="V51" s="5">
        <f>data_origin!V86</f>
        <v>2.131434830230011</v>
      </c>
      <c r="W51" s="5">
        <f>data_origin!W86</f>
        <v>4.2975206611570247</v>
      </c>
      <c r="X51" s="5">
        <f>data_origin!X86</f>
        <v>3.2568093385214008</v>
      </c>
      <c r="Y51" s="5">
        <f>data_origin!Y86</f>
        <v>0</v>
      </c>
      <c r="Z51" s="5">
        <f>data_origin!Z86</f>
        <v>3.0303030303030304E-2</v>
      </c>
      <c r="AA51" s="5">
        <f>data_origin!AA86</f>
        <v>0</v>
      </c>
      <c r="AB51" s="5">
        <f t="shared" si="9"/>
        <v>9.7160678602114672</v>
      </c>
      <c r="AH51" t="s">
        <v>85</v>
      </c>
      <c r="AI51" s="5">
        <f>data_origin!T2299</f>
        <v>0</v>
      </c>
      <c r="AJ51" s="5">
        <f>data_origin!U2299</f>
        <v>0</v>
      </c>
      <c r="AK51" s="5">
        <f>data_origin!V2299</f>
        <v>0</v>
      </c>
      <c r="AL51" s="5">
        <f>data_origin!W2299</f>
        <v>0</v>
      </c>
      <c r="AM51" s="5">
        <f>data_origin!X2299</f>
        <v>0</v>
      </c>
      <c r="AN51" s="5">
        <f>data_origin!Y2299</f>
        <v>0</v>
      </c>
      <c r="AO51" s="5">
        <f>data_origin!Z2299</f>
        <v>0</v>
      </c>
      <c r="AP51" s="5">
        <f>data_origin!AA2299</f>
        <v>0</v>
      </c>
      <c r="AQ51" s="9">
        <f t="shared" si="12"/>
        <v>0</v>
      </c>
      <c r="AV51" t="s">
        <v>85</v>
      </c>
      <c r="AW51" s="5">
        <f>data_origin!T3013</f>
        <v>0</v>
      </c>
      <c r="AX51" s="5">
        <f>data_origin!U3013</f>
        <v>0</v>
      </c>
      <c r="AY51" s="5">
        <f>data_origin!V3013</f>
        <v>1.76</v>
      </c>
      <c r="AZ51" s="5">
        <f>data_origin!W3013</f>
        <v>0</v>
      </c>
      <c r="BA51" s="5">
        <f>data_origin!X3013</f>
        <v>0</v>
      </c>
      <c r="BB51" s="5">
        <f>data_origin!Y3013</f>
        <v>0</v>
      </c>
      <c r="BC51" s="5">
        <f>data_origin!Z3013</f>
        <v>0</v>
      </c>
      <c r="BD51" s="5">
        <f>data_origin!AA3013</f>
        <v>0</v>
      </c>
      <c r="BE51" s="9">
        <f t="shared" si="13"/>
        <v>1.76</v>
      </c>
    </row>
    <row r="52" spans="4:57" x14ac:dyDescent="0.25">
      <c r="D52" t="s">
        <v>86</v>
      </c>
      <c r="E52" s="35">
        <f t="shared" si="11"/>
        <v>0</v>
      </c>
      <c r="F52" s="35">
        <f t="shared" si="11"/>
        <v>0</v>
      </c>
      <c r="G52" s="35">
        <f t="shared" si="11"/>
        <v>260.36525252525252</v>
      </c>
      <c r="H52" s="35">
        <f t="shared" si="11"/>
        <v>241.07647922412337</v>
      </c>
      <c r="I52" s="35">
        <f t="shared" si="11"/>
        <v>86.008270026079884</v>
      </c>
      <c r="J52" s="35">
        <f t="shared" si="11"/>
        <v>3.0187287173666286</v>
      </c>
      <c r="K52" s="35">
        <f t="shared" si="11"/>
        <v>3.0303030303030304E-2</v>
      </c>
      <c r="L52" s="35">
        <f t="shared" si="10"/>
        <v>0</v>
      </c>
      <c r="M52" s="35">
        <f t="shared" si="5"/>
        <v>590.49903352312549</v>
      </c>
      <c r="S52" t="s">
        <v>86</v>
      </c>
      <c r="T52" s="5">
        <f>data_origin!T87</f>
        <v>0</v>
      </c>
      <c r="U52" s="5">
        <f>data_origin!U87</f>
        <v>0</v>
      </c>
      <c r="V52" s="5">
        <f>data_origin!V87</f>
        <v>260.03504928806132</v>
      </c>
      <c r="W52" s="5">
        <f>data_origin!W87</f>
        <v>240.6611570247934</v>
      </c>
      <c r="X52" s="5">
        <f>data_origin!X87</f>
        <v>85.762645914396884</v>
      </c>
      <c r="Y52" s="5">
        <f>data_origin!Y87</f>
        <v>3</v>
      </c>
      <c r="Z52" s="5">
        <f>data_origin!Z87</f>
        <v>3.0303030303030304E-2</v>
      </c>
      <c r="AA52" s="5">
        <f>data_origin!AA87</f>
        <v>0</v>
      </c>
      <c r="AB52" s="5">
        <f t="shared" si="9"/>
        <v>589.48915525755456</v>
      </c>
      <c r="AH52" t="s">
        <v>86</v>
      </c>
      <c r="AI52" s="5">
        <f>data_origin!T2300</f>
        <v>0</v>
      </c>
      <c r="AJ52" s="5">
        <f>data_origin!U2300</f>
        <v>0</v>
      </c>
      <c r="AK52" s="5">
        <f>data_origin!V2300</f>
        <v>2.5454545454545454</v>
      </c>
      <c r="AL52" s="5">
        <f>data_origin!W2300</f>
        <v>2.8205128205128203</v>
      </c>
      <c r="AM52" s="5">
        <f>data_origin!X2300</f>
        <v>0</v>
      </c>
      <c r="AN52" s="5">
        <f>data_origin!Y2300</f>
        <v>0</v>
      </c>
      <c r="AO52" s="5">
        <f>data_origin!Z2300</f>
        <v>0</v>
      </c>
      <c r="AP52" s="5">
        <f>data_origin!AA2300</f>
        <v>0</v>
      </c>
      <c r="AQ52" s="9">
        <f t="shared" si="12"/>
        <v>5.3659673659673661</v>
      </c>
      <c r="AV52" t="s">
        <v>86</v>
      </c>
      <c r="AW52" s="5">
        <f>data_origin!T3014</f>
        <v>0</v>
      </c>
      <c r="AX52" s="5">
        <f>data_origin!U3014</f>
        <v>0</v>
      </c>
      <c r="AY52" s="5">
        <f>data_origin!V3014</f>
        <v>0</v>
      </c>
      <c r="AZ52" s="5">
        <f>data_origin!W3014</f>
        <v>0</v>
      </c>
      <c r="BA52" s="5">
        <f>data_origin!X3014</f>
        <v>0</v>
      </c>
      <c r="BB52" s="5">
        <f>data_origin!Y3014</f>
        <v>0</v>
      </c>
      <c r="BC52" s="5">
        <f>data_origin!Z3014</f>
        <v>0</v>
      </c>
      <c r="BD52" s="5">
        <f>data_origin!AA3014</f>
        <v>0</v>
      </c>
      <c r="BE52" s="9">
        <f t="shared" si="13"/>
        <v>0</v>
      </c>
    </row>
    <row r="53" spans="4:57" x14ac:dyDescent="0.25">
      <c r="D53" t="s">
        <v>87</v>
      </c>
      <c r="E53" s="35">
        <f t="shared" si="11"/>
        <v>0</v>
      </c>
      <c r="F53" s="35">
        <f t="shared" si="11"/>
        <v>0</v>
      </c>
      <c r="G53" s="35">
        <f t="shared" si="11"/>
        <v>104.5729292929293</v>
      </c>
      <c r="H53" s="35">
        <f t="shared" si="11"/>
        <v>104.39472537830342</v>
      </c>
      <c r="I53" s="35">
        <f t="shared" si="11"/>
        <v>23.951670133845031</v>
      </c>
      <c r="J53" s="35">
        <f t="shared" si="11"/>
        <v>0</v>
      </c>
      <c r="K53" s="35">
        <f t="shared" si="11"/>
        <v>3.0303030303030304E-2</v>
      </c>
      <c r="L53" s="35">
        <f t="shared" si="10"/>
        <v>0</v>
      </c>
      <c r="M53" s="35">
        <f t="shared" si="5"/>
        <v>232.94962783538077</v>
      </c>
      <c r="S53" t="s">
        <v>87</v>
      </c>
      <c r="T53" s="5">
        <f>data_origin!T88</f>
        <v>0</v>
      </c>
      <c r="U53" s="5">
        <f>data_origin!U88</f>
        <v>0</v>
      </c>
      <c r="V53" s="5">
        <f>data_origin!V88</f>
        <v>104.44030668127054</v>
      </c>
      <c r="W53" s="5">
        <f>data_origin!W88</f>
        <v>104.21487603305785</v>
      </c>
      <c r="X53" s="5">
        <f>data_origin!X88</f>
        <v>23.883268482490273</v>
      </c>
      <c r="Y53" s="5">
        <f>data_origin!Y88</f>
        <v>0</v>
      </c>
      <c r="Z53" s="5">
        <f>data_origin!Z88</f>
        <v>3.0303030303030304E-2</v>
      </c>
      <c r="AA53" s="5">
        <f>data_origin!AA88</f>
        <v>0</v>
      </c>
      <c r="AB53" s="5">
        <f t="shared" si="9"/>
        <v>232.5687542271217</v>
      </c>
      <c r="AH53" t="s">
        <v>87</v>
      </c>
      <c r="AI53" s="5">
        <f>data_origin!T2301</f>
        <v>0</v>
      </c>
      <c r="AJ53" s="5">
        <f>data_origin!U2301</f>
        <v>0</v>
      </c>
      <c r="AK53" s="5">
        <f>data_origin!V2301</f>
        <v>0</v>
      </c>
      <c r="AL53" s="5">
        <f>data_origin!W2301</f>
        <v>0</v>
      </c>
      <c r="AM53" s="5">
        <f>data_origin!X2301</f>
        <v>0</v>
      </c>
      <c r="AN53" s="5">
        <f>data_origin!Y2301</f>
        <v>0</v>
      </c>
      <c r="AO53" s="5">
        <f>data_origin!Z2301</f>
        <v>0</v>
      </c>
      <c r="AP53" s="5">
        <f>data_origin!AA2301</f>
        <v>0</v>
      </c>
      <c r="AQ53" s="9">
        <f t="shared" si="12"/>
        <v>0</v>
      </c>
      <c r="AV53" t="s">
        <v>87</v>
      </c>
      <c r="AW53" s="5">
        <f>data_origin!T3015</f>
        <v>0</v>
      </c>
      <c r="AX53" s="5">
        <f>data_origin!U3015</f>
        <v>0</v>
      </c>
      <c r="AY53" s="5">
        <f>data_origin!V3015</f>
        <v>0</v>
      </c>
      <c r="AZ53" s="5">
        <f>data_origin!W3015</f>
        <v>0</v>
      </c>
      <c r="BA53" s="5">
        <f>data_origin!X3015</f>
        <v>0</v>
      </c>
      <c r="BB53" s="5">
        <f>data_origin!Y3015</f>
        <v>0</v>
      </c>
      <c r="BC53" s="5">
        <f>data_origin!Z3015</f>
        <v>0</v>
      </c>
      <c r="BD53" s="5">
        <f>data_origin!AA3015</f>
        <v>0</v>
      </c>
      <c r="BE53" s="9">
        <f t="shared" si="13"/>
        <v>0</v>
      </c>
    </row>
    <row r="54" spans="4:57" x14ac:dyDescent="0.25">
      <c r="D54" t="s">
        <v>88</v>
      </c>
      <c r="E54" s="35">
        <f t="shared" si="11"/>
        <v>0</v>
      </c>
      <c r="F54" s="35">
        <f t="shared" si="11"/>
        <v>0</v>
      </c>
      <c r="G54" s="35">
        <f t="shared" si="11"/>
        <v>288.10909090909092</v>
      </c>
      <c r="H54" s="35">
        <f t="shared" si="11"/>
        <v>247.53388491762666</v>
      </c>
      <c r="I54" s="35">
        <f t="shared" si="11"/>
        <v>75.121147237968515</v>
      </c>
      <c r="J54" s="35">
        <f t="shared" si="11"/>
        <v>1.0062429057888762</v>
      </c>
      <c r="K54" s="35">
        <f t="shared" si="11"/>
        <v>3.0303030303030304E-2</v>
      </c>
      <c r="L54" s="35">
        <f t="shared" si="10"/>
        <v>0</v>
      </c>
      <c r="M54" s="35">
        <f t="shared" si="5"/>
        <v>611.80066900077804</v>
      </c>
      <c r="S54" t="s">
        <v>88</v>
      </c>
      <c r="T54" s="5">
        <f>data_origin!T89</f>
        <v>0</v>
      </c>
      <c r="U54" s="5">
        <f>data_origin!U89</f>
        <v>0</v>
      </c>
      <c r="V54" s="5">
        <f>data_origin!V89</f>
        <v>287.74370208105148</v>
      </c>
      <c r="W54" s="5">
        <f>data_origin!W89</f>
        <v>247.10743801652893</v>
      </c>
      <c r="X54" s="5">
        <f>data_origin!X89</f>
        <v>74.906614785992218</v>
      </c>
      <c r="Y54" s="5">
        <f>data_origin!Y89</f>
        <v>1</v>
      </c>
      <c r="Z54" s="5">
        <f>data_origin!Z89</f>
        <v>3.0303030303030304E-2</v>
      </c>
      <c r="AA54" s="5">
        <f>data_origin!AA89</f>
        <v>0</v>
      </c>
      <c r="AB54" s="5">
        <f t="shared" si="9"/>
        <v>610.7880579138756</v>
      </c>
      <c r="AH54" t="s">
        <v>88</v>
      </c>
      <c r="AI54" s="5">
        <f>data_origin!T2302</f>
        <v>0</v>
      </c>
      <c r="AJ54" s="5">
        <f>data_origin!U2302</f>
        <v>0</v>
      </c>
      <c r="AK54" s="5">
        <f>data_origin!V2302</f>
        <v>0</v>
      </c>
      <c r="AL54" s="5">
        <f>data_origin!W2302</f>
        <v>0</v>
      </c>
      <c r="AM54" s="5">
        <f>data_origin!X2302</f>
        <v>0</v>
      </c>
      <c r="AN54" s="5">
        <f>data_origin!Y2302</f>
        <v>0</v>
      </c>
      <c r="AO54" s="5">
        <f>data_origin!Z2302</f>
        <v>0</v>
      </c>
      <c r="AP54" s="5">
        <f>data_origin!AA2302</f>
        <v>0</v>
      </c>
      <c r="AQ54" s="9">
        <f t="shared" si="12"/>
        <v>0</v>
      </c>
      <c r="AV54" t="s">
        <v>88</v>
      </c>
      <c r="AW54" s="5">
        <f>data_origin!T3016</f>
        <v>0</v>
      </c>
      <c r="AX54" s="5">
        <f>data_origin!U3016</f>
        <v>0</v>
      </c>
      <c r="AY54" s="5">
        <f>data_origin!V3016</f>
        <v>1.76</v>
      </c>
      <c r="AZ54" s="5">
        <f>data_origin!W3016</f>
        <v>0</v>
      </c>
      <c r="BA54" s="5">
        <f>data_origin!X3016</f>
        <v>0</v>
      </c>
      <c r="BB54" s="5">
        <f>data_origin!Y3016</f>
        <v>0</v>
      </c>
      <c r="BC54" s="5">
        <f>data_origin!Z3016</f>
        <v>0</v>
      </c>
      <c r="BD54" s="5">
        <f>data_origin!AA3016</f>
        <v>0</v>
      </c>
      <c r="BE54" s="9">
        <f t="shared" si="13"/>
        <v>1.76</v>
      </c>
    </row>
    <row r="55" spans="4:57" x14ac:dyDescent="0.25">
      <c r="D55" t="s">
        <v>89</v>
      </c>
      <c r="E55" s="35">
        <f t="shared" si="11"/>
        <v>0</v>
      </c>
      <c r="F55" s="35">
        <f t="shared" si="11"/>
        <v>0</v>
      </c>
      <c r="G55" s="35">
        <f t="shared" si="11"/>
        <v>13.871919191919192</v>
      </c>
      <c r="H55" s="35">
        <f t="shared" si="11"/>
        <v>12.914811387006608</v>
      </c>
      <c r="I55" s="35">
        <f t="shared" si="11"/>
        <v>8.7096982304891011</v>
      </c>
      <c r="J55" s="35">
        <f t="shared" si="11"/>
        <v>1.0062429057888762</v>
      </c>
      <c r="K55" s="35">
        <f t="shared" si="11"/>
        <v>3.0303030303030304E-2</v>
      </c>
      <c r="L55" s="35">
        <f t="shared" si="10"/>
        <v>0</v>
      </c>
      <c r="M55" s="35">
        <f t="shared" si="5"/>
        <v>36.532974745506806</v>
      </c>
      <c r="S55" t="s">
        <v>89</v>
      </c>
      <c r="T55" s="5">
        <f>data_origin!T90</f>
        <v>0</v>
      </c>
      <c r="U55" s="5">
        <f>data_origin!U90</f>
        <v>0</v>
      </c>
      <c r="V55" s="5">
        <f>data_origin!V90</f>
        <v>13.854326396495072</v>
      </c>
      <c r="W55" s="5">
        <f>data_origin!W90</f>
        <v>12.892561983471074</v>
      </c>
      <c r="X55" s="5">
        <f>data_origin!X90</f>
        <v>8.6848249027237348</v>
      </c>
      <c r="Y55" s="5">
        <f>data_origin!Y90</f>
        <v>1</v>
      </c>
      <c r="Z55" s="5">
        <f>data_origin!Z90</f>
        <v>3.0303030303030304E-2</v>
      </c>
      <c r="AA55" s="5">
        <f>data_origin!AA90</f>
        <v>0</v>
      </c>
      <c r="AB55" s="5">
        <f t="shared" si="9"/>
        <v>36.462016312992908</v>
      </c>
      <c r="AH55" t="s">
        <v>89</v>
      </c>
      <c r="AI55" s="5">
        <f>data_origin!T2303</f>
        <v>0</v>
      </c>
      <c r="AJ55" s="5">
        <f>data_origin!U2303</f>
        <v>0</v>
      </c>
      <c r="AK55" s="5">
        <f>data_origin!V2303</f>
        <v>0</v>
      </c>
      <c r="AL55" s="5">
        <f>data_origin!W2303</f>
        <v>0</v>
      </c>
      <c r="AM55" s="5">
        <f>data_origin!X2303</f>
        <v>0</v>
      </c>
      <c r="AN55" s="5">
        <f>data_origin!Y2303</f>
        <v>0</v>
      </c>
      <c r="AO55" s="5">
        <f>data_origin!Z2303</f>
        <v>0</v>
      </c>
      <c r="AP55" s="5">
        <f>data_origin!AA2303</f>
        <v>0</v>
      </c>
      <c r="AQ55" s="9">
        <f t="shared" si="12"/>
        <v>0</v>
      </c>
      <c r="AV55" t="s">
        <v>89</v>
      </c>
      <c r="AW55" s="5">
        <f>data_origin!T3017</f>
        <v>0</v>
      </c>
      <c r="AX55" s="5">
        <f>data_origin!U3017</f>
        <v>0</v>
      </c>
      <c r="AY55" s="5">
        <f>data_origin!V3017</f>
        <v>0</v>
      </c>
      <c r="AZ55" s="5">
        <f>data_origin!W3017</f>
        <v>0</v>
      </c>
      <c r="BA55" s="5">
        <f>data_origin!X3017</f>
        <v>0</v>
      </c>
      <c r="BB55" s="5">
        <f>data_origin!Y3017</f>
        <v>0</v>
      </c>
      <c r="BC55" s="5">
        <f>data_origin!Z3017</f>
        <v>0</v>
      </c>
      <c r="BD55" s="5">
        <f>data_origin!AA3017</f>
        <v>0</v>
      </c>
      <c r="BE55" s="9">
        <f t="shared" si="13"/>
        <v>0</v>
      </c>
    </row>
    <row r="56" spans="4:57" x14ac:dyDescent="0.25">
      <c r="D56" t="s">
        <v>90</v>
      </c>
      <c r="E56" s="35">
        <f t="shared" si="11"/>
        <v>0</v>
      </c>
      <c r="F56" s="35">
        <f t="shared" si="11"/>
        <v>0</v>
      </c>
      <c r="G56" s="35">
        <f t="shared" si="11"/>
        <v>0</v>
      </c>
      <c r="H56" s="35">
        <f t="shared" si="11"/>
        <v>1.0762342822505506</v>
      </c>
      <c r="I56" s="35">
        <f t="shared" si="11"/>
        <v>0</v>
      </c>
      <c r="J56" s="35">
        <f t="shared" si="11"/>
        <v>0</v>
      </c>
      <c r="K56" s="35">
        <f t="shared" si="11"/>
        <v>3.0303030303030304E-2</v>
      </c>
      <c r="L56" s="35">
        <f t="shared" si="10"/>
        <v>0</v>
      </c>
      <c r="M56" s="35">
        <f t="shared" si="5"/>
        <v>1.1065373125535809</v>
      </c>
      <c r="S56" t="s">
        <v>90</v>
      </c>
      <c r="T56" s="5">
        <f>data_origin!T91</f>
        <v>0</v>
      </c>
      <c r="U56" s="5">
        <f>data_origin!U91</f>
        <v>0</v>
      </c>
      <c r="V56" s="5">
        <f>data_origin!V91</f>
        <v>0</v>
      </c>
      <c r="W56" s="5">
        <f>data_origin!W91</f>
        <v>1.0743801652892562</v>
      </c>
      <c r="X56" s="5">
        <f>data_origin!X91</f>
        <v>0</v>
      </c>
      <c r="Y56" s="5">
        <f>data_origin!Y91</f>
        <v>0</v>
      </c>
      <c r="Z56" s="5">
        <f>data_origin!Z91</f>
        <v>3.0303030303030304E-2</v>
      </c>
      <c r="AA56" s="5">
        <f>data_origin!AA91</f>
        <v>0</v>
      </c>
      <c r="AB56" s="5">
        <f t="shared" si="9"/>
        <v>1.1046831955922864</v>
      </c>
      <c r="AH56" t="s">
        <v>90</v>
      </c>
      <c r="AI56" s="5">
        <f>data_origin!T2304</f>
        <v>0</v>
      </c>
      <c r="AJ56" s="5">
        <f>data_origin!U2304</f>
        <v>0</v>
      </c>
      <c r="AK56" s="5">
        <f>data_origin!V2304</f>
        <v>0</v>
      </c>
      <c r="AL56" s="5">
        <f>data_origin!W2304</f>
        <v>0</v>
      </c>
      <c r="AM56" s="5">
        <f>data_origin!X2304</f>
        <v>0</v>
      </c>
      <c r="AN56" s="5">
        <f>data_origin!Y2304</f>
        <v>0</v>
      </c>
      <c r="AO56" s="5">
        <f>data_origin!Z2304</f>
        <v>0</v>
      </c>
      <c r="AP56" s="5">
        <f>data_origin!AA2304</f>
        <v>0</v>
      </c>
      <c r="AQ56" s="9">
        <f t="shared" si="12"/>
        <v>0</v>
      </c>
      <c r="AV56" t="s">
        <v>90</v>
      </c>
      <c r="AW56" s="5">
        <f>data_origin!T3018</f>
        <v>0</v>
      </c>
      <c r="AX56" s="5">
        <f>data_origin!U3018</f>
        <v>0</v>
      </c>
      <c r="AY56" s="5">
        <f>data_origin!V3018</f>
        <v>0</v>
      </c>
      <c r="AZ56" s="5">
        <f>data_origin!W3018</f>
        <v>0</v>
      </c>
      <c r="BA56" s="5">
        <f>data_origin!X3018</f>
        <v>0</v>
      </c>
      <c r="BB56" s="5">
        <f>data_origin!Y3018</f>
        <v>0</v>
      </c>
      <c r="BC56" s="5">
        <f>data_origin!Z3018</f>
        <v>0</v>
      </c>
      <c r="BD56" s="5">
        <f>data_origin!AA3018</f>
        <v>0</v>
      </c>
      <c r="BE56" s="9">
        <f t="shared" si="13"/>
        <v>0</v>
      </c>
    </row>
    <row r="57" spans="4:57" x14ac:dyDescent="0.25">
      <c r="D57" t="s">
        <v>91</v>
      </c>
      <c r="E57" s="35">
        <f t="shared" si="11"/>
        <v>0</v>
      </c>
      <c r="F57" s="35">
        <f t="shared" si="11"/>
        <v>0</v>
      </c>
      <c r="G57" s="35">
        <f t="shared" si="11"/>
        <v>1.0670707070707071</v>
      </c>
      <c r="H57" s="35">
        <f t="shared" si="11"/>
        <v>1.0762342822505506</v>
      </c>
      <c r="I57" s="35">
        <f t="shared" si="11"/>
        <v>0</v>
      </c>
      <c r="J57" s="35">
        <f t="shared" si="11"/>
        <v>0</v>
      </c>
      <c r="K57" s="35">
        <f t="shared" si="11"/>
        <v>3.0303030303030304E-2</v>
      </c>
      <c r="L57" s="35">
        <f t="shared" si="10"/>
        <v>0</v>
      </c>
      <c r="M57" s="35">
        <f t="shared" si="5"/>
        <v>2.1736080196242877</v>
      </c>
      <c r="S57" t="s">
        <v>91</v>
      </c>
      <c r="T57" s="5">
        <f>data_origin!T92</f>
        <v>0</v>
      </c>
      <c r="U57" s="5">
        <f>data_origin!U92</f>
        <v>0</v>
      </c>
      <c r="V57" s="5">
        <f>data_origin!V92</f>
        <v>1.0657174151150055</v>
      </c>
      <c r="W57" s="5">
        <f>data_origin!W92</f>
        <v>1.0743801652892562</v>
      </c>
      <c r="X57" s="5">
        <f>data_origin!X92</f>
        <v>0</v>
      </c>
      <c r="Y57" s="5">
        <f>data_origin!Y92</f>
        <v>0</v>
      </c>
      <c r="Z57" s="5">
        <f>data_origin!Z92</f>
        <v>3.0303030303030304E-2</v>
      </c>
      <c r="AA57" s="5">
        <f>data_origin!AA92</f>
        <v>0</v>
      </c>
      <c r="AB57" s="5">
        <f t="shared" si="9"/>
        <v>2.1704006107072917</v>
      </c>
      <c r="AH57" t="s">
        <v>91</v>
      </c>
      <c r="AI57" s="5">
        <f>data_origin!T2305</f>
        <v>0</v>
      </c>
      <c r="AJ57" s="5">
        <f>data_origin!U2305</f>
        <v>0</v>
      </c>
      <c r="AK57" s="5">
        <f>data_origin!V2305</f>
        <v>0</v>
      </c>
      <c r="AL57" s="5">
        <f>data_origin!W2305</f>
        <v>0</v>
      </c>
      <c r="AM57" s="5">
        <f>data_origin!X2305</f>
        <v>0</v>
      </c>
      <c r="AN57" s="5">
        <f>data_origin!Y2305</f>
        <v>0</v>
      </c>
      <c r="AO57" s="5">
        <f>data_origin!Z2305</f>
        <v>0</v>
      </c>
      <c r="AP57" s="5">
        <f>data_origin!AA2305</f>
        <v>0</v>
      </c>
      <c r="AQ57" s="9">
        <f t="shared" si="12"/>
        <v>0</v>
      </c>
      <c r="AV57" t="s">
        <v>91</v>
      </c>
      <c r="AW57" s="5">
        <f>data_origin!T3019</f>
        <v>0</v>
      </c>
      <c r="AX57" s="5">
        <f>data_origin!U3019</f>
        <v>0</v>
      </c>
      <c r="AY57" s="5">
        <f>data_origin!V3019</f>
        <v>0</v>
      </c>
      <c r="AZ57" s="5">
        <f>data_origin!W3019</f>
        <v>0</v>
      </c>
      <c r="BA57" s="5">
        <f>data_origin!X3019</f>
        <v>0</v>
      </c>
      <c r="BB57" s="5">
        <f>data_origin!Y3019</f>
        <v>0</v>
      </c>
      <c r="BC57" s="5">
        <f>data_origin!Z3019</f>
        <v>0</v>
      </c>
      <c r="BD57" s="5">
        <f>data_origin!AA3019</f>
        <v>0</v>
      </c>
      <c r="BE57" s="9">
        <f t="shared" si="13"/>
        <v>0</v>
      </c>
    </row>
    <row r="58" spans="4:57" x14ac:dyDescent="0.25">
      <c r="D58" t="s">
        <v>92</v>
      </c>
      <c r="E58" s="35">
        <f t="shared" si="11"/>
        <v>0</v>
      </c>
      <c r="F58" s="35">
        <f t="shared" si="11"/>
        <v>0</v>
      </c>
      <c r="G58" s="35">
        <f t="shared" si="11"/>
        <v>0</v>
      </c>
      <c r="H58" s="35">
        <f t="shared" si="11"/>
        <v>0</v>
      </c>
      <c r="I58" s="35">
        <f t="shared" si="11"/>
        <v>0</v>
      </c>
      <c r="J58" s="35">
        <f t="shared" si="11"/>
        <v>0</v>
      </c>
      <c r="K58" s="35">
        <f t="shared" si="11"/>
        <v>3.0303030303030304E-2</v>
      </c>
      <c r="L58" s="35">
        <f t="shared" si="10"/>
        <v>0</v>
      </c>
      <c r="M58" s="35">
        <f t="shared" si="5"/>
        <v>3.0303030303030304E-2</v>
      </c>
      <c r="S58" t="s">
        <v>92</v>
      </c>
      <c r="T58" s="5">
        <f>data_origin!T93</f>
        <v>0</v>
      </c>
      <c r="U58" s="5">
        <f>data_origin!U93</f>
        <v>0</v>
      </c>
      <c r="V58" s="5">
        <f>data_origin!V93</f>
        <v>0</v>
      </c>
      <c r="W58" s="5">
        <f>data_origin!W93</f>
        <v>0</v>
      </c>
      <c r="X58" s="5">
        <f>data_origin!X93</f>
        <v>0</v>
      </c>
      <c r="Y58" s="5">
        <f>data_origin!Y93</f>
        <v>0</v>
      </c>
      <c r="Z58" s="5">
        <f>data_origin!Z93</f>
        <v>3.0303030303030304E-2</v>
      </c>
      <c r="AA58" s="5">
        <f>data_origin!AA93</f>
        <v>0</v>
      </c>
      <c r="AB58" s="5">
        <f t="shared" si="9"/>
        <v>3.0303030303030304E-2</v>
      </c>
      <c r="AH58" t="s">
        <v>92</v>
      </c>
      <c r="AI58" s="5">
        <f>data_origin!T2306</f>
        <v>0</v>
      </c>
      <c r="AJ58" s="5">
        <f>data_origin!U2306</f>
        <v>0</v>
      </c>
      <c r="AK58" s="5">
        <f>data_origin!V2306</f>
        <v>0</v>
      </c>
      <c r="AL58" s="5">
        <f>data_origin!W2306</f>
        <v>0</v>
      </c>
      <c r="AM58" s="5">
        <f>data_origin!X2306</f>
        <v>0</v>
      </c>
      <c r="AN58" s="5">
        <f>data_origin!Y2306</f>
        <v>0</v>
      </c>
      <c r="AO58" s="5">
        <f>data_origin!Z2306</f>
        <v>0</v>
      </c>
      <c r="AP58" s="5">
        <f>data_origin!AA2306</f>
        <v>0</v>
      </c>
      <c r="AQ58" s="9">
        <f t="shared" si="12"/>
        <v>0</v>
      </c>
      <c r="AV58" t="s">
        <v>92</v>
      </c>
      <c r="AW58" s="5">
        <f>data_origin!T3020</f>
        <v>0</v>
      </c>
      <c r="AX58" s="5">
        <f>data_origin!U3020</f>
        <v>0</v>
      </c>
      <c r="AY58" s="5">
        <f>data_origin!V3020</f>
        <v>0</v>
      </c>
      <c r="AZ58" s="5">
        <f>data_origin!W3020</f>
        <v>0</v>
      </c>
      <c r="BA58" s="5">
        <f>data_origin!X3020</f>
        <v>0</v>
      </c>
      <c r="BB58" s="5">
        <f>data_origin!Y3020</f>
        <v>0</v>
      </c>
      <c r="BC58" s="5">
        <f>data_origin!Z3020</f>
        <v>0</v>
      </c>
      <c r="BD58" s="5">
        <f>data_origin!AA3020</f>
        <v>0</v>
      </c>
      <c r="BE58" s="9">
        <f t="shared" si="13"/>
        <v>0</v>
      </c>
    </row>
    <row r="59" spans="4:57" x14ac:dyDescent="0.25">
      <c r="D59" t="s">
        <v>93</v>
      </c>
      <c r="E59" s="35">
        <f t="shared" si="11"/>
        <v>0</v>
      </c>
      <c r="F59" s="35">
        <f t="shared" si="11"/>
        <v>0</v>
      </c>
      <c r="G59" s="35">
        <f t="shared" si="11"/>
        <v>0</v>
      </c>
      <c r="H59" s="35">
        <f t="shared" si="11"/>
        <v>0</v>
      </c>
      <c r="I59" s="35">
        <f t="shared" si="11"/>
        <v>0</v>
      </c>
      <c r="J59" s="35">
        <f t="shared" si="11"/>
        <v>0</v>
      </c>
      <c r="K59" s="35">
        <f t="shared" si="11"/>
        <v>3.0303030303030304E-2</v>
      </c>
      <c r="L59" s="35">
        <f t="shared" si="10"/>
        <v>0</v>
      </c>
      <c r="M59" s="35">
        <f t="shared" si="5"/>
        <v>3.0303030303030304E-2</v>
      </c>
      <c r="S59" t="s">
        <v>93</v>
      </c>
      <c r="T59" s="5">
        <f>data_origin!T94</f>
        <v>0</v>
      </c>
      <c r="U59" s="5">
        <f>data_origin!U94</f>
        <v>0</v>
      </c>
      <c r="V59" s="5">
        <f>data_origin!V94</f>
        <v>0</v>
      </c>
      <c r="W59" s="5">
        <f>data_origin!W94</f>
        <v>0</v>
      </c>
      <c r="X59" s="5">
        <f>data_origin!X94</f>
        <v>0</v>
      </c>
      <c r="Y59" s="5">
        <f>data_origin!Y94</f>
        <v>0</v>
      </c>
      <c r="Z59" s="5">
        <f>data_origin!Z94</f>
        <v>3.0303030303030304E-2</v>
      </c>
      <c r="AA59" s="5">
        <f>data_origin!AA94</f>
        <v>0</v>
      </c>
      <c r="AB59" s="5">
        <f t="shared" si="9"/>
        <v>3.0303030303030304E-2</v>
      </c>
      <c r="AH59" t="s">
        <v>93</v>
      </c>
      <c r="AI59" s="5">
        <f>data_origin!T2307</f>
        <v>0</v>
      </c>
      <c r="AJ59" s="5">
        <f>data_origin!U2307</f>
        <v>0</v>
      </c>
      <c r="AK59" s="5">
        <f>data_origin!V2307</f>
        <v>0</v>
      </c>
      <c r="AL59" s="5">
        <f>data_origin!W2307</f>
        <v>0</v>
      </c>
      <c r="AM59" s="5">
        <f>data_origin!X2307</f>
        <v>0</v>
      </c>
      <c r="AN59" s="5">
        <f>data_origin!Y2307</f>
        <v>0</v>
      </c>
      <c r="AO59" s="5">
        <f>data_origin!Z2307</f>
        <v>0</v>
      </c>
      <c r="AP59" s="5">
        <f>data_origin!AA2307</f>
        <v>0</v>
      </c>
      <c r="AQ59" s="9">
        <f t="shared" si="12"/>
        <v>0</v>
      </c>
      <c r="AV59" t="s">
        <v>93</v>
      </c>
      <c r="AW59" s="5">
        <f>data_origin!T3021</f>
        <v>0</v>
      </c>
      <c r="AX59" s="5">
        <f>data_origin!U3021</f>
        <v>0</v>
      </c>
      <c r="AY59" s="5">
        <f>data_origin!V3021</f>
        <v>0</v>
      </c>
      <c r="AZ59" s="5">
        <f>data_origin!W3021</f>
        <v>0</v>
      </c>
      <c r="BA59" s="5">
        <f>data_origin!X3021</f>
        <v>0</v>
      </c>
      <c r="BB59" s="5">
        <f>data_origin!Y3021</f>
        <v>0</v>
      </c>
      <c r="BC59" s="5">
        <f>data_origin!Z3021</f>
        <v>0</v>
      </c>
      <c r="BD59" s="5">
        <f>data_origin!AA3021</f>
        <v>0</v>
      </c>
      <c r="BE59" s="9">
        <f t="shared" si="13"/>
        <v>0</v>
      </c>
    </row>
    <row r="60" spans="4:57" x14ac:dyDescent="0.25">
      <c r="D60" t="s">
        <v>94</v>
      </c>
      <c r="E60" s="35">
        <f t="shared" si="11"/>
        <v>0</v>
      </c>
      <c r="F60" s="35">
        <f t="shared" si="11"/>
        <v>0</v>
      </c>
      <c r="G60" s="35">
        <f t="shared" si="11"/>
        <v>0</v>
      </c>
      <c r="H60" s="35">
        <f t="shared" si="11"/>
        <v>0</v>
      </c>
      <c r="I60" s="35">
        <f t="shared" si="11"/>
        <v>0</v>
      </c>
      <c r="J60" s="35">
        <f t="shared" si="11"/>
        <v>0</v>
      </c>
      <c r="K60" s="35">
        <f t="shared" si="11"/>
        <v>3.0303030303030304E-2</v>
      </c>
      <c r="L60" s="35">
        <f t="shared" si="10"/>
        <v>0</v>
      </c>
      <c r="M60" s="35">
        <f t="shared" si="5"/>
        <v>3.0303030303030304E-2</v>
      </c>
      <c r="S60" t="s">
        <v>94</v>
      </c>
      <c r="T60" s="5">
        <f>data_origin!T95</f>
        <v>0</v>
      </c>
      <c r="U60" s="5">
        <f>data_origin!U95</f>
        <v>0</v>
      </c>
      <c r="V60" s="5">
        <f>data_origin!V95</f>
        <v>0</v>
      </c>
      <c r="W60" s="5">
        <f>data_origin!W95</f>
        <v>0</v>
      </c>
      <c r="X60" s="5">
        <f>data_origin!X95</f>
        <v>0</v>
      </c>
      <c r="Y60" s="5">
        <f>data_origin!Y95</f>
        <v>0</v>
      </c>
      <c r="Z60" s="5">
        <f>data_origin!Z95</f>
        <v>3.0303030303030304E-2</v>
      </c>
      <c r="AA60" s="5">
        <f>data_origin!AA95</f>
        <v>0</v>
      </c>
      <c r="AB60" s="5">
        <f t="shared" si="9"/>
        <v>3.0303030303030304E-2</v>
      </c>
      <c r="AH60" t="s">
        <v>94</v>
      </c>
      <c r="AI60" s="5">
        <f>data_origin!T2308</f>
        <v>0</v>
      </c>
      <c r="AJ60" s="5">
        <f>data_origin!U2308</f>
        <v>0</v>
      </c>
      <c r="AK60" s="5">
        <f>data_origin!V2308</f>
        <v>0</v>
      </c>
      <c r="AL60" s="5">
        <f>data_origin!W2308</f>
        <v>0</v>
      </c>
      <c r="AM60" s="5">
        <f>data_origin!X2308</f>
        <v>0</v>
      </c>
      <c r="AN60" s="5">
        <f>data_origin!Y2308</f>
        <v>0</v>
      </c>
      <c r="AO60" s="5">
        <f>data_origin!Z2308</f>
        <v>0</v>
      </c>
      <c r="AP60" s="5">
        <f>data_origin!AA2308</f>
        <v>0</v>
      </c>
      <c r="AQ60" s="9">
        <f t="shared" si="12"/>
        <v>0</v>
      </c>
      <c r="AV60" t="s">
        <v>94</v>
      </c>
      <c r="AW60" s="5">
        <f>data_origin!T3022</f>
        <v>0</v>
      </c>
      <c r="AX60" s="5">
        <f>data_origin!U3022</f>
        <v>0</v>
      </c>
      <c r="AY60" s="5">
        <f>data_origin!V3022</f>
        <v>0</v>
      </c>
      <c r="AZ60" s="5">
        <f>data_origin!W3022</f>
        <v>0</v>
      </c>
      <c r="BA60" s="5">
        <f>data_origin!X3022</f>
        <v>0</v>
      </c>
      <c r="BB60" s="5">
        <f>data_origin!Y3022</f>
        <v>0</v>
      </c>
      <c r="BC60" s="5">
        <f>data_origin!Z3022</f>
        <v>0</v>
      </c>
      <c r="BD60" s="5">
        <f>data_origin!AA3022</f>
        <v>0</v>
      </c>
      <c r="BE60" s="9">
        <f t="shared" si="13"/>
        <v>0</v>
      </c>
    </row>
    <row r="61" spans="4:57" x14ac:dyDescent="0.25">
      <c r="D61" t="s">
        <v>95</v>
      </c>
      <c r="E61" s="35">
        <f t="shared" si="11"/>
        <v>0</v>
      </c>
      <c r="F61" s="35">
        <f t="shared" si="11"/>
        <v>0</v>
      </c>
      <c r="G61" s="35">
        <f t="shared" si="11"/>
        <v>0</v>
      </c>
      <c r="H61" s="35">
        <f t="shared" si="11"/>
        <v>0</v>
      </c>
      <c r="I61" s="35">
        <f t="shared" si="11"/>
        <v>0</v>
      </c>
      <c r="J61" s="35">
        <f t="shared" si="11"/>
        <v>0</v>
      </c>
      <c r="K61" s="35">
        <f t="shared" si="11"/>
        <v>3.0303030303030304E-2</v>
      </c>
      <c r="L61" s="35">
        <f t="shared" si="10"/>
        <v>0</v>
      </c>
      <c r="M61" s="35">
        <f t="shared" si="5"/>
        <v>3.0303030303030304E-2</v>
      </c>
      <c r="S61" t="s">
        <v>95</v>
      </c>
      <c r="T61" s="5">
        <f>data_origin!T96</f>
        <v>0</v>
      </c>
      <c r="U61" s="5">
        <f>data_origin!U96</f>
        <v>0</v>
      </c>
      <c r="V61" s="5">
        <f>data_origin!V96</f>
        <v>0</v>
      </c>
      <c r="W61" s="5">
        <f>data_origin!W96</f>
        <v>0</v>
      </c>
      <c r="X61" s="5">
        <f>data_origin!X96</f>
        <v>0</v>
      </c>
      <c r="Y61" s="5">
        <f>data_origin!Y96</f>
        <v>0</v>
      </c>
      <c r="Z61" s="5">
        <f>data_origin!Z96</f>
        <v>3.0303030303030304E-2</v>
      </c>
      <c r="AA61" s="5">
        <f>data_origin!AA96</f>
        <v>0</v>
      </c>
      <c r="AB61" s="5">
        <f t="shared" si="9"/>
        <v>3.0303030303030304E-2</v>
      </c>
      <c r="AH61" t="s">
        <v>95</v>
      </c>
      <c r="AI61" s="5">
        <f>data_origin!T2309</f>
        <v>0</v>
      </c>
      <c r="AJ61" s="5">
        <f>data_origin!U2309</f>
        <v>0</v>
      </c>
      <c r="AK61" s="5">
        <f>data_origin!V2309</f>
        <v>0</v>
      </c>
      <c r="AL61" s="5">
        <f>data_origin!W2309</f>
        <v>0</v>
      </c>
      <c r="AM61" s="5">
        <f>data_origin!X2309</f>
        <v>0</v>
      </c>
      <c r="AN61" s="5">
        <f>data_origin!Y2309</f>
        <v>0</v>
      </c>
      <c r="AO61" s="5">
        <f>data_origin!Z2309</f>
        <v>0</v>
      </c>
      <c r="AP61" s="5">
        <f>data_origin!AA2309</f>
        <v>0</v>
      </c>
      <c r="AQ61" s="9">
        <f t="shared" si="12"/>
        <v>0</v>
      </c>
      <c r="AV61" t="s">
        <v>95</v>
      </c>
      <c r="AW61" s="5">
        <f>data_origin!T3023</f>
        <v>0</v>
      </c>
      <c r="AX61" s="5">
        <f>data_origin!U3023</f>
        <v>0</v>
      </c>
      <c r="AY61" s="5">
        <f>data_origin!V3023</f>
        <v>0</v>
      </c>
      <c r="AZ61" s="5">
        <f>data_origin!W3023</f>
        <v>0</v>
      </c>
      <c r="BA61" s="5">
        <f>data_origin!X3023</f>
        <v>0</v>
      </c>
      <c r="BB61" s="5">
        <f>data_origin!Y3023</f>
        <v>0</v>
      </c>
      <c r="BC61" s="5">
        <f>data_origin!Z3023</f>
        <v>0</v>
      </c>
      <c r="BD61" s="5">
        <f>data_origin!AA3023</f>
        <v>0</v>
      </c>
      <c r="BE61" s="9">
        <f t="shared" si="13"/>
        <v>0</v>
      </c>
    </row>
    <row r="62" spans="4:57" x14ac:dyDescent="0.25">
      <c r="D62" t="s">
        <v>96</v>
      </c>
      <c r="E62" s="35">
        <f t="shared" si="11"/>
        <v>0</v>
      </c>
      <c r="F62" s="35">
        <f t="shared" si="11"/>
        <v>0</v>
      </c>
      <c r="G62" s="35">
        <f t="shared" si="11"/>
        <v>1.0670707070707071</v>
      </c>
      <c r="H62" s="35">
        <f t="shared" si="11"/>
        <v>0</v>
      </c>
      <c r="I62" s="35">
        <f t="shared" si="11"/>
        <v>0</v>
      </c>
      <c r="J62" s="35">
        <f t="shared" si="11"/>
        <v>0</v>
      </c>
      <c r="K62" s="35">
        <f t="shared" si="11"/>
        <v>3.0303030303030304E-2</v>
      </c>
      <c r="L62" s="35">
        <f t="shared" si="10"/>
        <v>0</v>
      </c>
      <c r="M62" s="35">
        <f t="shared" si="5"/>
        <v>1.0973737373737373</v>
      </c>
      <c r="S62" t="s">
        <v>96</v>
      </c>
      <c r="T62" s="5">
        <f>data_origin!T97</f>
        <v>0</v>
      </c>
      <c r="U62" s="5">
        <f>data_origin!U97</f>
        <v>0</v>
      </c>
      <c r="V62" s="5">
        <f>data_origin!V97</f>
        <v>1.0657174151150055</v>
      </c>
      <c r="W62" s="5">
        <f>data_origin!W97</f>
        <v>0</v>
      </c>
      <c r="X62" s="5">
        <f>data_origin!X97</f>
        <v>0</v>
      </c>
      <c r="Y62" s="5">
        <f>data_origin!Y97</f>
        <v>0</v>
      </c>
      <c r="Z62" s="5">
        <f>data_origin!Z97</f>
        <v>3.0303030303030304E-2</v>
      </c>
      <c r="AA62" s="5">
        <f>data_origin!AA97</f>
        <v>0</v>
      </c>
      <c r="AB62" s="5">
        <f t="shared" si="9"/>
        <v>1.0960204454180358</v>
      </c>
      <c r="AH62" t="s">
        <v>96</v>
      </c>
      <c r="AI62" s="5">
        <f>data_origin!T2310</f>
        <v>0</v>
      </c>
      <c r="AJ62" s="5">
        <f>data_origin!U2310</f>
        <v>0</v>
      </c>
      <c r="AK62" s="5">
        <f>data_origin!V2310</f>
        <v>0</v>
      </c>
      <c r="AL62" s="5">
        <f>data_origin!W2310</f>
        <v>0</v>
      </c>
      <c r="AM62" s="5">
        <f>data_origin!X2310</f>
        <v>0</v>
      </c>
      <c r="AN62" s="5">
        <f>data_origin!Y2310</f>
        <v>0</v>
      </c>
      <c r="AO62" s="5">
        <f>data_origin!Z2310</f>
        <v>0</v>
      </c>
      <c r="AP62" s="5">
        <f>data_origin!AA2310</f>
        <v>0</v>
      </c>
      <c r="AQ62" s="9">
        <f t="shared" si="12"/>
        <v>0</v>
      </c>
      <c r="AV62" t="s">
        <v>96</v>
      </c>
      <c r="AW62" s="5">
        <f>data_origin!T3024</f>
        <v>0</v>
      </c>
      <c r="AX62" s="5">
        <f>data_origin!U3024</f>
        <v>0</v>
      </c>
      <c r="AY62" s="5">
        <f>data_origin!V3024</f>
        <v>0</v>
      </c>
      <c r="AZ62" s="5">
        <f>data_origin!W3024</f>
        <v>0</v>
      </c>
      <c r="BA62" s="5">
        <f>data_origin!X3024</f>
        <v>0</v>
      </c>
      <c r="BB62" s="5">
        <f>data_origin!Y3024</f>
        <v>0</v>
      </c>
      <c r="BC62" s="5">
        <f>data_origin!Z3024</f>
        <v>0</v>
      </c>
      <c r="BD62" s="5">
        <f>data_origin!AA3024</f>
        <v>0</v>
      </c>
      <c r="BE62" s="9">
        <f t="shared" si="13"/>
        <v>0</v>
      </c>
    </row>
    <row r="63" spans="4:57" x14ac:dyDescent="0.25">
      <c r="D63" t="s">
        <v>97</v>
      </c>
      <c r="E63" s="35">
        <f t="shared" si="11"/>
        <v>0</v>
      </c>
      <c r="F63" s="35">
        <f t="shared" si="11"/>
        <v>0</v>
      </c>
      <c r="G63" s="35">
        <f t="shared" si="11"/>
        <v>0</v>
      </c>
      <c r="H63" s="35">
        <f t="shared" si="11"/>
        <v>0</v>
      </c>
      <c r="I63" s="35">
        <f t="shared" si="11"/>
        <v>0</v>
      </c>
      <c r="J63" s="35">
        <f t="shared" si="11"/>
        <v>0</v>
      </c>
      <c r="K63" s="35">
        <f t="shared" si="11"/>
        <v>3.0303030303030304E-2</v>
      </c>
      <c r="L63" s="35">
        <f t="shared" si="10"/>
        <v>0</v>
      </c>
      <c r="M63" s="35">
        <f t="shared" si="5"/>
        <v>3.0303030303030304E-2</v>
      </c>
      <c r="S63" t="s">
        <v>97</v>
      </c>
      <c r="T63" s="5">
        <f>data_origin!T98</f>
        <v>0</v>
      </c>
      <c r="U63" s="5">
        <f>data_origin!U98</f>
        <v>0</v>
      </c>
      <c r="V63" s="5">
        <f>data_origin!V98</f>
        <v>0</v>
      </c>
      <c r="W63" s="5">
        <f>data_origin!W98</f>
        <v>0</v>
      </c>
      <c r="X63" s="5">
        <f>data_origin!X98</f>
        <v>0</v>
      </c>
      <c r="Y63" s="5">
        <f>data_origin!Y98</f>
        <v>0</v>
      </c>
      <c r="Z63" s="5">
        <f>data_origin!Z98</f>
        <v>3.0303030303030304E-2</v>
      </c>
      <c r="AA63" s="5">
        <f>data_origin!AA98</f>
        <v>0</v>
      </c>
      <c r="AB63" s="5">
        <f t="shared" si="9"/>
        <v>3.0303030303030304E-2</v>
      </c>
      <c r="AH63" t="s">
        <v>97</v>
      </c>
      <c r="AI63" s="5">
        <f>data_origin!T2311</f>
        <v>0</v>
      </c>
      <c r="AJ63" s="5">
        <f>data_origin!U2311</f>
        <v>0</v>
      </c>
      <c r="AK63" s="5">
        <f>data_origin!V2311</f>
        <v>0</v>
      </c>
      <c r="AL63" s="5">
        <f>data_origin!W2311</f>
        <v>0</v>
      </c>
      <c r="AM63" s="5">
        <f>data_origin!X2311</f>
        <v>0</v>
      </c>
      <c r="AN63" s="5">
        <f>data_origin!Y2311</f>
        <v>0</v>
      </c>
      <c r="AO63" s="5">
        <f>data_origin!Z2311</f>
        <v>0</v>
      </c>
      <c r="AP63" s="5">
        <f>data_origin!AA2311</f>
        <v>0</v>
      </c>
      <c r="AQ63" s="9">
        <f t="shared" si="12"/>
        <v>0</v>
      </c>
      <c r="AV63" t="s">
        <v>97</v>
      </c>
      <c r="AW63" s="5">
        <f>data_origin!T3025</f>
        <v>0</v>
      </c>
      <c r="AX63" s="5">
        <f>data_origin!U3025</f>
        <v>0</v>
      </c>
      <c r="AY63" s="5">
        <f>data_origin!V3025</f>
        <v>0</v>
      </c>
      <c r="AZ63" s="5">
        <f>data_origin!W3025</f>
        <v>0</v>
      </c>
      <c r="BA63" s="5">
        <f>data_origin!X3025</f>
        <v>0</v>
      </c>
      <c r="BB63" s="5">
        <f>data_origin!Y3025</f>
        <v>0</v>
      </c>
      <c r="BC63" s="5">
        <f>data_origin!Z3025</f>
        <v>0</v>
      </c>
      <c r="BD63" s="5">
        <f>data_origin!AA3025</f>
        <v>0</v>
      </c>
      <c r="BE63" s="9">
        <f t="shared" si="13"/>
        <v>0</v>
      </c>
    </row>
    <row r="64" spans="4:57" x14ac:dyDescent="0.25">
      <c r="D64" t="s">
        <v>98</v>
      </c>
      <c r="E64" s="35">
        <f t="shared" si="11"/>
        <v>0</v>
      </c>
      <c r="F64" s="35">
        <f t="shared" si="11"/>
        <v>0</v>
      </c>
      <c r="G64" s="35">
        <f t="shared" si="11"/>
        <v>1.0670707070707071</v>
      </c>
      <c r="H64" s="35">
        <f t="shared" si="11"/>
        <v>1.0762342822505506</v>
      </c>
      <c r="I64" s="35">
        <f t="shared" si="11"/>
        <v>1.0887122788111376</v>
      </c>
      <c r="J64" s="35">
        <f t="shared" si="11"/>
        <v>0</v>
      </c>
      <c r="K64" s="35">
        <f t="shared" si="11"/>
        <v>3.0303030303030304E-2</v>
      </c>
      <c r="L64" s="35">
        <f t="shared" si="10"/>
        <v>0</v>
      </c>
      <c r="M64" s="35">
        <f t="shared" si="5"/>
        <v>3.2623202984354256</v>
      </c>
      <c r="S64" t="s">
        <v>98</v>
      </c>
      <c r="T64" s="5">
        <f>data_origin!T99</f>
        <v>0</v>
      </c>
      <c r="U64" s="5">
        <f>data_origin!U99</f>
        <v>0</v>
      </c>
      <c r="V64" s="5">
        <f>data_origin!V99</f>
        <v>1.0657174151150055</v>
      </c>
      <c r="W64" s="5">
        <f>data_origin!W99</f>
        <v>1.0743801652892562</v>
      </c>
      <c r="X64" s="5">
        <f>data_origin!X99</f>
        <v>1.0856031128404668</v>
      </c>
      <c r="Y64" s="5">
        <f>data_origin!Y99</f>
        <v>0</v>
      </c>
      <c r="Z64" s="5">
        <f>data_origin!Z99</f>
        <v>3.0303030303030304E-2</v>
      </c>
      <c r="AA64" s="5">
        <f>data_origin!AA99</f>
        <v>0</v>
      </c>
      <c r="AB64" s="5">
        <f t="shared" si="9"/>
        <v>3.2560037235477584</v>
      </c>
      <c r="AH64" t="s">
        <v>98</v>
      </c>
      <c r="AI64" s="5">
        <f>data_origin!T2312</f>
        <v>0</v>
      </c>
      <c r="AJ64" s="5">
        <f>data_origin!U2312</f>
        <v>0</v>
      </c>
      <c r="AK64" s="5">
        <f>data_origin!V2312</f>
        <v>0</v>
      </c>
      <c r="AL64" s="5">
        <f>data_origin!W2312</f>
        <v>0</v>
      </c>
      <c r="AM64" s="5">
        <f>data_origin!X2312</f>
        <v>0</v>
      </c>
      <c r="AN64" s="5">
        <f>data_origin!Y2312</f>
        <v>0</v>
      </c>
      <c r="AO64" s="5">
        <f>data_origin!Z2312</f>
        <v>0</v>
      </c>
      <c r="AP64" s="5">
        <f>data_origin!AA2312</f>
        <v>0</v>
      </c>
      <c r="AQ64" s="9">
        <f t="shared" si="12"/>
        <v>0</v>
      </c>
      <c r="AV64" t="s">
        <v>98</v>
      </c>
      <c r="AW64" s="5">
        <f>data_origin!T3026</f>
        <v>0</v>
      </c>
      <c r="AX64" s="5">
        <f>data_origin!U3026</f>
        <v>0</v>
      </c>
      <c r="AY64" s="5">
        <f>data_origin!V3026</f>
        <v>0</v>
      </c>
      <c r="AZ64" s="5">
        <f>data_origin!W3026</f>
        <v>0</v>
      </c>
      <c r="BA64" s="5">
        <f>data_origin!X3026</f>
        <v>0</v>
      </c>
      <c r="BB64" s="5">
        <f>data_origin!Y3026</f>
        <v>0</v>
      </c>
      <c r="BC64" s="5">
        <f>data_origin!Z3026</f>
        <v>0</v>
      </c>
      <c r="BD64" s="5">
        <f>data_origin!AA3026</f>
        <v>0</v>
      </c>
      <c r="BE64" s="9">
        <f t="shared" si="13"/>
        <v>0</v>
      </c>
    </row>
    <row r="65" spans="1:58" x14ac:dyDescent="0.25">
      <c r="D65" t="s">
        <v>119</v>
      </c>
      <c r="E65" s="35">
        <f t="shared" si="11"/>
        <v>0</v>
      </c>
      <c r="F65" s="35">
        <f t="shared" si="11"/>
        <v>0</v>
      </c>
      <c r="G65" s="35">
        <f t="shared" si="11"/>
        <v>1.0670707070707071</v>
      </c>
      <c r="H65" s="35">
        <f t="shared" si="11"/>
        <v>0</v>
      </c>
      <c r="I65" s="35">
        <f t="shared" si="11"/>
        <v>1.0887122788111376</v>
      </c>
      <c r="J65" s="35">
        <f t="shared" si="11"/>
        <v>0</v>
      </c>
      <c r="K65" s="35">
        <f t="shared" si="11"/>
        <v>3.0303030303030304E-2</v>
      </c>
      <c r="L65" s="35">
        <f t="shared" si="10"/>
        <v>0</v>
      </c>
      <c r="M65" s="35">
        <f t="shared" si="5"/>
        <v>2.1860860161848752</v>
      </c>
      <c r="S65" t="s">
        <v>119</v>
      </c>
      <c r="T65" s="5">
        <f>data_origin!T100</f>
        <v>0</v>
      </c>
      <c r="U65" s="5">
        <f>data_origin!U100</f>
        <v>0</v>
      </c>
      <c r="V65" s="5">
        <f>data_origin!V100</f>
        <v>1.0657174151150055</v>
      </c>
      <c r="W65" s="5">
        <f>data_origin!W100</f>
        <v>0</v>
      </c>
      <c r="X65" s="5">
        <f>data_origin!X100</f>
        <v>1.0856031128404668</v>
      </c>
      <c r="Y65" s="5">
        <f>data_origin!Y100</f>
        <v>0</v>
      </c>
      <c r="Z65" s="5">
        <f>data_origin!Z100</f>
        <v>3.0303030303030304E-2</v>
      </c>
      <c r="AA65" s="5">
        <f>data_origin!AA100</f>
        <v>0</v>
      </c>
      <c r="AB65" s="5">
        <f t="shared" si="9"/>
        <v>2.1816235582585026</v>
      </c>
      <c r="AH65" t="s">
        <v>119</v>
      </c>
      <c r="AI65" s="5">
        <f>data_origin!T2313</f>
        <v>0</v>
      </c>
      <c r="AJ65" s="5">
        <f>data_origin!U2313</f>
        <v>0</v>
      </c>
      <c r="AK65" s="5">
        <f>data_origin!V2313</f>
        <v>0</v>
      </c>
      <c r="AL65" s="5">
        <f>data_origin!W2313</f>
        <v>0</v>
      </c>
      <c r="AM65" s="5">
        <f>data_origin!X2313</f>
        <v>0</v>
      </c>
      <c r="AN65" s="5">
        <f>data_origin!Y2313</f>
        <v>0</v>
      </c>
      <c r="AO65" s="5">
        <f>data_origin!Z2313</f>
        <v>0</v>
      </c>
      <c r="AP65" s="5">
        <f>data_origin!AA2313</f>
        <v>0</v>
      </c>
      <c r="AQ65" s="9">
        <f t="shared" si="12"/>
        <v>0</v>
      </c>
      <c r="AV65" t="s">
        <v>119</v>
      </c>
      <c r="AW65" s="5">
        <f>data_origin!T3027</f>
        <v>0</v>
      </c>
      <c r="AX65" s="5">
        <f>data_origin!U3027</f>
        <v>0</v>
      </c>
      <c r="AY65" s="5">
        <f>data_origin!V3027</f>
        <v>0</v>
      </c>
      <c r="AZ65" s="5">
        <f>data_origin!W3027</f>
        <v>0</v>
      </c>
      <c r="BA65" s="5">
        <f>data_origin!X3027</f>
        <v>0</v>
      </c>
      <c r="BB65" s="5">
        <f>data_origin!Y3027</f>
        <v>0</v>
      </c>
      <c r="BC65" s="5">
        <f>data_origin!Z3027</f>
        <v>0</v>
      </c>
      <c r="BD65" s="5">
        <f>data_origin!AA3027</f>
        <v>0</v>
      </c>
      <c r="BE65" s="9">
        <f t="shared" si="13"/>
        <v>0</v>
      </c>
    </row>
    <row r="66" spans="1:58" x14ac:dyDescent="0.25">
      <c r="D66" t="s">
        <v>99</v>
      </c>
      <c r="E66" s="35">
        <f t="shared" si="11"/>
        <v>0</v>
      </c>
      <c r="F66" s="35">
        <f t="shared" si="11"/>
        <v>0</v>
      </c>
      <c r="G66" s="35">
        <f t="shared" si="11"/>
        <v>21.341414141414141</v>
      </c>
      <c r="H66" s="35">
        <f t="shared" si="11"/>
        <v>31.210794185265971</v>
      </c>
      <c r="I66" s="35">
        <f t="shared" si="11"/>
        <v>5.4435613940556893</v>
      </c>
      <c r="J66" s="35">
        <f t="shared" si="11"/>
        <v>0</v>
      </c>
      <c r="K66" s="35">
        <f t="shared" si="11"/>
        <v>3.0303030303030304E-2</v>
      </c>
      <c r="L66" s="35">
        <f t="shared" si="10"/>
        <v>0</v>
      </c>
      <c r="M66" s="35">
        <f t="shared" si="5"/>
        <v>58.026072751038839</v>
      </c>
      <c r="S66" t="s">
        <v>99</v>
      </c>
      <c r="T66" s="5">
        <f>data_origin!T101</f>
        <v>0</v>
      </c>
      <c r="U66" s="5">
        <f>data_origin!U101</f>
        <v>0</v>
      </c>
      <c r="V66" s="5">
        <f>data_origin!V101</f>
        <v>21.314348302300111</v>
      </c>
      <c r="W66" s="5">
        <f>data_origin!W101</f>
        <v>31.15702479338843</v>
      </c>
      <c r="X66" s="5">
        <f>data_origin!X101</f>
        <v>5.4280155642023349</v>
      </c>
      <c r="Y66" s="5">
        <f>data_origin!Y101</f>
        <v>0</v>
      </c>
      <c r="Z66" s="5">
        <f>data_origin!Z101</f>
        <v>3.0303030303030304E-2</v>
      </c>
      <c r="AA66" s="5">
        <f>data_origin!AA101</f>
        <v>0</v>
      </c>
      <c r="AB66" s="5">
        <f t="shared" si="9"/>
        <v>57.929691690193906</v>
      </c>
      <c r="AH66" t="s">
        <v>99</v>
      </c>
      <c r="AI66" s="5">
        <f>data_origin!T2314</f>
        <v>0</v>
      </c>
      <c r="AJ66" s="5">
        <f>data_origin!U2314</f>
        <v>0</v>
      </c>
      <c r="AK66" s="5">
        <f>data_origin!V2314</f>
        <v>0</v>
      </c>
      <c r="AL66" s="5">
        <f>data_origin!W2314</f>
        <v>0</v>
      </c>
      <c r="AM66" s="5">
        <f>data_origin!X2314</f>
        <v>0</v>
      </c>
      <c r="AN66" s="5">
        <f>data_origin!Y2314</f>
        <v>0</v>
      </c>
      <c r="AO66" s="5">
        <f>data_origin!Z2314</f>
        <v>0</v>
      </c>
      <c r="AP66" s="5">
        <f>data_origin!AA2314</f>
        <v>0</v>
      </c>
      <c r="AQ66" s="9">
        <f t="shared" si="12"/>
        <v>0</v>
      </c>
      <c r="AV66" t="s">
        <v>99</v>
      </c>
      <c r="AW66" s="5">
        <f>data_origin!T3028</f>
        <v>0</v>
      </c>
      <c r="AX66" s="5">
        <f>data_origin!U3028</f>
        <v>0</v>
      </c>
      <c r="AY66" s="5">
        <f>data_origin!V3028</f>
        <v>0</v>
      </c>
      <c r="AZ66" s="5">
        <f>data_origin!W3028</f>
        <v>0</v>
      </c>
      <c r="BA66" s="5">
        <f>data_origin!X3028</f>
        <v>0</v>
      </c>
      <c r="BB66" s="5">
        <f>data_origin!Y3028</f>
        <v>0</v>
      </c>
      <c r="BC66" s="5">
        <f>data_origin!Z3028</f>
        <v>0</v>
      </c>
      <c r="BD66" s="5">
        <f>data_origin!AA3028</f>
        <v>0</v>
      </c>
      <c r="BE66" s="9">
        <f t="shared" si="13"/>
        <v>0</v>
      </c>
    </row>
    <row r="67" spans="1:58" x14ac:dyDescent="0.25">
      <c r="D67" t="s">
        <v>100</v>
      </c>
      <c r="E67" s="35">
        <f t="shared" si="11"/>
        <v>0</v>
      </c>
      <c r="F67" s="35">
        <f t="shared" si="11"/>
        <v>0</v>
      </c>
      <c r="G67" s="35">
        <f t="shared" si="11"/>
        <v>0</v>
      </c>
      <c r="H67" s="35">
        <f t="shared" si="11"/>
        <v>3.2287028467516521</v>
      </c>
      <c r="I67" s="35">
        <f t="shared" si="11"/>
        <v>1.0887122788111376</v>
      </c>
      <c r="J67" s="35">
        <f t="shared" si="11"/>
        <v>0</v>
      </c>
      <c r="K67" s="35">
        <f t="shared" si="11"/>
        <v>3.0303030303030304E-2</v>
      </c>
      <c r="L67" s="35">
        <f t="shared" si="10"/>
        <v>0</v>
      </c>
      <c r="M67" s="35">
        <f t="shared" ref="M67:M130" si="16">SUM(E67:L67)</f>
        <v>4.3477181558658202</v>
      </c>
      <c r="S67" t="s">
        <v>100</v>
      </c>
      <c r="T67" s="5">
        <f>data_origin!T102</f>
        <v>0</v>
      </c>
      <c r="U67" s="5">
        <f>data_origin!U102</f>
        <v>0</v>
      </c>
      <c r="V67" s="5">
        <f>data_origin!V102</f>
        <v>0</v>
      </c>
      <c r="W67" s="5">
        <f>data_origin!W102</f>
        <v>3.2231404958677685</v>
      </c>
      <c r="X67" s="5">
        <f>data_origin!X102</f>
        <v>1.0856031128404668</v>
      </c>
      <c r="Y67" s="5">
        <f>data_origin!Y102</f>
        <v>0</v>
      </c>
      <c r="Z67" s="5">
        <f>data_origin!Z102</f>
        <v>3.0303030303030304E-2</v>
      </c>
      <c r="AA67" s="5">
        <f>data_origin!AA102</f>
        <v>0</v>
      </c>
      <c r="AB67" s="5">
        <f t="shared" si="9"/>
        <v>4.3390466390112659</v>
      </c>
      <c r="AH67" t="s">
        <v>100</v>
      </c>
      <c r="AI67" s="5">
        <f>data_origin!T2315</f>
        <v>0</v>
      </c>
      <c r="AJ67" s="5">
        <f>data_origin!U2315</f>
        <v>0</v>
      </c>
      <c r="AK67" s="5">
        <f>data_origin!V2315</f>
        <v>25.454545454545453</v>
      </c>
      <c r="AL67" s="5">
        <f>data_origin!W2315</f>
        <v>52.179487179487182</v>
      </c>
      <c r="AM67" s="5">
        <f>data_origin!X2315</f>
        <v>24.142857142857142</v>
      </c>
      <c r="AN67" s="5">
        <f>data_origin!Y2315</f>
        <v>0</v>
      </c>
      <c r="AO67" s="5">
        <f>data_origin!Z2315</f>
        <v>0</v>
      </c>
      <c r="AP67" s="5">
        <f>data_origin!AA2315</f>
        <v>0</v>
      </c>
      <c r="AQ67" s="9">
        <f t="shared" si="12"/>
        <v>101.77688977688977</v>
      </c>
      <c r="AV67" t="s">
        <v>100</v>
      </c>
      <c r="AW67" s="5">
        <f>data_origin!T3029</f>
        <v>0</v>
      </c>
      <c r="AX67" s="5">
        <f>data_origin!U3029</f>
        <v>0</v>
      </c>
      <c r="AY67" s="5">
        <f>data_origin!V3029</f>
        <v>40.480000000000004</v>
      </c>
      <c r="AZ67" s="5">
        <f>data_origin!W3029</f>
        <v>46</v>
      </c>
      <c r="BA67" s="5">
        <f>data_origin!X3029</f>
        <v>24</v>
      </c>
      <c r="BB67" s="5">
        <f>data_origin!Y3029</f>
        <v>1</v>
      </c>
      <c r="BC67" s="5">
        <f>data_origin!Z3029</f>
        <v>0</v>
      </c>
      <c r="BD67" s="5">
        <f>data_origin!AA3029</f>
        <v>0</v>
      </c>
      <c r="BE67" s="9">
        <f t="shared" si="13"/>
        <v>111.48</v>
      </c>
    </row>
    <row r="68" spans="1:58" x14ac:dyDescent="0.25">
      <c r="D68" t="s">
        <v>101</v>
      </c>
      <c r="E68" s="35">
        <f t="shared" si="11"/>
        <v>0</v>
      </c>
      <c r="F68" s="35">
        <f t="shared" si="11"/>
        <v>0</v>
      </c>
      <c r="G68" s="35">
        <f t="shared" si="11"/>
        <v>24.542626262626264</v>
      </c>
      <c r="H68" s="35">
        <f t="shared" si="11"/>
        <v>23.677154209512118</v>
      </c>
      <c r="I68" s="35">
        <f t="shared" si="11"/>
        <v>4.3548491152445505</v>
      </c>
      <c r="J68" s="35">
        <f t="shared" si="11"/>
        <v>0</v>
      </c>
      <c r="K68" s="35">
        <f t="shared" si="11"/>
        <v>3.0303030303030304E-2</v>
      </c>
      <c r="L68" s="35">
        <f t="shared" si="10"/>
        <v>0</v>
      </c>
      <c r="M68" s="35">
        <f t="shared" si="16"/>
        <v>52.604932617685961</v>
      </c>
      <c r="N68" s="5">
        <f>SUM(M36:M68)</f>
        <v>2173.6487486167571</v>
      </c>
      <c r="S68" t="s">
        <v>101</v>
      </c>
      <c r="T68" s="5">
        <f>data_origin!T103</f>
        <v>0</v>
      </c>
      <c r="U68" s="5">
        <f>data_origin!U103</f>
        <v>0</v>
      </c>
      <c r="V68" s="5">
        <f>data_origin!V103</f>
        <v>24.511500547645127</v>
      </c>
      <c r="W68" s="5">
        <f>data_origin!W103</f>
        <v>23.636363636363637</v>
      </c>
      <c r="X68" s="5">
        <f>data_origin!X103</f>
        <v>4.3424124513618674</v>
      </c>
      <c r="Y68" s="5">
        <f>data_origin!Y103</f>
        <v>0</v>
      </c>
      <c r="Z68" s="5">
        <f>data_origin!Z103</f>
        <v>3.0303030303030304E-2</v>
      </c>
      <c r="AA68" s="5">
        <f>data_origin!AA103</f>
        <v>0</v>
      </c>
      <c r="AB68" s="5">
        <f t="shared" si="9"/>
        <v>52.520579665673665</v>
      </c>
      <c r="AC68" s="5">
        <f>SUM(AB36:AB68)</f>
        <v>2170.0000000000005</v>
      </c>
      <c r="AH68" t="s">
        <v>101</v>
      </c>
      <c r="AI68" s="5">
        <f>data_origin!T2316</f>
        <v>0</v>
      </c>
      <c r="AJ68" s="5">
        <f>data_origin!U2316</f>
        <v>0</v>
      </c>
      <c r="AK68" s="5">
        <f>data_origin!V2316</f>
        <v>0</v>
      </c>
      <c r="AL68" s="5">
        <f>data_origin!W2316</f>
        <v>0</v>
      </c>
      <c r="AM68" s="5">
        <f>data_origin!X2316</f>
        <v>0</v>
      </c>
      <c r="AN68" s="5">
        <f>data_origin!Y2316</f>
        <v>0</v>
      </c>
      <c r="AO68" s="5">
        <f>data_origin!Z2316</f>
        <v>0</v>
      </c>
      <c r="AP68" s="5">
        <f>data_origin!AA2316</f>
        <v>0</v>
      </c>
      <c r="AQ68" s="9">
        <f t="shared" si="12"/>
        <v>0</v>
      </c>
      <c r="AR68" s="5">
        <f>SUM(AQ36:AQ68)</f>
        <v>109</v>
      </c>
      <c r="AV68" t="s">
        <v>101</v>
      </c>
      <c r="AW68" s="5">
        <f>data_origin!T3030</f>
        <v>0</v>
      </c>
      <c r="AX68" s="5">
        <f>data_origin!U3030</f>
        <v>0</v>
      </c>
      <c r="AY68" s="5">
        <f>data_origin!V3030</f>
        <v>0</v>
      </c>
      <c r="AZ68" s="5">
        <f>data_origin!W3030</f>
        <v>0</v>
      </c>
      <c r="BA68" s="5">
        <f>data_origin!X3030</f>
        <v>0</v>
      </c>
      <c r="BB68" s="5">
        <f>data_origin!Y3030</f>
        <v>0</v>
      </c>
      <c r="BC68" s="5">
        <f>data_origin!Z3030</f>
        <v>0</v>
      </c>
      <c r="BD68" s="5">
        <f>data_origin!AA3030</f>
        <v>0</v>
      </c>
      <c r="BE68" s="9">
        <f t="shared" si="13"/>
        <v>0</v>
      </c>
      <c r="BF68" s="9">
        <f>SUM(BE36:BE68)</f>
        <v>115</v>
      </c>
    </row>
    <row r="69" spans="1:58" x14ac:dyDescent="0.25">
      <c r="A69" s="23" t="s">
        <v>104</v>
      </c>
      <c r="B69" s="23" t="s">
        <v>103</v>
      </c>
      <c r="C69" s="23" t="s">
        <v>107</v>
      </c>
      <c r="D69" t="s">
        <v>70</v>
      </c>
      <c r="E69" s="35">
        <f t="shared" si="11"/>
        <v>0</v>
      </c>
      <c r="F69" s="35">
        <f t="shared" si="11"/>
        <v>0</v>
      </c>
      <c r="G69" s="35">
        <f t="shared" si="11"/>
        <v>0</v>
      </c>
      <c r="H69" s="35">
        <f t="shared" si="11"/>
        <v>0</v>
      </c>
      <c r="I69" s="35">
        <f t="shared" si="11"/>
        <v>0</v>
      </c>
      <c r="J69" s="35">
        <f t="shared" si="11"/>
        <v>0</v>
      </c>
      <c r="K69" s="35">
        <f t="shared" si="11"/>
        <v>0</v>
      </c>
      <c r="L69" s="35">
        <f t="shared" si="10"/>
        <v>0</v>
      </c>
      <c r="M69" s="35">
        <f t="shared" si="16"/>
        <v>0</v>
      </c>
      <c r="P69" t="s">
        <v>104</v>
      </c>
      <c r="Q69" t="s">
        <v>103</v>
      </c>
      <c r="R69" t="s">
        <v>107</v>
      </c>
      <c r="S69" t="s">
        <v>70</v>
      </c>
      <c r="T69" s="5">
        <f>data_origin!T105</f>
        <v>0</v>
      </c>
      <c r="U69" s="5">
        <f>data_origin!U105</f>
        <v>0</v>
      </c>
      <c r="V69" s="5">
        <f>data_origin!V105</f>
        <v>0</v>
      </c>
      <c r="W69" s="5">
        <f>data_origin!W105</f>
        <v>0</v>
      </c>
      <c r="X69" s="9">
        <f>data_origin!X105</f>
        <v>0</v>
      </c>
      <c r="Y69" s="5">
        <f>data_origin!Y105</f>
        <v>0</v>
      </c>
      <c r="Z69" s="5">
        <f>data_origin!Z105</f>
        <v>0</v>
      </c>
      <c r="AA69" s="5">
        <f>data_origin!AA105</f>
        <v>0</v>
      </c>
      <c r="AB69" s="5">
        <f t="shared" si="9"/>
        <v>0</v>
      </c>
      <c r="AE69" t="s">
        <v>104</v>
      </c>
      <c r="AF69" t="s">
        <v>103</v>
      </c>
      <c r="AG69" s="28" t="s">
        <v>137</v>
      </c>
      <c r="AH69" t="s">
        <v>70</v>
      </c>
      <c r="AI69" s="5">
        <f>data_origin!T2318</f>
        <v>0</v>
      </c>
      <c r="AJ69" s="5">
        <f>data_origin!U2318</f>
        <v>0</v>
      </c>
      <c r="AK69" s="5">
        <f>data_origin!V2318</f>
        <v>0</v>
      </c>
      <c r="AL69" s="5">
        <f>data_origin!W2318</f>
        <v>0</v>
      </c>
      <c r="AM69" s="5">
        <f>data_origin!X2318</f>
        <v>0</v>
      </c>
      <c r="AN69" s="5">
        <f>data_origin!Y2318</f>
        <v>0</v>
      </c>
      <c r="AO69" s="5">
        <f>data_origin!Z2318</f>
        <v>0</v>
      </c>
      <c r="AP69" s="5">
        <f>data_origin!AA2318</f>
        <v>0</v>
      </c>
      <c r="AQ69" s="9">
        <f t="shared" si="12"/>
        <v>0</v>
      </c>
      <c r="AS69" t="s">
        <v>115</v>
      </c>
      <c r="AT69" t="s">
        <v>103</v>
      </c>
      <c r="AU69" s="28" t="s">
        <v>137</v>
      </c>
      <c r="AV69" t="s">
        <v>70</v>
      </c>
      <c r="AW69" s="5">
        <f>data_origin!T3032</f>
        <v>0</v>
      </c>
      <c r="AX69" s="5">
        <f>data_origin!U3032</f>
        <v>0</v>
      </c>
      <c r="AY69" s="5">
        <f>data_origin!V3032</f>
        <v>0</v>
      </c>
      <c r="AZ69" s="5">
        <f>data_origin!W3032</f>
        <v>0</v>
      </c>
      <c r="BA69" s="5">
        <f>data_origin!X3032</f>
        <v>0</v>
      </c>
      <c r="BB69" s="5">
        <f>data_origin!Y3032</f>
        <v>0</v>
      </c>
      <c r="BC69" s="5">
        <f>data_origin!Z3032</f>
        <v>0</v>
      </c>
      <c r="BD69" s="5">
        <f>data_origin!AA3032</f>
        <v>0</v>
      </c>
      <c r="BE69" s="9">
        <f t="shared" si="13"/>
        <v>0</v>
      </c>
    </row>
    <row r="70" spans="1:58" x14ac:dyDescent="0.25">
      <c r="D70" t="s">
        <v>71</v>
      </c>
      <c r="E70" s="35">
        <f t="shared" si="11"/>
        <v>0</v>
      </c>
      <c r="F70" s="35">
        <f t="shared" si="11"/>
        <v>0</v>
      </c>
      <c r="G70" s="35">
        <f t="shared" si="11"/>
        <v>0</v>
      </c>
      <c r="H70" s="35">
        <f t="shared" si="11"/>
        <v>0</v>
      </c>
      <c r="I70" s="35">
        <f t="shared" si="11"/>
        <v>0</v>
      </c>
      <c r="J70" s="35">
        <f t="shared" si="11"/>
        <v>0</v>
      </c>
      <c r="K70" s="35">
        <f t="shared" si="11"/>
        <v>0</v>
      </c>
      <c r="L70" s="35">
        <f t="shared" si="10"/>
        <v>0</v>
      </c>
      <c r="M70" s="35">
        <f t="shared" si="16"/>
        <v>0</v>
      </c>
      <c r="S70" t="s">
        <v>71</v>
      </c>
      <c r="T70" s="5">
        <f>data_origin!T106</f>
        <v>0</v>
      </c>
      <c r="U70" s="5">
        <f>data_origin!U106</f>
        <v>0</v>
      </c>
      <c r="V70" s="5">
        <f>data_origin!V106</f>
        <v>0</v>
      </c>
      <c r="W70" s="5">
        <f>data_origin!W106</f>
        <v>0</v>
      </c>
      <c r="X70" s="9">
        <f>data_origin!X106</f>
        <v>0</v>
      </c>
      <c r="Y70" s="5">
        <f>data_origin!Y106</f>
        <v>0</v>
      </c>
      <c r="Z70" s="5">
        <f>data_origin!Z106</f>
        <v>0</v>
      </c>
      <c r="AA70" s="5">
        <f>data_origin!AA106</f>
        <v>0</v>
      </c>
      <c r="AB70" s="5">
        <f t="shared" si="9"/>
        <v>0</v>
      </c>
      <c r="AH70" t="s">
        <v>71</v>
      </c>
      <c r="AI70" s="5">
        <f>data_origin!T2319</f>
        <v>0</v>
      </c>
      <c r="AJ70" s="5">
        <f>data_origin!U2319</f>
        <v>0</v>
      </c>
      <c r="AK70" s="5">
        <f>data_origin!V2319</f>
        <v>0</v>
      </c>
      <c r="AL70" s="5">
        <f>data_origin!W2319</f>
        <v>0</v>
      </c>
      <c r="AM70" s="5">
        <f>data_origin!X2319</f>
        <v>0</v>
      </c>
      <c r="AN70" s="5">
        <f>data_origin!Y2319</f>
        <v>0</v>
      </c>
      <c r="AO70" s="5">
        <f>data_origin!Z2319</f>
        <v>0</v>
      </c>
      <c r="AP70" s="5">
        <f>data_origin!AA2319</f>
        <v>0</v>
      </c>
      <c r="AQ70" s="9">
        <f t="shared" si="12"/>
        <v>0</v>
      </c>
      <c r="AV70" t="s">
        <v>71</v>
      </c>
      <c r="AW70" s="5">
        <f>data_origin!T3033</f>
        <v>0</v>
      </c>
      <c r="AX70" s="5">
        <f>data_origin!U3033</f>
        <v>0</v>
      </c>
      <c r="AY70" s="5">
        <f>data_origin!V3033</f>
        <v>0</v>
      </c>
      <c r="AZ70" s="5">
        <f>data_origin!W3033</f>
        <v>0</v>
      </c>
      <c r="BA70" s="5">
        <f>data_origin!X3033</f>
        <v>0</v>
      </c>
      <c r="BB70" s="5">
        <f>data_origin!Y3033</f>
        <v>0</v>
      </c>
      <c r="BC70" s="5">
        <f>data_origin!Z3033</f>
        <v>0</v>
      </c>
      <c r="BD70" s="5">
        <f>data_origin!AA3033</f>
        <v>0</v>
      </c>
      <c r="BE70" s="9">
        <f t="shared" si="13"/>
        <v>0</v>
      </c>
    </row>
    <row r="71" spans="1:58" x14ac:dyDescent="0.25">
      <c r="D71" t="s">
        <v>72</v>
      </c>
      <c r="E71" s="35">
        <f t="shared" si="11"/>
        <v>0</v>
      </c>
      <c r="F71" s="35">
        <f t="shared" si="11"/>
        <v>0</v>
      </c>
      <c r="G71" s="35">
        <f t="shared" si="11"/>
        <v>0</v>
      </c>
      <c r="H71" s="35">
        <f t="shared" si="11"/>
        <v>0</v>
      </c>
      <c r="I71" s="35">
        <f t="shared" si="11"/>
        <v>0</v>
      </c>
      <c r="J71" s="35">
        <f t="shared" si="11"/>
        <v>0</v>
      </c>
      <c r="K71" s="35">
        <f t="shared" si="11"/>
        <v>0</v>
      </c>
      <c r="L71" s="35">
        <f t="shared" si="10"/>
        <v>0</v>
      </c>
      <c r="M71" s="35">
        <f t="shared" si="16"/>
        <v>0</v>
      </c>
      <c r="S71" t="s">
        <v>72</v>
      </c>
      <c r="T71" s="5">
        <f>data_origin!T107</f>
        <v>0</v>
      </c>
      <c r="U71" s="5">
        <f>data_origin!U107</f>
        <v>0</v>
      </c>
      <c r="V71" s="5">
        <f>data_origin!V107</f>
        <v>0</v>
      </c>
      <c r="W71" s="5">
        <f>data_origin!W107</f>
        <v>0</v>
      </c>
      <c r="X71" s="9">
        <f>data_origin!X107</f>
        <v>0</v>
      </c>
      <c r="Y71" s="5">
        <f>data_origin!Y107</f>
        <v>0</v>
      </c>
      <c r="Z71" s="5">
        <f>data_origin!Z107</f>
        <v>0</v>
      </c>
      <c r="AA71" s="5">
        <f>data_origin!AA107</f>
        <v>0</v>
      </c>
      <c r="AB71" s="5">
        <f t="shared" si="9"/>
        <v>0</v>
      </c>
      <c r="AH71" t="s">
        <v>72</v>
      </c>
      <c r="AI71" s="5">
        <f>data_origin!T2320</f>
        <v>0</v>
      </c>
      <c r="AJ71" s="5">
        <f>data_origin!U2320</f>
        <v>0</v>
      </c>
      <c r="AK71" s="5">
        <f>data_origin!V2320</f>
        <v>0</v>
      </c>
      <c r="AL71" s="5">
        <f>data_origin!W2320</f>
        <v>0</v>
      </c>
      <c r="AM71" s="5">
        <f>data_origin!X2320</f>
        <v>0</v>
      </c>
      <c r="AN71" s="5">
        <f>data_origin!Y2320</f>
        <v>0</v>
      </c>
      <c r="AO71" s="5">
        <f>data_origin!Z2320</f>
        <v>0</v>
      </c>
      <c r="AP71" s="5">
        <f>data_origin!AA2320</f>
        <v>0</v>
      </c>
      <c r="AQ71" s="9">
        <f t="shared" si="12"/>
        <v>0</v>
      </c>
      <c r="AV71" t="s">
        <v>72</v>
      </c>
      <c r="AW71" s="5">
        <f>data_origin!T3034</f>
        <v>0</v>
      </c>
      <c r="AX71" s="5">
        <f>data_origin!U3034</f>
        <v>0</v>
      </c>
      <c r="AY71" s="5">
        <f>data_origin!V3034</f>
        <v>0</v>
      </c>
      <c r="AZ71" s="5">
        <f>data_origin!W3034</f>
        <v>0</v>
      </c>
      <c r="BA71" s="5">
        <f>data_origin!X3034</f>
        <v>0</v>
      </c>
      <c r="BB71" s="5">
        <f>data_origin!Y3034</f>
        <v>0</v>
      </c>
      <c r="BC71" s="5">
        <f>data_origin!Z3034</f>
        <v>0</v>
      </c>
      <c r="BD71" s="5">
        <f>data_origin!AA3034</f>
        <v>0</v>
      </c>
      <c r="BE71" s="9">
        <f t="shared" si="13"/>
        <v>0</v>
      </c>
    </row>
    <row r="72" spans="1:58" x14ac:dyDescent="0.25">
      <c r="D72" t="s">
        <v>73</v>
      </c>
      <c r="E72" s="35">
        <f t="shared" si="11"/>
        <v>0</v>
      </c>
      <c r="F72" s="35">
        <f t="shared" si="11"/>
        <v>0</v>
      </c>
      <c r="G72" s="35">
        <f t="shared" si="11"/>
        <v>0</v>
      </c>
      <c r="H72" s="35">
        <f t="shared" ref="H72:L128" si="17">W72+IFERROR((W72/SUM(W$3:W$992)*AL$630),0)</f>
        <v>0</v>
      </c>
      <c r="I72" s="35">
        <f t="shared" si="17"/>
        <v>0</v>
      </c>
      <c r="J72" s="35">
        <f t="shared" si="17"/>
        <v>0</v>
      </c>
      <c r="K72" s="35">
        <f t="shared" si="17"/>
        <v>0</v>
      </c>
      <c r="L72" s="35">
        <f t="shared" si="10"/>
        <v>0</v>
      </c>
      <c r="M72" s="35">
        <f t="shared" si="16"/>
        <v>0</v>
      </c>
      <c r="S72" t="s">
        <v>73</v>
      </c>
      <c r="T72" s="5">
        <f>data_origin!T108</f>
        <v>0</v>
      </c>
      <c r="U72" s="5">
        <f>data_origin!U108</f>
        <v>0</v>
      </c>
      <c r="V72" s="5">
        <f>data_origin!V108</f>
        <v>0</v>
      </c>
      <c r="W72" s="5">
        <f>data_origin!W108</f>
        <v>0</v>
      </c>
      <c r="X72" s="9">
        <f>data_origin!X108</f>
        <v>0</v>
      </c>
      <c r="Y72" s="5">
        <f>data_origin!Y108</f>
        <v>0</v>
      </c>
      <c r="Z72" s="5">
        <f>data_origin!Z108</f>
        <v>0</v>
      </c>
      <c r="AA72" s="5">
        <f>data_origin!AA108</f>
        <v>0</v>
      </c>
      <c r="AB72" s="5">
        <f t="shared" si="9"/>
        <v>0</v>
      </c>
      <c r="AH72" t="s">
        <v>73</v>
      </c>
      <c r="AI72" s="5">
        <f>data_origin!T2321</f>
        <v>0</v>
      </c>
      <c r="AJ72" s="5">
        <f>data_origin!U2321</f>
        <v>0</v>
      </c>
      <c r="AK72" s="5">
        <f>data_origin!V2321</f>
        <v>0</v>
      </c>
      <c r="AL72" s="5">
        <f>data_origin!W2321</f>
        <v>0</v>
      </c>
      <c r="AM72" s="5">
        <f>data_origin!X2321</f>
        <v>0</v>
      </c>
      <c r="AN72" s="5">
        <f>data_origin!Y2321</f>
        <v>0</v>
      </c>
      <c r="AO72" s="5">
        <f>data_origin!Z2321</f>
        <v>0</v>
      </c>
      <c r="AP72" s="5">
        <f>data_origin!AA2321</f>
        <v>0</v>
      </c>
      <c r="AQ72" s="9">
        <f t="shared" si="12"/>
        <v>0</v>
      </c>
      <c r="AV72" t="s">
        <v>73</v>
      </c>
      <c r="AW72" s="5">
        <f>data_origin!T3035</f>
        <v>0</v>
      </c>
      <c r="AX72" s="5">
        <f>data_origin!U3035</f>
        <v>0</v>
      </c>
      <c r="AY72" s="5">
        <f>data_origin!V3035</f>
        <v>0</v>
      </c>
      <c r="AZ72" s="5">
        <f>data_origin!W3035</f>
        <v>0</v>
      </c>
      <c r="BA72" s="5">
        <f>data_origin!X3035</f>
        <v>0</v>
      </c>
      <c r="BB72" s="5">
        <f>data_origin!Y3035</f>
        <v>0</v>
      </c>
      <c r="BC72" s="5">
        <f>data_origin!Z3035</f>
        <v>0</v>
      </c>
      <c r="BD72" s="5">
        <f>data_origin!AA3035</f>
        <v>0</v>
      </c>
      <c r="BE72" s="9">
        <f t="shared" si="13"/>
        <v>0</v>
      </c>
    </row>
    <row r="73" spans="1:58" x14ac:dyDescent="0.25">
      <c r="D73" t="s">
        <v>74</v>
      </c>
      <c r="E73" s="35">
        <f t="shared" ref="E73:I134" si="18">T73+IFERROR((T73/SUM(T$3:T$992)*AI$630),0)</f>
        <v>0</v>
      </c>
      <c r="F73" s="35">
        <f t="shared" si="18"/>
        <v>0</v>
      </c>
      <c r="G73" s="35">
        <f t="shared" si="18"/>
        <v>0</v>
      </c>
      <c r="H73" s="35">
        <f t="shared" si="17"/>
        <v>0</v>
      </c>
      <c r="I73" s="35">
        <f t="shared" si="17"/>
        <v>0</v>
      </c>
      <c r="J73" s="35">
        <f t="shared" si="17"/>
        <v>0</v>
      </c>
      <c r="K73" s="35">
        <f t="shared" si="17"/>
        <v>0</v>
      </c>
      <c r="L73" s="35">
        <f t="shared" si="10"/>
        <v>0</v>
      </c>
      <c r="M73" s="35">
        <f t="shared" si="16"/>
        <v>0</v>
      </c>
      <c r="S73" t="s">
        <v>74</v>
      </c>
      <c r="T73" s="5">
        <f>data_origin!T109</f>
        <v>0</v>
      </c>
      <c r="U73" s="5">
        <f>data_origin!U109</f>
        <v>0</v>
      </c>
      <c r="V73" s="5">
        <f>data_origin!V109</f>
        <v>0</v>
      </c>
      <c r="W73" s="5">
        <f>data_origin!W109</f>
        <v>0</v>
      </c>
      <c r="X73" s="9">
        <f>data_origin!X109</f>
        <v>0</v>
      </c>
      <c r="Y73" s="5">
        <f>data_origin!Y109</f>
        <v>0</v>
      </c>
      <c r="Z73" s="5">
        <f>data_origin!Z109</f>
        <v>0</v>
      </c>
      <c r="AA73" s="5">
        <f>data_origin!AA109</f>
        <v>0</v>
      </c>
      <c r="AB73" s="5">
        <f t="shared" si="9"/>
        <v>0</v>
      </c>
      <c r="AH73" t="s">
        <v>74</v>
      </c>
      <c r="AI73" s="5">
        <f>data_origin!T2322</f>
        <v>0</v>
      </c>
      <c r="AJ73" s="5">
        <f>data_origin!U2322</f>
        <v>0</v>
      </c>
      <c r="AK73" s="5">
        <f>data_origin!V2322</f>
        <v>0</v>
      </c>
      <c r="AL73" s="5">
        <f>data_origin!W2322</f>
        <v>0</v>
      </c>
      <c r="AM73" s="5">
        <f>data_origin!X2322</f>
        <v>0</v>
      </c>
      <c r="AN73" s="5">
        <f>data_origin!Y2322</f>
        <v>0</v>
      </c>
      <c r="AO73" s="5">
        <f>data_origin!Z2322</f>
        <v>0</v>
      </c>
      <c r="AP73" s="5">
        <f>data_origin!AA2322</f>
        <v>0</v>
      </c>
      <c r="AQ73" s="9">
        <f t="shared" si="12"/>
        <v>0</v>
      </c>
      <c r="AV73" t="s">
        <v>74</v>
      </c>
      <c r="AW73" s="5">
        <f>data_origin!T3036</f>
        <v>0</v>
      </c>
      <c r="AX73" s="5">
        <f>data_origin!U3036</f>
        <v>0</v>
      </c>
      <c r="AY73" s="5">
        <f>data_origin!V3036</f>
        <v>0</v>
      </c>
      <c r="AZ73" s="5">
        <f>data_origin!W3036</f>
        <v>0</v>
      </c>
      <c r="BA73" s="5">
        <f>data_origin!X3036</f>
        <v>0</v>
      </c>
      <c r="BB73" s="5">
        <f>data_origin!Y3036</f>
        <v>0</v>
      </c>
      <c r="BC73" s="5">
        <f>data_origin!Z3036</f>
        <v>0</v>
      </c>
      <c r="BD73" s="5">
        <f>data_origin!AA3036</f>
        <v>0</v>
      </c>
      <c r="BE73" s="9">
        <f t="shared" si="13"/>
        <v>0</v>
      </c>
    </row>
    <row r="74" spans="1:58" x14ac:dyDescent="0.25">
      <c r="D74" t="s">
        <v>75</v>
      </c>
      <c r="E74" s="35">
        <f t="shared" si="18"/>
        <v>0</v>
      </c>
      <c r="F74" s="35">
        <f t="shared" si="18"/>
        <v>0</v>
      </c>
      <c r="G74" s="35">
        <f t="shared" si="18"/>
        <v>0</v>
      </c>
      <c r="H74" s="35">
        <f t="shared" si="17"/>
        <v>0</v>
      </c>
      <c r="I74" s="35">
        <f t="shared" si="17"/>
        <v>0</v>
      </c>
      <c r="J74" s="35">
        <f t="shared" si="17"/>
        <v>0</v>
      </c>
      <c r="K74" s="35">
        <f t="shared" si="17"/>
        <v>0</v>
      </c>
      <c r="L74" s="35">
        <f t="shared" si="10"/>
        <v>0</v>
      </c>
      <c r="M74" s="35">
        <f t="shared" si="16"/>
        <v>0</v>
      </c>
      <c r="S74" t="s">
        <v>75</v>
      </c>
      <c r="T74" s="5">
        <f>data_origin!T110</f>
        <v>0</v>
      </c>
      <c r="U74" s="5">
        <f>data_origin!U110</f>
        <v>0</v>
      </c>
      <c r="V74" s="5">
        <f>data_origin!V110</f>
        <v>0</v>
      </c>
      <c r="W74" s="5">
        <f>data_origin!W110</f>
        <v>0</v>
      </c>
      <c r="X74" s="9">
        <f>data_origin!X110</f>
        <v>0</v>
      </c>
      <c r="Y74" s="5">
        <f>data_origin!Y110</f>
        <v>0</v>
      </c>
      <c r="Z74" s="5">
        <f>data_origin!Z110</f>
        <v>0</v>
      </c>
      <c r="AA74" s="5">
        <f>data_origin!AA110</f>
        <v>0</v>
      </c>
      <c r="AB74" s="5">
        <f t="shared" si="9"/>
        <v>0</v>
      </c>
      <c r="AH74" t="s">
        <v>75</v>
      </c>
      <c r="AI74" s="5">
        <f>data_origin!T2323</f>
        <v>0</v>
      </c>
      <c r="AJ74" s="5">
        <f>data_origin!U2323</f>
        <v>0</v>
      </c>
      <c r="AK74" s="5">
        <f>data_origin!V2323</f>
        <v>0</v>
      </c>
      <c r="AL74" s="5">
        <f>data_origin!W2323</f>
        <v>0</v>
      </c>
      <c r="AM74" s="5">
        <f>data_origin!X2323</f>
        <v>0</v>
      </c>
      <c r="AN74" s="5">
        <f>data_origin!Y2323</f>
        <v>0</v>
      </c>
      <c r="AO74" s="5">
        <f>data_origin!Z2323</f>
        <v>0</v>
      </c>
      <c r="AP74" s="5">
        <f>data_origin!AA2323</f>
        <v>0</v>
      </c>
      <c r="AQ74" s="9">
        <f t="shared" si="12"/>
        <v>0</v>
      </c>
      <c r="AV74" t="s">
        <v>75</v>
      </c>
      <c r="AW74" s="5">
        <f>data_origin!T3037</f>
        <v>0</v>
      </c>
      <c r="AX74" s="5">
        <f>data_origin!U3037</f>
        <v>0</v>
      </c>
      <c r="AY74" s="5">
        <f>data_origin!V3037</f>
        <v>0</v>
      </c>
      <c r="AZ74" s="5">
        <f>data_origin!W3037</f>
        <v>0</v>
      </c>
      <c r="BA74" s="5">
        <f>data_origin!X3037</f>
        <v>0</v>
      </c>
      <c r="BB74" s="5">
        <f>data_origin!Y3037</f>
        <v>0</v>
      </c>
      <c r="BC74" s="5">
        <f>data_origin!Z3037</f>
        <v>0</v>
      </c>
      <c r="BD74" s="5">
        <f>data_origin!AA3037</f>
        <v>0</v>
      </c>
      <c r="BE74" s="9">
        <f t="shared" si="13"/>
        <v>0</v>
      </c>
    </row>
    <row r="75" spans="1:58" x14ac:dyDescent="0.25">
      <c r="D75" t="s">
        <v>76</v>
      </c>
      <c r="E75" s="35">
        <f t="shared" si="18"/>
        <v>0</v>
      </c>
      <c r="F75" s="35">
        <f t="shared" si="18"/>
        <v>0</v>
      </c>
      <c r="G75" s="35">
        <f t="shared" si="18"/>
        <v>0</v>
      </c>
      <c r="H75" s="35">
        <f t="shared" si="17"/>
        <v>0</v>
      </c>
      <c r="I75" s="35">
        <f t="shared" si="17"/>
        <v>0</v>
      </c>
      <c r="J75" s="35">
        <f t="shared" si="17"/>
        <v>0</v>
      </c>
      <c r="K75" s="35">
        <f t="shared" si="17"/>
        <v>0</v>
      </c>
      <c r="L75" s="35">
        <f t="shared" si="10"/>
        <v>0</v>
      </c>
      <c r="M75" s="35">
        <f t="shared" si="16"/>
        <v>0</v>
      </c>
      <c r="S75" t="s">
        <v>76</v>
      </c>
      <c r="T75" s="5">
        <f>data_origin!T111</f>
        <v>0</v>
      </c>
      <c r="U75" s="5">
        <f>data_origin!U111</f>
        <v>0</v>
      </c>
      <c r="V75" s="5">
        <f>data_origin!V111</f>
        <v>0</v>
      </c>
      <c r="W75" s="5">
        <f>data_origin!W111</f>
        <v>0</v>
      </c>
      <c r="X75" s="9">
        <f>data_origin!X111</f>
        <v>0</v>
      </c>
      <c r="Y75" s="5">
        <f>data_origin!Y111</f>
        <v>0</v>
      </c>
      <c r="Z75" s="5">
        <f>data_origin!Z111</f>
        <v>0</v>
      </c>
      <c r="AA75" s="5">
        <f>data_origin!AA111</f>
        <v>0</v>
      </c>
      <c r="AB75" s="5">
        <f t="shared" si="9"/>
        <v>0</v>
      </c>
      <c r="AH75" t="s">
        <v>76</v>
      </c>
      <c r="AI75" s="5">
        <f>data_origin!T2324</f>
        <v>0</v>
      </c>
      <c r="AJ75" s="5">
        <f>data_origin!U2324</f>
        <v>0</v>
      </c>
      <c r="AK75" s="5">
        <f>data_origin!V2324</f>
        <v>0</v>
      </c>
      <c r="AL75" s="5">
        <f>data_origin!W2324</f>
        <v>0</v>
      </c>
      <c r="AM75" s="5">
        <f>data_origin!X2324</f>
        <v>0</v>
      </c>
      <c r="AN75" s="5">
        <f>data_origin!Y2324</f>
        <v>0</v>
      </c>
      <c r="AO75" s="5">
        <f>data_origin!Z2324</f>
        <v>0</v>
      </c>
      <c r="AP75" s="5">
        <f>data_origin!AA2324</f>
        <v>0</v>
      </c>
      <c r="AQ75" s="9">
        <f t="shared" si="12"/>
        <v>0</v>
      </c>
      <c r="AV75" t="s">
        <v>76</v>
      </c>
      <c r="AW75" s="5">
        <f>data_origin!T3038</f>
        <v>0</v>
      </c>
      <c r="AX75" s="5">
        <f>data_origin!U3038</f>
        <v>0</v>
      </c>
      <c r="AY75" s="5">
        <f>data_origin!V3038</f>
        <v>0</v>
      </c>
      <c r="AZ75" s="5">
        <f>data_origin!W3038</f>
        <v>0</v>
      </c>
      <c r="BA75" s="5">
        <f>data_origin!X3038</f>
        <v>0</v>
      </c>
      <c r="BB75" s="5">
        <f>data_origin!Y3038</f>
        <v>0</v>
      </c>
      <c r="BC75" s="5">
        <f>data_origin!Z3038</f>
        <v>0</v>
      </c>
      <c r="BD75" s="5">
        <f>data_origin!AA3038</f>
        <v>0</v>
      </c>
      <c r="BE75" s="9">
        <f t="shared" si="13"/>
        <v>0</v>
      </c>
    </row>
    <row r="76" spans="1:58" x14ac:dyDescent="0.25">
      <c r="D76" t="s">
        <v>77</v>
      </c>
      <c r="E76" s="35">
        <f t="shared" si="18"/>
        <v>0</v>
      </c>
      <c r="F76" s="35">
        <f t="shared" si="18"/>
        <v>0</v>
      </c>
      <c r="G76" s="35">
        <f t="shared" si="18"/>
        <v>0</v>
      </c>
      <c r="H76" s="35">
        <f t="shared" si="17"/>
        <v>0</v>
      </c>
      <c r="I76" s="35">
        <f t="shared" si="17"/>
        <v>0</v>
      </c>
      <c r="J76" s="35">
        <f t="shared" si="17"/>
        <v>0</v>
      </c>
      <c r="K76" s="35">
        <f t="shared" si="17"/>
        <v>0</v>
      </c>
      <c r="L76" s="35">
        <f t="shared" si="10"/>
        <v>0</v>
      </c>
      <c r="M76" s="35">
        <f t="shared" si="16"/>
        <v>0</v>
      </c>
      <c r="S76" t="s">
        <v>77</v>
      </c>
      <c r="T76" s="5">
        <f>data_origin!T112</f>
        <v>0</v>
      </c>
      <c r="U76" s="5">
        <f>data_origin!U112</f>
        <v>0</v>
      </c>
      <c r="V76" s="5">
        <f>data_origin!V112</f>
        <v>0</v>
      </c>
      <c r="W76" s="5">
        <f>data_origin!W112</f>
        <v>0</v>
      </c>
      <c r="X76" s="9">
        <f>data_origin!X112</f>
        <v>0</v>
      </c>
      <c r="Y76" s="5">
        <f>data_origin!Y112</f>
        <v>0</v>
      </c>
      <c r="Z76" s="5">
        <f>data_origin!Z112</f>
        <v>0</v>
      </c>
      <c r="AA76" s="5">
        <f>data_origin!AA112</f>
        <v>0</v>
      </c>
      <c r="AB76" s="5">
        <f t="shared" si="9"/>
        <v>0</v>
      </c>
      <c r="AH76" t="s">
        <v>77</v>
      </c>
      <c r="AI76" s="5">
        <f>data_origin!T2325</f>
        <v>0</v>
      </c>
      <c r="AJ76" s="5">
        <f>data_origin!U2325</f>
        <v>0</v>
      </c>
      <c r="AK76" s="5">
        <f>data_origin!V2325</f>
        <v>0</v>
      </c>
      <c r="AL76" s="5">
        <f>data_origin!W2325</f>
        <v>0</v>
      </c>
      <c r="AM76" s="5">
        <f>data_origin!X2325</f>
        <v>0</v>
      </c>
      <c r="AN76" s="5">
        <f>data_origin!Y2325</f>
        <v>0</v>
      </c>
      <c r="AO76" s="5">
        <f>data_origin!Z2325</f>
        <v>0</v>
      </c>
      <c r="AP76" s="5">
        <f>data_origin!AA2325</f>
        <v>0</v>
      </c>
      <c r="AQ76" s="9">
        <f t="shared" si="12"/>
        <v>0</v>
      </c>
      <c r="AV76" t="s">
        <v>77</v>
      </c>
      <c r="AW76" s="5">
        <f>data_origin!T3039</f>
        <v>0</v>
      </c>
      <c r="AX76" s="5">
        <f>data_origin!U3039</f>
        <v>0</v>
      </c>
      <c r="AY76" s="5">
        <f>data_origin!V3039</f>
        <v>0</v>
      </c>
      <c r="AZ76" s="5">
        <f>data_origin!W3039</f>
        <v>0</v>
      </c>
      <c r="BA76" s="5">
        <f>data_origin!X3039</f>
        <v>0</v>
      </c>
      <c r="BB76" s="5">
        <f>data_origin!Y3039</f>
        <v>0</v>
      </c>
      <c r="BC76" s="5">
        <f>data_origin!Z3039</f>
        <v>0</v>
      </c>
      <c r="BD76" s="5">
        <f>data_origin!AA3039</f>
        <v>0</v>
      </c>
      <c r="BE76" s="9">
        <f t="shared" si="13"/>
        <v>0</v>
      </c>
    </row>
    <row r="77" spans="1:58" x14ac:dyDescent="0.25">
      <c r="D77" t="s">
        <v>78</v>
      </c>
      <c r="E77" s="35">
        <f t="shared" si="18"/>
        <v>0</v>
      </c>
      <c r="F77" s="35">
        <f t="shared" si="18"/>
        <v>0</v>
      </c>
      <c r="G77" s="35">
        <f t="shared" si="18"/>
        <v>0</v>
      </c>
      <c r="H77" s="35">
        <f t="shared" si="17"/>
        <v>0</v>
      </c>
      <c r="I77" s="35">
        <f t="shared" si="17"/>
        <v>0</v>
      </c>
      <c r="J77" s="35">
        <f t="shared" si="17"/>
        <v>0</v>
      </c>
      <c r="K77" s="35">
        <f t="shared" si="17"/>
        <v>0</v>
      </c>
      <c r="L77" s="35">
        <f t="shared" si="10"/>
        <v>0</v>
      </c>
      <c r="M77" s="35">
        <f t="shared" si="16"/>
        <v>0</v>
      </c>
      <c r="S77" t="s">
        <v>78</v>
      </c>
      <c r="T77" s="5">
        <f>data_origin!T113</f>
        <v>0</v>
      </c>
      <c r="U77" s="5">
        <f>data_origin!U113</f>
        <v>0</v>
      </c>
      <c r="V77" s="5">
        <f>data_origin!V113</f>
        <v>0</v>
      </c>
      <c r="W77" s="5">
        <f>data_origin!W113</f>
        <v>0</v>
      </c>
      <c r="X77" s="9">
        <f>data_origin!X113</f>
        <v>0</v>
      </c>
      <c r="Y77" s="5">
        <f>data_origin!Y113</f>
        <v>0</v>
      </c>
      <c r="Z77" s="5">
        <f>data_origin!Z113</f>
        <v>0</v>
      </c>
      <c r="AA77" s="5">
        <f>data_origin!AA113</f>
        <v>0</v>
      </c>
      <c r="AB77" s="5">
        <f t="shared" si="9"/>
        <v>0</v>
      </c>
      <c r="AH77" t="s">
        <v>78</v>
      </c>
      <c r="AI77" s="5">
        <f>data_origin!T2326</f>
        <v>0</v>
      </c>
      <c r="AJ77" s="5">
        <f>data_origin!U2326</f>
        <v>0</v>
      </c>
      <c r="AK77" s="5">
        <f>data_origin!V2326</f>
        <v>0</v>
      </c>
      <c r="AL77" s="5">
        <f>data_origin!W2326</f>
        <v>0</v>
      </c>
      <c r="AM77" s="5">
        <f>data_origin!X2326</f>
        <v>0</v>
      </c>
      <c r="AN77" s="5">
        <f>data_origin!Y2326</f>
        <v>0</v>
      </c>
      <c r="AO77" s="5">
        <f>data_origin!Z2326</f>
        <v>0</v>
      </c>
      <c r="AP77" s="5">
        <f>data_origin!AA2326</f>
        <v>0</v>
      </c>
      <c r="AQ77" s="9">
        <f t="shared" si="12"/>
        <v>0</v>
      </c>
      <c r="AV77" t="s">
        <v>78</v>
      </c>
      <c r="AW77" s="5">
        <f>data_origin!T3040</f>
        <v>0</v>
      </c>
      <c r="AX77" s="5">
        <f>data_origin!U3040</f>
        <v>0</v>
      </c>
      <c r="AY77" s="5">
        <f>data_origin!V3040</f>
        <v>0</v>
      </c>
      <c r="AZ77" s="5">
        <f>data_origin!W3040</f>
        <v>0</v>
      </c>
      <c r="BA77" s="5">
        <f>data_origin!X3040</f>
        <v>0</v>
      </c>
      <c r="BB77" s="5">
        <f>data_origin!Y3040</f>
        <v>0</v>
      </c>
      <c r="BC77" s="5">
        <f>data_origin!Z3040</f>
        <v>0</v>
      </c>
      <c r="BD77" s="5">
        <f>data_origin!AA3040</f>
        <v>0</v>
      </c>
      <c r="BE77" s="9">
        <f t="shared" si="13"/>
        <v>0</v>
      </c>
    </row>
    <row r="78" spans="1:58" x14ac:dyDescent="0.25">
      <c r="D78" t="s">
        <v>79</v>
      </c>
      <c r="E78" s="35">
        <f t="shared" si="18"/>
        <v>0</v>
      </c>
      <c r="F78" s="35">
        <f t="shared" si="18"/>
        <v>0</v>
      </c>
      <c r="G78" s="35">
        <f t="shared" si="18"/>
        <v>0</v>
      </c>
      <c r="H78" s="35">
        <f t="shared" si="17"/>
        <v>0</v>
      </c>
      <c r="I78" s="35">
        <f t="shared" si="17"/>
        <v>0</v>
      </c>
      <c r="J78" s="35">
        <f t="shared" si="17"/>
        <v>0</v>
      </c>
      <c r="K78" s="35">
        <f t="shared" si="17"/>
        <v>0</v>
      </c>
      <c r="L78" s="35">
        <f t="shared" si="10"/>
        <v>0</v>
      </c>
      <c r="M78" s="35">
        <f t="shared" si="16"/>
        <v>0</v>
      </c>
      <c r="S78" t="s">
        <v>79</v>
      </c>
      <c r="T78" s="5">
        <f>data_origin!T114</f>
        <v>0</v>
      </c>
      <c r="U78" s="5">
        <f>data_origin!U114</f>
        <v>0</v>
      </c>
      <c r="V78" s="5">
        <f>data_origin!V114</f>
        <v>0</v>
      </c>
      <c r="W78" s="5">
        <f>data_origin!W114</f>
        <v>0</v>
      </c>
      <c r="X78" s="9">
        <f>data_origin!X114</f>
        <v>0</v>
      </c>
      <c r="Y78" s="5">
        <f>data_origin!Y114</f>
        <v>0</v>
      </c>
      <c r="Z78" s="5">
        <f>data_origin!Z114</f>
        <v>0</v>
      </c>
      <c r="AA78" s="5">
        <f>data_origin!AA114</f>
        <v>0</v>
      </c>
      <c r="AB78" s="5">
        <f t="shared" si="9"/>
        <v>0</v>
      </c>
      <c r="AH78" t="s">
        <v>79</v>
      </c>
      <c r="AI78" s="5">
        <f>data_origin!T2327</f>
        <v>0</v>
      </c>
      <c r="AJ78" s="5">
        <f>data_origin!U2327</f>
        <v>0</v>
      </c>
      <c r="AK78" s="5">
        <f>data_origin!V2327</f>
        <v>0</v>
      </c>
      <c r="AL78" s="5">
        <f>data_origin!W2327</f>
        <v>0</v>
      </c>
      <c r="AM78" s="5">
        <f>data_origin!X2327</f>
        <v>0</v>
      </c>
      <c r="AN78" s="5">
        <f>data_origin!Y2327</f>
        <v>0</v>
      </c>
      <c r="AO78" s="5">
        <f>data_origin!Z2327</f>
        <v>0</v>
      </c>
      <c r="AP78" s="5">
        <f>data_origin!AA2327</f>
        <v>0</v>
      </c>
      <c r="AQ78" s="9">
        <f t="shared" si="12"/>
        <v>0</v>
      </c>
      <c r="AV78" t="s">
        <v>79</v>
      </c>
      <c r="AW78" s="5">
        <f>data_origin!T3041</f>
        <v>0</v>
      </c>
      <c r="AX78" s="5">
        <f>data_origin!U3041</f>
        <v>0</v>
      </c>
      <c r="AY78" s="5">
        <f>data_origin!V3041</f>
        <v>0</v>
      </c>
      <c r="AZ78" s="5">
        <f>data_origin!W3041</f>
        <v>0</v>
      </c>
      <c r="BA78" s="5">
        <f>data_origin!X3041</f>
        <v>0</v>
      </c>
      <c r="BB78" s="5">
        <f>data_origin!Y3041</f>
        <v>0</v>
      </c>
      <c r="BC78" s="5">
        <f>data_origin!Z3041</f>
        <v>0</v>
      </c>
      <c r="BD78" s="5">
        <f>data_origin!AA3041</f>
        <v>0</v>
      </c>
      <c r="BE78" s="9">
        <f t="shared" si="13"/>
        <v>0</v>
      </c>
    </row>
    <row r="79" spans="1:58" x14ac:dyDescent="0.25">
      <c r="D79" t="s">
        <v>80</v>
      </c>
      <c r="E79" s="35">
        <f t="shared" si="18"/>
        <v>0</v>
      </c>
      <c r="F79" s="35">
        <f t="shared" si="18"/>
        <v>0</v>
      </c>
      <c r="G79" s="35">
        <f t="shared" si="18"/>
        <v>0</v>
      </c>
      <c r="H79" s="35">
        <f t="shared" si="17"/>
        <v>0</v>
      </c>
      <c r="I79" s="35">
        <f t="shared" si="17"/>
        <v>0</v>
      </c>
      <c r="J79" s="35">
        <f t="shared" si="17"/>
        <v>0</v>
      </c>
      <c r="K79" s="35">
        <f t="shared" si="17"/>
        <v>0</v>
      </c>
      <c r="L79" s="35">
        <f t="shared" si="10"/>
        <v>0</v>
      </c>
      <c r="M79" s="35">
        <f t="shared" si="16"/>
        <v>0</v>
      </c>
      <c r="S79" t="s">
        <v>80</v>
      </c>
      <c r="T79" s="5">
        <f>data_origin!T115</f>
        <v>0</v>
      </c>
      <c r="U79" s="5">
        <f>data_origin!U115</f>
        <v>0</v>
      </c>
      <c r="V79" s="5">
        <f>data_origin!V115</f>
        <v>0</v>
      </c>
      <c r="W79" s="5">
        <f>data_origin!W115</f>
        <v>0</v>
      </c>
      <c r="X79" s="9">
        <f>data_origin!X115</f>
        <v>0</v>
      </c>
      <c r="Y79" s="5">
        <f>data_origin!Y115</f>
        <v>0</v>
      </c>
      <c r="Z79" s="5">
        <f>data_origin!Z115</f>
        <v>0</v>
      </c>
      <c r="AA79" s="5">
        <f>data_origin!AA115</f>
        <v>0</v>
      </c>
      <c r="AB79" s="5">
        <f t="shared" si="9"/>
        <v>0</v>
      </c>
      <c r="AH79" t="s">
        <v>80</v>
      </c>
      <c r="AI79" s="5">
        <f>data_origin!T2328</f>
        <v>0</v>
      </c>
      <c r="AJ79" s="5">
        <f>data_origin!U2328</f>
        <v>0</v>
      </c>
      <c r="AK79" s="5">
        <f>data_origin!V2328</f>
        <v>0</v>
      </c>
      <c r="AL79" s="5">
        <f>data_origin!W2328</f>
        <v>0</v>
      </c>
      <c r="AM79" s="5">
        <f>data_origin!X2328</f>
        <v>0</v>
      </c>
      <c r="AN79" s="5">
        <f>data_origin!Y2328</f>
        <v>0</v>
      </c>
      <c r="AO79" s="5">
        <f>data_origin!Z2328</f>
        <v>0</v>
      </c>
      <c r="AP79" s="5">
        <f>data_origin!AA2328</f>
        <v>0</v>
      </c>
      <c r="AQ79" s="9">
        <f t="shared" si="12"/>
        <v>0</v>
      </c>
      <c r="AV79" t="s">
        <v>80</v>
      </c>
      <c r="AW79" s="5">
        <f>data_origin!T3042</f>
        <v>0</v>
      </c>
      <c r="AX79" s="5">
        <f>data_origin!U3042</f>
        <v>0</v>
      </c>
      <c r="AY79" s="5">
        <f>data_origin!V3042</f>
        <v>0</v>
      </c>
      <c r="AZ79" s="5">
        <f>data_origin!W3042</f>
        <v>0</v>
      </c>
      <c r="BA79" s="5">
        <f>data_origin!X3042</f>
        <v>0</v>
      </c>
      <c r="BB79" s="5">
        <f>data_origin!Y3042</f>
        <v>0</v>
      </c>
      <c r="BC79" s="5">
        <f>data_origin!Z3042</f>
        <v>0</v>
      </c>
      <c r="BD79" s="5">
        <f>data_origin!AA3042</f>
        <v>0</v>
      </c>
      <c r="BE79" s="9">
        <f t="shared" si="13"/>
        <v>0</v>
      </c>
    </row>
    <row r="80" spans="1:58" x14ac:dyDescent="0.25">
      <c r="D80" t="s">
        <v>81</v>
      </c>
      <c r="E80" s="35">
        <f t="shared" si="18"/>
        <v>0</v>
      </c>
      <c r="F80" s="35">
        <f t="shared" si="18"/>
        <v>0</v>
      </c>
      <c r="G80" s="35">
        <f t="shared" si="18"/>
        <v>0</v>
      </c>
      <c r="H80" s="35">
        <f t="shared" si="17"/>
        <v>0</v>
      </c>
      <c r="I80" s="35">
        <f t="shared" si="17"/>
        <v>0</v>
      </c>
      <c r="J80" s="35">
        <f t="shared" si="17"/>
        <v>0</v>
      </c>
      <c r="K80" s="35">
        <f t="shared" si="17"/>
        <v>0</v>
      </c>
      <c r="L80" s="35">
        <f t="shared" si="10"/>
        <v>0</v>
      </c>
      <c r="M80" s="35">
        <f t="shared" si="16"/>
        <v>0</v>
      </c>
      <c r="S80" t="s">
        <v>81</v>
      </c>
      <c r="T80" s="5">
        <f>data_origin!T116</f>
        <v>0</v>
      </c>
      <c r="U80" s="5">
        <f>data_origin!U116</f>
        <v>0</v>
      </c>
      <c r="V80" s="5">
        <f>data_origin!V116</f>
        <v>0</v>
      </c>
      <c r="W80" s="5">
        <f>data_origin!W116</f>
        <v>0</v>
      </c>
      <c r="X80" s="9">
        <f>data_origin!X116</f>
        <v>0</v>
      </c>
      <c r="Y80" s="5">
        <f>data_origin!Y116</f>
        <v>0</v>
      </c>
      <c r="Z80" s="5">
        <f>data_origin!Z116</f>
        <v>0</v>
      </c>
      <c r="AA80" s="5">
        <f>data_origin!AA116</f>
        <v>0</v>
      </c>
      <c r="AB80" s="5">
        <f t="shared" si="9"/>
        <v>0</v>
      </c>
      <c r="AH80" t="s">
        <v>81</v>
      </c>
      <c r="AI80" s="5">
        <f>data_origin!T2329</f>
        <v>0</v>
      </c>
      <c r="AJ80" s="5">
        <f>data_origin!U2329</f>
        <v>0</v>
      </c>
      <c r="AK80" s="5">
        <f>data_origin!V2329</f>
        <v>0</v>
      </c>
      <c r="AL80" s="5">
        <f>data_origin!W2329</f>
        <v>0</v>
      </c>
      <c r="AM80" s="5">
        <f>data_origin!X2329</f>
        <v>0</v>
      </c>
      <c r="AN80" s="5">
        <f>data_origin!Y2329</f>
        <v>0</v>
      </c>
      <c r="AO80" s="5">
        <f>data_origin!Z2329</f>
        <v>0</v>
      </c>
      <c r="AP80" s="5">
        <f>data_origin!AA2329</f>
        <v>0</v>
      </c>
      <c r="AQ80" s="9">
        <f t="shared" si="12"/>
        <v>0</v>
      </c>
      <c r="AV80" t="s">
        <v>81</v>
      </c>
      <c r="AW80" s="5">
        <f>data_origin!T3043</f>
        <v>0</v>
      </c>
      <c r="AX80" s="5">
        <f>data_origin!U3043</f>
        <v>0</v>
      </c>
      <c r="AY80" s="5">
        <f>data_origin!V3043</f>
        <v>0</v>
      </c>
      <c r="AZ80" s="5">
        <f>data_origin!W3043</f>
        <v>0</v>
      </c>
      <c r="BA80" s="5">
        <f>data_origin!X3043</f>
        <v>0</v>
      </c>
      <c r="BB80" s="5">
        <f>data_origin!Y3043</f>
        <v>0</v>
      </c>
      <c r="BC80" s="5">
        <f>data_origin!Z3043</f>
        <v>0</v>
      </c>
      <c r="BD80" s="5">
        <f>data_origin!AA3043</f>
        <v>0</v>
      </c>
      <c r="BE80" s="9">
        <f t="shared" si="13"/>
        <v>0</v>
      </c>
    </row>
    <row r="81" spans="4:57" x14ac:dyDescent="0.25">
      <c r="D81" t="s">
        <v>82</v>
      </c>
      <c r="E81" s="35">
        <f t="shared" si="18"/>
        <v>0</v>
      </c>
      <c r="F81" s="35">
        <f t="shared" si="18"/>
        <v>0</v>
      </c>
      <c r="G81" s="35">
        <f t="shared" si="18"/>
        <v>0</v>
      </c>
      <c r="H81" s="35">
        <f t="shared" si="17"/>
        <v>0</v>
      </c>
      <c r="I81" s="35">
        <f t="shared" si="17"/>
        <v>0</v>
      </c>
      <c r="J81" s="35">
        <f t="shared" si="17"/>
        <v>0</v>
      </c>
      <c r="K81" s="35">
        <f t="shared" si="17"/>
        <v>0</v>
      </c>
      <c r="L81" s="35">
        <f t="shared" si="10"/>
        <v>0</v>
      </c>
      <c r="M81" s="35">
        <f t="shared" si="16"/>
        <v>0</v>
      </c>
      <c r="S81" t="s">
        <v>82</v>
      </c>
      <c r="T81" s="5">
        <f>data_origin!T117</f>
        <v>0</v>
      </c>
      <c r="U81" s="5">
        <f>data_origin!U117</f>
        <v>0</v>
      </c>
      <c r="V81" s="5">
        <f>data_origin!V117</f>
        <v>0</v>
      </c>
      <c r="W81" s="5">
        <f>data_origin!W117</f>
        <v>0</v>
      </c>
      <c r="X81" s="9">
        <f>data_origin!X117</f>
        <v>0</v>
      </c>
      <c r="Y81" s="5">
        <f>data_origin!Y117</f>
        <v>0</v>
      </c>
      <c r="Z81" s="5">
        <f>data_origin!Z117</f>
        <v>0</v>
      </c>
      <c r="AA81" s="5">
        <f>data_origin!AA117</f>
        <v>0</v>
      </c>
      <c r="AB81" s="5">
        <f t="shared" si="9"/>
        <v>0</v>
      </c>
      <c r="AH81" t="s">
        <v>82</v>
      </c>
      <c r="AI81" s="5">
        <f>data_origin!T2330</f>
        <v>0</v>
      </c>
      <c r="AJ81" s="5">
        <f>data_origin!U2330</f>
        <v>0</v>
      </c>
      <c r="AK81" s="5">
        <f>data_origin!V2330</f>
        <v>0</v>
      </c>
      <c r="AL81" s="5">
        <f>data_origin!W2330</f>
        <v>0</v>
      </c>
      <c r="AM81" s="5">
        <f>data_origin!X2330</f>
        <v>0</v>
      </c>
      <c r="AN81" s="5">
        <f>data_origin!Y2330</f>
        <v>0</v>
      </c>
      <c r="AO81" s="5">
        <f>data_origin!Z2330</f>
        <v>0</v>
      </c>
      <c r="AP81" s="5">
        <f>data_origin!AA2330</f>
        <v>0</v>
      </c>
      <c r="AQ81" s="9">
        <f t="shared" si="12"/>
        <v>0</v>
      </c>
      <c r="AV81" t="s">
        <v>82</v>
      </c>
      <c r="AW81" s="5">
        <f>data_origin!T3044</f>
        <v>0</v>
      </c>
      <c r="AX81" s="5">
        <f>data_origin!U3044</f>
        <v>0</v>
      </c>
      <c r="AY81" s="5">
        <f>data_origin!V3044</f>
        <v>0</v>
      </c>
      <c r="AZ81" s="5">
        <f>data_origin!W3044</f>
        <v>0</v>
      </c>
      <c r="BA81" s="5">
        <f>data_origin!X3044</f>
        <v>0</v>
      </c>
      <c r="BB81" s="5">
        <f>data_origin!Y3044</f>
        <v>0</v>
      </c>
      <c r="BC81" s="5">
        <f>data_origin!Z3044</f>
        <v>0</v>
      </c>
      <c r="BD81" s="5">
        <f>data_origin!AA3044</f>
        <v>0</v>
      </c>
      <c r="BE81" s="9">
        <f t="shared" si="13"/>
        <v>0</v>
      </c>
    </row>
    <row r="82" spans="4:57" x14ac:dyDescent="0.25">
      <c r="D82" t="s">
        <v>83</v>
      </c>
      <c r="E82" s="35">
        <f t="shared" si="18"/>
        <v>0</v>
      </c>
      <c r="F82" s="35">
        <f t="shared" si="18"/>
        <v>0</v>
      </c>
      <c r="G82" s="35">
        <f t="shared" si="18"/>
        <v>0</v>
      </c>
      <c r="H82" s="35">
        <f t="shared" si="17"/>
        <v>0</v>
      </c>
      <c r="I82" s="35">
        <f t="shared" si="17"/>
        <v>0</v>
      </c>
      <c r="J82" s="35">
        <f t="shared" si="17"/>
        <v>0</v>
      </c>
      <c r="K82" s="35">
        <f t="shared" si="17"/>
        <v>0</v>
      </c>
      <c r="L82" s="35">
        <f t="shared" si="10"/>
        <v>0</v>
      </c>
      <c r="M82" s="35">
        <f t="shared" si="16"/>
        <v>0</v>
      </c>
      <c r="S82" t="s">
        <v>83</v>
      </c>
      <c r="T82" s="5">
        <f>data_origin!T118</f>
        <v>0</v>
      </c>
      <c r="U82" s="5">
        <f>data_origin!U118</f>
        <v>0</v>
      </c>
      <c r="V82" s="5">
        <f>data_origin!V118</f>
        <v>0</v>
      </c>
      <c r="W82" s="5">
        <f>data_origin!W118</f>
        <v>0</v>
      </c>
      <c r="X82" s="9">
        <f>data_origin!X118</f>
        <v>0</v>
      </c>
      <c r="Y82" s="5">
        <f>data_origin!Y118</f>
        <v>0</v>
      </c>
      <c r="Z82" s="5">
        <f>data_origin!Z118</f>
        <v>0</v>
      </c>
      <c r="AA82" s="5">
        <f>data_origin!AA118</f>
        <v>0</v>
      </c>
      <c r="AB82" s="5">
        <f t="shared" si="9"/>
        <v>0</v>
      </c>
      <c r="AH82" t="s">
        <v>83</v>
      </c>
      <c r="AI82" s="5">
        <f>data_origin!T2331</f>
        <v>0</v>
      </c>
      <c r="AJ82" s="5">
        <f>data_origin!U2331</f>
        <v>0</v>
      </c>
      <c r="AK82" s="5">
        <f>data_origin!V2331</f>
        <v>0</v>
      </c>
      <c r="AL82" s="5">
        <f>data_origin!W2331</f>
        <v>0</v>
      </c>
      <c r="AM82" s="5">
        <f>data_origin!X2331</f>
        <v>0</v>
      </c>
      <c r="AN82" s="5">
        <f>data_origin!Y2331</f>
        <v>0</v>
      </c>
      <c r="AO82" s="5">
        <f>data_origin!Z2331</f>
        <v>0</v>
      </c>
      <c r="AP82" s="5">
        <f>data_origin!AA2331</f>
        <v>0</v>
      </c>
      <c r="AQ82" s="9">
        <f t="shared" si="12"/>
        <v>0</v>
      </c>
      <c r="AV82" t="s">
        <v>83</v>
      </c>
      <c r="AW82" s="5">
        <f>data_origin!T3045</f>
        <v>0</v>
      </c>
      <c r="AX82" s="5">
        <f>data_origin!U3045</f>
        <v>0</v>
      </c>
      <c r="AY82" s="5">
        <f>data_origin!V3045</f>
        <v>0</v>
      </c>
      <c r="AZ82" s="5">
        <f>data_origin!W3045</f>
        <v>0</v>
      </c>
      <c r="BA82" s="5">
        <f>data_origin!X3045</f>
        <v>0</v>
      </c>
      <c r="BB82" s="5">
        <f>data_origin!Y3045</f>
        <v>0</v>
      </c>
      <c r="BC82" s="5">
        <f>data_origin!Z3045</f>
        <v>0</v>
      </c>
      <c r="BD82" s="5">
        <f>data_origin!AA3045</f>
        <v>0</v>
      </c>
      <c r="BE82" s="9">
        <f t="shared" si="13"/>
        <v>0</v>
      </c>
    </row>
    <row r="83" spans="4:57" x14ac:dyDescent="0.25">
      <c r="D83" t="s">
        <v>84</v>
      </c>
      <c r="E83" s="35">
        <f t="shared" si="18"/>
        <v>0</v>
      </c>
      <c r="F83" s="35">
        <f t="shared" si="18"/>
        <v>0</v>
      </c>
      <c r="G83" s="35">
        <f t="shared" si="18"/>
        <v>0</v>
      </c>
      <c r="H83" s="35">
        <f t="shared" si="17"/>
        <v>0</v>
      </c>
      <c r="I83" s="35">
        <f t="shared" si="17"/>
        <v>0</v>
      </c>
      <c r="J83" s="35">
        <f t="shared" si="17"/>
        <v>0</v>
      </c>
      <c r="K83" s="35">
        <f t="shared" si="17"/>
        <v>0</v>
      </c>
      <c r="L83" s="35">
        <f t="shared" si="10"/>
        <v>0</v>
      </c>
      <c r="M83" s="35">
        <f t="shared" si="16"/>
        <v>0</v>
      </c>
      <c r="S83" t="s">
        <v>84</v>
      </c>
      <c r="T83" s="5">
        <f>data_origin!T119</f>
        <v>0</v>
      </c>
      <c r="U83" s="5">
        <f>data_origin!U119</f>
        <v>0</v>
      </c>
      <c r="V83" s="5">
        <f>data_origin!V119</f>
        <v>0</v>
      </c>
      <c r="W83" s="5">
        <f>data_origin!W119</f>
        <v>0</v>
      </c>
      <c r="X83" s="9">
        <f>data_origin!X119</f>
        <v>0</v>
      </c>
      <c r="Y83" s="5">
        <f>data_origin!Y119</f>
        <v>0</v>
      </c>
      <c r="Z83" s="5">
        <f>data_origin!Z119</f>
        <v>0</v>
      </c>
      <c r="AA83" s="5">
        <f>data_origin!AA119</f>
        <v>0</v>
      </c>
      <c r="AB83" s="5">
        <f t="shared" si="9"/>
        <v>0</v>
      </c>
      <c r="AH83" t="s">
        <v>84</v>
      </c>
      <c r="AI83" s="5">
        <f>data_origin!T2332</f>
        <v>0</v>
      </c>
      <c r="AJ83" s="5">
        <f>data_origin!U2332</f>
        <v>0</v>
      </c>
      <c r="AK83" s="5">
        <f>data_origin!V2332</f>
        <v>0</v>
      </c>
      <c r="AL83" s="5">
        <f>data_origin!W2332</f>
        <v>1.6666666666666665</v>
      </c>
      <c r="AM83" s="5">
        <f>data_origin!X2332</f>
        <v>0</v>
      </c>
      <c r="AN83" s="5">
        <f>data_origin!Y2332</f>
        <v>0</v>
      </c>
      <c r="AO83" s="5">
        <f>data_origin!Z2332</f>
        <v>0</v>
      </c>
      <c r="AP83" s="5">
        <f>data_origin!AA2332</f>
        <v>0</v>
      </c>
      <c r="AQ83" s="9">
        <f t="shared" si="12"/>
        <v>1.6666666666666665</v>
      </c>
      <c r="AV83" t="s">
        <v>84</v>
      </c>
      <c r="AW83" s="5">
        <f>data_origin!T3046</f>
        <v>0</v>
      </c>
      <c r="AX83" s="5">
        <f>data_origin!U3046</f>
        <v>0</v>
      </c>
      <c r="AY83" s="5">
        <f>data_origin!V3046</f>
        <v>0</v>
      </c>
      <c r="AZ83" s="5">
        <f>data_origin!W3046</f>
        <v>0</v>
      </c>
      <c r="BA83" s="5">
        <f>data_origin!X3046</f>
        <v>0</v>
      </c>
      <c r="BB83" s="5">
        <f>data_origin!Y3046</f>
        <v>0</v>
      </c>
      <c r="BC83" s="5">
        <f>data_origin!Z3046</f>
        <v>0</v>
      </c>
      <c r="BD83" s="5">
        <f>data_origin!AA3046</f>
        <v>0</v>
      </c>
      <c r="BE83" s="9">
        <f t="shared" si="13"/>
        <v>0</v>
      </c>
    </row>
    <row r="84" spans="4:57" x14ac:dyDescent="0.25">
      <c r="D84" t="s">
        <v>85</v>
      </c>
      <c r="E84" s="35">
        <f t="shared" si="18"/>
        <v>0</v>
      </c>
      <c r="F84" s="35">
        <f t="shared" si="18"/>
        <v>0</v>
      </c>
      <c r="G84" s="35">
        <f t="shared" si="18"/>
        <v>0</v>
      </c>
      <c r="H84" s="35">
        <f t="shared" si="17"/>
        <v>0</v>
      </c>
      <c r="I84" s="35">
        <f t="shared" si="17"/>
        <v>0</v>
      </c>
      <c r="J84" s="35">
        <f t="shared" si="17"/>
        <v>0</v>
      </c>
      <c r="K84" s="35">
        <f t="shared" si="17"/>
        <v>0</v>
      </c>
      <c r="L84" s="35">
        <f t="shared" si="10"/>
        <v>0</v>
      </c>
      <c r="M84" s="35">
        <f t="shared" si="16"/>
        <v>0</v>
      </c>
      <c r="S84" t="s">
        <v>85</v>
      </c>
      <c r="T84" s="5">
        <f>data_origin!T120</f>
        <v>0</v>
      </c>
      <c r="U84" s="5">
        <f>data_origin!U120</f>
        <v>0</v>
      </c>
      <c r="V84" s="5">
        <f>data_origin!V120</f>
        <v>0</v>
      </c>
      <c r="W84" s="5">
        <f>data_origin!W120</f>
        <v>0</v>
      </c>
      <c r="X84" s="9">
        <f>data_origin!X120</f>
        <v>0</v>
      </c>
      <c r="Y84" s="5">
        <f>data_origin!Y120</f>
        <v>0</v>
      </c>
      <c r="Z84" s="5">
        <f>data_origin!Z120</f>
        <v>0</v>
      </c>
      <c r="AA84" s="5">
        <f>data_origin!AA120</f>
        <v>0</v>
      </c>
      <c r="AB84" s="5">
        <f t="shared" si="9"/>
        <v>0</v>
      </c>
      <c r="AH84" t="s">
        <v>85</v>
      </c>
      <c r="AI84" s="5">
        <f>data_origin!T2333</f>
        <v>0</v>
      </c>
      <c r="AJ84" s="5">
        <f>data_origin!U2333</f>
        <v>0</v>
      </c>
      <c r="AK84" s="5">
        <f>data_origin!V2333</f>
        <v>0</v>
      </c>
      <c r="AL84" s="5">
        <f>data_origin!W2333</f>
        <v>0</v>
      </c>
      <c r="AM84" s="5">
        <f>data_origin!X2333</f>
        <v>0</v>
      </c>
      <c r="AN84" s="5">
        <f>data_origin!Y2333</f>
        <v>0</v>
      </c>
      <c r="AO84" s="5">
        <f>data_origin!Z2333</f>
        <v>0</v>
      </c>
      <c r="AP84" s="5">
        <f>data_origin!AA2333</f>
        <v>0</v>
      </c>
      <c r="AQ84" s="9">
        <f t="shared" si="12"/>
        <v>0</v>
      </c>
      <c r="AV84" t="s">
        <v>85</v>
      </c>
      <c r="AW84" s="5">
        <f>data_origin!T3047</f>
        <v>0</v>
      </c>
      <c r="AX84" s="5">
        <f>data_origin!U3047</f>
        <v>0</v>
      </c>
      <c r="AY84" s="5">
        <f>data_origin!V3047</f>
        <v>0</v>
      </c>
      <c r="AZ84" s="5">
        <f>data_origin!W3047</f>
        <v>0</v>
      </c>
      <c r="BA84" s="5">
        <f>data_origin!X3047</f>
        <v>0</v>
      </c>
      <c r="BB84" s="5">
        <f>data_origin!Y3047</f>
        <v>0</v>
      </c>
      <c r="BC84" s="5">
        <f>data_origin!Z3047</f>
        <v>0</v>
      </c>
      <c r="BD84" s="5">
        <f>data_origin!AA3047</f>
        <v>0</v>
      </c>
      <c r="BE84" s="9">
        <f t="shared" si="13"/>
        <v>0</v>
      </c>
    </row>
    <row r="85" spans="4:57" x14ac:dyDescent="0.25">
      <c r="D85" t="s">
        <v>86</v>
      </c>
      <c r="E85" s="35">
        <f t="shared" si="18"/>
        <v>0</v>
      </c>
      <c r="F85" s="35">
        <f t="shared" si="18"/>
        <v>0</v>
      </c>
      <c r="G85" s="35">
        <f t="shared" si="18"/>
        <v>0</v>
      </c>
      <c r="H85" s="35">
        <f t="shared" si="17"/>
        <v>0</v>
      </c>
      <c r="I85" s="35">
        <f t="shared" si="17"/>
        <v>0</v>
      </c>
      <c r="J85" s="35">
        <f t="shared" si="17"/>
        <v>0</v>
      </c>
      <c r="K85" s="35">
        <f t="shared" si="17"/>
        <v>0</v>
      </c>
      <c r="L85" s="35">
        <f t="shared" si="10"/>
        <v>0</v>
      </c>
      <c r="M85" s="35">
        <f t="shared" si="16"/>
        <v>0</v>
      </c>
      <c r="S85" t="s">
        <v>86</v>
      </c>
      <c r="T85" s="5">
        <f>data_origin!T121</f>
        <v>0</v>
      </c>
      <c r="U85" s="5">
        <f>data_origin!U121</f>
        <v>0</v>
      </c>
      <c r="V85" s="5">
        <f>data_origin!V121</f>
        <v>0</v>
      </c>
      <c r="W85" s="5">
        <f>data_origin!W121</f>
        <v>0</v>
      </c>
      <c r="X85" s="9">
        <f>data_origin!X121</f>
        <v>0</v>
      </c>
      <c r="Y85" s="5">
        <f>data_origin!Y121</f>
        <v>0</v>
      </c>
      <c r="Z85" s="5">
        <f>data_origin!Z121</f>
        <v>0</v>
      </c>
      <c r="AA85" s="5">
        <f>data_origin!AA121</f>
        <v>0</v>
      </c>
      <c r="AB85" s="5">
        <f t="shared" si="9"/>
        <v>0</v>
      </c>
      <c r="AH85" t="s">
        <v>86</v>
      </c>
      <c r="AI85" s="5">
        <f>data_origin!T2334</f>
        <v>0</v>
      </c>
      <c r="AJ85" s="5">
        <f>data_origin!U2334</f>
        <v>0</v>
      </c>
      <c r="AK85" s="5">
        <f>data_origin!V2334</f>
        <v>1</v>
      </c>
      <c r="AL85" s="5">
        <f>data_origin!W2334</f>
        <v>1.6666666666666665</v>
      </c>
      <c r="AM85" s="5">
        <f>data_origin!X2334</f>
        <v>0</v>
      </c>
      <c r="AN85" s="5">
        <f>data_origin!Y2334</f>
        <v>0</v>
      </c>
      <c r="AO85" s="5">
        <f>data_origin!Z2334</f>
        <v>0</v>
      </c>
      <c r="AP85" s="5">
        <f>data_origin!AA2334</f>
        <v>0</v>
      </c>
      <c r="AQ85" s="9">
        <f t="shared" si="12"/>
        <v>2.6666666666666665</v>
      </c>
      <c r="AV85" t="s">
        <v>86</v>
      </c>
      <c r="AW85" s="5">
        <f>data_origin!T3048</f>
        <v>0</v>
      </c>
      <c r="AX85" s="5">
        <f>data_origin!U3048</f>
        <v>0</v>
      </c>
      <c r="AY85" s="5">
        <f>data_origin!V3048</f>
        <v>0</v>
      </c>
      <c r="AZ85" s="5">
        <f>data_origin!W3048</f>
        <v>0</v>
      </c>
      <c r="BA85" s="5">
        <f>data_origin!X3048</f>
        <v>0</v>
      </c>
      <c r="BB85" s="5">
        <f>data_origin!Y3048</f>
        <v>0</v>
      </c>
      <c r="BC85" s="5">
        <f>data_origin!Z3048</f>
        <v>0</v>
      </c>
      <c r="BD85" s="5">
        <f>data_origin!AA3048</f>
        <v>0</v>
      </c>
      <c r="BE85" s="9">
        <f t="shared" si="13"/>
        <v>0</v>
      </c>
    </row>
    <row r="86" spans="4:57" x14ac:dyDescent="0.25">
      <c r="D86" t="s">
        <v>87</v>
      </c>
      <c r="E86" s="35">
        <f t="shared" si="18"/>
        <v>0</v>
      </c>
      <c r="F86" s="35">
        <f t="shared" si="18"/>
        <v>0</v>
      </c>
      <c r="G86" s="35">
        <f t="shared" si="18"/>
        <v>0</v>
      </c>
      <c r="H86" s="35">
        <f t="shared" si="17"/>
        <v>0</v>
      </c>
      <c r="I86" s="35">
        <f t="shared" si="17"/>
        <v>0</v>
      </c>
      <c r="J86" s="35">
        <f t="shared" si="17"/>
        <v>0</v>
      </c>
      <c r="K86" s="35">
        <f t="shared" si="17"/>
        <v>0</v>
      </c>
      <c r="L86" s="35">
        <f t="shared" si="10"/>
        <v>0</v>
      </c>
      <c r="M86" s="35">
        <f t="shared" si="16"/>
        <v>0</v>
      </c>
      <c r="S86" t="s">
        <v>87</v>
      </c>
      <c r="T86" s="5">
        <f>data_origin!T122</f>
        <v>0</v>
      </c>
      <c r="U86" s="5">
        <f>data_origin!U122</f>
        <v>0</v>
      </c>
      <c r="V86" s="5">
        <f>data_origin!V122</f>
        <v>0</v>
      </c>
      <c r="W86" s="5">
        <f>data_origin!W122</f>
        <v>0</v>
      </c>
      <c r="X86" s="9">
        <f>data_origin!X122</f>
        <v>0</v>
      </c>
      <c r="Y86" s="5">
        <f>data_origin!Y122</f>
        <v>0</v>
      </c>
      <c r="Z86" s="5">
        <f>data_origin!Z122</f>
        <v>0</v>
      </c>
      <c r="AA86" s="5">
        <f>data_origin!AA122</f>
        <v>0</v>
      </c>
      <c r="AB86" s="5">
        <f t="shared" si="9"/>
        <v>0</v>
      </c>
      <c r="AH86" t="s">
        <v>87</v>
      </c>
      <c r="AI86" s="5">
        <f>data_origin!T2335</f>
        <v>0</v>
      </c>
      <c r="AJ86" s="5">
        <f>data_origin!U2335</f>
        <v>0</v>
      </c>
      <c r="AK86" s="5">
        <f>data_origin!V2335</f>
        <v>0</v>
      </c>
      <c r="AL86" s="5">
        <f>data_origin!W2335</f>
        <v>0</v>
      </c>
      <c r="AM86" s="5">
        <f>data_origin!X2335</f>
        <v>0</v>
      </c>
      <c r="AN86" s="5">
        <f>data_origin!Y2335</f>
        <v>0</v>
      </c>
      <c r="AO86" s="5">
        <f>data_origin!Z2335</f>
        <v>0</v>
      </c>
      <c r="AP86" s="5">
        <f>data_origin!AA2335</f>
        <v>0</v>
      </c>
      <c r="AQ86" s="9">
        <f t="shared" si="12"/>
        <v>0</v>
      </c>
      <c r="AV86" t="s">
        <v>87</v>
      </c>
      <c r="AW86" s="5">
        <f>data_origin!T3049</f>
        <v>0</v>
      </c>
      <c r="AX86" s="5">
        <f>data_origin!U3049</f>
        <v>0</v>
      </c>
      <c r="AY86" s="5">
        <f>data_origin!V3049</f>
        <v>0</v>
      </c>
      <c r="AZ86" s="5">
        <f>data_origin!W3049</f>
        <v>0</v>
      </c>
      <c r="BA86" s="5">
        <f>data_origin!X3049</f>
        <v>0</v>
      </c>
      <c r="BB86" s="5">
        <f>data_origin!Y3049</f>
        <v>0</v>
      </c>
      <c r="BC86" s="5">
        <f>data_origin!Z3049</f>
        <v>0</v>
      </c>
      <c r="BD86" s="5">
        <f>data_origin!AA3049</f>
        <v>0</v>
      </c>
      <c r="BE86" s="9">
        <f t="shared" si="13"/>
        <v>0</v>
      </c>
    </row>
    <row r="87" spans="4:57" x14ac:dyDescent="0.25">
      <c r="D87" t="s">
        <v>88</v>
      </c>
      <c r="E87" s="35">
        <f t="shared" si="18"/>
        <v>0</v>
      </c>
      <c r="F87" s="35">
        <f t="shared" si="18"/>
        <v>0</v>
      </c>
      <c r="G87" s="35">
        <f t="shared" si="18"/>
        <v>0</v>
      </c>
      <c r="H87" s="35">
        <f t="shared" si="17"/>
        <v>0</v>
      </c>
      <c r="I87" s="35">
        <f t="shared" si="17"/>
        <v>0</v>
      </c>
      <c r="J87" s="35">
        <f t="shared" si="17"/>
        <v>0</v>
      </c>
      <c r="K87" s="35">
        <f t="shared" si="17"/>
        <v>0</v>
      </c>
      <c r="L87" s="35">
        <f t="shared" si="10"/>
        <v>0</v>
      </c>
      <c r="M87" s="35">
        <f t="shared" si="16"/>
        <v>0</v>
      </c>
      <c r="S87" t="s">
        <v>88</v>
      </c>
      <c r="T87" s="5">
        <f>data_origin!T123</f>
        <v>0</v>
      </c>
      <c r="U87" s="5">
        <f>data_origin!U123</f>
        <v>0</v>
      </c>
      <c r="V87" s="5">
        <f>data_origin!V123</f>
        <v>0</v>
      </c>
      <c r="W87" s="5">
        <f>data_origin!W123</f>
        <v>0</v>
      </c>
      <c r="X87" s="9">
        <f>data_origin!X123</f>
        <v>0</v>
      </c>
      <c r="Y87" s="5">
        <f>data_origin!Y123</f>
        <v>0</v>
      </c>
      <c r="Z87" s="5">
        <f>data_origin!Z123</f>
        <v>0</v>
      </c>
      <c r="AA87" s="5">
        <f>data_origin!AA123</f>
        <v>0</v>
      </c>
      <c r="AB87" s="5">
        <f t="shared" si="9"/>
        <v>0</v>
      </c>
      <c r="AH87" t="s">
        <v>88</v>
      </c>
      <c r="AI87" s="5">
        <f>data_origin!T2336</f>
        <v>0</v>
      </c>
      <c r="AJ87" s="5">
        <f>data_origin!U2336</f>
        <v>0</v>
      </c>
      <c r="AK87" s="5">
        <f>data_origin!V2336</f>
        <v>1</v>
      </c>
      <c r="AL87" s="5">
        <f>data_origin!W2336</f>
        <v>0</v>
      </c>
      <c r="AM87" s="5">
        <f>data_origin!X2336</f>
        <v>0</v>
      </c>
      <c r="AN87" s="5">
        <f>data_origin!Y2336</f>
        <v>0</v>
      </c>
      <c r="AO87" s="5">
        <f>data_origin!Z2336</f>
        <v>0</v>
      </c>
      <c r="AP87" s="5">
        <f>data_origin!AA2336</f>
        <v>0</v>
      </c>
      <c r="AQ87" s="9">
        <f t="shared" si="12"/>
        <v>1</v>
      </c>
      <c r="AV87" t="s">
        <v>88</v>
      </c>
      <c r="AW87" s="5">
        <f>data_origin!T3050</f>
        <v>0</v>
      </c>
      <c r="AX87" s="5">
        <f>data_origin!U3050</f>
        <v>0</v>
      </c>
      <c r="AY87" s="5">
        <f>data_origin!V3050</f>
        <v>0</v>
      </c>
      <c r="AZ87" s="5">
        <f>data_origin!W3050</f>
        <v>0</v>
      </c>
      <c r="BA87" s="5">
        <f>data_origin!X3050</f>
        <v>0</v>
      </c>
      <c r="BB87" s="5">
        <f>data_origin!Y3050</f>
        <v>0</v>
      </c>
      <c r="BC87" s="5">
        <f>data_origin!Z3050</f>
        <v>0</v>
      </c>
      <c r="BD87" s="5">
        <f>data_origin!AA3050</f>
        <v>0</v>
      </c>
      <c r="BE87" s="9">
        <f t="shared" si="13"/>
        <v>0</v>
      </c>
    </row>
    <row r="88" spans="4:57" x14ac:dyDescent="0.25">
      <c r="D88" t="s">
        <v>89</v>
      </c>
      <c r="E88" s="35">
        <f t="shared" si="18"/>
        <v>0</v>
      </c>
      <c r="F88" s="35">
        <f t="shared" si="18"/>
        <v>0</v>
      </c>
      <c r="G88" s="35">
        <f t="shared" si="18"/>
        <v>0</v>
      </c>
      <c r="H88" s="35">
        <f t="shared" si="17"/>
        <v>0</v>
      </c>
      <c r="I88" s="35">
        <f t="shared" si="17"/>
        <v>0</v>
      </c>
      <c r="J88" s="35">
        <f t="shared" si="17"/>
        <v>0</v>
      </c>
      <c r="K88" s="35">
        <f t="shared" si="17"/>
        <v>0</v>
      </c>
      <c r="L88" s="35">
        <f t="shared" si="10"/>
        <v>0</v>
      </c>
      <c r="M88" s="35">
        <f t="shared" si="16"/>
        <v>0</v>
      </c>
      <c r="S88" t="s">
        <v>89</v>
      </c>
      <c r="T88" s="5">
        <f>data_origin!T124</f>
        <v>0</v>
      </c>
      <c r="U88" s="5">
        <f>data_origin!U124</f>
        <v>0</v>
      </c>
      <c r="V88" s="5">
        <f>data_origin!V124</f>
        <v>0</v>
      </c>
      <c r="W88" s="5">
        <f>data_origin!W124</f>
        <v>0</v>
      </c>
      <c r="X88" s="9">
        <f>data_origin!X124</f>
        <v>0</v>
      </c>
      <c r="Y88" s="5">
        <f>data_origin!Y124</f>
        <v>0</v>
      </c>
      <c r="Z88" s="5">
        <f>data_origin!Z124</f>
        <v>0</v>
      </c>
      <c r="AA88" s="5">
        <f>data_origin!AA124</f>
        <v>0</v>
      </c>
      <c r="AB88" s="5">
        <f t="shared" si="9"/>
        <v>0</v>
      </c>
      <c r="AH88" t="s">
        <v>89</v>
      </c>
      <c r="AI88" s="5">
        <f>data_origin!T2337</f>
        <v>0</v>
      </c>
      <c r="AJ88" s="5">
        <f>data_origin!U2337</f>
        <v>0</v>
      </c>
      <c r="AK88" s="5">
        <f>data_origin!V2337</f>
        <v>0</v>
      </c>
      <c r="AL88" s="5">
        <f>data_origin!W2337</f>
        <v>0</v>
      </c>
      <c r="AM88" s="5">
        <f>data_origin!X2337</f>
        <v>0</v>
      </c>
      <c r="AN88" s="5">
        <f>data_origin!Y2337</f>
        <v>0</v>
      </c>
      <c r="AO88" s="5">
        <f>data_origin!Z2337</f>
        <v>0</v>
      </c>
      <c r="AP88" s="5">
        <f>data_origin!AA2337</f>
        <v>0</v>
      </c>
      <c r="AQ88" s="9">
        <f t="shared" si="12"/>
        <v>0</v>
      </c>
      <c r="AV88" t="s">
        <v>89</v>
      </c>
      <c r="AW88" s="5">
        <f>data_origin!T3051</f>
        <v>0</v>
      </c>
      <c r="AX88" s="5">
        <f>data_origin!U3051</f>
        <v>0</v>
      </c>
      <c r="AY88" s="5">
        <f>data_origin!V3051</f>
        <v>0</v>
      </c>
      <c r="AZ88" s="5">
        <f>data_origin!W3051</f>
        <v>0</v>
      </c>
      <c r="BA88" s="5">
        <f>data_origin!X3051</f>
        <v>0</v>
      </c>
      <c r="BB88" s="5">
        <f>data_origin!Y3051</f>
        <v>0</v>
      </c>
      <c r="BC88" s="5">
        <f>data_origin!Z3051</f>
        <v>0</v>
      </c>
      <c r="BD88" s="5">
        <f>data_origin!AA3051</f>
        <v>0</v>
      </c>
      <c r="BE88" s="9">
        <f t="shared" si="13"/>
        <v>0</v>
      </c>
    </row>
    <row r="89" spans="4:57" x14ac:dyDescent="0.25">
      <c r="D89" t="s">
        <v>90</v>
      </c>
      <c r="E89" s="35">
        <f t="shared" si="18"/>
        <v>0</v>
      </c>
      <c r="F89" s="35">
        <f t="shared" si="18"/>
        <v>0</v>
      </c>
      <c r="G89" s="35">
        <f t="shared" si="18"/>
        <v>0</v>
      </c>
      <c r="H89" s="35">
        <f t="shared" si="17"/>
        <v>0</v>
      </c>
      <c r="I89" s="35">
        <f t="shared" si="17"/>
        <v>0</v>
      </c>
      <c r="J89" s="35">
        <f t="shared" si="17"/>
        <v>0</v>
      </c>
      <c r="K89" s="35">
        <f t="shared" si="17"/>
        <v>0</v>
      </c>
      <c r="L89" s="35">
        <f t="shared" si="10"/>
        <v>0</v>
      </c>
      <c r="M89" s="35">
        <f t="shared" si="16"/>
        <v>0</v>
      </c>
      <c r="S89" t="s">
        <v>90</v>
      </c>
      <c r="T89" s="5">
        <f>data_origin!T125</f>
        <v>0</v>
      </c>
      <c r="U89" s="5">
        <f>data_origin!U125</f>
        <v>0</v>
      </c>
      <c r="V89" s="5">
        <f>data_origin!V125</f>
        <v>0</v>
      </c>
      <c r="W89" s="5">
        <f>data_origin!W125</f>
        <v>0</v>
      </c>
      <c r="X89" s="9">
        <f>data_origin!X125</f>
        <v>0</v>
      </c>
      <c r="Y89" s="5">
        <f>data_origin!Y125</f>
        <v>0</v>
      </c>
      <c r="Z89" s="5">
        <f>data_origin!Z125</f>
        <v>0</v>
      </c>
      <c r="AA89" s="5">
        <f>data_origin!AA125</f>
        <v>0</v>
      </c>
      <c r="AB89" s="5">
        <f t="shared" si="9"/>
        <v>0</v>
      </c>
      <c r="AH89" t="s">
        <v>90</v>
      </c>
      <c r="AI89" s="5">
        <f>data_origin!T2338</f>
        <v>0</v>
      </c>
      <c r="AJ89" s="5">
        <f>data_origin!U2338</f>
        <v>0</v>
      </c>
      <c r="AK89" s="5">
        <f>data_origin!V2338</f>
        <v>0</v>
      </c>
      <c r="AL89" s="5">
        <f>data_origin!W2338</f>
        <v>0</v>
      </c>
      <c r="AM89" s="5">
        <f>data_origin!X2338</f>
        <v>0</v>
      </c>
      <c r="AN89" s="5">
        <f>data_origin!Y2338</f>
        <v>0</v>
      </c>
      <c r="AO89" s="5">
        <f>data_origin!Z2338</f>
        <v>0</v>
      </c>
      <c r="AP89" s="5">
        <f>data_origin!AA2338</f>
        <v>0</v>
      </c>
      <c r="AQ89" s="9">
        <f t="shared" si="12"/>
        <v>0</v>
      </c>
      <c r="AV89" t="s">
        <v>90</v>
      </c>
      <c r="AW89" s="5">
        <f>data_origin!T3052</f>
        <v>0</v>
      </c>
      <c r="AX89" s="5">
        <f>data_origin!U3052</f>
        <v>0</v>
      </c>
      <c r="AY89" s="5">
        <f>data_origin!V3052</f>
        <v>0</v>
      </c>
      <c r="AZ89" s="5">
        <f>data_origin!W3052</f>
        <v>0</v>
      </c>
      <c r="BA89" s="5">
        <f>data_origin!X3052</f>
        <v>0</v>
      </c>
      <c r="BB89" s="5">
        <f>data_origin!Y3052</f>
        <v>0</v>
      </c>
      <c r="BC89" s="5">
        <f>data_origin!Z3052</f>
        <v>0</v>
      </c>
      <c r="BD89" s="5">
        <f>data_origin!AA3052</f>
        <v>0</v>
      </c>
      <c r="BE89" s="9">
        <f t="shared" si="13"/>
        <v>0</v>
      </c>
    </row>
    <row r="90" spans="4:57" x14ac:dyDescent="0.25">
      <c r="D90" t="s">
        <v>91</v>
      </c>
      <c r="E90" s="35">
        <f t="shared" si="18"/>
        <v>0</v>
      </c>
      <c r="F90" s="35">
        <f t="shared" si="18"/>
        <v>0</v>
      </c>
      <c r="G90" s="35">
        <f t="shared" si="18"/>
        <v>0</v>
      </c>
      <c r="H90" s="35">
        <f t="shared" si="17"/>
        <v>0</v>
      </c>
      <c r="I90" s="35">
        <f t="shared" si="17"/>
        <v>0</v>
      </c>
      <c r="J90" s="35">
        <f t="shared" si="17"/>
        <v>0</v>
      </c>
      <c r="K90" s="35">
        <f t="shared" si="17"/>
        <v>0</v>
      </c>
      <c r="L90" s="35">
        <f t="shared" si="10"/>
        <v>0</v>
      </c>
      <c r="M90" s="35">
        <f t="shared" si="16"/>
        <v>0</v>
      </c>
      <c r="S90" t="s">
        <v>91</v>
      </c>
      <c r="T90" s="5">
        <f>data_origin!T126</f>
        <v>0</v>
      </c>
      <c r="U90" s="5">
        <f>data_origin!U126</f>
        <v>0</v>
      </c>
      <c r="V90" s="5">
        <f>data_origin!V126</f>
        <v>0</v>
      </c>
      <c r="W90" s="5">
        <f>data_origin!W126</f>
        <v>0</v>
      </c>
      <c r="X90" s="9">
        <f>data_origin!X126</f>
        <v>0</v>
      </c>
      <c r="Y90" s="5">
        <f>data_origin!Y126</f>
        <v>0</v>
      </c>
      <c r="Z90" s="5">
        <f>data_origin!Z126</f>
        <v>0</v>
      </c>
      <c r="AA90" s="5">
        <f>data_origin!AA126</f>
        <v>0</v>
      </c>
      <c r="AB90" s="5">
        <f t="shared" si="9"/>
        <v>0</v>
      </c>
      <c r="AH90" t="s">
        <v>91</v>
      </c>
      <c r="AI90" s="5">
        <f>data_origin!T2339</f>
        <v>0</v>
      </c>
      <c r="AJ90" s="5">
        <f>data_origin!U2339</f>
        <v>0</v>
      </c>
      <c r="AK90" s="5">
        <f>data_origin!V2339</f>
        <v>0</v>
      </c>
      <c r="AL90" s="5">
        <f>data_origin!W2339</f>
        <v>0</v>
      </c>
      <c r="AM90" s="5">
        <f>data_origin!X2339</f>
        <v>0</v>
      </c>
      <c r="AN90" s="5">
        <f>data_origin!Y2339</f>
        <v>0</v>
      </c>
      <c r="AO90" s="5">
        <f>data_origin!Z2339</f>
        <v>0</v>
      </c>
      <c r="AP90" s="5">
        <f>data_origin!AA2339</f>
        <v>0</v>
      </c>
      <c r="AQ90" s="9">
        <f t="shared" si="12"/>
        <v>0</v>
      </c>
      <c r="AV90" t="s">
        <v>91</v>
      </c>
      <c r="AW90" s="5">
        <f>data_origin!T3053</f>
        <v>0</v>
      </c>
      <c r="AX90" s="5">
        <f>data_origin!U3053</f>
        <v>0</v>
      </c>
      <c r="AY90" s="5">
        <f>data_origin!V3053</f>
        <v>0</v>
      </c>
      <c r="AZ90" s="5">
        <f>data_origin!W3053</f>
        <v>0</v>
      </c>
      <c r="BA90" s="5">
        <f>data_origin!X3053</f>
        <v>0</v>
      </c>
      <c r="BB90" s="5">
        <f>data_origin!Y3053</f>
        <v>0</v>
      </c>
      <c r="BC90" s="5">
        <f>data_origin!Z3053</f>
        <v>0</v>
      </c>
      <c r="BD90" s="5">
        <f>data_origin!AA3053</f>
        <v>0</v>
      </c>
      <c r="BE90" s="9">
        <f t="shared" si="13"/>
        <v>0</v>
      </c>
    </row>
    <row r="91" spans="4:57" x14ac:dyDescent="0.25">
      <c r="D91" t="s">
        <v>92</v>
      </c>
      <c r="E91" s="35">
        <f t="shared" si="18"/>
        <v>0</v>
      </c>
      <c r="F91" s="35">
        <f t="shared" si="18"/>
        <v>0</v>
      </c>
      <c r="G91" s="35">
        <f t="shared" si="18"/>
        <v>0</v>
      </c>
      <c r="H91" s="35">
        <f t="shared" si="17"/>
        <v>0</v>
      </c>
      <c r="I91" s="35">
        <f t="shared" si="17"/>
        <v>0</v>
      </c>
      <c r="J91" s="35">
        <f t="shared" si="17"/>
        <v>0</v>
      </c>
      <c r="K91" s="35">
        <f t="shared" si="17"/>
        <v>0</v>
      </c>
      <c r="L91" s="35">
        <f t="shared" si="10"/>
        <v>0</v>
      </c>
      <c r="M91" s="35">
        <f t="shared" si="16"/>
        <v>0</v>
      </c>
      <c r="S91" t="s">
        <v>92</v>
      </c>
      <c r="T91" s="5">
        <f>data_origin!T127</f>
        <v>0</v>
      </c>
      <c r="U91" s="5">
        <f>data_origin!U127</f>
        <v>0</v>
      </c>
      <c r="V91" s="5">
        <f>data_origin!V127</f>
        <v>0</v>
      </c>
      <c r="W91" s="5">
        <f>data_origin!W127</f>
        <v>0</v>
      </c>
      <c r="X91" s="9">
        <f>data_origin!X127</f>
        <v>0</v>
      </c>
      <c r="Y91" s="5">
        <f>data_origin!Y127</f>
        <v>0</v>
      </c>
      <c r="Z91" s="5">
        <f>data_origin!Z127</f>
        <v>0</v>
      </c>
      <c r="AA91" s="5">
        <f>data_origin!AA127</f>
        <v>0</v>
      </c>
      <c r="AB91" s="5">
        <f t="shared" si="9"/>
        <v>0</v>
      </c>
      <c r="AH91" t="s">
        <v>92</v>
      </c>
      <c r="AI91" s="5">
        <f>data_origin!T2340</f>
        <v>0</v>
      </c>
      <c r="AJ91" s="5">
        <f>data_origin!U2340</f>
        <v>0</v>
      </c>
      <c r="AK91" s="5">
        <f>data_origin!V2340</f>
        <v>0</v>
      </c>
      <c r="AL91" s="5">
        <f>data_origin!W2340</f>
        <v>0</v>
      </c>
      <c r="AM91" s="5">
        <f>data_origin!X2340</f>
        <v>0</v>
      </c>
      <c r="AN91" s="5">
        <f>data_origin!Y2340</f>
        <v>0</v>
      </c>
      <c r="AO91" s="5">
        <f>data_origin!Z2340</f>
        <v>0</v>
      </c>
      <c r="AP91" s="5">
        <f>data_origin!AA2340</f>
        <v>0</v>
      </c>
      <c r="AQ91" s="9">
        <f t="shared" si="12"/>
        <v>0</v>
      </c>
      <c r="AV91" t="s">
        <v>92</v>
      </c>
      <c r="AW91" s="5">
        <f>data_origin!T3054</f>
        <v>0</v>
      </c>
      <c r="AX91" s="5">
        <f>data_origin!U3054</f>
        <v>0</v>
      </c>
      <c r="AY91" s="5">
        <f>data_origin!V3054</f>
        <v>0</v>
      </c>
      <c r="AZ91" s="5">
        <f>data_origin!W3054</f>
        <v>0</v>
      </c>
      <c r="BA91" s="5">
        <f>data_origin!X3054</f>
        <v>0</v>
      </c>
      <c r="BB91" s="5">
        <f>data_origin!Y3054</f>
        <v>0</v>
      </c>
      <c r="BC91" s="5">
        <f>data_origin!Z3054</f>
        <v>0</v>
      </c>
      <c r="BD91" s="5">
        <f>data_origin!AA3054</f>
        <v>0</v>
      </c>
      <c r="BE91" s="9">
        <f t="shared" si="13"/>
        <v>0</v>
      </c>
    </row>
    <row r="92" spans="4:57" x14ac:dyDescent="0.25">
      <c r="D92" t="s">
        <v>93</v>
      </c>
      <c r="E92" s="35">
        <f t="shared" si="18"/>
        <v>0</v>
      </c>
      <c r="F92" s="35">
        <f t="shared" si="18"/>
        <v>0</v>
      </c>
      <c r="G92" s="35">
        <f t="shared" si="18"/>
        <v>0</v>
      </c>
      <c r="H92" s="35">
        <f t="shared" si="17"/>
        <v>0</v>
      </c>
      <c r="I92" s="35">
        <f t="shared" si="17"/>
        <v>0</v>
      </c>
      <c r="J92" s="35">
        <f t="shared" si="17"/>
        <v>0</v>
      </c>
      <c r="K92" s="35">
        <f t="shared" si="17"/>
        <v>0</v>
      </c>
      <c r="L92" s="35">
        <f t="shared" si="10"/>
        <v>0</v>
      </c>
      <c r="M92" s="35">
        <f t="shared" si="16"/>
        <v>0</v>
      </c>
      <c r="S92" t="s">
        <v>93</v>
      </c>
      <c r="T92" s="5">
        <f>data_origin!T128</f>
        <v>0</v>
      </c>
      <c r="U92" s="5">
        <f>data_origin!U128</f>
        <v>0</v>
      </c>
      <c r="V92" s="5">
        <f>data_origin!V128</f>
        <v>0</v>
      </c>
      <c r="W92" s="5">
        <f>data_origin!W128</f>
        <v>0</v>
      </c>
      <c r="X92" s="9">
        <f>data_origin!X128</f>
        <v>0</v>
      </c>
      <c r="Y92" s="5">
        <f>data_origin!Y128</f>
        <v>0</v>
      </c>
      <c r="Z92" s="5">
        <f>data_origin!Z128</f>
        <v>0</v>
      </c>
      <c r="AA92" s="5">
        <f>data_origin!AA128</f>
        <v>0</v>
      </c>
      <c r="AB92" s="5">
        <f t="shared" si="9"/>
        <v>0</v>
      </c>
      <c r="AH92" t="s">
        <v>93</v>
      </c>
      <c r="AI92" s="5">
        <f>data_origin!T2341</f>
        <v>0</v>
      </c>
      <c r="AJ92" s="5">
        <f>data_origin!U2341</f>
        <v>0</v>
      </c>
      <c r="AK92" s="5">
        <f>data_origin!V2341</f>
        <v>0</v>
      </c>
      <c r="AL92" s="5">
        <f>data_origin!W2341</f>
        <v>0</v>
      </c>
      <c r="AM92" s="5">
        <f>data_origin!X2341</f>
        <v>0</v>
      </c>
      <c r="AN92" s="5">
        <f>data_origin!Y2341</f>
        <v>0</v>
      </c>
      <c r="AO92" s="5">
        <f>data_origin!Z2341</f>
        <v>0</v>
      </c>
      <c r="AP92" s="5">
        <f>data_origin!AA2341</f>
        <v>0</v>
      </c>
      <c r="AQ92" s="9">
        <f t="shared" si="12"/>
        <v>0</v>
      </c>
      <c r="AV92" t="s">
        <v>93</v>
      </c>
      <c r="AW92" s="5">
        <f>data_origin!T3055</f>
        <v>0</v>
      </c>
      <c r="AX92" s="5">
        <f>data_origin!U3055</f>
        <v>0</v>
      </c>
      <c r="AY92" s="5">
        <f>data_origin!V3055</f>
        <v>0</v>
      </c>
      <c r="AZ92" s="5">
        <f>data_origin!W3055</f>
        <v>0</v>
      </c>
      <c r="BA92" s="5">
        <f>data_origin!X3055</f>
        <v>0</v>
      </c>
      <c r="BB92" s="5">
        <f>data_origin!Y3055</f>
        <v>0</v>
      </c>
      <c r="BC92" s="5">
        <f>data_origin!Z3055</f>
        <v>0</v>
      </c>
      <c r="BD92" s="5">
        <f>data_origin!AA3055</f>
        <v>0</v>
      </c>
      <c r="BE92" s="9">
        <f t="shared" si="13"/>
        <v>0</v>
      </c>
    </row>
    <row r="93" spans="4:57" x14ac:dyDescent="0.25">
      <c r="D93" t="s">
        <v>94</v>
      </c>
      <c r="E93" s="35">
        <f t="shared" si="18"/>
        <v>0</v>
      </c>
      <c r="F93" s="35">
        <f t="shared" si="18"/>
        <v>0</v>
      </c>
      <c r="G93" s="35">
        <f t="shared" si="18"/>
        <v>0</v>
      </c>
      <c r="H93" s="35">
        <f t="shared" si="17"/>
        <v>0</v>
      </c>
      <c r="I93" s="35">
        <f t="shared" si="17"/>
        <v>0</v>
      </c>
      <c r="J93" s="35">
        <f t="shared" si="17"/>
        <v>0</v>
      </c>
      <c r="K93" s="35">
        <f t="shared" si="17"/>
        <v>0</v>
      </c>
      <c r="L93" s="35">
        <f t="shared" si="10"/>
        <v>0</v>
      </c>
      <c r="M93" s="35">
        <f t="shared" si="16"/>
        <v>0</v>
      </c>
      <c r="S93" t="s">
        <v>94</v>
      </c>
      <c r="T93" s="5">
        <f>data_origin!T129</f>
        <v>0</v>
      </c>
      <c r="U93" s="5">
        <f>data_origin!U129</f>
        <v>0</v>
      </c>
      <c r="V93" s="5">
        <f>data_origin!V129</f>
        <v>0</v>
      </c>
      <c r="W93" s="5">
        <f>data_origin!W129</f>
        <v>0</v>
      </c>
      <c r="X93" s="9">
        <f>data_origin!X129</f>
        <v>0</v>
      </c>
      <c r="Y93" s="5">
        <f>data_origin!Y129</f>
        <v>0</v>
      </c>
      <c r="Z93" s="5">
        <f>data_origin!Z129</f>
        <v>0</v>
      </c>
      <c r="AA93" s="5">
        <f>data_origin!AA129</f>
        <v>0</v>
      </c>
      <c r="AB93" s="5">
        <f t="shared" si="9"/>
        <v>0</v>
      </c>
      <c r="AH93" t="s">
        <v>94</v>
      </c>
      <c r="AI93" s="5">
        <f>data_origin!T2342</f>
        <v>0</v>
      </c>
      <c r="AJ93" s="5">
        <f>data_origin!U2342</f>
        <v>0</v>
      </c>
      <c r="AK93" s="5">
        <f>data_origin!V2342</f>
        <v>0</v>
      </c>
      <c r="AL93" s="5">
        <f>data_origin!W2342</f>
        <v>0</v>
      </c>
      <c r="AM93" s="5">
        <f>data_origin!X2342</f>
        <v>0</v>
      </c>
      <c r="AN93" s="5">
        <f>data_origin!Y2342</f>
        <v>0</v>
      </c>
      <c r="AO93" s="5">
        <f>data_origin!Z2342</f>
        <v>0</v>
      </c>
      <c r="AP93" s="5">
        <f>data_origin!AA2342</f>
        <v>0</v>
      </c>
      <c r="AQ93" s="9">
        <f t="shared" si="12"/>
        <v>0</v>
      </c>
      <c r="AV93" t="s">
        <v>94</v>
      </c>
      <c r="AW93" s="5">
        <f>data_origin!T3056</f>
        <v>0</v>
      </c>
      <c r="AX93" s="5">
        <f>data_origin!U3056</f>
        <v>0</v>
      </c>
      <c r="AY93" s="5">
        <f>data_origin!V3056</f>
        <v>0</v>
      </c>
      <c r="AZ93" s="5">
        <f>data_origin!W3056</f>
        <v>0</v>
      </c>
      <c r="BA93" s="5">
        <f>data_origin!X3056</f>
        <v>0</v>
      </c>
      <c r="BB93" s="5">
        <f>data_origin!Y3056</f>
        <v>0</v>
      </c>
      <c r="BC93" s="5">
        <f>data_origin!Z3056</f>
        <v>0</v>
      </c>
      <c r="BD93" s="5">
        <f>data_origin!AA3056</f>
        <v>0</v>
      </c>
      <c r="BE93" s="9">
        <f t="shared" si="13"/>
        <v>0</v>
      </c>
    </row>
    <row r="94" spans="4:57" x14ac:dyDescent="0.25">
      <c r="D94" t="s">
        <v>95</v>
      </c>
      <c r="E94" s="35">
        <f t="shared" si="18"/>
        <v>0</v>
      </c>
      <c r="F94" s="35">
        <f t="shared" si="18"/>
        <v>0</v>
      </c>
      <c r="G94" s="35">
        <f t="shared" si="18"/>
        <v>0</v>
      </c>
      <c r="H94" s="35">
        <f t="shared" si="17"/>
        <v>0</v>
      </c>
      <c r="I94" s="35">
        <f t="shared" si="17"/>
        <v>0</v>
      </c>
      <c r="J94" s="35">
        <f t="shared" si="17"/>
        <v>0</v>
      </c>
      <c r="K94" s="35">
        <f t="shared" si="17"/>
        <v>0</v>
      </c>
      <c r="L94" s="35">
        <f t="shared" si="10"/>
        <v>0</v>
      </c>
      <c r="M94" s="35">
        <f t="shared" si="16"/>
        <v>0</v>
      </c>
      <c r="S94" t="s">
        <v>95</v>
      </c>
      <c r="T94" s="5">
        <f>data_origin!T130</f>
        <v>0</v>
      </c>
      <c r="U94" s="5">
        <f>data_origin!U130</f>
        <v>0</v>
      </c>
      <c r="V94" s="5">
        <f>data_origin!V130</f>
        <v>0</v>
      </c>
      <c r="W94" s="5">
        <f>data_origin!W130</f>
        <v>0</v>
      </c>
      <c r="X94" s="9">
        <f>data_origin!X130</f>
        <v>0</v>
      </c>
      <c r="Y94" s="5">
        <f>data_origin!Y130</f>
        <v>0</v>
      </c>
      <c r="Z94" s="5">
        <f>data_origin!Z130</f>
        <v>0</v>
      </c>
      <c r="AA94" s="5">
        <f>data_origin!AA130</f>
        <v>0</v>
      </c>
      <c r="AB94" s="5">
        <f t="shared" si="9"/>
        <v>0</v>
      </c>
      <c r="AH94" t="s">
        <v>95</v>
      </c>
      <c r="AI94" s="5">
        <f>data_origin!T2343</f>
        <v>0</v>
      </c>
      <c r="AJ94" s="5">
        <f>data_origin!U2343</f>
        <v>0</v>
      </c>
      <c r="AK94" s="5">
        <f>data_origin!V2343</f>
        <v>0</v>
      </c>
      <c r="AL94" s="5">
        <f>data_origin!W2343</f>
        <v>0</v>
      </c>
      <c r="AM94" s="5">
        <f>data_origin!X2343</f>
        <v>0</v>
      </c>
      <c r="AN94" s="5">
        <f>data_origin!Y2343</f>
        <v>0</v>
      </c>
      <c r="AO94" s="5">
        <f>data_origin!Z2343</f>
        <v>0</v>
      </c>
      <c r="AP94" s="5">
        <f>data_origin!AA2343</f>
        <v>0</v>
      </c>
      <c r="AQ94" s="9">
        <f t="shared" si="12"/>
        <v>0</v>
      </c>
      <c r="AV94" t="s">
        <v>95</v>
      </c>
      <c r="AW94" s="5">
        <f>data_origin!T3057</f>
        <v>0</v>
      </c>
      <c r="AX94" s="5">
        <f>data_origin!U3057</f>
        <v>0</v>
      </c>
      <c r="AY94" s="5">
        <f>data_origin!V3057</f>
        <v>0</v>
      </c>
      <c r="AZ94" s="5">
        <f>data_origin!W3057</f>
        <v>0</v>
      </c>
      <c r="BA94" s="5">
        <f>data_origin!X3057</f>
        <v>0</v>
      </c>
      <c r="BB94" s="5">
        <f>data_origin!Y3057</f>
        <v>0</v>
      </c>
      <c r="BC94" s="5">
        <f>data_origin!Z3057</f>
        <v>0</v>
      </c>
      <c r="BD94" s="5">
        <f>data_origin!AA3057</f>
        <v>0</v>
      </c>
      <c r="BE94" s="9">
        <f t="shared" si="13"/>
        <v>0</v>
      </c>
    </row>
    <row r="95" spans="4:57" x14ac:dyDescent="0.25">
      <c r="D95" t="s">
        <v>96</v>
      </c>
      <c r="E95" s="35">
        <f t="shared" si="18"/>
        <v>0</v>
      </c>
      <c r="F95" s="35">
        <f t="shared" si="18"/>
        <v>0</v>
      </c>
      <c r="G95" s="35">
        <f t="shared" si="18"/>
        <v>0</v>
      </c>
      <c r="H95" s="35">
        <f t="shared" si="17"/>
        <v>0</v>
      </c>
      <c r="I95" s="35">
        <f t="shared" si="17"/>
        <v>0</v>
      </c>
      <c r="J95" s="35">
        <f t="shared" si="17"/>
        <v>0</v>
      </c>
      <c r="K95" s="35">
        <f t="shared" si="17"/>
        <v>0</v>
      </c>
      <c r="L95" s="35">
        <f t="shared" si="10"/>
        <v>0</v>
      </c>
      <c r="M95" s="35">
        <f t="shared" si="16"/>
        <v>0</v>
      </c>
      <c r="S95" t="s">
        <v>96</v>
      </c>
      <c r="T95" s="5">
        <f>data_origin!T131</f>
        <v>0</v>
      </c>
      <c r="U95" s="5">
        <f>data_origin!U131</f>
        <v>0</v>
      </c>
      <c r="V95" s="5">
        <f>data_origin!V131</f>
        <v>0</v>
      </c>
      <c r="W95" s="5">
        <f>data_origin!W131</f>
        <v>0</v>
      </c>
      <c r="X95" s="9">
        <f>data_origin!X131</f>
        <v>0</v>
      </c>
      <c r="Y95" s="5">
        <f>data_origin!Y131</f>
        <v>0</v>
      </c>
      <c r="Z95" s="5">
        <f>data_origin!Z131</f>
        <v>0</v>
      </c>
      <c r="AA95" s="5">
        <f>data_origin!AA131</f>
        <v>0</v>
      </c>
      <c r="AB95" s="5">
        <f t="shared" si="9"/>
        <v>0</v>
      </c>
      <c r="AH95" t="s">
        <v>96</v>
      </c>
      <c r="AI95" s="5">
        <f>data_origin!T2344</f>
        <v>0</v>
      </c>
      <c r="AJ95" s="5">
        <f>data_origin!U2344</f>
        <v>0</v>
      </c>
      <c r="AK95" s="5">
        <f>data_origin!V2344</f>
        <v>0</v>
      </c>
      <c r="AL95" s="5">
        <f>data_origin!W2344</f>
        <v>0</v>
      </c>
      <c r="AM95" s="5">
        <f>data_origin!X2344</f>
        <v>0</v>
      </c>
      <c r="AN95" s="5">
        <f>data_origin!Y2344</f>
        <v>0</v>
      </c>
      <c r="AO95" s="5">
        <f>data_origin!Z2344</f>
        <v>0</v>
      </c>
      <c r="AP95" s="5">
        <f>data_origin!AA2344</f>
        <v>0</v>
      </c>
      <c r="AQ95" s="9">
        <f t="shared" si="12"/>
        <v>0</v>
      </c>
      <c r="AV95" t="s">
        <v>96</v>
      </c>
      <c r="AW95" s="5">
        <f>data_origin!T3058</f>
        <v>0</v>
      </c>
      <c r="AX95" s="5">
        <f>data_origin!U3058</f>
        <v>0</v>
      </c>
      <c r="AY95" s="5">
        <f>data_origin!V3058</f>
        <v>0</v>
      </c>
      <c r="AZ95" s="5">
        <f>data_origin!W3058</f>
        <v>0</v>
      </c>
      <c r="BA95" s="5">
        <f>data_origin!X3058</f>
        <v>0</v>
      </c>
      <c r="BB95" s="5">
        <f>data_origin!Y3058</f>
        <v>0</v>
      </c>
      <c r="BC95" s="5">
        <f>data_origin!Z3058</f>
        <v>0</v>
      </c>
      <c r="BD95" s="5">
        <f>data_origin!AA3058</f>
        <v>0</v>
      </c>
      <c r="BE95" s="9">
        <f t="shared" si="13"/>
        <v>0</v>
      </c>
    </row>
    <row r="96" spans="4:57" x14ac:dyDescent="0.25">
      <c r="D96" t="s">
        <v>97</v>
      </c>
      <c r="E96" s="35">
        <f t="shared" si="18"/>
        <v>0</v>
      </c>
      <c r="F96" s="35">
        <f t="shared" si="18"/>
        <v>0</v>
      </c>
      <c r="G96" s="35">
        <f t="shared" si="18"/>
        <v>0</v>
      </c>
      <c r="H96" s="35">
        <f t="shared" si="17"/>
        <v>0</v>
      </c>
      <c r="I96" s="35">
        <f t="shared" si="17"/>
        <v>0</v>
      </c>
      <c r="J96" s="35">
        <f t="shared" si="17"/>
        <v>0</v>
      </c>
      <c r="K96" s="35">
        <f t="shared" si="17"/>
        <v>0</v>
      </c>
      <c r="L96" s="35">
        <f t="shared" si="10"/>
        <v>0</v>
      </c>
      <c r="M96" s="35">
        <f t="shared" si="16"/>
        <v>0</v>
      </c>
      <c r="S96" t="s">
        <v>97</v>
      </c>
      <c r="T96" s="5">
        <f>data_origin!T132</f>
        <v>0</v>
      </c>
      <c r="U96" s="5">
        <f>data_origin!U132</f>
        <v>0</v>
      </c>
      <c r="V96" s="5">
        <f>data_origin!V132</f>
        <v>0</v>
      </c>
      <c r="W96" s="5">
        <f>data_origin!W132</f>
        <v>0</v>
      </c>
      <c r="X96" s="9">
        <f>data_origin!X132</f>
        <v>0</v>
      </c>
      <c r="Y96" s="5">
        <f>data_origin!Y132</f>
        <v>0</v>
      </c>
      <c r="Z96" s="5">
        <f>data_origin!Z132</f>
        <v>0</v>
      </c>
      <c r="AA96" s="5">
        <f>data_origin!AA132</f>
        <v>0</v>
      </c>
      <c r="AB96" s="5">
        <f t="shared" ref="AB96:AB159" si="19">SUM(T96:AA96)</f>
        <v>0</v>
      </c>
      <c r="AH96" t="s">
        <v>97</v>
      </c>
      <c r="AI96" s="5">
        <f>data_origin!T2345</f>
        <v>0</v>
      </c>
      <c r="AJ96" s="5">
        <f>data_origin!U2345</f>
        <v>0</v>
      </c>
      <c r="AK96" s="5">
        <f>data_origin!V2345</f>
        <v>0</v>
      </c>
      <c r="AL96" s="5">
        <f>data_origin!W2345</f>
        <v>0</v>
      </c>
      <c r="AM96" s="5">
        <f>data_origin!X2345</f>
        <v>0</v>
      </c>
      <c r="AN96" s="5">
        <f>data_origin!Y2345</f>
        <v>0</v>
      </c>
      <c r="AO96" s="5">
        <f>data_origin!Z2345</f>
        <v>0</v>
      </c>
      <c r="AP96" s="5">
        <f>data_origin!AA2345</f>
        <v>0</v>
      </c>
      <c r="AQ96" s="9">
        <f t="shared" si="12"/>
        <v>0</v>
      </c>
      <c r="AV96" t="s">
        <v>97</v>
      </c>
      <c r="AW96" s="5">
        <f>data_origin!T3059</f>
        <v>0</v>
      </c>
      <c r="AX96" s="5">
        <f>data_origin!U3059</f>
        <v>0</v>
      </c>
      <c r="AY96" s="5">
        <f>data_origin!V3059</f>
        <v>0</v>
      </c>
      <c r="AZ96" s="5">
        <f>data_origin!W3059</f>
        <v>0</v>
      </c>
      <c r="BA96" s="5">
        <f>data_origin!X3059</f>
        <v>0</v>
      </c>
      <c r="BB96" s="5">
        <f>data_origin!Y3059</f>
        <v>0</v>
      </c>
      <c r="BC96" s="5">
        <f>data_origin!Z3059</f>
        <v>0</v>
      </c>
      <c r="BD96" s="5">
        <f>data_origin!AA3059</f>
        <v>0</v>
      </c>
      <c r="BE96" s="9">
        <f t="shared" si="13"/>
        <v>0</v>
      </c>
    </row>
    <row r="97" spans="1:58" x14ac:dyDescent="0.25">
      <c r="D97" t="s">
        <v>98</v>
      </c>
      <c r="E97" s="35">
        <f t="shared" si="18"/>
        <v>0</v>
      </c>
      <c r="F97" s="35">
        <f t="shared" si="18"/>
        <v>0</v>
      </c>
      <c r="G97" s="35">
        <f t="shared" si="18"/>
        <v>0</v>
      </c>
      <c r="H97" s="35">
        <f t="shared" si="17"/>
        <v>0</v>
      </c>
      <c r="I97" s="35">
        <f t="shared" si="17"/>
        <v>0</v>
      </c>
      <c r="J97" s="35">
        <f t="shared" si="17"/>
        <v>0</v>
      </c>
      <c r="K97" s="35">
        <f t="shared" si="17"/>
        <v>0</v>
      </c>
      <c r="L97" s="35">
        <f t="shared" si="10"/>
        <v>0</v>
      </c>
      <c r="M97" s="35">
        <f t="shared" si="16"/>
        <v>0</v>
      </c>
      <c r="S97" t="s">
        <v>98</v>
      </c>
      <c r="T97" s="5">
        <f>data_origin!T133</f>
        <v>0</v>
      </c>
      <c r="U97" s="5">
        <f>data_origin!U133</f>
        <v>0</v>
      </c>
      <c r="V97" s="5">
        <f>data_origin!V133</f>
        <v>0</v>
      </c>
      <c r="W97" s="5">
        <f>data_origin!W133</f>
        <v>0</v>
      </c>
      <c r="X97" s="9">
        <f>data_origin!X133</f>
        <v>0</v>
      </c>
      <c r="Y97" s="5">
        <f>data_origin!Y133</f>
        <v>0</v>
      </c>
      <c r="Z97" s="5">
        <f>data_origin!Z133</f>
        <v>0</v>
      </c>
      <c r="AA97" s="5">
        <f>data_origin!AA133</f>
        <v>0</v>
      </c>
      <c r="AB97" s="5">
        <f t="shared" si="19"/>
        <v>0</v>
      </c>
      <c r="AH97" t="s">
        <v>98</v>
      </c>
      <c r="AI97" s="5">
        <f>data_origin!T2346</f>
        <v>0</v>
      </c>
      <c r="AJ97" s="5">
        <f>data_origin!U2346</f>
        <v>0</v>
      </c>
      <c r="AK97" s="5">
        <f>data_origin!V2346</f>
        <v>0</v>
      </c>
      <c r="AL97" s="5">
        <f>data_origin!W2346</f>
        <v>0</v>
      </c>
      <c r="AM97" s="5">
        <f>data_origin!X2346</f>
        <v>0</v>
      </c>
      <c r="AN97" s="5">
        <f>data_origin!Y2346</f>
        <v>0</v>
      </c>
      <c r="AO97" s="5">
        <f>data_origin!Z2346</f>
        <v>0</v>
      </c>
      <c r="AP97" s="5">
        <f>data_origin!AA2346</f>
        <v>0</v>
      </c>
      <c r="AQ97" s="9">
        <f t="shared" si="12"/>
        <v>0</v>
      </c>
      <c r="AV97" t="s">
        <v>98</v>
      </c>
      <c r="AW97" s="5">
        <f>data_origin!T3060</f>
        <v>0</v>
      </c>
      <c r="AX97" s="5">
        <f>data_origin!U3060</f>
        <v>0</v>
      </c>
      <c r="AY97" s="5">
        <f>data_origin!V3060</f>
        <v>0</v>
      </c>
      <c r="AZ97" s="5">
        <f>data_origin!W3060</f>
        <v>0</v>
      </c>
      <c r="BA97" s="5">
        <f>data_origin!X3060</f>
        <v>0</v>
      </c>
      <c r="BB97" s="5">
        <f>data_origin!Y3060</f>
        <v>0</v>
      </c>
      <c r="BC97" s="5">
        <f>data_origin!Z3060</f>
        <v>0</v>
      </c>
      <c r="BD97" s="5">
        <f>data_origin!AA3060</f>
        <v>0</v>
      </c>
      <c r="BE97" s="9">
        <f t="shared" si="13"/>
        <v>0</v>
      </c>
    </row>
    <row r="98" spans="1:58" x14ac:dyDescent="0.25">
      <c r="D98" t="s">
        <v>119</v>
      </c>
      <c r="E98" s="35">
        <f t="shared" si="18"/>
        <v>0</v>
      </c>
      <c r="F98" s="35">
        <f t="shared" si="18"/>
        <v>0</v>
      </c>
      <c r="G98" s="35">
        <f t="shared" si="18"/>
        <v>0</v>
      </c>
      <c r="H98" s="35">
        <f t="shared" si="17"/>
        <v>0</v>
      </c>
      <c r="I98" s="35">
        <f t="shared" si="17"/>
        <v>0</v>
      </c>
      <c r="J98" s="35">
        <f t="shared" si="17"/>
        <v>0</v>
      </c>
      <c r="K98" s="35">
        <f t="shared" si="17"/>
        <v>0</v>
      </c>
      <c r="L98" s="35">
        <f t="shared" si="10"/>
        <v>0</v>
      </c>
      <c r="M98" s="35">
        <f t="shared" si="16"/>
        <v>0</v>
      </c>
      <c r="S98" t="s">
        <v>119</v>
      </c>
      <c r="T98" s="5">
        <f>data_origin!T134</f>
        <v>0</v>
      </c>
      <c r="U98" s="5">
        <f>data_origin!U134</f>
        <v>0</v>
      </c>
      <c r="V98" s="5">
        <f>data_origin!V134</f>
        <v>0</v>
      </c>
      <c r="W98" s="5">
        <f>data_origin!W134</f>
        <v>0</v>
      </c>
      <c r="X98" s="9">
        <f>data_origin!X134</f>
        <v>0</v>
      </c>
      <c r="Y98" s="5">
        <f>data_origin!Y134</f>
        <v>0</v>
      </c>
      <c r="Z98" s="5">
        <f>data_origin!Z134</f>
        <v>0</v>
      </c>
      <c r="AA98" s="5">
        <f>data_origin!AA134</f>
        <v>0</v>
      </c>
      <c r="AB98" s="5">
        <f t="shared" si="19"/>
        <v>0</v>
      </c>
      <c r="AH98" t="s">
        <v>119</v>
      </c>
      <c r="AI98" s="5">
        <f>data_origin!T2347</f>
        <v>0</v>
      </c>
      <c r="AJ98" s="5">
        <f>data_origin!U2347</f>
        <v>0</v>
      </c>
      <c r="AK98" s="5">
        <f>data_origin!V2347</f>
        <v>0</v>
      </c>
      <c r="AL98" s="5">
        <f>data_origin!W2347</f>
        <v>0</v>
      </c>
      <c r="AM98" s="5">
        <f>data_origin!X2347</f>
        <v>0</v>
      </c>
      <c r="AN98" s="5">
        <f>data_origin!Y2347</f>
        <v>0</v>
      </c>
      <c r="AO98" s="5">
        <f>data_origin!Z2347</f>
        <v>0</v>
      </c>
      <c r="AP98" s="5">
        <f>data_origin!AA2347</f>
        <v>0</v>
      </c>
      <c r="AQ98" s="9">
        <f t="shared" si="12"/>
        <v>0</v>
      </c>
      <c r="AV98" t="s">
        <v>119</v>
      </c>
      <c r="AW98" s="5">
        <f>data_origin!T3061</f>
        <v>0</v>
      </c>
      <c r="AX98" s="5">
        <f>data_origin!U3061</f>
        <v>0</v>
      </c>
      <c r="AY98" s="5">
        <f>data_origin!V3061</f>
        <v>0</v>
      </c>
      <c r="AZ98" s="5">
        <f>data_origin!W3061</f>
        <v>0</v>
      </c>
      <c r="BA98" s="5">
        <f>data_origin!X3061</f>
        <v>0</v>
      </c>
      <c r="BB98" s="5">
        <f>data_origin!Y3061</f>
        <v>0</v>
      </c>
      <c r="BC98" s="5">
        <f>data_origin!Z3061</f>
        <v>0</v>
      </c>
      <c r="BD98" s="5">
        <f>data_origin!AA3061</f>
        <v>0</v>
      </c>
      <c r="BE98" s="9">
        <f t="shared" si="13"/>
        <v>0</v>
      </c>
    </row>
    <row r="99" spans="1:58" x14ac:dyDescent="0.25">
      <c r="D99" t="s">
        <v>99</v>
      </c>
      <c r="E99" s="35">
        <f t="shared" si="18"/>
        <v>0</v>
      </c>
      <c r="F99" s="35">
        <f t="shared" si="18"/>
        <v>0</v>
      </c>
      <c r="G99" s="35">
        <f t="shared" si="18"/>
        <v>0</v>
      </c>
      <c r="H99" s="35">
        <f t="shared" si="17"/>
        <v>0</v>
      </c>
      <c r="I99" s="35">
        <f t="shared" si="17"/>
        <v>0</v>
      </c>
      <c r="J99" s="35">
        <f t="shared" si="17"/>
        <v>0</v>
      </c>
      <c r="K99" s="35">
        <f t="shared" si="17"/>
        <v>0</v>
      </c>
      <c r="L99" s="35">
        <f t="shared" si="17"/>
        <v>0</v>
      </c>
      <c r="M99" s="35">
        <f t="shared" si="16"/>
        <v>0</v>
      </c>
      <c r="S99" t="s">
        <v>99</v>
      </c>
      <c r="T99" s="5">
        <f>data_origin!T135</f>
        <v>0</v>
      </c>
      <c r="U99" s="5">
        <f>data_origin!U135</f>
        <v>0</v>
      </c>
      <c r="V99" s="5">
        <f>data_origin!V135</f>
        <v>0</v>
      </c>
      <c r="W99" s="5">
        <f>data_origin!W135</f>
        <v>0</v>
      </c>
      <c r="X99" s="9">
        <f>data_origin!X135</f>
        <v>0</v>
      </c>
      <c r="Y99" s="5">
        <f>data_origin!Y135</f>
        <v>0</v>
      </c>
      <c r="Z99" s="5">
        <f>data_origin!Z135</f>
        <v>0</v>
      </c>
      <c r="AA99" s="5">
        <f>data_origin!AA135</f>
        <v>0</v>
      </c>
      <c r="AB99" s="5">
        <f t="shared" si="19"/>
        <v>0</v>
      </c>
      <c r="AH99" t="s">
        <v>99</v>
      </c>
      <c r="AI99" s="5">
        <f>data_origin!T2348</f>
        <v>0</v>
      </c>
      <c r="AJ99" s="5">
        <f>data_origin!U2348</f>
        <v>0</v>
      </c>
      <c r="AK99" s="5">
        <f>data_origin!V2348</f>
        <v>0</v>
      </c>
      <c r="AL99" s="5">
        <f>data_origin!W2348</f>
        <v>0</v>
      </c>
      <c r="AM99" s="5">
        <f>data_origin!X2348</f>
        <v>0</v>
      </c>
      <c r="AN99" s="5">
        <f>data_origin!Y2348</f>
        <v>0</v>
      </c>
      <c r="AO99" s="5">
        <f>data_origin!Z2348</f>
        <v>0</v>
      </c>
      <c r="AP99" s="5">
        <f>data_origin!AA2348</f>
        <v>0</v>
      </c>
      <c r="AQ99" s="9">
        <f t="shared" si="12"/>
        <v>0</v>
      </c>
      <c r="AV99" t="s">
        <v>99</v>
      </c>
      <c r="AW99" s="5">
        <f>data_origin!T3062</f>
        <v>0</v>
      </c>
      <c r="AX99" s="5">
        <f>data_origin!U3062</f>
        <v>0</v>
      </c>
      <c r="AY99" s="5">
        <f>data_origin!V3062</f>
        <v>0</v>
      </c>
      <c r="AZ99" s="5">
        <f>data_origin!W3062</f>
        <v>0</v>
      </c>
      <c r="BA99" s="5">
        <f>data_origin!X3062</f>
        <v>0</v>
      </c>
      <c r="BB99" s="5">
        <f>data_origin!Y3062</f>
        <v>0</v>
      </c>
      <c r="BC99" s="5">
        <f>data_origin!Z3062</f>
        <v>0</v>
      </c>
      <c r="BD99" s="5">
        <f>data_origin!AA3062</f>
        <v>0</v>
      </c>
      <c r="BE99" s="9">
        <f t="shared" si="13"/>
        <v>0</v>
      </c>
    </row>
    <row r="100" spans="1:58" x14ac:dyDescent="0.25">
      <c r="D100" t="s">
        <v>100</v>
      </c>
      <c r="E100" s="35">
        <f t="shared" si="18"/>
        <v>0</v>
      </c>
      <c r="F100" s="35">
        <f t="shared" si="18"/>
        <v>0</v>
      </c>
      <c r="G100" s="35">
        <f t="shared" si="18"/>
        <v>0</v>
      </c>
      <c r="H100" s="35">
        <f t="shared" si="17"/>
        <v>0</v>
      </c>
      <c r="I100" s="35">
        <f t="shared" si="17"/>
        <v>0</v>
      </c>
      <c r="J100" s="35">
        <f t="shared" si="17"/>
        <v>0</v>
      </c>
      <c r="K100" s="35">
        <f t="shared" si="17"/>
        <v>0</v>
      </c>
      <c r="L100" s="35">
        <f t="shared" si="17"/>
        <v>0</v>
      </c>
      <c r="M100" s="35">
        <f t="shared" si="16"/>
        <v>0</v>
      </c>
      <c r="S100" t="s">
        <v>100</v>
      </c>
      <c r="T100" s="5">
        <f>data_origin!T136</f>
        <v>0</v>
      </c>
      <c r="U100" s="5">
        <f>data_origin!U136</f>
        <v>0</v>
      </c>
      <c r="V100" s="5">
        <f>data_origin!V136</f>
        <v>0</v>
      </c>
      <c r="W100" s="5">
        <f>data_origin!W136</f>
        <v>0</v>
      </c>
      <c r="X100" s="9">
        <f>data_origin!X136</f>
        <v>0</v>
      </c>
      <c r="Y100" s="5">
        <f>data_origin!Y136</f>
        <v>0</v>
      </c>
      <c r="Z100" s="5">
        <f>data_origin!Z136</f>
        <v>0</v>
      </c>
      <c r="AA100" s="5">
        <f>data_origin!AA136</f>
        <v>0</v>
      </c>
      <c r="AB100" s="5">
        <f t="shared" si="19"/>
        <v>0</v>
      </c>
      <c r="AH100" t="s">
        <v>100</v>
      </c>
      <c r="AI100" s="5">
        <f>data_origin!T2349</f>
        <v>0</v>
      </c>
      <c r="AJ100" s="5">
        <f>data_origin!U2349</f>
        <v>0</v>
      </c>
      <c r="AK100" s="5">
        <f>data_origin!V2349</f>
        <v>0</v>
      </c>
      <c r="AL100" s="5">
        <f>data_origin!W2349</f>
        <v>0</v>
      </c>
      <c r="AM100" s="5">
        <f>data_origin!X2349</f>
        <v>0</v>
      </c>
      <c r="AN100" s="5">
        <f>data_origin!Y2349</f>
        <v>0</v>
      </c>
      <c r="AO100" s="5">
        <f>data_origin!Z2349</f>
        <v>0</v>
      </c>
      <c r="AP100" s="5">
        <f>data_origin!AA2349</f>
        <v>0</v>
      </c>
      <c r="AQ100" s="9">
        <f t="shared" ref="AQ100:AQ163" si="20">SUM(AI100:AP100)</f>
        <v>0</v>
      </c>
      <c r="AV100" t="s">
        <v>100</v>
      </c>
      <c r="AW100" s="5">
        <f>data_origin!T3063</f>
        <v>0</v>
      </c>
      <c r="AX100" s="5">
        <f>data_origin!U3063</f>
        <v>0</v>
      </c>
      <c r="AY100" s="5">
        <f>data_origin!V3063</f>
        <v>0</v>
      </c>
      <c r="AZ100" s="5">
        <f>data_origin!W3063</f>
        <v>0</v>
      </c>
      <c r="BA100" s="5">
        <f>data_origin!X3063</f>
        <v>0</v>
      </c>
      <c r="BB100" s="5">
        <f>data_origin!Y3063</f>
        <v>0</v>
      </c>
      <c r="BC100" s="5">
        <f>data_origin!Z3063</f>
        <v>0</v>
      </c>
      <c r="BD100" s="5">
        <f>data_origin!AA3063</f>
        <v>0</v>
      </c>
      <c r="BE100" s="9">
        <f t="shared" ref="BE100:BE163" si="21">SUM(AW100:BD100)</f>
        <v>0</v>
      </c>
    </row>
    <row r="101" spans="1:58" x14ac:dyDescent="0.25">
      <c r="D101" t="s">
        <v>101</v>
      </c>
      <c r="E101" s="35">
        <f t="shared" si="18"/>
        <v>0</v>
      </c>
      <c r="F101" s="35">
        <f t="shared" si="18"/>
        <v>0</v>
      </c>
      <c r="G101" s="35">
        <f t="shared" si="18"/>
        <v>0</v>
      </c>
      <c r="H101" s="35">
        <f t="shared" si="17"/>
        <v>0</v>
      </c>
      <c r="I101" s="35">
        <f t="shared" si="17"/>
        <v>0</v>
      </c>
      <c r="J101" s="35">
        <f t="shared" si="17"/>
        <v>0</v>
      </c>
      <c r="K101" s="35">
        <f t="shared" si="17"/>
        <v>0</v>
      </c>
      <c r="L101" s="35">
        <f t="shared" si="17"/>
        <v>0</v>
      </c>
      <c r="M101" s="35">
        <f t="shared" si="16"/>
        <v>0</v>
      </c>
      <c r="N101" s="5">
        <f>SUM(M69:M101)</f>
        <v>0</v>
      </c>
      <c r="S101" t="s">
        <v>101</v>
      </c>
      <c r="T101" s="5">
        <f>data_origin!T137</f>
        <v>0</v>
      </c>
      <c r="U101" s="5">
        <f>data_origin!U137</f>
        <v>0</v>
      </c>
      <c r="V101" s="5">
        <f>data_origin!V137</f>
        <v>0</v>
      </c>
      <c r="W101" s="5">
        <f>data_origin!W137</f>
        <v>0</v>
      </c>
      <c r="X101" s="9">
        <f>data_origin!X137</f>
        <v>0</v>
      </c>
      <c r="Y101" s="5">
        <f>data_origin!Y137</f>
        <v>0</v>
      </c>
      <c r="Z101" s="5">
        <f>data_origin!Z137</f>
        <v>0</v>
      </c>
      <c r="AA101" s="5">
        <f>data_origin!AA137</f>
        <v>0</v>
      </c>
      <c r="AB101" s="5">
        <f t="shared" si="19"/>
        <v>0</v>
      </c>
      <c r="AC101" s="5">
        <f>SUM(AB69:AB101)</f>
        <v>0</v>
      </c>
      <c r="AH101" t="s">
        <v>101</v>
      </c>
      <c r="AI101" s="5">
        <f>data_origin!T2350</f>
        <v>0</v>
      </c>
      <c r="AJ101" s="5">
        <f>data_origin!U2350</f>
        <v>0</v>
      </c>
      <c r="AK101" s="5">
        <f>data_origin!V2350</f>
        <v>0</v>
      </c>
      <c r="AL101" s="5">
        <f>data_origin!W2350</f>
        <v>1.6666666666666665</v>
      </c>
      <c r="AM101" s="5">
        <f>data_origin!X2350</f>
        <v>0</v>
      </c>
      <c r="AN101" s="5">
        <f>data_origin!Y2350</f>
        <v>0</v>
      </c>
      <c r="AO101" s="5">
        <f>data_origin!Z2350</f>
        <v>0</v>
      </c>
      <c r="AP101" s="5">
        <f>data_origin!AA2350</f>
        <v>0</v>
      </c>
      <c r="AQ101" s="9">
        <f t="shared" si="20"/>
        <v>1.6666666666666665</v>
      </c>
      <c r="AR101" s="5">
        <f>SUM(AQ69:AQ101)</f>
        <v>7</v>
      </c>
      <c r="AV101" t="s">
        <v>101</v>
      </c>
      <c r="AW101" s="5">
        <f>data_origin!T3064</f>
        <v>0</v>
      </c>
      <c r="AX101" s="5">
        <f>data_origin!U3064</f>
        <v>0</v>
      </c>
      <c r="AY101" s="5">
        <f>data_origin!V3064</f>
        <v>0</v>
      </c>
      <c r="AZ101" s="5">
        <f>data_origin!W3064</f>
        <v>0</v>
      </c>
      <c r="BA101" s="5">
        <f>data_origin!X3064</f>
        <v>0</v>
      </c>
      <c r="BB101" s="5">
        <f>data_origin!Y3064</f>
        <v>0</v>
      </c>
      <c r="BC101" s="5">
        <f>data_origin!Z3064</f>
        <v>0</v>
      </c>
      <c r="BD101" s="5">
        <f>data_origin!AA3064</f>
        <v>0</v>
      </c>
      <c r="BE101" s="9">
        <f t="shared" si="21"/>
        <v>0</v>
      </c>
      <c r="BF101" s="9">
        <f>SUM(BE69:BE101)</f>
        <v>0</v>
      </c>
    </row>
    <row r="102" spans="1:58" x14ac:dyDescent="0.25">
      <c r="A102" s="23" t="s">
        <v>104</v>
      </c>
      <c r="B102" s="23" t="s">
        <v>103</v>
      </c>
      <c r="C102" s="23" t="s">
        <v>108</v>
      </c>
      <c r="D102" t="s">
        <v>70</v>
      </c>
      <c r="E102" s="35">
        <f t="shared" si="18"/>
        <v>0</v>
      </c>
      <c r="F102" s="35">
        <f t="shared" si="18"/>
        <v>0</v>
      </c>
      <c r="G102" s="35">
        <f t="shared" si="18"/>
        <v>0</v>
      </c>
      <c r="H102" s="35">
        <f t="shared" si="17"/>
        <v>0</v>
      </c>
      <c r="I102" s="35">
        <f t="shared" si="17"/>
        <v>0</v>
      </c>
      <c r="J102" s="35">
        <f t="shared" si="17"/>
        <v>0</v>
      </c>
      <c r="K102" s="35">
        <f t="shared" si="17"/>
        <v>0</v>
      </c>
      <c r="L102" s="35">
        <f t="shared" si="17"/>
        <v>0</v>
      </c>
      <c r="M102" s="35">
        <f t="shared" si="16"/>
        <v>0</v>
      </c>
      <c r="P102" t="s">
        <v>104</v>
      </c>
      <c r="Q102" t="s">
        <v>103</v>
      </c>
      <c r="R102" t="s">
        <v>108</v>
      </c>
      <c r="S102" t="s">
        <v>70</v>
      </c>
      <c r="T102" s="5">
        <f>data_origin!T139</f>
        <v>0</v>
      </c>
      <c r="U102" s="5">
        <f>data_origin!U139</f>
        <v>0</v>
      </c>
      <c r="V102" s="5">
        <f>data_origin!V139</f>
        <v>0</v>
      </c>
      <c r="W102" s="5">
        <f>data_origin!W139</f>
        <v>0</v>
      </c>
      <c r="X102" s="5">
        <f>data_origin!X139</f>
        <v>0</v>
      </c>
      <c r="Y102" s="5">
        <f>data_origin!Y139</f>
        <v>0</v>
      </c>
      <c r="Z102" s="5">
        <f>data_origin!Z139</f>
        <v>0</v>
      </c>
      <c r="AA102" s="5">
        <f>data_origin!AA139</f>
        <v>0</v>
      </c>
      <c r="AB102" s="5">
        <f t="shared" si="19"/>
        <v>0</v>
      </c>
      <c r="AE102" t="s">
        <v>104</v>
      </c>
      <c r="AF102" t="s">
        <v>103</v>
      </c>
      <c r="AG102" s="28" t="s">
        <v>134</v>
      </c>
      <c r="AH102" t="s">
        <v>70</v>
      </c>
      <c r="AI102" s="5">
        <f>data_origin!T2352</f>
        <v>0</v>
      </c>
      <c r="AJ102" s="5">
        <f>data_origin!U2352</f>
        <v>0</v>
      </c>
      <c r="AK102" s="5">
        <f>data_origin!V2352</f>
        <v>0</v>
      </c>
      <c r="AL102" s="5">
        <f>data_origin!W2352</f>
        <v>0</v>
      </c>
      <c r="AM102" s="5">
        <f>data_origin!X2352</f>
        <v>0</v>
      </c>
      <c r="AN102" s="5">
        <f>data_origin!Y2352</f>
        <v>0</v>
      </c>
      <c r="AO102" s="5">
        <f>data_origin!Z2352</f>
        <v>0</v>
      </c>
      <c r="AP102" s="5">
        <f>data_origin!AA2352</f>
        <v>0</v>
      </c>
      <c r="AQ102" s="9">
        <f t="shared" si="20"/>
        <v>0</v>
      </c>
      <c r="AS102" t="s">
        <v>115</v>
      </c>
      <c r="AT102" t="s">
        <v>103</v>
      </c>
      <c r="AU102" s="28" t="s">
        <v>134</v>
      </c>
      <c r="AV102" t="s">
        <v>70</v>
      </c>
      <c r="AW102" s="5">
        <f>data_origin!T3066</f>
        <v>0</v>
      </c>
      <c r="AX102" s="5">
        <f>data_origin!U3066</f>
        <v>0</v>
      </c>
      <c r="AY102" s="5">
        <f>data_origin!V3066</f>
        <v>0</v>
      </c>
      <c r="AZ102" s="5">
        <f>data_origin!W3066</f>
        <v>0</v>
      </c>
      <c r="BA102" s="5">
        <f>data_origin!X3066</f>
        <v>0</v>
      </c>
      <c r="BB102" s="5">
        <f>data_origin!Y3066</f>
        <v>0</v>
      </c>
      <c r="BC102" s="5">
        <f>data_origin!Z3066</f>
        <v>0</v>
      </c>
      <c r="BD102" s="5">
        <f>data_origin!AA3066</f>
        <v>0</v>
      </c>
      <c r="BE102" s="9">
        <f t="shared" si="21"/>
        <v>0</v>
      </c>
    </row>
    <row r="103" spans="1:58" x14ac:dyDescent="0.25">
      <c r="D103" t="s">
        <v>71</v>
      </c>
      <c r="E103" s="35">
        <f t="shared" si="18"/>
        <v>0</v>
      </c>
      <c r="F103" s="35">
        <f t="shared" si="18"/>
        <v>0</v>
      </c>
      <c r="G103" s="35">
        <f t="shared" si="18"/>
        <v>0</v>
      </c>
      <c r="H103" s="35">
        <f t="shared" si="17"/>
        <v>0</v>
      </c>
      <c r="I103" s="35">
        <f t="shared" si="17"/>
        <v>0</v>
      </c>
      <c r="J103" s="35">
        <f t="shared" si="17"/>
        <v>0</v>
      </c>
      <c r="K103" s="35">
        <f t="shared" si="17"/>
        <v>0</v>
      </c>
      <c r="L103" s="35">
        <f t="shared" si="17"/>
        <v>0</v>
      </c>
      <c r="M103" s="35">
        <f t="shared" si="16"/>
        <v>0</v>
      </c>
      <c r="S103" t="s">
        <v>71</v>
      </c>
      <c r="T103" s="5">
        <f>data_origin!T140</f>
        <v>0</v>
      </c>
      <c r="U103" s="5">
        <f>data_origin!U140</f>
        <v>0</v>
      </c>
      <c r="V103" s="5">
        <f>data_origin!V140</f>
        <v>0</v>
      </c>
      <c r="W103" s="5">
        <f>data_origin!W140</f>
        <v>0</v>
      </c>
      <c r="X103" s="5">
        <f>data_origin!X140</f>
        <v>0</v>
      </c>
      <c r="Y103" s="5">
        <f>data_origin!Y140</f>
        <v>0</v>
      </c>
      <c r="Z103" s="5">
        <f>data_origin!Z140</f>
        <v>0</v>
      </c>
      <c r="AA103" s="5">
        <f>data_origin!AA140</f>
        <v>0</v>
      </c>
      <c r="AB103" s="5">
        <f t="shared" si="19"/>
        <v>0</v>
      </c>
      <c r="AH103" t="s">
        <v>71</v>
      </c>
      <c r="AI103" s="5">
        <f>data_origin!T2353</f>
        <v>0</v>
      </c>
      <c r="AJ103" s="5">
        <f>data_origin!U2353</f>
        <v>0</v>
      </c>
      <c r="AK103" s="5">
        <f>data_origin!V2353</f>
        <v>0</v>
      </c>
      <c r="AL103" s="5">
        <f>data_origin!W2353</f>
        <v>0</v>
      </c>
      <c r="AM103" s="5">
        <f>data_origin!X2353</f>
        <v>0</v>
      </c>
      <c r="AN103" s="5">
        <f>data_origin!Y2353</f>
        <v>0</v>
      </c>
      <c r="AO103" s="5">
        <f>data_origin!Z2353</f>
        <v>0</v>
      </c>
      <c r="AP103" s="5">
        <f>data_origin!AA2353</f>
        <v>0</v>
      </c>
      <c r="AQ103" s="9">
        <f t="shared" si="20"/>
        <v>0</v>
      </c>
      <c r="AV103" t="s">
        <v>71</v>
      </c>
      <c r="AW103" s="5">
        <f>data_origin!T3067</f>
        <v>0</v>
      </c>
      <c r="AX103" s="5">
        <f>data_origin!U3067</f>
        <v>0</v>
      </c>
      <c r="AY103" s="5">
        <f>data_origin!V3067</f>
        <v>0</v>
      </c>
      <c r="AZ103" s="5">
        <f>data_origin!W3067</f>
        <v>0</v>
      </c>
      <c r="BA103" s="5">
        <f>data_origin!X3067</f>
        <v>0</v>
      </c>
      <c r="BB103" s="5">
        <f>data_origin!Y3067</f>
        <v>0</v>
      </c>
      <c r="BC103" s="5">
        <f>data_origin!Z3067</f>
        <v>0</v>
      </c>
      <c r="BD103" s="5">
        <f>data_origin!AA3067</f>
        <v>0</v>
      </c>
      <c r="BE103" s="9">
        <f t="shared" si="21"/>
        <v>0</v>
      </c>
    </row>
    <row r="104" spans="1:58" x14ac:dyDescent="0.25">
      <c r="D104" t="s">
        <v>72</v>
      </c>
      <c r="E104" s="35">
        <f t="shared" si="18"/>
        <v>0</v>
      </c>
      <c r="F104" s="35">
        <f t="shared" si="18"/>
        <v>0</v>
      </c>
      <c r="G104" s="35">
        <f t="shared" si="18"/>
        <v>0</v>
      </c>
      <c r="H104" s="35">
        <f t="shared" si="17"/>
        <v>0</v>
      </c>
      <c r="I104" s="35">
        <f t="shared" si="17"/>
        <v>0</v>
      </c>
      <c r="J104" s="35">
        <f t="shared" si="17"/>
        <v>0</v>
      </c>
      <c r="K104" s="35">
        <f t="shared" si="17"/>
        <v>0</v>
      </c>
      <c r="L104" s="35">
        <f t="shared" si="17"/>
        <v>0</v>
      </c>
      <c r="M104" s="35">
        <f t="shared" si="16"/>
        <v>0</v>
      </c>
      <c r="S104" t="s">
        <v>72</v>
      </c>
      <c r="T104" s="5">
        <f>data_origin!T141</f>
        <v>0</v>
      </c>
      <c r="U104" s="5">
        <f>data_origin!U141</f>
        <v>0</v>
      </c>
      <c r="V104" s="5">
        <f>data_origin!V141</f>
        <v>0</v>
      </c>
      <c r="W104" s="5">
        <f>data_origin!W141</f>
        <v>0</v>
      </c>
      <c r="X104" s="5">
        <f>data_origin!X141</f>
        <v>0</v>
      </c>
      <c r="Y104" s="5">
        <f>data_origin!Y141</f>
        <v>0</v>
      </c>
      <c r="Z104" s="5">
        <f>data_origin!Z141</f>
        <v>0</v>
      </c>
      <c r="AA104" s="5">
        <f>data_origin!AA141</f>
        <v>0</v>
      </c>
      <c r="AB104" s="5">
        <f t="shared" si="19"/>
        <v>0</v>
      </c>
      <c r="AH104" t="s">
        <v>72</v>
      </c>
      <c r="AI104" s="5">
        <f>data_origin!T2354</f>
        <v>0</v>
      </c>
      <c r="AJ104" s="5">
        <f>data_origin!U2354</f>
        <v>0</v>
      </c>
      <c r="AK104" s="5">
        <f>data_origin!V2354</f>
        <v>0</v>
      </c>
      <c r="AL104" s="5">
        <f>data_origin!W2354</f>
        <v>0</v>
      </c>
      <c r="AM104" s="5">
        <f>data_origin!X2354</f>
        <v>0</v>
      </c>
      <c r="AN104" s="5">
        <f>data_origin!Y2354</f>
        <v>0</v>
      </c>
      <c r="AO104" s="5">
        <f>data_origin!Z2354</f>
        <v>0</v>
      </c>
      <c r="AP104" s="5">
        <f>data_origin!AA2354</f>
        <v>0</v>
      </c>
      <c r="AQ104" s="9">
        <f t="shared" si="20"/>
        <v>0</v>
      </c>
      <c r="AV104" t="s">
        <v>72</v>
      </c>
      <c r="AW104" s="5">
        <f>data_origin!T3068</f>
        <v>0</v>
      </c>
      <c r="AX104" s="5">
        <f>data_origin!U3068</f>
        <v>0</v>
      </c>
      <c r="AY104" s="5">
        <f>data_origin!V3068</f>
        <v>0</v>
      </c>
      <c r="AZ104" s="5">
        <f>data_origin!W3068</f>
        <v>0</v>
      </c>
      <c r="BA104" s="5">
        <f>data_origin!X3068</f>
        <v>0</v>
      </c>
      <c r="BB104" s="5">
        <f>data_origin!Y3068</f>
        <v>0</v>
      </c>
      <c r="BC104" s="5">
        <f>data_origin!Z3068</f>
        <v>0</v>
      </c>
      <c r="BD104" s="5">
        <f>data_origin!AA3068</f>
        <v>0</v>
      </c>
      <c r="BE104" s="9">
        <f t="shared" si="21"/>
        <v>0</v>
      </c>
    </row>
    <row r="105" spans="1:58" x14ac:dyDescent="0.25">
      <c r="D105" t="s">
        <v>73</v>
      </c>
      <c r="E105" s="35">
        <f t="shared" si="18"/>
        <v>0</v>
      </c>
      <c r="F105" s="35">
        <f t="shared" si="18"/>
        <v>0</v>
      </c>
      <c r="G105" s="35">
        <f t="shared" si="18"/>
        <v>0</v>
      </c>
      <c r="H105" s="35">
        <f t="shared" si="17"/>
        <v>0</v>
      </c>
      <c r="I105" s="35">
        <f t="shared" si="17"/>
        <v>0</v>
      </c>
      <c r="J105" s="35">
        <f t="shared" si="17"/>
        <v>0</v>
      </c>
      <c r="K105" s="35">
        <f t="shared" si="17"/>
        <v>0</v>
      </c>
      <c r="L105" s="35">
        <f t="shared" si="17"/>
        <v>0</v>
      </c>
      <c r="M105" s="35">
        <f t="shared" si="16"/>
        <v>0</v>
      </c>
      <c r="S105" t="s">
        <v>73</v>
      </c>
      <c r="T105" s="5">
        <f>data_origin!T142</f>
        <v>0</v>
      </c>
      <c r="U105" s="5">
        <f>data_origin!U142</f>
        <v>0</v>
      </c>
      <c r="V105" s="5">
        <f>data_origin!V142</f>
        <v>0</v>
      </c>
      <c r="W105" s="5">
        <f>data_origin!W142</f>
        <v>0</v>
      </c>
      <c r="X105" s="5">
        <f>data_origin!X142</f>
        <v>0</v>
      </c>
      <c r="Y105" s="5">
        <f>data_origin!Y142</f>
        <v>0</v>
      </c>
      <c r="Z105" s="5">
        <f>data_origin!Z142</f>
        <v>0</v>
      </c>
      <c r="AA105" s="5">
        <f>data_origin!AA142</f>
        <v>0</v>
      </c>
      <c r="AB105" s="5">
        <f t="shared" si="19"/>
        <v>0</v>
      </c>
      <c r="AH105" t="s">
        <v>73</v>
      </c>
      <c r="AI105" s="5">
        <f>data_origin!T2355</f>
        <v>0</v>
      </c>
      <c r="AJ105" s="5">
        <f>data_origin!U2355</f>
        <v>0</v>
      </c>
      <c r="AK105" s="5">
        <f>data_origin!V2355</f>
        <v>0</v>
      </c>
      <c r="AL105" s="5">
        <f>data_origin!W2355</f>
        <v>0</v>
      </c>
      <c r="AM105" s="5">
        <f>data_origin!X2355</f>
        <v>0</v>
      </c>
      <c r="AN105" s="5">
        <f>data_origin!Y2355</f>
        <v>0</v>
      </c>
      <c r="AO105" s="5">
        <f>data_origin!Z2355</f>
        <v>0</v>
      </c>
      <c r="AP105" s="5">
        <f>data_origin!AA2355</f>
        <v>0</v>
      </c>
      <c r="AQ105" s="9">
        <f t="shared" si="20"/>
        <v>0</v>
      </c>
      <c r="AV105" t="s">
        <v>73</v>
      </c>
      <c r="AW105" s="5">
        <f>data_origin!T3069</f>
        <v>0</v>
      </c>
      <c r="AX105" s="5">
        <f>data_origin!U3069</f>
        <v>0</v>
      </c>
      <c r="AY105" s="5">
        <f>data_origin!V3069</f>
        <v>0</v>
      </c>
      <c r="AZ105" s="5">
        <f>data_origin!W3069</f>
        <v>0</v>
      </c>
      <c r="BA105" s="5">
        <f>data_origin!X3069</f>
        <v>0</v>
      </c>
      <c r="BB105" s="5">
        <f>data_origin!Y3069</f>
        <v>0</v>
      </c>
      <c r="BC105" s="5">
        <f>data_origin!Z3069</f>
        <v>0</v>
      </c>
      <c r="BD105" s="5">
        <f>data_origin!AA3069</f>
        <v>0</v>
      </c>
      <c r="BE105" s="9">
        <f t="shared" si="21"/>
        <v>0</v>
      </c>
    </row>
    <row r="106" spans="1:58" x14ac:dyDescent="0.25">
      <c r="D106" t="s">
        <v>74</v>
      </c>
      <c r="E106" s="35">
        <f t="shared" si="18"/>
        <v>0</v>
      </c>
      <c r="F106" s="35">
        <f t="shared" si="18"/>
        <v>0</v>
      </c>
      <c r="G106" s="35">
        <f t="shared" si="18"/>
        <v>0</v>
      </c>
      <c r="H106" s="35">
        <f t="shared" si="17"/>
        <v>0</v>
      </c>
      <c r="I106" s="35">
        <f t="shared" si="17"/>
        <v>0</v>
      </c>
      <c r="J106" s="35">
        <f t="shared" si="17"/>
        <v>0</v>
      </c>
      <c r="K106" s="35">
        <f t="shared" si="17"/>
        <v>0</v>
      </c>
      <c r="L106" s="35">
        <f t="shared" si="17"/>
        <v>0</v>
      </c>
      <c r="M106" s="35">
        <f t="shared" si="16"/>
        <v>0</v>
      </c>
      <c r="S106" t="s">
        <v>74</v>
      </c>
      <c r="T106" s="5">
        <f>data_origin!T143</f>
        <v>0</v>
      </c>
      <c r="U106" s="5">
        <f>data_origin!U143</f>
        <v>0</v>
      </c>
      <c r="V106" s="5">
        <f>data_origin!V143</f>
        <v>0</v>
      </c>
      <c r="W106" s="5">
        <f>data_origin!W143</f>
        <v>0</v>
      </c>
      <c r="X106" s="5">
        <f>data_origin!X143</f>
        <v>0</v>
      </c>
      <c r="Y106" s="5">
        <f>data_origin!Y143</f>
        <v>0</v>
      </c>
      <c r="Z106" s="5">
        <f>data_origin!Z143</f>
        <v>0</v>
      </c>
      <c r="AA106" s="5">
        <f>data_origin!AA143</f>
        <v>0</v>
      </c>
      <c r="AB106" s="5">
        <f t="shared" si="19"/>
        <v>0</v>
      </c>
      <c r="AH106" t="s">
        <v>74</v>
      </c>
      <c r="AI106" s="5">
        <f>data_origin!T2356</f>
        <v>0</v>
      </c>
      <c r="AJ106" s="5">
        <f>data_origin!U2356</f>
        <v>0</v>
      </c>
      <c r="AK106" s="5">
        <f>data_origin!V2356</f>
        <v>0</v>
      </c>
      <c r="AL106" s="5">
        <f>data_origin!W2356</f>
        <v>0</v>
      </c>
      <c r="AM106" s="5">
        <f>data_origin!X2356</f>
        <v>0</v>
      </c>
      <c r="AN106" s="5">
        <f>data_origin!Y2356</f>
        <v>0</v>
      </c>
      <c r="AO106" s="5">
        <f>data_origin!Z2356</f>
        <v>0</v>
      </c>
      <c r="AP106" s="5">
        <f>data_origin!AA2356</f>
        <v>0</v>
      </c>
      <c r="AQ106" s="9">
        <f t="shared" si="20"/>
        <v>0</v>
      </c>
      <c r="AV106" t="s">
        <v>74</v>
      </c>
      <c r="AW106" s="5">
        <f>data_origin!T3070</f>
        <v>0</v>
      </c>
      <c r="AX106" s="5">
        <f>data_origin!U3070</f>
        <v>0</v>
      </c>
      <c r="AY106" s="5">
        <f>data_origin!V3070</f>
        <v>0</v>
      </c>
      <c r="AZ106" s="5">
        <f>data_origin!W3070</f>
        <v>0</v>
      </c>
      <c r="BA106" s="5">
        <f>data_origin!X3070</f>
        <v>0</v>
      </c>
      <c r="BB106" s="5">
        <f>data_origin!Y3070</f>
        <v>0</v>
      </c>
      <c r="BC106" s="5">
        <f>data_origin!Z3070</f>
        <v>0</v>
      </c>
      <c r="BD106" s="5">
        <f>data_origin!AA3070</f>
        <v>0</v>
      </c>
      <c r="BE106" s="9">
        <f t="shared" si="21"/>
        <v>0</v>
      </c>
    </row>
    <row r="107" spans="1:58" x14ac:dyDescent="0.25">
      <c r="D107" t="s">
        <v>75</v>
      </c>
      <c r="E107" s="35">
        <f t="shared" si="18"/>
        <v>0</v>
      </c>
      <c r="F107" s="35">
        <f t="shared" si="18"/>
        <v>0</v>
      </c>
      <c r="G107" s="35">
        <f t="shared" si="18"/>
        <v>0</v>
      </c>
      <c r="H107" s="35">
        <f t="shared" si="17"/>
        <v>0</v>
      </c>
      <c r="I107" s="35">
        <f t="shared" si="17"/>
        <v>0</v>
      </c>
      <c r="J107" s="35">
        <f t="shared" si="17"/>
        <v>0</v>
      </c>
      <c r="K107" s="35">
        <f t="shared" si="17"/>
        <v>0</v>
      </c>
      <c r="L107" s="35">
        <f t="shared" si="17"/>
        <v>0</v>
      </c>
      <c r="M107" s="35">
        <f t="shared" si="16"/>
        <v>0</v>
      </c>
      <c r="S107" t="s">
        <v>75</v>
      </c>
      <c r="T107" s="5">
        <f>data_origin!T144</f>
        <v>0</v>
      </c>
      <c r="U107" s="5">
        <f>data_origin!U144</f>
        <v>0</v>
      </c>
      <c r="V107" s="5">
        <f>data_origin!V144</f>
        <v>0</v>
      </c>
      <c r="W107" s="5">
        <f>data_origin!W144</f>
        <v>0</v>
      </c>
      <c r="X107" s="5">
        <f>data_origin!X144</f>
        <v>0</v>
      </c>
      <c r="Y107" s="5">
        <f>data_origin!Y144</f>
        <v>0</v>
      </c>
      <c r="Z107" s="5">
        <f>data_origin!Z144</f>
        <v>0</v>
      </c>
      <c r="AA107" s="5">
        <f>data_origin!AA144</f>
        <v>0</v>
      </c>
      <c r="AB107" s="5">
        <f t="shared" si="19"/>
        <v>0</v>
      </c>
      <c r="AH107" t="s">
        <v>75</v>
      </c>
      <c r="AI107" s="5">
        <f>data_origin!T2357</f>
        <v>0</v>
      </c>
      <c r="AJ107" s="5">
        <f>data_origin!U2357</f>
        <v>0</v>
      </c>
      <c r="AK107" s="5">
        <f>data_origin!V2357</f>
        <v>0</v>
      </c>
      <c r="AL107" s="5">
        <f>data_origin!W2357</f>
        <v>0</v>
      </c>
      <c r="AM107" s="5">
        <f>data_origin!X2357</f>
        <v>0</v>
      </c>
      <c r="AN107" s="5">
        <f>data_origin!Y2357</f>
        <v>0</v>
      </c>
      <c r="AO107" s="5">
        <f>data_origin!Z2357</f>
        <v>0</v>
      </c>
      <c r="AP107" s="5">
        <f>data_origin!AA2357</f>
        <v>0</v>
      </c>
      <c r="AQ107" s="9">
        <f t="shared" si="20"/>
        <v>0</v>
      </c>
      <c r="AV107" t="s">
        <v>75</v>
      </c>
      <c r="AW107" s="5">
        <f>data_origin!T3071</f>
        <v>0</v>
      </c>
      <c r="AX107" s="5">
        <f>data_origin!U3071</f>
        <v>0</v>
      </c>
      <c r="AY107" s="5">
        <f>data_origin!V3071</f>
        <v>0</v>
      </c>
      <c r="AZ107" s="5">
        <f>data_origin!W3071</f>
        <v>0</v>
      </c>
      <c r="BA107" s="5">
        <f>data_origin!X3071</f>
        <v>0</v>
      </c>
      <c r="BB107" s="5">
        <f>data_origin!Y3071</f>
        <v>0</v>
      </c>
      <c r="BC107" s="5">
        <f>data_origin!Z3071</f>
        <v>0</v>
      </c>
      <c r="BD107" s="5">
        <f>data_origin!AA3071</f>
        <v>0</v>
      </c>
      <c r="BE107" s="9">
        <f t="shared" si="21"/>
        <v>0</v>
      </c>
    </row>
    <row r="108" spans="1:58" x14ac:dyDescent="0.25">
      <c r="D108" t="s">
        <v>76</v>
      </c>
      <c r="E108" s="35">
        <f t="shared" si="18"/>
        <v>0</v>
      </c>
      <c r="F108" s="35">
        <f t="shared" si="18"/>
        <v>0</v>
      </c>
      <c r="G108" s="35">
        <f t="shared" si="18"/>
        <v>0</v>
      </c>
      <c r="H108" s="35">
        <f t="shared" si="17"/>
        <v>0</v>
      </c>
      <c r="I108" s="35">
        <f t="shared" si="17"/>
        <v>0</v>
      </c>
      <c r="J108" s="35">
        <f t="shared" si="17"/>
        <v>0</v>
      </c>
      <c r="K108" s="35">
        <f t="shared" si="17"/>
        <v>0</v>
      </c>
      <c r="L108" s="35">
        <f t="shared" si="17"/>
        <v>0</v>
      </c>
      <c r="M108" s="35">
        <f t="shared" si="16"/>
        <v>0</v>
      </c>
      <c r="S108" t="s">
        <v>76</v>
      </c>
      <c r="T108" s="5">
        <f>data_origin!T145</f>
        <v>0</v>
      </c>
      <c r="U108" s="5">
        <f>data_origin!U145</f>
        <v>0</v>
      </c>
      <c r="V108" s="5">
        <f>data_origin!V145</f>
        <v>0</v>
      </c>
      <c r="W108" s="5">
        <f>data_origin!W145</f>
        <v>0</v>
      </c>
      <c r="X108" s="5">
        <f>data_origin!X145</f>
        <v>0</v>
      </c>
      <c r="Y108" s="5">
        <f>data_origin!Y145</f>
        <v>0</v>
      </c>
      <c r="Z108" s="5">
        <f>data_origin!Z145</f>
        <v>0</v>
      </c>
      <c r="AA108" s="5">
        <f>data_origin!AA145</f>
        <v>0</v>
      </c>
      <c r="AB108" s="5">
        <f t="shared" si="19"/>
        <v>0</v>
      </c>
      <c r="AH108" t="s">
        <v>76</v>
      </c>
      <c r="AI108" s="5">
        <f>data_origin!T2358</f>
        <v>0</v>
      </c>
      <c r="AJ108" s="5">
        <f>data_origin!U2358</f>
        <v>0</v>
      </c>
      <c r="AK108" s="5">
        <f>data_origin!V2358</f>
        <v>0</v>
      </c>
      <c r="AL108" s="5">
        <f>data_origin!W2358</f>
        <v>0</v>
      </c>
      <c r="AM108" s="5">
        <f>data_origin!X2358</f>
        <v>0</v>
      </c>
      <c r="AN108" s="5">
        <f>data_origin!Y2358</f>
        <v>0</v>
      </c>
      <c r="AO108" s="5">
        <f>data_origin!Z2358</f>
        <v>0</v>
      </c>
      <c r="AP108" s="5">
        <f>data_origin!AA2358</f>
        <v>0</v>
      </c>
      <c r="AQ108" s="9">
        <f t="shared" si="20"/>
        <v>0</v>
      </c>
      <c r="AV108" t="s">
        <v>76</v>
      </c>
      <c r="AW108" s="5">
        <f>data_origin!T3072</f>
        <v>0</v>
      </c>
      <c r="AX108" s="5">
        <f>data_origin!U3072</f>
        <v>0</v>
      </c>
      <c r="AY108" s="5">
        <f>data_origin!V3072</f>
        <v>0</v>
      </c>
      <c r="AZ108" s="5">
        <f>data_origin!W3072</f>
        <v>0</v>
      </c>
      <c r="BA108" s="5">
        <f>data_origin!X3072</f>
        <v>0</v>
      </c>
      <c r="BB108" s="5">
        <f>data_origin!Y3072</f>
        <v>0</v>
      </c>
      <c r="BC108" s="5">
        <f>data_origin!Z3072</f>
        <v>0</v>
      </c>
      <c r="BD108" s="5">
        <f>data_origin!AA3072</f>
        <v>0</v>
      </c>
      <c r="BE108" s="9">
        <f t="shared" si="21"/>
        <v>0</v>
      </c>
    </row>
    <row r="109" spans="1:58" x14ac:dyDescent="0.25">
      <c r="D109" t="s">
        <v>77</v>
      </c>
      <c r="E109" s="35">
        <f t="shared" si="18"/>
        <v>0</v>
      </c>
      <c r="F109" s="35">
        <f t="shared" si="18"/>
        <v>0</v>
      </c>
      <c r="G109" s="35">
        <f t="shared" si="18"/>
        <v>0</v>
      </c>
      <c r="H109" s="35">
        <f t="shared" si="17"/>
        <v>0</v>
      </c>
      <c r="I109" s="35">
        <f t="shared" si="17"/>
        <v>0</v>
      </c>
      <c r="J109" s="35">
        <f t="shared" si="17"/>
        <v>0</v>
      </c>
      <c r="K109" s="35">
        <f t="shared" si="17"/>
        <v>0</v>
      </c>
      <c r="L109" s="35">
        <f t="shared" si="17"/>
        <v>0</v>
      </c>
      <c r="M109" s="35">
        <f t="shared" si="16"/>
        <v>0</v>
      </c>
      <c r="S109" t="s">
        <v>77</v>
      </c>
      <c r="T109" s="5">
        <f>data_origin!T146</f>
        <v>0</v>
      </c>
      <c r="U109" s="5">
        <f>data_origin!U146</f>
        <v>0</v>
      </c>
      <c r="V109" s="5">
        <f>data_origin!V146</f>
        <v>0</v>
      </c>
      <c r="W109" s="5">
        <f>data_origin!W146</f>
        <v>0</v>
      </c>
      <c r="X109" s="5">
        <f>data_origin!X146</f>
        <v>0</v>
      </c>
      <c r="Y109" s="5">
        <f>data_origin!Y146</f>
        <v>0</v>
      </c>
      <c r="Z109" s="5">
        <f>data_origin!Z146</f>
        <v>0</v>
      </c>
      <c r="AA109" s="5">
        <f>data_origin!AA146</f>
        <v>0</v>
      </c>
      <c r="AB109" s="5">
        <f t="shared" si="19"/>
        <v>0</v>
      </c>
      <c r="AH109" t="s">
        <v>77</v>
      </c>
      <c r="AI109" s="5">
        <f>data_origin!T2359</f>
        <v>0</v>
      </c>
      <c r="AJ109" s="5">
        <f>data_origin!U2359</f>
        <v>0</v>
      </c>
      <c r="AK109" s="5">
        <f>data_origin!V2359</f>
        <v>0</v>
      </c>
      <c r="AL109" s="5">
        <f>data_origin!W2359</f>
        <v>0</v>
      </c>
      <c r="AM109" s="5">
        <f>data_origin!X2359</f>
        <v>0</v>
      </c>
      <c r="AN109" s="5">
        <f>data_origin!Y2359</f>
        <v>0</v>
      </c>
      <c r="AO109" s="5">
        <f>data_origin!Z2359</f>
        <v>0</v>
      </c>
      <c r="AP109" s="5">
        <f>data_origin!AA2359</f>
        <v>0</v>
      </c>
      <c r="AQ109" s="9">
        <f t="shared" si="20"/>
        <v>0</v>
      </c>
      <c r="AV109" t="s">
        <v>77</v>
      </c>
      <c r="AW109" s="5">
        <f>data_origin!T3073</f>
        <v>0</v>
      </c>
      <c r="AX109" s="5">
        <f>data_origin!U3073</f>
        <v>0</v>
      </c>
      <c r="AY109" s="5">
        <f>data_origin!V3073</f>
        <v>0</v>
      </c>
      <c r="AZ109" s="5">
        <f>data_origin!W3073</f>
        <v>0</v>
      </c>
      <c r="BA109" s="5">
        <f>data_origin!X3073</f>
        <v>0</v>
      </c>
      <c r="BB109" s="5">
        <f>data_origin!Y3073</f>
        <v>0</v>
      </c>
      <c r="BC109" s="5">
        <f>data_origin!Z3073</f>
        <v>0</v>
      </c>
      <c r="BD109" s="5">
        <f>data_origin!AA3073</f>
        <v>0</v>
      </c>
      <c r="BE109" s="9">
        <f t="shared" si="21"/>
        <v>0</v>
      </c>
    </row>
    <row r="110" spans="1:58" x14ac:dyDescent="0.25">
      <c r="D110" t="s">
        <v>78</v>
      </c>
      <c r="E110" s="35">
        <f t="shared" si="18"/>
        <v>0</v>
      </c>
      <c r="F110" s="35">
        <f t="shared" si="18"/>
        <v>0</v>
      </c>
      <c r="G110" s="35">
        <f t="shared" si="18"/>
        <v>0</v>
      </c>
      <c r="H110" s="35">
        <f t="shared" si="17"/>
        <v>0</v>
      </c>
      <c r="I110" s="35">
        <f t="shared" si="17"/>
        <v>0</v>
      </c>
      <c r="J110" s="35">
        <f t="shared" si="17"/>
        <v>0</v>
      </c>
      <c r="K110" s="35">
        <f t="shared" si="17"/>
        <v>0</v>
      </c>
      <c r="L110" s="35">
        <f t="shared" si="17"/>
        <v>0</v>
      </c>
      <c r="M110" s="35">
        <f t="shared" si="16"/>
        <v>0</v>
      </c>
      <c r="S110" t="s">
        <v>78</v>
      </c>
      <c r="T110" s="5">
        <f>data_origin!T147</f>
        <v>0</v>
      </c>
      <c r="U110" s="5">
        <f>data_origin!U147</f>
        <v>0</v>
      </c>
      <c r="V110" s="5">
        <f>data_origin!V147</f>
        <v>0</v>
      </c>
      <c r="W110" s="5">
        <f>data_origin!W147</f>
        <v>0</v>
      </c>
      <c r="X110" s="5">
        <f>data_origin!X147</f>
        <v>0</v>
      </c>
      <c r="Y110" s="5">
        <f>data_origin!Y147</f>
        <v>0</v>
      </c>
      <c r="Z110" s="5">
        <f>data_origin!Z147</f>
        <v>0</v>
      </c>
      <c r="AA110" s="5">
        <f>data_origin!AA147</f>
        <v>0</v>
      </c>
      <c r="AB110" s="5">
        <f t="shared" si="19"/>
        <v>0</v>
      </c>
      <c r="AH110" t="s">
        <v>78</v>
      </c>
      <c r="AI110" s="5">
        <f>data_origin!T2360</f>
        <v>0</v>
      </c>
      <c r="AJ110" s="5">
        <f>data_origin!U2360</f>
        <v>0</v>
      </c>
      <c r="AK110" s="5">
        <f>data_origin!V2360</f>
        <v>0</v>
      </c>
      <c r="AL110" s="5">
        <f>data_origin!W2360</f>
        <v>0</v>
      </c>
      <c r="AM110" s="5">
        <f>data_origin!X2360</f>
        <v>0</v>
      </c>
      <c r="AN110" s="5">
        <f>data_origin!Y2360</f>
        <v>0</v>
      </c>
      <c r="AO110" s="5">
        <f>data_origin!Z2360</f>
        <v>0</v>
      </c>
      <c r="AP110" s="5">
        <f>data_origin!AA2360</f>
        <v>0</v>
      </c>
      <c r="AQ110" s="9">
        <f t="shared" si="20"/>
        <v>0</v>
      </c>
      <c r="AV110" t="s">
        <v>78</v>
      </c>
      <c r="AW110" s="5">
        <f>data_origin!T3074</f>
        <v>0</v>
      </c>
      <c r="AX110" s="5">
        <f>data_origin!U3074</f>
        <v>0</v>
      </c>
      <c r="AY110" s="5">
        <f>data_origin!V3074</f>
        <v>0</v>
      </c>
      <c r="AZ110" s="5">
        <f>data_origin!W3074</f>
        <v>0</v>
      </c>
      <c r="BA110" s="5">
        <f>data_origin!X3074</f>
        <v>0</v>
      </c>
      <c r="BB110" s="5">
        <f>data_origin!Y3074</f>
        <v>0</v>
      </c>
      <c r="BC110" s="5">
        <f>data_origin!Z3074</f>
        <v>0</v>
      </c>
      <c r="BD110" s="5">
        <f>data_origin!AA3074</f>
        <v>0</v>
      </c>
      <c r="BE110" s="9">
        <f t="shared" si="21"/>
        <v>0</v>
      </c>
    </row>
    <row r="111" spans="1:58" x14ac:dyDescent="0.25">
      <c r="D111" t="s">
        <v>79</v>
      </c>
      <c r="E111" s="35">
        <f t="shared" si="18"/>
        <v>0</v>
      </c>
      <c r="F111" s="35">
        <f t="shared" si="18"/>
        <v>0</v>
      </c>
      <c r="G111" s="35">
        <f t="shared" si="18"/>
        <v>0</v>
      </c>
      <c r="H111" s="35">
        <f t="shared" si="17"/>
        <v>0</v>
      </c>
      <c r="I111" s="35">
        <f t="shared" si="17"/>
        <v>0</v>
      </c>
      <c r="J111" s="35">
        <f t="shared" si="17"/>
        <v>0</v>
      </c>
      <c r="K111" s="35">
        <f t="shared" si="17"/>
        <v>0</v>
      </c>
      <c r="L111" s="35">
        <f t="shared" si="17"/>
        <v>0</v>
      </c>
      <c r="M111" s="35">
        <f t="shared" si="16"/>
        <v>0</v>
      </c>
      <c r="S111" t="s">
        <v>79</v>
      </c>
      <c r="T111" s="5">
        <f>data_origin!T148</f>
        <v>0</v>
      </c>
      <c r="U111" s="5">
        <f>data_origin!U148</f>
        <v>0</v>
      </c>
      <c r="V111" s="5">
        <f>data_origin!V148</f>
        <v>0</v>
      </c>
      <c r="W111" s="5">
        <f>data_origin!W148</f>
        <v>0</v>
      </c>
      <c r="X111" s="5">
        <f>data_origin!X148</f>
        <v>0</v>
      </c>
      <c r="Y111" s="5">
        <f>data_origin!Y148</f>
        <v>0</v>
      </c>
      <c r="Z111" s="5">
        <f>data_origin!Z148</f>
        <v>0</v>
      </c>
      <c r="AA111" s="5">
        <f>data_origin!AA148</f>
        <v>0</v>
      </c>
      <c r="AB111" s="5">
        <f t="shared" si="19"/>
        <v>0</v>
      </c>
      <c r="AH111" t="s">
        <v>79</v>
      </c>
      <c r="AI111" s="5">
        <f>data_origin!T2361</f>
        <v>0</v>
      </c>
      <c r="AJ111" s="5">
        <f>data_origin!U2361</f>
        <v>0</v>
      </c>
      <c r="AK111" s="5">
        <f>data_origin!V2361</f>
        <v>0</v>
      </c>
      <c r="AL111" s="5">
        <f>data_origin!W2361</f>
        <v>0</v>
      </c>
      <c r="AM111" s="5">
        <f>data_origin!X2361</f>
        <v>0</v>
      </c>
      <c r="AN111" s="5">
        <f>data_origin!Y2361</f>
        <v>0</v>
      </c>
      <c r="AO111" s="5">
        <f>data_origin!Z2361</f>
        <v>0</v>
      </c>
      <c r="AP111" s="5">
        <f>data_origin!AA2361</f>
        <v>0</v>
      </c>
      <c r="AQ111" s="9">
        <f t="shared" si="20"/>
        <v>0</v>
      </c>
      <c r="AV111" t="s">
        <v>79</v>
      </c>
      <c r="AW111" s="5">
        <f>data_origin!T3075</f>
        <v>0</v>
      </c>
      <c r="AX111" s="5">
        <f>data_origin!U3075</f>
        <v>0</v>
      </c>
      <c r="AY111" s="5">
        <f>data_origin!V3075</f>
        <v>0</v>
      </c>
      <c r="AZ111" s="5">
        <f>data_origin!W3075</f>
        <v>0</v>
      </c>
      <c r="BA111" s="5">
        <f>data_origin!X3075</f>
        <v>0</v>
      </c>
      <c r="BB111" s="5">
        <f>data_origin!Y3075</f>
        <v>0</v>
      </c>
      <c r="BC111" s="5">
        <f>data_origin!Z3075</f>
        <v>0</v>
      </c>
      <c r="BD111" s="5">
        <f>data_origin!AA3075</f>
        <v>0</v>
      </c>
      <c r="BE111" s="9">
        <f t="shared" si="21"/>
        <v>0</v>
      </c>
    </row>
    <row r="112" spans="1:58" x14ac:dyDescent="0.25">
      <c r="D112" t="s">
        <v>80</v>
      </c>
      <c r="E112" s="35">
        <f t="shared" si="18"/>
        <v>0</v>
      </c>
      <c r="F112" s="35">
        <f t="shared" si="18"/>
        <v>0</v>
      </c>
      <c r="G112" s="35">
        <f t="shared" si="18"/>
        <v>0</v>
      </c>
      <c r="H112" s="35">
        <f t="shared" si="17"/>
        <v>2.0034515100356405</v>
      </c>
      <c r="I112" s="35">
        <f t="shared" si="17"/>
        <v>0</v>
      </c>
      <c r="J112" s="35">
        <f t="shared" si="17"/>
        <v>0</v>
      </c>
      <c r="K112" s="35">
        <f t="shared" si="17"/>
        <v>0</v>
      </c>
      <c r="L112" s="35">
        <f t="shared" si="17"/>
        <v>0</v>
      </c>
      <c r="M112" s="35">
        <f t="shared" si="16"/>
        <v>2.0034515100356405</v>
      </c>
      <c r="S112" t="s">
        <v>80</v>
      </c>
      <c r="T112" s="5">
        <f>data_origin!T149</f>
        <v>0</v>
      </c>
      <c r="U112" s="5">
        <f>data_origin!U149</f>
        <v>0</v>
      </c>
      <c r="V112" s="5">
        <f>data_origin!V149</f>
        <v>0</v>
      </c>
      <c r="W112" s="5">
        <f>data_origin!W149</f>
        <v>2</v>
      </c>
      <c r="X112" s="5">
        <f>data_origin!X149</f>
        <v>0</v>
      </c>
      <c r="Y112" s="5">
        <f>data_origin!Y149</f>
        <v>0</v>
      </c>
      <c r="Z112" s="5">
        <f>data_origin!Z149</f>
        <v>0</v>
      </c>
      <c r="AA112" s="5">
        <f>data_origin!AA149</f>
        <v>0</v>
      </c>
      <c r="AB112" s="5">
        <f t="shared" si="19"/>
        <v>2</v>
      </c>
      <c r="AH112" t="s">
        <v>80</v>
      </c>
      <c r="AI112" s="5">
        <f>data_origin!T2362</f>
        <v>0</v>
      </c>
      <c r="AJ112" s="5">
        <f>data_origin!U2362</f>
        <v>0</v>
      </c>
      <c r="AK112" s="5">
        <f>data_origin!V2362</f>
        <v>0</v>
      </c>
      <c r="AL112" s="5">
        <f>data_origin!W2362</f>
        <v>0</v>
      </c>
      <c r="AM112" s="5">
        <f>data_origin!X2362</f>
        <v>0</v>
      </c>
      <c r="AN112" s="5">
        <f>data_origin!Y2362</f>
        <v>0</v>
      </c>
      <c r="AO112" s="5">
        <f>data_origin!Z2362</f>
        <v>0</v>
      </c>
      <c r="AP112" s="5">
        <f>data_origin!AA2362</f>
        <v>0</v>
      </c>
      <c r="AQ112" s="9">
        <f t="shared" si="20"/>
        <v>0</v>
      </c>
      <c r="AV112" t="s">
        <v>80</v>
      </c>
      <c r="AW112" s="5">
        <f>data_origin!T3076</f>
        <v>0</v>
      </c>
      <c r="AX112" s="5">
        <f>data_origin!U3076</f>
        <v>0</v>
      </c>
      <c r="AY112" s="5">
        <f>data_origin!V3076</f>
        <v>0</v>
      </c>
      <c r="AZ112" s="5">
        <f>data_origin!W3076</f>
        <v>0</v>
      </c>
      <c r="BA112" s="5">
        <f>data_origin!X3076</f>
        <v>0</v>
      </c>
      <c r="BB112" s="5">
        <f>data_origin!Y3076</f>
        <v>0</v>
      </c>
      <c r="BC112" s="5">
        <f>data_origin!Z3076</f>
        <v>0</v>
      </c>
      <c r="BD112" s="5">
        <f>data_origin!AA3076</f>
        <v>0</v>
      </c>
      <c r="BE112" s="9">
        <f t="shared" si="21"/>
        <v>0</v>
      </c>
    </row>
    <row r="113" spans="4:57" x14ac:dyDescent="0.25">
      <c r="D113" t="s">
        <v>81</v>
      </c>
      <c r="E113" s="35">
        <f t="shared" si="18"/>
        <v>0</v>
      </c>
      <c r="F113" s="35">
        <f t="shared" si="18"/>
        <v>0</v>
      </c>
      <c r="G113" s="35">
        <f t="shared" si="18"/>
        <v>0</v>
      </c>
      <c r="H113" s="35">
        <f t="shared" si="17"/>
        <v>0</v>
      </c>
      <c r="I113" s="35">
        <f t="shared" si="17"/>
        <v>0</v>
      </c>
      <c r="J113" s="35">
        <f t="shared" si="17"/>
        <v>0</v>
      </c>
      <c r="K113" s="35">
        <f t="shared" si="17"/>
        <v>0</v>
      </c>
      <c r="L113" s="35">
        <f t="shared" si="17"/>
        <v>0</v>
      </c>
      <c r="M113" s="35">
        <f t="shared" si="16"/>
        <v>0</v>
      </c>
      <c r="S113" t="s">
        <v>81</v>
      </c>
      <c r="T113" s="5">
        <f>data_origin!T150</f>
        <v>0</v>
      </c>
      <c r="U113" s="5">
        <f>data_origin!U150</f>
        <v>0</v>
      </c>
      <c r="V113" s="5">
        <f>data_origin!V150</f>
        <v>0</v>
      </c>
      <c r="W113" s="5">
        <f>data_origin!W150</f>
        <v>0</v>
      </c>
      <c r="X113" s="5">
        <f>data_origin!X150</f>
        <v>0</v>
      </c>
      <c r="Y113" s="5">
        <f>data_origin!Y150</f>
        <v>0</v>
      </c>
      <c r="Z113" s="5">
        <f>data_origin!Z150</f>
        <v>0</v>
      </c>
      <c r="AA113" s="5">
        <f>data_origin!AA150</f>
        <v>0</v>
      </c>
      <c r="AB113" s="5">
        <f t="shared" si="19"/>
        <v>0</v>
      </c>
      <c r="AH113" t="s">
        <v>81</v>
      </c>
      <c r="AI113" s="5">
        <f>data_origin!T2363</f>
        <v>0</v>
      </c>
      <c r="AJ113" s="5">
        <f>data_origin!U2363</f>
        <v>0</v>
      </c>
      <c r="AK113" s="5">
        <f>data_origin!V2363</f>
        <v>0</v>
      </c>
      <c r="AL113" s="5">
        <f>data_origin!W2363</f>
        <v>0</v>
      </c>
      <c r="AM113" s="5">
        <f>data_origin!X2363</f>
        <v>0</v>
      </c>
      <c r="AN113" s="5">
        <f>data_origin!Y2363</f>
        <v>0</v>
      </c>
      <c r="AO113" s="5">
        <f>data_origin!Z2363</f>
        <v>0</v>
      </c>
      <c r="AP113" s="5">
        <f>data_origin!AA2363</f>
        <v>0</v>
      </c>
      <c r="AQ113" s="9">
        <f t="shared" si="20"/>
        <v>0</v>
      </c>
      <c r="AV113" t="s">
        <v>81</v>
      </c>
      <c r="AW113" s="5">
        <f>data_origin!T3077</f>
        <v>0</v>
      </c>
      <c r="AX113" s="5">
        <f>data_origin!U3077</f>
        <v>0</v>
      </c>
      <c r="AY113" s="5">
        <f>data_origin!V3077</f>
        <v>0</v>
      </c>
      <c r="AZ113" s="5">
        <f>data_origin!W3077</f>
        <v>0</v>
      </c>
      <c r="BA113" s="5">
        <f>data_origin!X3077</f>
        <v>0</v>
      </c>
      <c r="BB113" s="5">
        <f>data_origin!Y3077</f>
        <v>0</v>
      </c>
      <c r="BC113" s="5">
        <f>data_origin!Z3077</f>
        <v>0</v>
      </c>
      <c r="BD113" s="5">
        <f>data_origin!AA3077</f>
        <v>0</v>
      </c>
      <c r="BE113" s="9">
        <f t="shared" si="21"/>
        <v>0</v>
      </c>
    </row>
    <row r="114" spans="4:57" x14ac:dyDescent="0.25">
      <c r="D114" t="s">
        <v>82</v>
      </c>
      <c r="E114" s="35">
        <f t="shared" si="18"/>
        <v>0</v>
      </c>
      <c r="F114" s="35">
        <f t="shared" si="18"/>
        <v>0</v>
      </c>
      <c r="G114" s="35">
        <f t="shared" si="18"/>
        <v>0</v>
      </c>
      <c r="H114" s="35">
        <f t="shared" si="17"/>
        <v>0</v>
      </c>
      <c r="I114" s="35">
        <f t="shared" si="17"/>
        <v>0</v>
      </c>
      <c r="J114" s="35">
        <f t="shared" si="17"/>
        <v>0</v>
      </c>
      <c r="K114" s="35">
        <f t="shared" si="17"/>
        <v>0</v>
      </c>
      <c r="L114" s="35">
        <f t="shared" si="17"/>
        <v>0</v>
      </c>
      <c r="M114" s="35">
        <f t="shared" si="16"/>
        <v>0</v>
      </c>
      <c r="S114" t="s">
        <v>82</v>
      </c>
      <c r="T114" s="5">
        <f>data_origin!T151</f>
        <v>0</v>
      </c>
      <c r="U114" s="5">
        <f>data_origin!U151</f>
        <v>0</v>
      </c>
      <c r="V114" s="5">
        <f>data_origin!V151</f>
        <v>0</v>
      </c>
      <c r="W114" s="5">
        <f>data_origin!W151</f>
        <v>0</v>
      </c>
      <c r="X114" s="5">
        <f>data_origin!X151</f>
        <v>0</v>
      </c>
      <c r="Y114" s="5">
        <f>data_origin!Y151</f>
        <v>0</v>
      </c>
      <c r="Z114" s="5">
        <f>data_origin!Z151</f>
        <v>0</v>
      </c>
      <c r="AA114" s="5">
        <f>data_origin!AA151</f>
        <v>0</v>
      </c>
      <c r="AB114" s="5">
        <f t="shared" si="19"/>
        <v>0</v>
      </c>
      <c r="AH114" t="s">
        <v>82</v>
      </c>
      <c r="AI114" s="5">
        <f>data_origin!T2364</f>
        <v>0</v>
      </c>
      <c r="AJ114" s="5">
        <f>data_origin!U2364</f>
        <v>0</v>
      </c>
      <c r="AK114" s="5">
        <f>data_origin!V2364</f>
        <v>0</v>
      </c>
      <c r="AL114" s="5">
        <f>data_origin!W2364</f>
        <v>0</v>
      </c>
      <c r="AM114" s="5">
        <f>data_origin!X2364</f>
        <v>0</v>
      </c>
      <c r="AN114" s="5">
        <f>data_origin!Y2364</f>
        <v>0</v>
      </c>
      <c r="AO114" s="5">
        <f>data_origin!Z2364</f>
        <v>0</v>
      </c>
      <c r="AP114" s="5">
        <f>data_origin!AA2364</f>
        <v>0</v>
      </c>
      <c r="AQ114" s="9">
        <f t="shared" si="20"/>
        <v>0</v>
      </c>
      <c r="AV114" t="s">
        <v>82</v>
      </c>
      <c r="AW114" s="5">
        <f>data_origin!T3078</f>
        <v>0</v>
      </c>
      <c r="AX114" s="5">
        <f>data_origin!U3078</f>
        <v>0</v>
      </c>
      <c r="AY114" s="5">
        <f>data_origin!V3078</f>
        <v>0</v>
      </c>
      <c r="AZ114" s="5">
        <f>data_origin!W3078</f>
        <v>0</v>
      </c>
      <c r="BA114" s="5">
        <f>data_origin!X3078</f>
        <v>0</v>
      </c>
      <c r="BB114" s="5">
        <f>data_origin!Y3078</f>
        <v>0</v>
      </c>
      <c r="BC114" s="5">
        <f>data_origin!Z3078</f>
        <v>0</v>
      </c>
      <c r="BD114" s="5">
        <f>data_origin!AA3078</f>
        <v>0</v>
      </c>
      <c r="BE114" s="9">
        <f t="shared" si="21"/>
        <v>0</v>
      </c>
    </row>
    <row r="115" spans="4:57" x14ac:dyDescent="0.25">
      <c r="D115" t="s">
        <v>83</v>
      </c>
      <c r="E115" s="35">
        <f t="shared" si="18"/>
        <v>0</v>
      </c>
      <c r="F115" s="35">
        <f t="shared" si="18"/>
        <v>0</v>
      </c>
      <c r="G115" s="35">
        <f t="shared" si="18"/>
        <v>0</v>
      </c>
      <c r="H115" s="35">
        <f t="shared" si="17"/>
        <v>0</v>
      </c>
      <c r="I115" s="35">
        <f t="shared" si="17"/>
        <v>0</v>
      </c>
      <c r="J115" s="35">
        <f t="shared" si="17"/>
        <v>0</v>
      </c>
      <c r="K115" s="35">
        <f t="shared" si="17"/>
        <v>0</v>
      </c>
      <c r="L115" s="35">
        <f t="shared" si="17"/>
        <v>0</v>
      </c>
      <c r="M115" s="35">
        <f t="shared" si="16"/>
        <v>0</v>
      </c>
      <c r="S115" t="s">
        <v>83</v>
      </c>
      <c r="T115" s="5">
        <f>data_origin!T152</f>
        <v>0</v>
      </c>
      <c r="U115" s="5">
        <f>data_origin!U152</f>
        <v>0</v>
      </c>
      <c r="V115" s="5">
        <f>data_origin!V152</f>
        <v>0</v>
      </c>
      <c r="W115" s="5">
        <f>data_origin!W152</f>
        <v>0</v>
      </c>
      <c r="X115" s="5">
        <f>data_origin!X152</f>
        <v>0</v>
      </c>
      <c r="Y115" s="5">
        <f>data_origin!Y152</f>
        <v>0</v>
      </c>
      <c r="Z115" s="5">
        <f>data_origin!Z152</f>
        <v>0</v>
      </c>
      <c r="AA115" s="5">
        <f>data_origin!AA152</f>
        <v>0</v>
      </c>
      <c r="AB115" s="5">
        <f t="shared" si="19"/>
        <v>0</v>
      </c>
      <c r="AH115" t="s">
        <v>83</v>
      </c>
      <c r="AI115" s="5">
        <f>data_origin!T2365</f>
        <v>0</v>
      </c>
      <c r="AJ115" s="5">
        <f>data_origin!U2365</f>
        <v>0</v>
      </c>
      <c r="AK115" s="5">
        <f>data_origin!V2365</f>
        <v>0</v>
      </c>
      <c r="AL115" s="5">
        <f>data_origin!W2365</f>
        <v>0</v>
      </c>
      <c r="AM115" s="5">
        <f>data_origin!X2365</f>
        <v>0</v>
      </c>
      <c r="AN115" s="5">
        <f>data_origin!Y2365</f>
        <v>0</v>
      </c>
      <c r="AO115" s="5">
        <f>data_origin!Z2365</f>
        <v>0</v>
      </c>
      <c r="AP115" s="5">
        <f>data_origin!AA2365</f>
        <v>0</v>
      </c>
      <c r="AQ115" s="9">
        <f t="shared" si="20"/>
        <v>0</v>
      </c>
      <c r="AV115" t="s">
        <v>83</v>
      </c>
      <c r="AW115" s="5">
        <f>data_origin!T3079</f>
        <v>0</v>
      </c>
      <c r="AX115" s="5">
        <f>data_origin!U3079</f>
        <v>0</v>
      </c>
      <c r="AY115" s="5">
        <f>data_origin!V3079</f>
        <v>0</v>
      </c>
      <c r="AZ115" s="5">
        <f>data_origin!W3079</f>
        <v>0</v>
      </c>
      <c r="BA115" s="5">
        <f>data_origin!X3079</f>
        <v>0</v>
      </c>
      <c r="BB115" s="5">
        <f>data_origin!Y3079</f>
        <v>0</v>
      </c>
      <c r="BC115" s="5">
        <f>data_origin!Z3079</f>
        <v>0</v>
      </c>
      <c r="BD115" s="5">
        <f>data_origin!AA3079</f>
        <v>0</v>
      </c>
      <c r="BE115" s="9">
        <f t="shared" si="21"/>
        <v>0</v>
      </c>
    </row>
    <row r="116" spans="4:57" x14ac:dyDescent="0.25">
      <c r="D116" t="s">
        <v>84</v>
      </c>
      <c r="E116" s="35">
        <f t="shared" si="18"/>
        <v>0</v>
      </c>
      <c r="F116" s="35">
        <f t="shared" si="18"/>
        <v>0</v>
      </c>
      <c r="G116" s="35">
        <f t="shared" si="18"/>
        <v>0</v>
      </c>
      <c r="H116" s="35">
        <f t="shared" si="17"/>
        <v>0</v>
      </c>
      <c r="I116" s="35">
        <f t="shared" si="17"/>
        <v>0</v>
      </c>
      <c r="J116" s="35">
        <f t="shared" si="17"/>
        <v>0</v>
      </c>
      <c r="K116" s="35">
        <f t="shared" si="17"/>
        <v>0</v>
      </c>
      <c r="L116" s="35">
        <f t="shared" si="17"/>
        <v>0</v>
      </c>
      <c r="M116" s="35">
        <f t="shared" si="16"/>
        <v>0</v>
      </c>
      <c r="S116" t="s">
        <v>84</v>
      </c>
      <c r="T116" s="5">
        <f>data_origin!T153</f>
        <v>0</v>
      </c>
      <c r="U116" s="5">
        <f>data_origin!U153</f>
        <v>0</v>
      </c>
      <c r="V116" s="5">
        <f>data_origin!V153</f>
        <v>0</v>
      </c>
      <c r="W116" s="5">
        <f>data_origin!W153</f>
        <v>0</v>
      </c>
      <c r="X116" s="5">
        <f>data_origin!X153</f>
        <v>0</v>
      </c>
      <c r="Y116" s="5">
        <f>data_origin!Y153</f>
        <v>0</v>
      </c>
      <c r="Z116" s="5">
        <f>data_origin!Z153</f>
        <v>0</v>
      </c>
      <c r="AA116" s="5">
        <f>data_origin!AA153</f>
        <v>0</v>
      </c>
      <c r="AB116" s="5">
        <f t="shared" si="19"/>
        <v>0</v>
      </c>
      <c r="AH116" t="s">
        <v>84</v>
      </c>
      <c r="AI116" s="5">
        <f>data_origin!T2366</f>
        <v>0</v>
      </c>
      <c r="AJ116" s="5">
        <f>data_origin!U2366</f>
        <v>0</v>
      </c>
      <c r="AK116" s="5">
        <f>data_origin!V2366</f>
        <v>0</v>
      </c>
      <c r="AL116" s="5">
        <f>data_origin!W2366</f>
        <v>0</v>
      </c>
      <c r="AM116" s="5">
        <f>data_origin!X2366</f>
        <v>0</v>
      </c>
      <c r="AN116" s="5">
        <f>data_origin!Y2366</f>
        <v>0</v>
      </c>
      <c r="AO116" s="5">
        <f>data_origin!Z2366</f>
        <v>0</v>
      </c>
      <c r="AP116" s="5">
        <f>data_origin!AA2366</f>
        <v>0</v>
      </c>
      <c r="AQ116" s="9">
        <f t="shared" si="20"/>
        <v>0</v>
      </c>
      <c r="AV116" t="s">
        <v>84</v>
      </c>
      <c r="AW116" s="5">
        <f>data_origin!T3080</f>
        <v>0</v>
      </c>
      <c r="AX116" s="5">
        <f>data_origin!U3080</f>
        <v>0</v>
      </c>
      <c r="AY116" s="5">
        <f>data_origin!V3080</f>
        <v>0</v>
      </c>
      <c r="AZ116" s="5">
        <f>data_origin!W3080</f>
        <v>0</v>
      </c>
      <c r="BA116" s="5">
        <f>data_origin!X3080</f>
        <v>0</v>
      </c>
      <c r="BB116" s="5">
        <f>data_origin!Y3080</f>
        <v>0</v>
      </c>
      <c r="BC116" s="5">
        <f>data_origin!Z3080</f>
        <v>0</v>
      </c>
      <c r="BD116" s="5">
        <f>data_origin!AA3080</f>
        <v>0</v>
      </c>
      <c r="BE116" s="9">
        <f t="shared" si="21"/>
        <v>0</v>
      </c>
    </row>
    <row r="117" spans="4:57" x14ac:dyDescent="0.25">
      <c r="D117" t="s">
        <v>85</v>
      </c>
      <c r="E117" s="35">
        <f t="shared" si="18"/>
        <v>0</v>
      </c>
      <c r="F117" s="35">
        <f t="shared" si="18"/>
        <v>0</v>
      </c>
      <c r="G117" s="35">
        <f t="shared" si="18"/>
        <v>0</v>
      </c>
      <c r="H117" s="35">
        <f t="shared" si="17"/>
        <v>0</v>
      </c>
      <c r="I117" s="35">
        <f t="shared" si="17"/>
        <v>0</v>
      </c>
      <c r="J117" s="35">
        <f t="shared" si="17"/>
        <v>0</v>
      </c>
      <c r="K117" s="35">
        <f t="shared" si="17"/>
        <v>0</v>
      </c>
      <c r="L117" s="35">
        <f t="shared" si="17"/>
        <v>0</v>
      </c>
      <c r="M117" s="35">
        <f t="shared" si="16"/>
        <v>0</v>
      </c>
      <c r="S117" t="s">
        <v>85</v>
      </c>
      <c r="T117" s="5">
        <f>data_origin!T154</f>
        <v>0</v>
      </c>
      <c r="U117" s="5">
        <f>data_origin!U154</f>
        <v>0</v>
      </c>
      <c r="V117" s="5">
        <f>data_origin!V154</f>
        <v>0</v>
      </c>
      <c r="W117" s="5">
        <f>data_origin!W154</f>
        <v>0</v>
      </c>
      <c r="X117" s="5">
        <f>data_origin!X154</f>
        <v>0</v>
      </c>
      <c r="Y117" s="5">
        <f>data_origin!Y154</f>
        <v>0</v>
      </c>
      <c r="Z117" s="5">
        <f>data_origin!Z154</f>
        <v>0</v>
      </c>
      <c r="AA117" s="5">
        <f>data_origin!AA154</f>
        <v>0</v>
      </c>
      <c r="AB117" s="5">
        <f t="shared" si="19"/>
        <v>0</v>
      </c>
      <c r="AH117" t="s">
        <v>85</v>
      </c>
      <c r="AI117" s="5">
        <f>data_origin!T2367</f>
        <v>0</v>
      </c>
      <c r="AJ117" s="5">
        <f>data_origin!U2367</f>
        <v>0</v>
      </c>
      <c r="AK117" s="5">
        <f>data_origin!V2367</f>
        <v>0</v>
      </c>
      <c r="AL117" s="5">
        <f>data_origin!W2367</f>
        <v>0</v>
      </c>
      <c r="AM117" s="5">
        <f>data_origin!X2367</f>
        <v>0</v>
      </c>
      <c r="AN117" s="5">
        <f>data_origin!Y2367</f>
        <v>0</v>
      </c>
      <c r="AO117" s="5">
        <f>data_origin!Z2367</f>
        <v>0</v>
      </c>
      <c r="AP117" s="5">
        <f>data_origin!AA2367</f>
        <v>0</v>
      </c>
      <c r="AQ117" s="9">
        <f t="shared" si="20"/>
        <v>0</v>
      </c>
      <c r="AV117" t="s">
        <v>85</v>
      </c>
      <c r="AW117" s="5">
        <f>data_origin!T3081</f>
        <v>0</v>
      </c>
      <c r="AX117" s="5">
        <f>data_origin!U3081</f>
        <v>0</v>
      </c>
      <c r="AY117" s="5">
        <f>data_origin!V3081</f>
        <v>0</v>
      </c>
      <c r="AZ117" s="5">
        <f>data_origin!W3081</f>
        <v>0</v>
      </c>
      <c r="BA117" s="5">
        <f>data_origin!X3081</f>
        <v>0</v>
      </c>
      <c r="BB117" s="5">
        <f>data_origin!Y3081</f>
        <v>0</v>
      </c>
      <c r="BC117" s="5">
        <f>data_origin!Z3081</f>
        <v>0</v>
      </c>
      <c r="BD117" s="5">
        <f>data_origin!AA3081</f>
        <v>0</v>
      </c>
      <c r="BE117" s="9">
        <f t="shared" si="21"/>
        <v>0</v>
      </c>
    </row>
    <row r="118" spans="4:57" x14ac:dyDescent="0.25">
      <c r="D118" t="s">
        <v>86</v>
      </c>
      <c r="E118" s="35">
        <f t="shared" si="18"/>
        <v>0</v>
      </c>
      <c r="F118" s="35">
        <f t="shared" si="18"/>
        <v>0</v>
      </c>
      <c r="G118" s="35">
        <f t="shared" si="18"/>
        <v>0</v>
      </c>
      <c r="H118" s="35">
        <f t="shared" si="17"/>
        <v>0</v>
      </c>
      <c r="I118" s="35">
        <f t="shared" si="17"/>
        <v>0</v>
      </c>
      <c r="J118" s="35">
        <f t="shared" si="17"/>
        <v>0</v>
      </c>
      <c r="K118" s="35">
        <f t="shared" si="17"/>
        <v>0</v>
      </c>
      <c r="L118" s="35">
        <f t="shared" si="17"/>
        <v>0</v>
      </c>
      <c r="M118" s="35">
        <f t="shared" si="16"/>
        <v>0</v>
      </c>
      <c r="S118" t="s">
        <v>86</v>
      </c>
      <c r="T118" s="5">
        <f>data_origin!T155</f>
        <v>0</v>
      </c>
      <c r="U118" s="5">
        <f>data_origin!U155</f>
        <v>0</v>
      </c>
      <c r="V118" s="5">
        <f>data_origin!V155</f>
        <v>0</v>
      </c>
      <c r="W118" s="5">
        <f>data_origin!W155</f>
        <v>0</v>
      </c>
      <c r="X118" s="5">
        <f>data_origin!X155</f>
        <v>0</v>
      </c>
      <c r="Y118" s="5">
        <f>data_origin!Y155</f>
        <v>0</v>
      </c>
      <c r="Z118" s="5">
        <f>data_origin!Z155</f>
        <v>0</v>
      </c>
      <c r="AA118" s="5">
        <f>data_origin!AA155</f>
        <v>0</v>
      </c>
      <c r="AB118" s="5">
        <f t="shared" si="19"/>
        <v>0</v>
      </c>
      <c r="AH118" t="s">
        <v>86</v>
      </c>
      <c r="AI118" s="5">
        <f>data_origin!T2368</f>
        <v>0</v>
      </c>
      <c r="AJ118" s="5">
        <f>data_origin!U2368</f>
        <v>0</v>
      </c>
      <c r="AK118" s="5">
        <f>data_origin!V2368</f>
        <v>1</v>
      </c>
      <c r="AL118" s="5">
        <f>data_origin!W2368</f>
        <v>0</v>
      </c>
      <c r="AM118" s="5">
        <f>data_origin!X2368</f>
        <v>0</v>
      </c>
      <c r="AN118" s="5">
        <f>data_origin!Y2368</f>
        <v>0</v>
      </c>
      <c r="AO118" s="5">
        <f>data_origin!Z2368</f>
        <v>0</v>
      </c>
      <c r="AP118" s="5">
        <f>data_origin!AA2368</f>
        <v>0</v>
      </c>
      <c r="AQ118" s="9">
        <f t="shared" si="20"/>
        <v>1</v>
      </c>
      <c r="AV118" t="s">
        <v>86</v>
      </c>
      <c r="AW118" s="5">
        <f>data_origin!T3082</f>
        <v>0</v>
      </c>
      <c r="AX118" s="5">
        <f>data_origin!U3082</f>
        <v>0</v>
      </c>
      <c r="AY118" s="5">
        <f>data_origin!V3082</f>
        <v>0</v>
      </c>
      <c r="AZ118" s="5">
        <f>data_origin!W3082</f>
        <v>0</v>
      </c>
      <c r="BA118" s="5">
        <f>data_origin!X3082</f>
        <v>0</v>
      </c>
      <c r="BB118" s="5">
        <f>data_origin!Y3082</f>
        <v>0</v>
      </c>
      <c r="BC118" s="5">
        <f>data_origin!Z3082</f>
        <v>0</v>
      </c>
      <c r="BD118" s="5">
        <f>data_origin!AA3082</f>
        <v>0</v>
      </c>
      <c r="BE118" s="9">
        <f t="shared" si="21"/>
        <v>0</v>
      </c>
    </row>
    <row r="119" spans="4:57" x14ac:dyDescent="0.25">
      <c r="D119" t="s">
        <v>87</v>
      </c>
      <c r="E119" s="35">
        <f t="shared" si="18"/>
        <v>0</v>
      </c>
      <c r="F119" s="35">
        <f t="shared" si="18"/>
        <v>0</v>
      </c>
      <c r="G119" s="35">
        <f t="shared" si="18"/>
        <v>0</v>
      </c>
      <c r="H119" s="35">
        <f t="shared" si="17"/>
        <v>0</v>
      </c>
      <c r="I119" s="35">
        <f t="shared" si="17"/>
        <v>0</v>
      </c>
      <c r="J119" s="35">
        <f t="shared" si="17"/>
        <v>0</v>
      </c>
      <c r="K119" s="35">
        <f t="shared" si="17"/>
        <v>0</v>
      </c>
      <c r="L119" s="35">
        <f t="shared" si="17"/>
        <v>0</v>
      </c>
      <c r="M119" s="35">
        <f t="shared" si="16"/>
        <v>0</v>
      </c>
      <c r="S119" t="s">
        <v>87</v>
      </c>
      <c r="T119" s="5">
        <f>data_origin!T156</f>
        <v>0</v>
      </c>
      <c r="U119" s="5">
        <f>data_origin!U156</f>
        <v>0</v>
      </c>
      <c r="V119" s="5">
        <f>data_origin!V156</f>
        <v>0</v>
      </c>
      <c r="W119" s="5">
        <f>data_origin!W156</f>
        <v>0</v>
      </c>
      <c r="X119" s="5">
        <f>data_origin!X156</f>
        <v>0</v>
      </c>
      <c r="Y119" s="5">
        <f>data_origin!Y156</f>
        <v>0</v>
      </c>
      <c r="Z119" s="5">
        <f>data_origin!Z156</f>
        <v>0</v>
      </c>
      <c r="AA119" s="5">
        <f>data_origin!AA156</f>
        <v>0</v>
      </c>
      <c r="AB119" s="5">
        <f t="shared" si="19"/>
        <v>0</v>
      </c>
      <c r="AH119" t="s">
        <v>87</v>
      </c>
      <c r="AI119" s="5">
        <f>data_origin!T2369</f>
        <v>0</v>
      </c>
      <c r="AJ119" s="5">
        <f>data_origin!U2369</f>
        <v>0</v>
      </c>
      <c r="AK119" s="5">
        <f>data_origin!V2369</f>
        <v>0</v>
      </c>
      <c r="AL119" s="5">
        <f>data_origin!W2369</f>
        <v>0</v>
      </c>
      <c r="AM119" s="5">
        <f>data_origin!X2369</f>
        <v>0</v>
      </c>
      <c r="AN119" s="5">
        <f>data_origin!Y2369</f>
        <v>0</v>
      </c>
      <c r="AO119" s="5">
        <f>data_origin!Z2369</f>
        <v>0</v>
      </c>
      <c r="AP119" s="5">
        <f>data_origin!AA2369</f>
        <v>0</v>
      </c>
      <c r="AQ119" s="9">
        <f t="shared" si="20"/>
        <v>0</v>
      </c>
      <c r="AV119" t="s">
        <v>87</v>
      </c>
      <c r="AW119" s="5">
        <f>data_origin!T3083</f>
        <v>0</v>
      </c>
      <c r="AX119" s="5">
        <f>data_origin!U3083</f>
        <v>0</v>
      </c>
      <c r="AY119" s="5">
        <f>data_origin!V3083</f>
        <v>0</v>
      </c>
      <c r="AZ119" s="5">
        <f>data_origin!W3083</f>
        <v>0</v>
      </c>
      <c r="BA119" s="5">
        <f>data_origin!X3083</f>
        <v>0</v>
      </c>
      <c r="BB119" s="5">
        <f>data_origin!Y3083</f>
        <v>0</v>
      </c>
      <c r="BC119" s="5">
        <f>data_origin!Z3083</f>
        <v>0</v>
      </c>
      <c r="BD119" s="5">
        <f>data_origin!AA3083</f>
        <v>0</v>
      </c>
      <c r="BE119" s="9">
        <f t="shared" si="21"/>
        <v>0</v>
      </c>
    </row>
    <row r="120" spans="4:57" x14ac:dyDescent="0.25">
      <c r="D120" t="s">
        <v>88</v>
      </c>
      <c r="E120" s="35">
        <f t="shared" si="18"/>
        <v>0</v>
      </c>
      <c r="F120" s="35">
        <f t="shared" si="18"/>
        <v>0</v>
      </c>
      <c r="G120" s="35">
        <f t="shared" si="18"/>
        <v>0</v>
      </c>
      <c r="H120" s="35">
        <f t="shared" si="17"/>
        <v>0</v>
      </c>
      <c r="I120" s="35">
        <f t="shared" si="17"/>
        <v>0</v>
      </c>
      <c r="J120" s="35">
        <f t="shared" si="17"/>
        <v>0</v>
      </c>
      <c r="K120" s="35">
        <f t="shared" si="17"/>
        <v>0</v>
      </c>
      <c r="L120" s="35">
        <f t="shared" si="17"/>
        <v>0</v>
      </c>
      <c r="M120" s="35">
        <f t="shared" si="16"/>
        <v>0</v>
      </c>
      <c r="S120" t="s">
        <v>88</v>
      </c>
      <c r="T120" s="5">
        <f>data_origin!T157</f>
        <v>0</v>
      </c>
      <c r="U120" s="5">
        <f>data_origin!U157</f>
        <v>0</v>
      </c>
      <c r="V120" s="5">
        <f>data_origin!V157</f>
        <v>0</v>
      </c>
      <c r="W120" s="5">
        <f>data_origin!W157</f>
        <v>0</v>
      </c>
      <c r="X120" s="5">
        <f>data_origin!X157</f>
        <v>0</v>
      </c>
      <c r="Y120" s="5">
        <f>data_origin!Y157</f>
        <v>0</v>
      </c>
      <c r="Z120" s="5">
        <f>data_origin!Z157</f>
        <v>0</v>
      </c>
      <c r="AA120" s="5">
        <f>data_origin!AA157</f>
        <v>0</v>
      </c>
      <c r="AB120" s="5">
        <f t="shared" si="19"/>
        <v>0</v>
      </c>
      <c r="AH120" t="s">
        <v>88</v>
      </c>
      <c r="AI120" s="5">
        <f>data_origin!T2370</f>
        <v>0</v>
      </c>
      <c r="AJ120" s="5">
        <f>data_origin!U2370</f>
        <v>0</v>
      </c>
      <c r="AK120" s="5">
        <f>data_origin!V2370</f>
        <v>0</v>
      </c>
      <c r="AL120" s="5">
        <f>data_origin!W2370</f>
        <v>0</v>
      </c>
      <c r="AM120" s="5">
        <f>data_origin!X2370</f>
        <v>0</v>
      </c>
      <c r="AN120" s="5">
        <f>data_origin!Y2370</f>
        <v>0</v>
      </c>
      <c r="AO120" s="5">
        <f>data_origin!Z2370</f>
        <v>0</v>
      </c>
      <c r="AP120" s="5">
        <f>data_origin!AA2370</f>
        <v>0</v>
      </c>
      <c r="AQ120" s="9">
        <f t="shared" si="20"/>
        <v>0</v>
      </c>
      <c r="AV120" t="s">
        <v>88</v>
      </c>
      <c r="AW120" s="5">
        <f>data_origin!T3084</f>
        <v>0</v>
      </c>
      <c r="AX120" s="5">
        <f>data_origin!U3084</f>
        <v>0</v>
      </c>
      <c r="AY120" s="5">
        <f>data_origin!V3084</f>
        <v>0</v>
      </c>
      <c r="AZ120" s="5">
        <f>data_origin!W3084</f>
        <v>0</v>
      </c>
      <c r="BA120" s="5">
        <f>data_origin!X3084</f>
        <v>0</v>
      </c>
      <c r="BB120" s="5">
        <f>data_origin!Y3084</f>
        <v>0</v>
      </c>
      <c r="BC120" s="5">
        <f>data_origin!Z3084</f>
        <v>0</v>
      </c>
      <c r="BD120" s="5">
        <f>data_origin!AA3084</f>
        <v>0</v>
      </c>
      <c r="BE120" s="9">
        <f t="shared" si="21"/>
        <v>0</v>
      </c>
    </row>
    <row r="121" spans="4:57" x14ac:dyDescent="0.25">
      <c r="D121" t="s">
        <v>89</v>
      </c>
      <c r="E121" s="35">
        <f t="shared" si="18"/>
        <v>0</v>
      </c>
      <c r="F121" s="35">
        <f t="shared" si="18"/>
        <v>0</v>
      </c>
      <c r="G121" s="35">
        <f t="shared" si="18"/>
        <v>0</v>
      </c>
      <c r="H121" s="35">
        <f t="shared" si="17"/>
        <v>0</v>
      </c>
      <c r="I121" s="35">
        <f t="shared" si="17"/>
        <v>0</v>
      </c>
      <c r="J121" s="35">
        <f t="shared" si="17"/>
        <v>0</v>
      </c>
      <c r="K121" s="35">
        <f t="shared" si="17"/>
        <v>0</v>
      </c>
      <c r="L121" s="35">
        <f t="shared" si="17"/>
        <v>0</v>
      </c>
      <c r="M121" s="35">
        <f t="shared" si="16"/>
        <v>0</v>
      </c>
      <c r="S121" t="s">
        <v>89</v>
      </c>
      <c r="T121" s="5">
        <f>data_origin!T158</f>
        <v>0</v>
      </c>
      <c r="U121" s="5">
        <f>data_origin!U158</f>
        <v>0</v>
      </c>
      <c r="V121" s="5">
        <f>data_origin!V158</f>
        <v>0</v>
      </c>
      <c r="W121" s="5">
        <f>data_origin!W158</f>
        <v>0</v>
      </c>
      <c r="X121" s="5">
        <f>data_origin!X158</f>
        <v>0</v>
      </c>
      <c r="Y121" s="5">
        <f>data_origin!Y158</f>
        <v>0</v>
      </c>
      <c r="Z121" s="5">
        <f>data_origin!Z158</f>
        <v>0</v>
      </c>
      <c r="AA121" s="5">
        <f>data_origin!AA158</f>
        <v>0</v>
      </c>
      <c r="AB121" s="5">
        <f t="shared" si="19"/>
        <v>0</v>
      </c>
      <c r="AH121" t="s">
        <v>89</v>
      </c>
      <c r="AI121" s="5">
        <f>data_origin!T2371</f>
        <v>0</v>
      </c>
      <c r="AJ121" s="5">
        <f>data_origin!U2371</f>
        <v>0</v>
      </c>
      <c r="AK121" s="5">
        <f>data_origin!V2371</f>
        <v>0</v>
      </c>
      <c r="AL121" s="5">
        <f>data_origin!W2371</f>
        <v>0</v>
      </c>
      <c r="AM121" s="5">
        <f>data_origin!X2371</f>
        <v>0</v>
      </c>
      <c r="AN121" s="5">
        <f>data_origin!Y2371</f>
        <v>0</v>
      </c>
      <c r="AO121" s="5">
        <f>data_origin!Z2371</f>
        <v>0</v>
      </c>
      <c r="AP121" s="5">
        <f>data_origin!AA2371</f>
        <v>0</v>
      </c>
      <c r="AQ121" s="9">
        <f t="shared" si="20"/>
        <v>0</v>
      </c>
      <c r="AV121" t="s">
        <v>89</v>
      </c>
      <c r="AW121" s="5">
        <f>data_origin!T3085</f>
        <v>0</v>
      </c>
      <c r="AX121" s="5">
        <f>data_origin!U3085</f>
        <v>0</v>
      </c>
      <c r="AY121" s="5">
        <f>data_origin!V3085</f>
        <v>1</v>
      </c>
      <c r="AZ121" s="5">
        <f>data_origin!W3085</f>
        <v>0</v>
      </c>
      <c r="BA121" s="5">
        <f>data_origin!X3085</f>
        <v>0</v>
      </c>
      <c r="BB121" s="5">
        <f>data_origin!Y3085</f>
        <v>0</v>
      </c>
      <c r="BC121" s="5">
        <f>data_origin!Z3085</f>
        <v>0</v>
      </c>
      <c r="BD121" s="5">
        <f>data_origin!AA3085</f>
        <v>0</v>
      </c>
      <c r="BE121" s="9">
        <f t="shared" si="21"/>
        <v>1</v>
      </c>
    </row>
    <row r="122" spans="4:57" x14ac:dyDescent="0.25">
      <c r="D122" t="s">
        <v>90</v>
      </c>
      <c r="E122" s="35">
        <f t="shared" si="18"/>
        <v>0</v>
      </c>
      <c r="F122" s="35">
        <f t="shared" si="18"/>
        <v>0</v>
      </c>
      <c r="G122" s="35">
        <f t="shared" si="18"/>
        <v>0</v>
      </c>
      <c r="H122" s="35">
        <f t="shared" si="17"/>
        <v>0</v>
      </c>
      <c r="I122" s="35">
        <f t="shared" si="17"/>
        <v>0</v>
      </c>
      <c r="J122" s="35">
        <f t="shared" si="17"/>
        <v>0</v>
      </c>
      <c r="K122" s="35">
        <f t="shared" si="17"/>
        <v>0</v>
      </c>
      <c r="L122" s="35">
        <f t="shared" si="17"/>
        <v>0</v>
      </c>
      <c r="M122" s="35">
        <f t="shared" si="16"/>
        <v>0</v>
      </c>
      <c r="S122" t="s">
        <v>90</v>
      </c>
      <c r="T122" s="5">
        <f>data_origin!T159</f>
        <v>0</v>
      </c>
      <c r="U122" s="5">
        <f>data_origin!U159</f>
        <v>0</v>
      </c>
      <c r="V122" s="5">
        <f>data_origin!V159</f>
        <v>0</v>
      </c>
      <c r="W122" s="5">
        <f>data_origin!W159</f>
        <v>0</v>
      </c>
      <c r="X122" s="5">
        <f>data_origin!X159</f>
        <v>0</v>
      </c>
      <c r="Y122" s="5">
        <f>data_origin!Y159</f>
        <v>0</v>
      </c>
      <c r="Z122" s="5">
        <f>data_origin!Z159</f>
        <v>0</v>
      </c>
      <c r="AA122" s="5">
        <f>data_origin!AA159</f>
        <v>0</v>
      </c>
      <c r="AB122" s="5">
        <f t="shared" si="19"/>
        <v>0</v>
      </c>
      <c r="AH122" t="s">
        <v>90</v>
      </c>
      <c r="AI122" s="5">
        <f>data_origin!T2372</f>
        <v>0</v>
      </c>
      <c r="AJ122" s="5">
        <f>data_origin!U2372</f>
        <v>0</v>
      </c>
      <c r="AK122" s="5">
        <f>data_origin!V2372</f>
        <v>0</v>
      </c>
      <c r="AL122" s="5">
        <f>data_origin!W2372</f>
        <v>0</v>
      </c>
      <c r="AM122" s="5">
        <f>data_origin!X2372</f>
        <v>0</v>
      </c>
      <c r="AN122" s="5">
        <f>data_origin!Y2372</f>
        <v>0</v>
      </c>
      <c r="AO122" s="5">
        <f>data_origin!Z2372</f>
        <v>0</v>
      </c>
      <c r="AP122" s="5">
        <f>data_origin!AA2372</f>
        <v>0</v>
      </c>
      <c r="AQ122" s="9">
        <f t="shared" si="20"/>
        <v>0</v>
      </c>
      <c r="AV122" t="s">
        <v>90</v>
      </c>
      <c r="AW122" s="5">
        <f>data_origin!T3086</f>
        <v>0</v>
      </c>
      <c r="AX122" s="5">
        <f>data_origin!U3086</f>
        <v>0</v>
      </c>
      <c r="AY122" s="5">
        <f>data_origin!V3086</f>
        <v>0</v>
      </c>
      <c r="AZ122" s="5">
        <f>data_origin!W3086</f>
        <v>0</v>
      </c>
      <c r="BA122" s="5">
        <f>data_origin!X3086</f>
        <v>0</v>
      </c>
      <c r="BB122" s="5">
        <f>data_origin!Y3086</f>
        <v>0</v>
      </c>
      <c r="BC122" s="5">
        <f>data_origin!Z3086</f>
        <v>0</v>
      </c>
      <c r="BD122" s="5">
        <f>data_origin!AA3086</f>
        <v>0</v>
      </c>
      <c r="BE122" s="9">
        <f t="shared" si="21"/>
        <v>0</v>
      </c>
    </row>
    <row r="123" spans="4:57" x14ac:dyDescent="0.25">
      <c r="D123" t="s">
        <v>91</v>
      </c>
      <c r="E123" s="35">
        <f t="shared" si="18"/>
        <v>0</v>
      </c>
      <c r="F123" s="35">
        <f t="shared" si="18"/>
        <v>0</v>
      </c>
      <c r="G123" s="35">
        <f t="shared" si="18"/>
        <v>0</v>
      </c>
      <c r="H123" s="35">
        <f t="shared" si="17"/>
        <v>0</v>
      </c>
      <c r="I123" s="35">
        <f t="shared" si="17"/>
        <v>0</v>
      </c>
      <c r="J123" s="35">
        <f t="shared" si="17"/>
        <v>0</v>
      </c>
      <c r="K123" s="35">
        <f t="shared" si="17"/>
        <v>0</v>
      </c>
      <c r="L123" s="35">
        <f t="shared" si="17"/>
        <v>0</v>
      </c>
      <c r="M123" s="35">
        <f t="shared" si="16"/>
        <v>0</v>
      </c>
      <c r="S123" t="s">
        <v>91</v>
      </c>
      <c r="T123" s="5">
        <f>data_origin!T160</f>
        <v>0</v>
      </c>
      <c r="U123" s="5">
        <f>data_origin!U160</f>
        <v>0</v>
      </c>
      <c r="V123" s="5">
        <f>data_origin!V160</f>
        <v>0</v>
      </c>
      <c r="W123" s="5">
        <f>data_origin!W160</f>
        <v>0</v>
      </c>
      <c r="X123" s="5">
        <f>data_origin!X160</f>
        <v>0</v>
      </c>
      <c r="Y123" s="5">
        <f>data_origin!Y160</f>
        <v>0</v>
      </c>
      <c r="Z123" s="5">
        <f>data_origin!Z160</f>
        <v>0</v>
      </c>
      <c r="AA123" s="5">
        <f>data_origin!AA160</f>
        <v>0</v>
      </c>
      <c r="AB123" s="5">
        <f t="shared" si="19"/>
        <v>0</v>
      </c>
      <c r="AH123" t="s">
        <v>91</v>
      </c>
      <c r="AI123" s="5">
        <f>data_origin!T2373</f>
        <v>0</v>
      </c>
      <c r="AJ123" s="5">
        <f>data_origin!U2373</f>
        <v>0</v>
      </c>
      <c r="AK123" s="5">
        <f>data_origin!V2373</f>
        <v>0</v>
      </c>
      <c r="AL123" s="5">
        <f>data_origin!W2373</f>
        <v>0</v>
      </c>
      <c r="AM123" s="5">
        <f>data_origin!X2373</f>
        <v>0</v>
      </c>
      <c r="AN123" s="5">
        <f>data_origin!Y2373</f>
        <v>0</v>
      </c>
      <c r="AO123" s="5">
        <f>data_origin!Z2373</f>
        <v>0</v>
      </c>
      <c r="AP123" s="5">
        <f>data_origin!AA2373</f>
        <v>0</v>
      </c>
      <c r="AQ123" s="9">
        <f t="shared" si="20"/>
        <v>0</v>
      </c>
      <c r="AV123" t="s">
        <v>91</v>
      </c>
      <c r="AW123" s="5">
        <f>data_origin!T3087</f>
        <v>0</v>
      </c>
      <c r="AX123" s="5">
        <f>data_origin!U3087</f>
        <v>0</v>
      </c>
      <c r="AY123" s="5">
        <f>data_origin!V3087</f>
        <v>0</v>
      </c>
      <c r="AZ123" s="5">
        <f>data_origin!W3087</f>
        <v>0</v>
      </c>
      <c r="BA123" s="5">
        <f>data_origin!X3087</f>
        <v>0</v>
      </c>
      <c r="BB123" s="5">
        <f>data_origin!Y3087</f>
        <v>0</v>
      </c>
      <c r="BC123" s="5">
        <f>data_origin!Z3087</f>
        <v>0</v>
      </c>
      <c r="BD123" s="5">
        <f>data_origin!AA3087</f>
        <v>0</v>
      </c>
      <c r="BE123" s="9">
        <f t="shared" si="21"/>
        <v>0</v>
      </c>
    </row>
    <row r="124" spans="4:57" x14ac:dyDescent="0.25">
      <c r="D124" t="s">
        <v>92</v>
      </c>
      <c r="E124" s="35">
        <f t="shared" si="18"/>
        <v>0</v>
      </c>
      <c r="F124" s="35">
        <f t="shared" si="18"/>
        <v>0</v>
      </c>
      <c r="G124" s="35">
        <f t="shared" si="18"/>
        <v>0</v>
      </c>
      <c r="H124" s="35">
        <f t="shared" si="17"/>
        <v>0</v>
      </c>
      <c r="I124" s="35">
        <f t="shared" si="17"/>
        <v>0</v>
      </c>
      <c r="J124" s="35">
        <f t="shared" si="17"/>
        <v>0</v>
      </c>
      <c r="K124" s="35">
        <f t="shared" si="17"/>
        <v>0</v>
      </c>
      <c r="L124" s="35">
        <f t="shared" si="17"/>
        <v>0</v>
      </c>
      <c r="M124" s="35">
        <f t="shared" si="16"/>
        <v>0</v>
      </c>
      <c r="S124" t="s">
        <v>92</v>
      </c>
      <c r="T124" s="5">
        <f>data_origin!T161</f>
        <v>0</v>
      </c>
      <c r="U124" s="5">
        <f>data_origin!U161</f>
        <v>0</v>
      </c>
      <c r="V124" s="5">
        <f>data_origin!V161</f>
        <v>0</v>
      </c>
      <c r="W124" s="5">
        <f>data_origin!W161</f>
        <v>0</v>
      </c>
      <c r="X124" s="5">
        <f>data_origin!X161</f>
        <v>0</v>
      </c>
      <c r="Y124" s="5">
        <f>data_origin!Y161</f>
        <v>0</v>
      </c>
      <c r="Z124" s="5">
        <f>data_origin!Z161</f>
        <v>0</v>
      </c>
      <c r="AA124" s="5">
        <f>data_origin!AA161</f>
        <v>0</v>
      </c>
      <c r="AB124" s="5">
        <f t="shared" si="19"/>
        <v>0</v>
      </c>
      <c r="AH124" t="s">
        <v>92</v>
      </c>
      <c r="AI124" s="5">
        <f>data_origin!T2374</f>
        <v>0</v>
      </c>
      <c r="AJ124" s="5">
        <f>data_origin!U2374</f>
        <v>0</v>
      </c>
      <c r="AK124" s="5">
        <f>data_origin!V2374</f>
        <v>0</v>
      </c>
      <c r="AL124" s="5">
        <f>data_origin!W2374</f>
        <v>0</v>
      </c>
      <c r="AM124" s="5">
        <f>data_origin!X2374</f>
        <v>0</v>
      </c>
      <c r="AN124" s="5">
        <f>data_origin!Y2374</f>
        <v>0</v>
      </c>
      <c r="AO124" s="5">
        <f>data_origin!Z2374</f>
        <v>0</v>
      </c>
      <c r="AP124" s="5">
        <f>data_origin!AA2374</f>
        <v>0</v>
      </c>
      <c r="AQ124" s="9">
        <f t="shared" si="20"/>
        <v>0</v>
      </c>
      <c r="AV124" t="s">
        <v>92</v>
      </c>
      <c r="AW124" s="5">
        <f>data_origin!T3088</f>
        <v>0</v>
      </c>
      <c r="AX124" s="5">
        <f>data_origin!U3088</f>
        <v>0</v>
      </c>
      <c r="AY124" s="5">
        <f>data_origin!V3088</f>
        <v>0</v>
      </c>
      <c r="AZ124" s="5">
        <f>data_origin!W3088</f>
        <v>0</v>
      </c>
      <c r="BA124" s="5">
        <f>data_origin!X3088</f>
        <v>0</v>
      </c>
      <c r="BB124" s="5">
        <f>data_origin!Y3088</f>
        <v>0</v>
      </c>
      <c r="BC124" s="5">
        <f>data_origin!Z3088</f>
        <v>0</v>
      </c>
      <c r="BD124" s="5">
        <f>data_origin!AA3088</f>
        <v>0</v>
      </c>
      <c r="BE124" s="9">
        <f t="shared" si="21"/>
        <v>0</v>
      </c>
    </row>
    <row r="125" spans="4:57" x14ac:dyDescent="0.25">
      <c r="D125" t="s">
        <v>93</v>
      </c>
      <c r="E125" s="35">
        <f t="shared" si="18"/>
        <v>0</v>
      </c>
      <c r="F125" s="35">
        <f t="shared" si="18"/>
        <v>0</v>
      </c>
      <c r="G125" s="35">
        <f t="shared" si="18"/>
        <v>0</v>
      </c>
      <c r="H125" s="35">
        <f t="shared" si="17"/>
        <v>0</v>
      </c>
      <c r="I125" s="35">
        <f t="shared" si="17"/>
        <v>0</v>
      </c>
      <c r="J125" s="35">
        <f t="shared" si="17"/>
        <v>0</v>
      </c>
      <c r="K125" s="35">
        <f t="shared" si="17"/>
        <v>0</v>
      </c>
      <c r="L125" s="35">
        <f t="shared" si="17"/>
        <v>0</v>
      </c>
      <c r="M125" s="35">
        <f t="shared" si="16"/>
        <v>0</v>
      </c>
      <c r="S125" t="s">
        <v>93</v>
      </c>
      <c r="T125" s="5">
        <f>data_origin!T162</f>
        <v>0</v>
      </c>
      <c r="U125" s="5">
        <f>data_origin!U162</f>
        <v>0</v>
      </c>
      <c r="V125" s="5">
        <f>data_origin!V162</f>
        <v>0</v>
      </c>
      <c r="W125" s="5">
        <f>data_origin!W162</f>
        <v>0</v>
      </c>
      <c r="X125" s="5">
        <f>data_origin!X162</f>
        <v>0</v>
      </c>
      <c r="Y125" s="5">
        <f>data_origin!Y162</f>
        <v>0</v>
      </c>
      <c r="Z125" s="5">
        <f>data_origin!Z162</f>
        <v>0</v>
      </c>
      <c r="AA125" s="5">
        <f>data_origin!AA162</f>
        <v>0</v>
      </c>
      <c r="AB125" s="5">
        <f t="shared" si="19"/>
        <v>0</v>
      </c>
      <c r="AH125" t="s">
        <v>93</v>
      </c>
      <c r="AI125" s="5">
        <f>data_origin!T2375</f>
        <v>0</v>
      </c>
      <c r="AJ125" s="5">
        <f>data_origin!U2375</f>
        <v>0</v>
      </c>
      <c r="AK125" s="5">
        <f>data_origin!V2375</f>
        <v>0</v>
      </c>
      <c r="AL125" s="5">
        <f>data_origin!W2375</f>
        <v>0</v>
      </c>
      <c r="AM125" s="5">
        <f>data_origin!X2375</f>
        <v>0</v>
      </c>
      <c r="AN125" s="5">
        <f>data_origin!Y2375</f>
        <v>0</v>
      </c>
      <c r="AO125" s="5">
        <f>data_origin!Z2375</f>
        <v>0</v>
      </c>
      <c r="AP125" s="5">
        <f>data_origin!AA2375</f>
        <v>0</v>
      </c>
      <c r="AQ125" s="9">
        <f t="shared" si="20"/>
        <v>0</v>
      </c>
      <c r="AV125" t="s">
        <v>93</v>
      </c>
      <c r="AW125" s="5">
        <f>data_origin!T3089</f>
        <v>0</v>
      </c>
      <c r="AX125" s="5">
        <f>data_origin!U3089</f>
        <v>0</v>
      </c>
      <c r="AY125" s="5">
        <f>data_origin!V3089</f>
        <v>0</v>
      </c>
      <c r="AZ125" s="5">
        <f>data_origin!W3089</f>
        <v>0</v>
      </c>
      <c r="BA125" s="5">
        <f>data_origin!X3089</f>
        <v>0</v>
      </c>
      <c r="BB125" s="5">
        <f>data_origin!Y3089</f>
        <v>0</v>
      </c>
      <c r="BC125" s="5">
        <f>data_origin!Z3089</f>
        <v>0</v>
      </c>
      <c r="BD125" s="5">
        <f>data_origin!AA3089</f>
        <v>0</v>
      </c>
      <c r="BE125" s="9">
        <f t="shared" si="21"/>
        <v>0</v>
      </c>
    </row>
    <row r="126" spans="4:57" x14ac:dyDescent="0.25">
      <c r="D126" t="s">
        <v>94</v>
      </c>
      <c r="E126" s="35">
        <f t="shared" si="18"/>
        <v>0</v>
      </c>
      <c r="F126" s="35">
        <f t="shared" si="18"/>
        <v>0</v>
      </c>
      <c r="G126" s="35">
        <f t="shared" si="18"/>
        <v>0</v>
      </c>
      <c r="H126" s="35">
        <f t="shared" si="17"/>
        <v>0</v>
      </c>
      <c r="I126" s="35">
        <f t="shared" si="17"/>
        <v>0</v>
      </c>
      <c r="J126" s="35">
        <f t="shared" si="17"/>
        <v>0</v>
      </c>
      <c r="K126" s="35">
        <f t="shared" si="17"/>
        <v>0</v>
      </c>
      <c r="L126" s="35">
        <f t="shared" si="17"/>
        <v>0</v>
      </c>
      <c r="M126" s="35">
        <f t="shared" si="16"/>
        <v>0</v>
      </c>
      <c r="S126" t="s">
        <v>94</v>
      </c>
      <c r="T126" s="5">
        <f>data_origin!T163</f>
        <v>0</v>
      </c>
      <c r="U126" s="5">
        <f>data_origin!U163</f>
        <v>0</v>
      </c>
      <c r="V126" s="5">
        <f>data_origin!V163</f>
        <v>0</v>
      </c>
      <c r="W126" s="5">
        <f>data_origin!W163</f>
        <v>0</v>
      </c>
      <c r="X126" s="5">
        <f>data_origin!X163</f>
        <v>0</v>
      </c>
      <c r="Y126" s="5">
        <f>data_origin!Y163</f>
        <v>0</v>
      </c>
      <c r="Z126" s="5">
        <f>data_origin!Z163</f>
        <v>0</v>
      </c>
      <c r="AA126" s="5">
        <f>data_origin!AA163</f>
        <v>0</v>
      </c>
      <c r="AB126" s="5">
        <f t="shared" si="19"/>
        <v>0</v>
      </c>
      <c r="AH126" t="s">
        <v>94</v>
      </c>
      <c r="AI126" s="5">
        <f>data_origin!T2376</f>
        <v>0</v>
      </c>
      <c r="AJ126" s="5">
        <f>data_origin!U2376</f>
        <v>0</v>
      </c>
      <c r="AK126" s="5">
        <f>data_origin!V2376</f>
        <v>0</v>
      </c>
      <c r="AL126" s="5">
        <f>data_origin!W2376</f>
        <v>0</v>
      </c>
      <c r="AM126" s="5">
        <f>data_origin!X2376</f>
        <v>0</v>
      </c>
      <c r="AN126" s="5">
        <f>data_origin!Y2376</f>
        <v>0</v>
      </c>
      <c r="AO126" s="5">
        <f>data_origin!Z2376</f>
        <v>0</v>
      </c>
      <c r="AP126" s="5">
        <f>data_origin!AA2376</f>
        <v>0</v>
      </c>
      <c r="AQ126" s="9">
        <f t="shared" si="20"/>
        <v>0</v>
      </c>
      <c r="AV126" t="s">
        <v>94</v>
      </c>
      <c r="AW126" s="5">
        <f>data_origin!T3090</f>
        <v>0</v>
      </c>
      <c r="AX126" s="5">
        <f>data_origin!U3090</f>
        <v>0</v>
      </c>
      <c r="AY126" s="5">
        <f>data_origin!V3090</f>
        <v>0</v>
      </c>
      <c r="AZ126" s="5">
        <f>data_origin!W3090</f>
        <v>0</v>
      </c>
      <c r="BA126" s="5">
        <f>data_origin!X3090</f>
        <v>0</v>
      </c>
      <c r="BB126" s="5">
        <f>data_origin!Y3090</f>
        <v>0</v>
      </c>
      <c r="BC126" s="5">
        <f>data_origin!Z3090</f>
        <v>0</v>
      </c>
      <c r="BD126" s="5">
        <f>data_origin!AA3090</f>
        <v>0</v>
      </c>
      <c r="BE126" s="9">
        <f t="shared" si="21"/>
        <v>0</v>
      </c>
    </row>
    <row r="127" spans="4:57" x14ac:dyDescent="0.25">
      <c r="D127" t="s">
        <v>95</v>
      </c>
      <c r="E127" s="35">
        <f t="shared" si="18"/>
        <v>0</v>
      </c>
      <c r="F127" s="35">
        <f t="shared" si="18"/>
        <v>0</v>
      </c>
      <c r="G127" s="35">
        <f t="shared" si="18"/>
        <v>0</v>
      </c>
      <c r="H127" s="35">
        <f t="shared" si="17"/>
        <v>0</v>
      </c>
      <c r="I127" s="35">
        <f t="shared" si="17"/>
        <v>0</v>
      </c>
      <c r="J127" s="35">
        <f t="shared" si="17"/>
        <v>0</v>
      </c>
      <c r="K127" s="35">
        <f t="shared" si="17"/>
        <v>0</v>
      </c>
      <c r="L127" s="35">
        <f t="shared" si="17"/>
        <v>0</v>
      </c>
      <c r="M127" s="35">
        <f t="shared" si="16"/>
        <v>0</v>
      </c>
      <c r="S127" t="s">
        <v>95</v>
      </c>
      <c r="T127" s="5">
        <f>data_origin!T164</f>
        <v>0</v>
      </c>
      <c r="U127" s="5">
        <f>data_origin!U164</f>
        <v>0</v>
      </c>
      <c r="V127" s="5">
        <f>data_origin!V164</f>
        <v>0</v>
      </c>
      <c r="W127" s="5">
        <f>data_origin!W164</f>
        <v>0</v>
      </c>
      <c r="X127" s="5">
        <f>data_origin!X164</f>
        <v>0</v>
      </c>
      <c r="Y127" s="5">
        <f>data_origin!Y164</f>
        <v>0</v>
      </c>
      <c r="Z127" s="5">
        <f>data_origin!Z164</f>
        <v>0</v>
      </c>
      <c r="AA127" s="5">
        <f>data_origin!AA164</f>
        <v>0</v>
      </c>
      <c r="AB127" s="5">
        <f t="shared" si="19"/>
        <v>0</v>
      </c>
      <c r="AH127" t="s">
        <v>95</v>
      </c>
      <c r="AI127" s="5">
        <f>data_origin!T2377</f>
        <v>0</v>
      </c>
      <c r="AJ127" s="5">
        <f>data_origin!U2377</f>
        <v>0</v>
      </c>
      <c r="AK127" s="5">
        <f>data_origin!V2377</f>
        <v>0</v>
      </c>
      <c r="AL127" s="5">
        <f>data_origin!W2377</f>
        <v>0</v>
      </c>
      <c r="AM127" s="5">
        <f>data_origin!X2377</f>
        <v>0</v>
      </c>
      <c r="AN127" s="5">
        <f>data_origin!Y2377</f>
        <v>0</v>
      </c>
      <c r="AO127" s="5">
        <f>data_origin!Z2377</f>
        <v>0</v>
      </c>
      <c r="AP127" s="5">
        <f>data_origin!AA2377</f>
        <v>0</v>
      </c>
      <c r="AQ127" s="9">
        <f t="shared" si="20"/>
        <v>0</v>
      </c>
      <c r="AV127" t="s">
        <v>95</v>
      </c>
      <c r="AW127" s="5">
        <f>data_origin!T3091</f>
        <v>0</v>
      </c>
      <c r="AX127" s="5">
        <f>data_origin!U3091</f>
        <v>0</v>
      </c>
      <c r="AY127" s="5">
        <f>data_origin!V3091</f>
        <v>0</v>
      </c>
      <c r="AZ127" s="5">
        <f>data_origin!W3091</f>
        <v>0</v>
      </c>
      <c r="BA127" s="5">
        <f>data_origin!X3091</f>
        <v>0</v>
      </c>
      <c r="BB127" s="5">
        <f>data_origin!Y3091</f>
        <v>0</v>
      </c>
      <c r="BC127" s="5">
        <f>data_origin!Z3091</f>
        <v>0</v>
      </c>
      <c r="BD127" s="5">
        <f>data_origin!AA3091</f>
        <v>0</v>
      </c>
      <c r="BE127" s="9">
        <f t="shared" si="21"/>
        <v>0</v>
      </c>
    </row>
    <row r="128" spans="4:57" x14ac:dyDescent="0.25">
      <c r="D128" t="s">
        <v>96</v>
      </c>
      <c r="E128" s="35">
        <f t="shared" si="18"/>
        <v>0</v>
      </c>
      <c r="F128" s="35">
        <f t="shared" si="18"/>
        <v>0</v>
      </c>
      <c r="G128" s="35">
        <f t="shared" si="18"/>
        <v>0</v>
      </c>
      <c r="H128" s="35">
        <f t="shared" si="17"/>
        <v>0</v>
      </c>
      <c r="I128" s="35">
        <f t="shared" si="17"/>
        <v>0</v>
      </c>
      <c r="J128" s="35">
        <f t="shared" ref="J128:L134" si="22">Y128+IFERROR((Y128/SUM(Y$3:Y$992)*AN$630),0)</f>
        <v>0</v>
      </c>
      <c r="K128" s="35">
        <f t="shared" si="22"/>
        <v>0</v>
      </c>
      <c r="L128" s="35">
        <f t="shared" si="22"/>
        <v>0</v>
      </c>
      <c r="M128" s="35">
        <f t="shared" si="16"/>
        <v>0</v>
      </c>
      <c r="S128" t="s">
        <v>96</v>
      </c>
      <c r="T128" s="5">
        <f>data_origin!T165</f>
        <v>0</v>
      </c>
      <c r="U128" s="5">
        <f>data_origin!U165</f>
        <v>0</v>
      </c>
      <c r="V128" s="5">
        <f>data_origin!V165</f>
        <v>0</v>
      </c>
      <c r="W128" s="5">
        <f>data_origin!W165</f>
        <v>0</v>
      </c>
      <c r="X128" s="5">
        <f>data_origin!X165</f>
        <v>0</v>
      </c>
      <c r="Y128" s="5">
        <f>data_origin!Y165</f>
        <v>0</v>
      </c>
      <c r="Z128" s="5">
        <f>data_origin!Z165</f>
        <v>0</v>
      </c>
      <c r="AA128" s="5">
        <f>data_origin!AA165</f>
        <v>0</v>
      </c>
      <c r="AB128" s="5">
        <f t="shared" si="19"/>
        <v>0</v>
      </c>
      <c r="AH128" t="s">
        <v>96</v>
      </c>
      <c r="AI128" s="5">
        <f>data_origin!T2378</f>
        <v>0</v>
      </c>
      <c r="AJ128" s="5">
        <f>data_origin!U2378</f>
        <v>0</v>
      </c>
      <c r="AK128" s="5">
        <f>data_origin!V2378</f>
        <v>0</v>
      </c>
      <c r="AL128" s="5">
        <f>data_origin!W2378</f>
        <v>0</v>
      </c>
      <c r="AM128" s="5">
        <f>data_origin!X2378</f>
        <v>0</v>
      </c>
      <c r="AN128" s="5">
        <f>data_origin!Y2378</f>
        <v>0</v>
      </c>
      <c r="AO128" s="5">
        <f>data_origin!Z2378</f>
        <v>0</v>
      </c>
      <c r="AP128" s="5">
        <f>data_origin!AA2378</f>
        <v>0</v>
      </c>
      <c r="AQ128" s="9">
        <f t="shared" si="20"/>
        <v>0</v>
      </c>
      <c r="AV128" t="s">
        <v>96</v>
      </c>
      <c r="AW128" s="5">
        <f>data_origin!T3092</f>
        <v>0</v>
      </c>
      <c r="AX128" s="5">
        <f>data_origin!U3092</f>
        <v>0</v>
      </c>
      <c r="AY128" s="5">
        <f>data_origin!V3092</f>
        <v>0</v>
      </c>
      <c r="AZ128" s="5">
        <f>data_origin!W3092</f>
        <v>0</v>
      </c>
      <c r="BA128" s="5">
        <f>data_origin!X3092</f>
        <v>0</v>
      </c>
      <c r="BB128" s="5">
        <f>data_origin!Y3092</f>
        <v>0</v>
      </c>
      <c r="BC128" s="5">
        <f>data_origin!Z3092</f>
        <v>0</v>
      </c>
      <c r="BD128" s="5">
        <f>data_origin!AA3092</f>
        <v>0</v>
      </c>
      <c r="BE128" s="9">
        <f t="shared" si="21"/>
        <v>0</v>
      </c>
    </row>
    <row r="129" spans="1:58" x14ac:dyDescent="0.25">
      <c r="D129" t="s">
        <v>97</v>
      </c>
      <c r="E129" s="35">
        <f t="shared" si="18"/>
        <v>0</v>
      </c>
      <c r="F129" s="35">
        <f t="shared" si="18"/>
        <v>0</v>
      </c>
      <c r="G129" s="35">
        <f t="shared" si="18"/>
        <v>0</v>
      </c>
      <c r="H129" s="35">
        <f t="shared" si="18"/>
        <v>0</v>
      </c>
      <c r="I129" s="35">
        <f t="shared" si="18"/>
        <v>0</v>
      </c>
      <c r="J129" s="35">
        <f t="shared" si="22"/>
        <v>0</v>
      </c>
      <c r="K129" s="35">
        <f t="shared" si="22"/>
        <v>0</v>
      </c>
      <c r="L129" s="35">
        <f t="shared" si="22"/>
        <v>0</v>
      </c>
      <c r="M129" s="35">
        <f t="shared" si="16"/>
        <v>0</v>
      </c>
      <c r="S129" t="s">
        <v>97</v>
      </c>
      <c r="T129" s="5">
        <f>data_origin!T166</f>
        <v>0</v>
      </c>
      <c r="U129" s="5">
        <f>data_origin!U166</f>
        <v>0</v>
      </c>
      <c r="V129" s="5">
        <f>data_origin!V166</f>
        <v>0</v>
      </c>
      <c r="W129" s="5">
        <f>data_origin!W166</f>
        <v>0</v>
      </c>
      <c r="X129" s="5">
        <f>data_origin!X166</f>
        <v>0</v>
      </c>
      <c r="Y129" s="5">
        <f>data_origin!Y166</f>
        <v>0</v>
      </c>
      <c r="Z129" s="5">
        <f>data_origin!Z166</f>
        <v>0</v>
      </c>
      <c r="AA129" s="5">
        <f>data_origin!AA166</f>
        <v>0</v>
      </c>
      <c r="AB129" s="5">
        <f t="shared" si="19"/>
        <v>0</v>
      </c>
      <c r="AH129" t="s">
        <v>97</v>
      </c>
      <c r="AI129" s="5">
        <f>data_origin!T2379</f>
        <v>0</v>
      </c>
      <c r="AJ129" s="5">
        <f>data_origin!U2379</f>
        <v>0</v>
      </c>
      <c r="AK129" s="5">
        <f>data_origin!V2379</f>
        <v>0</v>
      </c>
      <c r="AL129" s="5">
        <f>data_origin!W2379</f>
        <v>0</v>
      </c>
      <c r="AM129" s="5">
        <f>data_origin!X2379</f>
        <v>0</v>
      </c>
      <c r="AN129" s="5">
        <f>data_origin!Y2379</f>
        <v>0</v>
      </c>
      <c r="AO129" s="5">
        <f>data_origin!Z2379</f>
        <v>0</v>
      </c>
      <c r="AP129" s="5">
        <f>data_origin!AA2379</f>
        <v>0</v>
      </c>
      <c r="AQ129" s="9">
        <f t="shared" si="20"/>
        <v>0</v>
      </c>
      <c r="AV129" t="s">
        <v>97</v>
      </c>
      <c r="AW129" s="5">
        <f>data_origin!T3093</f>
        <v>0</v>
      </c>
      <c r="AX129" s="5">
        <f>data_origin!U3093</f>
        <v>0</v>
      </c>
      <c r="AY129" s="5">
        <f>data_origin!V3093</f>
        <v>0</v>
      </c>
      <c r="AZ129" s="5">
        <f>data_origin!W3093</f>
        <v>0</v>
      </c>
      <c r="BA129" s="5">
        <f>data_origin!X3093</f>
        <v>0</v>
      </c>
      <c r="BB129" s="5">
        <f>data_origin!Y3093</f>
        <v>0</v>
      </c>
      <c r="BC129" s="5">
        <f>data_origin!Z3093</f>
        <v>0</v>
      </c>
      <c r="BD129" s="5">
        <f>data_origin!AA3093</f>
        <v>0</v>
      </c>
      <c r="BE129" s="9">
        <f t="shared" si="21"/>
        <v>0</v>
      </c>
    </row>
    <row r="130" spans="1:58" x14ac:dyDescent="0.25">
      <c r="D130" t="s">
        <v>98</v>
      </c>
      <c r="E130" s="35">
        <f t="shared" si="18"/>
        <v>0</v>
      </c>
      <c r="F130" s="35">
        <f t="shared" si="18"/>
        <v>0</v>
      </c>
      <c r="G130" s="35">
        <f t="shared" si="18"/>
        <v>0</v>
      </c>
      <c r="H130" s="35">
        <f t="shared" si="18"/>
        <v>0</v>
      </c>
      <c r="I130" s="35">
        <f t="shared" si="18"/>
        <v>0</v>
      </c>
      <c r="J130" s="35">
        <f t="shared" si="22"/>
        <v>0</v>
      </c>
      <c r="K130" s="35">
        <f t="shared" si="22"/>
        <v>0</v>
      </c>
      <c r="L130" s="35">
        <f t="shared" si="22"/>
        <v>0</v>
      </c>
      <c r="M130" s="35">
        <f t="shared" si="16"/>
        <v>0</v>
      </c>
      <c r="S130" t="s">
        <v>98</v>
      </c>
      <c r="T130" s="5">
        <f>data_origin!T167</f>
        <v>0</v>
      </c>
      <c r="U130" s="5">
        <f>data_origin!U167</f>
        <v>0</v>
      </c>
      <c r="V130" s="5">
        <f>data_origin!V167</f>
        <v>0</v>
      </c>
      <c r="W130" s="5">
        <f>data_origin!W167</f>
        <v>0</v>
      </c>
      <c r="X130" s="5">
        <f>data_origin!X167</f>
        <v>0</v>
      </c>
      <c r="Y130" s="5">
        <f>data_origin!Y167</f>
        <v>0</v>
      </c>
      <c r="Z130" s="5">
        <f>data_origin!Z167</f>
        <v>0</v>
      </c>
      <c r="AA130" s="5">
        <f>data_origin!AA167</f>
        <v>0</v>
      </c>
      <c r="AB130" s="5">
        <f t="shared" si="19"/>
        <v>0</v>
      </c>
      <c r="AH130" t="s">
        <v>98</v>
      </c>
      <c r="AI130" s="5">
        <f>data_origin!T2380</f>
        <v>0</v>
      </c>
      <c r="AJ130" s="5">
        <f>data_origin!U2380</f>
        <v>0</v>
      </c>
      <c r="AK130" s="5">
        <f>data_origin!V2380</f>
        <v>0</v>
      </c>
      <c r="AL130" s="5">
        <f>data_origin!W2380</f>
        <v>1</v>
      </c>
      <c r="AM130" s="5">
        <f>data_origin!X2380</f>
        <v>0</v>
      </c>
      <c r="AN130" s="5">
        <f>data_origin!Y2380</f>
        <v>2</v>
      </c>
      <c r="AO130" s="5">
        <f>data_origin!Z2380</f>
        <v>0</v>
      </c>
      <c r="AP130" s="5">
        <f>data_origin!AA2380</f>
        <v>0</v>
      </c>
      <c r="AQ130" s="9">
        <f t="shared" si="20"/>
        <v>3</v>
      </c>
      <c r="AV130" t="s">
        <v>98</v>
      </c>
      <c r="AW130" s="5">
        <f>data_origin!T3094</f>
        <v>0</v>
      </c>
      <c r="AX130" s="5">
        <f>data_origin!U3094</f>
        <v>0</v>
      </c>
      <c r="AY130" s="5">
        <f>data_origin!V3094</f>
        <v>0</v>
      </c>
      <c r="AZ130" s="5">
        <f>data_origin!W3094</f>
        <v>0</v>
      </c>
      <c r="BA130" s="5">
        <f>data_origin!X3094</f>
        <v>0</v>
      </c>
      <c r="BB130" s="5">
        <f>data_origin!Y3094</f>
        <v>0</v>
      </c>
      <c r="BC130" s="5">
        <f>data_origin!Z3094</f>
        <v>0</v>
      </c>
      <c r="BD130" s="5">
        <f>data_origin!AA3094</f>
        <v>0</v>
      </c>
      <c r="BE130" s="9">
        <f t="shared" si="21"/>
        <v>0</v>
      </c>
    </row>
    <row r="131" spans="1:58" x14ac:dyDescent="0.25">
      <c r="D131" t="s">
        <v>119</v>
      </c>
      <c r="E131" s="35">
        <f t="shared" si="18"/>
        <v>0</v>
      </c>
      <c r="F131" s="35">
        <f t="shared" si="18"/>
        <v>0</v>
      </c>
      <c r="G131" s="35">
        <f t="shared" si="18"/>
        <v>0</v>
      </c>
      <c r="H131" s="35">
        <f t="shared" si="18"/>
        <v>0</v>
      </c>
      <c r="I131" s="35">
        <f t="shared" si="18"/>
        <v>0</v>
      </c>
      <c r="J131" s="35">
        <f t="shared" si="22"/>
        <v>0</v>
      </c>
      <c r="K131" s="35">
        <f t="shared" si="22"/>
        <v>0</v>
      </c>
      <c r="L131" s="35">
        <f t="shared" si="22"/>
        <v>0</v>
      </c>
      <c r="M131" s="35">
        <f t="shared" ref="M131:M167" si="23">SUM(E131:L131)</f>
        <v>0</v>
      </c>
      <c r="S131" t="s">
        <v>119</v>
      </c>
      <c r="T131" s="5">
        <f>data_origin!T168</f>
        <v>0</v>
      </c>
      <c r="U131" s="5">
        <f>data_origin!U168</f>
        <v>0</v>
      </c>
      <c r="V131" s="5">
        <f>data_origin!V168</f>
        <v>0</v>
      </c>
      <c r="W131" s="5">
        <f>data_origin!W168</f>
        <v>0</v>
      </c>
      <c r="X131" s="5">
        <f>data_origin!X168</f>
        <v>0</v>
      </c>
      <c r="Y131" s="5">
        <f>data_origin!Y168</f>
        <v>0</v>
      </c>
      <c r="Z131" s="5">
        <f>data_origin!Z168</f>
        <v>0</v>
      </c>
      <c r="AA131" s="5">
        <f>data_origin!AA168</f>
        <v>0</v>
      </c>
      <c r="AB131" s="5">
        <f t="shared" si="19"/>
        <v>0</v>
      </c>
      <c r="AH131" t="s">
        <v>119</v>
      </c>
      <c r="AI131" s="5">
        <f>data_origin!T2381</f>
        <v>0</v>
      </c>
      <c r="AJ131" s="5">
        <f>data_origin!U2381</f>
        <v>0</v>
      </c>
      <c r="AK131" s="5">
        <f>data_origin!V2381</f>
        <v>0</v>
      </c>
      <c r="AL131" s="5">
        <f>data_origin!W2381</f>
        <v>0</v>
      </c>
      <c r="AM131" s="5">
        <f>data_origin!X2381</f>
        <v>0</v>
      </c>
      <c r="AN131" s="5">
        <f>data_origin!Y2381</f>
        <v>0</v>
      </c>
      <c r="AO131" s="5">
        <f>data_origin!Z2381</f>
        <v>0</v>
      </c>
      <c r="AP131" s="5">
        <f>data_origin!AA2381</f>
        <v>0</v>
      </c>
      <c r="AQ131" s="9">
        <f t="shared" si="20"/>
        <v>0</v>
      </c>
      <c r="AV131" t="s">
        <v>119</v>
      </c>
      <c r="AW131" s="5">
        <f>data_origin!T3095</f>
        <v>0</v>
      </c>
      <c r="AX131" s="5">
        <f>data_origin!U3095</f>
        <v>0</v>
      </c>
      <c r="AY131" s="5">
        <f>data_origin!V3095</f>
        <v>0</v>
      </c>
      <c r="AZ131" s="5">
        <f>data_origin!W3095</f>
        <v>0</v>
      </c>
      <c r="BA131" s="5">
        <f>data_origin!X3095</f>
        <v>0</v>
      </c>
      <c r="BB131" s="5">
        <f>data_origin!Y3095</f>
        <v>0</v>
      </c>
      <c r="BC131" s="5">
        <f>data_origin!Z3095</f>
        <v>0</v>
      </c>
      <c r="BD131" s="5">
        <f>data_origin!AA3095</f>
        <v>0</v>
      </c>
      <c r="BE131" s="9">
        <f t="shared" si="21"/>
        <v>0</v>
      </c>
    </row>
    <row r="132" spans="1:58" x14ac:dyDescent="0.25">
      <c r="D132" t="s">
        <v>99</v>
      </c>
      <c r="E132" s="35">
        <f t="shared" si="18"/>
        <v>0</v>
      </c>
      <c r="F132" s="35">
        <f t="shared" si="18"/>
        <v>0</v>
      </c>
      <c r="G132" s="35">
        <f t="shared" si="18"/>
        <v>0</v>
      </c>
      <c r="H132" s="35">
        <f t="shared" si="18"/>
        <v>0</v>
      </c>
      <c r="I132" s="35">
        <f t="shared" si="18"/>
        <v>0</v>
      </c>
      <c r="J132" s="35">
        <f t="shared" si="22"/>
        <v>0</v>
      </c>
      <c r="K132" s="35">
        <f t="shared" si="22"/>
        <v>0</v>
      </c>
      <c r="L132" s="35">
        <f t="shared" si="22"/>
        <v>0</v>
      </c>
      <c r="M132" s="35">
        <f t="shared" si="23"/>
        <v>0</v>
      </c>
      <c r="S132" t="s">
        <v>99</v>
      </c>
      <c r="T132" s="5">
        <f>data_origin!T169</f>
        <v>0</v>
      </c>
      <c r="U132" s="5">
        <f>data_origin!U169</f>
        <v>0</v>
      </c>
      <c r="V132" s="5">
        <f>data_origin!V169</f>
        <v>0</v>
      </c>
      <c r="W132" s="5">
        <f>data_origin!W169</f>
        <v>0</v>
      </c>
      <c r="X132" s="5">
        <f>data_origin!X169</f>
        <v>0</v>
      </c>
      <c r="Y132" s="5">
        <f>data_origin!Y169</f>
        <v>0</v>
      </c>
      <c r="Z132" s="5">
        <f>data_origin!Z169</f>
        <v>0</v>
      </c>
      <c r="AA132" s="5">
        <f>data_origin!AA169</f>
        <v>0</v>
      </c>
      <c r="AB132" s="5">
        <f t="shared" si="19"/>
        <v>0</v>
      </c>
      <c r="AH132" t="s">
        <v>99</v>
      </c>
      <c r="AI132" s="5">
        <f>data_origin!T2382</f>
        <v>0</v>
      </c>
      <c r="AJ132" s="5">
        <f>data_origin!U2382</f>
        <v>0</v>
      </c>
      <c r="AK132" s="5">
        <f>data_origin!V2382</f>
        <v>0</v>
      </c>
      <c r="AL132" s="5">
        <f>data_origin!W2382</f>
        <v>0</v>
      </c>
      <c r="AM132" s="5">
        <f>data_origin!X2382</f>
        <v>0</v>
      </c>
      <c r="AN132" s="5">
        <f>data_origin!Y2382</f>
        <v>0</v>
      </c>
      <c r="AO132" s="5">
        <f>data_origin!Z2382</f>
        <v>0</v>
      </c>
      <c r="AP132" s="5">
        <f>data_origin!AA2382</f>
        <v>0</v>
      </c>
      <c r="AQ132" s="9">
        <f t="shared" si="20"/>
        <v>0</v>
      </c>
      <c r="AV132" t="s">
        <v>99</v>
      </c>
      <c r="AW132" s="5">
        <f>data_origin!T3096</f>
        <v>0</v>
      </c>
      <c r="AX132" s="5">
        <f>data_origin!U3096</f>
        <v>0</v>
      </c>
      <c r="AY132" s="5">
        <f>data_origin!V3096</f>
        <v>0</v>
      </c>
      <c r="AZ132" s="5">
        <f>data_origin!W3096</f>
        <v>0</v>
      </c>
      <c r="BA132" s="5">
        <f>data_origin!X3096</f>
        <v>0</v>
      </c>
      <c r="BB132" s="5">
        <f>data_origin!Y3096</f>
        <v>0</v>
      </c>
      <c r="BC132" s="5">
        <f>data_origin!Z3096</f>
        <v>0</v>
      </c>
      <c r="BD132" s="5">
        <f>data_origin!AA3096</f>
        <v>0</v>
      </c>
      <c r="BE132" s="9">
        <f t="shared" si="21"/>
        <v>0</v>
      </c>
    </row>
    <row r="133" spans="1:58" x14ac:dyDescent="0.25">
      <c r="D133" t="s">
        <v>100</v>
      </c>
      <c r="E133" s="35">
        <f t="shared" si="18"/>
        <v>0</v>
      </c>
      <c r="F133" s="35">
        <f t="shared" si="18"/>
        <v>0</v>
      </c>
      <c r="G133" s="35">
        <f t="shared" si="18"/>
        <v>0</v>
      </c>
      <c r="H133" s="35">
        <f t="shared" si="18"/>
        <v>0</v>
      </c>
      <c r="I133" s="35">
        <f t="shared" si="18"/>
        <v>0</v>
      </c>
      <c r="J133" s="35">
        <f t="shared" si="22"/>
        <v>0</v>
      </c>
      <c r="K133" s="35">
        <f t="shared" si="22"/>
        <v>0</v>
      </c>
      <c r="L133" s="35">
        <f t="shared" si="22"/>
        <v>0</v>
      </c>
      <c r="M133" s="35">
        <f t="shared" si="23"/>
        <v>0</v>
      </c>
      <c r="S133" t="s">
        <v>100</v>
      </c>
      <c r="T133" s="5">
        <f>data_origin!T170</f>
        <v>0</v>
      </c>
      <c r="U133" s="5">
        <f>data_origin!U170</f>
        <v>0</v>
      </c>
      <c r="V133" s="5">
        <f>data_origin!V170</f>
        <v>0</v>
      </c>
      <c r="W133" s="5">
        <f>data_origin!W170</f>
        <v>0</v>
      </c>
      <c r="X133" s="5">
        <f>data_origin!X170</f>
        <v>0</v>
      </c>
      <c r="Y133" s="5">
        <f>data_origin!Y170</f>
        <v>0</v>
      </c>
      <c r="Z133" s="5">
        <f>data_origin!Z170</f>
        <v>0</v>
      </c>
      <c r="AA133" s="5">
        <f>data_origin!AA170</f>
        <v>0</v>
      </c>
      <c r="AB133" s="5">
        <f t="shared" si="19"/>
        <v>0</v>
      </c>
      <c r="AH133" t="s">
        <v>100</v>
      </c>
      <c r="AI133" s="5">
        <f>data_origin!T2383</f>
        <v>0</v>
      </c>
      <c r="AJ133" s="5">
        <f>data_origin!U2383</f>
        <v>0</v>
      </c>
      <c r="AK133" s="5">
        <f>data_origin!V2383</f>
        <v>0</v>
      </c>
      <c r="AL133" s="5">
        <f>data_origin!W2383</f>
        <v>0</v>
      </c>
      <c r="AM133" s="5">
        <f>data_origin!X2383</f>
        <v>1</v>
      </c>
      <c r="AN133" s="5">
        <f>data_origin!Y2383</f>
        <v>0</v>
      </c>
      <c r="AO133" s="5">
        <f>data_origin!Z2383</f>
        <v>0</v>
      </c>
      <c r="AP133" s="5">
        <f>data_origin!AA2383</f>
        <v>0</v>
      </c>
      <c r="AQ133" s="9">
        <f t="shared" si="20"/>
        <v>1</v>
      </c>
      <c r="AV133" t="s">
        <v>100</v>
      </c>
      <c r="AW133" s="5">
        <f>data_origin!T3097</f>
        <v>0</v>
      </c>
      <c r="AX133" s="5">
        <f>data_origin!U3097</f>
        <v>0</v>
      </c>
      <c r="AY133" s="5">
        <f>data_origin!V3097</f>
        <v>0</v>
      </c>
      <c r="AZ133" s="5">
        <f>data_origin!W3097</f>
        <v>0</v>
      </c>
      <c r="BA133" s="5">
        <f>data_origin!X3097</f>
        <v>0</v>
      </c>
      <c r="BB133" s="5">
        <f>data_origin!Y3097</f>
        <v>0</v>
      </c>
      <c r="BC133" s="5">
        <f>data_origin!Z3097</f>
        <v>0</v>
      </c>
      <c r="BD133" s="5">
        <f>data_origin!AA3097</f>
        <v>0</v>
      </c>
      <c r="BE133" s="9">
        <f t="shared" si="21"/>
        <v>0</v>
      </c>
    </row>
    <row r="134" spans="1:58" x14ac:dyDescent="0.25">
      <c r="D134" t="s">
        <v>101</v>
      </c>
      <c r="E134" s="35">
        <f t="shared" si="18"/>
        <v>0</v>
      </c>
      <c r="F134" s="35">
        <f t="shared" si="18"/>
        <v>0</v>
      </c>
      <c r="G134" s="35">
        <f t="shared" si="18"/>
        <v>1.0012698412698413</v>
      </c>
      <c r="H134" s="35">
        <f t="shared" si="18"/>
        <v>0</v>
      </c>
      <c r="I134" s="35">
        <f t="shared" si="18"/>
        <v>0</v>
      </c>
      <c r="J134" s="35">
        <f t="shared" si="22"/>
        <v>0</v>
      </c>
      <c r="K134" s="35">
        <f t="shared" si="22"/>
        <v>0</v>
      </c>
      <c r="L134" s="35">
        <f t="shared" si="22"/>
        <v>0</v>
      </c>
      <c r="M134" s="35">
        <f t="shared" si="23"/>
        <v>1.0012698412698413</v>
      </c>
      <c r="N134" s="5">
        <f>SUM(M102:M134)</f>
        <v>3.0047213513054816</v>
      </c>
      <c r="S134" t="s">
        <v>101</v>
      </c>
      <c r="T134" s="5">
        <f>data_origin!T171</f>
        <v>0</v>
      </c>
      <c r="U134" s="5">
        <f>data_origin!U171</f>
        <v>0</v>
      </c>
      <c r="V134" s="5">
        <f>data_origin!V171</f>
        <v>1</v>
      </c>
      <c r="W134" s="5">
        <f>data_origin!W171</f>
        <v>0</v>
      </c>
      <c r="X134" s="5">
        <f>data_origin!X171</f>
        <v>0</v>
      </c>
      <c r="Y134" s="5">
        <f>data_origin!Y171</f>
        <v>0</v>
      </c>
      <c r="Z134" s="5">
        <f>data_origin!Z171</f>
        <v>0</v>
      </c>
      <c r="AA134" s="5">
        <f>data_origin!AA171</f>
        <v>0</v>
      </c>
      <c r="AB134" s="5">
        <f t="shared" si="19"/>
        <v>1</v>
      </c>
      <c r="AC134" s="5">
        <f>SUM(AB102:AB134)</f>
        <v>3</v>
      </c>
      <c r="AH134" t="s">
        <v>101</v>
      </c>
      <c r="AI134" s="5">
        <f>data_origin!T2384</f>
        <v>0</v>
      </c>
      <c r="AJ134" s="5">
        <f>data_origin!U2384</f>
        <v>0</v>
      </c>
      <c r="AK134" s="5">
        <f>data_origin!V2384</f>
        <v>0</v>
      </c>
      <c r="AL134" s="5">
        <f>data_origin!W2384</f>
        <v>0</v>
      </c>
      <c r="AM134" s="5">
        <f>data_origin!X2384</f>
        <v>0</v>
      </c>
      <c r="AN134" s="5">
        <f>data_origin!Y2384</f>
        <v>0</v>
      </c>
      <c r="AO134" s="5">
        <f>data_origin!Z2384</f>
        <v>0</v>
      </c>
      <c r="AP134" s="5">
        <f>data_origin!AA2384</f>
        <v>0</v>
      </c>
      <c r="AQ134" s="9">
        <f t="shared" si="20"/>
        <v>0</v>
      </c>
      <c r="AR134" s="5">
        <f>SUM(AQ102:AQ134)</f>
        <v>5</v>
      </c>
      <c r="AV134" t="s">
        <v>101</v>
      </c>
      <c r="AW134" s="5">
        <f>data_origin!T3098</f>
        <v>0</v>
      </c>
      <c r="AX134" s="5">
        <f>data_origin!U3098</f>
        <v>0</v>
      </c>
      <c r="AY134" s="5">
        <f>data_origin!V3098</f>
        <v>0</v>
      </c>
      <c r="AZ134" s="5">
        <f>data_origin!W3098</f>
        <v>0</v>
      </c>
      <c r="BA134" s="5">
        <f>data_origin!X3098</f>
        <v>0</v>
      </c>
      <c r="BB134" s="5">
        <f>data_origin!Y3098</f>
        <v>0</v>
      </c>
      <c r="BC134" s="5">
        <f>data_origin!Z3098</f>
        <v>0</v>
      </c>
      <c r="BD134" s="5">
        <f>data_origin!AA3098</f>
        <v>0</v>
      </c>
      <c r="BE134" s="9">
        <f t="shared" si="21"/>
        <v>0</v>
      </c>
      <c r="BF134" s="9">
        <f>SUM(BE102:BE134)</f>
        <v>1</v>
      </c>
    </row>
    <row r="135" spans="1:58" x14ac:dyDescent="0.25">
      <c r="A135" s="23" t="s">
        <v>104</v>
      </c>
      <c r="B135" s="23" t="s">
        <v>103</v>
      </c>
      <c r="C135" s="23" t="s">
        <v>109</v>
      </c>
      <c r="D135" t="s">
        <v>70</v>
      </c>
      <c r="E135" s="38">
        <f>T135+AI3+IFERROR((T135/SUM(T$3:T$992)*AI$630),0)+IFERROR((T135/SUM(T$135:T$332,T$465:T$662,T$795:T$992)*AI$732),0)</f>
        <v>0</v>
      </c>
      <c r="F135" s="38">
        <f t="shared" ref="F135:L135" si="24">U135+AJ3+IFERROR((U135/SUM(U$3:U$992)*AJ$630),0)+IFERROR((U135/SUM(U$135:U$332,U$465:U$662,U$795:U$992)*AJ$732),0)</f>
        <v>0</v>
      </c>
      <c r="G135" s="38">
        <f t="shared" si="24"/>
        <v>92.859981115772044</v>
      </c>
      <c r="H135" s="38">
        <f t="shared" si="24"/>
        <v>94.46493498563477</v>
      </c>
      <c r="I135" s="38">
        <f t="shared" si="24"/>
        <v>26.295517788927246</v>
      </c>
      <c r="J135" s="38">
        <f t="shared" si="24"/>
        <v>2.1326402061990613</v>
      </c>
      <c r="K135" s="38">
        <f t="shared" si="24"/>
        <v>0</v>
      </c>
      <c r="L135" s="38">
        <f t="shared" si="24"/>
        <v>0</v>
      </c>
      <c r="M135" s="35">
        <f t="shared" si="23"/>
        <v>215.75307409653311</v>
      </c>
      <c r="P135" t="s">
        <v>104</v>
      </c>
      <c r="Q135" t="s">
        <v>103</v>
      </c>
      <c r="R135" t="s">
        <v>109</v>
      </c>
      <c r="S135" t="s">
        <v>70</v>
      </c>
      <c r="T135" s="5">
        <f>data_origin!T173</f>
        <v>0</v>
      </c>
      <c r="U135" s="5">
        <f>data_origin!U173</f>
        <v>0</v>
      </c>
      <c r="V135" s="5">
        <f>data_origin!V173</f>
        <v>92.137543859649128</v>
      </c>
      <c r="W135" s="5">
        <f>data_origin!W173</f>
        <v>93.300646987464617</v>
      </c>
      <c r="X135" s="5">
        <f>data_origin!X173</f>
        <v>25.835294117647059</v>
      </c>
      <c r="Y135" s="5">
        <f>data_origin!Y173</f>
        <v>2.0893854748603351</v>
      </c>
      <c r="Z135" s="5">
        <f>data_origin!Z173</f>
        <v>0</v>
      </c>
      <c r="AA135" s="5">
        <f>data_origin!AA173</f>
        <v>0</v>
      </c>
      <c r="AB135" s="5">
        <f t="shared" si="19"/>
        <v>213.36287043962113</v>
      </c>
      <c r="AE135" t="s">
        <v>104</v>
      </c>
      <c r="AF135" t="s">
        <v>103</v>
      </c>
      <c r="AG135" s="28" t="s">
        <v>135</v>
      </c>
      <c r="AH135" t="s">
        <v>70</v>
      </c>
      <c r="AI135" s="5">
        <f>data_origin!T2386</f>
        <v>0</v>
      </c>
      <c r="AJ135" s="5">
        <f>data_origin!U2386</f>
        <v>0</v>
      </c>
      <c r="AK135" s="5">
        <f>data_origin!V2386</f>
        <v>0</v>
      </c>
      <c r="AL135" s="5">
        <f>data_origin!W2386</f>
        <v>0</v>
      </c>
      <c r="AM135" s="5">
        <f>data_origin!X2386</f>
        <v>0</v>
      </c>
      <c r="AN135" s="5">
        <f>data_origin!Y2386</f>
        <v>0</v>
      </c>
      <c r="AO135" s="5">
        <f>data_origin!Z2386</f>
        <v>0</v>
      </c>
      <c r="AP135" s="5">
        <f>data_origin!AA2386</f>
        <v>0</v>
      </c>
      <c r="AQ135" s="9">
        <f t="shared" si="20"/>
        <v>0</v>
      </c>
      <c r="AS135" t="s">
        <v>115</v>
      </c>
      <c r="AT135" t="s">
        <v>103</v>
      </c>
      <c r="AU135" s="28" t="s">
        <v>135</v>
      </c>
      <c r="AV135" t="s">
        <v>70</v>
      </c>
      <c r="AW135" s="5">
        <f>data_origin!T3100</f>
        <v>0</v>
      </c>
      <c r="AX135" s="5">
        <f>data_origin!U3100</f>
        <v>0</v>
      </c>
      <c r="AY135" s="5">
        <f>data_origin!V3100</f>
        <v>0</v>
      </c>
      <c r="AZ135" s="5">
        <f>data_origin!W3100</f>
        <v>0</v>
      </c>
      <c r="BA135" s="5">
        <f>data_origin!X3100</f>
        <v>0</v>
      </c>
      <c r="BB135" s="5">
        <f>data_origin!Y3100</f>
        <v>0</v>
      </c>
      <c r="BC135" s="5">
        <f>data_origin!Z3100</f>
        <v>0</v>
      </c>
      <c r="BD135" s="5">
        <f>data_origin!AA3100</f>
        <v>0</v>
      </c>
      <c r="BE135" s="9">
        <f t="shared" si="21"/>
        <v>0</v>
      </c>
    </row>
    <row r="136" spans="1:58" x14ac:dyDescent="0.25">
      <c r="D136" t="s">
        <v>71</v>
      </c>
      <c r="E136" s="38">
        <f t="shared" ref="E136:L167" si="25">T136+AI4+IFERROR((T136/SUM(T$3:T$992)*AI$630),0)+IFERROR((T136/SUM(T$135:T$332,T$465:T$662,T$795:T$992)*AI$732),0)</f>
        <v>0</v>
      </c>
      <c r="F136" s="38">
        <f t="shared" si="25"/>
        <v>0</v>
      </c>
      <c r="G136" s="38">
        <f t="shared" si="25"/>
        <v>249.03358571957045</v>
      </c>
      <c r="H136" s="38">
        <f t="shared" si="25"/>
        <v>292.94743883185618</v>
      </c>
      <c r="I136" s="38">
        <f t="shared" si="25"/>
        <v>92.034312261245375</v>
      </c>
      <c r="J136" s="38">
        <f t="shared" si="25"/>
        <v>3.1989603092985921</v>
      </c>
      <c r="K136" s="38">
        <f t="shared" si="25"/>
        <v>0</v>
      </c>
      <c r="L136" s="38">
        <f t="shared" si="25"/>
        <v>0</v>
      </c>
      <c r="M136" s="35">
        <f t="shared" si="23"/>
        <v>637.21429712197062</v>
      </c>
      <c r="S136" t="s">
        <v>71</v>
      </c>
      <c r="T136" s="5">
        <f>data_origin!T174</f>
        <v>0</v>
      </c>
      <c r="U136" s="5">
        <f>data_origin!U174</f>
        <v>0</v>
      </c>
      <c r="V136" s="5">
        <f>data_origin!V174</f>
        <v>247.09614035087719</v>
      </c>
      <c r="W136" s="5">
        <f>data_origin!W174</f>
        <v>289.33683784876666</v>
      </c>
      <c r="X136" s="5">
        <f>data_origin!X174</f>
        <v>90.423529411764704</v>
      </c>
      <c r="Y136" s="5">
        <f>data_origin!Y174</f>
        <v>3.1340782122905027</v>
      </c>
      <c r="Z136" s="5">
        <f>data_origin!Z174</f>
        <v>0</v>
      </c>
      <c r="AA136" s="5">
        <f>data_origin!AA174</f>
        <v>0</v>
      </c>
      <c r="AB136" s="5">
        <f t="shared" si="19"/>
        <v>629.99058582369912</v>
      </c>
      <c r="AH136" t="s">
        <v>71</v>
      </c>
      <c r="AI136" s="5">
        <f>data_origin!T2387</f>
        <v>0</v>
      </c>
      <c r="AJ136" s="5">
        <f>data_origin!U2387</f>
        <v>0</v>
      </c>
      <c r="AK136" s="5">
        <f>data_origin!V2387</f>
        <v>0</v>
      </c>
      <c r="AL136" s="5">
        <f>data_origin!W2387</f>
        <v>0</v>
      </c>
      <c r="AM136" s="5">
        <f>data_origin!X2387</f>
        <v>0</v>
      </c>
      <c r="AN136" s="5">
        <f>data_origin!Y2387</f>
        <v>0</v>
      </c>
      <c r="AO136" s="5">
        <f>data_origin!Z2387</f>
        <v>0</v>
      </c>
      <c r="AP136" s="5">
        <f>data_origin!AA2387</f>
        <v>0</v>
      </c>
      <c r="AQ136" s="9">
        <f t="shared" si="20"/>
        <v>0</v>
      </c>
      <c r="AV136" t="s">
        <v>71</v>
      </c>
      <c r="AW136" s="5">
        <f>data_origin!T3101</f>
        <v>0</v>
      </c>
      <c r="AX136" s="5">
        <f>data_origin!U3101</f>
        <v>0</v>
      </c>
      <c r="AY136" s="5">
        <f>data_origin!V3101</f>
        <v>0</v>
      </c>
      <c r="AZ136" s="5">
        <f>data_origin!W3101</f>
        <v>0</v>
      </c>
      <c r="BA136" s="5">
        <f>data_origin!X3101</f>
        <v>0</v>
      </c>
      <c r="BB136" s="5">
        <f>data_origin!Y3101</f>
        <v>0</v>
      </c>
      <c r="BC136" s="5">
        <f>data_origin!Z3101</f>
        <v>0</v>
      </c>
      <c r="BD136" s="5">
        <f>data_origin!AA3101</f>
        <v>0</v>
      </c>
      <c r="BE136" s="9">
        <f t="shared" si="21"/>
        <v>0</v>
      </c>
    </row>
    <row r="137" spans="1:58" x14ac:dyDescent="0.25">
      <c r="D137" t="s">
        <v>72</v>
      </c>
      <c r="E137" s="38">
        <f t="shared" si="25"/>
        <v>0</v>
      </c>
      <c r="F137" s="38">
        <f t="shared" si="25"/>
        <v>0</v>
      </c>
      <c r="G137" s="38">
        <f t="shared" si="25"/>
        <v>55.927034081089978</v>
      </c>
      <c r="H137" s="38">
        <f t="shared" si="25"/>
        <v>72.175455944080511</v>
      </c>
      <c r="I137" s="38">
        <f t="shared" si="25"/>
        <v>39.44327668339087</v>
      </c>
      <c r="J137" s="38">
        <f t="shared" si="25"/>
        <v>4.2652804123981225</v>
      </c>
      <c r="K137" s="38">
        <f t="shared" si="25"/>
        <v>0</v>
      </c>
      <c r="L137" s="38">
        <f t="shared" si="25"/>
        <v>0</v>
      </c>
      <c r="M137" s="35">
        <f t="shared" si="23"/>
        <v>171.81104712095947</v>
      </c>
      <c r="Q137" s="5"/>
      <c r="S137" t="s">
        <v>72</v>
      </c>
      <c r="T137" s="5">
        <f>data_origin!T175</f>
        <v>0</v>
      </c>
      <c r="U137" s="5">
        <f>data_origin!U175</f>
        <v>0</v>
      </c>
      <c r="V137" s="5">
        <f>data_origin!V175</f>
        <v>55.491929824561403</v>
      </c>
      <c r="W137" s="5">
        <f>data_origin!W175</f>
        <v>71.285887585928023</v>
      </c>
      <c r="X137" s="5">
        <f>data_origin!X175</f>
        <v>38.752941176470586</v>
      </c>
      <c r="Y137" s="5">
        <f>data_origin!Y175</f>
        <v>4.1787709497206702</v>
      </c>
      <c r="Z137" s="5">
        <f>data_origin!Z175</f>
        <v>0</v>
      </c>
      <c r="AA137" s="5">
        <f>data_origin!AA175</f>
        <v>0</v>
      </c>
      <c r="AB137" s="5">
        <f t="shared" si="19"/>
        <v>169.70952953668069</v>
      </c>
      <c r="AH137" t="s">
        <v>72</v>
      </c>
      <c r="AI137" s="5">
        <f>data_origin!T2388</f>
        <v>0</v>
      </c>
      <c r="AJ137" s="5">
        <f>data_origin!U2388</f>
        <v>0</v>
      </c>
      <c r="AK137" s="5">
        <f>data_origin!V2388</f>
        <v>0</v>
      </c>
      <c r="AL137" s="5">
        <f>data_origin!W2388</f>
        <v>0</v>
      </c>
      <c r="AM137" s="5">
        <f>data_origin!X2388</f>
        <v>0</v>
      </c>
      <c r="AN137" s="5">
        <f>data_origin!Y2388</f>
        <v>0</v>
      </c>
      <c r="AO137" s="5">
        <f>data_origin!Z2388</f>
        <v>0</v>
      </c>
      <c r="AP137" s="5">
        <f>data_origin!AA2388</f>
        <v>0</v>
      </c>
      <c r="AQ137" s="9">
        <f t="shared" si="20"/>
        <v>0</v>
      </c>
      <c r="AV137" t="s">
        <v>72</v>
      </c>
      <c r="AW137" s="5">
        <f>data_origin!T3102</f>
        <v>0</v>
      </c>
      <c r="AX137" s="5">
        <f>data_origin!U3102</f>
        <v>0</v>
      </c>
      <c r="AY137" s="5">
        <f>data_origin!V3102</f>
        <v>0</v>
      </c>
      <c r="AZ137" s="5">
        <f>data_origin!W3102</f>
        <v>0</v>
      </c>
      <c r="BA137" s="5">
        <f>data_origin!X3102</f>
        <v>0</v>
      </c>
      <c r="BB137" s="5">
        <f>data_origin!Y3102</f>
        <v>0</v>
      </c>
      <c r="BC137" s="5">
        <f>data_origin!Z3102</f>
        <v>0</v>
      </c>
      <c r="BD137" s="5">
        <f>data_origin!AA3102</f>
        <v>0</v>
      </c>
      <c r="BE137" s="9">
        <f t="shared" si="21"/>
        <v>0</v>
      </c>
    </row>
    <row r="138" spans="1:58" x14ac:dyDescent="0.25">
      <c r="D138" t="s">
        <v>73</v>
      </c>
      <c r="E138" s="38">
        <f t="shared" si="25"/>
        <v>0</v>
      </c>
      <c r="F138" s="38">
        <f t="shared" si="25"/>
        <v>0</v>
      </c>
      <c r="G138" s="38">
        <f t="shared" si="25"/>
        <v>31.656811744013197</v>
      </c>
      <c r="H138" s="38">
        <f t="shared" si="25"/>
        <v>75.359667235731123</v>
      </c>
      <c r="I138" s="38">
        <f t="shared" si="25"/>
        <v>56.973621876009041</v>
      </c>
      <c r="J138" s="38">
        <f t="shared" si="25"/>
        <v>3.1989603092985921</v>
      </c>
      <c r="K138" s="38">
        <f t="shared" si="25"/>
        <v>0</v>
      </c>
      <c r="L138" s="38">
        <f t="shared" si="25"/>
        <v>0</v>
      </c>
      <c r="M138" s="35">
        <f t="shared" si="23"/>
        <v>167.18906116505195</v>
      </c>
      <c r="S138" t="s">
        <v>73</v>
      </c>
      <c r="T138" s="5">
        <f>data_origin!T176</f>
        <v>0</v>
      </c>
      <c r="U138" s="5">
        <f>data_origin!U176</f>
        <v>0</v>
      </c>
      <c r="V138" s="5">
        <f>data_origin!V176</f>
        <v>31.410526315789475</v>
      </c>
      <c r="W138" s="5">
        <f>data_origin!W176</f>
        <v>74.430853214718965</v>
      </c>
      <c r="X138" s="5">
        <f>data_origin!X176</f>
        <v>55.976470588235294</v>
      </c>
      <c r="Y138" s="5">
        <f>data_origin!Y176</f>
        <v>3.1340782122905027</v>
      </c>
      <c r="Z138" s="5">
        <f>data_origin!Z176</f>
        <v>0</v>
      </c>
      <c r="AA138" s="5">
        <f>data_origin!AA176</f>
        <v>0</v>
      </c>
      <c r="AB138" s="5">
        <f t="shared" si="19"/>
        <v>164.95192833103422</v>
      </c>
      <c r="AH138" t="s">
        <v>73</v>
      </c>
      <c r="AI138" s="5">
        <f>data_origin!T2389</f>
        <v>0</v>
      </c>
      <c r="AJ138" s="5">
        <f>data_origin!U2389</f>
        <v>0</v>
      </c>
      <c r="AK138" s="5">
        <f>data_origin!V2389</f>
        <v>0</v>
      </c>
      <c r="AL138" s="5">
        <f>data_origin!W2389</f>
        <v>0</v>
      </c>
      <c r="AM138" s="5">
        <f>data_origin!X2389</f>
        <v>0</v>
      </c>
      <c r="AN138" s="5">
        <f>data_origin!Y2389</f>
        <v>0</v>
      </c>
      <c r="AO138" s="5">
        <f>data_origin!Z2389</f>
        <v>0</v>
      </c>
      <c r="AP138" s="5">
        <f>data_origin!AA2389</f>
        <v>0</v>
      </c>
      <c r="AQ138" s="9">
        <f t="shared" si="20"/>
        <v>0</v>
      </c>
      <c r="AV138" t="s">
        <v>73</v>
      </c>
      <c r="AW138" s="5">
        <f>data_origin!T3103</f>
        <v>0</v>
      </c>
      <c r="AX138" s="5">
        <f>data_origin!U3103</f>
        <v>0</v>
      </c>
      <c r="AY138" s="5">
        <f>data_origin!V3103</f>
        <v>0</v>
      </c>
      <c r="AZ138" s="5">
        <f>data_origin!W3103</f>
        <v>0</v>
      </c>
      <c r="BA138" s="5">
        <f>data_origin!X3103</f>
        <v>0</v>
      </c>
      <c r="BB138" s="5">
        <f>data_origin!Y3103</f>
        <v>0</v>
      </c>
      <c r="BC138" s="5">
        <f>data_origin!Z3103</f>
        <v>0</v>
      </c>
      <c r="BD138" s="5">
        <f>data_origin!AA3103</f>
        <v>0</v>
      </c>
      <c r="BE138" s="9">
        <f t="shared" si="21"/>
        <v>0</v>
      </c>
    </row>
    <row r="139" spans="1:58" x14ac:dyDescent="0.25">
      <c r="D139" t="s">
        <v>74</v>
      </c>
      <c r="E139" s="38">
        <f t="shared" si="25"/>
        <v>0</v>
      </c>
      <c r="F139" s="38">
        <f t="shared" si="25"/>
        <v>0</v>
      </c>
      <c r="G139" s="38">
        <f t="shared" si="25"/>
        <v>47.485217616019789</v>
      </c>
      <c r="H139" s="38">
        <f t="shared" si="25"/>
        <v>212.28075277670737</v>
      </c>
      <c r="I139" s="38">
        <f t="shared" si="25"/>
        <v>151.19922728633168</v>
      </c>
      <c r="J139" s="38">
        <f t="shared" si="25"/>
        <v>8.530560824796245</v>
      </c>
      <c r="K139" s="38">
        <f t="shared" si="25"/>
        <v>2.0373134328358211</v>
      </c>
      <c r="L139" s="38">
        <f t="shared" si="25"/>
        <v>0</v>
      </c>
      <c r="M139" s="35">
        <f t="shared" si="23"/>
        <v>421.53307193669093</v>
      </c>
      <c r="S139" t="s">
        <v>74</v>
      </c>
      <c r="T139" s="5">
        <f>data_origin!T177</f>
        <v>0</v>
      </c>
      <c r="U139" s="5">
        <f>data_origin!U177</f>
        <v>0</v>
      </c>
      <c r="V139" s="5">
        <f>data_origin!V177</f>
        <v>47.11578947368421</v>
      </c>
      <c r="W139" s="5">
        <f>data_origin!W177</f>
        <v>209.66437525272949</v>
      </c>
      <c r="X139" s="5">
        <f>data_origin!X177</f>
        <v>148.5529411764706</v>
      </c>
      <c r="Y139" s="5">
        <f>data_origin!Y177</f>
        <v>8.3575418994413404</v>
      </c>
      <c r="Z139" s="5">
        <f>data_origin!Z177</f>
        <v>2</v>
      </c>
      <c r="AA139" s="5">
        <f>data_origin!AA177</f>
        <v>0</v>
      </c>
      <c r="AB139" s="5">
        <f t="shared" si="19"/>
        <v>415.69064780232566</v>
      </c>
      <c r="AH139" t="s">
        <v>74</v>
      </c>
      <c r="AI139" s="5">
        <f>data_origin!T2390</f>
        <v>0</v>
      </c>
      <c r="AJ139" s="5">
        <f>data_origin!U2390</f>
        <v>0</v>
      </c>
      <c r="AK139" s="5">
        <f>data_origin!V2390</f>
        <v>0</v>
      </c>
      <c r="AL139" s="5">
        <f>data_origin!W2390</f>
        <v>0</v>
      </c>
      <c r="AM139" s="5">
        <f>data_origin!X2390</f>
        <v>0</v>
      </c>
      <c r="AN139" s="5">
        <f>data_origin!Y2390</f>
        <v>0</v>
      </c>
      <c r="AO139" s="5">
        <f>data_origin!Z2390</f>
        <v>0</v>
      </c>
      <c r="AP139" s="5">
        <f>data_origin!AA2390</f>
        <v>0</v>
      </c>
      <c r="AQ139" s="9">
        <f t="shared" si="20"/>
        <v>0</v>
      </c>
      <c r="AV139" t="s">
        <v>74</v>
      </c>
      <c r="AW139" s="5">
        <f>data_origin!T3104</f>
        <v>0</v>
      </c>
      <c r="AX139" s="5">
        <f>data_origin!U3104</f>
        <v>0</v>
      </c>
      <c r="AY139" s="5">
        <f>data_origin!V3104</f>
        <v>0</v>
      </c>
      <c r="AZ139" s="5">
        <f>data_origin!W3104</f>
        <v>0</v>
      </c>
      <c r="BA139" s="5">
        <f>data_origin!X3104</f>
        <v>0</v>
      </c>
      <c r="BB139" s="5">
        <f>data_origin!Y3104</f>
        <v>0</v>
      </c>
      <c r="BC139" s="5">
        <f>data_origin!Z3104</f>
        <v>0</v>
      </c>
      <c r="BD139" s="5">
        <f>data_origin!AA3104</f>
        <v>0</v>
      </c>
      <c r="BE139" s="9">
        <f t="shared" si="21"/>
        <v>0</v>
      </c>
    </row>
    <row r="140" spans="1:58" x14ac:dyDescent="0.25">
      <c r="D140" t="s">
        <v>75</v>
      </c>
      <c r="E140" s="38">
        <f t="shared" si="25"/>
        <v>0</v>
      </c>
      <c r="F140" s="38">
        <f t="shared" si="25"/>
        <v>0</v>
      </c>
      <c r="G140" s="38">
        <f t="shared" si="25"/>
        <v>48.540444674153569</v>
      </c>
      <c r="H140" s="38">
        <f t="shared" si="25"/>
        <v>58.377207013594521</v>
      </c>
      <c r="I140" s="38">
        <f t="shared" si="25"/>
        <v>27.391164363465883</v>
      </c>
      <c r="J140" s="38">
        <f t="shared" si="25"/>
        <v>3.1989603092985921</v>
      </c>
      <c r="K140" s="38">
        <f t="shared" si="25"/>
        <v>0</v>
      </c>
      <c r="L140" s="38">
        <f t="shared" si="25"/>
        <v>0</v>
      </c>
      <c r="M140" s="35">
        <f t="shared" si="23"/>
        <v>137.50777636051257</v>
      </c>
      <c r="S140" t="s">
        <v>75</v>
      </c>
      <c r="T140" s="5">
        <f>data_origin!T178</f>
        <v>0</v>
      </c>
      <c r="U140" s="5">
        <f>data_origin!U178</f>
        <v>0</v>
      </c>
      <c r="V140" s="5">
        <f>data_origin!V178</f>
        <v>48.162807017543862</v>
      </c>
      <c r="W140" s="5">
        <f>data_origin!W178</f>
        <v>57.657703194500606</v>
      </c>
      <c r="X140" s="5">
        <f>data_origin!X178</f>
        <v>26.911764705882351</v>
      </c>
      <c r="Y140" s="5">
        <f>data_origin!Y178</f>
        <v>3.1340782122905027</v>
      </c>
      <c r="Z140" s="5">
        <f>data_origin!Z178</f>
        <v>0</v>
      </c>
      <c r="AA140" s="5">
        <f>data_origin!AA178</f>
        <v>0</v>
      </c>
      <c r="AB140" s="5">
        <f t="shared" si="19"/>
        <v>135.86635313021731</v>
      </c>
      <c r="AH140" t="s">
        <v>75</v>
      </c>
      <c r="AI140" s="5">
        <f>data_origin!T2391</f>
        <v>0</v>
      </c>
      <c r="AJ140" s="5">
        <f>data_origin!U2391</f>
        <v>0</v>
      </c>
      <c r="AK140" s="5">
        <f>data_origin!V2391</f>
        <v>0</v>
      </c>
      <c r="AL140" s="5">
        <f>data_origin!W2391</f>
        <v>0</v>
      </c>
      <c r="AM140" s="5">
        <f>data_origin!X2391</f>
        <v>0</v>
      </c>
      <c r="AN140" s="5">
        <f>data_origin!Y2391</f>
        <v>0</v>
      </c>
      <c r="AO140" s="5">
        <f>data_origin!Z2391</f>
        <v>0</v>
      </c>
      <c r="AP140" s="5">
        <f>data_origin!AA2391</f>
        <v>0</v>
      </c>
      <c r="AQ140" s="9">
        <f t="shared" si="20"/>
        <v>0</v>
      </c>
      <c r="AV140" t="s">
        <v>75</v>
      </c>
      <c r="AW140" s="5">
        <f>data_origin!T3105</f>
        <v>0</v>
      </c>
      <c r="AX140" s="5">
        <f>data_origin!U3105</f>
        <v>0</v>
      </c>
      <c r="AY140" s="5">
        <f>data_origin!V3105</f>
        <v>0</v>
      </c>
      <c r="AZ140" s="5">
        <f>data_origin!W3105</f>
        <v>0</v>
      </c>
      <c r="BA140" s="5">
        <f>data_origin!X3105</f>
        <v>0</v>
      </c>
      <c r="BB140" s="5">
        <f>data_origin!Y3105</f>
        <v>0</v>
      </c>
      <c r="BC140" s="5">
        <f>data_origin!Z3105</f>
        <v>0</v>
      </c>
      <c r="BD140" s="5">
        <f>data_origin!AA3105</f>
        <v>0</v>
      </c>
      <c r="BE140" s="9">
        <f t="shared" si="21"/>
        <v>0</v>
      </c>
    </row>
    <row r="141" spans="1:58" x14ac:dyDescent="0.25">
      <c r="D141" t="s">
        <v>76</v>
      </c>
      <c r="E141" s="38">
        <f t="shared" si="25"/>
        <v>0</v>
      </c>
      <c r="F141" s="38">
        <f t="shared" si="25"/>
        <v>0</v>
      </c>
      <c r="G141" s="38">
        <f t="shared" si="25"/>
        <v>136.12429049925674</v>
      </c>
      <c r="H141" s="38">
        <f t="shared" si="25"/>
        <v>253.67549956816529</v>
      </c>
      <c r="I141" s="38">
        <f t="shared" si="25"/>
        <v>99.703838283015813</v>
      </c>
      <c r="J141" s="38">
        <f t="shared" si="25"/>
        <v>6.3979206185971842</v>
      </c>
      <c r="K141" s="38">
        <f t="shared" si="25"/>
        <v>1.0186567164179106</v>
      </c>
      <c r="L141" s="38">
        <f t="shared" si="25"/>
        <v>0</v>
      </c>
      <c r="M141" s="35">
        <f t="shared" si="23"/>
        <v>496.92020568545291</v>
      </c>
      <c r="S141" t="s">
        <v>76</v>
      </c>
      <c r="T141" s="5">
        <f>data_origin!T179</f>
        <v>0</v>
      </c>
      <c r="U141" s="5">
        <f>data_origin!U179</f>
        <v>0</v>
      </c>
      <c r="V141" s="5">
        <f>data_origin!V179</f>
        <v>135.06526315789475</v>
      </c>
      <c r="W141" s="5">
        <f>data_origin!W179</f>
        <v>250.54892842701173</v>
      </c>
      <c r="X141" s="5">
        <f>data_origin!X179</f>
        <v>97.95882352941176</v>
      </c>
      <c r="Y141" s="5">
        <f>data_origin!Y179</f>
        <v>6.2681564245810053</v>
      </c>
      <c r="Z141" s="5">
        <f>data_origin!Z179</f>
        <v>1</v>
      </c>
      <c r="AA141" s="5">
        <f>data_origin!AA179</f>
        <v>0</v>
      </c>
      <c r="AB141" s="5">
        <f t="shared" si="19"/>
        <v>490.84117153889923</v>
      </c>
      <c r="AH141" t="s">
        <v>76</v>
      </c>
      <c r="AI141" s="5">
        <f>data_origin!T2392</f>
        <v>0</v>
      </c>
      <c r="AJ141" s="5">
        <f>data_origin!U2392</f>
        <v>0</v>
      </c>
      <c r="AK141" s="5">
        <f>data_origin!V2392</f>
        <v>0</v>
      </c>
      <c r="AL141" s="5">
        <f>data_origin!W2392</f>
        <v>0</v>
      </c>
      <c r="AM141" s="5">
        <f>data_origin!X2392</f>
        <v>0</v>
      </c>
      <c r="AN141" s="5">
        <f>data_origin!Y2392</f>
        <v>0</v>
      </c>
      <c r="AO141" s="5">
        <f>data_origin!Z2392</f>
        <v>0</v>
      </c>
      <c r="AP141" s="5">
        <f>data_origin!AA2392</f>
        <v>0</v>
      </c>
      <c r="AQ141" s="9">
        <f t="shared" si="20"/>
        <v>0</v>
      </c>
      <c r="AV141" t="s">
        <v>76</v>
      </c>
      <c r="AW141" s="5">
        <f>data_origin!T3106</f>
        <v>0</v>
      </c>
      <c r="AX141" s="5">
        <f>data_origin!U3106</f>
        <v>0</v>
      </c>
      <c r="AY141" s="5">
        <f>data_origin!V3106</f>
        <v>0</v>
      </c>
      <c r="AZ141" s="5">
        <f>data_origin!W3106</f>
        <v>0</v>
      </c>
      <c r="BA141" s="5">
        <f>data_origin!X3106</f>
        <v>0</v>
      </c>
      <c r="BB141" s="5">
        <f>data_origin!Y3106</f>
        <v>0</v>
      </c>
      <c r="BC141" s="5">
        <f>data_origin!Z3106</f>
        <v>0</v>
      </c>
      <c r="BD141" s="5">
        <f>data_origin!AA3106</f>
        <v>0</v>
      </c>
      <c r="BE141" s="9">
        <f t="shared" si="21"/>
        <v>0</v>
      </c>
    </row>
    <row r="142" spans="1:58" x14ac:dyDescent="0.25">
      <c r="D142" t="s">
        <v>77</v>
      </c>
      <c r="E142" s="38">
        <f t="shared" si="25"/>
        <v>0</v>
      </c>
      <c r="F142" s="38">
        <f t="shared" si="25"/>
        <v>0</v>
      </c>
      <c r="G142" s="38">
        <f t="shared" si="25"/>
        <v>214.21109280115596</v>
      </c>
      <c r="H142" s="38">
        <f t="shared" si="25"/>
        <v>232.44742429049452</v>
      </c>
      <c r="I142" s="38">
        <f t="shared" si="25"/>
        <v>96.416898559399911</v>
      </c>
      <c r="J142" s="38">
        <f t="shared" si="25"/>
        <v>8.530560824796245</v>
      </c>
      <c r="K142" s="38">
        <f t="shared" si="25"/>
        <v>1.0186567164179106</v>
      </c>
      <c r="L142" s="38">
        <f t="shared" si="25"/>
        <v>0</v>
      </c>
      <c r="M142" s="35">
        <f t="shared" si="23"/>
        <v>552.62463319226458</v>
      </c>
      <c r="S142" t="s">
        <v>77</v>
      </c>
      <c r="T142" s="5">
        <f>data_origin!T180</f>
        <v>0</v>
      </c>
      <c r="U142" s="5">
        <f>data_origin!U180</f>
        <v>0</v>
      </c>
      <c r="V142" s="5">
        <f>data_origin!V180</f>
        <v>212.54456140350877</v>
      </c>
      <c r="W142" s="5">
        <f>data_origin!W180</f>
        <v>229.58249090173877</v>
      </c>
      <c r="X142" s="5">
        <f>data_origin!X180</f>
        <v>94.729411764705887</v>
      </c>
      <c r="Y142" s="5">
        <f>data_origin!Y180</f>
        <v>8.3575418994413404</v>
      </c>
      <c r="Z142" s="5">
        <f>data_origin!Z180</f>
        <v>1</v>
      </c>
      <c r="AA142" s="5">
        <f>data_origin!AA180</f>
        <v>0</v>
      </c>
      <c r="AB142" s="5">
        <f t="shared" si="19"/>
        <v>546.21400596939475</v>
      </c>
      <c r="AH142" t="s">
        <v>77</v>
      </c>
      <c r="AI142" s="5">
        <f>data_origin!T2393</f>
        <v>0</v>
      </c>
      <c r="AJ142" s="5">
        <f>data_origin!U2393</f>
        <v>0</v>
      </c>
      <c r="AK142" s="5">
        <f>data_origin!V2393</f>
        <v>0</v>
      </c>
      <c r="AL142" s="5">
        <f>data_origin!W2393</f>
        <v>0</v>
      </c>
      <c r="AM142" s="5">
        <f>data_origin!X2393</f>
        <v>0</v>
      </c>
      <c r="AN142" s="5">
        <f>data_origin!Y2393</f>
        <v>0</v>
      </c>
      <c r="AO142" s="5">
        <f>data_origin!Z2393</f>
        <v>0</v>
      </c>
      <c r="AP142" s="5">
        <f>data_origin!AA2393</f>
        <v>0</v>
      </c>
      <c r="AQ142" s="9">
        <f t="shared" si="20"/>
        <v>0</v>
      </c>
      <c r="AV142" t="s">
        <v>77</v>
      </c>
      <c r="AW142" s="5">
        <f>data_origin!T3107</f>
        <v>0</v>
      </c>
      <c r="AX142" s="5">
        <f>data_origin!U3107</f>
        <v>0</v>
      </c>
      <c r="AY142" s="5">
        <f>data_origin!V3107</f>
        <v>0</v>
      </c>
      <c r="AZ142" s="5">
        <f>data_origin!W3107</f>
        <v>0</v>
      </c>
      <c r="BA142" s="5">
        <f>data_origin!X3107</f>
        <v>0</v>
      </c>
      <c r="BB142" s="5">
        <f>data_origin!Y3107</f>
        <v>0</v>
      </c>
      <c r="BC142" s="5">
        <f>data_origin!Z3107</f>
        <v>0</v>
      </c>
      <c r="BD142" s="5">
        <f>data_origin!AA3107</f>
        <v>0</v>
      </c>
      <c r="BE142" s="9">
        <f t="shared" si="21"/>
        <v>0</v>
      </c>
    </row>
    <row r="143" spans="1:58" x14ac:dyDescent="0.25">
      <c r="D143" t="s">
        <v>78</v>
      </c>
      <c r="E143" s="38">
        <f t="shared" si="25"/>
        <v>0</v>
      </c>
      <c r="F143" s="38">
        <f t="shared" si="25"/>
        <v>0</v>
      </c>
      <c r="G143" s="38">
        <f t="shared" si="25"/>
        <v>188.88564340594542</v>
      </c>
      <c r="H143" s="38">
        <f t="shared" si="25"/>
        <v>213.34215654059088</v>
      </c>
      <c r="I143" s="38">
        <f t="shared" si="25"/>
        <v>96.416898559399911</v>
      </c>
      <c r="J143" s="38">
        <f t="shared" si="25"/>
        <v>5.3316005154976542</v>
      </c>
      <c r="K143" s="38">
        <f t="shared" si="25"/>
        <v>2.0373134328358211</v>
      </c>
      <c r="L143" s="38">
        <f t="shared" si="25"/>
        <v>0</v>
      </c>
      <c r="M143" s="35">
        <f t="shared" si="23"/>
        <v>506.01361245426966</v>
      </c>
      <c r="S143" t="s">
        <v>78</v>
      </c>
      <c r="T143" s="5">
        <f>data_origin!T181</f>
        <v>0</v>
      </c>
      <c r="U143" s="5">
        <f>data_origin!U181</f>
        <v>0</v>
      </c>
      <c r="V143" s="5">
        <f>data_origin!V181</f>
        <v>187.41614035087719</v>
      </c>
      <c r="W143" s="5">
        <f>data_origin!W181</f>
        <v>210.71269712899311</v>
      </c>
      <c r="X143" s="5">
        <f>data_origin!X181</f>
        <v>94.729411764705887</v>
      </c>
      <c r="Y143" s="5">
        <f>data_origin!Y181</f>
        <v>5.2234636871508382</v>
      </c>
      <c r="Z143" s="5">
        <f>data_origin!Z181</f>
        <v>2</v>
      </c>
      <c r="AA143" s="5">
        <f>data_origin!AA181</f>
        <v>0</v>
      </c>
      <c r="AB143" s="5">
        <f t="shared" si="19"/>
        <v>500.08171293172705</v>
      </c>
      <c r="AH143" t="s">
        <v>78</v>
      </c>
      <c r="AI143" s="5">
        <f>data_origin!T2394</f>
        <v>0</v>
      </c>
      <c r="AJ143" s="5">
        <f>data_origin!U2394</f>
        <v>0</v>
      </c>
      <c r="AK143" s="5">
        <f>data_origin!V2394</f>
        <v>0</v>
      </c>
      <c r="AL143" s="5">
        <f>data_origin!W2394</f>
        <v>0</v>
      </c>
      <c r="AM143" s="5">
        <f>data_origin!X2394</f>
        <v>0</v>
      </c>
      <c r="AN143" s="5">
        <f>data_origin!Y2394</f>
        <v>0</v>
      </c>
      <c r="AO143" s="5">
        <f>data_origin!Z2394</f>
        <v>0</v>
      </c>
      <c r="AP143" s="5">
        <f>data_origin!AA2394</f>
        <v>0</v>
      </c>
      <c r="AQ143" s="9">
        <f t="shared" si="20"/>
        <v>0</v>
      </c>
      <c r="AV143" t="s">
        <v>78</v>
      </c>
      <c r="AW143" s="5">
        <f>data_origin!T3108</f>
        <v>0</v>
      </c>
      <c r="AX143" s="5">
        <f>data_origin!U3108</f>
        <v>0</v>
      </c>
      <c r="AY143" s="5">
        <f>data_origin!V3108</f>
        <v>0</v>
      </c>
      <c r="AZ143" s="5">
        <f>data_origin!W3108</f>
        <v>0</v>
      </c>
      <c r="BA143" s="5">
        <f>data_origin!X3108</f>
        <v>0</v>
      </c>
      <c r="BB143" s="5">
        <f>data_origin!Y3108</f>
        <v>0</v>
      </c>
      <c r="BC143" s="5">
        <f>data_origin!Z3108</f>
        <v>0</v>
      </c>
      <c r="BD143" s="5">
        <f>data_origin!AA3108</f>
        <v>0</v>
      </c>
      <c r="BE143" s="9">
        <f t="shared" si="21"/>
        <v>0</v>
      </c>
    </row>
    <row r="144" spans="1:58" x14ac:dyDescent="0.25">
      <c r="D144" t="s">
        <v>79</v>
      </c>
      <c r="E144" s="38">
        <f t="shared" si="25"/>
        <v>0</v>
      </c>
      <c r="F144" s="38">
        <f t="shared" si="25"/>
        <v>0</v>
      </c>
      <c r="G144" s="38">
        <f t="shared" si="25"/>
        <v>334.50697742840606</v>
      </c>
      <c r="H144" s="38">
        <f t="shared" si="25"/>
        <v>245.18426945709697</v>
      </c>
      <c r="I144" s="38">
        <f t="shared" si="25"/>
        <v>89.843019112168093</v>
      </c>
      <c r="J144" s="38">
        <f t="shared" si="25"/>
        <v>7.464240721696715</v>
      </c>
      <c r="K144" s="38">
        <f t="shared" si="25"/>
        <v>3.0559701492537314</v>
      </c>
      <c r="L144" s="38">
        <f t="shared" si="25"/>
        <v>0</v>
      </c>
      <c r="M144" s="35">
        <f t="shared" si="23"/>
        <v>680.05447686862158</v>
      </c>
      <c r="S144" t="s">
        <v>79</v>
      </c>
      <c r="T144" s="5">
        <f>data_origin!T182</f>
        <v>0</v>
      </c>
      <c r="U144" s="5">
        <f>data_origin!U182</f>
        <v>0</v>
      </c>
      <c r="V144" s="5">
        <f>data_origin!V182</f>
        <v>331.90456140350875</v>
      </c>
      <c r="W144" s="5">
        <f>data_origin!W182</f>
        <v>242.16235341690253</v>
      </c>
      <c r="X144" s="5">
        <f>data_origin!X182</f>
        <v>88.270588235294113</v>
      </c>
      <c r="Y144" s="5">
        <f>data_origin!Y182</f>
        <v>7.3128491620111733</v>
      </c>
      <c r="Z144" s="5">
        <f>data_origin!Z182</f>
        <v>3</v>
      </c>
      <c r="AA144" s="5">
        <f>data_origin!AA182</f>
        <v>0</v>
      </c>
      <c r="AB144" s="5">
        <f t="shared" si="19"/>
        <v>672.65035221771655</v>
      </c>
      <c r="AH144" t="s">
        <v>79</v>
      </c>
      <c r="AI144" s="5">
        <f>data_origin!T2395</f>
        <v>0</v>
      </c>
      <c r="AJ144" s="5">
        <f>data_origin!U2395</f>
        <v>0</v>
      </c>
      <c r="AK144" s="5">
        <f>data_origin!V2395</f>
        <v>0</v>
      </c>
      <c r="AL144" s="5">
        <f>data_origin!W2395</f>
        <v>0</v>
      </c>
      <c r="AM144" s="5">
        <f>data_origin!X2395</f>
        <v>0</v>
      </c>
      <c r="AN144" s="5">
        <f>data_origin!Y2395</f>
        <v>0</v>
      </c>
      <c r="AO144" s="5">
        <f>data_origin!Z2395</f>
        <v>0</v>
      </c>
      <c r="AP144" s="5">
        <f>data_origin!AA2395</f>
        <v>0</v>
      </c>
      <c r="AQ144" s="9">
        <f t="shared" si="20"/>
        <v>0</v>
      </c>
      <c r="AV144" t="s">
        <v>79</v>
      </c>
      <c r="AW144" s="5">
        <f>data_origin!T3109</f>
        <v>0</v>
      </c>
      <c r="AX144" s="5">
        <f>data_origin!U3109</f>
        <v>0</v>
      </c>
      <c r="AY144" s="5">
        <f>data_origin!V3109</f>
        <v>0</v>
      </c>
      <c r="AZ144" s="5">
        <f>data_origin!W3109</f>
        <v>0</v>
      </c>
      <c r="BA144" s="5">
        <f>data_origin!X3109</f>
        <v>0</v>
      </c>
      <c r="BB144" s="5">
        <f>data_origin!Y3109</f>
        <v>0</v>
      </c>
      <c r="BC144" s="5">
        <f>data_origin!Z3109</f>
        <v>0</v>
      </c>
      <c r="BD144" s="5">
        <f>data_origin!AA3109</f>
        <v>0</v>
      </c>
      <c r="BE144" s="9">
        <f t="shared" si="21"/>
        <v>0</v>
      </c>
    </row>
    <row r="145" spans="4:57" x14ac:dyDescent="0.25">
      <c r="D145" t="s">
        <v>80</v>
      </c>
      <c r="E145" s="38">
        <f t="shared" si="25"/>
        <v>0</v>
      </c>
      <c r="F145" s="38">
        <f t="shared" si="25"/>
        <v>0</v>
      </c>
      <c r="G145" s="38">
        <f t="shared" si="25"/>
        <v>270.13812688224596</v>
      </c>
      <c r="H145" s="38">
        <f t="shared" si="25"/>
        <v>331.15797433166347</v>
      </c>
      <c r="I145" s="38">
        <f t="shared" si="25"/>
        <v>154.48616700994759</v>
      </c>
      <c r="J145" s="38">
        <f t="shared" si="25"/>
        <v>24.525362371289205</v>
      </c>
      <c r="K145" s="38">
        <f t="shared" si="25"/>
        <v>1.0186567164179106</v>
      </c>
      <c r="L145" s="38">
        <f t="shared" si="25"/>
        <v>0</v>
      </c>
      <c r="M145" s="35">
        <f t="shared" si="23"/>
        <v>781.32628731156422</v>
      </c>
      <c r="S145" t="s">
        <v>80</v>
      </c>
      <c r="T145" s="5">
        <f>data_origin!T183</f>
        <v>0</v>
      </c>
      <c r="U145" s="5">
        <f>data_origin!U183</f>
        <v>0</v>
      </c>
      <c r="V145" s="5">
        <f>data_origin!V183</f>
        <v>268.03649122807019</v>
      </c>
      <c r="W145" s="5">
        <f>data_origin!W183</f>
        <v>327.07642539425797</v>
      </c>
      <c r="X145" s="5">
        <f>data_origin!X183</f>
        <v>151.78235294117647</v>
      </c>
      <c r="Y145" s="5">
        <f>data_origin!Y183</f>
        <v>24.027932960893853</v>
      </c>
      <c r="Z145" s="5">
        <f>data_origin!Z183</f>
        <v>1</v>
      </c>
      <c r="AA145" s="5">
        <f>data_origin!AA183</f>
        <v>0</v>
      </c>
      <c r="AB145" s="5">
        <f t="shared" si="19"/>
        <v>771.92320252439845</v>
      </c>
      <c r="AH145" t="s">
        <v>80</v>
      </c>
      <c r="AI145" s="5">
        <f>data_origin!T2396</f>
        <v>0</v>
      </c>
      <c r="AJ145" s="5">
        <f>data_origin!U2396</f>
        <v>0</v>
      </c>
      <c r="AK145" s="5">
        <f>data_origin!V2396</f>
        <v>0</v>
      </c>
      <c r="AL145" s="5">
        <f>data_origin!W2396</f>
        <v>0</v>
      </c>
      <c r="AM145" s="5">
        <f>data_origin!X2396</f>
        <v>0</v>
      </c>
      <c r="AN145" s="5">
        <f>data_origin!Y2396</f>
        <v>0</v>
      </c>
      <c r="AO145" s="5">
        <f>data_origin!Z2396</f>
        <v>0</v>
      </c>
      <c r="AP145" s="5">
        <f>data_origin!AA2396</f>
        <v>0</v>
      </c>
      <c r="AQ145" s="9">
        <f t="shared" si="20"/>
        <v>0</v>
      </c>
      <c r="AV145" t="s">
        <v>80</v>
      </c>
      <c r="AW145" s="5">
        <f>data_origin!T3110</f>
        <v>0</v>
      </c>
      <c r="AX145" s="5">
        <f>data_origin!U3110</f>
        <v>0</v>
      </c>
      <c r="AY145" s="5">
        <f>data_origin!V3110</f>
        <v>0</v>
      </c>
      <c r="AZ145" s="5">
        <f>data_origin!W3110</f>
        <v>0</v>
      </c>
      <c r="BA145" s="5">
        <f>data_origin!X3110</f>
        <v>0</v>
      </c>
      <c r="BB145" s="5">
        <f>data_origin!Y3110</f>
        <v>0</v>
      </c>
      <c r="BC145" s="5">
        <f>data_origin!Z3110</f>
        <v>0</v>
      </c>
      <c r="BD145" s="5">
        <f>data_origin!AA3110</f>
        <v>0</v>
      </c>
      <c r="BE145" s="9">
        <f t="shared" si="21"/>
        <v>0</v>
      </c>
    </row>
    <row r="146" spans="4:57" x14ac:dyDescent="0.25">
      <c r="D146" t="s">
        <v>81</v>
      </c>
      <c r="E146" s="38">
        <f t="shared" si="25"/>
        <v>0</v>
      </c>
      <c r="F146" s="38">
        <f t="shared" si="25"/>
        <v>0</v>
      </c>
      <c r="G146" s="38">
        <f t="shared" si="25"/>
        <v>47.485217616019789</v>
      </c>
      <c r="H146" s="38">
        <f t="shared" si="25"/>
        <v>46.701765610875619</v>
      </c>
      <c r="I146" s="38">
        <f t="shared" si="25"/>
        <v>26.295517788927246</v>
      </c>
      <c r="J146" s="38">
        <f t="shared" si="25"/>
        <v>4.2652804123981225</v>
      </c>
      <c r="K146" s="38">
        <f t="shared" si="25"/>
        <v>0</v>
      </c>
      <c r="L146" s="38">
        <f t="shared" si="25"/>
        <v>0</v>
      </c>
      <c r="M146" s="35">
        <f t="shared" si="23"/>
        <v>124.74778142822078</v>
      </c>
      <c r="S146" t="s">
        <v>81</v>
      </c>
      <c r="T146" s="5">
        <f>data_origin!T184</f>
        <v>0</v>
      </c>
      <c r="U146" s="5">
        <f>data_origin!U184</f>
        <v>0</v>
      </c>
      <c r="V146" s="5">
        <f>data_origin!V184</f>
        <v>47.11578947368421</v>
      </c>
      <c r="W146" s="5">
        <f>data_origin!W184</f>
        <v>46.126162555600487</v>
      </c>
      <c r="X146" s="5">
        <f>data_origin!X184</f>
        <v>25.835294117647059</v>
      </c>
      <c r="Y146" s="5">
        <f>data_origin!Y184</f>
        <v>4.1787709497206702</v>
      </c>
      <c r="Z146" s="5">
        <f>data_origin!Z184</f>
        <v>0</v>
      </c>
      <c r="AA146" s="5">
        <f>data_origin!AA184</f>
        <v>0</v>
      </c>
      <c r="AB146" s="5">
        <f t="shared" si="19"/>
        <v>123.25601709665244</v>
      </c>
      <c r="AH146" t="s">
        <v>81</v>
      </c>
      <c r="AI146" s="5">
        <f>data_origin!T2397</f>
        <v>0</v>
      </c>
      <c r="AJ146" s="5">
        <f>data_origin!U2397</f>
        <v>0</v>
      </c>
      <c r="AK146" s="5">
        <f>data_origin!V2397</f>
        <v>0</v>
      </c>
      <c r="AL146" s="5">
        <f>data_origin!W2397</f>
        <v>0</v>
      </c>
      <c r="AM146" s="5">
        <f>data_origin!X2397</f>
        <v>0</v>
      </c>
      <c r="AN146" s="5">
        <f>data_origin!Y2397</f>
        <v>0</v>
      </c>
      <c r="AO146" s="5">
        <f>data_origin!Z2397</f>
        <v>0</v>
      </c>
      <c r="AP146" s="5">
        <f>data_origin!AA2397</f>
        <v>0</v>
      </c>
      <c r="AQ146" s="9">
        <f t="shared" si="20"/>
        <v>0</v>
      </c>
      <c r="AV146" t="s">
        <v>81</v>
      </c>
      <c r="AW146" s="5">
        <f>data_origin!T3111</f>
        <v>0</v>
      </c>
      <c r="AX146" s="5">
        <f>data_origin!U3111</f>
        <v>0</v>
      </c>
      <c r="AY146" s="5">
        <f>data_origin!V3111</f>
        <v>0</v>
      </c>
      <c r="AZ146" s="5">
        <f>data_origin!W3111</f>
        <v>0</v>
      </c>
      <c r="BA146" s="5">
        <f>data_origin!X3111</f>
        <v>0</v>
      </c>
      <c r="BB146" s="5">
        <f>data_origin!Y3111</f>
        <v>0</v>
      </c>
      <c r="BC146" s="5">
        <f>data_origin!Z3111</f>
        <v>0</v>
      </c>
      <c r="BD146" s="5">
        <f>data_origin!AA3111</f>
        <v>0</v>
      </c>
      <c r="BE146" s="9">
        <f t="shared" si="21"/>
        <v>0</v>
      </c>
    </row>
    <row r="147" spans="4:57" x14ac:dyDescent="0.25">
      <c r="D147" t="s">
        <v>82</v>
      </c>
      <c r="E147" s="38">
        <f t="shared" si="25"/>
        <v>0</v>
      </c>
      <c r="F147" s="38">
        <f t="shared" si="25"/>
        <v>0</v>
      </c>
      <c r="G147" s="38">
        <f t="shared" si="25"/>
        <v>121.35111168538393</v>
      </c>
      <c r="H147" s="38">
        <f t="shared" si="25"/>
        <v>141.1667005965104</v>
      </c>
      <c r="I147" s="38">
        <f t="shared" si="25"/>
        <v>73.408320494088571</v>
      </c>
      <c r="J147" s="38">
        <f t="shared" si="25"/>
        <v>3.1989603092985921</v>
      </c>
      <c r="K147" s="38">
        <f t="shared" si="25"/>
        <v>1.0186567164179106</v>
      </c>
      <c r="L147" s="38">
        <f t="shared" si="25"/>
        <v>0</v>
      </c>
      <c r="M147" s="35">
        <f t="shared" si="23"/>
        <v>340.14374980169936</v>
      </c>
      <c r="S147" t="s">
        <v>82</v>
      </c>
      <c r="T147" s="5">
        <f>data_origin!T185</f>
        <v>0</v>
      </c>
      <c r="U147" s="5">
        <f>data_origin!U185</f>
        <v>0</v>
      </c>
      <c r="V147" s="5">
        <f>data_origin!V185</f>
        <v>120.40701754385965</v>
      </c>
      <c r="W147" s="5">
        <f>data_origin!W185</f>
        <v>139.4268095430651</v>
      </c>
      <c r="X147" s="5">
        <f>data_origin!X185</f>
        <v>72.123529411764707</v>
      </c>
      <c r="Y147" s="5">
        <f>data_origin!Y185</f>
        <v>3.1340782122905027</v>
      </c>
      <c r="Z147" s="5">
        <f>data_origin!Z185</f>
        <v>1</v>
      </c>
      <c r="AA147" s="5">
        <f>data_origin!AA185</f>
        <v>0</v>
      </c>
      <c r="AB147" s="5">
        <f t="shared" si="19"/>
        <v>336.09143471097997</v>
      </c>
      <c r="AH147" t="s">
        <v>82</v>
      </c>
      <c r="AI147" s="5">
        <f>data_origin!T2398</f>
        <v>0</v>
      </c>
      <c r="AJ147" s="5">
        <f>data_origin!U2398</f>
        <v>0</v>
      </c>
      <c r="AK147" s="5">
        <f>data_origin!V2398</f>
        <v>0</v>
      </c>
      <c r="AL147" s="5">
        <f>data_origin!W2398</f>
        <v>0</v>
      </c>
      <c r="AM147" s="5">
        <f>data_origin!X2398</f>
        <v>0</v>
      </c>
      <c r="AN147" s="5">
        <f>data_origin!Y2398</f>
        <v>0</v>
      </c>
      <c r="AO147" s="5">
        <f>data_origin!Z2398</f>
        <v>0</v>
      </c>
      <c r="AP147" s="5">
        <f>data_origin!AA2398</f>
        <v>0</v>
      </c>
      <c r="AQ147" s="9">
        <f t="shared" si="20"/>
        <v>0</v>
      </c>
      <c r="AV147" t="s">
        <v>82</v>
      </c>
      <c r="AW147" s="5">
        <f>data_origin!T3112</f>
        <v>0</v>
      </c>
      <c r="AX147" s="5">
        <f>data_origin!U3112</f>
        <v>0</v>
      </c>
      <c r="AY147" s="5">
        <f>data_origin!V3112</f>
        <v>0</v>
      </c>
      <c r="AZ147" s="5">
        <f>data_origin!W3112</f>
        <v>0</v>
      </c>
      <c r="BA147" s="5">
        <f>data_origin!X3112</f>
        <v>0</v>
      </c>
      <c r="BB147" s="5">
        <f>data_origin!Y3112</f>
        <v>0</v>
      </c>
      <c r="BC147" s="5">
        <f>data_origin!Z3112</f>
        <v>0</v>
      </c>
      <c r="BD147" s="5">
        <f>data_origin!AA3112</f>
        <v>0</v>
      </c>
      <c r="BE147" s="9">
        <f t="shared" si="21"/>
        <v>0</v>
      </c>
    </row>
    <row r="148" spans="4:57" x14ac:dyDescent="0.25">
      <c r="D148" t="s">
        <v>83</v>
      </c>
      <c r="E148" s="38">
        <f t="shared" si="25"/>
        <v>0</v>
      </c>
      <c r="F148" s="38">
        <f t="shared" si="25"/>
        <v>0</v>
      </c>
      <c r="G148" s="38">
        <f t="shared" si="25"/>
        <v>41.153855267217153</v>
      </c>
      <c r="H148" s="38">
        <f t="shared" si="25"/>
        <v>53.070188194176843</v>
      </c>
      <c r="I148" s="38">
        <f t="shared" si="25"/>
        <v>9.8608191708477175</v>
      </c>
      <c r="J148" s="38">
        <f t="shared" si="25"/>
        <v>1.0663201030995306</v>
      </c>
      <c r="K148" s="38">
        <f t="shared" si="25"/>
        <v>0</v>
      </c>
      <c r="L148" s="38">
        <f t="shared" si="25"/>
        <v>0</v>
      </c>
      <c r="M148" s="35">
        <f t="shared" si="23"/>
        <v>105.15118273534124</v>
      </c>
      <c r="S148" t="s">
        <v>83</v>
      </c>
      <c r="T148" s="5">
        <f>data_origin!T186</f>
        <v>0</v>
      </c>
      <c r="U148" s="5">
        <f>data_origin!U186</f>
        <v>0</v>
      </c>
      <c r="V148" s="5">
        <f>data_origin!V186</f>
        <v>40.833684210526314</v>
      </c>
      <c r="W148" s="5">
        <f>data_origin!W186</f>
        <v>52.416093813182371</v>
      </c>
      <c r="X148" s="5">
        <f>data_origin!X186</f>
        <v>9.6882352941176464</v>
      </c>
      <c r="Y148" s="5">
        <f>data_origin!Y186</f>
        <v>1.0446927374301676</v>
      </c>
      <c r="Z148" s="5">
        <f>data_origin!Z186</f>
        <v>0</v>
      </c>
      <c r="AA148" s="5">
        <f>data_origin!AA186</f>
        <v>0</v>
      </c>
      <c r="AB148" s="5">
        <f t="shared" si="19"/>
        <v>103.9827060552565</v>
      </c>
      <c r="AH148" t="s">
        <v>83</v>
      </c>
      <c r="AI148" s="5">
        <f>data_origin!T2399</f>
        <v>0</v>
      </c>
      <c r="AJ148" s="5">
        <f>data_origin!U2399</f>
        <v>0</v>
      </c>
      <c r="AK148" s="5">
        <f>data_origin!V2399</f>
        <v>0</v>
      </c>
      <c r="AL148" s="5">
        <f>data_origin!W2399</f>
        <v>0</v>
      </c>
      <c r="AM148" s="5">
        <f>data_origin!X2399</f>
        <v>0</v>
      </c>
      <c r="AN148" s="5">
        <f>data_origin!Y2399</f>
        <v>0</v>
      </c>
      <c r="AO148" s="5">
        <f>data_origin!Z2399</f>
        <v>0</v>
      </c>
      <c r="AP148" s="5">
        <f>data_origin!AA2399</f>
        <v>0</v>
      </c>
      <c r="AQ148" s="9">
        <f t="shared" si="20"/>
        <v>0</v>
      </c>
      <c r="AV148" t="s">
        <v>83</v>
      </c>
      <c r="AW148" s="5">
        <f>data_origin!T3113</f>
        <v>0</v>
      </c>
      <c r="AX148" s="5">
        <f>data_origin!U3113</f>
        <v>0</v>
      </c>
      <c r="AY148" s="5">
        <f>data_origin!V3113</f>
        <v>0</v>
      </c>
      <c r="AZ148" s="5">
        <f>data_origin!W3113</f>
        <v>0</v>
      </c>
      <c r="BA148" s="5">
        <f>data_origin!X3113</f>
        <v>0</v>
      </c>
      <c r="BB148" s="5">
        <f>data_origin!Y3113</f>
        <v>0</v>
      </c>
      <c r="BC148" s="5">
        <f>data_origin!Z3113</f>
        <v>0</v>
      </c>
      <c r="BD148" s="5">
        <f>data_origin!AA3113</f>
        <v>0</v>
      </c>
      <c r="BE148" s="9">
        <f t="shared" si="21"/>
        <v>0</v>
      </c>
    </row>
    <row r="149" spans="4:57" x14ac:dyDescent="0.25">
      <c r="D149" t="s">
        <v>84</v>
      </c>
      <c r="E149" s="38">
        <f t="shared" si="25"/>
        <v>0</v>
      </c>
      <c r="F149" s="38">
        <f t="shared" si="25"/>
        <v>0</v>
      </c>
      <c r="G149" s="38">
        <f t="shared" si="25"/>
        <v>41.153855267217153</v>
      </c>
      <c r="H149" s="38">
        <f t="shared" si="25"/>
        <v>57.315803249710982</v>
      </c>
      <c r="I149" s="38">
        <f t="shared" si="25"/>
        <v>24.104224639849978</v>
      </c>
      <c r="J149" s="38">
        <f t="shared" si="25"/>
        <v>2.1326402061990613</v>
      </c>
      <c r="K149" s="38">
        <f t="shared" si="25"/>
        <v>0</v>
      </c>
      <c r="L149" s="38">
        <f t="shared" si="25"/>
        <v>0</v>
      </c>
      <c r="M149" s="35">
        <f t="shared" si="23"/>
        <v>124.70652336297717</v>
      </c>
      <c r="S149" t="s">
        <v>84</v>
      </c>
      <c r="T149" s="5">
        <f>data_origin!T187</f>
        <v>0</v>
      </c>
      <c r="U149" s="5">
        <f>data_origin!U187</f>
        <v>0</v>
      </c>
      <c r="V149" s="5">
        <f>data_origin!V187</f>
        <v>40.833684210526314</v>
      </c>
      <c r="W149" s="5">
        <f>data_origin!W187</f>
        <v>56.609381318236956</v>
      </c>
      <c r="X149" s="5">
        <f>data_origin!X187</f>
        <v>23.682352941176472</v>
      </c>
      <c r="Y149" s="5">
        <f>data_origin!Y187</f>
        <v>2.0893854748603351</v>
      </c>
      <c r="Z149" s="5">
        <f>data_origin!Z187</f>
        <v>0</v>
      </c>
      <c r="AA149" s="5">
        <f>data_origin!AA187</f>
        <v>0</v>
      </c>
      <c r="AB149" s="5">
        <f t="shared" si="19"/>
        <v>123.21480394480008</v>
      </c>
      <c r="AH149" t="s">
        <v>84</v>
      </c>
      <c r="AI149" s="5">
        <f>data_origin!T2400</f>
        <v>0</v>
      </c>
      <c r="AJ149" s="5">
        <f>data_origin!U2400</f>
        <v>0</v>
      </c>
      <c r="AK149" s="5">
        <f>data_origin!V2400</f>
        <v>0</v>
      </c>
      <c r="AL149" s="5">
        <f>data_origin!W2400</f>
        <v>0</v>
      </c>
      <c r="AM149" s="5">
        <f>data_origin!X2400</f>
        <v>0</v>
      </c>
      <c r="AN149" s="5">
        <f>data_origin!Y2400</f>
        <v>0</v>
      </c>
      <c r="AO149" s="5">
        <f>data_origin!Z2400</f>
        <v>0</v>
      </c>
      <c r="AP149" s="5">
        <f>data_origin!AA2400</f>
        <v>0</v>
      </c>
      <c r="AQ149" s="9">
        <f t="shared" si="20"/>
        <v>0</v>
      </c>
      <c r="AV149" t="s">
        <v>84</v>
      </c>
      <c r="AW149" s="5">
        <f>data_origin!T3114</f>
        <v>0</v>
      </c>
      <c r="AX149" s="5">
        <f>data_origin!U3114</f>
        <v>0</v>
      </c>
      <c r="AY149" s="5">
        <f>data_origin!V3114</f>
        <v>0</v>
      </c>
      <c r="AZ149" s="5">
        <f>data_origin!W3114</f>
        <v>0</v>
      </c>
      <c r="BA149" s="5">
        <f>data_origin!X3114</f>
        <v>0</v>
      </c>
      <c r="BB149" s="5">
        <f>data_origin!Y3114</f>
        <v>0</v>
      </c>
      <c r="BC149" s="5">
        <f>data_origin!Z3114</f>
        <v>0</v>
      </c>
      <c r="BD149" s="5">
        <f>data_origin!AA3114</f>
        <v>0</v>
      </c>
      <c r="BE149" s="9">
        <f t="shared" si="21"/>
        <v>0</v>
      </c>
    </row>
    <row r="150" spans="4:57" x14ac:dyDescent="0.25">
      <c r="D150" t="s">
        <v>85</v>
      </c>
      <c r="E150" s="38">
        <f t="shared" si="25"/>
        <v>0</v>
      </c>
      <c r="F150" s="38">
        <f t="shared" si="25"/>
        <v>0</v>
      </c>
      <c r="G150" s="38">
        <f t="shared" si="25"/>
        <v>37.988174092815839</v>
      </c>
      <c r="H150" s="38">
        <f t="shared" si="25"/>
        <v>53.070188194176843</v>
      </c>
      <c r="I150" s="38">
        <f t="shared" si="25"/>
        <v>20.817284916234069</v>
      </c>
      <c r="J150" s="38">
        <f t="shared" si="25"/>
        <v>4.2652804123981225</v>
      </c>
      <c r="K150" s="38">
        <f t="shared" si="25"/>
        <v>0</v>
      </c>
      <c r="L150" s="38">
        <f t="shared" si="25"/>
        <v>0</v>
      </c>
      <c r="M150" s="35">
        <f t="shared" si="23"/>
        <v>116.14092761562489</v>
      </c>
      <c r="S150" t="s">
        <v>85</v>
      </c>
      <c r="T150" s="5">
        <f>data_origin!T188</f>
        <v>0</v>
      </c>
      <c r="U150" s="5">
        <f>data_origin!U188</f>
        <v>0</v>
      </c>
      <c r="V150" s="5">
        <f>data_origin!V188</f>
        <v>37.69263157894737</v>
      </c>
      <c r="W150" s="5">
        <f>data_origin!W188</f>
        <v>52.416093813182371</v>
      </c>
      <c r="X150" s="5">
        <f>data_origin!X188</f>
        <v>20.452941176470588</v>
      </c>
      <c r="Y150" s="5">
        <f>data_origin!Y188</f>
        <v>4.1787709497206702</v>
      </c>
      <c r="Z150" s="5">
        <f>data_origin!Z188</f>
        <v>0</v>
      </c>
      <c r="AA150" s="5">
        <f>data_origin!AA188</f>
        <v>0</v>
      </c>
      <c r="AB150" s="5">
        <f t="shared" si="19"/>
        <v>114.740437518321</v>
      </c>
      <c r="AH150" t="s">
        <v>85</v>
      </c>
      <c r="AI150" s="5">
        <f>data_origin!T2401</f>
        <v>0</v>
      </c>
      <c r="AJ150" s="5">
        <f>data_origin!U2401</f>
        <v>0</v>
      </c>
      <c r="AK150" s="5">
        <f>data_origin!V2401</f>
        <v>0</v>
      </c>
      <c r="AL150" s="5">
        <f>data_origin!W2401</f>
        <v>0</v>
      </c>
      <c r="AM150" s="5">
        <f>data_origin!X2401</f>
        <v>0</v>
      </c>
      <c r="AN150" s="5">
        <f>data_origin!Y2401</f>
        <v>0</v>
      </c>
      <c r="AO150" s="5">
        <f>data_origin!Z2401</f>
        <v>0</v>
      </c>
      <c r="AP150" s="5">
        <f>data_origin!AA2401</f>
        <v>0</v>
      </c>
      <c r="AQ150" s="9">
        <f t="shared" si="20"/>
        <v>0</v>
      </c>
      <c r="AV150" t="s">
        <v>85</v>
      </c>
      <c r="AW150" s="5">
        <f>data_origin!T3115</f>
        <v>0</v>
      </c>
      <c r="AX150" s="5">
        <f>data_origin!U3115</f>
        <v>0</v>
      </c>
      <c r="AY150" s="5">
        <f>data_origin!V3115</f>
        <v>0</v>
      </c>
      <c r="AZ150" s="5">
        <f>data_origin!W3115</f>
        <v>0</v>
      </c>
      <c r="BA150" s="5">
        <f>data_origin!X3115</f>
        <v>0</v>
      </c>
      <c r="BB150" s="5">
        <f>data_origin!Y3115</f>
        <v>0</v>
      </c>
      <c r="BC150" s="5">
        <f>data_origin!Z3115</f>
        <v>0</v>
      </c>
      <c r="BD150" s="5">
        <f>data_origin!AA3115</f>
        <v>0</v>
      </c>
      <c r="BE150" s="9">
        <f t="shared" si="21"/>
        <v>0</v>
      </c>
    </row>
    <row r="151" spans="4:57" x14ac:dyDescent="0.25">
      <c r="D151" t="s">
        <v>86</v>
      </c>
      <c r="E151" s="38">
        <f t="shared" si="25"/>
        <v>0</v>
      </c>
      <c r="F151" s="38">
        <f t="shared" si="25"/>
        <v>0</v>
      </c>
      <c r="G151" s="38">
        <f t="shared" si="25"/>
        <v>2021.8150433843095</v>
      </c>
      <c r="H151" s="38">
        <f t="shared" si="25"/>
        <v>2225.7636928637767</v>
      </c>
      <c r="I151" s="38">
        <f t="shared" si="25"/>
        <v>887.47372537629462</v>
      </c>
      <c r="J151" s="38">
        <f t="shared" si="25"/>
        <v>81.040327835564327</v>
      </c>
      <c r="K151" s="38">
        <f t="shared" si="25"/>
        <v>0</v>
      </c>
      <c r="L151" s="38">
        <f t="shared" si="25"/>
        <v>3.2307692307692304</v>
      </c>
      <c r="M151" s="35">
        <f t="shared" si="23"/>
        <v>5219.323558690714</v>
      </c>
      <c r="S151" t="s">
        <v>86</v>
      </c>
      <c r="T151" s="5">
        <f>data_origin!T189</f>
        <v>0</v>
      </c>
      <c r="U151" s="5">
        <f>data_origin!U189</f>
        <v>0</v>
      </c>
      <c r="V151" s="5">
        <f>data_origin!V189</f>
        <v>2006.0856140350877</v>
      </c>
      <c r="W151" s="5">
        <f>data_origin!W189</f>
        <v>2198.3309745248685</v>
      </c>
      <c r="X151" s="5">
        <f>data_origin!X189</f>
        <v>871.94117647058829</v>
      </c>
      <c r="Y151" s="5">
        <f>data_origin!Y189</f>
        <v>79.396648044692739</v>
      </c>
      <c r="Z151" s="5">
        <f>data_origin!Z189</f>
        <v>0</v>
      </c>
      <c r="AA151" s="5">
        <f>data_origin!AA189</f>
        <v>3</v>
      </c>
      <c r="AB151" s="5">
        <f t="shared" si="19"/>
        <v>5158.7544130752367</v>
      </c>
      <c r="AH151" t="s">
        <v>86</v>
      </c>
      <c r="AI151" s="5">
        <f>data_origin!T2402</f>
        <v>0</v>
      </c>
      <c r="AJ151" s="5">
        <f>data_origin!U2402</f>
        <v>0</v>
      </c>
      <c r="AK151" s="5">
        <f>data_origin!V2402</f>
        <v>0</v>
      </c>
      <c r="AL151" s="5">
        <f>data_origin!W2402</f>
        <v>0</v>
      </c>
      <c r="AM151" s="5">
        <f>data_origin!X2402</f>
        <v>0</v>
      </c>
      <c r="AN151" s="5">
        <f>data_origin!Y2402</f>
        <v>0</v>
      </c>
      <c r="AO151" s="5">
        <f>data_origin!Z2402</f>
        <v>0</v>
      </c>
      <c r="AP151" s="5">
        <f>data_origin!AA2402</f>
        <v>0</v>
      </c>
      <c r="AQ151" s="9">
        <f t="shared" si="20"/>
        <v>0</v>
      </c>
      <c r="AV151" t="s">
        <v>86</v>
      </c>
      <c r="AW151" s="5">
        <f>data_origin!T3116</f>
        <v>0</v>
      </c>
      <c r="AX151" s="5">
        <f>data_origin!U3116</f>
        <v>0</v>
      </c>
      <c r="AY151" s="5">
        <f>data_origin!V3116</f>
        <v>0</v>
      </c>
      <c r="AZ151" s="5">
        <f>data_origin!W3116</f>
        <v>0</v>
      </c>
      <c r="BA151" s="5">
        <f>data_origin!X3116</f>
        <v>0</v>
      </c>
      <c r="BB151" s="5">
        <f>data_origin!Y3116</f>
        <v>0</v>
      </c>
      <c r="BC151" s="5">
        <f>data_origin!Z3116</f>
        <v>0</v>
      </c>
      <c r="BD151" s="5">
        <f>data_origin!AA3116</f>
        <v>0</v>
      </c>
      <c r="BE151" s="9">
        <f t="shared" si="21"/>
        <v>0</v>
      </c>
    </row>
    <row r="152" spans="4:57" x14ac:dyDescent="0.25">
      <c r="D152" t="s">
        <v>87</v>
      </c>
      <c r="E152" s="38">
        <f t="shared" si="25"/>
        <v>0</v>
      </c>
      <c r="F152" s="38">
        <f t="shared" si="25"/>
        <v>0</v>
      </c>
      <c r="G152" s="38">
        <f t="shared" si="25"/>
        <v>74.921121127497898</v>
      </c>
      <c r="H152" s="38">
        <f t="shared" si="25"/>
        <v>116.75441402718904</v>
      </c>
      <c r="I152" s="38">
        <f t="shared" si="25"/>
        <v>39.44327668339087</v>
      </c>
      <c r="J152" s="38">
        <f t="shared" si="25"/>
        <v>3.1989603092985921</v>
      </c>
      <c r="K152" s="38">
        <f t="shared" si="25"/>
        <v>0</v>
      </c>
      <c r="L152" s="38">
        <f t="shared" si="25"/>
        <v>0</v>
      </c>
      <c r="M152" s="35">
        <f t="shared" si="23"/>
        <v>234.31777214737642</v>
      </c>
      <c r="S152" t="s">
        <v>87</v>
      </c>
      <c r="T152" s="5">
        <f>data_origin!T190</f>
        <v>0</v>
      </c>
      <c r="U152" s="5">
        <f>data_origin!U190</f>
        <v>0</v>
      </c>
      <c r="V152" s="5">
        <f>data_origin!V190</f>
        <v>74.338245614035088</v>
      </c>
      <c r="W152" s="5">
        <f>data_origin!W190</f>
        <v>115.31540638900121</v>
      </c>
      <c r="X152" s="5">
        <f>data_origin!X190</f>
        <v>38.752941176470586</v>
      </c>
      <c r="Y152" s="5">
        <f>data_origin!Y190</f>
        <v>3.1340782122905027</v>
      </c>
      <c r="Z152" s="5">
        <f>data_origin!Z190</f>
        <v>0</v>
      </c>
      <c r="AA152" s="5">
        <f>data_origin!AA190</f>
        <v>0</v>
      </c>
      <c r="AB152" s="5">
        <f t="shared" si="19"/>
        <v>231.54067139179739</v>
      </c>
      <c r="AH152" t="s">
        <v>87</v>
      </c>
      <c r="AI152" s="5">
        <f>data_origin!T2403</f>
        <v>0</v>
      </c>
      <c r="AJ152" s="5">
        <f>data_origin!U2403</f>
        <v>0</v>
      </c>
      <c r="AK152" s="5">
        <f>data_origin!V2403</f>
        <v>0</v>
      </c>
      <c r="AL152" s="5">
        <f>data_origin!W2403</f>
        <v>0</v>
      </c>
      <c r="AM152" s="5">
        <f>data_origin!X2403</f>
        <v>0</v>
      </c>
      <c r="AN152" s="5">
        <f>data_origin!Y2403</f>
        <v>0</v>
      </c>
      <c r="AO152" s="5">
        <f>data_origin!Z2403</f>
        <v>0</v>
      </c>
      <c r="AP152" s="5">
        <f>data_origin!AA2403</f>
        <v>0</v>
      </c>
      <c r="AQ152" s="9">
        <f t="shared" si="20"/>
        <v>0</v>
      </c>
      <c r="AV152" t="s">
        <v>87</v>
      </c>
      <c r="AW152" s="5">
        <f>data_origin!T3117</f>
        <v>0</v>
      </c>
      <c r="AX152" s="5">
        <f>data_origin!U3117</f>
        <v>0</v>
      </c>
      <c r="AY152" s="5">
        <f>data_origin!V3117</f>
        <v>0</v>
      </c>
      <c r="AZ152" s="5">
        <f>data_origin!W3117</f>
        <v>0</v>
      </c>
      <c r="BA152" s="5">
        <f>data_origin!X3117</f>
        <v>0</v>
      </c>
      <c r="BB152" s="5">
        <f>data_origin!Y3117</f>
        <v>0</v>
      </c>
      <c r="BC152" s="5">
        <f>data_origin!Z3117</f>
        <v>0</v>
      </c>
      <c r="BD152" s="5">
        <f>data_origin!AA3117</f>
        <v>0</v>
      </c>
      <c r="BE152" s="9">
        <f t="shared" si="21"/>
        <v>0</v>
      </c>
    </row>
    <row r="153" spans="4:57" x14ac:dyDescent="0.25">
      <c r="D153" t="s">
        <v>88</v>
      </c>
      <c r="E153" s="38">
        <f t="shared" si="25"/>
        <v>0</v>
      </c>
      <c r="F153" s="38">
        <f t="shared" si="25"/>
        <v>0</v>
      </c>
      <c r="G153" s="38">
        <f t="shared" si="25"/>
        <v>333.45175037027229</v>
      </c>
      <c r="H153" s="38">
        <f t="shared" si="25"/>
        <v>361.93868348428606</v>
      </c>
      <c r="I153" s="38">
        <f t="shared" si="25"/>
        <v>169.82521905348847</v>
      </c>
      <c r="J153" s="38">
        <f t="shared" si="25"/>
        <v>11.729521134094838</v>
      </c>
      <c r="K153" s="38">
        <f t="shared" si="25"/>
        <v>0</v>
      </c>
      <c r="L153" s="38">
        <f t="shared" si="25"/>
        <v>0</v>
      </c>
      <c r="M153" s="35">
        <f t="shared" si="23"/>
        <v>876.94517404214162</v>
      </c>
      <c r="S153" t="s">
        <v>88</v>
      </c>
      <c r="T153" s="5">
        <f>data_origin!T191</f>
        <v>0</v>
      </c>
      <c r="U153" s="5">
        <f>data_origin!U191</f>
        <v>0</v>
      </c>
      <c r="V153" s="5">
        <f>data_origin!V191</f>
        <v>330.85754385964913</v>
      </c>
      <c r="W153" s="5">
        <f>data_origin!W191</f>
        <v>357.47775980590376</v>
      </c>
      <c r="X153" s="5">
        <f>data_origin!X191</f>
        <v>166.85294117647058</v>
      </c>
      <c r="Y153" s="5">
        <f>data_origin!Y191</f>
        <v>11.491620111731844</v>
      </c>
      <c r="Z153" s="5">
        <f>data_origin!Z191</f>
        <v>0</v>
      </c>
      <c r="AA153" s="5">
        <f>data_origin!AA191</f>
        <v>0</v>
      </c>
      <c r="AB153" s="5">
        <f t="shared" si="19"/>
        <v>866.67986495375533</v>
      </c>
      <c r="AH153" t="s">
        <v>88</v>
      </c>
      <c r="AI153" s="5">
        <f>data_origin!T2404</f>
        <v>0</v>
      </c>
      <c r="AJ153" s="5">
        <f>data_origin!U2404</f>
        <v>0</v>
      </c>
      <c r="AK153" s="5">
        <f>data_origin!V2404</f>
        <v>0</v>
      </c>
      <c r="AL153" s="5">
        <f>data_origin!W2404</f>
        <v>0</v>
      </c>
      <c r="AM153" s="5">
        <f>data_origin!X2404</f>
        <v>0</v>
      </c>
      <c r="AN153" s="5">
        <f>data_origin!Y2404</f>
        <v>0</v>
      </c>
      <c r="AO153" s="5">
        <f>data_origin!Z2404</f>
        <v>0</v>
      </c>
      <c r="AP153" s="5">
        <f>data_origin!AA2404</f>
        <v>0</v>
      </c>
      <c r="AQ153" s="9">
        <f t="shared" si="20"/>
        <v>0</v>
      </c>
      <c r="AV153" t="s">
        <v>88</v>
      </c>
      <c r="AW153" s="5">
        <f>data_origin!T3118</f>
        <v>0</v>
      </c>
      <c r="AX153" s="5">
        <f>data_origin!U3118</f>
        <v>0</v>
      </c>
      <c r="AY153" s="5">
        <f>data_origin!V3118</f>
        <v>0</v>
      </c>
      <c r="AZ153" s="5">
        <f>data_origin!W3118</f>
        <v>0</v>
      </c>
      <c r="BA153" s="5">
        <f>data_origin!X3118</f>
        <v>0</v>
      </c>
      <c r="BB153" s="5">
        <f>data_origin!Y3118</f>
        <v>0</v>
      </c>
      <c r="BC153" s="5">
        <f>data_origin!Z3118</f>
        <v>0</v>
      </c>
      <c r="BD153" s="5">
        <f>data_origin!AA3118</f>
        <v>0</v>
      </c>
      <c r="BE153" s="9">
        <f t="shared" si="21"/>
        <v>0</v>
      </c>
    </row>
    <row r="154" spans="4:57" x14ac:dyDescent="0.25">
      <c r="D154" t="s">
        <v>89</v>
      </c>
      <c r="E154" s="38">
        <f t="shared" si="25"/>
        <v>0</v>
      </c>
      <c r="F154" s="38">
        <f t="shared" si="25"/>
        <v>0</v>
      </c>
      <c r="G154" s="38">
        <f t="shared" si="25"/>
        <v>12.662724697605279</v>
      </c>
      <c r="H154" s="38">
        <f t="shared" si="25"/>
        <v>13.798248930485977</v>
      </c>
      <c r="I154" s="38">
        <f t="shared" si="25"/>
        <v>7.6695260217704471</v>
      </c>
      <c r="J154" s="38">
        <f t="shared" si="25"/>
        <v>0</v>
      </c>
      <c r="K154" s="38">
        <f t="shared" si="25"/>
        <v>0</v>
      </c>
      <c r="L154" s="38">
        <f t="shared" si="25"/>
        <v>0</v>
      </c>
      <c r="M154" s="35">
        <f t="shared" si="23"/>
        <v>34.130499649861704</v>
      </c>
      <c r="S154" t="s">
        <v>89</v>
      </c>
      <c r="T154" s="5">
        <f>data_origin!T192</f>
        <v>0</v>
      </c>
      <c r="U154" s="5">
        <f>data_origin!U192</f>
        <v>0</v>
      </c>
      <c r="V154" s="5">
        <f>data_origin!V192</f>
        <v>12.56421052631579</v>
      </c>
      <c r="W154" s="5">
        <f>data_origin!W192</f>
        <v>13.628184391427416</v>
      </c>
      <c r="X154" s="5">
        <f>data_origin!X192</f>
        <v>7.5352941176470587</v>
      </c>
      <c r="Y154" s="5">
        <f>data_origin!Y192</f>
        <v>0</v>
      </c>
      <c r="Z154" s="5">
        <f>data_origin!Z192</f>
        <v>0</v>
      </c>
      <c r="AA154" s="5">
        <f>data_origin!AA192</f>
        <v>0</v>
      </c>
      <c r="AB154" s="5">
        <f t="shared" si="19"/>
        <v>33.72768903539027</v>
      </c>
      <c r="AH154" t="s">
        <v>89</v>
      </c>
      <c r="AI154" s="5">
        <f>data_origin!T2405</f>
        <v>0</v>
      </c>
      <c r="AJ154" s="5">
        <f>data_origin!U2405</f>
        <v>0</v>
      </c>
      <c r="AK154" s="5">
        <f>data_origin!V2405</f>
        <v>0</v>
      </c>
      <c r="AL154" s="5">
        <f>data_origin!W2405</f>
        <v>0</v>
      </c>
      <c r="AM154" s="5">
        <f>data_origin!X2405</f>
        <v>0</v>
      </c>
      <c r="AN154" s="5">
        <f>data_origin!Y2405</f>
        <v>0</v>
      </c>
      <c r="AO154" s="5">
        <f>data_origin!Z2405</f>
        <v>0</v>
      </c>
      <c r="AP154" s="5">
        <f>data_origin!AA2405</f>
        <v>0</v>
      </c>
      <c r="AQ154" s="9">
        <f t="shared" si="20"/>
        <v>0</v>
      </c>
      <c r="AV154" t="s">
        <v>89</v>
      </c>
      <c r="AW154" s="5">
        <f>data_origin!T3119</f>
        <v>0</v>
      </c>
      <c r="AX154" s="5">
        <f>data_origin!U3119</f>
        <v>0</v>
      </c>
      <c r="AY154" s="5">
        <f>data_origin!V3119</f>
        <v>0</v>
      </c>
      <c r="AZ154" s="5">
        <f>data_origin!W3119</f>
        <v>0</v>
      </c>
      <c r="BA154" s="5">
        <f>data_origin!X3119</f>
        <v>0</v>
      </c>
      <c r="BB154" s="5">
        <f>data_origin!Y3119</f>
        <v>0</v>
      </c>
      <c r="BC154" s="5">
        <f>data_origin!Z3119</f>
        <v>0</v>
      </c>
      <c r="BD154" s="5">
        <f>data_origin!AA3119</f>
        <v>0</v>
      </c>
      <c r="BE154" s="9">
        <f t="shared" si="21"/>
        <v>0</v>
      </c>
    </row>
    <row r="155" spans="4:57" x14ac:dyDescent="0.25">
      <c r="D155" t="s">
        <v>90</v>
      </c>
      <c r="E155" s="38">
        <f t="shared" si="25"/>
        <v>0</v>
      </c>
      <c r="F155" s="38">
        <f t="shared" si="25"/>
        <v>0</v>
      </c>
      <c r="G155" s="38">
        <f t="shared" si="25"/>
        <v>0</v>
      </c>
      <c r="H155" s="38">
        <f t="shared" si="25"/>
        <v>0</v>
      </c>
      <c r="I155" s="38">
        <f t="shared" si="25"/>
        <v>0</v>
      </c>
      <c r="J155" s="38">
        <f t="shared" si="25"/>
        <v>0</v>
      </c>
      <c r="K155" s="38">
        <f t="shared" si="25"/>
        <v>0</v>
      </c>
      <c r="L155" s="38">
        <f t="shared" si="25"/>
        <v>0</v>
      </c>
      <c r="M155" s="35">
        <f t="shared" si="23"/>
        <v>0</v>
      </c>
      <c r="S155" t="s">
        <v>90</v>
      </c>
      <c r="T155" s="5">
        <f>data_origin!T193</f>
        <v>0</v>
      </c>
      <c r="U155" s="5">
        <f>data_origin!U193</f>
        <v>0</v>
      </c>
      <c r="V155" s="5">
        <f>data_origin!V193</f>
        <v>0</v>
      </c>
      <c r="W155" s="5">
        <f>data_origin!W193</f>
        <v>0</v>
      </c>
      <c r="X155" s="5">
        <f>data_origin!X193</f>
        <v>0</v>
      </c>
      <c r="Y155" s="5">
        <f>data_origin!Y193</f>
        <v>0</v>
      </c>
      <c r="Z155" s="5">
        <f>data_origin!Z193</f>
        <v>0</v>
      </c>
      <c r="AA155" s="5">
        <f>data_origin!AA193</f>
        <v>0</v>
      </c>
      <c r="AB155" s="5">
        <f t="shared" si="19"/>
        <v>0</v>
      </c>
      <c r="AH155" t="s">
        <v>90</v>
      </c>
      <c r="AI155" s="5">
        <f>data_origin!T2406</f>
        <v>0</v>
      </c>
      <c r="AJ155" s="5">
        <f>data_origin!U2406</f>
        <v>0</v>
      </c>
      <c r="AK155" s="5">
        <f>data_origin!V2406</f>
        <v>0</v>
      </c>
      <c r="AL155" s="5">
        <f>data_origin!W2406</f>
        <v>0</v>
      </c>
      <c r="AM155" s="5">
        <f>data_origin!X2406</f>
        <v>0</v>
      </c>
      <c r="AN155" s="5">
        <f>data_origin!Y2406</f>
        <v>0</v>
      </c>
      <c r="AO155" s="5">
        <f>data_origin!Z2406</f>
        <v>0</v>
      </c>
      <c r="AP155" s="5">
        <f>data_origin!AA2406</f>
        <v>0</v>
      </c>
      <c r="AQ155" s="9">
        <f t="shared" si="20"/>
        <v>0</v>
      </c>
      <c r="AV155" t="s">
        <v>90</v>
      </c>
      <c r="AW155" s="5">
        <f>data_origin!T3120</f>
        <v>0</v>
      </c>
      <c r="AX155" s="5">
        <f>data_origin!U3120</f>
        <v>0</v>
      </c>
      <c r="AY155" s="5">
        <f>data_origin!V3120</f>
        <v>0</v>
      </c>
      <c r="AZ155" s="5">
        <f>data_origin!W3120</f>
        <v>0</v>
      </c>
      <c r="BA155" s="5">
        <f>data_origin!X3120</f>
        <v>0</v>
      </c>
      <c r="BB155" s="5">
        <f>data_origin!Y3120</f>
        <v>0</v>
      </c>
      <c r="BC155" s="5">
        <f>data_origin!Z3120</f>
        <v>0</v>
      </c>
      <c r="BD155" s="5">
        <f>data_origin!AA3120</f>
        <v>0</v>
      </c>
      <c r="BE155" s="9">
        <f t="shared" si="21"/>
        <v>0</v>
      </c>
    </row>
    <row r="156" spans="4:57" x14ac:dyDescent="0.25">
      <c r="D156" t="s">
        <v>91</v>
      </c>
      <c r="E156" s="38">
        <f t="shared" si="25"/>
        <v>0</v>
      </c>
      <c r="F156" s="38">
        <f t="shared" si="25"/>
        <v>0</v>
      </c>
      <c r="G156" s="38">
        <f t="shared" si="25"/>
        <v>9.4970435232039598</v>
      </c>
      <c r="H156" s="38">
        <f t="shared" si="25"/>
        <v>6.3684225833012205</v>
      </c>
      <c r="I156" s="38">
        <f t="shared" si="25"/>
        <v>3.2869397236159057</v>
      </c>
      <c r="J156" s="38">
        <f t="shared" si="25"/>
        <v>2.1326402061990613</v>
      </c>
      <c r="K156" s="38">
        <f t="shared" si="25"/>
        <v>0</v>
      </c>
      <c r="L156" s="38">
        <f t="shared" si="25"/>
        <v>0</v>
      </c>
      <c r="M156" s="35">
        <f t="shared" si="23"/>
        <v>21.285046036320146</v>
      </c>
      <c r="S156" t="s">
        <v>91</v>
      </c>
      <c r="T156" s="5">
        <f>data_origin!T194</f>
        <v>0</v>
      </c>
      <c r="U156" s="5">
        <f>data_origin!U194</f>
        <v>0</v>
      </c>
      <c r="V156" s="5">
        <f>data_origin!V194</f>
        <v>9.4231578947368426</v>
      </c>
      <c r="W156" s="5">
        <f>data_origin!W194</f>
        <v>6.289931257581884</v>
      </c>
      <c r="X156" s="5">
        <f>data_origin!X194</f>
        <v>3.2294117647058824</v>
      </c>
      <c r="Y156" s="5">
        <f>data_origin!Y194</f>
        <v>2.0893854748603351</v>
      </c>
      <c r="Z156" s="5">
        <f>data_origin!Z194</f>
        <v>0</v>
      </c>
      <c r="AA156" s="5">
        <f>data_origin!AA194</f>
        <v>0</v>
      </c>
      <c r="AB156" s="5">
        <f t="shared" si="19"/>
        <v>21.031886391884946</v>
      </c>
      <c r="AH156" t="s">
        <v>91</v>
      </c>
      <c r="AI156" s="5">
        <f>data_origin!T2407</f>
        <v>0</v>
      </c>
      <c r="AJ156" s="5">
        <f>data_origin!U2407</f>
        <v>0</v>
      </c>
      <c r="AK156" s="5">
        <f>data_origin!V2407</f>
        <v>0</v>
      </c>
      <c r="AL156" s="5">
        <f>data_origin!W2407</f>
        <v>0</v>
      </c>
      <c r="AM156" s="5">
        <f>data_origin!X2407</f>
        <v>0</v>
      </c>
      <c r="AN156" s="5">
        <f>data_origin!Y2407</f>
        <v>0</v>
      </c>
      <c r="AO156" s="5">
        <f>data_origin!Z2407</f>
        <v>0</v>
      </c>
      <c r="AP156" s="5">
        <f>data_origin!AA2407</f>
        <v>0</v>
      </c>
      <c r="AQ156" s="9">
        <f t="shared" si="20"/>
        <v>0</v>
      </c>
      <c r="AV156" t="s">
        <v>91</v>
      </c>
      <c r="AW156" s="5">
        <f>data_origin!T3121</f>
        <v>0</v>
      </c>
      <c r="AX156" s="5">
        <f>data_origin!U3121</f>
        <v>0</v>
      </c>
      <c r="AY156" s="5">
        <f>data_origin!V3121</f>
        <v>0</v>
      </c>
      <c r="AZ156" s="5">
        <f>data_origin!W3121</f>
        <v>0</v>
      </c>
      <c r="BA156" s="5">
        <f>data_origin!X3121</f>
        <v>0</v>
      </c>
      <c r="BB156" s="5">
        <f>data_origin!Y3121</f>
        <v>0</v>
      </c>
      <c r="BC156" s="5">
        <f>data_origin!Z3121</f>
        <v>0</v>
      </c>
      <c r="BD156" s="5">
        <f>data_origin!AA3121</f>
        <v>0</v>
      </c>
      <c r="BE156" s="9">
        <f t="shared" si="21"/>
        <v>0</v>
      </c>
    </row>
    <row r="157" spans="4:57" x14ac:dyDescent="0.25">
      <c r="D157" t="s">
        <v>92</v>
      </c>
      <c r="E157" s="38">
        <f t="shared" si="25"/>
        <v>0</v>
      </c>
      <c r="F157" s="38">
        <f t="shared" si="25"/>
        <v>0</v>
      </c>
      <c r="G157" s="38">
        <f t="shared" si="25"/>
        <v>1.0552270581337733</v>
      </c>
      <c r="H157" s="38">
        <f t="shared" si="25"/>
        <v>0</v>
      </c>
      <c r="I157" s="38">
        <f t="shared" si="25"/>
        <v>0</v>
      </c>
      <c r="J157" s="38">
        <f t="shared" si="25"/>
        <v>0</v>
      </c>
      <c r="K157" s="38">
        <f t="shared" si="25"/>
        <v>0</v>
      </c>
      <c r="L157" s="38">
        <f t="shared" si="25"/>
        <v>0</v>
      </c>
      <c r="M157" s="35">
        <f t="shared" si="23"/>
        <v>1.0552270581337733</v>
      </c>
      <c r="S157" t="s">
        <v>92</v>
      </c>
      <c r="T157" s="5">
        <f>data_origin!T195</f>
        <v>0</v>
      </c>
      <c r="U157" s="5">
        <f>data_origin!U195</f>
        <v>0</v>
      </c>
      <c r="V157" s="5">
        <f>data_origin!V195</f>
        <v>1.0470175438596492</v>
      </c>
      <c r="W157" s="5">
        <f>data_origin!W195</f>
        <v>0</v>
      </c>
      <c r="X157" s="5">
        <f>data_origin!X195</f>
        <v>0</v>
      </c>
      <c r="Y157" s="5">
        <f>data_origin!Y195</f>
        <v>0</v>
      </c>
      <c r="Z157" s="5">
        <f>data_origin!Z195</f>
        <v>0</v>
      </c>
      <c r="AA157" s="5">
        <f>data_origin!AA195</f>
        <v>0</v>
      </c>
      <c r="AB157" s="5">
        <f t="shared" si="19"/>
        <v>1.0470175438596492</v>
      </c>
      <c r="AH157" t="s">
        <v>92</v>
      </c>
      <c r="AI157" s="5">
        <f>data_origin!T2408</f>
        <v>0</v>
      </c>
      <c r="AJ157" s="5">
        <f>data_origin!U2408</f>
        <v>0</v>
      </c>
      <c r="AK157" s="5">
        <f>data_origin!V2408</f>
        <v>0</v>
      </c>
      <c r="AL157" s="5">
        <f>data_origin!W2408</f>
        <v>0</v>
      </c>
      <c r="AM157" s="5">
        <f>data_origin!X2408</f>
        <v>0</v>
      </c>
      <c r="AN157" s="5">
        <f>data_origin!Y2408</f>
        <v>0</v>
      </c>
      <c r="AO157" s="5">
        <f>data_origin!Z2408</f>
        <v>0</v>
      </c>
      <c r="AP157" s="5">
        <f>data_origin!AA2408</f>
        <v>0</v>
      </c>
      <c r="AQ157" s="9">
        <f t="shared" si="20"/>
        <v>0</v>
      </c>
      <c r="AV157" t="s">
        <v>92</v>
      </c>
      <c r="AW157" s="5">
        <f>data_origin!T3122</f>
        <v>0</v>
      </c>
      <c r="AX157" s="5">
        <f>data_origin!U3122</f>
        <v>0</v>
      </c>
      <c r="AY157" s="5">
        <f>data_origin!V3122</f>
        <v>0</v>
      </c>
      <c r="AZ157" s="5">
        <f>data_origin!W3122</f>
        <v>0</v>
      </c>
      <c r="BA157" s="5">
        <f>data_origin!X3122</f>
        <v>0</v>
      </c>
      <c r="BB157" s="5">
        <f>data_origin!Y3122</f>
        <v>0</v>
      </c>
      <c r="BC157" s="5">
        <f>data_origin!Z3122</f>
        <v>0</v>
      </c>
      <c r="BD157" s="5">
        <f>data_origin!AA3122</f>
        <v>0</v>
      </c>
      <c r="BE157" s="9">
        <f t="shared" si="21"/>
        <v>0</v>
      </c>
    </row>
    <row r="158" spans="4:57" x14ac:dyDescent="0.25">
      <c r="D158" t="s">
        <v>93</v>
      </c>
      <c r="E158" s="38">
        <f t="shared" si="25"/>
        <v>0</v>
      </c>
      <c r="F158" s="38">
        <f t="shared" si="25"/>
        <v>0</v>
      </c>
      <c r="G158" s="38">
        <f t="shared" si="25"/>
        <v>7.3865894069364124</v>
      </c>
      <c r="H158" s="38">
        <f t="shared" si="25"/>
        <v>4.2456150555341479</v>
      </c>
      <c r="I158" s="38">
        <f t="shared" si="25"/>
        <v>5.4782328726931766</v>
      </c>
      <c r="J158" s="38">
        <f t="shared" si="25"/>
        <v>0</v>
      </c>
      <c r="K158" s="38">
        <f t="shared" si="25"/>
        <v>0</v>
      </c>
      <c r="L158" s="38">
        <f t="shared" si="25"/>
        <v>0</v>
      </c>
      <c r="M158" s="35">
        <f t="shared" si="23"/>
        <v>17.110437335163738</v>
      </c>
      <c r="S158" t="s">
        <v>93</v>
      </c>
      <c r="T158" s="5">
        <f>data_origin!T196</f>
        <v>0</v>
      </c>
      <c r="U158" s="5">
        <f>data_origin!U196</f>
        <v>0</v>
      </c>
      <c r="V158" s="5">
        <f>data_origin!V196</f>
        <v>7.3291228070175443</v>
      </c>
      <c r="W158" s="5">
        <f>data_origin!W196</f>
        <v>4.1932875050545899</v>
      </c>
      <c r="X158" s="5">
        <f>data_origin!X196</f>
        <v>5.382352941176471</v>
      </c>
      <c r="Y158" s="5">
        <f>data_origin!Y196</f>
        <v>0</v>
      </c>
      <c r="Z158" s="5">
        <f>data_origin!Z196</f>
        <v>0</v>
      </c>
      <c r="AA158" s="5">
        <f>data_origin!AA196</f>
        <v>0</v>
      </c>
      <c r="AB158" s="5">
        <f t="shared" si="19"/>
        <v>16.904763253248603</v>
      </c>
      <c r="AH158" t="s">
        <v>93</v>
      </c>
      <c r="AI158" s="5">
        <f>data_origin!T2409</f>
        <v>0</v>
      </c>
      <c r="AJ158" s="5">
        <f>data_origin!U2409</f>
        <v>0</v>
      </c>
      <c r="AK158" s="5">
        <f>data_origin!V2409</f>
        <v>0</v>
      </c>
      <c r="AL158" s="5">
        <f>data_origin!W2409</f>
        <v>0</v>
      </c>
      <c r="AM158" s="5">
        <f>data_origin!X2409</f>
        <v>0</v>
      </c>
      <c r="AN158" s="5">
        <f>data_origin!Y2409</f>
        <v>0</v>
      </c>
      <c r="AO158" s="5">
        <f>data_origin!Z2409</f>
        <v>0</v>
      </c>
      <c r="AP158" s="5">
        <f>data_origin!AA2409</f>
        <v>0</v>
      </c>
      <c r="AQ158" s="9">
        <f t="shared" si="20"/>
        <v>0</v>
      </c>
      <c r="AV158" t="s">
        <v>93</v>
      </c>
      <c r="AW158" s="5">
        <f>data_origin!T3123</f>
        <v>0</v>
      </c>
      <c r="AX158" s="5">
        <f>data_origin!U3123</f>
        <v>0</v>
      </c>
      <c r="AY158" s="5">
        <f>data_origin!V3123</f>
        <v>0</v>
      </c>
      <c r="AZ158" s="5">
        <f>data_origin!W3123</f>
        <v>0</v>
      </c>
      <c r="BA158" s="5">
        <f>data_origin!X3123</f>
        <v>0</v>
      </c>
      <c r="BB158" s="5">
        <f>data_origin!Y3123</f>
        <v>0</v>
      </c>
      <c r="BC158" s="5">
        <f>data_origin!Z3123</f>
        <v>0</v>
      </c>
      <c r="BD158" s="5">
        <f>data_origin!AA3123</f>
        <v>0</v>
      </c>
      <c r="BE158" s="9">
        <f t="shared" si="21"/>
        <v>0</v>
      </c>
    </row>
    <row r="159" spans="4:57" x14ac:dyDescent="0.25">
      <c r="D159" t="s">
        <v>94</v>
      </c>
      <c r="E159" s="38">
        <f t="shared" si="25"/>
        <v>0</v>
      </c>
      <c r="F159" s="38">
        <f t="shared" si="25"/>
        <v>0</v>
      </c>
      <c r="G159" s="38">
        <f t="shared" si="25"/>
        <v>1.0552270581337733</v>
      </c>
      <c r="H159" s="38">
        <f t="shared" si="25"/>
        <v>0</v>
      </c>
      <c r="I159" s="38">
        <f t="shared" si="25"/>
        <v>0</v>
      </c>
      <c r="J159" s="38">
        <f t="shared" si="25"/>
        <v>0</v>
      </c>
      <c r="K159" s="38">
        <f t="shared" si="25"/>
        <v>0</v>
      </c>
      <c r="L159" s="38">
        <f t="shared" si="25"/>
        <v>0</v>
      </c>
      <c r="M159" s="35">
        <f t="shared" si="23"/>
        <v>1.0552270581337733</v>
      </c>
      <c r="S159" t="s">
        <v>94</v>
      </c>
      <c r="T159" s="5">
        <f>data_origin!T197</f>
        <v>0</v>
      </c>
      <c r="U159" s="5">
        <f>data_origin!U197</f>
        <v>0</v>
      </c>
      <c r="V159" s="5">
        <f>data_origin!V197</f>
        <v>1.0470175438596492</v>
      </c>
      <c r="W159" s="5">
        <f>data_origin!W197</f>
        <v>0</v>
      </c>
      <c r="X159" s="5">
        <f>data_origin!X197</f>
        <v>0</v>
      </c>
      <c r="Y159" s="5">
        <f>data_origin!Y197</f>
        <v>0</v>
      </c>
      <c r="Z159" s="5">
        <f>data_origin!Z197</f>
        <v>0</v>
      </c>
      <c r="AA159" s="5">
        <f>data_origin!AA197</f>
        <v>0</v>
      </c>
      <c r="AB159" s="5">
        <f t="shared" si="19"/>
        <v>1.0470175438596492</v>
      </c>
      <c r="AH159" t="s">
        <v>94</v>
      </c>
      <c r="AI159" s="5">
        <f>data_origin!T2410</f>
        <v>0</v>
      </c>
      <c r="AJ159" s="5">
        <f>data_origin!U2410</f>
        <v>0</v>
      </c>
      <c r="AK159" s="5">
        <f>data_origin!V2410</f>
        <v>0</v>
      </c>
      <c r="AL159" s="5">
        <f>data_origin!W2410</f>
        <v>0</v>
      </c>
      <c r="AM159" s="5">
        <f>data_origin!X2410</f>
        <v>0</v>
      </c>
      <c r="AN159" s="5">
        <f>data_origin!Y2410</f>
        <v>0</v>
      </c>
      <c r="AO159" s="5">
        <f>data_origin!Z2410</f>
        <v>0</v>
      </c>
      <c r="AP159" s="5">
        <f>data_origin!AA2410</f>
        <v>0</v>
      </c>
      <c r="AQ159" s="9">
        <f t="shared" si="20"/>
        <v>0</v>
      </c>
      <c r="AV159" t="s">
        <v>94</v>
      </c>
      <c r="AW159" s="5">
        <f>data_origin!T3124</f>
        <v>0</v>
      </c>
      <c r="AX159" s="5">
        <f>data_origin!U3124</f>
        <v>0</v>
      </c>
      <c r="AY159" s="5">
        <f>data_origin!V3124</f>
        <v>0</v>
      </c>
      <c r="AZ159" s="5">
        <f>data_origin!W3124</f>
        <v>0</v>
      </c>
      <c r="BA159" s="5">
        <f>data_origin!X3124</f>
        <v>0</v>
      </c>
      <c r="BB159" s="5">
        <f>data_origin!Y3124</f>
        <v>0</v>
      </c>
      <c r="BC159" s="5">
        <f>data_origin!Z3124</f>
        <v>0</v>
      </c>
      <c r="BD159" s="5">
        <f>data_origin!AA3124</f>
        <v>0</v>
      </c>
      <c r="BE159" s="9">
        <f t="shared" si="21"/>
        <v>0</v>
      </c>
    </row>
    <row r="160" spans="4:57" x14ac:dyDescent="0.25">
      <c r="D160" t="s">
        <v>95</v>
      </c>
      <c r="E160" s="38">
        <f t="shared" si="25"/>
        <v>0</v>
      </c>
      <c r="F160" s="38">
        <f t="shared" si="25"/>
        <v>0</v>
      </c>
      <c r="G160" s="38">
        <f t="shared" si="25"/>
        <v>0</v>
      </c>
      <c r="H160" s="38">
        <f t="shared" si="25"/>
        <v>0</v>
      </c>
      <c r="I160" s="38">
        <f t="shared" si="25"/>
        <v>0</v>
      </c>
      <c r="J160" s="38">
        <f t="shared" si="25"/>
        <v>0</v>
      </c>
      <c r="K160" s="38">
        <f t="shared" si="25"/>
        <v>0</v>
      </c>
      <c r="L160" s="38">
        <f t="shared" si="25"/>
        <v>0</v>
      </c>
      <c r="M160" s="35">
        <f t="shared" si="23"/>
        <v>0</v>
      </c>
      <c r="S160" t="s">
        <v>95</v>
      </c>
      <c r="T160" s="5">
        <f>data_origin!T198</f>
        <v>0</v>
      </c>
      <c r="U160" s="5">
        <f>data_origin!U198</f>
        <v>0</v>
      </c>
      <c r="V160" s="5">
        <f>data_origin!V198</f>
        <v>0</v>
      </c>
      <c r="W160" s="5">
        <f>data_origin!W198</f>
        <v>0</v>
      </c>
      <c r="X160" s="5">
        <f>data_origin!X198</f>
        <v>0</v>
      </c>
      <c r="Y160" s="5">
        <f>data_origin!Y198</f>
        <v>0</v>
      </c>
      <c r="Z160" s="5">
        <f>data_origin!Z198</f>
        <v>0</v>
      </c>
      <c r="AA160" s="5">
        <f>data_origin!AA198</f>
        <v>0</v>
      </c>
      <c r="AB160" s="5">
        <f t="shared" ref="AB160:AB223" si="26">SUM(T160:AA160)</f>
        <v>0</v>
      </c>
      <c r="AH160" t="s">
        <v>95</v>
      </c>
      <c r="AI160" s="5">
        <f>data_origin!T2411</f>
        <v>0</v>
      </c>
      <c r="AJ160" s="5">
        <f>data_origin!U2411</f>
        <v>0</v>
      </c>
      <c r="AK160" s="5">
        <f>data_origin!V2411</f>
        <v>0</v>
      </c>
      <c r="AL160" s="5">
        <f>data_origin!W2411</f>
        <v>0</v>
      </c>
      <c r="AM160" s="5">
        <f>data_origin!X2411</f>
        <v>0</v>
      </c>
      <c r="AN160" s="5">
        <f>data_origin!Y2411</f>
        <v>0</v>
      </c>
      <c r="AO160" s="5">
        <f>data_origin!Z2411</f>
        <v>0</v>
      </c>
      <c r="AP160" s="5">
        <f>data_origin!AA2411</f>
        <v>0</v>
      </c>
      <c r="AQ160" s="9">
        <f t="shared" si="20"/>
        <v>0</v>
      </c>
      <c r="AV160" t="s">
        <v>95</v>
      </c>
      <c r="AW160" s="5">
        <f>data_origin!T3125</f>
        <v>0</v>
      </c>
      <c r="AX160" s="5">
        <f>data_origin!U3125</f>
        <v>0</v>
      </c>
      <c r="AY160" s="5">
        <f>data_origin!V3125</f>
        <v>0</v>
      </c>
      <c r="AZ160" s="5">
        <f>data_origin!W3125</f>
        <v>0</v>
      </c>
      <c r="BA160" s="5">
        <f>data_origin!X3125</f>
        <v>0</v>
      </c>
      <c r="BB160" s="5">
        <f>data_origin!Y3125</f>
        <v>0</v>
      </c>
      <c r="BC160" s="5">
        <f>data_origin!Z3125</f>
        <v>0</v>
      </c>
      <c r="BD160" s="5">
        <f>data_origin!AA3125</f>
        <v>0</v>
      </c>
      <c r="BE160" s="9">
        <f t="shared" si="21"/>
        <v>0</v>
      </c>
    </row>
    <row r="161" spans="1:58" x14ac:dyDescent="0.25">
      <c r="D161" t="s">
        <v>96</v>
      </c>
      <c r="E161" s="38">
        <f t="shared" si="25"/>
        <v>0</v>
      </c>
      <c r="F161" s="38">
        <f t="shared" si="25"/>
        <v>0</v>
      </c>
      <c r="G161" s="38">
        <f t="shared" si="25"/>
        <v>6.3313623488026396</v>
      </c>
      <c r="H161" s="38">
        <f t="shared" si="25"/>
        <v>5.3070188194176833</v>
      </c>
      <c r="I161" s="38">
        <f t="shared" si="25"/>
        <v>3.2869397236159057</v>
      </c>
      <c r="J161" s="38">
        <f t="shared" si="25"/>
        <v>0</v>
      </c>
      <c r="K161" s="38">
        <f t="shared" si="25"/>
        <v>0</v>
      </c>
      <c r="L161" s="38">
        <f t="shared" si="25"/>
        <v>0</v>
      </c>
      <c r="M161" s="35">
        <f t="shared" si="23"/>
        <v>14.925320891836229</v>
      </c>
      <c r="S161" t="s">
        <v>96</v>
      </c>
      <c r="T161" s="5">
        <f>data_origin!T199</f>
        <v>0</v>
      </c>
      <c r="U161" s="5">
        <f>data_origin!U199</f>
        <v>0</v>
      </c>
      <c r="V161" s="5">
        <f>data_origin!V199</f>
        <v>6.2821052631578951</v>
      </c>
      <c r="W161" s="5">
        <f>data_origin!W199</f>
        <v>5.2416093813182369</v>
      </c>
      <c r="X161" s="5">
        <f>data_origin!X199</f>
        <v>3.2294117647058824</v>
      </c>
      <c r="Y161" s="5">
        <f>data_origin!Y199</f>
        <v>0</v>
      </c>
      <c r="Z161" s="5">
        <f>data_origin!Z199</f>
        <v>0</v>
      </c>
      <c r="AA161" s="5">
        <f>data_origin!AA199</f>
        <v>0</v>
      </c>
      <c r="AB161" s="5">
        <f t="shared" si="26"/>
        <v>14.753126409182016</v>
      </c>
      <c r="AH161" t="s">
        <v>96</v>
      </c>
      <c r="AI161" s="5">
        <f>data_origin!T2412</f>
        <v>0</v>
      </c>
      <c r="AJ161" s="5">
        <f>data_origin!U2412</f>
        <v>0</v>
      </c>
      <c r="AK161" s="5">
        <f>data_origin!V2412</f>
        <v>0</v>
      </c>
      <c r="AL161" s="5">
        <f>data_origin!W2412</f>
        <v>0</v>
      </c>
      <c r="AM161" s="5">
        <f>data_origin!X2412</f>
        <v>0</v>
      </c>
      <c r="AN161" s="5">
        <f>data_origin!Y2412</f>
        <v>0</v>
      </c>
      <c r="AO161" s="5">
        <f>data_origin!Z2412</f>
        <v>0</v>
      </c>
      <c r="AP161" s="5">
        <f>data_origin!AA2412</f>
        <v>0</v>
      </c>
      <c r="AQ161" s="9">
        <f t="shared" si="20"/>
        <v>0</v>
      </c>
      <c r="AV161" t="s">
        <v>96</v>
      </c>
      <c r="AW161" s="5">
        <f>data_origin!T3126</f>
        <v>0</v>
      </c>
      <c r="AX161" s="5">
        <f>data_origin!U3126</f>
        <v>0</v>
      </c>
      <c r="AY161" s="5">
        <f>data_origin!V3126</f>
        <v>0</v>
      </c>
      <c r="AZ161" s="5">
        <f>data_origin!W3126</f>
        <v>0</v>
      </c>
      <c r="BA161" s="5">
        <f>data_origin!X3126</f>
        <v>0</v>
      </c>
      <c r="BB161" s="5">
        <f>data_origin!Y3126</f>
        <v>0</v>
      </c>
      <c r="BC161" s="5">
        <f>data_origin!Z3126</f>
        <v>0</v>
      </c>
      <c r="BD161" s="5">
        <f>data_origin!AA3126</f>
        <v>0</v>
      </c>
      <c r="BE161" s="9">
        <f t="shared" si="21"/>
        <v>0</v>
      </c>
    </row>
    <row r="162" spans="1:58" x14ac:dyDescent="0.25">
      <c r="D162" t="s">
        <v>97</v>
      </c>
      <c r="E162" s="38">
        <f t="shared" si="25"/>
        <v>0</v>
      </c>
      <c r="F162" s="38">
        <f t="shared" si="25"/>
        <v>0</v>
      </c>
      <c r="G162" s="38">
        <f t="shared" si="25"/>
        <v>0</v>
      </c>
      <c r="H162" s="38">
        <f t="shared" si="25"/>
        <v>0</v>
      </c>
      <c r="I162" s="38">
        <f t="shared" si="25"/>
        <v>0</v>
      </c>
      <c r="J162" s="38">
        <f t="shared" si="25"/>
        <v>0</v>
      </c>
      <c r="K162" s="38">
        <f t="shared" si="25"/>
        <v>0</v>
      </c>
      <c r="L162" s="38">
        <f t="shared" si="25"/>
        <v>0</v>
      </c>
      <c r="M162" s="35">
        <f t="shared" si="23"/>
        <v>0</v>
      </c>
      <c r="S162" t="s">
        <v>97</v>
      </c>
      <c r="T162" s="5">
        <f>data_origin!T200</f>
        <v>0</v>
      </c>
      <c r="U162" s="5">
        <f>data_origin!U200</f>
        <v>0</v>
      </c>
      <c r="V162" s="5">
        <f>data_origin!V200</f>
        <v>0</v>
      </c>
      <c r="W162" s="5">
        <f>data_origin!W200</f>
        <v>0</v>
      </c>
      <c r="X162" s="5">
        <f>data_origin!X200</f>
        <v>0</v>
      </c>
      <c r="Y162" s="5">
        <f>data_origin!Y200</f>
        <v>0</v>
      </c>
      <c r="Z162" s="5">
        <f>data_origin!Z200</f>
        <v>0</v>
      </c>
      <c r="AA162" s="5">
        <f>data_origin!AA200</f>
        <v>0</v>
      </c>
      <c r="AB162" s="5">
        <f t="shared" si="26"/>
        <v>0</v>
      </c>
      <c r="AH162" t="s">
        <v>97</v>
      </c>
      <c r="AI162" s="5">
        <f>data_origin!T2413</f>
        <v>0</v>
      </c>
      <c r="AJ162" s="5">
        <f>data_origin!U2413</f>
        <v>0</v>
      </c>
      <c r="AK162" s="5">
        <f>data_origin!V2413</f>
        <v>0</v>
      </c>
      <c r="AL162" s="5">
        <f>data_origin!W2413</f>
        <v>0</v>
      </c>
      <c r="AM162" s="5">
        <f>data_origin!X2413</f>
        <v>0</v>
      </c>
      <c r="AN162" s="5">
        <f>data_origin!Y2413</f>
        <v>0</v>
      </c>
      <c r="AO162" s="5">
        <f>data_origin!Z2413</f>
        <v>0</v>
      </c>
      <c r="AP162" s="5">
        <f>data_origin!AA2413</f>
        <v>0</v>
      </c>
      <c r="AQ162" s="9">
        <f t="shared" si="20"/>
        <v>0</v>
      </c>
      <c r="AV162" t="s">
        <v>97</v>
      </c>
      <c r="AW162" s="5">
        <f>data_origin!T3127</f>
        <v>0</v>
      </c>
      <c r="AX162" s="5">
        <f>data_origin!U3127</f>
        <v>0</v>
      </c>
      <c r="AY162" s="5">
        <f>data_origin!V3127</f>
        <v>0</v>
      </c>
      <c r="AZ162" s="5">
        <f>data_origin!W3127</f>
        <v>0</v>
      </c>
      <c r="BA162" s="5">
        <f>data_origin!X3127</f>
        <v>0</v>
      </c>
      <c r="BB162" s="5">
        <f>data_origin!Y3127</f>
        <v>0</v>
      </c>
      <c r="BC162" s="5">
        <f>data_origin!Z3127</f>
        <v>0</v>
      </c>
      <c r="BD162" s="5">
        <f>data_origin!AA3127</f>
        <v>0</v>
      </c>
      <c r="BE162" s="9">
        <f t="shared" si="21"/>
        <v>0</v>
      </c>
    </row>
    <row r="163" spans="1:58" x14ac:dyDescent="0.25">
      <c r="D163" t="s">
        <v>98</v>
      </c>
      <c r="E163" s="38">
        <f t="shared" si="25"/>
        <v>0</v>
      </c>
      <c r="F163" s="38">
        <f t="shared" si="25"/>
        <v>0</v>
      </c>
      <c r="G163" s="38">
        <f t="shared" si="25"/>
        <v>5.2761352906688659</v>
      </c>
      <c r="H163" s="38">
        <f t="shared" si="25"/>
        <v>2.1228075277670739</v>
      </c>
      <c r="I163" s="38">
        <f t="shared" si="25"/>
        <v>2.1912931490772709</v>
      </c>
      <c r="J163" s="38">
        <f t="shared" si="25"/>
        <v>0</v>
      </c>
      <c r="K163" s="38">
        <f t="shared" si="25"/>
        <v>0</v>
      </c>
      <c r="L163" s="38">
        <f t="shared" si="25"/>
        <v>0</v>
      </c>
      <c r="M163" s="35">
        <f t="shared" si="23"/>
        <v>9.5902359675132107</v>
      </c>
      <c r="S163" t="s">
        <v>98</v>
      </c>
      <c r="T163" s="5">
        <f>data_origin!T201</f>
        <v>0</v>
      </c>
      <c r="U163" s="5">
        <f>data_origin!U201</f>
        <v>0</v>
      </c>
      <c r="V163" s="5">
        <f>data_origin!V201</f>
        <v>5.2350877192982459</v>
      </c>
      <c r="W163" s="5">
        <f>data_origin!W201</f>
        <v>2.096643752527295</v>
      </c>
      <c r="X163" s="5">
        <f>data_origin!X201</f>
        <v>2.1529411764705881</v>
      </c>
      <c r="Y163" s="5">
        <f>data_origin!Y201</f>
        <v>0</v>
      </c>
      <c r="Z163" s="5">
        <f>data_origin!Z201</f>
        <v>0</v>
      </c>
      <c r="AA163" s="5">
        <f>data_origin!AA201</f>
        <v>0</v>
      </c>
      <c r="AB163" s="5">
        <f t="shared" si="26"/>
        <v>9.4846726482961294</v>
      </c>
      <c r="AH163" t="s">
        <v>98</v>
      </c>
      <c r="AI163" s="5">
        <f>data_origin!T2414</f>
        <v>0</v>
      </c>
      <c r="AJ163" s="5">
        <f>data_origin!U2414</f>
        <v>0</v>
      </c>
      <c r="AK163" s="5">
        <f>data_origin!V2414</f>
        <v>0</v>
      </c>
      <c r="AL163" s="5">
        <f>data_origin!W2414</f>
        <v>0</v>
      </c>
      <c r="AM163" s="5">
        <f>data_origin!X2414</f>
        <v>0</v>
      </c>
      <c r="AN163" s="5">
        <f>data_origin!Y2414</f>
        <v>0</v>
      </c>
      <c r="AO163" s="5">
        <f>data_origin!Z2414</f>
        <v>0</v>
      </c>
      <c r="AP163" s="5">
        <f>data_origin!AA2414</f>
        <v>0</v>
      </c>
      <c r="AQ163" s="9">
        <f t="shared" si="20"/>
        <v>0</v>
      </c>
      <c r="AV163" t="s">
        <v>98</v>
      </c>
      <c r="AW163" s="5">
        <f>data_origin!T3128</f>
        <v>0</v>
      </c>
      <c r="AX163" s="5">
        <f>data_origin!U3128</f>
        <v>0</v>
      </c>
      <c r="AY163" s="5">
        <f>data_origin!V3128</f>
        <v>0</v>
      </c>
      <c r="AZ163" s="5">
        <f>data_origin!W3128</f>
        <v>0</v>
      </c>
      <c r="BA163" s="5">
        <f>data_origin!X3128</f>
        <v>0</v>
      </c>
      <c r="BB163" s="5">
        <f>data_origin!Y3128</f>
        <v>0</v>
      </c>
      <c r="BC163" s="5">
        <f>data_origin!Z3128</f>
        <v>0</v>
      </c>
      <c r="BD163" s="5">
        <f>data_origin!AA3128</f>
        <v>0</v>
      </c>
      <c r="BE163" s="9">
        <f t="shared" si="21"/>
        <v>0</v>
      </c>
    </row>
    <row r="164" spans="1:58" x14ac:dyDescent="0.25">
      <c r="D164" t="s">
        <v>119</v>
      </c>
      <c r="E164" s="38">
        <f t="shared" si="25"/>
        <v>0</v>
      </c>
      <c r="F164" s="38">
        <f t="shared" si="25"/>
        <v>0</v>
      </c>
      <c r="G164" s="38">
        <f t="shared" si="25"/>
        <v>3.1656811744013198</v>
      </c>
      <c r="H164" s="38">
        <f t="shared" si="25"/>
        <v>5.3070188194176833</v>
      </c>
      <c r="I164" s="38">
        <f t="shared" si="25"/>
        <v>1.0956465745386355</v>
      </c>
      <c r="J164" s="38">
        <f t="shared" si="25"/>
        <v>0</v>
      </c>
      <c r="K164" s="38">
        <f t="shared" si="25"/>
        <v>0</v>
      </c>
      <c r="L164" s="38">
        <f t="shared" si="25"/>
        <v>0</v>
      </c>
      <c r="M164" s="35">
        <f t="shared" si="23"/>
        <v>9.5683465683576383</v>
      </c>
      <c r="S164" t="s">
        <v>119</v>
      </c>
      <c r="T164" s="5">
        <f>data_origin!T202</f>
        <v>0</v>
      </c>
      <c r="U164" s="5">
        <f>data_origin!U202</f>
        <v>0</v>
      </c>
      <c r="V164" s="5">
        <f>data_origin!V202</f>
        <v>3.1410526315789475</v>
      </c>
      <c r="W164" s="5">
        <f>data_origin!W202</f>
        <v>5.2416093813182369</v>
      </c>
      <c r="X164" s="5">
        <f>data_origin!X202</f>
        <v>1.0764705882352941</v>
      </c>
      <c r="Y164" s="5">
        <f>data_origin!Y202</f>
        <v>0</v>
      </c>
      <c r="Z164" s="5">
        <f>data_origin!Z202</f>
        <v>0</v>
      </c>
      <c r="AA164" s="5">
        <f>data_origin!AA202</f>
        <v>0</v>
      </c>
      <c r="AB164" s="5">
        <f t="shared" si="26"/>
        <v>9.4591326011324792</v>
      </c>
      <c r="AH164" t="s">
        <v>119</v>
      </c>
      <c r="AI164" s="5">
        <f>data_origin!T2415</f>
        <v>0</v>
      </c>
      <c r="AJ164" s="5">
        <f>data_origin!U2415</f>
        <v>0</v>
      </c>
      <c r="AK164" s="5">
        <f>data_origin!V2415</f>
        <v>0</v>
      </c>
      <c r="AL164" s="5">
        <f>data_origin!W2415</f>
        <v>0</v>
      </c>
      <c r="AM164" s="5">
        <f>data_origin!X2415</f>
        <v>0</v>
      </c>
      <c r="AN164" s="5">
        <f>data_origin!Y2415</f>
        <v>0</v>
      </c>
      <c r="AO164" s="5">
        <f>data_origin!Z2415</f>
        <v>0</v>
      </c>
      <c r="AP164" s="5">
        <f>data_origin!AA2415</f>
        <v>0</v>
      </c>
      <c r="AQ164" s="9">
        <f t="shared" ref="AQ164:AQ227" si="27">SUM(AI164:AP164)</f>
        <v>0</v>
      </c>
      <c r="AV164" t="s">
        <v>119</v>
      </c>
      <c r="AW164" s="5">
        <f>data_origin!T3129</f>
        <v>0</v>
      </c>
      <c r="AX164" s="5">
        <f>data_origin!U3129</f>
        <v>0</v>
      </c>
      <c r="AY164" s="5">
        <f>data_origin!V3129</f>
        <v>0</v>
      </c>
      <c r="AZ164" s="5">
        <f>data_origin!W3129</f>
        <v>0</v>
      </c>
      <c r="BA164" s="5">
        <f>data_origin!X3129</f>
        <v>0</v>
      </c>
      <c r="BB164" s="5">
        <f>data_origin!Y3129</f>
        <v>0</v>
      </c>
      <c r="BC164" s="5">
        <f>data_origin!Z3129</f>
        <v>0</v>
      </c>
      <c r="BD164" s="5">
        <f>data_origin!AA3129</f>
        <v>0</v>
      </c>
      <c r="BE164" s="9">
        <f t="shared" ref="BE164:BE227" si="28">SUM(AW164:BD164)</f>
        <v>0</v>
      </c>
    </row>
    <row r="165" spans="1:58" x14ac:dyDescent="0.25">
      <c r="D165" t="s">
        <v>99</v>
      </c>
      <c r="E165" s="38">
        <f t="shared" si="25"/>
        <v>0</v>
      </c>
      <c r="F165" s="38">
        <f t="shared" si="25"/>
        <v>0</v>
      </c>
      <c r="G165" s="38">
        <f t="shared" si="25"/>
        <v>39.043401150949606</v>
      </c>
      <c r="H165" s="38">
        <f t="shared" si="25"/>
        <v>28.657901624855491</v>
      </c>
      <c r="I165" s="38">
        <f t="shared" si="25"/>
        <v>12.052112319924989</v>
      </c>
      <c r="J165" s="38">
        <f t="shared" si="25"/>
        <v>0</v>
      </c>
      <c r="K165" s="38">
        <f t="shared" si="25"/>
        <v>0</v>
      </c>
      <c r="L165" s="38">
        <f t="shared" si="25"/>
        <v>0</v>
      </c>
      <c r="M165" s="35">
        <f t="shared" si="23"/>
        <v>79.753415095730077</v>
      </c>
      <c r="S165" t="s">
        <v>99</v>
      </c>
      <c r="T165" s="5">
        <f>data_origin!T203</f>
        <v>0</v>
      </c>
      <c r="U165" s="5">
        <f>data_origin!U203</f>
        <v>0</v>
      </c>
      <c r="V165" s="5">
        <f>data_origin!V203</f>
        <v>38.739649122807016</v>
      </c>
      <c r="W165" s="5">
        <f>data_origin!W203</f>
        <v>28.304690659118478</v>
      </c>
      <c r="X165" s="5">
        <f>data_origin!X203</f>
        <v>11.841176470588236</v>
      </c>
      <c r="Y165" s="5">
        <f>data_origin!Y203</f>
        <v>0</v>
      </c>
      <c r="Z165" s="5">
        <f>data_origin!Z203</f>
        <v>0</v>
      </c>
      <c r="AA165" s="5">
        <f>data_origin!AA203</f>
        <v>0</v>
      </c>
      <c r="AB165" s="5">
        <f t="shared" si="26"/>
        <v>78.885516252513725</v>
      </c>
      <c r="AH165" t="s">
        <v>99</v>
      </c>
      <c r="AI165" s="5">
        <f>data_origin!T2416</f>
        <v>0</v>
      </c>
      <c r="AJ165" s="5">
        <f>data_origin!U2416</f>
        <v>0</v>
      </c>
      <c r="AK165" s="5">
        <f>data_origin!V2416</f>
        <v>0</v>
      </c>
      <c r="AL165" s="5">
        <f>data_origin!W2416</f>
        <v>0</v>
      </c>
      <c r="AM165" s="5">
        <f>data_origin!X2416</f>
        <v>0</v>
      </c>
      <c r="AN165" s="5">
        <f>data_origin!Y2416</f>
        <v>0</v>
      </c>
      <c r="AO165" s="5">
        <f>data_origin!Z2416</f>
        <v>0</v>
      </c>
      <c r="AP165" s="5">
        <f>data_origin!AA2416</f>
        <v>0</v>
      </c>
      <c r="AQ165" s="9">
        <f t="shared" si="27"/>
        <v>0</v>
      </c>
      <c r="AV165" t="s">
        <v>99</v>
      </c>
      <c r="AW165" s="5">
        <f>data_origin!T3130</f>
        <v>0</v>
      </c>
      <c r="AX165" s="5">
        <f>data_origin!U3130</f>
        <v>0</v>
      </c>
      <c r="AY165" s="5">
        <f>data_origin!V3130</f>
        <v>0</v>
      </c>
      <c r="AZ165" s="5">
        <f>data_origin!W3130</f>
        <v>0</v>
      </c>
      <c r="BA165" s="5">
        <f>data_origin!X3130</f>
        <v>0</v>
      </c>
      <c r="BB165" s="5">
        <f>data_origin!Y3130</f>
        <v>0</v>
      </c>
      <c r="BC165" s="5">
        <f>data_origin!Z3130</f>
        <v>0</v>
      </c>
      <c r="BD165" s="5">
        <f>data_origin!AA3130</f>
        <v>0</v>
      </c>
      <c r="BE165" s="9">
        <f t="shared" si="28"/>
        <v>0</v>
      </c>
    </row>
    <row r="166" spans="1:58" x14ac:dyDescent="0.25">
      <c r="D166" t="s">
        <v>100</v>
      </c>
      <c r="E166" s="38">
        <f t="shared" si="25"/>
        <v>0</v>
      </c>
      <c r="F166" s="38">
        <f t="shared" si="25"/>
        <v>0</v>
      </c>
      <c r="G166" s="38">
        <f t="shared" si="25"/>
        <v>4.2209082325350931</v>
      </c>
      <c r="H166" s="38">
        <f t="shared" si="25"/>
        <v>1.061403763883537</v>
      </c>
      <c r="I166" s="38">
        <f t="shared" si="25"/>
        <v>2.1912931490772709</v>
      </c>
      <c r="J166" s="38">
        <f t="shared" si="25"/>
        <v>0</v>
      </c>
      <c r="K166" s="38">
        <f t="shared" si="25"/>
        <v>0</v>
      </c>
      <c r="L166" s="38">
        <f t="shared" si="25"/>
        <v>0</v>
      </c>
      <c r="M166" s="35">
        <f t="shared" si="23"/>
        <v>7.4736051454959007</v>
      </c>
      <c r="S166" t="s">
        <v>100</v>
      </c>
      <c r="T166" s="5">
        <f>data_origin!T204</f>
        <v>0</v>
      </c>
      <c r="U166" s="5">
        <f>data_origin!U204</f>
        <v>0</v>
      </c>
      <c r="V166" s="5">
        <f>data_origin!V204</f>
        <v>4.1880701754385967</v>
      </c>
      <c r="W166" s="5">
        <f>data_origin!W204</f>
        <v>1.0483218762636475</v>
      </c>
      <c r="X166" s="5">
        <f>data_origin!X204</f>
        <v>2.1529411764705881</v>
      </c>
      <c r="Y166" s="5">
        <f>data_origin!Y204</f>
        <v>0</v>
      </c>
      <c r="Z166" s="5">
        <f>data_origin!Z204</f>
        <v>0</v>
      </c>
      <c r="AA166" s="5">
        <f>data_origin!AA204</f>
        <v>0</v>
      </c>
      <c r="AB166" s="5">
        <f t="shared" si="26"/>
        <v>7.3893332281728323</v>
      </c>
      <c r="AH166" t="s">
        <v>100</v>
      </c>
      <c r="AI166" s="5">
        <f>data_origin!T2417</f>
        <v>0</v>
      </c>
      <c r="AJ166" s="5">
        <f>data_origin!U2417</f>
        <v>0</v>
      </c>
      <c r="AK166" s="5">
        <f>data_origin!V2417</f>
        <v>0</v>
      </c>
      <c r="AL166" s="5">
        <f>data_origin!W2417</f>
        <v>0</v>
      </c>
      <c r="AM166" s="5">
        <f>data_origin!X2417</f>
        <v>0</v>
      </c>
      <c r="AN166" s="5">
        <f>data_origin!Y2417</f>
        <v>0</v>
      </c>
      <c r="AO166" s="5">
        <f>data_origin!Z2417</f>
        <v>0</v>
      </c>
      <c r="AP166" s="5">
        <f>data_origin!AA2417</f>
        <v>0</v>
      </c>
      <c r="AQ166" s="9">
        <f t="shared" si="27"/>
        <v>0</v>
      </c>
      <c r="AV166" t="s">
        <v>100</v>
      </c>
      <c r="AW166" s="5">
        <f>data_origin!T3131</f>
        <v>0</v>
      </c>
      <c r="AX166" s="5">
        <f>data_origin!U3131</f>
        <v>0</v>
      </c>
      <c r="AY166" s="5">
        <f>data_origin!V3131</f>
        <v>0</v>
      </c>
      <c r="AZ166" s="5">
        <f>data_origin!W3131</f>
        <v>0</v>
      </c>
      <c r="BA166" s="5">
        <f>data_origin!X3131</f>
        <v>0</v>
      </c>
      <c r="BB166" s="5">
        <f>data_origin!Y3131</f>
        <v>0</v>
      </c>
      <c r="BC166" s="5">
        <f>data_origin!Z3131</f>
        <v>0</v>
      </c>
      <c r="BD166" s="5">
        <f>data_origin!AA3131</f>
        <v>0</v>
      </c>
      <c r="BE166" s="9">
        <f t="shared" si="28"/>
        <v>0</v>
      </c>
    </row>
    <row r="167" spans="1:58" x14ac:dyDescent="0.25">
      <c r="D167" t="s">
        <v>101</v>
      </c>
      <c r="E167" s="38">
        <f t="shared" si="25"/>
        <v>0</v>
      </c>
      <c r="F167" s="38">
        <f t="shared" si="25"/>
        <v>0</v>
      </c>
      <c r="G167" s="38">
        <f t="shared" si="25"/>
        <v>32.712038802146964</v>
      </c>
      <c r="H167" s="38">
        <f t="shared" si="25"/>
        <v>45.640361846992079</v>
      </c>
      <c r="I167" s="38">
        <f t="shared" si="25"/>
        <v>16.43469861807953</v>
      </c>
      <c r="J167" s="38">
        <f t="shared" si="25"/>
        <v>1.0663201030995306</v>
      </c>
      <c r="K167" s="38">
        <f t="shared" si="25"/>
        <v>0</v>
      </c>
      <c r="L167" s="38">
        <f t="shared" ref="L167:M230" si="29">AA167+AP35+IFERROR((AA167/SUM(AA$3:AA$992)*AP$630),0)+IFERROR((AA167/SUM(AA$135:AA$332,AA$465:AA$662,AA$795:AA$992)*AP$732),0)</f>
        <v>0</v>
      </c>
      <c r="M167" s="35">
        <f t="shared" si="23"/>
        <v>95.853419370318093</v>
      </c>
      <c r="N167" s="5">
        <f>SUM(M135:M167)</f>
        <v>12201.224993314854</v>
      </c>
      <c r="S167" t="s">
        <v>101</v>
      </c>
      <c r="T167" s="5">
        <f>data_origin!T205</f>
        <v>0</v>
      </c>
      <c r="U167" s="5">
        <f>data_origin!U205</f>
        <v>0</v>
      </c>
      <c r="V167" s="5">
        <f>data_origin!V205</f>
        <v>32.457543859649121</v>
      </c>
      <c r="W167" s="5">
        <f>data_origin!W205</f>
        <v>45.077840679336838</v>
      </c>
      <c r="X167" s="5">
        <f>data_origin!X205</f>
        <v>16.147058823529413</v>
      </c>
      <c r="Y167" s="5">
        <f>data_origin!Y205</f>
        <v>1.0446927374301676</v>
      </c>
      <c r="Z167" s="5">
        <f>data_origin!Z205</f>
        <v>0</v>
      </c>
      <c r="AA167" s="5">
        <f>data_origin!AA205</f>
        <v>0</v>
      </c>
      <c r="AB167" s="5">
        <f t="shared" si="26"/>
        <v>94.727136099945554</v>
      </c>
      <c r="AC167" s="5">
        <f>SUM(AB135:AB167)</f>
        <v>12058.000000000002</v>
      </c>
      <c r="AH167" t="s">
        <v>101</v>
      </c>
      <c r="AI167" s="5">
        <f>data_origin!T2418</f>
        <v>0</v>
      </c>
      <c r="AJ167" s="5">
        <f>data_origin!U2418</f>
        <v>0</v>
      </c>
      <c r="AK167" s="5">
        <f>data_origin!V2418</f>
        <v>0</v>
      </c>
      <c r="AL167" s="5">
        <f>data_origin!W2418</f>
        <v>0</v>
      </c>
      <c r="AM167" s="5">
        <f>data_origin!X2418</f>
        <v>0</v>
      </c>
      <c r="AN167" s="5">
        <f>data_origin!Y2418</f>
        <v>0</v>
      </c>
      <c r="AO167" s="5">
        <f>data_origin!Z2418</f>
        <v>0</v>
      </c>
      <c r="AP167" s="5">
        <f>data_origin!AA2418</f>
        <v>0</v>
      </c>
      <c r="AQ167" s="9">
        <f t="shared" si="27"/>
        <v>0</v>
      </c>
      <c r="AR167" s="5">
        <f>SUM(AQ135:AQ167)</f>
        <v>0</v>
      </c>
      <c r="AV167" t="s">
        <v>101</v>
      </c>
      <c r="AW167" s="5">
        <f>data_origin!T3132</f>
        <v>0</v>
      </c>
      <c r="AX167" s="5">
        <f>data_origin!U3132</f>
        <v>0</v>
      </c>
      <c r="AY167" s="5">
        <f>data_origin!V3132</f>
        <v>0</v>
      </c>
      <c r="AZ167" s="5">
        <f>data_origin!W3132</f>
        <v>0</v>
      </c>
      <c r="BA167" s="5">
        <f>data_origin!X3132</f>
        <v>0</v>
      </c>
      <c r="BB167" s="5">
        <f>data_origin!Y3132</f>
        <v>0</v>
      </c>
      <c r="BC167" s="5">
        <f>data_origin!Z3132</f>
        <v>0</v>
      </c>
      <c r="BD167" s="5">
        <f>data_origin!AA3132</f>
        <v>0</v>
      </c>
      <c r="BE167" s="9">
        <f t="shared" si="28"/>
        <v>0</v>
      </c>
      <c r="BF167" s="9">
        <f>SUM(BE135:BE167)</f>
        <v>0</v>
      </c>
    </row>
    <row r="168" spans="1:58" x14ac:dyDescent="0.25">
      <c r="A168" s="23" t="s">
        <v>104</v>
      </c>
      <c r="B168" s="23" t="s">
        <v>103</v>
      </c>
      <c r="C168" s="23" t="s">
        <v>110</v>
      </c>
      <c r="D168" t="s">
        <v>70</v>
      </c>
      <c r="E168" s="38">
        <f t="shared" ref="E168:K204" si="30">T168+AI36+IFERROR((T168/SUM(T$3:T$992)*AI$630),0)+IFERROR((T168/SUM(T$135:T$332,T$465:T$662,T$795:T$992)*AI$732),0)</f>
        <v>0</v>
      </c>
      <c r="F168" s="38">
        <f t="shared" si="30"/>
        <v>0</v>
      </c>
      <c r="G168" s="38">
        <f t="shared" si="30"/>
        <v>0</v>
      </c>
      <c r="H168" s="38">
        <f t="shared" si="30"/>
        <v>0</v>
      </c>
      <c r="I168" s="38">
        <f t="shared" si="30"/>
        <v>0</v>
      </c>
      <c r="J168" s="38">
        <f t="shared" si="30"/>
        <v>0</v>
      </c>
      <c r="K168" s="38">
        <f t="shared" si="30"/>
        <v>0</v>
      </c>
      <c r="L168" s="38">
        <f t="shared" si="29"/>
        <v>0</v>
      </c>
      <c r="M168" s="38">
        <f t="shared" si="29"/>
        <v>0</v>
      </c>
      <c r="P168" t="s">
        <v>104</v>
      </c>
      <c r="Q168" t="s">
        <v>103</v>
      </c>
      <c r="R168" t="s">
        <v>110</v>
      </c>
      <c r="S168" t="s">
        <v>70</v>
      </c>
      <c r="T168" s="5">
        <f>data_origin!T207</f>
        <v>0</v>
      </c>
      <c r="U168" s="5">
        <f>data_origin!U207</f>
        <v>0</v>
      </c>
      <c r="V168" s="5">
        <f>data_origin!V207</f>
        <v>0</v>
      </c>
      <c r="W168" s="5">
        <f>data_origin!W207</f>
        <v>0</v>
      </c>
      <c r="X168" s="5">
        <f>data_origin!X207</f>
        <v>0</v>
      </c>
      <c r="Y168" s="5">
        <f>data_origin!Y207</f>
        <v>0</v>
      </c>
      <c r="Z168" s="5">
        <f>data_origin!Z207</f>
        <v>0</v>
      </c>
      <c r="AA168" s="5">
        <f>data_origin!AA207</f>
        <v>0</v>
      </c>
      <c r="AB168" s="5">
        <f t="shared" si="26"/>
        <v>0</v>
      </c>
      <c r="AE168" t="s">
        <v>104</v>
      </c>
      <c r="AF168" t="s">
        <v>103</v>
      </c>
      <c r="AG168" s="28" t="s">
        <v>136</v>
      </c>
      <c r="AH168" t="s">
        <v>70</v>
      </c>
      <c r="AI168" s="5">
        <f>data_origin!T2420</f>
        <v>0</v>
      </c>
      <c r="AJ168" s="5">
        <f>data_origin!U2420</f>
        <v>0</v>
      </c>
      <c r="AK168" s="5">
        <f>data_origin!V2420</f>
        <v>0</v>
      </c>
      <c r="AL168" s="5">
        <f>data_origin!W2420</f>
        <v>0</v>
      </c>
      <c r="AM168" s="5">
        <f>data_origin!X2420</f>
        <v>0</v>
      </c>
      <c r="AN168" s="5">
        <f>data_origin!Y2420</f>
        <v>0</v>
      </c>
      <c r="AO168" s="5">
        <f>data_origin!Z2420</f>
        <v>0</v>
      </c>
      <c r="AP168" s="5">
        <f>data_origin!AA2420</f>
        <v>0</v>
      </c>
      <c r="AQ168" s="9">
        <f t="shared" si="27"/>
        <v>0</v>
      </c>
      <c r="AS168" t="s">
        <v>115</v>
      </c>
      <c r="AT168" t="s">
        <v>103</v>
      </c>
      <c r="AU168" s="28" t="s">
        <v>136</v>
      </c>
      <c r="AV168" t="s">
        <v>70</v>
      </c>
      <c r="AW168" s="5">
        <f>data_origin!T3134</f>
        <v>0</v>
      </c>
      <c r="AX168" s="5">
        <f>data_origin!U3134</f>
        <v>0</v>
      </c>
      <c r="AY168" s="5">
        <f>data_origin!V3134</f>
        <v>0</v>
      </c>
      <c r="AZ168" s="5">
        <f>data_origin!W3134</f>
        <v>0</v>
      </c>
      <c r="BA168" s="5">
        <f>data_origin!X3134</f>
        <v>0</v>
      </c>
      <c r="BB168" s="5">
        <f>data_origin!Y3134</f>
        <v>0</v>
      </c>
      <c r="BC168" s="5">
        <f>data_origin!Z3134</f>
        <v>0</v>
      </c>
      <c r="BD168" s="5">
        <f>data_origin!AA3134</f>
        <v>0</v>
      </c>
      <c r="BE168" s="9">
        <f t="shared" si="28"/>
        <v>0</v>
      </c>
    </row>
    <row r="169" spans="1:58" x14ac:dyDescent="0.25">
      <c r="D169" t="s">
        <v>71</v>
      </c>
      <c r="E169" s="38">
        <f t="shared" si="30"/>
        <v>0</v>
      </c>
      <c r="F169" s="38">
        <f t="shared" si="30"/>
        <v>0</v>
      </c>
      <c r="G169" s="38">
        <f t="shared" si="30"/>
        <v>0</v>
      </c>
      <c r="H169" s="38">
        <f t="shared" si="30"/>
        <v>0</v>
      </c>
      <c r="I169" s="38">
        <f t="shared" si="30"/>
        <v>0</v>
      </c>
      <c r="J169" s="38">
        <f t="shared" si="30"/>
        <v>0</v>
      </c>
      <c r="K169" s="38">
        <f t="shared" si="30"/>
        <v>0</v>
      </c>
      <c r="L169" s="38">
        <f t="shared" si="29"/>
        <v>0</v>
      </c>
      <c r="M169" s="38">
        <f t="shared" si="29"/>
        <v>0</v>
      </c>
      <c r="S169" t="s">
        <v>71</v>
      </c>
      <c r="T169" s="5">
        <f>data_origin!T208</f>
        <v>0</v>
      </c>
      <c r="U169" s="5">
        <f>data_origin!U208</f>
        <v>0</v>
      </c>
      <c r="V169" s="5">
        <f>data_origin!V208</f>
        <v>0</v>
      </c>
      <c r="W169" s="5">
        <f>data_origin!W208</f>
        <v>0</v>
      </c>
      <c r="X169" s="5">
        <f>data_origin!X208</f>
        <v>0</v>
      </c>
      <c r="Y169" s="5">
        <f>data_origin!Y208</f>
        <v>0</v>
      </c>
      <c r="Z169" s="5">
        <f>data_origin!Z208</f>
        <v>0</v>
      </c>
      <c r="AA169" s="5">
        <f>data_origin!AA208</f>
        <v>0</v>
      </c>
      <c r="AB169" s="5">
        <f t="shared" si="26"/>
        <v>0</v>
      </c>
      <c r="AH169" t="s">
        <v>71</v>
      </c>
      <c r="AI169" s="5">
        <f>data_origin!T2421</f>
        <v>0</v>
      </c>
      <c r="AJ169" s="5">
        <f>data_origin!U2421</f>
        <v>0</v>
      </c>
      <c r="AK169" s="5">
        <f>data_origin!V2421</f>
        <v>0</v>
      </c>
      <c r="AL169" s="5">
        <f>data_origin!W2421</f>
        <v>0</v>
      </c>
      <c r="AM169" s="5">
        <f>data_origin!X2421</f>
        <v>0</v>
      </c>
      <c r="AN169" s="5">
        <f>data_origin!Y2421</f>
        <v>0</v>
      </c>
      <c r="AO169" s="5">
        <f>data_origin!Z2421</f>
        <v>0</v>
      </c>
      <c r="AP169" s="5">
        <f>data_origin!AA2421</f>
        <v>0</v>
      </c>
      <c r="AQ169" s="9">
        <f t="shared" si="27"/>
        <v>0</v>
      </c>
      <c r="AV169" t="s">
        <v>71</v>
      </c>
      <c r="AW169" s="5">
        <f>data_origin!T3135</f>
        <v>0</v>
      </c>
      <c r="AX169" s="5">
        <f>data_origin!U3135</f>
        <v>0</v>
      </c>
      <c r="AY169" s="5">
        <f>data_origin!V3135</f>
        <v>0</v>
      </c>
      <c r="AZ169" s="5">
        <f>data_origin!W3135</f>
        <v>0</v>
      </c>
      <c r="BA169" s="5">
        <f>data_origin!X3135</f>
        <v>0</v>
      </c>
      <c r="BB169" s="5">
        <f>data_origin!Y3135</f>
        <v>0</v>
      </c>
      <c r="BC169" s="5">
        <f>data_origin!Z3135</f>
        <v>0</v>
      </c>
      <c r="BD169" s="5">
        <f>data_origin!AA3135</f>
        <v>0</v>
      </c>
      <c r="BE169" s="9">
        <f t="shared" si="28"/>
        <v>0</v>
      </c>
    </row>
    <row r="170" spans="1:58" x14ac:dyDescent="0.25">
      <c r="D170" t="s">
        <v>72</v>
      </c>
      <c r="E170" s="38">
        <f t="shared" si="30"/>
        <v>0</v>
      </c>
      <c r="F170" s="38">
        <f t="shared" si="30"/>
        <v>0</v>
      </c>
      <c r="G170" s="38">
        <f t="shared" si="30"/>
        <v>0</v>
      </c>
      <c r="H170" s="38">
        <f t="shared" si="30"/>
        <v>0</v>
      </c>
      <c r="I170" s="38">
        <f t="shared" si="30"/>
        <v>0</v>
      </c>
      <c r="J170" s="38">
        <f t="shared" si="30"/>
        <v>0</v>
      </c>
      <c r="K170" s="38">
        <f t="shared" si="30"/>
        <v>0</v>
      </c>
      <c r="L170" s="38">
        <f t="shared" si="29"/>
        <v>0</v>
      </c>
      <c r="M170" s="38">
        <f t="shared" si="29"/>
        <v>0</v>
      </c>
      <c r="S170" t="s">
        <v>72</v>
      </c>
      <c r="T170" s="5">
        <f>data_origin!T209</f>
        <v>0</v>
      </c>
      <c r="U170" s="5">
        <f>data_origin!U209</f>
        <v>0</v>
      </c>
      <c r="V170" s="5">
        <f>data_origin!V209</f>
        <v>0</v>
      </c>
      <c r="W170" s="5">
        <f>data_origin!W209</f>
        <v>0</v>
      </c>
      <c r="X170" s="5">
        <f>data_origin!X209</f>
        <v>0</v>
      </c>
      <c r="Y170" s="5">
        <f>data_origin!Y209</f>
        <v>0</v>
      </c>
      <c r="Z170" s="5">
        <f>data_origin!Z209</f>
        <v>0</v>
      </c>
      <c r="AA170" s="5">
        <f>data_origin!AA209</f>
        <v>0</v>
      </c>
      <c r="AB170" s="5">
        <f t="shared" si="26"/>
        <v>0</v>
      </c>
      <c r="AH170" t="s">
        <v>72</v>
      </c>
      <c r="AI170" s="5">
        <f>data_origin!T2422</f>
        <v>0</v>
      </c>
      <c r="AJ170" s="5">
        <f>data_origin!U2422</f>
        <v>0</v>
      </c>
      <c r="AK170" s="5">
        <f>data_origin!V2422</f>
        <v>0</v>
      </c>
      <c r="AL170" s="5">
        <f>data_origin!W2422</f>
        <v>0</v>
      </c>
      <c r="AM170" s="5">
        <f>data_origin!X2422</f>
        <v>0</v>
      </c>
      <c r="AN170" s="5">
        <f>data_origin!Y2422</f>
        <v>0</v>
      </c>
      <c r="AO170" s="5">
        <f>data_origin!Z2422</f>
        <v>0</v>
      </c>
      <c r="AP170" s="5">
        <f>data_origin!AA2422</f>
        <v>0</v>
      </c>
      <c r="AQ170" s="9">
        <f t="shared" si="27"/>
        <v>0</v>
      </c>
      <c r="AV170" t="s">
        <v>72</v>
      </c>
      <c r="AW170" s="5">
        <f>data_origin!T3136</f>
        <v>0</v>
      </c>
      <c r="AX170" s="5">
        <f>data_origin!U3136</f>
        <v>0</v>
      </c>
      <c r="AY170" s="5">
        <f>data_origin!V3136</f>
        <v>0</v>
      </c>
      <c r="AZ170" s="5">
        <f>data_origin!W3136</f>
        <v>0</v>
      </c>
      <c r="BA170" s="5">
        <f>data_origin!X3136</f>
        <v>0</v>
      </c>
      <c r="BB170" s="5">
        <f>data_origin!Y3136</f>
        <v>0</v>
      </c>
      <c r="BC170" s="5">
        <f>data_origin!Z3136</f>
        <v>0</v>
      </c>
      <c r="BD170" s="5">
        <f>data_origin!AA3136</f>
        <v>0</v>
      </c>
      <c r="BE170" s="9">
        <f t="shared" si="28"/>
        <v>0</v>
      </c>
    </row>
    <row r="171" spans="1:58" x14ac:dyDescent="0.25">
      <c r="D171" t="s">
        <v>73</v>
      </c>
      <c r="E171" s="38">
        <f t="shared" si="30"/>
        <v>0</v>
      </c>
      <c r="F171" s="38">
        <f t="shared" si="30"/>
        <v>0</v>
      </c>
      <c r="G171" s="38">
        <f t="shared" si="30"/>
        <v>0</v>
      </c>
      <c r="H171" s="38">
        <f t="shared" si="30"/>
        <v>0</v>
      </c>
      <c r="I171" s="38">
        <f t="shared" si="30"/>
        <v>0</v>
      </c>
      <c r="J171" s="38">
        <f t="shared" si="30"/>
        <v>0</v>
      </c>
      <c r="K171" s="38">
        <f t="shared" si="30"/>
        <v>0</v>
      </c>
      <c r="L171" s="38">
        <f t="shared" si="29"/>
        <v>0</v>
      </c>
      <c r="M171" s="38">
        <f t="shared" si="29"/>
        <v>0</v>
      </c>
      <c r="S171" t="s">
        <v>73</v>
      </c>
      <c r="T171" s="5">
        <f>data_origin!T210</f>
        <v>0</v>
      </c>
      <c r="U171" s="5">
        <f>data_origin!U210</f>
        <v>0</v>
      </c>
      <c r="V171" s="5">
        <f>data_origin!V210</f>
        <v>0</v>
      </c>
      <c r="W171" s="5">
        <f>data_origin!W210</f>
        <v>0</v>
      </c>
      <c r="X171" s="5">
        <f>data_origin!X210</f>
        <v>0</v>
      </c>
      <c r="Y171" s="5">
        <f>data_origin!Y210</f>
        <v>0</v>
      </c>
      <c r="Z171" s="5">
        <f>data_origin!Z210</f>
        <v>0</v>
      </c>
      <c r="AA171" s="5">
        <f>data_origin!AA210</f>
        <v>0</v>
      </c>
      <c r="AB171" s="5">
        <f t="shared" si="26"/>
        <v>0</v>
      </c>
      <c r="AH171" t="s">
        <v>73</v>
      </c>
      <c r="AI171" s="5">
        <f>data_origin!T2423</f>
        <v>0</v>
      </c>
      <c r="AJ171" s="5">
        <f>data_origin!U2423</f>
        <v>0</v>
      </c>
      <c r="AK171" s="5">
        <f>data_origin!V2423</f>
        <v>0</v>
      </c>
      <c r="AL171" s="5">
        <f>data_origin!W2423</f>
        <v>0</v>
      </c>
      <c r="AM171" s="5">
        <f>data_origin!X2423</f>
        <v>0</v>
      </c>
      <c r="AN171" s="5">
        <f>data_origin!Y2423</f>
        <v>0</v>
      </c>
      <c r="AO171" s="5">
        <f>data_origin!Z2423</f>
        <v>0</v>
      </c>
      <c r="AP171" s="5">
        <f>data_origin!AA2423</f>
        <v>0</v>
      </c>
      <c r="AQ171" s="9">
        <f t="shared" si="27"/>
        <v>0</v>
      </c>
      <c r="AV171" t="s">
        <v>73</v>
      </c>
      <c r="AW171" s="5">
        <f>data_origin!T3137</f>
        <v>0</v>
      </c>
      <c r="AX171" s="5">
        <f>data_origin!U3137</f>
        <v>0</v>
      </c>
      <c r="AY171" s="5">
        <f>data_origin!V3137</f>
        <v>0</v>
      </c>
      <c r="AZ171" s="5">
        <f>data_origin!W3137</f>
        <v>0</v>
      </c>
      <c r="BA171" s="5">
        <f>data_origin!X3137</f>
        <v>0</v>
      </c>
      <c r="BB171" s="5">
        <f>data_origin!Y3137</f>
        <v>0</v>
      </c>
      <c r="BC171" s="5">
        <f>data_origin!Z3137</f>
        <v>0</v>
      </c>
      <c r="BD171" s="5">
        <f>data_origin!AA3137</f>
        <v>0</v>
      </c>
      <c r="BE171" s="9">
        <f t="shared" si="28"/>
        <v>0</v>
      </c>
    </row>
    <row r="172" spans="1:58" x14ac:dyDescent="0.25">
      <c r="D172" t="s">
        <v>74</v>
      </c>
      <c r="E172" s="38">
        <f t="shared" si="30"/>
        <v>0</v>
      </c>
      <c r="F172" s="38">
        <f t="shared" si="30"/>
        <v>0</v>
      </c>
      <c r="G172" s="38">
        <f t="shared" si="30"/>
        <v>0</v>
      </c>
      <c r="H172" s="38">
        <f t="shared" si="30"/>
        <v>1.8893579184100879</v>
      </c>
      <c r="I172" s="38">
        <f t="shared" si="30"/>
        <v>1.8571428571428572</v>
      </c>
      <c r="J172" s="38">
        <f t="shared" si="30"/>
        <v>0</v>
      </c>
      <c r="K172" s="38">
        <f t="shared" si="30"/>
        <v>0</v>
      </c>
      <c r="L172" s="38">
        <f t="shared" si="29"/>
        <v>0</v>
      </c>
      <c r="M172" s="38">
        <f t="shared" si="29"/>
        <v>3.7466843839111266</v>
      </c>
      <c r="S172" t="s">
        <v>74</v>
      </c>
      <c r="T172" s="5">
        <f>data_origin!T211</f>
        <v>0</v>
      </c>
      <c r="U172" s="5">
        <f>data_origin!U211</f>
        <v>0</v>
      </c>
      <c r="V172" s="5">
        <f>data_origin!V211</f>
        <v>0</v>
      </c>
      <c r="W172" s="5">
        <f>data_origin!W211</f>
        <v>1.8660714285714284</v>
      </c>
      <c r="X172" s="5">
        <f>data_origin!X211</f>
        <v>0</v>
      </c>
      <c r="Y172" s="5">
        <f>data_origin!Y211</f>
        <v>0</v>
      </c>
      <c r="Z172" s="5">
        <f>data_origin!Z211</f>
        <v>0</v>
      </c>
      <c r="AA172" s="5">
        <f>data_origin!AA211</f>
        <v>0</v>
      </c>
      <c r="AB172" s="5">
        <f t="shared" si="26"/>
        <v>1.8660714285714284</v>
      </c>
      <c r="AH172" t="s">
        <v>74</v>
      </c>
      <c r="AI172" s="5">
        <f>data_origin!T2424</f>
        <v>0</v>
      </c>
      <c r="AJ172" s="5">
        <f>data_origin!U2424</f>
        <v>0</v>
      </c>
      <c r="AK172" s="5">
        <f>data_origin!V2424</f>
        <v>0</v>
      </c>
      <c r="AL172" s="5">
        <f>data_origin!W2424</f>
        <v>0</v>
      </c>
      <c r="AM172" s="5">
        <f>data_origin!X2424</f>
        <v>0</v>
      </c>
      <c r="AN172" s="5">
        <f>data_origin!Y2424</f>
        <v>0</v>
      </c>
      <c r="AO172" s="5">
        <f>data_origin!Z2424</f>
        <v>0</v>
      </c>
      <c r="AP172" s="5">
        <f>data_origin!AA2424</f>
        <v>0</v>
      </c>
      <c r="AQ172" s="9">
        <f t="shared" si="27"/>
        <v>0</v>
      </c>
      <c r="AV172" t="s">
        <v>74</v>
      </c>
      <c r="AW172" s="5">
        <f>data_origin!T3138</f>
        <v>0</v>
      </c>
      <c r="AX172" s="5">
        <f>data_origin!U3138</f>
        <v>0</v>
      </c>
      <c r="AY172" s="5">
        <f>data_origin!V3138</f>
        <v>0</v>
      </c>
      <c r="AZ172" s="5">
        <f>data_origin!W3138</f>
        <v>0</v>
      </c>
      <c r="BA172" s="5">
        <f>data_origin!X3138</f>
        <v>0</v>
      </c>
      <c r="BB172" s="5">
        <f>data_origin!Y3138</f>
        <v>0</v>
      </c>
      <c r="BC172" s="5">
        <f>data_origin!Z3138</f>
        <v>0</v>
      </c>
      <c r="BD172" s="5">
        <f>data_origin!AA3138</f>
        <v>0</v>
      </c>
      <c r="BE172" s="9">
        <f t="shared" si="28"/>
        <v>0</v>
      </c>
    </row>
    <row r="173" spans="1:58" x14ac:dyDescent="0.25">
      <c r="D173" t="s">
        <v>75</v>
      </c>
      <c r="E173" s="38">
        <f t="shared" si="30"/>
        <v>0</v>
      </c>
      <c r="F173" s="38">
        <f t="shared" si="30"/>
        <v>0</v>
      </c>
      <c r="G173" s="38">
        <f t="shared" si="30"/>
        <v>0</v>
      </c>
      <c r="H173" s="38">
        <f t="shared" si="30"/>
        <v>0</v>
      </c>
      <c r="I173" s="38">
        <f t="shared" si="30"/>
        <v>0</v>
      </c>
      <c r="J173" s="38">
        <f t="shared" si="30"/>
        <v>0</v>
      </c>
      <c r="K173" s="38">
        <f t="shared" si="30"/>
        <v>0</v>
      </c>
      <c r="L173" s="38">
        <f t="shared" si="29"/>
        <v>0</v>
      </c>
      <c r="M173" s="38">
        <f t="shared" si="29"/>
        <v>0</v>
      </c>
      <c r="S173" t="s">
        <v>75</v>
      </c>
      <c r="T173" s="5">
        <f>data_origin!T212</f>
        <v>0</v>
      </c>
      <c r="U173" s="5">
        <f>data_origin!U212</f>
        <v>0</v>
      </c>
      <c r="V173" s="5">
        <f>data_origin!V212</f>
        <v>0</v>
      </c>
      <c r="W173" s="5">
        <f>data_origin!W212</f>
        <v>0</v>
      </c>
      <c r="X173" s="5">
        <f>data_origin!X212</f>
        <v>0</v>
      </c>
      <c r="Y173" s="5">
        <f>data_origin!Y212</f>
        <v>0</v>
      </c>
      <c r="Z173" s="5">
        <f>data_origin!Z212</f>
        <v>0</v>
      </c>
      <c r="AA173" s="5">
        <f>data_origin!AA212</f>
        <v>0</v>
      </c>
      <c r="AB173" s="5">
        <f t="shared" si="26"/>
        <v>0</v>
      </c>
      <c r="AH173" t="s">
        <v>75</v>
      </c>
      <c r="AI173" s="5">
        <f>data_origin!T2425</f>
        <v>0</v>
      </c>
      <c r="AJ173" s="5">
        <f>data_origin!U2425</f>
        <v>0</v>
      </c>
      <c r="AK173" s="5">
        <f>data_origin!V2425</f>
        <v>0</v>
      </c>
      <c r="AL173" s="5">
        <f>data_origin!W2425</f>
        <v>0</v>
      </c>
      <c r="AM173" s="5">
        <f>data_origin!X2425</f>
        <v>0</v>
      </c>
      <c r="AN173" s="5">
        <f>data_origin!Y2425</f>
        <v>0</v>
      </c>
      <c r="AO173" s="5">
        <f>data_origin!Z2425</f>
        <v>0</v>
      </c>
      <c r="AP173" s="5">
        <f>data_origin!AA2425</f>
        <v>0</v>
      </c>
      <c r="AQ173" s="9">
        <f t="shared" si="27"/>
        <v>0</v>
      </c>
      <c r="AV173" t="s">
        <v>75</v>
      </c>
      <c r="AW173" s="5">
        <f>data_origin!T3139</f>
        <v>0</v>
      </c>
      <c r="AX173" s="5">
        <f>data_origin!U3139</f>
        <v>0</v>
      </c>
      <c r="AY173" s="5">
        <f>data_origin!V3139</f>
        <v>0</v>
      </c>
      <c r="AZ173" s="5">
        <f>data_origin!W3139</f>
        <v>0</v>
      </c>
      <c r="BA173" s="5">
        <f>data_origin!X3139</f>
        <v>0</v>
      </c>
      <c r="BB173" s="5">
        <f>data_origin!Y3139</f>
        <v>0</v>
      </c>
      <c r="BC173" s="5">
        <f>data_origin!Z3139</f>
        <v>0</v>
      </c>
      <c r="BD173" s="5">
        <f>data_origin!AA3139</f>
        <v>0</v>
      </c>
      <c r="BE173" s="9">
        <f t="shared" si="28"/>
        <v>0</v>
      </c>
    </row>
    <row r="174" spans="1:58" x14ac:dyDescent="0.25">
      <c r="D174" t="s">
        <v>76</v>
      </c>
      <c r="E174" s="38">
        <f t="shared" si="30"/>
        <v>0</v>
      </c>
      <c r="F174" s="38">
        <f t="shared" si="30"/>
        <v>0</v>
      </c>
      <c r="G174" s="38">
        <f t="shared" si="30"/>
        <v>0</v>
      </c>
      <c r="H174" s="38">
        <f t="shared" si="30"/>
        <v>0</v>
      </c>
      <c r="I174" s="38">
        <f t="shared" si="30"/>
        <v>0</v>
      </c>
      <c r="J174" s="38">
        <f t="shared" si="30"/>
        <v>0</v>
      </c>
      <c r="K174" s="38">
        <f t="shared" si="30"/>
        <v>0</v>
      </c>
      <c r="L174" s="38">
        <f t="shared" si="29"/>
        <v>0</v>
      </c>
      <c r="M174" s="38">
        <f t="shared" si="29"/>
        <v>0</v>
      </c>
      <c r="S174" t="s">
        <v>76</v>
      </c>
      <c r="T174" s="5">
        <f>data_origin!T213</f>
        <v>0</v>
      </c>
      <c r="U174" s="5">
        <f>data_origin!U213</f>
        <v>0</v>
      </c>
      <c r="V174" s="5">
        <f>data_origin!V213</f>
        <v>0</v>
      </c>
      <c r="W174" s="5">
        <f>data_origin!W213</f>
        <v>0</v>
      </c>
      <c r="X174" s="5">
        <f>data_origin!X213</f>
        <v>0</v>
      </c>
      <c r="Y174" s="5">
        <f>data_origin!Y213</f>
        <v>0</v>
      </c>
      <c r="Z174" s="5">
        <f>data_origin!Z213</f>
        <v>0</v>
      </c>
      <c r="AA174" s="5">
        <f>data_origin!AA213</f>
        <v>0</v>
      </c>
      <c r="AB174" s="5">
        <f t="shared" si="26"/>
        <v>0</v>
      </c>
      <c r="AH174" t="s">
        <v>76</v>
      </c>
      <c r="AI174" s="5">
        <f>data_origin!T2426</f>
        <v>0</v>
      </c>
      <c r="AJ174" s="5">
        <f>data_origin!U2426</f>
        <v>0</v>
      </c>
      <c r="AK174" s="5">
        <f>data_origin!V2426</f>
        <v>0</v>
      </c>
      <c r="AL174" s="5">
        <f>data_origin!W2426</f>
        <v>0</v>
      </c>
      <c r="AM174" s="5">
        <f>data_origin!X2426</f>
        <v>0</v>
      </c>
      <c r="AN174" s="5">
        <f>data_origin!Y2426</f>
        <v>0</v>
      </c>
      <c r="AO174" s="5">
        <f>data_origin!Z2426</f>
        <v>0</v>
      </c>
      <c r="AP174" s="5">
        <f>data_origin!AA2426</f>
        <v>0</v>
      </c>
      <c r="AQ174" s="9">
        <f t="shared" si="27"/>
        <v>0</v>
      </c>
      <c r="AV174" t="s">
        <v>76</v>
      </c>
      <c r="AW174" s="5">
        <f>data_origin!T3140</f>
        <v>0</v>
      </c>
      <c r="AX174" s="5">
        <f>data_origin!U3140</f>
        <v>0</v>
      </c>
      <c r="AY174" s="5">
        <f>data_origin!V3140</f>
        <v>1.25</v>
      </c>
      <c r="AZ174" s="5">
        <f>data_origin!W3140</f>
        <v>0</v>
      </c>
      <c r="BA174" s="5">
        <f>data_origin!X3140</f>
        <v>0</v>
      </c>
      <c r="BB174" s="5">
        <f>data_origin!Y3140</f>
        <v>0</v>
      </c>
      <c r="BC174" s="5">
        <f>data_origin!Z3140</f>
        <v>0</v>
      </c>
      <c r="BD174" s="5">
        <f>data_origin!AA3140</f>
        <v>0</v>
      </c>
      <c r="BE174" s="9">
        <f t="shared" si="28"/>
        <v>1.25</v>
      </c>
    </row>
    <row r="175" spans="1:58" x14ac:dyDescent="0.25">
      <c r="D175" t="s">
        <v>77</v>
      </c>
      <c r="E175" s="38">
        <f t="shared" si="30"/>
        <v>0</v>
      </c>
      <c r="F175" s="38">
        <f t="shared" si="30"/>
        <v>0</v>
      </c>
      <c r="G175" s="38">
        <f t="shared" si="30"/>
        <v>0</v>
      </c>
      <c r="H175" s="38">
        <f t="shared" si="30"/>
        <v>0</v>
      </c>
      <c r="I175" s="38">
        <f t="shared" si="30"/>
        <v>0</v>
      </c>
      <c r="J175" s="38">
        <f t="shared" si="30"/>
        <v>0</v>
      </c>
      <c r="K175" s="38">
        <f t="shared" si="30"/>
        <v>0</v>
      </c>
      <c r="L175" s="38">
        <f t="shared" si="29"/>
        <v>0</v>
      </c>
      <c r="M175" s="38">
        <f t="shared" si="29"/>
        <v>0</v>
      </c>
      <c r="S175" t="s">
        <v>77</v>
      </c>
      <c r="T175" s="5">
        <f>data_origin!T214</f>
        <v>0</v>
      </c>
      <c r="U175" s="5">
        <f>data_origin!U214</f>
        <v>0</v>
      </c>
      <c r="V175" s="5">
        <f>data_origin!V214</f>
        <v>0</v>
      </c>
      <c r="W175" s="5">
        <f>data_origin!W214</f>
        <v>0</v>
      </c>
      <c r="X175" s="5">
        <f>data_origin!X214</f>
        <v>0</v>
      </c>
      <c r="Y175" s="5">
        <f>data_origin!Y214</f>
        <v>0</v>
      </c>
      <c r="Z175" s="5">
        <f>data_origin!Z214</f>
        <v>0</v>
      </c>
      <c r="AA175" s="5">
        <f>data_origin!AA214</f>
        <v>0</v>
      </c>
      <c r="AB175" s="5">
        <f t="shared" si="26"/>
        <v>0</v>
      </c>
      <c r="AH175" t="s">
        <v>77</v>
      </c>
      <c r="AI175" s="5">
        <f>data_origin!T2427</f>
        <v>0</v>
      </c>
      <c r="AJ175" s="5">
        <f>data_origin!U2427</f>
        <v>0</v>
      </c>
      <c r="AK175" s="5">
        <f>data_origin!V2427</f>
        <v>1.25</v>
      </c>
      <c r="AL175" s="5">
        <f>data_origin!W2427</f>
        <v>0</v>
      </c>
      <c r="AM175" s="5">
        <f>data_origin!X2427</f>
        <v>0</v>
      </c>
      <c r="AN175" s="5">
        <f>data_origin!Y2427</f>
        <v>0</v>
      </c>
      <c r="AO175" s="5">
        <f>data_origin!Z2427</f>
        <v>0</v>
      </c>
      <c r="AP175" s="5">
        <f>data_origin!AA2427</f>
        <v>0</v>
      </c>
      <c r="AQ175" s="9">
        <f t="shared" si="27"/>
        <v>1.25</v>
      </c>
      <c r="AV175" t="s">
        <v>77</v>
      </c>
      <c r="AW175" s="5">
        <f>data_origin!T3141</f>
        <v>0</v>
      </c>
      <c r="AX175" s="5">
        <f>data_origin!U3141</f>
        <v>0</v>
      </c>
      <c r="AY175" s="5">
        <f>data_origin!V3141</f>
        <v>0</v>
      </c>
      <c r="AZ175" s="5">
        <f>data_origin!W3141</f>
        <v>0</v>
      </c>
      <c r="BA175" s="5">
        <f>data_origin!X3141</f>
        <v>0</v>
      </c>
      <c r="BB175" s="5">
        <f>data_origin!Y3141</f>
        <v>0</v>
      </c>
      <c r="BC175" s="5">
        <f>data_origin!Z3141</f>
        <v>0</v>
      </c>
      <c r="BD175" s="5">
        <f>data_origin!AA3141</f>
        <v>0</v>
      </c>
      <c r="BE175" s="9">
        <f t="shared" si="28"/>
        <v>0</v>
      </c>
    </row>
    <row r="176" spans="1:58" x14ac:dyDescent="0.25">
      <c r="D176" t="s">
        <v>78</v>
      </c>
      <c r="E176" s="38">
        <f t="shared" si="30"/>
        <v>0</v>
      </c>
      <c r="F176" s="38">
        <f t="shared" si="30"/>
        <v>0</v>
      </c>
      <c r="G176" s="38">
        <f t="shared" si="30"/>
        <v>0</v>
      </c>
      <c r="H176" s="38">
        <f t="shared" si="30"/>
        <v>0</v>
      </c>
      <c r="I176" s="38">
        <f t="shared" si="30"/>
        <v>0</v>
      </c>
      <c r="J176" s="38">
        <f t="shared" si="30"/>
        <v>0</v>
      </c>
      <c r="K176" s="38">
        <f t="shared" si="30"/>
        <v>0</v>
      </c>
      <c r="L176" s="38">
        <f t="shared" si="29"/>
        <v>0</v>
      </c>
      <c r="M176" s="38">
        <f t="shared" si="29"/>
        <v>0</v>
      </c>
      <c r="S176" t="s">
        <v>78</v>
      </c>
      <c r="T176" s="5">
        <f>data_origin!T215</f>
        <v>0</v>
      </c>
      <c r="U176" s="5">
        <f>data_origin!U215</f>
        <v>0</v>
      </c>
      <c r="V176" s="5">
        <f>data_origin!V215</f>
        <v>0</v>
      </c>
      <c r="W176" s="5">
        <f>data_origin!W215</f>
        <v>0</v>
      </c>
      <c r="X176" s="5">
        <f>data_origin!X215</f>
        <v>0</v>
      </c>
      <c r="Y176" s="5">
        <f>data_origin!Y215</f>
        <v>0</v>
      </c>
      <c r="Z176" s="5">
        <f>data_origin!Z215</f>
        <v>0</v>
      </c>
      <c r="AA176" s="5">
        <f>data_origin!AA215</f>
        <v>0</v>
      </c>
      <c r="AB176" s="5">
        <f t="shared" si="26"/>
        <v>0</v>
      </c>
      <c r="AH176" t="s">
        <v>78</v>
      </c>
      <c r="AI176" s="5">
        <f>data_origin!T2428</f>
        <v>0</v>
      </c>
      <c r="AJ176" s="5">
        <f>data_origin!U2428</f>
        <v>0</v>
      </c>
      <c r="AK176" s="5">
        <f>data_origin!V2428</f>
        <v>1.25</v>
      </c>
      <c r="AL176" s="5">
        <f>data_origin!W2428</f>
        <v>2.5333333333333332</v>
      </c>
      <c r="AM176" s="5">
        <f>data_origin!X2428</f>
        <v>0</v>
      </c>
      <c r="AN176" s="5">
        <f>data_origin!Y2428</f>
        <v>0</v>
      </c>
      <c r="AO176" s="5">
        <f>data_origin!Z2428</f>
        <v>0</v>
      </c>
      <c r="AP176" s="5">
        <f>data_origin!AA2428</f>
        <v>0</v>
      </c>
      <c r="AQ176" s="9">
        <f t="shared" si="27"/>
        <v>3.7833333333333332</v>
      </c>
      <c r="AV176" t="s">
        <v>78</v>
      </c>
      <c r="AW176" s="5">
        <f>data_origin!T3142</f>
        <v>0</v>
      </c>
      <c r="AX176" s="5">
        <f>data_origin!U3142</f>
        <v>0</v>
      </c>
      <c r="AY176" s="5">
        <f>data_origin!V3142</f>
        <v>0</v>
      </c>
      <c r="AZ176" s="5">
        <f>data_origin!W3142</f>
        <v>0</v>
      </c>
      <c r="BA176" s="5">
        <f>data_origin!X3142</f>
        <v>0</v>
      </c>
      <c r="BB176" s="5">
        <f>data_origin!Y3142</f>
        <v>0</v>
      </c>
      <c r="BC176" s="5">
        <f>data_origin!Z3142</f>
        <v>0</v>
      </c>
      <c r="BD176" s="5">
        <f>data_origin!AA3142</f>
        <v>0</v>
      </c>
      <c r="BE176" s="9">
        <f t="shared" si="28"/>
        <v>0</v>
      </c>
    </row>
    <row r="177" spans="4:57" x14ac:dyDescent="0.25">
      <c r="D177" t="s">
        <v>79</v>
      </c>
      <c r="E177" s="38">
        <f t="shared" si="30"/>
        <v>0</v>
      </c>
      <c r="F177" s="38">
        <f t="shared" si="30"/>
        <v>0</v>
      </c>
      <c r="G177" s="38">
        <f t="shared" si="30"/>
        <v>0</v>
      </c>
      <c r="H177" s="38">
        <f t="shared" si="30"/>
        <v>0</v>
      </c>
      <c r="I177" s="38">
        <f t="shared" si="30"/>
        <v>0</v>
      </c>
      <c r="J177" s="38">
        <f t="shared" si="30"/>
        <v>0</v>
      </c>
      <c r="K177" s="38">
        <f t="shared" si="30"/>
        <v>0</v>
      </c>
      <c r="L177" s="38">
        <f t="shared" si="29"/>
        <v>0</v>
      </c>
      <c r="M177" s="38">
        <f t="shared" si="29"/>
        <v>0</v>
      </c>
      <c r="S177" t="s">
        <v>79</v>
      </c>
      <c r="T177" s="5">
        <f>data_origin!T216</f>
        <v>0</v>
      </c>
      <c r="U177" s="5">
        <f>data_origin!U216</f>
        <v>0</v>
      </c>
      <c r="V177" s="5">
        <f>data_origin!V216</f>
        <v>0</v>
      </c>
      <c r="W177" s="5">
        <f>data_origin!W216</f>
        <v>0</v>
      </c>
      <c r="X177" s="5">
        <f>data_origin!X216</f>
        <v>0</v>
      </c>
      <c r="Y177" s="5">
        <f>data_origin!Y216</f>
        <v>0</v>
      </c>
      <c r="Z177" s="5">
        <f>data_origin!Z216</f>
        <v>0</v>
      </c>
      <c r="AA177" s="5">
        <f>data_origin!AA216</f>
        <v>0</v>
      </c>
      <c r="AB177" s="5">
        <f t="shared" si="26"/>
        <v>0</v>
      </c>
      <c r="AH177" t="s">
        <v>79</v>
      </c>
      <c r="AI177" s="5">
        <f>data_origin!T2429</f>
        <v>0</v>
      </c>
      <c r="AJ177" s="5">
        <f>data_origin!U2429</f>
        <v>0</v>
      </c>
      <c r="AK177" s="5">
        <f>data_origin!V2429</f>
        <v>1.25</v>
      </c>
      <c r="AL177" s="5">
        <f>data_origin!W2429</f>
        <v>0</v>
      </c>
      <c r="AM177" s="5">
        <f>data_origin!X2429</f>
        <v>0</v>
      </c>
      <c r="AN177" s="5">
        <f>data_origin!Y2429</f>
        <v>0</v>
      </c>
      <c r="AO177" s="5">
        <f>data_origin!Z2429</f>
        <v>0</v>
      </c>
      <c r="AP177" s="5">
        <f>data_origin!AA2429</f>
        <v>0</v>
      </c>
      <c r="AQ177" s="9">
        <f t="shared" si="27"/>
        <v>1.25</v>
      </c>
      <c r="AV177" t="s">
        <v>79</v>
      </c>
      <c r="AW177" s="5">
        <f>data_origin!T3143</f>
        <v>0</v>
      </c>
      <c r="AX177" s="5">
        <f>data_origin!U3143</f>
        <v>0</v>
      </c>
      <c r="AY177" s="5">
        <f>data_origin!V3143</f>
        <v>1.25</v>
      </c>
      <c r="AZ177" s="5">
        <f>data_origin!W3143</f>
        <v>0</v>
      </c>
      <c r="BA177" s="5">
        <f>data_origin!X3143</f>
        <v>0</v>
      </c>
      <c r="BB177" s="5">
        <f>data_origin!Y3143</f>
        <v>0</v>
      </c>
      <c r="BC177" s="5">
        <f>data_origin!Z3143</f>
        <v>0</v>
      </c>
      <c r="BD177" s="5">
        <f>data_origin!AA3143</f>
        <v>0</v>
      </c>
      <c r="BE177" s="9">
        <f t="shared" si="28"/>
        <v>1.25</v>
      </c>
    </row>
    <row r="178" spans="4:57" x14ac:dyDescent="0.25">
      <c r="D178" t="s">
        <v>80</v>
      </c>
      <c r="E178" s="38">
        <f t="shared" si="30"/>
        <v>0</v>
      </c>
      <c r="F178" s="38">
        <f t="shared" si="30"/>
        <v>0</v>
      </c>
      <c r="G178" s="38">
        <f t="shared" si="30"/>
        <v>0</v>
      </c>
      <c r="H178" s="38">
        <f t="shared" si="30"/>
        <v>0</v>
      </c>
      <c r="I178" s="38">
        <f t="shared" si="30"/>
        <v>0</v>
      </c>
      <c r="J178" s="38">
        <f t="shared" si="30"/>
        <v>0</v>
      </c>
      <c r="K178" s="38">
        <f t="shared" si="30"/>
        <v>0</v>
      </c>
      <c r="L178" s="38">
        <f t="shared" si="29"/>
        <v>0</v>
      </c>
      <c r="M178" s="38">
        <f t="shared" si="29"/>
        <v>0</v>
      </c>
      <c r="S178" t="s">
        <v>80</v>
      </c>
      <c r="T178" s="5">
        <f>data_origin!T217</f>
        <v>0</v>
      </c>
      <c r="U178" s="5">
        <f>data_origin!U217</f>
        <v>0</v>
      </c>
      <c r="V178" s="5">
        <f>data_origin!V217</f>
        <v>0</v>
      </c>
      <c r="W178" s="5">
        <f>data_origin!W217</f>
        <v>0</v>
      </c>
      <c r="X178" s="5">
        <f>data_origin!X217</f>
        <v>0</v>
      </c>
      <c r="Y178" s="5">
        <f>data_origin!Y217</f>
        <v>0</v>
      </c>
      <c r="Z178" s="5">
        <f>data_origin!Z217</f>
        <v>0</v>
      </c>
      <c r="AA178" s="5">
        <f>data_origin!AA217</f>
        <v>0</v>
      </c>
      <c r="AB178" s="5">
        <f t="shared" si="26"/>
        <v>0</v>
      </c>
      <c r="AH178" t="s">
        <v>80</v>
      </c>
      <c r="AI178" s="5">
        <f>data_origin!T2430</f>
        <v>0</v>
      </c>
      <c r="AJ178" s="5">
        <f>data_origin!U2430</f>
        <v>0</v>
      </c>
      <c r="AK178" s="5">
        <f>data_origin!V2430</f>
        <v>0</v>
      </c>
      <c r="AL178" s="5">
        <f>data_origin!W2430</f>
        <v>2.5333333333333332</v>
      </c>
      <c r="AM178" s="5">
        <f>data_origin!X2430</f>
        <v>0</v>
      </c>
      <c r="AN178" s="5">
        <f>data_origin!Y2430</f>
        <v>0</v>
      </c>
      <c r="AO178" s="5">
        <f>data_origin!Z2430</f>
        <v>0</v>
      </c>
      <c r="AP178" s="5">
        <f>data_origin!AA2430</f>
        <v>0</v>
      </c>
      <c r="AQ178" s="9">
        <f t="shared" si="27"/>
        <v>2.5333333333333332</v>
      </c>
      <c r="AV178" t="s">
        <v>80</v>
      </c>
      <c r="AW178" s="5">
        <f>data_origin!T3144</f>
        <v>0</v>
      </c>
      <c r="AX178" s="5">
        <f>data_origin!U3144</f>
        <v>0</v>
      </c>
      <c r="AY178" s="5">
        <f>data_origin!V3144</f>
        <v>0</v>
      </c>
      <c r="AZ178" s="5">
        <f>data_origin!W3144</f>
        <v>0</v>
      </c>
      <c r="BA178" s="5">
        <f>data_origin!X3144</f>
        <v>0</v>
      </c>
      <c r="BB178" s="5">
        <f>data_origin!Y3144</f>
        <v>0</v>
      </c>
      <c r="BC178" s="5">
        <f>data_origin!Z3144</f>
        <v>0</v>
      </c>
      <c r="BD178" s="5">
        <f>data_origin!AA3144</f>
        <v>0</v>
      </c>
      <c r="BE178" s="9">
        <f t="shared" si="28"/>
        <v>0</v>
      </c>
    </row>
    <row r="179" spans="4:57" x14ac:dyDescent="0.25">
      <c r="D179" t="s">
        <v>81</v>
      </c>
      <c r="E179" s="38">
        <f t="shared" si="30"/>
        <v>0</v>
      </c>
      <c r="F179" s="38">
        <f t="shared" si="30"/>
        <v>0</v>
      </c>
      <c r="G179" s="38">
        <f t="shared" si="30"/>
        <v>0</v>
      </c>
      <c r="H179" s="38">
        <f t="shared" si="30"/>
        <v>0</v>
      </c>
      <c r="I179" s="38">
        <f t="shared" si="30"/>
        <v>0</v>
      </c>
      <c r="J179" s="38">
        <f t="shared" si="30"/>
        <v>0</v>
      </c>
      <c r="K179" s="38">
        <f t="shared" si="30"/>
        <v>0</v>
      </c>
      <c r="L179" s="38">
        <f t="shared" si="29"/>
        <v>0</v>
      </c>
      <c r="M179" s="38">
        <f t="shared" si="29"/>
        <v>0</v>
      </c>
      <c r="S179" t="s">
        <v>81</v>
      </c>
      <c r="T179" s="5">
        <f>data_origin!T218</f>
        <v>0</v>
      </c>
      <c r="U179" s="5">
        <f>data_origin!U218</f>
        <v>0</v>
      </c>
      <c r="V179" s="5">
        <f>data_origin!V218</f>
        <v>0</v>
      </c>
      <c r="W179" s="5">
        <f>data_origin!W218</f>
        <v>0</v>
      </c>
      <c r="X179" s="5">
        <f>data_origin!X218</f>
        <v>0</v>
      </c>
      <c r="Y179" s="5">
        <f>data_origin!Y218</f>
        <v>0</v>
      </c>
      <c r="Z179" s="5">
        <f>data_origin!Z218</f>
        <v>0</v>
      </c>
      <c r="AA179" s="5">
        <f>data_origin!AA218</f>
        <v>0</v>
      </c>
      <c r="AB179" s="5">
        <f t="shared" si="26"/>
        <v>0</v>
      </c>
      <c r="AH179" t="s">
        <v>81</v>
      </c>
      <c r="AI179" s="5">
        <f>data_origin!T2431</f>
        <v>0</v>
      </c>
      <c r="AJ179" s="5">
        <f>data_origin!U2431</f>
        <v>0</v>
      </c>
      <c r="AK179" s="5">
        <f>data_origin!V2431</f>
        <v>0</v>
      </c>
      <c r="AL179" s="5">
        <f>data_origin!W2431</f>
        <v>0</v>
      </c>
      <c r="AM179" s="5">
        <f>data_origin!X2431</f>
        <v>1</v>
      </c>
      <c r="AN179" s="5">
        <f>data_origin!Y2431</f>
        <v>0</v>
      </c>
      <c r="AO179" s="5">
        <f>data_origin!Z2431</f>
        <v>0</v>
      </c>
      <c r="AP179" s="5">
        <f>data_origin!AA2431</f>
        <v>0</v>
      </c>
      <c r="AQ179" s="9">
        <f t="shared" si="27"/>
        <v>1</v>
      </c>
      <c r="AV179" t="s">
        <v>81</v>
      </c>
      <c r="AW179" s="5">
        <f>data_origin!T3145</f>
        <v>0</v>
      </c>
      <c r="AX179" s="5">
        <f>data_origin!U3145</f>
        <v>0</v>
      </c>
      <c r="AY179" s="5">
        <f>data_origin!V3145</f>
        <v>0</v>
      </c>
      <c r="AZ179" s="5">
        <f>data_origin!W3145</f>
        <v>0</v>
      </c>
      <c r="BA179" s="5">
        <f>data_origin!X3145</f>
        <v>0</v>
      </c>
      <c r="BB179" s="5">
        <f>data_origin!Y3145</f>
        <v>0</v>
      </c>
      <c r="BC179" s="5">
        <f>data_origin!Z3145</f>
        <v>0</v>
      </c>
      <c r="BD179" s="5">
        <f>data_origin!AA3145</f>
        <v>0</v>
      </c>
      <c r="BE179" s="9">
        <f t="shared" si="28"/>
        <v>0</v>
      </c>
    </row>
    <row r="180" spans="4:57" x14ac:dyDescent="0.25">
      <c r="D180" t="s">
        <v>82</v>
      </c>
      <c r="E180" s="38">
        <f t="shared" si="30"/>
        <v>0</v>
      </c>
      <c r="F180" s="38">
        <f t="shared" si="30"/>
        <v>0</v>
      </c>
      <c r="G180" s="38">
        <f t="shared" si="30"/>
        <v>0</v>
      </c>
      <c r="H180" s="38">
        <f t="shared" si="30"/>
        <v>0</v>
      </c>
      <c r="I180" s="38">
        <f t="shared" si="30"/>
        <v>0</v>
      </c>
      <c r="J180" s="38">
        <f t="shared" si="30"/>
        <v>0</v>
      </c>
      <c r="K180" s="38">
        <f t="shared" si="30"/>
        <v>0</v>
      </c>
      <c r="L180" s="38">
        <f t="shared" si="29"/>
        <v>0</v>
      </c>
      <c r="M180" s="38">
        <f t="shared" si="29"/>
        <v>0</v>
      </c>
      <c r="S180" t="s">
        <v>82</v>
      </c>
      <c r="T180" s="5">
        <f>data_origin!T219</f>
        <v>0</v>
      </c>
      <c r="U180" s="5">
        <f>data_origin!U219</f>
        <v>0</v>
      </c>
      <c r="V180" s="5">
        <f>data_origin!V219</f>
        <v>0</v>
      </c>
      <c r="W180" s="5">
        <f>data_origin!W219</f>
        <v>0</v>
      </c>
      <c r="X180" s="5">
        <f>data_origin!X219</f>
        <v>0</v>
      </c>
      <c r="Y180" s="5">
        <f>data_origin!Y219</f>
        <v>0</v>
      </c>
      <c r="Z180" s="5">
        <f>data_origin!Z219</f>
        <v>0</v>
      </c>
      <c r="AA180" s="5">
        <f>data_origin!AA219</f>
        <v>0</v>
      </c>
      <c r="AB180" s="5">
        <f t="shared" si="26"/>
        <v>0</v>
      </c>
      <c r="AH180" t="s">
        <v>82</v>
      </c>
      <c r="AI180" s="5">
        <f>data_origin!T2432</f>
        <v>0</v>
      </c>
      <c r="AJ180" s="5">
        <f>data_origin!U2432</f>
        <v>0</v>
      </c>
      <c r="AK180" s="5">
        <f>data_origin!V2432</f>
        <v>0</v>
      </c>
      <c r="AL180" s="5">
        <f>data_origin!W2432</f>
        <v>0</v>
      </c>
      <c r="AM180" s="5">
        <f>data_origin!X2432</f>
        <v>0</v>
      </c>
      <c r="AN180" s="5">
        <f>data_origin!Y2432</f>
        <v>0</v>
      </c>
      <c r="AO180" s="5">
        <f>data_origin!Z2432</f>
        <v>0</v>
      </c>
      <c r="AP180" s="5">
        <f>data_origin!AA2432</f>
        <v>0</v>
      </c>
      <c r="AQ180" s="9">
        <f t="shared" si="27"/>
        <v>0</v>
      </c>
      <c r="AV180" t="s">
        <v>82</v>
      </c>
      <c r="AW180" s="5">
        <f>data_origin!T3146</f>
        <v>0</v>
      </c>
      <c r="AX180" s="5">
        <f>data_origin!U3146</f>
        <v>0</v>
      </c>
      <c r="AY180" s="5">
        <f>data_origin!V3146</f>
        <v>0</v>
      </c>
      <c r="AZ180" s="5">
        <f>data_origin!W3146</f>
        <v>0</v>
      </c>
      <c r="BA180" s="5">
        <f>data_origin!X3146</f>
        <v>0</v>
      </c>
      <c r="BB180" s="5">
        <f>data_origin!Y3146</f>
        <v>0</v>
      </c>
      <c r="BC180" s="5">
        <f>data_origin!Z3146</f>
        <v>0</v>
      </c>
      <c r="BD180" s="5">
        <f>data_origin!AA3146</f>
        <v>0</v>
      </c>
      <c r="BE180" s="9">
        <f t="shared" si="28"/>
        <v>0</v>
      </c>
    </row>
    <row r="181" spans="4:57" x14ac:dyDescent="0.25">
      <c r="D181" t="s">
        <v>83</v>
      </c>
      <c r="E181" s="38">
        <f t="shared" si="30"/>
        <v>0</v>
      </c>
      <c r="F181" s="38">
        <f t="shared" si="30"/>
        <v>0</v>
      </c>
      <c r="G181" s="38">
        <f t="shared" si="30"/>
        <v>0</v>
      </c>
      <c r="H181" s="38">
        <f t="shared" si="30"/>
        <v>0</v>
      </c>
      <c r="I181" s="38">
        <f t="shared" si="30"/>
        <v>0</v>
      </c>
      <c r="J181" s="38">
        <f t="shared" si="30"/>
        <v>0</v>
      </c>
      <c r="K181" s="38">
        <f t="shared" si="30"/>
        <v>0</v>
      </c>
      <c r="L181" s="38">
        <f t="shared" si="29"/>
        <v>0</v>
      </c>
      <c r="M181" s="38">
        <f t="shared" si="29"/>
        <v>0</v>
      </c>
      <c r="S181" t="s">
        <v>83</v>
      </c>
      <c r="T181" s="5">
        <f>data_origin!T220</f>
        <v>0</v>
      </c>
      <c r="U181" s="5">
        <f>data_origin!U220</f>
        <v>0</v>
      </c>
      <c r="V181" s="5">
        <f>data_origin!V220</f>
        <v>0</v>
      </c>
      <c r="W181" s="5">
        <f>data_origin!W220</f>
        <v>0</v>
      </c>
      <c r="X181" s="5">
        <f>data_origin!X220</f>
        <v>0</v>
      </c>
      <c r="Y181" s="5">
        <f>data_origin!Y220</f>
        <v>0</v>
      </c>
      <c r="Z181" s="5">
        <f>data_origin!Z220</f>
        <v>0</v>
      </c>
      <c r="AA181" s="5">
        <f>data_origin!AA220</f>
        <v>0</v>
      </c>
      <c r="AB181" s="5">
        <f t="shared" si="26"/>
        <v>0</v>
      </c>
      <c r="AH181" t="s">
        <v>83</v>
      </c>
      <c r="AI181" s="5">
        <f>data_origin!T2433</f>
        <v>0</v>
      </c>
      <c r="AJ181" s="5">
        <f>data_origin!U2433</f>
        <v>0</v>
      </c>
      <c r="AK181" s="5">
        <f>data_origin!V2433</f>
        <v>0</v>
      </c>
      <c r="AL181" s="5">
        <f>data_origin!W2433</f>
        <v>0</v>
      </c>
      <c r="AM181" s="5">
        <f>data_origin!X2433</f>
        <v>0</v>
      </c>
      <c r="AN181" s="5">
        <f>data_origin!Y2433</f>
        <v>0</v>
      </c>
      <c r="AO181" s="5">
        <f>data_origin!Z2433</f>
        <v>0</v>
      </c>
      <c r="AP181" s="5">
        <f>data_origin!AA2433</f>
        <v>0</v>
      </c>
      <c r="AQ181" s="9">
        <f t="shared" si="27"/>
        <v>0</v>
      </c>
      <c r="AV181" t="s">
        <v>83</v>
      </c>
      <c r="AW181" s="5">
        <f>data_origin!T3147</f>
        <v>0</v>
      </c>
      <c r="AX181" s="5">
        <f>data_origin!U3147</f>
        <v>0</v>
      </c>
      <c r="AY181" s="5">
        <f>data_origin!V3147</f>
        <v>0</v>
      </c>
      <c r="AZ181" s="5">
        <f>data_origin!W3147</f>
        <v>0</v>
      </c>
      <c r="BA181" s="5">
        <f>data_origin!X3147</f>
        <v>0</v>
      </c>
      <c r="BB181" s="5">
        <f>data_origin!Y3147</f>
        <v>0</v>
      </c>
      <c r="BC181" s="5">
        <f>data_origin!Z3147</f>
        <v>0</v>
      </c>
      <c r="BD181" s="5">
        <f>data_origin!AA3147</f>
        <v>0</v>
      </c>
      <c r="BE181" s="9">
        <f t="shared" si="28"/>
        <v>0</v>
      </c>
    </row>
    <row r="182" spans="4:57" x14ac:dyDescent="0.25">
      <c r="D182" t="s">
        <v>84</v>
      </c>
      <c r="E182" s="38">
        <f t="shared" si="30"/>
        <v>0</v>
      </c>
      <c r="F182" s="38">
        <f t="shared" si="30"/>
        <v>0</v>
      </c>
      <c r="G182" s="38">
        <f t="shared" si="30"/>
        <v>0</v>
      </c>
      <c r="H182" s="38">
        <f t="shared" si="30"/>
        <v>0</v>
      </c>
      <c r="I182" s="38">
        <f t="shared" si="30"/>
        <v>0</v>
      </c>
      <c r="J182" s="38">
        <f t="shared" si="30"/>
        <v>0</v>
      </c>
      <c r="K182" s="38">
        <f t="shared" si="30"/>
        <v>0</v>
      </c>
      <c r="L182" s="38">
        <f t="shared" si="29"/>
        <v>0</v>
      </c>
      <c r="M182" s="38">
        <f t="shared" si="29"/>
        <v>0</v>
      </c>
      <c r="S182" t="s">
        <v>84</v>
      </c>
      <c r="T182" s="5">
        <f>data_origin!T221</f>
        <v>0</v>
      </c>
      <c r="U182" s="5">
        <f>data_origin!U221</f>
        <v>0</v>
      </c>
      <c r="V182" s="5">
        <f>data_origin!V221</f>
        <v>0</v>
      </c>
      <c r="W182" s="5">
        <f>data_origin!W221</f>
        <v>0</v>
      </c>
      <c r="X182" s="5">
        <f>data_origin!X221</f>
        <v>0</v>
      </c>
      <c r="Y182" s="5">
        <f>data_origin!Y221</f>
        <v>0</v>
      </c>
      <c r="Z182" s="5">
        <f>data_origin!Z221</f>
        <v>0</v>
      </c>
      <c r="AA182" s="5">
        <f>data_origin!AA221</f>
        <v>0</v>
      </c>
      <c r="AB182" s="5">
        <f t="shared" si="26"/>
        <v>0</v>
      </c>
      <c r="AH182" t="s">
        <v>84</v>
      </c>
      <c r="AI182" s="5">
        <f>data_origin!T2434</f>
        <v>0</v>
      </c>
      <c r="AJ182" s="5">
        <f>data_origin!U2434</f>
        <v>0</v>
      </c>
      <c r="AK182" s="5">
        <f>data_origin!V2434</f>
        <v>0</v>
      </c>
      <c r="AL182" s="5">
        <f>data_origin!W2434</f>
        <v>0</v>
      </c>
      <c r="AM182" s="5">
        <f>data_origin!X2434</f>
        <v>0</v>
      </c>
      <c r="AN182" s="5">
        <f>data_origin!Y2434</f>
        <v>0</v>
      </c>
      <c r="AO182" s="5">
        <f>data_origin!Z2434</f>
        <v>0</v>
      </c>
      <c r="AP182" s="5">
        <f>data_origin!AA2434</f>
        <v>0</v>
      </c>
      <c r="AQ182" s="9">
        <f t="shared" si="27"/>
        <v>0</v>
      </c>
      <c r="AV182" t="s">
        <v>84</v>
      </c>
      <c r="AW182" s="5">
        <f>data_origin!T3148</f>
        <v>0</v>
      </c>
      <c r="AX182" s="5">
        <f>data_origin!U3148</f>
        <v>0</v>
      </c>
      <c r="AY182" s="5">
        <f>data_origin!V3148</f>
        <v>0</v>
      </c>
      <c r="AZ182" s="5">
        <f>data_origin!W3148</f>
        <v>0</v>
      </c>
      <c r="BA182" s="5">
        <f>data_origin!X3148</f>
        <v>0</v>
      </c>
      <c r="BB182" s="5">
        <f>data_origin!Y3148</f>
        <v>0</v>
      </c>
      <c r="BC182" s="5">
        <f>data_origin!Z3148</f>
        <v>0</v>
      </c>
      <c r="BD182" s="5">
        <f>data_origin!AA3148</f>
        <v>0</v>
      </c>
      <c r="BE182" s="9">
        <f t="shared" si="28"/>
        <v>0</v>
      </c>
    </row>
    <row r="183" spans="4:57" x14ac:dyDescent="0.25">
      <c r="D183" t="s">
        <v>85</v>
      </c>
      <c r="E183" s="38">
        <f t="shared" si="30"/>
        <v>0</v>
      </c>
      <c r="F183" s="38">
        <f t="shared" si="30"/>
        <v>0</v>
      </c>
      <c r="G183" s="38">
        <f t="shared" si="30"/>
        <v>0</v>
      </c>
      <c r="H183" s="38">
        <f t="shared" si="30"/>
        <v>0</v>
      </c>
      <c r="I183" s="38">
        <f t="shared" si="30"/>
        <v>0</v>
      </c>
      <c r="J183" s="38">
        <f t="shared" si="30"/>
        <v>0</v>
      </c>
      <c r="K183" s="38">
        <f t="shared" si="30"/>
        <v>0</v>
      </c>
      <c r="L183" s="38">
        <f t="shared" si="29"/>
        <v>0</v>
      </c>
      <c r="M183" s="38">
        <f t="shared" si="29"/>
        <v>0</v>
      </c>
      <c r="S183" t="s">
        <v>85</v>
      </c>
      <c r="T183" s="5">
        <f>data_origin!T222</f>
        <v>0</v>
      </c>
      <c r="U183" s="5">
        <f>data_origin!U222</f>
        <v>0</v>
      </c>
      <c r="V183" s="5">
        <f>data_origin!V222</f>
        <v>0</v>
      </c>
      <c r="W183" s="5">
        <f>data_origin!W222</f>
        <v>0</v>
      </c>
      <c r="X183" s="5">
        <f>data_origin!X222</f>
        <v>0</v>
      </c>
      <c r="Y183" s="5">
        <f>data_origin!Y222</f>
        <v>0</v>
      </c>
      <c r="Z183" s="5">
        <f>data_origin!Z222</f>
        <v>0</v>
      </c>
      <c r="AA183" s="5">
        <f>data_origin!AA222</f>
        <v>0</v>
      </c>
      <c r="AB183" s="5">
        <f t="shared" si="26"/>
        <v>0</v>
      </c>
      <c r="AH183" t="s">
        <v>85</v>
      </c>
      <c r="AI183" s="5">
        <f>data_origin!T2435</f>
        <v>0</v>
      </c>
      <c r="AJ183" s="5">
        <f>data_origin!U2435</f>
        <v>0</v>
      </c>
      <c r="AK183" s="5">
        <f>data_origin!V2435</f>
        <v>0</v>
      </c>
      <c r="AL183" s="5">
        <f>data_origin!W2435</f>
        <v>0</v>
      </c>
      <c r="AM183" s="5">
        <f>data_origin!X2435</f>
        <v>0</v>
      </c>
      <c r="AN183" s="5">
        <f>data_origin!Y2435</f>
        <v>0</v>
      </c>
      <c r="AO183" s="5">
        <f>data_origin!Z2435</f>
        <v>0</v>
      </c>
      <c r="AP183" s="5">
        <f>data_origin!AA2435</f>
        <v>0</v>
      </c>
      <c r="AQ183" s="9">
        <f t="shared" si="27"/>
        <v>0</v>
      </c>
      <c r="AV183" t="s">
        <v>85</v>
      </c>
      <c r="AW183" s="5">
        <f>data_origin!T3149</f>
        <v>0</v>
      </c>
      <c r="AX183" s="5">
        <f>data_origin!U3149</f>
        <v>0</v>
      </c>
      <c r="AY183" s="5">
        <f>data_origin!V3149</f>
        <v>0</v>
      </c>
      <c r="AZ183" s="5">
        <f>data_origin!W3149</f>
        <v>0</v>
      </c>
      <c r="BA183" s="5">
        <f>data_origin!X3149</f>
        <v>0</v>
      </c>
      <c r="BB183" s="5">
        <f>data_origin!Y3149</f>
        <v>0</v>
      </c>
      <c r="BC183" s="5">
        <f>data_origin!Z3149</f>
        <v>0</v>
      </c>
      <c r="BD183" s="5">
        <f>data_origin!AA3149</f>
        <v>0</v>
      </c>
      <c r="BE183" s="9">
        <f t="shared" si="28"/>
        <v>0</v>
      </c>
    </row>
    <row r="184" spans="4:57" x14ac:dyDescent="0.25">
      <c r="D184" t="s">
        <v>86</v>
      </c>
      <c r="E184" s="38">
        <f t="shared" si="30"/>
        <v>0</v>
      </c>
      <c r="F184" s="38">
        <f t="shared" si="30"/>
        <v>0</v>
      </c>
      <c r="G184" s="38">
        <f t="shared" si="30"/>
        <v>4.5891318377237926</v>
      </c>
      <c r="H184" s="38">
        <f t="shared" si="30"/>
        <v>6.5992286573329952</v>
      </c>
      <c r="I184" s="38">
        <f t="shared" si="30"/>
        <v>0</v>
      </c>
      <c r="J184" s="38">
        <f t="shared" si="30"/>
        <v>0</v>
      </c>
      <c r="K184" s="38">
        <f t="shared" si="30"/>
        <v>0</v>
      </c>
      <c r="L184" s="38">
        <f t="shared" si="29"/>
        <v>0</v>
      </c>
      <c r="M184" s="38">
        <f t="shared" si="29"/>
        <v>11.198332121106427</v>
      </c>
      <c r="S184" t="s">
        <v>86</v>
      </c>
      <c r="T184" s="5">
        <f>data_origin!T223</f>
        <v>0</v>
      </c>
      <c r="U184" s="5">
        <f>data_origin!U223</f>
        <v>0</v>
      </c>
      <c r="V184" s="5">
        <f>data_origin!V223</f>
        <v>2.0277777777777777</v>
      </c>
      <c r="W184" s="5">
        <f>data_origin!W223</f>
        <v>3.7321428571428568</v>
      </c>
      <c r="X184" s="5">
        <f>data_origin!X223</f>
        <v>0</v>
      </c>
      <c r="Y184" s="5">
        <f>data_origin!Y223</f>
        <v>0</v>
      </c>
      <c r="Z184" s="5">
        <f>data_origin!Z223</f>
        <v>0</v>
      </c>
      <c r="AA184" s="5">
        <f>data_origin!AA223</f>
        <v>0</v>
      </c>
      <c r="AB184" s="5">
        <f t="shared" si="26"/>
        <v>5.7599206349206344</v>
      </c>
      <c r="AH184" t="s">
        <v>86</v>
      </c>
      <c r="AI184" s="5">
        <f>data_origin!T2436</f>
        <v>0</v>
      </c>
      <c r="AJ184" s="5">
        <f>data_origin!U2436</f>
        <v>0</v>
      </c>
      <c r="AK184" s="5">
        <f>data_origin!V2436</f>
        <v>0</v>
      </c>
      <c r="AL184" s="5">
        <f>data_origin!W2436</f>
        <v>2.5333333333333332</v>
      </c>
      <c r="AM184" s="5">
        <f>data_origin!X2436</f>
        <v>1</v>
      </c>
      <c r="AN184" s="5">
        <f>data_origin!Y2436</f>
        <v>0</v>
      </c>
      <c r="AO184" s="5">
        <f>data_origin!Z2436</f>
        <v>0</v>
      </c>
      <c r="AP184" s="5">
        <f>data_origin!AA2436</f>
        <v>0</v>
      </c>
      <c r="AQ184" s="9">
        <f t="shared" si="27"/>
        <v>3.5333333333333332</v>
      </c>
      <c r="AV184" t="s">
        <v>86</v>
      </c>
      <c r="AW184" s="5">
        <f>data_origin!T3150</f>
        <v>0</v>
      </c>
      <c r="AX184" s="5">
        <f>data_origin!U3150</f>
        <v>0</v>
      </c>
      <c r="AY184" s="5">
        <f>data_origin!V3150</f>
        <v>0</v>
      </c>
      <c r="AZ184" s="5">
        <f>data_origin!W3150</f>
        <v>0</v>
      </c>
      <c r="BA184" s="5">
        <f>data_origin!X3150</f>
        <v>0</v>
      </c>
      <c r="BB184" s="5">
        <f>data_origin!Y3150</f>
        <v>0</v>
      </c>
      <c r="BC184" s="5">
        <f>data_origin!Z3150</f>
        <v>0</v>
      </c>
      <c r="BD184" s="5">
        <f>data_origin!AA3150</f>
        <v>0</v>
      </c>
      <c r="BE184" s="9">
        <f t="shared" si="28"/>
        <v>0</v>
      </c>
    </row>
    <row r="185" spans="4:57" x14ac:dyDescent="0.25">
      <c r="D185" t="s">
        <v>87</v>
      </c>
      <c r="E185" s="38">
        <f t="shared" si="30"/>
        <v>0</v>
      </c>
      <c r="F185" s="38">
        <f t="shared" si="30"/>
        <v>0</v>
      </c>
      <c r="G185" s="38">
        <f t="shared" si="30"/>
        <v>0</v>
      </c>
      <c r="H185" s="38">
        <f t="shared" si="30"/>
        <v>0</v>
      </c>
      <c r="I185" s="38">
        <f t="shared" si="30"/>
        <v>1.5815259928397114</v>
      </c>
      <c r="J185" s="38">
        <f t="shared" si="30"/>
        <v>0</v>
      </c>
      <c r="K185" s="38">
        <f t="shared" si="30"/>
        <v>0</v>
      </c>
      <c r="L185" s="38">
        <f t="shared" si="29"/>
        <v>0</v>
      </c>
      <c r="M185" s="38">
        <f t="shared" si="29"/>
        <v>1.5733893081194457</v>
      </c>
      <c r="S185" t="s">
        <v>87</v>
      </c>
      <c r="T185" s="5">
        <f>data_origin!T224</f>
        <v>0</v>
      </c>
      <c r="U185" s="5">
        <f>data_origin!U224</f>
        <v>0</v>
      </c>
      <c r="V185" s="5">
        <f>data_origin!V224</f>
        <v>0</v>
      </c>
      <c r="W185" s="5">
        <f>data_origin!W224</f>
        <v>0</v>
      </c>
      <c r="X185" s="5">
        <f>data_origin!X224</f>
        <v>1.5538461538461539</v>
      </c>
      <c r="Y185" s="5">
        <f>data_origin!Y224</f>
        <v>0</v>
      </c>
      <c r="Z185" s="5">
        <f>data_origin!Z224</f>
        <v>0</v>
      </c>
      <c r="AA185" s="5">
        <f>data_origin!AA224</f>
        <v>0</v>
      </c>
      <c r="AB185" s="5">
        <f t="shared" si="26"/>
        <v>1.5538461538461539</v>
      </c>
      <c r="AH185" t="s">
        <v>87</v>
      </c>
      <c r="AI185" s="5">
        <f>data_origin!T2437</f>
        <v>0</v>
      </c>
      <c r="AJ185" s="5">
        <f>data_origin!U2437</f>
        <v>0</v>
      </c>
      <c r="AK185" s="5">
        <f>data_origin!V2437</f>
        <v>0</v>
      </c>
      <c r="AL185" s="5">
        <f>data_origin!W2437</f>
        <v>0</v>
      </c>
      <c r="AM185" s="5">
        <f>data_origin!X2437</f>
        <v>0</v>
      </c>
      <c r="AN185" s="5">
        <f>data_origin!Y2437</f>
        <v>0</v>
      </c>
      <c r="AO185" s="5">
        <f>data_origin!Z2437</f>
        <v>0</v>
      </c>
      <c r="AP185" s="5">
        <f>data_origin!AA2437</f>
        <v>0</v>
      </c>
      <c r="AQ185" s="9">
        <f t="shared" si="27"/>
        <v>0</v>
      </c>
      <c r="AV185" t="s">
        <v>87</v>
      </c>
      <c r="AW185" s="5">
        <f>data_origin!T3151</f>
        <v>0</v>
      </c>
      <c r="AX185" s="5">
        <f>data_origin!U3151</f>
        <v>0</v>
      </c>
      <c r="AY185" s="5">
        <f>data_origin!V3151</f>
        <v>0</v>
      </c>
      <c r="AZ185" s="5">
        <f>data_origin!W3151</f>
        <v>0</v>
      </c>
      <c r="BA185" s="5">
        <f>data_origin!X3151</f>
        <v>0</v>
      </c>
      <c r="BB185" s="5">
        <f>data_origin!Y3151</f>
        <v>0</v>
      </c>
      <c r="BC185" s="5">
        <f>data_origin!Z3151</f>
        <v>0</v>
      </c>
      <c r="BD185" s="5">
        <f>data_origin!AA3151</f>
        <v>0</v>
      </c>
      <c r="BE185" s="9">
        <f t="shared" si="28"/>
        <v>0</v>
      </c>
    </row>
    <row r="186" spans="4:57" x14ac:dyDescent="0.25">
      <c r="D186" t="s">
        <v>88</v>
      </c>
      <c r="E186" s="38">
        <f t="shared" si="30"/>
        <v>0</v>
      </c>
      <c r="F186" s="38">
        <f t="shared" si="30"/>
        <v>0</v>
      </c>
      <c r="G186" s="38">
        <f t="shared" si="30"/>
        <v>2.0436772922692459</v>
      </c>
      <c r="H186" s="38">
        <f t="shared" si="30"/>
        <v>1.8893579184100879</v>
      </c>
      <c r="I186" s="38">
        <f t="shared" si="30"/>
        <v>1.5815259928397114</v>
      </c>
      <c r="J186" s="38">
        <f t="shared" si="30"/>
        <v>0</v>
      </c>
      <c r="K186" s="38">
        <f t="shared" si="30"/>
        <v>0</v>
      </c>
      <c r="L186" s="38">
        <f t="shared" si="29"/>
        <v>0</v>
      </c>
      <c r="M186" s="38">
        <f t="shared" si="29"/>
        <v>5.5162125364902366</v>
      </c>
      <c r="S186" t="s">
        <v>88</v>
      </c>
      <c r="T186" s="5">
        <f>data_origin!T225</f>
        <v>0</v>
      </c>
      <c r="U186" s="5">
        <f>data_origin!U225</f>
        <v>0</v>
      </c>
      <c r="V186" s="5">
        <f>data_origin!V225</f>
        <v>2.0277777777777777</v>
      </c>
      <c r="W186" s="5">
        <f>data_origin!W225</f>
        <v>1.8660714285714284</v>
      </c>
      <c r="X186" s="5">
        <f>data_origin!X225</f>
        <v>1.5538461538461539</v>
      </c>
      <c r="Y186" s="5">
        <f>data_origin!Y225</f>
        <v>0</v>
      </c>
      <c r="Z186" s="5">
        <f>data_origin!Z225</f>
        <v>0</v>
      </c>
      <c r="AA186" s="5">
        <f>data_origin!AA225</f>
        <v>0</v>
      </c>
      <c r="AB186" s="5">
        <f t="shared" si="26"/>
        <v>5.4476953601953602</v>
      </c>
      <c r="AH186" t="s">
        <v>88</v>
      </c>
      <c r="AI186" s="5">
        <f>data_origin!T2438</f>
        <v>0</v>
      </c>
      <c r="AJ186" s="5">
        <f>data_origin!U2438</f>
        <v>0</v>
      </c>
      <c r="AK186" s="5">
        <f>data_origin!V2438</f>
        <v>3.75</v>
      </c>
      <c r="AL186" s="5">
        <f>data_origin!W2438</f>
        <v>6.333333333333333</v>
      </c>
      <c r="AM186" s="5">
        <f>data_origin!X2438</f>
        <v>0</v>
      </c>
      <c r="AN186" s="5">
        <f>data_origin!Y2438</f>
        <v>0</v>
      </c>
      <c r="AO186" s="5">
        <f>data_origin!Z2438</f>
        <v>0</v>
      </c>
      <c r="AP186" s="5">
        <f>data_origin!AA2438</f>
        <v>0</v>
      </c>
      <c r="AQ186" s="9">
        <f t="shared" si="27"/>
        <v>10.083333333333332</v>
      </c>
      <c r="AV186" t="s">
        <v>88</v>
      </c>
      <c r="AW186" s="5">
        <f>data_origin!T3152</f>
        <v>0</v>
      </c>
      <c r="AX186" s="5">
        <f>data_origin!U3152</f>
        <v>0</v>
      </c>
      <c r="AY186" s="5">
        <f>data_origin!V3152</f>
        <v>1.25</v>
      </c>
      <c r="AZ186" s="5">
        <f>data_origin!W3152</f>
        <v>1</v>
      </c>
      <c r="BA186" s="5">
        <f>data_origin!X3152</f>
        <v>0</v>
      </c>
      <c r="BB186" s="5">
        <f>data_origin!Y3152</f>
        <v>0</v>
      </c>
      <c r="BC186" s="5">
        <f>data_origin!Z3152</f>
        <v>0</v>
      </c>
      <c r="BD186" s="5">
        <f>data_origin!AA3152</f>
        <v>0</v>
      </c>
      <c r="BE186" s="9">
        <f t="shared" si="28"/>
        <v>2.25</v>
      </c>
    </row>
    <row r="187" spans="4:57" x14ac:dyDescent="0.25">
      <c r="D187" t="s">
        <v>89</v>
      </c>
      <c r="E187" s="38">
        <f t="shared" si="30"/>
        <v>0</v>
      </c>
      <c r="F187" s="38">
        <f t="shared" si="30"/>
        <v>0</v>
      </c>
      <c r="G187" s="38">
        <f t="shared" si="30"/>
        <v>6.1310318768077385</v>
      </c>
      <c r="H187" s="38">
        <f t="shared" si="30"/>
        <v>5.6680737552302638</v>
      </c>
      <c r="I187" s="38">
        <f t="shared" si="30"/>
        <v>6.3261039713588456</v>
      </c>
      <c r="J187" s="38">
        <f t="shared" si="30"/>
        <v>0</v>
      </c>
      <c r="K187" s="38">
        <f t="shared" si="30"/>
        <v>0</v>
      </c>
      <c r="L187" s="38">
        <f t="shared" si="29"/>
        <v>0</v>
      </c>
      <c r="M187" s="38">
        <f t="shared" si="29"/>
        <v>18.122026917590158</v>
      </c>
      <c r="S187" t="s">
        <v>89</v>
      </c>
      <c r="T187" s="5">
        <f>data_origin!T226</f>
        <v>0</v>
      </c>
      <c r="U187" s="5">
        <f>data_origin!U226</f>
        <v>0</v>
      </c>
      <c r="V187" s="5">
        <f>data_origin!V226</f>
        <v>6.083333333333333</v>
      </c>
      <c r="W187" s="5">
        <f>data_origin!W226</f>
        <v>5.5982142857142856</v>
      </c>
      <c r="X187" s="5">
        <f>data_origin!X226</f>
        <v>6.2153846153846155</v>
      </c>
      <c r="Y187" s="5">
        <f>data_origin!Y226</f>
        <v>0</v>
      </c>
      <c r="Z187" s="5">
        <f>data_origin!Z226</f>
        <v>0</v>
      </c>
      <c r="AA187" s="5">
        <f>data_origin!AA226</f>
        <v>0</v>
      </c>
      <c r="AB187" s="5">
        <f t="shared" si="26"/>
        <v>17.896932234432235</v>
      </c>
      <c r="AH187" t="s">
        <v>89</v>
      </c>
      <c r="AI187" s="5">
        <f>data_origin!T2439</f>
        <v>0</v>
      </c>
      <c r="AJ187" s="5">
        <f>data_origin!U2439</f>
        <v>0</v>
      </c>
      <c r="AK187" s="5">
        <f>data_origin!V2439</f>
        <v>0</v>
      </c>
      <c r="AL187" s="5">
        <f>data_origin!W2439</f>
        <v>0</v>
      </c>
      <c r="AM187" s="5">
        <f>data_origin!X2439</f>
        <v>0</v>
      </c>
      <c r="AN187" s="5">
        <f>data_origin!Y2439</f>
        <v>0</v>
      </c>
      <c r="AO187" s="5">
        <f>data_origin!Z2439</f>
        <v>0</v>
      </c>
      <c r="AP187" s="5">
        <f>data_origin!AA2439</f>
        <v>0</v>
      </c>
      <c r="AQ187" s="9">
        <f t="shared" si="27"/>
        <v>0</v>
      </c>
      <c r="AV187" t="s">
        <v>89</v>
      </c>
      <c r="AW187" s="5">
        <f>data_origin!T3153</f>
        <v>0</v>
      </c>
      <c r="AX187" s="5">
        <f>data_origin!U3153</f>
        <v>0</v>
      </c>
      <c r="AY187" s="5">
        <f>data_origin!V3153</f>
        <v>0</v>
      </c>
      <c r="AZ187" s="5">
        <f>data_origin!W3153</f>
        <v>0</v>
      </c>
      <c r="BA187" s="5">
        <f>data_origin!X3153</f>
        <v>0</v>
      </c>
      <c r="BB187" s="5">
        <f>data_origin!Y3153</f>
        <v>0</v>
      </c>
      <c r="BC187" s="5">
        <f>data_origin!Z3153</f>
        <v>0</v>
      </c>
      <c r="BD187" s="5">
        <f>data_origin!AA3153</f>
        <v>0</v>
      </c>
      <c r="BE187" s="9">
        <f t="shared" si="28"/>
        <v>0</v>
      </c>
    </row>
    <row r="188" spans="4:57" x14ac:dyDescent="0.25">
      <c r="D188" t="s">
        <v>90</v>
      </c>
      <c r="E188" s="38">
        <f t="shared" si="30"/>
        <v>0</v>
      </c>
      <c r="F188" s="38">
        <f t="shared" si="30"/>
        <v>0</v>
      </c>
      <c r="G188" s="38">
        <f t="shared" si="30"/>
        <v>0</v>
      </c>
      <c r="H188" s="38">
        <f t="shared" si="30"/>
        <v>0</v>
      </c>
      <c r="I188" s="38">
        <f t="shared" si="30"/>
        <v>0</v>
      </c>
      <c r="J188" s="38">
        <f t="shared" si="30"/>
        <v>0</v>
      </c>
      <c r="K188" s="38">
        <f t="shared" si="30"/>
        <v>0</v>
      </c>
      <c r="L188" s="38">
        <f t="shared" si="29"/>
        <v>0</v>
      </c>
      <c r="M188" s="38">
        <f t="shared" si="29"/>
        <v>0</v>
      </c>
      <c r="S188" t="s">
        <v>90</v>
      </c>
      <c r="T188" s="5">
        <f>data_origin!T227</f>
        <v>0</v>
      </c>
      <c r="U188" s="5">
        <f>data_origin!U227</f>
        <v>0</v>
      </c>
      <c r="V188" s="5">
        <f>data_origin!V227</f>
        <v>0</v>
      </c>
      <c r="W188" s="5">
        <f>data_origin!W227</f>
        <v>0</v>
      </c>
      <c r="X188" s="5">
        <f>data_origin!X227</f>
        <v>0</v>
      </c>
      <c r="Y188" s="5">
        <f>data_origin!Y227</f>
        <v>0</v>
      </c>
      <c r="Z188" s="5">
        <f>data_origin!Z227</f>
        <v>0</v>
      </c>
      <c r="AA188" s="5">
        <f>data_origin!AA227</f>
        <v>0</v>
      </c>
      <c r="AB188" s="5">
        <f t="shared" si="26"/>
        <v>0</v>
      </c>
      <c r="AH188" t="s">
        <v>90</v>
      </c>
      <c r="AI188" s="5">
        <f>data_origin!T2440</f>
        <v>0</v>
      </c>
      <c r="AJ188" s="5">
        <f>data_origin!U2440</f>
        <v>0</v>
      </c>
      <c r="AK188" s="5">
        <f>data_origin!V2440</f>
        <v>0</v>
      </c>
      <c r="AL188" s="5">
        <f>data_origin!W2440</f>
        <v>0</v>
      </c>
      <c r="AM188" s="5">
        <f>data_origin!X2440</f>
        <v>0</v>
      </c>
      <c r="AN188" s="5">
        <f>data_origin!Y2440</f>
        <v>0</v>
      </c>
      <c r="AO188" s="5">
        <f>data_origin!Z2440</f>
        <v>0</v>
      </c>
      <c r="AP188" s="5">
        <f>data_origin!AA2440</f>
        <v>0</v>
      </c>
      <c r="AQ188" s="9">
        <f t="shared" si="27"/>
        <v>0</v>
      </c>
      <c r="AV188" t="s">
        <v>90</v>
      </c>
      <c r="AW188" s="5">
        <f>data_origin!T3154</f>
        <v>0</v>
      </c>
      <c r="AX188" s="5">
        <f>data_origin!U3154</f>
        <v>0</v>
      </c>
      <c r="AY188" s="5">
        <f>data_origin!V3154</f>
        <v>0</v>
      </c>
      <c r="AZ188" s="5">
        <f>data_origin!W3154</f>
        <v>0</v>
      </c>
      <c r="BA188" s="5">
        <f>data_origin!X3154</f>
        <v>0</v>
      </c>
      <c r="BB188" s="5">
        <f>data_origin!Y3154</f>
        <v>0</v>
      </c>
      <c r="BC188" s="5">
        <f>data_origin!Z3154</f>
        <v>0</v>
      </c>
      <c r="BD188" s="5">
        <f>data_origin!AA3154</f>
        <v>0</v>
      </c>
      <c r="BE188" s="9">
        <f t="shared" si="28"/>
        <v>0</v>
      </c>
    </row>
    <row r="189" spans="4:57" x14ac:dyDescent="0.25">
      <c r="D189" t="s">
        <v>91</v>
      </c>
      <c r="E189" s="38">
        <f t="shared" si="30"/>
        <v>0</v>
      </c>
      <c r="F189" s="38">
        <f t="shared" si="30"/>
        <v>0</v>
      </c>
      <c r="G189" s="38">
        <f t="shared" si="30"/>
        <v>0</v>
      </c>
      <c r="H189" s="38">
        <f t="shared" si="30"/>
        <v>0</v>
      </c>
      <c r="I189" s="38">
        <f t="shared" si="30"/>
        <v>0</v>
      </c>
      <c r="J189" s="38">
        <f t="shared" si="30"/>
        <v>0</v>
      </c>
      <c r="K189" s="38">
        <f t="shared" si="30"/>
        <v>0</v>
      </c>
      <c r="L189" s="38">
        <f t="shared" si="29"/>
        <v>0</v>
      </c>
      <c r="M189" s="38">
        <f t="shared" si="29"/>
        <v>0</v>
      </c>
      <c r="S189" t="s">
        <v>91</v>
      </c>
      <c r="T189" s="5">
        <f>data_origin!T228</f>
        <v>0</v>
      </c>
      <c r="U189" s="5">
        <f>data_origin!U228</f>
        <v>0</v>
      </c>
      <c r="V189" s="5">
        <f>data_origin!V228</f>
        <v>0</v>
      </c>
      <c r="W189" s="5">
        <f>data_origin!W228</f>
        <v>0</v>
      </c>
      <c r="X189" s="5">
        <f>data_origin!X228</f>
        <v>0</v>
      </c>
      <c r="Y189" s="5">
        <f>data_origin!Y228</f>
        <v>0</v>
      </c>
      <c r="Z189" s="5">
        <f>data_origin!Z228</f>
        <v>0</v>
      </c>
      <c r="AA189" s="5">
        <f>data_origin!AA228</f>
        <v>0</v>
      </c>
      <c r="AB189" s="5">
        <f t="shared" si="26"/>
        <v>0</v>
      </c>
      <c r="AH189" t="s">
        <v>91</v>
      </c>
      <c r="AI189" s="5">
        <f>data_origin!T2441</f>
        <v>0</v>
      </c>
      <c r="AJ189" s="5">
        <f>data_origin!U2441</f>
        <v>0</v>
      </c>
      <c r="AK189" s="5">
        <f>data_origin!V2441</f>
        <v>0</v>
      </c>
      <c r="AL189" s="5">
        <f>data_origin!W2441</f>
        <v>0</v>
      </c>
      <c r="AM189" s="5">
        <f>data_origin!X2441</f>
        <v>0</v>
      </c>
      <c r="AN189" s="5">
        <f>data_origin!Y2441</f>
        <v>0</v>
      </c>
      <c r="AO189" s="5">
        <f>data_origin!Z2441</f>
        <v>0</v>
      </c>
      <c r="AP189" s="5">
        <f>data_origin!AA2441</f>
        <v>0</v>
      </c>
      <c r="AQ189" s="9">
        <f t="shared" si="27"/>
        <v>0</v>
      </c>
      <c r="AV189" t="s">
        <v>91</v>
      </c>
      <c r="AW189" s="5">
        <f>data_origin!T3155</f>
        <v>0</v>
      </c>
      <c r="AX189" s="5">
        <f>data_origin!U3155</f>
        <v>0</v>
      </c>
      <c r="AY189" s="5">
        <f>data_origin!V3155</f>
        <v>0</v>
      </c>
      <c r="AZ189" s="5">
        <f>data_origin!W3155</f>
        <v>0</v>
      </c>
      <c r="BA189" s="5">
        <f>data_origin!X3155</f>
        <v>0</v>
      </c>
      <c r="BB189" s="5">
        <f>data_origin!Y3155</f>
        <v>0</v>
      </c>
      <c r="BC189" s="5">
        <f>data_origin!Z3155</f>
        <v>0</v>
      </c>
      <c r="BD189" s="5">
        <f>data_origin!AA3155</f>
        <v>0</v>
      </c>
      <c r="BE189" s="9">
        <f t="shared" si="28"/>
        <v>0</v>
      </c>
    </row>
    <row r="190" spans="4:57" x14ac:dyDescent="0.25">
      <c r="D190" t="s">
        <v>92</v>
      </c>
      <c r="E190" s="38">
        <f t="shared" si="30"/>
        <v>0</v>
      </c>
      <c r="F190" s="38">
        <f t="shared" si="30"/>
        <v>0</v>
      </c>
      <c r="G190" s="38">
        <f t="shared" si="30"/>
        <v>0</v>
      </c>
      <c r="H190" s="38">
        <f t="shared" si="30"/>
        <v>0</v>
      </c>
      <c r="I190" s="38">
        <f t="shared" si="30"/>
        <v>0</v>
      </c>
      <c r="J190" s="38">
        <f t="shared" si="30"/>
        <v>0</v>
      </c>
      <c r="K190" s="38">
        <f t="shared" si="30"/>
        <v>0</v>
      </c>
      <c r="L190" s="38">
        <f t="shared" si="29"/>
        <v>0</v>
      </c>
      <c r="M190" s="38">
        <f t="shared" si="29"/>
        <v>0</v>
      </c>
      <c r="S190" t="s">
        <v>92</v>
      </c>
      <c r="T190" s="5">
        <f>data_origin!T229</f>
        <v>0</v>
      </c>
      <c r="U190" s="5">
        <f>data_origin!U229</f>
        <v>0</v>
      </c>
      <c r="V190" s="5">
        <f>data_origin!V229</f>
        <v>0</v>
      </c>
      <c r="W190" s="5">
        <f>data_origin!W229</f>
        <v>0</v>
      </c>
      <c r="X190" s="5">
        <f>data_origin!X229</f>
        <v>0</v>
      </c>
      <c r="Y190" s="5">
        <f>data_origin!Y229</f>
        <v>0</v>
      </c>
      <c r="Z190" s="5">
        <f>data_origin!Z229</f>
        <v>0</v>
      </c>
      <c r="AA190" s="5">
        <f>data_origin!AA229</f>
        <v>0</v>
      </c>
      <c r="AB190" s="5">
        <f t="shared" si="26"/>
        <v>0</v>
      </c>
      <c r="AH190" t="s">
        <v>92</v>
      </c>
      <c r="AI190" s="5">
        <f>data_origin!T2442</f>
        <v>0</v>
      </c>
      <c r="AJ190" s="5">
        <f>data_origin!U2442</f>
        <v>0</v>
      </c>
      <c r="AK190" s="5">
        <f>data_origin!V2442</f>
        <v>0</v>
      </c>
      <c r="AL190" s="5">
        <f>data_origin!W2442</f>
        <v>0</v>
      </c>
      <c r="AM190" s="5">
        <f>data_origin!X2442</f>
        <v>0</v>
      </c>
      <c r="AN190" s="5">
        <f>data_origin!Y2442</f>
        <v>0</v>
      </c>
      <c r="AO190" s="5">
        <f>data_origin!Z2442</f>
        <v>0</v>
      </c>
      <c r="AP190" s="5">
        <f>data_origin!AA2442</f>
        <v>0</v>
      </c>
      <c r="AQ190" s="9">
        <f t="shared" si="27"/>
        <v>0</v>
      </c>
      <c r="AV190" t="s">
        <v>92</v>
      </c>
      <c r="AW190" s="5">
        <f>data_origin!T3156</f>
        <v>0</v>
      </c>
      <c r="AX190" s="5">
        <f>data_origin!U3156</f>
        <v>0</v>
      </c>
      <c r="AY190" s="5">
        <f>data_origin!V3156</f>
        <v>0</v>
      </c>
      <c r="AZ190" s="5">
        <f>data_origin!W3156</f>
        <v>0</v>
      </c>
      <c r="BA190" s="5">
        <f>data_origin!X3156</f>
        <v>0</v>
      </c>
      <c r="BB190" s="5">
        <f>data_origin!Y3156</f>
        <v>0</v>
      </c>
      <c r="BC190" s="5">
        <f>data_origin!Z3156</f>
        <v>0</v>
      </c>
      <c r="BD190" s="5">
        <f>data_origin!AA3156</f>
        <v>0</v>
      </c>
      <c r="BE190" s="9">
        <f t="shared" si="28"/>
        <v>0</v>
      </c>
    </row>
    <row r="191" spans="4:57" x14ac:dyDescent="0.25">
      <c r="D191" t="s">
        <v>93</v>
      </c>
      <c r="E191" s="38">
        <f t="shared" si="30"/>
        <v>0</v>
      </c>
      <c r="F191" s="38">
        <f t="shared" si="30"/>
        <v>0</v>
      </c>
      <c r="G191" s="38">
        <f t="shared" si="30"/>
        <v>0</v>
      </c>
      <c r="H191" s="38">
        <f t="shared" si="30"/>
        <v>0</v>
      </c>
      <c r="I191" s="38">
        <f t="shared" si="30"/>
        <v>0</v>
      </c>
      <c r="J191" s="38">
        <f t="shared" si="30"/>
        <v>0</v>
      </c>
      <c r="K191" s="38">
        <f t="shared" si="30"/>
        <v>0</v>
      </c>
      <c r="L191" s="38">
        <f t="shared" si="29"/>
        <v>0</v>
      </c>
      <c r="M191" s="38">
        <f t="shared" si="29"/>
        <v>0</v>
      </c>
      <c r="S191" t="s">
        <v>93</v>
      </c>
      <c r="T191" s="5">
        <f>data_origin!T230</f>
        <v>0</v>
      </c>
      <c r="U191" s="5">
        <f>data_origin!U230</f>
        <v>0</v>
      </c>
      <c r="V191" s="5">
        <f>data_origin!V230</f>
        <v>0</v>
      </c>
      <c r="W191" s="5">
        <f>data_origin!W230</f>
        <v>0</v>
      </c>
      <c r="X191" s="5">
        <f>data_origin!X230</f>
        <v>0</v>
      </c>
      <c r="Y191" s="5">
        <f>data_origin!Y230</f>
        <v>0</v>
      </c>
      <c r="Z191" s="5">
        <f>data_origin!Z230</f>
        <v>0</v>
      </c>
      <c r="AA191" s="5">
        <f>data_origin!AA230</f>
        <v>0</v>
      </c>
      <c r="AB191" s="5">
        <f t="shared" si="26"/>
        <v>0</v>
      </c>
      <c r="AH191" t="s">
        <v>93</v>
      </c>
      <c r="AI191" s="5">
        <f>data_origin!T2443</f>
        <v>0</v>
      </c>
      <c r="AJ191" s="5">
        <f>data_origin!U2443</f>
        <v>0</v>
      </c>
      <c r="AK191" s="5">
        <f>data_origin!V2443</f>
        <v>0</v>
      </c>
      <c r="AL191" s="5">
        <f>data_origin!W2443</f>
        <v>0</v>
      </c>
      <c r="AM191" s="5">
        <f>data_origin!X2443</f>
        <v>0</v>
      </c>
      <c r="AN191" s="5">
        <f>data_origin!Y2443</f>
        <v>0</v>
      </c>
      <c r="AO191" s="5">
        <f>data_origin!Z2443</f>
        <v>0</v>
      </c>
      <c r="AP191" s="5">
        <f>data_origin!AA2443</f>
        <v>0</v>
      </c>
      <c r="AQ191" s="9">
        <f t="shared" si="27"/>
        <v>0</v>
      </c>
      <c r="AV191" t="s">
        <v>93</v>
      </c>
      <c r="AW191" s="5">
        <f>data_origin!T3157</f>
        <v>0</v>
      </c>
      <c r="AX191" s="5">
        <f>data_origin!U3157</f>
        <v>0</v>
      </c>
      <c r="AY191" s="5">
        <f>data_origin!V3157</f>
        <v>0</v>
      </c>
      <c r="AZ191" s="5">
        <f>data_origin!W3157</f>
        <v>0</v>
      </c>
      <c r="BA191" s="5">
        <f>data_origin!X3157</f>
        <v>0</v>
      </c>
      <c r="BB191" s="5">
        <f>data_origin!Y3157</f>
        <v>0</v>
      </c>
      <c r="BC191" s="5">
        <f>data_origin!Z3157</f>
        <v>0</v>
      </c>
      <c r="BD191" s="5">
        <f>data_origin!AA3157</f>
        <v>0</v>
      </c>
      <c r="BE191" s="9">
        <f t="shared" si="28"/>
        <v>0</v>
      </c>
    </row>
    <row r="192" spans="4:57" x14ac:dyDescent="0.25">
      <c r="D192" t="s">
        <v>94</v>
      </c>
      <c r="E192" s="38">
        <f t="shared" si="30"/>
        <v>0</v>
      </c>
      <c r="F192" s="38">
        <f t="shared" si="30"/>
        <v>0</v>
      </c>
      <c r="G192" s="38">
        <f t="shared" si="30"/>
        <v>0</v>
      </c>
      <c r="H192" s="38">
        <f t="shared" si="30"/>
        <v>0</v>
      </c>
      <c r="I192" s="38">
        <f t="shared" si="30"/>
        <v>0</v>
      </c>
      <c r="J192" s="38">
        <f t="shared" si="30"/>
        <v>0</v>
      </c>
      <c r="K192" s="38">
        <f t="shared" si="30"/>
        <v>0</v>
      </c>
      <c r="L192" s="38">
        <f t="shared" si="29"/>
        <v>0</v>
      </c>
      <c r="M192" s="38">
        <f t="shared" si="29"/>
        <v>0</v>
      </c>
      <c r="S192" t="s">
        <v>94</v>
      </c>
      <c r="T192" s="5">
        <f>data_origin!T231</f>
        <v>0</v>
      </c>
      <c r="U192" s="5">
        <f>data_origin!U231</f>
        <v>0</v>
      </c>
      <c r="V192" s="5">
        <f>data_origin!V231</f>
        <v>0</v>
      </c>
      <c r="W192" s="5">
        <f>data_origin!W231</f>
        <v>0</v>
      </c>
      <c r="X192" s="5">
        <f>data_origin!X231</f>
        <v>0</v>
      </c>
      <c r="Y192" s="5">
        <f>data_origin!Y231</f>
        <v>0</v>
      </c>
      <c r="Z192" s="5">
        <f>data_origin!Z231</f>
        <v>0</v>
      </c>
      <c r="AA192" s="5">
        <f>data_origin!AA231</f>
        <v>0</v>
      </c>
      <c r="AB192" s="5">
        <f t="shared" si="26"/>
        <v>0</v>
      </c>
      <c r="AH192" t="s">
        <v>94</v>
      </c>
      <c r="AI192" s="5">
        <f>data_origin!T2444</f>
        <v>0</v>
      </c>
      <c r="AJ192" s="5">
        <f>data_origin!U2444</f>
        <v>0</v>
      </c>
      <c r="AK192" s="5">
        <f>data_origin!V2444</f>
        <v>0</v>
      </c>
      <c r="AL192" s="5">
        <f>data_origin!W2444</f>
        <v>0</v>
      </c>
      <c r="AM192" s="5">
        <f>data_origin!X2444</f>
        <v>0</v>
      </c>
      <c r="AN192" s="5">
        <f>data_origin!Y2444</f>
        <v>0</v>
      </c>
      <c r="AO192" s="5">
        <f>data_origin!Z2444</f>
        <v>0</v>
      </c>
      <c r="AP192" s="5">
        <f>data_origin!AA2444</f>
        <v>0</v>
      </c>
      <c r="AQ192" s="9">
        <f t="shared" si="27"/>
        <v>0</v>
      </c>
      <c r="AV192" t="s">
        <v>94</v>
      </c>
      <c r="AW192" s="5">
        <f>data_origin!T3158</f>
        <v>0</v>
      </c>
      <c r="AX192" s="5">
        <f>data_origin!U3158</f>
        <v>0</v>
      </c>
      <c r="AY192" s="5">
        <f>data_origin!V3158</f>
        <v>0</v>
      </c>
      <c r="AZ192" s="5">
        <f>data_origin!W3158</f>
        <v>0</v>
      </c>
      <c r="BA192" s="5">
        <f>data_origin!X3158</f>
        <v>0</v>
      </c>
      <c r="BB192" s="5">
        <f>data_origin!Y3158</f>
        <v>0</v>
      </c>
      <c r="BC192" s="5">
        <f>data_origin!Z3158</f>
        <v>0</v>
      </c>
      <c r="BD192" s="5">
        <f>data_origin!AA3158</f>
        <v>0</v>
      </c>
      <c r="BE192" s="9">
        <f t="shared" si="28"/>
        <v>0</v>
      </c>
    </row>
    <row r="193" spans="1:58" x14ac:dyDescent="0.25">
      <c r="D193" t="s">
        <v>95</v>
      </c>
      <c r="E193" s="38">
        <f t="shared" si="30"/>
        <v>0</v>
      </c>
      <c r="F193" s="38">
        <f t="shared" si="30"/>
        <v>0</v>
      </c>
      <c r="G193" s="38">
        <f t="shared" si="30"/>
        <v>0</v>
      </c>
      <c r="H193" s="38">
        <f t="shared" si="30"/>
        <v>0</v>
      </c>
      <c r="I193" s="38">
        <f t="shared" si="30"/>
        <v>0</v>
      </c>
      <c r="J193" s="38">
        <f t="shared" si="30"/>
        <v>0</v>
      </c>
      <c r="K193" s="38">
        <f t="shared" si="30"/>
        <v>0</v>
      </c>
      <c r="L193" s="38">
        <f t="shared" si="29"/>
        <v>0</v>
      </c>
      <c r="M193" s="38">
        <f t="shared" si="29"/>
        <v>0</v>
      </c>
      <c r="S193" t="s">
        <v>95</v>
      </c>
      <c r="T193" s="5">
        <f>data_origin!T232</f>
        <v>0</v>
      </c>
      <c r="U193" s="5">
        <f>data_origin!U232</f>
        <v>0</v>
      </c>
      <c r="V193" s="5">
        <f>data_origin!V232</f>
        <v>0</v>
      </c>
      <c r="W193" s="5">
        <f>data_origin!W232</f>
        <v>0</v>
      </c>
      <c r="X193" s="5">
        <f>data_origin!X232</f>
        <v>0</v>
      </c>
      <c r="Y193" s="5">
        <f>data_origin!Y232</f>
        <v>0</v>
      </c>
      <c r="Z193" s="5">
        <f>data_origin!Z232</f>
        <v>0</v>
      </c>
      <c r="AA193" s="5">
        <f>data_origin!AA232</f>
        <v>0</v>
      </c>
      <c r="AB193" s="5">
        <f t="shared" si="26"/>
        <v>0</v>
      </c>
      <c r="AH193" t="s">
        <v>95</v>
      </c>
      <c r="AI193" s="5">
        <f>data_origin!T2445</f>
        <v>0</v>
      </c>
      <c r="AJ193" s="5">
        <f>data_origin!U2445</f>
        <v>0</v>
      </c>
      <c r="AK193" s="5">
        <f>data_origin!V2445</f>
        <v>0</v>
      </c>
      <c r="AL193" s="5">
        <f>data_origin!W2445</f>
        <v>0</v>
      </c>
      <c r="AM193" s="5">
        <f>data_origin!X2445</f>
        <v>0</v>
      </c>
      <c r="AN193" s="5">
        <f>data_origin!Y2445</f>
        <v>0</v>
      </c>
      <c r="AO193" s="5">
        <f>data_origin!Z2445</f>
        <v>0</v>
      </c>
      <c r="AP193" s="5">
        <f>data_origin!AA2445</f>
        <v>0</v>
      </c>
      <c r="AQ193" s="9">
        <f t="shared" si="27"/>
        <v>0</v>
      </c>
      <c r="AV193" t="s">
        <v>95</v>
      </c>
      <c r="AW193" s="5">
        <f>data_origin!T3159</f>
        <v>0</v>
      </c>
      <c r="AX193" s="5">
        <f>data_origin!U3159</f>
        <v>0</v>
      </c>
      <c r="AY193" s="5">
        <f>data_origin!V3159</f>
        <v>0</v>
      </c>
      <c r="AZ193" s="5">
        <f>data_origin!W3159</f>
        <v>0</v>
      </c>
      <c r="BA193" s="5">
        <f>data_origin!X3159</f>
        <v>0</v>
      </c>
      <c r="BB193" s="5">
        <f>data_origin!Y3159</f>
        <v>0</v>
      </c>
      <c r="BC193" s="5">
        <f>data_origin!Z3159</f>
        <v>0</v>
      </c>
      <c r="BD193" s="5">
        <f>data_origin!AA3159</f>
        <v>0</v>
      </c>
      <c r="BE193" s="9">
        <f t="shared" si="28"/>
        <v>0</v>
      </c>
    </row>
    <row r="194" spans="1:58" x14ac:dyDescent="0.25">
      <c r="D194" t="s">
        <v>96</v>
      </c>
      <c r="E194" s="38">
        <f t="shared" si="30"/>
        <v>0</v>
      </c>
      <c r="F194" s="38">
        <f t="shared" si="30"/>
        <v>0</v>
      </c>
      <c r="G194" s="38">
        <f t="shared" si="30"/>
        <v>0</v>
      </c>
      <c r="H194" s="38">
        <f t="shared" si="30"/>
        <v>0</v>
      </c>
      <c r="I194" s="38">
        <f t="shared" si="30"/>
        <v>0</v>
      </c>
      <c r="J194" s="38">
        <f t="shared" si="30"/>
        <v>0</v>
      </c>
      <c r="K194" s="38">
        <f t="shared" si="30"/>
        <v>0</v>
      </c>
      <c r="L194" s="38">
        <f t="shared" si="29"/>
        <v>0</v>
      </c>
      <c r="M194" s="38">
        <f t="shared" si="29"/>
        <v>0</v>
      </c>
      <c r="S194" t="s">
        <v>96</v>
      </c>
      <c r="T194" s="5">
        <f>data_origin!T233</f>
        <v>0</v>
      </c>
      <c r="U194" s="5">
        <f>data_origin!U233</f>
        <v>0</v>
      </c>
      <c r="V194" s="5">
        <f>data_origin!V233</f>
        <v>0</v>
      </c>
      <c r="W194" s="5">
        <f>data_origin!W233</f>
        <v>0</v>
      </c>
      <c r="X194" s="5">
        <f>data_origin!X233</f>
        <v>0</v>
      </c>
      <c r="Y194" s="5">
        <f>data_origin!Y233</f>
        <v>0</v>
      </c>
      <c r="Z194" s="5">
        <f>data_origin!Z233</f>
        <v>0</v>
      </c>
      <c r="AA194" s="5">
        <f>data_origin!AA233</f>
        <v>0</v>
      </c>
      <c r="AB194" s="5">
        <f t="shared" si="26"/>
        <v>0</v>
      </c>
      <c r="AH194" t="s">
        <v>96</v>
      </c>
      <c r="AI194" s="5">
        <f>data_origin!T2446</f>
        <v>0</v>
      </c>
      <c r="AJ194" s="5">
        <f>data_origin!U2446</f>
        <v>0</v>
      </c>
      <c r="AK194" s="5">
        <f>data_origin!V2446</f>
        <v>0</v>
      </c>
      <c r="AL194" s="5">
        <f>data_origin!W2446</f>
        <v>1.2666666666666666</v>
      </c>
      <c r="AM194" s="5">
        <f>data_origin!X2446</f>
        <v>0</v>
      </c>
      <c r="AN194" s="5">
        <f>data_origin!Y2446</f>
        <v>0</v>
      </c>
      <c r="AO194" s="5">
        <f>data_origin!Z2446</f>
        <v>0</v>
      </c>
      <c r="AP194" s="5">
        <f>data_origin!AA2446</f>
        <v>0</v>
      </c>
      <c r="AQ194" s="9">
        <f t="shared" si="27"/>
        <v>1.2666666666666666</v>
      </c>
      <c r="AV194" t="s">
        <v>96</v>
      </c>
      <c r="AW194" s="5">
        <f>data_origin!T3160</f>
        <v>0</v>
      </c>
      <c r="AX194" s="5">
        <f>data_origin!U3160</f>
        <v>0</v>
      </c>
      <c r="AY194" s="5">
        <f>data_origin!V3160</f>
        <v>0</v>
      </c>
      <c r="AZ194" s="5">
        <f>data_origin!W3160</f>
        <v>0</v>
      </c>
      <c r="BA194" s="5">
        <f>data_origin!X3160</f>
        <v>0</v>
      </c>
      <c r="BB194" s="5">
        <f>data_origin!Y3160</f>
        <v>0</v>
      </c>
      <c r="BC194" s="5">
        <f>data_origin!Z3160</f>
        <v>0</v>
      </c>
      <c r="BD194" s="5">
        <f>data_origin!AA3160</f>
        <v>0</v>
      </c>
      <c r="BE194" s="9">
        <f t="shared" si="28"/>
        <v>0</v>
      </c>
    </row>
    <row r="195" spans="1:58" x14ac:dyDescent="0.25">
      <c r="D195" t="s">
        <v>97</v>
      </c>
      <c r="E195" s="38">
        <f t="shared" si="30"/>
        <v>0</v>
      </c>
      <c r="F195" s="38">
        <f t="shared" si="30"/>
        <v>0</v>
      </c>
      <c r="G195" s="38">
        <f t="shared" si="30"/>
        <v>2.0436772922692459</v>
      </c>
      <c r="H195" s="38">
        <f t="shared" si="30"/>
        <v>1.8893579184100879</v>
      </c>
      <c r="I195" s="38">
        <f t="shared" si="30"/>
        <v>0</v>
      </c>
      <c r="J195" s="38">
        <f t="shared" si="30"/>
        <v>0</v>
      </c>
      <c r="K195" s="38">
        <f t="shared" si="30"/>
        <v>0</v>
      </c>
      <c r="L195" s="38">
        <f t="shared" si="29"/>
        <v>0</v>
      </c>
      <c r="M195" s="38">
        <f t="shared" si="29"/>
        <v>3.9428232283707914</v>
      </c>
      <c r="S195" t="s">
        <v>97</v>
      </c>
      <c r="T195" s="5">
        <f>data_origin!T234</f>
        <v>0</v>
      </c>
      <c r="U195" s="5">
        <f>data_origin!U234</f>
        <v>0</v>
      </c>
      <c r="V195" s="5">
        <f>data_origin!V234</f>
        <v>2.0277777777777777</v>
      </c>
      <c r="W195" s="5">
        <f>data_origin!W234</f>
        <v>1.8660714285714284</v>
      </c>
      <c r="X195" s="5">
        <f>data_origin!X234</f>
        <v>0</v>
      </c>
      <c r="Y195" s="5">
        <f>data_origin!Y234</f>
        <v>0</v>
      </c>
      <c r="Z195" s="5">
        <f>data_origin!Z234</f>
        <v>0</v>
      </c>
      <c r="AA195" s="5">
        <f>data_origin!AA234</f>
        <v>0</v>
      </c>
      <c r="AB195" s="5">
        <f t="shared" si="26"/>
        <v>3.8938492063492061</v>
      </c>
      <c r="AH195" t="s">
        <v>97</v>
      </c>
      <c r="AI195" s="5">
        <f>data_origin!T2447</f>
        <v>0</v>
      </c>
      <c r="AJ195" s="5">
        <f>data_origin!U2447</f>
        <v>0</v>
      </c>
      <c r="AK195" s="5">
        <f>data_origin!V2447</f>
        <v>0</v>
      </c>
      <c r="AL195" s="5">
        <f>data_origin!W2447</f>
        <v>0</v>
      </c>
      <c r="AM195" s="5">
        <f>data_origin!X2447</f>
        <v>0</v>
      </c>
      <c r="AN195" s="5">
        <f>data_origin!Y2447</f>
        <v>0</v>
      </c>
      <c r="AO195" s="5">
        <f>data_origin!Z2447</f>
        <v>0</v>
      </c>
      <c r="AP195" s="5">
        <f>data_origin!AA2447</f>
        <v>0</v>
      </c>
      <c r="AQ195" s="9">
        <f t="shared" si="27"/>
        <v>0</v>
      </c>
      <c r="AV195" t="s">
        <v>97</v>
      </c>
      <c r="AW195" s="5">
        <f>data_origin!T3161</f>
        <v>0</v>
      </c>
      <c r="AX195" s="5">
        <f>data_origin!U3161</f>
        <v>0</v>
      </c>
      <c r="AY195" s="5">
        <f>data_origin!V3161</f>
        <v>0</v>
      </c>
      <c r="AZ195" s="5">
        <f>data_origin!W3161</f>
        <v>0</v>
      </c>
      <c r="BA195" s="5">
        <f>data_origin!X3161</f>
        <v>0</v>
      </c>
      <c r="BB195" s="5">
        <f>data_origin!Y3161</f>
        <v>0</v>
      </c>
      <c r="BC195" s="5">
        <f>data_origin!Z3161</f>
        <v>0</v>
      </c>
      <c r="BD195" s="5">
        <f>data_origin!AA3161</f>
        <v>0</v>
      </c>
      <c r="BE195" s="9">
        <f t="shared" si="28"/>
        <v>0</v>
      </c>
    </row>
    <row r="196" spans="1:58" x14ac:dyDescent="0.25">
      <c r="D196" t="s">
        <v>119</v>
      </c>
      <c r="E196" s="38">
        <f t="shared" si="30"/>
        <v>0</v>
      </c>
      <c r="F196" s="38">
        <f t="shared" si="30"/>
        <v>0</v>
      </c>
      <c r="G196" s="38">
        <f t="shared" si="30"/>
        <v>0</v>
      </c>
      <c r="H196" s="38">
        <f t="shared" si="30"/>
        <v>3.7787158368201759</v>
      </c>
      <c r="I196" s="38">
        <f t="shared" si="30"/>
        <v>1.5815259928397114</v>
      </c>
      <c r="J196" s="38">
        <f t="shared" si="30"/>
        <v>0</v>
      </c>
      <c r="K196" s="38">
        <f t="shared" si="30"/>
        <v>0</v>
      </c>
      <c r="L196" s="38">
        <f t="shared" si="29"/>
        <v>0</v>
      </c>
      <c r="M196" s="38">
        <f t="shared" si="29"/>
        <v>5.3524723616559839</v>
      </c>
      <c r="S196" t="s">
        <v>119</v>
      </c>
      <c r="T196" s="5">
        <f>data_origin!T235</f>
        <v>0</v>
      </c>
      <c r="U196" s="5">
        <f>data_origin!U235</f>
        <v>0</v>
      </c>
      <c r="V196" s="5">
        <f>data_origin!V235</f>
        <v>0</v>
      </c>
      <c r="W196" s="5">
        <f>data_origin!W235</f>
        <v>3.7321428571428568</v>
      </c>
      <c r="X196" s="5">
        <f>data_origin!X235</f>
        <v>1.5538461538461539</v>
      </c>
      <c r="Y196" s="5">
        <f>data_origin!Y235</f>
        <v>0</v>
      </c>
      <c r="Z196" s="5">
        <f>data_origin!Z235</f>
        <v>0</v>
      </c>
      <c r="AA196" s="5">
        <f>data_origin!AA235</f>
        <v>0</v>
      </c>
      <c r="AB196" s="5">
        <f t="shared" si="26"/>
        <v>5.2859890109890104</v>
      </c>
      <c r="AH196" t="s">
        <v>98</v>
      </c>
      <c r="AI196" s="5">
        <f>data_origin!T2448</f>
        <v>0</v>
      </c>
      <c r="AJ196" s="5">
        <f>data_origin!U2448</f>
        <v>0</v>
      </c>
      <c r="AK196" s="5">
        <f>data_origin!V2448</f>
        <v>0</v>
      </c>
      <c r="AL196" s="5">
        <f>data_origin!W2448</f>
        <v>0</v>
      </c>
      <c r="AM196" s="5">
        <f>data_origin!X2448</f>
        <v>0</v>
      </c>
      <c r="AN196" s="5">
        <f>data_origin!Y2448</f>
        <v>0</v>
      </c>
      <c r="AO196" s="5">
        <f>data_origin!Z2448</f>
        <v>0</v>
      </c>
      <c r="AP196" s="5">
        <f>data_origin!AA2448</f>
        <v>0</v>
      </c>
      <c r="AQ196" s="9">
        <f t="shared" si="27"/>
        <v>0</v>
      </c>
      <c r="AV196" t="s">
        <v>98</v>
      </c>
      <c r="AW196" s="5">
        <f>data_origin!T3162</f>
        <v>0</v>
      </c>
      <c r="AX196" s="5">
        <f>data_origin!U3162</f>
        <v>0</v>
      </c>
      <c r="AY196" s="5">
        <f>data_origin!V3162</f>
        <v>0</v>
      </c>
      <c r="AZ196" s="5">
        <f>data_origin!W3162</f>
        <v>0</v>
      </c>
      <c r="BA196" s="5">
        <f>data_origin!X3162</f>
        <v>0</v>
      </c>
      <c r="BB196" s="5">
        <f>data_origin!Y3162</f>
        <v>0</v>
      </c>
      <c r="BC196" s="5">
        <f>data_origin!Z3162</f>
        <v>0</v>
      </c>
      <c r="BD196" s="5">
        <f>data_origin!AA3162</f>
        <v>0</v>
      </c>
      <c r="BE196" s="9">
        <f t="shared" si="28"/>
        <v>0</v>
      </c>
    </row>
    <row r="197" spans="1:58" x14ac:dyDescent="0.25">
      <c r="D197" t="s">
        <v>98</v>
      </c>
      <c r="E197" s="38">
        <f t="shared" si="30"/>
        <v>0</v>
      </c>
      <c r="F197" s="38">
        <f t="shared" si="30"/>
        <v>0</v>
      </c>
      <c r="G197" s="38">
        <f t="shared" si="30"/>
        <v>0</v>
      </c>
      <c r="H197" s="38">
        <f t="shared" si="30"/>
        <v>0</v>
      </c>
      <c r="I197" s="38">
        <f t="shared" si="30"/>
        <v>0</v>
      </c>
      <c r="J197" s="38">
        <f t="shared" si="30"/>
        <v>0</v>
      </c>
      <c r="K197" s="38">
        <f t="shared" si="30"/>
        <v>0</v>
      </c>
      <c r="L197" s="38">
        <f t="shared" si="29"/>
        <v>0</v>
      </c>
      <c r="M197" s="38">
        <f t="shared" si="29"/>
        <v>0</v>
      </c>
      <c r="S197" t="s">
        <v>98</v>
      </c>
      <c r="T197" s="5">
        <f>data_origin!T236</f>
        <v>0</v>
      </c>
      <c r="U197" s="5">
        <f>data_origin!U236</f>
        <v>0</v>
      </c>
      <c r="V197" s="5">
        <f>data_origin!V236</f>
        <v>0</v>
      </c>
      <c r="W197" s="5">
        <f>data_origin!W236</f>
        <v>0</v>
      </c>
      <c r="X197" s="5">
        <f>data_origin!X236</f>
        <v>0</v>
      </c>
      <c r="Y197" s="5">
        <f>data_origin!Y236</f>
        <v>0</v>
      </c>
      <c r="Z197" s="5">
        <f>data_origin!Z236</f>
        <v>0</v>
      </c>
      <c r="AA197" s="5">
        <f>data_origin!AA236</f>
        <v>0</v>
      </c>
      <c r="AB197" s="5">
        <f t="shared" si="26"/>
        <v>0</v>
      </c>
      <c r="AH197" t="s">
        <v>119</v>
      </c>
      <c r="AI197" s="5">
        <f>data_origin!T2449</f>
        <v>0</v>
      </c>
      <c r="AJ197" s="5">
        <f>data_origin!U2449</f>
        <v>0</v>
      </c>
      <c r="AK197" s="5">
        <f>data_origin!V2449</f>
        <v>0</v>
      </c>
      <c r="AL197" s="5">
        <f>data_origin!W2449</f>
        <v>0</v>
      </c>
      <c r="AM197" s="5">
        <f>data_origin!X2449</f>
        <v>0</v>
      </c>
      <c r="AN197" s="5">
        <f>data_origin!Y2449</f>
        <v>0</v>
      </c>
      <c r="AO197" s="5">
        <f>data_origin!Z2449</f>
        <v>0</v>
      </c>
      <c r="AP197" s="5">
        <f>data_origin!AA2449</f>
        <v>0</v>
      </c>
      <c r="AQ197" s="9">
        <f t="shared" si="27"/>
        <v>0</v>
      </c>
      <c r="AV197" t="s">
        <v>119</v>
      </c>
      <c r="AW197" s="5">
        <f>data_origin!T3163</f>
        <v>0</v>
      </c>
      <c r="AX197" s="5">
        <f>data_origin!U3163</f>
        <v>0</v>
      </c>
      <c r="AY197" s="5">
        <f>data_origin!V3163</f>
        <v>0</v>
      </c>
      <c r="AZ197" s="5">
        <f>data_origin!W3163</f>
        <v>0</v>
      </c>
      <c r="BA197" s="5">
        <f>data_origin!X3163</f>
        <v>0</v>
      </c>
      <c r="BB197" s="5">
        <f>data_origin!Y3163</f>
        <v>0</v>
      </c>
      <c r="BC197" s="5">
        <f>data_origin!Z3163</f>
        <v>0</v>
      </c>
      <c r="BD197" s="5">
        <f>data_origin!AA3163</f>
        <v>0</v>
      </c>
      <c r="BE197" s="9">
        <f t="shared" si="28"/>
        <v>0</v>
      </c>
    </row>
    <row r="198" spans="1:58" x14ac:dyDescent="0.25">
      <c r="D198" t="s">
        <v>99</v>
      </c>
      <c r="E198" s="38">
        <f t="shared" si="30"/>
        <v>0</v>
      </c>
      <c r="F198" s="38">
        <f t="shared" si="30"/>
        <v>0</v>
      </c>
      <c r="G198" s="38">
        <f t="shared" si="30"/>
        <v>0</v>
      </c>
      <c r="H198" s="38">
        <f t="shared" si="30"/>
        <v>0</v>
      </c>
      <c r="I198" s="38">
        <f t="shared" si="30"/>
        <v>0</v>
      </c>
      <c r="J198" s="38">
        <f t="shared" si="30"/>
        <v>0</v>
      </c>
      <c r="K198" s="38">
        <f t="shared" si="30"/>
        <v>0</v>
      </c>
      <c r="L198" s="38">
        <f t="shared" si="29"/>
        <v>0</v>
      </c>
      <c r="M198" s="38">
        <f t="shared" si="29"/>
        <v>0</v>
      </c>
      <c r="S198" t="s">
        <v>99</v>
      </c>
      <c r="T198" s="5">
        <f>data_origin!T237</f>
        <v>0</v>
      </c>
      <c r="U198" s="5">
        <f>data_origin!U237</f>
        <v>0</v>
      </c>
      <c r="V198" s="5">
        <f>data_origin!V237</f>
        <v>0</v>
      </c>
      <c r="W198" s="5">
        <f>data_origin!W237</f>
        <v>0</v>
      </c>
      <c r="X198" s="5">
        <f>data_origin!X237</f>
        <v>0</v>
      </c>
      <c r="Y198" s="5">
        <f>data_origin!Y237</f>
        <v>0</v>
      </c>
      <c r="Z198" s="5">
        <f>data_origin!Z237</f>
        <v>0</v>
      </c>
      <c r="AA198" s="5">
        <f>data_origin!AA237</f>
        <v>0</v>
      </c>
      <c r="AB198" s="5">
        <f t="shared" si="26"/>
        <v>0</v>
      </c>
      <c r="AH198" t="s">
        <v>99</v>
      </c>
      <c r="AI198" s="5">
        <f>data_origin!T2450</f>
        <v>0</v>
      </c>
      <c r="AJ198" s="5">
        <f>data_origin!U2450</f>
        <v>0</v>
      </c>
      <c r="AK198" s="5">
        <f>data_origin!V2450</f>
        <v>1.25</v>
      </c>
      <c r="AL198" s="5">
        <f>data_origin!W2450</f>
        <v>1.2666666666666666</v>
      </c>
      <c r="AM198" s="5">
        <f>data_origin!X2450</f>
        <v>0</v>
      </c>
      <c r="AN198" s="5">
        <f>data_origin!Y2450</f>
        <v>0</v>
      </c>
      <c r="AO198" s="5">
        <f>data_origin!Z2450</f>
        <v>0</v>
      </c>
      <c r="AP198" s="5">
        <f>data_origin!AA2450</f>
        <v>0</v>
      </c>
      <c r="AQ198" s="9">
        <f t="shared" si="27"/>
        <v>2.5166666666666666</v>
      </c>
      <c r="AV198" t="s">
        <v>99</v>
      </c>
      <c r="AW198" s="5">
        <f>data_origin!T3164</f>
        <v>0</v>
      </c>
      <c r="AX198" s="5">
        <f>data_origin!U3164</f>
        <v>0</v>
      </c>
      <c r="AY198" s="5">
        <f>data_origin!V3164</f>
        <v>1.25</v>
      </c>
      <c r="AZ198" s="5">
        <f>data_origin!W3164</f>
        <v>0</v>
      </c>
      <c r="BA198" s="5">
        <f>data_origin!X3164</f>
        <v>0</v>
      </c>
      <c r="BB198" s="5">
        <f>data_origin!Y3164</f>
        <v>0</v>
      </c>
      <c r="BC198" s="5">
        <f>data_origin!Z3164</f>
        <v>0</v>
      </c>
      <c r="BD198" s="5">
        <f>data_origin!AA3164</f>
        <v>0</v>
      </c>
      <c r="BE198" s="9">
        <f t="shared" si="28"/>
        <v>1.25</v>
      </c>
    </row>
    <row r="199" spans="1:58" x14ac:dyDescent="0.25">
      <c r="D199" t="s">
        <v>100</v>
      </c>
      <c r="E199" s="38">
        <f t="shared" si="30"/>
        <v>0</v>
      </c>
      <c r="F199" s="38">
        <f t="shared" si="30"/>
        <v>0</v>
      </c>
      <c r="G199" s="38">
        <f t="shared" si="30"/>
        <v>156.24989215977718</v>
      </c>
      <c r="H199" s="38">
        <f t="shared" si="30"/>
        <v>244.89399485731616</v>
      </c>
      <c r="I199" s="38">
        <f t="shared" si="30"/>
        <v>115.8713647275604</v>
      </c>
      <c r="J199" s="38">
        <f t="shared" si="30"/>
        <v>7.1449149154209195</v>
      </c>
      <c r="K199" s="38">
        <f t="shared" si="30"/>
        <v>0</v>
      </c>
      <c r="L199" s="38">
        <f t="shared" si="29"/>
        <v>0</v>
      </c>
      <c r="M199" s="38">
        <f t="shared" si="29"/>
        <v>524.26477522326081</v>
      </c>
      <c r="S199" t="s">
        <v>100</v>
      </c>
      <c r="T199" s="5">
        <f>data_origin!T238</f>
        <v>0</v>
      </c>
      <c r="U199" s="5">
        <f>data_origin!U238</f>
        <v>0</v>
      </c>
      <c r="V199" s="5">
        <f>data_origin!V238</f>
        <v>129.77777777777777</v>
      </c>
      <c r="W199" s="5">
        <f>data_origin!W238</f>
        <v>190.33928571428572</v>
      </c>
      <c r="X199" s="5">
        <f>data_origin!X238</f>
        <v>90.123076923076923</v>
      </c>
      <c r="Y199" s="5">
        <f>data_origin!Y238</f>
        <v>7</v>
      </c>
      <c r="Z199" s="5">
        <f>data_origin!Z238</f>
        <v>0</v>
      </c>
      <c r="AA199" s="5">
        <f>data_origin!AA238</f>
        <v>0</v>
      </c>
      <c r="AB199" s="5">
        <f t="shared" si="26"/>
        <v>417.24014041514044</v>
      </c>
      <c r="AH199" t="s">
        <v>100</v>
      </c>
      <c r="AI199" s="5">
        <f>data_origin!T2451</f>
        <v>0</v>
      </c>
      <c r="AJ199" s="5">
        <f>data_origin!U2451</f>
        <v>0</v>
      </c>
      <c r="AK199" s="5">
        <f>data_origin!V2451</f>
        <v>0</v>
      </c>
      <c r="AL199" s="5">
        <f>data_origin!W2451</f>
        <v>0</v>
      </c>
      <c r="AM199" s="5">
        <f>data_origin!X2451</f>
        <v>1</v>
      </c>
      <c r="AN199" s="5">
        <f>data_origin!Y2451</f>
        <v>0</v>
      </c>
      <c r="AO199" s="5">
        <f>data_origin!Z2451</f>
        <v>0</v>
      </c>
      <c r="AP199" s="5">
        <f>data_origin!AA2451</f>
        <v>0</v>
      </c>
      <c r="AQ199" s="9">
        <f t="shared" si="27"/>
        <v>1</v>
      </c>
      <c r="AV199" t="s">
        <v>100</v>
      </c>
      <c r="AW199" s="5">
        <f>data_origin!T3165</f>
        <v>0</v>
      </c>
      <c r="AX199" s="5">
        <f>data_origin!U3165</f>
        <v>0</v>
      </c>
      <c r="AY199" s="5">
        <f>data_origin!V3165</f>
        <v>0</v>
      </c>
      <c r="AZ199" s="5">
        <f>data_origin!W3165</f>
        <v>2</v>
      </c>
      <c r="BA199" s="5">
        <f>data_origin!X3165</f>
        <v>0</v>
      </c>
      <c r="BB199" s="5">
        <f>data_origin!Y3165</f>
        <v>0</v>
      </c>
      <c r="BC199" s="5">
        <f>data_origin!Z3165</f>
        <v>0</v>
      </c>
      <c r="BD199" s="5">
        <f>data_origin!AA3165</f>
        <v>0</v>
      </c>
      <c r="BE199" s="9">
        <f t="shared" si="28"/>
        <v>2</v>
      </c>
    </row>
    <row r="200" spans="1:58" x14ac:dyDescent="0.25">
      <c r="D200" t="s">
        <v>101</v>
      </c>
      <c r="E200" s="38">
        <f t="shared" si="30"/>
        <v>0</v>
      </c>
      <c r="F200" s="38">
        <f t="shared" si="30"/>
        <v>0</v>
      </c>
      <c r="G200" s="38">
        <f t="shared" si="30"/>
        <v>4.0873545845384918</v>
      </c>
      <c r="H200" s="38">
        <f t="shared" si="30"/>
        <v>0</v>
      </c>
      <c r="I200" s="38">
        <f t="shared" si="30"/>
        <v>0</v>
      </c>
      <c r="J200" s="38">
        <f t="shared" si="30"/>
        <v>0</v>
      </c>
      <c r="K200" s="38">
        <f t="shared" si="30"/>
        <v>0</v>
      </c>
      <c r="L200" s="38">
        <f t="shared" si="29"/>
        <v>0</v>
      </c>
      <c r="M200" s="38">
        <f t="shared" si="29"/>
        <v>4.106563403205044</v>
      </c>
      <c r="N200" s="5">
        <f>SUM(M168:M200)</f>
        <v>577.82327948371005</v>
      </c>
      <c r="S200" t="s">
        <v>101</v>
      </c>
      <c r="T200" s="5">
        <f>data_origin!T239</f>
        <v>0</v>
      </c>
      <c r="U200" s="5">
        <f>data_origin!U239</f>
        <v>0</v>
      </c>
      <c r="V200" s="5">
        <f>data_origin!V239</f>
        <v>4.0555555555555554</v>
      </c>
      <c r="W200" s="5">
        <f>data_origin!W239</f>
        <v>0</v>
      </c>
      <c r="X200" s="5">
        <f>data_origin!X239</f>
        <v>0</v>
      </c>
      <c r="Y200" s="5">
        <f>data_origin!Y239</f>
        <v>0</v>
      </c>
      <c r="Z200" s="5">
        <f>data_origin!Z239</f>
        <v>0</v>
      </c>
      <c r="AA200" s="5">
        <f>data_origin!AA239</f>
        <v>0</v>
      </c>
      <c r="AB200" s="5">
        <f t="shared" si="26"/>
        <v>4.0555555555555554</v>
      </c>
      <c r="AC200" s="5">
        <f>SUM(AB168:AB200)</f>
        <v>463</v>
      </c>
      <c r="AH200" t="s">
        <v>101</v>
      </c>
      <c r="AI200" s="5">
        <f>data_origin!T2452</f>
        <v>0</v>
      </c>
      <c r="AJ200" s="5">
        <f>data_origin!U2452</f>
        <v>0</v>
      </c>
      <c r="AK200" s="5">
        <f>data_origin!V2452</f>
        <v>1.25</v>
      </c>
      <c r="AL200" s="5">
        <f>data_origin!W2452</f>
        <v>2.5333333333333332</v>
      </c>
      <c r="AM200" s="5">
        <f>data_origin!X2452</f>
        <v>0</v>
      </c>
      <c r="AN200" s="5">
        <f>data_origin!Y2452</f>
        <v>0</v>
      </c>
      <c r="AO200" s="5">
        <f>data_origin!Z2452</f>
        <v>0</v>
      </c>
      <c r="AP200" s="5">
        <f>data_origin!AA2452</f>
        <v>0</v>
      </c>
      <c r="AQ200" s="9">
        <f t="shared" si="27"/>
        <v>3.7833333333333332</v>
      </c>
      <c r="AR200" s="5">
        <f>SUM(AQ168:AQ200)</f>
        <v>31.999999999999993</v>
      </c>
      <c r="AV200" t="s">
        <v>101</v>
      </c>
      <c r="AW200" s="5">
        <f>data_origin!T3166</f>
        <v>0</v>
      </c>
      <c r="AX200" s="5">
        <f>data_origin!U3166</f>
        <v>0</v>
      </c>
      <c r="AY200" s="5">
        <f>data_origin!V3166</f>
        <v>0</v>
      </c>
      <c r="AZ200" s="5">
        <f>data_origin!W3166</f>
        <v>0</v>
      </c>
      <c r="BA200" s="5">
        <f>data_origin!X3166</f>
        <v>0</v>
      </c>
      <c r="BB200" s="5">
        <f>data_origin!Y3166</f>
        <v>0</v>
      </c>
      <c r="BC200" s="5">
        <f>data_origin!Z3166</f>
        <v>0</v>
      </c>
      <c r="BD200" s="5">
        <f>data_origin!AA3166</f>
        <v>0</v>
      </c>
      <c r="BE200" s="9">
        <f t="shared" si="28"/>
        <v>0</v>
      </c>
      <c r="BF200" s="9">
        <f>SUM(BE168:BE200)</f>
        <v>8</v>
      </c>
    </row>
    <row r="201" spans="1:58" x14ac:dyDescent="0.25">
      <c r="A201" s="23" t="s">
        <v>104</v>
      </c>
      <c r="B201" s="23" t="s">
        <v>103</v>
      </c>
      <c r="C201" s="23" t="s">
        <v>111</v>
      </c>
      <c r="D201" t="s">
        <v>70</v>
      </c>
      <c r="E201" s="38">
        <f t="shared" si="30"/>
        <v>0</v>
      </c>
      <c r="F201" s="38">
        <f t="shared" si="30"/>
        <v>0</v>
      </c>
      <c r="G201" s="38">
        <f t="shared" si="30"/>
        <v>1.1160169770119805</v>
      </c>
      <c r="H201" s="38">
        <f t="shared" si="30"/>
        <v>12.535174166317979</v>
      </c>
      <c r="I201" s="38">
        <f t="shared" si="30"/>
        <v>6.6922760214908124</v>
      </c>
      <c r="J201" s="38">
        <f t="shared" si="30"/>
        <v>0</v>
      </c>
      <c r="K201" s="38">
        <f t="shared" si="30"/>
        <v>0</v>
      </c>
      <c r="L201" s="38">
        <f t="shared" si="29"/>
        <v>0</v>
      </c>
      <c r="M201" s="35">
        <f t="shared" ref="M201:M264" si="31">SUM(E201:L201)</f>
        <v>20.343467164820773</v>
      </c>
      <c r="P201" t="s">
        <v>104</v>
      </c>
      <c r="Q201" t="s">
        <v>103</v>
      </c>
      <c r="R201" t="s">
        <v>111</v>
      </c>
      <c r="S201" t="s">
        <v>70</v>
      </c>
      <c r="T201" s="5">
        <f>data_origin!T241</f>
        <v>0</v>
      </c>
      <c r="U201" s="5">
        <f>data_origin!U241</f>
        <v>0</v>
      </c>
      <c r="V201" s="5">
        <f>data_origin!V241</f>
        <v>1.1073345259391771</v>
      </c>
      <c r="W201" s="5">
        <f>data_origin!W241</f>
        <v>12.380677126341865</v>
      </c>
      <c r="X201" s="5">
        <f>data_origin!X241</f>
        <v>6.5751479289940828</v>
      </c>
      <c r="Y201" s="5">
        <f>data_origin!Y241</f>
        <v>0</v>
      </c>
      <c r="Z201" s="5">
        <f>data_origin!Z241</f>
        <v>0</v>
      </c>
      <c r="AA201" s="5">
        <f>data_origin!AA241</f>
        <v>0</v>
      </c>
      <c r="AB201" s="5">
        <f t="shared" si="26"/>
        <v>20.063159581275123</v>
      </c>
      <c r="AE201" t="s">
        <v>104</v>
      </c>
      <c r="AF201" t="s">
        <v>116</v>
      </c>
      <c r="AG201" s="28" t="s">
        <v>132</v>
      </c>
      <c r="AH201" t="s">
        <v>70</v>
      </c>
      <c r="AI201" s="5">
        <f>data_origin!T2488</f>
        <v>0</v>
      </c>
      <c r="AJ201" s="5">
        <f>data_origin!U2488</f>
        <v>0</v>
      </c>
      <c r="AK201" s="5">
        <f>data_origin!V2488</f>
        <v>0</v>
      </c>
      <c r="AL201" s="5">
        <f>data_origin!W2488</f>
        <v>0</v>
      </c>
      <c r="AM201" s="5">
        <f>data_origin!X2488</f>
        <v>0</v>
      </c>
      <c r="AN201" s="5">
        <f>data_origin!Y2488</f>
        <v>0</v>
      </c>
      <c r="AO201" s="5">
        <f>data_origin!Z2488</f>
        <v>0</v>
      </c>
      <c r="AP201" s="5">
        <f>data_origin!AA2488</f>
        <v>0</v>
      </c>
      <c r="AQ201" s="9">
        <f t="shared" si="27"/>
        <v>0</v>
      </c>
      <c r="AS201" t="s">
        <v>115</v>
      </c>
      <c r="AT201" t="s">
        <v>116</v>
      </c>
      <c r="AU201" s="28" t="s">
        <v>132</v>
      </c>
      <c r="AV201" t="s">
        <v>70</v>
      </c>
      <c r="AW201" s="5">
        <f>data_origin!T3202</f>
        <v>0</v>
      </c>
      <c r="AX201" s="5">
        <f>data_origin!U3202</f>
        <v>0</v>
      </c>
      <c r="AY201" s="5">
        <f>data_origin!V3202</f>
        <v>0</v>
      </c>
      <c r="AZ201" s="5">
        <f>data_origin!W3202</f>
        <v>0</v>
      </c>
      <c r="BA201" s="5">
        <f>data_origin!X3202</f>
        <v>0</v>
      </c>
      <c r="BB201" s="5">
        <f>data_origin!Y3202</f>
        <v>0</v>
      </c>
      <c r="BC201" s="5">
        <f>data_origin!Z3202</f>
        <v>0</v>
      </c>
      <c r="BD201" s="5">
        <f>data_origin!AA3202</f>
        <v>0</v>
      </c>
      <c r="BE201" s="9">
        <f t="shared" si="28"/>
        <v>0</v>
      </c>
    </row>
    <row r="202" spans="1:58" x14ac:dyDescent="0.25">
      <c r="D202" t="s">
        <v>71</v>
      </c>
      <c r="E202" s="38">
        <f t="shared" si="30"/>
        <v>0</v>
      </c>
      <c r="F202" s="38">
        <f t="shared" si="30"/>
        <v>0</v>
      </c>
      <c r="G202" s="38">
        <f t="shared" si="30"/>
        <v>21.204322563227624</v>
      </c>
      <c r="H202" s="38">
        <f t="shared" si="30"/>
        <v>46.722012801730649</v>
      </c>
      <c r="I202" s="38">
        <f t="shared" si="30"/>
        <v>12.269172706066492</v>
      </c>
      <c r="J202" s="38">
        <f t="shared" si="30"/>
        <v>2.3362737659947768</v>
      </c>
      <c r="K202" s="38">
        <f t="shared" si="30"/>
        <v>0</v>
      </c>
      <c r="L202" s="38">
        <f t="shared" si="29"/>
        <v>0</v>
      </c>
      <c r="M202" s="35">
        <f t="shared" si="31"/>
        <v>82.531781837019537</v>
      </c>
      <c r="S202" t="s">
        <v>71</v>
      </c>
      <c r="T202" s="5">
        <f>data_origin!T242</f>
        <v>0</v>
      </c>
      <c r="U202" s="5">
        <f>data_origin!U242</f>
        <v>0</v>
      </c>
      <c r="V202" s="5">
        <f>data_origin!V242</f>
        <v>21.039355992844364</v>
      </c>
      <c r="W202" s="5">
        <f>data_origin!W242</f>
        <v>46.146160198183317</v>
      </c>
      <c r="X202" s="5">
        <f>data_origin!X242</f>
        <v>12.054437869822486</v>
      </c>
      <c r="Y202" s="5">
        <f>data_origin!Y242</f>
        <v>2.2888888888888888</v>
      </c>
      <c r="Z202" s="5">
        <f>data_origin!Z242</f>
        <v>0</v>
      </c>
      <c r="AA202" s="5">
        <f>data_origin!AA242</f>
        <v>0</v>
      </c>
      <c r="AB202" s="5">
        <f t="shared" si="26"/>
        <v>81.528842949739072</v>
      </c>
      <c r="AH202" t="s">
        <v>71</v>
      </c>
      <c r="AI202" s="5">
        <f>data_origin!T2489</f>
        <v>0</v>
      </c>
      <c r="AJ202" s="5">
        <f>data_origin!U2489</f>
        <v>0</v>
      </c>
      <c r="AK202" s="5">
        <f>data_origin!V2489</f>
        <v>0</v>
      </c>
      <c r="AL202" s="5">
        <f>data_origin!W2489</f>
        <v>0</v>
      </c>
      <c r="AM202" s="5">
        <f>data_origin!X2489</f>
        <v>0</v>
      </c>
      <c r="AN202" s="5">
        <f>data_origin!Y2489</f>
        <v>0</v>
      </c>
      <c r="AO202" s="5">
        <f>data_origin!Z2489</f>
        <v>0</v>
      </c>
      <c r="AP202" s="5">
        <f>data_origin!AA2489</f>
        <v>0</v>
      </c>
      <c r="AQ202" s="9">
        <f t="shared" si="27"/>
        <v>0</v>
      </c>
      <c r="AV202" t="s">
        <v>71</v>
      </c>
      <c r="AW202" s="5">
        <f>data_origin!T3203</f>
        <v>0</v>
      </c>
      <c r="AX202" s="5">
        <f>data_origin!U3203</f>
        <v>0</v>
      </c>
      <c r="AY202" s="5">
        <f>data_origin!V3203</f>
        <v>0</v>
      </c>
      <c r="AZ202" s="5">
        <f>data_origin!W3203</f>
        <v>0</v>
      </c>
      <c r="BA202" s="5">
        <f>data_origin!X3203</f>
        <v>0</v>
      </c>
      <c r="BB202" s="5">
        <f>data_origin!Y3203</f>
        <v>0</v>
      </c>
      <c r="BC202" s="5">
        <f>data_origin!Z3203</f>
        <v>0</v>
      </c>
      <c r="BD202" s="5">
        <f>data_origin!AA3203</f>
        <v>0</v>
      </c>
      <c r="BE202" s="9">
        <f t="shared" si="28"/>
        <v>0</v>
      </c>
    </row>
    <row r="203" spans="1:58" x14ac:dyDescent="0.25">
      <c r="D203" t="s">
        <v>72</v>
      </c>
      <c r="E203" s="38">
        <f t="shared" si="30"/>
        <v>0</v>
      </c>
      <c r="F203" s="38">
        <f t="shared" si="30"/>
        <v>0</v>
      </c>
      <c r="G203" s="38">
        <f t="shared" si="30"/>
        <v>32.364492333347435</v>
      </c>
      <c r="H203" s="38">
        <f t="shared" si="30"/>
        <v>76.350606285754978</v>
      </c>
      <c r="I203" s="38">
        <f t="shared" si="30"/>
        <v>80.307312257889748</v>
      </c>
      <c r="J203" s="38">
        <f t="shared" si="30"/>
        <v>5.8406844149869421</v>
      </c>
      <c r="K203" s="38">
        <f t="shared" si="30"/>
        <v>0</v>
      </c>
      <c r="L203" s="38">
        <f t="shared" si="29"/>
        <v>0</v>
      </c>
      <c r="M203" s="35">
        <f t="shared" si="31"/>
        <v>194.86309529197911</v>
      </c>
      <c r="S203" t="s">
        <v>72</v>
      </c>
      <c r="T203" s="5">
        <f>data_origin!T243</f>
        <v>0</v>
      </c>
      <c r="U203" s="5">
        <f>data_origin!U243</f>
        <v>0</v>
      </c>
      <c r="V203" s="5">
        <f>data_origin!V243</f>
        <v>32.112701252236135</v>
      </c>
      <c r="W203" s="5">
        <f>data_origin!W243</f>
        <v>75.409578860445919</v>
      </c>
      <c r="X203" s="5">
        <f>data_origin!X243</f>
        <v>78.901775147928987</v>
      </c>
      <c r="Y203" s="5">
        <f>data_origin!Y243</f>
        <v>5.7222222222222223</v>
      </c>
      <c r="Z203" s="5">
        <f>data_origin!Z243</f>
        <v>0</v>
      </c>
      <c r="AA203" s="5">
        <f>data_origin!AA243</f>
        <v>0</v>
      </c>
      <c r="AB203" s="5">
        <f t="shared" si="26"/>
        <v>192.14627748283328</v>
      </c>
      <c r="AH203" t="s">
        <v>72</v>
      </c>
      <c r="AI203" s="5">
        <f>data_origin!T2490</f>
        <v>0</v>
      </c>
      <c r="AJ203" s="5">
        <f>data_origin!U2490</f>
        <v>0</v>
      </c>
      <c r="AK203" s="5">
        <f>data_origin!V2490</f>
        <v>0</v>
      </c>
      <c r="AL203" s="5">
        <f>data_origin!W2490</f>
        <v>0</v>
      </c>
      <c r="AM203" s="5">
        <f>data_origin!X2490</f>
        <v>0</v>
      </c>
      <c r="AN203" s="5">
        <f>data_origin!Y2490</f>
        <v>0</v>
      </c>
      <c r="AO203" s="5">
        <f>data_origin!Z2490</f>
        <v>0</v>
      </c>
      <c r="AP203" s="5">
        <f>data_origin!AA2490</f>
        <v>0</v>
      </c>
      <c r="AQ203" s="9">
        <f t="shared" si="27"/>
        <v>0</v>
      </c>
      <c r="AV203" t="s">
        <v>72</v>
      </c>
      <c r="AW203" s="5">
        <f>data_origin!T3204</f>
        <v>0</v>
      </c>
      <c r="AX203" s="5">
        <f>data_origin!U3204</f>
        <v>0</v>
      </c>
      <c r="AY203" s="5">
        <f>data_origin!V3204</f>
        <v>0</v>
      </c>
      <c r="AZ203" s="5">
        <f>data_origin!W3204</f>
        <v>0</v>
      </c>
      <c r="BA203" s="5">
        <f>data_origin!X3204</f>
        <v>0</v>
      </c>
      <c r="BB203" s="5">
        <f>data_origin!Y3204</f>
        <v>0</v>
      </c>
      <c r="BC203" s="5">
        <f>data_origin!Z3204</f>
        <v>0</v>
      </c>
      <c r="BD203" s="5">
        <f>data_origin!AA3204</f>
        <v>0</v>
      </c>
      <c r="BE203" s="9">
        <f t="shared" si="28"/>
        <v>0</v>
      </c>
    </row>
    <row r="204" spans="1:58" x14ac:dyDescent="0.25">
      <c r="D204" t="s">
        <v>73</v>
      </c>
      <c r="E204" s="38">
        <f t="shared" si="30"/>
        <v>0</v>
      </c>
      <c r="F204" s="38">
        <f t="shared" si="30"/>
        <v>0</v>
      </c>
      <c r="G204" s="38">
        <f t="shared" si="30"/>
        <v>5.5800848850599021</v>
      </c>
      <c r="H204" s="38">
        <f t="shared" ref="H204:L260" si="32">W204+AL72+IFERROR((W204/SUM(W$3:W$992)*AL$630),0)+IFERROR((W204/SUM(W$135:W$332,W$465:W$662,W$795:W$992)*AL$732),0)</f>
        <v>13.67473545416507</v>
      </c>
      <c r="I204" s="38">
        <f t="shared" si="32"/>
        <v>12.269172706066492</v>
      </c>
      <c r="J204" s="38">
        <f t="shared" si="32"/>
        <v>0</v>
      </c>
      <c r="K204" s="38">
        <f t="shared" si="32"/>
        <v>0</v>
      </c>
      <c r="L204" s="38">
        <f t="shared" si="29"/>
        <v>0</v>
      </c>
      <c r="M204" s="35">
        <f t="shared" si="31"/>
        <v>31.523993045291462</v>
      </c>
      <c r="S204" t="s">
        <v>73</v>
      </c>
      <c r="T204" s="5">
        <f>data_origin!T244</f>
        <v>0</v>
      </c>
      <c r="U204" s="5">
        <f>data_origin!U244</f>
        <v>0</v>
      </c>
      <c r="V204" s="5">
        <f>data_origin!V244</f>
        <v>5.5366726296958859</v>
      </c>
      <c r="W204" s="5">
        <f>data_origin!W244</f>
        <v>13.506193228736581</v>
      </c>
      <c r="X204" s="5">
        <f>data_origin!X244</f>
        <v>12.054437869822486</v>
      </c>
      <c r="Y204" s="5">
        <f>data_origin!Y244</f>
        <v>0</v>
      </c>
      <c r="Z204" s="5">
        <f>data_origin!Z244</f>
        <v>0</v>
      </c>
      <c r="AA204" s="5">
        <f>data_origin!AA244</f>
        <v>0</v>
      </c>
      <c r="AB204" s="5">
        <f t="shared" si="26"/>
        <v>31.097303728254953</v>
      </c>
      <c r="AH204" t="s">
        <v>73</v>
      </c>
      <c r="AI204" s="5">
        <f>data_origin!T2491</f>
        <v>0</v>
      </c>
      <c r="AJ204" s="5">
        <f>data_origin!U2491</f>
        <v>0</v>
      </c>
      <c r="AK204" s="5">
        <f>data_origin!V2491</f>
        <v>0</v>
      </c>
      <c r="AL204" s="5">
        <f>data_origin!W2491</f>
        <v>0</v>
      </c>
      <c r="AM204" s="5">
        <f>data_origin!X2491</f>
        <v>0</v>
      </c>
      <c r="AN204" s="5">
        <f>data_origin!Y2491</f>
        <v>0</v>
      </c>
      <c r="AO204" s="5">
        <f>data_origin!Z2491</f>
        <v>0</v>
      </c>
      <c r="AP204" s="5">
        <f>data_origin!AA2491</f>
        <v>0</v>
      </c>
      <c r="AQ204" s="9">
        <f t="shared" si="27"/>
        <v>0</v>
      </c>
      <c r="AV204" t="s">
        <v>73</v>
      </c>
      <c r="AW204" s="5">
        <f>data_origin!T3205</f>
        <v>0</v>
      </c>
      <c r="AX204" s="5">
        <f>data_origin!U3205</f>
        <v>0</v>
      </c>
      <c r="AY204" s="5">
        <f>data_origin!V3205</f>
        <v>0</v>
      </c>
      <c r="AZ204" s="5">
        <f>data_origin!W3205</f>
        <v>0</v>
      </c>
      <c r="BA204" s="5">
        <f>data_origin!X3205</f>
        <v>0</v>
      </c>
      <c r="BB204" s="5">
        <f>data_origin!Y3205</f>
        <v>0</v>
      </c>
      <c r="BC204" s="5">
        <f>data_origin!Z3205</f>
        <v>0</v>
      </c>
      <c r="BD204" s="5">
        <f>data_origin!AA3205</f>
        <v>0</v>
      </c>
      <c r="BE204" s="9">
        <f t="shared" si="28"/>
        <v>0</v>
      </c>
    </row>
    <row r="205" spans="1:58" x14ac:dyDescent="0.25">
      <c r="D205" t="s">
        <v>74</v>
      </c>
      <c r="E205" s="38">
        <f t="shared" ref="E205:I268" si="33">T205+AI73+IFERROR((T205/SUM(T$3:T$992)*AI$630),0)+IFERROR((T205/SUM(T$135:T$332,T$465:T$662,T$795:T$992)*AI$732),0)</f>
        <v>0</v>
      </c>
      <c r="F205" s="38">
        <f t="shared" si="33"/>
        <v>0</v>
      </c>
      <c r="G205" s="38">
        <f t="shared" si="33"/>
        <v>7.8121188390838627</v>
      </c>
      <c r="H205" s="38">
        <f t="shared" si="32"/>
        <v>46.722012801730649</v>
      </c>
      <c r="I205" s="38">
        <f t="shared" si="32"/>
        <v>65.807380877992983</v>
      </c>
      <c r="J205" s="38">
        <f t="shared" si="32"/>
        <v>14.017642595968661</v>
      </c>
      <c r="K205" s="38">
        <f t="shared" si="32"/>
        <v>2.0373134328358211</v>
      </c>
      <c r="L205" s="38">
        <f t="shared" si="29"/>
        <v>0</v>
      </c>
      <c r="M205" s="35">
        <f t="shared" si="31"/>
        <v>136.39646854761196</v>
      </c>
      <c r="S205" t="s">
        <v>74</v>
      </c>
      <c r="T205" s="5">
        <f>data_origin!T245</f>
        <v>0</v>
      </c>
      <c r="U205" s="5">
        <f>data_origin!U245</f>
        <v>0</v>
      </c>
      <c r="V205" s="5">
        <f>data_origin!V245</f>
        <v>7.7513416815742398</v>
      </c>
      <c r="W205" s="5">
        <f>data_origin!W245</f>
        <v>46.146160198183317</v>
      </c>
      <c r="X205" s="5">
        <f>data_origin!X245</f>
        <v>64.655621301775142</v>
      </c>
      <c r="Y205" s="5">
        <f>data_origin!Y245</f>
        <v>13.733333333333334</v>
      </c>
      <c r="Z205" s="5">
        <f>data_origin!Z245</f>
        <v>2</v>
      </c>
      <c r="AA205" s="5">
        <f>data_origin!AA245</f>
        <v>0</v>
      </c>
      <c r="AB205" s="5">
        <f t="shared" si="26"/>
        <v>134.28645651486602</v>
      </c>
      <c r="AH205" t="s">
        <v>74</v>
      </c>
      <c r="AI205" s="5">
        <f>data_origin!T2492</f>
        <v>0</v>
      </c>
      <c r="AJ205" s="5">
        <f>data_origin!U2492</f>
        <v>0</v>
      </c>
      <c r="AK205" s="5">
        <f>data_origin!V2492</f>
        <v>0</v>
      </c>
      <c r="AL205" s="5">
        <f>data_origin!W2492</f>
        <v>0</v>
      </c>
      <c r="AM205" s="5">
        <f>data_origin!X2492</f>
        <v>0</v>
      </c>
      <c r="AN205" s="5">
        <f>data_origin!Y2492</f>
        <v>0</v>
      </c>
      <c r="AO205" s="5">
        <f>data_origin!Z2492</f>
        <v>0</v>
      </c>
      <c r="AP205" s="5">
        <f>data_origin!AA2492</f>
        <v>0</v>
      </c>
      <c r="AQ205" s="9">
        <f t="shared" si="27"/>
        <v>0</v>
      </c>
      <c r="AV205" t="s">
        <v>74</v>
      </c>
      <c r="AW205" s="5">
        <f>data_origin!T3206</f>
        <v>0</v>
      </c>
      <c r="AX205" s="5">
        <f>data_origin!U3206</f>
        <v>0</v>
      </c>
      <c r="AY205" s="5">
        <f>data_origin!V3206</f>
        <v>0</v>
      </c>
      <c r="AZ205" s="5">
        <f>data_origin!W3206</f>
        <v>0</v>
      </c>
      <c r="BA205" s="5">
        <f>data_origin!X3206</f>
        <v>0</v>
      </c>
      <c r="BB205" s="5">
        <f>data_origin!Y3206</f>
        <v>0</v>
      </c>
      <c r="BC205" s="5">
        <f>data_origin!Z3206</f>
        <v>0</v>
      </c>
      <c r="BD205" s="5">
        <f>data_origin!AA3206</f>
        <v>0</v>
      </c>
      <c r="BE205" s="9">
        <f t="shared" si="28"/>
        <v>0</v>
      </c>
    </row>
    <row r="206" spans="1:58" x14ac:dyDescent="0.25">
      <c r="D206" t="s">
        <v>75</v>
      </c>
      <c r="E206" s="38">
        <f t="shared" si="33"/>
        <v>0</v>
      </c>
      <c r="F206" s="38">
        <f t="shared" si="33"/>
        <v>0</v>
      </c>
      <c r="G206" s="38">
        <f t="shared" si="33"/>
        <v>1.1160169770119805</v>
      </c>
      <c r="H206" s="38">
        <f t="shared" si="32"/>
        <v>15.953858029859248</v>
      </c>
      <c r="I206" s="38">
        <f t="shared" si="32"/>
        <v>7.807655358405948</v>
      </c>
      <c r="J206" s="38">
        <f t="shared" si="32"/>
        <v>1.1681368829973884</v>
      </c>
      <c r="K206" s="38">
        <f t="shared" si="32"/>
        <v>0</v>
      </c>
      <c r="L206" s="38">
        <f t="shared" si="29"/>
        <v>0</v>
      </c>
      <c r="M206" s="35">
        <f t="shared" si="31"/>
        <v>26.045667248274565</v>
      </c>
      <c r="S206" t="s">
        <v>75</v>
      </c>
      <c r="T206" s="5">
        <f>data_origin!T246</f>
        <v>0</v>
      </c>
      <c r="U206" s="5">
        <f>data_origin!U246</f>
        <v>0</v>
      </c>
      <c r="V206" s="5">
        <f>data_origin!V246</f>
        <v>1.1073345259391771</v>
      </c>
      <c r="W206" s="5">
        <f>data_origin!W246</f>
        <v>15.757225433526012</v>
      </c>
      <c r="X206" s="5">
        <f>data_origin!X246</f>
        <v>7.6710059171597633</v>
      </c>
      <c r="Y206" s="5">
        <f>data_origin!Y246</f>
        <v>1.1444444444444444</v>
      </c>
      <c r="Z206" s="5">
        <f>data_origin!Z246</f>
        <v>0</v>
      </c>
      <c r="AA206" s="5">
        <f>data_origin!AA246</f>
        <v>0</v>
      </c>
      <c r="AB206" s="5">
        <f t="shared" si="26"/>
        <v>25.6800103210694</v>
      </c>
      <c r="AH206" t="s">
        <v>75</v>
      </c>
      <c r="AI206" s="5">
        <f>data_origin!T2493</f>
        <v>0</v>
      </c>
      <c r="AJ206" s="5">
        <f>data_origin!U2493</f>
        <v>0</v>
      </c>
      <c r="AK206" s="5">
        <f>data_origin!V2493</f>
        <v>0</v>
      </c>
      <c r="AL206" s="5">
        <f>data_origin!W2493</f>
        <v>0</v>
      </c>
      <c r="AM206" s="5">
        <f>data_origin!X2493</f>
        <v>0</v>
      </c>
      <c r="AN206" s="5">
        <f>data_origin!Y2493</f>
        <v>0</v>
      </c>
      <c r="AO206" s="5">
        <f>data_origin!Z2493</f>
        <v>0</v>
      </c>
      <c r="AP206" s="5">
        <f>data_origin!AA2493</f>
        <v>0</v>
      </c>
      <c r="AQ206" s="9">
        <f t="shared" si="27"/>
        <v>0</v>
      </c>
      <c r="AV206" t="s">
        <v>75</v>
      </c>
      <c r="AW206" s="5">
        <f>data_origin!T3207</f>
        <v>0</v>
      </c>
      <c r="AX206" s="5">
        <f>data_origin!U3207</f>
        <v>0</v>
      </c>
      <c r="AY206" s="5">
        <f>data_origin!V3207</f>
        <v>0</v>
      </c>
      <c r="AZ206" s="5">
        <f>data_origin!W3207</f>
        <v>0</v>
      </c>
      <c r="BA206" s="5">
        <f>data_origin!X3207</f>
        <v>0</v>
      </c>
      <c r="BB206" s="5">
        <f>data_origin!Y3207</f>
        <v>0</v>
      </c>
      <c r="BC206" s="5">
        <f>data_origin!Z3207</f>
        <v>0</v>
      </c>
      <c r="BD206" s="5">
        <f>data_origin!AA3207</f>
        <v>0</v>
      </c>
      <c r="BE206" s="9">
        <f t="shared" si="28"/>
        <v>0</v>
      </c>
    </row>
    <row r="207" spans="1:58" x14ac:dyDescent="0.25">
      <c r="D207" t="s">
        <v>76</v>
      </c>
      <c r="E207" s="38">
        <f t="shared" si="33"/>
        <v>0</v>
      </c>
      <c r="F207" s="38">
        <f t="shared" si="33"/>
        <v>0</v>
      </c>
      <c r="G207" s="38">
        <f t="shared" si="33"/>
        <v>24.55237349426357</v>
      </c>
      <c r="H207" s="38">
        <f t="shared" si="32"/>
        <v>37.605522498953938</v>
      </c>
      <c r="I207" s="38">
        <f t="shared" si="32"/>
        <v>33.461380107454069</v>
      </c>
      <c r="J207" s="38">
        <f t="shared" si="32"/>
        <v>2.3362737659947768</v>
      </c>
      <c r="K207" s="38">
        <f t="shared" si="32"/>
        <v>0</v>
      </c>
      <c r="L207" s="38">
        <f t="shared" si="29"/>
        <v>0</v>
      </c>
      <c r="M207" s="35">
        <f t="shared" si="31"/>
        <v>97.95554986666636</v>
      </c>
      <c r="S207" t="s">
        <v>76</v>
      </c>
      <c r="T207" s="5">
        <f>data_origin!T247</f>
        <v>0</v>
      </c>
      <c r="U207" s="5">
        <f>data_origin!U247</f>
        <v>0</v>
      </c>
      <c r="V207" s="5">
        <f>data_origin!V247</f>
        <v>24.361359570661897</v>
      </c>
      <c r="W207" s="5">
        <f>data_origin!W247</f>
        <v>37.142031379025596</v>
      </c>
      <c r="X207" s="5">
        <f>data_origin!X247</f>
        <v>32.875739644970416</v>
      </c>
      <c r="Y207" s="5">
        <f>data_origin!Y247</f>
        <v>2.2888888888888888</v>
      </c>
      <c r="Z207" s="5">
        <f>data_origin!Z247</f>
        <v>0</v>
      </c>
      <c r="AA207" s="5">
        <f>data_origin!AA247</f>
        <v>0</v>
      </c>
      <c r="AB207" s="5">
        <f t="shared" si="26"/>
        <v>96.6680194835468</v>
      </c>
      <c r="AH207" t="s">
        <v>76</v>
      </c>
      <c r="AI207" s="5">
        <f>data_origin!T2494</f>
        <v>0</v>
      </c>
      <c r="AJ207" s="5">
        <f>data_origin!U2494</f>
        <v>0</v>
      </c>
      <c r="AK207" s="5">
        <f>data_origin!V2494</f>
        <v>0</v>
      </c>
      <c r="AL207" s="5">
        <f>data_origin!W2494</f>
        <v>0</v>
      </c>
      <c r="AM207" s="5">
        <f>data_origin!X2494</f>
        <v>0</v>
      </c>
      <c r="AN207" s="5">
        <f>data_origin!Y2494</f>
        <v>0</v>
      </c>
      <c r="AO207" s="5">
        <f>data_origin!Z2494</f>
        <v>0</v>
      </c>
      <c r="AP207" s="5">
        <f>data_origin!AA2494</f>
        <v>0</v>
      </c>
      <c r="AQ207" s="9">
        <f t="shared" si="27"/>
        <v>0</v>
      </c>
      <c r="AV207" t="s">
        <v>76</v>
      </c>
      <c r="AW207" s="5">
        <f>data_origin!T3208</f>
        <v>0</v>
      </c>
      <c r="AX207" s="5">
        <f>data_origin!U3208</f>
        <v>0</v>
      </c>
      <c r="AY207" s="5">
        <f>data_origin!V3208</f>
        <v>0</v>
      </c>
      <c r="AZ207" s="5">
        <f>data_origin!W3208</f>
        <v>0</v>
      </c>
      <c r="BA207" s="5">
        <f>data_origin!X3208</f>
        <v>0</v>
      </c>
      <c r="BB207" s="5">
        <f>data_origin!Y3208</f>
        <v>0</v>
      </c>
      <c r="BC207" s="5">
        <f>data_origin!Z3208</f>
        <v>0</v>
      </c>
      <c r="BD207" s="5">
        <f>data_origin!AA3208</f>
        <v>0</v>
      </c>
      <c r="BE207" s="9">
        <f t="shared" si="28"/>
        <v>0</v>
      </c>
    </row>
    <row r="208" spans="1:58" x14ac:dyDescent="0.25">
      <c r="D208" t="s">
        <v>77</v>
      </c>
      <c r="E208" s="38">
        <f t="shared" si="33"/>
        <v>0</v>
      </c>
      <c r="F208" s="38">
        <f t="shared" si="33"/>
        <v>0</v>
      </c>
      <c r="G208" s="38">
        <f t="shared" si="33"/>
        <v>109.36966374717409</v>
      </c>
      <c r="H208" s="38">
        <f t="shared" si="32"/>
        <v>157.2594577228983</v>
      </c>
      <c r="I208" s="38">
        <f t="shared" si="32"/>
        <v>88.114967616295701</v>
      </c>
      <c r="J208" s="38">
        <f t="shared" si="32"/>
        <v>5.8406844149869421</v>
      </c>
      <c r="K208" s="38">
        <f t="shared" si="32"/>
        <v>3.0559701492537314</v>
      </c>
      <c r="L208" s="38">
        <f t="shared" si="29"/>
        <v>0</v>
      </c>
      <c r="M208" s="35">
        <f t="shared" si="31"/>
        <v>363.64074365060873</v>
      </c>
      <c r="S208" t="s">
        <v>77</v>
      </c>
      <c r="T208" s="5">
        <f>data_origin!T248</f>
        <v>0</v>
      </c>
      <c r="U208" s="5">
        <f>data_origin!U248</f>
        <v>0</v>
      </c>
      <c r="V208" s="5">
        <f>data_origin!V248</f>
        <v>108.51878354203936</v>
      </c>
      <c r="W208" s="5">
        <f>data_origin!W248</f>
        <v>155.32122213047069</v>
      </c>
      <c r="X208" s="5">
        <f>data_origin!X248</f>
        <v>86.572781065088762</v>
      </c>
      <c r="Y208" s="5">
        <f>data_origin!Y248</f>
        <v>5.7222222222222223</v>
      </c>
      <c r="Z208" s="5">
        <f>data_origin!Z248</f>
        <v>3</v>
      </c>
      <c r="AA208" s="5">
        <f>data_origin!AA248</f>
        <v>0</v>
      </c>
      <c r="AB208" s="5">
        <f t="shared" si="26"/>
        <v>359.13500895982105</v>
      </c>
      <c r="AH208" t="s">
        <v>77</v>
      </c>
      <c r="AI208" s="5">
        <f>data_origin!T2495</f>
        <v>0</v>
      </c>
      <c r="AJ208" s="5">
        <f>data_origin!U2495</f>
        <v>0</v>
      </c>
      <c r="AK208" s="5">
        <f>data_origin!V2495</f>
        <v>0</v>
      </c>
      <c r="AL208" s="5">
        <f>data_origin!W2495</f>
        <v>0</v>
      </c>
      <c r="AM208" s="5">
        <f>data_origin!X2495</f>
        <v>0</v>
      </c>
      <c r="AN208" s="5">
        <f>data_origin!Y2495</f>
        <v>0</v>
      </c>
      <c r="AO208" s="5">
        <f>data_origin!Z2495</f>
        <v>0</v>
      </c>
      <c r="AP208" s="5">
        <f>data_origin!AA2495</f>
        <v>0</v>
      </c>
      <c r="AQ208" s="9">
        <f t="shared" si="27"/>
        <v>0</v>
      </c>
      <c r="AV208" t="s">
        <v>77</v>
      </c>
      <c r="AW208" s="5">
        <f>data_origin!T3209</f>
        <v>0</v>
      </c>
      <c r="AX208" s="5">
        <f>data_origin!U3209</f>
        <v>0</v>
      </c>
      <c r="AY208" s="5">
        <f>data_origin!V3209</f>
        <v>0</v>
      </c>
      <c r="AZ208" s="5">
        <f>data_origin!W3209</f>
        <v>0</v>
      </c>
      <c r="BA208" s="5">
        <f>data_origin!X3209</f>
        <v>0</v>
      </c>
      <c r="BB208" s="5">
        <f>data_origin!Y3209</f>
        <v>0</v>
      </c>
      <c r="BC208" s="5">
        <f>data_origin!Z3209</f>
        <v>0</v>
      </c>
      <c r="BD208" s="5">
        <f>data_origin!AA3209</f>
        <v>0</v>
      </c>
      <c r="BE208" s="9">
        <f t="shared" si="28"/>
        <v>0</v>
      </c>
    </row>
    <row r="209" spans="4:57" x14ac:dyDescent="0.25">
      <c r="D209" t="s">
        <v>78</v>
      </c>
      <c r="E209" s="38">
        <f t="shared" si="33"/>
        <v>0</v>
      </c>
      <c r="F209" s="38">
        <f t="shared" si="33"/>
        <v>0</v>
      </c>
      <c r="G209" s="38">
        <f t="shared" si="33"/>
        <v>45.75669605749119</v>
      </c>
      <c r="H209" s="38">
        <f t="shared" si="32"/>
        <v>59.257186968048636</v>
      </c>
      <c r="I209" s="38">
        <f t="shared" si="32"/>
        <v>18.961448727557304</v>
      </c>
      <c r="J209" s="38">
        <f t="shared" si="32"/>
        <v>2.3362737659947768</v>
      </c>
      <c r="K209" s="38">
        <f t="shared" si="32"/>
        <v>0</v>
      </c>
      <c r="L209" s="38">
        <f t="shared" si="29"/>
        <v>0</v>
      </c>
      <c r="M209" s="35">
        <f t="shared" si="31"/>
        <v>126.3116055190919</v>
      </c>
      <c r="S209" t="s">
        <v>78</v>
      </c>
      <c r="T209" s="5">
        <f>data_origin!T249</f>
        <v>0</v>
      </c>
      <c r="U209" s="5">
        <f>data_origin!U249</f>
        <v>0</v>
      </c>
      <c r="V209" s="5">
        <f>data_origin!V249</f>
        <v>45.40071556350626</v>
      </c>
      <c r="W209" s="5">
        <f>data_origin!W249</f>
        <v>58.526837324525189</v>
      </c>
      <c r="X209" s="5">
        <f>data_origin!X249</f>
        <v>18.629585798816567</v>
      </c>
      <c r="Y209" s="5">
        <f>data_origin!Y249</f>
        <v>2.2888888888888888</v>
      </c>
      <c r="Z209" s="5">
        <f>data_origin!Z249</f>
        <v>0</v>
      </c>
      <c r="AA209" s="5">
        <f>data_origin!AA249</f>
        <v>0</v>
      </c>
      <c r="AB209" s="5">
        <f t="shared" si="26"/>
        <v>124.8460275757369</v>
      </c>
      <c r="AH209" t="s">
        <v>78</v>
      </c>
      <c r="AI209" s="5">
        <f>data_origin!T2496</f>
        <v>0</v>
      </c>
      <c r="AJ209" s="5">
        <f>data_origin!U2496</f>
        <v>0</v>
      </c>
      <c r="AK209" s="5">
        <f>data_origin!V2496</f>
        <v>0</v>
      </c>
      <c r="AL209" s="5">
        <f>data_origin!W2496</f>
        <v>0</v>
      </c>
      <c r="AM209" s="5">
        <f>data_origin!X2496</f>
        <v>0</v>
      </c>
      <c r="AN209" s="5">
        <f>data_origin!Y2496</f>
        <v>0</v>
      </c>
      <c r="AO209" s="5">
        <f>data_origin!Z2496</f>
        <v>0</v>
      </c>
      <c r="AP209" s="5">
        <f>data_origin!AA2496</f>
        <v>0</v>
      </c>
      <c r="AQ209" s="9">
        <f t="shared" si="27"/>
        <v>0</v>
      </c>
      <c r="AV209" t="s">
        <v>78</v>
      </c>
      <c r="AW209" s="5">
        <f>data_origin!T3210</f>
        <v>0</v>
      </c>
      <c r="AX209" s="5">
        <f>data_origin!U3210</f>
        <v>0</v>
      </c>
      <c r="AY209" s="5">
        <f>data_origin!V3210</f>
        <v>0</v>
      </c>
      <c r="AZ209" s="5">
        <f>data_origin!W3210</f>
        <v>0</v>
      </c>
      <c r="BA209" s="5">
        <f>data_origin!X3210</f>
        <v>0</v>
      </c>
      <c r="BB209" s="5">
        <f>data_origin!Y3210</f>
        <v>0</v>
      </c>
      <c r="BC209" s="5">
        <f>data_origin!Z3210</f>
        <v>0</v>
      </c>
      <c r="BD209" s="5">
        <f>data_origin!AA3210</f>
        <v>0</v>
      </c>
      <c r="BE209" s="9">
        <f t="shared" si="28"/>
        <v>0</v>
      </c>
    </row>
    <row r="210" spans="4:57" x14ac:dyDescent="0.25">
      <c r="D210" t="s">
        <v>79</v>
      </c>
      <c r="E210" s="38">
        <f t="shared" si="33"/>
        <v>0</v>
      </c>
      <c r="F210" s="38">
        <f t="shared" si="33"/>
        <v>0</v>
      </c>
      <c r="G210" s="38">
        <f t="shared" si="33"/>
        <v>14.508220701155746</v>
      </c>
      <c r="H210" s="38">
        <f t="shared" si="32"/>
        <v>47.861574089577751</v>
      </c>
      <c r="I210" s="38">
        <f t="shared" si="32"/>
        <v>51.307449498096233</v>
      </c>
      <c r="J210" s="38">
        <f t="shared" si="32"/>
        <v>9.3450950639791071</v>
      </c>
      <c r="K210" s="38">
        <f t="shared" si="32"/>
        <v>5.0932835820895521</v>
      </c>
      <c r="L210" s="38">
        <f t="shared" si="29"/>
        <v>0</v>
      </c>
      <c r="M210" s="35">
        <f t="shared" si="31"/>
        <v>128.11562293489837</v>
      </c>
      <c r="S210" t="s">
        <v>79</v>
      </c>
      <c r="T210" s="5">
        <f>data_origin!T250</f>
        <v>0</v>
      </c>
      <c r="U210" s="5">
        <f>data_origin!U250</f>
        <v>0</v>
      </c>
      <c r="V210" s="5">
        <f>data_origin!V250</f>
        <v>14.395348837209303</v>
      </c>
      <c r="W210" s="5">
        <f>data_origin!W250</f>
        <v>47.271676300578036</v>
      </c>
      <c r="X210" s="5">
        <f>data_origin!X250</f>
        <v>50.409467455621304</v>
      </c>
      <c r="Y210" s="5">
        <f>data_origin!Y250</f>
        <v>9.155555555555555</v>
      </c>
      <c r="Z210" s="5">
        <f>data_origin!Z250</f>
        <v>5</v>
      </c>
      <c r="AA210" s="5">
        <f>data_origin!AA250</f>
        <v>0</v>
      </c>
      <c r="AB210" s="5">
        <f t="shared" si="26"/>
        <v>126.2320481489642</v>
      </c>
      <c r="AH210" t="s">
        <v>79</v>
      </c>
      <c r="AI210" s="5">
        <f>data_origin!T2497</f>
        <v>0</v>
      </c>
      <c r="AJ210" s="5">
        <f>data_origin!U2497</f>
        <v>0</v>
      </c>
      <c r="AK210" s="5">
        <f>data_origin!V2497</f>
        <v>0</v>
      </c>
      <c r="AL210" s="5">
        <f>data_origin!W2497</f>
        <v>0</v>
      </c>
      <c r="AM210" s="5">
        <f>data_origin!X2497</f>
        <v>0</v>
      </c>
      <c r="AN210" s="5">
        <f>data_origin!Y2497</f>
        <v>0</v>
      </c>
      <c r="AO210" s="5">
        <f>data_origin!Z2497</f>
        <v>0</v>
      </c>
      <c r="AP210" s="5">
        <f>data_origin!AA2497</f>
        <v>0</v>
      </c>
      <c r="AQ210" s="9">
        <f t="shared" si="27"/>
        <v>0</v>
      </c>
      <c r="AV210" t="s">
        <v>79</v>
      </c>
      <c r="AW210" s="5">
        <f>data_origin!T3211</f>
        <v>0</v>
      </c>
      <c r="AX210" s="5">
        <f>data_origin!U3211</f>
        <v>0</v>
      </c>
      <c r="AY210" s="5">
        <f>data_origin!V3211</f>
        <v>0</v>
      </c>
      <c r="AZ210" s="5">
        <f>data_origin!W3211</f>
        <v>0</v>
      </c>
      <c r="BA210" s="5">
        <f>data_origin!X3211</f>
        <v>0</v>
      </c>
      <c r="BB210" s="5">
        <f>data_origin!Y3211</f>
        <v>0</v>
      </c>
      <c r="BC210" s="5">
        <f>data_origin!Z3211</f>
        <v>0</v>
      </c>
      <c r="BD210" s="5">
        <f>data_origin!AA3211</f>
        <v>0</v>
      </c>
      <c r="BE210" s="9">
        <f t="shared" si="28"/>
        <v>0</v>
      </c>
    </row>
    <row r="211" spans="4:57" x14ac:dyDescent="0.25">
      <c r="D211" t="s">
        <v>80</v>
      </c>
      <c r="E211" s="38">
        <f t="shared" si="33"/>
        <v>0</v>
      </c>
      <c r="F211" s="38">
        <f t="shared" si="33"/>
        <v>0</v>
      </c>
      <c r="G211" s="38">
        <f t="shared" si="33"/>
        <v>45.75669605749119</v>
      </c>
      <c r="H211" s="38">
        <f t="shared" si="32"/>
        <v>82.048412724990413</v>
      </c>
      <c r="I211" s="38">
        <f t="shared" si="32"/>
        <v>52.422828835011366</v>
      </c>
      <c r="J211" s="38">
        <f t="shared" si="32"/>
        <v>0</v>
      </c>
      <c r="K211" s="38">
        <f t="shared" si="32"/>
        <v>0</v>
      </c>
      <c r="L211" s="38">
        <f t="shared" si="29"/>
        <v>0</v>
      </c>
      <c r="M211" s="35">
        <f t="shared" si="31"/>
        <v>180.22793761749296</v>
      </c>
      <c r="S211" t="s">
        <v>80</v>
      </c>
      <c r="T211" s="5">
        <f>data_origin!T251</f>
        <v>0</v>
      </c>
      <c r="U211" s="5">
        <f>data_origin!U251</f>
        <v>0</v>
      </c>
      <c r="V211" s="5">
        <f>data_origin!V251</f>
        <v>45.40071556350626</v>
      </c>
      <c r="W211" s="5">
        <f>data_origin!W251</f>
        <v>81.037159372419495</v>
      </c>
      <c r="X211" s="5">
        <f>data_origin!X251</f>
        <v>51.50532544378698</v>
      </c>
      <c r="Y211" s="5">
        <f>data_origin!Y251</f>
        <v>0</v>
      </c>
      <c r="Z211" s="5">
        <f>data_origin!Z251</f>
        <v>0</v>
      </c>
      <c r="AA211" s="5">
        <f>data_origin!AA251</f>
        <v>0</v>
      </c>
      <c r="AB211" s="5">
        <f t="shared" si="26"/>
        <v>177.94320037971272</v>
      </c>
      <c r="AH211" t="s">
        <v>80</v>
      </c>
      <c r="AI211" s="5">
        <f>data_origin!T2498</f>
        <v>0</v>
      </c>
      <c r="AJ211" s="5">
        <f>data_origin!U2498</f>
        <v>0</v>
      </c>
      <c r="AK211" s="5">
        <f>data_origin!V2498</f>
        <v>0</v>
      </c>
      <c r="AL211" s="5">
        <f>data_origin!W2498</f>
        <v>0</v>
      </c>
      <c r="AM211" s="5">
        <f>data_origin!X2498</f>
        <v>0</v>
      </c>
      <c r="AN211" s="5">
        <f>data_origin!Y2498</f>
        <v>0</v>
      </c>
      <c r="AO211" s="5">
        <f>data_origin!Z2498</f>
        <v>0</v>
      </c>
      <c r="AP211" s="5">
        <f>data_origin!AA2498</f>
        <v>0</v>
      </c>
      <c r="AQ211" s="9">
        <f t="shared" si="27"/>
        <v>0</v>
      </c>
      <c r="AV211" t="s">
        <v>80</v>
      </c>
      <c r="AW211" s="5">
        <f>data_origin!T3212</f>
        <v>0</v>
      </c>
      <c r="AX211" s="5">
        <f>data_origin!U3212</f>
        <v>0</v>
      </c>
      <c r="AY211" s="5">
        <f>data_origin!V3212</f>
        <v>0</v>
      </c>
      <c r="AZ211" s="5">
        <f>data_origin!W3212</f>
        <v>0</v>
      </c>
      <c r="BA211" s="5">
        <f>data_origin!X3212</f>
        <v>0</v>
      </c>
      <c r="BB211" s="5">
        <f>data_origin!Y3212</f>
        <v>0</v>
      </c>
      <c r="BC211" s="5">
        <f>data_origin!Z3212</f>
        <v>0</v>
      </c>
      <c r="BD211" s="5">
        <f>data_origin!AA3212</f>
        <v>0</v>
      </c>
      <c r="BE211" s="9">
        <f t="shared" si="28"/>
        <v>0</v>
      </c>
    </row>
    <row r="212" spans="4:57" x14ac:dyDescent="0.25">
      <c r="D212" t="s">
        <v>81</v>
      </c>
      <c r="E212" s="38">
        <f t="shared" si="33"/>
        <v>0</v>
      </c>
      <c r="F212" s="38">
        <f t="shared" si="33"/>
        <v>0</v>
      </c>
      <c r="G212" s="38">
        <f t="shared" si="33"/>
        <v>18.97228860920367</v>
      </c>
      <c r="H212" s="38">
        <f t="shared" si="32"/>
        <v>28.489032196177227</v>
      </c>
      <c r="I212" s="38">
        <f t="shared" si="32"/>
        <v>8.9230346953210837</v>
      </c>
      <c r="J212" s="38">
        <f t="shared" si="32"/>
        <v>1.1681368829973884</v>
      </c>
      <c r="K212" s="38">
        <f t="shared" si="32"/>
        <v>0</v>
      </c>
      <c r="L212" s="38">
        <f t="shared" si="29"/>
        <v>0</v>
      </c>
      <c r="M212" s="35">
        <f t="shared" si="31"/>
        <v>57.552492383699366</v>
      </c>
      <c r="S212" t="s">
        <v>81</v>
      </c>
      <c r="T212" s="5">
        <f>data_origin!T252</f>
        <v>0</v>
      </c>
      <c r="U212" s="5">
        <f>data_origin!U252</f>
        <v>0</v>
      </c>
      <c r="V212" s="5">
        <f>data_origin!V252</f>
        <v>18.824686940966011</v>
      </c>
      <c r="W212" s="5">
        <f>data_origin!W252</f>
        <v>28.137902559867879</v>
      </c>
      <c r="X212" s="5">
        <f>data_origin!X252</f>
        <v>8.7668639053254438</v>
      </c>
      <c r="Y212" s="5">
        <f>data_origin!Y252</f>
        <v>1.1444444444444444</v>
      </c>
      <c r="Z212" s="5">
        <f>data_origin!Z252</f>
        <v>0</v>
      </c>
      <c r="AA212" s="5">
        <f>data_origin!AA252</f>
        <v>0</v>
      </c>
      <c r="AB212" s="5">
        <f t="shared" si="26"/>
        <v>56.873897850603775</v>
      </c>
      <c r="AH212" t="s">
        <v>81</v>
      </c>
      <c r="AI212" s="5">
        <f>data_origin!T2499</f>
        <v>0</v>
      </c>
      <c r="AJ212" s="5">
        <f>data_origin!U2499</f>
        <v>0</v>
      </c>
      <c r="AK212" s="5">
        <f>data_origin!V2499</f>
        <v>0</v>
      </c>
      <c r="AL212" s="5">
        <f>data_origin!W2499</f>
        <v>0</v>
      </c>
      <c r="AM212" s="5">
        <f>data_origin!X2499</f>
        <v>0</v>
      </c>
      <c r="AN212" s="5">
        <f>data_origin!Y2499</f>
        <v>0</v>
      </c>
      <c r="AO212" s="5">
        <f>data_origin!Z2499</f>
        <v>0</v>
      </c>
      <c r="AP212" s="5">
        <f>data_origin!AA2499</f>
        <v>0</v>
      </c>
      <c r="AQ212" s="9">
        <f t="shared" si="27"/>
        <v>0</v>
      </c>
      <c r="AV212" t="s">
        <v>81</v>
      </c>
      <c r="AW212" s="5">
        <f>data_origin!T3213</f>
        <v>0</v>
      </c>
      <c r="AX212" s="5">
        <f>data_origin!U3213</f>
        <v>0</v>
      </c>
      <c r="AY212" s="5">
        <f>data_origin!V3213</f>
        <v>0</v>
      </c>
      <c r="AZ212" s="5">
        <f>data_origin!W3213</f>
        <v>0</v>
      </c>
      <c r="BA212" s="5">
        <f>data_origin!X3213</f>
        <v>0</v>
      </c>
      <c r="BB212" s="5">
        <f>data_origin!Y3213</f>
        <v>0</v>
      </c>
      <c r="BC212" s="5">
        <f>data_origin!Z3213</f>
        <v>0</v>
      </c>
      <c r="BD212" s="5">
        <f>data_origin!AA3213</f>
        <v>0</v>
      </c>
      <c r="BE212" s="9">
        <f t="shared" si="28"/>
        <v>0</v>
      </c>
    </row>
    <row r="213" spans="4:57" x14ac:dyDescent="0.25">
      <c r="D213" t="s">
        <v>82</v>
      </c>
      <c r="E213" s="38">
        <f t="shared" si="33"/>
        <v>0</v>
      </c>
      <c r="F213" s="38">
        <f t="shared" si="33"/>
        <v>0</v>
      </c>
      <c r="G213" s="38">
        <f t="shared" si="33"/>
        <v>14.508220701155746</v>
      </c>
      <c r="H213" s="38">
        <f t="shared" si="32"/>
        <v>83.187974012837515</v>
      </c>
      <c r="I213" s="38">
        <f t="shared" si="32"/>
        <v>46.845932150435686</v>
      </c>
      <c r="J213" s="38">
        <f t="shared" si="32"/>
        <v>2.3362737659947768</v>
      </c>
      <c r="K213" s="38">
        <f t="shared" si="32"/>
        <v>0</v>
      </c>
      <c r="L213" s="38">
        <f t="shared" si="29"/>
        <v>0</v>
      </c>
      <c r="M213" s="35">
        <f t="shared" si="31"/>
        <v>146.87840063042373</v>
      </c>
      <c r="S213" t="s">
        <v>82</v>
      </c>
      <c r="T213" s="5">
        <f>data_origin!T253</f>
        <v>0</v>
      </c>
      <c r="U213" s="5">
        <f>data_origin!U253</f>
        <v>0</v>
      </c>
      <c r="V213" s="5">
        <f>data_origin!V253</f>
        <v>14.395348837209303</v>
      </c>
      <c r="W213" s="5">
        <f>data_origin!W253</f>
        <v>82.162675474814208</v>
      </c>
      <c r="X213" s="5">
        <f>data_origin!X253</f>
        <v>46.026035502958578</v>
      </c>
      <c r="Y213" s="5">
        <f>data_origin!Y253</f>
        <v>2.2888888888888888</v>
      </c>
      <c r="Z213" s="5">
        <f>data_origin!Z253</f>
        <v>0</v>
      </c>
      <c r="AA213" s="5">
        <f>data_origin!AA253</f>
        <v>0</v>
      </c>
      <c r="AB213" s="5">
        <f t="shared" si="26"/>
        <v>144.87294870387097</v>
      </c>
      <c r="AH213" t="s">
        <v>82</v>
      </c>
      <c r="AI213" s="5">
        <f>data_origin!T2500</f>
        <v>0</v>
      </c>
      <c r="AJ213" s="5">
        <f>data_origin!U2500</f>
        <v>0</v>
      </c>
      <c r="AK213" s="5">
        <f>data_origin!V2500</f>
        <v>0</v>
      </c>
      <c r="AL213" s="5">
        <f>data_origin!W2500</f>
        <v>0</v>
      </c>
      <c r="AM213" s="5">
        <f>data_origin!X2500</f>
        <v>0</v>
      </c>
      <c r="AN213" s="5">
        <f>data_origin!Y2500</f>
        <v>0</v>
      </c>
      <c r="AO213" s="5">
        <f>data_origin!Z2500</f>
        <v>0</v>
      </c>
      <c r="AP213" s="5">
        <f>data_origin!AA2500</f>
        <v>0</v>
      </c>
      <c r="AQ213" s="9">
        <f t="shared" si="27"/>
        <v>0</v>
      </c>
      <c r="AV213" t="s">
        <v>82</v>
      </c>
      <c r="AW213" s="5">
        <f>data_origin!T3214</f>
        <v>0</v>
      </c>
      <c r="AX213" s="5">
        <f>data_origin!U3214</f>
        <v>0</v>
      </c>
      <c r="AY213" s="5">
        <f>data_origin!V3214</f>
        <v>0</v>
      </c>
      <c r="AZ213" s="5">
        <f>data_origin!W3214</f>
        <v>0</v>
      </c>
      <c r="BA213" s="5">
        <f>data_origin!X3214</f>
        <v>0</v>
      </c>
      <c r="BB213" s="5">
        <f>data_origin!Y3214</f>
        <v>0</v>
      </c>
      <c r="BC213" s="5">
        <f>data_origin!Z3214</f>
        <v>0</v>
      </c>
      <c r="BD213" s="5">
        <f>data_origin!AA3214</f>
        <v>0</v>
      </c>
      <c r="BE213" s="9">
        <f t="shared" si="28"/>
        <v>0</v>
      </c>
    </row>
    <row r="214" spans="4:57" x14ac:dyDescent="0.25">
      <c r="D214" t="s">
        <v>83</v>
      </c>
      <c r="E214" s="38">
        <f t="shared" si="33"/>
        <v>0</v>
      </c>
      <c r="F214" s="38">
        <f t="shared" si="33"/>
        <v>0</v>
      </c>
      <c r="G214" s="38">
        <f t="shared" si="33"/>
        <v>11.160169770119804</v>
      </c>
      <c r="H214" s="38">
        <f t="shared" si="32"/>
        <v>27.34947090833014</v>
      </c>
      <c r="I214" s="38">
        <f t="shared" si="32"/>
        <v>8.9230346953210837</v>
      </c>
      <c r="J214" s="38">
        <f t="shared" si="32"/>
        <v>3.5044106489921654</v>
      </c>
      <c r="K214" s="38">
        <f t="shared" si="32"/>
        <v>0</v>
      </c>
      <c r="L214" s="38">
        <f t="shared" si="29"/>
        <v>0</v>
      </c>
      <c r="M214" s="35">
        <f t="shared" si="31"/>
        <v>50.937086022763189</v>
      </c>
      <c r="S214" t="s">
        <v>83</v>
      </c>
      <c r="T214" s="5">
        <f>data_origin!T254</f>
        <v>0</v>
      </c>
      <c r="U214" s="5">
        <f>data_origin!U254</f>
        <v>0</v>
      </c>
      <c r="V214" s="5">
        <f>data_origin!V254</f>
        <v>11.073345259391772</v>
      </c>
      <c r="W214" s="5">
        <f>data_origin!W254</f>
        <v>27.012386457473163</v>
      </c>
      <c r="X214" s="5">
        <f>data_origin!X254</f>
        <v>8.7668639053254438</v>
      </c>
      <c r="Y214" s="5">
        <f>data_origin!Y254</f>
        <v>3.4333333333333336</v>
      </c>
      <c r="Z214" s="5">
        <f>data_origin!Z254</f>
        <v>0</v>
      </c>
      <c r="AA214" s="5">
        <f>data_origin!AA254</f>
        <v>0</v>
      </c>
      <c r="AB214" s="5">
        <f t="shared" si="26"/>
        <v>50.285928955523715</v>
      </c>
      <c r="AH214" t="s">
        <v>83</v>
      </c>
      <c r="AI214" s="5">
        <f>data_origin!T2501</f>
        <v>0</v>
      </c>
      <c r="AJ214" s="5">
        <f>data_origin!U2501</f>
        <v>0</v>
      </c>
      <c r="AK214" s="5">
        <f>data_origin!V2501</f>
        <v>0</v>
      </c>
      <c r="AL214" s="5">
        <f>data_origin!W2501</f>
        <v>0</v>
      </c>
      <c r="AM214" s="5">
        <f>data_origin!X2501</f>
        <v>0</v>
      </c>
      <c r="AN214" s="5">
        <f>data_origin!Y2501</f>
        <v>0</v>
      </c>
      <c r="AO214" s="5">
        <f>data_origin!Z2501</f>
        <v>0</v>
      </c>
      <c r="AP214" s="5">
        <f>data_origin!AA2501</f>
        <v>0</v>
      </c>
      <c r="AQ214" s="9">
        <f t="shared" si="27"/>
        <v>0</v>
      </c>
      <c r="AV214" t="s">
        <v>83</v>
      </c>
      <c r="AW214" s="5">
        <f>data_origin!T3215</f>
        <v>0</v>
      </c>
      <c r="AX214" s="5">
        <f>data_origin!U3215</f>
        <v>0</v>
      </c>
      <c r="AY214" s="5">
        <f>data_origin!V3215</f>
        <v>0</v>
      </c>
      <c r="AZ214" s="5">
        <f>data_origin!W3215</f>
        <v>0</v>
      </c>
      <c r="BA214" s="5">
        <f>data_origin!X3215</f>
        <v>0</v>
      </c>
      <c r="BB214" s="5">
        <f>data_origin!Y3215</f>
        <v>0</v>
      </c>
      <c r="BC214" s="5">
        <f>data_origin!Z3215</f>
        <v>0</v>
      </c>
      <c r="BD214" s="5">
        <f>data_origin!AA3215</f>
        <v>0</v>
      </c>
      <c r="BE214" s="9">
        <f t="shared" si="28"/>
        <v>0</v>
      </c>
    </row>
    <row r="215" spans="4:57" x14ac:dyDescent="0.25">
      <c r="D215" t="s">
        <v>84</v>
      </c>
      <c r="E215" s="38">
        <f t="shared" si="33"/>
        <v>0</v>
      </c>
      <c r="F215" s="38">
        <f t="shared" si="33"/>
        <v>0</v>
      </c>
      <c r="G215" s="38">
        <f t="shared" si="33"/>
        <v>16.740254655179708</v>
      </c>
      <c r="H215" s="38">
        <f t="shared" si="32"/>
        <v>47.249118180550226</v>
      </c>
      <c r="I215" s="38">
        <f t="shared" si="32"/>
        <v>16.730690053727034</v>
      </c>
      <c r="J215" s="38">
        <f t="shared" si="32"/>
        <v>2.3362737659947768</v>
      </c>
      <c r="K215" s="38">
        <f t="shared" si="32"/>
        <v>1.0186567164179106</v>
      </c>
      <c r="L215" s="38">
        <f t="shared" si="29"/>
        <v>0</v>
      </c>
      <c r="M215" s="35">
        <f t="shared" si="31"/>
        <v>84.074993371869652</v>
      </c>
      <c r="S215" t="s">
        <v>84</v>
      </c>
      <c r="T215" s="5">
        <f>data_origin!T255</f>
        <v>0</v>
      </c>
      <c r="U215" s="5">
        <f>data_origin!U255</f>
        <v>0</v>
      </c>
      <c r="V215" s="5">
        <f>data_origin!V255</f>
        <v>16.610017889087658</v>
      </c>
      <c r="W215" s="5">
        <f>data_origin!W255</f>
        <v>45.020644095788604</v>
      </c>
      <c r="X215" s="5">
        <f>data_origin!X255</f>
        <v>16.437869822485208</v>
      </c>
      <c r="Y215" s="5">
        <f>data_origin!Y255</f>
        <v>2.2888888888888888</v>
      </c>
      <c r="Z215" s="5">
        <f>data_origin!Z255</f>
        <v>1</v>
      </c>
      <c r="AA215" s="5">
        <f>data_origin!AA255</f>
        <v>0</v>
      </c>
      <c r="AB215" s="5">
        <f t="shared" si="26"/>
        <v>81.357420696250358</v>
      </c>
      <c r="AH215" t="s">
        <v>84</v>
      </c>
      <c r="AI215" s="5">
        <f>data_origin!T2502</f>
        <v>0</v>
      </c>
      <c r="AJ215" s="5">
        <f>data_origin!U2502</f>
        <v>0</v>
      </c>
      <c r="AK215" s="5">
        <f>data_origin!V2502</f>
        <v>0</v>
      </c>
      <c r="AL215" s="5">
        <f>data_origin!W2502</f>
        <v>0</v>
      </c>
      <c r="AM215" s="5">
        <f>data_origin!X2502</f>
        <v>0</v>
      </c>
      <c r="AN215" s="5">
        <f>data_origin!Y2502</f>
        <v>0</v>
      </c>
      <c r="AO215" s="5">
        <f>data_origin!Z2502</f>
        <v>0</v>
      </c>
      <c r="AP215" s="5">
        <f>data_origin!AA2502</f>
        <v>0</v>
      </c>
      <c r="AQ215" s="9">
        <f t="shared" si="27"/>
        <v>0</v>
      </c>
      <c r="AV215" t="s">
        <v>84</v>
      </c>
      <c r="AW215" s="5">
        <f>data_origin!T3216</f>
        <v>0</v>
      </c>
      <c r="AX215" s="5">
        <f>data_origin!U3216</f>
        <v>0</v>
      </c>
      <c r="AY215" s="5">
        <f>data_origin!V3216</f>
        <v>0</v>
      </c>
      <c r="AZ215" s="5">
        <f>data_origin!W3216</f>
        <v>0</v>
      </c>
      <c r="BA215" s="5">
        <f>data_origin!X3216</f>
        <v>0</v>
      </c>
      <c r="BB215" s="5">
        <f>data_origin!Y3216</f>
        <v>0</v>
      </c>
      <c r="BC215" s="5">
        <f>data_origin!Z3216</f>
        <v>0</v>
      </c>
      <c r="BD215" s="5">
        <f>data_origin!AA3216</f>
        <v>0</v>
      </c>
      <c r="BE215" s="9">
        <f t="shared" si="28"/>
        <v>0</v>
      </c>
    </row>
    <row r="216" spans="4:57" x14ac:dyDescent="0.25">
      <c r="D216" t="s">
        <v>85</v>
      </c>
      <c r="E216" s="38">
        <f t="shared" si="33"/>
        <v>0</v>
      </c>
      <c r="F216" s="38">
        <f t="shared" si="33"/>
        <v>0</v>
      </c>
      <c r="G216" s="38">
        <f t="shared" si="33"/>
        <v>47.988730011515152</v>
      </c>
      <c r="H216" s="38">
        <f t="shared" si="32"/>
        <v>64.954993407284093</v>
      </c>
      <c r="I216" s="38">
        <f t="shared" si="32"/>
        <v>25.653724749048116</v>
      </c>
      <c r="J216" s="38">
        <f t="shared" si="32"/>
        <v>3.5044106489921654</v>
      </c>
      <c r="K216" s="38">
        <f t="shared" si="32"/>
        <v>0</v>
      </c>
      <c r="L216" s="38">
        <f t="shared" si="29"/>
        <v>0</v>
      </c>
      <c r="M216" s="35">
        <f t="shared" si="31"/>
        <v>142.10185881683952</v>
      </c>
      <c r="S216" t="s">
        <v>85</v>
      </c>
      <c r="T216" s="5">
        <f>data_origin!T256</f>
        <v>0</v>
      </c>
      <c r="U216" s="5">
        <f>data_origin!U256</f>
        <v>0</v>
      </c>
      <c r="V216" s="5">
        <f>data_origin!V256</f>
        <v>47.615384615384613</v>
      </c>
      <c r="W216" s="5">
        <f>data_origin!W256</f>
        <v>64.154417836498766</v>
      </c>
      <c r="X216" s="5">
        <f>data_origin!X256</f>
        <v>25.204733727810652</v>
      </c>
      <c r="Y216" s="5">
        <f>data_origin!Y256</f>
        <v>3.4333333333333336</v>
      </c>
      <c r="Z216" s="5">
        <f>data_origin!Z256</f>
        <v>0</v>
      </c>
      <c r="AA216" s="5">
        <f>data_origin!AA256</f>
        <v>0</v>
      </c>
      <c r="AB216" s="5">
        <f t="shared" si="26"/>
        <v>140.40786951302738</v>
      </c>
      <c r="AH216" t="s">
        <v>85</v>
      </c>
      <c r="AI216" s="5">
        <f>data_origin!T2503</f>
        <v>0</v>
      </c>
      <c r="AJ216" s="5">
        <f>data_origin!U2503</f>
        <v>0</v>
      </c>
      <c r="AK216" s="5">
        <f>data_origin!V2503</f>
        <v>0</v>
      </c>
      <c r="AL216" s="5">
        <f>data_origin!W2503</f>
        <v>0</v>
      </c>
      <c r="AM216" s="5">
        <f>data_origin!X2503</f>
        <v>0</v>
      </c>
      <c r="AN216" s="5">
        <f>data_origin!Y2503</f>
        <v>0</v>
      </c>
      <c r="AO216" s="5">
        <f>data_origin!Z2503</f>
        <v>0</v>
      </c>
      <c r="AP216" s="5">
        <f>data_origin!AA2503</f>
        <v>0</v>
      </c>
      <c r="AQ216" s="9">
        <f t="shared" si="27"/>
        <v>0</v>
      </c>
      <c r="AV216" t="s">
        <v>85</v>
      </c>
      <c r="AW216" s="5">
        <f>data_origin!T3217</f>
        <v>0</v>
      </c>
      <c r="AX216" s="5">
        <f>data_origin!U3217</f>
        <v>0</v>
      </c>
      <c r="AY216" s="5">
        <f>data_origin!V3217</f>
        <v>0</v>
      </c>
      <c r="AZ216" s="5">
        <f>data_origin!W3217</f>
        <v>0</v>
      </c>
      <c r="BA216" s="5">
        <f>data_origin!X3217</f>
        <v>0</v>
      </c>
      <c r="BB216" s="5">
        <f>data_origin!Y3217</f>
        <v>0</v>
      </c>
      <c r="BC216" s="5">
        <f>data_origin!Z3217</f>
        <v>0</v>
      </c>
      <c r="BD216" s="5">
        <f>data_origin!AA3217</f>
        <v>0</v>
      </c>
      <c r="BE216" s="9">
        <f t="shared" si="28"/>
        <v>0</v>
      </c>
    </row>
    <row r="217" spans="4:57" x14ac:dyDescent="0.25">
      <c r="D217" t="s">
        <v>86</v>
      </c>
      <c r="E217" s="38">
        <f t="shared" si="33"/>
        <v>0</v>
      </c>
      <c r="F217" s="38">
        <f t="shared" si="33"/>
        <v>0</v>
      </c>
      <c r="G217" s="38">
        <f t="shared" si="33"/>
        <v>143.85017305753351</v>
      </c>
      <c r="H217" s="38">
        <f t="shared" si="32"/>
        <v>350.37242074787599</v>
      </c>
      <c r="I217" s="38">
        <f t="shared" si="32"/>
        <v>266.57566152271738</v>
      </c>
      <c r="J217" s="38">
        <f t="shared" si="32"/>
        <v>33.875969606924265</v>
      </c>
      <c r="K217" s="38">
        <f t="shared" si="32"/>
        <v>4.0746268656716422</v>
      </c>
      <c r="L217" s="38">
        <f t="shared" si="29"/>
        <v>1.0769230769230769</v>
      </c>
      <c r="M217" s="35">
        <f t="shared" si="31"/>
        <v>799.82577487764593</v>
      </c>
      <c r="S217" t="s">
        <v>86</v>
      </c>
      <c r="T217" s="5">
        <f>data_origin!T257</f>
        <v>0</v>
      </c>
      <c r="U217" s="5">
        <f>data_origin!U257</f>
        <v>0</v>
      </c>
      <c r="V217" s="5">
        <f>data_origin!V257</f>
        <v>141.73881932021467</v>
      </c>
      <c r="W217" s="5">
        <f>data_origin!W257</f>
        <v>344.40792733278283</v>
      </c>
      <c r="X217" s="5">
        <f>data_origin!X257</f>
        <v>261.91005917159765</v>
      </c>
      <c r="Y217" s="5">
        <f>data_origin!Y257</f>
        <v>33.18888888888889</v>
      </c>
      <c r="Z217" s="5">
        <f>data_origin!Z257</f>
        <v>4</v>
      </c>
      <c r="AA217" s="5">
        <f>data_origin!AA257</f>
        <v>1</v>
      </c>
      <c r="AB217" s="5">
        <f t="shared" si="26"/>
        <v>786.245694713484</v>
      </c>
      <c r="AH217" t="s">
        <v>86</v>
      </c>
      <c r="AI217" s="5">
        <f>data_origin!T2504</f>
        <v>0</v>
      </c>
      <c r="AJ217" s="5">
        <f>data_origin!U2504</f>
        <v>0</v>
      </c>
      <c r="AK217" s="5">
        <f>data_origin!V2504</f>
        <v>0</v>
      </c>
      <c r="AL217" s="5">
        <f>data_origin!W2504</f>
        <v>0</v>
      </c>
      <c r="AM217" s="5">
        <f>data_origin!X2504</f>
        <v>0</v>
      </c>
      <c r="AN217" s="5">
        <f>data_origin!Y2504</f>
        <v>0</v>
      </c>
      <c r="AO217" s="5">
        <f>data_origin!Z2504</f>
        <v>0</v>
      </c>
      <c r="AP217" s="5">
        <f>data_origin!AA2504</f>
        <v>0</v>
      </c>
      <c r="AQ217" s="9">
        <f t="shared" si="27"/>
        <v>0</v>
      </c>
      <c r="AV217" t="s">
        <v>86</v>
      </c>
      <c r="AW217" s="5">
        <f>data_origin!T3218</f>
        <v>0</v>
      </c>
      <c r="AX217" s="5">
        <f>data_origin!U3218</f>
        <v>0</v>
      </c>
      <c r="AY217" s="5">
        <f>data_origin!V3218</f>
        <v>0</v>
      </c>
      <c r="AZ217" s="5">
        <f>data_origin!W3218</f>
        <v>0</v>
      </c>
      <c r="BA217" s="5">
        <f>data_origin!X3218</f>
        <v>0</v>
      </c>
      <c r="BB217" s="5">
        <f>data_origin!Y3218</f>
        <v>0</v>
      </c>
      <c r="BC217" s="5">
        <f>data_origin!Z3218</f>
        <v>0</v>
      </c>
      <c r="BD217" s="5">
        <f>data_origin!AA3218</f>
        <v>0</v>
      </c>
      <c r="BE217" s="9">
        <f t="shared" si="28"/>
        <v>0</v>
      </c>
    </row>
    <row r="218" spans="4:57" x14ac:dyDescent="0.25">
      <c r="D218" t="s">
        <v>87</v>
      </c>
      <c r="E218" s="38">
        <f t="shared" si="33"/>
        <v>0</v>
      </c>
      <c r="F218" s="38">
        <f t="shared" si="33"/>
        <v>0</v>
      </c>
      <c r="G218" s="38">
        <f t="shared" si="33"/>
        <v>6.696101862071882</v>
      </c>
      <c r="H218" s="38">
        <f t="shared" si="32"/>
        <v>18.232980605553426</v>
      </c>
      <c r="I218" s="38">
        <f t="shared" si="32"/>
        <v>22.30758673830271</v>
      </c>
      <c r="J218" s="38">
        <f t="shared" si="32"/>
        <v>1.1681368829973884</v>
      </c>
      <c r="K218" s="38">
        <f t="shared" si="32"/>
        <v>0</v>
      </c>
      <c r="L218" s="38">
        <f t="shared" si="29"/>
        <v>0</v>
      </c>
      <c r="M218" s="35">
        <f t="shared" si="31"/>
        <v>48.404806088925405</v>
      </c>
      <c r="S218" t="s">
        <v>87</v>
      </c>
      <c r="T218" s="5">
        <f>data_origin!T258</f>
        <v>0</v>
      </c>
      <c r="U218" s="5">
        <f>data_origin!U258</f>
        <v>0</v>
      </c>
      <c r="V218" s="5">
        <f>data_origin!V258</f>
        <v>6.6440071556350624</v>
      </c>
      <c r="W218" s="5">
        <f>data_origin!W258</f>
        <v>18.008257638315442</v>
      </c>
      <c r="X218" s="5">
        <f>data_origin!X258</f>
        <v>21.917159763313609</v>
      </c>
      <c r="Y218" s="5">
        <f>data_origin!Y258</f>
        <v>1.1444444444444444</v>
      </c>
      <c r="Z218" s="5">
        <f>data_origin!Z258</f>
        <v>0</v>
      </c>
      <c r="AA218" s="5">
        <f>data_origin!AA258</f>
        <v>0</v>
      </c>
      <c r="AB218" s="5">
        <f t="shared" si="26"/>
        <v>47.713869001708559</v>
      </c>
      <c r="AH218" t="s">
        <v>87</v>
      </c>
      <c r="AI218" s="5">
        <f>data_origin!T2505</f>
        <v>0</v>
      </c>
      <c r="AJ218" s="5">
        <f>data_origin!U2505</f>
        <v>0</v>
      </c>
      <c r="AK218" s="5">
        <f>data_origin!V2505</f>
        <v>0</v>
      </c>
      <c r="AL218" s="5">
        <f>data_origin!W2505</f>
        <v>0</v>
      </c>
      <c r="AM218" s="5">
        <f>data_origin!X2505</f>
        <v>0</v>
      </c>
      <c r="AN218" s="5">
        <f>data_origin!Y2505</f>
        <v>0</v>
      </c>
      <c r="AO218" s="5">
        <f>data_origin!Z2505</f>
        <v>0</v>
      </c>
      <c r="AP218" s="5">
        <f>data_origin!AA2505</f>
        <v>0</v>
      </c>
      <c r="AQ218" s="9">
        <f t="shared" si="27"/>
        <v>0</v>
      </c>
      <c r="AV218" t="s">
        <v>87</v>
      </c>
      <c r="AW218" s="5">
        <f>data_origin!T3219</f>
        <v>0</v>
      </c>
      <c r="AX218" s="5">
        <f>data_origin!U3219</f>
        <v>0</v>
      </c>
      <c r="AY218" s="5">
        <f>data_origin!V3219</f>
        <v>0</v>
      </c>
      <c r="AZ218" s="5">
        <f>data_origin!W3219</f>
        <v>0</v>
      </c>
      <c r="BA218" s="5">
        <f>data_origin!X3219</f>
        <v>0</v>
      </c>
      <c r="BB218" s="5">
        <f>data_origin!Y3219</f>
        <v>0</v>
      </c>
      <c r="BC218" s="5">
        <f>data_origin!Z3219</f>
        <v>0</v>
      </c>
      <c r="BD218" s="5">
        <f>data_origin!AA3219</f>
        <v>0</v>
      </c>
      <c r="BE218" s="9">
        <f t="shared" si="28"/>
        <v>0</v>
      </c>
    </row>
    <row r="219" spans="4:57" x14ac:dyDescent="0.25">
      <c r="D219" t="s">
        <v>88</v>
      </c>
      <c r="E219" s="38">
        <f t="shared" si="33"/>
        <v>0</v>
      </c>
      <c r="F219" s="38">
        <f t="shared" si="33"/>
        <v>0</v>
      </c>
      <c r="G219" s="38">
        <f t="shared" si="33"/>
        <v>42.292628149443274</v>
      </c>
      <c r="H219" s="38">
        <f t="shared" si="32"/>
        <v>121.93305779963853</v>
      </c>
      <c r="I219" s="38">
        <f t="shared" si="32"/>
        <v>97.038002311616779</v>
      </c>
      <c r="J219" s="38">
        <f t="shared" si="32"/>
        <v>8.1769581809817193</v>
      </c>
      <c r="K219" s="38">
        <f t="shared" si="32"/>
        <v>2.0373134328358211</v>
      </c>
      <c r="L219" s="38">
        <f t="shared" si="29"/>
        <v>0</v>
      </c>
      <c r="M219" s="35">
        <f t="shared" si="31"/>
        <v>271.47795987451616</v>
      </c>
      <c r="S219" t="s">
        <v>88</v>
      </c>
      <c r="T219" s="5">
        <f>data_origin!T259</f>
        <v>0</v>
      </c>
      <c r="U219" s="5">
        <f>data_origin!U259</f>
        <v>0</v>
      </c>
      <c r="V219" s="5">
        <f>data_origin!V259</f>
        <v>40.971377459749554</v>
      </c>
      <c r="W219" s="5">
        <f>data_origin!W259</f>
        <v>120.43022295623452</v>
      </c>
      <c r="X219" s="5">
        <f>data_origin!X259</f>
        <v>95.339644970414199</v>
      </c>
      <c r="Y219" s="5">
        <f>data_origin!Y259</f>
        <v>8.0111111111111111</v>
      </c>
      <c r="Z219" s="5">
        <f>data_origin!Z259</f>
        <v>2</v>
      </c>
      <c r="AA219" s="5">
        <f>data_origin!AA259</f>
        <v>0</v>
      </c>
      <c r="AB219" s="5">
        <f t="shared" si="26"/>
        <v>266.75235649750937</v>
      </c>
      <c r="AH219" t="s">
        <v>88</v>
      </c>
      <c r="AI219" s="5">
        <f>data_origin!T2506</f>
        <v>0</v>
      </c>
      <c r="AJ219" s="5">
        <f>data_origin!U2506</f>
        <v>0</v>
      </c>
      <c r="AK219" s="5">
        <f>data_origin!V2506</f>
        <v>0</v>
      </c>
      <c r="AL219" s="5">
        <f>data_origin!W2506</f>
        <v>0</v>
      </c>
      <c r="AM219" s="5">
        <f>data_origin!X2506</f>
        <v>0</v>
      </c>
      <c r="AN219" s="5">
        <f>data_origin!Y2506</f>
        <v>0</v>
      </c>
      <c r="AO219" s="5">
        <f>data_origin!Z2506</f>
        <v>0</v>
      </c>
      <c r="AP219" s="5">
        <f>data_origin!AA2506</f>
        <v>0</v>
      </c>
      <c r="AQ219" s="9">
        <f t="shared" si="27"/>
        <v>0</v>
      </c>
      <c r="AV219" t="s">
        <v>88</v>
      </c>
      <c r="AW219" s="5">
        <f>data_origin!T3220</f>
        <v>0</v>
      </c>
      <c r="AX219" s="5">
        <f>data_origin!U3220</f>
        <v>0</v>
      </c>
      <c r="AY219" s="5">
        <f>data_origin!V3220</f>
        <v>0</v>
      </c>
      <c r="AZ219" s="5">
        <f>data_origin!W3220</f>
        <v>0</v>
      </c>
      <c r="BA219" s="5">
        <f>data_origin!X3220</f>
        <v>0</v>
      </c>
      <c r="BB219" s="5">
        <f>data_origin!Y3220</f>
        <v>0</v>
      </c>
      <c r="BC219" s="5">
        <f>data_origin!Z3220</f>
        <v>0</v>
      </c>
      <c r="BD219" s="5">
        <f>data_origin!AA3220</f>
        <v>0</v>
      </c>
      <c r="BE219" s="9">
        <f t="shared" si="28"/>
        <v>0</v>
      </c>
    </row>
    <row r="220" spans="4:57" x14ac:dyDescent="0.25">
      <c r="D220" t="s">
        <v>89</v>
      </c>
      <c r="E220" s="38">
        <f t="shared" si="33"/>
        <v>0</v>
      </c>
      <c r="F220" s="38">
        <f t="shared" si="33"/>
        <v>0</v>
      </c>
      <c r="G220" s="38">
        <f t="shared" si="33"/>
        <v>1.1160169770119805</v>
      </c>
      <c r="H220" s="38">
        <f t="shared" si="32"/>
        <v>3.4186838635412675</v>
      </c>
      <c r="I220" s="38">
        <f t="shared" si="32"/>
        <v>3.3461380107454062</v>
      </c>
      <c r="J220" s="38">
        <f t="shared" si="32"/>
        <v>1.1681368829973884</v>
      </c>
      <c r="K220" s="38">
        <f t="shared" si="32"/>
        <v>0</v>
      </c>
      <c r="L220" s="38">
        <f t="shared" si="29"/>
        <v>0</v>
      </c>
      <c r="M220" s="35">
        <f t="shared" si="31"/>
        <v>9.0489757342960431</v>
      </c>
      <c r="S220" t="s">
        <v>89</v>
      </c>
      <c r="T220" s="5">
        <f>data_origin!T260</f>
        <v>0</v>
      </c>
      <c r="U220" s="5">
        <f>data_origin!U260</f>
        <v>0</v>
      </c>
      <c r="V220" s="5">
        <f>data_origin!V260</f>
        <v>1.1073345259391771</v>
      </c>
      <c r="W220" s="5">
        <f>data_origin!W260</f>
        <v>3.3765483071841453</v>
      </c>
      <c r="X220" s="5">
        <f>data_origin!X260</f>
        <v>3.2875739644970414</v>
      </c>
      <c r="Y220" s="5">
        <f>data_origin!Y260</f>
        <v>1.1444444444444444</v>
      </c>
      <c r="Z220" s="5">
        <f>data_origin!Z260</f>
        <v>0</v>
      </c>
      <c r="AA220" s="5">
        <f>data_origin!AA260</f>
        <v>0</v>
      </c>
      <c r="AB220" s="5">
        <f t="shared" si="26"/>
        <v>8.9159012420648089</v>
      </c>
      <c r="AH220" t="s">
        <v>89</v>
      </c>
      <c r="AI220" s="5">
        <f>data_origin!T2507</f>
        <v>0</v>
      </c>
      <c r="AJ220" s="5">
        <f>data_origin!U2507</f>
        <v>0</v>
      </c>
      <c r="AK220" s="5">
        <f>data_origin!V2507</f>
        <v>0</v>
      </c>
      <c r="AL220" s="5">
        <f>data_origin!W2507</f>
        <v>0</v>
      </c>
      <c r="AM220" s="5">
        <f>data_origin!X2507</f>
        <v>0</v>
      </c>
      <c r="AN220" s="5">
        <f>data_origin!Y2507</f>
        <v>0</v>
      </c>
      <c r="AO220" s="5">
        <f>data_origin!Z2507</f>
        <v>0</v>
      </c>
      <c r="AP220" s="5">
        <f>data_origin!AA2507</f>
        <v>0</v>
      </c>
      <c r="AQ220" s="9">
        <f t="shared" si="27"/>
        <v>0</v>
      </c>
      <c r="AV220" t="s">
        <v>89</v>
      </c>
      <c r="AW220" s="5">
        <f>data_origin!T3221</f>
        <v>0</v>
      </c>
      <c r="AX220" s="5">
        <f>data_origin!U3221</f>
        <v>0</v>
      </c>
      <c r="AY220" s="5">
        <f>data_origin!V3221</f>
        <v>0</v>
      </c>
      <c r="AZ220" s="5">
        <f>data_origin!W3221</f>
        <v>0</v>
      </c>
      <c r="BA220" s="5">
        <f>data_origin!X3221</f>
        <v>0</v>
      </c>
      <c r="BB220" s="5">
        <f>data_origin!Y3221</f>
        <v>0</v>
      </c>
      <c r="BC220" s="5">
        <f>data_origin!Z3221</f>
        <v>0</v>
      </c>
      <c r="BD220" s="5">
        <f>data_origin!AA3221</f>
        <v>0</v>
      </c>
      <c r="BE220" s="9">
        <f t="shared" si="28"/>
        <v>0</v>
      </c>
    </row>
    <row r="221" spans="4:57" x14ac:dyDescent="0.25">
      <c r="D221" t="s">
        <v>90</v>
      </c>
      <c r="E221" s="38">
        <f t="shared" si="33"/>
        <v>0</v>
      </c>
      <c r="F221" s="38">
        <f t="shared" si="33"/>
        <v>0</v>
      </c>
      <c r="G221" s="38">
        <f t="shared" si="33"/>
        <v>0</v>
      </c>
      <c r="H221" s="38">
        <f t="shared" si="32"/>
        <v>0</v>
      </c>
      <c r="I221" s="38">
        <f t="shared" si="32"/>
        <v>0</v>
      </c>
      <c r="J221" s="38">
        <f t="shared" si="32"/>
        <v>0</v>
      </c>
      <c r="K221" s="38">
        <f t="shared" si="32"/>
        <v>0</v>
      </c>
      <c r="L221" s="38">
        <f t="shared" si="29"/>
        <v>0</v>
      </c>
      <c r="M221" s="35">
        <f t="shared" si="31"/>
        <v>0</v>
      </c>
      <c r="S221" t="s">
        <v>90</v>
      </c>
      <c r="T221" s="5">
        <f>data_origin!T261</f>
        <v>0</v>
      </c>
      <c r="U221" s="5">
        <f>data_origin!U261</f>
        <v>0</v>
      </c>
      <c r="V221" s="5">
        <f>data_origin!V261</f>
        <v>0</v>
      </c>
      <c r="W221" s="5">
        <f>data_origin!W261</f>
        <v>0</v>
      </c>
      <c r="X221" s="5">
        <f>data_origin!X261</f>
        <v>0</v>
      </c>
      <c r="Y221" s="5">
        <f>data_origin!Y261</f>
        <v>0</v>
      </c>
      <c r="Z221" s="5">
        <f>data_origin!Z261</f>
        <v>0</v>
      </c>
      <c r="AA221" s="5">
        <f>data_origin!AA261</f>
        <v>0</v>
      </c>
      <c r="AB221" s="5">
        <f t="shared" si="26"/>
        <v>0</v>
      </c>
      <c r="AH221" t="s">
        <v>90</v>
      </c>
      <c r="AI221" s="5">
        <f>data_origin!T2508</f>
        <v>0</v>
      </c>
      <c r="AJ221" s="5">
        <f>data_origin!U2508</f>
        <v>0</v>
      </c>
      <c r="AK221" s="5">
        <f>data_origin!V2508</f>
        <v>0</v>
      </c>
      <c r="AL221" s="5">
        <f>data_origin!W2508</f>
        <v>0</v>
      </c>
      <c r="AM221" s="5">
        <f>data_origin!X2508</f>
        <v>0</v>
      </c>
      <c r="AN221" s="5">
        <f>data_origin!Y2508</f>
        <v>0</v>
      </c>
      <c r="AO221" s="5">
        <f>data_origin!Z2508</f>
        <v>0</v>
      </c>
      <c r="AP221" s="5">
        <f>data_origin!AA2508</f>
        <v>0</v>
      </c>
      <c r="AQ221" s="9">
        <f t="shared" si="27"/>
        <v>0</v>
      </c>
      <c r="AV221" t="s">
        <v>90</v>
      </c>
      <c r="AW221" s="5">
        <f>data_origin!T3222</f>
        <v>0</v>
      </c>
      <c r="AX221" s="5">
        <f>data_origin!U3222</f>
        <v>0</v>
      </c>
      <c r="AY221" s="5">
        <f>data_origin!V3222</f>
        <v>0</v>
      </c>
      <c r="AZ221" s="5">
        <f>data_origin!W3222</f>
        <v>0</v>
      </c>
      <c r="BA221" s="5">
        <f>data_origin!X3222</f>
        <v>0</v>
      </c>
      <c r="BB221" s="5">
        <f>data_origin!Y3222</f>
        <v>0</v>
      </c>
      <c r="BC221" s="5">
        <f>data_origin!Z3222</f>
        <v>0</v>
      </c>
      <c r="BD221" s="5">
        <f>data_origin!AA3222</f>
        <v>0</v>
      </c>
      <c r="BE221" s="9">
        <f t="shared" si="28"/>
        <v>0</v>
      </c>
    </row>
    <row r="222" spans="4:57" x14ac:dyDescent="0.25">
      <c r="D222" t="s">
        <v>91</v>
      </c>
      <c r="E222" s="38">
        <f t="shared" si="33"/>
        <v>0</v>
      </c>
      <c r="F222" s="38">
        <f t="shared" si="33"/>
        <v>0</v>
      </c>
      <c r="G222" s="38">
        <f t="shared" si="33"/>
        <v>0</v>
      </c>
      <c r="H222" s="38">
        <f t="shared" si="32"/>
        <v>0</v>
      </c>
      <c r="I222" s="38">
        <f t="shared" si="32"/>
        <v>0</v>
      </c>
      <c r="J222" s="38">
        <f t="shared" si="32"/>
        <v>0</v>
      </c>
      <c r="K222" s="38">
        <f t="shared" si="32"/>
        <v>0</v>
      </c>
      <c r="L222" s="38">
        <f t="shared" si="29"/>
        <v>0</v>
      </c>
      <c r="M222" s="35">
        <f t="shared" si="31"/>
        <v>0</v>
      </c>
      <c r="S222" t="s">
        <v>91</v>
      </c>
      <c r="T222" s="5">
        <f>data_origin!T262</f>
        <v>0</v>
      </c>
      <c r="U222" s="5">
        <f>data_origin!U262</f>
        <v>0</v>
      </c>
      <c r="V222" s="5">
        <f>data_origin!V262</f>
        <v>0</v>
      </c>
      <c r="W222" s="5">
        <f>data_origin!W262</f>
        <v>0</v>
      </c>
      <c r="X222" s="5">
        <f>data_origin!X262</f>
        <v>0</v>
      </c>
      <c r="Y222" s="5">
        <f>data_origin!Y262</f>
        <v>0</v>
      </c>
      <c r="Z222" s="5">
        <f>data_origin!Z262</f>
        <v>0</v>
      </c>
      <c r="AA222" s="5">
        <f>data_origin!AA262</f>
        <v>0</v>
      </c>
      <c r="AB222" s="5">
        <f t="shared" si="26"/>
        <v>0</v>
      </c>
      <c r="AH222" t="s">
        <v>91</v>
      </c>
      <c r="AI222" s="5">
        <f>data_origin!T2509</f>
        <v>0</v>
      </c>
      <c r="AJ222" s="5">
        <f>data_origin!U2509</f>
        <v>0</v>
      </c>
      <c r="AK222" s="5">
        <f>data_origin!V2509</f>
        <v>0</v>
      </c>
      <c r="AL222" s="5">
        <f>data_origin!W2509</f>
        <v>0</v>
      </c>
      <c r="AM222" s="5">
        <f>data_origin!X2509</f>
        <v>0</v>
      </c>
      <c r="AN222" s="5">
        <f>data_origin!Y2509</f>
        <v>0</v>
      </c>
      <c r="AO222" s="5">
        <f>data_origin!Z2509</f>
        <v>0</v>
      </c>
      <c r="AP222" s="5">
        <f>data_origin!AA2509</f>
        <v>0</v>
      </c>
      <c r="AQ222" s="9">
        <f t="shared" si="27"/>
        <v>0</v>
      </c>
      <c r="AV222" t="s">
        <v>91</v>
      </c>
      <c r="AW222" s="5">
        <f>data_origin!T3223</f>
        <v>0</v>
      </c>
      <c r="AX222" s="5">
        <f>data_origin!U3223</f>
        <v>0</v>
      </c>
      <c r="AY222" s="5">
        <f>data_origin!V3223</f>
        <v>0</v>
      </c>
      <c r="AZ222" s="5">
        <f>data_origin!W3223</f>
        <v>0</v>
      </c>
      <c r="BA222" s="5">
        <f>data_origin!X3223</f>
        <v>0</v>
      </c>
      <c r="BB222" s="5">
        <f>data_origin!Y3223</f>
        <v>0</v>
      </c>
      <c r="BC222" s="5">
        <f>data_origin!Z3223</f>
        <v>0</v>
      </c>
      <c r="BD222" s="5">
        <f>data_origin!AA3223</f>
        <v>0</v>
      </c>
      <c r="BE222" s="9">
        <f t="shared" si="28"/>
        <v>0</v>
      </c>
    </row>
    <row r="223" spans="4:57" x14ac:dyDescent="0.25">
      <c r="D223" t="s">
        <v>92</v>
      </c>
      <c r="E223" s="38">
        <f t="shared" si="33"/>
        <v>0</v>
      </c>
      <c r="F223" s="38">
        <f t="shared" si="33"/>
        <v>0</v>
      </c>
      <c r="G223" s="38">
        <f t="shared" si="33"/>
        <v>0</v>
      </c>
      <c r="H223" s="38">
        <f t="shared" si="32"/>
        <v>0</v>
      </c>
      <c r="I223" s="38">
        <f t="shared" si="32"/>
        <v>0</v>
      </c>
      <c r="J223" s="38">
        <f t="shared" si="32"/>
        <v>0</v>
      </c>
      <c r="K223" s="38">
        <f t="shared" si="32"/>
        <v>0</v>
      </c>
      <c r="L223" s="38">
        <f t="shared" si="29"/>
        <v>0</v>
      </c>
      <c r="M223" s="35">
        <f t="shared" si="31"/>
        <v>0</v>
      </c>
      <c r="S223" t="s">
        <v>92</v>
      </c>
      <c r="T223" s="5">
        <f>data_origin!T263</f>
        <v>0</v>
      </c>
      <c r="U223" s="5">
        <f>data_origin!U263</f>
        <v>0</v>
      </c>
      <c r="V223" s="5">
        <f>data_origin!V263</f>
        <v>0</v>
      </c>
      <c r="W223" s="5">
        <f>data_origin!W263</f>
        <v>0</v>
      </c>
      <c r="X223" s="5">
        <f>data_origin!X263</f>
        <v>0</v>
      </c>
      <c r="Y223" s="5">
        <f>data_origin!Y263</f>
        <v>0</v>
      </c>
      <c r="Z223" s="5">
        <f>data_origin!Z263</f>
        <v>0</v>
      </c>
      <c r="AA223" s="5">
        <f>data_origin!AA263</f>
        <v>0</v>
      </c>
      <c r="AB223" s="5">
        <f t="shared" si="26"/>
        <v>0</v>
      </c>
      <c r="AH223" t="s">
        <v>92</v>
      </c>
      <c r="AI223" s="5">
        <f>data_origin!T2510</f>
        <v>0</v>
      </c>
      <c r="AJ223" s="5">
        <f>data_origin!U2510</f>
        <v>0</v>
      </c>
      <c r="AK223" s="5">
        <f>data_origin!V2510</f>
        <v>0</v>
      </c>
      <c r="AL223" s="5">
        <f>data_origin!W2510</f>
        <v>0</v>
      </c>
      <c r="AM223" s="5">
        <f>data_origin!X2510</f>
        <v>0</v>
      </c>
      <c r="AN223" s="5">
        <f>data_origin!Y2510</f>
        <v>0</v>
      </c>
      <c r="AO223" s="5">
        <f>data_origin!Z2510</f>
        <v>0</v>
      </c>
      <c r="AP223" s="5">
        <f>data_origin!AA2510</f>
        <v>0</v>
      </c>
      <c r="AQ223" s="9">
        <f t="shared" si="27"/>
        <v>0</v>
      </c>
      <c r="AV223" t="s">
        <v>92</v>
      </c>
      <c r="AW223" s="5">
        <f>data_origin!T3224</f>
        <v>0</v>
      </c>
      <c r="AX223" s="5">
        <f>data_origin!U3224</f>
        <v>0</v>
      </c>
      <c r="AY223" s="5">
        <f>data_origin!V3224</f>
        <v>0</v>
      </c>
      <c r="AZ223" s="5">
        <f>data_origin!W3224</f>
        <v>0</v>
      </c>
      <c r="BA223" s="5">
        <f>data_origin!X3224</f>
        <v>0</v>
      </c>
      <c r="BB223" s="5">
        <f>data_origin!Y3224</f>
        <v>0</v>
      </c>
      <c r="BC223" s="5">
        <f>data_origin!Z3224</f>
        <v>0</v>
      </c>
      <c r="BD223" s="5">
        <f>data_origin!AA3224</f>
        <v>0</v>
      </c>
      <c r="BE223" s="9">
        <f t="shared" si="28"/>
        <v>0</v>
      </c>
    </row>
    <row r="224" spans="4:57" x14ac:dyDescent="0.25">
      <c r="D224" t="s">
        <v>93</v>
      </c>
      <c r="E224" s="38">
        <f t="shared" si="33"/>
        <v>0</v>
      </c>
      <c r="F224" s="38">
        <f t="shared" si="33"/>
        <v>0</v>
      </c>
      <c r="G224" s="38">
        <f t="shared" si="33"/>
        <v>0</v>
      </c>
      <c r="H224" s="38">
        <f t="shared" si="32"/>
        <v>0</v>
      </c>
      <c r="I224" s="38">
        <f t="shared" si="32"/>
        <v>0</v>
      </c>
      <c r="J224" s="38">
        <f t="shared" si="32"/>
        <v>0</v>
      </c>
      <c r="K224" s="38">
        <f t="shared" si="32"/>
        <v>0</v>
      </c>
      <c r="L224" s="38">
        <f t="shared" si="29"/>
        <v>0</v>
      </c>
      <c r="M224" s="35">
        <f t="shared" si="31"/>
        <v>0</v>
      </c>
      <c r="S224" t="s">
        <v>93</v>
      </c>
      <c r="T224" s="5">
        <f>data_origin!T264</f>
        <v>0</v>
      </c>
      <c r="U224" s="5">
        <f>data_origin!U264</f>
        <v>0</v>
      </c>
      <c r="V224" s="5">
        <f>data_origin!V264</f>
        <v>0</v>
      </c>
      <c r="W224" s="5">
        <f>data_origin!W264</f>
        <v>0</v>
      </c>
      <c r="X224" s="5">
        <f>data_origin!X264</f>
        <v>0</v>
      </c>
      <c r="Y224" s="5">
        <f>data_origin!Y264</f>
        <v>0</v>
      </c>
      <c r="Z224" s="5">
        <f>data_origin!Z264</f>
        <v>0</v>
      </c>
      <c r="AA224" s="5">
        <f>data_origin!AA264</f>
        <v>0</v>
      </c>
      <c r="AB224" s="5">
        <f t="shared" ref="AB224:AB287" si="34">SUM(T224:AA224)</f>
        <v>0</v>
      </c>
      <c r="AH224" t="s">
        <v>93</v>
      </c>
      <c r="AI224" s="5">
        <f>data_origin!T2511</f>
        <v>0</v>
      </c>
      <c r="AJ224" s="5">
        <f>data_origin!U2511</f>
        <v>0</v>
      </c>
      <c r="AK224" s="5">
        <f>data_origin!V2511</f>
        <v>0</v>
      </c>
      <c r="AL224" s="5">
        <f>data_origin!W2511</f>
        <v>0</v>
      </c>
      <c r="AM224" s="5">
        <f>data_origin!X2511</f>
        <v>0</v>
      </c>
      <c r="AN224" s="5">
        <f>data_origin!Y2511</f>
        <v>0</v>
      </c>
      <c r="AO224" s="5">
        <f>data_origin!Z2511</f>
        <v>0</v>
      </c>
      <c r="AP224" s="5">
        <f>data_origin!AA2511</f>
        <v>0</v>
      </c>
      <c r="AQ224" s="9">
        <f t="shared" si="27"/>
        <v>0</v>
      </c>
      <c r="AV224" t="s">
        <v>93</v>
      </c>
      <c r="AW224" s="5">
        <f>data_origin!T3225</f>
        <v>0</v>
      </c>
      <c r="AX224" s="5">
        <f>data_origin!U3225</f>
        <v>0</v>
      </c>
      <c r="AY224" s="5">
        <f>data_origin!V3225</f>
        <v>0</v>
      </c>
      <c r="AZ224" s="5">
        <f>data_origin!W3225</f>
        <v>0</v>
      </c>
      <c r="BA224" s="5">
        <f>data_origin!X3225</f>
        <v>0</v>
      </c>
      <c r="BB224" s="5">
        <f>data_origin!Y3225</f>
        <v>0</v>
      </c>
      <c r="BC224" s="5">
        <f>data_origin!Z3225</f>
        <v>0</v>
      </c>
      <c r="BD224" s="5">
        <f>data_origin!AA3225</f>
        <v>0</v>
      </c>
      <c r="BE224" s="9">
        <f t="shared" si="28"/>
        <v>0</v>
      </c>
    </row>
    <row r="225" spans="1:58" x14ac:dyDescent="0.25">
      <c r="D225" t="s">
        <v>94</v>
      </c>
      <c r="E225" s="38">
        <f t="shared" si="33"/>
        <v>0</v>
      </c>
      <c r="F225" s="38">
        <f t="shared" si="33"/>
        <v>0</v>
      </c>
      <c r="G225" s="38">
        <f t="shared" si="33"/>
        <v>0</v>
      </c>
      <c r="H225" s="38">
        <f t="shared" si="32"/>
        <v>0</v>
      </c>
      <c r="I225" s="38">
        <f t="shared" si="32"/>
        <v>0</v>
      </c>
      <c r="J225" s="38">
        <f t="shared" si="32"/>
        <v>0</v>
      </c>
      <c r="K225" s="38">
        <f t="shared" si="32"/>
        <v>0</v>
      </c>
      <c r="L225" s="38">
        <f t="shared" si="29"/>
        <v>0</v>
      </c>
      <c r="M225" s="35">
        <f t="shared" si="31"/>
        <v>0</v>
      </c>
      <c r="S225" t="s">
        <v>94</v>
      </c>
      <c r="T225" s="5">
        <f>data_origin!T265</f>
        <v>0</v>
      </c>
      <c r="U225" s="5">
        <f>data_origin!U265</f>
        <v>0</v>
      </c>
      <c r="V225" s="5">
        <f>data_origin!V265</f>
        <v>0</v>
      </c>
      <c r="W225" s="5">
        <f>data_origin!W265</f>
        <v>0</v>
      </c>
      <c r="X225" s="5">
        <f>data_origin!X265</f>
        <v>0</v>
      </c>
      <c r="Y225" s="5">
        <f>data_origin!Y265</f>
        <v>0</v>
      </c>
      <c r="Z225" s="5">
        <f>data_origin!Z265</f>
        <v>0</v>
      </c>
      <c r="AA225" s="5">
        <f>data_origin!AA265</f>
        <v>0</v>
      </c>
      <c r="AB225" s="5">
        <f t="shared" si="34"/>
        <v>0</v>
      </c>
      <c r="AH225" t="s">
        <v>94</v>
      </c>
      <c r="AI225" s="5">
        <f>data_origin!T2512</f>
        <v>0</v>
      </c>
      <c r="AJ225" s="5">
        <f>data_origin!U2512</f>
        <v>0</v>
      </c>
      <c r="AK225" s="5">
        <f>data_origin!V2512</f>
        <v>0</v>
      </c>
      <c r="AL225" s="5">
        <f>data_origin!W2512</f>
        <v>0</v>
      </c>
      <c r="AM225" s="5">
        <f>data_origin!X2512</f>
        <v>0</v>
      </c>
      <c r="AN225" s="5">
        <f>data_origin!Y2512</f>
        <v>0</v>
      </c>
      <c r="AO225" s="5">
        <f>data_origin!Z2512</f>
        <v>0</v>
      </c>
      <c r="AP225" s="5">
        <f>data_origin!AA2512</f>
        <v>0</v>
      </c>
      <c r="AQ225" s="9">
        <f t="shared" si="27"/>
        <v>0</v>
      </c>
      <c r="AV225" t="s">
        <v>94</v>
      </c>
      <c r="AW225" s="5">
        <f>data_origin!T3226</f>
        <v>0</v>
      </c>
      <c r="AX225" s="5">
        <f>data_origin!U3226</f>
        <v>0</v>
      </c>
      <c r="AY225" s="5">
        <f>data_origin!V3226</f>
        <v>0</v>
      </c>
      <c r="AZ225" s="5">
        <f>data_origin!W3226</f>
        <v>0</v>
      </c>
      <c r="BA225" s="5">
        <f>data_origin!X3226</f>
        <v>0</v>
      </c>
      <c r="BB225" s="5">
        <f>data_origin!Y3226</f>
        <v>0</v>
      </c>
      <c r="BC225" s="5">
        <f>data_origin!Z3226</f>
        <v>0</v>
      </c>
      <c r="BD225" s="5">
        <f>data_origin!AA3226</f>
        <v>0</v>
      </c>
      <c r="BE225" s="9">
        <f t="shared" si="28"/>
        <v>0</v>
      </c>
    </row>
    <row r="226" spans="1:58" x14ac:dyDescent="0.25">
      <c r="D226" t="s">
        <v>95</v>
      </c>
      <c r="E226" s="38">
        <f t="shared" si="33"/>
        <v>0</v>
      </c>
      <c r="F226" s="38">
        <f t="shared" si="33"/>
        <v>0</v>
      </c>
      <c r="G226" s="38">
        <f t="shared" si="33"/>
        <v>0</v>
      </c>
      <c r="H226" s="38">
        <f t="shared" si="32"/>
        <v>0</v>
      </c>
      <c r="I226" s="38">
        <f t="shared" si="32"/>
        <v>0</v>
      </c>
      <c r="J226" s="38">
        <f t="shared" si="32"/>
        <v>0</v>
      </c>
      <c r="K226" s="38">
        <f t="shared" si="32"/>
        <v>0</v>
      </c>
      <c r="L226" s="38">
        <f t="shared" si="29"/>
        <v>0</v>
      </c>
      <c r="M226" s="35">
        <f t="shared" si="31"/>
        <v>0</v>
      </c>
      <c r="S226" t="s">
        <v>95</v>
      </c>
      <c r="T226" s="5">
        <f>data_origin!T266</f>
        <v>0</v>
      </c>
      <c r="U226" s="5">
        <f>data_origin!U266</f>
        <v>0</v>
      </c>
      <c r="V226" s="5">
        <f>data_origin!V266</f>
        <v>0</v>
      </c>
      <c r="W226" s="5">
        <f>data_origin!W266</f>
        <v>0</v>
      </c>
      <c r="X226" s="5">
        <f>data_origin!X266</f>
        <v>0</v>
      </c>
      <c r="Y226" s="5">
        <f>data_origin!Y266</f>
        <v>0</v>
      </c>
      <c r="Z226" s="5">
        <f>data_origin!Z266</f>
        <v>0</v>
      </c>
      <c r="AA226" s="5">
        <f>data_origin!AA266</f>
        <v>0</v>
      </c>
      <c r="AB226" s="5">
        <f t="shared" si="34"/>
        <v>0</v>
      </c>
      <c r="AH226" t="s">
        <v>95</v>
      </c>
      <c r="AI226" s="5">
        <f>data_origin!T2513</f>
        <v>0</v>
      </c>
      <c r="AJ226" s="5">
        <f>data_origin!U2513</f>
        <v>0</v>
      </c>
      <c r="AK226" s="5">
        <f>data_origin!V2513</f>
        <v>0</v>
      </c>
      <c r="AL226" s="5">
        <f>data_origin!W2513</f>
        <v>0</v>
      </c>
      <c r="AM226" s="5">
        <f>data_origin!X2513</f>
        <v>0</v>
      </c>
      <c r="AN226" s="5">
        <f>data_origin!Y2513</f>
        <v>0</v>
      </c>
      <c r="AO226" s="5">
        <f>data_origin!Z2513</f>
        <v>0</v>
      </c>
      <c r="AP226" s="5">
        <f>data_origin!AA2513</f>
        <v>0</v>
      </c>
      <c r="AQ226" s="9">
        <f t="shared" si="27"/>
        <v>0</v>
      </c>
      <c r="AV226" t="s">
        <v>95</v>
      </c>
      <c r="AW226" s="5">
        <f>data_origin!T3227</f>
        <v>0</v>
      </c>
      <c r="AX226" s="5">
        <f>data_origin!U3227</f>
        <v>0</v>
      </c>
      <c r="AY226" s="5">
        <f>data_origin!V3227</f>
        <v>0</v>
      </c>
      <c r="AZ226" s="5">
        <f>data_origin!W3227</f>
        <v>0</v>
      </c>
      <c r="BA226" s="5">
        <f>data_origin!X3227</f>
        <v>0</v>
      </c>
      <c r="BB226" s="5">
        <f>data_origin!Y3227</f>
        <v>0</v>
      </c>
      <c r="BC226" s="5">
        <f>data_origin!Z3227</f>
        <v>0</v>
      </c>
      <c r="BD226" s="5">
        <f>data_origin!AA3227</f>
        <v>0</v>
      </c>
      <c r="BE226" s="9">
        <f t="shared" si="28"/>
        <v>0</v>
      </c>
    </row>
    <row r="227" spans="1:58" x14ac:dyDescent="0.25">
      <c r="D227" t="s">
        <v>96</v>
      </c>
      <c r="E227" s="38">
        <f t="shared" si="33"/>
        <v>0</v>
      </c>
      <c r="F227" s="38">
        <f t="shared" si="33"/>
        <v>0</v>
      </c>
      <c r="G227" s="38">
        <f t="shared" si="33"/>
        <v>0</v>
      </c>
      <c r="H227" s="38">
        <f t="shared" si="32"/>
        <v>0</v>
      </c>
      <c r="I227" s="38">
        <f t="shared" si="32"/>
        <v>1.1153793369151355</v>
      </c>
      <c r="J227" s="38">
        <f t="shared" si="32"/>
        <v>0</v>
      </c>
      <c r="K227" s="38">
        <f t="shared" si="32"/>
        <v>0</v>
      </c>
      <c r="L227" s="38">
        <f t="shared" si="29"/>
        <v>0</v>
      </c>
      <c r="M227" s="35">
        <f t="shared" si="31"/>
        <v>1.1153793369151355</v>
      </c>
      <c r="S227" t="s">
        <v>96</v>
      </c>
      <c r="T227" s="5">
        <f>data_origin!T267</f>
        <v>0</v>
      </c>
      <c r="U227" s="5">
        <f>data_origin!U267</f>
        <v>0</v>
      </c>
      <c r="V227" s="5">
        <f>data_origin!V267</f>
        <v>0</v>
      </c>
      <c r="W227" s="5">
        <f>data_origin!W267</f>
        <v>0</v>
      </c>
      <c r="X227" s="5">
        <f>data_origin!X267</f>
        <v>1.0958579881656805</v>
      </c>
      <c r="Y227" s="5">
        <f>data_origin!Y267</f>
        <v>0</v>
      </c>
      <c r="Z227" s="5">
        <f>data_origin!Z267</f>
        <v>0</v>
      </c>
      <c r="AA227" s="5">
        <f>data_origin!AA267</f>
        <v>0</v>
      </c>
      <c r="AB227" s="5">
        <f t="shared" si="34"/>
        <v>1.0958579881656805</v>
      </c>
      <c r="AH227" t="s">
        <v>96</v>
      </c>
      <c r="AI227" s="5">
        <f>data_origin!T2514</f>
        <v>0</v>
      </c>
      <c r="AJ227" s="5">
        <f>data_origin!U2514</f>
        <v>0</v>
      </c>
      <c r="AK227" s="5">
        <f>data_origin!V2514</f>
        <v>0</v>
      </c>
      <c r="AL227" s="5">
        <f>data_origin!W2514</f>
        <v>0</v>
      </c>
      <c r="AM227" s="5">
        <f>data_origin!X2514</f>
        <v>0</v>
      </c>
      <c r="AN227" s="5">
        <f>data_origin!Y2514</f>
        <v>0</v>
      </c>
      <c r="AO227" s="5">
        <f>data_origin!Z2514</f>
        <v>0</v>
      </c>
      <c r="AP227" s="5">
        <f>data_origin!AA2514</f>
        <v>0</v>
      </c>
      <c r="AQ227" s="9">
        <f t="shared" si="27"/>
        <v>0</v>
      </c>
      <c r="AV227" t="s">
        <v>96</v>
      </c>
      <c r="AW227" s="5">
        <f>data_origin!T3228</f>
        <v>0</v>
      </c>
      <c r="AX227" s="5">
        <f>data_origin!U3228</f>
        <v>0</v>
      </c>
      <c r="AY227" s="5">
        <f>data_origin!V3228</f>
        <v>0</v>
      </c>
      <c r="AZ227" s="5">
        <f>data_origin!W3228</f>
        <v>0</v>
      </c>
      <c r="BA227" s="5">
        <f>data_origin!X3228</f>
        <v>0</v>
      </c>
      <c r="BB227" s="5">
        <f>data_origin!Y3228</f>
        <v>0</v>
      </c>
      <c r="BC227" s="5">
        <f>data_origin!Z3228</f>
        <v>0</v>
      </c>
      <c r="BD227" s="5">
        <f>data_origin!AA3228</f>
        <v>0</v>
      </c>
      <c r="BE227" s="9">
        <f t="shared" si="28"/>
        <v>0</v>
      </c>
    </row>
    <row r="228" spans="1:58" x14ac:dyDescent="0.25">
      <c r="D228" t="s">
        <v>97</v>
      </c>
      <c r="E228" s="38">
        <f t="shared" si="33"/>
        <v>0</v>
      </c>
      <c r="F228" s="38">
        <f t="shared" si="33"/>
        <v>0</v>
      </c>
      <c r="G228" s="38">
        <f t="shared" si="33"/>
        <v>0</v>
      </c>
      <c r="H228" s="38">
        <f t="shared" si="32"/>
        <v>0</v>
      </c>
      <c r="I228" s="38">
        <f t="shared" si="32"/>
        <v>0</v>
      </c>
      <c r="J228" s="38">
        <f t="shared" si="32"/>
        <v>0</v>
      </c>
      <c r="K228" s="38">
        <f t="shared" si="32"/>
        <v>0</v>
      </c>
      <c r="L228" s="38">
        <f t="shared" si="29"/>
        <v>0</v>
      </c>
      <c r="M228" s="35">
        <f t="shared" si="31"/>
        <v>0</v>
      </c>
      <c r="S228" t="s">
        <v>97</v>
      </c>
      <c r="T228" s="5">
        <f>data_origin!T268</f>
        <v>0</v>
      </c>
      <c r="U228" s="5">
        <f>data_origin!U268</f>
        <v>0</v>
      </c>
      <c r="V228" s="5">
        <f>data_origin!V268</f>
        <v>0</v>
      </c>
      <c r="W228" s="5">
        <f>data_origin!W268</f>
        <v>0</v>
      </c>
      <c r="X228" s="5">
        <f>data_origin!X268</f>
        <v>0</v>
      </c>
      <c r="Y228" s="5">
        <f>data_origin!Y268</f>
        <v>0</v>
      </c>
      <c r="Z228" s="5">
        <f>data_origin!Z268</f>
        <v>0</v>
      </c>
      <c r="AA228" s="5">
        <f>data_origin!AA268</f>
        <v>0</v>
      </c>
      <c r="AB228" s="5">
        <f t="shared" si="34"/>
        <v>0</v>
      </c>
      <c r="AH228" t="s">
        <v>97</v>
      </c>
      <c r="AI228" s="5">
        <f>data_origin!T2515</f>
        <v>0</v>
      </c>
      <c r="AJ228" s="5">
        <f>data_origin!U2515</f>
        <v>0</v>
      </c>
      <c r="AK228" s="5">
        <f>data_origin!V2515</f>
        <v>0</v>
      </c>
      <c r="AL228" s="5">
        <f>data_origin!W2515</f>
        <v>0</v>
      </c>
      <c r="AM228" s="5">
        <f>data_origin!X2515</f>
        <v>0</v>
      </c>
      <c r="AN228" s="5">
        <f>data_origin!Y2515</f>
        <v>0</v>
      </c>
      <c r="AO228" s="5">
        <f>data_origin!Z2515</f>
        <v>0</v>
      </c>
      <c r="AP228" s="5">
        <f>data_origin!AA2515</f>
        <v>0</v>
      </c>
      <c r="AQ228" s="9">
        <f t="shared" ref="AQ228:AQ291" si="35">SUM(AI228:AP228)</f>
        <v>0</v>
      </c>
      <c r="AV228" t="s">
        <v>97</v>
      </c>
      <c r="AW228" s="5">
        <f>data_origin!T3229</f>
        <v>0</v>
      </c>
      <c r="AX228" s="5">
        <f>data_origin!U3229</f>
        <v>0</v>
      </c>
      <c r="AY228" s="5">
        <f>data_origin!V3229</f>
        <v>0</v>
      </c>
      <c r="AZ228" s="5">
        <f>data_origin!W3229</f>
        <v>0</v>
      </c>
      <c r="BA228" s="5">
        <f>data_origin!X3229</f>
        <v>0</v>
      </c>
      <c r="BB228" s="5">
        <f>data_origin!Y3229</f>
        <v>0</v>
      </c>
      <c r="BC228" s="5">
        <f>data_origin!Z3229</f>
        <v>0</v>
      </c>
      <c r="BD228" s="5">
        <f>data_origin!AA3229</f>
        <v>0</v>
      </c>
      <c r="BE228" s="9">
        <f t="shared" ref="BE228:BE291" si="36">SUM(AW228:BD228)</f>
        <v>0</v>
      </c>
    </row>
    <row r="229" spans="1:58" x14ac:dyDescent="0.25">
      <c r="D229" t="s">
        <v>98</v>
      </c>
      <c r="E229" s="38">
        <f t="shared" si="33"/>
        <v>0</v>
      </c>
      <c r="F229" s="38">
        <f t="shared" si="33"/>
        <v>0</v>
      </c>
      <c r="G229" s="38">
        <f t="shared" si="33"/>
        <v>1.1160169770119805</v>
      </c>
      <c r="H229" s="38">
        <f t="shared" si="32"/>
        <v>0</v>
      </c>
      <c r="I229" s="38">
        <f t="shared" si="32"/>
        <v>1.1153793369151355</v>
      </c>
      <c r="J229" s="38">
        <f t="shared" si="32"/>
        <v>0</v>
      </c>
      <c r="K229" s="38">
        <f t="shared" si="32"/>
        <v>0</v>
      </c>
      <c r="L229" s="38">
        <f t="shared" si="29"/>
        <v>0</v>
      </c>
      <c r="M229" s="35">
        <f t="shared" si="31"/>
        <v>2.231396313927116</v>
      </c>
      <c r="S229" t="s">
        <v>98</v>
      </c>
      <c r="T229" s="5">
        <f>data_origin!T269</f>
        <v>0</v>
      </c>
      <c r="U229" s="5">
        <f>data_origin!U269</f>
        <v>0</v>
      </c>
      <c r="V229" s="5">
        <f>data_origin!V269</f>
        <v>1.1073345259391771</v>
      </c>
      <c r="W229" s="5">
        <f>data_origin!W269</f>
        <v>0</v>
      </c>
      <c r="X229" s="5">
        <f>data_origin!X269</f>
        <v>1.0958579881656805</v>
      </c>
      <c r="Y229" s="5">
        <f>data_origin!Y269</f>
        <v>0</v>
      </c>
      <c r="Z229" s="5">
        <f>data_origin!Z269</f>
        <v>0</v>
      </c>
      <c r="AA229" s="5">
        <f>data_origin!AA269</f>
        <v>0</v>
      </c>
      <c r="AB229" s="5">
        <f t="shared" si="34"/>
        <v>2.2031925141048578</v>
      </c>
      <c r="AH229" t="s">
        <v>98</v>
      </c>
      <c r="AI229" s="5">
        <f>data_origin!T2516</f>
        <v>0</v>
      </c>
      <c r="AJ229" s="5">
        <f>data_origin!U2516</f>
        <v>0</v>
      </c>
      <c r="AK229" s="5">
        <f>data_origin!V2516</f>
        <v>0</v>
      </c>
      <c r="AL229" s="5">
        <f>data_origin!W2516</f>
        <v>0</v>
      </c>
      <c r="AM229" s="5">
        <f>data_origin!X2516</f>
        <v>0</v>
      </c>
      <c r="AN229" s="5">
        <f>data_origin!Y2516</f>
        <v>0</v>
      </c>
      <c r="AO229" s="5">
        <f>data_origin!Z2516</f>
        <v>0</v>
      </c>
      <c r="AP229" s="5">
        <f>data_origin!AA2516</f>
        <v>0</v>
      </c>
      <c r="AQ229" s="9">
        <f t="shared" si="35"/>
        <v>0</v>
      </c>
      <c r="AV229" t="s">
        <v>98</v>
      </c>
      <c r="AW229" s="5">
        <f>data_origin!T3230</f>
        <v>0</v>
      </c>
      <c r="AX229" s="5">
        <f>data_origin!U3230</f>
        <v>0</v>
      </c>
      <c r="AY229" s="5">
        <f>data_origin!V3230</f>
        <v>0</v>
      </c>
      <c r="AZ229" s="5">
        <f>data_origin!W3230</f>
        <v>0</v>
      </c>
      <c r="BA229" s="5">
        <f>data_origin!X3230</f>
        <v>0</v>
      </c>
      <c r="BB229" s="5">
        <f>data_origin!Y3230</f>
        <v>0</v>
      </c>
      <c r="BC229" s="5">
        <f>data_origin!Z3230</f>
        <v>0</v>
      </c>
      <c r="BD229" s="5">
        <f>data_origin!AA3230</f>
        <v>0</v>
      </c>
      <c r="BE229" s="9">
        <f t="shared" si="36"/>
        <v>0</v>
      </c>
    </row>
    <row r="230" spans="1:58" x14ac:dyDescent="0.25">
      <c r="D230" t="s">
        <v>119</v>
      </c>
      <c r="E230" s="38">
        <f t="shared" si="33"/>
        <v>0</v>
      </c>
      <c r="F230" s="38">
        <f t="shared" si="33"/>
        <v>0</v>
      </c>
      <c r="G230" s="38">
        <f t="shared" si="33"/>
        <v>0</v>
      </c>
      <c r="H230" s="38">
        <f t="shared" si="32"/>
        <v>0</v>
      </c>
      <c r="I230" s="38">
        <f t="shared" si="32"/>
        <v>1.1153793369151355</v>
      </c>
      <c r="J230" s="38">
        <f t="shared" si="32"/>
        <v>0</v>
      </c>
      <c r="K230" s="38">
        <f t="shared" si="32"/>
        <v>0</v>
      </c>
      <c r="L230" s="38">
        <f t="shared" si="29"/>
        <v>0</v>
      </c>
      <c r="M230" s="35">
        <f t="shared" si="31"/>
        <v>1.1153793369151355</v>
      </c>
      <c r="S230" t="s">
        <v>119</v>
      </c>
      <c r="T230" s="5">
        <f>data_origin!T270</f>
        <v>0</v>
      </c>
      <c r="U230" s="5">
        <f>data_origin!U270</f>
        <v>0</v>
      </c>
      <c r="V230" s="5">
        <f>data_origin!V270</f>
        <v>0</v>
      </c>
      <c r="W230" s="5">
        <f>data_origin!W270</f>
        <v>0</v>
      </c>
      <c r="X230" s="5">
        <f>data_origin!X270</f>
        <v>1.0958579881656805</v>
      </c>
      <c r="Y230" s="5">
        <f>data_origin!Y270</f>
        <v>0</v>
      </c>
      <c r="Z230" s="5">
        <f>data_origin!Z270</f>
        <v>0</v>
      </c>
      <c r="AA230" s="5">
        <f>data_origin!AA270</f>
        <v>0</v>
      </c>
      <c r="AB230" s="5">
        <f t="shared" si="34"/>
        <v>1.0958579881656805</v>
      </c>
      <c r="AH230" t="s">
        <v>119</v>
      </c>
      <c r="AI230" s="5">
        <f>data_origin!T2517</f>
        <v>0</v>
      </c>
      <c r="AJ230" s="5">
        <f>data_origin!U2517</f>
        <v>0</v>
      </c>
      <c r="AK230" s="5">
        <f>data_origin!V2517</f>
        <v>0</v>
      </c>
      <c r="AL230" s="5">
        <f>data_origin!W2517</f>
        <v>0</v>
      </c>
      <c r="AM230" s="5">
        <f>data_origin!X2517</f>
        <v>0</v>
      </c>
      <c r="AN230" s="5">
        <f>data_origin!Y2517</f>
        <v>0</v>
      </c>
      <c r="AO230" s="5">
        <f>data_origin!Z2517</f>
        <v>0</v>
      </c>
      <c r="AP230" s="5">
        <f>data_origin!AA2517</f>
        <v>0</v>
      </c>
      <c r="AQ230" s="9">
        <f t="shared" si="35"/>
        <v>0</v>
      </c>
      <c r="AV230" t="s">
        <v>119</v>
      </c>
      <c r="AW230" s="5">
        <f>data_origin!T3231</f>
        <v>0</v>
      </c>
      <c r="AX230" s="5">
        <f>data_origin!U3231</f>
        <v>0</v>
      </c>
      <c r="AY230" s="5">
        <f>data_origin!V3231</f>
        <v>0</v>
      </c>
      <c r="AZ230" s="5">
        <f>data_origin!W3231</f>
        <v>0</v>
      </c>
      <c r="BA230" s="5">
        <f>data_origin!X3231</f>
        <v>0</v>
      </c>
      <c r="BB230" s="5">
        <f>data_origin!Y3231</f>
        <v>0</v>
      </c>
      <c r="BC230" s="5">
        <f>data_origin!Z3231</f>
        <v>0</v>
      </c>
      <c r="BD230" s="5">
        <f>data_origin!AA3231</f>
        <v>0</v>
      </c>
      <c r="BE230" s="9">
        <f t="shared" si="36"/>
        <v>0</v>
      </c>
    </row>
    <row r="231" spans="1:58" x14ac:dyDescent="0.25">
      <c r="D231" t="s">
        <v>99</v>
      </c>
      <c r="E231" s="38">
        <f t="shared" si="33"/>
        <v>0</v>
      </c>
      <c r="F231" s="38">
        <f t="shared" si="33"/>
        <v>0</v>
      </c>
      <c r="G231" s="38">
        <f t="shared" si="33"/>
        <v>0</v>
      </c>
      <c r="H231" s="38">
        <f t="shared" si="32"/>
        <v>6.837367727082535</v>
      </c>
      <c r="I231" s="38">
        <f t="shared" si="32"/>
        <v>2.2307586738302709</v>
      </c>
      <c r="J231" s="38">
        <f t="shared" si="32"/>
        <v>0</v>
      </c>
      <c r="K231" s="38">
        <f t="shared" si="32"/>
        <v>0</v>
      </c>
      <c r="L231" s="38">
        <f t="shared" si="32"/>
        <v>0</v>
      </c>
      <c r="M231" s="35">
        <f t="shared" si="31"/>
        <v>9.0681264009128064</v>
      </c>
      <c r="S231" t="s">
        <v>99</v>
      </c>
      <c r="T231" s="5">
        <f>data_origin!T271</f>
        <v>0</v>
      </c>
      <c r="U231" s="5">
        <f>data_origin!U271</f>
        <v>0</v>
      </c>
      <c r="V231" s="5">
        <f>data_origin!V271</f>
        <v>0</v>
      </c>
      <c r="W231" s="5">
        <f>data_origin!W271</f>
        <v>6.7530966143682907</v>
      </c>
      <c r="X231" s="5">
        <f>data_origin!X271</f>
        <v>2.1917159763313609</v>
      </c>
      <c r="Y231" s="5">
        <f>data_origin!Y271</f>
        <v>0</v>
      </c>
      <c r="Z231" s="5">
        <f>data_origin!Z271</f>
        <v>0</v>
      </c>
      <c r="AA231" s="5">
        <f>data_origin!AA271</f>
        <v>0</v>
      </c>
      <c r="AB231" s="5">
        <f t="shared" si="34"/>
        <v>8.9448125906996516</v>
      </c>
      <c r="AH231" t="s">
        <v>99</v>
      </c>
      <c r="AI231" s="5">
        <f>data_origin!T2518</f>
        <v>0</v>
      </c>
      <c r="AJ231" s="5">
        <f>data_origin!U2518</f>
        <v>0</v>
      </c>
      <c r="AK231" s="5">
        <f>data_origin!V2518</f>
        <v>0</v>
      </c>
      <c r="AL231" s="5">
        <f>data_origin!W2518</f>
        <v>0</v>
      </c>
      <c r="AM231" s="5">
        <f>data_origin!X2518</f>
        <v>0</v>
      </c>
      <c r="AN231" s="5">
        <f>data_origin!Y2518</f>
        <v>0</v>
      </c>
      <c r="AO231" s="5">
        <f>data_origin!Z2518</f>
        <v>0</v>
      </c>
      <c r="AP231" s="5">
        <f>data_origin!AA2518</f>
        <v>0</v>
      </c>
      <c r="AQ231" s="9">
        <f t="shared" si="35"/>
        <v>0</v>
      </c>
      <c r="AV231" t="s">
        <v>99</v>
      </c>
      <c r="AW231" s="5">
        <f>data_origin!T3232</f>
        <v>0</v>
      </c>
      <c r="AX231" s="5">
        <f>data_origin!U3232</f>
        <v>0</v>
      </c>
      <c r="AY231" s="5">
        <f>data_origin!V3232</f>
        <v>0</v>
      </c>
      <c r="AZ231" s="5">
        <f>data_origin!W3232</f>
        <v>0</v>
      </c>
      <c r="BA231" s="5">
        <f>data_origin!X3232</f>
        <v>0</v>
      </c>
      <c r="BB231" s="5">
        <f>data_origin!Y3232</f>
        <v>0</v>
      </c>
      <c r="BC231" s="5">
        <f>data_origin!Z3232</f>
        <v>0</v>
      </c>
      <c r="BD231" s="5">
        <f>data_origin!AA3232</f>
        <v>0</v>
      </c>
      <c r="BE231" s="9">
        <f t="shared" si="36"/>
        <v>0</v>
      </c>
    </row>
    <row r="232" spans="1:58" x14ac:dyDescent="0.25">
      <c r="D232" t="s">
        <v>100</v>
      </c>
      <c r="E232" s="38">
        <f t="shared" si="33"/>
        <v>0</v>
      </c>
      <c r="F232" s="38">
        <f t="shared" si="33"/>
        <v>0</v>
      </c>
      <c r="G232" s="38">
        <f t="shared" si="33"/>
        <v>1.1160169770119805</v>
      </c>
      <c r="H232" s="38">
        <f t="shared" si="32"/>
        <v>2.2791225756941782</v>
      </c>
      <c r="I232" s="38">
        <f t="shared" si="32"/>
        <v>0</v>
      </c>
      <c r="J232" s="38">
        <f t="shared" si="32"/>
        <v>0</v>
      </c>
      <c r="K232" s="38">
        <f t="shared" si="32"/>
        <v>1.0186567164179106</v>
      </c>
      <c r="L232" s="38">
        <f t="shared" si="32"/>
        <v>0</v>
      </c>
      <c r="M232" s="35">
        <f t="shared" si="31"/>
        <v>4.4137962691240693</v>
      </c>
      <c r="S232" t="s">
        <v>100</v>
      </c>
      <c r="T232" s="5">
        <f>data_origin!T272</f>
        <v>0</v>
      </c>
      <c r="U232" s="5">
        <f>data_origin!U272</f>
        <v>0</v>
      </c>
      <c r="V232" s="5">
        <f>data_origin!V272</f>
        <v>1.1073345259391771</v>
      </c>
      <c r="W232" s="5">
        <f>data_origin!W272</f>
        <v>2.2510322047894302</v>
      </c>
      <c r="X232" s="5">
        <f>data_origin!X272</f>
        <v>0</v>
      </c>
      <c r="Y232" s="5">
        <f>data_origin!Y272</f>
        <v>0</v>
      </c>
      <c r="Z232" s="5">
        <f>data_origin!Z272</f>
        <v>1</v>
      </c>
      <c r="AA232" s="5">
        <f>data_origin!AA272</f>
        <v>0</v>
      </c>
      <c r="AB232" s="5">
        <f t="shared" si="34"/>
        <v>4.3583667307286076</v>
      </c>
      <c r="AH232" t="s">
        <v>100</v>
      </c>
      <c r="AI232" s="5">
        <f>data_origin!T2519</f>
        <v>0</v>
      </c>
      <c r="AJ232" s="5">
        <f>data_origin!U2519</f>
        <v>0</v>
      </c>
      <c r="AK232" s="5">
        <f>data_origin!V2519</f>
        <v>0</v>
      </c>
      <c r="AL232" s="5">
        <f>data_origin!W2519</f>
        <v>0</v>
      </c>
      <c r="AM232" s="5">
        <f>data_origin!X2519</f>
        <v>0</v>
      </c>
      <c r="AN232" s="5">
        <f>data_origin!Y2519</f>
        <v>0</v>
      </c>
      <c r="AO232" s="5">
        <f>data_origin!Z2519</f>
        <v>0</v>
      </c>
      <c r="AP232" s="5">
        <f>data_origin!AA2519</f>
        <v>0</v>
      </c>
      <c r="AQ232" s="9">
        <f t="shared" si="35"/>
        <v>0</v>
      </c>
      <c r="AV232" t="s">
        <v>100</v>
      </c>
      <c r="AW232" s="5">
        <f>data_origin!T3233</f>
        <v>0</v>
      </c>
      <c r="AX232" s="5">
        <f>data_origin!U3233</f>
        <v>0</v>
      </c>
      <c r="AY232" s="5">
        <f>data_origin!V3233</f>
        <v>0</v>
      </c>
      <c r="AZ232" s="5">
        <f>data_origin!W3233</f>
        <v>0</v>
      </c>
      <c r="BA232" s="5">
        <f>data_origin!X3233</f>
        <v>0</v>
      </c>
      <c r="BB232" s="5">
        <f>data_origin!Y3233</f>
        <v>0</v>
      </c>
      <c r="BC232" s="5">
        <f>data_origin!Z3233</f>
        <v>0</v>
      </c>
      <c r="BD232" s="5">
        <f>data_origin!AA3233</f>
        <v>0</v>
      </c>
      <c r="BE232" s="9">
        <f t="shared" si="36"/>
        <v>0</v>
      </c>
    </row>
    <row r="233" spans="1:58" x14ac:dyDescent="0.25">
      <c r="D233" t="s">
        <v>101</v>
      </c>
      <c r="E233" s="38">
        <f t="shared" si="33"/>
        <v>0</v>
      </c>
      <c r="F233" s="38">
        <f t="shared" si="33"/>
        <v>0</v>
      </c>
      <c r="G233" s="38">
        <f t="shared" si="33"/>
        <v>11.160169770119804</v>
      </c>
      <c r="H233" s="38">
        <f t="shared" si="32"/>
        <v>34.713944014232247</v>
      </c>
      <c r="I233" s="38">
        <f t="shared" si="32"/>
        <v>11.153793369151355</v>
      </c>
      <c r="J233" s="38">
        <f t="shared" si="32"/>
        <v>4.6725475319895535</v>
      </c>
      <c r="K233" s="38">
        <f t="shared" si="32"/>
        <v>0</v>
      </c>
      <c r="L233" s="38">
        <f t="shared" si="32"/>
        <v>0</v>
      </c>
      <c r="M233" s="35">
        <f t="shared" si="31"/>
        <v>61.700454685492957</v>
      </c>
      <c r="N233" s="5">
        <f>SUM(M201:M233)</f>
        <v>3077.9028128680225</v>
      </c>
      <c r="S233" t="s">
        <v>101</v>
      </c>
      <c r="T233" s="5">
        <f>data_origin!T273</f>
        <v>0</v>
      </c>
      <c r="U233" s="5">
        <f>data_origin!U273</f>
        <v>0</v>
      </c>
      <c r="V233" s="5">
        <f>data_origin!V273</f>
        <v>11.073345259391772</v>
      </c>
      <c r="W233" s="5">
        <f>data_origin!W273</f>
        <v>32.639966969446739</v>
      </c>
      <c r="X233" s="5">
        <f>data_origin!X273</f>
        <v>10.958579881656805</v>
      </c>
      <c r="Y233" s="5">
        <f>data_origin!Y273</f>
        <v>4.5777777777777775</v>
      </c>
      <c r="Z233" s="5">
        <f>data_origin!Z273</f>
        <v>0</v>
      </c>
      <c r="AA233" s="5">
        <f>data_origin!AA273</f>
        <v>0</v>
      </c>
      <c r="AB233" s="5">
        <f t="shared" si="34"/>
        <v>59.24966988827309</v>
      </c>
      <c r="AC233" s="5">
        <f>SUM(AB201:AB233)</f>
        <v>3030.0000000000005</v>
      </c>
      <c r="AH233" t="s">
        <v>101</v>
      </c>
      <c r="AI233" s="5">
        <f>data_origin!T2520</f>
        <v>0</v>
      </c>
      <c r="AJ233" s="5">
        <f>data_origin!U2520</f>
        <v>0</v>
      </c>
      <c r="AK233" s="5">
        <f>data_origin!V2520</f>
        <v>0</v>
      </c>
      <c r="AL233" s="5">
        <f>data_origin!W2520</f>
        <v>0</v>
      </c>
      <c r="AM233" s="5">
        <f>data_origin!X2520</f>
        <v>0</v>
      </c>
      <c r="AN233" s="5">
        <f>data_origin!Y2520</f>
        <v>0</v>
      </c>
      <c r="AO233" s="5">
        <f>data_origin!Z2520</f>
        <v>0</v>
      </c>
      <c r="AP233" s="5">
        <f>data_origin!AA2520</f>
        <v>0</v>
      </c>
      <c r="AQ233" s="9">
        <f t="shared" si="35"/>
        <v>0</v>
      </c>
      <c r="AR233" s="9">
        <f>SUM(AQ201:AQ233)</f>
        <v>0</v>
      </c>
      <c r="AV233" t="s">
        <v>101</v>
      </c>
      <c r="AW233" s="5">
        <f>data_origin!T3234</f>
        <v>0</v>
      </c>
      <c r="AX233" s="5">
        <f>data_origin!U3234</f>
        <v>0</v>
      </c>
      <c r="AY233" s="5">
        <f>data_origin!V3234</f>
        <v>0</v>
      </c>
      <c r="AZ233" s="5">
        <f>data_origin!W3234</f>
        <v>0</v>
      </c>
      <c r="BA233" s="5">
        <f>data_origin!X3234</f>
        <v>0</v>
      </c>
      <c r="BB233" s="5">
        <f>data_origin!Y3234</f>
        <v>0</v>
      </c>
      <c r="BC233" s="5">
        <f>data_origin!Z3234</f>
        <v>0</v>
      </c>
      <c r="BD233" s="5">
        <f>data_origin!AA3234</f>
        <v>0</v>
      </c>
      <c r="BE233" s="9">
        <f t="shared" si="36"/>
        <v>0</v>
      </c>
      <c r="BF233" s="9">
        <f>SUM(BE201:BE233)</f>
        <v>0</v>
      </c>
    </row>
    <row r="234" spans="1:58" x14ac:dyDescent="0.25">
      <c r="A234" s="23" t="s">
        <v>104</v>
      </c>
      <c r="B234" s="23" t="s">
        <v>103</v>
      </c>
      <c r="C234" s="23" t="s">
        <v>112</v>
      </c>
      <c r="D234" t="s">
        <v>70</v>
      </c>
      <c r="E234" s="38">
        <f t="shared" si="33"/>
        <v>0</v>
      </c>
      <c r="F234" s="38">
        <f t="shared" si="33"/>
        <v>0</v>
      </c>
      <c r="G234" s="38">
        <f t="shared" si="33"/>
        <v>0</v>
      </c>
      <c r="H234" s="38">
        <f t="shared" si="32"/>
        <v>0</v>
      </c>
      <c r="I234" s="38">
        <f t="shared" si="32"/>
        <v>0</v>
      </c>
      <c r="J234" s="38">
        <f t="shared" si="32"/>
        <v>3.093036759922476E-2</v>
      </c>
      <c r="K234" s="38">
        <f t="shared" si="32"/>
        <v>0</v>
      </c>
      <c r="L234" s="38">
        <f t="shared" si="32"/>
        <v>0</v>
      </c>
      <c r="M234" s="35">
        <f t="shared" si="31"/>
        <v>3.093036759922476E-2</v>
      </c>
      <c r="P234" t="s">
        <v>104</v>
      </c>
      <c r="Q234" t="s">
        <v>103</v>
      </c>
      <c r="R234" t="s">
        <v>112</v>
      </c>
      <c r="S234" t="s">
        <v>70</v>
      </c>
      <c r="T234" s="5">
        <f>data_origin!T275</f>
        <v>0</v>
      </c>
      <c r="U234" s="5">
        <f>data_origin!U275</f>
        <v>0</v>
      </c>
      <c r="V234" s="5">
        <f>data_origin!V275</f>
        <v>0</v>
      </c>
      <c r="W234" s="5">
        <f>data_origin!W275</f>
        <v>0</v>
      </c>
      <c r="X234" s="5">
        <f>data_origin!X275</f>
        <v>0</v>
      </c>
      <c r="Y234" s="5">
        <f>data_origin!Y275</f>
        <v>3.0303030303030304E-2</v>
      </c>
      <c r="Z234" s="5">
        <f>data_origin!Z275</f>
        <v>0</v>
      </c>
      <c r="AA234" s="5">
        <f>data_origin!AA275</f>
        <v>0</v>
      </c>
      <c r="AB234" s="5">
        <f t="shared" si="34"/>
        <v>3.0303030303030304E-2</v>
      </c>
      <c r="AE234" t="s">
        <v>104</v>
      </c>
      <c r="AF234" t="s">
        <v>116</v>
      </c>
      <c r="AG234" s="28" t="s">
        <v>133</v>
      </c>
      <c r="AH234" t="s">
        <v>70</v>
      </c>
      <c r="AI234" s="5">
        <f>data_origin!T2522</f>
        <v>0</v>
      </c>
      <c r="AJ234" s="5">
        <f>data_origin!U2522</f>
        <v>0</v>
      </c>
      <c r="AK234" s="5">
        <f>data_origin!V2522</f>
        <v>0</v>
      </c>
      <c r="AL234" s="5">
        <f>data_origin!W2522</f>
        <v>0</v>
      </c>
      <c r="AM234" s="5">
        <f>data_origin!X2522</f>
        <v>0</v>
      </c>
      <c r="AN234" s="5">
        <f>data_origin!Y2522</f>
        <v>0</v>
      </c>
      <c r="AO234" s="5">
        <f>data_origin!Z2522</f>
        <v>0</v>
      </c>
      <c r="AP234" s="5">
        <f>data_origin!AA2522</f>
        <v>0</v>
      </c>
      <c r="AQ234" s="9">
        <f t="shared" si="35"/>
        <v>0</v>
      </c>
      <c r="AS234" t="s">
        <v>115</v>
      </c>
      <c r="AT234" t="s">
        <v>116</v>
      </c>
      <c r="AU234" s="28" t="s">
        <v>133</v>
      </c>
      <c r="AV234" t="s">
        <v>70</v>
      </c>
      <c r="AW234" s="5">
        <f>data_origin!T3236</f>
        <v>0</v>
      </c>
      <c r="AX234" s="5">
        <f>data_origin!U3236</f>
        <v>0</v>
      </c>
      <c r="AY234" s="5">
        <f>data_origin!V3236</f>
        <v>0</v>
      </c>
      <c r="AZ234" s="5">
        <f>data_origin!W3236</f>
        <v>0</v>
      </c>
      <c r="BA234" s="5">
        <f>data_origin!X3236</f>
        <v>0</v>
      </c>
      <c r="BB234" s="5">
        <f>data_origin!Y3236</f>
        <v>0</v>
      </c>
      <c r="BC234" s="5">
        <f>data_origin!Z3236</f>
        <v>0</v>
      </c>
      <c r="BD234" s="5">
        <f>data_origin!AA3236</f>
        <v>0</v>
      </c>
      <c r="BE234" s="9">
        <f t="shared" si="36"/>
        <v>0</v>
      </c>
    </row>
    <row r="235" spans="1:58" x14ac:dyDescent="0.25">
      <c r="D235" t="s">
        <v>71</v>
      </c>
      <c r="E235" s="38">
        <f t="shared" si="33"/>
        <v>0</v>
      </c>
      <c r="F235" s="38">
        <f t="shared" si="33"/>
        <v>0</v>
      </c>
      <c r="G235" s="38">
        <f t="shared" si="33"/>
        <v>0</v>
      </c>
      <c r="H235" s="38">
        <f t="shared" si="32"/>
        <v>0</v>
      </c>
      <c r="I235" s="38">
        <f t="shared" si="32"/>
        <v>0</v>
      </c>
      <c r="J235" s="38">
        <f t="shared" si="32"/>
        <v>3.093036759922476E-2</v>
      </c>
      <c r="K235" s="38">
        <f t="shared" si="32"/>
        <v>0</v>
      </c>
      <c r="L235" s="38">
        <f t="shared" si="32"/>
        <v>0</v>
      </c>
      <c r="M235" s="35">
        <f t="shared" si="31"/>
        <v>3.093036759922476E-2</v>
      </c>
      <c r="S235" t="s">
        <v>71</v>
      </c>
      <c r="T235" s="5">
        <f>data_origin!T276</f>
        <v>0</v>
      </c>
      <c r="U235" s="5">
        <f>data_origin!U276</f>
        <v>0</v>
      </c>
      <c r="V235" s="5">
        <f>data_origin!V276</f>
        <v>0</v>
      </c>
      <c r="W235" s="5">
        <f>data_origin!W276</f>
        <v>0</v>
      </c>
      <c r="X235" s="5">
        <f>data_origin!X276</f>
        <v>0</v>
      </c>
      <c r="Y235" s="5">
        <f>data_origin!Y276</f>
        <v>3.0303030303030304E-2</v>
      </c>
      <c r="Z235" s="5">
        <f>data_origin!Z276</f>
        <v>0</v>
      </c>
      <c r="AA235" s="5">
        <f>data_origin!AA276</f>
        <v>0</v>
      </c>
      <c r="AB235" s="5">
        <f t="shared" si="34"/>
        <v>3.0303030303030304E-2</v>
      </c>
      <c r="AH235" t="s">
        <v>71</v>
      </c>
      <c r="AI235" s="5">
        <f>data_origin!T2523</f>
        <v>0</v>
      </c>
      <c r="AJ235" s="5">
        <f>data_origin!U2523</f>
        <v>0</v>
      </c>
      <c r="AK235" s="5">
        <f>data_origin!V2523</f>
        <v>0</v>
      </c>
      <c r="AL235" s="5">
        <f>data_origin!W2523</f>
        <v>0</v>
      </c>
      <c r="AM235" s="5">
        <f>data_origin!X2523</f>
        <v>0</v>
      </c>
      <c r="AN235" s="5">
        <f>data_origin!Y2523</f>
        <v>0</v>
      </c>
      <c r="AO235" s="5">
        <f>data_origin!Z2523</f>
        <v>0</v>
      </c>
      <c r="AP235" s="5">
        <f>data_origin!AA2523</f>
        <v>0</v>
      </c>
      <c r="AQ235" s="9">
        <f t="shared" si="35"/>
        <v>0</v>
      </c>
      <c r="AV235" t="s">
        <v>71</v>
      </c>
      <c r="AW235" s="5">
        <f>data_origin!T3237</f>
        <v>0</v>
      </c>
      <c r="AX235" s="5">
        <f>data_origin!U3237</f>
        <v>0</v>
      </c>
      <c r="AY235" s="5">
        <f>data_origin!V3237</f>
        <v>0</v>
      </c>
      <c r="AZ235" s="5">
        <f>data_origin!W3237</f>
        <v>0</v>
      </c>
      <c r="BA235" s="5">
        <f>data_origin!X3237</f>
        <v>0</v>
      </c>
      <c r="BB235" s="5">
        <f>data_origin!Y3237</f>
        <v>0</v>
      </c>
      <c r="BC235" s="5">
        <f>data_origin!Z3237</f>
        <v>0</v>
      </c>
      <c r="BD235" s="5">
        <f>data_origin!AA3237</f>
        <v>0</v>
      </c>
      <c r="BE235" s="9">
        <f t="shared" si="36"/>
        <v>0</v>
      </c>
    </row>
    <row r="236" spans="1:58" x14ac:dyDescent="0.25">
      <c r="D236" t="s">
        <v>72</v>
      </c>
      <c r="E236" s="38">
        <f t="shared" si="33"/>
        <v>0</v>
      </c>
      <c r="F236" s="38">
        <f t="shared" si="33"/>
        <v>0</v>
      </c>
      <c r="G236" s="38">
        <f t="shared" si="33"/>
        <v>0</v>
      </c>
      <c r="H236" s="38">
        <f t="shared" si="32"/>
        <v>0</v>
      </c>
      <c r="I236" s="38">
        <f t="shared" si="32"/>
        <v>0</v>
      </c>
      <c r="J236" s="38">
        <f t="shared" si="32"/>
        <v>3.093036759922476E-2</v>
      </c>
      <c r="K236" s="38">
        <f t="shared" si="32"/>
        <v>0</v>
      </c>
      <c r="L236" s="38">
        <f t="shared" si="32"/>
        <v>0</v>
      </c>
      <c r="M236" s="35">
        <f t="shared" si="31"/>
        <v>3.093036759922476E-2</v>
      </c>
      <c r="S236" t="s">
        <v>72</v>
      </c>
      <c r="T236" s="5">
        <f>data_origin!T277</f>
        <v>0</v>
      </c>
      <c r="U236" s="5">
        <f>data_origin!U277</f>
        <v>0</v>
      </c>
      <c r="V236" s="5">
        <f>data_origin!V277</f>
        <v>0</v>
      </c>
      <c r="W236" s="5">
        <f>data_origin!W277</f>
        <v>0</v>
      </c>
      <c r="X236" s="5">
        <f>data_origin!X277</f>
        <v>0</v>
      </c>
      <c r="Y236" s="5">
        <f>data_origin!Y277</f>
        <v>3.0303030303030304E-2</v>
      </c>
      <c r="Z236" s="5">
        <f>data_origin!Z277</f>
        <v>0</v>
      </c>
      <c r="AA236" s="5">
        <f>data_origin!AA277</f>
        <v>0</v>
      </c>
      <c r="AB236" s="5">
        <f t="shared" si="34"/>
        <v>3.0303030303030304E-2</v>
      </c>
      <c r="AH236" t="s">
        <v>72</v>
      </c>
      <c r="AI236" s="5">
        <f>data_origin!T2524</f>
        <v>0</v>
      </c>
      <c r="AJ236" s="5">
        <f>data_origin!U2524</f>
        <v>0</v>
      </c>
      <c r="AK236" s="5">
        <f>data_origin!V2524</f>
        <v>0</v>
      </c>
      <c r="AL236" s="5">
        <f>data_origin!W2524</f>
        <v>0</v>
      </c>
      <c r="AM236" s="5">
        <f>data_origin!X2524</f>
        <v>0</v>
      </c>
      <c r="AN236" s="5">
        <f>data_origin!Y2524</f>
        <v>0</v>
      </c>
      <c r="AO236" s="5">
        <f>data_origin!Z2524</f>
        <v>0</v>
      </c>
      <c r="AP236" s="5">
        <f>data_origin!AA2524</f>
        <v>0</v>
      </c>
      <c r="AQ236" s="9">
        <f t="shared" si="35"/>
        <v>0</v>
      </c>
      <c r="AR236" s="5"/>
      <c r="AV236" t="s">
        <v>72</v>
      </c>
      <c r="AW236" s="5">
        <f>data_origin!T3238</f>
        <v>0</v>
      </c>
      <c r="AX236" s="5">
        <f>data_origin!U3238</f>
        <v>0</v>
      </c>
      <c r="AY236" s="5">
        <f>data_origin!V3238</f>
        <v>0</v>
      </c>
      <c r="AZ236" s="5">
        <f>data_origin!W3238</f>
        <v>0</v>
      </c>
      <c r="BA236" s="5">
        <f>data_origin!X3238</f>
        <v>0</v>
      </c>
      <c r="BB236" s="5">
        <f>data_origin!Y3238</f>
        <v>0</v>
      </c>
      <c r="BC236" s="5">
        <f>data_origin!Z3238</f>
        <v>0</v>
      </c>
      <c r="BD236" s="5">
        <f>data_origin!AA3238</f>
        <v>0</v>
      </c>
      <c r="BE236" s="9">
        <f t="shared" si="36"/>
        <v>0</v>
      </c>
    </row>
    <row r="237" spans="1:58" x14ac:dyDescent="0.25">
      <c r="D237" t="s">
        <v>73</v>
      </c>
      <c r="E237" s="38">
        <f t="shared" si="33"/>
        <v>0</v>
      </c>
      <c r="F237" s="38">
        <f t="shared" si="33"/>
        <v>0</v>
      </c>
      <c r="G237" s="38">
        <f t="shared" si="33"/>
        <v>0</v>
      </c>
      <c r="H237" s="38">
        <f t="shared" si="32"/>
        <v>0</v>
      </c>
      <c r="I237" s="38">
        <f t="shared" si="32"/>
        <v>0</v>
      </c>
      <c r="J237" s="38">
        <f t="shared" si="32"/>
        <v>3.093036759922476E-2</v>
      </c>
      <c r="K237" s="38">
        <f t="shared" si="32"/>
        <v>0</v>
      </c>
      <c r="L237" s="38">
        <f t="shared" si="32"/>
        <v>0</v>
      </c>
      <c r="M237" s="35">
        <f t="shared" si="31"/>
        <v>3.093036759922476E-2</v>
      </c>
      <c r="S237" t="s">
        <v>73</v>
      </c>
      <c r="T237" s="5">
        <f>data_origin!T278</f>
        <v>0</v>
      </c>
      <c r="U237" s="5">
        <f>data_origin!U278</f>
        <v>0</v>
      </c>
      <c r="V237" s="5">
        <f>data_origin!V278</f>
        <v>0</v>
      </c>
      <c r="W237" s="5">
        <f>data_origin!W278</f>
        <v>0</v>
      </c>
      <c r="X237" s="5">
        <f>data_origin!X278</f>
        <v>0</v>
      </c>
      <c r="Y237" s="5">
        <f>data_origin!Y278</f>
        <v>3.0303030303030304E-2</v>
      </c>
      <c r="Z237" s="5">
        <f>data_origin!Z278</f>
        <v>0</v>
      </c>
      <c r="AA237" s="5">
        <f>data_origin!AA278</f>
        <v>0</v>
      </c>
      <c r="AB237" s="5">
        <f t="shared" si="34"/>
        <v>3.0303030303030304E-2</v>
      </c>
      <c r="AH237" t="s">
        <v>73</v>
      </c>
      <c r="AI237" s="5">
        <f>data_origin!T2525</f>
        <v>0</v>
      </c>
      <c r="AJ237" s="5">
        <f>data_origin!U2525</f>
        <v>0</v>
      </c>
      <c r="AK237" s="5">
        <f>data_origin!V2525</f>
        <v>0</v>
      </c>
      <c r="AL237" s="5">
        <f>data_origin!W2525</f>
        <v>0</v>
      </c>
      <c r="AM237" s="5">
        <f>data_origin!X2525</f>
        <v>0</v>
      </c>
      <c r="AN237" s="5">
        <f>data_origin!Y2525</f>
        <v>0</v>
      </c>
      <c r="AO237" s="5">
        <f>data_origin!Z2525</f>
        <v>0</v>
      </c>
      <c r="AP237" s="5">
        <f>data_origin!AA2525</f>
        <v>0</v>
      </c>
      <c r="AQ237" s="9">
        <f t="shared" si="35"/>
        <v>0</v>
      </c>
      <c r="AV237" t="s">
        <v>73</v>
      </c>
      <c r="AW237" s="5">
        <f>data_origin!T3239</f>
        <v>0</v>
      </c>
      <c r="AX237" s="5">
        <f>data_origin!U3239</f>
        <v>0</v>
      </c>
      <c r="AY237" s="5">
        <f>data_origin!V3239</f>
        <v>0</v>
      </c>
      <c r="AZ237" s="5">
        <f>data_origin!W3239</f>
        <v>0</v>
      </c>
      <c r="BA237" s="5">
        <f>data_origin!X3239</f>
        <v>0</v>
      </c>
      <c r="BB237" s="5">
        <f>data_origin!Y3239</f>
        <v>0</v>
      </c>
      <c r="BC237" s="5">
        <f>data_origin!Z3239</f>
        <v>0</v>
      </c>
      <c r="BD237" s="5">
        <f>data_origin!AA3239</f>
        <v>0</v>
      </c>
      <c r="BE237" s="9">
        <f t="shared" si="36"/>
        <v>0</v>
      </c>
    </row>
    <row r="238" spans="1:58" x14ac:dyDescent="0.25">
      <c r="D238" t="s">
        <v>74</v>
      </c>
      <c r="E238" s="38">
        <f t="shared" si="33"/>
        <v>0</v>
      </c>
      <c r="F238" s="38">
        <f t="shared" si="33"/>
        <v>0</v>
      </c>
      <c r="G238" s="38">
        <f t="shared" si="33"/>
        <v>0</v>
      </c>
      <c r="H238" s="38">
        <f t="shared" si="32"/>
        <v>0</v>
      </c>
      <c r="I238" s="38">
        <f t="shared" si="32"/>
        <v>0</v>
      </c>
      <c r="J238" s="38">
        <f t="shared" si="32"/>
        <v>3.093036759922476E-2</v>
      </c>
      <c r="K238" s="38">
        <f t="shared" si="32"/>
        <v>0</v>
      </c>
      <c r="L238" s="38">
        <f t="shared" si="32"/>
        <v>0</v>
      </c>
      <c r="M238" s="35">
        <f t="shared" si="31"/>
        <v>3.093036759922476E-2</v>
      </c>
      <c r="S238" t="s">
        <v>74</v>
      </c>
      <c r="T238" s="5">
        <f>data_origin!T279</f>
        <v>0</v>
      </c>
      <c r="U238" s="5">
        <f>data_origin!U279</f>
        <v>0</v>
      </c>
      <c r="V238" s="5">
        <f>data_origin!V279</f>
        <v>0</v>
      </c>
      <c r="W238" s="5">
        <f>data_origin!W279</f>
        <v>0</v>
      </c>
      <c r="X238" s="5">
        <f>data_origin!X279</f>
        <v>0</v>
      </c>
      <c r="Y238" s="5">
        <f>data_origin!Y279</f>
        <v>3.0303030303030304E-2</v>
      </c>
      <c r="Z238" s="5">
        <f>data_origin!Z279</f>
        <v>0</v>
      </c>
      <c r="AA238" s="5">
        <f>data_origin!AA279</f>
        <v>0</v>
      </c>
      <c r="AB238" s="5">
        <f t="shared" si="34"/>
        <v>3.0303030303030304E-2</v>
      </c>
      <c r="AH238" t="s">
        <v>74</v>
      </c>
      <c r="AI238" s="5">
        <f>data_origin!T2526</f>
        <v>0</v>
      </c>
      <c r="AJ238" s="5">
        <f>data_origin!U2526</f>
        <v>0</v>
      </c>
      <c r="AK238" s="5">
        <f>data_origin!V2526</f>
        <v>0</v>
      </c>
      <c r="AL238" s="5">
        <f>data_origin!W2526</f>
        <v>0</v>
      </c>
      <c r="AM238" s="5">
        <f>data_origin!X2526</f>
        <v>0</v>
      </c>
      <c r="AN238" s="5">
        <f>data_origin!Y2526</f>
        <v>0</v>
      </c>
      <c r="AO238" s="5">
        <f>data_origin!Z2526</f>
        <v>0</v>
      </c>
      <c r="AP238" s="5">
        <f>data_origin!AA2526</f>
        <v>0</v>
      </c>
      <c r="AQ238" s="9">
        <f t="shared" si="35"/>
        <v>0</v>
      </c>
      <c r="AV238" t="s">
        <v>74</v>
      </c>
      <c r="AW238" s="5">
        <f>data_origin!T3240</f>
        <v>0</v>
      </c>
      <c r="AX238" s="5">
        <f>data_origin!U3240</f>
        <v>0</v>
      </c>
      <c r="AY238" s="5">
        <f>data_origin!V3240</f>
        <v>0</v>
      </c>
      <c r="AZ238" s="5">
        <f>data_origin!W3240</f>
        <v>0</v>
      </c>
      <c r="BA238" s="5">
        <f>data_origin!X3240</f>
        <v>0</v>
      </c>
      <c r="BB238" s="5">
        <f>data_origin!Y3240</f>
        <v>0</v>
      </c>
      <c r="BC238" s="5">
        <f>data_origin!Z3240</f>
        <v>0</v>
      </c>
      <c r="BD238" s="5">
        <f>data_origin!AA3240</f>
        <v>0</v>
      </c>
      <c r="BE238" s="9">
        <f t="shared" si="36"/>
        <v>0</v>
      </c>
    </row>
    <row r="239" spans="1:58" x14ac:dyDescent="0.25">
      <c r="D239" t="s">
        <v>75</v>
      </c>
      <c r="E239" s="38">
        <f t="shared" si="33"/>
        <v>0</v>
      </c>
      <c r="F239" s="38">
        <f t="shared" si="33"/>
        <v>0</v>
      </c>
      <c r="G239" s="38">
        <f t="shared" si="33"/>
        <v>0</v>
      </c>
      <c r="H239" s="38">
        <f t="shared" si="32"/>
        <v>0</v>
      </c>
      <c r="I239" s="38">
        <f t="shared" si="32"/>
        <v>0</v>
      </c>
      <c r="J239" s="38">
        <f t="shared" si="32"/>
        <v>3.093036759922476E-2</v>
      </c>
      <c r="K239" s="38">
        <f t="shared" si="32"/>
        <v>0</v>
      </c>
      <c r="L239" s="38">
        <f t="shared" si="32"/>
        <v>0</v>
      </c>
      <c r="M239" s="35">
        <f t="shared" si="31"/>
        <v>3.093036759922476E-2</v>
      </c>
      <c r="S239" t="s">
        <v>75</v>
      </c>
      <c r="T239" s="5">
        <f>data_origin!T280</f>
        <v>0</v>
      </c>
      <c r="U239" s="5">
        <f>data_origin!U280</f>
        <v>0</v>
      </c>
      <c r="V239" s="5">
        <f>data_origin!V280</f>
        <v>0</v>
      </c>
      <c r="W239" s="5">
        <f>data_origin!W280</f>
        <v>0</v>
      </c>
      <c r="X239" s="5">
        <f>data_origin!X280</f>
        <v>0</v>
      </c>
      <c r="Y239" s="5">
        <f>data_origin!Y280</f>
        <v>3.0303030303030304E-2</v>
      </c>
      <c r="Z239" s="5">
        <f>data_origin!Z280</f>
        <v>0</v>
      </c>
      <c r="AA239" s="5">
        <f>data_origin!AA280</f>
        <v>0</v>
      </c>
      <c r="AB239" s="5">
        <f t="shared" si="34"/>
        <v>3.0303030303030304E-2</v>
      </c>
      <c r="AH239" t="s">
        <v>75</v>
      </c>
      <c r="AI239" s="5">
        <f>data_origin!T2527</f>
        <v>0</v>
      </c>
      <c r="AJ239" s="5">
        <f>data_origin!U2527</f>
        <v>0</v>
      </c>
      <c r="AK239" s="5">
        <f>data_origin!V2527</f>
        <v>0</v>
      </c>
      <c r="AL239" s="5">
        <f>data_origin!W2527</f>
        <v>0</v>
      </c>
      <c r="AM239" s="5">
        <f>data_origin!X2527</f>
        <v>0</v>
      </c>
      <c r="AN239" s="5">
        <f>data_origin!Y2527</f>
        <v>0</v>
      </c>
      <c r="AO239" s="5">
        <f>data_origin!Z2527</f>
        <v>0</v>
      </c>
      <c r="AP239" s="5">
        <f>data_origin!AA2527</f>
        <v>0</v>
      </c>
      <c r="AQ239" s="9">
        <f t="shared" si="35"/>
        <v>0</v>
      </c>
      <c r="AV239" t="s">
        <v>75</v>
      </c>
      <c r="AW239" s="5">
        <f>data_origin!T3241</f>
        <v>0</v>
      </c>
      <c r="AX239" s="5">
        <f>data_origin!U3241</f>
        <v>0</v>
      </c>
      <c r="AY239" s="5">
        <f>data_origin!V3241</f>
        <v>0</v>
      </c>
      <c r="AZ239" s="5">
        <f>data_origin!W3241</f>
        <v>0</v>
      </c>
      <c r="BA239" s="5">
        <f>data_origin!X3241</f>
        <v>0</v>
      </c>
      <c r="BB239" s="5">
        <f>data_origin!Y3241</f>
        <v>0</v>
      </c>
      <c r="BC239" s="5">
        <f>data_origin!Z3241</f>
        <v>0</v>
      </c>
      <c r="BD239" s="5">
        <f>data_origin!AA3241</f>
        <v>0</v>
      </c>
      <c r="BE239" s="9">
        <f t="shared" si="36"/>
        <v>0</v>
      </c>
    </row>
    <row r="240" spans="1:58" x14ac:dyDescent="0.25">
      <c r="D240" t="s">
        <v>76</v>
      </c>
      <c r="E240" s="38">
        <f t="shared" si="33"/>
        <v>0</v>
      </c>
      <c r="F240" s="38">
        <f t="shared" si="33"/>
        <v>0</v>
      </c>
      <c r="G240" s="38">
        <f t="shared" si="33"/>
        <v>0</v>
      </c>
      <c r="H240" s="38">
        <f t="shared" si="32"/>
        <v>0</v>
      </c>
      <c r="I240" s="38">
        <f t="shared" si="32"/>
        <v>0</v>
      </c>
      <c r="J240" s="38">
        <f t="shared" si="32"/>
        <v>3.093036759922476E-2</v>
      </c>
      <c r="K240" s="38">
        <f t="shared" si="32"/>
        <v>0</v>
      </c>
      <c r="L240" s="38">
        <f t="shared" si="32"/>
        <v>0</v>
      </c>
      <c r="M240" s="35">
        <f t="shared" si="31"/>
        <v>3.093036759922476E-2</v>
      </c>
      <c r="S240" t="s">
        <v>76</v>
      </c>
      <c r="T240" s="5">
        <f>data_origin!T281</f>
        <v>0</v>
      </c>
      <c r="U240" s="5">
        <f>data_origin!U281</f>
        <v>0</v>
      </c>
      <c r="V240" s="5">
        <f>data_origin!V281</f>
        <v>0</v>
      </c>
      <c r="W240" s="5">
        <f>data_origin!W281</f>
        <v>0</v>
      </c>
      <c r="X240" s="5">
        <f>data_origin!X281</f>
        <v>0</v>
      </c>
      <c r="Y240" s="5">
        <f>data_origin!Y281</f>
        <v>3.0303030303030304E-2</v>
      </c>
      <c r="Z240" s="5">
        <f>data_origin!Z281</f>
        <v>0</v>
      </c>
      <c r="AA240" s="5">
        <f>data_origin!AA281</f>
        <v>0</v>
      </c>
      <c r="AB240" s="5">
        <f t="shared" si="34"/>
        <v>3.0303030303030304E-2</v>
      </c>
      <c r="AH240" t="s">
        <v>76</v>
      </c>
      <c r="AI240" s="5">
        <f>data_origin!T2528</f>
        <v>0</v>
      </c>
      <c r="AJ240" s="5">
        <f>data_origin!U2528</f>
        <v>0</v>
      </c>
      <c r="AK240" s="5">
        <f>data_origin!V2528</f>
        <v>0</v>
      </c>
      <c r="AL240" s="5">
        <f>data_origin!W2528</f>
        <v>0</v>
      </c>
      <c r="AM240" s="5">
        <f>data_origin!X2528</f>
        <v>0</v>
      </c>
      <c r="AN240" s="5">
        <f>data_origin!Y2528</f>
        <v>0</v>
      </c>
      <c r="AO240" s="5">
        <f>data_origin!Z2528</f>
        <v>0</v>
      </c>
      <c r="AP240" s="5">
        <f>data_origin!AA2528</f>
        <v>0</v>
      </c>
      <c r="AQ240" s="9">
        <f t="shared" si="35"/>
        <v>0</v>
      </c>
      <c r="AV240" t="s">
        <v>76</v>
      </c>
      <c r="AW240" s="5">
        <f>data_origin!T3242</f>
        <v>0</v>
      </c>
      <c r="AX240" s="5">
        <f>data_origin!U3242</f>
        <v>0</v>
      </c>
      <c r="AY240" s="5">
        <f>data_origin!V3242</f>
        <v>0</v>
      </c>
      <c r="AZ240" s="5">
        <f>data_origin!W3242</f>
        <v>0</v>
      </c>
      <c r="BA240" s="5">
        <f>data_origin!X3242</f>
        <v>0</v>
      </c>
      <c r="BB240" s="5">
        <f>data_origin!Y3242</f>
        <v>0</v>
      </c>
      <c r="BC240" s="5">
        <f>data_origin!Z3242</f>
        <v>0</v>
      </c>
      <c r="BD240" s="5">
        <f>data_origin!AA3242</f>
        <v>0</v>
      </c>
      <c r="BE240" s="9">
        <f t="shared" si="36"/>
        <v>0</v>
      </c>
    </row>
    <row r="241" spans="4:57" x14ac:dyDescent="0.25">
      <c r="D241" t="s">
        <v>77</v>
      </c>
      <c r="E241" s="38">
        <f t="shared" si="33"/>
        <v>0</v>
      </c>
      <c r="F241" s="38">
        <f t="shared" si="33"/>
        <v>0</v>
      </c>
      <c r="G241" s="38">
        <f t="shared" si="33"/>
        <v>0</v>
      </c>
      <c r="H241" s="38">
        <f t="shared" si="32"/>
        <v>0</v>
      </c>
      <c r="I241" s="38">
        <f t="shared" si="32"/>
        <v>0</v>
      </c>
      <c r="J241" s="38">
        <f t="shared" si="32"/>
        <v>3.093036759922476E-2</v>
      </c>
      <c r="K241" s="38">
        <f t="shared" si="32"/>
        <v>0</v>
      </c>
      <c r="L241" s="38">
        <f t="shared" si="32"/>
        <v>0</v>
      </c>
      <c r="M241" s="35">
        <f t="shared" si="31"/>
        <v>3.093036759922476E-2</v>
      </c>
      <c r="S241" t="s">
        <v>77</v>
      </c>
      <c r="T241" s="5">
        <f>data_origin!T282</f>
        <v>0</v>
      </c>
      <c r="U241" s="5">
        <f>data_origin!U282</f>
        <v>0</v>
      </c>
      <c r="V241" s="5">
        <f>data_origin!V282</f>
        <v>0</v>
      </c>
      <c r="W241" s="5">
        <f>data_origin!W282</f>
        <v>0</v>
      </c>
      <c r="X241" s="5">
        <f>data_origin!X282</f>
        <v>0</v>
      </c>
      <c r="Y241" s="5">
        <f>data_origin!Y282</f>
        <v>3.0303030303030304E-2</v>
      </c>
      <c r="Z241" s="5">
        <f>data_origin!Z282</f>
        <v>0</v>
      </c>
      <c r="AA241" s="5">
        <f>data_origin!AA282</f>
        <v>0</v>
      </c>
      <c r="AB241" s="5">
        <f t="shared" si="34"/>
        <v>3.0303030303030304E-2</v>
      </c>
      <c r="AH241" t="s">
        <v>77</v>
      </c>
      <c r="AI241" s="5">
        <f>data_origin!T2529</f>
        <v>0</v>
      </c>
      <c r="AJ241" s="5">
        <f>data_origin!U2529</f>
        <v>0</v>
      </c>
      <c r="AK241" s="5">
        <f>data_origin!V2529</f>
        <v>0</v>
      </c>
      <c r="AL241" s="5">
        <f>data_origin!W2529</f>
        <v>0</v>
      </c>
      <c r="AM241" s="5">
        <f>data_origin!X2529</f>
        <v>0</v>
      </c>
      <c r="AN241" s="5">
        <f>data_origin!Y2529</f>
        <v>0</v>
      </c>
      <c r="AO241" s="5">
        <f>data_origin!Z2529</f>
        <v>0</v>
      </c>
      <c r="AP241" s="5">
        <f>data_origin!AA2529</f>
        <v>0</v>
      </c>
      <c r="AQ241" s="9">
        <f t="shared" si="35"/>
        <v>0</v>
      </c>
      <c r="AV241" t="s">
        <v>77</v>
      </c>
      <c r="AW241" s="5">
        <f>data_origin!T3243</f>
        <v>0</v>
      </c>
      <c r="AX241" s="5">
        <f>data_origin!U3243</f>
        <v>0</v>
      </c>
      <c r="AY241" s="5">
        <f>data_origin!V3243</f>
        <v>0</v>
      </c>
      <c r="AZ241" s="5">
        <f>data_origin!W3243</f>
        <v>0</v>
      </c>
      <c r="BA241" s="5">
        <f>data_origin!X3243</f>
        <v>0</v>
      </c>
      <c r="BB241" s="5">
        <f>data_origin!Y3243</f>
        <v>0</v>
      </c>
      <c r="BC241" s="5">
        <f>data_origin!Z3243</f>
        <v>0</v>
      </c>
      <c r="BD241" s="5">
        <f>data_origin!AA3243</f>
        <v>0</v>
      </c>
      <c r="BE241" s="9">
        <f t="shared" si="36"/>
        <v>0</v>
      </c>
    </row>
    <row r="242" spans="4:57" x14ac:dyDescent="0.25">
      <c r="D242" t="s">
        <v>78</v>
      </c>
      <c r="E242" s="38">
        <f t="shared" si="33"/>
        <v>0</v>
      </c>
      <c r="F242" s="38">
        <f t="shared" si="33"/>
        <v>0</v>
      </c>
      <c r="G242" s="38">
        <f t="shared" si="33"/>
        <v>0</v>
      </c>
      <c r="H242" s="38">
        <f t="shared" si="32"/>
        <v>0</v>
      </c>
      <c r="I242" s="38">
        <f t="shared" si="32"/>
        <v>0</v>
      </c>
      <c r="J242" s="38">
        <f t="shared" si="32"/>
        <v>3.093036759922476E-2</v>
      </c>
      <c r="K242" s="38">
        <f t="shared" si="32"/>
        <v>0</v>
      </c>
      <c r="L242" s="38">
        <f t="shared" si="32"/>
        <v>0</v>
      </c>
      <c r="M242" s="35">
        <f t="shared" si="31"/>
        <v>3.093036759922476E-2</v>
      </c>
      <c r="S242" t="s">
        <v>78</v>
      </c>
      <c r="T242" s="5">
        <f>data_origin!T283</f>
        <v>0</v>
      </c>
      <c r="U242" s="5">
        <f>data_origin!U283</f>
        <v>0</v>
      </c>
      <c r="V242" s="5">
        <f>data_origin!V283</f>
        <v>0</v>
      </c>
      <c r="W242" s="5">
        <f>data_origin!W283</f>
        <v>0</v>
      </c>
      <c r="X242" s="5">
        <f>data_origin!X283</f>
        <v>0</v>
      </c>
      <c r="Y242" s="5">
        <f>data_origin!Y283</f>
        <v>3.0303030303030304E-2</v>
      </c>
      <c r="Z242" s="5">
        <f>data_origin!Z283</f>
        <v>0</v>
      </c>
      <c r="AA242" s="5">
        <f>data_origin!AA283</f>
        <v>0</v>
      </c>
      <c r="AB242" s="5">
        <f t="shared" si="34"/>
        <v>3.0303030303030304E-2</v>
      </c>
      <c r="AH242" t="s">
        <v>78</v>
      </c>
      <c r="AI242" s="5">
        <f>data_origin!T2530</f>
        <v>0</v>
      </c>
      <c r="AJ242" s="5">
        <f>data_origin!U2530</f>
        <v>0</v>
      </c>
      <c r="AK242" s="5">
        <f>data_origin!V2530</f>
        <v>0</v>
      </c>
      <c r="AL242" s="5">
        <f>data_origin!W2530</f>
        <v>0</v>
      </c>
      <c r="AM242" s="5">
        <f>data_origin!X2530</f>
        <v>0</v>
      </c>
      <c r="AN242" s="5">
        <f>data_origin!Y2530</f>
        <v>0</v>
      </c>
      <c r="AO242" s="5">
        <f>data_origin!Z2530</f>
        <v>0</v>
      </c>
      <c r="AP242" s="5">
        <f>data_origin!AA2530</f>
        <v>0</v>
      </c>
      <c r="AQ242" s="9">
        <f t="shared" si="35"/>
        <v>0</v>
      </c>
      <c r="AV242" t="s">
        <v>78</v>
      </c>
      <c r="AW242" s="5">
        <f>data_origin!T3244</f>
        <v>0</v>
      </c>
      <c r="AX242" s="5">
        <f>data_origin!U3244</f>
        <v>0</v>
      </c>
      <c r="AY242" s="5">
        <f>data_origin!V3244</f>
        <v>0</v>
      </c>
      <c r="AZ242" s="5">
        <f>data_origin!W3244</f>
        <v>0</v>
      </c>
      <c r="BA242" s="5">
        <f>data_origin!X3244</f>
        <v>0</v>
      </c>
      <c r="BB242" s="5">
        <f>data_origin!Y3244</f>
        <v>0</v>
      </c>
      <c r="BC242" s="5">
        <f>data_origin!Z3244</f>
        <v>0</v>
      </c>
      <c r="BD242" s="5">
        <f>data_origin!AA3244</f>
        <v>0</v>
      </c>
      <c r="BE242" s="9">
        <f t="shared" si="36"/>
        <v>0</v>
      </c>
    </row>
    <row r="243" spans="4:57" x14ac:dyDescent="0.25">
      <c r="D243" t="s">
        <v>79</v>
      </c>
      <c r="E243" s="38">
        <f t="shared" si="33"/>
        <v>0</v>
      </c>
      <c r="F243" s="38">
        <f t="shared" si="33"/>
        <v>0</v>
      </c>
      <c r="G243" s="38">
        <f t="shared" si="33"/>
        <v>0</v>
      </c>
      <c r="H243" s="38">
        <f t="shared" si="32"/>
        <v>0</v>
      </c>
      <c r="I243" s="38">
        <f t="shared" si="32"/>
        <v>0</v>
      </c>
      <c r="J243" s="38">
        <f t="shared" si="32"/>
        <v>3.093036759922476E-2</v>
      </c>
      <c r="K243" s="38">
        <f t="shared" si="32"/>
        <v>0</v>
      </c>
      <c r="L243" s="38">
        <f t="shared" si="32"/>
        <v>0</v>
      </c>
      <c r="M243" s="35">
        <f t="shared" si="31"/>
        <v>3.093036759922476E-2</v>
      </c>
      <c r="S243" t="s">
        <v>79</v>
      </c>
      <c r="T243" s="5">
        <f>data_origin!T284</f>
        <v>0</v>
      </c>
      <c r="U243" s="5">
        <f>data_origin!U284</f>
        <v>0</v>
      </c>
      <c r="V243" s="5">
        <f>data_origin!V284</f>
        <v>0</v>
      </c>
      <c r="W243" s="5">
        <f>data_origin!W284</f>
        <v>0</v>
      </c>
      <c r="X243" s="5">
        <f>data_origin!X284</f>
        <v>0</v>
      </c>
      <c r="Y243" s="5">
        <f>data_origin!Y284</f>
        <v>3.0303030303030304E-2</v>
      </c>
      <c r="Z243" s="5">
        <f>data_origin!Z284</f>
        <v>0</v>
      </c>
      <c r="AA243" s="5">
        <f>data_origin!AA284</f>
        <v>0</v>
      </c>
      <c r="AB243" s="5">
        <f t="shared" si="34"/>
        <v>3.0303030303030304E-2</v>
      </c>
      <c r="AH243" t="s">
        <v>79</v>
      </c>
      <c r="AI243" s="5">
        <f>data_origin!T2531</f>
        <v>0</v>
      </c>
      <c r="AJ243" s="5">
        <f>data_origin!U2531</f>
        <v>0</v>
      </c>
      <c r="AK243" s="5">
        <f>data_origin!V2531</f>
        <v>0</v>
      </c>
      <c r="AL243" s="5">
        <f>data_origin!W2531</f>
        <v>0</v>
      </c>
      <c r="AM243" s="5">
        <f>data_origin!X2531</f>
        <v>0</v>
      </c>
      <c r="AN243" s="5">
        <f>data_origin!Y2531</f>
        <v>0</v>
      </c>
      <c r="AO243" s="5">
        <f>data_origin!Z2531</f>
        <v>0</v>
      </c>
      <c r="AP243" s="5">
        <f>data_origin!AA2531</f>
        <v>0</v>
      </c>
      <c r="AQ243" s="9">
        <f t="shared" si="35"/>
        <v>0</v>
      </c>
      <c r="AV243" t="s">
        <v>79</v>
      </c>
      <c r="AW243" s="5">
        <f>data_origin!T3245</f>
        <v>0</v>
      </c>
      <c r="AX243" s="5">
        <f>data_origin!U3245</f>
        <v>0</v>
      </c>
      <c r="AY243" s="5">
        <f>data_origin!V3245</f>
        <v>0</v>
      </c>
      <c r="AZ243" s="5">
        <f>data_origin!W3245</f>
        <v>0</v>
      </c>
      <c r="BA243" s="5">
        <f>data_origin!X3245</f>
        <v>0</v>
      </c>
      <c r="BB243" s="5">
        <f>data_origin!Y3245</f>
        <v>0</v>
      </c>
      <c r="BC243" s="5">
        <f>data_origin!Z3245</f>
        <v>0</v>
      </c>
      <c r="BD243" s="5">
        <f>data_origin!AA3245</f>
        <v>0</v>
      </c>
      <c r="BE243" s="9">
        <f t="shared" si="36"/>
        <v>0</v>
      </c>
    </row>
    <row r="244" spans="4:57" x14ac:dyDescent="0.25">
      <c r="D244" t="s">
        <v>80</v>
      </c>
      <c r="E244" s="38">
        <f t="shared" si="33"/>
        <v>0</v>
      </c>
      <c r="F244" s="38">
        <f t="shared" si="33"/>
        <v>0</v>
      </c>
      <c r="G244" s="38">
        <f t="shared" si="33"/>
        <v>0</v>
      </c>
      <c r="H244" s="38">
        <f t="shared" si="32"/>
        <v>0</v>
      </c>
      <c r="I244" s="38">
        <f t="shared" si="32"/>
        <v>0</v>
      </c>
      <c r="J244" s="38">
        <f t="shared" si="32"/>
        <v>3.093036759922476E-2</v>
      </c>
      <c r="K244" s="38">
        <f t="shared" si="32"/>
        <v>0</v>
      </c>
      <c r="L244" s="38">
        <f t="shared" si="32"/>
        <v>0</v>
      </c>
      <c r="M244" s="35">
        <f t="shared" si="31"/>
        <v>3.093036759922476E-2</v>
      </c>
      <c r="S244" t="s">
        <v>80</v>
      </c>
      <c r="T244" s="5">
        <f>data_origin!T285</f>
        <v>0</v>
      </c>
      <c r="U244" s="5">
        <f>data_origin!U285</f>
        <v>0</v>
      </c>
      <c r="V244" s="5">
        <f>data_origin!V285</f>
        <v>0</v>
      </c>
      <c r="W244" s="5">
        <f>data_origin!W285</f>
        <v>0</v>
      </c>
      <c r="X244" s="5">
        <f>data_origin!X285</f>
        <v>0</v>
      </c>
      <c r="Y244" s="5">
        <f>data_origin!Y285</f>
        <v>3.0303030303030304E-2</v>
      </c>
      <c r="Z244" s="5">
        <f>data_origin!Z285</f>
        <v>0</v>
      </c>
      <c r="AA244" s="5">
        <f>data_origin!AA285</f>
        <v>0</v>
      </c>
      <c r="AB244" s="5">
        <f t="shared" si="34"/>
        <v>3.0303030303030304E-2</v>
      </c>
      <c r="AH244" t="s">
        <v>80</v>
      </c>
      <c r="AI244" s="5">
        <f>data_origin!T2532</f>
        <v>0</v>
      </c>
      <c r="AJ244" s="5">
        <f>data_origin!U2532</f>
        <v>0</v>
      </c>
      <c r="AK244" s="5">
        <f>data_origin!V2532</f>
        <v>0</v>
      </c>
      <c r="AL244" s="5">
        <f>data_origin!W2532</f>
        <v>0</v>
      </c>
      <c r="AM244" s="5">
        <f>data_origin!X2532</f>
        <v>0</v>
      </c>
      <c r="AN244" s="5">
        <f>data_origin!Y2532</f>
        <v>0</v>
      </c>
      <c r="AO244" s="5">
        <f>data_origin!Z2532</f>
        <v>0</v>
      </c>
      <c r="AP244" s="5">
        <f>data_origin!AA2532</f>
        <v>0</v>
      </c>
      <c r="AQ244" s="9">
        <f t="shared" si="35"/>
        <v>0</v>
      </c>
      <c r="AV244" t="s">
        <v>80</v>
      </c>
      <c r="AW244" s="5">
        <f>data_origin!T3246</f>
        <v>0</v>
      </c>
      <c r="AX244" s="5">
        <f>data_origin!U3246</f>
        <v>0</v>
      </c>
      <c r="AY244" s="5">
        <f>data_origin!V3246</f>
        <v>0</v>
      </c>
      <c r="AZ244" s="5">
        <f>data_origin!W3246</f>
        <v>0</v>
      </c>
      <c r="BA244" s="5">
        <f>data_origin!X3246</f>
        <v>0</v>
      </c>
      <c r="BB244" s="5">
        <f>data_origin!Y3246</f>
        <v>0</v>
      </c>
      <c r="BC244" s="5">
        <f>data_origin!Z3246</f>
        <v>0</v>
      </c>
      <c r="BD244" s="5">
        <f>data_origin!AA3246</f>
        <v>0</v>
      </c>
      <c r="BE244" s="9">
        <f t="shared" si="36"/>
        <v>0</v>
      </c>
    </row>
    <row r="245" spans="4:57" x14ac:dyDescent="0.25">
      <c r="D245" t="s">
        <v>81</v>
      </c>
      <c r="E245" s="38">
        <f t="shared" si="33"/>
        <v>0</v>
      </c>
      <c r="F245" s="38">
        <f t="shared" si="33"/>
        <v>0</v>
      </c>
      <c r="G245" s="38">
        <f t="shared" si="33"/>
        <v>0</v>
      </c>
      <c r="H245" s="38">
        <f t="shared" si="32"/>
        <v>0</v>
      </c>
      <c r="I245" s="38">
        <f t="shared" si="32"/>
        <v>0</v>
      </c>
      <c r="J245" s="38">
        <f t="shared" si="32"/>
        <v>3.093036759922476E-2</v>
      </c>
      <c r="K245" s="38">
        <f t="shared" si="32"/>
        <v>0</v>
      </c>
      <c r="L245" s="38">
        <f t="shared" si="32"/>
        <v>0</v>
      </c>
      <c r="M245" s="35">
        <f t="shared" si="31"/>
        <v>3.093036759922476E-2</v>
      </c>
      <c r="S245" t="s">
        <v>81</v>
      </c>
      <c r="T245" s="5">
        <f>data_origin!T286</f>
        <v>0</v>
      </c>
      <c r="U245" s="5">
        <f>data_origin!U286</f>
        <v>0</v>
      </c>
      <c r="V245" s="5">
        <f>data_origin!V286</f>
        <v>0</v>
      </c>
      <c r="W245" s="5">
        <f>data_origin!W286</f>
        <v>0</v>
      </c>
      <c r="X245" s="5">
        <f>data_origin!X286</f>
        <v>0</v>
      </c>
      <c r="Y245" s="5">
        <f>data_origin!Y286</f>
        <v>3.0303030303030304E-2</v>
      </c>
      <c r="Z245" s="5">
        <f>data_origin!Z286</f>
        <v>0</v>
      </c>
      <c r="AA245" s="5">
        <f>data_origin!AA286</f>
        <v>0</v>
      </c>
      <c r="AB245" s="5">
        <f t="shared" si="34"/>
        <v>3.0303030303030304E-2</v>
      </c>
      <c r="AH245" t="s">
        <v>81</v>
      </c>
      <c r="AI245" s="5">
        <f>data_origin!T2533</f>
        <v>0</v>
      </c>
      <c r="AJ245" s="5">
        <f>data_origin!U2533</f>
        <v>0</v>
      </c>
      <c r="AK245" s="5">
        <f>data_origin!V2533</f>
        <v>0</v>
      </c>
      <c r="AL245" s="5">
        <f>data_origin!W2533</f>
        <v>0</v>
      </c>
      <c r="AM245" s="5">
        <f>data_origin!X2533</f>
        <v>0</v>
      </c>
      <c r="AN245" s="5">
        <f>data_origin!Y2533</f>
        <v>0</v>
      </c>
      <c r="AO245" s="5">
        <f>data_origin!Z2533</f>
        <v>0</v>
      </c>
      <c r="AP245" s="5">
        <f>data_origin!AA2533</f>
        <v>0</v>
      </c>
      <c r="AQ245" s="9">
        <f t="shared" si="35"/>
        <v>0</v>
      </c>
      <c r="AV245" t="s">
        <v>81</v>
      </c>
      <c r="AW245" s="5">
        <f>data_origin!T3247</f>
        <v>0</v>
      </c>
      <c r="AX245" s="5">
        <f>data_origin!U3247</f>
        <v>0</v>
      </c>
      <c r="AY245" s="5">
        <f>data_origin!V3247</f>
        <v>0</v>
      </c>
      <c r="AZ245" s="5">
        <f>data_origin!W3247</f>
        <v>0</v>
      </c>
      <c r="BA245" s="5">
        <f>data_origin!X3247</f>
        <v>0</v>
      </c>
      <c r="BB245" s="5">
        <f>data_origin!Y3247</f>
        <v>0</v>
      </c>
      <c r="BC245" s="5">
        <f>data_origin!Z3247</f>
        <v>0</v>
      </c>
      <c r="BD245" s="5">
        <f>data_origin!AA3247</f>
        <v>0</v>
      </c>
      <c r="BE245" s="9">
        <f t="shared" si="36"/>
        <v>0</v>
      </c>
    </row>
    <row r="246" spans="4:57" x14ac:dyDescent="0.25">
      <c r="D246" t="s">
        <v>82</v>
      </c>
      <c r="E246" s="38">
        <f t="shared" si="33"/>
        <v>0</v>
      </c>
      <c r="F246" s="38">
        <f t="shared" si="33"/>
        <v>0</v>
      </c>
      <c r="G246" s="38">
        <f t="shared" si="33"/>
        <v>0</v>
      </c>
      <c r="H246" s="38">
        <f t="shared" si="32"/>
        <v>0</v>
      </c>
      <c r="I246" s="38">
        <f t="shared" si="32"/>
        <v>0</v>
      </c>
      <c r="J246" s="38">
        <f t="shared" si="32"/>
        <v>3.093036759922476E-2</v>
      </c>
      <c r="K246" s="38">
        <f t="shared" si="32"/>
        <v>0</v>
      </c>
      <c r="L246" s="38">
        <f t="shared" si="32"/>
        <v>0</v>
      </c>
      <c r="M246" s="35">
        <f t="shared" si="31"/>
        <v>3.093036759922476E-2</v>
      </c>
      <c r="S246" t="s">
        <v>82</v>
      </c>
      <c r="T246" s="5">
        <f>data_origin!T287</f>
        <v>0</v>
      </c>
      <c r="U246" s="5">
        <f>data_origin!U287</f>
        <v>0</v>
      </c>
      <c r="V246" s="5">
        <f>data_origin!V287</f>
        <v>0</v>
      </c>
      <c r="W246" s="5">
        <f>data_origin!W287</f>
        <v>0</v>
      </c>
      <c r="X246" s="5">
        <f>data_origin!X287</f>
        <v>0</v>
      </c>
      <c r="Y246" s="5">
        <f>data_origin!Y287</f>
        <v>3.0303030303030304E-2</v>
      </c>
      <c r="Z246" s="5">
        <f>data_origin!Z287</f>
        <v>0</v>
      </c>
      <c r="AA246" s="5">
        <f>data_origin!AA287</f>
        <v>0</v>
      </c>
      <c r="AB246" s="5">
        <f t="shared" si="34"/>
        <v>3.0303030303030304E-2</v>
      </c>
      <c r="AH246" t="s">
        <v>82</v>
      </c>
      <c r="AI246" s="5">
        <f>data_origin!T2534</f>
        <v>0</v>
      </c>
      <c r="AJ246" s="5">
        <f>data_origin!U2534</f>
        <v>0</v>
      </c>
      <c r="AK246" s="5">
        <f>data_origin!V2534</f>
        <v>0</v>
      </c>
      <c r="AL246" s="5">
        <f>data_origin!W2534</f>
        <v>0</v>
      </c>
      <c r="AM246" s="5">
        <f>data_origin!X2534</f>
        <v>0</v>
      </c>
      <c r="AN246" s="5">
        <f>data_origin!Y2534</f>
        <v>0</v>
      </c>
      <c r="AO246" s="5">
        <f>data_origin!Z2534</f>
        <v>0</v>
      </c>
      <c r="AP246" s="5">
        <f>data_origin!AA2534</f>
        <v>0</v>
      </c>
      <c r="AQ246" s="9">
        <f t="shared" si="35"/>
        <v>0</v>
      </c>
      <c r="AV246" t="s">
        <v>82</v>
      </c>
      <c r="AW246" s="5">
        <f>data_origin!T3248</f>
        <v>0</v>
      </c>
      <c r="AX246" s="5">
        <f>data_origin!U3248</f>
        <v>0</v>
      </c>
      <c r="AY246" s="5">
        <f>data_origin!V3248</f>
        <v>0</v>
      </c>
      <c r="AZ246" s="5">
        <f>data_origin!W3248</f>
        <v>0</v>
      </c>
      <c r="BA246" s="5">
        <f>data_origin!X3248</f>
        <v>0</v>
      </c>
      <c r="BB246" s="5">
        <f>data_origin!Y3248</f>
        <v>0</v>
      </c>
      <c r="BC246" s="5">
        <f>data_origin!Z3248</f>
        <v>0</v>
      </c>
      <c r="BD246" s="5">
        <f>data_origin!AA3248</f>
        <v>0</v>
      </c>
      <c r="BE246" s="9">
        <f t="shared" si="36"/>
        <v>0</v>
      </c>
    </row>
    <row r="247" spans="4:57" x14ac:dyDescent="0.25">
      <c r="D247" t="s">
        <v>83</v>
      </c>
      <c r="E247" s="38">
        <f t="shared" si="33"/>
        <v>0</v>
      </c>
      <c r="F247" s="38">
        <f t="shared" si="33"/>
        <v>0</v>
      </c>
      <c r="G247" s="38">
        <f t="shared" si="33"/>
        <v>0</v>
      </c>
      <c r="H247" s="38">
        <f t="shared" si="32"/>
        <v>0</v>
      </c>
      <c r="I247" s="38">
        <f t="shared" si="32"/>
        <v>0</v>
      </c>
      <c r="J247" s="38">
        <f t="shared" si="32"/>
        <v>3.093036759922476E-2</v>
      </c>
      <c r="K247" s="38">
        <f t="shared" si="32"/>
        <v>0</v>
      </c>
      <c r="L247" s="38">
        <f t="shared" si="32"/>
        <v>0</v>
      </c>
      <c r="M247" s="35">
        <f t="shared" si="31"/>
        <v>3.093036759922476E-2</v>
      </c>
      <c r="S247" t="s">
        <v>83</v>
      </c>
      <c r="T247" s="5">
        <f>data_origin!T288</f>
        <v>0</v>
      </c>
      <c r="U247" s="5">
        <f>data_origin!U288</f>
        <v>0</v>
      </c>
      <c r="V247" s="5">
        <f>data_origin!V288</f>
        <v>0</v>
      </c>
      <c r="W247" s="5">
        <f>data_origin!W288</f>
        <v>0</v>
      </c>
      <c r="X247" s="5">
        <f>data_origin!X288</f>
        <v>0</v>
      </c>
      <c r="Y247" s="5">
        <f>data_origin!Y288</f>
        <v>3.0303030303030304E-2</v>
      </c>
      <c r="Z247" s="5">
        <f>data_origin!Z288</f>
        <v>0</v>
      </c>
      <c r="AA247" s="5">
        <f>data_origin!AA288</f>
        <v>0</v>
      </c>
      <c r="AB247" s="5">
        <f t="shared" si="34"/>
        <v>3.0303030303030304E-2</v>
      </c>
      <c r="AH247" t="s">
        <v>83</v>
      </c>
      <c r="AI247" s="5">
        <f>data_origin!T2535</f>
        <v>0</v>
      </c>
      <c r="AJ247" s="5">
        <f>data_origin!U2535</f>
        <v>0</v>
      </c>
      <c r="AK247" s="5">
        <f>data_origin!V2535</f>
        <v>0</v>
      </c>
      <c r="AL247" s="5">
        <f>data_origin!W2535</f>
        <v>0</v>
      </c>
      <c r="AM247" s="5">
        <f>data_origin!X2535</f>
        <v>0</v>
      </c>
      <c r="AN247" s="5">
        <f>data_origin!Y2535</f>
        <v>0</v>
      </c>
      <c r="AO247" s="5">
        <f>data_origin!Z2535</f>
        <v>0</v>
      </c>
      <c r="AP247" s="5">
        <f>data_origin!AA2535</f>
        <v>0</v>
      </c>
      <c r="AQ247" s="9">
        <f t="shared" si="35"/>
        <v>0</v>
      </c>
      <c r="AV247" t="s">
        <v>83</v>
      </c>
      <c r="AW247" s="5">
        <f>data_origin!T3249</f>
        <v>0</v>
      </c>
      <c r="AX247" s="5">
        <f>data_origin!U3249</f>
        <v>0</v>
      </c>
      <c r="AY247" s="5">
        <f>data_origin!V3249</f>
        <v>0</v>
      </c>
      <c r="AZ247" s="5">
        <f>data_origin!W3249</f>
        <v>0</v>
      </c>
      <c r="BA247" s="5">
        <f>data_origin!X3249</f>
        <v>0</v>
      </c>
      <c r="BB247" s="5">
        <f>data_origin!Y3249</f>
        <v>0</v>
      </c>
      <c r="BC247" s="5">
        <f>data_origin!Z3249</f>
        <v>0</v>
      </c>
      <c r="BD247" s="5">
        <f>data_origin!AA3249</f>
        <v>0</v>
      </c>
      <c r="BE247" s="9">
        <f t="shared" si="36"/>
        <v>0</v>
      </c>
    </row>
    <row r="248" spans="4:57" x14ac:dyDescent="0.25">
      <c r="D248" t="s">
        <v>84</v>
      </c>
      <c r="E248" s="38">
        <f t="shared" si="33"/>
        <v>0</v>
      </c>
      <c r="F248" s="38">
        <f t="shared" si="33"/>
        <v>0</v>
      </c>
      <c r="G248" s="38">
        <f t="shared" si="33"/>
        <v>0</v>
      </c>
      <c r="H248" s="38">
        <f t="shared" si="32"/>
        <v>0</v>
      </c>
      <c r="I248" s="38">
        <f t="shared" si="32"/>
        <v>0</v>
      </c>
      <c r="J248" s="38">
        <f t="shared" si="32"/>
        <v>3.093036759922476E-2</v>
      </c>
      <c r="K248" s="38">
        <f t="shared" si="32"/>
        <v>0</v>
      </c>
      <c r="L248" s="38">
        <f t="shared" si="32"/>
        <v>0</v>
      </c>
      <c r="M248" s="35">
        <f t="shared" si="31"/>
        <v>3.093036759922476E-2</v>
      </c>
      <c r="S248" t="s">
        <v>84</v>
      </c>
      <c r="T248" s="5">
        <f>data_origin!T289</f>
        <v>0</v>
      </c>
      <c r="U248" s="5">
        <f>data_origin!U289</f>
        <v>0</v>
      </c>
      <c r="V248" s="5">
        <f>data_origin!V289</f>
        <v>0</v>
      </c>
      <c r="W248" s="5">
        <f>data_origin!W289</f>
        <v>0</v>
      </c>
      <c r="X248" s="5">
        <f>data_origin!X289</f>
        <v>0</v>
      </c>
      <c r="Y248" s="5">
        <f>data_origin!Y289</f>
        <v>3.0303030303030304E-2</v>
      </c>
      <c r="Z248" s="5">
        <f>data_origin!Z289</f>
        <v>0</v>
      </c>
      <c r="AA248" s="5">
        <f>data_origin!AA289</f>
        <v>0</v>
      </c>
      <c r="AB248" s="5">
        <f t="shared" si="34"/>
        <v>3.0303030303030304E-2</v>
      </c>
      <c r="AH248" t="s">
        <v>84</v>
      </c>
      <c r="AI248" s="5">
        <f>data_origin!T2536</f>
        <v>0</v>
      </c>
      <c r="AJ248" s="5">
        <f>data_origin!U2536</f>
        <v>0</v>
      </c>
      <c r="AK248" s="5">
        <f>data_origin!V2536</f>
        <v>0</v>
      </c>
      <c r="AL248" s="5">
        <f>data_origin!W2536</f>
        <v>0</v>
      </c>
      <c r="AM248" s="5">
        <f>data_origin!X2536</f>
        <v>0</v>
      </c>
      <c r="AN248" s="5">
        <f>data_origin!Y2536</f>
        <v>0</v>
      </c>
      <c r="AO248" s="5">
        <f>data_origin!Z2536</f>
        <v>0</v>
      </c>
      <c r="AP248" s="5">
        <f>data_origin!AA2536</f>
        <v>0</v>
      </c>
      <c r="AQ248" s="9">
        <f t="shared" si="35"/>
        <v>0</v>
      </c>
      <c r="AV248" t="s">
        <v>84</v>
      </c>
      <c r="AW248" s="5">
        <f>data_origin!T3250</f>
        <v>0</v>
      </c>
      <c r="AX248" s="5">
        <f>data_origin!U3250</f>
        <v>0</v>
      </c>
      <c r="AY248" s="5">
        <f>data_origin!V3250</f>
        <v>0</v>
      </c>
      <c r="AZ248" s="5">
        <f>data_origin!W3250</f>
        <v>0</v>
      </c>
      <c r="BA248" s="5">
        <f>data_origin!X3250</f>
        <v>0</v>
      </c>
      <c r="BB248" s="5">
        <f>data_origin!Y3250</f>
        <v>0</v>
      </c>
      <c r="BC248" s="5">
        <f>data_origin!Z3250</f>
        <v>0</v>
      </c>
      <c r="BD248" s="5">
        <f>data_origin!AA3250</f>
        <v>0</v>
      </c>
      <c r="BE248" s="9">
        <f t="shared" si="36"/>
        <v>0</v>
      </c>
    </row>
    <row r="249" spans="4:57" x14ac:dyDescent="0.25">
      <c r="D249" t="s">
        <v>85</v>
      </c>
      <c r="E249" s="38">
        <f t="shared" si="33"/>
        <v>0</v>
      </c>
      <c r="F249" s="38">
        <f t="shared" si="33"/>
        <v>0</v>
      </c>
      <c r="G249" s="38">
        <f t="shared" si="33"/>
        <v>0</v>
      </c>
      <c r="H249" s="38">
        <f t="shared" si="32"/>
        <v>0</v>
      </c>
      <c r="I249" s="38">
        <f t="shared" si="32"/>
        <v>0</v>
      </c>
      <c r="J249" s="38">
        <f t="shared" si="32"/>
        <v>3.093036759922476E-2</v>
      </c>
      <c r="K249" s="38">
        <f t="shared" si="32"/>
        <v>0</v>
      </c>
      <c r="L249" s="38">
        <f t="shared" si="32"/>
        <v>0</v>
      </c>
      <c r="M249" s="35">
        <f t="shared" si="31"/>
        <v>3.093036759922476E-2</v>
      </c>
      <c r="S249" t="s">
        <v>85</v>
      </c>
      <c r="T249" s="5">
        <f>data_origin!T290</f>
        <v>0</v>
      </c>
      <c r="U249" s="5">
        <f>data_origin!U290</f>
        <v>0</v>
      </c>
      <c r="V249" s="5">
        <f>data_origin!V290</f>
        <v>0</v>
      </c>
      <c r="W249" s="5">
        <f>data_origin!W290</f>
        <v>0</v>
      </c>
      <c r="X249" s="5">
        <f>data_origin!X290</f>
        <v>0</v>
      </c>
      <c r="Y249" s="5">
        <f>data_origin!Y290</f>
        <v>3.0303030303030304E-2</v>
      </c>
      <c r="Z249" s="5">
        <f>data_origin!Z290</f>
        <v>0</v>
      </c>
      <c r="AA249" s="5">
        <f>data_origin!AA290</f>
        <v>0</v>
      </c>
      <c r="AB249" s="5">
        <f t="shared" si="34"/>
        <v>3.0303030303030304E-2</v>
      </c>
      <c r="AH249" t="s">
        <v>85</v>
      </c>
      <c r="AI249" s="5">
        <f>data_origin!T2537</f>
        <v>0</v>
      </c>
      <c r="AJ249" s="5">
        <f>data_origin!U2537</f>
        <v>0</v>
      </c>
      <c r="AK249" s="5">
        <f>data_origin!V2537</f>
        <v>0</v>
      </c>
      <c r="AL249" s="5">
        <f>data_origin!W2537</f>
        <v>0</v>
      </c>
      <c r="AM249" s="5">
        <f>data_origin!X2537</f>
        <v>0</v>
      </c>
      <c r="AN249" s="5">
        <f>data_origin!Y2537</f>
        <v>0</v>
      </c>
      <c r="AO249" s="5">
        <f>data_origin!Z2537</f>
        <v>0</v>
      </c>
      <c r="AP249" s="5">
        <f>data_origin!AA2537</f>
        <v>0</v>
      </c>
      <c r="AQ249" s="9">
        <f t="shared" si="35"/>
        <v>0</v>
      </c>
      <c r="AV249" t="s">
        <v>85</v>
      </c>
      <c r="AW249" s="5">
        <f>data_origin!T3251</f>
        <v>0</v>
      </c>
      <c r="AX249" s="5">
        <f>data_origin!U3251</f>
        <v>0</v>
      </c>
      <c r="AY249" s="5">
        <f>data_origin!V3251</f>
        <v>0</v>
      </c>
      <c r="AZ249" s="5">
        <f>data_origin!W3251</f>
        <v>0</v>
      </c>
      <c r="BA249" s="5">
        <f>data_origin!X3251</f>
        <v>0</v>
      </c>
      <c r="BB249" s="5">
        <f>data_origin!Y3251</f>
        <v>0</v>
      </c>
      <c r="BC249" s="5">
        <f>data_origin!Z3251</f>
        <v>0</v>
      </c>
      <c r="BD249" s="5">
        <f>data_origin!AA3251</f>
        <v>0</v>
      </c>
      <c r="BE249" s="9">
        <f t="shared" si="36"/>
        <v>0</v>
      </c>
    </row>
    <row r="250" spans="4:57" x14ac:dyDescent="0.25">
      <c r="D250" t="s">
        <v>86</v>
      </c>
      <c r="E250" s="38">
        <f t="shared" si="33"/>
        <v>0</v>
      </c>
      <c r="F250" s="38">
        <f t="shared" si="33"/>
        <v>0</v>
      </c>
      <c r="G250" s="38">
        <f t="shared" si="33"/>
        <v>2.007840856461546</v>
      </c>
      <c r="H250" s="38">
        <f t="shared" si="32"/>
        <v>0</v>
      </c>
      <c r="I250" s="38">
        <f t="shared" si="32"/>
        <v>0</v>
      </c>
      <c r="J250" s="38">
        <f t="shared" si="32"/>
        <v>3.093036759922476E-2</v>
      </c>
      <c r="K250" s="38">
        <f t="shared" si="32"/>
        <v>0</v>
      </c>
      <c r="L250" s="38">
        <f t="shared" si="32"/>
        <v>0</v>
      </c>
      <c r="M250" s="35">
        <f t="shared" si="31"/>
        <v>2.0387712240607709</v>
      </c>
      <c r="S250" t="s">
        <v>86</v>
      </c>
      <c r="T250" s="5">
        <f>data_origin!T291</f>
        <v>0</v>
      </c>
      <c r="U250" s="5">
        <f>data_origin!U291</f>
        <v>0</v>
      </c>
      <c r="V250" s="5">
        <f>data_origin!V291</f>
        <v>1</v>
      </c>
      <c r="W250" s="5">
        <f>data_origin!W291</f>
        <v>0</v>
      </c>
      <c r="X250" s="5">
        <f>data_origin!X291</f>
        <v>0</v>
      </c>
      <c r="Y250" s="5">
        <f>data_origin!Y291</f>
        <v>3.0303030303030304E-2</v>
      </c>
      <c r="Z250" s="5">
        <f>data_origin!Z291</f>
        <v>0</v>
      </c>
      <c r="AA250" s="5">
        <f>data_origin!AA291</f>
        <v>0</v>
      </c>
      <c r="AB250" s="5">
        <f t="shared" si="34"/>
        <v>1.0303030303030303</v>
      </c>
      <c r="AH250" t="s">
        <v>86</v>
      </c>
      <c r="AI250" s="5">
        <f>data_origin!T2538</f>
        <v>0</v>
      </c>
      <c r="AJ250" s="5">
        <f>data_origin!U2538</f>
        <v>0</v>
      </c>
      <c r="AK250" s="5">
        <f>data_origin!V2538</f>
        <v>0</v>
      </c>
      <c r="AL250" s="5">
        <f>data_origin!W2538</f>
        <v>0</v>
      </c>
      <c r="AM250" s="5">
        <f>data_origin!X2538</f>
        <v>0</v>
      </c>
      <c r="AN250" s="5">
        <f>data_origin!Y2538</f>
        <v>0</v>
      </c>
      <c r="AO250" s="5">
        <f>data_origin!Z2538</f>
        <v>0</v>
      </c>
      <c r="AP250" s="5">
        <f>data_origin!AA2538</f>
        <v>0</v>
      </c>
      <c r="AQ250" s="9">
        <f t="shared" si="35"/>
        <v>0</v>
      </c>
      <c r="AV250" t="s">
        <v>86</v>
      </c>
      <c r="AW250" s="5">
        <f>data_origin!T3252</f>
        <v>0</v>
      </c>
      <c r="AX250" s="5">
        <f>data_origin!U3252</f>
        <v>0</v>
      </c>
      <c r="AY250" s="5">
        <f>data_origin!V3252</f>
        <v>0</v>
      </c>
      <c r="AZ250" s="5">
        <f>data_origin!W3252</f>
        <v>0</v>
      </c>
      <c r="BA250" s="5">
        <f>data_origin!X3252</f>
        <v>0</v>
      </c>
      <c r="BB250" s="5">
        <f>data_origin!Y3252</f>
        <v>0</v>
      </c>
      <c r="BC250" s="5">
        <f>data_origin!Z3252</f>
        <v>0</v>
      </c>
      <c r="BD250" s="5">
        <f>data_origin!AA3252</f>
        <v>0</v>
      </c>
      <c r="BE250" s="9">
        <f t="shared" si="36"/>
        <v>0</v>
      </c>
    </row>
    <row r="251" spans="4:57" x14ac:dyDescent="0.25">
      <c r="D251" t="s">
        <v>87</v>
      </c>
      <c r="E251" s="38">
        <f t="shared" si="33"/>
        <v>0</v>
      </c>
      <c r="F251" s="38">
        <f t="shared" si="33"/>
        <v>0</v>
      </c>
      <c r="G251" s="38">
        <f t="shared" si="33"/>
        <v>0</v>
      </c>
      <c r="H251" s="38">
        <f t="shared" si="32"/>
        <v>0</v>
      </c>
      <c r="I251" s="38">
        <f t="shared" si="32"/>
        <v>0</v>
      </c>
      <c r="J251" s="38">
        <f t="shared" si="32"/>
        <v>3.093036759922476E-2</v>
      </c>
      <c r="K251" s="38">
        <f t="shared" si="32"/>
        <v>0</v>
      </c>
      <c r="L251" s="38">
        <f t="shared" si="32"/>
        <v>0</v>
      </c>
      <c r="M251" s="35">
        <f t="shared" si="31"/>
        <v>3.093036759922476E-2</v>
      </c>
      <c r="S251" t="s">
        <v>87</v>
      </c>
      <c r="T251" s="5">
        <f>data_origin!T292</f>
        <v>0</v>
      </c>
      <c r="U251" s="5">
        <f>data_origin!U292</f>
        <v>0</v>
      </c>
      <c r="V251" s="5">
        <f>data_origin!V292</f>
        <v>0</v>
      </c>
      <c r="W251" s="5">
        <f>data_origin!W292</f>
        <v>0</v>
      </c>
      <c r="X251" s="5">
        <f>data_origin!X292</f>
        <v>0</v>
      </c>
      <c r="Y251" s="5">
        <f>data_origin!Y292</f>
        <v>3.0303030303030304E-2</v>
      </c>
      <c r="Z251" s="5">
        <f>data_origin!Z292</f>
        <v>0</v>
      </c>
      <c r="AA251" s="5">
        <f>data_origin!AA292</f>
        <v>0</v>
      </c>
      <c r="AB251" s="5">
        <f t="shared" si="34"/>
        <v>3.0303030303030304E-2</v>
      </c>
      <c r="AH251" t="s">
        <v>87</v>
      </c>
      <c r="AI251" s="5">
        <f>data_origin!T2539</f>
        <v>0</v>
      </c>
      <c r="AJ251" s="5">
        <f>data_origin!U2539</f>
        <v>0</v>
      </c>
      <c r="AK251" s="5">
        <f>data_origin!V2539</f>
        <v>0</v>
      </c>
      <c r="AL251" s="5">
        <f>data_origin!W2539</f>
        <v>0</v>
      </c>
      <c r="AM251" s="5">
        <f>data_origin!X2539</f>
        <v>0</v>
      </c>
      <c r="AN251" s="5">
        <f>data_origin!Y2539</f>
        <v>0</v>
      </c>
      <c r="AO251" s="5">
        <f>data_origin!Z2539</f>
        <v>0</v>
      </c>
      <c r="AP251" s="5">
        <f>data_origin!AA2539</f>
        <v>0</v>
      </c>
      <c r="AQ251" s="9">
        <f t="shared" si="35"/>
        <v>0</v>
      </c>
      <c r="AV251" t="s">
        <v>87</v>
      </c>
      <c r="AW251" s="5">
        <f>data_origin!T3253</f>
        <v>0</v>
      </c>
      <c r="AX251" s="5">
        <f>data_origin!U3253</f>
        <v>0</v>
      </c>
      <c r="AY251" s="5">
        <f>data_origin!V3253</f>
        <v>0</v>
      </c>
      <c r="AZ251" s="5">
        <f>data_origin!W3253</f>
        <v>0</v>
      </c>
      <c r="BA251" s="5">
        <f>data_origin!X3253</f>
        <v>0</v>
      </c>
      <c r="BB251" s="5">
        <f>data_origin!Y3253</f>
        <v>0</v>
      </c>
      <c r="BC251" s="5">
        <f>data_origin!Z3253</f>
        <v>0</v>
      </c>
      <c r="BD251" s="5">
        <f>data_origin!AA3253</f>
        <v>0</v>
      </c>
      <c r="BE251" s="9">
        <f t="shared" si="36"/>
        <v>0</v>
      </c>
    </row>
    <row r="252" spans="4:57" x14ac:dyDescent="0.25">
      <c r="D252" t="s">
        <v>88</v>
      </c>
      <c r="E252" s="38">
        <f t="shared" si="33"/>
        <v>0</v>
      </c>
      <c r="F252" s="38">
        <f t="shared" si="33"/>
        <v>0</v>
      </c>
      <c r="G252" s="38">
        <f t="shared" si="33"/>
        <v>0</v>
      </c>
      <c r="H252" s="38">
        <f t="shared" si="32"/>
        <v>0</v>
      </c>
      <c r="I252" s="38">
        <f t="shared" si="32"/>
        <v>0</v>
      </c>
      <c r="J252" s="38">
        <f t="shared" si="32"/>
        <v>3.093036759922476E-2</v>
      </c>
      <c r="K252" s="38">
        <f t="shared" si="32"/>
        <v>0</v>
      </c>
      <c r="L252" s="38">
        <f t="shared" si="32"/>
        <v>0</v>
      </c>
      <c r="M252" s="35">
        <f t="shared" si="31"/>
        <v>3.093036759922476E-2</v>
      </c>
      <c r="S252" t="s">
        <v>88</v>
      </c>
      <c r="T252" s="5">
        <f>data_origin!T293</f>
        <v>0</v>
      </c>
      <c r="U252" s="5">
        <f>data_origin!U293</f>
        <v>0</v>
      </c>
      <c r="V252" s="5">
        <f>data_origin!V293</f>
        <v>0</v>
      </c>
      <c r="W252" s="5">
        <f>data_origin!W293</f>
        <v>0</v>
      </c>
      <c r="X252" s="5">
        <f>data_origin!X293</f>
        <v>0</v>
      </c>
      <c r="Y252" s="5">
        <f>data_origin!Y293</f>
        <v>3.0303030303030304E-2</v>
      </c>
      <c r="Z252" s="5">
        <f>data_origin!Z293</f>
        <v>0</v>
      </c>
      <c r="AA252" s="5">
        <f>data_origin!AA293</f>
        <v>0</v>
      </c>
      <c r="AB252" s="5">
        <f t="shared" si="34"/>
        <v>3.0303030303030304E-2</v>
      </c>
      <c r="AH252" t="s">
        <v>88</v>
      </c>
      <c r="AI252" s="5">
        <f>data_origin!T2540</f>
        <v>0</v>
      </c>
      <c r="AJ252" s="5">
        <f>data_origin!U2540</f>
        <v>0</v>
      </c>
      <c r="AK252" s="5">
        <f>data_origin!V2540</f>
        <v>0</v>
      </c>
      <c r="AL252" s="5">
        <f>data_origin!W2540</f>
        <v>0</v>
      </c>
      <c r="AM252" s="5">
        <f>data_origin!X2540</f>
        <v>0</v>
      </c>
      <c r="AN252" s="5">
        <f>data_origin!Y2540</f>
        <v>0</v>
      </c>
      <c r="AO252" s="5">
        <f>data_origin!Z2540</f>
        <v>0</v>
      </c>
      <c r="AP252" s="5">
        <f>data_origin!AA2540</f>
        <v>0</v>
      </c>
      <c r="AQ252" s="9">
        <f t="shared" si="35"/>
        <v>0</v>
      </c>
      <c r="AV252" t="s">
        <v>88</v>
      </c>
      <c r="AW252" s="5">
        <f>data_origin!T3254</f>
        <v>0</v>
      </c>
      <c r="AX252" s="5">
        <f>data_origin!U3254</f>
        <v>0</v>
      </c>
      <c r="AY252" s="5">
        <f>data_origin!V3254</f>
        <v>0</v>
      </c>
      <c r="AZ252" s="5">
        <f>data_origin!W3254</f>
        <v>0</v>
      </c>
      <c r="BA252" s="5">
        <f>data_origin!X3254</f>
        <v>0</v>
      </c>
      <c r="BB252" s="5">
        <f>data_origin!Y3254</f>
        <v>0</v>
      </c>
      <c r="BC252" s="5">
        <f>data_origin!Z3254</f>
        <v>0</v>
      </c>
      <c r="BD252" s="5">
        <f>data_origin!AA3254</f>
        <v>0</v>
      </c>
      <c r="BE252" s="9">
        <f t="shared" si="36"/>
        <v>0</v>
      </c>
    </row>
    <row r="253" spans="4:57" x14ac:dyDescent="0.25">
      <c r="D253" t="s">
        <v>89</v>
      </c>
      <c r="E253" s="38">
        <f t="shared" si="33"/>
        <v>0</v>
      </c>
      <c r="F253" s="38">
        <f t="shared" si="33"/>
        <v>0</v>
      </c>
      <c r="G253" s="38">
        <f t="shared" si="33"/>
        <v>0</v>
      </c>
      <c r="H253" s="38">
        <f t="shared" si="32"/>
        <v>0</v>
      </c>
      <c r="I253" s="38">
        <f t="shared" si="32"/>
        <v>1.2722671972101638</v>
      </c>
      <c r="J253" s="38">
        <f t="shared" si="32"/>
        <v>3.093036759922476E-2</v>
      </c>
      <c r="K253" s="38">
        <f t="shared" si="32"/>
        <v>0</v>
      </c>
      <c r="L253" s="38">
        <f t="shared" si="32"/>
        <v>0</v>
      </c>
      <c r="M253" s="35">
        <f t="shared" si="31"/>
        <v>1.3031975648093885</v>
      </c>
      <c r="S253" t="s">
        <v>89</v>
      </c>
      <c r="T253" s="5">
        <f>data_origin!T294</f>
        <v>0</v>
      </c>
      <c r="U253" s="5">
        <f>data_origin!U294</f>
        <v>0</v>
      </c>
      <c r="V253" s="5">
        <f>data_origin!V294</f>
        <v>0</v>
      </c>
      <c r="W253" s="5">
        <f>data_origin!W294</f>
        <v>0</v>
      </c>
      <c r="X253" s="5">
        <f>data_origin!X294</f>
        <v>1.25</v>
      </c>
      <c r="Y253" s="5">
        <f>data_origin!Y294</f>
        <v>3.0303030303030304E-2</v>
      </c>
      <c r="Z253" s="5">
        <f>data_origin!Z294</f>
        <v>0</v>
      </c>
      <c r="AA253" s="5">
        <f>data_origin!AA294</f>
        <v>0</v>
      </c>
      <c r="AB253" s="5">
        <f t="shared" si="34"/>
        <v>1.2803030303030303</v>
      </c>
      <c r="AH253" t="s">
        <v>89</v>
      </c>
      <c r="AI253" s="5">
        <f>data_origin!T2541</f>
        <v>0</v>
      </c>
      <c r="AJ253" s="5">
        <f>data_origin!U2541</f>
        <v>0</v>
      </c>
      <c r="AK253" s="5">
        <f>data_origin!V2541</f>
        <v>0</v>
      </c>
      <c r="AL253" s="5">
        <f>data_origin!W2541</f>
        <v>0</v>
      </c>
      <c r="AM253" s="5">
        <f>data_origin!X2541</f>
        <v>0</v>
      </c>
      <c r="AN253" s="5">
        <f>data_origin!Y2541</f>
        <v>0</v>
      </c>
      <c r="AO253" s="5">
        <f>data_origin!Z2541</f>
        <v>0</v>
      </c>
      <c r="AP253" s="5">
        <f>data_origin!AA2541</f>
        <v>0</v>
      </c>
      <c r="AQ253" s="9">
        <f t="shared" si="35"/>
        <v>0</v>
      </c>
      <c r="AV253" t="s">
        <v>89</v>
      </c>
      <c r="AW253" s="5">
        <f>data_origin!T3255</f>
        <v>0</v>
      </c>
      <c r="AX253" s="5">
        <f>data_origin!U3255</f>
        <v>0</v>
      </c>
      <c r="AY253" s="5">
        <f>data_origin!V3255</f>
        <v>0</v>
      </c>
      <c r="AZ253" s="5">
        <f>data_origin!W3255</f>
        <v>0</v>
      </c>
      <c r="BA253" s="5">
        <f>data_origin!X3255</f>
        <v>0</v>
      </c>
      <c r="BB253" s="5">
        <f>data_origin!Y3255</f>
        <v>0</v>
      </c>
      <c r="BC253" s="5">
        <f>data_origin!Z3255</f>
        <v>0</v>
      </c>
      <c r="BD253" s="5">
        <f>data_origin!AA3255</f>
        <v>0</v>
      </c>
      <c r="BE253" s="9">
        <f t="shared" si="36"/>
        <v>0</v>
      </c>
    </row>
    <row r="254" spans="4:57" x14ac:dyDescent="0.25">
      <c r="D254" t="s">
        <v>90</v>
      </c>
      <c r="E254" s="38">
        <f t="shared" si="33"/>
        <v>0</v>
      </c>
      <c r="F254" s="38">
        <f t="shared" si="33"/>
        <v>0</v>
      </c>
      <c r="G254" s="38">
        <f t="shared" si="33"/>
        <v>0</v>
      </c>
      <c r="H254" s="38">
        <f t="shared" si="32"/>
        <v>0</v>
      </c>
      <c r="I254" s="38">
        <f t="shared" si="32"/>
        <v>0</v>
      </c>
      <c r="J254" s="38">
        <f t="shared" si="32"/>
        <v>3.093036759922476E-2</v>
      </c>
      <c r="K254" s="38">
        <f t="shared" si="32"/>
        <v>0</v>
      </c>
      <c r="L254" s="38">
        <f t="shared" si="32"/>
        <v>0</v>
      </c>
      <c r="M254" s="35">
        <f t="shared" si="31"/>
        <v>3.093036759922476E-2</v>
      </c>
      <c r="S254" t="s">
        <v>90</v>
      </c>
      <c r="T254" s="5">
        <f>data_origin!T295</f>
        <v>0</v>
      </c>
      <c r="U254" s="5">
        <f>data_origin!U295</f>
        <v>0</v>
      </c>
      <c r="V254" s="5">
        <f>data_origin!V295</f>
        <v>0</v>
      </c>
      <c r="W254" s="5">
        <f>data_origin!W295</f>
        <v>0</v>
      </c>
      <c r="X254" s="5">
        <f>data_origin!X295</f>
        <v>0</v>
      </c>
      <c r="Y254" s="5">
        <f>data_origin!Y295</f>
        <v>3.0303030303030304E-2</v>
      </c>
      <c r="Z254" s="5">
        <f>data_origin!Z295</f>
        <v>0</v>
      </c>
      <c r="AA254" s="5">
        <f>data_origin!AA295</f>
        <v>0</v>
      </c>
      <c r="AB254" s="5">
        <f t="shared" si="34"/>
        <v>3.0303030303030304E-2</v>
      </c>
      <c r="AH254" t="s">
        <v>90</v>
      </c>
      <c r="AI254" s="5">
        <f>data_origin!T2542</f>
        <v>0</v>
      </c>
      <c r="AJ254" s="5">
        <f>data_origin!U2542</f>
        <v>0</v>
      </c>
      <c r="AK254" s="5">
        <f>data_origin!V2542</f>
        <v>0</v>
      </c>
      <c r="AL254" s="5">
        <f>data_origin!W2542</f>
        <v>0</v>
      </c>
      <c r="AM254" s="5">
        <f>data_origin!X2542</f>
        <v>0</v>
      </c>
      <c r="AN254" s="5">
        <f>data_origin!Y2542</f>
        <v>0</v>
      </c>
      <c r="AO254" s="5">
        <f>data_origin!Z2542</f>
        <v>0</v>
      </c>
      <c r="AP254" s="5">
        <f>data_origin!AA2542</f>
        <v>0</v>
      </c>
      <c r="AQ254" s="9">
        <f t="shared" si="35"/>
        <v>0</v>
      </c>
      <c r="AV254" t="s">
        <v>90</v>
      </c>
      <c r="AW254" s="5">
        <f>data_origin!T3256</f>
        <v>0</v>
      </c>
      <c r="AX254" s="5">
        <f>data_origin!U3256</f>
        <v>0</v>
      </c>
      <c r="AY254" s="5">
        <f>data_origin!V3256</f>
        <v>0</v>
      </c>
      <c r="AZ254" s="5">
        <f>data_origin!W3256</f>
        <v>0</v>
      </c>
      <c r="BA254" s="5">
        <f>data_origin!X3256</f>
        <v>0</v>
      </c>
      <c r="BB254" s="5">
        <f>data_origin!Y3256</f>
        <v>0</v>
      </c>
      <c r="BC254" s="5">
        <f>data_origin!Z3256</f>
        <v>0</v>
      </c>
      <c r="BD254" s="5">
        <f>data_origin!AA3256</f>
        <v>0</v>
      </c>
      <c r="BE254" s="9">
        <f t="shared" si="36"/>
        <v>0</v>
      </c>
    </row>
    <row r="255" spans="4:57" x14ac:dyDescent="0.25">
      <c r="D255" t="s">
        <v>91</v>
      </c>
      <c r="E255" s="38">
        <f t="shared" si="33"/>
        <v>0</v>
      </c>
      <c r="F255" s="38">
        <f t="shared" si="33"/>
        <v>0</v>
      </c>
      <c r="G255" s="38">
        <f t="shared" si="33"/>
        <v>0</v>
      </c>
      <c r="H255" s="38">
        <f t="shared" si="32"/>
        <v>0</v>
      </c>
      <c r="I255" s="38">
        <f t="shared" si="32"/>
        <v>0</v>
      </c>
      <c r="J255" s="38">
        <f t="shared" si="32"/>
        <v>3.093036759922476E-2</v>
      </c>
      <c r="K255" s="38">
        <f t="shared" si="32"/>
        <v>0</v>
      </c>
      <c r="L255" s="38">
        <f t="shared" si="32"/>
        <v>0</v>
      </c>
      <c r="M255" s="35">
        <f t="shared" si="31"/>
        <v>3.093036759922476E-2</v>
      </c>
      <c r="S255" t="s">
        <v>91</v>
      </c>
      <c r="T255" s="5">
        <f>data_origin!T296</f>
        <v>0</v>
      </c>
      <c r="U255" s="5">
        <f>data_origin!U296</f>
        <v>0</v>
      </c>
      <c r="V255" s="5">
        <f>data_origin!V296</f>
        <v>0</v>
      </c>
      <c r="W255" s="5">
        <f>data_origin!W296</f>
        <v>0</v>
      </c>
      <c r="X255" s="5">
        <f>data_origin!X296</f>
        <v>0</v>
      </c>
      <c r="Y255" s="5">
        <f>data_origin!Y296</f>
        <v>3.0303030303030304E-2</v>
      </c>
      <c r="Z255" s="5">
        <f>data_origin!Z296</f>
        <v>0</v>
      </c>
      <c r="AA255" s="5">
        <f>data_origin!AA296</f>
        <v>0</v>
      </c>
      <c r="AB255" s="5">
        <f t="shared" si="34"/>
        <v>3.0303030303030304E-2</v>
      </c>
      <c r="AH255" t="s">
        <v>91</v>
      </c>
      <c r="AI255" s="5">
        <f>data_origin!T2543</f>
        <v>0</v>
      </c>
      <c r="AJ255" s="5">
        <f>data_origin!U2543</f>
        <v>0</v>
      </c>
      <c r="AK255" s="5">
        <f>data_origin!V2543</f>
        <v>0</v>
      </c>
      <c r="AL255" s="5">
        <f>data_origin!W2543</f>
        <v>0</v>
      </c>
      <c r="AM255" s="5">
        <f>data_origin!X2543</f>
        <v>0</v>
      </c>
      <c r="AN255" s="5">
        <f>data_origin!Y2543</f>
        <v>0</v>
      </c>
      <c r="AO255" s="5">
        <f>data_origin!Z2543</f>
        <v>0</v>
      </c>
      <c r="AP255" s="5">
        <f>data_origin!AA2543</f>
        <v>0</v>
      </c>
      <c r="AQ255" s="9">
        <f t="shared" si="35"/>
        <v>0</v>
      </c>
      <c r="AV255" t="s">
        <v>91</v>
      </c>
      <c r="AW255" s="5">
        <f>data_origin!T3257</f>
        <v>0</v>
      </c>
      <c r="AX255" s="5">
        <f>data_origin!U3257</f>
        <v>0</v>
      </c>
      <c r="AY255" s="5">
        <f>data_origin!V3257</f>
        <v>0</v>
      </c>
      <c r="AZ255" s="5">
        <f>data_origin!W3257</f>
        <v>0</v>
      </c>
      <c r="BA255" s="5">
        <f>data_origin!X3257</f>
        <v>0</v>
      </c>
      <c r="BB255" s="5">
        <f>data_origin!Y3257</f>
        <v>0</v>
      </c>
      <c r="BC255" s="5">
        <f>data_origin!Z3257</f>
        <v>0</v>
      </c>
      <c r="BD255" s="5">
        <f>data_origin!AA3257</f>
        <v>0</v>
      </c>
      <c r="BE255" s="9">
        <f t="shared" si="36"/>
        <v>0</v>
      </c>
    </row>
    <row r="256" spans="4:57" x14ac:dyDescent="0.25">
      <c r="D256" t="s">
        <v>92</v>
      </c>
      <c r="E256" s="38">
        <f t="shared" si="33"/>
        <v>0</v>
      </c>
      <c r="F256" s="38">
        <f t="shared" si="33"/>
        <v>0</v>
      </c>
      <c r="G256" s="38">
        <f t="shared" si="33"/>
        <v>0</v>
      </c>
      <c r="H256" s="38">
        <f t="shared" si="32"/>
        <v>0</v>
      </c>
      <c r="I256" s="38">
        <f t="shared" si="32"/>
        <v>0</v>
      </c>
      <c r="J256" s="38">
        <f t="shared" si="32"/>
        <v>3.093036759922476E-2</v>
      </c>
      <c r="K256" s="38">
        <f t="shared" si="32"/>
        <v>0</v>
      </c>
      <c r="L256" s="38">
        <f t="shared" si="32"/>
        <v>0</v>
      </c>
      <c r="M256" s="35">
        <f t="shared" si="31"/>
        <v>3.093036759922476E-2</v>
      </c>
      <c r="S256" t="s">
        <v>92</v>
      </c>
      <c r="T256" s="5">
        <f>data_origin!T297</f>
        <v>0</v>
      </c>
      <c r="U256" s="5">
        <f>data_origin!U297</f>
        <v>0</v>
      </c>
      <c r="V256" s="5">
        <f>data_origin!V297</f>
        <v>0</v>
      </c>
      <c r="W256" s="5">
        <f>data_origin!W297</f>
        <v>0</v>
      </c>
      <c r="X256" s="5">
        <f>data_origin!X297</f>
        <v>0</v>
      </c>
      <c r="Y256" s="5">
        <f>data_origin!Y297</f>
        <v>3.0303030303030304E-2</v>
      </c>
      <c r="Z256" s="5">
        <f>data_origin!Z297</f>
        <v>0</v>
      </c>
      <c r="AA256" s="5">
        <f>data_origin!AA297</f>
        <v>0</v>
      </c>
      <c r="AB256" s="5">
        <f t="shared" si="34"/>
        <v>3.0303030303030304E-2</v>
      </c>
      <c r="AH256" t="s">
        <v>92</v>
      </c>
      <c r="AI256" s="5">
        <f>data_origin!T2544</f>
        <v>0</v>
      </c>
      <c r="AJ256" s="5">
        <f>data_origin!U2544</f>
        <v>0</v>
      </c>
      <c r="AK256" s="5">
        <f>data_origin!V2544</f>
        <v>0</v>
      </c>
      <c r="AL256" s="5">
        <f>data_origin!W2544</f>
        <v>0</v>
      </c>
      <c r="AM256" s="5">
        <f>data_origin!X2544</f>
        <v>0</v>
      </c>
      <c r="AN256" s="5">
        <f>data_origin!Y2544</f>
        <v>0</v>
      </c>
      <c r="AO256" s="5">
        <f>data_origin!Z2544</f>
        <v>0</v>
      </c>
      <c r="AP256" s="5">
        <f>data_origin!AA2544</f>
        <v>0</v>
      </c>
      <c r="AQ256" s="9">
        <f t="shared" si="35"/>
        <v>0</v>
      </c>
      <c r="AV256" t="s">
        <v>92</v>
      </c>
      <c r="AW256" s="5">
        <f>data_origin!T3258</f>
        <v>0</v>
      </c>
      <c r="AX256" s="5">
        <f>data_origin!U3258</f>
        <v>0</v>
      </c>
      <c r="AY256" s="5">
        <f>data_origin!V3258</f>
        <v>0</v>
      </c>
      <c r="AZ256" s="5">
        <f>data_origin!W3258</f>
        <v>0</v>
      </c>
      <c r="BA256" s="5">
        <f>data_origin!X3258</f>
        <v>0</v>
      </c>
      <c r="BB256" s="5">
        <f>data_origin!Y3258</f>
        <v>0</v>
      </c>
      <c r="BC256" s="5">
        <f>data_origin!Z3258</f>
        <v>0</v>
      </c>
      <c r="BD256" s="5">
        <f>data_origin!AA3258</f>
        <v>0</v>
      </c>
      <c r="BE256" s="9">
        <f t="shared" si="36"/>
        <v>0</v>
      </c>
    </row>
    <row r="257" spans="1:58" x14ac:dyDescent="0.25">
      <c r="D257" t="s">
        <v>93</v>
      </c>
      <c r="E257" s="38">
        <f t="shared" si="33"/>
        <v>0</v>
      </c>
      <c r="F257" s="38">
        <f t="shared" si="33"/>
        <v>0</v>
      </c>
      <c r="G257" s="38">
        <f t="shared" si="33"/>
        <v>0</v>
      </c>
      <c r="H257" s="38">
        <f t="shared" si="32"/>
        <v>0</v>
      </c>
      <c r="I257" s="38">
        <f t="shared" si="32"/>
        <v>0</v>
      </c>
      <c r="J257" s="38">
        <f t="shared" si="32"/>
        <v>3.093036759922476E-2</v>
      </c>
      <c r="K257" s="38">
        <f t="shared" si="32"/>
        <v>0</v>
      </c>
      <c r="L257" s="38">
        <f t="shared" si="32"/>
        <v>0</v>
      </c>
      <c r="M257" s="35">
        <f t="shared" si="31"/>
        <v>3.093036759922476E-2</v>
      </c>
      <c r="S257" t="s">
        <v>93</v>
      </c>
      <c r="T257" s="5">
        <f>data_origin!T298</f>
        <v>0</v>
      </c>
      <c r="U257" s="5">
        <f>data_origin!U298</f>
        <v>0</v>
      </c>
      <c r="V257" s="5">
        <f>data_origin!V298</f>
        <v>0</v>
      </c>
      <c r="W257" s="5">
        <f>data_origin!W298</f>
        <v>0</v>
      </c>
      <c r="X257" s="5">
        <f>data_origin!X298</f>
        <v>0</v>
      </c>
      <c r="Y257" s="5">
        <f>data_origin!Y298</f>
        <v>3.0303030303030304E-2</v>
      </c>
      <c r="Z257" s="5">
        <f>data_origin!Z298</f>
        <v>0</v>
      </c>
      <c r="AA257" s="5">
        <f>data_origin!AA298</f>
        <v>0</v>
      </c>
      <c r="AB257" s="5">
        <f t="shared" si="34"/>
        <v>3.0303030303030304E-2</v>
      </c>
      <c r="AH257" t="s">
        <v>93</v>
      </c>
      <c r="AI257" s="5">
        <f>data_origin!T2545</f>
        <v>0</v>
      </c>
      <c r="AJ257" s="5">
        <f>data_origin!U2545</f>
        <v>0</v>
      </c>
      <c r="AK257" s="5">
        <f>data_origin!V2545</f>
        <v>0</v>
      </c>
      <c r="AL257" s="5">
        <f>data_origin!W2545</f>
        <v>0</v>
      </c>
      <c r="AM257" s="5">
        <f>data_origin!X2545</f>
        <v>0</v>
      </c>
      <c r="AN257" s="5">
        <f>data_origin!Y2545</f>
        <v>0</v>
      </c>
      <c r="AO257" s="5">
        <f>data_origin!Z2545</f>
        <v>0</v>
      </c>
      <c r="AP257" s="5">
        <f>data_origin!AA2545</f>
        <v>0</v>
      </c>
      <c r="AQ257" s="9">
        <f t="shared" si="35"/>
        <v>0</v>
      </c>
      <c r="AV257" t="s">
        <v>93</v>
      </c>
      <c r="AW257" s="5">
        <f>data_origin!T3259</f>
        <v>0</v>
      </c>
      <c r="AX257" s="5">
        <f>data_origin!U3259</f>
        <v>0</v>
      </c>
      <c r="AY257" s="5">
        <f>data_origin!V3259</f>
        <v>0</v>
      </c>
      <c r="AZ257" s="5">
        <f>data_origin!W3259</f>
        <v>0</v>
      </c>
      <c r="BA257" s="5">
        <f>data_origin!X3259</f>
        <v>0</v>
      </c>
      <c r="BB257" s="5">
        <f>data_origin!Y3259</f>
        <v>0</v>
      </c>
      <c r="BC257" s="5">
        <f>data_origin!Z3259</f>
        <v>0</v>
      </c>
      <c r="BD257" s="5">
        <f>data_origin!AA3259</f>
        <v>0</v>
      </c>
      <c r="BE257" s="9">
        <f t="shared" si="36"/>
        <v>0</v>
      </c>
    </row>
    <row r="258" spans="1:58" x14ac:dyDescent="0.25">
      <c r="D258" t="s">
        <v>94</v>
      </c>
      <c r="E258" s="38">
        <f t="shared" si="33"/>
        <v>0</v>
      </c>
      <c r="F258" s="38">
        <f t="shared" si="33"/>
        <v>0</v>
      </c>
      <c r="G258" s="38">
        <f t="shared" si="33"/>
        <v>0</v>
      </c>
      <c r="H258" s="38">
        <f t="shared" si="32"/>
        <v>0</v>
      </c>
      <c r="I258" s="38">
        <f t="shared" si="32"/>
        <v>0</v>
      </c>
      <c r="J258" s="38">
        <f t="shared" si="32"/>
        <v>3.093036759922476E-2</v>
      </c>
      <c r="K258" s="38">
        <f t="shared" si="32"/>
        <v>0</v>
      </c>
      <c r="L258" s="38">
        <f t="shared" si="32"/>
        <v>0</v>
      </c>
      <c r="M258" s="35">
        <f t="shared" si="31"/>
        <v>3.093036759922476E-2</v>
      </c>
      <c r="S258" t="s">
        <v>94</v>
      </c>
      <c r="T258" s="5">
        <f>data_origin!T299</f>
        <v>0</v>
      </c>
      <c r="U258" s="5">
        <f>data_origin!U299</f>
        <v>0</v>
      </c>
      <c r="V258" s="5">
        <f>data_origin!V299</f>
        <v>0</v>
      </c>
      <c r="W258" s="5">
        <f>data_origin!W299</f>
        <v>0</v>
      </c>
      <c r="X258" s="5">
        <f>data_origin!X299</f>
        <v>0</v>
      </c>
      <c r="Y258" s="5">
        <f>data_origin!Y299</f>
        <v>3.0303030303030304E-2</v>
      </c>
      <c r="Z258" s="5">
        <f>data_origin!Z299</f>
        <v>0</v>
      </c>
      <c r="AA258" s="5">
        <f>data_origin!AA299</f>
        <v>0</v>
      </c>
      <c r="AB258" s="5">
        <f t="shared" si="34"/>
        <v>3.0303030303030304E-2</v>
      </c>
      <c r="AH258" t="s">
        <v>94</v>
      </c>
      <c r="AI258" s="5">
        <f>data_origin!T2546</f>
        <v>0</v>
      </c>
      <c r="AJ258" s="5">
        <f>data_origin!U2546</f>
        <v>0</v>
      </c>
      <c r="AK258" s="5">
        <f>data_origin!V2546</f>
        <v>0</v>
      </c>
      <c r="AL258" s="5">
        <f>data_origin!W2546</f>
        <v>0</v>
      </c>
      <c r="AM258" s="5">
        <f>data_origin!X2546</f>
        <v>0</v>
      </c>
      <c r="AN258" s="5">
        <f>data_origin!Y2546</f>
        <v>0</v>
      </c>
      <c r="AO258" s="5">
        <f>data_origin!Z2546</f>
        <v>0</v>
      </c>
      <c r="AP258" s="5">
        <f>data_origin!AA2546</f>
        <v>0</v>
      </c>
      <c r="AQ258" s="9">
        <f t="shared" si="35"/>
        <v>0</v>
      </c>
      <c r="AV258" t="s">
        <v>94</v>
      </c>
      <c r="AW258" s="5">
        <f>data_origin!T3260</f>
        <v>0</v>
      </c>
      <c r="AX258" s="5">
        <f>data_origin!U3260</f>
        <v>0</v>
      </c>
      <c r="AY258" s="5">
        <f>data_origin!V3260</f>
        <v>0</v>
      </c>
      <c r="AZ258" s="5">
        <f>data_origin!W3260</f>
        <v>0</v>
      </c>
      <c r="BA258" s="5">
        <f>data_origin!X3260</f>
        <v>0</v>
      </c>
      <c r="BB258" s="5">
        <f>data_origin!Y3260</f>
        <v>0</v>
      </c>
      <c r="BC258" s="5">
        <f>data_origin!Z3260</f>
        <v>0</v>
      </c>
      <c r="BD258" s="5">
        <f>data_origin!AA3260</f>
        <v>0</v>
      </c>
      <c r="BE258" s="9">
        <f t="shared" si="36"/>
        <v>0</v>
      </c>
    </row>
    <row r="259" spans="1:58" x14ac:dyDescent="0.25">
      <c r="D259" t="s">
        <v>95</v>
      </c>
      <c r="E259" s="38">
        <f t="shared" si="33"/>
        <v>0</v>
      </c>
      <c r="F259" s="38">
        <f t="shared" si="33"/>
        <v>0</v>
      </c>
      <c r="G259" s="38">
        <f t="shared" si="33"/>
        <v>0</v>
      </c>
      <c r="H259" s="38">
        <f t="shared" si="32"/>
        <v>0</v>
      </c>
      <c r="I259" s="38">
        <f t="shared" si="32"/>
        <v>0</v>
      </c>
      <c r="J259" s="38">
        <f t="shared" si="32"/>
        <v>3.093036759922476E-2</v>
      </c>
      <c r="K259" s="38">
        <f t="shared" si="32"/>
        <v>0</v>
      </c>
      <c r="L259" s="38">
        <f t="shared" si="32"/>
        <v>0</v>
      </c>
      <c r="M259" s="35">
        <f t="shared" si="31"/>
        <v>3.093036759922476E-2</v>
      </c>
      <c r="S259" t="s">
        <v>95</v>
      </c>
      <c r="T259" s="5">
        <f>data_origin!T300</f>
        <v>0</v>
      </c>
      <c r="U259" s="5">
        <f>data_origin!U300</f>
        <v>0</v>
      </c>
      <c r="V259" s="5">
        <f>data_origin!V300</f>
        <v>0</v>
      </c>
      <c r="W259" s="5">
        <f>data_origin!W300</f>
        <v>0</v>
      </c>
      <c r="X259" s="5">
        <f>data_origin!X300</f>
        <v>0</v>
      </c>
      <c r="Y259" s="5">
        <f>data_origin!Y300</f>
        <v>3.0303030303030304E-2</v>
      </c>
      <c r="Z259" s="5">
        <f>data_origin!Z300</f>
        <v>0</v>
      </c>
      <c r="AA259" s="5">
        <f>data_origin!AA300</f>
        <v>0</v>
      </c>
      <c r="AB259" s="5">
        <f t="shared" si="34"/>
        <v>3.0303030303030304E-2</v>
      </c>
      <c r="AH259" t="s">
        <v>95</v>
      </c>
      <c r="AI259" s="5">
        <f>data_origin!T2547</f>
        <v>0</v>
      </c>
      <c r="AJ259" s="5">
        <f>data_origin!U2547</f>
        <v>0</v>
      </c>
      <c r="AK259" s="5">
        <f>data_origin!V2547</f>
        <v>0</v>
      </c>
      <c r="AL259" s="5">
        <f>data_origin!W2547</f>
        <v>0</v>
      </c>
      <c r="AM259" s="5">
        <f>data_origin!X2547</f>
        <v>0</v>
      </c>
      <c r="AN259" s="5">
        <f>data_origin!Y2547</f>
        <v>0</v>
      </c>
      <c r="AO259" s="5">
        <f>data_origin!Z2547</f>
        <v>0</v>
      </c>
      <c r="AP259" s="5">
        <f>data_origin!AA2547</f>
        <v>0</v>
      </c>
      <c r="AQ259" s="9">
        <f t="shared" si="35"/>
        <v>0</v>
      </c>
      <c r="AV259" t="s">
        <v>95</v>
      </c>
      <c r="AW259" s="5">
        <f>data_origin!T3261</f>
        <v>0</v>
      </c>
      <c r="AX259" s="5">
        <f>data_origin!U3261</f>
        <v>0</v>
      </c>
      <c r="AY259" s="5">
        <f>data_origin!V3261</f>
        <v>0</v>
      </c>
      <c r="AZ259" s="5">
        <f>data_origin!W3261</f>
        <v>0</v>
      </c>
      <c r="BA259" s="5">
        <f>data_origin!X3261</f>
        <v>0</v>
      </c>
      <c r="BB259" s="5">
        <f>data_origin!Y3261</f>
        <v>0</v>
      </c>
      <c r="BC259" s="5">
        <f>data_origin!Z3261</f>
        <v>0</v>
      </c>
      <c r="BD259" s="5">
        <f>data_origin!AA3261</f>
        <v>0</v>
      </c>
      <c r="BE259" s="9">
        <f t="shared" si="36"/>
        <v>0</v>
      </c>
    </row>
    <row r="260" spans="1:58" x14ac:dyDescent="0.25">
      <c r="D260" t="s">
        <v>96</v>
      </c>
      <c r="E260" s="38">
        <f t="shared" si="33"/>
        <v>0</v>
      </c>
      <c r="F260" s="38">
        <f t="shared" si="33"/>
        <v>0</v>
      </c>
      <c r="G260" s="38">
        <f t="shared" si="33"/>
        <v>0</v>
      </c>
      <c r="H260" s="38">
        <f t="shared" si="32"/>
        <v>0</v>
      </c>
      <c r="I260" s="38">
        <f t="shared" si="32"/>
        <v>0</v>
      </c>
      <c r="J260" s="38">
        <f t="shared" ref="J260:M323" si="37">Y260+AN128+IFERROR((Y260/SUM(Y$3:Y$992)*AN$630),0)+IFERROR((Y260/SUM(Y$135:Y$332,Y$465:Y$662,Y$795:Y$992)*AN$732),0)</f>
        <v>3.093036759922476E-2</v>
      </c>
      <c r="K260" s="38">
        <f t="shared" si="37"/>
        <v>0</v>
      </c>
      <c r="L260" s="38">
        <f t="shared" si="37"/>
        <v>0</v>
      </c>
      <c r="M260" s="35">
        <f t="shared" si="31"/>
        <v>3.093036759922476E-2</v>
      </c>
      <c r="S260" t="s">
        <v>96</v>
      </c>
      <c r="T260" s="5">
        <f>data_origin!T301</f>
        <v>0</v>
      </c>
      <c r="U260" s="5">
        <f>data_origin!U301</f>
        <v>0</v>
      </c>
      <c r="V260" s="5">
        <f>data_origin!V301</f>
        <v>0</v>
      </c>
      <c r="W260" s="5">
        <f>data_origin!W301</f>
        <v>0</v>
      </c>
      <c r="X260" s="5">
        <f>data_origin!X301</f>
        <v>0</v>
      </c>
      <c r="Y260" s="5">
        <f>data_origin!Y301</f>
        <v>3.0303030303030304E-2</v>
      </c>
      <c r="Z260" s="5">
        <f>data_origin!Z301</f>
        <v>0</v>
      </c>
      <c r="AA260" s="5">
        <f>data_origin!AA301</f>
        <v>0</v>
      </c>
      <c r="AB260" s="5">
        <f t="shared" si="34"/>
        <v>3.0303030303030304E-2</v>
      </c>
      <c r="AH260" t="s">
        <v>96</v>
      </c>
      <c r="AI260" s="5">
        <f>data_origin!T2548</f>
        <v>0</v>
      </c>
      <c r="AJ260" s="5">
        <f>data_origin!U2548</f>
        <v>0</v>
      </c>
      <c r="AK260" s="5">
        <f>data_origin!V2548</f>
        <v>0</v>
      </c>
      <c r="AL260" s="5">
        <f>data_origin!W2548</f>
        <v>0</v>
      </c>
      <c r="AM260" s="5">
        <f>data_origin!X2548</f>
        <v>0</v>
      </c>
      <c r="AN260" s="5">
        <f>data_origin!Y2548</f>
        <v>0</v>
      </c>
      <c r="AO260" s="5">
        <f>data_origin!Z2548</f>
        <v>0</v>
      </c>
      <c r="AP260" s="5">
        <f>data_origin!AA2548</f>
        <v>0</v>
      </c>
      <c r="AQ260" s="9">
        <f t="shared" si="35"/>
        <v>0</v>
      </c>
      <c r="AV260" t="s">
        <v>96</v>
      </c>
      <c r="AW260" s="5">
        <f>data_origin!T3262</f>
        <v>0</v>
      </c>
      <c r="AX260" s="5">
        <f>data_origin!U3262</f>
        <v>0</v>
      </c>
      <c r="AY260" s="5">
        <f>data_origin!V3262</f>
        <v>0</v>
      </c>
      <c r="AZ260" s="5">
        <f>data_origin!W3262</f>
        <v>0</v>
      </c>
      <c r="BA260" s="5">
        <f>data_origin!X3262</f>
        <v>0</v>
      </c>
      <c r="BB260" s="5">
        <f>data_origin!Y3262</f>
        <v>0</v>
      </c>
      <c r="BC260" s="5">
        <f>data_origin!Z3262</f>
        <v>0</v>
      </c>
      <c r="BD260" s="5">
        <f>data_origin!AA3262</f>
        <v>0</v>
      </c>
      <c r="BE260" s="9">
        <f t="shared" si="36"/>
        <v>0</v>
      </c>
    </row>
    <row r="261" spans="1:58" x14ac:dyDescent="0.25">
      <c r="D261" t="s">
        <v>97</v>
      </c>
      <c r="E261" s="38">
        <f t="shared" si="33"/>
        <v>0</v>
      </c>
      <c r="F261" s="38">
        <f t="shared" si="33"/>
        <v>0</v>
      </c>
      <c r="G261" s="38">
        <f t="shared" si="33"/>
        <v>2.0156817129230924</v>
      </c>
      <c r="H261" s="38">
        <f t="shared" si="33"/>
        <v>2.1515176295770382</v>
      </c>
      <c r="I261" s="38">
        <f t="shared" si="33"/>
        <v>1.2722671972101638</v>
      </c>
      <c r="J261" s="38">
        <f t="shared" si="37"/>
        <v>3.093036759922476E-2</v>
      </c>
      <c r="K261" s="38">
        <f t="shared" si="37"/>
        <v>0</v>
      </c>
      <c r="L261" s="38">
        <f t="shared" si="37"/>
        <v>0</v>
      </c>
      <c r="M261" s="35">
        <f t="shared" si="31"/>
        <v>5.4703969073095191</v>
      </c>
      <c r="S261" t="s">
        <v>97</v>
      </c>
      <c r="T261" s="5">
        <f>data_origin!T302</f>
        <v>0</v>
      </c>
      <c r="U261" s="5">
        <f>data_origin!U302</f>
        <v>0</v>
      </c>
      <c r="V261" s="5">
        <f>data_origin!V302</f>
        <v>2</v>
      </c>
      <c r="W261" s="5">
        <f>data_origin!W302</f>
        <v>2.125</v>
      </c>
      <c r="X261" s="5">
        <f>data_origin!X302</f>
        <v>1.25</v>
      </c>
      <c r="Y261" s="5">
        <f>data_origin!Y302</f>
        <v>3.0303030303030304E-2</v>
      </c>
      <c r="Z261" s="5">
        <f>data_origin!Z302</f>
        <v>0</v>
      </c>
      <c r="AA261" s="5">
        <f>data_origin!AA302</f>
        <v>0</v>
      </c>
      <c r="AB261" s="5">
        <f t="shared" si="34"/>
        <v>5.4053030303030303</v>
      </c>
      <c r="AH261" t="s">
        <v>97</v>
      </c>
      <c r="AI261" s="5">
        <f>data_origin!T2549</f>
        <v>0</v>
      </c>
      <c r="AJ261" s="5">
        <f>data_origin!U2549</f>
        <v>0</v>
      </c>
      <c r="AK261" s="5">
        <f>data_origin!V2549</f>
        <v>0</v>
      </c>
      <c r="AL261" s="5">
        <f>data_origin!W2549</f>
        <v>0</v>
      </c>
      <c r="AM261" s="5">
        <f>data_origin!X2549</f>
        <v>0</v>
      </c>
      <c r="AN261" s="5">
        <f>data_origin!Y2549</f>
        <v>0</v>
      </c>
      <c r="AO261" s="5">
        <f>data_origin!Z2549</f>
        <v>0</v>
      </c>
      <c r="AP261" s="5">
        <f>data_origin!AA2549</f>
        <v>0</v>
      </c>
      <c r="AQ261" s="9">
        <f t="shared" si="35"/>
        <v>0</v>
      </c>
      <c r="AV261" t="s">
        <v>97</v>
      </c>
      <c r="AW261" s="5">
        <f>data_origin!T3263</f>
        <v>0</v>
      </c>
      <c r="AX261" s="5">
        <f>data_origin!U3263</f>
        <v>0</v>
      </c>
      <c r="AY261" s="5">
        <f>data_origin!V3263</f>
        <v>0</v>
      </c>
      <c r="AZ261" s="5">
        <f>data_origin!W3263</f>
        <v>0</v>
      </c>
      <c r="BA261" s="5">
        <f>data_origin!X3263</f>
        <v>0</v>
      </c>
      <c r="BB261" s="5">
        <f>data_origin!Y3263</f>
        <v>0</v>
      </c>
      <c r="BC261" s="5">
        <f>data_origin!Z3263</f>
        <v>0</v>
      </c>
      <c r="BD261" s="5">
        <f>data_origin!AA3263</f>
        <v>0</v>
      </c>
      <c r="BE261" s="9">
        <f t="shared" si="36"/>
        <v>0</v>
      </c>
    </row>
    <row r="262" spans="1:58" x14ac:dyDescent="0.25">
      <c r="D262" t="s">
        <v>98</v>
      </c>
      <c r="E262" s="38">
        <f t="shared" si="33"/>
        <v>0</v>
      </c>
      <c r="F262" s="38">
        <f t="shared" si="33"/>
        <v>0</v>
      </c>
      <c r="G262" s="38">
        <f t="shared" si="33"/>
        <v>12.094090277538553</v>
      </c>
      <c r="H262" s="38">
        <f t="shared" si="33"/>
        <v>16.060623407039266</v>
      </c>
      <c r="I262" s="38">
        <f t="shared" si="33"/>
        <v>7.6336031832609832</v>
      </c>
      <c r="J262" s="38">
        <f t="shared" si="37"/>
        <v>2.0309303675992245</v>
      </c>
      <c r="K262" s="38">
        <f t="shared" si="37"/>
        <v>0</v>
      </c>
      <c r="L262" s="38">
        <f t="shared" si="37"/>
        <v>0</v>
      </c>
      <c r="M262" s="35">
        <f t="shared" si="31"/>
        <v>37.819247235438027</v>
      </c>
      <c r="S262" t="s">
        <v>98</v>
      </c>
      <c r="T262" s="5">
        <f>data_origin!T303</f>
        <v>0</v>
      </c>
      <c r="U262" s="5">
        <f>data_origin!U303</f>
        <v>0</v>
      </c>
      <c r="V262" s="5">
        <f>data_origin!V303</f>
        <v>12</v>
      </c>
      <c r="W262" s="5">
        <f>data_origin!W303</f>
        <v>14.875</v>
      </c>
      <c r="X262" s="5">
        <f>data_origin!X303</f>
        <v>7.5</v>
      </c>
      <c r="Y262" s="5">
        <f>data_origin!Y303</f>
        <v>3.0303030303030304E-2</v>
      </c>
      <c r="Z262" s="5">
        <f>data_origin!Z303</f>
        <v>0</v>
      </c>
      <c r="AA262" s="5">
        <f>data_origin!AA303</f>
        <v>0</v>
      </c>
      <c r="AB262" s="5">
        <f t="shared" si="34"/>
        <v>34.405303030303031</v>
      </c>
      <c r="AH262" t="s">
        <v>98</v>
      </c>
      <c r="AI262" s="5">
        <f>data_origin!T2550</f>
        <v>0</v>
      </c>
      <c r="AJ262" s="5">
        <f>data_origin!U2550</f>
        <v>0</v>
      </c>
      <c r="AK262" s="5">
        <f>data_origin!V2550</f>
        <v>0</v>
      </c>
      <c r="AL262" s="5">
        <f>data_origin!W2550</f>
        <v>0</v>
      </c>
      <c r="AM262" s="5">
        <f>data_origin!X2550</f>
        <v>0</v>
      </c>
      <c r="AN262" s="5">
        <f>data_origin!Y2550</f>
        <v>0</v>
      </c>
      <c r="AO262" s="5">
        <f>data_origin!Z2550</f>
        <v>0</v>
      </c>
      <c r="AP262" s="5">
        <f>data_origin!AA2550</f>
        <v>0</v>
      </c>
      <c r="AQ262" s="9">
        <f t="shared" si="35"/>
        <v>0</v>
      </c>
      <c r="AV262" t="s">
        <v>98</v>
      </c>
      <c r="AW262" s="5">
        <f>data_origin!T3264</f>
        <v>0</v>
      </c>
      <c r="AX262" s="5">
        <f>data_origin!U3264</f>
        <v>0</v>
      </c>
      <c r="AY262" s="5">
        <f>data_origin!V3264</f>
        <v>0</v>
      </c>
      <c r="AZ262" s="5">
        <f>data_origin!W3264</f>
        <v>0</v>
      </c>
      <c r="BA262" s="5">
        <f>data_origin!X3264</f>
        <v>0</v>
      </c>
      <c r="BB262" s="5">
        <f>data_origin!Y3264</f>
        <v>0</v>
      </c>
      <c r="BC262" s="5">
        <f>data_origin!Z3264</f>
        <v>0</v>
      </c>
      <c r="BD262" s="5">
        <f>data_origin!AA3264</f>
        <v>0</v>
      </c>
      <c r="BE262" s="9">
        <f t="shared" si="36"/>
        <v>0</v>
      </c>
    </row>
    <row r="263" spans="1:58" x14ac:dyDescent="0.25">
      <c r="D263" t="s">
        <v>119</v>
      </c>
      <c r="E263" s="38">
        <f t="shared" si="33"/>
        <v>0</v>
      </c>
      <c r="F263" s="38">
        <f t="shared" si="33"/>
        <v>0</v>
      </c>
      <c r="G263" s="38">
        <f t="shared" si="33"/>
        <v>0</v>
      </c>
      <c r="H263" s="38">
        <f t="shared" si="33"/>
        <v>0</v>
      </c>
      <c r="I263" s="38">
        <f t="shared" si="33"/>
        <v>2.5445343944203276</v>
      </c>
      <c r="J263" s="38">
        <f t="shared" si="37"/>
        <v>3.093036759922476E-2</v>
      </c>
      <c r="K263" s="38">
        <f t="shared" si="37"/>
        <v>0</v>
      </c>
      <c r="L263" s="38">
        <f t="shared" si="37"/>
        <v>0</v>
      </c>
      <c r="M263" s="35">
        <f t="shared" si="31"/>
        <v>2.5754647620195525</v>
      </c>
      <c r="S263" t="s">
        <v>119</v>
      </c>
      <c r="T263" s="5">
        <f>data_origin!T304</f>
        <v>0</v>
      </c>
      <c r="U263" s="5">
        <f>data_origin!U304</f>
        <v>0</v>
      </c>
      <c r="V263" s="5">
        <f>data_origin!V304</f>
        <v>0</v>
      </c>
      <c r="W263" s="5">
        <f>data_origin!W304</f>
        <v>0</v>
      </c>
      <c r="X263" s="5">
        <f>data_origin!X304</f>
        <v>2.5</v>
      </c>
      <c r="Y263" s="5">
        <f>data_origin!Y304</f>
        <v>3.0303030303030304E-2</v>
      </c>
      <c r="Z263" s="5">
        <f>data_origin!Z304</f>
        <v>0</v>
      </c>
      <c r="AA263" s="5">
        <f>data_origin!AA304</f>
        <v>0</v>
      </c>
      <c r="AB263" s="5">
        <f t="shared" si="34"/>
        <v>2.5303030303030303</v>
      </c>
      <c r="AH263" t="s">
        <v>119</v>
      </c>
      <c r="AI263" s="5">
        <f>data_origin!T2551</f>
        <v>0</v>
      </c>
      <c r="AJ263" s="5">
        <f>data_origin!U2551</f>
        <v>0</v>
      </c>
      <c r="AK263" s="5">
        <f>data_origin!V2551</f>
        <v>0</v>
      </c>
      <c r="AL263" s="5">
        <f>data_origin!W2551</f>
        <v>0</v>
      </c>
      <c r="AM263" s="5">
        <f>data_origin!X2551</f>
        <v>0</v>
      </c>
      <c r="AN263" s="5">
        <f>data_origin!Y2551</f>
        <v>0</v>
      </c>
      <c r="AO263" s="5">
        <f>data_origin!Z2551</f>
        <v>0</v>
      </c>
      <c r="AP263" s="5">
        <f>data_origin!AA2551</f>
        <v>0</v>
      </c>
      <c r="AQ263" s="9">
        <f t="shared" si="35"/>
        <v>0</v>
      </c>
      <c r="AV263" t="s">
        <v>119</v>
      </c>
      <c r="AW263" s="5">
        <f>data_origin!T3265</f>
        <v>0</v>
      </c>
      <c r="AX263" s="5">
        <f>data_origin!U3265</f>
        <v>0</v>
      </c>
      <c r="AY263" s="5">
        <f>data_origin!V3265</f>
        <v>0</v>
      </c>
      <c r="AZ263" s="5">
        <f>data_origin!W3265</f>
        <v>0</v>
      </c>
      <c r="BA263" s="5">
        <f>data_origin!X3265</f>
        <v>0</v>
      </c>
      <c r="BB263" s="5">
        <f>data_origin!Y3265</f>
        <v>0</v>
      </c>
      <c r="BC263" s="5">
        <f>data_origin!Z3265</f>
        <v>0</v>
      </c>
      <c r="BD263" s="5">
        <f>data_origin!AA3265</f>
        <v>0</v>
      </c>
      <c r="BE263" s="9">
        <f t="shared" si="36"/>
        <v>0</v>
      </c>
    </row>
    <row r="264" spans="1:58" x14ac:dyDescent="0.25">
      <c r="D264" t="s">
        <v>99</v>
      </c>
      <c r="E264" s="38">
        <f t="shared" si="33"/>
        <v>0</v>
      </c>
      <c r="F264" s="38">
        <f t="shared" si="33"/>
        <v>0</v>
      </c>
      <c r="G264" s="38">
        <f t="shared" si="33"/>
        <v>0</v>
      </c>
      <c r="H264" s="38">
        <f t="shared" si="33"/>
        <v>0</v>
      </c>
      <c r="I264" s="38">
        <f t="shared" si="33"/>
        <v>1.2722671972101638</v>
      </c>
      <c r="J264" s="38">
        <f t="shared" si="37"/>
        <v>3.093036759922476E-2</v>
      </c>
      <c r="K264" s="38">
        <f t="shared" si="37"/>
        <v>0</v>
      </c>
      <c r="L264" s="38">
        <f t="shared" si="37"/>
        <v>0</v>
      </c>
      <c r="M264" s="35">
        <f t="shared" si="31"/>
        <v>1.3031975648093885</v>
      </c>
      <c r="S264" t="s">
        <v>99</v>
      </c>
      <c r="T264" s="5">
        <f>data_origin!T305</f>
        <v>0</v>
      </c>
      <c r="U264" s="5">
        <f>data_origin!U305</f>
        <v>0</v>
      </c>
      <c r="V264" s="5">
        <f>data_origin!V305</f>
        <v>0</v>
      </c>
      <c r="W264" s="5">
        <f>data_origin!W305</f>
        <v>0</v>
      </c>
      <c r="X264" s="5">
        <f>data_origin!X305</f>
        <v>1.25</v>
      </c>
      <c r="Y264" s="5">
        <f>data_origin!Y305</f>
        <v>3.0303030303030304E-2</v>
      </c>
      <c r="Z264" s="5">
        <f>data_origin!Z305</f>
        <v>0</v>
      </c>
      <c r="AA264" s="5">
        <f>data_origin!AA305</f>
        <v>0</v>
      </c>
      <c r="AB264" s="5">
        <f t="shared" si="34"/>
        <v>1.2803030303030303</v>
      </c>
      <c r="AH264" t="s">
        <v>99</v>
      </c>
      <c r="AI264" s="5">
        <f>data_origin!T2552</f>
        <v>0</v>
      </c>
      <c r="AJ264" s="5">
        <f>data_origin!U2552</f>
        <v>0</v>
      </c>
      <c r="AK264" s="5">
        <f>data_origin!V2552</f>
        <v>0</v>
      </c>
      <c r="AL264" s="5">
        <f>data_origin!W2552</f>
        <v>0</v>
      </c>
      <c r="AM264" s="5">
        <f>data_origin!X2552</f>
        <v>0</v>
      </c>
      <c r="AN264" s="5">
        <f>data_origin!Y2552</f>
        <v>0</v>
      </c>
      <c r="AO264" s="5">
        <f>data_origin!Z2552</f>
        <v>0</v>
      </c>
      <c r="AP264" s="5">
        <f>data_origin!AA2552</f>
        <v>0</v>
      </c>
      <c r="AQ264" s="9">
        <f t="shared" si="35"/>
        <v>0</v>
      </c>
      <c r="AV264" t="s">
        <v>99</v>
      </c>
      <c r="AW264" s="5">
        <f>data_origin!T3266</f>
        <v>0</v>
      </c>
      <c r="AX264" s="5">
        <f>data_origin!U3266</f>
        <v>0</v>
      </c>
      <c r="AY264" s="5">
        <f>data_origin!V3266</f>
        <v>0</v>
      </c>
      <c r="AZ264" s="5">
        <f>data_origin!W3266</f>
        <v>0</v>
      </c>
      <c r="BA264" s="5">
        <f>data_origin!X3266</f>
        <v>0</v>
      </c>
      <c r="BB264" s="5">
        <f>data_origin!Y3266</f>
        <v>0</v>
      </c>
      <c r="BC264" s="5">
        <f>data_origin!Z3266</f>
        <v>0</v>
      </c>
      <c r="BD264" s="5">
        <f>data_origin!AA3266</f>
        <v>0</v>
      </c>
      <c r="BE264" s="9">
        <f t="shared" si="36"/>
        <v>0</v>
      </c>
    </row>
    <row r="265" spans="1:58" x14ac:dyDescent="0.25">
      <c r="D265" t="s">
        <v>100</v>
      </c>
      <c r="E265" s="38">
        <f t="shared" si="33"/>
        <v>0</v>
      </c>
      <c r="F265" s="38">
        <f t="shared" si="33"/>
        <v>0</v>
      </c>
      <c r="G265" s="38">
        <f t="shared" si="33"/>
        <v>1.0078408564615462</v>
      </c>
      <c r="H265" s="38">
        <f t="shared" si="33"/>
        <v>0</v>
      </c>
      <c r="I265" s="38">
        <f t="shared" si="33"/>
        <v>2.272267197210164</v>
      </c>
      <c r="J265" s="38">
        <f t="shared" si="37"/>
        <v>3.093036759922476E-2</v>
      </c>
      <c r="K265" s="38">
        <f t="shared" si="37"/>
        <v>0</v>
      </c>
      <c r="L265" s="38">
        <f t="shared" si="37"/>
        <v>0</v>
      </c>
      <c r="M265" s="35">
        <f t="shared" ref="M265:M328" si="38">SUM(E265:L265)</f>
        <v>3.311038421270935</v>
      </c>
      <c r="S265" t="s">
        <v>100</v>
      </c>
      <c r="T265" s="5">
        <f>data_origin!T306</f>
        <v>0</v>
      </c>
      <c r="U265" s="5">
        <f>data_origin!U306</f>
        <v>0</v>
      </c>
      <c r="V265" s="5">
        <f>data_origin!V306</f>
        <v>1</v>
      </c>
      <c r="W265" s="5">
        <f>data_origin!W306</f>
        <v>0</v>
      </c>
      <c r="X265" s="5">
        <f>data_origin!X306</f>
        <v>1.25</v>
      </c>
      <c r="Y265" s="5">
        <f>data_origin!Y306</f>
        <v>3.0303030303030304E-2</v>
      </c>
      <c r="Z265" s="5">
        <f>data_origin!Z306</f>
        <v>0</v>
      </c>
      <c r="AA265" s="5">
        <f>data_origin!AA306</f>
        <v>0</v>
      </c>
      <c r="AB265" s="5">
        <f t="shared" si="34"/>
        <v>2.2803030303030303</v>
      </c>
      <c r="AH265" t="s">
        <v>100</v>
      </c>
      <c r="AI265" s="5">
        <f>data_origin!T2553</f>
        <v>0</v>
      </c>
      <c r="AJ265" s="5">
        <f>data_origin!U2553</f>
        <v>0</v>
      </c>
      <c r="AK265" s="5">
        <f>data_origin!V2553</f>
        <v>7</v>
      </c>
      <c r="AL265" s="5">
        <f>data_origin!W2553</f>
        <v>5</v>
      </c>
      <c r="AM265" s="5">
        <f>data_origin!X2553</f>
        <v>3</v>
      </c>
      <c r="AN265" s="5">
        <f>data_origin!Y2553</f>
        <v>0</v>
      </c>
      <c r="AO265" s="5">
        <f>data_origin!Z2553</f>
        <v>0</v>
      </c>
      <c r="AP265" s="5">
        <f>data_origin!AA2553</f>
        <v>0</v>
      </c>
      <c r="AQ265" s="9">
        <f t="shared" si="35"/>
        <v>15</v>
      </c>
      <c r="AV265" t="s">
        <v>100</v>
      </c>
      <c r="AW265" s="5">
        <f>data_origin!T3267</f>
        <v>0</v>
      </c>
      <c r="AX265" s="5">
        <f>data_origin!U3267</f>
        <v>0</v>
      </c>
      <c r="AY265" s="5">
        <f>data_origin!V3267</f>
        <v>5</v>
      </c>
      <c r="AZ265" s="5">
        <f>data_origin!W3267</f>
        <v>7</v>
      </c>
      <c r="BA265" s="5">
        <f>data_origin!X3267</f>
        <v>2</v>
      </c>
      <c r="BB265" s="5">
        <f>data_origin!Y3267</f>
        <v>0</v>
      </c>
      <c r="BC265" s="5">
        <f>data_origin!Z3267</f>
        <v>0</v>
      </c>
      <c r="BD265" s="5">
        <f>data_origin!AA3267</f>
        <v>0</v>
      </c>
      <c r="BE265" s="9">
        <f t="shared" si="36"/>
        <v>14</v>
      </c>
    </row>
    <row r="266" spans="1:58" x14ac:dyDescent="0.25">
      <c r="D266" t="s">
        <v>101</v>
      </c>
      <c r="E266" s="38">
        <f t="shared" si="33"/>
        <v>0</v>
      </c>
      <c r="F266" s="38">
        <f t="shared" si="33"/>
        <v>0</v>
      </c>
      <c r="G266" s="38">
        <f t="shared" si="33"/>
        <v>0</v>
      </c>
      <c r="H266" s="38">
        <f t="shared" si="33"/>
        <v>0</v>
      </c>
      <c r="I266" s="38">
        <f t="shared" si="33"/>
        <v>0</v>
      </c>
      <c r="J266" s="38">
        <f t="shared" si="37"/>
        <v>3.093036759922476E-2</v>
      </c>
      <c r="K266" s="38">
        <f t="shared" si="37"/>
        <v>0</v>
      </c>
      <c r="L266" s="38">
        <f t="shared" si="37"/>
        <v>0</v>
      </c>
      <c r="M266" s="35">
        <f t="shared" si="38"/>
        <v>3.093036759922476E-2</v>
      </c>
      <c r="N266" s="5">
        <f>SUM(M234:M266)</f>
        <v>54.625503237297423</v>
      </c>
      <c r="S266" t="s">
        <v>101</v>
      </c>
      <c r="T266" s="5">
        <f>data_origin!T307</f>
        <v>0</v>
      </c>
      <c r="U266" s="5">
        <f>data_origin!U307</f>
        <v>0</v>
      </c>
      <c r="V266" s="5">
        <f>data_origin!V307</f>
        <v>0</v>
      </c>
      <c r="W266" s="5">
        <f>data_origin!W307</f>
        <v>0</v>
      </c>
      <c r="X266" s="5">
        <f>data_origin!X307</f>
        <v>0</v>
      </c>
      <c r="Y266" s="5">
        <f>data_origin!Y307</f>
        <v>3.0303030303030304E-2</v>
      </c>
      <c r="Z266" s="5">
        <f>data_origin!Z307</f>
        <v>0</v>
      </c>
      <c r="AA266" s="5">
        <f>data_origin!AA307</f>
        <v>0</v>
      </c>
      <c r="AB266" s="5">
        <f t="shared" si="34"/>
        <v>3.0303030303030304E-2</v>
      </c>
      <c r="AC266" s="5">
        <f>SUM(AB234:AB266)</f>
        <v>49</v>
      </c>
      <c r="AH266" t="s">
        <v>101</v>
      </c>
      <c r="AI266" s="5">
        <f>data_origin!T2554</f>
        <v>0</v>
      </c>
      <c r="AJ266" s="5">
        <f>data_origin!U2554</f>
        <v>0</v>
      </c>
      <c r="AK266" s="5">
        <f>data_origin!V2554</f>
        <v>0</v>
      </c>
      <c r="AL266" s="5">
        <f>data_origin!W2554</f>
        <v>0</v>
      </c>
      <c r="AM266" s="5">
        <f>data_origin!X2554</f>
        <v>0</v>
      </c>
      <c r="AN266" s="5">
        <f>data_origin!Y2554</f>
        <v>0</v>
      </c>
      <c r="AO266" s="5">
        <f>data_origin!Z2554</f>
        <v>0</v>
      </c>
      <c r="AP266" s="5">
        <f>data_origin!AA2554</f>
        <v>0</v>
      </c>
      <c r="AQ266" s="9">
        <f t="shared" si="35"/>
        <v>0</v>
      </c>
      <c r="AR266" s="9">
        <f>SUM(AQ234:AQ266)</f>
        <v>15</v>
      </c>
      <c r="AV266" t="s">
        <v>101</v>
      </c>
      <c r="AW266" s="5">
        <f>data_origin!T3268</f>
        <v>0</v>
      </c>
      <c r="AX266" s="5">
        <f>data_origin!U3268</f>
        <v>0</v>
      </c>
      <c r="AY266" s="5">
        <f>data_origin!V3268</f>
        <v>0</v>
      </c>
      <c r="AZ266" s="5">
        <f>data_origin!W3268</f>
        <v>0</v>
      </c>
      <c r="BA266" s="5">
        <f>data_origin!X3268</f>
        <v>0</v>
      </c>
      <c r="BB266" s="5">
        <f>data_origin!Y3268</f>
        <v>0</v>
      </c>
      <c r="BC266" s="5">
        <f>data_origin!Z3268</f>
        <v>0</v>
      </c>
      <c r="BD266" s="5">
        <f>data_origin!AA3268</f>
        <v>0</v>
      </c>
      <c r="BE266" s="9">
        <f t="shared" si="36"/>
        <v>0</v>
      </c>
      <c r="BF266" s="9">
        <f>SUM(BE234:BE266)</f>
        <v>14</v>
      </c>
    </row>
    <row r="267" spans="1:58" x14ac:dyDescent="0.25">
      <c r="A267" s="23" t="s">
        <v>104</v>
      </c>
      <c r="B267" s="23" t="s">
        <v>103</v>
      </c>
      <c r="C267" s="23" t="s">
        <v>113</v>
      </c>
      <c r="D267" t="s">
        <v>70</v>
      </c>
      <c r="E267" s="38">
        <f t="shared" si="33"/>
        <v>0</v>
      </c>
      <c r="F267" s="38">
        <f t="shared" si="33"/>
        <v>0</v>
      </c>
      <c r="G267" s="38">
        <f t="shared" si="33"/>
        <v>0</v>
      </c>
      <c r="H267" s="38">
        <f t="shared" si="33"/>
        <v>0.46021767477583703</v>
      </c>
      <c r="I267" s="38">
        <f t="shared" si="33"/>
        <v>0</v>
      </c>
      <c r="J267" s="38">
        <f t="shared" si="37"/>
        <v>0</v>
      </c>
      <c r="K267" s="38">
        <f t="shared" si="37"/>
        <v>0</v>
      </c>
      <c r="L267" s="38">
        <f t="shared" si="37"/>
        <v>0</v>
      </c>
      <c r="M267" s="38">
        <f t="shared" si="37"/>
        <v>0.46026239886482428</v>
      </c>
      <c r="P267" t="s">
        <v>104</v>
      </c>
      <c r="Q267" t="s">
        <v>103</v>
      </c>
      <c r="R267" t="s">
        <v>113</v>
      </c>
      <c r="S267" t="s">
        <v>70</v>
      </c>
      <c r="T267" s="5">
        <f>data_origin!T309</f>
        <v>0</v>
      </c>
      <c r="U267" s="5">
        <f>data_origin!U309</f>
        <v>0</v>
      </c>
      <c r="V267" s="5">
        <f>data_origin!V309</f>
        <v>0</v>
      </c>
      <c r="W267" s="5">
        <f>data_origin!W309</f>
        <v>0.45454545454545453</v>
      </c>
      <c r="X267" s="5">
        <f>data_origin!X309</f>
        <v>0</v>
      </c>
      <c r="Y267" s="5">
        <f>data_origin!Y309</f>
        <v>0</v>
      </c>
      <c r="Z267" s="5">
        <f>data_origin!Z309</f>
        <v>0</v>
      </c>
      <c r="AA267" s="5">
        <f>data_origin!AA309</f>
        <v>0</v>
      </c>
      <c r="AB267" s="5">
        <f t="shared" si="34"/>
        <v>0.45454545454545453</v>
      </c>
      <c r="AE267" t="s">
        <v>104</v>
      </c>
      <c r="AF267" t="s">
        <v>116</v>
      </c>
      <c r="AG267" s="28" t="s">
        <v>137</v>
      </c>
      <c r="AH267" t="s">
        <v>70</v>
      </c>
      <c r="AI267" s="5">
        <f>data_origin!T2556</f>
        <v>0</v>
      </c>
      <c r="AJ267" s="5">
        <f>data_origin!U2556</f>
        <v>0</v>
      </c>
      <c r="AK267" s="5">
        <f>data_origin!V2556</f>
        <v>0</v>
      </c>
      <c r="AL267" s="5">
        <f>data_origin!W2556</f>
        <v>0</v>
      </c>
      <c r="AM267" s="5">
        <f>data_origin!X2556</f>
        <v>0</v>
      </c>
      <c r="AN267" s="5">
        <f>data_origin!Y2556</f>
        <v>0</v>
      </c>
      <c r="AO267" s="5">
        <f>data_origin!Z2556</f>
        <v>0</v>
      </c>
      <c r="AP267" s="5">
        <f>data_origin!AA2556</f>
        <v>0</v>
      </c>
      <c r="AQ267" s="9">
        <f t="shared" si="35"/>
        <v>0</v>
      </c>
      <c r="AS267" t="s">
        <v>115</v>
      </c>
      <c r="AT267" t="s">
        <v>116</v>
      </c>
      <c r="AU267" s="28" t="s">
        <v>137</v>
      </c>
      <c r="AV267" t="s">
        <v>70</v>
      </c>
      <c r="AW267" s="5">
        <f>data_origin!T3270</f>
        <v>0</v>
      </c>
      <c r="AX267" s="5">
        <f>data_origin!U3270</f>
        <v>0</v>
      </c>
      <c r="AY267" s="5">
        <f>data_origin!V3270</f>
        <v>0</v>
      </c>
      <c r="AZ267" s="5">
        <f>data_origin!W3270</f>
        <v>0</v>
      </c>
      <c r="BA267" s="5">
        <f>data_origin!X3270</f>
        <v>0</v>
      </c>
      <c r="BB267" s="5">
        <f>data_origin!Y3270</f>
        <v>0</v>
      </c>
      <c r="BC267" s="5">
        <f>data_origin!Z3270</f>
        <v>0</v>
      </c>
      <c r="BD267" s="5">
        <f>data_origin!AA3270</f>
        <v>0</v>
      </c>
      <c r="BE267" s="9">
        <f t="shared" si="36"/>
        <v>0</v>
      </c>
    </row>
    <row r="268" spans="1:58" x14ac:dyDescent="0.25">
      <c r="D268" t="s">
        <v>71</v>
      </c>
      <c r="E268" s="38">
        <f t="shared" si="33"/>
        <v>0</v>
      </c>
      <c r="F268" s="38">
        <f t="shared" si="33"/>
        <v>0</v>
      </c>
      <c r="G268" s="38">
        <f t="shared" si="33"/>
        <v>0</v>
      </c>
      <c r="H268" s="38">
        <f t="shared" si="33"/>
        <v>0.46021767477583703</v>
      </c>
      <c r="I268" s="38">
        <f t="shared" si="33"/>
        <v>0</v>
      </c>
      <c r="J268" s="38">
        <f t="shared" si="37"/>
        <v>0</v>
      </c>
      <c r="K268" s="38">
        <f t="shared" si="37"/>
        <v>0</v>
      </c>
      <c r="L268" s="38">
        <f t="shared" si="37"/>
        <v>0</v>
      </c>
      <c r="M268" s="38">
        <f t="shared" si="37"/>
        <v>0.46026239886482428</v>
      </c>
      <c r="S268" t="s">
        <v>71</v>
      </c>
      <c r="T268" s="5">
        <f>data_origin!T310</f>
        <v>0</v>
      </c>
      <c r="U268" s="5">
        <f>data_origin!U310</f>
        <v>0</v>
      </c>
      <c r="V268" s="5">
        <f>data_origin!V310</f>
        <v>0</v>
      </c>
      <c r="W268" s="5">
        <f>data_origin!W310</f>
        <v>0.45454545454545453</v>
      </c>
      <c r="X268" s="5">
        <f>data_origin!X310</f>
        <v>0</v>
      </c>
      <c r="Y268" s="5">
        <f>data_origin!Y310</f>
        <v>0</v>
      </c>
      <c r="Z268" s="5">
        <f>data_origin!Z310</f>
        <v>0</v>
      </c>
      <c r="AA268" s="5">
        <f>data_origin!AA310</f>
        <v>0</v>
      </c>
      <c r="AB268" s="5">
        <f t="shared" si="34"/>
        <v>0.45454545454545453</v>
      </c>
      <c r="AH268" t="s">
        <v>71</v>
      </c>
      <c r="AI268" s="5">
        <f>data_origin!T2557</f>
        <v>0</v>
      </c>
      <c r="AJ268" s="5">
        <f>data_origin!U2557</f>
        <v>0</v>
      </c>
      <c r="AK268" s="5">
        <f>data_origin!V2557</f>
        <v>0</v>
      </c>
      <c r="AL268" s="5">
        <f>data_origin!W2557</f>
        <v>0</v>
      </c>
      <c r="AM268" s="5">
        <f>data_origin!X2557</f>
        <v>0</v>
      </c>
      <c r="AN268" s="5">
        <f>data_origin!Y2557</f>
        <v>0</v>
      </c>
      <c r="AO268" s="5">
        <f>data_origin!Z2557</f>
        <v>0</v>
      </c>
      <c r="AP268" s="5">
        <f>data_origin!AA2557</f>
        <v>0</v>
      </c>
      <c r="AQ268" s="9">
        <f t="shared" si="35"/>
        <v>0</v>
      </c>
      <c r="AV268" t="s">
        <v>71</v>
      </c>
      <c r="AW268" s="5">
        <f>data_origin!T3271</f>
        <v>0</v>
      </c>
      <c r="AX268" s="5">
        <f>data_origin!U3271</f>
        <v>0</v>
      </c>
      <c r="AY268" s="5">
        <f>data_origin!V3271</f>
        <v>0</v>
      </c>
      <c r="AZ268" s="5">
        <f>data_origin!W3271</f>
        <v>0</v>
      </c>
      <c r="BA268" s="5">
        <f>data_origin!X3271</f>
        <v>0</v>
      </c>
      <c r="BB268" s="5">
        <f>data_origin!Y3271</f>
        <v>0</v>
      </c>
      <c r="BC268" s="5">
        <f>data_origin!Z3271</f>
        <v>0</v>
      </c>
      <c r="BD268" s="5">
        <f>data_origin!AA3271</f>
        <v>0</v>
      </c>
      <c r="BE268" s="9">
        <f t="shared" si="36"/>
        <v>0</v>
      </c>
    </row>
    <row r="269" spans="1:58" x14ac:dyDescent="0.25">
      <c r="D269" t="s">
        <v>72</v>
      </c>
      <c r="E269" s="38">
        <f t="shared" ref="E269:I319" si="39">T269+AI137+IFERROR((T269/SUM(T$3:T$992)*AI$630),0)+IFERROR((T269/SUM(T$135:T$332,T$465:T$662,T$795:T$992)*AI$732),0)</f>
        <v>0</v>
      </c>
      <c r="F269" s="38">
        <f t="shared" si="39"/>
        <v>0</v>
      </c>
      <c r="G269" s="38">
        <f t="shared" si="39"/>
        <v>0</v>
      </c>
      <c r="H269" s="38">
        <f t="shared" si="39"/>
        <v>0.46021767477583703</v>
      </c>
      <c r="I269" s="38">
        <f t="shared" si="39"/>
        <v>0</v>
      </c>
      <c r="J269" s="38">
        <f t="shared" si="37"/>
        <v>0</v>
      </c>
      <c r="K269" s="38">
        <f t="shared" si="37"/>
        <v>0</v>
      </c>
      <c r="L269" s="38">
        <f t="shared" si="37"/>
        <v>0</v>
      </c>
      <c r="M269" s="38">
        <f t="shared" si="37"/>
        <v>0.46026239886482428</v>
      </c>
      <c r="S269" t="s">
        <v>72</v>
      </c>
      <c r="T269" s="5">
        <f>data_origin!T311</f>
        <v>0</v>
      </c>
      <c r="U269" s="5">
        <f>data_origin!U311</f>
        <v>0</v>
      </c>
      <c r="V269" s="5">
        <f>data_origin!V311</f>
        <v>0</v>
      </c>
      <c r="W269" s="5">
        <f>data_origin!W311</f>
        <v>0.45454545454545453</v>
      </c>
      <c r="X269" s="5">
        <f>data_origin!X311</f>
        <v>0</v>
      </c>
      <c r="Y269" s="5">
        <f>data_origin!Y311</f>
        <v>0</v>
      </c>
      <c r="Z269" s="5">
        <f>data_origin!Z311</f>
        <v>0</v>
      </c>
      <c r="AA269" s="5">
        <f>data_origin!AA311</f>
        <v>0</v>
      </c>
      <c r="AB269" s="5">
        <f t="shared" si="34"/>
        <v>0.45454545454545453</v>
      </c>
      <c r="AH269" t="s">
        <v>72</v>
      </c>
      <c r="AI269" s="5">
        <f>data_origin!T2558</f>
        <v>0</v>
      </c>
      <c r="AJ269" s="5">
        <f>data_origin!U2558</f>
        <v>0</v>
      </c>
      <c r="AK269" s="5">
        <f>data_origin!V2558</f>
        <v>0</v>
      </c>
      <c r="AL269" s="5">
        <f>data_origin!W2558</f>
        <v>0</v>
      </c>
      <c r="AM269" s="5">
        <f>data_origin!X2558</f>
        <v>1</v>
      </c>
      <c r="AN269" s="5">
        <f>data_origin!Y2558</f>
        <v>0</v>
      </c>
      <c r="AO269" s="5">
        <f>data_origin!Z2558</f>
        <v>0</v>
      </c>
      <c r="AP269" s="5">
        <f>data_origin!AA2558</f>
        <v>0</v>
      </c>
      <c r="AQ269" s="9">
        <f t="shared" si="35"/>
        <v>1</v>
      </c>
      <c r="AV269" t="s">
        <v>72</v>
      </c>
      <c r="AW269" s="5">
        <f>data_origin!T3272</f>
        <v>0</v>
      </c>
      <c r="AX269" s="5">
        <f>data_origin!U3272</f>
        <v>0</v>
      </c>
      <c r="AY269" s="5">
        <f>data_origin!V3272</f>
        <v>0</v>
      </c>
      <c r="AZ269" s="5">
        <f>data_origin!W3272</f>
        <v>0</v>
      </c>
      <c r="BA269" s="5">
        <f>data_origin!X3272</f>
        <v>0</v>
      </c>
      <c r="BB269" s="5">
        <f>data_origin!Y3272</f>
        <v>0</v>
      </c>
      <c r="BC269" s="5">
        <f>data_origin!Z3272</f>
        <v>0</v>
      </c>
      <c r="BD269" s="5">
        <f>data_origin!AA3272</f>
        <v>0</v>
      </c>
      <c r="BE269" s="9">
        <f t="shared" si="36"/>
        <v>0</v>
      </c>
    </row>
    <row r="270" spans="1:58" x14ac:dyDescent="0.25">
      <c r="D270" t="s">
        <v>73</v>
      </c>
      <c r="E270" s="38">
        <f t="shared" si="39"/>
        <v>0</v>
      </c>
      <c r="F270" s="38">
        <f t="shared" si="39"/>
        <v>0</v>
      </c>
      <c r="G270" s="38">
        <f t="shared" si="39"/>
        <v>0</v>
      </c>
      <c r="H270" s="38">
        <f t="shared" si="39"/>
        <v>0.46021767477583703</v>
      </c>
      <c r="I270" s="38">
        <f t="shared" si="39"/>
        <v>0</v>
      </c>
      <c r="J270" s="38">
        <f t="shared" si="37"/>
        <v>0</v>
      </c>
      <c r="K270" s="38">
        <f t="shared" si="37"/>
        <v>0</v>
      </c>
      <c r="L270" s="38">
        <f t="shared" si="37"/>
        <v>0</v>
      </c>
      <c r="M270" s="38">
        <f t="shared" si="37"/>
        <v>0.46026239886482428</v>
      </c>
      <c r="S270" t="s">
        <v>73</v>
      </c>
      <c r="T270" s="5">
        <f>data_origin!T312</f>
        <v>0</v>
      </c>
      <c r="U270" s="5">
        <f>data_origin!U312</f>
        <v>0</v>
      </c>
      <c r="V270" s="5">
        <f>data_origin!V312</f>
        <v>0</v>
      </c>
      <c r="W270" s="5">
        <f>data_origin!W312</f>
        <v>0.45454545454545453</v>
      </c>
      <c r="X270" s="5">
        <f>data_origin!X312</f>
        <v>0</v>
      </c>
      <c r="Y270" s="5">
        <f>data_origin!Y312</f>
        <v>0</v>
      </c>
      <c r="Z270" s="5">
        <f>data_origin!Z312</f>
        <v>0</v>
      </c>
      <c r="AA270" s="5">
        <f>data_origin!AA312</f>
        <v>0</v>
      </c>
      <c r="AB270" s="5">
        <f t="shared" si="34"/>
        <v>0.45454545454545453</v>
      </c>
      <c r="AH270" t="s">
        <v>73</v>
      </c>
      <c r="AI270" s="5">
        <f>data_origin!T2559</f>
        <v>0</v>
      </c>
      <c r="AJ270" s="5">
        <f>data_origin!U2559</f>
        <v>0</v>
      </c>
      <c r="AK270" s="5">
        <f>data_origin!V2559</f>
        <v>0</v>
      </c>
      <c r="AL270" s="5">
        <f>data_origin!W2559</f>
        <v>0</v>
      </c>
      <c r="AM270" s="5">
        <f>data_origin!X2559</f>
        <v>0</v>
      </c>
      <c r="AN270" s="5">
        <f>data_origin!Y2559</f>
        <v>0</v>
      </c>
      <c r="AO270" s="5">
        <f>data_origin!Z2559</f>
        <v>0</v>
      </c>
      <c r="AP270" s="5">
        <f>data_origin!AA2559</f>
        <v>0</v>
      </c>
      <c r="AQ270" s="9">
        <f t="shared" si="35"/>
        <v>0</v>
      </c>
      <c r="AV270" t="s">
        <v>73</v>
      </c>
      <c r="AW270" s="5">
        <f>data_origin!T3273</f>
        <v>0</v>
      </c>
      <c r="AX270" s="5">
        <f>data_origin!U3273</f>
        <v>0</v>
      </c>
      <c r="AY270" s="5">
        <f>data_origin!V3273</f>
        <v>0</v>
      </c>
      <c r="AZ270" s="5">
        <f>data_origin!W3273</f>
        <v>0</v>
      </c>
      <c r="BA270" s="5">
        <f>data_origin!X3273</f>
        <v>0</v>
      </c>
      <c r="BB270" s="5">
        <f>data_origin!Y3273</f>
        <v>0</v>
      </c>
      <c r="BC270" s="5">
        <f>data_origin!Z3273</f>
        <v>0</v>
      </c>
      <c r="BD270" s="5">
        <f>data_origin!AA3273</f>
        <v>0</v>
      </c>
      <c r="BE270" s="9">
        <f t="shared" si="36"/>
        <v>0</v>
      </c>
    </row>
    <row r="271" spans="1:58" x14ac:dyDescent="0.25">
      <c r="D271" t="s">
        <v>74</v>
      </c>
      <c r="E271" s="38">
        <f t="shared" si="39"/>
        <v>0</v>
      </c>
      <c r="F271" s="38">
        <f t="shared" si="39"/>
        <v>0</v>
      </c>
      <c r="G271" s="38">
        <f t="shared" si="39"/>
        <v>0</v>
      </c>
      <c r="H271" s="38">
        <f t="shared" si="39"/>
        <v>0.46021767477583703</v>
      </c>
      <c r="I271" s="38">
        <f t="shared" si="39"/>
        <v>0</v>
      </c>
      <c r="J271" s="38">
        <f t="shared" si="37"/>
        <v>0</v>
      </c>
      <c r="K271" s="38">
        <f t="shared" si="37"/>
        <v>0</v>
      </c>
      <c r="L271" s="38">
        <f t="shared" si="37"/>
        <v>0</v>
      </c>
      <c r="M271" s="38">
        <f t="shared" si="37"/>
        <v>0.46026239886482428</v>
      </c>
      <c r="S271" t="s">
        <v>74</v>
      </c>
      <c r="T271" s="5">
        <f>data_origin!T313</f>
        <v>0</v>
      </c>
      <c r="U271" s="5">
        <f>data_origin!U313</f>
        <v>0</v>
      </c>
      <c r="V271" s="5">
        <f>data_origin!V313</f>
        <v>0</v>
      </c>
      <c r="W271" s="5">
        <f>data_origin!W313</f>
        <v>0.45454545454545453</v>
      </c>
      <c r="X271" s="5">
        <f>data_origin!X313</f>
        <v>0</v>
      </c>
      <c r="Y271" s="5">
        <f>data_origin!Y313</f>
        <v>0</v>
      </c>
      <c r="Z271" s="5">
        <f>data_origin!Z313</f>
        <v>0</v>
      </c>
      <c r="AA271" s="5">
        <f>data_origin!AA313</f>
        <v>0</v>
      </c>
      <c r="AB271" s="5">
        <f t="shared" si="34"/>
        <v>0.45454545454545453</v>
      </c>
      <c r="AH271" t="s">
        <v>74</v>
      </c>
      <c r="AI271" s="5">
        <f>data_origin!T2560</f>
        <v>0</v>
      </c>
      <c r="AJ271" s="5">
        <f>data_origin!U2560</f>
        <v>0</v>
      </c>
      <c r="AK271" s="5">
        <f>data_origin!V2560</f>
        <v>0</v>
      </c>
      <c r="AL271" s="5">
        <f>data_origin!W2560</f>
        <v>0</v>
      </c>
      <c r="AM271" s="5">
        <f>data_origin!X2560</f>
        <v>0</v>
      </c>
      <c r="AN271" s="5">
        <f>data_origin!Y2560</f>
        <v>0</v>
      </c>
      <c r="AO271" s="5">
        <f>data_origin!Z2560</f>
        <v>0</v>
      </c>
      <c r="AP271" s="5">
        <f>data_origin!AA2560</f>
        <v>0</v>
      </c>
      <c r="AQ271" s="9">
        <f t="shared" si="35"/>
        <v>0</v>
      </c>
      <c r="AV271" t="s">
        <v>74</v>
      </c>
      <c r="AW271" s="5">
        <f>data_origin!T3274</f>
        <v>0</v>
      </c>
      <c r="AX271" s="5">
        <f>data_origin!U3274</f>
        <v>0</v>
      </c>
      <c r="AY271" s="5">
        <f>data_origin!V3274</f>
        <v>0</v>
      </c>
      <c r="AZ271" s="5">
        <f>data_origin!W3274</f>
        <v>0</v>
      </c>
      <c r="BA271" s="5">
        <f>data_origin!X3274</f>
        <v>0</v>
      </c>
      <c r="BB271" s="5">
        <f>data_origin!Y3274</f>
        <v>0</v>
      </c>
      <c r="BC271" s="5">
        <f>data_origin!Z3274</f>
        <v>0</v>
      </c>
      <c r="BD271" s="5">
        <f>data_origin!AA3274</f>
        <v>0</v>
      </c>
      <c r="BE271" s="9">
        <f t="shared" si="36"/>
        <v>0</v>
      </c>
    </row>
    <row r="272" spans="1:58" x14ac:dyDescent="0.25">
      <c r="D272" t="s">
        <v>75</v>
      </c>
      <c r="E272" s="38">
        <f t="shared" si="39"/>
        <v>0</v>
      </c>
      <c r="F272" s="38">
        <f t="shared" si="39"/>
        <v>0</v>
      </c>
      <c r="G272" s="38">
        <f t="shared" si="39"/>
        <v>0</v>
      </c>
      <c r="H272" s="38">
        <f t="shared" si="39"/>
        <v>0.46021767477583703</v>
      </c>
      <c r="I272" s="38">
        <f t="shared" si="39"/>
        <v>0</v>
      </c>
      <c r="J272" s="38">
        <f t="shared" si="37"/>
        <v>0</v>
      </c>
      <c r="K272" s="38">
        <f t="shared" si="37"/>
        <v>0</v>
      </c>
      <c r="L272" s="38">
        <f t="shared" si="37"/>
        <v>0</v>
      </c>
      <c r="M272" s="38">
        <f t="shared" si="37"/>
        <v>0.46026239886482428</v>
      </c>
      <c r="S272" t="s">
        <v>75</v>
      </c>
      <c r="T272" s="5">
        <f>data_origin!T314</f>
        <v>0</v>
      </c>
      <c r="U272" s="5">
        <f>data_origin!U314</f>
        <v>0</v>
      </c>
      <c r="V272" s="5">
        <f>data_origin!V314</f>
        <v>0</v>
      </c>
      <c r="W272" s="5">
        <f>data_origin!W314</f>
        <v>0.45454545454545453</v>
      </c>
      <c r="X272" s="5">
        <f>data_origin!X314</f>
        <v>0</v>
      </c>
      <c r="Y272" s="5">
        <f>data_origin!Y314</f>
        <v>0</v>
      </c>
      <c r="Z272" s="5">
        <f>data_origin!Z314</f>
        <v>0</v>
      </c>
      <c r="AA272" s="5">
        <f>data_origin!AA314</f>
        <v>0</v>
      </c>
      <c r="AB272" s="5">
        <f t="shared" si="34"/>
        <v>0.45454545454545453</v>
      </c>
      <c r="AH272" t="s">
        <v>75</v>
      </c>
      <c r="AI272" s="5">
        <f>data_origin!T2561</f>
        <v>0</v>
      </c>
      <c r="AJ272" s="5">
        <f>data_origin!U2561</f>
        <v>0</v>
      </c>
      <c r="AK272" s="5">
        <f>data_origin!V2561</f>
        <v>0</v>
      </c>
      <c r="AL272" s="5">
        <f>data_origin!W2561</f>
        <v>0</v>
      </c>
      <c r="AM272" s="5">
        <f>data_origin!X2561</f>
        <v>0</v>
      </c>
      <c r="AN272" s="5">
        <f>data_origin!Y2561</f>
        <v>0</v>
      </c>
      <c r="AO272" s="5">
        <f>data_origin!Z2561</f>
        <v>0</v>
      </c>
      <c r="AP272" s="5">
        <f>data_origin!AA2561</f>
        <v>0</v>
      </c>
      <c r="AQ272" s="9">
        <f t="shared" si="35"/>
        <v>0</v>
      </c>
      <c r="AV272" t="s">
        <v>75</v>
      </c>
      <c r="AW272" s="5">
        <f>data_origin!T3275</f>
        <v>0</v>
      </c>
      <c r="AX272" s="5">
        <f>data_origin!U3275</f>
        <v>0</v>
      </c>
      <c r="AY272" s="5">
        <f>data_origin!V3275</f>
        <v>0</v>
      </c>
      <c r="AZ272" s="5">
        <f>data_origin!W3275</f>
        <v>0</v>
      </c>
      <c r="BA272" s="5">
        <f>data_origin!X3275</f>
        <v>0</v>
      </c>
      <c r="BB272" s="5">
        <f>data_origin!Y3275</f>
        <v>0</v>
      </c>
      <c r="BC272" s="5">
        <f>data_origin!Z3275</f>
        <v>0</v>
      </c>
      <c r="BD272" s="5">
        <f>data_origin!AA3275</f>
        <v>0</v>
      </c>
      <c r="BE272" s="9">
        <f t="shared" si="36"/>
        <v>0</v>
      </c>
    </row>
    <row r="273" spans="4:57" x14ac:dyDescent="0.25">
      <c r="D273" t="s">
        <v>76</v>
      </c>
      <c r="E273" s="38">
        <f t="shared" si="39"/>
        <v>0</v>
      </c>
      <c r="F273" s="38">
        <f t="shared" si="39"/>
        <v>0</v>
      </c>
      <c r="G273" s="38">
        <f t="shared" si="39"/>
        <v>0</v>
      </c>
      <c r="H273" s="38">
        <f t="shared" si="39"/>
        <v>0.46021767477583703</v>
      </c>
      <c r="I273" s="38">
        <f t="shared" si="39"/>
        <v>0</v>
      </c>
      <c r="J273" s="38">
        <f t="shared" si="37"/>
        <v>0</v>
      </c>
      <c r="K273" s="38">
        <f t="shared" si="37"/>
        <v>0</v>
      </c>
      <c r="L273" s="38">
        <f t="shared" si="37"/>
        <v>0</v>
      </c>
      <c r="M273" s="38">
        <f t="shared" si="37"/>
        <v>0.46026239886482428</v>
      </c>
      <c r="S273" t="s">
        <v>76</v>
      </c>
      <c r="T273" s="5">
        <f>data_origin!T315</f>
        <v>0</v>
      </c>
      <c r="U273" s="5">
        <f>data_origin!U315</f>
        <v>0</v>
      </c>
      <c r="V273" s="5">
        <f>data_origin!V315</f>
        <v>0</v>
      </c>
      <c r="W273" s="5">
        <f>data_origin!W315</f>
        <v>0.45454545454545453</v>
      </c>
      <c r="X273" s="5">
        <f>data_origin!X315</f>
        <v>0</v>
      </c>
      <c r="Y273" s="5">
        <f>data_origin!Y315</f>
        <v>0</v>
      </c>
      <c r="Z273" s="5">
        <f>data_origin!Z315</f>
        <v>0</v>
      </c>
      <c r="AA273" s="5">
        <f>data_origin!AA315</f>
        <v>0</v>
      </c>
      <c r="AB273" s="5">
        <f t="shared" si="34"/>
        <v>0.45454545454545453</v>
      </c>
      <c r="AH273" t="s">
        <v>76</v>
      </c>
      <c r="AI273" s="5">
        <f>data_origin!T2562</f>
        <v>0</v>
      </c>
      <c r="AJ273" s="5">
        <f>data_origin!U2562</f>
        <v>0</v>
      </c>
      <c r="AK273" s="5">
        <f>data_origin!V2562</f>
        <v>0</v>
      </c>
      <c r="AL273" s="5">
        <f>data_origin!W2562</f>
        <v>0</v>
      </c>
      <c r="AM273" s="5">
        <f>data_origin!X2562</f>
        <v>0</v>
      </c>
      <c r="AN273" s="5">
        <f>data_origin!Y2562</f>
        <v>0</v>
      </c>
      <c r="AO273" s="5">
        <f>data_origin!Z2562</f>
        <v>0</v>
      </c>
      <c r="AP273" s="5">
        <f>data_origin!AA2562</f>
        <v>0</v>
      </c>
      <c r="AQ273" s="9">
        <f t="shared" si="35"/>
        <v>0</v>
      </c>
      <c r="AV273" t="s">
        <v>76</v>
      </c>
      <c r="AW273" s="5">
        <f>data_origin!T3276</f>
        <v>0</v>
      </c>
      <c r="AX273" s="5">
        <f>data_origin!U3276</f>
        <v>0</v>
      </c>
      <c r="AY273" s="5">
        <f>data_origin!V3276</f>
        <v>0</v>
      </c>
      <c r="AZ273" s="5">
        <f>data_origin!W3276</f>
        <v>0</v>
      </c>
      <c r="BA273" s="5">
        <f>data_origin!X3276</f>
        <v>0</v>
      </c>
      <c r="BB273" s="5">
        <f>data_origin!Y3276</f>
        <v>0</v>
      </c>
      <c r="BC273" s="5">
        <f>data_origin!Z3276</f>
        <v>0</v>
      </c>
      <c r="BD273" s="5">
        <f>data_origin!AA3276</f>
        <v>0</v>
      </c>
      <c r="BE273" s="9">
        <f t="shared" si="36"/>
        <v>0</v>
      </c>
    </row>
    <row r="274" spans="4:57" x14ac:dyDescent="0.25">
      <c r="D274" t="s">
        <v>77</v>
      </c>
      <c r="E274" s="38">
        <f t="shared" si="39"/>
        <v>0</v>
      </c>
      <c r="F274" s="38">
        <f t="shared" si="39"/>
        <v>0</v>
      </c>
      <c r="G274" s="38">
        <f t="shared" si="39"/>
        <v>0</v>
      </c>
      <c r="H274" s="38">
        <f t="shared" si="39"/>
        <v>0.46021767477583703</v>
      </c>
      <c r="I274" s="38">
        <f t="shared" si="39"/>
        <v>0</v>
      </c>
      <c r="J274" s="38">
        <f t="shared" si="37"/>
        <v>0</v>
      </c>
      <c r="K274" s="38">
        <f t="shared" si="37"/>
        <v>0</v>
      </c>
      <c r="L274" s="38">
        <f t="shared" si="37"/>
        <v>0</v>
      </c>
      <c r="M274" s="38">
        <f t="shared" si="37"/>
        <v>0.46026239886482428</v>
      </c>
      <c r="S274" t="s">
        <v>77</v>
      </c>
      <c r="T274" s="5">
        <f>data_origin!T316</f>
        <v>0</v>
      </c>
      <c r="U274" s="5">
        <f>data_origin!U316</f>
        <v>0</v>
      </c>
      <c r="V274" s="5">
        <f>data_origin!V316</f>
        <v>0</v>
      </c>
      <c r="W274" s="5">
        <f>data_origin!W316</f>
        <v>0.45454545454545453</v>
      </c>
      <c r="X274" s="5">
        <f>data_origin!X316</f>
        <v>0</v>
      </c>
      <c r="Y274" s="5">
        <f>data_origin!Y316</f>
        <v>0</v>
      </c>
      <c r="Z274" s="5">
        <f>data_origin!Z316</f>
        <v>0</v>
      </c>
      <c r="AA274" s="5">
        <f>data_origin!AA316</f>
        <v>0</v>
      </c>
      <c r="AB274" s="5">
        <f t="shared" si="34"/>
        <v>0.45454545454545453</v>
      </c>
      <c r="AH274" t="s">
        <v>77</v>
      </c>
      <c r="AI274" s="5">
        <f>data_origin!T2563</f>
        <v>0</v>
      </c>
      <c r="AJ274" s="5">
        <f>data_origin!U2563</f>
        <v>0</v>
      </c>
      <c r="AK274" s="5">
        <f>data_origin!V2563</f>
        <v>0</v>
      </c>
      <c r="AL274" s="5">
        <f>data_origin!W2563</f>
        <v>0</v>
      </c>
      <c r="AM274" s="5">
        <f>data_origin!X2563</f>
        <v>0</v>
      </c>
      <c r="AN274" s="5">
        <f>data_origin!Y2563</f>
        <v>0</v>
      </c>
      <c r="AO274" s="5">
        <f>data_origin!Z2563</f>
        <v>0</v>
      </c>
      <c r="AP274" s="5">
        <f>data_origin!AA2563</f>
        <v>0</v>
      </c>
      <c r="AQ274" s="9">
        <f t="shared" si="35"/>
        <v>0</v>
      </c>
      <c r="AV274" t="s">
        <v>77</v>
      </c>
      <c r="AW274" s="5">
        <f>data_origin!T3277</f>
        <v>0</v>
      </c>
      <c r="AX274" s="5">
        <f>data_origin!U3277</f>
        <v>0</v>
      </c>
      <c r="AY274" s="5">
        <f>data_origin!V3277</f>
        <v>0</v>
      </c>
      <c r="AZ274" s="5">
        <f>data_origin!W3277</f>
        <v>0</v>
      </c>
      <c r="BA274" s="5">
        <f>data_origin!X3277</f>
        <v>0</v>
      </c>
      <c r="BB274" s="5">
        <f>data_origin!Y3277</f>
        <v>0</v>
      </c>
      <c r="BC274" s="5">
        <f>data_origin!Z3277</f>
        <v>0</v>
      </c>
      <c r="BD274" s="5">
        <f>data_origin!AA3277</f>
        <v>0</v>
      </c>
      <c r="BE274" s="9">
        <f t="shared" si="36"/>
        <v>0</v>
      </c>
    </row>
    <row r="275" spans="4:57" x14ac:dyDescent="0.25">
      <c r="D275" t="s">
        <v>78</v>
      </c>
      <c r="E275" s="38">
        <f t="shared" si="39"/>
        <v>0</v>
      </c>
      <c r="F275" s="38">
        <f t="shared" si="39"/>
        <v>0</v>
      </c>
      <c r="G275" s="38">
        <f t="shared" si="39"/>
        <v>0</v>
      </c>
      <c r="H275" s="38">
        <f t="shared" si="39"/>
        <v>0.46021767477583703</v>
      </c>
      <c r="I275" s="38">
        <f t="shared" si="39"/>
        <v>0</v>
      </c>
      <c r="J275" s="38">
        <f t="shared" si="37"/>
        <v>0</v>
      </c>
      <c r="K275" s="38">
        <f t="shared" si="37"/>
        <v>0</v>
      </c>
      <c r="L275" s="38">
        <f t="shared" si="37"/>
        <v>0</v>
      </c>
      <c r="M275" s="38">
        <f t="shared" si="37"/>
        <v>0.46026239886482428</v>
      </c>
      <c r="S275" t="s">
        <v>78</v>
      </c>
      <c r="T275" s="5">
        <f>data_origin!T317</f>
        <v>0</v>
      </c>
      <c r="U275" s="5">
        <f>data_origin!U317</f>
        <v>0</v>
      </c>
      <c r="V275" s="5">
        <f>data_origin!V317</f>
        <v>0</v>
      </c>
      <c r="W275" s="5">
        <f>data_origin!W317</f>
        <v>0.45454545454545453</v>
      </c>
      <c r="X275" s="5">
        <f>data_origin!X317</f>
        <v>0</v>
      </c>
      <c r="Y275" s="5">
        <f>data_origin!Y317</f>
        <v>0</v>
      </c>
      <c r="Z275" s="5">
        <f>data_origin!Z317</f>
        <v>0</v>
      </c>
      <c r="AA275" s="5">
        <f>data_origin!AA317</f>
        <v>0</v>
      </c>
      <c r="AB275" s="5">
        <f t="shared" si="34"/>
        <v>0.45454545454545453</v>
      </c>
      <c r="AH275" t="s">
        <v>78</v>
      </c>
      <c r="AI275" s="5">
        <f>data_origin!T2564</f>
        <v>0</v>
      </c>
      <c r="AJ275" s="5">
        <f>data_origin!U2564</f>
        <v>0</v>
      </c>
      <c r="AK275" s="5">
        <f>data_origin!V2564</f>
        <v>0</v>
      </c>
      <c r="AL275" s="5">
        <f>data_origin!W2564</f>
        <v>0</v>
      </c>
      <c r="AM275" s="5">
        <f>data_origin!X2564</f>
        <v>0</v>
      </c>
      <c r="AN275" s="5">
        <f>data_origin!Y2564</f>
        <v>0</v>
      </c>
      <c r="AO275" s="5">
        <f>data_origin!Z2564</f>
        <v>0</v>
      </c>
      <c r="AP275" s="5">
        <f>data_origin!AA2564</f>
        <v>0</v>
      </c>
      <c r="AQ275" s="9">
        <f t="shared" si="35"/>
        <v>0</v>
      </c>
      <c r="AV275" t="s">
        <v>78</v>
      </c>
      <c r="AW275" s="5">
        <f>data_origin!T3278</f>
        <v>0</v>
      </c>
      <c r="AX275" s="5">
        <f>data_origin!U3278</f>
        <v>0</v>
      </c>
      <c r="AY275" s="5">
        <f>data_origin!V3278</f>
        <v>0</v>
      </c>
      <c r="AZ275" s="5">
        <f>data_origin!W3278</f>
        <v>0</v>
      </c>
      <c r="BA275" s="5">
        <f>data_origin!X3278</f>
        <v>0</v>
      </c>
      <c r="BB275" s="5">
        <f>data_origin!Y3278</f>
        <v>0</v>
      </c>
      <c r="BC275" s="5">
        <f>data_origin!Z3278</f>
        <v>0</v>
      </c>
      <c r="BD275" s="5">
        <f>data_origin!AA3278</f>
        <v>0</v>
      </c>
      <c r="BE275" s="9">
        <f t="shared" si="36"/>
        <v>0</v>
      </c>
    </row>
    <row r="276" spans="4:57" x14ac:dyDescent="0.25">
      <c r="D276" t="s">
        <v>79</v>
      </c>
      <c r="E276" s="38">
        <f t="shared" si="39"/>
        <v>0</v>
      </c>
      <c r="F276" s="38">
        <f t="shared" si="39"/>
        <v>0</v>
      </c>
      <c r="G276" s="38">
        <f t="shared" si="39"/>
        <v>0</v>
      </c>
      <c r="H276" s="38">
        <f t="shared" si="39"/>
        <v>0.46021767477583703</v>
      </c>
      <c r="I276" s="38">
        <f t="shared" si="39"/>
        <v>0</v>
      </c>
      <c r="J276" s="38">
        <f t="shared" si="37"/>
        <v>0</v>
      </c>
      <c r="K276" s="38">
        <f t="shared" si="37"/>
        <v>0</v>
      </c>
      <c r="L276" s="38">
        <f t="shared" si="37"/>
        <v>0</v>
      </c>
      <c r="M276" s="38">
        <f t="shared" si="37"/>
        <v>0.46026239886482428</v>
      </c>
      <c r="S276" t="s">
        <v>79</v>
      </c>
      <c r="T276" s="5">
        <f>data_origin!T318</f>
        <v>0</v>
      </c>
      <c r="U276" s="5">
        <f>data_origin!U318</f>
        <v>0</v>
      </c>
      <c r="V276" s="5">
        <f>data_origin!V318</f>
        <v>0</v>
      </c>
      <c r="W276" s="5">
        <f>data_origin!W318</f>
        <v>0.45454545454545453</v>
      </c>
      <c r="X276" s="5">
        <f>data_origin!X318</f>
        <v>0</v>
      </c>
      <c r="Y276" s="5">
        <f>data_origin!Y318</f>
        <v>0</v>
      </c>
      <c r="Z276" s="5">
        <f>data_origin!Z318</f>
        <v>0</v>
      </c>
      <c r="AA276" s="5">
        <f>data_origin!AA318</f>
        <v>0</v>
      </c>
      <c r="AB276" s="5">
        <f t="shared" si="34"/>
        <v>0.45454545454545453</v>
      </c>
      <c r="AH276" t="s">
        <v>79</v>
      </c>
      <c r="AI276" s="5">
        <f>data_origin!T2565</f>
        <v>0</v>
      </c>
      <c r="AJ276" s="5">
        <f>data_origin!U2565</f>
        <v>0</v>
      </c>
      <c r="AK276" s="5">
        <f>data_origin!V2565</f>
        <v>0</v>
      </c>
      <c r="AL276" s="5">
        <f>data_origin!W2565</f>
        <v>0</v>
      </c>
      <c r="AM276" s="5">
        <f>data_origin!X2565</f>
        <v>0</v>
      </c>
      <c r="AN276" s="5">
        <f>data_origin!Y2565</f>
        <v>0</v>
      </c>
      <c r="AO276" s="5">
        <f>data_origin!Z2565</f>
        <v>0</v>
      </c>
      <c r="AP276" s="5">
        <f>data_origin!AA2565</f>
        <v>0</v>
      </c>
      <c r="AQ276" s="9">
        <f t="shared" si="35"/>
        <v>0</v>
      </c>
      <c r="AV276" t="s">
        <v>79</v>
      </c>
      <c r="AW276" s="5">
        <f>data_origin!T3279</f>
        <v>0</v>
      </c>
      <c r="AX276" s="5">
        <f>data_origin!U3279</f>
        <v>0</v>
      </c>
      <c r="AY276" s="5">
        <f>data_origin!V3279</f>
        <v>0</v>
      </c>
      <c r="AZ276" s="5">
        <f>data_origin!W3279</f>
        <v>0</v>
      </c>
      <c r="BA276" s="5">
        <f>data_origin!X3279</f>
        <v>0</v>
      </c>
      <c r="BB276" s="5">
        <f>data_origin!Y3279</f>
        <v>0</v>
      </c>
      <c r="BC276" s="5">
        <f>data_origin!Z3279</f>
        <v>0</v>
      </c>
      <c r="BD276" s="5">
        <f>data_origin!AA3279</f>
        <v>0</v>
      </c>
      <c r="BE276" s="9">
        <f t="shared" si="36"/>
        <v>0</v>
      </c>
    </row>
    <row r="277" spans="4:57" x14ac:dyDescent="0.25">
      <c r="D277" t="s">
        <v>80</v>
      </c>
      <c r="E277" s="38">
        <f t="shared" si="39"/>
        <v>0</v>
      </c>
      <c r="F277" s="38">
        <f t="shared" si="39"/>
        <v>0</v>
      </c>
      <c r="G277" s="38">
        <f t="shared" si="39"/>
        <v>0</v>
      </c>
      <c r="H277" s="38">
        <f t="shared" si="39"/>
        <v>0.46021767477583703</v>
      </c>
      <c r="I277" s="38">
        <f t="shared" si="39"/>
        <v>0</v>
      </c>
      <c r="J277" s="38">
        <f t="shared" si="37"/>
        <v>0</v>
      </c>
      <c r="K277" s="38">
        <f t="shared" si="37"/>
        <v>0</v>
      </c>
      <c r="L277" s="38">
        <f t="shared" si="37"/>
        <v>0</v>
      </c>
      <c r="M277" s="38">
        <f t="shared" si="37"/>
        <v>0.46026239886482428</v>
      </c>
      <c r="S277" t="s">
        <v>80</v>
      </c>
      <c r="T277" s="5">
        <f>data_origin!T319</f>
        <v>0</v>
      </c>
      <c r="U277" s="5">
        <f>data_origin!U319</f>
        <v>0</v>
      </c>
      <c r="V277" s="5">
        <f>data_origin!V319</f>
        <v>0</v>
      </c>
      <c r="W277" s="5">
        <f>data_origin!W319</f>
        <v>0.45454545454545453</v>
      </c>
      <c r="X277" s="5">
        <f>data_origin!X319</f>
        <v>0</v>
      </c>
      <c r="Y277" s="5">
        <f>data_origin!Y319</f>
        <v>0</v>
      </c>
      <c r="Z277" s="5">
        <f>data_origin!Z319</f>
        <v>0</v>
      </c>
      <c r="AA277" s="5">
        <f>data_origin!AA319</f>
        <v>0</v>
      </c>
      <c r="AB277" s="5">
        <f t="shared" si="34"/>
        <v>0.45454545454545453</v>
      </c>
      <c r="AH277" t="s">
        <v>80</v>
      </c>
      <c r="AI277" s="5">
        <f>data_origin!T2566</f>
        <v>0</v>
      </c>
      <c r="AJ277" s="5">
        <f>data_origin!U2566</f>
        <v>0</v>
      </c>
      <c r="AK277" s="5">
        <f>data_origin!V2566</f>
        <v>0</v>
      </c>
      <c r="AL277" s="5">
        <f>data_origin!W2566</f>
        <v>0</v>
      </c>
      <c r="AM277" s="5">
        <f>data_origin!X2566</f>
        <v>0</v>
      </c>
      <c r="AN277" s="5">
        <f>data_origin!Y2566</f>
        <v>0</v>
      </c>
      <c r="AO277" s="5">
        <f>data_origin!Z2566</f>
        <v>0</v>
      </c>
      <c r="AP277" s="5">
        <f>data_origin!AA2566</f>
        <v>0</v>
      </c>
      <c r="AQ277" s="9">
        <f t="shared" si="35"/>
        <v>0</v>
      </c>
      <c r="AV277" t="s">
        <v>80</v>
      </c>
      <c r="AW277" s="5">
        <f>data_origin!T3280</f>
        <v>0</v>
      </c>
      <c r="AX277" s="5">
        <f>data_origin!U3280</f>
        <v>0</v>
      </c>
      <c r="AY277" s="5">
        <f>data_origin!V3280</f>
        <v>0</v>
      </c>
      <c r="AZ277" s="5">
        <f>data_origin!W3280</f>
        <v>0</v>
      </c>
      <c r="BA277" s="5">
        <f>data_origin!X3280</f>
        <v>0</v>
      </c>
      <c r="BB277" s="5">
        <f>data_origin!Y3280</f>
        <v>0</v>
      </c>
      <c r="BC277" s="5">
        <f>data_origin!Z3280</f>
        <v>0</v>
      </c>
      <c r="BD277" s="5">
        <f>data_origin!AA3280</f>
        <v>0</v>
      </c>
      <c r="BE277" s="9">
        <f t="shared" si="36"/>
        <v>0</v>
      </c>
    </row>
    <row r="278" spans="4:57" x14ac:dyDescent="0.25">
      <c r="D278" t="s">
        <v>81</v>
      </c>
      <c r="E278" s="38">
        <f t="shared" si="39"/>
        <v>0</v>
      </c>
      <c r="F278" s="38">
        <f t="shared" si="39"/>
        <v>0</v>
      </c>
      <c r="G278" s="38">
        <f t="shared" si="39"/>
        <v>0</v>
      </c>
      <c r="H278" s="38">
        <f t="shared" si="39"/>
        <v>0.46021767477583703</v>
      </c>
      <c r="I278" s="38">
        <f t="shared" si="39"/>
        <v>0</v>
      </c>
      <c r="J278" s="38">
        <f t="shared" si="37"/>
        <v>0</v>
      </c>
      <c r="K278" s="38">
        <f t="shared" si="37"/>
        <v>0</v>
      </c>
      <c r="L278" s="38">
        <f t="shared" si="37"/>
        <v>0</v>
      </c>
      <c r="M278" s="38">
        <f t="shared" si="37"/>
        <v>0.46026239886482428</v>
      </c>
      <c r="S278" t="s">
        <v>81</v>
      </c>
      <c r="T278" s="5">
        <f>data_origin!T320</f>
        <v>0</v>
      </c>
      <c r="U278" s="5">
        <f>data_origin!U320</f>
        <v>0</v>
      </c>
      <c r="V278" s="5">
        <f>data_origin!V320</f>
        <v>0</v>
      </c>
      <c r="W278" s="5">
        <f>data_origin!W320</f>
        <v>0.45454545454545453</v>
      </c>
      <c r="X278" s="5">
        <f>data_origin!X320</f>
        <v>0</v>
      </c>
      <c r="Y278" s="5">
        <f>data_origin!Y320</f>
        <v>0</v>
      </c>
      <c r="Z278" s="5">
        <f>data_origin!Z320</f>
        <v>0</v>
      </c>
      <c r="AA278" s="5">
        <f>data_origin!AA320</f>
        <v>0</v>
      </c>
      <c r="AB278" s="5">
        <f t="shared" si="34"/>
        <v>0.45454545454545453</v>
      </c>
      <c r="AH278" t="s">
        <v>81</v>
      </c>
      <c r="AI278" s="5">
        <f>data_origin!T2567</f>
        <v>0</v>
      </c>
      <c r="AJ278" s="5">
        <f>data_origin!U2567</f>
        <v>0</v>
      </c>
      <c r="AK278" s="5">
        <f>data_origin!V2567</f>
        <v>0</v>
      </c>
      <c r="AL278" s="5">
        <f>data_origin!W2567</f>
        <v>0</v>
      </c>
      <c r="AM278" s="5">
        <f>data_origin!X2567</f>
        <v>0</v>
      </c>
      <c r="AN278" s="5">
        <f>data_origin!Y2567</f>
        <v>0</v>
      </c>
      <c r="AO278" s="5">
        <f>data_origin!Z2567</f>
        <v>0</v>
      </c>
      <c r="AP278" s="5">
        <f>data_origin!AA2567</f>
        <v>0</v>
      </c>
      <c r="AQ278" s="9">
        <f t="shared" si="35"/>
        <v>0</v>
      </c>
      <c r="AV278" t="s">
        <v>81</v>
      </c>
      <c r="AW278" s="5">
        <f>data_origin!T3281</f>
        <v>0</v>
      </c>
      <c r="AX278" s="5">
        <f>data_origin!U3281</f>
        <v>0</v>
      </c>
      <c r="AY278" s="5">
        <f>data_origin!V3281</f>
        <v>0</v>
      </c>
      <c r="AZ278" s="5">
        <f>data_origin!W3281</f>
        <v>0</v>
      </c>
      <c r="BA278" s="5">
        <f>data_origin!X3281</f>
        <v>0</v>
      </c>
      <c r="BB278" s="5">
        <f>data_origin!Y3281</f>
        <v>0</v>
      </c>
      <c r="BC278" s="5">
        <f>data_origin!Z3281</f>
        <v>0</v>
      </c>
      <c r="BD278" s="5">
        <f>data_origin!AA3281</f>
        <v>0</v>
      </c>
      <c r="BE278" s="9">
        <f t="shared" si="36"/>
        <v>0</v>
      </c>
    </row>
    <row r="279" spans="4:57" x14ac:dyDescent="0.25">
      <c r="D279" t="s">
        <v>82</v>
      </c>
      <c r="E279" s="38">
        <f t="shared" si="39"/>
        <v>0</v>
      </c>
      <c r="F279" s="38">
        <f t="shared" si="39"/>
        <v>0</v>
      </c>
      <c r="G279" s="38">
        <f t="shared" si="39"/>
        <v>0</v>
      </c>
      <c r="H279" s="38">
        <f t="shared" si="39"/>
        <v>0.46021767477583703</v>
      </c>
      <c r="I279" s="38">
        <f t="shared" si="39"/>
        <v>0</v>
      </c>
      <c r="J279" s="38">
        <f t="shared" si="37"/>
        <v>0</v>
      </c>
      <c r="K279" s="38">
        <f t="shared" si="37"/>
        <v>0</v>
      </c>
      <c r="L279" s="38">
        <f t="shared" si="37"/>
        <v>0</v>
      </c>
      <c r="M279" s="38">
        <f t="shared" si="37"/>
        <v>0.46026239886482428</v>
      </c>
      <c r="S279" t="s">
        <v>82</v>
      </c>
      <c r="T279" s="5">
        <f>data_origin!T321</f>
        <v>0</v>
      </c>
      <c r="U279" s="5">
        <f>data_origin!U321</f>
        <v>0</v>
      </c>
      <c r="V279" s="5">
        <f>data_origin!V321</f>
        <v>0</v>
      </c>
      <c r="W279" s="5">
        <f>data_origin!W321</f>
        <v>0.45454545454545453</v>
      </c>
      <c r="X279" s="5">
        <f>data_origin!X321</f>
        <v>0</v>
      </c>
      <c r="Y279" s="5">
        <f>data_origin!Y321</f>
        <v>0</v>
      </c>
      <c r="Z279" s="5">
        <f>data_origin!Z321</f>
        <v>0</v>
      </c>
      <c r="AA279" s="5">
        <f>data_origin!AA321</f>
        <v>0</v>
      </c>
      <c r="AB279" s="5">
        <f t="shared" si="34"/>
        <v>0.45454545454545453</v>
      </c>
      <c r="AH279" t="s">
        <v>82</v>
      </c>
      <c r="AI279" s="5">
        <f>data_origin!T2568</f>
        <v>0</v>
      </c>
      <c r="AJ279" s="5">
        <f>data_origin!U2568</f>
        <v>0</v>
      </c>
      <c r="AK279" s="5">
        <f>data_origin!V2568</f>
        <v>0</v>
      </c>
      <c r="AL279" s="5">
        <f>data_origin!W2568</f>
        <v>0</v>
      </c>
      <c r="AM279" s="5">
        <f>data_origin!X2568</f>
        <v>0</v>
      </c>
      <c r="AN279" s="5">
        <f>data_origin!Y2568</f>
        <v>0</v>
      </c>
      <c r="AO279" s="5">
        <f>data_origin!Z2568</f>
        <v>0</v>
      </c>
      <c r="AP279" s="5">
        <f>data_origin!AA2568</f>
        <v>0</v>
      </c>
      <c r="AQ279" s="9">
        <f t="shared" si="35"/>
        <v>0</v>
      </c>
      <c r="AV279" t="s">
        <v>82</v>
      </c>
      <c r="AW279" s="5">
        <f>data_origin!T3282</f>
        <v>0</v>
      </c>
      <c r="AX279" s="5">
        <f>data_origin!U3282</f>
        <v>0</v>
      </c>
      <c r="AY279" s="5">
        <f>data_origin!V3282</f>
        <v>0</v>
      </c>
      <c r="AZ279" s="5">
        <f>data_origin!W3282</f>
        <v>0</v>
      </c>
      <c r="BA279" s="5">
        <f>data_origin!X3282</f>
        <v>0</v>
      </c>
      <c r="BB279" s="5">
        <f>data_origin!Y3282</f>
        <v>0</v>
      </c>
      <c r="BC279" s="5">
        <f>data_origin!Z3282</f>
        <v>0</v>
      </c>
      <c r="BD279" s="5">
        <f>data_origin!AA3282</f>
        <v>0</v>
      </c>
      <c r="BE279" s="9">
        <f t="shared" si="36"/>
        <v>0</v>
      </c>
    </row>
    <row r="280" spans="4:57" x14ac:dyDescent="0.25">
      <c r="D280" t="s">
        <v>83</v>
      </c>
      <c r="E280" s="38">
        <f t="shared" si="39"/>
        <v>0</v>
      </c>
      <c r="F280" s="38">
        <f t="shared" si="39"/>
        <v>0</v>
      </c>
      <c r="G280" s="38">
        <f t="shared" si="39"/>
        <v>4.7032573301538809</v>
      </c>
      <c r="H280" s="38">
        <f t="shared" si="39"/>
        <v>0.46021767477583703</v>
      </c>
      <c r="I280" s="38">
        <f t="shared" si="39"/>
        <v>0</v>
      </c>
      <c r="J280" s="38">
        <f t="shared" si="37"/>
        <v>0</v>
      </c>
      <c r="K280" s="38">
        <f t="shared" si="37"/>
        <v>0</v>
      </c>
      <c r="L280" s="38">
        <f t="shared" si="37"/>
        <v>0</v>
      </c>
      <c r="M280" s="38">
        <f t="shared" si="37"/>
        <v>5.1856230272103527</v>
      </c>
      <c r="S280" t="s">
        <v>83</v>
      </c>
      <c r="T280" s="5">
        <f>data_origin!T322</f>
        <v>0</v>
      </c>
      <c r="U280" s="5">
        <f>data_origin!U322</f>
        <v>0</v>
      </c>
      <c r="V280" s="5">
        <f>data_origin!V322</f>
        <v>4.6666666666666661</v>
      </c>
      <c r="W280" s="5">
        <f>data_origin!W322</f>
        <v>0.45454545454545453</v>
      </c>
      <c r="X280" s="5">
        <f>data_origin!X322</f>
        <v>0</v>
      </c>
      <c r="Y280" s="5">
        <f>data_origin!Y322</f>
        <v>0</v>
      </c>
      <c r="Z280" s="5">
        <f>data_origin!Z322</f>
        <v>0</v>
      </c>
      <c r="AA280" s="5">
        <f>data_origin!AA322</f>
        <v>0</v>
      </c>
      <c r="AB280" s="5">
        <f t="shared" si="34"/>
        <v>5.1212121212121202</v>
      </c>
      <c r="AH280" t="s">
        <v>83</v>
      </c>
      <c r="AI280" s="5">
        <f>data_origin!T2569</f>
        <v>0</v>
      </c>
      <c r="AJ280" s="5">
        <f>data_origin!U2569</f>
        <v>0</v>
      </c>
      <c r="AK280" s="5">
        <f>data_origin!V2569</f>
        <v>0</v>
      </c>
      <c r="AL280" s="5">
        <f>data_origin!W2569</f>
        <v>0</v>
      </c>
      <c r="AM280" s="5">
        <f>data_origin!X2569</f>
        <v>0</v>
      </c>
      <c r="AN280" s="5">
        <f>data_origin!Y2569</f>
        <v>0</v>
      </c>
      <c r="AO280" s="5">
        <f>data_origin!Z2569</f>
        <v>0</v>
      </c>
      <c r="AP280" s="5">
        <f>data_origin!AA2569</f>
        <v>0</v>
      </c>
      <c r="AQ280" s="9">
        <f t="shared" si="35"/>
        <v>0</v>
      </c>
      <c r="AV280" t="s">
        <v>83</v>
      </c>
      <c r="AW280" s="5">
        <f>data_origin!T3283</f>
        <v>0</v>
      </c>
      <c r="AX280" s="5">
        <f>data_origin!U3283</f>
        <v>0</v>
      </c>
      <c r="AY280" s="5">
        <f>data_origin!V3283</f>
        <v>0</v>
      </c>
      <c r="AZ280" s="5">
        <f>data_origin!W3283</f>
        <v>0</v>
      </c>
      <c r="BA280" s="5">
        <f>data_origin!X3283</f>
        <v>0</v>
      </c>
      <c r="BB280" s="5">
        <f>data_origin!Y3283</f>
        <v>0</v>
      </c>
      <c r="BC280" s="5">
        <f>data_origin!Z3283</f>
        <v>0</v>
      </c>
      <c r="BD280" s="5">
        <f>data_origin!AA3283</f>
        <v>0</v>
      </c>
      <c r="BE280" s="9">
        <f t="shared" si="36"/>
        <v>0</v>
      </c>
    </row>
    <row r="281" spans="4:57" x14ac:dyDescent="0.25">
      <c r="D281" t="s">
        <v>84</v>
      </c>
      <c r="E281" s="38">
        <f t="shared" si="39"/>
        <v>0</v>
      </c>
      <c r="F281" s="38">
        <f t="shared" si="39"/>
        <v>0</v>
      </c>
      <c r="G281" s="38">
        <f t="shared" si="39"/>
        <v>0</v>
      </c>
      <c r="H281" s="38">
        <f t="shared" si="39"/>
        <v>0.46021767477583703</v>
      </c>
      <c r="I281" s="38">
        <f t="shared" si="39"/>
        <v>0</v>
      </c>
      <c r="J281" s="38">
        <f t="shared" si="37"/>
        <v>0</v>
      </c>
      <c r="K281" s="38">
        <f t="shared" si="37"/>
        <v>0</v>
      </c>
      <c r="L281" s="38">
        <f t="shared" si="37"/>
        <v>0</v>
      </c>
      <c r="M281" s="38">
        <f t="shared" si="37"/>
        <v>0.46026239886482428</v>
      </c>
      <c r="S281" t="s">
        <v>84</v>
      </c>
      <c r="T281" s="5">
        <f>data_origin!T323</f>
        <v>0</v>
      </c>
      <c r="U281" s="5">
        <f>data_origin!U323</f>
        <v>0</v>
      </c>
      <c r="V281" s="5">
        <f>data_origin!V323</f>
        <v>0</v>
      </c>
      <c r="W281" s="5">
        <f>data_origin!W323</f>
        <v>0.45454545454545453</v>
      </c>
      <c r="X281" s="5">
        <f>data_origin!X323</f>
        <v>0</v>
      </c>
      <c r="Y281" s="5">
        <f>data_origin!Y323</f>
        <v>0</v>
      </c>
      <c r="Z281" s="5">
        <f>data_origin!Z323</f>
        <v>0</v>
      </c>
      <c r="AA281" s="5">
        <f>data_origin!AA323</f>
        <v>0</v>
      </c>
      <c r="AB281" s="5">
        <f t="shared" si="34"/>
        <v>0.45454545454545453</v>
      </c>
      <c r="AH281" t="s">
        <v>84</v>
      </c>
      <c r="AI281" s="5">
        <f>data_origin!T2570</f>
        <v>0</v>
      </c>
      <c r="AJ281" s="5">
        <f>data_origin!U2570</f>
        <v>0</v>
      </c>
      <c r="AK281" s="5">
        <f>data_origin!V2570</f>
        <v>0</v>
      </c>
      <c r="AL281" s="5">
        <f>data_origin!W2570</f>
        <v>0</v>
      </c>
      <c r="AM281" s="5">
        <f>data_origin!X2570</f>
        <v>0</v>
      </c>
      <c r="AN281" s="5">
        <f>data_origin!Y2570</f>
        <v>0</v>
      </c>
      <c r="AO281" s="5">
        <f>data_origin!Z2570</f>
        <v>0</v>
      </c>
      <c r="AP281" s="5">
        <f>data_origin!AA2570</f>
        <v>0</v>
      </c>
      <c r="AQ281" s="9">
        <f t="shared" si="35"/>
        <v>0</v>
      </c>
      <c r="AV281" t="s">
        <v>84</v>
      </c>
      <c r="AW281" s="5">
        <f>data_origin!T3284</f>
        <v>0</v>
      </c>
      <c r="AX281" s="5">
        <f>data_origin!U3284</f>
        <v>0</v>
      </c>
      <c r="AY281" s="5">
        <f>data_origin!V3284</f>
        <v>0</v>
      </c>
      <c r="AZ281" s="5">
        <f>data_origin!W3284</f>
        <v>0</v>
      </c>
      <c r="BA281" s="5">
        <f>data_origin!X3284</f>
        <v>0</v>
      </c>
      <c r="BB281" s="5">
        <f>data_origin!Y3284</f>
        <v>0</v>
      </c>
      <c r="BC281" s="5">
        <f>data_origin!Z3284</f>
        <v>0</v>
      </c>
      <c r="BD281" s="5">
        <f>data_origin!AA3284</f>
        <v>0</v>
      </c>
      <c r="BE281" s="9">
        <f t="shared" si="36"/>
        <v>0</v>
      </c>
    </row>
    <row r="282" spans="4:57" x14ac:dyDescent="0.25">
      <c r="D282" t="s">
        <v>85</v>
      </c>
      <c r="E282" s="38">
        <f t="shared" si="39"/>
        <v>0</v>
      </c>
      <c r="F282" s="38">
        <f t="shared" si="39"/>
        <v>0</v>
      </c>
      <c r="G282" s="38">
        <f t="shared" si="39"/>
        <v>0</v>
      </c>
      <c r="H282" s="38">
        <f t="shared" si="39"/>
        <v>0.46021767477583703</v>
      </c>
      <c r="I282" s="38">
        <f t="shared" si="39"/>
        <v>0</v>
      </c>
      <c r="J282" s="38">
        <f t="shared" si="37"/>
        <v>0</v>
      </c>
      <c r="K282" s="38">
        <f t="shared" si="37"/>
        <v>0</v>
      </c>
      <c r="L282" s="38">
        <f t="shared" si="37"/>
        <v>0</v>
      </c>
      <c r="M282" s="38">
        <f t="shared" si="37"/>
        <v>0.46026239886482428</v>
      </c>
      <c r="S282" t="s">
        <v>85</v>
      </c>
      <c r="T282" s="5">
        <f>data_origin!T324</f>
        <v>0</v>
      </c>
      <c r="U282" s="5">
        <f>data_origin!U324</f>
        <v>0</v>
      </c>
      <c r="V282" s="5">
        <f>data_origin!V324</f>
        <v>0</v>
      </c>
      <c r="W282" s="5">
        <f>data_origin!W324</f>
        <v>0.45454545454545453</v>
      </c>
      <c r="X282" s="5">
        <f>data_origin!X324</f>
        <v>0</v>
      </c>
      <c r="Y282" s="5">
        <f>data_origin!Y324</f>
        <v>0</v>
      </c>
      <c r="Z282" s="5">
        <f>data_origin!Z324</f>
        <v>0</v>
      </c>
      <c r="AA282" s="5">
        <f>data_origin!AA324</f>
        <v>0</v>
      </c>
      <c r="AB282" s="5">
        <f t="shared" si="34"/>
        <v>0.45454545454545453</v>
      </c>
      <c r="AH282" t="s">
        <v>85</v>
      </c>
      <c r="AI282" s="5">
        <f>data_origin!T2571</f>
        <v>0</v>
      </c>
      <c r="AJ282" s="5">
        <f>data_origin!U2571</f>
        <v>0</v>
      </c>
      <c r="AK282" s="5">
        <f>data_origin!V2571</f>
        <v>0</v>
      </c>
      <c r="AL282" s="5">
        <f>data_origin!W2571</f>
        <v>0</v>
      </c>
      <c r="AM282" s="5">
        <f>data_origin!X2571</f>
        <v>0</v>
      </c>
      <c r="AN282" s="5">
        <f>data_origin!Y2571</f>
        <v>0</v>
      </c>
      <c r="AO282" s="5">
        <f>data_origin!Z2571</f>
        <v>0</v>
      </c>
      <c r="AP282" s="5">
        <f>data_origin!AA2571</f>
        <v>0</v>
      </c>
      <c r="AQ282" s="9">
        <f t="shared" si="35"/>
        <v>0</v>
      </c>
      <c r="AV282" t="s">
        <v>85</v>
      </c>
      <c r="AW282" s="5">
        <f>data_origin!T3285</f>
        <v>0</v>
      </c>
      <c r="AX282" s="5">
        <f>data_origin!U3285</f>
        <v>0</v>
      </c>
      <c r="AY282" s="5">
        <f>data_origin!V3285</f>
        <v>0</v>
      </c>
      <c r="AZ282" s="5">
        <f>data_origin!W3285</f>
        <v>0</v>
      </c>
      <c r="BA282" s="5">
        <f>data_origin!X3285</f>
        <v>0</v>
      </c>
      <c r="BB282" s="5">
        <f>data_origin!Y3285</f>
        <v>0</v>
      </c>
      <c r="BC282" s="5">
        <f>data_origin!Z3285</f>
        <v>0</v>
      </c>
      <c r="BD282" s="5">
        <f>data_origin!AA3285</f>
        <v>0</v>
      </c>
      <c r="BE282" s="9">
        <f t="shared" si="36"/>
        <v>0</v>
      </c>
    </row>
    <row r="283" spans="4:57" x14ac:dyDescent="0.25">
      <c r="D283" t="s">
        <v>86</v>
      </c>
      <c r="E283" s="38">
        <f t="shared" si="39"/>
        <v>0</v>
      </c>
      <c r="F283" s="38">
        <f t="shared" si="39"/>
        <v>0</v>
      </c>
      <c r="G283" s="38">
        <f t="shared" si="39"/>
        <v>4.7032573301538809</v>
      </c>
      <c r="H283" s="38">
        <f t="shared" si="39"/>
        <v>0.46021767477583703</v>
      </c>
      <c r="I283" s="38">
        <f t="shared" si="39"/>
        <v>0</v>
      </c>
      <c r="J283" s="38">
        <f t="shared" si="37"/>
        <v>0</v>
      </c>
      <c r="K283" s="38">
        <f t="shared" si="37"/>
        <v>0</v>
      </c>
      <c r="L283" s="38">
        <f t="shared" si="37"/>
        <v>0</v>
      </c>
      <c r="M283" s="38">
        <f t="shared" si="37"/>
        <v>5.1856230272103527</v>
      </c>
      <c r="S283" t="s">
        <v>86</v>
      </c>
      <c r="T283" s="5">
        <f>data_origin!T325</f>
        <v>0</v>
      </c>
      <c r="U283" s="5">
        <f>data_origin!U325</f>
        <v>0</v>
      </c>
      <c r="V283" s="5">
        <f>data_origin!V325</f>
        <v>4.6666666666666661</v>
      </c>
      <c r="W283" s="5">
        <f>data_origin!W325</f>
        <v>0.45454545454545453</v>
      </c>
      <c r="X283" s="5">
        <f>data_origin!X325</f>
        <v>0</v>
      </c>
      <c r="Y283" s="5">
        <f>data_origin!Y325</f>
        <v>0</v>
      </c>
      <c r="Z283" s="5">
        <f>data_origin!Z325</f>
        <v>0</v>
      </c>
      <c r="AA283" s="5">
        <f>data_origin!AA325</f>
        <v>0</v>
      </c>
      <c r="AB283" s="5">
        <f t="shared" si="34"/>
        <v>5.1212121212121202</v>
      </c>
      <c r="AH283" t="s">
        <v>86</v>
      </c>
      <c r="AI283" s="5">
        <f>data_origin!T2572</f>
        <v>0</v>
      </c>
      <c r="AJ283" s="5">
        <f>data_origin!U2572</f>
        <v>0</v>
      </c>
      <c r="AK283" s="5">
        <f>data_origin!V2572</f>
        <v>0</v>
      </c>
      <c r="AL283" s="5">
        <f>data_origin!W2572</f>
        <v>0</v>
      </c>
      <c r="AM283" s="5">
        <f>data_origin!X2572</f>
        <v>0</v>
      </c>
      <c r="AN283" s="5">
        <f>data_origin!Y2572</f>
        <v>0</v>
      </c>
      <c r="AO283" s="5">
        <f>data_origin!Z2572</f>
        <v>0</v>
      </c>
      <c r="AP283" s="5">
        <f>data_origin!AA2572</f>
        <v>0</v>
      </c>
      <c r="AQ283" s="9">
        <f t="shared" si="35"/>
        <v>0</v>
      </c>
      <c r="AV283" t="s">
        <v>86</v>
      </c>
      <c r="AW283" s="5">
        <f>data_origin!T3286</f>
        <v>0</v>
      </c>
      <c r="AX283" s="5">
        <f>data_origin!U3286</f>
        <v>0</v>
      </c>
      <c r="AY283" s="5">
        <f>data_origin!V3286</f>
        <v>0</v>
      </c>
      <c r="AZ283" s="5">
        <f>data_origin!W3286</f>
        <v>0</v>
      </c>
      <c r="BA283" s="5">
        <f>data_origin!X3286</f>
        <v>0</v>
      </c>
      <c r="BB283" s="5">
        <f>data_origin!Y3286</f>
        <v>0</v>
      </c>
      <c r="BC283" s="5">
        <f>data_origin!Z3286</f>
        <v>0</v>
      </c>
      <c r="BD283" s="5">
        <f>data_origin!AA3286</f>
        <v>0</v>
      </c>
      <c r="BE283" s="9">
        <f t="shared" si="36"/>
        <v>0</v>
      </c>
    </row>
    <row r="284" spans="4:57" x14ac:dyDescent="0.25">
      <c r="D284" t="s">
        <v>87</v>
      </c>
      <c r="E284" s="38">
        <f t="shared" si="39"/>
        <v>0</v>
      </c>
      <c r="F284" s="38">
        <f t="shared" si="39"/>
        <v>0</v>
      </c>
      <c r="G284" s="38">
        <f t="shared" si="39"/>
        <v>0</v>
      </c>
      <c r="H284" s="38">
        <f t="shared" si="39"/>
        <v>0.46021767477583703</v>
      </c>
      <c r="I284" s="38">
        <f t="shared" si="39"/>
        <v>0</v>
      </c>
      <c r="J284" s="38">
        <f t="shared" si="37"/>
        <v>0</v>
      </c>
      <c r="K284" s="38">
        <f t="shared" si="37"/>
        <v>0</v>
      </c>
      <c r="L284" s="38">
        <f t="shared" si="37"/>
        <v>0</v>
      </c>
      <c r="M284" s="38">
        <f t="shared" si="37"/>
        <v>0.46026239886482428</v>
      </c>
      <c r="S284" t="s">
        <v>87</v>
      </c>
      <c r="T284" s="5">
        <f>data_origin!T326</f>
        <v>0</v>
      </c>
      <c r="U284" s="5">
        <f>data_origin!U326</f>
        <v>0</v>
      </c>
      <c r="V284" s="5">
        <f>data_origin!V326</f>
        <v>0</v>
      </c>
      <c r="W284" s="5">
        <f>data_origin!W326</f>
        <v>0.45454545454545453</v>
      </c>
      <c r="X284" s="5">
        <f>data_origin!X326</f>
        <v>0</v>
      </c>
      <c r="Y284" s="5">
        <f>data_origin!Y326</f>
        <v>0</v>
      </c>
      <c r="Z284" s="5">
        <f>data_origin!Z326</f>
        <v>0</v>
      </c>
      <c r="AA284" s="5">
        <f>data_origin!AA326</f>
        <v>0</v>
      </c>
      <c r="AB284" s="5">
        <f t="shared" si="34"/>
        <v>0.45454545454545453</v>
      </c>
      <c r="AH284" t="s">
        <v>87</v>
      </c>
      <c r="AI284" s="5">
        <f>data_origin!T2573</f>
        <v>0</v>
      </c>
      <c r="AJ284" s="5">
        <f>data_origin!U2573</f>
        <v>0</v>
      </c>
      <c r="AK284" s="5">
        <f>data_origin!V2573</f>
        <v>0</v>
      </c>
      <c r="AL284" s="5">
        <f>data_origin!W2573</f>
        <v>0</v>
      </c>
      <c r="AM284" s="5">
        <f>data_origin!X2573</f>
        <v>0</v>
      </c>
      <c r="AN284" s="5">
        <f>data_origin!Y2573</f>
        <v>0</v>
      </c>
      <c r="AO284" s="5">
        <f>data_origin!Z2573</f>
        <v>0</v>
      </c>
      <c r="AP284" s="5">
        <f>data_origin!AA2573</f>
        <v>0</v>
      </c>
      <c r="AQ284" s="9">
        <f t="shared" si="35"/>
        <v>0</v>
      </c>
      <c r="AV284" t="s">
        <v>87</v>
      </c>
      <c r="AW284" s="5">
        <f>data_origin!T3287</f>
        <v>0</v>
      </c>
      <c r="AX284" s="5">
        <f>data_origin!U3287</f>
        <v>0</v>
      </c>
      <c r="AY284" s="5">
        <f>data_origin!V3287</f>
        <v>0</v>
      </c>
      <c r="AZ284" s="5">
        <f>data_origin!W3287</f>
        <v>0</v>
      </c>
      <c r="BA284" s="5">
        <f>data_origin!X3287</f>
        <v>0</v>
      </c>
      <c r="BB284" s="5">
        <f>data_origin!Y3287</f>
        <v>0</v>
      </c>
      <c r="BC284" s="5">
        <f>data_origin!Z3287</f>
        <v>0</v>
      </c>
      <c r="BD284" s="5">
        <f>data_origin!AA3287</f>
        <v>0</v>
      </c>
      <c r="BE284" s="9">
        <f t="shared" si="36"/>
        <v>0</v>
      </c>
    </row>
    <row r="285" spans="4:57" x14ac:dyDescent="0.25">
      <c r="D285" t="s">
        <v>88</v>
      </c>
      <c r="E285" s="38">
        <f t="shared" si="39"/>
        <v>0</v>
      </c>
      <c r="F285" s="38">
        <f t="shared" si="39"/>
        <v>0</v>
      </c>
      <c r="G285" s="38">
        <f t="shared" si="39"/>
        <v>4.7032573301538809</v>
      </c>
      <c r="H285" s="38">
        <f t="shared" si="39"/>
        <v>0.46021767477583703</v>
      </c>
      <c r="I285" s="38">
        <f t="shared" si="39"/>
        <v>8.1425100621450497</v>
      </c>
      <c r="J285" s="38">
        <f t="shared" si="37"/>
        <v>0</v>
      </c>
      <c r="K285" s="38">
        <f t="shared" si="37"/>
        <v>0</v>
      </c>
      <c r="L285" s="38">
        <f t="shared" si="37"/>
        <v>0</v>
      </c>
      <c r="M285" s="38">
        <f t="shared" si="37"/>
        <v>13.286241247231262</v>
      </c>
      <c r="S285" t="s">
        <v>88</v>
      </c>
      <c r="T285" s="5">
        <f>data_origin!T327</f>
        <v>0</v>
      </c>
      <c r="U285" s="5">
        <f>data_origin!U327</f>
        <v>0</v>
      </c>
      <c r="V285" s="5">
        <f>data_origin!V327</f>
        <v>4.6666666666666661</v>
      </c>
      <c r="W285" s="5">
        <f>data_origin!W327</f>
        <v>0.45454545454545453</v>
      </c>
      <c r="X285" s="5">
        <f>data_origin!X327</f>
        <v>8</v>
      </c>
      <c r="Y285" s="5">
        <f>data_origin!Y327</f>
        <v>0</v>
      </c>
      <c r="Z285" s="5">
        <f>data_origin!Z327</f>
        <v>0</v>
      </c>
      <c r="AA285" s="5">
        <f>data_origin!AA327</f>
        <v>0</v>
      </c>
      <c r="AB285" s="5">
        <f t="shared" si="34"/>
        <v>13.121212121212121</v>
      </c>
      <c r="AH285" t="s">
        <v>88</v>
      </c>
      <c r="AI285" s="5">
        <f>data_origin!T2574</f>
        <v>0</v>
      </c>
      <c r="AJ285" s="5">
        <f>data_origin!U2574</f>
        <v>0</v>
      </c>
      <c r="AK285" s="5">
        <f>data_origin!V2574</f>
        <v>0</v>
      </c>
      <c r="AL285" s="5">
        <f>data_origin!W2574</f>
        <v>0</v>
      </c>
      <c r="AM285" s="5">
        <f>data_origin!X2574</f>
        <v>0</v>
      </c>
      <c r="AN285" s="5">
        <f>data_origin!Y2574</f>
        <v>0</v>
      </c>
      <c r="AO285" s="5">
        <f>data_origin!Z2574</f>
        <v>0</v>
      </c>
      <c r="AP285" s="5">
        <f>data_origin!AA2574</f>
        <v>0</v>
      </c>
      <c r="AQ285" s="9">
        <f t="shared" si="35"/>
        <v>0</v>
      </c>
      <c r="AV285" t="s">
        <v>88</v>
      </c>
      <c r="AW285" s="5">
        <f>data_origin!T3288</f>
        <v>0</v>
      </c>
      <c r="AX285" s="5">
        <f>data_origin!U3288</f>
        <v>0</v>
      </c>
      <c r="AY285" s="5">
        <f>data_origin!V3288</f>
        <v>0</v>
      </c>
      <c r="AZ285" s="5">
        <f>data_origin!W3288</f>
        <v>0</v>
      </c>
      <c r="BA285" s="5">
        <f>data_origin!X3288</f>
        <v>0</v>
      </c>
      <c r="BB285" s="5">
        <f>data_origin!Y3288</f>
        <v>0</v>
      </c>
      <c r="BC285" s="5">
        <f>data_origin!Z3288</f>
        <v>0</v>
      </c>
      <c r="BD285" s="5">
        <f>data_origin!AA3288</f>
        <v>0</v>
      </c>
      <c r="BE285" s="9">
        <f t="shared" si="36"/>
        <v>0</v>
      </c>
    </row>
    <row r="286" spans="4:57" x14ac:dyDescent="0.25">
      <c r="D286" t="s">
        <v>89</v>
      </c>
      <c r="E286" s="38">
        <f t="shared" si="39"/>
        <v>0</v>
      </c>
      <c r="F286" s="38">
        <f t="shared" si="39"/>
        <v>0</v>
      </c>
      <c r="G286" s="38">
        <f t="shared" si="39"/>
        <v>0</v>
      </c>
      <c r="H286" s="38">
        <f t="shared" si="39"/>
        <v>0.46021767477583703</v>
      </c>
      <c r="I286" s="38">
        <f t="shared" si="39"/>
        <v>0</v>
      </c>
      <c r="J286" s="38">
        <f t="shared" si="37"/>
        <v>0</v>
      </c>
      <c r="K286" s="38">
        <f t="shared" si="37"/>
        <v>0</v>
      </c>
      <c r="L286" s="38">
        <f t="shared" si="37"/>
        <v>0</v>
      </c>
      <c r="M286" s="38">
        <f t="shared" si="37"/>
        <v>0.46026239886482428</v>
      </c>
      <c r="S286" t="s">
        <v>89</v>
      </c>
      <c r="T286" s="5">
        <f>data_origin!T328</f>
        <v>0</v>
      </c>
      <c r="U286" s="5">
        <f>data_origin!U328</f>
        <v>0</v>
      </c>
      <c r="V286" s="5">
        <f>data_origin!V328</f>
        <v>0</v>
      </c>
      <c r="W286" s="5">
        <f>data_origin!W328</f>
        <v>0.45454545454545453</v>
      </c>
      <c r="X286" s="5">
        <f>data_origin!X328</f>
        <v>0</v>
      </c>
      <c r="Y286" s="5">
        <f>data_origin!Y328</f>
        <v>0</v>
      </c>
      <c r="Z286" s="5">
        <f>data_origin!Z328</f>
        <v>0</v>
      </c>
      <c r="AA286" s="5">
        <f>data_origin!AA328</f>
        <v>0</v>
      </c>
      <c r="AB286" s="5">
        <f t="shared" si="34"/>
        <v>0.45454545454545453</v>
      </c>
      <c r="AH286" t="s">
        <v>89</v>
      </c>
      <c r="AI286" s="5">
        <f>data_origin!T2575</f>
        <v>0</v>
      </c>
      <c r="AJ286" s="5">
        <f>data_origin!U2575</f>
        <v>0</v>
      </c>
      <c r="AK286" s="5">
        <f>data_origin!V2575</f>
        <v>0</v>
      </c>
      <c r="AL286" s="5">
        <f>data_origin!W2575</f>
        <v>0</v>
      </c>
      <c r="AM286" s="5">
        <f>data_origin!X2575</f>
        <v>0</v>
      </c>
      <c r="AN286" s="5">
        <f>data_origin!Y2575</f>
        <v>0</v>
      </c>
      <c r="AO286" s="5">
        <f>data_origin!Z2575</f>
        <v>0</v>
      </c>
      <c r="AP286" s="5">
        <f>data_origin!AA2575</f>
        <v>0</v>
      </c>
      <c r="AQ286" s="9">
        <f t="shared" si="35"/>
        <v>0</v>
      </c>
      <c r="AV286" t="s">
        <v>89</v>
      </c>
      <c r="AW286" s="5">
        <f>data_origin!T3289</f>
        <v>0</v>
      </c>
      <c r="AX286" s="5">
        <f>data_origin!U3289</f>
        <v>0</v>
      </c>
      <c r="AY286" s="5">
        <f>data_origin!V3289</f>
        <v>0</v>
      </c>
      <c r="AZ286" s="5">
        <f>data_origin!W3289</f>
        <v>0</v>
      </c>
      <c r="BA286" s="5">
        <f>data_origin!X3289</f>
        <v>0</v>
      </c>
      <c r="BB286" s="5">
        <f>data_origin!Y3289</f>
        <v>0</v>
      </c>
      <c r="BC286" s="5">
        <f>data_origin!Z3289</f>
        <v>0</v>
      </c>
      <c r="BD286" s="5">
        <f>data_origin!AA3289</f>
        <v>0</v>
      </c>
      <c r="BE286" s="9">
        <f t="shared" si="36"/>
        <v>0</v>
      </c>
    </row>
    <row r="287" spans="4:57" x14ac:dyDescent="0.25">
      <c r="D287" t="s">
        <v>90</v>
      </c>
      <c r="E287" s="38">
        <f t="shared" si="39"/>
        <v>0</v>
      </c>
      <c r="F287" s="38">
        <f t="shared" si="39"/>
        <v>0</v>
      </c>
      <c r="G287" s="38">
        <f t="shared" si="39"/>
        <v>0</v>
      </c>
      <c r="H287" s="38">
        <f t="shared" si="39"/>
        <v>0.46021767477583703</v>
      </c>
      <c r="I287" s="38">
        <f t="shared" si="39"/>
        <v>0</v>
      </c>
      <c r="J287" s="38">
        <f t="shared" si="37"/>
        <v>0</v>
      </c>
      <c r="K287" s="38">
        <f t="shared" si="37"/>
        <v>0</v>
      </c>
      <c r="L287" s="38">
        <f t="shared" si="37"/>
        <v>0</v>
      </c>
      <c r="M287" s="38">
        <f t="shared" si="37"/>
        <v>0.46026239886482428</v>
      </c>
      <c r="S287" t="s">
        <v>90</v>
      </c>
      <c r="T287" s="5">
        <f>data_origin!T329</f>
        <v>0</v>
      </c>
      <c r="U287" s="5">
        <f>data_origin!U329</f>
        <v>0</v>
      </c>
      <c r="V287" s="5">
        <f>data_origin!V329</f>
        <v>0</v>
      </c>
      <c r="W287" s="5">
        <f>data_origin!W329</f>
        <v>0.45454545454545453</v>
      </c>
      <c r="X287" s="5">
        <f>data_origin!X329</f>
        <v>0</v>
      </c>
      <c r="Y287" s="5">
        <f>data_origin!Y329</f>
        <v>0</v>
      </c>
      <c r="Z287" s="5">
        <f>data_origin!Z329</f>
        <v>0</v>
      </c>
      <c r="AA287" s="5">
        <f>data_origin!AA329</f>
        <v>0</v>
      </c>
      <c r="AB287" s="5">
        <f t="shared" si="34"/>
        <v>0.45454545454545453</v>
      </c>
      <c r="AH287" t="s">
        <v>90</v>
      </c>
      <c r="AI287" s="5">
        <f>data_origin!T2576</f>
        <v>0</v>
      </c>
      <c r="AJ287" s="5">
        <f>data_origin!U2576</f>
        <v>0</v>
      </c>
      <c r="AK287" s="5">
        <f>data_origin!V2576</f>
        <v>0</v>
      </c>
      <c r="AL287" s="5">
        <f>data_origin!W2576</f>
        <v>0</v>
      </c>
      <c r="AM287" s="5">
        <f>data_origin!X2576</f>
        <v>0</v>
      </c>
      <c r="AN287" s="5">
        <f>data_origin!Y2576</f>
        <v>0</v>
      </c>
      <c r="AO287" s="5">
        <f>data_origin!Z2576</f>
        <v>0</v>
      </c>
      <c r="AP287" s="5">
        <f>data_origin!AA2576</f>
        <v>0</v>
      </c>
      <c r="AQ287" s="9">
        <f t="shared" si="35"/>
        <v>0</v>
      </c>
      <c r="AV287" t="s">
        <v>90</v>
      </c>
      <c r="AW287" s="5">
        <f>data_origin!T3290</f>
        <v>0</v>
      </c>
      <c r="AX287" s="5">
        <f>data_origin!U3290</f>
        <v>0</v>
      </c>
      <c r="AY287" s="5">
        <f>data_origin!V3290</f>
        <v>0</v>
      </c>
      <c r="AZ287" s="5">
        <f>data_origin!W3290</f>
        <v>0</v>
      </c>
      <c r="BA287" s="5">
        <f>data_origin!X3290</f>
        <v>0</v>
      </c>
      <c r="BB287" s="5">
        <f>data_origin!Y3290</f>
        <v>0</v>
      </c>
      <c r="BC287" s="5">
        <f>data_origin!Z3290</f>
        <v>0</v>
      </c>
      <c r="BD287" s="5">
        <f>data_origin!AA3290</f>
        <v>0</v>
      </c>
      <c r="BE287" s="9">
        <f t="shared" si="36"/>
        <v>0</v>
      </c>
    </row>
    <row r="288" spans="4:57" x14ac:dyDescent="0.25">
      <c r="D288" t="s">
        <v>91</v>
      </c>
      <c r="E288" s="38">
        <f t="shared" si="39"/>
        <v>0</v>
      </c>
      <c r="F288" s="38">
        <f t="shared" si="39"/>
        <v>0</v>
      </c>
      <c r="G288" s="38">
        <f t="shared" si="39"/>
        <v>0</v>
      </c>
      <c r="H288" s="38">
        <f t="shared" si="39"/>
        <v>0.46021767477583703</v>
      </c>
      <c r="I288" s="38">
        <f t="shared" si="39"/>
        <v>0</v>
      </c>
      <c r="J288" s="38">
        <f t="shared" si="37"/>
        <v>0</v>
      </c>
      <c r="K288" s="38">
        <f t="shared" si="37"/>
        <v>0</v>
      </c>
      <c r="L288" s="38">
        <f t="shared" si="37"/>
        <v>0</v>
      </c>
      <c r="M288" s="38">
        <f t="shared" si="37"/>
        <v>0.46026239886482428</v>
      </c>
      <c r="S288" t="s">
        <v>91</v>
      </c>
      <c r="T288" s="5">
        <f>data_origin!T330</f>
        <v>0</v>
      </c>
      <c r="U288" s="5">
        <f>data_origin!U330</f>
        <v>0</v>
      </c>
      <c r="V288" s="5">
        <f>data_origin!V330</f>
        <v>0</v>
      </c>
      <c r="W288" s="5">
        <f>data_origin!W330</f>
        <v>0.45454545454545453</v>
      </c>
      <c r="X288" s="5">
        <f>data_origin!X330</f>
        <v>0</v>
      </c>
      <c r="Y288" s="5">
        <f>data_origin!Y330</f>
        <v>0</v>
      </c>
      <c r="Z288" s="5">
        <f>data_origin!Z330</f>
        <v>0</v>
      </c>
      <c r="AA288" s="5">
        <f>data_origin!AA330</f>
        <v>0</v>
      </c>
      <c r="AB288" s="5">
        <f t="shared" ref="AB288:AB351" si="40">SUM(T288:AA288)</f>
        <v>0.45454545454545453</v>
      </c>
      <c r="AH288" t="s">
        <v>91</v>
      </c>
      <c r="AI288" s="5">
        <f>data_origin!T2577</f>
        <v>0</v>
      </c>
      <c r="AJ288" s="5">
        <f>data_origin!U2577</f>
        <v>0</v>
      </c>
      <c r="AK288" s="5">
        <f>data_origin!V2577</f>
        <v>0</v>
      </c>
      <c r="AL288" s="5">
        <f>data_origin!W2577</f>
        <v>0</v>
      </c>
      <c r="AM288" s="5">
        <f>data_origin!X2577</f>
        <v>0</v>
      </c>
      <c r="AN288" s="5">
        <f>data_origin!Y2577</f>
        <v>0</v>
      </c>
      <c r="AO288" s="5">
        <f>data_origin!Z2577</f>
        <v>0</v>
      </c>
      <c r="AP288" s="5">
        <f>data_origin!AA2577</f>
        <v>0</v>
      </c>
      <c r="AQ288" s="9">
        <f t="shared" si="35"/>
        <v>0</v>
      </c>
      <c r="AV288" t="s">
        <v>91</v>
      </c>
      <c r="AW288" s="5">
        <f>data_origin!T3291</f>
        <v>0</v>
      </c>
      <c r="AX288" s="5">
        <f>data_origin!U3291</f>
        <v>0</v>
      </c>
      <c r="AY288" s="5">
        <f>data_origin!V3291</f>
        <v>0</v>
      </c>
      <c r="AZ288" s="5">
        <f>data_origin!W3291</f>
        <v>0</v>
      </c>
      <c r="BA288" s="5">
        <f>data_origin!X3291</f>
        <v>0</v>
      </c>
      <c r="BB288" s="5">
        <f>data_origin!Y3291</f>
        <v>0</v>
      </c>
      <c r="BC288" s="5">
        <f>data_origin!Z3291</f>
        <v>0</v>
      </c>
      <c r="BD288" s="5">
        <f>data_origin!AA3291</f>
        <v>0</v>
      </c>
      <c r="BE288" s="9">
        <f t="shared" si="36"/>
        <v>0</v>
      </c>
    </row>
    <row r="289" spans="1:58" x14ac:dyDescent="0.25">
      <c r="D289" t="s">
        <v>92</v>
      </c>
      <c r="E289" s="38">
        <f t="shared" si="39"/>
        <v>0</v>
      </c>
      <c r="F289" s="38">
        <f t="shared" si="39"/>
        <v>0</v>
      </c>
      <c r="G289" s="38">
        <f t="shared" si="39"/>
        <v>0</v>
      </c>
      <c r="H289" s="38">
        <f t="shared" si="39"/>
        <v>0.46021767477583703</v>
      </c>
      <c r="I289" s="38">
        <f t="shared" si="39"/>
        <v>0</v>
      </c>
      <c r="J289" s="38">
        <f t="shared" si="37"/>
        <v>0</v>
      </c>
      <c r="K289" s="38">
        <f t="shared" si="37"/>
        <v>0</v>
      </c>
      <c r="L289" s="38">
        <f t="shared" si="37"/>
        <v>0</v>
      </c>
      <c r="M289" s="38">
        <f t="shared" si="37"/>
        <v>0.46026239886482428</v>
      </c>
      <c r="S289" t="s">
        <v>92</v>
      </c>
      <c r="T289" s="5">
        <f>data_origin!T331</f>
        <v>0</v>
      </c>
      <c r="U289" s="5">
        <f>data_origin!U331</f>
        <v>0</v>
      </c>
      <c r="V289" s="5">
        <f>data_origin!V331</f>
        <v>0</v>
      </c>
      <c r="W289" s="5">
        <f>data_origin!W331</f>
        <v>0.45454545454545453</v>
      </c>
      <c r="X289" s="5">
        <f>data_origin!X331</f>
        <v>0</v>
      </c>
      <c r="Y289" s="5">
        <f>data_origin!Y331</f>
        <v>0</v>
      </c>
      <c r="Z289" s="5">
        <f>data_origin!Z331</f>
        <v>0</v>
      </c>
      <c r="AA289" s="5">
        <f>data_origin!AA331</f>
        <v>0</v>
      </c>
      <c r="AB289" s="5">
        <f t="shared" si="40"/>
        <v>0.45454545454545453</v>
      </c>
      <c r="AH289" t="s">
        <v>92</v>
      </c>
      <c r="AI289" s="5">
        <f>data_origin!T2578</f>
        <v>0</v>
      </c>
      <c r="AJ289" s="5">
        <f>data_origin!U2578</f>
        <v>0</v>
      </c>
      <c r="AK289" s="5">
        <f>data_origin!V2578</f>
        <v>0</v>
      </c>
      <c r="AL289" s="5">
        <f>data_origin!W2578</f>
        <v>0</v>
      </c>
      <c r="AM289" s="5">
        <f>data_origin!X2578</f>
        <v>0</v>
      </c>
      <c r="AN289" s="5">
        <f>data_origin!Y2578</f>
        <v>0</v>
      </c>
      <c r="AO289" s="5">
        <f>data_origin!Z2578</f>
        <v>0</v>
      </c>
      <c r="AP289" s="5">
        <f>data_origin!AA2578</f>
        <v>0</v>
      </c>
      <c r="AQ289" s="9">
        <f t="shared" si="35"/>
        <v>0</v>
      </c>
      <c r="AV289" t="s">
        <v>92</v>
      </c>
      <c r="AW289" s="5">
        <f>data_origin!T3292</f>
        <v>0</v>
      </c>
      <c r="AX289" s="5">
        <f>data_origin!U3292</f>
        <v>0</v>
      </c>
      <c r="AY289" s="5">
        <f>data_origin!V3292</f>
        <v>0</v>
      </c>
      <c r="AZ289" s="5">
        <f>data_origin!W3292</f>
        <v>0</v>
      </c>
      <c r="BA289" s="5">
        <f>data_origin!X3292</f>
        <v>0</v>
      </c>
      <c r="BB289" s="5">
        <f>data_origin!Y3292</f>
        <v>0</v>
      </c>
      <c r="BC289" s="5">
        <f>data_origin!Z3292</f>
        <v>0</v>
      </c>
      <c r="BD289" s="5">
        <f>data_origin!AA3292</f>
        <v>0</v>
      </c>
      <c r="BE289" s="9">
        <f t="shared" si="36"/>
        <v>0</v>
      </c>
    </row>
    <row r="290" spans="1:58" x14ac:dyDescent="0.25">
      <c r="D290" t="s">
        <v>93</v>
      </c>
      <c r="E290" s="38">
        <f t="shared" si="39"/>
        <v>0</v>
      </c>
      <c r="F290" s="38">
        <f t="shared" si="39"/>
        <v>0</v>
      </c>
      <c r="G290" s="38">
        <f t="shared" si="39"/>
        <v>0</v>
      </c>
      <c r="H290" s="38">
        <f t="shared" si="39"/>
        <v>0.46021767477583703</v>
      </c>
      <c r="I290" s="38">
        <f t="shared" si="39"/>
        <v>0</v>
      </c>
      <c r="J290" s="38">
        <f t="shared" si="37"/>
        <v>0</v>
      </c>
      <c r="K290" s="38">
        <f t="shared" si="37"/>
        <v>0</v>
      </c>
      <c r="L290" s="38">
        <f t="shared" si="37"/>
        <v>0</v>
      </c>
      <c r="M290" s="38">
        <f t="shared" si="37"/>
        <v>0.46026239886482428</v>
      </c>
      <c r="S290" t="s">
        <v>93</v>
      </c>
      <c r="T290" s="5">
        <f>data_origin!T332</f>
        <v>0</v>
      </c>
      <c r="U290" s="5">
        <f>data_origin!U332</f>
        <v>0</v>
      </c>
      <c r="V290" s="5">
        <f>data_origin!V332</f>
        <v>0</v>
      </c>
      <c r="W290" s="5">
        <f>data_origin!W332</f>
        <v>0.45454545454545453</v>
      </c>
      <c r="X290" s="5">
        <f>data_origin!X332</f>
        <v>0</v>
      </c>
      <c r="Y290" s="5">
        <f>data_origin!Y332</f>
        <v>0</v>
      </c>
      <c r="Z290" s="5">
        <f>data_origin!Z332</f>
        <v>0</v>
      </c>
      <c r="AA290" s="5">
        <f>data_origin!AA332</f>
        <v>0</v>
      </c>
      <c r="AB290" s="5">
        <f t="shared" si="40"/>
        <v>0.45454545454545453</v>
      </c>
      <c r="AH290" t="s">
        <v>93</v>
      </c>
      <c r="AI290" s="5">
        <f>data_origin!T2579</f>
        <v>0</v>
      </c>
      <c r="AJ290" s="5">
        <f>data_origin!U2579</f>
        <v>0</v>
      </c>
      <c r="AK290" s="5">
        <f>data_origin!V2579</f>
        <v>0</v>
      </c>
      <c r="AL290" s="5">
        <f>data_origin!W2579</f>
        <v>0</v>
      </c>
      <c r="AM290" s="5">
        <f>data_origin!X2579</f>
        <v>0</v>
      </c>
      <c r="AN290" s="5">
        <f>data_origin!Y2579</f>
        <v>0</v>
      </c>
      <c r="AO290" s="5">
        <f>data_origin!Z2579</f>
        <v>0</v>
      </c>
      <c r="AP290" s="5">
        <f>data_origin!AA2579</f>
        <v>0</v>
      </c>
      <c r="AQ290" s="9">
        <f t="shared" si="35"/>
        <v>0</v>
      </c>
      <c r="AV290" t="s">
        <v>93</v>
      </c>
      <c r="AW290" s="5">
        <f>data_origin!T3293</f>
        <v>0</v>
      </c>
      <c r="AX290" s="5">
        <f>data_origin!U3293</f>
        <v>0</v>
      </c>
      <c r="AY290" s="5">
        <f>data_origin!V3293</f>
        <v>0</v>
      </c>
      <c r="AZ290" s="5">
        <f>data_origin!W3293</f>
        <v>0</v>
      </c>
      <c r="BA290" s="5">
        <f>data_origin!X3293</f>
        <v>0</v>
      </c>
      <c r="BB290" s="5">
        <f>data_origin!Y3293</f>
        <v>0</v>
      </c>
      <c r="BC290" s="5">
        <f>data_origin!Z3293</f>
        <v>0</v>
      </c>
      <c r="BD290" s="5">
        <f>data_origin!AA3293</f>
        <v>0</v>
      </c>
      <c r="BE290" s="9">
        <f t="shared" si="36"/>
        <v>0</v>
      </c>
    </row>
    <row r="291" spans="1:58" x14ac:dyDescent="0.25">
      <c r="D291" t="s">
        <v>94</v>
      </c>
      <c r="E291" s="38">
        <f t="shared" si="39"/>
        <v>0</v>
      </c>
      <c r="F291" s="38">
        <f t="shared" si="39"/>
        <v>0</v>
      </c>
      <c r="G291" s="38">
        <f t="shared" si="39"/>
        <v>0</v>
      </c>
      <c r="H291" s="38">
        <f t="shared" si="39"/>
        <v>0.46021767477583703</v>
      </c>
      <c r="I291" s="38">
        <f t="shared" si="39"/>
        <v>0</v>
      </c>
      <c r="J291" s="38">
        <f t="shared" si="37"/>
        <v>0</v>
      </c>
      <c r="K291" s="38">
        <f t="shared" si="37"/>
        <v>0</v>
      </c>
      <c r="L291" s="38">
        <f t="shared" si="37"/>
        <v>0</v>
      </c>
      <c r="M291" s="38">
        <f t="shared" si="37"/>
        <v>0.46026239886482428</v>
      </c>
      <c r="S291" t="s">
        <v>94</v>
      </c>
      <c r="T291" s="5">
        <f>data_origin!T333</f>
        <v>0</v>
      </c>
      <c r="U291" s="5">
        <f>data_origin!U333</f>
        <v>0</v>
      </c>
      <c r="V291" s="5">
        <f>data_origin!V333</f>
        <v>0</v>
      </c>
      <c r="W291" s="5">
        <f>data_origin!W333</f>
        <v>0.45454545454545453</v>
      </c>
      <c r="X291" s="5">
        <f>data_origin!X333</f>
        <v>0</v>
      </c>
      <c r="Y291" s="5">
        <f>data_origin!Y333</f>
        <v>0</v>
      </c>
      <c r="Z291" s="5">
        <f>data_origin!Z333</f>
        <v>0</v>
      </c>
      <c r="AA291" s="5">
        <f>data_origin!AA333</f>
        <v>0</v>
      </c>
      <c r="AB291" s="5">
        <f t="shared" si="40"/>
        <v>0.45454545454545453</v>
      </c>
      <c r="AH291" t="s">
        <v>94</v>
      </c>
      <c r="AI291" s="5">
        <f>data_origin!T2580</f>
        <v>0</v>
      </c>
      <c r="AJ291" s="5">
        <f>data_origin!U2580</f>
        <v>0</v>
      </c>
      <c r="AK291" s="5">
        <f>data_origin!V2580</f>
        <v>0</v>
      </c>
      <c r="AL291" s="5">
        <f>data_origin!W2580</f>
        <v>0</v>
      </c>
      <c r="AM291" s="5">
        <f>data_origin!X2580</f>
        <v>0</v>
      </c>
      <c r="AN291" s="5">
        <f>data_origin!Y2580</f>
        <v>0</v>
      </c>
      <c r="AO291" s="5">
        <f>data_origin!Z2580</f>
        <v>0</v>
      </c>
      <c r="AP291" s="5">
        <f>data_origin!AA2580</f>
        <v>0</v>
      </c>
      <c r="AQ291" s="9">
        <f t="shared" si="35"/>
        <v>0</v>
      </c>
      <c r="AV291" t="s">
        <v>94</v>
      </c>
      <c r="AW291" s="5">
        <f>data_origin!T3294</f>
        <v>0</v>
      </c>
      <c r="AX291" s="5">
        <f>data_origin!U3294</f>
        <v>0</v>
      </c>
      <c r="AY291" s="5">
        <f>data_origin!V3294</f>
        <v>0</v>
      </c>
      <c r="AZ291" s="5">
        <f>data_origin!W3294</f>
        <v>0</v>
      </c>
      <c r="BA291" s="5">
        <f>data_origin!X3294</f>
        <v>0</v>
      </c>
      <c r="BB291" s="5">
        <f>data_origin!Y3294</f>
        <v>0</v>
      </c>
      <c r="BC291" s="5">
        <f>data_origin!Z3294</f>
        <v>0</v>
      </c>
      <c r="BD291" s="5">
        <f>data_origin!AA3294</f>
        <v>0</v>
      </c>
      <c r="BE291" s="9">
        <f t="shared" si="36"/>
        <v>0</v>
      </c>
    </row>
    <row r="292" spans="1:58" x14ac:dyDescent="0.25">
      <c r="D292" t="s">
        <v>95</v>
      </c>
      <c r="E292" s="38">
        <f t="shared" si="39"/>
        <v>0</v>
      </c>
      <c r="F292" s="38">
        <f t="shared" si="39"/>
        <v>0</v>
      </c>
      <c r="G292" s="38">
        <f t="shared" si="39"/>
        <v>0</v>
      </c>
      <c r="H292" s="38">
        <f t="shared" si="39"/>
        <v>0.46021767477583703</v>
      </c>
      <c r="I292" s="38">
        <f t="shared" si="39"/>
        <v>0</v>
      </c>
      <c r="J292" s="38">
        <f t="shared" si="37"/>
        <v>0</v>
      </c>
      <c r="K292" s="38">
        <f t="shared" si="37"/>
        <v>0</v>
      </c>
      <c r="L292" s="38">
        <f t="shared" si="37"/>
        <v>0</v>
      </c>
      <c r="M292" s="38">
        <f t="shared" si="37"/>
        <v>0.46026239886482428</v>
      </c>
      <c r="S292" t="s">
        <v>95</v>
      </c>
      <c r="T292" s="5">
        <f>data_origin!T334</f>
        <v>0</v>
      </c>
      <c r="U292" s="5">
        <f>data_origin!U334</f>
        <v>0</v>
      </c>
      <c r="V292" s="5">
        <f>data_origin!V334</f>
        <v>0</v>
      </c>
      <c r="W292" s="5">
        <f>data_origin!W334</f>
        <v>0.45454545454545453</v>
      </c>
      <c r="X292" s="5">
        <f>data_origin!X334</f>
        <v>0</v>
      </c>
      <c r="Y292" s="5">
        <f>data_origin!Y334</f>
        <v>0</v>
      </c>
      <c r="Z292" s="5">
        <f>data_origin!Z334</f>
        <v>0</v>
      </c>
      <c r="AA292" s="5">
        <f>data_origin!AA334</f>
        <v>0</v>
      </c>
      <c r="AB292" s="5">
        <f t="shared" si="40"/>
        <v>0.45454545454545453</v>
      </c>
      <c r="AH292" t="s">
        <v>95</v>
      </c>
      <c r="AI292" s="5">
        <f>data_origin!T2581</f>
        <v>0</v>
      </c>
      <c r="AJ292" s="5">
        <f>data_origin!U2581</f>
        <v>0</v>
      </c>
      <c r="AK292" s="5">
        <f>data_origin!V2581</f>
        <v>0</v>
      </c>
      <c r="AL292" s="5">
        <f>data_origin!W2581</f>
        <v>0</v>
      </c>
      <c r="AM292" s="5">
        <f>data_origin!X2581</f>
        <v>0</v>
      </c>
      <c r="AN292" s="5">
        <f>data_origin!Y2581</f>
        <v>0</v>
      </c>
      <c r="AO292" s="5">
        <f>data_origin!Z2581</f>
        <v>0</v>
      </c>
      <c r="AP292" s="5">
        <f>data_origin!AA2581</f>
        <v>0</v>
      </c>
      <c r="AQ292" s="9">
        <f t="shared" ref="AQ292:AQ355" si="41">SUM(AI292:AP292)</f>
        <v>0</v>
      </c>
      <c r="AV292" t="s">
        <v>95</v>
      </c>
      <c r="AW292" s="5">
        <f>data_origin!T3295</f>
        <v>0</v>
      </c>
      <c r="AX292" s="5">
        <f>data_origin!U3295</f>
        <v>0</v>
      </c>
      <c r="AY292" s="5">
        <f>data_origin!V3295</f>
        <v>0</v>
      </c>
      <c r="AZ292" s="5">
        <f>data_origin!W3295</f>
        <v>0</v>
      </c>
      <c r="BA292" s="5">
        <f>data_origin!X3295</f>
        <v>0</v>
      </c>
      <c r="BB292" s="5">
        <f>data_origin!Y3295</f>
        <v>0</v>
      </c>
      <c r="BC292" s="5">
        <f>data_origin!Z3295</f>
        <v>0</v>
      </c>
      <c r="BD292" s="5">
        <f>data_origin!AA3295</f>
        <v>0</v>
      </c>
      <c r="BE292" s="9">
        <f t="shared" ref="BE292:BE355" si="42">SUM(AW292:BD292)</f>
        <v>0</v>
      </c>
    </row>
    <row r="293" spans="1:58" x14ac:dyDescent="0.25">
      <c r="D293" t="s">
        <v>96</v>
      </c>
      <c r="E293" s="38">
        <f t="shared" si="39"/>
        <v>0</v>
      </c>
      <c r="F293" s="38">
        <f t="shared" si="39"/>
        <v>0</v>
      </c>
      <c r="G293" s="38">
        <f t="shared" si="39"/>
        <v>0</v>
      </c>
      <c r="H293" s="38">
        <f t="shared" si="39"/>
        <v>0.46021767477583703</v>
      </c>
      <c r="I293" s="38">
        <f t="shared" si="39"/>
        <v>0</v>
      </c>
      <c r="J293" s="38">
        <f t="shared" si="37"/>
        <v>0</v>
      </c>
      <c r="K293" s="38">
        <f t="shared" si="37"/>
        <v>0</v>
      </c>
      <c r="L293" s="38">
        <f t="shared" si="37"/>
        <v>0</v>
      </c>
      <c r="M293" s="38">
        <f t="shared" si="37"/>
        <v>0.46026239886482428</v>
      </c>
      <c r="S293" t="s">
        <v>96</v>
      </c>
      <c r="T293" s="5">
        <f>data_origin!T335</f>
        <v>0</v>
      </c>
      <c r="U293" s="5">
        <f>data_origin!U335</f>
        <v>0</v>
      </c>
      <c r="V293" s="5">
        <f>data_origin!V335</f>
        <v>0</v>
      </c>
      <c r="W293" s="5">
        <f>data_origin!W335</f>
        <v>0.45454545454545453</v>
      </c>
      <c r="X293" s="5">
        <f>data_origin!X335</f>
        <v>0</v>
      </c>
      <c r="Y293" s="5">
        <f>data_origin!Y335</f>
        <v>0</v>
      </c>
      <c r="Z293" s="5">
        <f>data_origin!Z335</f>
        <v>0</v>
      </c>
      <c r="AA293" s="5">
        <f>data_origin!AA335</f>
        <v>0</v>
      </c>
      <c r="AB293" s="5">
        <f t="shared" si="40"/>
        <v>0.45454545454545453</v>
      </c>
      <c r="AH293" t="s">
        <v>96</v>
      </c>
      <c r="AI293" s="5">
        <f>data_origin!T2582</f>
        <v>0</v>
      </c>
      <c r="AJ293" s="5">
        <f>data_origin!U2582</f>
        <v>0</v>
      </c>
      <c r="AK293" s="5">
        <f>data_origin!V2582</f>
        <v>0</v>
      </c>
      <c r="AL293" s="5">
        <f>data_origin!W2582</f>
        <v>0</v>
      </c>
      <c r="AM293" s="5">
        <f>data_origin!X2582</f>
        <v>0</v>
      </c>
      <c r="AN293" s="5">
        <f>data_origin!Y2582</f>
        <v>0</v>
      </c>
      <c r="AO293" s="5">
        <f>data_origin!Z2582</f>
        <v>0</v>
      </c>
      <c r="AP293" s="5">
        <f>data_origin!AA2582</f>
        <v>0</v>
      </c>
      <c r="AQ293" s="9">
        <f t="shared" si="41"/>
        <v>0</v>
      </c>
      <c r="AV293" t="s">
        <v>96</v>
      </c>
      <c r="AW293" s="5">
        <f>data_origin!T3296</f>
        <v>0</v>
      </c>
      <c r="AX293" s="5">
        <f>data_origin!U3296</f>
        <v>0</v>
      </c>
      <c r="AY293" s="5">
        <f>data_origin!V3296</f>
        <v>0</v>
      </c>
      <c r="AZ293" s="5">
        <f>data_origin!W3296</f>
        <v>0</v>
      </c>
      <c r="BA293" s="5">
        <f>data_origin!X3296</f>
        <v>0</v>
      </c>
      <c r="BB293" s="5">
        <f>data_origin!Y3296</f>
        <v>0</v>
      </c>
      <c r="BC293" s="5">
        <f>data_origin!Z3296</f>
        <v>0</v>
      </c>
      <c r="BD293" s="5">
        <f>data_origin!AA3296</f>
        <v>0</v>
      </c>
      <c r="BE293" s="9">
        <f t="shared" si="42"/>
        <v>0</v>
      </c>
    </row>
    <row r="294" spans="1:58" x14ac:dyDescent="0.25">
      <c r="D294" t="s">
        <v>97</v>
      </c>
      <c r="E294" s="38">
        <f t="shared" si="39"/>
        <v>0</v>
      </c>
      <c r="F294" s="38">
        <f t="shared" si="39"/>
        <v>0</v>
      </c>
      <c r="G294" s="38">
        <f t="shared" si="39"/>
        <v>0</v>
      </c>
      <c r="H294" s="38">
        <f t="shared" si="39"/>
        <v>0.46021767477583703</v>
      </c>
      <c r="I294" s="38">
        <f t="shared" si="39"/>
        <v>0</v>
      </c>
      <c r="J294" s="38">
        <f t="shared" si="37"/>
        <v>0</v>
      </c>
      <c r="K294" s="38">
        <f t="shared" si="37"/>
        <v>0</v>
      </c>
      <c r="L294" s="38">
        <f t="shared" si="37"/>
        <v>0</v>
      </c>
      <c r="M294" s="38">
        <f t="shared" si="37"/>
        <v>0.46026239886482428</v>
      </c>
      <c r="S294" t="s">
        <v>97</v>
      </c>
      <c r="T294" s="5">
        <f>data_origin!T336</f>
        <v>0</v>
      </c>
      <c r="U294" s="5">
        <f>data_origin!U336</f>
        <v>0</v>
      </c>
      <c r="V294" s="5">
        <f>data_origin!V336</f>
        <v>0</v>
      </c>
      <c r="W294" s="5">
        <f>data_origin!W336</f>
        <v>0.45454545454545453</v>
      </c>
      <c r="X294" s="5">
        <f>data_origin!X336</f>
        <v>0</v>
      </c>
      <c r="Y294" s="5">
        <f>data_origin!Y336</f>
        <v>0</v>
      </c>
      <c r="Z294" s="5">
        <f>data_origin!Z336</f>
        <v>0</v>
      </c>
      <c r="AA294" s="5">
        <f>data_origin!AA336</f>
        <v>0</v>
      </c>
      <c r="AB294" s="5">
        <f t="shared" si="40"/>
        <v>0.45454545454545453</v>
      </c>
      <c r="AH294" t="s">
        <v>97</v>
      </c>
      <c r="AI294" s="5">
        <f>data_origin!T2583</f>
        <v>0</v>
      </c>
      <c r="AJ294" s="5">
        <f>data_origin!U2583</f>
        <v>0</v>
      </c>
      <c r="AK294" s="5">
        <f>data_origin!V2583</f>
        <v>0</v>
      </c>
      <c r="AL294" s="5">
        <f>data_origin!W2583</f>
        <v>0</v>
      </c>
      <c r="AM294" s="5">
        <f>data_origin!X2583</f>
        <v>0</v>
      </c>
      <c r="AN294" s="5">
        <f>data_origin!Y2583</f>
        <v>0</v>
      </c>
      <c r="AO294" s="5">
        <f>data_origin!Z2583</f>
        <v>0</v>
      </c>
      <c r="AP294" s="5">
        <f>data_origin!AA2583</f>
        <v>0</v>
      </c>
      <c r="AQ294" s="9">
        <f t="shared" si="41"/>
        <v>0</v>
      </c>
      <c r="AV294" t="s">
        <v>97</v>
      </c>
      <c r="AW294" s="5">
        <f>data_origin!T3297</f>
        <v>0</v>
      </c>
      <c r="AX294" s="5">
        <f>data_origin!U3297</f>
        <v>0</v>
      </c>
      <c r="AY294" s="5">
        <f>data_origin!V3297</f>
        <v>0</v>
      </c>
      <c r="AZ294" s="5">
        <f>data_origin!W3297</f>
        <v>0</v>
      </c>
      <c r="BA294" s="5">
        <f>data_origin!X3297</f>
        <v>0</v>
      </c>
      <c r="BB294" s="5">
        <f>data_origin!Y3297</f>
        <v>0</v>
      </c>
      <c r="BC294" s="5">
        <f>data_origin!Z3297</f>
        <v>0</v>
      </c>
      <c r="BD294" s="5">
        <f>data_origin!AA3297</f>
        <v>0</v>
      </c>
      <c r="BE294" s="9">
        <f t="shared" si="42"/>
        <v>0</v>
      </c>
    </row>
    <row r="295" spans="1:58" x14ac:dyDescent="0.25">
      <c r="D295" t="s">
        <v>98</v>
      </c>
      <c r="E295" s="38">
        <f t="shared" si="39"/>
        <v>0</v>
      </c>
      <c r="F295" s="38">
        <f t="shared" si="39"/>
        <v>0</v>
      </c>
      <c r="G295" s="38">
        <f t="shared" si="39"/>
        <v>0</v>
      </c>
      <c r="H295" s="38">
        <f t="shared" si="39"/>
        <v>0.46021767477583703</v>
      </c>
      <c r="I295" s="38">
        <f t="shared" si="39"/>
        <v>0</v>
      </c>
      <c r="J295" s="38">
        <f t="shared" si="37"/>
        <v>0</v>
      </c>
      <c r="K295" s="38">
        <f t="shared" si="37"/>
        <v>0</v>
      </c>
      <c r="L295" s="38">
        <f t="shared" si="37"/>
        <v>0</v>
      </c>
      <c r="M295" s="38">
        <f t="shared" si="37"/>
        <v>0.46026239886482428</v>
      </c>
      <c r="S295" t="s">
        <v>98</v>
      </c>
      <c r="T295" s="5">
        <f>data_origin!T337</f>
        <v>0</v>
      </c>
      <c r="U295" s="5">
        <f>data_origin!U337</f>
        <v>0</v>
      </c>
      <c r="V295" s="5">
        <f>data_origin!V337</f>
        <v>0</v>
      </c>
      <c r="W295" s="5">
        <f>data_origin!W337</f>
        <v>0.45454545454545453</v>
      </c>
      <c r="X295" s="5">
        <f>data_origin!X337</f>
        <v>0</v>
      </c>
      <c r="Y295" s="5">
        <f>data_origin!Y337</f>
        <v>0</v>
      </c>
      <c r="Z295" s="5">
        <f>data_origin!Z337</f>
        <v>0</v>
      </c>
      <c r="AA295" s="5">
        <f>data_origin!AA337</f>
        <v>0</v>
      </c>
      <c r="AB295" s="5">
        <f t="shared" si="40"/>
        <v>0.45454545454545453</v>
      </c>
      <c r="AH295" t="s">
        <v>98</v>
      </c>
      <c r="AI295" s="5">
        <f>data_origin!T2584</f>
        <v>0</v>
      </c>
      <c r="AJ295" s="5">
        <f>data_origin!U2584</f>
        <v>0</v>
      </c>
      <c r="AK295" s="5">
        <f>data_origin!V2584</f>
        <v>0</v>
      </c>
      <c r="AL295" s="5">
        <f>data_origin!W2584</f>
        <v>0</v>
      </c>
      <c r="AM295" s="5">
        <f>data_origin!X2584</f>
        <v>0</v>
      </c>
      <c r="AN295" s="5">
        <f>data_origin!Y2584</f>
        <v>0</v>
      </c>
      <c r="AO295" s="5">
        <f>data_origin!Z2584</f>
        <v>0</v>
      </c>
      <c r="AP295" s="5">
        <f>data_origin!AA2584</f>
        <v>0</v>
      </c>
      <c r="AQ295" s="9">
        <f t="shared" si="41"/>
        <v>0</v>
      </c>
      <c r="AV295" t="s">
        <v>98</v>
      </c>
      <c r="AW295" s="5">
        <f>data_origin!T3298</f>
        <v>0</v>
      </c>
      <c r="AX295" s="5">
        <f>data_origin!U3298</f>
        <v>0</v>
      </c>
      <c r="AY295" s="5">
        <f>data_origin!V3298</f>
        <v>0</v>
      </c>
      <c r="AZ295" s="5">
        <f>data_origin!W3298</f>
        <v>0</v>
      </c>
      <c r="BA295" s="5">
        <f>data_origin!X3298</f>
        <v>0</v>
      </c>
      <c r="BB295" s="5">
        <f>data_origin!Y3298</f>
        <v>0</v>
      </c>
      <c r="BC295" s="5">
        <f>data_origin!Z3298</f>
        <v>0</v>
      </c>
      <c r="BD295" s="5">
        <f>data_origin!AA3298</f>
        <v>0</v>
      </c>
      <c r="BE295" s="9">
        <f t="shared" si="42"/>
        <v>0</v>
      </c>
    </row>
    <row r="296" spans="1:58" x14ac:dyDescent="0.25">
      <c r="D296" t="s">
        <v>119</v>
      </c>
      <c r="E296" s="38">
        <f t="shared" si="39"/>
        <v>0</v>
      </c>
      <c r="F296" s="38">
        <f t="shared" si="39"/>
        <v>0</v>
      </c>
      <c r="G296" s="38">
        <f t="shared" si="39"/>
        <v>0</v>
      </c>
      <c r="H296" s="38">
        <f t="shared" si="39"/>
        <v>0.46021767477583703</v>
      </c>
      <c r="I296" s="38">
        <f t="shared" si="39"/>
        <v>0</v>
      </c>
      <c r="J296" s="38">
        <f t="shared" si="37"/>
        <v>0</v>
      </c>
      <c r="K296" s="38">
        <f t="shared" si="37"/>
        <v>0</v>
      </c>
      <c r="L296" s="38">
        <f t="shared" si="37"/>
        <v>0</v>
      </c>
      <c r="M296" s="38">
        <f t="shared" si="37"/>
        <v>0.46026239886482428</v>
      </c>
      <c r="S296" t="s">
        <v>119</v>
      </c>
      <c r="T296" s="5">
        <f>data_origin!T338</f>
        <v>0</v>
      </c>
      <c r="U296" s="5">
        <f>data_origin!U338</f>
        <v>0</v>
      </c>
      <c r="V296" s="5">
        <f>data_origin!V338</f>
        <v>0</v>
      </c>
      <c r="W296" s="5">
        <f>data_origin!W338</f>
        <v>0.45454545454545453</v>
      </c>
      <c r="X296" s="5">
        <f>data_origin!X338</f>
        <v>0</v>
      </c>
      <c r="Y296" s="5">
        <f>data_origin!Y338</f>
        <v>0</v>
      </c>
      <c r="Z296" s="5">
        <f>data_origin!Z338</f>
        <v>0</v>
      </c>
      <c r="AA296" s="5">
        <f>data_origin!AA338</f>
        <v>0</v>
      </c>
      <c r="AB296" s="5">
        <f t="shared" si="40"/>
        <v>0.45454545454545453</v>
      </c>
      <c r="AH296" t="s">
        <v>119</v>
      </c>
      <c r="AI296" s="5">
        <f>data_origin!T2585</f>
        <v>0</v>
      </c>
      <c r="AJ296" s="5">
        <f>data_origin!U2585</f>
        <v>0</v>
      </c>
      <c r="AK296" s="5">
        <f>data_origin!V2585</f>
        <v>0</v>
      </c>
      <c r="AL296" s="5">
        <f>data_origin!W2585</f>
        <v>0</v>
      </c>
      <c r="AM296" s="5">
        <f>data_origin!X2585</f>
        <v>0</v>
      </c>
      <c r="AN296" s="5">
        <f>data_origin!Y2585</f>
        <v>0</v>
      </c>
      <c r="AO296" s="5">
        <f>data_origin!Z2585</f>
        <v>0</v>
      </c>
      <c r="AP296" s="5">
        <f>data_origin!AA2585</f>
        <v>0</v>
      </c>
      <c r="AQ296" s="9">
        <f t="shared" si="41"/>
        <v>0</v>
      </c>
      <c r="AV296" t="s">
        <v>119</v>
      </c>
      <c r="AW296" s="5">
        <f>data_origin!T3299</f>
        <v>0</v>
      </c>
      <c r="AX296" s="5">
        <f>data_origin!U3299</f>
        <v>0</v>
      </c>
      <c r="AY296" s="5">
        <f>data_origin!V3299</f>
        <v>0</v>
      </c>
      <c r="AZ296" s="5">
        <f>data_origin!W3299</f>
        <v>0</v>
      </c>
      <c r="BA296" s="5">
        <f>data_origin!X3299</f>
        <v>0</v>
      </c>
      <c r="BB296" s="5">
        <f>data_origin!Y3299</f>
        <v>0</v>
      </c>
      <c r="BC296" s="5">
        <f>data_origin!Z3299</f>
        <v>0</v>
      </c>
      <c r="BD296" s="5">
        <f>data_origin!AA3299</f>
        <v>0</v>
      </c>
      <c r="BE296" s="9">
        <f t="shared" si="42"/>
        <v>0</v>
      </c>
    </row>
    <row r="297" spans="1:58" x14ac:dyDescent="0.25">
      <c r="D297" t="s">
        <v>99</v>
      </c>
      <c r="E297" s="38">
        <f t="shared" si="39"/>
        <v>0</v>
      </c>
      <c r="F297" s="38">
        <f t="shared" si="39"/>
        <v>0</v>
      </c>
      <c r="G297" s="38">
        <f t="shared" si="39"/>
        <v>0</v>
      </c>
      <c r="H297" s="38">
        <f t="shared" si="39"/>
        <v>0.46021767477583703</v>
      </c>
      <c r="I297" s="38">
        <f t="shared" si="39"/>
        <v>0</v>
      </c>
      <c r="J297" s="38">
        <f t="shared" si="37"/>
        <v>0</v>
      </c>
      <c r="K297" s="38">
        <f t="shared" si="37"/>
        <v>0</v>
      </c>
      <c r="L297" s="38">
        <f t="shared" si="37"/>
        <v>0</v>
      </c>
      <c r="M297" s="38">
        <f t="shared" si="37"/>
        <v>0.46026239886482428</v>
      </c>
      <c r="S297" t="s">
        <v>99</v>
      </c>
      <c r="T297" s="5">
        <f>data_origin!T339</f>
        <v>0</v>
      </c>
      <c r="U297" s="5">
        <f>data_origin!U339</f>
        <v>0</v>
      </c>
      <c r="V297" s="5">
        <f>data_origin!V339</f>
        <v>0</v>
      </c>
      <c r="W297" s="5">
        <f>data_origin!W339</f>
        <v>0.45454545454545453</v>
      </c>
      <c r="X297" s="5">
        <f>data_origin!X339</f>
        <v>0</v>
      </c>
      <c r="Y297" s="5">
        <f>data_origin!Y339</f>
        <v>0</v>
      </c>
      <c r="Z297" s="5">
        <f>data_origin!Z339</f>
        <v>0</v>
      </c>
      <c r="AA297" s="5">
        <f>data_origin!AA339</f>
        <v>0</v>
      </c>
      <c r="AB297" s="5">
        <f t="shared" si="40"/>
        <v>0.45454545454545453</v>
      </c>
      <c r="AH297" t="s">
        <v>99</v>
      </c>
      <c r="AI297" s="5">
        <f>data_origin!T2586</f>
        <v>0</v>
      </c>
      <c r="AJ297" s="5">
        <f>data_origin!U2586</f>
        <v>0</v>
      </c>
      <c r="AK297" s="5">
        <f>data_origin!V2586</f>
        <v>0</v>
      </c>
      <c r="AL297" s="5">
        <f>data_origin!W2586</f>
        <v>0</v>
      </c>
      <c r="AM297" s="5">
        <f>data_origin!X2586</f>
        <v>0</v>
      </c>
      <c r="AN297" s="5">
        <f>data_origin!Y2586</f>
        <v>0</v>
      </c>
      <c r="AO297" s="5">
        <f>data_origin!Z2586</f>
        <v>0</v>
      </c>
      <c r="AP297" s="5">
        <f>data_origin!AA2586</f>
        <v>0</v>
      </c>
      <c r="AQ297" s="9">
        <f t="shared" si="41"/>
        <v>0</v>
      </c>
      <c r="AV297" t="s">
        <v>99</v>
      </c>
      <c r="AW297" s="5">
        <f>data_origin!T3300</f>
        <v>0</v>
      </c>
      <c r="AX297" s="5">
        <f>data_origin!U3300</f>
        <v>0</v>
      </c>
      <c r="AY297" s="5">
        <f>data_origin!V3300</f>
        <v>0</v>
      </c>
      <c r="AZ297" s="5">
        <f>data_origin!W3300</f>
        <v>0</v>
      </c>
      <c r="BA297" s="5">
        <f>data_origin!X3300</f>
        <v>0</v>
      </c>
      <c r="BB297" s="5">
        <f>data_origin!Y3300</f>
        <v>0</v>
      </c>
      <c r="BC297" s="5">
        <f>data_origin!Z3300</f>
        <v>0</v>
      </c>
      <c r="BD297" s="5">
        <f>data_origin!AA3300</f>
        <v>0</v>
      </c>
      <c r="BE297" s="9">
        <f t="shared" si="42"/>
        <v>0</v>
      </c>
    </row>
    <row r="298" spans="1:58" x14ac:dyDescent="0.25">
      <c r="D298" t="s">
        <v>100</v>
      </c>
      <c r="E298" s="38">
        <f t="shared" si="39"/>
        <v>0</v>
      </c>
      <c r="F298" s="38">
        <f t="shared" si="39"/>
        <v>0</v>
      </c>
      <c r="G298" s="38">
        <f t="shared" si="39"/>
        <v>0</v>
      </c>
      <c r="H298" s="38">
        <f t="shared" si="39"/>
        <v>0.46021767477583703</v>
      </c>
      <c r="I298" s="38">
        <f t="shared" si="39"/>
        <v>0</v>
      </c>
      <c r="J298" s="38">
        <f t="shared" si="37"/>
        <v>0</v>
      </c>
      <c r="K298" s="38">
        <f t="shared" si="37"/>
        <v>0</v>
      </c>
      <c r="L298" s="38">
        <f t="shared" si="37"/>
        <v>0</v>
      </c>
      <c r="M298" s="38">
        <f t="shared" si="37"/>
        <v>0.46026239886482428</v>
      </c>
      <c r="S298" t="s">
        <v>100</v>
      </c>
      <c r="T298" s="5">
        <f>data_origin!T340</f>
        <v>0</v>
      </c>
      <c r="U298" s="5">
        <f>data_origin!U340</f>
        <v>0</v>
      </c>
      <c r="V298" s="5">
        <f>data_origin!V340</f>
        <v>0</v>
      </c>
      <c r="W298" s="5">
        <f>data_origin!W340</f>
        <v>0.45454545454545453</v>
      </c>
      <c r="X298" s="5">
        <f>data_origin!X340</f>
        <v>0</v>
      </c>
      <c r="Y298" s="5">
        <f>data_origin!Y340</f>
        <v>0</v>
      </c>
      <c r="Z298" s="5">
        <f>data_origin!Z340</f>
        <v>0</v>
      </c>
      <c r="AA298" s="5">
        <f>data_origin!AA340</f>
        <v>0</v>
      </c>
      <c r="AB298" s="5">
        <f t="shared" si="40"/>
        <v>0.45454545454545453</v>
      </c>
      <c r="AH298" t="s">
        <v>100</v>
      </c>
      <c r="AI298" s="5">
        <f>data_origin!T2587</f>
        <v>0</v>
      </c>
      <c r="AJ298" s="5">
        <f>data_origin!U2587</f>
        <v>0</v>
      </c>
      <c r="AK298" s="5">
        <f>data_origin!V2587</f>
        <v>0</v>
      </c>
      <c r="AL298" s="5">
        <f>data_origin!W2587</f>
        <v>0</v>
      </c>
      <c r="AM298" s="5">
        <f>data_origin!X2587</f>
        <v>0</v>
      </c>
      <c r="AN298" s="5">
        <f>data_origin!Y2587</f>
        <v>0</v>
      </c>
      <c r="AO298" s="5">
        <f>data_origin!Z2587</f>
        <v>0</v>
      </c>
      <c r="AP298" s="5">
        <f>data_origin!AA2587</f>
        <v>0</v>
      </c>
      <c r="AQ298" s="9">
        <f t="shared" si="41"/>
        <v>0</v>
      </c>
      <c r="AV298" t="s">
        <v>100</v>
      </c>
      <c r="AW298" s="5">
        <f>data_origin!T3301</f>
        <v>0</v>
      </c>
      <c r="AX298" s="5">
        <f>data_origin!U3301</f>
        <v>0</v>
      </c>
      <c r="AY298" s="5">
        <f>data_origin!V3301</f>
        <v>0</v>
      </c>
      <c r="AZ298" s="5">
        <f>data_origin!W3301</f>
        <v>0</v>
      </c>
      <c r="BA298" s="5">
        <f>data_origin!X3301</f>
        <v>0</v>
      </c>
      <c r="BB298" s="5">
        <f>data_origin!Y3301</f>
        <v>0</v>
      </c>
      <c r="BC298" s="5">
        <f>data_origin!Z3301</f>
        <v>0</v>
      </c>
      <c r="BD298" s="5">
        <f>data_origin!AA3301</f>
        <v>0</v>
      </c>
      <c r="BE298" s="9">
        <f t="shared" si="42"/>
        <v>0</v>
      </c>
    </row>
    <row r="299" spans="1:58" x14ac:dyDescent="0.25">
      <c r="D299" t="s">
        <v>101</v>
      </c>
      <c r="E299" s="38">
        <f t="shared" si="39"/>
        <v>0</v>
      </c>
      <c r="F299" s="38">
        <f t="shared" si="39"/>
        <v>0</v>
      </c>
      <c r="G299" s="38">
        <f t="shared" si="39"/>
        <v>0</v>
      </c>
      <c r="H299" s="38">
        <f t="shared" si="39"/>
        <v>0.46021767477583703</v>
      </c>
      <c r="I299" s="38">
        <f t="shared" si="39"/>
        <v>0</v>
      </c>
      <c r="J299" s="38">
        <f t="shared" si="37"/>
        <v>0</v>
      </c>
      <c r="K299" s="38">
        <f t="shared" si="37"/>
        <v>0</v>
      </c>
      <c r="L299" s="38">
        <f t="shared" si="37"/>
        <v>0</v>
      </c>
      <c r="M299" s="38">
        <f t="shared" si="37"/>
        <v>0.46026239886482428</v>
      </c>
      <c r="N299" s="5">
        <f>SUM(M267:M299)</f>
        <v>37.465359267596732</v>
      </c>
      <c r="S299" t="s">
        <v>101</v>
      </c>
      <c r="T299" s="5">
        <f>data_origin!T341</f>
        <v>0</v>
      </c>
      <c r="U299" s="5">
        <f>data_origin!U341</f>
        <v>0</v>
      </c>
      <c r="V299" s="5">
        <f>data_origin!V341</f>
        <v>0</v>
      </c>
      <c r="W299" s="5">
        <f>data_origin!W341</f>
        <v>0.45454545454545453</v>
      </c>
      <c r="X299" s="5">
        <f>data_origin!X341</f>
        <v>0</v>
      </c>
      <c r="Y299" s="5">
        <f>data_origin!Y341</f>
        <v>0</v>
      </c>
      <c r="Z299" s="5">
        <f>data_origin!Z341</f>
        <v>0</v>
      </c>
      <c r="AA299" s="5">
        <f>data_origin!AA341</f>
        <v>0</v>
      </c>
      <c r="AB299" s="5">
        <f t="shared" si="40"/>
        <v>0.45454545454545453</v>
      </c>
      <c r="AC299" s="5">
        <f>SUM(AB267:AB299)</f>
        <v>36.999999999999979</v>
      </c>
      <c r="AH299" t="s">
        <v>101</v>
      </c>
      <c r="AI299" s="5">
        <f>data_origin!T2588</f>
        <v>0</v>
      </c>
      <c r="AJ299" s="5">
        <f>data_origin!U2588</f>
        <v>0</v>
      </c>
      <c r="AK299" s="5">
        <f>data_origin!V2588</f>
        <v>0</v>
      </c>
      <c r="AL299" s="5">
        <f>data_origin!W2588</f>
        <v>0</v>
      </c>
      <c r="AM299" s="5">
        <f>data_origin!X2588</f>
        <v>0</v>
      </c>
      <c r="AN299" s="5">
        <f>data_origin!Y2588</f>
        <v>0</v>
      </c>
      <c r="AO299" s="5">
        <f>data_origin!Z2588</f>
        <v>0</v>
      </c>
      <c r="AP299" s="5">
        <f>data_origin!AA2588</f>
        <v>0</v>
      </c>
      <c r="AQ299" s="9">
        <f t="shared" si="41"/>
        <v>0</v>
      </c>
      <c r="AR299" s="9">
        <f>SUM(AQ267:AQ299)</f>
        <v>1</v>
      </c>
      <c r="AV299" t="s">
        <v>101</v>
      </c>
      <c r="AW299" s="5">
        <f>data_origin!T3302</f>
        <v>0</v>
      </c>
      <c r="AX299" s="5">
        <f>data_origin!U3302</f>
        <v>0</v>
      </c>
      <c r="AY299" s="5">
        <f>data_origin!V3302</f>
        <v>0</v>
      </c>
      <c r="AZ299" s="5">
        <f>data_origin!W3302</f>
        <v>0</v>
      </c>
      <c r="BA299" s="5">
        <f>data_origin!X3302</f>
        <v>0</v>
      </c>
      <c r="BB299" s="5">
        <f>data_origin!Y3302</f>
        <v>0</v>
      </c>
      <c r="BC299" s="5">
        <f>data_origin!Z3302</f>
        <v>0</v>
      </c>
      <c r="BD299" s="5">
        <f>data_origin!AA3302</f>
        <v>0</v>
      </c>
      <c r="BE299" s="9">
        <f t="shared" si="42"/>
        <v>0</v>
      </c>
      <c r="BF299" s="9">
        <f>SUM(BE267:BE299)</f>
        <v>0</v>
      </c>
    </row>
    <row r="300" spans="1:58" x14ac:dyDescent="0.25">
      <c r="A300" s="36" t="s">
        <v>104</v>
      </c>
      <c r="B300" s="23" t="s">
        <v>103</v>
      </c>
      <c r="C300" s="23" t="s">
        <v>114</v>
      </c>
      <c r="D300" t="s">
        <v>70</v>
      </c>
      <c r="E300" s="38">
        <f t="shared" si="39"/>
        <v>0</v>
      </c>
      <c r="F300" s="38">
        <f t="shared" si="39"/>
        <v>0</v>
      </c>
      <c r="G300" s="38">
        <f t="shared" si="39"/>
        <v>10.802139980828203</v>
      </c>
      <c r="H300" s="38">
        <f t="shared" si="39"/>
        <v>9.7357488185489363</v>
      </c>
      <c r="I300" s="38">
        <f t="shared" si="39"/>
        <v>3.6158573765901392</v>
      </c>
      <c r="J300" s="38">
        <f t="shared" si="37"/>
        <v>0</v>
      </c>
      <c r="K300" s="38">
        <f t="shared" si="37"/>
        <v>0</v>
      </c>
      <c r="L300" s="38">
        <f t="shared" si="37"/>
        <v>6.5268065268065265E-2</v>
      </c>
      <c r="M300" s="35">
        <f t="shared" si="38"/>
        <v>24.219014241235342</v>
      </c>
      <c r="P300" s="14" t="s">
        <v>104</v>
      </c>
      <c r="Q300" t="s">
        <v>103</v>
      </c>
      <c r="R300" t="s">
        <v>114</v>
      </c>
      <c r="S300" t="s">
        <v>70</v>
      </c>
      <c r="T300" s="5">
        <f>data_origin!T343</f>
        <v>0</v>
      </c>
      <c r="U300" s="5">
        <f>data_origin!U343</f>
        <v>0</v>
      </c>
      <c r="V300" s="5">
        <f>data_origin!V343</f>
        <v>10.718100890207715</v>
      </c>
      <c r="W300" s="5">
        <f>data_origin!W343</f>
        <v>9.6157549234135669</v>
      </c>
      <c r="X300" s="5">
        <f>data_origin!X343</f>
        <v>3.5525727069351229</v>
      </c>
      <c r="Y300" s="5">
        <f>data_origin!Y343</f>
        <v>0</v>
      </c>
      <c r="Z300" s="5">
        <f>data_origin!Z343</f>
        <v>0</v>
      </c>
      <c r="AA300" s="5">
        <f>data_origin!AA343</f>
        <v>6.0606060606060608E-2</v>
      </c>
      <c r="AB300" s="5">
        <f t="shared" si="40"/>
        <v>23.94703458116247</v>
      </c>
      <c r="AE300" t="s">
        <v>104</v>
      </c>
      <c r="AF300" t="s">
        <v>116</v>
      </c>
      <c r="AG300" s="28" t="s">
        <v>134</v>
      </c>
      <c r="AH300" t="s">
        <v>70</v>
      </c>
      <c r="AI300" s="5">
        <f>data_origin!T2590</f>
        <v>0</v>
      </c>
      <c r="AJ300" s="5">
        <f>data_origin!U2590</f>
        <v>0</v>
      </c>
      <c r="AK300" s="5">
        <f>data_origin!V2590</f>
        <v>0</v>
      </c>
      <c r="AL300" s="5">
        <f>data_origin!W2590</f>
        <v>0</v>
      </c>
      <c r="AM300" s="5">
        <f>data_origin!X2590</f>
        <v>0</v>
      </c>
      <c r="AN300" s="5">
        <f>data_origin!Y2590</f>
        <v>0</v>
      </c>
      <c r="AO300" s="5">
        <f>data_origin!Z2590</f>
        <v>0</v>
      </c>
      <c r="AP300" s="5">
        <f>data_origin!AA2590</f>
        <v>0</v>
      </c>
      <c r="AQ300" s="9">
        <f t="shared" si="41"/>
        <v>0</v>
      </c>
      <c r="AS300" t="s">
        <v>115</v>
      </c>
      <c r="AT300" t="s">
        <v>116</v>
      </c>
      <c r="AU300" s="28" t="s">
        <v>134</v>
      </c>
      <c r="AV300" t="s">
        <v>70</v>
      </c>
      <c r="AW300" s="5">
        <f>data_origin!T3304</f>
        <v>0</v>
      </c>
      <c r="AX300" s="5">
        <f>data_origin!U3304</f>
        <v>0</v>
      </c>
      <c r="AY300" s="5">
        <f>data_origin!V3304</f>
        <v>0</v>
      </c>
      <c r="AZ300" s="5">
        <f>data_origin!W3304</f>
        <v>0</v>
      </c>
      <c r="BA300" s="5">
        <f>data_origin!X3304</f>
        <v>0</v>
      </c>
      <c r="BB300" s="5">
        <f>data_origin!Y3304</f>
        <v>0</v>
      </c>
      <c r="BC300" s="5">
        <f>data_origin!Z3304</f>
        <v>0</v>
      </c>
      <c r="BD300" s="5">
        <f>data_origin!AA3304</f>
        <v>0</v>
      </c>
      <c r="BE300" s="9">
        <f t="shared" si="42"/>
        <v>0</v>
      </c>
    </row>
    <row r="301" spans="1:58" x14ac:dyDescent="0.25">
      <c r="A301" s="14"/>
      <c r="D301" t="s">
        <v>71</v>
      </c>
      <c r="E301" s="38">
        <f t="shared" si="39"/>
        <v>0</v>
      </c>
      <c r="F301" s="38">
        <f t="shared" si="39"/>
        <v>0</v>
      </c>
      <c r="G301" s="38">
        <f t="shared" si="39"/>
        <v>37.035908505696696</v>
      </c>
      <c r="H301" s="38">
        <f t="shared" si="39"/>
        <v>37.320370471104262</v>
      </c>
      <c r="I301" s="38">
        <f t="shared" si="39"/>
        <v>12.655500818065489</v>
      </c>
      <c r="J301" s="38">
        <f t="shared" si="37"/>
        <v>4.7300830450521776</v>
      </c>
      <c r="K301" s="38">
        <f t="shared" si="37"/>
        <v>0</v>
      </c>
      <c r="L301" s="38">
        <f t="shared" si="37"/>
        <v>6.5268065268065265E-2</v>
      </c>
      <c r="M301" s="35">
        <f t="shared" si="38"/>
        <v>91.807130905186696</v>
      </c>
      <c r="P301" s="14"/>
      <c r="S301" t="s">
        <v>71</v>
      </c>
      <c r="T301" s="5">
        <f>data_origin!T344</f>
        <v>0</v>
      </c>
      <c r="U301" s="5">
        <f>data_origin!U344</f>
        <v>0</v>
      </c>
      <c r="V301" s="5">
        <f>data_origin!V344</f>
        <v>36.747774480712167</v>
      </c>
      <c r="W301" s="5">
        <f>data_origin!W344</f>
        <v>36.860393873085343</v>
      </c>
      <c r="X301" s="5">
        <f>data_origin!X344</f>
        <v>12.434004474272932</v>
      </c>
      <c r="Y301" s="5">
        <f>data_origin!Y344</f>
        <v>4.6341463414634152</v>
      </c>
      <c r="Z301" s="5">
        <f>data_origin!Z344</f>
        <v>0</v>
      </c>
      <c r="AA301" s="5">
        <f>data_origin!AA344</f>
        <v>6.0606060606060608E-2</v>
      </c>
      <c r="AB301" s="5">
        <f t="shared" si="40"/>
        <v>90.736925230139931</v>
      </c>
      <c r="AH301" t="s">
        <v>71</v>
      </c>
      <c r="AI301" s="5">
        <f>data_origin!T2591</f>
        <v>0</v>
      </c>
      <c r="AJ301" s="5">
        <f>data_origin!U2591</f>
        <v>0</v>
      </c>
      <c r="AK301" s="5">
        <f>data_origin!V2591</f>
        <v>0</v>
      </c>
      <c r="AL301" s="5">
        <f>data_origin!W2591</f>
        <v>0</v>
      </c>
      <c r="AM301" s="5">
        <f>data_origin!X2591</f>
        <v>0</v>
      </c>
      <c r="AN301" s="5">
        <f>data_origin!Y2591</f>
        <v>0</v>
      </c>
      <c r="AO301" s="5">
        <f>data_origin!Z2591</f>
        <v>0</v>
      </c>
      <c r="AP301" s="5">
        <f>data_origin!AA2591</f>
        <v>0</v>
      </c>
      <c r="AQ301" s="9">
        <f t="shared" si="41"/>
        <v>0</v>
      </c>
      <c r="AV301" t="s">
        <v>71</v>
      </c>
      <c r="AW301" s="5">
        <f>data_origin!T3305</f>
        <v>0</v>
      </c>
      <c r="AX301" s="5">
        <f>data_origin!U3305</f>
        <v>0</v>
      </c>
      <c r="AY301" s="5">
        <f>data_origin!V3305</f>
        <v>0</v>
      </c>
      <c r="AZ301" s="5">
        <f>data_origin!W3305</f>
        <v>0</v>
      </c>
      <c r="BA301" s="5">
        <f>data_origin!X3305</f>
        <v>0</v>
      </c>
      <c r="BB301" s="5">
        <f>data_origin!Y3305</f>
        <v>0</v>
      </c>
      <c r="BC301" s="5">
        <f>data_origin!Z3305</f>
        <v>0</v>
      </c>
      <c r="BD301" s="5">
        <f>data_origin!AA3305</f>
        <v>0</v>
      </c>
      <c r="BE301" s="9">
        <f t="shared" si="42"/>
        <v>0</v>
      </c>
    </row>
    <row r="302" spans="1:58" x14ac:dyDescent="0.25">
      <c r="A302" s="14"/>
      <c r="D302" t="s">
        <v>72</v>
      </c>
      <c r="E302" s="38">
        <f t="shared" si="39"/>
        <v>0</v>
      </c>
      <c r="F302" s="38">
        <f t="shared" si="39"/>
        <v>0</v>
      </c>
      <c r="G302" s="38">
        <f t="shared" si="39"/>
        <v>12.345302835232232</v>
      </c>
      <c r="H302" s="38">
        <f t="shared" si="39"/>
        <v>29.207246455646807</v>
      </c>
      <c r="I302" s="38">
        <f t="shared" si="39"/>
        <v>23.503072947835907</v>
      </c>
      <c r="J302" s="38">
        <f t="shared" si="37"/>
        <v>4.7300830450521776</v>
      </c>
      <c r="K302" s="38">
        <f t="shared" si="37"/>
        <v>0</v>
      </c>
      <c r="L302" s="38">
        <f t="shared" si="37"/>
        <v>6.5268065268065265E-2</v>
      </c>
      <c r="M302" s="35">
        <f t="shared" si="38"/>
        <v>69.8509733490352</v>
      </c>
      <c r="P302" s="14"/>
      <c r="S302" t="s">
        <v>72</v>
      </c>
      <c r="T302" s="5">
        <f>data_origin!T345</f>
        <v>0</v>
      </c>
      <c r="U302" s="5">
        <f>data_origin!U345</f>
        <v>0</v>
      </c>
      <c r="V302" s="5">
        <f>data_origin!V345</f>
        <v>12.249258160237389</v>
      </c>
      <c r="W302" s="5">
        <f>data_origin!W345</f>
        <v>28.847264770240699</v>
      </c>
      <c r="X302" s="5">
        <f>data_origin!X345</f>
        <v>23.091722595078302</v>
      </c>
      <c r="Y302" s="5">
        <f>data_origin!Y345</f>
        <v>4.6341463414634152</v>
      </c>
      <c r="Z302" s="5">
        <f>data_origin!Z345</f>
        <v>0</v>
      </c>
      <c r="AA302" s="5">
        <f>data_origin!AA345</f>
        <v>6.0606060606060608E-2</v>
      </c>
      <c r="AB302" s="5">
        <f t="shared" si="40"/>
        <v>68.88299792762588</v>
      </c>
      <c r="AH302" t="s">
        <v>72</v>
      </c>
      <c r="AI302" s="5">
        <f>data_origin!T2592</f>
        <v>0</v>
      </c>
      <c r="AJ302" s="5">
        <f>data_origin!U2592</f>
        <v>0</v>
      </c>
      <c r="AK302" s="5">
        <f>data_origin!V2592</f>
        <v>0</v>
      </c>
      <c r="AL302" s="5">
        <f>data_origin!W2592</f>
        <v>0</v>
      </c>
      <c r="AM302" s="5">
        <f>data_origin!X2592</f>
        <v>0</v>
      </c>
      <c r="AN302" s="5">
        <f>data_origin!Y2592</f>
        <v>0</v>
      </c>
      <c r="AO302" s="5">
        <f>data_origin!Z2592</f>
        <v>0</v>
      </c>
      <c r="AP302" s="5">
        <f>data_origin!AA2592</f>
        <v>0</v>
      </c>
      <c r="AQ302" s="9">
        <f t="shared" si="41"/>
        <v>0</v>
      </c>
      <c r="AV302" t="s">
        <v>72</v>
      </c>
      <c r="AW302" s="5">
        <f>data_origin!T3306</f>
        <v>0</v>
      </c>
      <c r="AX302" s="5">
        <f>data_origin!U3306</f>
        <v>0</v>
      </c>
      <c r="AY302" s="5">
        <f>data_origin!V3306</f>
        <v>0</v>
      </c>
      <c r="AZ302" s="5">
        <f>data_origin!W3306</f>
        <v>0</v>
      </c>
      <c r="BA302" s="5">
        <f>data_origin!X3306</f>
        <v>0</v>
      </c>
      <c r="BB302" s="5">
        <f>data_origin!Y3306</f>
        <v>0</v>
      </c>
      <c r="BC302" s="5">
        <f>data_origin!Z3306</f>
        <v>0</v>
      </c>
      <c r="BD302" s="5">
        <f>data_origin!AA3306</f>
        <v>0</v>
      </c>
      <c r="BE302" s="9">
        <f t="shared" si="42"/>
        <v>0</v>
      </c>
    </row>
    <row r="303" spans="1:58" x14ac:dyDescent="0.25">
      <c r="A303" s="14"/>
      <c r="D303" t="s">
        <v>73</v>
      </c>
      <c r="E303" s="38">
        <f t="shared" si="39"/>
        <v>0</v>
      </c>
      <c r="F303" s="38">
        <f t="shared" si="39"/>
        <v>0</v>
      </c>
      <c r="G303" s="38">
        <f t="shared" si="39"/>
        <v>6.172651417616116</v>
      </c>
      <c r="H303" s="38">
        <f t="shared" si="39"/>
        <v>24.339372046372343</v>
      </c>
      <c r="I303" s="38">
        <f t="shared" si="39"/>
        <v>14.463429506360557</v>
      </c>
      <c r="J303" s="38">
        <f t="shared" si="37"/>
        <v>0</v>
      </c>
      <c r="K303" s="38">
        <f t="shared" si="37"/>
        <v>0</v>
      </c>
      <c r="L303" s="38">
        <f t="shared" si="37"/>
        <v>6.5268065268065265E-2</v>
      </c>
      <c r="M303" s="35">
        <f t="shared" si="38"/>
        <v>45.040721035617082</v>
      </c>
      <c r="P303" s="14"/>
      <c r="S303" t="s">
        <v>73</v>
      </c>
      <c r="T303" s="5">
        <f>data_origin!T346</f>
        <v>0</v>
      </c>
      <c r="U303" s="5">
        <f>data_origin!U346</f>
        <v>0</v>
      </c>
      <c r="V303" s="5">
        <f>data_origin!V346</f>
        <v>6.1246290801186944</v>
      </c>
      <c r="W303" s="5">
        <f>data_origin!W346</f>
        <v>24.039387308533918</v>
      </c>
      <c r="X303" s="5">
        <f>data_origin!X346</f>
        <v>14.210290827740492</v>
      </c>
      <c r="Y303" s="5">
        <f>data_origin!Y346</f>
        <v>0</v>
      </c>
      <c r="Z303" s="5">
        <f>data_origin!Z346</f>
        <v>0</v>
      </c>
      <c r="AA303" s="5">
        <f>data_origin!AA346</f>
        <v>6.0606060606060608E-2</v>
      </c>
      <c r="AB303" s="5">
        <f t="shared" si="40"/>
        <v>44.434913276999168</v>
      </c>
      <c r="AH303" t="s">
        <v>73</v>
      </c>
      <c r="AI303" s="5">
        <f>data_origin!T2593</f>
        <v>0</v>
      </c>
      <c r="AJ303" s="5">
        <f>data_origin!U2593</f>
        <v>0</v>
      </c>
      <c r="AK303" s="5">
        <f>data_origin!V2593</f>
        <v>0</v>
      </c>
      <c r="AL303" s="5">
        <f>data_origin!W2593</f>
        <v>0</v>
      </c>
      <c r="AM303" s="5">
        <f>data_origin!X2593</f>
        <v>0</v>
      </c>
      <c r="AN303" s="5">
        <f>data_origin!Y2593</f>
        <v>0</v>
      </c>
      <c r="AO303" s="5">
        <f>data_origin!Z2593</f>
        <v>0</v>
      </c>
      <c r="AP303" s="5">
        <f>data_origin!AA2593</f>
        <v>0</v>
      </c>
      <c r="AQ303" s="9">
        <f t="shared" si="41"/>
        <v>0</v>
      </c>
      <c r="AV303" t="s">
        <v>73</v>
      </c>
      <c r="AW303" s="5">
        <f>data_origin!T3307</f>
        <v>0</v>
      </c>
      <c r="AX303" s="5">
        <f>data_origin!U3307</f>
        <v>0</v>
      </c>
      <c r="AY303" s="5">
        <f>data_origin!V3307</f>
        <v>0</v>
      </c>
      <c r="AZ303" s="5">
        <f>data_origin!W3307</f>
        <v>0</v>
      </c>
      <c r="BA303" s="5">
        <f>data_origin!X3307</f>
        <v>0</v>
      </c>
      <c r="BB303" s="5">
        <f>data_origin!Y3307</f>
        <v>0</v>
      </c>
      <c r="BC303" s="5">
        <f>data_origin!Z3307</f>
        <v>0</v>
      </c>
      <c r="BD303" s="5">
        <f>data_origin!AA3307</f>
        <v>0</v>
      </c>
      <c r="BE303" s="9">
        <f t="shared" si="42"/>
        <v>0</v>
      </c>
    </row>
    <row r="304" spans="1:58" x14ac:dyDescent="0.25">
      <c r="A304" s="14"/>
      <c r="D304" t="s">
        <v>74</v>
      </c>
      <c r="E304" s="38">
        <f t="shared" si="39"/>
        <v>0</v>
      </c>
      <c r="F304" s="38">
        <f t="shared" si="39"/>
        <v>0</v>
      </c>
      <c r="G304" s="38">
        <f t="shared" si="39"/>
        <v>3.086325708808058</v>
      </c>
      <c r="H304" s="38">
        <f t="shared" si="39"/>
        <v>19.471497637097873</v>
      </c>
      <c r="I304" s="38">
        <f t="shared" si="39"/>
        <v>19.887215571245768</v>
      </c>
      <c r="J304" s="38">
        <f t="shared" si="37"/>
        <v>2.3650415225260888</v>
      </c>
      <c r="K304" s="38">
        <f t="shared" si="37"/>
        <v>0</v>
      </c>
      <c r="L304" s="38">
        <f t="shared" si="37"/>
        <v>6.5268065268065265E-2</v>
      </c>
      <c r="M304" s="35">
        <f t="shared" si="38"/>
        <v>44.875348504945855</v>
      </c>
      <c r="P304" s="14"/>
      <c r="S304" t="s">
        <v>74</v>
      </c>
      <c r="T304" s="5">
        <f>data_origin!T347</f>
        <v>0</v>
      </c>
      <c r="U304" s="5">
        <f>data_origin!U347</f>
        <v>0</v>
      </c>
      <c r="V304" s="5">
        <f>data_origin!V347</f>
        <v>3.0623145400593472</v>
      </c>
      <c r="W304" s="5">
        <f>data_origin!W347</f>
        <v>19.231509846827134</v>
      </c>
      <c r="X304" s="5">
        <f>data_origin!X347</f>
        <v>19.539149888143179</v>
      </c>
      <c r="Y304" s="5">
        <f>data_origin!Y347</f>
        <v>2.3170731707317076</v>
      </c>
      <c r="Z304" s="5">
        <f>data_origin!Z347</f>
        <v>0</v>
      </c>
      <c r="AA304" s="5">
        <f>data_origin!AA347</f>
        <v>6.0606060606060608E-2</v>
      </c>
      <c r="AB304" s="5">
        <f t="shared" si="40"/>
        <v>44.210653506367429</v>
      </c>
      <c r="AH304" t="s">
        <v>74</v>
      </c>
      <c r="AI304" s="5">
        <f>data_origin!T2594</f>
        <v>0</v>
      </c>
      <c r="AJ304" s="5">
        <f>data_origin!U2594</f>
        <v>0</v>
      </c>
      <c r="AK304" s="5">
        <f>data_origin!V2594</f>
        <v>0</v>
      </c>
      <c r="AL304" s="5">
        <f>data_origin!W2594</f>
        <v>0</v>
      </c>
      <c r="AM304" s="5">
        <f>data_origin!X2594</f>
        <v>0</v>
      </c>
      <c r="AN304" s="5">
        <f>data_origin!Y2594</f>
        <v>0</v>
      </c>
      <c r="AO304" s="5">
        <f>data_origin!Z2594</f>
        <v>0</v>
      </c>
      <c r="AP304" s="5">
        <f>data_origin!AA2594</f>
        <v>0</v>
      </c>
      <c r="AQ304" s="9">
        <f t="shared" si="41"/>
        <v>0</v>
      </c>
      <c r="AV304" t="s">
        <v>74</v>
      </c>
      <c r="AW304" s="5">
        <f>data_origin!T3308</f>
        <v>0</v>
      </c>
      <c r="AX304" s="5">
        <f>data_origin!U3308</f>
        <v>0</v>
      </c>
      <c r="AY304" s="5">
        <f>data_origin!V3308</f>
        <v>0</v>
      </c>
      <c r="AZ304" s="5">
        <f>data_origin!W3308</f>
        <v>0</v>
      </c>
      <c r="BA304" s="5">
        <f>data_origin!X3308</f>
        <v>0</v>
      </c>
      <c r="BB304" s="5">
        <f>data_origin!Y3308</f>
        <v>0</v>
      </c>
      <c r="BC304" s="5">
        <f>data_origin!Z3308</f>
        <v>0</v>
      </c>
      <c r="BD304" s="5">
        <f>data_origin!AA3308</f>
        <v>0</v>
      </c>
      <c r="BE304" s="9">
        <f t="shared" si="42"/>
        <v>0</v>
      </c>
    </row>
    <row r="305" spans="1:57" x14ac:dyDescent="0.25">
      <c r="A305" s="14"/>
      <c r="D305" t="s">
        <v>75</v>
      </c>
      <c r="E305" s="38">
        <f t="shared" si="39"/>
        <v>0</v>
      </c>
      <c r="F305" s="38">
        <f t="shared" si="39"/>
        <v>0</v>
      </c>
      <c r="G305" s="38">
        <f t="shared" si="39"/>
        <v>6.172651417616116</v>
      </c>
      <c r="H305" s="38">
        <f t="shared" si="39"/>
        <v>6.4904992123659575</v>
      </c>
      <c r="I305" s="38">
        <f t="shared" si="39"/>
        <v>3.6158573765901392</v>
      </c>
      <c r="J305" s="38">
        <f t="shared" si="37"/>
        <v>0</v>
      </c>
      <c r="K305" s="38">
        <f t="shared" si="37"/>
        <v>0</v>
      </c>
      <c r="L305" s="38">
        <f t="shared" si="37"/>
        <v>6.5268065268065265E-2</v>
      </c>
      <c r="M305" s="35">
        <f t="shared" si="38"/>
        <v>16.344276071840277</v>
      </c>
      <c r="P305" s="14"/>
      <c r="S305" t="s">
        <v>75</v>
      </c>
      <c r="T305" s="5">
        <f>data_origin!T348</f>
        <v>0</v>
      </c>
      <c r="U305" s="5">
        <f>data_origin!U348</f>
        <v>0</v>
      </c>
      <c r="V305" s="5">
        <f>data_origin!V348</f>
        <v>6.1246290801186944</v>
      </c>
      <c r="W305" s="5">
        <f>data_origin!W348</f>
        <v>6.4105032822757106</v>
      </c>
      <c r="X305" s="5">
        <f>data_origin!X348</f>
        <v>3.5525727069351229</v>
      </c>
      <c r="Y305" s="5">
        <f>data_origin!Y348</f>
        <v>0</v>
      </c>
      <c r="Z305" s="5">
        <f>data_origin!Z348</f>
        <v>0</v>
      </c>
      <c r="AA305" s="5">
        <f>data_origin!AA348</f>
        <v>6.0606060606060608E-2</v>
      </c>
      <c r="AB305" s="5">
        <f t="shared" si="40"/>
        <v>16.148311129935589</v>
      </c>
      <c r="AH305" t="s">
        <v>75</v>
      </c>
      <c r="AI305" s="5">
        <f>data_origin!T2595</f>
        <v>0</v>
      </c>
      <c r="AJ305" s="5">
        <f>data_origin!U2595</f>
        <v>0</v>
      </c>
      <c r="AK305" s="5">
        <f>data_origin!V2595</f>
        <v>0</v>
      </c>
      <c r="AL305" s="5">
        <f>data_origin!W2595</f>
        <v>0</v>
      </c>
      <c r="AM305" s="5">
        <f>data_origin!X2595</f>
        <v>0</v>
      </c>
      <c r="AN305" s="5">
        <f>data_origin!Y2595</f>
        <v>0</v>
      </c>
      <c r="AO305" s="5">
        <f>data_origin!Z2595</f>
        <v>0</v>
      </c>
      <c r="AP305" s="5">
        <f>data_origin!AA2595</f>
        <v>0</v>
      </c>
      <c r="AQ305" s="9">
        <f t="shared" si="41"/>
        <v>0</v>
      </c>
      <c r="AV305" t="s">
        <v>75</v>
      </c>
      <c r="AW305" s="5">
        <f>data_origin!T3309</f>
        <v>0</v>
      </c>
      <c r="AX305" s="5">
        <f>data_origin!U3309</f>
        <v>0</v>
      </c>
      <c r="AY305" s="5">
        <f>data_origin!V3309</f>
        <v>0</v>
      </c>
      <c r="AZ305" s="5">
        <f>data_origin!W3309</f>
        <v>0</v>
      </c>
      <c r="BA305" s="5">
        <f>data_origin!X3309</f>
        <v>0</v>
      </c>
      <c r="BB305" s="5">
        <f>data_origin!Y3309</f>
        <v>0</v>
      </c>
      <c r="BC305" s="5">
        <f>data_origin!Z3309</f>
        <v>0</v>
      </c>
      <c r="BD305" s="5">
        <f>data_origin!AA3309</f>
        <v>0</v>
      </c>
      <c r="BE305" s="9">
        <f t="shared" si="42"/>
        <v>0</v>
      </c>
    </row>
    <row r="306" spans="1:57" x14ac:dyDescent="0.25">
      <c r="A306" s="14"/>
      <c r="D306" t="s">
        <v>76</v>
      </c>
      <c r="E306" s="38">
        <f t="shared" si="39"/>
        <v>0</v>
      </c>
      <c r="F306" s="38">
        <f t="shared" si="39"/>
        <v>0</v>
      </c>
      <c r="G306" s="38">
        <f t="shared" si="39"/>
        <v>13.888465689636261</v>
      </c>
      <c r="H306" s="38">
        <f t="shared" si="39"/>
        <v>21.094122440189363</v>
      </c>
      <c r="I306" s="38">
        <f t="shared" si="39"/>
        <v>10.84757212977042</v>
      </c>
      <c r="J306" s="38">
        <f t="shared" si="37"/>
        <v>0</v>
      </c>
      <c r="K306" s="38">
        <f t="shared" si="37"/>
        <v>0</v>
      </c>
      <c r="L306" s="38">
        <f t="shared" si="37"/>
        <v>6.5268065268065265E-2</v>
      </c>
      <c r="M306" s="35">
        <f t="shared" si="38"/>
        <v>45.895428324864106</v>
      </c>
      <c r="P306" s="14"/>
      <c r="S306" t="s">
        <v>76</v>
      </c>
      <c r="T306" s="5">
        <f>data_origin!T349</f>
        <v>0</v>
      </c>
      <c r="U306" s="5">
        <f>data_origin!U349</f>
        <v>0</v>
      </c>
      <c r="V306" s="5">
        <f>data_origin!V349</f>
        <v>13.780415430267063</v>
      </c>
      <c r="W306" s="5">
        <f>data_origin!W349</f>
        <v>20.834135667396062</v>
      </c>
      <c r="X306" s="5">
        <f>data_origin!X349</f>
        <v>10.65771812080537</v>
      </c>
      <c r="Y306" s="5">
        <f>data_origin!Y349</f>
        <v>0</v>
      </c>
      <c r="Z306" s="5">
        <f>data_origin!Z349</f>
        <v>0</v>
      </c>
      <c r="AA306" s="5">
        <f>data_origin!AA349</f>
        <v>6.0606060606060608E-2</v>
      </c>
      <c r="AB306" s="5">
        <f t="shared" si="40"/>
        <v>45.332875279074557</v>
      </c>
      <c r="AH306" t="s">
        <v>76</v>
      </c>
      <c r="AI306" s="5">
        <f>data_origin!T2596</f>
        <v>0</v>
      </c>
      <c r="AJ306" s="5">
        <f>data_origin!U2596</f>
        <v>0</v>
      </c>
      <c r="AK306" s="5">
        <f>data_origin!V2596</f>
        <v>0</v>
      </c>
      <c r="AL306" s="5">
        <f>data_origin!W2596</f>
        <v>0</v>
      </c>
      <c r="AM306" s="5">
        <f>data_origin!X2596</f>
        <v>0</v>
      </c>
      <c r="AN306" s="5">
        <f>data_origin!Y2596</f>
        <v>0</v>
      </c>
      <c r="AO306" s="5">
        <f>data_origin!Z2596</f>
        <v>0</v>
      </c>
      <c r="AP306" s="5">
        <f>data_origin!AA2596</f>
        <v>0</v>
      </c>
      <c r="AQ306" s="9">
        <f t="shared" si="41"/>
        <v>0</v>
      </c>
      <c r="AV306" t="s">
        <v>76</v>
      </c>
      <c r="AW306" s="5">
        <f>data_origin!T3310</f>
        <v>0</v>
      </c>
      <c r="AX306" s="5">
        <f>data_origin!U3310</f>
        <v>0</v>
      </c>
      <c r="AY306" s="5">
        <f>data_origin!V3310</f>
        <v>0</v>
      </c>
      <c r="AZ306" s="5">
        <f>data_origin!W3310</f>
        <v>0</v>
      </c>
      <c r="BA306" s="5">
        <f>data_origin!X3310</f>
        <v>0</v>
      </c>
      <c r="BB306" s="5">
        <f>data_origin!Y3310</f>
        <v>0</v>
      </c>
      <c r="BC306" s="5">
        <f>data_origin!Z3310</f>
        <v>0</v>
      </c>
      <c r="BD306" s="5">
        <f>data_origin!AA3310</f>
        <v>0</v>
      </c>
      <c r="BE306" s="9">
        <f t="shared" si="42"/>
        <v>0</v>
      </c>
    </row>
    <row r="307" spans="1:57" x14ac:dyDescent="0.25">
      <c r="A307" s="14"/>
      <c r="D307" t="s">
        <v>77</v>
      </c>
      <c r="E307" s="38">
        <f t="shared" si="39"/>
        <v>0</v>
      </c>
      <c r="F307" s="38">
        <f t="shared" si="39"/>
        <v>0</v>
      </c>
      <c r="G307" s="38">
        <f t="shared" si="39"/>
        <v>21.311117107252379</v>
      </c>
      <c r="H307" s="38">
        <f t="shared" si="39"/>
        <v>55.169243305110648</v>
      </c>
      <c r="I307" s="38">
        <f t="shared" si="39"/>
        <v>23.503072947835907</v>
      </c>
      <c r="J307" s="38">
        <f t="shared" si="37"/>
        <v>2.3650415225260888</v>
      </c>
      <c r="K307" s="38">
        <f t="shared" si="37"/>
        <v>0</v>
      </c>
      <c r="L307" s="38">
        <f t="shared" si="37"/>
        <v>6.5268065268065265E-2</v>
      </c>
      <c r="M307" s="35">
        <f t="shared" si="38"/>
        <v>102.41374294799309</v>
      </c>
      <c r="P307" s="14"/>
      <c r="S307" t="s">
        <v>77</v>
      </c>
      <c r="T307" s="5">
        <f>data_origin!T350</f>
        <v>0</v>
      </c>
      <c r="U307" s="5">
        <f>data_origin!U350</f>
        <v>0</v>
      </c>
      <c r="V307" s="5">
        <f>data_origin!V350</f>
        <v>19.905044510385757</v>
      </c>
      <c r="W307" s="5">
        <f>data_origin!W350</f>
        <v>54.489277899343548</v>
      </c>
      <c r="X307" s="5">
        <f>data_origin!X350</f>
        <v>23.091722595078302</v>
      </c>
      <c r="Y307" s="5">
        <f>data_origin!Y350</f>
        <v>2.3170731707317076</v>
      </c>
      <c r="Z307" s="5">
        <f>data_origin!Z350</f>
        <v>0</v>
      </c>
      <c r="AA307" s="5">
        <f>data_origin!AA350</f>
        <v>6.0606060606060608E-2</v>
      </c>
      <c r="AB307" s="5">
        <f t="shared" si="40"/>
        <v>99.863724236145373</v>
      </c>
      <c r="AH307" t="s">
        <v>77</v>
      </c>
      <c r="AI307" s="5">
        <f>data_origin!T2597</f>
        <v>0</v>
      </c>
      <c r="AJ307" s="5">
        <f>data_origin!U2597</f>
        <v>0</v>
      </c>
      <c r="AK307" s="5">
        <f>data_origin!V2597</f>
        <v>0</v>
      </c>
      <c r="AL307" s="5">
        <f>data_origin!W2597</f>
        <v>0</v>
      </c>
      <c r="AM307" s="5">
        <f>data_origin!X2597</f>
        <v>0</v>
      </c>
      <c r="AN307" s="5">
        <f>data_origin!Y2597</f>
        <v>0</v>
      </c>
      <c r="AO307" s="5">
        <f>data_origin!Z2597</f>
        <v>0</v>
      </c>
      <c r="AP307" s="5">
        <f>data_origin!AA2597</f>
        <v>0</v>
      </c>
      <c r="AQ307" s="9">
        <f t="shared" si="41"/>
        <v>0</v>
      </c>
      <c r="AV307" t="s">
        <v>77</v>
      </c>
      <c r="AW307" s="5">
        <f>data_origin!T3311</f>
        <v>0</v>
      </c>
      <c r="AX307" s="5">
        <f>data_origin!U3311</f>
        <v>0</v>
      </c>
      <c r="AY307" s="5">
        <f>data_origin!V3311</f>
        <v>0</v>
      </c>
      <c r="AZ307" s="5">
        <f>data_origin!W3311</f>
        <v>0</v>
      </c>
      <c r="BA307" s="5">
        <f>data_origin!X3311</f>
        <v>0</v>
      </c>
      <c r="BB307" s="5">
        <f>data_origin!Y3311</f>
        <v>0</v>
      </c>
      <c r="BC307" s="5">
        <f>data_origin!Z3311</f>
        <v>0</v>
      </c>
      <c r="BD307" s="5">
        <f>data_origin!AA3311</f>
        <v>0</v>
      </c>
      <c r="BE307" s="9">
        <f t="shared" si="42"/>
        <v>0</v>
      </c>
    </row>
    <row r="308" spans="1:57" x14ac:dyDescent="0.25">
      <c r="A308" s="14"/>
      <c r="D308" t="s">
        <v>78</v>
      </c>
      <c r="E308" s="38">
        <f t="shared" si="39"/>
        <v>0</v>
      </c>
      <c r="F308" s="38">
        <f t="shared" si="39"/>
        <v>0</v>
      </c>
      <c r="G308" s="38">
        <f t="shared" si="39"/>
        <v>268.21717381189706</v>
      </c>
      <c r="H308" s="38">
        <f t="shared" si="39"/>
        <v>502.30177268551216</v>
      </c>
      <c r="I308" s="38">
        <f t="shared" si="39"/>
        <v>330.85094995799773</v>
      </c>
      <c r="J308" s="38">
        <f t="shared" si="37"/>
        <v>42.570747405469589</v>
      </c>
      <c r="K308" s="38">
        <f t="shared" si="37"/>
        <v>4.8022388059701484</v>
      </c>
      <c r="L308" s="38">
        <f t="shared" si="37"/>
        <v>6.5268065268065265E-2</v>
      </c>
      <c r="M308" s="35">
        <f t="shared" si="38"/>
        <v>1148.8081507321147</v>
      </c>
      <c r="P308" s="14"/>
      <c r="S308" t="s">
        <v>78</v>
      </c>
      <c r="T308" s="5">
        <f>data_origin!T351</f>
        <v>0</v>
      </c>
      <c r="U308" s="5">
        <f>data_origin!U351</f>
        <v>0</v>
      </c>
      <c r="V308" s="5">
        <f>data_origin!V351</f>
        <v>264.89020771513356</v>
      </c>
      <c r="W308" s="5">
        <f>data_origin!W351</f>
        <v>493.60875273522981</v>
      </c>
      <c r="X308" s="5">
        <f>data_origin!X351</f>
        <v>325.06040268456377</v>
      </c>
      <c r="Y308" s="5">
        <f>data_origin!Y351</f>
        <v>41.707317073170728</v>
      </c>
      <c r="Z308" s="5">
        <f>data_origin!Z351</f>
        <v>4.7142857142857135</v>
      </c>
      <c r="AA308" s="5">
        <f>data_origin!AA351</f>
        <v>6.0606060606060608E-2</v>
      </c>
      <c r="AB308" s="5">
        <f t="shared" si="40"/>
        <v>1130.0415719829896</v>
      </c>
      <c r="AH308" t="s">
        <v>78</v>
      </c>
      <c r="AI308" s="5">
        <f>data_origin!T2598</f>
        <v>0</v>
      </c>
      <c r="AJ308" s="5">
        <f>data_origin!U2598</f>
        <v>0</v>
      </c>
      <c r="AK308" s="5">
        <f>data_origin!V2598</f>
        <v>0</v>
      </c>
      <c r="AL308" s="5">
        <f>data_origin!W2598</f>
        <v>0</v>
      </c>
      <c r="AM308" s="5">
        <f>data_origin!X2598</f>
        <v>0</v>
      </c>
      <c r="AN308" s="5">
        <f>data_origin!Y2598</f>
        <v>0</v>
      </c>
      <c r="AO308" s="5">
        <f>data_origin!Z2598</f>
        <v>0</v>
      </c>
      <c r="AP308" s="5">
        <f>data_origin!AA2598</f>
        <v>0</v>
      </c>
      <c r="AQ308" s="9">
        <f t="shared" si="41"/>
        <v>0</v>
      </c>
      <c r="AV308" t="s">
        <v>78</v>
      </c>
      <c r="AW308" s="5">
        <f>data_origin!T3312</f>
        <v>0</v>
      </c>
      <c r="AX308" s="5">
        <f>data_origin!U3312</f>
        <v>0</v>
      </c>
      <c r="AY308" s="5">
        <f>data_origin!V3312</f>
        <v>0</v>
      </c>
      <c r="AZ308" s="5">
        <f>data_origin!W3312</f>
        <v>0</v>
      </c>
      <c r="BA308" s="5">
        <f>data_origin!X3312</f>
        <v>0</v>
      </c>
      <c r="BB308" s="5">
        <f>data_origin!Y3312</f>
        <v>0</v>
      </c>
      <c r="BC308" s="5">
        <f>data_origin!Z3312</f>
        <v>0</v>
      </c>
      <c r="BD308" s="5">
        <f>data_origin!AA3312</f>
        <v>0</v>
      </c>
      <c r="BE308" s="9">
        <f t="shared" si="42"/>
        <v>0</v>
      </c>
    </row>
    <row r="309" spans="1:57" x14ac:dyDescent="0.25">
      <c r="A309" s="14"/>
      <c r="D309" t="s">
        <v>79</v>
      </c>
      <c r="E309" s="38">
        <f t="shared" si="39"/>
        <v>0</v>
      </c>
      <c r="F309" s="38">
        <f t="shared" si="39"/>
        <v>0</v>
      </c>
      <c r="G309" s="38">
        <f t="shared" si="39"/>
        <v>25.940605670464464</v>
      </c>
      <c r="H309" s="38">
        <f t="shared" si="39"/>
        <v>40.565620077287228</v>
      </c>
      <c r="I309" s="38">
        <f t="shared" si="39"/>
        <v>27.118930324426049</v>
      </c>
      <c r="J309" s="38">
        <f t="shared" si="37"/>
        <v>0</v>
      </c>
      <c r="K309" s="38">
        <f t="shared" si="37"/>
        <v>0</v>
      </c>
      <c r="L309" s="38">
        <f t="shared" si="37"/>
        <v>6.5268065268065265E-2</v>
      </c>
      <c r="M309" s="35">
        <f t="shared" si="38"/>
        <v>93.690424137445817</v>
      </c>
      <c r="P309" s="14"/>
      <c r="S309" t="s">
        <v>79</v>
      </c>
      <c r="T309" s="5">
        <f>data_origin!T352</f>
        <v>0</v>
      </c>
      <c r="U309" s="5">
        <f>data_origin!U352</f>
        <v>0</v>
      </c>
      <c r="V309" s="5">
        <f>data_origin!V352</f>
        <v>24.498516320474778</v>
      </c>
      <c r="W309" s="5">
        <f>data_origin!W352</f>
        <v>40.065645514223192</v>
      </c>
      <c r="X309" s="5">
        <f>data_origin!X352</f>
        <v>26.644295302013425</v>
      </c>
      <c r="Y309" s="5">
        <f>data_origin!Y352</f>
        <v>0</v>
      </c>
      <c r="Z309" s="5">
        <f>data_origin!Z352</f>
        <v>0</v>
      </c>
      <c r="AA309" s="5">
        <f>data_origin!AA352</f>
        <v>6.0606060606060608E-2</v>
      </c>
      <c r="AB309" s="5">
        <f t="shared" si="40"/>
        <v>91.26906319731745</v>
      </c>
      <c r="AH309" t="s">
        <v>79</v>
      </c>
      <c r="AI309" s="5">
        <f>data_origin!T2599</f>
        <v>0</v>
      </c>
      <c r="AJ309" s="5">
        <f>data_origin!U2599</f>
        <v>0</v>
      </c>
      <c r="AK309" s="5">
        <f>data_origin!V2599</f>
        <v>0</v>
      </c>
      <c r="AL309" s="5">
        <f>data_origin!W2599</f>
        <v>0</v>
      </c>
      <c r="AM309" s="5">
        <f>data_origin!X2599</f>
        <v>0</v>
      </c>
      <c r="AN309" s="5">
        <f>data_origin!Y2599</f>
        <v>0</v>
      </c>
      <c r="AO309" s="5">
        <f>data_origin!Z2599</f>
        <v>0</v>
      </c>
      <c r="AP309" s="5">
        <f>data_origin!AA2599</f>
        <v>0</v>
      </c>
      <c r="AQ309" s="9">
        <f t="shared" si="41"/>
        <v>0</v>
      </c>
      <c r="AV309" t="s">
        <v>79</v>
      </c>
      <c r="AW309" s="5">
        <f>data_origin!T3313</f>
        <v>0</v>
      </c>
      <c r="AX309" s="5">
        <f>data_origin!U3313</f>
        <v>0</v>
      </c>
      <c r="AY309" s="5">
        <f>data_origin!V3313</f>
        <v>0</v>
      </c>
      <c r="AZ309" s="5">
        <f>data_origin!W3313</f>
        <v>0</v>
      </c>
      <c r="BA309" s="5">
        <f>data_origin!X3313</f>
        <v>0</v>
      </c>
      <c r="BB309" s="5">
        <f>data_origin!Y3313</f>
        <v>0</v>
      </c>
      <c r="BC309" s="5">
        <f>data_origin!Z3313</f>
        <v>0</v>
      </c>
      <c r="BD309" s="5">
        <f>data_origin!AA3313</f>
        <v>0</v>
      </c>
      <c r="BE309" s="9">
        <f t="shared" si="42"/>
        <v>0</v>
      </c>
    </row>
    <row r="310" spans="1:57" x14ac:dyDescent="0.25">
      <c r="A310" s="14"/>
      <c r="D310" t="s">
        <v>80</v>
      </c>
      <c r="E310" s="38">
        <f t="shared" si="39"/>
        <v>0</v>
      </c>
      <c r="F310" s="38">
        <f t="shared" si="39"/>
        <v>0</v>
      </c>
      <c r="G310" s="38">
        <f t="shared" si="39"/>
        <v>52.467537049736983</v>
      </c>
      <c r="H310" s="38">
        <f t="shared" si="39"/>
        <v>99.890821518822705</v>
      </c>
      <c r="I310" s="38">
        <f t="shared" si="39"/>
        <v>61.469575402032369</v>
      </c>
      <c r="J310" s="38">
        <f t="shared" si="37"/>
        <v>14.190249135156529</v>
      </c>
      <c r="K310" s="38">
        <f t="shared" si="37"/>
        <v>2.4011194029850742</v>
      </c>
      <c r="L310" s="38">
        <f t="shared" si="37"/>
        <v>6.5268065268065265E-2</v>
      </c>
      <c r="M310" s="35">
        <f t="shared" si="38"/>
        <v>230.48457057400174</v>
      </c>
      <c r="P310" s="14"/>
      <c r="S310" t="s">
        <v>80</v>
      </c>
      <c r="T310" s="5">
        <f>data_origin!T353</f>
        <v>0</v>
      </c>
      <c r="U310" s="5">
        <f>data_origin!U353</f>
        <v>0</v>
      </c>
      <c r="V310" s="5">
        <f>data_origin!V353</f>
        <v>52.059347181008903</v>
      </c>
      <c r="W310" s="5">
        <f>data_origin!W353</f>
        <v>96.157549234135672</v>
      </c>
      <c r="X310" s="5">
        <f>data_origin!X353</f>
        <v>60.393736017897091</v>
      </c>
      <c r="Y310" s="5">
        <f>data_origin!Y353</f>
        <v>13.902439024390244</v>
      </c>
      <c r="Z310" s="5">
        <f>data_origin!Z353</f>
        <v>2.3571428571428568</v>
      </c>
      <c r="AA310" s="5">
        <f>data_origin!AA353</f>
        <v>6.0606060606060608E-2</v>
      </c>
      <c r="AB310" s="5">
        <f t="shared" si="40"/>
        <v>224.93082037518082</v>
      </c>
      <c r="AH310" t="s">
        <v>80</v>
      </c>
      <c r="AI310" s="5">
        <f>data_origin!T2600</f>
        <v>0</v>
      </c>
      <c r="AJ310" s="5">
        <f>data_origin!U2600</f>
        <v>0</v>
      </c>
      <c r="AK310" s="5">
        <f>data_origin!V2600</f>
        <v>0</v>
      </c>
      <c r="AL310" s="5">
        <f>data_origin!W2600</f>
        <v>0</v>
      </c>
      <c r="AM310" s="5">
        <f>data_origin!X2600</f>
        <v>0</v>
      </c>
      <c r="AN310" s="5">
        <f>data_origin!Y2600</f>
        <v>0</v>
      </c>
      <c r="AO310" s="5">
        <f>data_origin!Z2600</f>
        <v>0</v>
      </c>
      <c r="AP310" s="5">
        <f>data_origin!AA2600</f>
        <v>0</v>
      </c>
      <c r="AQ310" s="9">
        <f t="shared" si="41"/>
        <v>0</v>
      </c>
      <c r="AV310" t="s">
        <v>80</v>
      </c>
      <c r="AW310" s="5">
        <f>data_origin!T3314</f>
        <v>0</v>
      </c>
      <c r="AX310" s="5">
        <f>data_origin!U3314</f>
        <v>0</v>
      </c>
      <c r="AY310" s="5">
        <f>data_origin!V3314</f>
        <v>0</v>
      </c>
      <c r="AZ310" s="5">
        <f>data_origin!W3314</f>
        <v>0</v>
      </c>
      <c r="BA310" s="5">
        <f>data_origin!X3314</f>
        <v>0</v>
      </c>
      <c r="BB310" s="5">
        <f>data_origin!Y3314</f>
        <v>0</v>
      </c>
      <c r="BC310" s="5">
        <f>data_origin!Z3314</f>
        <v>0</v>
      </c>
      <c r="BD310" s="5">
        <f>data_origin!AA3314</f>
        <v>0</v>
      </c>
      <c r="BE310" s="9">
        <f t="shared" si="42"/>
        <v>0</v>
      </c>
    </row>
    <row r="311" spans="1:57" x14ac:dyDescent="0.25">
      <c r="A311" s="14"/>
      <c r="D311" t="s">
        <v>81</v>
      </c>
      <c r="E311" s="38">
        <f t="shared" si="39"/>
        <v>0</v>
      </c>
      <c r="F311" s="38">
        <f t="shared" si="39"/>
        <v>0</v>
      </c>
      <c r="G311" s="38">
        <f t="shared" si="39"/>
        <v>10.802139980828203</v>
      </c>
      <c r="H311" s="38">
        <f t="shared" si="39"/>
        <v>22.716747243280853</v>
      </c>
      <c r="I311" s="38">
        <f t="shared" si="39"/>
        <v>11.84757212977042</v>
      </c>
      <c r="J311" s="38">
        <f t="shared" si="37"/>
        <v>4.7300830450521776</v>
      </c>
      <c r="K311" s="38">
        <f t="shared" si="37"/>
        <v>0</v>
      </c>
      <c r="L311" s="38">
        <f t="shared" si="37"/>
        <v>6.5268065268065265E-2</v>
      </c>
      <c r="M311" s="35">
        <f t="shared" si="38"/>
        <v>50.161810464199718</v>
      </c>
      <c r="P311" s="14"/>
      <c r="S311" t="s">
        <v>81</v>
      </c>
      <c r="T311" s="5">
        <f>data_origin!T354</f>
        <v>0</v>
      </c>
      <c r="U311" s="5">
        <f>data_origin!U354</f>
        <v>0</v>
      </c>
      <c r="V311" s="5">
        <f>data_origin!V354</f>
        <v>10.718100890207715</v>
      </c>
      <c r="W311" s="5">
        <f>data_origin!W354</f>
        <v>22.43676148796499</v>
      </c>
      <c r="X311" s="5">
        <f>data_origin!X354</f>
        <v>10.65771812080537</v>
      </c>
      <c r="Y311" s="5">
        <f>data_origin!Y354</f>
        <v>4.6341463414634152</v>
      </c>
      <c r="Z311" s="5">
        <f>data_origin!Z354</f>
        <v>0</v>
      </c>
      <c r="AA311" s="5">
        <f>data_origin!AA354</f>
        <v>6.0606060606060608E-2</v>
      </c>
      <c r="AB311" s="5">
        <f t="shared" si="40"/>
        <v>48.507332901047555</v>
      </c>
      <c r="AH311" t="s">
        <v>81</v>
      </c>
      <c r="AI311" s="5">
        <f>data_origin!T2601</f>
        <v>0</v>
      </c>
      <c r="AJ311" s="5">
        <f>data_origin!U2601</f>
        <v>0</v>
      </c>
      <c r="AK311" s="5">
        <f>data_origin!V2601</f>
        <v>0</v>
      </c>
      <c r="AL311" s="5">
        <f>data_origin!W2601</f>
        <v>0</v>
      </c>
      <c r="AM311" s="5">
        <f>data_origin!X2601</f>
        <v>0</v>
      </c>
      <c r="AN311" s="5">
        <f>data_origin!Y2601</f>
        <v>0</v>
      </c>
      <c r="AO311" s="5">
        <f>data_origin!Z2601</f>
        <v>0</v>
      </c>
      <c r="AP311" s="5">
        <f>data_origin!AA2601</f>
        <v>0</v>
      </c>
      <c r="AQ311" s="9">
        <f t="shared" si="41"/>
        <v>0</v>
      </c>
      <c r="AV311" t="s">
        <v>81</v>
      </c>
      <c r="AW311" s="5">
        <f>data_origin!T3315</f>
        <v>0</v>
      </c>
      <c r="AX311" s="5">
        <f>data_origin!U3315</f>
        <v>0</v>
      </c>
      <c r="AY311" s="5">
        <f>data_origin!V3315</f>
        <v>0</v>
      </c>
      <c r="AZ311" s="5">
        <f>data_origin!W3315</f>
        <v>0</v>
      </c>
      <c r="BA311" s="5">
        <f>data_origin!X3315</f>
        <v>0</v>
      </c>
      <c r="BB311" s="5">
        <f>data_origin!Y3315</f>
        <v>0</v>
      </c>
      <c r="BC311" s="5">
        <f>data_origin!Z3315</f>
        <v>0</v>
      </c>
      <c r="BD311" s="5">
        <f>data_origin!AA3315</f>
        <v>0</v>
      </c>
      <c r="BE311" s="9">
        <f t="shared" si="42"/>
        <v>0</v>
      </c>
    </row>
    <row r="312" spans="1:57" x14ac:dyDescent="0.25">
      <c r="A312" s="14"/>
      <c r="D312" t="s">
        <v>82</v>
      </c>
      <c r="E312" s="38">
        <f t="shared" si="39"/>
        <v>0</v>
      </c>
      <c r="F312" s="38">
        <f t="shared" si="39"/>
        <v>0</v>
      </c>
      <c r="G312" s="38">
        <f t="shared" si="39"/>
        <v>78.701305574605499</v>
      </c>
      <c r="H312" s="38">
        <f t="shared" si="39"/>
        <v>144.41360747514256</v>
      </c>
      <c r="I312" s="38">
        <f t="shared" si="39"/>
        <v>126.55500818065488</v>
      </c>
      <c r="J312" s="38">
        <f t="shared" si="37"/>
        <v>14.190249135156529</v>
      </c>
      <c r="K312" s="38">
        <f t="shared" si="37"/>
        <v>0</v>
      </c>
      <c r="L312" s="38">
        <f t="shared" si="37"/>
        <v>6.5268065268065265E-2</v>
      </c>
      <c r="M312" s="35">
        <f t="shared" si="38"/>
        <v>363.92543843082751</v>
      </c>
      <c r="P312" s="14"/>
      <c r="S312" t="s">
        <v>82</v>
      </c>
      <c r="T312" s="5">
        <f>data_origin!T355</f>
        <v>0</v>
      </c>
      <c r="U312" s="5">
        <f>data_origin!U355</f>
        <v>0</v>
      </c>
      <c r="V312" s="5">
        <f>data_origin!V355</f>
        <v>78.089020771513361</v>
      </c>
      <c r="W312" s="5">
        <f>data_origin!W355</f>
        <v>142.63369803063458</v>
      </c>
      <c r="X312" s="5">
        <f>data_origin!X355</f>
        <v>124.3400447427293</v>
      </c>
      <c r="Y312" s="5">
        <f>data_origin!Y355</f>
        <v>13.902439024390244</v>
      </c>
      <c r="Z312" s="5">
        <f>data_origin!Z355</f>
        <v>0</v>
      </c>
      <c r="AA312" s="5">
        <f>data_origin!AA355</f>
        <v>6.0606060606060608E-2</v>
      </c>
      <c r="AB312" s="5">
        <f t="shared" si="40"/>
        <v>359.02580862987355</v>
      </c>
      <c r="AH312" t="s">
        <v>82</v>
      </c>
      <c r="AI312" s="5">
        <f>data_origin!T2602</f>
        <v>0</v>
      </c>
      <c r="AJ312" s="5">
        <f>data_origin!U2602</f>
        <v>0</v>
      </c>
      <c r="AK312" s="5">
        <f>data_origin!V2602</f>
        <v>0</v>
      </c>
      <c r="AL312" s="5">
        <f>data_origin!W2602</f>
        <v>0</v>
      </c>
      <c r="AM312" s="5">
        <f>data_origin!X2602</f>
        <v>0</v>
      </c>
      <c r="AN312" s="5">
        <f>data_origin!Y2602</f>
        <v>0</v>
      </c>
      <c r="AO312" s="5">
        <f>data_origin!Z2602</f>
        <v>0</v>
      </c>
      <c r="AP312" s="5">
        <f>data_origin!AA2602</f>
        <v>0</v>
      </c>
      <c r="AQ312" s="9">
        <f t="shared" si="41"/>
        <v>0</v>
      </c>
      <c r="AV312" t="s">
        <v>82</v>
      </c>
      <c r="AW312" s="5">
        <f>data_origin!T3316</f>
        <v>0</v>
      </c>
      <c r="AX312" s="5">
        <f>data_origin!U3316</f>
        <v>0</v>
      </c>
      <c r="AY312" s="5">
        <f>data_origin!V3316</f>
        <v>0</v>
      </c>
      <c r="AZ312" s="5">
        <f>data_origin!W3316</f>
        <v>0</v>
      </c>
      <c r="BA312" s="5">
        <f>data_origin!X3316</f>
        <v>0</v>
      </c>
      <c r="BB312" s="5">
        <f>data_origin!Y3316</f>
        <v>0</v>
      </c>
      <c r="BC312" s="5">
        <f>data_origin!Z3316</f>
        <v>0</v>
      </c>
      <c r="BD312" s="5">
        <f>data_origin!AA3316</f>
        <v>0</v>
      </c>
      <c r="BE312" s="9">
        <f t="shared" si="42"/>
        <v>0</v>
      </c>
    </row>
    <row r="313" spans="1:57" x14ac:dyDescent="0.25">
      <c r="A313" s="14"/>
      <c r="D313" t="s">
        <v>83</v>
      </c>
      <c r="E313" s="38">
        <f t="shared" si="39"/>
        <v>0</v>
      </c>
      <c r="F313" s="38">
        <f t="shared" si="39"/>
        <v>0</v>
      </c>
      <c r="G313" s="38">
        <f t="shared" si="39"/>
        <v>12.345302835232232</v>
      </c>
      <c r="H313" s="38">
        <f t="shared" si="39"/>
        <v>32.452496061829784</v>
      </c>
      <c r="I313" s="38">
        <f t="shared" si="39"/>
        <v>12.655500818065489</v>
      </c>
      <c r="J313" s="38">
        <f t="shared" si="37"/>
        <v>2.3650415225260888</v>
      </c>
      <c r="K313" s="38">
        <f t="shared" si="37"/>
        <v>0</v>
      </c>
      <c r="L313" s="38">
        <f t="shared" si="37"/>
        <v>6.5268065268065265E-2</v>
      </c>
      <c r="M313" s="35">
        <f t="shared" si="38"/>
        <v>59.883609302921663</v>
      </c>
      <c r="P313" s="14"/>
      <c r="S313" t="s">
        <v>83</v>
      </c>
      <c r="T313" s="5">
        <f>data_origin!T356</f>
        <v>0</v>
      </c>
      <c r="U313" s="5">
        <f>data_origin!U356</f>
        <v>0</v>
      </c>
      <c r="V313" s="5">
        <f>data_origin!V356</f>
        <v>12.249258160237389</v>
      </c>
      <c r="W313" s="5">
        <f>data_origin!W356</f>
        <v>32.052516411378555</v>
      </c>
      <c r="X313" s="5">
        <f>data_origin!X356</f>
        <v>12.434004474272932</v>
      </c>
      <c r="Y313" s="5">
        <f>data_origin!Y356</f>
        <v>2.3170731707317076</v>
      </c>
      <c r="Z313" s="5">
        <f>data_origin!Z356</f>
        <v>0</v>
      </c>
      <c r="AA313" s="5">
        <f>data_origin!AA356</f>
        <v>6.0606060606060608E-2</v>
      </c>
      <c r="AB313" s="5">
        <f t="shared" si="40"/>
        <v>59.113458277226648</v>
      </c>
      <c r="AH313" t="s">
        <v>83</v>
      </c>
      <c r="AI313" s="5">
        <f>data_origin!T2603</f>
        <v>0</v>
      </c>
      <c r="AJ313" s="5">
        <f>data_origin!U2603</f>
        <v>0</v>
      </c>
      <c r="AK313" s="5">
        <f>data_origin!V2603</f>
        <v>0</v>
      </c>
      <c r="AL313" s="5">
        <f>data_origin!W2603</f>
        <v>0</v>
      </c>
      <c r="AM313" s="5">
        <f>data_origin!X2603</f>
        <v>0</v>
      </c>
      <c r="AN313" s="5">
        <f>data_origin!Y2603</f>
        <v>0</v>
      </c>
      <c r="AO313" s="5">
        <f>data_origin!Z2603</f>
        <v>0</v>
      </c>
      <c r="AP313" s="5">
        <f>data_origin!AA2603</f>
        <v>0</v>
      </c>
      <c r="AQ313" s="9">
        <f t="shared" si="41"/>
        <v>0</v>
      </c>
      <c r="AV313" t="s">
        <v>83</v>
      </c>
      <c r="AW313" s="5">
        <f>data_origin!T3317</f>
        <v>0</v>
      </c>
      <c r="AX313" s="5">
        <f>data_origin!U3317</f>
        <v>0</v>
      </c>
      <c r="AY313" s="5">
        <f>data_origin!V3317</f>
        <v>0</v>
      </c>
      <c r="AZ313" s="5">
        <f>data_origin!W3317</f>
        <v>0</v>
      </c>
      <c r="BA313" s="5">
        <f>data_origin!X3317</f>
        <v>0</v>
      </c>
      <c r="BB313" s="5">
        <f>data_origin!Y3317</f>
        <v>0</v>
      </c>
      <c r="BC313" s="5">
        <f>data_origin!Z3317</f>
        <v>0</v>
      </c>
      <c r="BD313" s="5">
        <f>data_origin!AA3317</f>
        <v>0</v>
      </c>
      <c r="BE313" s="9">
        <f t="shared" si="42"/>
        <v>0</v>
      </c>
    </row>
    <row r="314" spans="1:57" x14ac:dyDescent="0.25">
      <c r="A314" s="14"/>
      <c r="D314" t="s">
        <v>84</v>
      </c>
      <c r="E314" s="38">
        <f t="shared" si="39"/>
        <v>0</v>
      </c>
      <c r="F314" s="38">
        <f t="shared" si="39"/>
        <v>0</v>
      </c>
      <c r="G314" s="38">
        <f t="shared" si="39"/>
        <v>18.517954252848348</v>
      </c>
      <c r="H314" s="38">
        <f t="shared" si="39"/>
        <v>22.716747243280853</v>
      </c>
      <c r="I314" s="38">
        <f t="shared" si="39"/>
        <v>7.2317147531802783</v>
      </c>
      <c r="J314" s="38">
        <f t="shared" si="37"/>
        <v>0</v>
      </c>
      <c r="K314" s="38">
        <f t="shared" si="37"/>
        <v>0</v>
      </c>
      <c r="L314" s="38">
        <f t="shared" si="37"/>
        <v>6.5268065268065265E-2</v>
      </c>
      <c r="M314" s="35">
        <f t="shared" si="38"/>
        <v>48.531684314577547</v>
      </c>
      <c r="P314" s="14"/>
      <c r="S314" t="s">
        <v>84</v>
      </c>
      <c r="T314" s="5">
        <f>data_origin!T357</f>
        <v>0</v>
      </c>
      <c r="U314" s="5">
        <f>data_origin!U357</f>
        <v>0</v>
      </c>
      <c r="V314" s="5">
        <f>data_origin!V357</f>
        <v>18.373887240356083</v>
      </c>
      <c r="W314" s="5">
        <f>data_origin!W357</f>
        <v>22.43676148796499</v>
      </c>
      <c r="X314" s="5">
        <f>data_origin!X357</f>
        <v>7.1051454138702459</v>
      </c>
      <c r="Y314" s="5">
        <f>data_origin!Y357</f>
        <v>0</v>
      </c>
      <c r="Z314" s="5">
        <f>data_origin!Z357</f>
        <v>0</v>
      </c>
      <c r="AA314" s="5">
        <f>data_origin!AA357</f>
        <v>6.0606060606060608E-2</v>
      </c>
      <c r="AB314" s="5">
        <f t="shared" si="40"/>
        <v>47.976400202797379</v>
      </c>
      <c r="AH314" t="s">
        <v>84</v>
      </c>
      <c r="AI314" s="5">
        <f>data_origin!T2604</f>
        <v>0</v>
      </c>
      <c r="AJ314" s="5">
        <f>data_origin!U2604</f>
        <v>0</v>
      </c>
      <c r="AK314" s="5">
        <f>data_origin!V2604</f>
        <v>0</v>
      </c>
      <c r="AL314" s="5">
        <f>data_origin!W2604</f>
        <v>0</v>
      </c>
      <c r="AM314" s="5">
        <f>data_origin!X2604</f>
        <v>0</v>
      </c>
      <c r="AN314" s="5">
        <f>data_origin!Y2604</f>
        <v>0</v>
      </c>
      <c r="AO314" s="5">
        <f>data_origin!Z2604</f>
        <v>0</v>
      </c>
      <c r="AP314" s="5">
        <f>data_origin!AA2604</f>
        <v>0</v>
      </c>
      <c r="AQ314" s="9">
        <f t="shared" si="41"/>
        <v>0</v>
      </c>
      <c r="AV314" t="s">
        <v>84</v>
      </c>
      <c r="AW314" s="5">
        <f>data_origin!T3318</f>
        <v>0</v>
      </c>
      <c r="AX314" s="5">
        <f>data_origin!U3318</f>
        <v>0</v>
      </c>
      <c r="AY314" s="5">
        <f>data_origin!V3318</f>
        <v>0</v>
      </c>
      <c r="AZ314" s="5">
        <f>data_origin!W3318</f>
        <v>0</v>
      </c>
      <c r="BA314" s="5">
        <f>data_origin!X3318</f>
        <v>0</v>
      </c>
      <c r="BB314" s="5">
        <f>data_origin!Y3318</f>
        <v>0</v>
      </c>
      <c r="BC314" s="5">
        <f>data_origin!Z3318</f>
        <v>0</v>
      </c>
      <c r="BD314" s="5">
        <f>data_origin!AA3318</f>
        <v>0</v>
      </c>
      <c r="BE314" s="9">
        <f t="shared" si="42"/>
        <v>0</v>
      </c>
    </row>
    <row r="315" spans="1:57" x14ac:dyDescent="0.25">
      <c r="A315" s="14"/>
      <c r="D315" t="s">
        <v>85</v>
      </c>
      <c r="E315" s="38">
        <f t="shared" si="39"/>
        <v>0</v>
      </c>
      <c r="F315" s="38">
        <f t="shared" si="39"/>
        <v>0</v>
      </c>
      <c r="G315" s="38">
        <f t="shared" si="39"/>
        <v>30.863257088080584</v>
      </c>
      <c r="H315" s="38">
        <f t="shared" si="39"/>
        <v>51.92399369892766</v>
      </c>
      <c r="I315" s="38">
        <f t="shared" si="39"/>
        <v>14.463429506360557</v>
      </c>
      <c r="J315" s="38">
        <f t="shared" si="37"/>
        <v>2.3650415225260888</v>
      </c>
      <c r="K315" s="38">
        <f t="shared" si="37"/>
        <v>0</v>
      </c>
      <c r="L315" s="38">
        <f t="shared" si="37"/>
        <v>6.5268065268065265E-2</v>
      </c>
      <c r="M315" s="35">
        <f t="shared" si="38"/>
        <v>99.680989881162958</v>
      </c>
      <c r="P315" s="14"/>
      <c r="S315" t="s">
        <v>85</v>
      </c>
      <c r="T315" s="5">
        <f>data_origin!T358</f>
        <v>0</v>
      </c>
      <c r="U315" s="5">
        <f>data_origin!U358</f>
        <v>0</v>
      </c>
      <c r="V315" s="5">
        <f>data_origin!V358</f>
        <v>30.623145400593472</v>
      </c>
      <c r="W315" s="5">
        <f>data_origin!W358</f>
        <v>51.284026258205685</v>
      </c>
      <c r="X315" s="5">
        <f>data_origin!X358</f>
        <v>14.210290827740492</v>
      </c>
      <c r="Y315" s="5">
        <f>data_origin!Y358</f>
        <v>2.3170731707317076</v>
      </c>
      <c r="Z315" s="5">
        <f>data_origin!Z358</f>
        <v>0</v>
      </c>
      <c r="AA315" s="5">
        <f>data_origin!AA358</f>
        <v>6.0606060606060608E-2</v>
      </c>
      <c r="AB315" s="5">
        <f t="shared" si="40"/>
        <v>98.495141717877416</v>
      </c>
      <c r="AH315" t="s">
        <v>85</v>
      </c>
      <c r="AI315" s="5">
        <f>data_origin!T2605</f>
        <v>0</v>
      </c>
      <c r="AJ315" s="5">
        <f>data_origin!U2605</f>
        <v>0</v>
      </c>
      <c r="AK315" s="5">
        <f>data_origin!V2605</f>
        <v>0</v>
      </c>
      <c r="AL315" s="5">
        <f>data_origin!W2605</f>
        <v>0</v>
      </c>
      <c r="AM315" s="5">
        <f>data_origin!X2605</f>
        <v>0</v>
      </c>
      <c r="AN315" s="5">
        <f>data_origin!Y2605</f>
        <v>0</v>
      </c>
      <c r="AO315" s="5">
        <f>data_origin!Z2605</f>
        <v>0</v>
      </c>
      <c r="AP315" s="5">
        <f>data_origin!AA2605</f>
        <v>0</v>
      </c>
      <c r="AQ315" s="9">
        <f t="shared" si="41"/>
        <v>0</v>
      </c>
      <c r="AV315" t="s">
        <v>85</v>
      </c>
      <c r="AW315" s="5">
        <f>data_origin!T3319</f>
        <v>0</v>
      </c>
      <c r="AX315" s="5">
        <f>data_origin!U3319</f>
        <v>0</v>
      </c>
      <c r="AY315" s="5">
        <f>data_origin!V3319</f>
        <v>0</v>
      </c>
      <c r="AZ315" s="5">
        <f>data_origin!W3319</f>
        <v>0</v>
      </c>
      <c r="BA315" s="5">
        <f>data_origin!X3319</f>
        <v>0</v>
      </c>
      <c r="BB315" s="5">
        <f>data_origin!Y3319</f>
        <v>0</v>
      </c>
      <c r="BC315" s="5">
        <f>data_origin!Z3319</f>
        <v>0</v>
      </c>
      <c r="BD315" s="5">
        <f>data_origin!AA3319</f>
        <v>0</v>
      </c>
      <c r="BE315" s="9">
        <f t="shared" si="42"/>
        <v>0</v>
      </c>
    </row>
    <row r="316" spans="1:57" x14ac:dyDescent="0.25">
      <c r="A316" s="14"/>
      <c r="D316" t="s">
        <v>86</v>
      </c>
      <c r="E316" s="38">
        <f t="shared" si="39"/>
        <v>0</v>
      </c>
      <c r="F316" s="38">
        <f t="shared" si="39"/>
        <v>0</v>
      </c>
      <c r="G316" s="38">
        <f t="shared" si="39"/>
        <v>121.90986549791829</v>
      </c>
      <c r="H316" s="38">
        <f t="shared" si="39"/>
        <v>151.81481521775038</v>
      </c>
      <c r="I316" s="38">
        <f t="shared" si="39"/>
        <v>111.28364998599925</v>
      </c>
      <c r="J316" s="38">
        <f t="shared" si="37"/>
        <v>7.0951245675782646</v>
      </c>
      <c r="K316" s="38">
        <f t="shared" si="37"/>
        <v>4.8022388059701484</v>
      </c>
      <c r="L316" s="38">
        <f t="shared" si="37"/>
        <v>6.5268065268065265E-2</v>
      </c>
      <c r="M316" s="35">
        <f t="shared" si="38"/>
        <v>396.9709621404844</v>
      </c>
      <c r="P316" s="14"/>
      <c r="S316" t="s">
        <v>86</v>
      </c>
      <c r="T316" s="5">
        <f>data_origin!T359</f>
        <v>0</v>
      </c>
      <c r="U316" s="5">
        <f>data_origin!U359</f>
        <v>0</v>
      </c>
      <c r="V316" s="5">
        <f>data_origin!V359</f>
        <v>120.96142433234421</v>
      </c>
      <c r="W316" s="5">
        <f>data_origin!W359</f>
        <v>147.44157549234137</v>
      </c>
      <c r="X316" s="5">
        <f>data_origin!X359</f>
        <v>108.35346756152126</v>
      </c>
      <c r="Y316" s="5">
        <f>data_origin!Y359</f>
        <v>6.9512195121951219</v>
      </c>
      <c r="Z316" s="5">
        <f>data_origin!Z359</f>
        <v>4.7142857142857135</v>
      </c>
      <c r="AA316" s="5">
        <f>data_origin!AA359</f>
        <v>6.0606060606060608E-2</v>
      </c>
      <c r="AB316" s="5">
        <f t="shared" si="40"/>
        <v>388.48257867329374</v>
      </c>
      <c r="AH316" t="s">
        <v>86</v>
      </c>
      <c r="AI316" s="5">
        <f>data_origin!T2606</f>
        <v>0</v>
      </c>
      <c r="AJ316" s="5">
        <f>data_origin!U2606</f>
        <v>0</v>
      </c>
      <c r="AK316" s="5">
        <f>data_origin!V2606</f>
        <v>0</v>
      </c>
      <c r="AL316" s="5">
        <f>data_origin!W2606</f>
        <v>0</v>
      </c>
      <c r="AM316" s="5">
        <f>data_origin!X2606</f>
        <v>0</v>
      </c>
      <c r="AN316" s="5">
        <f>data_origin!Y2606</f>
        <v>0</v>
      </c>
      <c r="AO316" s="5">
        <f>data_origin!Z2606</f>
        <v>0</v>
      </c>
      <c r="AP316" s="5">
        <f>data_origin!AA2606</f>
        <v>0</v>
      </c>
      <c r="AQ316" s="9">
        <f t="shared" si="41"/>
        <v>0</v>
      </c>
      <c r="AV316" t="s">
        <v>86</v>
      </c>
      <c r="AW316" s="5">
        <f>data_origin!T3320</f>
        <v>0</v>
      </c>
      <c r="AX316" s="5">
        <f>data_origin!U3320</f>
        <v>0</v>
      </c>
      <c r="AY316" s="5">
        <f>data_origin!V3320</f>
        <v>0</v>
      </c>
      <c r="AZ316" s="5">
        <f>data_origin!W3320</f>
        <v>0</v>
      </c>
      <c r="BA316" s="5">
        <f>data_origin!X3320</f>
        <v>0</v>
      </c>
      <c r="BB316" s="5">
        <f>data_origin!Y3320</f>
        <v>0</v>
      </c>
      <c r="BC316" s="5">
        <f>data_origin!Z3320</f>
        <v>0</v>
      </c>
      <c r="BD316" s="5">
        <f>data_origin!AA3320</f>
        <v>0</v>
      </c>
      <c r="BE316" s="9">
        <f t="shared" si="42"/>
        <v>0</v>
      </c>
    </row>
    <row r="317" spans="1:57" x14ac:dyDescent="0.25">
      <c r="A317" s="14"/>
      <c r="D317" t="s">
        <v>87</v>
      </c>
      <c r="E317" s="38">
        <f t="shared" si="39"/>
        <v>0</v>
      </c>
      <c r="F317" s="38">
        <f t="shared" si="39"/>
        <v>0</v>
      </c>
      <c r="G317" s="38">
        <f t="shared" si="39"/>
        <v>41.665397068908788</v>
      </c>
      <c r="H317" s="38">
        <f t="shared" si="39"/>
        <v>51.92399369892766</v>
      </c>
      <c r="I317" s="38">
        <f t="shared" si="39"/>
        <v>68.701290155212646</v>
      </c>
      <c r="J317" s="38">
        <f t="shared" si="37"/>
        <v>9.4601660901043552</v>
      </c>
      <c r="K317" s="38">
        <f t="shared" si="37"/>
        <v>0</v>
      </c>
      <c r="L317" s="38">
        <f t="shared" si="37"/>
        <v>6.5268065268065265E-2</v>
      </c>
      <c r="M317" s="35">
        <f t="shared" si="38"/>
        <v>171.81611507842152</v>
      </c>
      <c r="P317" s="14"/>
      <c r="S317" t="s">
        <v>87</v>
      </c>
      <c r="T317" s="5">
        <f>data_origin!T360</f>
        <v>0</v>
      </c>
      <c r="U317" s="5">
        <f>data_origin!U360</f>
        <v>0</v>
      </c>
      <c r="V317" s="5">
        <f>data_origin!V360</f>
        <v>41.341246290801188</v>
      </c>
      <c r="W317" s="5">
        <f>data_origin!W360</f>
        <v>51.284026258205685</v>
      </c>
      <c r="X317" s="5">
        <f>data_origin!X360</f>
        <v>67.49888143176733</v>
      </c>
      <c r="Y317" s="5">
        <f>data_origin!Y360</f>
        <v>9.2682926829268304</v>
      </c>
      <c r="Z317" s="5">
        <f>data_origin!Z360</f>
        <v>0</v>
      </c>
      <c r="AA317" s="5">
        <f>data_origin!AA360</f>
        <v>6.0606060606060608E-2</v>
      </c>
      <c r="AB317" s="5">
        <f t="shared" si="40"/>
        <v>169.4530527243071</v>
      </c>
      <c r="AH317" t="s">
        <v>87</v>
      </c>
      <c r="AI317" s="5">
        <f>data_origin!T2607</f>
        <v>0</v>
      </c>
      <c r="AJ317" s="5">
        <f>data_origin!U2607</f>
        <v>0</v>
      </c>
      <c r="AK317" s="5">
        <f>data_origin!V2607</f>
        <v>0</v>
      </c>
      <c r="AL317" s="5">
        <f>data_origin!W2607</f>
        <v>0</v>
      </c>
      <c r="AM317" s="5">
        <f>data_origin!X2607</f>
        <v>0</v>
      </c>
      <c r="AN317" s="5">
        <f>data_origin!Y2607</f>
        <v>0</v>
      </c>
      <c r="AO317" s="5">
        <f>data_origin!Z2607</f>
        <v>0</v>
      </c>
      <c r="AP317" s="5">
        <f>data_origin!AA2607</f>
        <v>0</v>
      </c>
      <c r="AQ317" s="9">
        <f t="shared" si="41"/>
        <v>0</v>
      </c>
      <c r="AV317" t="s">
        <v>87</v>
      </c>
      <c r="AW317" s="5">
        <f>data_origin!T3321</f>
        <v>0</v>
      </c>
      <c r="AX317" s="5">
        <f>data_origin!U3321</f>
        <v>0</v>
      </c>
      <c r="AY317" s="5">
        <f>data_origin!V3321</f>
        <v>0</v>
      </c>
      <c r="AZ317" s="5">
        <f>data_origin!W3321</f>
        <v>0</v>
      </c>
      <c r="BA317" s="5">
        <f>data_origin!X3321</f>
        <v>0</v>
      </c>
      <c r="BB317" s="5">
        <f>data_origin!Y3321</f>
        <v>0</v>
      </c>
      <c r="BC317" s="5">
        <f>data_origin!Z3321</f>
        <v>0</v>
      </c>
      <c r="BD317" s="5">
        <f>data_origin!AA3321</f>
        <v>0</v>
      </c>
      <c r="BE317" s="9">
        <f t="shared" si="42"/>
        <v>0</v>
      </c>
    </row>
    <row r="318" spans="1:57" x14ac:dyDescent="0.25">
      <c r="A318" s="14"/>
      <c r="D318" t="s">
        <v>88</v>
      </c>
      <c r="E318" s="38">
        <f t="shared" si="39"/>
        <v>0</v>
      </c>
      <c r="F318" s="38">
        <f t="shared" si="39"/>
        <v>0</v>
      </c>
      <c r="G318" s="38">
        <f t="shared" si="39"/>
        <v>529.96853335177389</v>
      </c>
      <c r="H318" s="38">
        <f t="shared" si="39"/>
        <v>866.32447897182283</v>
      </c>
      <c r="I318" s="38">
        <f t="shared" si="39"/>
        <v>567.68960812465184</v>
      </c>
      <c r="J318" s="38">
        <f t="shared" si="37"/>
        <v>59.126038063152215</v>
      </c>
      <c r="K318" s="38">
        <f t="shared" si="37"/>
        <v>7.2033582089552235</v>
      </c>
      <c r="L318" s="38">
        <f t="shared" si="37"/>
        <v>6.5268065268065265E-2</v>
      </c>
      <c r="M318" s="35">
        <f t="shared" si="38"/>
        <v>2030.3772847856242</v>
      </c>
      <c r="P318" s="14"/>
      <c r="S318" t="s">
        <v>88</v>
      </c>
      <c r="T318" s="5">
        <f>data_origin!T361</f>
        <v>0</v>
      </c>
      <c r="U318" s="5">
        <f>data_origin!U361</f>
        <v>0</v>
      </c>
      <c r="V318" s="5">
        <f>data_origin!V361</f>
        <v>522.12462908011867</v>
      </c>
      <c r="W318" s="5">
        <f>data_origin!W361</f>
        <v>849.39168490153179</v>
      </c>
      <c r="X318" s="5">
        <f>data_origin!X361</f>
        <v>557.75391498881436</v>
      </c>
      <c r="Y318" s="5">
        <f>data_origin!Y361</f>
        <v>57.926829268292686</v>
      </c>
      <c r="Z318" s="5">
        <f>data_origin!Z361</f>
        <v>7.0714285714285712</v>
      </c>
      <c r="AA318" s="5">
        <f>data_origin!AA361</f>
        <v>6.0606060606060608E-2</v>
      </c>
      <c r="AB318" s="5">
        <f t="shared" si="40"/>
        <v>1994.3290928707922</v>
      </c>
      <c r="AH318" t="s">
        <v>88</v>
      </c>
      <c r="AI318" s="5">
        <f>data_origin!T2608</f>
        <v>0</v>
      </c>
      <c r="AJ318" s="5">
        <f>data_origin!U2608</f>
        <v>0</v>
      </c>
      <c r="AK318" s="5">
        <f>data_origin!V2608</f>
        <v>0</v>
      </c>
      <c r="AL318" s="5">
        <f>data_origin!W2608</f>
        <v>0</v>
      </c>
      <c r="AM318" s="5">
        <f>data_origin!X2608</f>
        <v>0</v>
      </c>
      <c r="AN318" s="5">
        <f>data_origin!Y2608</f>
        <v>0</v>
      </c>
      <c r="AO318" s="5">
        <f>data_origin!Z2608</f>
        <v>0</v>
      </c>
      <c r="AP318" s="5">
        <f>data_origin!AA2608</f>
        <v>0</v>
      </c>
      <c r="AQ318" s="9">
        <f t="shared" si="41"/>
        <v>0</v>
      </c>
      <c r="AV318" t="s">
        <v>88</v>
      </c>
      <c r="AW318" s="5">
        <f>data_origin!T3322</f>
        <v>0</v>
      </c>
      <c r="AX318" s="5">
        <f>data_origin!U3322</f>
        <v>0</v>
      </c>
      <c r="AY318" s="5">
        <f>data_origin!V3322</f>
        <v>0</v>
      </c>
      <c r="AZ318" s="5">
        <f>data_origin!W3322</f>
        <v>0</v>
      </c>
      <c r="BA318" s="5">
        <f>data_origin!X3322</f>
        <v>0</v>
      </c>
      <c r="BB318" s="5">
        <f>data_origin!Y3322</f>
        <v>0</v>
      </c>
      <c r="BC318" s="5">
        <f>data_origin!Z3322</f>
        <v>0</v>
      </c>
      <c r="BD318" s="5">
        <f>data_origin!AA3322</f>
        <v>0</v>
      </c>
      <c r="BE318" s="9">
        <f t="shared" si="42"/>
        <v>0</v>
      </c>
    </row>
    <row r="319" spans="1:57" x14ac:dyDescent="0.25">
      <c r="A319" s="14"/>
      <c r="D319" t="s">
        <v>89</v>
      </c>
      <c r="E319" s="38">
        <f t="shared" si="39"/>
        <v>0</v>
      </c>
      <c r="F319" s="38">
        <f t="shared" si="39"/>
        <v>0</v>
      </c>
      <c r="G319" s="38">
        <f t="shared" si="39"/>
        <v>86.417119846625624</v>
      </c>
      <c r="H319" s="38">
        <f t="shared" si="39"/>
        <v>214.1864740080766</v>
      </c>
      <c r="I319" s="38">
        <f t="shared" si="39"/>
        <v>142.8263663753105</v>
      </c>
      <c r="J319" s="38">
        <f t="shared" si="37"/>
        <v>33.110581315365238</v>
      </c>
      <c r="K319" s="38">
        <f t="shared" si="37"/>
        <v>0</v>
      </c>
      <c r="L319" s="38">
        <f t="shared" si="37"/>
        <v>6.5268065268065265E-2</v>
      </c>
      <c r="M319" s="35">
        <f t="shared" si="38"/>
        <v>476.60580961064608</v>
      </c>
      <c r="P319" s="14"/>
      <c r="S319" t="s">
        <v>89</v>
      </c>
      <c r="T319" s="5">
        <f>data_origin!T362</f>
        <v>0</v>
      </c>
      <c r="U319" s="5">
        <f>data_origin!U362</f>
        <v>0</v>
      </c>
      <c r="V319" s="5">
        <f>data_origin!V362</f>
        <v>85.744807121661722</v>
      </c>
      <c r="W319" s="5">
        <f>data_origin!W362</f>
        <v>211.54660831509847</v>
      </c>
      <c r="X319" s="5">
        <f>data_origin!X362</f>
        <v>140.32662192393735</v>
      </c>
      <c r="Y319" s="5">
        <f>data_origin!Y362</f>
        <v>32.439024390243901</v>
      </c>
      <c r="Z319" s="5">
        <f>data_origin!Z362</f>
        <v>0</v>
      </c>
      <c r="AA319" s="5">
        <f>data_origin!AA362</f>
        <v>6.0606060606060608E-2</v>
      </c>
      <c r="AB319" s="5">
        <f t="shared" si="40"/>
        <v>470.11766781154751</v>
      </c>
      <c r="AH319" t="s">
        <v>89</v>
      </c>
      <c r="AI319" s="5">
        <f>data_origin!T2609</f>
        <v>0</v>
      </c>
      <c r="AJ319" s="5">
        <f>data_origin!U2609</f>
        <v>0</v>
      </c>
      <c r="AK319" s="5">
        <f>data_origin!V2609</f>
        <v>0</v>
      </c>
      <c r="AL319" s="5">
        <f>data_origin!W2609</f>
        <v>0</v>
      </c>
      <c r="AM319" s="5">
        <f>data_origin!X2609</f>
        <v>0</v>
      </c>
      <c r="AN319" s="5">
        <f>data_origin!Y2609</f>
        <v>0</v>
      </c>
      <c r="AO319" s="5">
        <f>data_origin!Z2609</f>
        <v>0</v>
      </c>
      <c r="AP319" s="5">
        <f>data_origin!AA2609</f>
        <v>0</v>
      </c>
      <c r="AQ319" s="9">
        <f t="shared" si="41"/>
        <v>0</v>
      </c>
      <c r="AV319" t="s">
        <v>89</v>
      </c>
      <c r="AW319" s="5">
        <f>data_origin!T3323</f>
        <v>0</v>
      </c>
      <c r="AX319" s="5">
        <f>data_origin!U3323</f>
        <v>0</v>
      </c>
      <c r="AY319" s="5">
        <f>data_origin!V3323</f>
        <v>0</v>
      </c>
      <c r="AZ319" s="5">
        <f>data_origin!W3323</f>
        <v>0</v>
      </c>
      <c r="BA319" s="5">
        <f>data_origin!X3323</f>
        <v>0</v>
      </c>
      <c r="BB319" s="5">
        <f>data_origin!Y3323</f>
        <v>0</v>
      </c>
      <c r="BC319" s="5">
        <f>data_origin!Z3323</f>
        <v>0</v>
      </c>
      <c r="BD319" s="5">
        <f>data_origin!AA3323</f>
        <v>0</v>
      </c>
      <c r="BE319" s="9">
        <f t="shared" si="42"/>
        <v>0</v>
      </c>
    </row>
    <row r="320" spans="1:57" x14ac:dyDescent="0.25">
      <c r="A320" s="14"/>
      <c r="D320" t="s">
        <v>90</v>
      </c>
      <c r="E320" s="38">
        <f t="shared" ref="E320:L332" si="43">T320+AI188+IFERROR((T320/SUM(T$3:T$992)*AI$630),0)+IFERROR((T320/SUM(T$135:T$332,T$465:T$662,T$795:T$992)*AI$732),0)</f>
        <v>0</v>
      </c>
      <c r="F320" s="38">
        <f t="shared" si="43"/>
        <v>0</v>
      </c>
      <c r="G320" s="38">
        <f t="shared" si="43"/>
        <v>0</v>
      </c>
      <c r="H320" s="38">
        <f t="shared" si="43"/>
        <v>6.4904992123659575</v>
      </c>
      <c r="I320" s="38">
        <f t="shared" si="43"/>
        <v>1.8079286882950696</v>
      </c>
      <c r="J320" s="38">
        <f t="shared" si="37"/>
        <v>0</v>
      </c>
      <c r="K320" s="38">
        <f t="shared" si="37"/>
        <v>0</v>
      </c>
      <c r="L320" s="38">
        <f t="shared" si="37"/>
        <v>6.5268065268065265E-2</v>
      </c>
      <c r="M320" s="35">
        <f t="shared" si="38"/>
        <v>8.3636959659290913</v>
      </c>
      <c r="P320" s="14"/>
      <c r="S320" t="s">
        <v>90</v>
      </c>
      <c r="T320" s="5">
        <f>data_origin!T363</f>
        <v>0</v>
      </c>
      <c r="U320" s="5">
        <f>data_origin!U363</f>
        <v>0</v>
      </c>
      <c r="V320" s="5">
        <f>data_origin!V363</f>
        <v>0</v>
      </c>
      <c r="W320" s="5">
        <f>data_origin!W363</f>
        <v>6.4105032822757106</v>
      </c>
      <c r="X320" s="5">
        <f>data_origin!X363</f>
        <v>1.7762863534675615</v>
      </c>
      <c r="Y320" s="5">
        <f>data_origin!Y363</f>
        <v>0</v>
      </c>
      <c r="Z320" s="5">
        <f>data_origin!Z363</f>
        <v>0</v>
      </c>
      <c r="AA320" s="5">
        <f>data_origin!AA363</f>
        <v>6.0606060606060608E-2</v>
      </c>
      <c r="AB320" s="5">
        <f t="shared" si="40"/>
        <v>8.2473956963493329</v>
      </c>
      <c r="AH320" t="s">
        <v>90</v>
      </c>
      <c r="AI320" s="5">
        <f>data_origin!T2610</f>
        <v>0</v>
      </c>
      <c r="AJ320" s="5">
        <f>data_origin!U2610</f>
        <v>0</v>
      </c>
      <c r="AK320" s="5">
        <f>data_origin!V2610</f>
        <v>0</v>
      </c>
      <c r="AL320" s="5">
        <f>data_origin!W2610</f>
        <v>0</v>
      </c>
      <c r="AM320" s="5">
        <f>data_origin!X2610</f>
        <v>0</v>
      </c>
      <c r="AN320" s="5">
        <f>data_origin!Y2610</f>
        <v>0</v>
      </c>
      <c r="AO320" s="5">
        <f>data_origin!Z2610</f>
        <v>0</v>
      </c>
      <c r="AP320" s="5">
        <f>data_origin!AA2610</f>
        <v>0</v>
      </c>
      <c r="AQ320" s="9">
        <f t="shared" si="41"/>
        <v>0</v>
      </c>
      <c r="AV320" t="s">
        <v>90</v>
      </c>
      <c r="AW320" s="5">
        <f>data_origin!T3324</f>
        <v>0</v>
      </c>
      <c r="AX320" s="5">
        <f>data_origin!U3324</f>
        <v>0</v>
      </c>
      <c r="AY320" s="5">
        <f>data_origin!V3324</f>
        <v>0</v>
      </c>
      <c r="AZ320" s="5">
        <f>data_origin!W3324</f>
        <v>0</v>
      </c>
      <c r="BA320" s="5">
        <f>data_origin!X3324</f>
        <v>0</v>
      </c>
      <c r="BB320" s="5">
        <f>data_origin!Y3324</f>
        <v>0</v>
      </c>
      <c r="BC320" s="5">
        <f>data_origin!Z3324</f>
        <v>0</v>
      </c>
      <c r="BD320" s="5">
        <f>data_origin!AA3324</f>
        <v>0</v>
      </c>
      <c r="BE320" s="9">
        <f t="shared" si="42"/>
        <v>0</v>
      </c>
    </row>
    <row r="321" spans="1:58" x14ac:dyDescent="0.25">
      <c r="A321" s="14"/>
      <c r="D321" t="s">
        <v>91</v>
      </c>
      <c r="E321" s="38">
        <f t="shared" si="43"/>
        <v>0</v>
      </c>
      <c r="F321" s="38">
        <f t="shared" si="43"/>
        <v>0</v>
      </c>
      <c r="G321" s="38">
        <f t="shared" si="43"/>
        <v>20.061117107252379</v>
      </c>
      <c r="H321" s="38">
        <f t="shared" si="43"/>
        <v>63.282367320568085</v>
      </c>
      <c r="I321" s="38">
        <f t="shared" si="43"/>
        <v>43.390288519081679</v>
      </c>
      <c r="J321" s="38">
        <f t="shared" si="37"/>
        <v>7.0951245675782646</v>
      </c>
      <c r="K321" s="38">
        <f t="shared" si="37"/>
        <v>2.4011194029850742</v>
      </c>
      <c r="L321" s="38">
        <f t="shared" si="37"/>
        <v>6.5268065268065265E-2</v>
      </c>
      <c r="M321" s="35">
        <f t="shared" si="38"/>
        <v>136.29528498273356</v>
      </c>
      <c r="P321" s="14"/>
      <c r="S321" t="s">
        <v>91</v>
      </c>
      <c r="T321" s="5">
        <f>data_origin!T364</f>
        <v>0</v>
      </c>
      <c r="U321" s="5">
        <f>data_origin!U364</f>
        <v>0</v>
      </c>
      <c r="V321" s="5">
        <f>data_origin!V364</f>
        <v>19.905044510385757</v>
      </c>
      <c r="W321" s="5">
        <f>data_origin!W364</f>
        <v>62.502407002188178</v>
      </c>
      <c r="X321" s="5">
        <f>data_origin!X364</f>
        <v>42.630872483221481</v>
      </c>
      <c r="Y321" s="5">
        <f>data_origin!Y364</f>
        <v>6.9512195121951219</v>
      </c>
      <c r="Z321" s="5">
        <f>data_origin!Z364</f>
        <v>2.3571428571428568</v>
      </c>
      <c r="AA321" s="5">
        <f>data_origin!AA364</f>
        <v>6.0606060606060608E-2</v>
      </c>
      <c r="AB321" s="5">
        <f t="shared" si="40"/>
        <v>134.40729242573946</v>
      </c>
      <c r="AH321" t="s">
        <v>91</v>
      </c>
      <c r="AI321" s="5">
        <f>data_origin!T2611</f>
        <v>0</v>
      </c>
      <c r="AJ321" s="5">
        <f>data_origin!U2611</f>
        <v>0</v>
      </c>
      <c r="AK321" s="5">
        <f>data_origin!V2611</f>
        <v>0</v>
      </c>
      <c r="AL321" s="5">
        <f>data_origin!W2611</f>
        <v>0</v>
      </c>
      <c r="AM321" s="5">
        <f>data_origin!X2611</f>
        <v>0</v>
      </c>
      <c r="AN321" s="5">
        <f>data_origin!Y2611</f>
        <v>0</v>
      </c>
      <c r="AO321" s="5">
        <f>data_origin!Z2611</f>
        <v>0</v>
      </c>
      <c r="AP321" s="5">
        <f>data_origin!AA2611</f>
        <v>0</v>
      </c>
      <c r="AQ321" s="9">
        <f t="shared" si="41"/>
        <v>0</v>
      </c>
      <c r="AV321" t="s">
        <v>91</v>
      </c>
      <c r="AW321" s="5">
        <f>data_origin!T3325</f>
        <v>0</v>
      </c>
      <c r="AX321" s="5">
        <f>data_origin!U3325</f>
        <v>0</v>
      </c>
      <c r="AY321" s="5">
        <f>data_origin!V3325</f>
        <v>0</v>
      </c>
      <c r="AZ321" s="5">
        <f>data_origin!W3325</f>
        <v>0</v>
      </c>
      <c r="BA321" s="5">
        <f>data_origin!X3325</f>
        <v>0</v>
      </c>
      <c r="BB321" s="5">
        <f>data_origin!Y3325</f>
        <v>0</v>
      </c>
      <c r="BC321" s="5">
        <f>data_origin!Z3325</f>
        <v>0</v>
      </c>
      <c r="BD321" s="5">
        <f>data_origin!AA3325</f>
        <v>0</v>
      </c>
      <c r="BE321" s="9">
        <f t="shared" si="42"/>
        <v>0</v>
      </c>
    </row>
    <row r="322" spans="1:58" x14ac:dyDescent="0.25">
      <c r="A322" s="14"/>
      <c r="D322" t="s">
        <v>92</v>
      </c>
      <c r="E322" s="38">
        <f t="shared" si="43"/>
        <v>0</v>
      </c>
      <c r="F322" s="38">
        <f t="shared" si="43"/>
        <v>0</v>
      </c>
      <c r="G322" s="38">
        <f t="shared" si="43"/>
        <v>3.086325708808058</v>
      </c>
      <c r="H322" s="38">
        <f t="shared" si="43"/>
        <v>0</v>
      </c>
      <c r="I322" s="38">
        <f t="shared" si="43"/>
        <v>1.8079286882950696</v>
      </c>
      <c r="J322" s="38">
        <f t="shared" si="37"/>
        <v>0</v>
      </c>
      <c r="K322" s="38">
        <f t="shared" si="37"/>
        <v>0</v>
      </c>
      <c r="L322" s="38">
        <f t="shared" si="37"/>
        <v>6.5268065268065265E-2</v>
      </c>
      <c r="M322" s="35">
        <f t="shared" si="38"/>
        <v>4.9595224623711927</v>
      </c>
      <c r="P322" s="14"/>
      <c r="S322" t="s">
        <v>92</v>
      </c>
      <c r="T322" s="5">
        <f>data_origin!T365</f>
        <v>0</v>
      </c>
      <c r="U322" s="5">
        <f>data_origin!U365</f>
        <v>0</v>
      </c>
      <c r="V322" s="5">
        <f>data_origin!V365</f>
        <v>3.0623145400593472</v>
      </c>
      <c r="W322" s="5">
        <f>data_origin!W365</f>
        <v>0</v>
      </c>
      <c r="X322" s="5">
        <f>data_origin!X365</f>
        <v>1.7762863534675615</v>
      </c>
      <c r="Y322" s="5">
        <f>data_origin!Y365</f>
        <v>0</v>
      </c>
      <c r="Z322" s="5">
        <f>data_origin!Z365</f>
        <v>0</v>
      </c>
      <c r="AA322" s="5">
        <f>data_origin!AA365</f>
        <v>6.0606060606060608E-2</v>
      </c>
      <c r="AB322" s="5">
        <f t="shared" si="40"/>
        <v>4.8992069541329695</v>
      </c>
      <c r="AH322" t="s">
        <v>92</v>
      </c>
      <c r="AI322" s="5">
        <f>data_origin!T2612</f>
        <v>0</v>
      </c>
      <c r="AJ322" s="5">
        <f>data_origin!U2612</f>
        <v>0</v>
      </c>
      <c r="AK322" s="5">
        <f>data_origin!V2612</f>
        <v>0</v>
      </c>
      <c r="AL322" s="5">
        <f>data_origin!W2612</f>
        <v>0</v>
      </c>
      <c r="AM322" s="5">
        <f>data_origin!X2612</f>
        <v>0</v>
      </c>
      <c r="AN322" s="5">
        <f>data_origin!Y2612</f>
        <v>0</v>
      </c>
      <c r="AO322" s="5">
        <f>data_origin!Z2612</f>
        <v>0</v>
      </c>
      <c r="AP322" s="5">
        <f>data_origin!AA2612</f>
        <v>0</v>
      </c>
      <c r="AQ322" s="9">
        <f t="shared" si="41"/>
        <v>0</v>
      </c>
      <c r="AV322" t="s">
        <v>92</v>
      </c>
      <c r="AW322" s="5">
        <f>data_origin!T3326</f>
        <v>0</v>
      </c>
      <c r="AX322" s="5">
        <f>data_origin!U3326</f>
        <v>0</v>
      </c>
      <c r="AY322" s="5">
        <f>data_origin!V3326</f>
        <v>0</v>
      </c>
      <c r="AZ322" s="5">
        <f>data_origin!W3326</f>
        <v>0</v>
      </c>
      <c r="BA322" s="5">
        <f>data_origin!X3326</f>
        <v>0</v>
      </c>
      <c r="BB322" s="5">
        <f>data_origin!Y3326</f>
        <v>0</v>
      </c>
      <c r="BC322" s="5">
        <f>data_origin!Z3326</f>
        <v>0</v>
      </c>
      <c r="BD322" s="5">
        <f>data_origin!AA3326</f>
        <v>0</v>
      </c>
      <c r="BE322" s="9">
        <f t="shared" si="42"/>
        <v>0</v>
      </c>
    </row>
    <row r="323" spans="1:58" x14ac:dyDescent="0.25">
      <c r="A323" s="14"/>
      <c r="D323" t="s">
        <v>93</v>
      </c>
      <c r="E323" s="38">
        <f t="shared" si="43"/>
        <v>0</v>
      </c>
      <c r="F323" s="38">
        <f t="shared" si="43"/>
        <v>0</v>
      </c>
      <c r="G323" s="38">
        <f t="shared" si="43"/>
        <v>1.543162854404029</v>
      </c>
      <c r="H323" s="38">
        <f t="shared" si="43"/>
        <v>9.7357488185489363</v>
      </c>
      <c r="I323" s="38">
        <f t="shared" si="43"/>
        <v>3.6158573765901392</v>
      </c>
      <c r="J323" s="38">
        <f t="shared" si="37"/>
        <v>2.3650415225260888</v>
      </c>
      <c r="K323" s="38">
        <f t="shared" si="37"/>
        <v>0</v>
      </c>
      <c r="L323" s="38">
        <f t="shared" si="37"/>
        <v>6.5268065268065265E-2</v>
      </c>
      <c r="M323" s="35">
        <f t="shared" si="38"/>
        <v>17.325078637337256</v>
      </c>
      <c r="P323" s="14"/>
      <c r="S323" t="s">
        <v>93</v>
      </c>
      <c r="T323" s="5">
        <f>data_origin!T366</f>
        <v>0</v>
      </c>
      <c r="U323" s="5">
        <f>data_origin!U366</f>
        <v>0</v>
      </c>
      <c r="V323" s="5">
        <f>data_origin!V366</f>
        <v>1.5311572700296736</v>
      </c>
      <c r="W323" s="5">
        <f>data_origin!W366</f>
        <v>9.6157549234135669</v>
      </c>
      <c r="X323" s="5">
        <f>data_origin!X366</f>
        <v>3.5525727069351229</v>
      </c>
      <c r="Y323" s="5">
        <f>data_origin!Y366</f>
        <v>2.3170731707317076</v>
      </c>
      <c r="Z323" s="5">
        <f>data_origin!Z366</f>
        <v>0</v>
      </c>
      <c r="AA323" s="5">
        <f>data_origin!AA366</f>
        <v>6.0606060606060608E-2</v>
      </c>
      <c r="AB323" s="5">
        <f t="shared" si="40"/>
        <v>17.077164131716135</v>
      </c>
      <c r="AH323" t="s">
        <v>93</v>
      </c>
      <c r="AI323" s="5">
        <f>data_origin!T2613</f>
        <v>0</v>
      </c>
      <c r="AJ323" s="5">
        <f>data_origin!U2613</f>
        <v>0</v>
      </c>
      <c r="AK323" s="5">
        <f>data_origin!V2613</f>
        <v>0</v>
      </c>
      <c r="AL323" s="5">
        <f>data_origin!W2613</f>
        <v>0</v>
      </c>
      <c r="AM323" s="5">
        <f>data_origin!X2613</f>
        <v>0</v>
      </c>
      <c r="AN323" s="5">
        <f>data_origin!Y2613</f>
        <v>0</v>
      </c>
      <c r="AO323" s="5">
        <f>data_origin!Z2613</f>
        <v>0</v>
      </c>
      <c r="AP323" s="5">
        <f>data_origin!AA2613</f>
        <v>0</v>
      </c>
      <c r="AQ323" s="9">
        <f t="shared" si="41"/>
        <v>0</v>
      </c>
      <c r="AV323" t="s">
        <v>93</v>
      </c>
      <c r="AW323" s="5">
        <f>data_origin!T3327</f>
        <v>0</v>
      </c>
      <c r="AX323" s="5">
        <f>data_origin!U3327</f>
        <v>0</v>
      </c>
      <c r="AY323" s="5">
        <f>data_origin!V3327</f>
        <v>0</v>
      </c>
      <c r="AZ323" s="5">
        <f>data_origin!W3327</f>
        <v>0</v>
      </c>
      <c r="BA323" s="5">
        <f>data_origin!X3327</f>
        <v>0</v>
      </c>
      <c r="BB323" s="5">
        <f>data_origin!Y3327</f>
        <v>0</v>
      </c>
      <c r="BC323" s="5">
        <f>data_origin!Z3327</f>
        <v>0</v>
      </c>
      <c r="BD323" s="5">
        <f>data_origin!AA3327</f>
        <v>0</v>
      </c>
      <c r="BE323" s="9">
        <f t="shared" si="42"/>
        <v>0</v>
      </c>
    </row>
    <row r="324" spans="1:58" x14ac:dyDescent="0.25">
      <c r="A324" s="14"/>
      <c r="D324" t="s">
        <v>94</v>
      </c>
      <c r="E324" s="38">
        <f t="shared" si="43"/>
        <v>0</v>
      </c>
      <c r="F324" s="38">
        <f t="shared" si="43"/>
        <v>0</v>
      </c>
      <c r="G324" s="38">
        <f t="shared" si="43"/>
        <v>0</v>
      </c>
      <c r="H324" s="38">
        <f t="shared" si="43"/>
        <v>0</v>
      </c>
      <c r="I324" s="38">
        <f t="shared" si="43"/>
        <v>0</v>
      </c>
      <c r="J324" s="38">
        <f t="shared" si="43"/>
        <v>0</v>
      </c>
      <c r="K324" s="38">
        <f t="shared" si="43"/>
        <v>0</v>
      </c>
      <c r="L324" s="38">
        <f t="shared" si="43"/>
        <v>6.5268065268065265E-2</v>
      </c>
      <c r="M324" s="35">
        <f t="shared" si="38"/>
        <v>6.5268065268065265E-2</v>
      </c>
      <c r="P324" s="14"/>
      <c r="S324" t="s">
        <v>94</v>
      </c>
      <c r="T324" s="5">
        <f>data_origin!T367</f>
        <v>0</v>
      </c>
      <c r="U324" s="5">
        <f>data_origin!U367</f>
        <v>0</v>
      </c>
      <c r="V324" s="5">
        <f>data_origin!V367</f>
        <v>0</v>
      </c>
      <c r="W324" s="5">
        <f>data_origin!W367</f>
        <v>0</v>
      </c>
      <c r="X324" s="5">
        <f>data_origin!X367</f>
        <v>0</v>
      </c>
      <c r="Y324" s="5">
        <f>data_origin!Y367</f>
        <v>0</v>
      </c>
      <c r="Z324" s="5">
        <f>data_origin!Z367</f>
        <v>0</v>
      </c>
      <c r="AA324" s="5">
        <f>data_origin!AA367</f>
        <v>6.0606060606060608E-2</v>
      </c>
      <c r="AB324" s="5">
        <f t="shared" si="40"/>
        <v>6.0606060606060608E-2</v>
      </c>
      <c r="AH324" t="s">
        <v>94</v>
      </c>
      <c r="AI324" s="5">
        <f>data_origin!T2614</f>
        <v>0</v>
      </c>
      <c r="AJ324" s="5">
        <f>data_origin!U2614</f>
        <v>0</v>
      </c>
      <c r="AK324" s="5">
        <f>data_origin!V2614</f>
        <v>0</v>
      </c>
      <c r="AL324" s="5">
        <f>data_origin!W2614</f>
        <v>0</v>
      </c>
      <c r="AM324" s="5">
        <f>data_origin!X2614</f>
        <v>0</v>
      </c>
      <c r="AN324" s="5">
        <f>data_origin!Y2614</f>
        <v>0</v>
      </c>
      <c r="AO324" s="5">
        <f>data_origin!Z2614</f>
        <v>0</v>
      </c>
      <c r="AP324" s="5">
        <f>data_origin!AA2614</f>
        <v>0</v>
      </c>
      <c r="AQ324" s="9">
        <f t="shared" si="41"/>
        <v>0</v>
      </c>
      <c r="AV324" t="s">
        <v>94</v>
      </c>
      <c r="AW324" s="5">
        <f>data_origin!T3328</f>
        <v>0</v>
      </c>
      <c r="AX324" s="5">
        <f>data_origin!U3328</f>
        <v>0</v>
      </c>
      <c r="AY324" s="5">
        <f>data_origin!V3328</f>
        <v>0</v>
      </c>
      <c r="AZ324" s="5">
        <f>data_origin!W3328</f>
        <v>0</v>
      </c>
      <c r="BA324" s="5">
        <f>data_origin!X3328</f>
        <v>0</v>
      </c>
      <c r="BB324" s="5">
        <f>data_origin!Y3328</f>
        <v>0</v>
      </c>
      <c r="BC324" s="5">
        <f>data_origin!Z3328</f>
        <v>0</v>
      </c>
      <c r="BD324" s="5">
        <f>data_origin!AA3328</f>
        <v>0</v>
      </c>
      <c r="BE324" s="9">
        <f t="shared" si="42"/>
        <v>0</v>
      </c>
    </row>
    <row r="325" spans="1:58" x14ac:dyDescent="0.25">
      <c r="A325" s="14"/>
      <c r="D325" t="s">
        <v>95</v>
      </c>
      <c r="E325" s="38">
        <f t="shared" si="43"/>
        <v>0</v>
      </c>
      <c r="F325" s="38">
        <f t="shared" si="43"/>
        <v>0</v>
      </c>
      <c r="G325" s="38">
        <f t="shared" si="43"/>
        <v>0</v>
      </c>
      <c r="H325" s="38">
        <f t="shared" si="43"/>
        <v>1.6226248030914894</v>
      </c>
      <c r="I325" s="38">
        <f t="shared" si="43"/>
        <v>0</v>
      </c>
      <c r="J325" s="38">
        <f t="shared" si="43"/>
        <v>0</v>
      </c>
      <c r="K325" s="38">
        <f t="shared" si="43"/>
        <v>0</v>
      </c>
      <c r="L325" s="38">
        <f t="shared" si="43"/>
        <v>6.5268065268065265E-2</v>
      </c>
      <c r="M325" s="35">
        <f t="shared" si="38"/>
        <v>1.6878928683595547</v>
      </c>
      <c r="P325" s="14"/>
      <c r="S325" t="s">
        <v>95</v>
      </c>
      <c r="T325" s="5">
        <f>data_origin!T368</f>
        <v>0</v>
      </c>
      <c r="U325" s="5">
        <f>data_origin!U368</f>
        <v>0</v>
      </c>
      <c r="V325" s="5">
        <f>data_origin!V368</f>
        <v>0</v>
      </c>
      <c r="W325" s="5">
        <f>data_origin!W368</f>
        <v>1.6026258205689277</v>
      </c>
      <c r="X325" s="5">
        <f>data_origin!X368</f>
        <v>0</v>
      </c>
      <c r="Y325" s="5">
        <f>data_origin!Y368</f>
        <v>0</v>
      </c>
      <c r="Z325" s="5">
        <f>data_origin!Z368</f>
        <v>0</v>
      </c>
      <c r="AA325" s="5">
        <f>data_origin!AA368</f>
        <v>6.0606060606060608E-2</v>
      </c>
      <c r="AB325" s="5">
        <f t="shared" si="40"/>
        <v>1.6632318811749882</v>
      </c>
      <c r="AH325" t="s">
        <v>95</v>
      </c>
      <c r="AI325" s="5">
        <f>data_origin!T2615</f>
        <v>0</v>
      </c>
      <c r="AJ325" s="5">
        <f>data_origin!U2615</f>
        <v>0</v>
      </c>
      <c r="AK325" s="5">
        <f>data_origin!V2615</f>
        <v>0</v>
      </c>
      <c r="AL325" s="5">
        <f>data_origin!W2615</f>
        <v>0</v>
      </c>
      <c r="AM325" s="5">
        <f>data_origin!X2615</f>
        <v>0</v>
      </c>
      <c r="AN325" s="5">
        <f>data_origin!Y2615</f>
        <v>0</v>
      </c>
      <c r="AO325" s="5">
        <f>data_origin!Z2615</f>
        <v>0</v>
      </c>
      <c r="AP325" s="5">
        <f>data_origin!AA2615</f>
        <v>0</v>
      </c>
      <c r="AQ325" s="9">
        <f t="shared" si="41"/>
        <v>0</v>
      </c>
      <c r="AV325" t="s">
        <v>95</v>
      </c>
      <c r="AW325" s="5">
        <f>data_origin!T3329</f>
        <v>0</v>
      </c>
      <c r="AX325" s="5">
        <f>data_origin!U3329</f>
        <v>0</v>
      </c>
      <c r="AY325" s="5">
        <f>data_origin!V3329</f>
        <v>0</v>
      </c>
      <c r="AZ325" s="5">
        <f>data_origin!W3329</f>
        <v>0</v>
      </c>
      <c r="BA325" s="5">
        <f>data_origin!X3329</f>
        <v>0</v>
      </c>
      <c r="BB325" s="5">
        <f>data_origin!Y3329</f>
        <v>0</v>
      </c>
      <c r="BC325" s="5">
        <f>data_origin!Z3329</f>
        <v>0</v>
      </c>
      <c r="BD325" s="5">
        <f>data_origin!AA3329</f>
        <v>0</v>
      </c>
      <c r="BE325" s="9">
        <f t="shared" si="42"/>
        <v>0</v>
      </c>
    </row>
    <row r="326" spans="1:58" x14ac:dyDescent="0.25">
      <c r="A326" s="14"/>
      <c r="D326" t="s">
        <v>96</v>
      </c>
      <c r="E326" s="38">
        <f t="shared" si="43"/>
        <v>0</v>
      </c>
      <c r="F326" s="38">
        <f t="shared" si="43"/>
        <v>0</v>
      </c>
      <c r="G326" s="38">
        <f t="shared" si="43"/>
        <v>4.629488563212087</v>
      </c>
      <c r="H326" s="38">
        <f t="shared" si="43"/>
        <v>9.3797906821241135</v>
      </c>
      <c r="I326" s="38">
        <f t="shared" si="43"/>
        <v>14.463429506360557</v>
      </c>
      <c r="J326" s="38">
        <f t="shared" si="43"/>
        <v>0</v>
      </c>
      <c r="K326" s="38">
        <f t="shared" si="43"/>
        <v>0</v>
      </c>
      <c r="L326" s="38">
        <f t="shared" si="43"/>
        <v>6.5268065268065265E-2</v>
      </c>
      <c r="M326" s="35">
        <f t="shared" si="38"/>
        <v>28.537976816964822</v>
      </c>
      <c r="P326" s="14"/>
      <c r="S326" t="s">
        <v>96</v>
      </c>
      <c r="T326" s="5">
        <f>data_origin!T369</f>
        <v>0</v>
      </c>
      <c r="U326" s="5">
        <f>data_origin!U369</f>
        <v>0</v>
      </c>
      <c r="V326" s="5">
        <f>data_origin!V369</f>
        <v>4.5934718100890208</v>
      </c>
      <c r="W326" s="5">
        <f>data_origin!W369</f>
        <v>8.0131291028446388</v>
      </c>
      <c r="X326" s="5">
        <f>data_origin!X369</f>
        <v>14.210290827740492</v>
      </c>
      <c r="Y326" s="5">
        <f>data_origin!Y369</f>
        <v>0</v>
      </c>
      <c r="Z326" s="5">
        <f>data_origin!Z369</f>
        <v>0</v>
      </c>
      <c r="AA326" s="5">
        <f>data_origin!AA369</f>
        <v>6.0606060606060608E-2</v>
      </c>
      <c r="AB326" s="5">
        <f t="shared" si="40"/>
        <v>26.877497801280214</v>
      </c>
      <c r="AH326" t="s">
        <v>96</v>
      </c>
      <c r="AI326" s="5">
        <f>data_origin!T2616</f>
        <v>0</v>
      </c>
      <c r="AJ326" s="5">
        <f>data_origin!U2616</f>
        <v>0</v>
      </c>
      <c r="AK326" s="5">
        <f>data_origin!V2616</f>
        <v>0</v>
      </c>
      <c r="AL326" s="5">
        <f>data_origin!W2616</f>
        <v>0</v>
      </c>
      <c r="AM326" s="5">
        <f>data_origin!X2616</f>
        <v>0</v>
      </c>
      <c r="AN326" s="5">
        <f>data_origin!Y2616</f>
        <v>0</v>
      </c>
      <c r="AO326" s="5">
        <f>data_origin!Z2616</f>
        <v>0</v>
      </c>
      <c r="AP326" s="5">
        <f>data_origin!AA2616</f>
        <v>0</v>
      </c>
      <c r="AQ326" s="9">
        <f t="shared" si="41"/>
        <v>0</v>
      </c>
      <c r="AV326" t="s">
        <v>96</v>
      </c>
      <c r="AW326" s="5">
        <f>data_origin!T3330</f>
        <v>0</v>
      </c>
      <c r="AX326" s="5">
        <f>data_origin!U3330</f>
        <v>0</v>
      </c>
      <c r="AY326" s="5">
        <f>data_origin!V3330</f>
        <v>0</v>
      </c>
      <c r="AZ326" s="5">
        <f>data_origin!W3330</f>
        <v>0</v>
      </c>
      <c r="BA326" s="5">
        <f>data_origin!X3330</f>
        <v>0</v>
      </c>
      <c r="BB326" s="5">
        <f>data_origin!Y3330</f>
        <v>0</v>
      </c>
      <c r="BC326" s="5">
        <f>data_origin!Z3330</f>
        <v>0</v>
      </c>
      <c r="BD326" s="5">
        <f>data_origin!AA3330</f>
        <v>0</v>
      </c>
      <c r="BE326" s="9">
        <f t="shared" si="42"/>
        <v>0</v>
      </c>
    </row>
    <row r="327" spans="1:58" x14ac:dyDescent="0.25">
      <c r="A327" s="14"/>
      <c r="D327" t="s">
        <v>97</v>
      </c>
      <c r="E327" s="38">
        <f t="shared" si="43"/>
        <v>0</v>
      </c>
      <c r="F327" s="38">
        <f t="shared" si="43"/>
        <v>0</v>
      </c>
      <c r="G327" s="38">
        <f t="shared" si="43"/>
        <v>27.776931379272522</v>
      </c>
      <c r="H327" s="38">
        <f t="shared" si="43"/>
        <v>21.094122440189363</v>
      </c>
      <c r="I327" s="38">
        <f t="shared" si="43"/>
        <v>34.350645077606323</v>
      </c>
      <c r="J327" s="38">
        <f t="shared" si="43"/>
        <v>0</v>
      </c>
      <c r="K327" s="38">
        <f t="shared" si="43"/>
        <v>0</v>
      </c>
      <c r="L327" s="38">
        <f t="shared" si="43"/>
        <v>6.5268065268065265E-2</v>
      </c>
      <c r="M327" s="35">
        <f t="shared" si="38"/>
        <v>83.28696696233628</v>
      </c>
      <c r="P327" s="14"/>
      <c r="S327" t="s">
        <v>97</v>
      </c>
      <c r="T327" s="5">
        <f>data_origin!T370</f>
        <v>0</v>
      </c>
      <c r="U327" s="5">
        <f>data_origin!U370</f>
        <v>0</v>
      </c>
      <c r="V327" s="5">
        <f>data_origin!V370</f>
        <v>27.560830860534125</v>
      </c>
      <c r="W327" s="5">
        <f>data_origin!W370</f>
        <v>20.834135667396062</v>
      </c>
      <c r="X327" s="5">
        <f>data_origin!X370</f>
        <v>33.749440715883665</v>
      </c>
      <c r="Y327" s="5">
        <f>data_origin!Y370</f>
        <v>0</v>
      </c>
      <c r="Z327" s="5">
        <f>data_origin!Z370</f>
        <v>0</v>
      </c>
      <c r="AA327" s="5">
        <f>data_origin!AA370</f>
        <v>6.0606060606060608E-2</v>
      </c>
      <c r="AB327" s="5">
        <f t="shared" si="40"/>
        <v>82.205013304419907</v>
      </c>
      <c r="AH327" t="s">
        <v>97</v>
      </c>
      <c r="AI327" s="5">
        <f>data_origin!T2617</f>
        <v>0</v>
      </c>
      <c r="AJ327" s="5">
        <f>data_origin!U2617</f>
        <v>0</v>
      </c>
      <c r="AK327" s="5">
        <f>data_origin!V2617</f>
        <v>0</v>
      </c>
      <c r="AL327" s="5">
        <f>data_origin!W2617</f>
        <v>0</v>
      </c>
      <c r="AM327" s="5">
        <f>data_origin!X2617</f>
        <v>0</v>
      </c>
      <c r="AN327" s="5">
        <f>data_origin!Y2617</f>
        <v>0</v>
      </c>
      <c r="AO327" s="5">
        <f>data_origin!Z2617</f>
        <v>0</v>
      </c>
      <c r="AP327" s="5">
        <f>data_origin!AA2617</f>
        <v>0</v>
      </c>
      <c r="AQ327" s="9">
        <f t="shared" si="41"/>
        <v>0</v>
      </c>
      <c r="AV327" t="s">
        <v>97</v>
      </c>
      <c r="AW327" s="5">
        <f>data_origin!T3331</f>
        <v>0</v>
      </c>
      <c r="AX327" s="5">
        <f>data_origin!U3331</f>
        <v>0</v>
      </c>
      <c r="AY327" s="5">
        <f>data_origin!V3331</f>
        <v>0</v>
      </c>
      <c r="AZ327" s="5">
        <f>data_origin!W3331</f>
        <v>0</v>
      </c>
      <c r="BA327" s="5">
        <f>data_origin!X3331</f>
        <v>0</v>
      </c>
      <c r="BB327" s="5">
        <f>data_origin!Y3331</f>
        <v>0</v>
      </c>
      <c r="BC327" s="5">
        <f>data_origin!Z3331</f>
        <v>0</v>
      </c>
      <c r="BD327" s="5">
        <f>data_origin!AA3331</f>
        <v>0</v>
      </c>
      <c r="BE327" s="9">
        <f t="shared" si="42"/>
        <v>0</v>
      </c>
    </row>
    <row r="328" spans="1:58" x14ac:dyDescent="0.25">
      <c r="A328" s="14"/>
      <c r="D328" t="s">
        <v>98</v>
      </c>
      <c r="E328" s="38">
        <f t="shared" si="43"/>
        <v>0</v>
      </c>
      <c r="F328" s="38">
        <f t="shared" si="43"/>
        <v>0</v>
      </c>
      <c r="G328" s="38">
        <f t="shared" si="43"/>
        <v>69.4423284481813</v>
      </c>
      <c r="H328" s="38">
        <f t="shared" si="43"/>
        <v>103.84798739785532</v>
      </c>
      <c r="I328" s="38">
        <f t="shared" si="43"/>
        <v>54.237860648852099</v>
      </c>
      <c r="J328" s="38">
        <f t="shared" si="43"/>
        <v>7.0951245675782646</v>
      </c>
      <c r="K328" s="38">
        <f t="shared" si="43"/>
        <v>0</v>
      </c>
      <c r="L328" s="38">
        <f t="shared" si="43"/>
        <v>6.5268065268065265E-2</v>
      </c>
      <c r="M328" s="35">
        <f t="shared" si="38"/>
        <v>234.68856912773504</v>
      </c>
      <c r="P328" s="14"/>
      <c r="S328" t="s">
        <v>98</v>
      </c>
      <c r="T328" s="5">
        <f>data_origin!T371</f>
        <v>0</v>
      </c>
      <c r="U328" s="5">
        <f>data_origin!U371</f>
        <v>0</v>
      </c>
      <c r="V328" s="5">
        <f>data_origin!V371</f>
        <v>68.902077151335305</v>
      </c>
      <c r="W328" s="5">
        <f>data_origin!W371</f>
        <v>102.56805251641137</v>
      </c>
      <c r="X328" s="5">
        <f>data_origin!X371</f>
        <v>53.288590604026851</v>
      </c>
      <c r="Y328" s="5">
        <f>data_origin!Y371</f>
        <v>6.9512195121951219</v>
      </c>
      <c r="Z328" s="5">
        <f>data_origin!Z371</f>
        <v>0</v>
      </c>
      <c r="AA328" s="5">
        <f>data_origin!AA371</f>
        <v>6.0606060606060608E-2</v>
      </c>
      <c r="AB328" s="5">
        <f t="shared" si="40"/>
        <v>231.77054584457471</v>
      </c>
      <c r="AH328" t="s">
        <v>98</v>
      </c>
      <c r="AI328" s="5">
        <f>data_origin!T2618</f>
        <v>0</v>
      </c>
      <c r="AJ328" s="5">
        <f>data_origin!U2618</f>
        <v>0</v>
      </c>
      <c r="AK328" s="5">
        <f>data_origin!V2618</f>
        <v>0</v>
      </c>
      <c r="AL328" s="5">
        <f>data_origin!W2618</f>
        <v>0</v>
      </c>
      <c r="AM328" s="5">
        <f>data_origin!X2618</f>
        <v>0</v>
      </c>
      <c r="AN328" s="5">
        <f>data_origin!Y2618</f>
        <v>0</v>
      </c>
      <c r="AO328" s="5">
        <f>data_origin!Z2618</f>
        <v>0</v>
      </c>
      <c r="AP328" s="5">
        <f>data_origin!AA2618</f>
        <v>0</v>
      </c>
      <c r="AQ328" s="9">
        <f t="shared" si="41"/>
        <v>0</v>
      </c>
      <c r="AV328" t="s">
        <v>98</v>
      </c>
      <c r="AW328" s="5">
        <f>data_origin!T3332</f>
        <v>0</v>
      </c>
      <c r="AX328" s="5">
        <f>data_origin!U3332</f>
        <v>0</v>
      </c>
      <c r="AY328" s="5">
        <f>data_origin!V3332</f>
        <v>0</v>
      </c>
      <c r="AZ328" s="5">
        <f>data_origin!W3332</f>
        <v>0</v>
      </c>
      <c r="BA328" s="5">
        <f>data_origin!X3332</f>
        <v>0</v>
      </c>
      <c r="BB328" s="5">
        <f>data_origin!Y3332</f>
        <v>0</v>
      </c>
      <c r="BC328" s="5">
        <f>data_origin!Z3332</f>
        <v>0</v>
      </c>
      <c r="BD328" s="5">
        <f>data_origin!AA3332</f>
        <v>0</v>
      </c>
      <c r="BE328" s="9">
        <f t="shared" si="42"/>
        <v>0</v>
      </c>
    </row>
    <row r="329" spans="1:58" x14ac:dyDescent="0.25">
      <c r="A329" s="14"/>
      <c r="D329" t="s">
        <v>119</v>
      </c>
      <c r="E329" s="38">
        <f t="shared" si="43"/>
        <v>0</v>
      </c>
      <c r="F329" s="38">
        <f t="shared" si="43"/>
        <v>0</v>
      </c>
      <c r="G329" s="38">
        <f t="shared" si="43"/>
        <v>12.345302835232232</v>
      </c>
      <c r="H329" s="38">
        <f t="shared" si="43"/>
        <v>27.584621652555324</v>
      </c>
      <c r="I329" s="38">
        <f t="shared" si="43"/>
        <v>27.118930324426049</v>
      </c>
      <c r="J329" s="38">
        <f t="shared" si="43"/>
        <v>0</v>
      </c>
      <c r="K329" s="38">
        <f t="shared" si="43"/>
        <v>0</v>
      </c>
      <c r="L329" s="38">
        <f t="shared" si="43"/>
        <v>6.5268065268065265E-2</v>
      </c>
      <c r="M329" s="35">
        <f t="shared" ref="M329:M392" si="44">SUM(E329:L329)</f>
        <v>67.114122877481677</v>
      </c>
      <c r="P329" s="14"/>
      <c r="S329" t="s">
        <v>119</v>
      </c>
      <c r="T329" s="5">
        <f>data_origin!T372</f>
        <v>0</v>
      </c>
      <c r="U329" s="5">
        <f>data_origin!U372</f>
        <v>0</v>
      </c>
      <c r="V329" s="5">
        <f>data_origin!V372</f>
        <v>12.249258160237389</v>
      </c>
      <c r="W329" s="5">
        <f>data_origin!W372</f>
        <v>27.244638949671774</v>
      </c>
      <c r="X329" s="5">
        <f>data_origin!X372</f>
        <v>26.644295302013425</v>
      </c>
      <c r="Y329" s="5">
        <f>data_origin!Y372</f>
        <v>0</v>
      </c>
      <c r="Z329" s="5">
        <f>data_origin!Z372</f>
        <v>0</v>
      </c>
      <c r="AA329" s="5">
        <f>data_origin!AA372</f>
        <v>6.0606060606060608E-2</v>
      </c>
      <c r="AB329" s="5">
        <f t="shared" si="40"/>
        <v>66.198798472528651</v>
      </c>
      <c r="AH329" t="s">
        <v>119</v>
      </c>
      <c r="AI329" s="5">
        <f>data_origin!T2619</f>
        <v>0</v>
      </c>
      <c r="AJ329" s="5">
        <f>data_origin!U2619</f>
        <v>0</v>
      </c>
      <c r="AK329" s="5">
        <f>data_origin!V2619</f>
        <v>0</v>
      </c>
      <c r="AL329" s="5">
        <f>data_origin!W2619</f>
        <v>0</v>
      </c>
      <c r="AM329" s="5">
        <f>data_origin!X2619</f>
        <v>0</v>
      </c>
      <c r="AN329" s="5">
        <f>data_origin!Y2619</f>
        <v>0</v>
      </c>
      <c r="AO329" s="5">
        <f>data_origin!Z2619</f>
        <v>0</v>
      </c>
      <c r="AP329" s="5">
        <f>data_origin!AA2619</f>
        <v>0</v>
      </c>
      <c r="AQ329" s="9">
        <f t="shared" si="41"/>
        <v>0</v>
      </c>
      <c r="AV329" t="s">
        <v>119</v>
      </c>
      <c r="AW329" s="5">
        <f>data_origin!T3333</f>
        <v>0</v>
      </c>
      <c r="AX329" s="5">
        <f>data_origin!U3333</f>
        <v>0</v>
      </c>
      <c r="AY329" s="5">
        <f>data_origin!V3333</f>
        <v>0</v>
      </c>
      <c r="AZ329" s="5">
        <f>data_origin!W3333</f>
        <v>0</v>
      </c>
      <c r="BA329" s="5">
        <f>data_origin!X3333</f>
        <v>0</v>
      </c>
      <c r="BB329" s="5">
        <f>data_origin!Y3333</f>
        <v>0</v>
      </c>
      <c r="BC329" s="5">
        <f>data_origin!Z3333</f>
        <v>0</v>
      </c>
      <c r="BD329" s="5">
        <f>data_origin!AA3333</f>
        <v>0</v>
      </c>
      <c r="BE329" s="9">
        <f t="shared" si="42"/>
        <v>0</v>
      </c>
    </row>
    <row r="330" spans="1:58" x14ac:dyDescent="0.25">
      <c r="A330" s="14"/>
      <c r="D330" t="s">
        <v>99</v>
      </c>
      <c r="E330" s="38">
        <f t="shared" si="43"/>
        <v>0</v>
      </c>
      <c r="F330" s="38">
        <f t="shared" si="43"/>
        <v>0</v>
      </c>
      <c r="G330" s="38">
        <f t="shared" si="43"/>
        <v>50.631211340928928</v>
      </c>
      <c r="H330" s="38">
        <f t="shared" si="43"/>
        <v>80.775282018149639</v>
      </c>
      <c r="I330" s="38">
        <f t="shared" si="43"/>
        <v>19.887215571245768</v>
      </c>
      <c r="J330" s="38">
        <f t="shared" si="43"/>
        <v>2.3650415225260888</v>
      </c>
      <c r="K330" s="38">
        <f t="shared" si="43"/>
        <v>0</v>
      </c>
      <c r="L330" s="38">
        <f t="shared" si="43"/>
        <v>6.5268065268065265E-2</v>
      </c>
      <c r="M330" s="35">
        <f t="shared" si="44"/>
        <v>153.72401851811853</v>
      </c>
      <c r="P330" s="14"/>
      <c r="S330" t="s">
        <v>99</v>
      </c>
      <c r="T330" s="5">
        <f>data_origin!T373</f>
        <v>0</v>
      </c>
      <c r="U330" s="5">
        <f>data_origin!U373</f>
        <v>0</v>
      </c>
      <c r="V330" s="5">
        <f>data_origin!V373</f>
        <v>48.997032640949556</v>
      </c>
      <c r="W330" s="5">
        <f>data_origin!W373</f>
        <v>78.528665207877452</v>
      </c>
      <c r="X330" s="5">
        <f>data_origin!X373</f>
        <v>19.539149888143179</v>
      </c>
      <c r="Y330" s="5">
        <f>data_origin!Y373</f>
        <v>2.3170731707317076</v>
      </c>
      <c r="Z330" s="5">
        <f>data_origin!Z373</f>
        <v>0</v>
      </c>
      <c r="AA330" s="5">
        <f>data_origin!AA373</f>
        <v>6.0606060606060608E-2</v>
      </c>
      <c r="AB330" s="5">
        <f t="shared" si="40"/>
        <v>149.44252696830796</v>
      </c>
      <c r="AH330" t="s">
        <v>99</v>
      </c>
      <c r="AI330" s="5">
        <f>data_origin!T2620</f>
        <v>0</v>
      </c>
      <c r="AJ330" s="5">
        <f>data_origin!U2620</f>
        <v>0</v>
      </c>
      <c r="AK330" s="5">
        <f>data_origin!V2620</f>
        <v>0</v>
      </c>
      <c r="AL330" s="5">
        <f>data_origin!W2620</f>
        <v>0</v>
      </c>
      <c r="AM330" s="5">
        <f>data_origin!X2620</f>
        <v>0</v>
      </c>
      <c r="AN330" s="5">
        <f>data_origin!Y2620</f>
        <v>0</v>
      </c>
      <c r="AO330" s="5">
        <f>data_origin!Z2620</f>
        <v>0</v>
      </c>
      <c r="AP330" s="5">
        <f>data_origin!AA2620</f>
        <v>0</v>
      </c>
      <c r="AQ330" s="9">
        <f t="shared" si="41"/>
        <v>0</v>
      </c>
      <c r="AV330" t="s">
        <v>99</v>
      </c>
      <c r="AW330" s="5">
        <f>data_origin!T3334</f>
        <v>0</v>
      </c>
      <c r="AX330" s="5">
        <f>data_origin!U3334</f>
        <v>0</v>
      </c>
      <c r="AY330" s="5">
        <f>data_origin!V3334</f>
        <v>0</v>
      </c>
      <c r="AZ330" s="5">
        <f>data_origin!W3334</f>
        <v>0</v>
      </c>
      <c r="BA330" s="5">
        <f>data_origin!X3334</f>
        <v>0</v>
      </c>
      <c r="BB330" s="5">
        <f>data_origin!Y3334</f>
        <v>0</v>
      </c>
      <c r="BC330" s="5">
        <f>data_origin!Z3334</f>
        <v>0</v>
      </c>
      <c r="BD330" s="5">
        <f>data_origin!AA3334</f>
        <v>0</v>
      </c>
      <c r="BE330" s="9">
        <f t="shared" si="42"/>
        <v>0</v>
      </c>
    </row>
    <row r="331" spans="1:58" x14ac:dyDescent="0.25">
      <c r="A331" s="14"/>
      <c r="D331" t="s">
        <v>100</v>
      </c>
      <c r="E331" s="38">
        <f t="shared" si="43"/>
        <v>0</v>
      </c>
      <c r="F331" s="38">
        <f t="shared" si="43"/>
        <v>0</v>
      </c>
      <c r="G331" s="38">
        <f t="shared" si="43"/>
        <v>407.39499356266367</v>
      </c>
      <c r="H331" s="38">
        <f t="shared" si="43"/>
        <v>871.34951926012968</v>
      </c>
      <c r="I331" s="38">
        <f t="shared" si="43"/>
        <v>556.03410730658641</v>
      </c>
      <c r="J331" s="38">
        <f t="shared" si="43"/>
        <v>61.491079585678293</v>
      </c>
      <c r="K331" s="38">
        <f t="shared" si="43"/>
        <v>12.005597014925373</v>
      </c>
      <c r="L331" s="38">
        <f t="shared" si="43"/>
        <v>6.5268065268065265E-2</v>
      </c>
      <c r="M331" s="35">
        <f t="shared" si="44"/>
        <v>1908.3405647952516</v>
      </c>
      <c r="P331" s="14"/>
      <c r="S331" t="s">
        <v>100</v>
      </c>
      <c r="T331" s="5">
        <f>data_origin!T374</f>
        <v>0</v>
      </c>
      <c r="U331" s="5">
        <f>data_origin!U374</f>
        <v>0</v>
      </c>
      <c r="V331" s="5">
        <f>data_origin!V374</f>
        <v>404.22551928783383</v>
      </c>
      <c r="W331" s="5">
        <f>data_origin!W374</f>
        <v>860.61006564551417</v>
      </c>
      <c r="X331" s="5">
        <f>data_origin!X374</f>
        <v>545.31991051454133</v>
      </c>
      <c r="Y331" s="5">
        <f>data_origin!Y374</f>
        <v>60.243902439024389</v>
      </c>
      <c r="Z331" s="5">
        <f>data_origin!Z374</f>
        <v>11.785714285714285</v>
      </c>
      <c r="AA331" s="5">
        <f>data_origin!AA374</f>
        <v>6.0606060606060608E-2</v>
      </c>
      <c r="AB331" s="5">
        <f t="shared" si="40"/>
        <v>1882.2457182332339</v>
      </c>
      <c r="AH331" t="s">
        <v>100</v>
      </c>
      <c r="AI331" s="5">
        <f>data_origin!T2621</f>
        <v>0</v>
      </c>
      <c r="AJ331" s="5">
        <f>data_origin!U2621</f>
        <v>0</v>
      </c>
      <c r="AK331" s="5">
        <f>data_origin!V2621</f>
        <v>0</v>
      </c>
      <c r="AL331" s="5">
        <f>data_origin!W2621</f>
        <v>0</v>
      </c>
      <c r="AM331" s="5">
        <f>data_origin!X2621</f>
        <v>0</v>
      </c>
      <c r="AN331" s="5">
        <f>data_origin!Y2621</f>
        <v>0</v>
      </c>
      <c r="AO331" s="5">
        <f>data_origin!Z2621</f>
        <v>0</v>
      </c>
      <c r="AP331" s="5">
        <f>data_origin!AA2621</f>
        <v>0</v>
      </c>
      <c r="AQ331" s="9">
        <f t="shared" si="41"/>
        <v>0</v>
      </c>
      <c r="AV331" t="s">
        <v>100</v>
      </c>
      <c r="AW331" s="5">
        <f>data_origin!T3335</f>
        <v>0</v>
      </c>
      <c r="AX331" s="5">
        <f>data_origin!U3335</f>
        <v>0</v>
      </c>
      <c r="AY331" s="5">
        <f>data_origin!V3335</f>
        <v>0</v>
      </c>
      <c r="AZ331" s="5">
        <f>data_origin!W3335</f>
        <v>0</v>
      </c>
      <c r="BA331" s="5">
        <f>data_origin!X3335</f>
        <v>0</v>
      </c>
      <c r="BB331" s="5">
        <f>data_origin!Y3335</f>
        <v>0</v>
      </c>
      <c r="BC331" s="5">
        <f>data_origin!Z3335</f>
        <v>0</v>
      </c>
      <c r="BD331" s="5">
        <f>data_origin!AA3335</f>
        <v>0</v>
      </c>
      <c r="BE331" s="9">
        <f t="shared" si="42"/>
        <v>0</v>
      </c>
    </row>
    <row r="332" spans="1:58" x14ac:dyDescent="0.25">
      <c r="A332" s="14"/>
      <c r="D332" t="s">
        <v>101</v>
      </c>
      <c r="E332" s="38">
        <f t="shared" si="43"/>
        <v>0</v>
      </c>
      <c r="F332" s="38">
        <f t="shared" si="43"/>
        <v>0</v>
      </c>
      <c r="G332" s="38">
        <f t="shared" si="43"/>
        <v>104.64191124506995</v>
      </c>
      <c r="H332" s="38">
        <f t="shared" si="43"/>
        <v>127.47544317137803</v>
      </c>
      <c r="I332" s="38">
        <f t="shared" si="43"/>
        <v>75.933004908392917</v>
      </c>
      <c r="J332" s="38">
        <f t="shared" si="43"/>
        <v>7.0951245675782646</v>
      </c>
      <c r="K332" s="38">
        <f t="shared" si="43"/>
        <v>0</v>
      </c>
      <c r="L332" s="38">
        <f t="shared" si="43"/>
        <v>6.5268065268065265E-2</v>
      </c>
      <c r="M332" s="35">
        <f t="shared" si="44"/>
        <v>315.21075195768719</v>
      </c>
      <c r="N332" s="5">
        <f>SUM(M300:M332)</f>
        <v>8570.9831988707192</v>
      </c>
      <c r="P332" s="14"/>
      <c r="S332" t="s">
        <v>101</v>
      </c>
      <c r="T332" s="5">
        <f>data_origin!T375</f>
        <v>0</v>
      </c>
      <c r="U332" s="5">
        <f>data_origin!U375</f>
        <v>0</v>
      </c>
      <c r="V332" s="5">
        <f>data_origin!V375</f>
        <v>102.58753709198814</v>
      </c>
      <c r="W332" s="5">
        <f>data_origin!W375</f>
        <v>123.40218818380745</v>
      </c>
      <c r="X332" s="5">
        <f>data_origin!X375</f>
        <v>74.604026845637577</v>
      </c>
      <c r="Y332" s="5">
        <f>data_origin!Y375</f>
        <v>6.9512195121951219</v>
      </c>
      <c r="Z332" s="5">
        <f>data_origin!Z375</f>
        <v>0</v>
      </c>
      <c r="AA332" s="5">
        <f>data_origin!AA375</f>
        <v>6.0606060606060608E-2</v>
      </c>
      <c r="AB332" s="5">
        <f t="shared" si="40"/>
        <v>307.60557769423434</v>
      </c>
      <c r="AC332" s="5">
        <f>SUM(AB300:AB332)</f>
        <v>8427.9999999999964</v>
      </c>
      <c r="AH332" t="s">
        <v>101</v>
      </c>
      <c r="AI332" s="5">
        <f>data_origin!T2622</f>
        <v>0</v>
      </c>
      <c r="AJ332" s="5">
        <f>data_origin!U2622</f>
        <v>0</v>
      </c>
      <c r="AK332" s="5">
        <f>data_origin!V2622</f>
        <v>0</v>
      </c>
      <c r="AL332" s="5">
        <f>data_origin!W2622</f>
        <v>0</v>
      </c>
      <c r="AM332" s="5">
        <f>data_origin!X2622</f>
        <v>0</v>
      </c>
      <c r="AN332" s="5">
        <f>data_origin!Y2622</f>
        <v>0</v>
      </c>
      <c r="AO332" s="5">
        <f>data_origin!Z2622</f>
        <v>0</v>
      </c>
      <c r="AP332" s="5">
        <f>data_origin!AA2622</f>
        <v>0</v>
      </c>
      <c r="AQ332" s="9">
        <f t="shared" si="41"/>
        <v>0</v>
      </c>
      <c r="AR332" s="9">
        <f>SUM(AQ300:AQ332)</f>
        <v>0</v>
      </c>
      <c r="AV332" t="s">
        <v>101</v>
      </c>
      <c r="AW332" s="5">
        <f>data_origin!T3336</f>
        <v>0</v>
      </c>
      <c r="AX332" s="5">
        <f>data_origin!U3336</f>
        <v>0</v>
      </c>
      <c r="AY332" s="5">
        <f>data_origin!V3336</f>
        <v>0</v>
      </c>
      <c r="AZ332" s="5">
        <f>data_origin!W3336</f>
        <v>0</v>
      </c>
      <c r="BA332" s="5">
        <f>data_origin!X3336</f>
        <v>0</v>
      </c>
      <c r="BB332" s="5">
        <f>data_origin!Y3336</f>
        <v>0</v>
      </c>
      <c r="BC332" s="5">
        <f>data_origin!Z3336</f>
        <v>0</v>
      </c>
      <c r="BD332" s="5">
        <f>data_origin!AA3336</f>
        <v>0</v>
      </c>
      <c r="BE332" s="9">
        <f t="shared" si="42"/>
        <v>0</v>
      </c>
      <c r="BF332" s="9">
        <f>SUM(BE300:BE332)</f>
        <v>0</v>
      </c>
    </row>
    <row r="333" spans="1:58" x14ac:dyDescent="0.25">
      <c r="A333" s="23" t="s">
        <v>104</v>
      </c>
      <c r="B333" s="23" t="s">
        <v>116</v>
      </c>
      <c r="C333" s="23" t="s">
        <v>105</v>
      </c>
      <c r="D333" t="s">
        <v>70</v>
      </c>
      <c r="E333" s="35">
        <f>T333+IFERROR((T333/SUM(T$3:T$992)*AI$630),0)</f>
        <v>0</v>
      </c>
      <c r="F333" s="35">
        <f t="shared" ref="F333:L333" si="45">U333+IFERROR((U333/SUM(U$3:U$992)*AJ$630),0)</f>
        <v>0</v>
      </c>
      <c r="G333" s="35">
        <f t="shared" si="45"/>
        <v>0</v>
      </c>
      <c r="H333" s="35">
        <f t="shared" si="45"/>
        <v>0</v>
      </c>
      <c r="I333" s="35">
        <f t="shared" si="45"/>
        <v>0</v>
      </c>
      <c r="J333" s="35">
        <f t="shared" si="45"/>
        <v>0</v>
      </c>
      <c r="K333" s="35">
        <f t="shared" si="45"/>
        <v>0</v>
      </c>
      <c r="L333" s="35">
        <f t="shared" si="45"/>
        <v>0</v>
      </c>
      <c r="M333" s="35">
        <f t="shared" si="44"/>
        <v>0</v>
      </c>
      <c r="P333" t="s">
        <v>104</v>
      </c>
      <c r="Q333" t="s">
        <v>116</v>
      </c>
      <c r="R333" t="s">
        <v>105</v>
      </c>
      <c r="S333" t="s">
        <v>70</v>
      </c>
      <c r="T333" s="5">
        <f>data_origin!T411</f>
        <v>0</v>
      </c>
      <c r="U333" s="5">
        <f>data_origin!U411</f>
        <v>0</v>
      </c>
      <c r="V333" s="5">
        <f>data_origin!V411</f>
        <v>0</v>
      </c>
      <c r="W333" s="5">
        <f>data_origin!W411</f>
        <v>0</v>
      </c>
      <c r="X333" s="5">
        <f>data_origin!X411</f>
        <v>0</v>
      </c>
      <c r="Y333" s="5">
        <f>data_origin!Y411</f>
        <v>0</v>
      </c>
      <c r="Z333" s="5">
        <f>data_origin!Z411</f>
        <v>0</v>
      </c>
      <c r="AA333" s="5">
        <f>data_origin!AA411</f>
        <v>0</v>
      </c>
      <c r="AB333" s="5">
        <f t="shared" si="40"/>
        <v>0</v>
      </c>
      <c r="AE333" t="s">
        <v>104</v>
      </c>
      <c r="AF333" t="s">
        <v>116</v>
      </c>
      <c r="AG333" s="28" t="s">
        <v>135</v>
      </c>
      <c r="AH333" t="s">
        <v>70</v>
      </c>
      <c r="AI333" s="5">
        <f>data_origin!T2624</f>
        <v>0</v>
      </c>
      <c r="AJ333" s="5">
        <f>data_origin!U2624</f>
        <v>0</v>
      </c>
      <c r="AK333" s="5">
        <f>data_origin!V2624</f>
        <v>0</v>
      </c>
      <c r="AL333" s="5">
        <f>data_origin!W2624</f>
        <v>0</v>
      </c>
      <c r="AM333" s="5">
        <f>data_origin!X2624</f>
        <v>0</v>
      </c>
      <c r="AN333" s="5">
        <f>data_origin!Y2624</f>
        <v>0</v>
      </c>
      <c r="AO333" s="5">
        <f>data_origin!Z2624</f>
        <v>0</v>
      </c>
      <c r="AP333" s="5">
        <f>data_origin!AA2624</f>
        <v>0</v>
      </c>
      <c r="AQ333" s="9">
        <f t="shared" si="41"/>
        <v>0</v>
      </c>
      <c r="AS333" t="s">
        <v>115</v>
      </c>
      <c r="AT333" t="s">
        <v>116</v>
      </c>
      <c r="AU333" s="28" t="s">
        <v>135</v>
      </c>
      <c r="AV333" t="s">
        <v>70</v>
      </c>
      <c r="AW333" s="5">
        <f>data_origin!T3338</f>
        <v>0</v>
      </c>
      <c r="AX333" s="5">
        <f>data_origin!U3338</f>
        <v>0</v>
      </c>
      <c r="AY333" s="5">
        <f>data_origin!V3338</f>
        <v>3.0303030303030304E-2</v>
      </c>
      <c r="AZ333" s="5">
        <f>data_origin!W3338</f>
        <v>0</v>
      </c>
      <c r="BA333" s="5">
        <f>data_origin!X3338</f>
        <v>0</v>
      </c>
      <c r="BB333" s="5">
        <f>data_origin!Y3338</f>
        <v>0</v>
      </c>
      <c r="BC333" s="5">
        <f>data_origin!Z3338</f>
        <v>0</v>
      </c>
      <c r="BD333" s="5">
        <f>data_origin!AA3338</f>
        <v>0</v>
      </c>
      <c r="BE333" s="9">
        <f t="shared" si="42"/>
        <v>3.0303030303030304E-2</v>
      </c>
    </row>
    <row r="334" spans="1:58" x14ac:dyDescent="0.25">
      <c r="D334" t="s">
        <v>71</v>
      </c>
      <c r="E334" s="35">
        <f t="shared" ref="E334:L365" si="46">T334+IFERROR((T334/SUM(T$3:T$992)*AI$630),0)</f>
        <v>0</v>
      </c>
      <c r="F334" s="35">
        <f t="shared" si="46"/>
        <v>0</v>
      </c>
      <c r="G334" s="35">
        <f t="shared" si="46"/>
        <v>0</v>
      </c>
      <c r="H334" s="35">
        <f t="shared" si="46"/>
        <v>0</v>
      </c>
      <c r="I334" s="35">
        <f t="shared" si="46"/>
        <v>0</v>
      </c>
      <c r="J334" s="35">
        <f t="shared" si="46"/>
        <v>0</v>
      </c>
      <c r="K334" s="35">
        <f t="shared" si="46"/>
        <v>0</v>
      </c>
      <c r="L334" s="35">
        <f t="shared" si="46"/>
        <v>0</v>
      </c>
      <c r="M334" s="35">
        <f t="shared" si="44"/>
        <v>0</v>
      </c>
      <c r="S334" t="s">
        <v>71</v>
      </c>
      <c r="T334" s="5">
        <f>data_origin!T412</f>
        <v>0</v>
      </c>
      <c r="U334" s="5">
        <f>data_origin!U412</f>
        <v>0</v>
      </c>
      <c r="V334" s="5">
        <f>data_origin!V412</f>
        <v>0</v>
      </c>
      <c r="W334" s="5">
        <f>data_origin!W412</f>
        <v>0</v>
      </c>
      <c r="X334" s="5">
        <f>data_origin!X412</f>
        <v>0</v>
      </c>
      <c r="Y334" s="5">
        <f>data_origin!Y412</f>
        <v>0</v>
      </c>
      <c r="Z334" s="5">
        <f>data_origin!Z412</f>
        <v>0</v>
      </c>
      <c r="AA334" s="5">
        <f>data_origin!AA412</f>
        <v>0</v>
      </c>
      <c r="AB334" s="5">
        <f t="shared" si="40"/>
        <v>0</v>
      </c>
      <c r="AH334" t="s">
        <v>71</v>
      </c>
      <c r="AI334" s="5">
        <f>data_origin!T2625</f>
        <v>0</v>
      </c>
      <c r="AJ334" s="5">
        <f>data_origin!U2625</f>
        <v>0</v>
      </c>
      <c r="AK334" s="5">
        <f>data_origin!V2625</f>
        <v>0</v>
      </c>
      <c r="AL334" s="5">
        <f>data_origin!W2625</f>
        <v>0</v>
      </c>
      <c r="AM334" s="5">
        <f>data_origin!X2625</f>
        <v>0</v>
      </c>
      <c r="AN334" s="5">
        <f>data_origin!Y2625</f>
        <v>0</v>
      </c>
      <c r="AO334" s="5">
        <f>data_origin!Z2625</f>
        <v>0</v>
      </c>
      <c r="AP334" s="5">
        <f>data_origin!AA2625</f>
        <v>0</v>
      </c>
      <c r="AQ334" s="9">
        <f t="shared" si="41"/>
        <v>0</v>
      </c>
      <c r="AV334" t="s">
        <v>71</v>
      </c>
      <c r="AW334" s="5">
        <f>data_origin!T3339</f>
        <v>0</v>
      </c>
      <c r="AX334" s="5">
        <f>data_origin!U3339</f>
        <v>0</v>
      </c>
      <c r="AY334" s="5">
        <f>data_origin!V3339</f>
        <v>3.0303030303030304E-2</v>
      </c>
      <c r="AZ334" s="5">
        <f>data_origin!W3339</f>
        <v>0</v>
      </c>
      <c r="BA334" s="5">
        <f>data_origin!X3339</f>
        <v>0</v>
      </c>
      <c r="BB334" s="5">
        <f>data_origin!Y3339</f>
        <v>0</v>
      </c>
      <c r="BC334" s="5">
        <f>data_origin!Z3339</f>
        <v>0</v>
      </c>
      <c r="BD334" s="5">
        <f>data_origin!AA3339</f>
        <v>0</v>
      </c>
      <c r="BE334" s="9">
        <f t="shared" si="42"/>
        <v>3.0303030303030304E-2</v>
      </c>
    </row>
    <row r="335" spans="1:58" x14ac:dyDescent="0.25">
      <c r="D335" t="s">
        <v>72</v>
      </c>
      <c r="E335" s="35">
        <f t="shared" si="46"/>
        <v>0</v>
      </c>
      <c r="F335" s="35">
        <f t="shared" si="46"/>
        <v>0</v>
      </c>
      <c r="G335" s="35">
        <f t="shared" si="46"/>
        <v>0</v>
      </c>
      <c r="H335" s="35">
        <f t="shared" si="46"/>
        <v>0</v>
      </c>
      <c r="I335" s="35">
        <f t="shared" si="46"/>
        <v>0</v>
      </c>
      <c r="J335" s="35">
        <f t="shared" si="46"/>
        <v>0</v>
      </c>
      <c r="K335" s="35">
        <f t="shared" si="46"/>
        <v>0</v>
      </c>
      <c r="L335" s="35">
        <f t="shared" si="46"/>
        <v>0</v>
      </c>
      <c r="M335" s="35">
        <f t="shared" si="44"/>
        <v>0</v>
      </c>
      <c r="S335" t="s">
        <v>72</v>
      </c>
      <c r="T335" s="5">
        <f>data_origin!T413</f>
        <v>0</v>
      </c>
      <c r="U335" s="5">
        <f>data_origin!U413</f>
        <v>0</v>
      </c>
      <c r="V335" s="5">
        <f>data_origin!V413</f>
        <v>0</v>
      </c>
      <c r="W335" s="5">
        <f>data_origin!W413</f>
        <v>0</v>
      </c>
      <c r="X335" s="5">
        <f>data_origin!X413</f>
        <v>0</v>
      </c>
      <c r="Y335" s="5">
        <f>data_origin!Y413</f>
        <v>0</v>
      </c>
      <c r="Z335" s="5">
        <f>data_origin!Z413</f>
        <v>0</v>
      </c>
      <c r="AA335" s="5">
        <f>data_origin!AA413</f>
        <v>0</v>
      </c>
      <c r="AB335" s="5">
        <f t="shared" si="40"/>
        <v>0</v>
      </c>
      <c r="AH335" t="s">
        <v>72</v>
      </c>
      <c r="AI335" s="5">
        <f>data_origin!T2626</f>
        <v>0</v>
      </c>
      <c r="AJ335" s="5">
        <f>data_origin!U2626</f>
        <v>0</v>
      </c>
      <c r="AK335" s="5">
        <f>data_origin!V2626</f>
        <v>0</v>
      </c>
      <c r="AL335" s="5">
        <f>data_origin!W2626</f>
        <v>0</v>
      </c>
      <c r="AM335" s="5">
        <f>data_origin!X2626</f>
        <v>0</v>
      </c>
      <c r="AN335" s="5">
        <f>data_origin!Y2626</f>
        <v>0</v>
      </c>
      <c r="AO335" s="5">
        <f>data_origin!Z2626</f>
        <v>0</v>
      </c>
      <c r="AP335" s="5">
        <f>data_origin!AA2626</f>
        <v>0</v>
      </c>
      <c r="AQ335" s="9">
        <f t="shared" si="41"/>
        <v>0</v>
      </c>
      <c r="AV335" t="s">
        <v>72</v>
      </c>
      <c r="AW335" s="5">
        <f>data_origin!T3340</f>
        <v>0</v>
      </c>
      <c r="AX335" s="5">
        <f>data_origin!U3340</f>
        <v>0</v>
      </c>
      <c r="AY335" s="5">
        <f>data_origin!V3340</f>
        <v>3.0303030303030304E-2</v>
      </c>
      <c r="AZ335" s="5">
        <f>data_origin!W3340</f>
        <v>0</v>
      </c>
      <c r="BA335" s="5">
        <f>data_origin!X3340</f>
        <v>0</v>
      </c>
      <c r="BB335" s="5">
        <f>data_origin!Y3340</f>
        <v>0</v>
      </c>
      <c r="BC335" s="5">
        <f>data_origin!Z3340</f>
        <v>0</v>
      </c>
      <c r="BD335" s="5">
        <f>data_origin!AA3340</f>
        <v>0</v>
      </c>
      <c r="BE335" s="9">
        <f t="shared" si="42"/>
        <v>3.0303030303030304E-2</v>
      </c>
    </row>
    <row r="336" spans="1:58" x14ac:dyDescent="0.25">
      <c r="D336" t="s">
        <v>73</v>
      </c>
      <c r="E336" s="35">
        <f t="shared" si="46"/>
        <v>0</v>
      </c>
      <c r="F336" s="35">
        <f t="shared" si="46"/>
        <v>0</v>
      </c>
      <c r="G336" s="35">
        <f t="shared" si="46"/>
        <v>0</v>
      </c>
      <c r="H336" s="35">
        <f t="shared" si="46"/>
        <v>0</v>
      </c>
      <c r="I336" s="35">
        <f t="shared" si="46"/>
        <v>0</v>
      </c>
      <c r="J336" s="35">
        <f t="shared" si="46"/>
        <v>0</v>
      </c>
      <c r="K336" s="35">
        <f t="shared" si="46"/>
        <v>0</v>
      </c>
      <c r="L336" s="35">
        <f t="shared" si="46"/>
        <v>0</v>
      </c>
      <c r="M336" s="35">
        <f t="shared" si="44"/>
        <v>0</v>
      </c>
      <c r="S336" t="s">
        <v>73</v>
      </c>
      <c r="T336" s="5">
        <f>data_origin!T414</f>
        <v>0</v>
      </c>
      <c r="U336" s="5">
        <f>data_origin!U414</f>
        <v>0</v>
      </c>
      <c r="V336" s="5">
        <f>data_origin!V414</f>
        <v>0</v>
      </c>
      <c r="W336" s="5">
        <f>data_origin!W414</f>
        <v>0</v>
      </c>
      <c r="X336" s="5">
        <f>data_origin!X414</f>
        <v>0</v>
      </c>
      <c r="Y336" s="5">
        <f>data_origin!Y414</f>
        <v>0</v>
      </c>
      <c r="Z336" s="5">
        <f>data_origin!Z414</f>
        <v>0</v>
      </c>
      <c r="AA336" s="5">
        <f>data_origin!AA414</f>
        <v>0</v>
      </c>
      <c r="AB336" s="5">
        <f t="shared" si="40"/>
        <v>0</v>
      </c>
      <c r="AH336" t="s">
        <v>73</v>
      </c>
      <c r="AI336" s="5">
        <f>data_origin!T2627</f>
        <v>0</v>
      </c>
      <c r="AJ336" s="5">
        <f>data_origin!U2627</f>
        <v>0</v>
      </c>
      <c r="AK336" s="5">
        <f>data_origin!V2627</f>
        <v>0</v>
      </c>
      <c r="AL336" s="5">
        <f>data_origin!W2627</f>
        <v>0</v>
      </c>
      <c r="AM336" s="5">
        <f>data_origin!X2627</f>
        <v>0</v>
      </c>
      <c r="AN336" s="5">
        <f>data_origin!Y2627</f>
        <v>0</v>
      </c>
      <c r="AO336" s="5">
        <f>data_origin!Z2627</f>
        <v>0</v>
      </c>
      <c r="AP336" s="5">
        <f>data_origin!AA2627</f>
        <v>0</v>
      </c>
      <c r="AQ336" s="9">
        <f t="shared" si="41"/>
        <v>0</v>
      </c>
      <c r="AV336" t="s">
        <v>73</v>
      </c>
      <c r="AW336" s="5">
        <f>data_origin!T3341</f>
        <v>0</v>
      </c>
      <c r="AX336" s="5">
        <f>data_origin!U3341</f>
        <v>0</v>
      </c>
      <c r="AY336" s="5">
        <f>data_origin!V3341</f>
        <v>3.0303030303030304E-2</v>
      </c>
      <c r="AZ336" s="5">
        <f>data_origin!W3341</f>
        <v>0</v>
      </c>
      <c r="BA336" s="5">
        <f>data_origin!X3341</f>
        <v>0</v>
      </c>
      <c r="BB336" s="5">
        <f>data_origin!Y3341</f>
        <v>0</v>
      </c>
      <c r="BC336" s="5">
        <f>data_origin!Z3341</f>
        <v>0</v>
      </c>
      <c r="BD336" s="5">
        <f>data_origin!AA3341</f>
        <v>0</v>
      </c>
      <c r="BE336" s="9">
        <f t="shared" si="42"/>
        <v>3.0303030303030304E-2</v>
      </c>
    </row>
    <row r="337" spans="4:57" x14ac:dyDescent="0.25">
      <c r="D337" t="s">
        <v>74</v>
      </c>
      <c r="E337" s="35">
        <f t="shared" si="46"/>
        <v>0</v>
      </c>
      <c r="F337" s="35">
        <f t="shared" si="46"/>
        <v>0</v>
      </c>
      <c r="G337" s="35">
        <f t="shared" si="46"/>
        <v>0</v>
      </c>
      <c r="H337" s="35">
        <f t="shared" si="46"/>
        <v>0</v>
      </c>
      <c r="I337" s="35">
        <f t="shared" si="46"/>
        <v>0</v>
      </c>
      <c r="J337" s="35">
        <f t="shared" si="46"/>
        <v>0</v>
      </c>
      <c r="K337" s="35">
        <f t="shared" si="46"/>
        <v>0</v>
      </c>
      <c r="L337" s="35">
        <f t="shared" si="46"/>
        <v>0</v>
      </c>
      <c r="M337" s="35">
        <f t="shared" si="44"/>
        <v>0</v>
      </c>
      <c r="S337" t="s">
        <v>74</v>
      </c>
      <c r="T337" s="5">
        <f>data_origin!T415</f>
        <v>0</v>
      </c>
      <c r="U337" s="5">
        <f>data_origin!U415</f>
        <v>0</v>
      </c>
      <c r="V337" s="5">
        <f>data_origin!V415</f>
        <v>0</v>
      </c>
      <c r="W337" s="5">
        <f>data_origin!W415</f>
        <v>0</v>
      </c>
      <c r="X337" s="5">
        <f>data_origin!X415</f>
        <v>0</v>
      </c>
      <c r="Y337" s="5">
        <f>data_origin!Y415</f>
        <v>0</v>
      </c>
      <c r="Z337" s="5">
        <f>data_origin!Z415</f>
        <v>0</v>
      </c>
      <c r="AA337" s="5">
        <f>data_origin!AA415</f>
        <v>0</v>
      </c>
      <c r="AB337" s="5">
        <f t="shared" si="40"/>
        <v>0</v>
      </c>
      <c r="AH337" t="s">
        <v>74</v>
      </c>
      <c r="AI337" s="5">
        <f>data_origin!T2628</f>
        <v>0</v>
      </c>
      <c r="AJ337" s="5">
        <f>data_origin!U2628</f>
        <v>0</v>
      </c>
      <c r="AK337" s="5">
        <f>data_origin!V2628</f>
        <v>0</v>
      </c>
      <c r="AL337" s="5">
        <f>data_origin!W2628</f>
        <v>0</v>
      </c>
      <c r="AM337" s="5">
        <f>data_origin!X2628</f>
        <v>0</v>
      </c>
      <c r="AN337" s="5">
        <f>data_origin!Y2628</f>
        <v>0</v>
      </c>
      <c r="AO337" s="5">
        <f>data_origin!Z2628</f>
        <v>0</v>
      </c>
      <c r="AP337" s="5">
        <f>data_origin!AA2628</f>
        <v>0</v>
      </c>
      <c r="AQ337" s="9">
        <f t="shared" si="41"/>
        <v>0</v>
      </c>
      <c r="AV337" t="s">
        <v>74</v>
      </c>
      <c r="AW337" s="5">
        <f>data_origin!T3342</f>
        <v>0</v>
      </c>
      <c r="AX337" s="5">
        <f>data_origin!U3342</f>
        <v>0</v>
      </c>
      <c r="AY337" s="5">
        <f>data_origin!V3342</f>
        <v>3.0303030303030304E-2</v>
      </c>
      <c r="AZ337" s="5">
        <f>data_origin!W3342</f>
        <v>0</v>
      </c>
      <c r="BA337" s="5">
        <f>data_origin!X3342</f>
        <v>0</v>
      </c>
      <c r="BB337" s="5">
        <f>data_origin!Y3342</f>
        <v>0</v>
      </c>
      <c r="BC337" s="5">
        <f>data_origin!Z3342</f>
        <v>0</v>
      </c>
      <c r="BD337" s="5">
        <f>data_origin!AA3342</f>
        <v>0</v>
      </c>
      <c r="BE337" s="9">
        <f t="shared" si="42"/>
        <v>3.0303030303030304E-2</v>
      </c>
    </row>
    <row r="338" spans="4:57" x14ac:dyDescent="0.25">
      <c r="D338" t="s">
        <v>75</v>
      </c>
      <c r="E338" s="35">
        <f t="shared" si="46"/>
        <v>0</v>
      </c>
      <c r="F338" s="35">
        <f t="shared" si="46"/>
        <v>0</v>
      </c>
      <c r="G338" s="35">
        <f t="shared" si="46"/>
        <v>0</v>
      </c>
      <c r="H338" s="35">
        <f t="shared" si="46"/>
        <v>0</v>
      </c>
      <c r="I338" s="35">
        <f t="shared" si="46"/>
        <v>0</v>
      </c>
      <c r="J338" s="35">
        <f t="shared" si="46"/>
        <v>0</v>
      </c>
      <c r="K338" s="35">
        <f t="shared" si="46"/>
        <v>0</v>
      </c>
      <c r="L338" s="35">
        <f t="shared" si="46"/>
        <v>0</v>
      </c>
      <c r="M338" s="35">
        <f t="shared" si="44"/>
        <v>0</v>
      </c>
      <c r="S338" t="s">
        <v>75</v>
      </c>
      <c r="T338" s="5">
        <f>data_origin!T416</f>
        <v>0</v>
      </c>
      <c r="U338" s="5">
        <f>data_origin!U416</f>
        <v>0</v>
      </c>
      <c r="V338" s="5">
        <f>data_origin!V416</f>
        <v>0</v>
      </c>
      <c r="W338" s="5">
        <f>data_origin!W416</f>
        <v>0</v>
      </c>
      <c r="X338" s="5">
        <f>data_origin!X416</f>
        <v>0</v>
      </c>
      <c r="Y338" s="5">
        <f>data_origin!Y416</f>
        <v>0</v>
      </c>
      <c r="Z338" s="5">
        <f>data_origin!Z416</f>
        <v>0</v>
      </c>
      <c r="AA338" s="5">
        <f>data_origin!AA416</f>
        <v>0</v>
      </c>
      <c r="AB338" s="5">
        <f t="shared" si="40"/>
        <v>0</v>
      </c>
      <c r="AH338" t="s">
        <v>75</v>
      </c>
      <c r="AI338" s="5">
        <f>data_origin!T2629</f>
        <v>0</v>
      </c>
      <c r="AJ338" s="5">
        <f>data_origin!U2629</f>
        <v>0</v>
      </c>
      <c r="AK338" s="5">
        <f>data_origin!V2629</f>
        <v>0</v>
      </c>
      <c r="AL338" s="5">
        <f>data_origin!W2629</f>
        <v>0</v>
      </c>
      <c r="AM338" s="5">
        <f>data_origin!X2629</f>
        <v>0</v>
      </c>
      <c r="AN338" s="5">
        <f>data_origin!Y2629</f>
        <v>0</v>
      </c>
      <c r="AO338" s="5">
        <f>data_origin!Z2629</f>
        <v>0</v>
      </c>
      <c r="AP338" s="5">
        <f>data_origin!AA2629</f>
        <v>0</v>
      </c>
      <c r="AQ338" s="9">
        <f t="shared" si="41"/>
        <v>0</v>
      </c>
      <c r="AV338" t="s">
        <v>75</v>
      </c>
      <c r="AW338" s="5">
        <f>data_origin!T3343</f>
        <v>0</v>
      </c>
      <c r="AX338" s="5">
        <f>data_origin!U3343</f>
        <v>0</v>
      </c>
      <c r="AY338" s="5">
        <f>data_origin!V3343</f>
        <v>3.0303030303030304E-2</v>
      </c>
      <c r="AZ338" s="5">
        <f>data_origin!W3343</f>
        <v>0</v>
      </c>
      <c r="BA338" s="5">
        <f>data_origin!X3343</f>
        <v>0</v>
      </c>
      <c r="BB338" s="5">
        <f>data_origin!Y3343</f>
        <v>0</v>
      </c>
      <c r="BC338" s="5">
        <f>data_origin!Z3343</f>
        <v>0</v>
      </c>
      <c r="BD338" s="5">
        <f>data_origin!AA3343</f>
        <v>0</v>
      </c>
      <c r="BE338" s="9">
        <f t="shared" si="42"/>
        <v>3.0303030303030304E-2</v>
      </c>
    </row>
    <row r="339" spans="4:57" x14ac:dyDescent="0.25">
      <c r="D339" t="s">
        <v>76</v>
      </c>
      <c r="E339" s="35">
        <f t="shared" si="46"/>
        <v>0</v>
      </c>
      <c r="F339" s="35">
        <f t="shared" si="46"/>
        <v>0</v>
      </c>
      <c r="G339" s="35">
        <f t="shared" si="46"/>
        <v>0</v>
      </c>
      <c r="H339" s="35">
        <f t="shared" si="46"/>
        <v>0</v>
      </c>
      <c r="I339" s="35">
        <f t="shared" si="46"/>
        <v>0</v>
      </c>
      <c r="J339" s="35">
        <f t="shared" si="46"/>
        <v>0</v>
      </c>
      <c r="K339" s="35">
        <f t="shared" si="46"/>
        <v>0</v>
      </c>
      <c r="L339" s="35">
        <f t="shared" si="46"/>
        <v>0</v>
      </c>
      <c r="M339" s="35">
        <f t="shared" si="44"/>
        <v>0</v>
      </c>
      <c r="S339" t="s">
        <v>76</v>
      </c>
      <c r="T339" s="5">
        <f>data_origin!T417</f>
        <v>0</v>
      </c>
      <c r="U339" s="5">
        <f>data_origin!U417</f>
        <v>0</v>
      </c>
      <c r="V339" s="5">
        <f>data_origin!V417</f>
        <v>0</v>
      </c>
      <c r="W339" s="5">
        <f>data_origin!W417</f>
        <v>0</v>
      </c>
      <c r="X339" s="5">
        <f>data_origin!X417</f>
        <v>0</v>
      </c>
      <c r="Y339" s="5">
        <f>data_origin!Y417</f>
        <v>0</v>
      </c>
      <c r="Z339" s="5">
        <f>data_origin!Z417</f>
        <v>0</v>
      </c>
      <c r="AA339" s="5">
        <f>data_origin!AA417</f>
        <v>0</v>
      </c>
      <c r="AB339" s="5">
        <f t="shared" si="40"/>
        <v>0</v>
      </c>
      <c r="AH339" t="s">
        <v>76</v>
      </c>
      <c r="AI339" s="5">
        <f>data_origin!T2630</f>
        <v>0</v>
      </c>
      <c r="AJ339" s="5">
        <f>data_origin!U2630</f>
        <v>0</v>
      </c>
      <c r="AK339" s="5">
        <f>data_origin!V2630</f>
        <v>0</v>
      </c>
      <c r="AL339" s="5">
        <f>data_origin!W2630</f>
        <v>0</v>
      </c>
      <c r="AM339" s="5">
        <f>data_origin!X2630</f>
        <v>0</v>
      </c>
      <c r="AN339" s="5">
        <f>data_origin!Y2630</f>
        <v>0</v>
      </c>
      <c r="AO339" s="5">
        <f>data_origin!Z2630</f>
        <v>0</v>
      </c>
      <c r="AP339" s="5">
        <f>data_origin!AA2630</f>
        <v>0</v>
      </c>
      <c r="AQ339" s="9">
        <f t="shared" si="41"/>
        <v>0</v>
      </c>
      <c r="AV339" t="s">
        <v>76</v>
      </c>
      <c r="AW339" s="5">
        <f>data_origin!T3344</f>
        <v>0</v>
      </c>
      <c r="AX339" s="5">
        <f>data_origin!U3344</f>
        <v>0</v>
      </c>
      <c r="AY339" s="5">
        <f>data_origin!V3344</f>
        <v>3.0303030303030304E-2</v>
      </c>
      <c r="AZ339" s="5">
        <f>data_origin!W3344</f>
        <v>0</v>
      </c>
      <c r="BA339" s="5">
        <f>data_origin!X3344</f>
        <v>0</v>
      </c>
      <c r="BB339" s="5">
        <f>data_origin!Y3344</f>
        <v>0</v>
      </c>
      <c r="BC339" s="5">
        <f>data_origin!Z3344</f>
        <v>0</v>
      </c>
      <c r="BD339" s="5">
        <f>data_origin!AA3344</f>
        <v>0</v>
      </c>
      <c r="BE339" s="9">
        <f t="shared" si="42"/>
        <v>3.0303030303030304E-2</v>
      </c>
    </row>
    <row r="340" spans="4:57" x14ac:dyDescent="0.25">
      <c r="D340" t="s">
        <v>77</v>
      </c>
      <c r="E340" s="35">
        <f t="shared" si="46"/>
        <v>0</v>
      </c>
      <c r="F340" s="35">
        <f t="shared" si="46"/>
        <v>0</v>
      </c>
      <c r="G340" s="35">
        <f t="shared" si="46"/>
        <v>0</v>
      </c>
      <c r="H340" s="35">
        <f t="shared" si="46"/>
        <v>0</v>
      </c>
      <c r="I340" s="35">
        <f t="shared" si="46"/>
        <v>0</v>
      </c>
      <c r="J340" s="35">
        <f t="shared" si="46"/>
        <v>0</v>
      </c>
      <c r="K340" s="35">
        <f t="shared" si="46"/>
        <v>0</v>
      </c>
      <c r="L340" s="35">
        <f t="shared" si="46"/>
        <v>0</v>
      </c>
      <c r="M340" s="35">
        <f t="shared" si="44"/>
        <v>0</v>
      </c>
      <c r="S340" t="s">
        <v>77</v>
      </c>
      <c r="T340" s="5">
        <f>data_origin!T418</f>
        <v>0</v>
      </c>
      <c r="U340" s="5">
        <f>data_origin!U418</f>
        <v>0</v>
      </c>
      <c r="V340" s="5">
        <f>data_origin!V418</f>
        <v>0</v>
      </c>
      <c r="W340" s="5">
        <f>data_origin!W418</f>
        <v>0</v>
      </c>
      <c r="X340" s="5">
        <f>data_origin!X418</f>
        <v>0</v>
      </c>
      <c r="Y340" s="5">
        <f>data_origin!Y418</f>
        <v>0</v>
      </c>
      <c r="Z340" s="5">
        <f>data_origin!Z418</f>
        <v>0</v>
      </c>
      <c r="AA340" s="5">
        <f>data_origin!AA418</f>
        <v>0</v>
      </c>
      <c r="AB340" s="5">
        <f t="shared" si="40"/>
        <v>0</v>
      </c>
      <c r="AH340" t="s">
        <v>77</v>
      </c>
      <c r="AI340" s="5">
        <f>data_origin!T2631</f>
        <v>0</v>
      </c>
      <c r="AJ340" s="5">
        <f>data_origin!U2631</f>
        <v>0</v>
      </c>
      <c r="AK340" s="5">
        <f>data_origin!V2631</f>
        <v>0</v>
      </c>
      <c r="AL340" s="5">
        <f>data_origin!W2631</f>
        <v>0</v>
      </c>
      <c r="AM340" s="5">
        <f>data_origin!X2631</f>
        <v>0</v>
      </c>
      <c r="AN340" s="5">
        <f>data_origin!Y2631</f>
        <v>0</v>
      </c>
      <c r="AO340" s="5">
        <f>data_origin!Z2631</f>
        <v>0</v>
      </c>
      <c r="AP340" s="5">
        <f>data_origin!AA2631</f>
        <v>0</v>
      </c>
      <c r="AQ340" s="9">
        <f t="shared" si="41"/>
        <v>0</v>
      </c>
      <c r="AV340" t="s">
        <v>77</v>
      </c>
      <c r="AW340" s="5">
        <f>data_origin!T3345</f>
        <v>0</v>
      </c>
      <c r="AX340" s="5">
        <f>data_origin!U3345</f>
        <v>0</v>
      </c>
      <c r="AY340" s="5">
        <f>data_origin!V3345</f>
        <v>3.0303030303030304E-2</v>
      </c>
      <c r="AZ340" s="5">
        <f>data_origin!W3345</f>
        <v>0</v>
      </c>
      <c r="BA340" s="5">
        <f>data_origin!X3345</f>
        <v>0</v>
      </c>
      <c r="BB340" s="5">
        <f>data_origin!Y3345</f>
        <v>0</v>
      </c>
      <c r="BC340" s="5">
        <f>data_origin!Z3345</f>
        <v>0</v>
      </c>
      <c r="BD340" s="5">
        <f>data_origin!AA3345</f>
        <v>0</v>
      </c>
      <c r="BE340" s="9">
        <f t="shared" si="42"/>
        <v>3.0303030303030304E-2</v>
      </c>
    </row>
    <row r="341" spans="4:57" x14ac:dyDescent="0.25">
      <c r="D341" t="s">
        <v>78</v>
      </c>
      <c r="E341" s="35">
        <f t="shared" si="46"/>
        <v>0</v>
      </c>
      <c r="F341" s="35">
        <f t="shared" si="46"/>
        <v>0</v>
      </c>
      <c r="G341" s="35">
        <f t="shared" si="46"/>
        <v>0</v>
      </c>
      <c r="H341" s="35">
        <f t="shared" si="46"/>
        <v>0</v>
      </c>
      <c r="I341" s="35">
        <f t="shared" si="46"/>
        <v>0</v>
      </c>
      <c r="J341" s="35">
        <f t="shared" si="46"/>
        <v>0</v>
      </c>
      <c r="K341" s="35">
        <f t="shared" si="46"/>
        <v>0</v>
      </c>
      <c r="L341" s="35">
        <f t="shared" si="46"/>
        <v>0</v>
      </c>
      <c r="M341" s="35">
        <f t="shared" si="44"/>
        <v>0</v>
      </c>
      <c r="S341" t="s">
        <v>78</v>
      </c>
      <c r="T341" s="5">
        <f>data_origin!T419</f>
        <v>0</v>
      </c>
      <c r="U341" s="5">
        <f>data_origin!U419</f>
        <v>0</v>
      </c>
      <c r="V341" s="5">
        <f>data_origin!V419</f>
        <v>0</v>
      </c>
      <c r="W341" s="5">
        <f>data_origin!W419</f>
        <v>0</v>
      </c>
      <c r="X341" s="5">
        <f>data_origin!X419</f>
        <v>0</v>
      </c>
      <c r="Y341" s="5">
        <f>data_origin!Y419</f>
        <v>0</v>
      </c>
      <c r="Z341" s="5">
        <f>data_origin!Z419</f>
        <v>0</v>
      </c>
      <c r="AA341" s="5">
        <f>data_origin!AA419</f>
        <v>0</v>
      </c>
      <c r="AB341" s="5">
        <f t="shared" si="40"/>
        <v>0</v>
      </c>
      <c r="AH341" t="s">
        <v>78</v>
      </c>
      <c r="AI341" s="5">
        <f>data_origin!T2632</f>
        <v>0</v>
      </c>
      <c r="AJ341" s="5">
        <f>data_origin!U2632</f>
        <v>0</v>
      </c>
      <c r="AK341" s="5">
        <f>data_origin!V2632</f>
        <v>0</v>
      </c>
      <c r="AL341" s="5">
        <f>data_origin!W2632</f>
        <v>0</v>
      </c>
      <c r="AM341" s="5">
        <f>data_origin!X2632</f>
        <v>0</v>
      </c>
      <c r="AN341" s="5">
        <f>data_origin!Y2632</f>
        <v>0</v>
      </c>
      <c r="AO341" s="5">
        <f>data_origin!Z2632</f>
        <v>0</v>
      </c>
      <c r="AP341" s="5">
        <f>data_origin!AA2632</f>
        <v>0</v>
      </c>
      <c r="AQ341" s="9">
        <f t="shared" si="41"/>
        <v>0</v>
      </c>
      <c r="AV341" t="s">
        <v>78</v>
      </c>
      <c r="AW341" s="5">
        <f>data_origin!T3346</f>
        <v>0</v>
      </c>
      <c r="AX341" s="5">
        <f>data_origin!U3346</f>
        <v>0</v>
      </c>
      <c r="AY341" s="5">
        <f>data_origin!V3346</f>
        <v>3.0303030303030304E-2</v>
      </c>
      <c r="AZ341" s="5">
        <f>data_origin!W3346</f>
        <v>0</v>
      </c>
      <c r="BA341" s="5">
        <f>data_origin!X3346</f>
        <v>0</v>
      </c>
      <c r="BB341" s="5">
        <f>data_origin!Y3346</f>
        <v>0</v>
      </c>
      <c r="BC341" s="5">
        <f>data_origin!Z3346</f>
        <v>0</v>
      </c>
      <c r="BD341" s="5">
        <f>data_origin!AA3346</f>
        <v>0</v>
      </c>
      <c r="BE341" s="9">
        <f t="shared" si="42"/>
        <v>3.0303030303030304E-2</v>
      </c>
    </row>
    <row r="342" spans="4:57" x14ac:dyDescent="0.25">
      <c r="D342" t="s">
        <v>79</v>
      </c>
      <c r="E342" s="35">
        <f t="shared" si="46"/>
        <v>0</v>
      </c>
      <c r="F342" s="35">
        <f t="shared" si="46"/>
        <v>0</v>
      </c>
      <c r="G342" s="35">
        <f t="shared" si="46"/>
        <v>0</v>
      </c>
      <c r="H342" s="35">
        <f t="shared" si="46"/>
        <v>0</v>
      </c>
      <c r="I342" s="35">
        <f t="shared" si="46"/>
        <v>0</v>
      </c>
      <c r="J342" s="35">
        <f t="shared" si="46"/>
        <v>0</v>
      </c>
      <c r="K342" s="35">
        <f t="shared" si="46"/>
        <v>0</v>
      </c>
      <c r="L342" s="35">
        <f t="shared" si="46"/>
        <v>0</v>
      </c>
      <c r="M342" s="35">
        <f t="shared" si="44"/>
        <v>0</v>
      </c>
      <c r="S342" t="s">
        <v>79</v>
      </c>
      <c r="T342" s="5">
        <f>data_origin!T420</f>
        <v>0</v>
      </c>
      <c r="U342" s="5">
        <f>data_origin!U420</f>
        <v>0</v>
      </c>
      <c r="V342" s="5">
        <f>data_origin!V420</f>
        <v>0</v>
      </c>
      <c r="W342" s="5">
        <f>data_origin!W420</f>
        <v>0</v>
      </c>
      <c r="X342" s="5">
        <f>data_origin!X420</f>
        <v>0</v>
      </c>
      <c r="Y342" s="5">
        <f>data_origin!Y420</f>
        <v>0</v>
      </c>
      <c r="Z342" s="5">
        <f>data_origin!Z420</f>
        <v>0</v>
      </c>
      <c r="AA342" s="5">
        <f>data_origin!AA420</f>
        <v>0</v>
      </c>
      <c r="AB342" s="5">
        <f t="shared" si="40"/>
        <v>0</v>
      </c>
      <c r="AH342" t="s">
        <v>79</v>
      </c>
      <c r="AI342" s="5">
        <f>data_origin!T2633</f>
        <v>0</v>
      </c>
      <c r="AJ342" s="5">
        <f>data_origin!U2633</f>
        <v>0</v>
      </c>
      <c r="AK342" s="5">
        <f>data_origin!V2633</f>
        <v>0</v>
      </c>
      <c r="AL342" s="5">
        <f>data_origin!W2633</f>
        <v>0</v>
      </c>
      <c r="AM342" s="5">
        <f>data_origin!X2633</f>
        <v>0</v>
      </c>
      <c r="AN342" s="5">
        <f>data_origin!Y2633</f>
        <v>0</v>
      </c>
      <c r="AO342" s="5">
        <f>data_origin!Z2633</f>
        <v>0</v>
      </c>
      <c r="AP342" s="5">
        <f>data_origin!AA2633</f>
        <v>0</v>
      </c>
      <c r="AQ342" s="9">
        <f t="shared" si="41"/>
        <v>0</v>
      </c>
      <c r="AV342" t="s">
        <v>79</v>
      </c>
      <c r="AW342" s="5">
        <f>data_origin!T3347</f>
        <v>0</v>
      </c>
      <c r="AX342" s="5">
        <f>data_origin!U3347</f>
        <v>0</v>
      </c>
      <c r="AY342" s="5">
        <f>data_origin!V3347</f>
        <v>3.0303030303030304E-2</v>
      </c>
      <c r="AZ342" s="5">
        <f>data_origin!W3347</f>
        <v>0</v>
      </c>
      <c r="BA342" s="5">
        <f>data_origin!X3347</f>
        <v>0</v>
      </c>
      <c r="BB342" s="5">
        <f>data_origin!Y3347</f>
        <v>0</v>
      </c>
      <c r="BC342" s="5">
        <f>data_origin!Z3347</f>
        <v>0</v>
      </c>
      <c r="BD342" s="5">
        <f>data_origin!AA3347</f>
        <v>0</v>
      </c>
      <c r="BE342" s="9">
        <f t="shared" si="42"/>
        <v>3.0303030303030304E-2</v>
      </c>
    </row>
    <row r="343" spans="4:57" x14ac:dyDescent="0.25">
      <c r="D343" t="s">
        <v>80</v>
      </c>
      <c r="E343" s="35">
        <f t="shared" si="46"/>
        <v>0</v>
      </c>
      <c r="F343" s="35">
        <f t="shared" si="46"/>
        <v>0</v>
      </c>
      <c r="G343" s="35">
        <f t="shared" si="46"/>
        <v>0</v>
      </c>
      <c r="H343" s="35">
        <f t="shared" si="46"/>
        <v>0</v>
      </c>
      <c r="I343" s="35">
        <f t="shared" si="46"/>
        <v>0</v>
      </c>
      <c r="J343" s="35">
        <f t="shared" si="46"/>
        <v>0</v>
      </c>
      <c r="K343" s="35">
        <f t="shared" si="46"/>
        <v>0</v>
      </c>
      <c r="L343" s="35">
        <f t="shared" si="46"/>
        <v>0</v>
      </c>
      <c r="M343" s="35">
        <f t="shared" si="44"/>
        <v>0</v>
      </c>
      <c r="S343" t="s">
        <v>80</v>
      </c>
      <c r="T343" s="5">
        <f>data_origin!T421</f>
        <v>0</v>
      </c>
      <c r="U343" s="5">
        <f>data_origin!U421</f>
        <v>0</v>
      </c>
      <c r="V343" s="5">
        <f>data_origin!V421</f>
        <v>0</v>
      </c>
      <c r="W343" s="5">
        <f>data_origin!W421</f>
        <v>0</v>
      </c>
      <c r="X343" s="5">
        <f>data_origin!X421</f>
        <v>0</v>
      </c>
      <c r="Y343" s="5">
        <f>data_origin!Y421</f>
        <v>0</v>
      </c>
      <c r="Z343" s="5">
        <f>data_origin!Z421</f>
        <v>0</v>
      </c>
      <c r="AA343" s="5">
        <f>data_origin!AA421</f>
        <v>0</v>
      </c>
      <c r="AB343" s="5">
        <f t="shared" si="40"/>
        <v>0</v>
      </c>
      <c r="AH343" t="s">
        <v>80</v>
      </c>
      <c r="AI343" s="5">
        <f>data_origin!T2634</f>
        <v>0</v>
      </c>
      <c r="AJ343" s="5">
        <f>data_origin!U2634</f>
        <v>0</v>
      </c>
      <c r="AK343" s="5">
        <f>data_origin!V2634</f>
        <v>0</v>
      </c>
      <c r="AL343" s="5">
        <f>data_origin!W2634</f>
        <v>0</v>
      </c>
      <c r="AM343" s="5">
        <f>data_origin!X2634</f>
        <v>0</v>
      </c>
      <c r="AN343" s="5">
        <f>data_origin!Y2634</f>
        <v>0</v>
      </c>
      <c r="AO343" s="5">
        <f>data_origin!Z2634</f>
        <v>0</v>
      </c>
      <c r="AP343" s="5">
        <f>data_origin!AA2634</f>
        <v>0</v>
      </c>
      <c r="AQ343" s="9">
        <f t="shared" si="41"/>
        <v>0</v>
      </c>
      <c r="AV343" t="s">
        <v>80</v>
      </c>
      <c r="AW343" s="5">
        <f>data_origin!T3348</f>
        <v>0</v>
      </c>
      <c r="AX343" s="5">
        <f>data_origin!U3348</f>
        <v>0</v>
      </c>
      <c r="AY343" s="5">
        <f>data_origin!V3348</f>
        <v>3.0303030303030304E-2</v>
      </c>
      <c r="AZ343" s="5">
        <f>data_origin!W3348</f>
        <v>0</v>
      </c>
      <c r="BA343" s="5">
        <f>data_origin!X3348</f>
        <v>0</v>
      </c>
      <c r="BB343" s="5">
        <f>data_origin!Y3348</f>
        <v>0</v>
      </c>
      <c r="BC343" s="5">
        <f>data_origin!Z3348</f>
        <v>0</v>
      </c>
      <c r="BD343" s="5">
        <f>data_origin!AA3348</f>
        <v>0</v>
      </c>
      <c r="BE343" s="9">
        <f t="shared" si="42"/>
        <v>3.0303030303030304E-2</v>
      </c>
    </row>
    <row r="344" spans="4:57" x14ac:dyDescent="0.25">
      <c r="D344" t="s">
        <v>81</v>
      </c>
      <c r="E344" s="35">
        <f t="shared" si="46"/>
        <v>0</v>
      </c>
      <c r="F344" s="35">
        <f t="shared" si="46"/>
        <v>0</v>
      </c>
      <c r="G344" s="35">
        <f t="shared" si="46"/>
        <v>0</v>
      </c>
      <c r="H344" s="35">
        <f t="shared" si="46"/>
        <v>0</v>
      </c>
      <c r="I344" s="35">
        <f t="shared" si="46"/>
        <v>0</v>
      </c>
      <c r="J344" s="35">
        <f t="shared" si="46"/>
        <v>0</v>
      </c>
      <c r="K344" s="35">
        <f t="shared" si="46"/>
        <v>0</v>
      </c>
      <c r="L344" s="35">
        <f t="shared" si="46"/>
        <v>0</v>
      </c>
      <c r="M344" s="35">
        <f t="shared" si="44"/>
        <v>0</v>
      </c>
      <c r="S344" t="s">
        <v>81</v>
      </c>
      <c r="T344" s="5">
        <f>data_origin!T422</f>
        <v>0</v>
      </c>
      <c r="U344" s="5">
        <f>data_origin!U422</f>
        <v>0</v>
      </c>
      <c r="V344" s="5">
        <f>data_origin!V422</f>
        <v>0</v>
      </c>
      <c r="W344" s="5">
        <f>data_origin!W422</f>
        <v>0</v>
      </c>
      <c r="X344" s="5">
        <f>data_origin!X422</f>
        <v>0</v>
      </c>
      <c r="Y344" s="5">
        <f>data_origin!Y422</f>
        <v>0</v>
      </c>
      <c r="Z344" s="5">
        <f>data_origin!Z422</f>
        <v>0</v>
      </c>
      <c r="AA344" s="5">
        <f>data_origin!AA422</f>
        <v>0</v>
      </c>
      <c r="AB344" s="5">
        <f t="shared" si="40"/>
        <v>0</v>
      </c>
      <c r="AH344" t="s">
        <v>81</v>
      </c>
      <c r="AI344" s="5">
        <f>data_origin!T2635</f>
        <v>0</v>
      </c>
      <c r="AJ344" s="5">
        <f>data_origin!U2635</f>
        <v>0</v>
      </c>
      <c r="AK344" s="5">
        <f>data_origin!V2635</f>
        <v>0</v>
      </c>
      <c r="AL344" s="5">
        <f>data_origin!W2635</f>
        <v>0</v>
      </c>
      <c r="AM344" s="5">
        <f>data_origin!X2635</f>
        <v>0</v>
      </c>
      <c r="AN344" s="5">
        <f>data_origin!Y2635</f>
        <v>0</v>
      </c>
      <c r="AO344" s="5">
        <f>data_origin!Z2635</f>
        <v>0</v>
      </c>
      <c r="AP344" s="5">
        <f>data_origin!AA2635</f>
        <v>0</v>
      </c>
      <c r="AQ344" s="9">
        <f t="shared" si="41"/>
        <v>0</v>
      </c>
      <c r="AV344" t="s">
        <v>81</v>
      </c>
      <c r="AW344" s="5">
        <f>data_origin!T3349</f>
        <v>0</v>
      </c>
      <c r="AX344" s="5">
        <f>data_origin!U3349</f>
        <v>0</v>
      </c>
      <c r="AY344" s="5">
        <f>data_origin!V3349</f>
        <v>3.0303030303030304E-2</v>
      </c>
      <c r="AZ344" s="5">
        <f>data_origin!W3349</f>
        <v>0</v>
      </c>
      <c r="BA344" s="5">
        <f>data_origin!X3349</f>
        <v>0</v>
      </c>
      <c r="BB344" s="5">
        <f>data_origin!Y3349</f>
        <v>0</v>
      </c>
      <c r="BC344" s="5">
        <f>data_origin!Z3349</f>
        <v>0</v>
      </c>
      <c r="BD344" s="5">
        <f>data_origin!AA3349</f>
        <v>0</v>
      </c>
      <c r="BE344" s="9">
        <f t="shared" si="42"/>
        <v>3.0303030303030304E-2</v>
      </c>
    </row>
    <row r="345" spans="4:57" x14ac:dyDescent="0.25">
      <c r="D345" t="s">
        <v>82</v>
      </c>
      <c r="E345" s="35">
        <f t="shared" si="46"/>
        <v>0</v>
      </c>
      <c r="F345" s="35">
        <f t="shared" si="46"/>
        <v>0</v>
      </c>
      <c r="G345" s="35">
        <f t="shared" si="46"/>
        <v>0</v>
      </c>
      <c r="H345" s="35">
        <f t="shared" si="46"/>
        <v>0</v>
      </c>
      <c r="I345" s="35">
        <f t="shared" si="46"/>
        <v>0</v>
      </c>
      <c r="J345" s="35">
        <f t="shared" si="46"/>
        <v>0</v>
      </c>
      <c r="K345" s="35">
        <f t="shared" si="46"/>
        <v>0</v>
      </c>
      <c r="L345" s="35">
        <f t="shared" si="46"/>
        <v>0</v>
      </c>
      <c r="M345" s="35">
        <f t="shared" si="44"/>
        <v>0</v>
      </c>
      <c r="S345" t="s">
        <v>82</v>
      </c>
      <c r="T345" s="5">
        <f>data_origin!T423</f>
        <v>0</v>
      </c>
      <c r="U345" s="5">
        <f>data_origin!U423</f>
        <v>0</v>
      </c>
      <c r="V345" s="5">
        <f>data_origin!V423</f>
        <v>0</v>
      </c>
      <c r="W345" s="5">
        <f>data_origin!W423</f>
        <v>0</v>
      </c>
      <c r="X345" s="5">
        <f>data_origin!X423</f>
        <v>0</v>
      </c>
      <c r="Y345" s="5">
        <f>data_origin!Y423</f>
        <v>0</v>
      </c>
      <c r="Z345" s="5">
        <f>data_origin!Z423</f>
        <v>0</v>
      </c>
      <c r="AA345" s="5">
        <f>data_origin!AA423</f>
        <v>0</v>
      </c>
      <c r="AB345" s="5">
        <f t="shared" si="40"/>
        <v>0</v>
      </c>
      <c r="AH345" t="s">
        <v>82</v>
      </c>
      <c r="AI345" s="5">
        <f>data_origin!T2636</f>
        <v>0</v>
      </c>
      <c r="AJ345" s="5">
        <f>data_origin!U2636</f>
        <v>0</v>
      </c>
      <c r="AK345" s="5">
        <f>data_origin!V2636</f>
        <v>0</v>
      </c>
      <c r="AL345" s="5">
        <f>data_origin!W2636</f>
        <v>0</v>
      </c>
      <c r="AM345" s="5">
        <f>data_origin!X2636</f>
        <v>0</v>
      </c>
      <c r="AN345" s="5">
        <f>data_origin!Y2636</f>
        <v>0</v>
      </c>
      <c r="AO345" s="5">
        <f>data_origin!Z2636</f>
        <v>0</v>
      </c>
      <c r="AP345" s="5">
        <f>data_origin!AA2636</f>
        <v>0</v>
      </c>
      <c r="AQ345" s="9">
        <f t="shared" si="41"/>
        <v>0</v>
      </c>
      <c r="AV345" t="s">
        <v>82</v>
      </c>
      <c r="AW345" s="5">
        <f>data_origin!T3350</f>
        <v>0</v>
      </c>
      <c r="AX345" s="5">
        <f>data_origin!U3350</f>
        <v>0</v>
      </c>
      <c r="AY345" s="5">
        <f>data_origin!V3350</f>
        <v>3.0303030303030304E-2</v>
      </c>
      <c r="AZ345" s="5">
        <f>data_origin!W3350</f>
        <v>0</v>
      </c>
      <c r="BA345" s="5">
        <f>data_origin!X3350</f>
        <v>0</v>
      </c>
      <c r="BB345" s="5">
        <f>data_origin!Y3350</f>
        <v>0</v>
      </c>
      <c r="BC345" s="5">
        <f>data_origin!Z3350</f>
        <v>0</v>
      </c>
      <c r="BD345" s="5">
        <f>data_origin!AA3350</f>
        <v>0</v>
      </c>
      <c r="BE345" s="9">
        <f t="shared" si="42"/>
        <v>3.0303030303030304E-2</v>
      </c>
    </row>
    <row r="346" spans="4:57" x14ac:dyDescent="0.25">
      <c r="D346" t="s">
        <v>83</v>
      </c>
      <c r="E346" s="35">
        <f t="shared" si="46"/>
        <v>0</v>
      </c>
      <c r="F346" s="35">
        <f t="shared" si="46"/>
        <v>0</v>
      </c>
      <c r="G346" s="35">
        <f t="shared" si="46"/>
        <v>0</v>
      </c>
      <c r="H346" s="35">
        <f t="shared" si="46"/>
        <v>0</v>
      </c>
      <c r="I346" s="35">
        <f t="shared" si="46"/>
        <v>0</v>
      </c>
      <c r="J346" s="35">
        <f t="shared" si="46"/>
        <v>0</v>
      </c>
      <c r="K346" s="35">
        <f t="shared" si="46"/>
        <v>0</v>
      </c>
      <c r="L346" s="35">
        <f t="shared" si="46"/>
        <v>0</v>
      </c>
      <c r="M346" s="35">
        <f t="shared" si="44"/>
        <v>0</v>
      </c>
      <c r="S346" t="s">
        <v>83</v>
      </c>
      <c r="T346" s="5">
        <f>data_origin!T424</f>
        <v>0</v>
      </c>
      <c r="U346" s="5">
        <f>data_origin!U424</f>
        <v>0</v>
      </c>
      <c r="V346" s="5">
        <f>data_origin!V424</f>
        <v>0</v>
      </c>
      <c r="W346" s="5">
        <f>data_origin!W424</f>
        <v>0</v>
      </c>
      <c r="X346" s="5">
        <f>data_origin!X424</f>
        <v>0</v>
      </c>
      <c r="Y346" s="5">
        <f>data_origin!Y424</f>
        <v>0</v>
      </c>
      <c r="Z346" s="5">
        <f>data_origin!Z424</f>
        <v>0</v>
      </c>
      <c r="AA346" s="5">
        <f>data_origin!AA424</f>
        <v>0</v>
      </c>
      <c r="AB346" s="5">
        <f t="shared" si="40"/>
        <v>0</v>
      </c>
      <c r="AH346" t="s">
        <v>83</v>
      </c>
      <c r="AI346" s="5">
        <f>data_origin!T2637</f>
        <v>0</v>
      </c>
      <c r="AJ346" s="5">
        <f>data_origin!U2637</f>
        <v>0</v>
      </c>
      <c r="AK346" s="5">
        <f>data_origin!V2637</f>
        <v>0</v>
      </c>
      <c r="AL346" s="5">
        <f>data_origin!W2637</f>
        <v>0</v>
      </c>
      <c r="AM346" s="5">
        <f>data_origin!X2637</f>
        <v>0</v>
      </c>
      <c r="AN346" s="5">
        <f>data_origin!Y2637</f>
        <v>0</v>
      </c>
      <c r="AO346" s="5">
        <f>data_origin!Z2637</f>
        <v>0</v>
      </c>
      <c r="AP346" s="5">
        <f>data_origin!AA2637</f>
        <v>0</v>
      </c>
      <c r="AQ346" s="9">
        <f t="shared" si="41"/>
        <v>0</v>
      </c>
      <c r="AV346" t="s">
        <v>83</v>
      </c>
      <c r="AW346" s="5">
        <f>data_origin!T3351</f>
        <v>0</v>
      </c>
      <c r="AX346" s="5">
        <f>data_origin!U3351</f>
        <v>0</v>
      </c>
      <c r="AY346" s="5">
        <f>data_origin!V3351</f>
        <v>3.0303030303030304E-2</v>
      </c>
      <c r="AZ346" s="5">
        <f>data_origin!W3351</f>
        <v>0</v>
      </c>
      <c r="BA346" s="5">
        <f>data_origin!X3351</f>
        <v>0</v>
      </c>
      <c r="BB346" s="5">
        <f>data_origin!Y3351</f>
        <v>0</v>
      </c>
      <c r="BC346" s="5">
        <f>data_origin!Z3351</f>
        <v>0</v>
      </c>
      <c r="BD346" s="5">
        <f>data_origin!AA3351</f>
        <v>0</v>
      </c>
      <c r="BE346" s="9">
        <f t="shared" si="42"/>
        <v>3.0303030303030304E-2</v>
      </c>
    </row>
    <row r="347" spans="4:57" x14ac:dyDescent="0.25">
      <c r="D347" t="s">
        <v>84</v>
      </c>
      <c r="E347" s="35">
        <f t="shared" si="46"/>
        <v>0</v>
      </c>
      <c r="F347" s="35">
        <f t="shared" si="46"/>
        <v>0</v>
      </c>
      <c r="G347" s="35">
        <f t="shared" si="46"/>
        <v>0</v>
      </c>
      <c r="H347" s="35">
        <f t="shared" si="46"/>
        <v>0</v>
      </c>
      <c r="I347" s="35">
        <f t="shared" si="46"/>
        <v>0</v>
      </c>
      <c r="J347" s="35">
        <f t="shared" si="46"/>
        <v>0</v>
      </c>
      <c r="K347" s="35">
        <f t="shared" si="46"/>
        <v>0</v>
      </c>
      <c r="L347" s="35">
        <f t="shared" si="46"/>
        <v>0</v>
      </c>
      <c r="M347" s="35">
        <f t="shared" si="44"/>
        <v>0</v>
      </c>
      <c r="S347" t="s">
        <v>84</v>
      </c>
      <c r="T347" s="5">
        <f>data_origin!T425</f>
        <v>0</v>
      </c>
      <c r="U347" s="5">
        <f>data_origin!U425</f>
        <v>0</v>
      </c>
      <c r="V347" s="5">
        <f>data_origin!V425</f>
        <v>0</v>
      </c>
      <c r="W347" s="5">
        <f>data_origin!W425</f>
        <v>0</v>
      </c>
      <c r="X347" s="5">
        <f>data_origin!X425</f>
        <v>0</v>
      </c>
      <c r="Y347" s="5">
        <f>data_origin!Y425</f>
        <v>0</v>
      </c>
      <c r="Z347" s="5">
        <f>data_origin!Z425</f>
        <v>0</v>
      </c>
      <c r="AA347" s="5">
        <f>data_origin!AA425</f>
        <v>0</v>
      </c>
      <c r="AB347" s="5">
        <f t="shared" si="40"/>
        <v>0</v>
      </c>
      <c r="AH347" t="s">
        <v>84</v>
      </c>
      <c r="AI347" s="5">
        <f>data_origin!T2638</f>
        <v>0</v>
      </c>
      <c r="AJ347" s="5">
        <f>data_origin!U2638</f>
        <v>0</v>
      </c>
      <c r="AK347" s="5">
        <f>data_origin!V2638</f>
        <v>0</v>
      </c>
      <c r="AL347" s="5">
        <f>data_origin!W2638</f>
        <v>0</v>
      </c>
      <c r="AM347" s="5">
        <f>data_origin!X2638</f>
        <v>0</v>
      </c>
      <c r="AN347" s="5">
        <f>data_origin!Y2638</f>
        <v>0</v>
      </c>
      <c r="AO347" s="5">
        <f>data_origin!Z2638</f>
        <v>0</v>
      </c>
      <c r="AP347" s="5">
        <f>data_origin!AA2638</f>
        <v>0</v>
      </c>
      <c r="AQ347" s="9">
        <f t="shared" si="41"/>
        <v>0</v>
      </c>
      <c r="AV347" t="s">
        <v>84</v>
      </c>
      <c r="AW347" s="5">
        <f>data_origin!T3352</f>
        <v>0</v>
      </c>
      <c r="AX347" s="5">
        <f>data_origin!U3352</f>
        <v>0</v>
      </c>
      <c r="AY347" s="5">
        <f>data_origin!V3352</f>
        <v>3.0303030303030304E-2</v>
      </c>
      <c r="AZ347" s="5">
        <f>data_origin!W3352</f>
        <v>0</v>
      </c>
      <c r="BA347" s="5">
        <f>data_origin!X3352</f>
        <v>0</v>
      </c>
      <c r="BB347" s="5">
        <f>data_origin!Y3352</f>
        <v>0</v>
      </c>
      <c r="BC347" s="5">
        <f>data_origin!Z3352</f>
        <v>0</v>
      </c>
      <c r="BD347" s="5">
        <f>data_origin!AA3352</f>
        <v>0</v>
      </c>
      <c r="BE347" s="9">
        <f t="shared" si="42"/>
        <v>3.0303030303030304E-2</v>
      </c>
    </row>
    <row r="348" spans="4:57" x14ac:dyDescent="0.25">
      <c r="D348" t="s">
        <v>85</v>
      </c>
      <c r="E348" s="35">
        <f t="shared" si="46"/>
        <v>0</v>
      </c>
      <c r="F348" s="35">
        <f t="shared" si="46"/>
        <v>0</v>
      </c>
      <c r="G348" s="35">
        <f t="shared" si="46"/>
        <v>0</v>
      </c>
      <c r="H348" s="35">
        <f t="shared" si="46"/>
        <v>0</v>
      </c>
      <c r="I348" s="35">
        <f t="shared" si="46"/>
        <v>0</v>
      </c>
      <c r="J348" s="35">
        <f t="shared" si="46"/>
        <v>0</v>
      </c>
      <c r="K348" s="35">
        <f t="shared" si="46"/>
        <v>0</v>
      </c>
      <c r="L348" s="35">
        <f t="shared" si="46"/>
        <v>0</v>
      </c>
      <c r="M348" s="35">
        <f t="shared" si="44"/>
        <v>0</v>
      </c>
      <c r="S348" t="s">
        <v>85</v>
      </c>
      <c r="T348" s="5">
        <f>data_origin!T426</f>
        <v>0</v>
      </c>
      <c r="U348" s="5">
        <f>data_origin!U426</f>
        <v>0</v>
      </c>
      <c r="V348" s="5">
        <f>data_origin!V426</f>
        <v>0</v>
      </c>
      <c r="W348" s="5">
        <f>data_origin!W426</f>
        <v>0</v>
      </c>
      <c r="X348" s="5">
        <f>data_origin!X426</f>
        <v>0</v>
      </c>
      <c r="Y348" s="5">
        <f>data_origin!Y426</f>
        <v>0</v>
      </c>
      <c r="Z348" s="5">
        <f>data_origin!Z426</f>
        <v>0</v>
      </c>
      <c r="AA348" s="5">
        <f>data_origin!AA426</f>
        <v>0</v>
      </c>
      <c r="AB348" s="5">
        <f t="shared" si="40"/>
        <v>0</v>
      </c>
      <c r="AH348" t="s">
        <v>85</v>
      </c>
      <c r="AI348" s="5">
        <f>data_origin!T2639</f>
        <v>0</v>
      </c>
      <c r="AJ348" s="5">
        <f>data_origin!U2639</f>
        <v>0</v>
      </c>
      <c r="AK348" s="5">
        <f>data_origin!V2639</f>
        <v>0</v>
      </c>
      <c r="AL348" s="5">
        <f>data_origin!W2639</f>
        <v>0</v>
      </c>
      <c r="AM348" s="5">
        <f>data_origin!X2639</f>
        <v>0</v>
      </c>
      <c r="AN348" s="5">
        <f>data_origin!Y2639</f>
        <v>0</v>
      </c>
      <c r="AO348" s="5">
        <f>data_origin!Z2639</f>
        <v>0</v>
      </c>
      <c r="AP348" s="5">
        <f>data_origin!AA2639</f>
        <v>0</v>
      </c>
      <c r="AQ348" s="9">
        <f t="shared" si="41"/>
        <v>0</v>
      </c>
      <c r="AV348" t="s">
        <v>85</v>
      </c>
      <c r="AW348" s="5">
        <f>data_origin!T3353</f>
        <v>0</v>
      </c>
      <c r="AX348" s="5">
        <f>data_origin!U3353</f>
        <v>0</v>
      </c>
      <c r="AY348" s="5">
        <f>data_origin!V3353</f>
        <v>3.0303030303030304E-2</v>
      </c>
      <c r="AZ348" s="5">
        <f>data_origin!W3353</f>
        <v>0</v>
      </c>
      <c r="BA348" s="5">
        <f>data_origin!X3353</f>
        <v>0</v>
      </c>
      <c r="BB348" s="5">
        <f>data_origin!Y3353</f>
        <v>0</v>
      </c>
      <c r="BC348" s="5">
        <f>data_origin!Z3353</f>
        <v>0</v>
      </c>
      <c r="BD348" s="5">
        <f>data_origin!AA3353</f>
        <v>0</v>
      </c>
      <c r="BE348" s="9">
        <f t="shared" si="42"/>
        <v>3.0303030303030304E-2</v>
      </c>
    </row>
    <row r="349" spans="4:57" x14ac:dyDescent="0.25">
      <c r="D349" t="s">
        <v>86</v>
      </c>
      <c r="E349" s="35">
        <f t="shared" si="46"/>
        <v>0</v>
      </c>
      <c r="F349" s="35">
        <f t="shared" si="46"/>
        <v>0</v>
      </c>
      <c r="G349" s="35">
        <f t="shared" si="46"/>
        <v>1.0012698412698413</v>
      </c>
      <c r="H349" s="35">
        <f t="shared" si="46"/>
        <v>0</v>
      </c>
      <c r="I349" s="35">
        <f t="shared" si="46"/>
        <v>0</v>
      </c>
      <c r="J349" s="35">
        <f t="shared" si="46"/>
        <v>0</v>
      </c>
      <c r="K349" s="35">
        <f t="shared" si="46"/>
        <v>0</v>
      </c>
      <c r="L349" s="35">
        <f t="shared" si="46"/>
        <v>0</v>
      </c>
      <c r="M349" s="35">
        <f t="shared" si="44"/>
        <v>1.0012698412698413</v>
      </c>
      <c r="S349" t="s">
        <v>86</v>
      </c>
      <c r="T349" s="5">
        <f>data_origin!T427</f>
        <v>0</v>
      </c>
      <c r="U349" s="5">
        <f>data_origin!U427</f>
        <v>0</v>
      </c>
      <c r="V349" s="5">
        <f>data_origin!V427</f>
        <v>1</v>
      </c>
      <c r="W349" s="5">
        <f>data_origin!W427</f>
        <v>0</v>
      </c>
      <c r="X349" s="5">
        <f>data_origin!X427</f>
        <v>0</v>
      </c>
      <c r="Y349" s="5">
        <f>data_origin!Y427</f>
        <v>0</v>
      </c>
      <c r="Z349" s="5">
        <f>data_origin!Z427</f>
        <v>0</v>
      </c>
      <c r="AA349" s="5">
        <f>data_origin!AA427</f>
        <v>0</v>
      </c>
      <c r="AB349" s="5">
        <f t="shared" si="40"/>
        <v>1</v>
      </c>
      <c r="AH349" t="s">
        <v>86</v>
      </c>
      <c r="AI349" s="5">
        <f>data_origin!T2640</f>
        <v>0</v>
      </c>
      <c r="AJ349" s="5">
        <f>data_origin!U2640</f>
        <v>0</v>
      </c>
      <c r="AK349" s="5">
        <f>data_origin!V2640</f>
        <v>0</v>
      </c>
      <c r="AL349" s="5">
        <f>data_origin!W2640</f>
        <v>0</v>
      </c>
      <c r="AM349" s="5">
        <f>data_origin!X2640</f>
        <v>0</v>
      </c>
      <c r="AN349" s="5">
        <f>data_origin!Y2640</f>
        <v>0</v>
      </c>
      <c r="AO349" s="5">
        <f>data_origin!Z2640</f>
        <v>0</v>
      </c>
      <c r="AP349" s="5">
        <f>data_origin!AA2640</f>
        <v>0</v>
      </c>
      <c r="AQ349" s="9">
        <f t="shared" si="41"/>
        <v>0</v>
      </c>
      <c r="AV349" t="s">
        <v>86</v>
      </c>
      <c r="AW349" s="5">
        <f>data_origin!T3354</f>
        <v>0</v>
      </c>
      <c r="AX349" s="5">
        <f>data_origin!U3354</f>
        <v>0</v>
      </c>
      <c r="AY349" s="5">
        <f>data_origin!V3354</f>
        <v>3.0303030303030304E-2</v>
      </c>
      <c r="AZ349" s="5">
        <f>data_origin!W3354</f>
        <v>0</v>
      </c>
      <c r="BA349" s="5">
        <f>data_origin!X3354</f>
        <v>0</v>
      </c>
      <c r="BB349" s="5">
        <f>data_origin!Y3354</f>
        <v>0</v>
      </c>
      <c r="BC349" s="5">
        <f>data_origin!Z3354</f>
        <v>0</v>
      </c>
      <c r="BD349" s="5">
        <f>data_origin!AA3354</f>
        <v>0</v>
      </c>
      <c r="BE349" s="9">
        <f t="shared" si="42"/>
        <v>3.0303030303030304E-2</v>
      </c>
    </row>
    <row r="350" spans="4:57" x14ac:dyDescent="0.25">
      <c r="D350" t="s">
        <v>87</v>
      </c>
      <c r="E350" s="35">
        <f t="shared" si="46"/>
        <v>0</v>
      </c>
      <c r="F350" s="35">
        <f t="shared" si="46"/>
        <v>0</v>
      </c>
      <c r="G350" s="35">
        <f t="shared" si="46"/>
        <v>2.0025396825396826</v>
      </c>
      <c r="H350" s="35">
        <f t="shared" si="46"/>
        <v>0</v>
      </c>
      <c r="I350" s="35">
        <f t="shared" si="46"/>
        <v>0</v>
      </c>
      <c r="J350" s="35">
        <f t="shared" si="46"/>
        <v>0</v>
      </c>
      <c r="K350" s="35">
        <f t="shared" si="46"/>
        <v>0</v>
      </c>
      <c r="L350" s="35">
        <f t="shared" si="46"/>
        <v>0</v>
      </c>
      <c r="M350" s="35">
        <f t="shared" si="44"/>
        <v>2.0025396825396826</v>
      </c>
      <c r="S350" t="s">
        <v>87</v>
      </c>
      <c r="T350" s="5">
        <f>data_origin!T428</f>
        <v>0</v>
      </c>
      <c r="U350" s="5">
        <f>data_origin!U428</f>
        <v>0</v>
      </c>
      <c r="V350" s="5">
        <f>data_origin!V428</f>
        <v>2</v>
      </c>
      <c r="W350" s="5">
        <f>data_origin!W428</f>
        <v>0</v>
      </c>
      <c r="X350" s="5">
        <f>data_origin!X428</f>
        <v>0</v>
      </c>
      <c r="Y350" s="5">
        <f>data_origin!Y428</f>
        <v>0</v>
      </c>
      <c r="Z350" s="5">
        <f>data_origin!Z428</f>
        <v>0</v>
      </c>
      <c r="AA350" s="5">
        <f>data_origin!AA428</f>
        <v>0</v>
      </c>
      <c r="AB350" s="5">
        <f t="shared" si="40"/>
        <v>2</v>
      </c>
      <c r="AH350" t="s">
        <v>87</v>
      </c>
      <c r="AI350" s="5">
        <f>data_origin!T2641</f>
        <v>0</v>
      </c>
      <c r="AJ350" s="5">
        <f>data_origin!U2641</f>
        <v>0</v>
      </c>
      <c r="AK350" s="5">
        <f>data_origin!V2641</f>
        <v>0</v>
      </c>
      <c r="AL350" s="5">
        <f>data_origin!W2641</f>
        <v>0</v>
      </c>
      <c r="AM350" s="5">
        <f>data_origin!X2641</f>
        <v>0</v>
      </c>
      <c r="AN350" s="5">
        <f>data_origin!Y2641</f>
        <v>0</v>
      </c>
      <c r="AO350" s="5">
        <f>data_origin!Z2641</f>
        <v>0</v>
      </c>
      <c r="AP350" s="5">
        <f>data_origin!AA2641</f>
        <v>0</v>
      </c>
      <c r="AQ350" s="9">
        <f t="shared" si="41"/>
        <v>0</v>
      </c>
      <c r="AV350" t="s">
        <v>87</v>
      </c>
      <c r="AW350" s="5">
        <f>data_origin!T3355</f>
        <v>0</v>
      </c>
      <c r="AX350" s="5">
        <f>data_origin!U3355</f>
        <v>0</v>
      </c>
      <c r="AY350" s="5">
        <f>data_origin!V3355</f>
        <v>3.0303030303030304E-2</v>
      </c>
      <c r="AZ350" s="5">
        <f>data_origin!W3355</f>
        <v>0</v>
      </c>
      <c r="BA350" s="5">
        <f>data_origin!X3355</f>
        <v>0</v>
      </c>
      <c r="BB350" s="5">
        <f>data_origin!Y3355</f>
        <v>0</v>
      </c>
      <c r="BC350" s="5">
        <f>data_origin!Z3355</f>
        <v>0</v>
      </c>
      <c r="BD350" s="5">
        <f>data_origin!AA3355</f>
        <v>0</v>
      </c>
      <c r="BE350" s="9">
        <f t="shared" si="42"/>
        <v>3.0303030303030304E-2</v>
      </c>
    </row>
    <row r="351" spans="4:57" x14ac:dyDescent="0.25">
      <c r="D351" t="s">
        <v>88</v>
      </c>
      <c r="E351" s="35">
        <f t="shared" si="46"/>
        <v>0</v>
      </c>
      <c r="F351" s="35">
        <f t="shared" si="46"/>
        <v>0</v>
      </c>
      <c r="G351" s="35">
        <f t="shared" si="46"/>
        <v>0</v>
      </c>
      <c r="H351" s="35">
        <f t="shared" si="46"/>
        <v>0</v>
      </c>
      <c r="I351" s="35">
        <f t="shared" si="46"/>
        <v>0</v>
      </c>
      <c r="J351" s="35">
        <f t="shared" si="46"/>
        <v>0</v>
      </c>
      <c r="K351" s="35">
        <f t="shared" si="46"/>
        <v>0</v>
      </c>
      <c r="L351" s="35">
        <f t="shared" si="46"/>
        <v>0</v>
      </c>
      <c r="M351" s="35">
        <f t="shared" si="44"/>
        <v>0</v>
      </c>
      <c r="S351" t="s">
        <v>88</v>
      </c>
      <c r="T351" s="5">
        <f>data_origin!T429</f>
        <v>0</v>
      </c>
      <c r="U351" s="5">
        <f>data_origin!U429</f>
        <v>0</v>
      </c>
      <c r="V351" s="5">
        <f>data_origin!V429</f>
        <v>0</v>
      </c>
      <c r="W351" s="5">
        <f>data_origin!W429</f>
        <v>0</v>
      </c>
      <c r="X351" s="5">
        <f>data_origin!X429</f>
        <v>0</v>
      </c>
      <c r="Y351" s="5">
        <f>data_origin!Y429</f>
        <v>0</v>
      </c>
      <c r="Z351" s="5">
        <f>data_origin!Z429</f>
        <v>0</v>
      </c>
      <c r="AA351" s="5">
        <f>data_origin!AA429</f>
        <v>0</v>
      </c>
      <c r="AB351" s="5">
        <f t="shared" si="40"/>
        <v>0</v>
      </c>
      <c r="AH351" t="s">
        <v>88</v>
      </c>
      <c r="AI351" s="5">
        <f>data_origin!T2642</f>
        <v>0</v>
      </c>
      <c r="AJ351" s="5">
        <f>data_origin!U2642</f>
        <v>0</v>
      </c>
      <c r="AK351" s="5">
        <f>data_origin!V2642</f>
        <v>0</v>
      </c>
      <c r="AL351" s="5">
        <f>data_origin!W2642</f>
        <v>0</v>
      </c>
      <c r="AM351" s="5">
        <f>data_origin!X2642</f>
        <v>0</v>
      </c>
      <c r="AN351" s="5">
        <f>data_origin!Y2642</f>
        <v>0</v>
      </c>
      <c r="AO351" s="5">
        <f>data_origin!Z2642</f>
        <v>0</v>
      </c>
      <c r="AP351" s="5">
        <f>data_origin!AA2642</f>
        <v>0</v>
      </c>
      <c r="AQ351" s="9">
        <f t="shared" si="41"/>
        <v>0</v>
      </c>
      <c r="AV351" t="s">
        <v>88</v>
      </c>
      <c r="AW351" s="5">
        <f>data_origin!T3356</f>
        <v>0</v>
      </c>
      <c r="AX351" s="5">
        <f>data_origin!U3356</f>
        <v>0</v>
      </c>
      <c r="AY351" s="5">
        <f>data_origin!V3356</f>
        <v>3.0303030303030304E-2</v>
      </c>
      <c r="AZ351" s="5">
        <f>data_origin!W3356</f>
        <v>0</v>
      </c>
      <c r="BA351" s="5">
        <f>data_origin!X3356</f>
        <v>0</v>
      </c>
      <c r="BB351" s="5">
        <f>data_origin!Y3356</f>
        <v>0</v>
      </c>
      <c r="BC351" s="5">
        <f>data_origin!Z3356</f>
        <v>0</v>
      </c>
      <c r="BD351" s="5">
        <f>data_origin!AA3356</f>
        <v>0</v>
      </c>
      <c r="BE351" s="9">
        <f t="shared" si="42"/>
        <v>3.0303030303030304E-2</v>
      </c>
    </row>
    <row r="352" spans="4:57" x14ac:dyDescent="0.25">
      <c r="D352" t="s">
        <v>89</v>
      </c>
      <c r="E352" s="35">
        <f t="shared" si="46"/>
        <v>0</v>
      </c>
      <c r="F352" s="35">
        <f t="shared" si="46"/>
        <v>0</v>
      </c>
      <c r="G352" s="35">
        <f t="shared" si="46"/>
        <v>0</v>
      </c>
      <c r="H352" s="35">
        <f t="shared" si="46"/>
        <v>0</v>
      </c>
      <c r="I352" s="35">
        <f t="shared" si="46"/>
        <v>0</v>
      </c>
      <c r="J352" s="35">
        <f t="shared" si="46"/>
        <v>0</v>
      </c>
      <c r="K352" s="35">
        <f t="shared" si="46"/>
        <v>0</v>
      </c>
      <c r="L352" s="35">
        <f t="shared" si="46"/>
        <v>0</v>
      </c>
      <c r="M352" s="35">
        <f t="shared" si="44"/>
        <v>0</v>
      </c>
      <c r="S352" t="s">
        <v>89</v>
      </c>
      <c r="T352" s="5">
        <f>data_origin!T430</f>
        <v>0</v>
      </c>
      <c r="U352" s="5">
        <f>data_origin!U430</f>
        <v>0</v>
      </c>
      <c r="V352" s="5">
        <f>data_origin!V430</f>
        <v>0</v>
      </c>
      <c r="W352" s="5">
        <f>data_origin!W430</f>
        <v>0</v>
      </c>
      <c r="X352" s="5">
        <f>data_origin!X430</f>
        <v>0</v>
      </c>
      <c r="Y352" s="5">
        <f>data_origin!Y430</f>
        <v>0</v>
      </c>
      <c r="Z352" s="5">
        <f>data_origin!Z430</f>
        <v>0</v>
      </c>
      <c r="AA352" s="5">
        <f>data_origin!AA430</f>
        <v>0</v>
      </c>
      <c r="AB352" s="5">
        <f t="shared" ref="AB352:AB415" si="47">SUM(T352:AA352)</f>
        <v>0</v>
      </c>
      <c r="AH352" t="s">
        <v>89</v>
      </c>
      <c r="AI352" s="5">
        <f>data_origin!T2643</f>
        <v>0</v>
      </c>
      <c r="AJ352" s="5">
        <f>data_origin!U2643</f>
        <v>0</v>
      </c>
      <c r="AK352" s="5">
        <f>data_origin!V2643</f>
        <v>0</v>
      </c>
      <c r="AL352" s="5">
        <f>data_origin!W2643</f>
        <v>0</v>
      </c>
      <c r="AM352" s="5">
        <f>data_origin!X2643</f>
        <v>0</v>
      </c>
      <c r="AN352" s="5">
        <f>data_origin!Y2643</f>
        <v>0</v>
      </c>
      <c r="AO352" s="5">
        <f>data_origin!Z2643</f>
        <v>0</v>
      </c>
      <c r="AP352" s="5">
        <f>data_origin!AA2643</f>
        <v>0</v>
      </c>
      <c r="AQ352" s="9">
        <f t="shared" si="41"/>
        <v>0</v>
      </c>
      <c r="AV352" t="s">
        <v>89</v>
      </c>
      <c r="AW352" s="5">
        <f>data_origin!T3357</f>
        <v>0</v>
      </c>
      <c r="AX352" s="5">
        <f>data_origin!U3357</f>
        <v>0</v>
      </c>
      <c r="AY352" s="5">
        <f>data_origin!V3357</f>
        <v>3.0303030303030304E-2</v>
      </c>
      <c r="AZ352" s="5">
        <f>data_origin!W3357</f>
        <v>0</v>
      </c>
      <c r="BA352" s="5">
        <f>data_origin!X3357</f>
        <v>0</v>
      </c>
      <c r="BB352" s="5">
        <f>data_origin!Y3357</f>
        <v>0</v>
      </c>
      <c r="BC352" s="5">
        <f>data_origin!Z3357</f>
        <v>0</v>
      </c>
      <c r="BD352" s="5">
        <f>data_origin!AA3357</f>
        <v>0</v>
      </c>
      <c r="BE352" s="9">
        <f t="shared" si="42"/>
        <v>3.0303030303030304E-2</v>
      </c>
    </row>
    <row r="353" spans="1:58" x14ac:dyDescent="0.25">
      <c r="D353" t="s">
        <v>90</v>
      </c>
      <c r="E353" s="35">
        <f t="shared" si="46"/>
        <v>0</v>
      </c>
      <c r="F353" s="35">
        <f t="shared" si="46"/>
        <v>0</v>
      </c>
      <c r="G353" s="35">
        <f t="shared" si="46"/>
        <v>0</v>
      </c>
      <c r="H353" s="35">
        <f t="shared" si="46"/>
        <v>0</v>
      </c>
      <c r="I353" s="35">
        <f t="shared" si="46"/>
        <v>0</v>
      </c>
      <c r="J353" s="35">
        <f t="shared" si="46"/>
        <v>0</v>
      </c>
      <c r="K353" s="35">
        <f t="shared" si="46"/>
        <v>0</v>
      </c>
      <c r="L353" s="35">
        <f t="shared" si="46"/>
        <v>0</v>
      </c>
      <c r="M353" s="35">
        <f t="shared" si="44"/>
        <v>0</v>
      </c>
      <c r="S353" t="s">
        <v>90</v>
      </c>
      <c r="T353" s="5">
        <f>data_origin!T431</f>
        <v>0</v>
      </c>
      <c r="U353" s="5">
        <f>data_origin!U431</f>
        <v>0</v>
      </c>
      <c r="V353" s="5">
        <f>data_origin!V431</f>
        <v>0</v>
      </c>
      <c r="W353" s="5">
        <f>data_origin!W431</f>
        <v>0</v>
      </c>
      <c r="X353" s="5">
        <f>data_origin!X431</f>
        <v>0</v>
      </c>
      <c r="Y353" s="5">
        <f>data_origin!Y431</f>
        <v>0</v>
      </c>
      <c r="Z353" s="5">
        <f>data_origin!Z431</f>
        <v>0</v>
      </c>
      <c r="AA353" s="5">
        <f>data_origin!AA431</f>
        <v>0</v>
      </c>
      <c r="AB353" s="5">
        <f t="shared" si="47"/>
        <v>0</v>
      </c>
      <c r="AH353" t="s">
        <v>90</v>
      </c>
      <c r="AI353" s="5">
        <f>data_origin!T2644</f>
        <v>0</v>
      </c>
      <c r="AJ353" s="5">
        <f>data_origin!U2644</f>
        <v>0</v>
      </c>
      <c r="AK353" s="5">
        <f>data_origin!V2644</f>
        <v>0</v>
      </c>
      <c r="AL353" s="5">
        <f>data_origin!W2644</f>
        <v>0</v>
      </c>
      <c r="AM353" s="5">
        <f>data_origin!X2644</f>
        <v>0</v>
      </c>
      <c r="AN353" s="5">
        <f>data_origin!Y2644</f>
        <v>0</v>
      </c>
      <c r="AO353" s="5">
        <f>data_origin!Z2644</f>
        <v>0</v>
      </c>
      <c r="AP353" s="5">
        <f>data_origin!AA2644</f>
        <v>0</v>
      </c>
      <c r="AQ353" s="9">
        <f t="shared" si="41"/>
        <v>0</v>
      </c>
      <c r="AV353" t="s">
        <v>90</v>
      </c>
      <c r="AW353" s="5">
        <f>data_origin!T3358</f>
        <v>0</v>
      </c>
      <c r="AX353" s="5">
        <f>data_origin!U3358</f>
        <v>0</v>
      </c>
      <c r="AY353" s="5">
        <f>data_origin!V3358</f>
        <v>3.0303030303030304E-2</v>
      </c>
      <c r="AZ353" s="5">
        <f>data_origin!W3358</f>
        <v>0</v>
      </c>
      <c r="BA353" s="5">
        <f>data_origin!X3358</f>
        <v>0</v>
      </c>
      <c r="BB353" s="5">
        <f>data_origin!Y3358</f>
        <v>0</v>
      </c>
      <c r="BC353" s="5">
        <f>data_origin!Z3358</f>
        <v>0</v>
      </c>
      <c r="BD353" s="5">
        <f>data_origin!AA3358</f>
        <v>0</v>
      </c>
      <c r="BE353" s="9">
        <f t="shared" si="42"/>
        <v>3.0303030303030304E-2</v>
      </c>
    </row>
    <row r="354" spans="1:58" x14ac:dyDescent="0.25">
      <c r="D354" t="s">
        <v>91</v>
      </c>
      <c r="E354" s="35">
        <f t="shared" si="46"/>
        <v>0</v>
      </c>
      <c r="F354" s="35">
        <f t="shared" si="46"/>
        <v>0</v>
      </c>
      <c r="G354" s="35">
        <f t="shared" si="46"/>
        <v>0</v>
      </c>
      <c r="H354" s="35">
        <f t="shared" si="46"/>
        <v>0</v>
      </c>
      <c r="I354" s="35">
        <f t="shared" si="46"/>
        <v>0</v>
      </c>
      <c r="J354" s="35">
        <f t="shared" si="46"/>
        <v>0</v>
      </c>
      <c r="K354" s="35">
        <f t="shared" si="46"/>
        <v>0</v>
      </c>
      <c r="L354" s="35">
        <f t="shared" si="46"/>
        <v>0</v>
      </c>
      <c r="M354" s="35">
        <f t="shared" si="44"/>
        <v>0</v>
      </c>
      <c r="S354" t="s">
        <v>91</v>
      </c>
      <c r="T354" s="5">
        <f>data_origin!T432</f>
        <v>0</v>
      </c>
      <c r="U354" s="5">
        <f>data_origin!U432</f>
        <v>0</v>
      </c>
      <c r="V354" s="5">
        <f>data_origin!V432</f>
        <v>0</v>
      </c>
      <c r="W354" s="5">
        <f>data_origin!W432</f>
        <v>0</v>
      </c>
      <c r="X354" s="5">
        <f>data_origin!X432</f>
        <v>0</v>
      </c>
      <c r="Y354" s="5">
        <f>data_origin!Y432</f>
        <v>0</v>
      </c>
      <c r="Z354" s="5">
        <f>data_origin!Z432</f>
        <v>0</v>
      </c>
      <c r="AA354" s="5">
        <f>data_origin!AA432</f>
        <v>0</v>
      </c>
      <c r="AB354" s="5">
        <f t="shared" si="47"/>
        <v>0</v>
      </c>
      <c r="AH354" t="s">
        <v>91</v>
      </c>
      <c r="AI354" s="5">
        <f>data_origin!T2645</f>
        <v>0</v>
      </c>
      <c r="AJ354" s="5">
        <f>data_origin!U2645</f>
        <v>0</v>
      </c>
      <c r="AK354" s="5">
        <f>data_origin!V2645</f>
        <v>0</v>
      </c>
      <c r="AL354" s="5">
        <f>data_origin!W2645</f>
        <v>0</v>
      </c>
      <c r="AM354" s="5">
        <f>data_origin!X2645</f>
        <v>0</v>
      </c>
      <c r="AN354" s="5">
        <f>data_origin!Y2645</f>
        <v>0</v>
      </c>
      <c r="AO354" s="5">
        <f>data_origin!Z2645</f>
        <v>0</v>
      </c>
      <c r="AP354" s="5">
        <f>data_origin!AA2645</f>
        <v>0</v>
      </c>
      <c r="AQ354" s="9">
        <f t="shared" si="41"/>
        <v>0</v>
      </c>
      <c r="AV354" t="s">
        <v>91</v>
      </c>
      <c r="AW354" s="5">
        <f>data_origin!T3359</f>
        <v>0</v>
      </c>
      <c r="AX354" s="5">
        <f>data_origin!U3359</f>
        <v>0</v>
      </c>
      <c r="AY354" s="5">
        <f>data_origin!V3359</f>
        <v>3.0303030303030304E-2</v>
      </c>
      <c r="AZ354" s="5">
        <f>data_origin!W3359</f>
        <v>0</v>
      </c>
      <c r="BA354" s="5">
        <f>data_origin!X3359</f>
        <v>0</v>
      </c>
      <c r="BB354" s="5">
        <f>data_origin!Y3359</f>
        <v>0</v>
      </c>
      <c r="BC354" s="5">
        <f>data_origin!Z3359</f>
        <v>0</v>
      </c>
      <c r="BD354" s="5">
        <f>data_origin!AA3359</f>
        <v>0</v>
      </c>
      <c r="BE354" s="9">
        <f t="shared" si="42"/>
        <v>3.0303030303030304E-2</v>
      </c>
    </row>
    <row r="355" spans="1:58" x14ac:dyDescent="0.25">
      <c r="D355" t="s">
        <v>92</v>
      </c>
      <c r="E355" s="35">
        <f t="shared" si="46"/>
        <v>0</v>
      </c>
      <c r="F355" s="35">
        <f t="shared" si="46"/>
        <v>0</v>
      </c>
      <c r="G355" s="35">
        <f t="shared" si="46"/>
        <v>0</v>
      </c>
      <c r="H355" s="35">
        <f t="shared" si="46"/>
        <v>0</v>
      </c>
      <c r="I355" s="35">
        <f t="shared" si="46"/>
        <v>0</v>
      </c>
      <c r="J355" s="35">
        <f t="shared" si="46"/>
        <v>0</v>
      </c>
      <c r="K355" s="35">
        <f t="shared" si="46"/>
        <v>0</v>
      </c>
      <c r="L355" s="35">
        <f t="shared" si="46"/>
        <v>0</v>
      </c>
      <c r="M355" s="35">
        <f t="shared" si="44"/>
        <v>0</v>
      </c>
      <c r="S355" t="s">
        <v>92</v>
      </c>
      <c r="T355" s="5">
        <f>data_origin!T433</f>
        <v>0</v>
      </c>
      <c r="U355" s="5">
        <f>data_origin!U433</f>
        <v>0</v>
      </c>
      <c r="V355" s="5">
        <f>data_origin!V433</f>
        <v>0</v>
      </c>
      <c r="W355" s="5">
        <f>data_origin!W433</f>
        <v>0</v>
      </c>
      <c r="X355" s="5">
        <f>data_origin!X433</f>
        <v>0</v>
      </c>
      <c r="Y355" s="5">
        <f>data_origin!Y433</f>
        <v>0</v>
      </c>
      <c r="Z355" s="5">
        <f>data_origin!Z433</f>
        <v>0</v>
      </c>
      <c r="AA355" s="5">
        <f>data_origin!AA433</f>
        <v>0</v>
      </c>
      <c r="AB355" s="5">
        <f t="shared" si="47"/>
        <v>0</v>
      </c>
      <c r="AH355" t="s">
        <v>92</v>
      </c>
      <c r="AI355" s="5">
        <f>data_origin!T2646</f>
        <v>0</v>
      </c>
      <c r="AJ355" s="5">
        <f>data_origin!U2646</f>
        <v>0</v>
      </c>
      <c r="AK355" s="5">
        <f>data_origin!V2646</f>
        <v>0</v>
      </c>
      <c r="AL355" s="5">
        <f>data_origin!W2646</f>
        <v>0</v>
      </c>
      <c r="AM355" s="5">
        <f>data_origin!X2646</f>
        <v>0</v>
      </c>
      <c r="AN355" s="5">
        <f>data_origin!Y2646</f>
        <v>0</v>
      </c>
      <c r="AO355" s="5">
        <f>data_origin!Z2646</f>
        <v>0</v>
      </c>
      <c r="AP355" s="5">
        <f>data_origin!AA2646</f>
        <v>0</v>
      </c>
      <c r="AQ355" s="9">
        <f t="shared" si="41"/>
        <v>0</v>
      </c>
      <c r="AV355" t="s">
        <v>92</v>
      </c>
      <c r="AW355" s="5">
        <f>data_origin!T3360</f>
        <v>0</v>
      </c>
      <c r="AX355" s="5">
        <f>data_origin!U3360</f>
        <v>0</v>
      </c>
      <c r="AY355" s="5">
        <f>data_origin!V3360</f>
        <v>3.0303030303030304E-2</v>
      </c>
      <c r="AZ355" s="5">
        <f>data_origin!W3360</f>
        <v>0</v>
      </c>
      <c r="BA355" s="5">
        <f>data_origin!X3360</f>
        <v>0</v>
      </c>
      <c r="BB355" s="5">
        <f>data_origin!Y3360</f>
        <v>0</v>
      </c>
      <c r="BC355" s="5">
        <f>data_origin!Z3360</f>
        <v>0</v>
      </c>
      <c r="BD355" s="5">
        <f>data_origin!AA3360</f>
        <v>0</v>
      </c>
      <c r="BE355" s="9">
        <f t="shared" si="42"/>
        <v>3.0303030303030304E-2</v>
      </c>
    </row>
    <row r="356" spans="1:58" x14ac:dyDescent="0.25">
      <c r="D356" t="s">
        <v>93</v>
      </c>
      <c r="E356" s="35">
        <f t="shared" si="46"/>
        <v>0</v>
      </c>
      <c r="F356" s="35">
        <f t="shared" si="46"/>
        <v>0</v>
      </c>
      <c r="G356" s="35">
        <f t="shared" si="46"/>
        <v>0</v>
      </c>
      <c r="H356" s="35">
        <f t="shared" si="46"/>
        <v>0</v>
      </c>
      <c r="I356" s="35">
        <f t="shared" si="46"/>
        <v>0</v>
      </c>
      <c r="J356" s="35">
        <f t="shared" si="46"/>
        <v>0</v>
      </c>
      <c r="K356" s="35">
        <f t="shared" si="46"/>
        <v>0</v>
      </c>
      <c r="L356" s="35">
        <f t="shared" si="46"/>
        <v>0</v>
      </c>
      <c r="M356" s="35">
        <f t="shared" si="44"/>
        <v>0</v>
      </c>
      <c r="S356" t="s">
        <v>93</v>
      </c>
      <c r="T356" s="5">
        <f>data_origin!T434</f>
        <v>0</v>
      </c>
      <c r="U356" s="5">
        <f>data_origin!U434</f>
        <v>0</v>
      </c>
      <c r="V356" s="5">
        <f>data_origin!V434</f>
        <v>0</v>
      </c>
      <c r="W356" s="5">
        <f>data_origin!W434</f>
        <v>0</v>
      </c>
      <c r="X356" s="5">
        <f>data_origin!X434</f>
        <v>0</v>
      </c>
      <c r="Y356" s="5">
        <f>data_origin!Y434</f>
        <v>0</v>
      </c>
      <c r="Z356" s="5">
        <f>data_origin!Z434</f>
        <v>0</v>
      </c>
      <c r="AA356" s="5">
        <f>data_origin!AA434</f>
        <v>0</v>
      </c>
      <c r="AB356" s="5">
        <f t="shared" si="47"/>
        <v>0</v>
      </c>
      <c r="AH356" t="s">
        <v>93</v>
      </c>
      <c r="AI356" s="5">
        <f>data_origin!T2647</f>
        <v>0</v>
      </c>
      <c r="AJ356" s="5">
        <f>data_origin!U2647</f>
        <v>0</v>
      </c>
      <c r="AK356" s="5">
        <f>data_origin!V2647</f>
        <v>0</v>
      </c>
      <c r="AL356" s="5">
        <f>data_origin!W2647</f>
        <v>0</v>
      </c>
      <c r="AM356" s="5">
        <f>data_origin!X2647</f>
        <v>0</v>
      </c>
      <c r="AN356" s="5">
        <f>data_origin!Y2647</f>
        <v>0</v>
      </c>
      <c r="AO356" s="5">
        <f>data_origin!Z2647</f>
        <v>0</v>
      </c>
      <c r="AP356" s="5">
        <f>data_origin!AA2647</f>
        <v>0</v>
      </c>
      <c r="AQ356" s="9">
        <f t="shared" ref="AQ356:AQ419" si="48">SUM(AI356:AP356)</f>
        <v>0</v>
      </c>
      <c r="AV356" t="s">
        <v>93</v>
      </c>
      <c r="AW356" s="5">
        <f>data_origin!T3361</f>
        <v>0</v>
      </c>
      <c r="AX356" s="5">
        <f>data_origin!U3361</f>
        <v>0</v>
      </c>
      <c r="AY356" s="5">
        <f>data_origin!V3361</f>
        <v>3.0303030303030304E-2</v>
      </c>
      <c r="AZ356" s="5">
        <f>data_origin!W3361</f>
        <v>0</v>
      </c>
      <c r="BA356" s="5">
        <f>data_origin!X3361</f>
        <v>0</v>
      </c>
      <c r="BB356" s="5">
        <f>data_origin!Y3361</f>
        <v>0</v>
      </c>
      <c r="BC356" s="5">
        <f>data_origin!Z3361</f>
        <v>0</v>
      </c>
      <c r="BD356" s="5">
        <f>data_origin!AA3361</f>
        <v>0</v>
      </c>
      <c r="BE356" s="9">
        <f t="shared" ref="BE356:BE419" si="49">SUM(AW356:BD356)</f>
        <v>3.0303030303030304E-2</v>
      </c>
    </row>
    <row r="357" spans="1:58" x14ac:dyDescent="0.25">
      <c r="D357" t="s">
        <v>94</v>
      </c>
      <c r="E357" s="35">
        <f t="shared" si="46"/>
        <v>0</v>
      </c>
      <c r="F357" s="35">
        <f t="shared" si="46"/>
        <v>0</v>
      </c>
      <c r="G357" s="35">
        <f t="shared" si="46"/>
        <v>0</v>
      </c>
      <c r="H357" s="35">
        <f t="shared" si="46"/>
        <v>0</v>
      </c>
      <c r="I357" s="35">
        <f t="shared" si="46"/>
        <v>0</v>
      </c>
      <c r="J357" s="35">
        <f t="shared" si="46"/>
        <v>0</v>
      </c>
      <c r="K357" s="35">
        <f t="shared" si="46"/>
        <v>0</v>
      </c>
      <c r="L357" s="35">
        <f t="shared" si="46"/>
        <v>0</v>
      </c>
      <c r="M357" s="35">
        <f t="shared" si="44"/>
        <v>0</v>
      </c>
      <c r="S357" t="s">
        <v>94</v>
      </c>
      <c r="T357" s="5">
        <f>data_origin!T435</f>
        <v>0</v>
      </c>
      <c r="U357" s="5">
        <f>data_origin!U435</f>
        <v>0</v>
      </c>
      <c r="V357" s="5">
        <f>data_origin!V435</f>
        <v>0</v>
      </c>
      <c r="W357" s="5">
        <f>data_origin!W435</f>
        <v>0</v>
      </c>
      <c r="X357" s="5">
        <f>data_origin!X435</f>
        <v>0</v>
      </c>
      <c r="Y357" s="5">
        <f>data_origin!Y435</f>
        <v>0</v>
      </c>
      <c r="Z357" s="5">
        <f>data_origin!Z435</f>
        <v>0</v>
      </c>
      <c r="AA357" s="5">
        <f>data_origin!AA435</f>
        <v>0</v>
      </c>
      <c r="AB357" s="5">
        <f t="shared" si="47"/>
        <v>0</v>
      </c>
      <c r="AH357" t="s">
        <v>94</v>
      </c>
      <c r="AI357" s="5">
        <f>data_origin!T2648</f>
        <v>0</v>
      </c>
      <c r="AJ357" s="5">
        <f>data_origin!U2648</f>
        <v>0</v>
      </c>
      <c r="AK357" s="5">
        <f>data_origin!V2648</f>
        <v>0</v>
      </c>
      <c r="AL357" s="5">
        <f>data_origin!W2648</f>
        <v>0</v>
      </c>
      <c r="AM357" s="5">
        <f>data_origin!X2648</f>
        <v>0</v>
      </c>
      <c r="AN357" s="5">
        <f>data_origin!Y2648</f>
        <v>0</v>
      </c>
      <c r="AO357" s="5">
        <f>data_origin!Z2648</f>
        <v>0</v>
      </c>
      <c r="AP357" s="5">
        <f>data_origin!AA2648</f>
        <v>0</v>
      </c>
      <c r="AQ357" s="9">
        <f t="shared" si="48"/>
        <v>0</v>
      </c>
      <c r="AV357" t="s">
        <v>94</v>
      </c>
      <c r="AW357" s="5">
        <f>data_origin!T3362</f>
        <v>0</v>
      </c>
      <c r="AX357" s="5">
        <f>data_origin!U3362</f>
        <v>0</v>
      </c>
      <c r="AY357" s="5">
        <f>data_origin!V3362</f>
        <v>3.0303030303030304E-2</v>
      </c>
      <c r="AZ357" s="5">
        <f>data_origin!W3362</f>
        <v>0</v>
      </c>
      <c r="BA357" s="5">
        <f>data_origin!X3362</f>
        <v>0</v>
      </c>
      <c r="BB357" s="5">
        <f>data_origin!Y3362</f>
        <v>0</v>
      </c>
      <c r="BC357" s="5">
        <f>data_origin!Z3362</f>
        <v>0</v>
      </c>
      <c r="BD357" s="5">
        <f>data_origin!AA3362</f>
        <v>0</v>
      </c>
      <c r="BE357" s="9">
        <f t="shared" si="49"/>
        <v>3.0303030303030304E-2</v>
      </c>
    </row>
    <row r="358" spans="1:58" x14ac:dyDescent="0.25">
      <c r="D358" t="s">
        <v>95</v>
      </c>
      <c r="E358" s="35">
        <f t="shared" si="46"/>
        <v>0</v>
      </c>
      <c r="F358" s="35">
        <f t="shared" si="46"/>
        <v>0</v>
      </c>
      <c r="G358" s="35">
        <f t="shared" si="46"/>
        <v>0</v>
      </c>
      <c r="H358" s="35">
        <f t="shared" si="46"/>
        <v>0</v>
      </c>
      <c r="I358" s="35">
        <f t="shared" si="46"/>
        <v>0</v>
      </c>
      <c r="J358" s="35">
        <f t="shared" si="46"/>
        <v>0</v>
      </c>
      <c r="K358" s="35">
        <f t="shared" si="46"/>
        <v>0</v>
      </c>
      <c r="L358" s="35">
        <f t="shared" si="46"/>
        <v>0</v>
      </c>
      <c r="M358" s="35">
        <f t="shared" si="44"/>
        <v>0</v>
      </c>
      <c r="S358" t="s">
        <v>95</v>
      </c>
      <c r="T358" s="5">
        <f>data_origin!T436</f>
        <v>0</v>
      </c>
      <c r="U358" s="5">
        <f>data_origin!U436</f>
        <v>0</v>
      </c>
      <c r="V358" s="5">
        <f>data_origin!V436</f>
        <v>0</v>
      </c>
      <c r="W358" s="5">
        <f>data_origin!W436</f>
        <v>0</v>
      </c>
      <c r="X358" s="5">
        <f>data_origin!X436</f>
        <v>0</v>
      </c>
      <c r="Y358" s="5">
        <f>data_origin!Y436</f>
        <v>0</v>
      </c>
      <c r="Z358" s="5">
        <f>data_origin!Z436</f>
        <v>0</v>
      </c>
      <c r="AA358" s="5">
        <f>data_origin!AA436</f>
        <v>0</v>
      </c>
      <c r="AB358" s="5">
        <f t="shared" si="47"/>
        <v>0</v>
      </c>
      <c r="AH358" t="s">
        <v>95</v>
      </c>
      <c r="AI358" s="5">
        <f>data_origin!T2649</f>
        <v>0</v>
      </c>
      <c r="AJ358" s="5">
        <f>data_origin!U2649</f>
        <v>0</v>
      </c>
      <c r="AK358" s="5">
        <f>data_origin!V2649</f>
        <v>0</v>
      </c>
      <c r="AL358" s="5">
        <f>data_origin!W2649</f>
        <v>0</v>
      </c>
      <c r="AM358" s="5">
        <f>data_origin!X2649</f>
        <v>0</v>
      </c>
      <c r="AN358" s="5">
        <f>data_origin!Y2649</f>
        <v>0</v>
      </c>
      <c r="AO358" s="5">
        <f>data_origin!Z2649</f>
        <v>0</v>
      </c>
      <c r="AP358" s="5">
        <f>data_origin!AA2649</f>
        <v>0</v>
      </c>
      <c r="AQ358" s="9">
        <f t="shared" si="48"/>
        <v>0</v>
      </c>
      <c r="AV358" t="s">
        <v>95</v>
      </c>
      <c r="AW358" s="5">
        <f>data_origin!T3363</f>
        <v>0</v>
      </c>
      <c r="AX358" s="5">
        <f>data_origin!U3363</f>
        <v>0</v>
      </c>
      <c r="AY358" s="5">
        <f>data_origin!V3363</f>
        <v>3.0303030303030304E-2</v>
      </c>
      <c r="AZ358" s="5">
        <f>data_origin!W3363</f>
        <v>0</v>
      </c>
      <c r="BA358" s="5">
        <f>data_origin!X3363</f>
        <v>0</v>
      </c>
      <c r="BB358" s="5">
        <f>data_origin!Y3363</f>
        <v>0</v>
      </c>
      <c r="BC358" s="5">
        <f>data_origin!Z3363</f>
        <v>0</v>
      </c>
      <c r="BD358" s="5">
        <f>data_origin!AA3363</f>
        <v>0</v>
      </c>
      <c r="BE358" s="9">
        <f t="shared" si="49"/>
        <v>3.0303030303030304E-2</v>
      </c>
    </row>
    <row r="359" spans="1:58" x14ac:dyDescent="0.25">
      <c r="D359" t="s">
        <v>96</v>
      </c>
      <c r="E359" s="35">
        <f t="shared" si="46"/>
        <v>0</v>
      </c>
      <c r="F359" s="35">
        <f t="shared" si="46"/>
        <v>0</v>
      </c>
      <c r="G359" s="35">
        <f t="shared" si="46"/>
        <v>0</v>
      </c>
      <c r="H359" s="35">
        <f t="shared" si="46"/>
        <v>0</v>
      </c>
      <c r="I359" s="35">
        <f t="shared" si="46"/>
        <v>0</v>
      </c>
      <c r="J359" s="35">
        <f t="shared" si="46"/>
        <v>0</v>
      </c>
      <c r="K359" s="35">
        <f t="shared" si="46"/>
        <v>0</v>
      </c>
      <c r="L359" s="35">
        <f t="shared" si="46"/>
        <v>0</v>
      </c>
      <c r="M359" s="35">
        <f t="shared" si="44"/>
        <v>0</v>
      </c>
      <c r="S359" t="s">
        <v>96</v>
      </c>
      <c r="T359" s="5">
        <f>data_origin!T437</f>
        <v>0</v>
      </c>
      <c r="U359" s="5">
        <f>data_origin!U437</f>
        <v>0</v>
      </c>
      <c r="V359" s="5">
        <f>data_origin!V437</f>
        <v>0</v>
      </c>
      <c r="W359" s="5">
        <f>data_origin!W437</f>
        <v>0</v>
      </c>
      <c r="X359" s="5">
        <f>data_origin!X437</f>
        <v>0</v>
      </c>
      <c r="Y359" s="5">
        <f>data_origin!Y437</f>
        <v>0</v>
      </c>
      <c r="Z359" s="5">
        <f>data_origin!Z437</f>
        <v>0</v>
      </c>
      <c r="AA359" s="5">
        <f>data_origin!AA437</f>
        <v>0</v>
      </c>
      <c r="AB359" s="5">
        <f t="shared" si="47"/>
        <v>0</v>
      </c>
      <c r="AH359" t="s">
        <v>96</v>
      </c>
      <c r="AI359" s="5">
        <f>data_origin!T2650</f>
        <v>0</v>
      </c>
      <c r="AJ359" s="5">
        <f>data_origin!U2650</f>
        <v>0</v>
      </c>
      <c r="AK359" s="5">
        <f>data_origin!V2650</f>
        <v>0</v>
      </c>
      <c r="AL359" s="5">
        <f>data_origin!W2650</f>
        <v>0</v>
      </c>
      <c r="AM359" s="5">
        <f>data_origin!X2650</f>
        <v>0</v>
      </c>
      <c r="AN359" s="5">
        <f>data_origin!Y2650</f>
        <v>0</v>
      </c>
      <c r="AO359" s="5">
        <f>data_origin!Z2650</f>
        <v>0</v>
      </c>
      <c r="AP359" s="5">
        <f>data_origin!AA2650</f>
        <v>0</v>
      </c>
      <c r="AQ359" s="9">
        <f t="shared" si="48"/>
        <v>0</v>
      </c>
      <c r="AV359" t="s">
        <v>96</v>
      </c>
      <c r="AW359" s="5">
        <f>data_origin!T3364</f>
        <v>0</v>
      </c>
      <c r="AX359" s="5">
        <f>data_origin!U3364</f>
        <v>0</v>
      </c>
      <c r="AY359" s="5">
        <f>data_origin!V3364</f>
        <v>3.0303030303030304E-2</v>
      </c>
      <c r="AZ359" s="5">
        <f>data_origin!W3364</f>
        <v>0</v>
      </c>
      <c r="BA359" s="5">
        <f>data_origin!X3364</f>
        <v>0</v>
      </c>
      <c r="BB359" s="5">
        <f>data_origin!Y3364</f>
        <v>0</v>
      </c>
      <c r="BC359" s="5">
        <f>data_origin!Z3364</f>
        <v>0</v>
      </c>
      <c r="BD359" s="5">
        <f>data_origin!AA3364</f>
        <v>0</v>
      </c>
      <c r="BE359" s="9">
        <f t="shared" si="49"/>
        <v>3.0303030303030304E-2</v>
      </c>
    </row>
    <row r="360" spans="1:58" x14ac:dyDescent="0.25">
      <c r="D360" t="s">
        <v>97</v>
      </c>
      <c r="E360" s="35">
        <f t="shared" si="46"/>
        <v>0</v>
      </c>
      <c r="F360" s="35">
        <f t="shared" si="46"/>
        <v>0</v>
      </c>
      <c r="G360" s="35">
        <f t="shared" si="46"/>
        <v>0</v>
      </c>
      <c r="H360" s="35">
        <f t="shared" si="46"/>
        <v>0</v>
      </c>
      <c r="I360" s="35">
        <f t="shared" si="46"/>
        <v>0</v>
      </c>
      <c r="J360" s="35">
        <f t="shared" si="46"/>
        <v>0</v>
      </c>
      <c r="K360" s="35">
        <f t="shared" si="46"/>
        <v>0</v>
      </c>
      <c r="L360" s="35">
        <f t="shared" si="46"/>
        <v>0</v>
      </c>
      <c r="M360" s="35">
        <f t="shared" si="44"/>
        <v>0</v>
      </c>
      <c r="S360" t="s">
        <v>97</v>
      </c>
      <c r="T360" s="5">
        <f>data_origin!T438</f>
        <v>0</v>
      </c>
      <c r="U360" s="5">
        <f>data_origin!U438</f>
        <v>0</v>
      </c>
      <c r="V360" s="5">
        <f>data_origin!V438</f>
        <v>0</v>
      </c>
      <c r="W360" s="5">
        <f>data_origin!W438</f>
        <v>0</v>
      </c>
      <c r="X360" s="5">
        <f>data_origin!X438</f>
        <v>0</v>
      </c>
      <c r="Y360" s="5">
        <f>data_origin!Y438</f>
        <v>0</v>
      </c>
      <c r="Z360" s="5">
        <f>data_origin!Z438</f>
        <v>0</v>
      </c>
      <c r="AA360" s="5">
        <f>data_origin!AA438</f>
        <v>0</v>
      </c>
      <c r="AB360" s="5">
        <f t="shared" si="47"/>
        <v>0</v>
      </c>
      <c r="AH360" t="s">
        <v>97</v>
      </c>
      <c r="AI360" s="5">
        <f>data_origin!T2651</f>
        <v>0</v>
      </c>
      <c r="AJ360" s="5">
        <f>data_origin!U2651</f>
        <v>0</v>
      </c>
      <c r="AK360" s="5">
        <f>data_origin!V2651</f>
        <v>0</v>
      </c>
      <c r="AL360" s="5">
        <f>data_origin!W2651</f>
        <v>0</v>
      </c>
      <c r="AM360" s="5">
        <f>data_origin!X2651</f>
        <v>0</v>
      </c>
      <c r="AN360" s="5">
        <f>data_origin!Y2651</f>
        <v>0</v>
      </c>
      <c r="AO360" s="5">
        <f>data_origin!Z2651</f>
        <v>0</v>
      </c>
      <c r="AP360" s="5">
        <f>data_origin!AA2651</f>
        <v>0</v>
      </c>
      <c r="AQ360" s="9">
        <f t="shared" si="48"/>
        <v>0</v>
      </c>
      <c r="AV360" t="s">
        <v>97</v>
      </c>
      <c r="AW360" s="5">
        <f>data_origin!T3365</f>
        <v>0</v>
      </c>
      <c r="AX360" s="5">
        <f>data_origin!U3365</f>
        <v>0</v>
      </c>
      <c r="AY360" s="5">
        <f>data_origin!V3365</f>
        <v>3.0303030303030304E-2</v>
      </c>
      <c r="AZ360" s="5">
        <f>data_origin!W3365</f>
        <v>0</v>
      </c>
      <c r="BA360" s="5">
        <f>data_origin!X3365</f>
        <v>0</v>
      </c>
      <c r="BB360" s="5">
        <f>data_origin!Y3365</f>
        <v>0</v>
      </c>
      <c r="BC360" s="5">
        <f>data_origin!Z3365</f>
        <v>0</v>
      </c>
      <c r="BD360" s="5">
        <f>data_origin!AA3365</f>
        <v>0</v>
      </c>
      <c r="BE360" s="9">
        <f t="shared" si="49"/>
        <v>3.0303030303030304E-2</v>
      </c>
    </row>
    <row r="361" spans="1:58" x14ac:dyDescent="0.25">
      <c r="D361" t="s">
        <v>98</v>
      </c>
      <c r="E361" s="35">
        <f t="shared" si="46"/>
        <v>0</v>
      </c>
      <c r="F361" s="35">
        <f t="shared" si="46"/>
        <v>0</v>
      </c>
      <c r="G361" s="35">
        <f t="shared" si="46"/>
        <v>0</v>
      </c>
      <c r="H361" s="35">
        <f t="shared" si="46"/>
        <v>0</v>
      </c>
      <c r="I361" s="35">
        <f t="shared" si="46"/>
        <v>0</v>
      </c>
      <c r="J361" s="35">
        <f t="shared" si="46"/>
        <v>0</v>
      </c>
      <c r="K361" s="35">
        <f t="shared" si="46"/>
        <v>0</v>
      </c>
      <c r="L361" s="35">
        <f t="shared" si="46"/>
        <v>0</v>
      </c>
      <c r="M361" s="35">
        <f t="shared" si="44"/>
        <v>0</v>
      </c>
      <c r="S361" t="s">
        <v>98</v>
      </c>
      <c r="T361" s="5">
        <f>data_origin!T439</f>
        <v>0</v>
      </c>
      <c r="U361" s="5">
        <f>data_origin!U439</f>
        <v>0</v>
      </c>
      <c r="V361" s="5">
        <f>data_origin!V439</f>
        <v>0</v>
      </c>
      <c r="W361" s="5">
        <f>data_origin!W439</f>
        <v>0</v>
      </c>
      <c r="X361" s="5">
        <f>data_origin!X439</f>
        <v>0</v>
      </c>
      <c r="Y361" s="5">
        <f>data_origin!Y439</f>
        <v>0</v>
      </c>
      <c r="Z361" s="5">
        <f>data_origin!Z439</f>
        <v>0</v>
      </c>
      <c r="AA361" s="5">
        <f>data_origin!AA439</f>
        <v>0</v>
      </c>
      <c r="AB361" s="5">
        <f t="shared" si="47"/>
        <v>0</v>
      </c>
      <c r="AH361" t="s">
        <v>98</v>
      </c>
      <c r="AI361" s="5">
        <f>data_origin!T2652</f>
        <v>0</v>
      </c>
      <c r="AJ361" s="5">
        <f>data_origin!U2652</f>
        <v>0</v>
      </c>
      <c r="AK361" s="5">
        <f>data_origin!V2652</f>
        <v>0</v>
      </c>
      <c r="AL361" s="5">
        <f>data_origin!W2652</f>
        <v>0</v>
      </c>
      <c r="AM361" s="5">
        <f>data_origin!X2652</f>
        <v>0</v>
      </c>
      <c r="AN361" s="5">
        <f>data_origin!Y2652</f>
        <v>0</v>
      </c>
      <c r="AO361" s="5">
        <f>data_origin!Z2652</f>
        <v>0</v>
      </c>
      <c r="AP361" s="5">
        <f>data_origin!AA2652</f>
        <v>0</v>
      </c>
      <c r="AQ361" s="9">
        <f t="shared" si="48"/>
        <v>0</v>
      </c>
      <c r="AV361" t="s">
        <v>98</v>
      </c>
      <c r="AW361" s="5">
        <f>data_origin!T3366</f>
        <v>0</v>
      </c>
      <c r="AX361" s="5">
        <f>data_origin!U3366</f>
        <v>0</v>
      </c>
      <c r="AY361" s="5">
        <f>data_origin!V3366</f>
        <v>3.0303030303030304E-2</v>
      </c>
      <c r="AZ361" s="5">
        <f>data_origin!W3366</f>
        <v>0</v>
      </c>
      <c r="BA361" s="5">
        <f>data_origin!X3366</f>
        <v>0</v>
      </c>
      <c r="BB361" s="5">
        <f>data_origin!Y3366</f>
        <v>0</v>
      </c>
      <c r="BC361" s="5">
        <f>data_origin!Z3366</f>
        <v>0</v>
      </c>
      <c r="BD361" s="5">
        <f>data_origin!AA3366</f>
        <v>0</v>
      </c>
      <c r="BE361" s="9">
        <f t="shared" si="49"/>
        <v>3.0303030303030304E-2</v>
      </c>
    </row>
    <row r="362" spans="1:58" x14ac:dyDescent="0.25">
      <c r="D362" t="s">
        <v>119</v>
      </c>
      <c r="E362" s="35">
        <f t="shared" si="46"/>
        <v>0</v>
      </c>
      <c r="F362" s="35">
        <f t="shared" si="46"/>
        <v>0</v>
      </c>
      <c r="G362" s="35">
        <f t="shared" si="46"/>
        <v>0</v>
      </c>
      <c r="H362" s="35">
        <f t="shared" si="46"/>
        <v>0</v>
      </c>
      <c r="I362" s="35">
        <f t="shared" si="46"/>
        <v>0</v>
      </c>
      <c r="J362" s="35">
        <f t="shared" si="46"/>
        <v>0</v>
      </c>
      <c r="K362" s="35">
        <f t="shared" si="46"/>
        <v>0</v>
      </c>
      <c r="L362" s="35">
        <f t="shared" si="46"/>
        <v>0</v>
      </c>
      <c r="M362" s="35">
        <f t="shared" si="44"/>
        <v>0</v>
      </c>
      <c r="S362" t="s">
        <v>119</v>
      </c>
      <c r="T362" s="5">
        <f>data_origin!T440</f>
        <v>0</v>
      </c>
      <c r="U362" s="5">
        <f>data_origin!U440</f>
        <v>0</v>
      </c>
      <c r="V362" s="5">
        <f>data_origin!V440</f>
        <v>0</v>
      </c>
      <c r="W362" s="5">
        <f>data_origin!W440</f>
        <v>0</v>
      </c>
      <c r="X362" s="5">
        <f>data_origin!X440</f>
        <v>0</v>
      </c>
      <c r="Y362" s="5">
        <f>data_origin!Y440</f>
        <v>0</v>
      </c>
      <c r="Z362" s="5">
        <f>data_origin!Z440</f>
        <v>0</v>
      </c>
      <c r="AA362" s="5">
        <f>data_origin!AA440</f>
        <v>0</v>
      </c>
      <c r="AB362" s="5">
        <f t="shared" si="47"/>
        <v>0</v>
      </c>
      <c r="AH362" t="s">
        <v>119</v>
      </c>
      <c r="AI362" s="5">
        <f>data_origin!T2653</f>
        <v>0</v>
      </c>
      <c r="AJ362" s="5">
        <f>data_origin!U2653</f>
        <v>0</v>
      </c>
      <c r="AK362" s="5">
        <f>data_origin!V2653</f>
        <v>0</v>
      </c>
      <c r="AL362" s="5">
        <f>data_origin!W2653</f>
        <v>0</v>
      </c>
      <c r="AM362" s="5">
        <f>data_origin!X2653</f>
        <v>0</v>
      </c>
      <c r="AN362" s="5">
        <f>data_origin!Y2653</f>
        <v>0</v>
      </c>
      <c r="AO362" s="5">
        <f>data_origin!Z2653</f>
        <v>0</v>
      </c>
      <c r="AP362" s="5">
        <f>data_origin!AA2653</f>
        <v>0</v>
      </c>
      <c r="AQ362" s="9">
        <f t="shared" si="48"/>
        <v>0</v>
      </c>
      <c r="AV362" t="s">
        <v>119</v>
      </c>
      <c r="AW362" s="5">
        <f>data_origin!T3367</f>
        <v>0</v>
      </c>
      <c r="AX362" s="5">
        <f>data_origin!U3367</f>
        <v>0</v>
      </c>
      <c r="AY362" s="5">
        <f>data_origin!V3367</f>
        <v>3.0303030303030304E-2</v>
      </c>
      <c r="AZ362" s="5">
        <f>data_origin!W3367</f>
        <v>0</v>
      </c>
      <c r="BA362" s="5">
        <f>data_origin!X3367</f>
        <v>0</v>
      </c>
      <c r="BB362" s="5">
        <f>data_origin!Y3367</f>
        <v>0</v>
      </c>
      <c r="BC362" s="5">
        <f>data_origin!Z3367</f>
        <v>0</v>
      </c>
      <c r="BD362" s="5">
        <f>data_origin!AA3367</f>
        <v>0</v>
      </c>
      <c r="BE362" s="9">
        <f t="shared" si="49"/>
        <v>3.0303030303030304E-2</v>
      </c>
    </row>
    <row r="363" spans="1:58" x14ac:dyDescent="0.25">
      <c r="D363" t="s">
        <v>99</v>
      </c>
      <c r="E363" s="35">
        <f t="shared" si="46"/>
        <v>0</v>
      </c>
      <c r="F363" s="35">
        <f t="shared" si="46"/>
        <v>0</v>
      </c>
      <c r="G363" s="35">
        <f t="shared" si="46"/>
        <v>0</v>
      </c>
      <c r="H363" s="35">
        <f t="shared" si="46"/>
        <v>0</v>
      </c>
      <c r="I363" s="35">
        <f t="shared" si="46"/>
        <v>0</v>
      </c>
      <c r="J363" s="35">
        <f t="shared" si="46"/>
        <v>0</v>
      </c>
      <c r="K363" s="35">
        <f t="shared" si="46"/>
        <v>0</v>
      </c>
      <c r="L363" s="35">
        <f t="shared" si="46"/>
        <v>0</v>
      </c>
      <c r="M363" s="35">
        <f t="shared" si="44"/>
        <v>0</v>
      </c>
      <c r="S363" t="s">
        <v>99</v>
      </c>
      <c r="T363" s="5">
        <f>data_origin!T441</f>
        <v>0</v>
      </c>
      <c r="U363" s="5">
        <f>data_origin!U441</f>
        <v>0</v>
      </c>
      <c r="V363" s="5">
        <f>data_origin!V441</f>
        <v>0</v>
      </c>
      <c r="W363" s="5">
        <f>data_origin!W441</f>
        <v>0</v>
      </c>
      <c r="X363" s="5">
        <f>data_origin!X441</f>
        <v>0</v>
      </c>
      <c r="Y363" s="5">
        <f>data_origin!Y441</f>
        <v>0</v>
      </c>
      <c r="Z363" s="5">
        <f>data_origin!Z441</f>
        <v>0</v>
      </c>
      <c r="AA363" s="5">
        <f>data_origin!AA441</f>
        <v>0</v>
      </c>
      <c r="AB363" s="5">
        <f t="shared" si="47"/>
        <v>0</v>
      </c>
      <c r="AH363" t="s">
        <v>99</v>
      </c>
      <c r="AI363" s="5">
        <f>data_origin!T2654</f>
        <v>0</v>
      </c>
      <c r="AJ363" s="5">
        <f>data_origin!U2654</f>
        <v>0</v>
      </c>
      <c r="AK363" s="5">
        <f>data_origin!V2654</f>
        <v>0</v>
      </c>
      <c r="AL363" s="5">
        <f>data_origin!W2654</f>
        <v>0</v>
      </c>
      <c r="AM363" s="5">
        <f>data_origin!X2654</f>
        <v>0</v>
      </c>
      <c r="AN363" s="5">
        <f>data_origin!Y2654</f>
        <v>0</v>
      </c>
      <c r="AO363" s="5">
        <f>data_origin!Z2654</f>
        <v>0</v>
      </c>
      <c r="AP363" s="5">
        <f>data_origin!AA2654</f>
        <v>0</v>
      </c>
      <c r="AQ363" s="9">
        <f t="shared" si="48"/>
        <v>0</v>
      </c>
      <c r="AV363" t="s">
        <v>99</v>
      </c>
      <c r="AW363" s="5">
        <f>data_origin!T3368</f>
        <v>0</v>
      </c>
      <c r="AX363" s="5">
        <f>data_origin!U3368</f>
        <v>0</v>
      </c>
      <c r="AY363" s="5">
        <f>data_origin!V3368</f>
        <v>3.0303030303030304E-2</v>
      </c>
      <c r="AZ363" s="5">
        <f>data_origin!W3368</f>
        <v>0</v>
      </c>
      <c r="BA363" s="5">
        <f>data_origin!X3368</f>
        <v>0</v>
      </c>
      <c r="BB363" s="5">
        <f>data_origin!Y3368</f>
        <v>0</v>
      </c>
      <c r="BC363" s="5">
        <f>data_origin!Z3368</f>
        <v>0</v>
      </c>
      <c r="BD363" s="5">
        <f>data_origin!AA3368</f>
        <v>0</v>
      </c>
      <c r="BE363" s="9">
        <f t="shared" si="49"/>
        <v>3.0303030303030304E-2</v>
      </c>
    </row>
    <row r="364" spans="1:58" x14ac:dyDescent="0.25">
      <c r="D364" t="s">
        <v>100</v>
      </c>
      <c r="E364" s="35">
        <f t="shared" si="46"/>
        <v>0</v>
      </c>
      <c r="F364" s="35">
        <f t="shared" si="46"/>
        <v>0</v>
      </c>
      <c r="G364" s="35">
        <f t="shared" si="46"/>
        <v>7.0088888888888885</v>
      </c>
      <c r="H364" s="35">
        <f t="shared" si="46"/>
        <v>7.0120802851247417</v>
      </c>
      <c r="I364" s="35">
        <f t="shared" si="46"/>
        <v>3.008591996284542</v>
      </c>
      <c r="J364" s="35">
        <f t="shared" si="46"/>
        <v>0</v>
      </c>
      <c r="K364" s="35">
        <f t="shared" si="46"/>
        <v>0</v>
      </c>
      <c r="L364" s="35">
        <f t="shared" si="46"/>
        <v>0</v>
      </c>
      <c r="M364" s="35">
        <f t="shared" si="44"/>
        <v>17.029561170298173</v>
      </c>
      <c r="S364" t="s">
        <v>100</v>
      </c>
      <c r="T364" s="5">
        <f>data_origin!T442</f>
        <v>0</v>
      </c>
      <c r="U364" s="5">
        <f>data_origin!U442</f>
        <v>0</v>
      </c>
      <c r="V364" s="5">
        <f>data_origin!V442</f>
        <v>7</v>
      </c>
      <c r="W364" s="5">
        <f>data_origin!W442</f>
        <v>7</v>
      </c>
      <c r="X364" s="5">
        <f>data_origin!X442</f>
        <v>3</v>
      </c>
      <c r="Y364" s="5">
        <f>data_origin!Y442</f>
        <v>0</v>
      </c>
      <c r="Z364" s="5">
        <f>data_origin!Z442</f>
        <v>0</v>
      </c>
      <c r="AA364" s="5">
        <f>data_origin!AA442</f>
        <v>0</v>
      </c>
      <c r="AB364" s="5">
        <f t="shared" si="47"/>
        <v>17</v>
      </c>
      <c r="AH364" t="s">
        <v>100</v>
      </c>
      <c r="AI364" s="5">
        <f>data_origin!T2655</f>
        <v>0</v>
      </c>
      <c r="AJ364" s="5">
        <f>data_origin!U2655</f>
        <v>0</v>
      </c>
      <c r="AK364" s="5">
        <f>data_origin!V2655</f>
        <v>0</v>
      </c>
      <c r="AL364" s="5">
        <f>data_origin!W2655</f>
        <v>0</v>
      </c>
      <c r="AM364" s="5">
        <f>data_origin!X2655</f>
        <v>0</v>
      </c>
      <c r="AN364" s="5">
        <f>data_origin!Y2655</f>
        <v>0</v>
      </c>
      <c r="AO364" s="5">
        <f>data_origin!Z2655</f>
        <v>0</v>
      </c>
      <c r="AP364" s="5">
        <f>data_origin!AA2655</f>
        <v>0</v>
      </c>
      <c r="AQ364" s="9">
        <f t="shared" si="48"/>
        <v>0</v>
      </c>
      <c r="AV364" t="s">
        <v>100</v>
      </c>
      <c r="AW364" s="5">
        <f>data_origin!T3369</f>
        <v>0</v>
      </c>
      <c r="AX364" s="5">
        <f>data_origin!U3369</f>
        <v>0</v>
      </c>
      <c r="AY364" s="5">
        <f>data_origin!V3369</f>
        <v>3.0303030303030304E-2</v>
      </c>
      <c r="AZ364" s="5">
        <f>data_origin!W3369</f>
        <v>0</v>
      </c>
      <c r="BA364" s="5">
        <f>data_origin!X3369</f>
        <v>0</v>
      </c>
      <c r="BB364" s="5">
        <f>data_origin!Y3369</f>
        <v>0</v>
      </c>
      <c r="BC364" s="5">
        <f>data_origin!Z3369</f>
        <v>0</v>
      </c>
      <c r="BD364" s="5">
        <f>data_origin!AA3369</f>
        <v>0</v>
      </c>
      <c r="BE364" s="9">
        <f t="shared" si="49"/>
        <v>3.0303030303030304E-2</v>
      </c>
    </row>
    <row r="365" spans="1:58" x14ac:dyDescent="0.25">
      <c r="D365" t="s">
        <v>101</v>
      </c>
      <c r="E365" s="35">
        <f t="shared" si="46"/>
        <v>0</v>
      </c>
      <c r="F365" s="35">
        <f t="shared" si="46"/>
        <v>0</v>
      </c>
      <c r="G365" s="35">
        <f t="shared" si="46"/>
        <v>0</v>
      </c>
      <c r="H365" s="35">
        <f t="shared" si="46"/>
        <v>0</v>
      </c>
      <c r="I365" s="35">
        <f t="shared" si="46"/>
        <v>0</v>
      </c>
      <c r="J365" s="35">
        <f t="shared" si="46"/>
        <v>0</v>
      </c>
      <c r="K365" s="35">
        <f t="shared" si="46"/>
        <v>0</v>
      </c>
      <c r="L365" s="35">
        <f t="shared" ref="L365:L428" si="50">AA365+IFERROR((AA365/SUM(AA$3:AA$992)*AP$630),0)</f>
        <v>0</v>
      </c>
      <c r="M365" s="35">
        <f t="shared" si="44"/>
        <v>0</v>
      </c>
      <c r="N365" s="5">
        <f>SUM(M333:M365)</f>
        <v>20.033370694107695</v>
      </c>
      <c r="S365" t="s">
        <v>101</v>
      </c>
      <c r="T365" s="5">
        <f>data_origin!T443</f>
        <v>0</v>
      </c>
      <c r="U365" s="5">
        <f>data_origin!U443</f>
        <v>0</v>
      </c>
      <c r="V365" s="5">
        <f>data_origin!V443</f>
        <v>0</v>
      </c>
      <c r="W365" s="5">
        <f>data_origin!W443</f>
        <v>0</v>
      </c>
      <c r="X365" s="5">
        <f>data_origin!X443</f>
        <v>0</v>
      </c>
      <c r="Y365" s="5">
        <f>data_origin!Y443</f>
        <v>0</v>
      </c>
      <c r="Z365" s="5">
        <f>data_origin!Z443</f>
        <v>0</v>
      </c>
      <c r="AA365" s="5">
        <f>data_origin!AA443</f>
        <v>0</v>
      </c>
      <c r="AB365" s="5">
        <f t="shared" si="47"/>
        <v>0</v>
      </c>
      <c r="AC365" s="5">
        <f>SUM(AB333:AB365)</f>
        <v>20</v>
      </c>
      <c r="AH365" t="s">
        <v>101</v>
      </c>
      <c r="AI365" s="5">
        <f>data_origin!T2656</f>
        <v>0</v>
      </c>
      <c r="AJ365" s="5">
        <f>data_origin!U2656</f>
        <v>0</v>
      </c>
      <c r="AK365" s="5">
        <f>data_origin!V2656</f>
        <v>0</v>
      </c>
      <c r="AL365" s="5">
        <f>data_origin!W2656</f>
        <v>0</v>
      </c>
      <c r="AM365" s="5">
        <f>data_origin!X2656</f>
        <v>0</v>
      </c>
      <c r="AN365" s="5">
        <f>data_origin!Y2656</f>
        <v>0</v>
      </c>
      <c r="AO365" s="5">
        <f>data_origin!Z2656</f>
        <v>0</v>
      </c>
      <c r="AP365" s="5">
        <f>data_origin!AA2656</f>
        <v>0</v>
      </c>
      <c r="AQ365" s="9">
        <f t="shared" si="48"/>
        <v>0</v>
      </c>
      <c r="AR365" s="9">
        <f>SUM(AQ333:AQ365)</f>
        <v>0</v>
      </c>
      <c r="AV365" t="s">
        <v>101</v>
      </c>
      <c r="AW365" s="5">
        <f>data_origin!T3370</f>
        <v>0</v>
      </c>
      <c r="AX365" s="5">
        <f>data_origin!U3370</f>
        <v>0</v>
      </c>
      <c r="AY365" s="5">
        <f>data_origin!V3370</f>
        <v>3.0303030303030304E-2</v>
      </c>
      <c r="AZ365" s="5">
        <f>data_origin!W3370</f>
        <v>0</v>
      </c>
      <c r="BA365" s="5">
        <f>data_origin!X3370</f>
        <v>0</v>
      </c>
      <c r="BB365" s="5">
        <f>data_origin!Y3370</f>
        <v>0</v>
      </c>
      <c r="BC365" s="5">
        <f>data_origin!Z3370</f>
        <v>0</v>
      </c>
      <c r="BD365" s="5">
        <f>data_origin!AA3370</f>
        <v>0</v>
      </c>
      <c r="BE365" s="9">
        <f t="shared" si="49"/>
        <v>3.0303030303030304E-2</v>
      </c>
      <c r="BF365" s="9">
        <f>SUM(BE333:BE365)</f>
        <v>0.99999999999999933</v>
      </c>
    </row>
    <row r="366" spans="1:58" x14ac:dyDescent="0.25">
      <c r="A366" s="23" t="s">
        <v>104</v>
      </c>
      <c r="B366" s="23" t="s">
        <v>116</v>
      </c>
      <c r="C366" s="23" t="s">
        <v>106</v>
      </c>
      <c r="D366" t="s">
        <v>70</v>
      </c>
      <c r="E366" s="35">
        <f t="shared" ref="E366:K402" si="51">T366+IFERROR((T366/SUM(T$3:T$992)*AI$630),0)</f>
        <v>0</v>
      </c>
      <c r="F366" s="35">
        <f t="shared" si="51"/>
        <v>0</v>
      </c>
      <c r="G366" s="35">
        <f t="shared" si="51"/>
        <v>3.0948340548340547</v>
      </c>
      <c r="H366" s="35">
        <f t="shared" si="51"/>
        <v>5.4390578104483209</v>
      </c>
      <c r="I366" s="35">
        <f t="shared" si="51"/>
        <v>1.02252799873723</v>
      </c>
      <c r="J366" s="35">
        <f t="shared" si="51"/>
        <v>0</v>
      </c>
      <c r="K366" s="35">
        <f t="shared" si="51"/>
        <v>0</v>
      </c>
      <c r="L366" s="35">
        <f t="shared" si="50"/>
        <v>0</v>
      </c>
      <c r="M366" s="35">
        <f t="shared" si="44"/>
        <v>9.5564198640196061</v>
      </c>
      <c r="P366" t="s">
        <v>104</v>
      </c>
      <c r="Q366" t="s">
        <v>116</v>
      </c>
      <c r="R366" t="s">
        <v>106</v>
      </c>
      <c r="S366" t="s">
        <v>70</v>
      </c>
      <c r="T366" s="5">
        <f>data_origin!T445</f>
        <v>0</v>
      </c>
      <c r="U366" s="5">
        <f>data_origin!U445</f>
        <v>0</v>
      </c>
      <c r="V366" s="5">
        <f>data_origin!V445</f>
        <v>3.0909090909090908</v>
      </c>
      <c r="W366" s="5">
        <f>data_origin!W445</f>
        <v>5.4296875</v>
      </c>
      <c r="X366" s="5">
        <f>data_origin!X445</f>
        <v>1.0196078431372548</v>
      </c>
      <c r="Y366" s="5">
        <f>data_origin!Y445</f>
        <v>0</v>
      </c>
      <c r="Z366" s="5">
        <f>data_origin!Z445</f>
        <v>0</v>
      </c>
      <c r="AA366" s="5">
        <f>data_origin!AA445</f>
        <v>0</v>
      </c>
      <c r="AB366" s="5">
        <f t="shared" si="47"/>
        <v>9.5402044340463448</v>
      </c>
      <c r="AE366" t="s">
        <v>104</v>
      </c>
      <c r="AF366" t="s">
        <v>116</v>
      </c>
      <c r="AG366" s="28" t="s">
        <v>136</v>
      </c>
      <c r="AH366" t="s">
        <v>70</v>
      </c>
      <c r="AI366" s="5">
        <f>data_origin!T2658</f>
        <v>0</v>
      </c>
      <c r="AJ366" s="5">
        <f>data_origin!U2658</f>
        <v>0</v>
      </c>
      <c r="AK366" s="5">
        <f>data_origin!V2658</f>
        <v>0</v>
      </c>
      <c r="AL366" s="5">
        <f>data_origin!W2658</f>
        <v>0</v>
      </c>
      <c r="AM366" s="5">
        <f>data_origin!X2658</f>
        <v>0</v>
      </c>
      <c r="AN366" s="5">
        <f>data_origin!Y2658</f>
        <v>0</v>
      </c>
      <c r="AO366" s="5">
        <f>data_origin!Z2658</f>
        <v>0</v>
      </c>
      <c r="AP366" s="5">
        <f>data_origin!AA2658</f>
        <v>0</v>
      </c>
      <c r="AQ366" s="9">
        <f t="shared" si="48"/>
        <v>0</v>
      </c>
      <c r="AS366" t="s">
        <v>115</v>
      </c>
      <c r="AT366" t="s">
        <v>116</v>
      </c>
      <c r="AU366" s="28" t="s">
        <v>136</v>
      </c>
      <c r="AV366" t="s">
        <v>70</v>
      </c>
      <c r="AW366" s="5">
        <f>data_origin!T3372</f>
        <v>0</v>
      </c>
      <c r="AX366" s="5">
        <f>data_origin!U3372</f>
        <v>0</v>
      </c>
      <c r="AY366" s="5">
        <f>data_origin!V3372</f>
        <v>0</v>
      </c>
      <c r="AZ366" s="5">
        <f>data_origin!W3372</f>
        <v>0</v>
      </c>
      <c r="BA366" s="5">
        <f>data_origin!X3372</f>
        <v>0</v>
      </c>
      <c r="BB366" s="5">
        <f>data_origin!Y3372</f>
        <v>0</v>
      </c>
      <c r="BC366" s="5">
        <f>data_origin!Z3372</f>
        <v>0</v>
      </c>
      <c r="BD366" s="5">
        <f>data_origin!AA3372</f>
        <v>0</v>
      </c>
      <c r="BE366" s="9">
        <f t="shared" si="49"/>
        <v>0</v>
      </c>
    </row>
    <row r="367" spans="1:58" x14ac:dyDescent="0.25">
      <c r="D367" t="s">
        <v>71</v>
      </c>
      <c r="E367" s="35">
        <f t="shared" si="51"/>
        <v>0</v>
      </c>
      <c r="F367" s="35">
        <f t="shared" si="51"/>
        <v>0</v>
      </c>
      <c r="G367" s="35">
        <f t="shared" si="51"/>
        <v>18.569004329004329</v>
      </c>
      <c r="H367" s="35">
        <f t="shared" si="51"/>
        <v>18.492796555524293</v>
      </c>
      <c r="I367" s="35">
        <f t="shared" si="51"/>
        <v>4.09011199494892</v>
      </c>
      <c r="J367" s="35">
        <f t="shared" si="51"/>
        <v>0</v>
      </c>
      <c r="K367" s="35">
        <f t="shared" si="51"/>
        <v>0</v>
      </c>
      <c r="L367" s="35">
        <f t="shared" si="50"/>
        <v>0</v>
      </c>
      <c r="M367" s="35">
        <f t="shared" si="44"/>
        <v>41.151912879477543</v>
      </c>
      <c r="S367" t="s">
        <v>71</v>
      </c>
      <c r="T367" s="5">
        <f>data_origin!T446</f>
        <v>0</v>
      </c>
      <c r="U367" s="5">
        <f>data_origin!U446</f>
        <v>0</v>
      </c>
      <c r="V367" s="5">
        <f>data_origin!V446</f>
        <v>18.545454545454547</v>
      </c>
      <c r="W367" s="5">
        <f>data_origin!W446</f>
        <v>18.4609375</v>
      </c>
      <c r="X367" s="5">
        <f>data_origin!X446</f>
        <v>4.0784313725490193</v>
      </c>
      <c r="Y367" s="5">
        <f>data_origin!Y446</f>
        <v>0</v>
      </c>
      <c r="Z367" s="5">
        <f>data_origin!Z446</f>
        <v>0</v>
      </c>
      <c r="AA367" s="5">
        <f>data_origin!AA446</f>
        <v>0</v>
      </c>
      <c r="AB367" s="5">
        <f t="shared" si="47"/>
        <v>41.084823418003566</v>
      </c>
      <c r="AH367" t="s">
        <v>71</v>
      </c>
      <c r="AI367" s="5">
        <f>data_origin!T2659</f>
        <v>0</v>
      </c>
      <c r="AJ367" s="5">
        <f>data_origin!U2659</f>
        <v>0</v>
      </c>
      <c r="AK367" s="5">
        <f>data_origin!V2659</f>
        <v>0</v>
      </c>
      <c r="AL367" s="5">
        <f>data_origin!W2659</f>
        <v>0</v>
      </c>
      <c r="AM367" s="5">
        <f>data_origin!X2659</f>
        <v>0</v>
      </c>
      <c r="AN367" s="5">
        <f>data_origin!Y2659</f>
        <v>0</v>
      </c>
      <c r="AO367" s="5">
        <f>data_origin!Z2659</f>
        <v>0</v>
      </c>
      <c r="AP367" s="5">
        <f>data_origin!AA2659</f>
        <v>0</v>
      </c>
      <c r="AQ367" s="9">
        <f t="shared" si="48"/>
        <v>0</v>
      </c>
      <c r="AV367" t="s">
        <v>71</v>
      </c>
      <c r="AW367" s="5">
        <f>data_origin!T3373</f>
        <v>0</v>
      </c>
      <c r="AX367" s="5">
        <f>data_origin!U3373</f>
        <v>0</v>
      </c>
      <c r="AY367" s="5">
        <f>data_origin!V3373</f>
        <v>0</v>
      </c>
      <c r="AZ367" s="5">
        <f>data_origin!W3373</f>
        <v>0</v>
      </c>
      <c r="BA367" s="5">
        <f>data_origin!X3373</f>
        <v>0</v>
      </c>
      <c r="BB367" s="5">
        <f>data_origin!Y3373</f>
        <v>0</v>
      </c>
      <c r="BC367" s="5">
        <f>data_origin!Z3373</f>
        <v>0</v>
      </c>
      <c r="BD367" s="5">
        <f>data_origin!AA3373</f>
        <v>0</v>
      </c>
      <c r="BE367" s="9">
        <f t="shared" si="49"/>
        <v>0</v>
      </c>
    </row>
    <row r="368" spans="1:58" x14ac:dyDescent="0.25">
      <c r="D368" t="s">
        <v>72</v>
      </c>
      <c r="E368" s="35">
        <f t="shared" si="51"/>
        <v>0</v>
      </c>
      <c r="F368" s="35">
        <f t="shared" si="51"/>
        <v>0</v>
      </c>
      <c r="G368" s="35">
        <f t="shared" si="51"/>
        <v>2.0632227032227033</v>
      </c>
      <c r="H368" s="35">
        <f t="shared" si="51"/>
        <v>1.0878115620896642</v>
      </c>
      <c r="I368" s="35">
        <f t="shared" si="51"/>
        <v>0</v>
      </c>
      <c r="J368" s="35">
        <f t="shared" si="51"/>
        <v>0</v>
      </c>
      <c r="K368" s="35">
        <f t="shared" si="51"/>
        <v>0</v>
      </c>
      <c r="L368" s="35">
        <f t="shared" si="50"/>
        <v>0</v>
      </c>
      <c r="M368" s="35">
        <f t="shared" si="44"/>
        <v>3.1510342653123677</v>
      </c>
      <c r="S368" t="s">
        <v>72</v>
      </c>
      <c r="T368" s="5">
        <f>data_origin!T447</f>
        <v>0</v>
      </c>
      <c r="U368" s="5">
        <f>data_origin!U447</f>
        <v>0</v>
      </c>
      <c r="V368" s="5">
        <f>data_origin!V447</f>
        <v>2.0606060606060606</v>
      </c>
      <c r="W368" s="5">
        <f>data_origin!W447</f>
        <v>1.0859375</v>
      </c>
      <c r="X368" s="5">
        <f>data_origin!X447</f>
        <v>0</v>
      </c>
      <c r="Y368" s="5">
        <f>data_origin!Y447</f>
        <v>0</v>
      </c>
      <c r="Z368" s="5">
        <f>data_origin!Z447</f>
        <v>0</v>
      </c>
      <c r="AA368" s="5">
        <f>data_origin!AA447</f>
        <v>0</v>
      </c>
      <c r="AB368" s="5">
        <f t="shared" si="47"/>
        <v>3.1465435606060606</v>
      </c>
      <c r="AH368" t="s">
        <v>72</v>
      </c>
      <c r="AI368" s="5">
        <f>data_origin!T2660</f>
        <v>0</v>
      </c>
      <c r="AJ368" s="5">
        <f>data_origin!U2660</f>
        <v>0</v>
      </c>
      <c r="AK368" s="5">
        <f>data_origin!V2660</f>
        <v>0</v>
      </c>
      <c r="AL368" s="5">
        <f>data_origin!W2660</f>
        <v>0</v>
      </c>
      <c r="AM368" s="5">
        <f>data_origin!X2660</f>
        <v>0</v>
      </c>
      <c r="AN368" s="5">
        <f>data_origin!Y2660</f>
        <v>0</v>
      </c>
      <c r="AO368" s="5">
        <f>data_origin!Z2660</f>
        <v>0</v>
      </c>
      <c r="AP368" s="5">
        <f>data_origin!AA2660</f>
        <v>0</v>
      </c>
      <c r="AQ368" s="9">
        <f t="shared" si="48"/>
        <v>0</v>
      </c>
      <c r="AV368" t="s">
        <v>72</v>
      </c>
      <c r="AW368" s="5">
        <f>data_origin!T3374</f>
        <v>0</v>
      </c>
      <c r="AX368" s="5">
        <f>data_origin!U3374</f>
        <v>0</v>
      </c>
      <c r="AY368" s="5">
        <f>data_origin!V3374</f>
        <v>0</v>
      </c>
      <c r="AZ368" s="5">
        <f>data_origin!W3374</f>
        <v>0</v>
      </c>
      <c r="BA368" s="5">
        <f>data_origin!X3374</f>
        <v>0</v>
      </c>
      <c r="BB368" s="5">
        <f>data_origin!Y3374</f>
        <v>0</v>
      </c>
      <c r="BC368" s="5">
        <f>data_origin!Z3374</f>
        <v>0</v>
      </c>
      <c r="BD368" s="5">
        <f>data_origin!AA3374</f>
        <v>0</v>
      </c>
      <c r="BE368" s="9">
        <f t="shared" si="49"/>
        <v>0</v>
      </c>
    </row>
    <row r="369" spans="4:57" x14ac:dyDescent="0.25">
      <c r="D369" t="s">
        <v>73</v>
      </c>
      <c r="E369" s="35">
        <f t="shared" si="51"/>
        <v>0</v>
      </c>
      <c r="F369" s="35">
        <f t="shared" si="51"/>
        <v>0</v>
      </c>
      <c r="G369" s="35">
        <f t="shared" si="51"/>
        <v>0</v>
      </c>
      <c r="H369" s="35">
        <f t="shared" si="51"/>
        <v>0</v>
      </c>
      <c r="I369" s="35">
        <f t="shared" si="51"/>
        <v>1.02252799873723</v>
      </c>
      <c r="J369" s="35">
        <f t="shared" si="51"/>
        <v>1.0062429057888762</v>
      </c>
      <c r="K369" s="35">
        <f t="shared" si="51"/>
        <v>0</v>
      </c>
      <c r="L369" s="35">
        <f t="shared" si="50"/>
        <v>0</v>
      </c>
      <c r="M369" s="35">
        <f t="shared" si="44"/>
        <v>2.0287709045261062</v>
      </c>
      <c r="S369" t="s">
        <v>73</v>
      </c>
      <c r="T369" s="5">
        <f>data_origin!T448</f>
        <v>0</v>
      </c>
      <c r="U369" s="5">
        <f>data_origin!U448</f>
        <v>0</v>
      </c>
      <c r="V369" s="5">
        <f>data_origin!V448</f>
        <v>0</v>
      </c>
      <c r="W369" s="5">
        <f>data_origin!W448</f>
        <v>0</v>
      </c>
      <c r="X369" s="5">
        <f>data_origin!X448</f>
        <v>1.0196078431372548</v>
      </c>
      <c r="Y369" s="5">
        <f>data_origin!Y448</f>
        <v>1</v>
      </c>
      <c r="Z369" s="5">
        <f>data_origin!Z448</f>
        <v>0</v>
      </c>
      <c r="AA369" s="5">
        <f>data_origin!AA448</f>
        <v>0</v>
      </c>
      <c r="AB369" s="5">
        <f t="shared" si="47"/>
        <v>2.0196078431372548</v>
      </c>
      <c r="AH369" t="s">
        <v>73</v>
      </c>
      <c r="AI369" s="5">
        <f>data_origin!T2661</f>
        <v>0</v>
      </c>
      <c r="AJ369" s="5">
        <f>data_origin!U2661</f>
        <v>0</v>
      </c>
      <c r="AK369" s="5">
        <f>data_origin!V2661</f>
        <v>0</v>
      </c>
      <c r="AL369" s="5">
        <f>data_origin!W2661</f>
        <v>0</v>
      </c>
      <c r="AM369" s="5">
        <f>data_origin!X2661</f>
        <v>0</v>
      </c>
      <c r="AN369" s="5">
        <f>data_origin!Y2661</f>
        <v>0</v>
      </c>
      <c r="AO369" s="5">
        <f>data_origin!Z2661</f>
        <v>0</v>
      </c>
      <c r="AP369" s="5">
        <f>data_origin!AA2661</f>
        <v>0</v>
      </c>
      <c r="AQ369" s="9">
        <f t="shared" si="48"/>
        <v>0</v>
      </c>
      <c r="AV369" t="s">
        <v>73</v>
      </c>
      <c r="AW369" s="5">
        <f>data_origin!T3375</f>
        <v>0</v>
      </c>
      <c r="AX369" s="5">
        <f>data_origin!U3375</f>
        <v>0</v>
      </c>
      <c r="AY369" s="5">
        <f>data_origin!V3375</f>
        <v>0</v>
      </c>
      <c r="AZ369" s="5">
        <f>data_origin!W3375</f>
        <v>0</v>
      </c>
      <c r="BA369" s="5">
        <f>data_origin!X3375</f>
        <v>0</v>
      </c>
      <c r="BB369" s="5">
        <f>data_origin!Y3375</f>
        <v>0</v>
      </c>
      <c r="BC369" s="5">
        <f>data_origin!Z3375</f>
        <v>0</v>
      </c>
      <c r="BD369" s="5">
        <f>data_origin!AA3375</f>
        <v>0</v>
      </c>
      <c r="BE369" s="9">
        <f t="shared" si="49"/>
        <v>0</v>
      </c>
    </row>
    <row r="370" spans="4:57" x14ac:dyDescent="0.25">
      <c r="D370" t="s">
        <v>74</v>
      </c>
      <c r="E370" s="35">
        <f t="shared" si="51"/>
        <v>0</v>
      </c>
      <c r="F370" s="35">
        <f t="shared" si="51"/>
        <v>0</v>
      </c>
      <c r="G370" s="35">
        <f t="shared" si="51"/>
        <v>3.0948340548340547</v>
      </c>
      <c r="H370" s="35">
        <f t="shared" si="51"/>
        <v>1.0878115620896642</v>
      </c>
      <c r="I370" s="35">
        <f t="shared" si="51"/>
        <v>4.09011199494892</v>
      </c>
      <c r="J370" s="35">
        <f t="shared" si="51"/>
        <v>0</v>
      </c>
      <c r="K370" s="35">
        <f t="shared" si="51"/>
        <v>0</v>
      </c>
      <c r="L370" s="35">
        <f t="shared" si="50"/>
        <v>0</v>
      </c>
      <c r="M370" s="35">
        <f t="shared" si="44"/>
        <v>8.2727576118726383</v>
      </c>
      <c r="S370" t="s">
        <v>74</v>
      </c>
      <c r="T370" s="5">
        <f>data_origin!T449</f>
        <v>0</v>
      </c>
      <c r="U370" s="5">
        <f>data_origin!U449</f>
        <v>0</v>
      </c>
      <c r="V370" s="5">
        <f>data_origin!V449</f>
        <v>3.0909090909090908</v>
      </c>
      <c r="W370" s="5">
        <f>data_origin!W449</f>
        <v>1.0859375</v>
      </c>
      <c r="X370" s="5">
        <f>data_origin!X449</f>
        <v>4.0784313725490193</v>
      </c>
      <c r="Y370" s="5">
        <f>data_origin!Y449</f>
        <v>0</v>
      </c>
      <c r="Z370" s="5">
        <f>data_origin!Z449</f>
        <v>0</v>
      </c>
      <c r="AA370" s="5">
        <f>data_origin!AA449</f>
        <v>0</v>
      </c>
      <c r="AB370" s="5">
        <f t="shared" si="47"/>
        <v>8.2552779634581093</v>
      </c>
      <c r="AH370" t="s">
        <v>74</v>
      </c>
      <c r="AI370" s="5">
        <f>data_origin!T2662</f>
        <v>0</v>
      </c>
      <c r="AJ370" s="5">
        <f>data_origin!U2662</f>
        <v>0</v>
      </c>
      <c r="AK370" s="5">
        <f>data_origin!V2662</f>
        <v>0</v>
      </c>
      <c r="AL370" s="5">
        <f>data_origin!W2662</f>
        <v>0</v>
      </c>
      <c r="AM370" s="5">
        <f>data_origin!X2662</f>
        <v>0</v>
      </c>
      <c r="AN370" s="5">
        <f>data_origin!Y2662</f>
        <v>0</v>
      </c>
      <c r="AO370" s="5">
        <f>data_origin!Z2662</f>
        <v>0</v>
      </c>
      <c r="AP370" s="5">
        <f>data_origin!AA2662</f>
        <v>0</v>
      </c>
      <c r="AQ370" s="9">
        <f t="shared" si="48"/>
        <v>0</v>
      </c>
      <c r="AV370" t="s">
        <v>74</v>
      </c>
      <c r="AW370" s="5">
        <f>data_origin!T3376</f>
        <v>0</v>
      </c>
      <c r="AX370" s="5">
        <f>data_origin!U3376</f>
        <v>0</v>
      </c>
      <c r="AY370" s="5">
        <f>data_origin!V3376</f>
        <v>0</v>
      </c>
      <c r="AZ370" s="5">
        <f>data_origin!W3376</f>
        <v>0</v>
      </c>
      <c r="BA370" s="5">
        <f>data_origin!X3376</f>
        <v>0</v>
      </c>
      <c r="BB370" s="5">
        <f>data_origin!Y3376</f>
        <v>0</v>
      </c>
      <c r="BC370" s="5">
        <f>data_origin!Z3376</f>
        <v>0</v>
      </c>
      <c r="BD370" s="5">
        <f>data_origin!AA3376</f>
        <v>0</v>
      </c>
      <c r="BE370" s="9">
        <f t="shared" si="49"/>
        <v>0</v>
      </c>
    </row>
    <row r="371" spans="4:57" x14ac:dyDescent="0.25">
      <c r="D371" t="s">
        <v>75</v>
      </c>
      <c r="E371" s="35">
        <f t="shared" si="51"/>
        <v>0</v>
      </c>
      <c r="F371" s="35">
        <f t="shared" si="51"/>
        <v>0</v>
      </c>
      <c r="G371" s="35">
        <f t="shared" si="51"/>
        <v>0</v>
      </c>
      <c r="H371" s="35">
        <f t="shared" si="51"/>
        <v>0</v>
      </c>
      <c r="I371" s="35">
        <f t="shared" si="51"/>
        <v>0</v>
      </c>
      <c r="J371" s="35">
        <f t="shared" si="51"/>
        <v>0</v>
      </c>
      <c r="K371" s="35">
        <f t="shared" si="51"/>
        <v>0</v>
      </c>
      <c r="L371" s="35">
        <f t="shared" si="50"/>
        <v>0</v>
      </c>
      <c r="M371" s="35">
        <f t="shared" si="44"/>
        <v>0</v>
      </c>
      <c r="S371" t="s">
        <v>75</v>
      </c>
      <c r="T371" s="5">
        <f>data_origin!T450</f>
        <v>0</v>
      </c>
      <c r="U371" s="5">
        <f>data_origin!U450</f>
        <v>0</v>
      </c>
      <c r="V371" s="5">
        <f>data_origin!V450</f>
        <v>0</v>
      </c>
      <c r="W371" s="5">
        <f>data_origin!W450</f>
        <v>0</v>
      </c>
      <c r="X371" s="5">
        <f>data_origin!X450</f>
        <v>0</v>
      </c>
      <c r="Y371" s="5">
        <f>data_origin!Y450</f>
        <v>0</v>
      </c>
      <c r="Z371" s="5">
        <f>data_origin!Z450</f>
        <v>0</v>
      </c>
      <c r="AA371" s="5">
        <f>data_origin!AA450</f>
        <v>0</v>
      </c>
      <c r="AB371" s="5">
        <f t="shared" si="47"/>
        <v>0</v>
      </c>
      <c r="AH371" t="s">
        <v>75</v>
      </c>
      <c r="AI371" s="5">
        <f>data_origin!T2663</f>
        <v>0</v>
      </c>
      <c r="AJ371" s="5">
        <f>data_origin!U2663</f>
        <v>0</v>
      </c>
      <c r="AK371" s="5">
        <f>data_origin!V2663</f>
        <v>0</v>
      </c>
      <c r="AL371" s="5">
        <f>data_origin!W2663</f>
        <v>1</v>
      </c>
      <c r="AM371" s="5">
        <f>data_origin!X2663</f>
        <v>0</v>
      </c>
      <c r="AN371" s="5">
        <f>data_origin!Y2663</f>
        <v>0</v>
      </c>
      <c r="AO371" s="5">
        <f>data_origin!Z2663</f>
        <v>0</v>
      </c>
      <c r="AP371" s="5">
        <f>data_origin!AA2663</f>
        <v>0</v>
      </c>
      <c r="AQ371" s="9">
        <f t="shared" si="48"/>
        <v>1</v>
      </c>
      <c r="AV371" t="s">
        <v>75</v>
      </c>
      <c r="AW371" s="5">
        <f>data_origin!T3377</f>
        <v>0</v>
      </c>
      <c r="AX371" s="5">
        <f>data_origin!U3377</f>
        <v>0</v>
      </c>
      <c r="AY371" s="5">
        <f>data_origin!V3377</f>
        <v>0</v>
      </c>
      <c r="AZ371" s="5">
        <f>data_origin!W3377</f>
        <v>0</v>
      </c>
      <c r="BA371" s="5">
        <f>data_origin!X3377</f>
        <v>0</v>
      </c>
      <c r="BB371" s="5">
        <f>data_origin!Y3377</f>
        <v>0</v>
      </c>
      <c r="BC371" s="5">
        <f>data_origin!Z3377</f>
        <v>0</v>
      </c>
      <c r="BD371" s="5">
        <f>data_origin!AA3377</f>
        <v>0</v>
      </c>
      <c r="BE371" s="9">
        <f t="shared" si="49"/>
        <v>0</v>
      </c>
    </row>
    <row r="372" spans="4:57" x14ac:dyDescent="0.25">
      <c r="D372" t="s">
        <v>76</v>
      </c>
      <c r="E372" s="35">
        <f t="shared" si="51"/>
        <v>0</v>
      </c>
      <c r="F372" s="35">
        <f t="shared" si="51"/>
        <v>0</v>
      </c>
      <c r="G372" s="35">
        <f t="shared" si="51"/>
        <v>0</v>
      </c>
      <c r="H372" s="35">
        <f t="shared" si="51"/>
        <v>3.2634346862689929</v>
      </c>
      <c r="I372" s="35">
        <f t="shared" si="51"/>
        <v>1.02252799873723</v>
      </c>
      <c r="J372" s="35">
        <f t="shared" si="51"/>
        <v>0</v>
      </c>
      <c r="K372" s="35">
        <f t="shared" si="51"/>
        <v>0</v>
      </c>
      <c r="L372" s="35">
        <f t="shared" si="50"/>
        <v>0</v>
      </c>
      <c r="M372" s="35">
        <f t="shared" si="44"/>
        <v>4.2859626850062229</v>
      </c>
      <c r="S372" t="s">
        <v>76</v>
      </c>
      <c r="T372" s="5">
        <f>data_origin!T451</f>
        <v>0</v>
      </c>
      <c r="U372" s="5">
        <f>data_origin!U451</f>
        <v>0</v>
      </c>
      <c r="V372" s="5">
        <f>data_origin!V451</f>
        <v>0</v>
      </c>
      <c r="W372" s="5">
        <f>data_origin!W451</f>
        <v>3.2578125</v>
      </c>
      <c r="X372" s="5">
        <f>data_origin!X451</f>
        <v>1.0196078431372548</v>
      </c>
      <c r="Y372" s="5">
        <f>data_origin!Y451</f>
        <v>0</v>
      </c>
      <c r="Z372" s="5">
        <f>data_origin!Z451</f>
        <v>0</v>
      </c>
      <c r="AA372" s="5">
        <f>data_origin!AA451</f>
        <v>0</v>
      </c>
      <c r="AB372" s="5">
        <f t="shared" si="47"/>
        <v>4.2774203431372548</v>
      </c>
      <c r="AH372" t="s">
        <v>76</v>
      </c>
      <c r="AI372" s="5">
        <f>data_origin!T2664</f>
        <v>0</v>
      </c>
      <c r="AJ372" s="5">
        <f>data_origin!U2664</f>
        <v>0</v>
      </c>
      <c r="AK372" s="5">
        <f>data_origin!V2664</f>
        <v>0</v>
      </c>
      <c r="AL372" s="5">
        <f>data_origin!W2664</f>
        <v>0</v>
      </c>
      <c r="AM372" s="5">
        <f>data_origin!X2664</f>
        <v>0</v>
      </c>
      <c r="AN372" s="5">
        <f>data_origin!Y2664</f>
        <v>0</v>
      </c>
      <c r="AO372" s="5">
        <f>data_origin!Z2664</f>
        <v>0</v>
      </c>
      <c r="AP372" s="5">
        <f>data_origin!AA2664</f>
        <v>0</v>
      </c>
      <c r="AQ372" s="9">
        <f t="shared" si="48"/>
        <v>0</v>
      </c>
      <c r="AV372" t="s">
        <v>76</v>
      </c>
      <c r="AW372" s="5">
        <f>data_origin!T3378</f>
        <v>0</v>
      </c>
      <c r="AX372" s="5">
        <f>data_origin!U3378</f>
        <v>0</v>
      </c>
      <c r="AY372" s="5">
        <f>data_origin!V3378</f>
        <v>0</v>
      </c>
      <c r="AZ372" s="5">
        <f>data_origin!W3378</f>
        <v>0</v>
      </c>
      <c r="BA372" s="5">
        <f>data_origin!X3378</f>
        <v>0</v>
      </c>
      <c r="BB372" s="5">
        <f>data_origin!Y3378</f>
        <v>0</v>
      </c>
      <c r="BC372" s="5">
        <f>data_origin!Z3378</f>
        <v>0</v>
      </c>
      <c r="BD372" s="5">
        <f>data_origin!AA3378</f>
        <v>0</v>
      </c>
      <c r="BE372" s="9">
        <f t="shared" si="49"/>
        <v>0</v>
      </c>
    </row>
    <row r="373" spans="4:57" x14ac:dyDescent="0.25">
      <c r="D373" t="s">
        <v>77</v>
      </c>
      <c r="E373" s="35">
        <f t="shared" si="51"/>
        <v>0</v>
      </c>
      <c r="F373" s="35">
        <f t="shared" si="51"/>
        <v>0</v>
      </c>
      <c r="G373" s="35">
        <f t="shared" si="51"/>
        <v>5.158056758056758</v>
      </c>
      <c r="H373" s="35">
        <f t="shared" si="51"/>
        <v>7.6146809346276498</v>
      </c>
      <c r="I373" s="35">
        <f t="shared" si="51"/>
        <v>1.02252799873723</v>
      </c>
      <c r="J373" s="35">
        <f t="shared" si="51"/>
        <v>0</v>
      </c>
      <c r="K373" s="35">
        <f t="shared" si="51"/>
        <v>0</v>
      </c>
      <c r="L373" s="35">
        <f t="shared" si="50"/>
        <v>0</v>
      </c>
      <c r="M373" s="35">
        <f t="shared" si="44"/>
        <v>13.795265691421639</v>
      </c>
      <c r="S373" t="s">
        <v>77</v>
      </c>
      <c r="T373" s="5">
        <f>data_origin!T452</f>
        <v>0</v>
      </c>
      <c r="U373" s="5">
        <f>data_origin!U452</f>
        <v>0</v>
      </c>
      <c r="V373" s="5">
        <f>data_origin!V452</f>
        <v>5.1515151515151514</v>
      </c>
      <c r="W373" s="5">
        <f>data_origin!W452</f>
        <v>7.6015625</v>
      </c>
      <c r="X373" s="5">
        <f>data_origin!X452</f>
        <v>1.0196078431372548</v>
      </c>
      <c r="Y373" s="5">
        <f>data_origin!Y452</f>
        <v>0</v>
      </c>
      <c r="Z373" s="5">
        <f>data_origin!Z452</f>
        <v>0</v>
      </c>
      <c r="AA373" s="5">
        <f>data_origin!AA452</f>
        <v>0</v>
      </c>
      <c r="AB373" s="5">
        <f t="shared" si="47"/>
        <v>13.772685494652407</v>
      </c>
      <c r="AH373" t="s">
        <v>77</v>
      </c>
      <c r="AI373" s="5">
        <f>data_origin!T2665</f>
        <v>0</v>
      </c>
      <c r="AJ373" s="5">
        <f>data_origin!U2665</f>
        <v>0</v>
      </c>
      <c r="AK373" s="5">
        <f>data_origin!V2665</f>
        <v>0</v>
      </c>
      <c r="AL373" s="5">
        <f>data_origin!W2665</f>
        <v>0</v>
      </c>
      <c r="AM373" s="5">
        <f>data_origin!X2665</f>
        <v>0</v>
      </c>
      <c r="AN373" s="5">
        <f>data_origin!Y2665</f>
        <v>0</v>
      </c>
      <c r="AO373" s="5">
        <f>data_origin!Z2665</f>
        <v>0</v>
      </c>
      <c r="AP373" s="5">
        <f>data_origin!AA2665</f>
        <v>0</v>
      </c>
      <c r="AQ373" s="9">
        <f t="shared" si="48"/>
        <v>0</v>
      </c>
      <c r="AV373" t="s">
        <v>77</v>
      </c>
      <c r="AW373" s="5">
        <f>data_origin!T3379</f>
        <v>0</v>
      </c>
      <c r="AX373" s="5">
        <f>data_origin!U3379</f>
        <v>0</v>
      </c>
      <c r="AY373" s="5">
        <f>data_origin!V3379</f>
        <v>0</v>
      </c>
      <c r="AZ373" s="5">
        <f>data_origin!W3379</f>
        <v>0</v>
      </c>
      <c r="BA373" s="5">
        <f>data_origin!X3379</f>
        <v>0</v>
      </c>
      <c r="BB373" s="5">
        <f>data_origin!Y3379</f>
        <v>0</v>
      </c>
      <c r="BC373" s="5">
        <f>data_origin!Z3379</f>
        <v>0</v>
      </c>
      <c r="BD373" s="5">
        <f>data_origin!AA3379</f>
        <v>0</v>
      </c>
      <c r="BE373" s="9">
        <f t="shared" si="49"/>
        <v>0</v>
      </c>
    </row>
    <row r="374" spans="4:57" x14ac:dyDescent="0.25">
      <c r="D374" t="s">
        <v>78</v>
      </c>
      <c r="E374" s="35">
        <f t="shared" si="51"/>
        <v>0</v>
      </c>
      <c r="F374" s="35">
        <f t="shared" si="51"/>
        <v>0</v>
      </c>
      <c r="G374" s="35">
        <f t="shared" si="51"/>
        <v>7.2212794612794609</v>
      </c>
      <c r="H374" s="35">
        <f t="shared" si="51"/>
        <v>7.6146809346276498</v>
      </c>
      <c r="I374" s="35">
        <f t="shared" si="51"/>
        <v>3.06758399621169</v>
      </c>
      <c r="J374" s="35">
        <f t="shared" si="51"/>
        <v>1.0062429057888762</v>
      </c>
      <c r="K374" s="35">
        <f t="shared" si="51"/>
        <v>0</v>
      </c>
      <c r="L374" s="35">
        <f t="shared" si="50"/>
        <v>0</v>
      </c>
      <c r="M374" s="35">
        <f t="shared" si="44"/>
        <v>18.90978729790768</v>
      </c>
      <c r="S374" t="s">
        <v>78</v>
      </c>
      <c r="T374" s="5">
        <f>data_origin!T453</f>
        <v>0</v>
      </c>
      <c r="U374" s="5">
        <f>data_origin!U453</f>
        <v>0</v>
      </c>
      <c r="V374" s="5">
        <f>data_origin!V453</f>
        <v>7.2121212121212119</v>
      </c>
      <c r="W374" s="5">
        <f>data_origin!W453</f>
        <v>7.6015625</v>
      </c>
      <c r="X374" s="5">
        <f>data_origin!X453</f>
        <v>3.0588235294117645</v>
      </c>
      <c r="Y374" s="5">
        <f>data_origin!Y453</f>
        <v>1</v>
      </c>
      <c r="Z374" s="5">
        <f>data_origin!Z453</f>
        <v>0</v>
      </c>
      <c r="AA374" s="5">
        <f>data_origin!AA453</f>
        <v>0</v>
      </c>
      <c r="AB374" s="5">
        <f t="shared" si="47"/>
        <v>18.872507241532976</v>
      </c>
      <c r="AH374" t="s">
        <v>78</v>
      </c>
      <c r="AI374" s="5">
        <f>data_origin!T2666</f>
        <v>0</v>
      </c>
      <c r="AJ374" s="5">
        <f>data_origin!U2666</f>
        <v>0</v>
      </c>
      <c r="AK374" s="5">
        <f>data_origin!V2666</f>
        <v>0</v>
      </c>
      <c r="AL374" s="5">
        <f>data_origin!W2666</f>
        <v>0</v>
      </c>
      <c r="AM374" s="5">
        <f>data_origin!X2666</f>
        <v>0</v>
      </c>
      <c r="AN374" s="5">
        <f>data_origin!Y2666</f>
        <v>0</v>
      </c>
      <c r="AO374" s="5">
        <f>data_origin!Z2666</f>
        <v>0</v>
      </c>
      <c r="AP374" s="5">
        <f>data_origin!AA2666</f>
        <v>0</v>
      </c>
      <c r="AQ374" s="9">
        <f t="shared" si="48"/>
        <v>0</v>
      </c>
      <c r="AV374" t="s">
        <v>78</v>
      </c>
      <c r="AW374" s="5">
        <f>data_origin!T3380</f>
        <v>0</v>
      </c>
      <c r="AX374" s="5">
        <f>data_origin!U3380</f>
        <v>0</v>
      </c>
      <c r="AY374" s="5">
        <f>data_origin!V3380</f>
        <v>0</v>
      </c>
      <c r="AZ374" s="5">
        <f>data_origin!W3380</f>
        <v>0</v>
      </c>
      <c r="BA374" s="5">
        <f>data_origin!X3380</f>
        <v>0</v>
      </c>
      <c r="BB374" s="5">
        <f>data_origin!Y3380</f>
        <v>0</v>
      </c>
      <c r="BC374" s="5">
        <f>data_origin!Z3380</f>
        <v>0</v>
      </c>
      <c r="BD374" s="5">
        <f>data_origin!AA3380</f>
        <v>0</v>
      </c>
      <c r="BE374" s="9">
        <f t="shared" si="49"/>
        <v>0</v>
      </c>
    </row>
    <row r="375" spans="4:57" x14ac:dyDescent="0.25">
      <c r="D375" t="s">
        <v>79</v>
      </c>
      <c r="E375" s="35">
        <f t="shared" si="51"/>
        <v>0</v>
      </c>
      <c r="F375" s="35">
        <f t="shared" si="51"/>
        <v>0</v>
      </c>
      <c r="G375" s="35">
        <f t="shared" si="51"/>
        <v>2.0632227032227033</v>
      </c>
      <c r="H375" s="35">
        <f t="shared" si="51"/>
        <v>0</v>
      </c>
      <c r="I375" s="35">
        <f t="shared" si="51"/>
        <v>1.02252799873723</v>
      </c>
      <c r="J375" s="35">
        <f t="shared" si="51"/>
        <v>0</v>
      </c>
      <c r="K375" s="35">
        <f t="shared" si="51"/>
        <v>0</v>
      </c>
      <c r="L375" s="35">
        <f t="shared" si="50"/>
        <v>0</v>
      </c>
      <c r="M375" s="35">
        <f t="shared" si="44"/>
        <v>3.0857507019599333</v>
      </c>
      <c r="S375" t="s">
        <v>79</v>
      </c>
      <c r="T375" s="5">
        <f>data_origin!T454</f>
        <v>0</v>
      </c>
      <c r="U375" s="5">
        <f>data_origin!U454</f>
        <v>0</v>
      </c>
      <c r="V375" s="5">
        <f>data_origin!V454</f>
        <v>2.0606060606060606</v>
      </c>
      <c r="W375" s="5">
        <f>data_origin!W454</f>
        <v>0</v>
      </c>
      <c r="X375" s="5">
        <f>data_origin!X454</f>
        <v>1.0196078431372548</v>
      </c>
      <c r="Y375" s="5">
        <f>data_origin!Y454</f>
        <v>0</v>
      </c>
      <c r="Z375" s="5">
        <f>data_origin!Z454</f>
        <v>0</v>
      </c>
      <c r="AA375" s="5">
        <f>data_origin!AA454</f>
        <v>0</v>
      </c>
      <c r="AB375" s="5">
        <f t="shared" si="47"/>
        <v>3.0802139037433154</v>
      </c>
      <c r="AH375" t="s">
        <v>79</v>
      </c>
      <c r="AI375" s="5">
        <f>data_origin!T2667</f>
        <v>0</v>
      </c>
      <c r="AJ375" s="5">
        <f>data_origin!U2667</f>
        <v>0</v>
      </c>
      <c r="AK375" s="5">
        <f>data_origin!V2667</f>
        <v>0</v>
      </c>
      <c r="AL375" s="5">
        <f>data_origin!W2667</f>
        <v>0</v>
      </c>
      <c r="AM375" s="5">
        <f>data_origin!X2667</f>
        <v>0</v>
      </c>
      <c r="AN375" s="5">
        <f>data_origin!Y2667</f>
        <v>0</v>
      </c>
      <c r="AO375" s="5">
        <f>data_origin!Z2667</f>
        <v>0</v>
      </c>
      <c r="AP375" s="5">
        <f>data_origin!AA2667</f>
        <v>0</v>
      </c>
      <c r="AQ375" s="9">
        <f t="shared" si="48"/>
        <v>0</v>
      </c>
      <c r="AV375" t="s">
        <v>79</v>
      </c>
      <c r="AW375" s="5">
        <f>data_origin!T3381</f>
        <v>0</v>
      </c>
      <c r="AX375" s="5">
        <f>data_origin!U3381</f>
        <v>0</v>
      </c>
      <c r="AY375" s="5">
        <f>data_origin!V3381</f>
        <v>0</v>
      </c>
      <c r="AZ375" s="5">
        <f>data_origin!W3381</f>
        <v>0</v>
      </c>
      <c r="BA375" s="5">
        <f>data_origin!X3381</f>
        <v>0</v>
      </c>
      <c r="BB375" s="5">
        <f>data_origin!Y3381</f>
        <v>0</v>
      </c>
      <c r="BC375" s="5">
        <f>data_origin!Z3381</f>
        <v>0</v>
      </c>
      <c r="BD375" s="5">
        <f>data_origin!AA3381</f>
        <v>0</v>
      </c>
      <c r="BE375" s="9">
        <f t="shared" si="49"/>
        <v>0</v>
      </c>
    </row>
    <row r="376" spans="4:57" x14ac:dyDescent="0.25">
      <c r="D376" t="s">
        <v>80</v>
      </c>
      <c r="E376" s="35">
        <f t="shared" si="51"/>
        <v>0</v>
      </c>
      <c r="F376" s="35">
        <f t="shared" si="51"/>
        <v>0</v>
      </c>
      <c r="G376" s="35">
        <f t="shared" si="51"/>
        <v>2.0632227032227033</v>
      </c>
      <c r="H376" s="35">
        <f t="shared" si="51"/>
        <v>1.0878115620896642</v>
      </c>
      <c r="I376" s="35">
        <f t="shared" si="51"/>
        <v>1.02252799873723</v>
      </c>
      <c r="J376" s="35">
        <f t="shared" si="51"/>
        <v>0</v>
      </c>
      <c r="K376" s="35">
        <f t="shared" si="51"/>
        <v>0</v>
      </c>
      <c r="L376" s="35">
        <f t="shared" si="50"/>
        <v>0</v>
      </c>
      <c r="M376" s="35">
        <f t="shared" si="44"/>
        <v>4.1735622640495977</v>
      </c>
      <c r="S376" t="s">
        <v>80</v>
      </c>
      <c r="T376" s="5">
        <f>data_origin!T455</f>
        <v>0</v>
      </c>
      <c r="U376" s="5">
        <f>data_origin!U455</f>
        <v>0</v>
      </c>
      <c r="V376" s="5">
        <f>data_origin!V455</f>
        <v>2.0606060606060606</v>
      </c>
      <c r="W376" s="5">
        <f>data_origin!W455</f>
        <v>1.0859375</v>
      </c>
      <c r="X376" s="5">
        <f>data_origin!X455</f>
        <v>1.0196078431372548</v>
      </c>
      <c r="Y376" s="5">
        <f>data_origin!Y455</f>
        <v>0</v>
      </c>
      <c r="Z376" s="5">
        <f>data_origin!Z455</f>
        <v>0</v>
      </c>
      <c r="AA376" s="5">
        <f>data_origin!AA455</f>
        <v>0</v>
      </c>
      <c r="AB376" s="5">
        <f t="shared" si="47"/>
        <v>4.1661514037433154</v>
      </c>
      <c r="AH376" t="s">
        <v>80</v>
      </c>
      <c r="AI376" s="5">
        <f>data_origin!T2668</f>
        <v>0</v>
      </c>
      <c r="AJ376" s="5">
        <f>data_origin!U2668</f>
        <v>0</v>
      </c>
      <c r="AK376" s="5">
        <f>data_origin!V2668</f>
        <v>0</v>
      </c>
      <c r="AL376" s="5">
        <f>data_origin!W2668</f>
        <v>0</v>
      </c>
      <c r="AM376" s="5">
        <f>data_origin!X2668</f>
        <v>0</v>
      </c>
      <c r="AN376" s="5">
        <f>data_origin!Y2668</f>
        <v>0</v>
      </c>
      <c r="AO376" s="5">
        <f>data_origin!Z2668</f>
        <v>0</v>
      </c>
      <c r="AP376" s="5">
        <f>data_origin!AA2668</f>
        <v>0</v>
      </c>
      <c r="AQ376" s="9">
        <f t="shared" si="48"/>
        <v>0</v>
      </c>
      <c r="AV376" t="s">
        <v>80</v>
      </c>
      <c r="AW376" s="5">
        <f>data_origin!T3382</f>
        <v>0</v>
      </c>
      <c r="AX376" s="5">
        <f>data_origin!U3382</f>
        <v>0</v>
      </c>
      <c r="AY376" s="5">
        <f>data_origin!V3382</f>
        <v>0</v>
      </c>
      <c r="AZ376" s="5">
        <f>data_origin!W3382</f>
        <v>0</v>
      </c>
      <c r="BA376" s="5">
        <f>data_origin!X3382</f>
        <v>0</v>
      </c>
      <c r="BB376" s="5">
        <f>data_origin!Y3382</f>
        <v>0</v>
      </c>
      <c r="BC376" s="5">
        <f>data_origin!Z3382</f>
        <v>0</v>
      </c>
      <c r="BD376" s="5">
        <f>data_origin!AA3382</f>
        <v>0</v>
      </c>
      <c r="BE376" s="9">
        <f t="shared" si="49"/>
        <v>0</v>
      </c>
    </row>
    <row r="377" spans="4:57" x14ac:dyDescent="0.25">
      <c r="D377" t="s">
        <v>81</v>
      </c>
      <c r="E377" s="35">
        <f t="shared" si="51"/>
        <v>0</v>
      </c>
      <c r="F377" s="35">
        <f t="shared" si="51"/>
        <v>0</v>
      </c>
      <c r="G377" s="35">
        <f t="shared" si="51"/>
        <v>0</v>
      </c>
      <c r="H377" s="35">
        <f t="shared" si="51"/>
        <v>0</v>
      </c>
      <c r="I377" s="35">
        <f t="shared" si="51"/>
        <v>0</v>
      </c>
      <c r="J377" s="35">
        <f t="shared" si="51"/>
        <v>0</v>
      </c>
      <c r="K377" s="35">
        <f t="shared" si="51"/>
        <v>0</v>
      </c>
      <c r="L377" s="35">
        <f t="shared" si="50"/>
        <v>0</v>
      </c>
      <c r="M377" s="35">
        <f t="shared" si="44"/>
        <v>0</v>
      </c>
      <c r="S377" t="s">
        <v>81</v>
      </c>
      <c r="T377" s="5">
        <f>data_origin!T456</f>
        <v>0</v>
      </c>
      <c r="U377" s="5">
        <f>data_origin!U456</f>
        <v>0</v>
      </c>
      <c r="V377" s="5">
        <f>data_origin!V456</f>
        <v>0</v>
      </c>
      <c r="W377" s="5">
        <f>data_origin!W456</f>
        <v>0</v>
      </c>
      <c r="X377" s="5">
        <f>data_origin!X456</f>
        <v>0</v>
      </c>
      <c r="Y377" s="5">
        <f>data_origin!Y456</f>
        <v>0</v>
      </c>
      <c r="Z377" s="5">
        <f>data_origin!Z456</f>
        <v>0</v>
      </c>
      <c r="AA377" s="5">
        <f>data_origin!AA456</f>
        <v>0</v>
      </c>
      <c r="AB377" s="5">
        <f t="shared" si="47"/>
        <v>0</v>
      </c>
      <c r="AH377" t="s">
        <v>81</v>
      </c>
      <c r="AI377" s="5">
        <f>data_origin!T2669</f>
        <v>0</v>
      </c>
      <c r="AJ377" s="5">
        <f>data_origin!U2669</f>
        <v>0</v>
      </c>
      <c r="AK377" s="5">
        <f>data_origin!V2669</f>
        <v>0</v>
      </c>
      <c r="AL377" s="5">
        <f>data_origin!W2669</f>
        <v>0</v>
      </c>
      <c r="AM377" s="5">
        <f>data_origin!X2669</f>
        <v>0</v>
      </c>
      <c r="AN377" s="5">
        <f>data_origin!Y2669</f>
        <v>0</v>
      </c>
      <c r="AO377" s="5">
        <f>data_origin!Z2669</f>
        <v>0</v>
      </c>
      <c r="AP377" s="5">
        <f>data_origin!AA2669</f>
        <v>0</v>
      </c>
      <c r="AQ377" s="9">
        <f t="shared" si="48"/>
        <v>0</v>
      </c>
      <c r="AV377" t="s">
        <v>81</v>
      </c>
      <c r="AW377" s="5">
        <f>data_origin!T3383</f>
        <v>0</v>
      </c>
      <c r="AX377" s="5">
        <f>data_origin!U3383</f>
        <v>0</v>
      </c>
      <c r="AY377" s="5">
        <f>data_origin!V3383</f>
        <v>0</v>
      </c>
      <c r="AZ377" s="5">
        <f>data_origin!W3383</f>
        <v>0</v>
      </c>
      <c r="BA377" s="5">
        <f>data_origin!X3383</f>
        <v>0</v>
      </c>
      <c r="BB377" s="5">
        <f>data_origin!Y3383</f>
        <v>0</v>
      </c>
      <c r="BC377" s="5">
        <f>data_origin!Z3383</f>
        <v>0</v>
      </c>
      <c r="BD377" s="5">
        <f>data_origin!AA3383</f>
        <v>0</v>
      </c>
      <c r="BE377" s="9">
        <f t="shared" si="49"/>
        <v>0</v>
      </c>
    </row>
    <row r="378" spans="4:57" x14ac:dyDescent="0.25">
      <c r="D378" t="s">
        <v>82</v>
      </c>
      <c r="E378" s="35">
        <f t="shared" si="51"/>
        <v>0</v>
      </c>
      <c r="F378" s="35">
        <f t="shared" si="51"/>
        <v>0</v>
      </c>
      <c r="G378" s="35">
        <f t="shared" si="51"/>
        <v>1.0316113516113516</v>
      </c>
      <c r="H378" s="35">
        <f t="shared" si="51"/>
        <v>0</v>
      </c>
      <c r="I378" s="35">
        <f t="shared" si="51"/>
        <v>0</v>
      </c>
      <c r="J378" s="35">
        <f t="shared" si="51"/>
        <v>0</v>
      </c>
      <c r="K378" s="35">
        <f t="shared" si="51"/>
        <v>0</v>
      </c>
      <c r="L378" s="35">
        <f t="shared" si="50"/>
        <v>0</v>
      </c>
      <c r="M378" s="35">
        <f t="shared" si="44"/>
        <v>1.0316113516113516</v>
      </c>
      <c r="S378" t="s">
        <v>82</v>
      </c>
      <c r="T378" s="5">
        <f>data_origin!T457</f>
        <v>0</v>
      </c>
      <c r="U378" s="5">
        <f>data_origin!U457</f>
        <v>0</v>
      </c>
      <c r="V378" s="5">
        <f>data_origin!V457</f>
        <v>1.0303030303030303</v>
      </c>
      <c r="W378" s="5">
        <f>data_origin!W457</f>
        <v>0</v>
      </c>
      <c r="X378" s="5">
        <f>data_origin!X457</f>
        <v>0</v>
      </c>
      <c r="Y378" s="5">
        <f>data_origin!Y457</f>
        <v>0</v>
      </c>
      <c r="Z378" s="5">
        <f>data_origin!Z457</f>
        <v>0</v>
      </c>
      <c r="AA378" s="5">
        <f>data_origin!AA457</f>
        <v>0</v>
      </c>
      <c r="AB378" s="5">
        <f t="shared" si="47"/>
        <v>1.0303030303030303</v>
      </c>
      <c r="AH378" t="s">
        <v>82</v>
      </c>
      <c r="AI378" s="5">
        <f>data_origin!T2670</f>
        <v>0</v>
      </c>
      <c r="AJ378" s="5">
        <f>data_origin!U2670</f>
        <v>0</v>
      </c>
      <c r="AK378" s="5">
        <f>data_origin!V2670</f>
        <v>0</v>
      </c>
      <c r="AL378" s="5">
        <f>data_origin!W2670</f>
        <v>0</v>
      </c>
      <c r="AM378" s="5">
        <f>data_origin!X2670</f>
        <v>0</v>
      </c>
      <c r="AN378" s="5">
        <f>data_origin!Y2670</f>
        <v>0</v>
      </c>
      <c r="AO378" s="5">
        <f>data_origin!Z2670</f>
        <v>0</v>
      </c>
      <c r="AP378" s="5">
        <f>data_origin!AA2670</f>
        <v>0</v>
      </c>
      <c r="AQ378" s="9">
        <f t="shared" si="48"/>
        <v>0</v>
      </c>
      <c r="AV378" t="s">
        <v>82</v>
      </c>
      <c r="AW378" s="5">
        <f>data_origin!T3384</f>
        <v>0</v>
      </c>
      <c r="AX378" s="5">
        <f>data_origin!U3384</f>
        <v>0</v>
      </c>
      <c r="AY378" s="5">
        <f>data_origin!V3384</f>
        <v>0</v>
      </c>
      <c r="AZ378" s="5">
        <f>data_origin!W3384</f>
        <v>0</v>
      </c>
      <c r="BA378" s="5">
        <f>data_origin!X3384</f>
        <v>0</v>
      </c>
      <c r="BB378" s="5">
        <f>data_origin!Y3384</f>
        <v>0</v>
      </c>
      <c r="BC378" s="5">
        <f>data_origin!Z3384</f>
        <v>0</v>
      </c>
      <c r="BD378" s="5">
        <f>data_origin!AA3384</f>
        <v>0</v>
      </c>
      <c r="BE378" s="9">
        <f t="shared" si="49"/>
        <v>0</v>
      </c>
    </row>
    <row r="379" spans="4:57" x14ac:dyDescent="0.25">
      <c r="D379" t="s">
        <v>83</v>
      </c>
      <c r="E379" s="35">
        <f t="shared" si="51"/>
        <v>0</v>
      </c>
      <c r="F379" s="35">
        <f t="shared" si="51"/>
        <v>0</v>
      </c>
      <c r="G379" s="35">
        <f t="shared" si="51"/>
        <v>1.0316113516113516</v>
      </c>
      <c r="H379" s="35">
        <f t="shared" si="51"/>
        <v>1.0878115620896642</v>
      </c>
      <c r="I379" s="35">
        <f t="shared" si="51"/>
        <v>1.02252799873723</v>
      </c>
      <c r="J379" s="35">
        <f t="shared" si="51"/>
        <v>0</v>
      </c>
      <c r="K379" s="35">
        <f t="shared" si="51"/>
        <v>0</v>
      </c>
      <c r="L379" s="35">
        <f t="shared" si="50"/>
        <v>0</v>
      </c>
      <c r="M379" s="35">
        <f t="shared" si="44"/>
        <v>3.1419509124382459</v>
      </c>
      <c r="S379" t="s">
        <v>83</v>
      </c>
      <c r="T379" s="5">
        <f>data_origin!T458</f>
        <v>0</v>
      </c>
      <c r="U379" s="5">
        <f>data_origin!U458</f>
        <v>0</v>
      </c>
      <c r="V379" s="5">
        <f>data_origin!V458</f>
        <v>1.0303030303030303</v>
      </c>
      <c r="W379" s="5">
        <f>data_origin!W458</f>
        <v>1.0859375</v>
      </c>
      <c r="X379" s="5">
        <f>data_origin!X458</f>
        <v>1.0196078431372548</v>
      </c>
      <c r="Y379" s="5">
        <f>data_origin!Y458</f>
        <v>0</v>
      </c>
      <c r="Z379" s="5">
        <f>data_origin!Z458</f>
        <v>0</v>
      </c>
      <c r="AA379" s="5">
        <f>data_origin!AA458</f>
        <v>0</v>
      </c>
      <c r="AB379" s="5">
        <f t="shared" si="47"/>
        <v>3.1358483734402851</v>
      </c>
      <c r="AH379" t="s">
        <v>83</v>
      </c>
      <c r="AI379" s="5">
        <f>data_origin!T2671</f>
        <v>0</v>
      </c>
      <c r="AJ379" s="5">
        <f>data_origin!U2671</f>
        <v>0</v>
      </c>
      <c r="AK379" s="5">
        <f>data_origin!V2671</f>
        <v>0</v>
      </c>
      <c r="AL379" s="5">
        <f>data_origin!W2671</f>
        <v>0</v>
      </c>
      <c r="AM379" s="5">
        <f>data_origin!X2671</f>
        <v>0</v>
      </c>
      <c r="AN379" s="5">
        <f>data_origin!Y2671</f>
        <v>0</v>
      </c>
      <c r="AO379" s="5">
        <f>data_origin!Z2671</f>
        <v>0</v>
      </c>
      <c r="AP379" s="5">
        <f>data_origin!AA2671</f>
        <v>0</v>
      </c>
      <c r="AQ379" s="9">
        <f t="shared" si="48"/>
        <v>0</v>
      </c>
      <c r="AV379" t="s">
        <v>83</v>
      </c>
      <c r="AW379" s="5">
        <f>data_origin!T3385</f>
        <v>0</v>
      </c>
      <c r="AX379" s="5">
        <f>data_origin!U3385</f>
        <v>0</v>
      </c>
      <c r="AY379" s="5">
        <f>data_origin!V3385</f>
        <v>0</v>
      </c>
      <c r="AZ379" s="5">
        <f>data_origin!W3385</f>
        <v>0</v>
      </c>
      <c r="BA379" s="5">
        <f>data_origin!X3385</f>
        <v>0</v>
      </c>
      <c r="BB379" s="5">
        <f>data_origin!Y3385</f>
        <v>0</v>
      </c>
      <c r="BC379" s="5">
        <f>data_origin!Z3385</f>
        <v>0</v>
      </c>
      <c r="BD379" s="5">
        <f>data_origin!AA3385</f>
        <v>0</v>
      </c>
      <c r="BE379" s="9">
        <f t="shared" si="49"/>
        <v>0</v>
      </c>
    </row>
    <row r="380" spans="4:57" x14ac:dyDescent="0.25">
      <c r="D380" t="s">
        <v>84</v>
      </c>
      <c r="E380" s="35">
        <f t="shared" si="51"/>
        <v>0</v>
      </c>
      <c r="F380" s="35">
        <f t="shared" si="51"/>
        <v>0</v>
      </c>
      <c r="G380" s="35">
        <f t="shared" si="51"/>
        <v>1.0316113516113516</v>
      </c>
      <c r="H380" s="35">
        <f t="shared" si="51"/>
        <v>0</v>
      </c>
      <c r="I380" s="35">
        <f t="shared" si="51"/>
        <v>0</v>
      </c>
      <c r="J380" s="35">
        <f t="shared" si="51"/>
        <v>0</v>
      </c>
      <c r="K380" s="35">
        <f t="shared" si="51"/>
        <v>0</v>
      </c>
      <c r="L380" s="35">
        <f t="shared" si="50"/>
        <v>0</v>
      </c>
      <c r="M380" s="35">
        <f t="shared" si="44"/>
        <v>1.0316113516113516</v>
      </c>
      <c r="S380" t="s">
        <v>84</v>
      </c>
      <c r="T380" s="5">
        <f>data_origin!T459</f>
        <v>0</v>
      </c>
      <c r="U380" s="5">
        <f>data_origin!U459</f>
        <v>0</v>
      </c>
      <c r="V380" s="5">
        <f>data_origin!V459</f>
        <v>1.0303030303030303</v>
      </c>
      <c r="W380" s="5">
        <f>data_origin!W459</f>
        <v>0</v>
      </c>
      <c r="X380" s="5">
        <f>data_origin!X459</f>
        <v>0</v>
      </c>
      <c r="Y380" s="5">
        <f>data_origin!Y459</f>
        <v>0</v>
      </c>
      <c r="Z380" s="5">
        <f>data_origin!Z459</f>
        <v>0</v>
      </c>
      <c r="AA380" s="5">
        <f>data_origin!AA459</f>
        <v>0</v>
      </c>
      <c r="AB380" s="5">
        <f t="shared" si="47"/>
        <v>1.0303030303030303</v>
      </c>
      <c r="AH380" t="s">
        <v>84</v>
      </c>
      <c r="AI380" s="5">
        <f>data_origin!T2672</f>
        <v>0</v>
      </c>
      <c r="AJ380" s="5">
        <f>data_origin!U2672</f>
        <v>0</v>
      </c>
      <c r="AK380" s="5">
        <f>data_origin!V2672</f>
        <v>0</v>
      </c>
      <c r="AL380" s="5">
        <f>data_origin!W2672</f>
        <v>0</v>
      </c>
      <c r="AM380" s="5">
        <f>data_origin!X2672</f>
        <v>0</v>
      </c>
      <c r="AN380" s="5">
        <f>data_origin!Y2672</f>
        <v>0</v>
      </c>
      <c r="AO380" s="5">
        <f>data_origin!Z2672</f>
        <v>0</v>
      </c>
      <c r="AP380" s="5">
        <f>data_origin!AA2672</f>
        <v>0</v>
      </c>
      <c r="AQ380" s="9">
        <f t="shared" si="48"/>
        <v>0</v>
      </c>
      <c r="AV380" t="s">
        <v>84</v>
      </c>
      <c r="AW380" s="5">
        <f>data_origin!T3386</f>
        <v>0</v>
      </c>
      <c r="AX380" s="5">
        <f>data_origin!U3386</f>
        <v>0</v>
      </c>
      <c r="AY380" s="5">
        <f>data_origin!V3386</f>
        <v>0</v>
      </c>
      <c r="AZ380" s="5">
        <f>data_origin!W3386</f>
        <v>0</v>
      </c>
      <c r="BA380" s="5">
        <f>data_origin!X3386</f>
        <v>0</v>
      </c>
      <c r="BB380" s="5">
        <f>data_origin!Y3386</f>
        <v>0</v>
      </c>
      <c r="BC380" s="5">
        <f>data_origin!Z3386</f>
        <v>0</v>
      </c>
      <c r="BD380" s="5">
        <f>data_origin!AA3386</f>
        <v>0</v>
      </c>
      <c r="BE380" s="9">
        <f t="shared" si="49"/>
        <v>0</v>
      </c>
    </row>
    <row r="381" spans="4:57" x14ac:dyDescent="0.25">
      <c r="D381" t="s">
        <v>85</v>
      </c>
      <c r="E381" s="35">
        <f t="shared" si="51"/>
        <v>0</v>
      </c>
      <c r="F381" s="35">
        <f t="shared" si="51"/>
        <v>0</v>
      </c>
      <c r="G381" s="35">
        <f t="shared" si="51"/>
        <v>0</v>
      </c>
      <c r="H381" s="35">
        <f t="shared" si="51"/>
        <v>0</v>
      </c>
      <c r="I381" s="35">
        <f t="shared" si="51"/>
        <v>1.02252799873723</v>
      </c>
      <c r="J381" s="35">
        <f t="shared" si="51"/>
        <v>0</v>
      </c>
      <c r="K381" s="35">
        <f t="shared" si="51"/>
        <v>0</v>
      </c>
      <c r="L381" s="35">
        <f t="shared" si="50"/>
        <v>0</v>
      </c>
      <c r="M381" s="35">
        <f t="shared" si="44"/>
        <v>1.02252799873723</v>
      </c>
      <c r="S381" t="s">
        <v>85</v>
      </c>
      <c r="T381" s="5">
        <f>data_origin!T460</f>
        <v>0</v>
      </c>
      <c r="U381" s="5">
        <f>data_origin!U460</f>
        <v>0</v>
      </c>
      <c r="V381" s="5">
        <f>data_origin!V460</f>
        <v>0</v>
      </c>
      <c r="W381" s="5">
        <f>data_origin!W460</f>
        <v>0</v>
      </c>
      <c r="X381" s="5">
        <f>data_origin!X460</f>
        <v>1.0196078431372548</v>
      </c>
      <c r="Y381" s="5">
        <f>data_origin!Y460</f>
        <v>0</v>
      </c>
      <c r="Z381" s="5">
        <f>data_origin!Z460</f>
        <v>0</v>
      </c>
      <c r="AA381" s="5">
        <f>data_origin!AA460</f>
        <v>0</v>
      </c>
      <c r="AB381" s="5">
        <f t="shared" si="47"/>
        <v>1.0196078431372548</v>
      </c>
      <c r="AH381" t="s">
        <v>85</v>
      </c>
      <c r="AI381" s="5">
        <f>data_origin!T2673</f>
        <v>0</v>
      </c>
      <c r="AJ381" s="5">
        <f>data_origin!U2673</f>
        <v>0</v>
      </c>
      <c r="AK381" s="5">
        <f>data_origin!V2673</f>
        <v>0</v>
      </c>
      <c r="AL381" s="5">
        <f>data_origin!W2673</f>
        <v>0</v>
      </c>
      <c r="AM381" s="5">
        <f>data_origin!X2673</f>
        <v>0</v>
      </c>
      <c r="AN381" s="5">
        <f>data_origin!Y2673</f>
        <v>0</v>
      </c>
      <c r="AO381" s="5">
        <f>data_origin!Z2673</f>
        <v>0</v>
      </c>
      <c r="AP381" s="5">
        <f>data_origin!AA2673</f>
        <v>0</v>
      </c>
      <c r="AQ381" s="9">
        <f t="shared" si="48"/>
        <v>0</v>
      </c>
      <c r="AV381" t="s">
        <v>85</v>
      </c>
      <c r="AW381" s="5">
        <f>data_origin!T3387</f>
        <v>0</v>
      </c>
      <c r="AX381" s="5">
        <f>data_origin!U3387</f>
        <v>0</v>
      </c>
      <c r="AY381" s="5">
        <f>data_origin!V3387</f>
        <v>0</v>
      </c>
      <c r="AZ381" s="5">
        <f>data_origin!W3387</f>
        <v>0</v>
      </c>
      <c r="BA381" s="5">
        <f>data_origin!X3387</f>
        <v>0</v>
      </c>
      <c r="BB381" s="5">
        <f>data_origin!Y3387</f>
        <v>0</v>
      </c>
      <c r="BC381" s="5">
        <f>data_origin!Z3387</f>
        <v>0</v>
      </c>
      <c r="BD381" s="5">
        <f>data_origin!AA3387</f>
        <v>0</v>
      </c>
      <c r="BE381" s="9">
        <f t="shared" si="49"/>
        <v>0</v>
      </c>
    </row>
    <row r="382" spans="4:57" x14ac:dyDescent="0.25">
      <c r="D382" t="s">
        <v>86</v>
      </c>
      <c r="E382" s="35">
        <f t="shared" si="51"/>
        <v>0</v>
      </c>
      <c r="F382" s="35">
        <f t="shared" si="51"/>
        <v>0</v>
      </c>
      <c r="G382" s="35">
        <f t="shared" si="51"/>
        <v>18.569004329004329</v>
      </c>
      <c r="H382" s="35">
        <f t="shared" si="51"/>
        <v>27.195289052241606</v>
      </c>
      <c r="I382" s="35">
        <f t="shared" si="51"/>
        <v>9.2027519886350699</v>
      </c>
      <c r="J382" s="35">
        <f t="shared" si="51"/>
        <v>1.0062429057888762</v>
      </c>
      <c r="K382" s="35">
        <f t="shared" si="51"/>
        <v>0</v>
      </c>
      <c r="L382" s="35">
        <f t="shared" si="50"/>
        <v>0</v>
      </c>
      <c r="M382" s="35">
        <f t="shared" si="44"/>
        <v>55.97328827566988</v>
      </c>
      <c r="S382" t="s">
        <v>86</v>
      </c>
      <c r="T382" s="5">
        <f>data_origin!T461</f>
        <v>0</v>
      </c>
      <c r="U382" s="5">
        <f>data_origin!U461</f>
        <v>0</v>
      </c>
      <c r="V382" s="5">
        <f>data_origin!V461</f>
        <v>18.545454545454547</v>
      </c>
      <c r="W382" s="5">
        <f>data_origin!W461</f>
        <v>27.1484375</v>
      </c>
      <c r="X382" s="5">
        <f>data_origin!X461</f>
        <v>9.1764705882352935</v>
      </c>
      <c r="Y382" s="5">
        <f>data_origin!Y461</f>
        <v>1</v>
      </c>
      <c r="Z382" s="5">
        <f>data_origin!Z461</f>
        <v>0</v>
      </c>
      <c r="AA382" s="5">
        <f>data_origin!AA461</f>
        <v>0</v>
      </c>
      <c r="AB382" s="5">
        <f t="shared" si="47"/>
        <v>55.870362633689837</v>
      </c>
      <c r="AH382" t="s">
        <v>86</v>
      </c>
      <c r="AI382" s="5">
        <f>data_origin!T2674</f>
        <v>0</v>
      </c>
      <c r="AJ382" s="5">
        <f>data_origin!U2674</f>
        <v>0</v>
      </c>
      <c r="AK382" s="5">
        <f>data_origin!V2674</f>
        <v>0</v>
      </c>
      <c r="AL382" s="5">
        <f>data_origin!W2674</f>
        <v>0</v>
      </c>
      <c r="AM382" s="5">
        <f>data_origin!X2674</f>
        <v>0</v>
      </c>
      <c r="AN382" s="5">
        <f>data_origin!Y2674</f>
        <v>0</v>
      </c>
      <c r="AO382" s="5">
        <f>data_origin!Z2674</f>
        <v>0</v>
      </c>
      <c r="AP382" s="5">
        <f>data_origin!AA2674</f>
        <v>0</v>
      </c>
      <c r="AQ382" s="9">
        <f t="shared" si="48"/>
        <v>0</v>
      </c>
      <c r="AV382" t="s">
        <v>86</v>
      </c>
      <c r="AW382" s="5">
        <f>data_origin!T3388</f>
        <v>0</v>
      </c>
      <c r="AX382" s="5">
        <f>data_origin!U3388</f>
        <v>0</v>
      </c>
      <c r="AY382" s="5">
        <f>data_origin!V3388</f>
        <v>0</v>
      </c>
      <c r="AZ382" s="5">
        <f>data_origin!W3388</f>
        <v>0</v>
      </c>
      <c r="BA382" s="5">
        <f>data_origin!X3388</f>
        <v>0</v>
      </c>
      <c r="BB382" s="5">
        <f>data_origin!Y3388</f>
        <v>0</v>
      </c>
      <c r="BC382" s="5">
        <f>data_origin!Z3388</f>
        <v>0</v>
      </c>
      <c r="BD382" s="5">
        <f>data_origin!AA3388</f>
        <v>0</v>
      </c>
      <c r="BE382" s="9">
        <f t="shared" si="49"/>
        <v>0</v>
      </c>
    </row>
    <row r="383" spans="4:57" x14ac:dyDescent="0.25">
      <c r="D383" t="s">
        <v>87</v>
      </c>
      <c r="E383" s="35">
        <f t="shared" si="51"/>
        <v>0</v>
      </c>
      <c r="F383" s="35">
        <f t="shared" si="51"/>
        <v>0</v>
      </c>
      <c r="G383" s="35">
        <f t="shared" si="51"/>
        <v>22.695449735449735</v>
      </c>
      <c r="H383" s="35">
        <f t="shared" si="51"/>
        <v>22.844042803882949</v>
      </c>
      <c r="I383" s="35">
        <f t="shared" si="51"/>
        <v>9.2027519886350699</v>
      </c>
      <c r="J383" s="35">
        <f t="shared" si="51"/>
        <v>0</v>
      </c>
      <c r="K383" s="35">
        <f t="shared" si="51"/>
        <v>0</v>
      </c>
      <c r="L383" s="35">
        <f t="shared" si="50"/>
        <v>0</v>
      </c>
      <c r="M383" s="35">
        <f t="shared" si="44"/>
        <v>54.742244527967756</v>
      </c>
      <c r="S383" t="s">
        <v>87</v>
      </c>
      <c r="T383" s="5">
        <f>data_origin!T462</f>
        <v>0</v>
      </c>
      <c r="U383" s="5">
        <f>data_origin!U462</f>
        <v>0</v>
      </c>
      <c r="V383" s="5">
        <f>data_origin!V462</f>
        <v>22.666666666666668</v>
      </c>
      <c r="W383" s="5">
        <f>data_origin!W462</f>
        <v>22.8046875</v>
      </c>
      <c r="X383" s="5">
        <f>data_origin!X462</f>
        <v>9.1764705882352935</v>
      </c>
      <c r="Y383" s="5">
        <f>data_origin!Y462</f>
        <v>0</v>
      </c>
      <c r="Z383" s="5">
        <f>data_origin!Z462</f>
        <v>0</v>
      </c>
      <c r="AA383" s="5">
        <f>data_origin!AA462</f>
        <v>0</v>
      </c>
      <c r="AB383" s="5">
        <f t="shared" si="47"/>
        <v>54.647824754901961</v>
      </c>
      <c r="AH383" t="s">
        <v>87</v>
      </c>
      <c r="AI383" s="5">
        <f>data_origin!T2675</f>
        <v>0</v>
      </c>
      <c r="AJ383" s="5">
        <f>data_origin!U2675</f>
        <v>0</v>
      </c>
      <c r="AK383" s="5">
        <f>data_origin!V2675</f>
        <v>0</v>
      </c>
      <c r="AL383" s="5">
        <f>data_origin!W2675</f>
        <v>0</v>
      </c>
      <c r="AM383" s="5">
        <f>data_origin!X2675</f>
        <v>0</v>
      </c>
      <c r="AN383" s="5">
        <f>data_origin!Y2675</f>
        <v>0</v>
      </c>
      <c r="AO383" s="5">
        <f>data_origin!Z2675</f>
        <v>0</v>
      </c>
      <c r="AP383" s="5">
        <f>data_origin!AA2675</f>
        <v>0</v>
      </c>
      <c r="AQ383" s="9">
        <f t="shared" si="48"/>
        <v>0</v>
      </c>
      <c r="AV383" t="s">
        <v>87</v>
      </c>
      <c r="AW383" s="5">
        <f>data_origin!T3389</f>
        <v>0</v>
      </c>
      <c r="AX383" s="5">
        <f>data_origin!U3389</f>
        <v>0</v>
      </c>
      <c r="AY383" s="5">
        <f>data_origin!V3389</f>
        <v>0</v>
      </c>
      <c r="AZ383" s="5">
        <f>data_origin!W3389</f>
        <v>0</v>
      </c>
      <c r="BA383" s="5">
        <f>data_origin!X3389</f>
        <v>0</v>
      </c>
      <c r="BB383" s="5">
        <f>data_origin!Y3389</f>
        <v>0</v>
      </c>
      <c r="BC383" s="5">
        <f>data_origin!Z3389</f>
        <v>0</v>
      </c>
      <c r="BD383" s="5">
        <f>data_origin!AA3389</f>
        <v>0</v>
      </c>
      <c r="BE383" s="9">
        <f t="shared" si="49"/>
        <v>0</v>
      </c>
    </row>
    <row r="384" spans="4:57" x14ac:dyDescent="0.25">
      <c r="D384" t="s">
        <v>88</v>
      </c>
      <c r="E384" s="35">
        <f t="shared" si="51"/>
        <v>0</v>
      </c>
      <c r="F384" s="35">
        <f t="shared" si="51"/>
        <v>0</v>
      </c>
      <c r="G384" s="35">
        <f t="shared" si="51"/>
        <v>34.043174603174606</v>
      </c>
      <c r="H384" s="35">
        <f t="shared" si="51"/>
        <v>28.283100614331271</v>
      </c>
      <c r="I384" s="35">
        <f t="shared" si="51"/>
        <v>10.2252799873723</v>
      </c>
      <c r="J384" s="35">
        <f t="shared" si="51"/>
        <v>0</v>
      </c>
      <c r="K384" s="35">
        <f t="shared" si="51"/>
        <v>0</v>
      </c>
      <c r="L384" s="35">
        <f t="shared" si="50"/>
        <v>0</v>
      </c>
      <c r="M384" s="35">
        <f t="shared" si="44"/>
        <v>72.551555204878184</v>
      </c>
      <c r="S384" t="s">
        <v>88</v>
      </c>
      <c r="T384" s="5">
        <f>data_origin!T463</f>
        <v>0</v>
      </c>
      <c r="U384" s="5">
        <f>data_origin!U463</f>
        <v>0</v>
      </c>
      <c r="V384" s="5">
        <f>data_origin!V463</f>
        <v>34</v>
      </c>
      <c r="W384" s="5">
        <f>data_origin!W463</f>
        <v>28.234375</v>
      </c>
      <c r="X384" s="5">
        <f>data_origin!X463</f>
        <v>10.196078431372548</v>
      </c>
      <c r="Y384" s="5">
        <f>data_origin!Y463</f>
        <v>0</v>
      </c>
      <c r="Z384" s="5">
        <f>data_origin!Z463</f>
        <v>0</v>
      </c>
      <c r="AA384" s="5">
        <f>data_origin!AA463</f>
        <v>0</v>
      </c>
      <c r="AB384" s="5">
        <f t="shared" si="47"/>
        <v>72.430453431372541</v>
      </c>
      <c r="AH384" t="s">
        <v>88</v>
      </c>
      <c r="AI384" s="5">
        <f>data_origin!T2676</f>
        <v>0</v>
      </c>
      <c r="AJ384" s="5">
        <f>data_origin!U2676</f>
        <v>0</v>
      </c>
      <c r="AK384" s="5">
        <f>data_origin!V2676</f>
        <v>0</v>
      </c>
      <c r="AL384" s="5">
        <f>data_origin!W2676</f>
        <v>1</v>
      </c>
      <c r="AM384" s="5">
        <f>data_origin!X2676</f>
        <v>0</v>
      </c>
      <c r="AN384" s="5">
        <f>data_origin!Y2676</f>
        <v>0</v>
      </c>
      <c r="AO384" s="5">
        <f>data_origin!Z2676</f>
        <v>0</v>
      </c>
      <c r="AP384" s="5">
        <f>data_origin!AA2676</f>
        <v>0</v>
      </c>
      <c r="AQ384" s="9">
        <f t="shared" si="48"/>
        <v>1</v>
      </c>
      <c r="AV384" t="s">
        <v>88</v>
      </c>
      <c r="AW384" s="5">
        <f>data_origin!T3390</f>
        <v>0</v>
      </c>
      <c r="AX384" s="5">
        <f>data_origin!U3390</f>
        <v>0</v>
      </c>
      <c r="AY384" s="5">
        <f>data_origin!V3390</f>
        <v>0</v>
      </c>
      <c r="AZ384" s="5">
        <f>data_origin!W3390</f>
        <v>0</v>
      </c>
      <c r="BA384" s="5">
        <f>data_origin!X3390</f>
        <v>1</v>
      </c>
      <c r="BB384" s="5">
        <f>data_origin!Y3390</f>
        <v>0</v>
      </c>
      <c r="BC384" s="5">
        <f>data_origin!Z3390</f>
        <v>0</v>
      </c>
      <c r="BD384" s="5">
        <f>data_origin!AA3390</f>
        <v>0</v>
      </c>
      <c r="BE384" s="9">
        <f t="shared" si="49"/>
        <v>1</v>
      </c>
    </row>
    <row r="385" spans="1:58" x14ac:dyDescent="0.25">
      <c r="D385" t="s">
        <v>89</v>
      </c>
      <c r="E385" s="35">
        <f t="shared" si="51"/>
        <v>0</v>
      </c>
      <c r="F385" s="35">
        <f t="shared" si="51"/>
        <v>0</v>
      </c>
      <c r="G385" s="35">
        <f t="shared" si="51"/>
        <v>3.0948340548340547</v>
      </c>
      <c r="H385" s="35">
        <f t="shared" si="51"/>
        <v>6.5268693725379858</v>
      </c>
      <c r="I385" s="35">
        <f t="shared" si="51"/>
        <v>0</v>
      </c>
      <c r="J385" s="35">
        <f t="shared" si="51"/>
        <v>0</v>
      </c>
      <c r="K385" s="35">
        <f t="shared" si="51"/>
        <v>0</v>
      </c>
      <c r="L385" s="35">
        <f t="shared" si="50"/>
        <v>0</v>
      </c>
      <c r="M385" s="35">
        <f t="shared" si="44"/>
        <v>9.6217034273720401</v>
      </c>
      <c r="S385" t="s">
        <v>89</v>
      </c>
      <c r="T385" s="5">
        <f>data_origin!T464</f>
        <v>0</v>
      </c>
      <c r="U385" s="5">
        <f>data_origin!U464</f>
        <v>0</v>
      </c>
      <c r="V385" s="5">
        <f>data_origin!V464</f>
        <v>3.0909090909090908</v>
      </c>
      <c r="W385" s="5">
        <f>data_origin!W464</f>
        <v>6.515625</v>
      </c>
      <c r="X385" s="5">
        <f>data_origin!X464</f>
        <v>0</v>
      </c>
      <c r="Y385" s="5">
        <f>data_origin!Y464</f>
        <v>0</v>
      </c>
      <c r="Z385" s="5">
        <f>data_origin!Z464</f>
        <v>0</v>
      </c>
      <c r="AA385" s="5">
        <f>data_origin!AA464</f>
        <v>0</v>
      </c>
      <c r="AB385" s="5">
        <f t="shared" si="47"/>
        <v>9.6065340909090899</v>
      </c>
      <c r="AH385" t="s">
        <v>89</v>
      </c>
      <c r="AI385" s="5">
        <f>data_origin!T2677</f>
        <v>0</v>
      </c>
      <c r="AJ385" s="5">
        <f>data_origin!U2677</f>
        <v>0</v>
      </c>
      <c r="AK385" s="5">
        <f>data_origin!V2677</f>
        <v>0</v>
      </c>
      <c r="AL385" s="5">
        <f>data_origin!W2677</f>
        <v>0</v>
      </c>
      <c r="AM385" s="5">
        <f>data_origin!X2677</f>
        <v>0</v>
      </c>
      <c r="AN385" s="5">
        <f>data_origin!Y2677</f>
        <v>0</v>
      </c>
      <c r="AO385" s="5">
        <f>data_origin!Z2677</f>
        <v>0</v>
      </c>
      <c r="AP385" s="5">
        <f>data_origin!AA2677</f>
        <v>0</v>
      </c>
      <c r="AQ385" s="9">
        <f t="shared" si="48"/>
        <v>0</v>
      </c>
      <c r="AV385" t="s">
        <v>89</v>
      </c>
      <c r="AW385" s="5">
        <f>data_origin!T3391</f>
        <v>0</v>
      </c>
      <c r="AX385" s="5">
        <f>data_origin!U3391</f>
        <v>0</v>
      </c>
      <c r="AY385" s="5">
        <f>data_origin!V3391</f>
        <v>0</v>
      </c>
      <c r="AZ385" s="5">
        <f>data_origin!W3391</f>
        <v>0</v>
      </c>
      <c r="BA385" s="5">
        <f>data_origin!X3391</f>
        <v>0</v>
      </c>
      <c r="BB385" s="5">
        <f>data_origin!Y3391</f>
        <v>0</v>
      </c>
      <c r="BC385" s="5">
        <f>data_origin!Z3391</f>
        <v>0</v>
      </c>
      <c r="BD385" s="5">
        <f>data_origin!AA3391</f>
        <v>0</v>
      </c>
      <c r="BE385" s="9">
        <f t="shared" si="49"/>
        <v>0</v>
      </c>
    </row>
    <row r="386" spans="1:58" x14ac:dyDescent="0.25">
      <c r="D386" t="s">
        <v>90</v>
      </c>
      <c r="E386" s="35">
        <f t="shared" si="51"/>
        <v>0</v>
      </c>
      <c r="F386" s="35">
        <f t="shared" si="51"/>
        <v>0</v>
      </c>
      <c r="G386" s="35">
        <f t="shared" si="51"/>
        <v>0</v>
      </c>
      <c r="H386" s="35">
        <f t="shared" si="51"/>
        <v>0</v>
      </c>
      <c r="I386" s="35">
        <f t="shared" si="51"/>
        <v>0</v>
      </c>
      <c r="J386" s="35">
        <f t="shared" si="51"/>
        <v>0</v>
      </c>
      <c r="K386" s="35">
        <f t="shared" si="51"/>
        <v>0</v>
      </c>
      <c r="L386" s="35">
        <f t="shared" si="50"/>
        <v>0</v>
      </c>
      <c r="M386" s="35">
        <f t="shared" si="44"/>
        <v>0</v>
      </c>
      <c r="S386" t="s">
        <v>90</v>
      </c>
      <c r="T386" s="5">
        <f>data_origin!T465</f>
        <v>0</v>
      </c>
      <c r="U386" s="5">
        <f>data_origin!U465</f>
        <v>0</v>
      </c>
      <c r="V386" s="5">
        <f>data_origin!V465</f>
        <v>0</v>
      </c>
      <c r="W386" s="5">
        <f>data_origin!W465</f>
        <v>0</v>
      </c>
      <c r="X386" s="5">
        <f>data_origin!X465</f>
        <v>0</v>
      </c>
      <c r="Y386" s="5">
        <f>data_origin!Y465</f>
        <v>0</v>
      </c>
      <c r="Z386" s="5">
        <f>data_origin!Z465</f>
        <v>0</v>
      </c>
      <c r="AA386" s="5">
        <f>data_origin!AA465</f>
        <v>0</v>
      </c>
      <c r="AB386" s="5">
        <f t="shared" si="47"/>
        <v>0</v>
      </c>
      <c r="AH386" t="s">
        <v>90</v>
      </c>
      <c r="AI386" s="5">
        <f>data_origin!T2678</f>
        <v>0</v>
      </c>
      <c r="AJ386" s="5">
        <f>data_origin!U2678</f>
        <v>0</v>
      </c>
      <c r="AK386" s="5">
        <f>data_origin!V2678</f>
        <v>0</v>
      </c>
      <c r="AL386" s="5">
        <f>data_origin!W2678</f>
        <v>0</v>
      </c>
      <c r="AM386" s="5">
        <f>data_origin!X2678</f>
        <v>0</v>
      </c>
      <c r="AN386" s="5">
        <f>data_origin!Y2678</f>
        <v>0</v>
      </c>
      <c r="AO386" s="5">
        <f>data_origin!Z2678</f>
        <v>0</v>
      </c>
      <c r="AP386" s="5">
        <f>data_origin!AA2678</f>
        <v>0</v>
      </c>
      <c r="AQ386" s="9">
        <f t="shared" si="48"/>
        <v>0</v>
      </c>
      <c r="AV386" t="s">
        <v>90</v>
      </c>
      <c r="AW386" s="5">
        <f>data_origin!T3392</f>
        <v>0</v>
      </c>
      <c r="AX386" s="5">
        <f>data_origin!U3392</f>
        <v>0</v>
      </c>
      <c r="AY386" s="5">
        <f>data_origin!V3392</f>
        <v>0</v>
      </c>
      <c r="AZ386" s="5">
        <f>data_origin!W3392</f>
        <v>0</v>
      </c>
      <c r="BA386" s="5">
        <f>data_origin!X3392</f>
        <v>0</v>
      </c>
      <c r="BB386" s="5">
        <f>data_origin!Y3392</f>
        <v>0</v>
      </c>
      <c r="BC386" s="5">
        <f>data_origin!Z3392</f>
        <v>0</v>
      </c>
      <c r="BD386" s="5">
        <f>data_origin!AA3392</f>
        <v>0</v>
      </c>
      <c r="BE386" s="9">
        <f t="shared" si="49"/>
        <v>0</v>
      </c>
    </row>
    <row r="387" spans="1:58" x14ac:dyDescent="0.25">
      <c r="D387" t="s">
        <v>91</v>
      </c>
      <c r="E387" s="35">
        <f t="shared" si="51"/>
        <v>0</v>
      </c>
      <c r="F387" s="35">
        <f t="shared" si="51"/>
        <v>0</v>
      </c>
      <c r="G387" s="35">
        <f t="shared" si="51"/>
        <v>1.0316113516113516</v>
      </c>
      <c r="H387" s="35">
        <f t="shared" si="51"/>
        <v>0</v>
      </c>
      <c r="I387" s="35">
        <f t="shared" si="51"/>
        <v>0</v>
      </c>
      <c r="J387" s="35">
        <f t="shared" si="51"/>
        <v>0</v>
      </c>
      <c r="K387" s="35">
        <f t="shared" si="51"/>
        <v>0</v>
      </c>
      <c r="L387" s="35">
        <f t="shared" si="50"/>
        <v>0</v>
      </c>
      <c r="M387" s="35">
        <f t="shared" si="44"/>
        <v>1.0316113516113516</v>
      </c>
      <c r="S387" t="s">
        <v>91</v>
      </c>
      <c r="T387" s="5">
        <f>data_origin!T466</f>
        <v>0</v>
      </c>
      <c r="U387" s="5">
        <f>data_origin!U466</f>
        <v>0</v>
      </c>
      <c r="V387" s="5">
        <f>data_origin!V466</f>
        <v>1.0303030303030303</v>
      </c>
      <c r="W387" s="5">
        <f>data_origin!W466</f>
        <v>0</v>
      </c>
      <c r="X387" s="5">
        <f>data_origin!X466</f>
        <v>0</v>
      </c>
      <c r="Y387" s="5">
        <f>data_origin!Y466</f>
        <v>0</v>
      </c>
      <c r="Z387" s="5">
        <f>data_origin!Z466</f>
        <v>0</v>
      </c>
      <c r="AA387" s="5">
        <f>data_origin!AA466</f>
        <v>0</v>
      </c>
      <c r="AB387" s="5">
        <f t="shared" si="47"/>
        <v>1.0303030303030303</v>
      </c>
      <c r="AH387" t="s">
        <v>91</v>
      </c>
      <c r="AI387" s="5">
        <f>data_origin!T2679</f>
        <v>0</v>
      </c>
      <c r="AJ387" s="5">
        <f>data_origin!U2679</f>
        <v>0</v>
      </c>
      <c r="AK387" s="5">
        <f>data_origin!V2679</f>
        <v>0</v>
      </c>
      <c r="AL387" s="5">
        <f>data_origin!W2679</f>
        <v>0</v>
      </c>
      <c r="AM387" s="5">
        <f>data_origin!X2679</f>
        <v>0</v>
      </c>
      <c r="AN387" s="5">
        <f>data_origin!Y2679</f>
        <v>0</v>
      </c>
      <c r="AO387" s="5">
        <f>data_origin!Z2679</f>
        <v>0</v>
      </c>
      <c r="AP387" s="5">
        <f>data_origin!AA2679</f>
        <v>0</v>
      </c>
      <c r="AQ387" s="9">
        <f t="shared" si="48"/>
        <v>0</v>
      </c>
      <c r="AV387" t="s">
        <v>91</v>
      </c>
      <c r="AW387" s="5">
        <f>data_origin!T3393</f>
        <v>0</v>
      </c>
      <c r="AX387" s="5">
        <f>data_origin!U3393</f>
        <v>0</v>
      </c>
      <c r="AY387" s="5">
        <f>data_origin!V3393</f>
        <v>0</v>
      </c>
      <c r="AZ387" s="5">
        <f>data_origin!W3393</f>
        <v>0</v>
      </c>
      <c r="BA387" s="5">
        <f>data_origin!X3393</f>
        <v>0</v>
      </c>
      <c r="BB387" s="5">
        <f>data_origin!Y3393</f>
        <v>0</v>
      </c>
      <c r="BC387" s="5">
        <f>data_origin!Z3393</f>
        <v>0</v>
      </c>
      <c r="BD387" s="5">
        <f>data_origin!AA3393</f>
        <v>0</v>
      </c>
      <c r="BE387" s="9">
        <f t="shared" si="49"/>
        <v>0</v>
      </c>
    </row>
    <row r="388" spans="1:58" x14ac:dyDescent="0.25">
      <c r="D388" t="s">
        <v>92</v>
      </c>
      <c r="E388" s="35">
        <f t="shared" si="51"/>
        <v>0</v>
      </c>
      <c r="F388" s="35">
        <f t="shared" si="51"/>
        <v>0</v>
      </c>
      <c r="G388" s="35">
        <f t="shared" si="51"/>
        <v>0</v>
      </c>
      <c r="H388" s="35">
        <f t="shared" si="51"/>
        <v>0</v>
      </c>
      <c r="I388" s="35">
        <f t="shared" si="51"/>
        <v>1.02252799873723</v>
      </c>
      <c r="J388" s="35">
        <f t="shared" si="51"/>
        <v>0</v>
      </c>
      <c r="K388" s="35">
        <f t="shared" si="51"/>
        <v>0</v>
      </c>
      <c r="L388" s="35">
        <f t="shared" si="50"/>
        <v>0</v>
      </c>
      <c r="M388" s="35">
        <f t="shared" si="44"/>
        <v>1.02252799873723</v>
      </c>
      <c r="S388" t="s">
        <v>92</v>
      </c>
      <c r="T388" s="5">
        <f>data_origin!T467</f>
        <v>0</v>
      </c>
      <c r="U388" s="5">
        <f>data_origin!U467</f>
        <v>0</v>
      </c>
      <c r="V388" s="5">
        <f>data_origin!V467</f>
        <v>0</v>
      </c>
      <c r="W388" s="5">
        <f>data_origin!W467</f>
        <v>0</v>
      </c>
      <c r="X388" s="5">
        <f>data_origin!X467</f>
        <v>1.0196078431372548</v>
      </c>
      <c r="Y388" s="5">
        <f>data_origin!Y467</f>
        <v>0</v>
      </c>
      <c r="Z388" s="5">
        <f>data_origin!Z467</f>
        <v>0</v>
      </c>
      <c r="AA388" s="5">
        <f>data_origin!AA467</f>
        <v>0</v>
      </c>
      <c r="AB388" s="5">
        <f t="shared" si="47"/>
        <v>1.0196078431372548</v>
      </c>
      <c r="AH388" t="s">
        <v>92</v>
      </c>
      <c r="AI388" s="5">
        <f>data_origin!T2680</f>
        <v>0</v>
      </c>
      <c r="AJ388" s="5">
        <f>data_origin!U2680</f>
        <v>0</v>
      </c>
      <c r="AK388" s="5">
        <f>data_origin!V2680</f>
        <v>0</v>
      </c>
      <c r="AL388" s="5">
        <f>data_origin!W2680</f>
        <v>0</v>
      </c>
      <c r="AM388" s="5">
        <f>data_origin!X2680</f>
        <v>0</v>
      </c>
      <c r="AN388" s="5">
        <f>data_origin!Y2680</f>
        <v>0</v>
      </c>
      <c r="AO388" s="5">
        <f>data_origin!Z2680</f>
        <v>0</v>
      </c>
      <c r="AP388" s="5">
        <f>data_origin!AA2680</f>
        <v>0</v>
      </c>
      <c r="AQ388" s="9">
        <f t="shared" si="48"/>
        <v>0</v>
      </c>
      <c r="AV388" t="s">
        <v>92</v>
      </c>
      <c r="AW388" s="5">
        <f>data_origin!T3394</f>
        <v>0</v>
      </c>
      <c r="AX388" s="5">
        <f>data_origin!U3394</f>
        <v>0</v>
      </c>
      <c r="AY388" s="5">
        <f>data_origin!V3394</f>
        <v>0</v>
      </c>
      <c r="AZ388" s="5">
        <f>data_origin!W3394</f>
        <v>0</v>
      </c>
      <c r="BA388" s="5">
        <f>data_origin!X3394</f>
        <v>0</v>
      </c>
      <c r="BB388" s="5">
        <f>data_origin!Y3394</f>
        <v>0</v>
      </c>
      <c r="BC388" s="5">
        <f>data_origin!Z3394</f>
        <v>0</v>
      </c>
      <c r="BD388" s="5">
        <f>data_origin!AA3394</f>
        <v>0</v>
      </c>
      <c r="BE388" s="9">
        <f t="shared" si="49"/>
        <v>0</v>
      </c>
    </row>
    <row r="389" spans="1:58" x14ac:dyDescent="0.25">
      <c r="D389" t="s">
        <v>93</v>
      </c>
      <c r="E389" s="35">
        <f t="shared" si="51"/>
        <v>0</v>
      </c>
      <c r="F389" s="35">
        <f t="shared" si="51"/>
        <v>0</v>
      </c>
      <c r="G389" s="35">
        <f t="shared" si="51"/>
        <v>0</v>
      </c>
      <c r="H389" s="35">
        <f t="shared" si="51"/>
        <v>0</v>
      </c>
      <c r="I389" s="35">
        <f t="shared" si="51"/>
        <v>0</v>
      </c>
      <c r="J389" s="35">
        <f t="shared" si="51"/>
        <v>0</v>
      </c>
      <c r="K389" s="35">
        <f t="shared" si="51"/>
        <v>0</v>
      </c>
      <c r="L389" s="35">
        <f t="shared" si="50"/>
        <v>0</v>
      </c>
      <c r="M389" s="35">
        <f t="shared" si="44"/>
        <v>0</v>
      </c>
      <c r="S389" t="s">
        <v>93</v>
      </c>
      <c r="T389" s="5">
        <f>data_origin!T468</f>
        <v>0</v>
      </c>
      <c r="U389" s="5">
        <f>data_origin!U468</f>
        <v>0</v>
      </c>
      <c r="V389" s="5">
        <f>data_origin!V468</f>
        <v>0</v>
      </c>
      <c r="W389" s="5">
        <f>data_origin!W468</f>
        <v>0</v>
      </c>
      <c r="X389" s="5">
        <f>data_origin!X468</f>
        <v>0</v>
      </c>
      <c r="Y389" s="5">
        <f>data_origin!Y468</f>
        <v>0</v>
      </c>
      <c r="Z389" s="5">
        <f>data_origin!Z468</f>
        <v>0</v>
      </c>
      <c r="AA389" s="5">
        <f>data_origin!AA468</f>
        <v>0</v>
      </c>
      <c r="AB389" s="5">
        <f t="shared" si="47"/>
        <v>0</v>
      </c>
      <c r="AH389" t="s">
        <v>93</v>
      </c>
      <c r="AI389" s="5">
        <f>data_origin!T2681</f>
        <v>0</v>
      </c>
      <c r="AJ389" s="5">
        <f>data_origin!U2681</f>
        <v>0</v>
      </c>
      <c r="AK389" s="5">
        <f>data_origin!V2681</f>
        <v>0</v>
      </c>
      <c r="AL389" s="5">
        <f>data_origin!W2681</f>
        <v>0</v>
      </c>
      <c r="AM389" s="5">
        <f>data_origin!X2681</f>
        <v>0</v>
      </c>
      <c r="AN389" s="5">
        <f>data_origin!Y2681</f>
        <v>0</v>
      </c>
      <c r="AO389" s="5">
        <f>data_origin!Z2681</f>
        <v>0</v>
      </c>
      <c r="AP389" s="5">
        <f>data_origin!AA2681</f>
        <v>0</v>
      </c>
      <c r="AQ389" s="9">
        <f t="shared" si="48"/>
        <v>0</v>
      </c>
      <c r="AV389" t="s">
        <v>93</v>
      </c>
      <c r="AW389" s="5">
        <f>data_origin!T3395</f>
        <v>0</v>
      </c>
      <c r="AX389" s="5">
        <f>data_origin!U3395</f>
        <v>0</v>
      </c>
      <c r="AY389" s="5">
        <f>data_origin!V3395</f>
        <v>0</v>
      </c>
      <c r="AZ389" s="5">
        <f>data_origin!W3395</f>
        <v>0</v>
      </c>
      <c r="BA389" s="5">
        <f>data_origin!X3395</f>
        <v>0</v>
      </c>
      <c r="BB389" s="5">
        <f>data_origin!Y3395</f>
        <v>0</v>
      </c>
      <c r="BC389" s="5">
        <f>data_origin!Z3395</f>
        <v>0</v>
      </c>
      <c r="BD389" s="5">
        <f>data_origin!AA3395</f>
        <v>0</v>
      </c>
      <c r="BE389" s="9">
        <f t="shared" si="49"/>
        <v>0</v>
      </c>
    </row>
    <row r="390" spans="1:58" x14ac:dyDescent="0.25">
      <c r="D390" t="s">
        <v>94</v>
      </c>
      <c r="E390" s="35">
        <f t="shared" si="51"/>
        <v>0</v>
      </c>
      <c r="F390" s="35">
        <f t="shared" si="51"/>
        <v>0</v>
      </c>
      <c r="G390" s="35">
        <f t="shared" si="51"/>
        <v>0</v>
      </c>
      <c r="H390" s="35">
        <f t="shared" si="51"/>
        <v>0</v>
      </c>
      <c r="I390" s="35">
        <f t="shared" si="51"/>
        <v>0</v>
      </c>
      <c r="J390" s="35">
        <f t="shared" si="51"/>
        <v>0</v>
      </c>
      <c r="K390" s="35">
        <f t="shared" si="51"/>
        <v>0</v>
      </c>
      <c r="L390" s="35">
        <f t="shared" si="50"/>
        <v>0</v>
      </c>
      <c r="M390" s="35">
        <f t="shared" si="44"/>
        <v>0</v>
      </c>
      <c r="S390" t="s">
        <v>94</v>
      </c>
      <c r="T390" s="5">
        <f>data_origin!T469</f>
        <v>0</v>
      </c>
      <c r="U390" s="5">
        <f>data_origin!U469</f>
        <v>0</v>
      </c>
      <c r="V390" s="5">
        <f>data_origin!V469</f>
        <v>0</v>
      </c>
      <c r="W390" s="5">
        <f>data_origin!W469</f>
        <v>0</v>
      </c>
      <c r="X390" s="5">
        <f>data_origin!X469</f>
        <v>0</v>
      </c>
      <c r="Y390" s="5">
        <f>data_origin!Y469</f>
        <v>0</v>
      </c>
      <c r="Z390" s="5">
        <f>data_origin!Z469</f>
        <v>0</v>
      </c>
      <c r="AA390" s="5">
        <f>data_origin!AA469</f>
        <v>0</v>
      </c>
      <c r="AB390" s="5">
        <f t="shared" si="47"/>
        <v>0</v>
      </c>
      <c r="AH390" t="s">
        <v>94</v>
      </c>
      <c r="AI390" s="5">
        <f>data_origin!T2682</f>
        <v>0</v>
      </c>
      <c r="AJ390" s="5">
        <f>data_origin!U2682</f>
        <v>0</v>
      </c>
      <c r="AK390" s="5">
        <f>data_origin!V2682</f>
        <v>0</v>
      </c>
      <c r="AL390" s="5">
        <f>data_origin!W2682</f>
        <v>0</v>
      </c>
      <c r="AM390" s="5">
        <f>data_origin!X2682</f>
        <v>0</v>
      </c>
      <c r="AN390" s="5">
        <f>data_origin!Y2682</f>
        <v>0</v>
      </c>
      <c r="AO390" s="5">
        <f>data_origin!Z2682</f>
        <v>0</v>
      </c>
      <c r="AP390" s="5">
        <f>data_origin!AA2682</f>
        <v>0</v>
      </c>
      <c r="AQ390" s="9">
        <f t="shared" si="48"/>
        <v>0</v>
      </c>
      <c r="AV390" t="s">
        <v>94</v>
      </c>
      <c r="AW390" s="5">
        <f>data_origin!T3396</f>
        <v>0</v>
      </c>
      <c r="AX390" s="5">
        <f>data_origin!U3396</f>
        <v>0</v>
      </c>
      <c r="AY390" s="5">
        <f>data_origin!V3396</f>
        <v>0</v>
      </c>
      <c r="AZ390" s="5">
        <f>data_origin!W3396</f>
        <v>0</v>
      </c>
      <c r="BA390" s="5">
        <f>data_origin!X3396</f>
        <v>0</v>
      </c>
      <c r="BB390" s="5">
        <f>data_origin!Y3396</f>
        <v>0</v>
      </c>
      <c r="BC390" s="5">
        <f>data_origin!Z3396</f>
        <v>0</v>
      </c>
      <c r="BD390" s="5">
        <f>data_origin!AA3396</f>
        <v>0</v>
      </c>
      <c r="BE390" s="9">
        <f t="shared" si="49"/>
        <v>0</v>
      </c>
    </row>
    <row r="391" spans="1:58" x14ac:dyDescent="0.25">
      <c r="D391" t="s">
        <v>95</v>
      </c>
      <c r="E391" s="35">
        <f t="shared" si="51"/>
        <v>0</v>
      </c>
      <c r="F391" s="35">
        <f t="shared" si="51"/>
        <v>0</v>
      </c>
      <c r="G391" s="35">
        <f t="shared" si="51"/>
        <v>0</v>
      </c>
      <c r="H391" s="35">
        <f t="shared" si="51"/>
        <v>0</v>
      </c>
      <c r="I391" s="35">
        <f t="shared" si="51"/>
        <v>0</v>
      </c>
      <c r="J391" s="35">
        <f t="shared" si="51"/>
        <v>0</v>
      </c>
      <c r="K391" s="35">
        <f t="shared" si="51"/>
        <v>0</v>
      </c>
      <c r="L391" s="35">
        <f t="shared" si="50"/>
        <v>0</v>
      </c>
      <c r="M391" s="35">
        <f t="shared" si="44"/>
        <v>0</v>
      </c>
      <c r="S391" t="s">
        <v>95</v>
      </c>
      <c r="T391" s="5">
        <f>data_origin!T470</f>
        <v>0</v>
      </c>
      <c r="U391" s="5">
        <f>data_origin!U470</f>
        <v>0</v>
      </c>
      <c r="V391" s="5">
        <f>data_origin!V470</f>
        <v>0</v>
      </c>
      <c r="W391" s="5">
        <f>data_origin!W470</f>
        <v>0</v>
      </c>
      <c r="X391" s="5">
        <f>data_origin!X470</f>
        <v>0</v>
      </c>
      <c r="Y391" s="5">
        <f>data_origin!Y470</f>
        <v>0</v>
      </c>
      <c r="Z391" s="5">
        <f>data_origin!Z470</f>
        <v>0</v>
      </c>
      <c r="AA391" s="5">
        <f>data_origin!AA470</f>
        <v>0</v>
      </c>
      <c r="AB391" s="5">
        <f t="shared" si="47"/>
        <v>0</v>
      </c>
      <c r="AH391" t="s">
        <v>95</v>
      </c>
      <c r="AI391" s="5">
        <f>data_origin!T2683</f>
        <v>0</v>
      </c>
      <c r="AJ391" s="5">
        <f>data_origin!U2683</f>
        <v>0</v>
      </c>
      <c r="AK391" s="5">
        <f>data_origin!V2683</f>
        <v>0</v>
      </c>
      <c r="AL391" s="5">
        <f>data_origin!W2683</f>
        <v>0</v>
      </c>
      <c r="AM391" s="5">
        <f>data_origin!X2683</f>
        <v>0</v>
      </c>
      <c r="AN391" s="5">
        <f>data_origin!Y2683</f>
        <v>0</v>
      </c>
      <c r="AO391" s="5">
        <f>data_origin!Z2683</f>
        <v>0</v>
      </c>
      <c r="AP391" s="5">
        <f>data_origin!AA2683</f>
        <v>0</v>
      </c>
      <c r="AQ391" s="9">
        <f t="shared" si="48"/>
        <v>0</v>
      </c>
      <c r="AV391" t="s">
        <v>95</v>
      </c>
      <c r="AW391" s="5">
        <f>data_origin!T3397</f>
        <v>0</v>
      </c>
      <c r="AX391" s="5">
        <f>data_origin!U3397</f>
        <v>0</v>
      </c>
      <c r="AY391" s="5">
        <f>data_origin!V3397</f>
        <v>0</v>
      </c>
      <c r="AZ391" s="5">
        <f>data_origin!W3397</f>
        <v>0</v>
      </c>
      <c r="BA391" s="5">
        <f>data_origin!X3397</f>
        <v>0</v>
      </c>
      <c r="BB391" s="5">
        <f>data_origin!Y3397</f>
        <v>0</v>
      </c>
      <c r="BC391" s="5">
        <f>data_origin!Z3397</f>
        <v>0</v>
      </c>
      <c r="BD391" s="5">
        <f>data_origin!AA3397</f>
        <v>0</v>
      </c>
      <c r="BE391" s="9">
        <f t="shared" si="49"/>
        <v>0</v>
      </c>
    </row>
    <row r="392" spans="1:58" x14ac:dyDescent="0.25">
      <c r="D392" t="s">
        <v>96</v>
      </c>
      <c r="E392" s="35">
        <f t="shared" si="51"/>
        <v>0</v>
      </c>
      <c r="F392" s="35">
        <f t="shared" si="51"/>
        <v>0</v>
      </c>
      <c r="G392" s="35">
        <f t="shared" si="51"/>
        <v>0</v>
      </c>
      <c r="H392" s="35">
        <f t="shared" si="51"/>
        <v>0</v>
      </c>
      <c r="I392" s="35">
        <f t="shared" si="51"/>
        <v>0</v>
      </c>
      <c r="J392" s="35">
        <f t="shared" si="51"/>
        <v>0</v>
      </c>
      <c r="K392" s="35">
        <f t="shared" si="51"/>
        <v>0</v>
      </c>
      <c r="L392" s="35">
        <f t="shared" si="50"/>
        <v>0</v>
      </c>
      <c r="M392" s="35">
        <f t="shared" si="44"/>
        <v>0</v>
      </c>
      <c r="S392" t="s">
        <v>96</v>
      </c>
      <c r="T392" s="5">
        <f>data_origin!T471</f>
        <v>0</v>
      </c>
      <c r="U392" s="5">
        <f>data_origin!U471</f>
        <v>0</v>
      </c>
      <c r="V392" s="5">
        <f>data_origin!V471</f>
        <v>0</v>
      </c>
      <c r="W392" s="5">
        <f>data_origin!W471</f>
        <v>0</v>
      </c>
      <c r="X392" s="5">
        <f>data_origin!X471</f>
        <v>0</v>
      </c>
      <c r="Y392" s="5">
        <f>data_origin!Y471</f>
        <v>0</v>
      </c>
      <c r="Z392" s="5">
        <f>data_origin!Z471</f>
        <v>0</v>
      </c>
      <c r="AA392" s="5">
        <f>data_origin!AA471</f>
        <v>0</v>
      </c>
      <c r="AB392" s="5">
        <f t="shared" si="47"/>
        <v>0</v>
      </c>
      <c r="AH392" t="s">
        <v>96</v>
      </c>
      <c r="AI392" s="5">
        <f>data_origin!T2684</f>
        <v>0</v>
      </c>
      <c r="AJ392" s="5">
        <f>data_origin!U2684</f>
        <v>0</v>
      </c>
      <c r="AK392" s="5">
        <f>data_origin!V2684</f>
        <v>0</v>
      </c>
      <c r="AL392" s="5">
        <f>data_origin!W2684</f>
        <v>0</v>
      </c>
      <c r="AM392" s="5">
        <f>data_origin!X2684</f>
        <v>0</v>
      </c>
      <c r="AN392" s="5">
        <f>data_origin!Y2684</f>
        <v>0</v>
      </c>
      <c r="AO392" s="5">
        <f>data_origin!Z2684</f>
        <v>0</v>
      </c>
      <c r="AP392" s="5">
        <f>data_origin!AA2684</f>
        <v>0</v>
      </c>
      <c r="AQ392" s="9">
        <f t="shared" si="48"/>
        <v>0</v>
      </c>
      <c r="AV392" t="s">
        <v>96</v>
      </c>
      <c r="AW392" s="5">
        <f>data_origin!T3398</f>
        <v>0</v>
      </c>
      <c r="AX392" s="5">
        <f>data_origin!U3398</f>
        <v>0</v>
      </c>
      <c r="AY392" s="5">
        <f>data_origin!V3398</f>
        <v>0</v>
      </c>
      <c r="AZ392" s="5">
        <f>data_origin!W3398</f>
        <v>0</v>
      </c>
      <c r="BA392" s="5">
        <f>data_origin!X3398</f>
        <v>0</v>
      </c>
      <c r="BB392" s="5">
        <f>data_origin!Y3398</f>
        <v>0</v>
      </c>
      <c r="BC392" s="5">
        <f>data_origin!Z3398</f>
        <v>0</v>
      </c>
      <c r="BD392" s="5">
        <f>data_origin!AA3398</f>
        <v>0</v>
      </c>
      <c r="BE392" s="9">
        <f t="shared" si="49"/>
        <v>0</v>
      </c>
    </row>
    <row r="393" spans="1:58" x14ac:dyDescent="0.25">
      <c r="D393" t="s">
        <v>97</v>
      </c>
      <c r="E393" s="35">
        <f t="shared" si="51"/>
        <v>0</v>
      </c>
      <c r="F393" s="35">
        <f t="shared" si="51"/>
        <v>0</v>
      </c>
      <c r="G393" s="35">
        <f t="shared" si="51"/>
        <v>0</v>
      </c>
      <c r="H393" s="35">
        <f t="shared" si="51"/>
        <v>0</v>
      </c>
      <c r="I393" s="35">
        <f t="shared" si="51"/>
        <v>0</v>
      </c>
      <c r="J393" s="35">
        <f t="shared" si="51"/>
        <v>0</v>
      </c>
      <c r="K393" s="35">
        <f t="shared" si="51"/>
        <v>0</v>
      </c>
      <c r="L393" s="35">
        <f t="shared" si="50"/>
        <v>0</v>
      </c>
      <c r="M393" s="35">
        <f t="shared" ref="M393:M456" si="52">SUM(E393:L393)</f>
        <v>0</v>
      </c>
      <c r="S393" t="s">
        <v>97</v>
      </c>
      <c r="T393" s="5">
        <f>data_origin!T472</f>
        <v>0</v>
      </c>
      <c r="U393" s="5">
        <f>data_origin!U472</f>
        <v>0</v>
      </c>
      <c r="V393" s="5">
        <f>data_origin!V472</f>
        <v>0</v>
      </c>
      <c r="W393" s="5">
        <f>data_origin!W472</f>
        <v>0</v>
      </c>
      <c r="X393" s="5">
        <f>data_origin!X472</f>
        <v>0</v>
      </c>
      <c r="Y393" s="5">
        <f>data_origin!Y472</f>
        <v>0</v>
      </c>
      <c r="Z393" s="5">
        <f>data_origin!Z472</f>
        <v>0</v>
      </c>
      <c r="AA393" s="5">
        <f>data_origin!AA472</f>
        <v>0</v>
      </c>
      <c r="AB393" s="5">
        <f t="shared" si="47"/>
        <v>0</v>
      </c>
      <c r="AH393" t="s">
        <v>97</v>
      </c>
      <c r="AI393" s="5">
        <f>data_origin!T2685</f>
        <v>0</v>
      </c>
      <c r="AJ393" s="5">
        <f>data_origin!U2685</f>
        <v>0</v>
      </c>
      <c r="AK393" s="5">
        <f>data_origin!V2685</f>
        <v>0</v>
      </c>
      <c r="AL393" s="5">
        <f>data_origin!W2685</f>
        <v>0</v>
      </c>
      <c r="AM393" s="5">
        <f>data_origin!X2685</f>
        <v>0</v>
      </c>
      <c r="AN393" s="5">
        <f>data_origin!Y2685</f>
        <v>0</v>
      </c>
      <c r="AO393" s="5">
        <f>data_origin!Z2685</f>
        <v>0</v>
      </c>
      <c r="AP393" s="5">
        <f>data_origin!AA2685</f>
        <v>0</v>
      </c>
      <c r="AQ393" s="9">
        <f t="shared" si="48"/>
        <v>0</v>
      </c>
      <c r="AV393" t="s">
        <v>97</v>
      </c>
      <c r="AW393" s="5">
        <f>data_origin!T3399</f>
        <v>0</v>
      </c>
      <c r="AX393" s="5">
        <f>data_origin!U3399</f>
        <v>0</v>
      </c>
      <c r="AY393" s="5">
        <f>data_origin!V3399</f>
        <v>0</v>
      </c>
      <c r="AZ393" s="5">
        <f>data_origin!W3399</f>
        <v>0</v>
      </c>
      <c r="BA393" s="5">
        <f>data_origin!X3399</f>
        <v>0</v>
      </c>
      <c r="BB393" s="5">
        <f>data_origin!Y3399</f>
        <v>0</v>
      </c>
      <c r="BC393" s="5">
        <f>data_origin!Z3399</f>
        <v>0</v>
      </c>
      <c r="BD393" s="5">
        <f>data_origin!AA3399</f>
        <v>0</v>
      </c>
      <c r="BE393" s="9">
        <f t="shared" si="49"/>
        <v>0</v>
      </c>
    </row>
    <row r="394" spans="1:58" x14ac:dyDescent="0.25">
      <c r="D394" t="s">
        <v>98</v>
      </c>
      <c r="E394" s="35">
        <f t="shared" si="51"/>
        <v>0</v>
      </c>
      <c r="F394" s="35">
        <f t="shared" si="51"/>
        <v>0</v>
      </c>
      <c r="G394" s="35">
        <f t="shared" si="51"/>
        <v>1.0316113516113516</v>
      </c>
      <c r="H394" s="35">
        <f t="shared" si="51"/>
        <v>1.0878115620896642</v>
      </c>
      <c r="I394" s="35">
        <f t="shared" si="51"/>
        <v>0</v>
      </c>
      <c r="J394" s="35">
        <f t="shared" si="51"/>
        <v>0</v>
      </c>
      <c r="K394" s="35">
        <f t="shared" si="51"/>
        <v>0</v>
      </c>
      <c r="L394" s="35">
        <f t="shared" si="50"/>
        <v>0</v>
      </c>
      <c r="M394" s="35">
        <f t="shared" si="52"/>
        <v>2.1194229137010159</v>
      </c>
      <c r="S394" t="s">
        <v>98</v>
      </c>
      <c r="T394" s="5">
        <f>data_origin!T473</f>
        <v>0</v>
      </c>
      <c r="U394" s="5">
        <f>data_origin!U473</f>
        <v>0</v>
      </c>
      <c r="V394" s="5">
        <f>data_origin!V473</f>
        <v>1.0303030303030303</v>
      </c>
      <c r="W394" s="5">
        <f>data_origin!W473</f>
        <v>1.0859375</v>
      </c>
      <c r="X394" s="5">
        <f>data_origin!X473</f>
        <v>0</v>
      </c>
      <c r="Y394" s="5">
        <f>data_origin!Y473</f>
        <v>0</v>
      </c>
      <c r="Z394" s="5">
        <f>data_origin!Z473</f>
        <v>0</v>
      </c>
      <c r="AA394" s="5">
        <f>data_origin!AA473</f>
        <v>0</v>
      </c>
      <c r="AB394" s="5">
        <f t="shared" si="47"/>
        <v>2.1162405303030303</v>
      </c>
      <c r="AH394" t="s">
        <v>98</v>
      </c>
      <c r="AI394" s="5">
        <f>data_origin!T2686</f>
        <v>0</v>
      </c>
      <c r="AJ394" s="5">
        <f>data_origin!U2686</f>
        <v>0</v>
      </c>
      <c r="AK394" s="5">
        <f>data_origin!V2686</f>
        <v>0</v>
      </c>
      <c r="AL394" s="5">
        <f>data_origin!W2686</f>
        <v>0</v>
      </c>
      <c r="AM394" s="5">
        <f>data_origin!X2686</f>
        <v>0</v>
      </c>
      <c r="AN394" s="5">
        <f>data_origin!Y2686</f>
        <v>0</v>
      </c>
      <c r="AO394" s="5">
        <f>data_origin!Z2686</f>
        <v>0</v>
      </c>
      <c r="AP394" s="5">
        <f>data_origin!AA2686</f>
        <v>0</v>
      </c>
      <c r="AQ394" s="9">
        <f t="shared" si="48"/>
        <v>0</v>
      </c>
      <c r="AV394" t="s">
        <v>98</v>
      </c>
      <c r="AW394" s="5">
        <f>data_origin!T3400</f>
        <v>0</v>
      </c>
      <c r="AX394" s="5">
        <f>data_origin!U3400</f>
        <v>0</v>
      </c>
      <c r="AY394" s="5">
        <f>data_origin!V3400</f>
        <v>0</v>
      </c>
      <c r="AZ394" s="5">
        <f>data_origin!W3400</f>
        <v>0</v>
      </c>
      <c r="BA394" s="5">
        <f>data_origin!X3400</f>
        <v>0</v>
      </c>
      <c r="BB394" s="5">
        <f>data_origin!Y3400</f>
        <v>0</v>
      </c>
      <c r="BC394" s="5">
        <f>data_origin!Z3400</f>
        <v>0</v>
      </c>
      <c r="BD394" s="5">
        <f>data_origin!AA3400</f>
        <v>0</v>
      </c>
      <c r="BE394" s="9">
        <f t="shared" si="49"/>
        <v>0</v>
      </c>
    </row>
    <row r="395" spans="1:58" x14ac:dyDescent="0.25">
      <c r="D395" t="s">
        <v>119</v>
      </c>
      <c r="E395" s="35">
        <f t="shared" si="51"/>
        <v>0</v>
      </c>
      <c r="F395" s="35">
        <f t="shared" si="51"/>
        <v>0</v>
      </c>
      <c r="G395" s="35">
        <f t="shared" si="51"/>
        <v>0</v>
      </c>
      <c r="H395" s="35">
        <f t="shared" si="51"/>
        <v>0</v>
      </c>
      <c r="I395" s="35">
        <f t="shared" si="51"/>
        <v>0</v>
      </c>
      <c r="J395" s="35">
        <f t="shared" si="51"/>
        <v>0</v>
      </c>
      <c r="K395" s="35">
        <f t="shared" si="51"/>
        <v>0</v>
      </c>
      <c r="L395" s="35">
        <f t="shared" si="50"/>
        <v>0</v>
      </c>
      <c r="M395" s="35">
        <f t="shared" si="52"/>
        <v>0</v>
      </c>
      <c r="S395" t="s">
        <v>119</v>
      </c>
      <c r="T395" s="5">
        <f>data_origin!T474</f>
        <v>0</v>
      </c>
      <c r="U395" s="5">
        <f>data_origin!U474</f>
        <v>0</v>
      </c>
      <c r="V395" s="5">
        <f>data_origin!V474</f>
        <v>0</v>
      </c>
      <c r="W395" s="5">
        <f>data_origin!W474</f>
        <v>0</v>
      </c>
      <c r="X395" s="5">
        <f>data_origin!X474</f>
        <v>0</v>
      </c>
      <c r="Y395" s="5">
        <f>data_origin!Y474</f>
        <v>0</v>
      </c>
      <c r="Z395" s="5">
        <f>data_origin!Z474</f>
        <v>0</v>
      </c>
      <c r="AA395" s="5">
        <f>data_origin!AA474</f>
        <v>0</v>
      </c>
      <c r="AB395" s="5">
        <f t="shared" si="47"/>
        <v>0</v>
      </c>
      <c r="AH395" t="s">
        <v>119</v>
      </c>
      <c r="AI395" s="5">
        <f>data_origin!T2687</f>
        <v>0</v>
      </c>
      <c r="AJ395" s="5">
        <f>data_origin!U2687</f>
        <v>0</v>
      </c>
      <c r="AK395" s="5">
        <f>data_origin!V2687</f>
        <v>0</v>
      </c>
      <c r="AL395" s="5">
        <f>data_origin!W2687</f>
        <v>0</v>
      </c>
      <c r="AM395" s="5">
        <f>data_origin!X2687</f>
        <v>0</v>
      </c>
      <c r="AN395" s="5">
        <f>data_origin!Y2687</f>
        <v>0</v>
      </c>
      <c r="AO395" s="5">
        <f>data_origin!Z2687</f>
        <v>0</v>
      </c>
      <c r="AP395" s="5">
        <f>data_origin!AA2687</f>
        <v>0</v>
      </c>
      <c r="AQ395" s="9">
        <f t="shared" si="48"/>
        <v>0</v>
      </c>
      <c r="AV395" t="s">
        <v>119</v>
      </c>
      <c r="AW395" s="5">
        <f>data_origin!T3401</f>
        <v>0</v>
      </c>
      <c r="AX395" s="5">
        <f>data_origin!U3401</f>
        <v>0</v>
      </c>
      <c r="AY395" s="5">
        <f>data_origin!V3401</f>
        <v>0</v>
      </c>
      <c r="AZ395" s="5">
        <f>data_origin!W3401</f>
        <v>0</v>
      </c>
      <c r="BA395" s="5">
        <f>data_origin!X3401</f>
        <v>0</v>
      </c>
      <c r="BB395" s="5">
        <f>data_origin!Y3401</f>
        <v>0</v>
      </c>
      <c r="BC395" s="5">
        <f>data_origin!Z3401</f>
        <v>0</v>
      </c>
      <c r="BD395" s="5">
        <f>data_origin!AA3401</f>
        <v>0</v>
      </c>
      <c r="BE395" s="9">
        <f t="shared" si="49"/>
        <v>0</v>
      </c>
    </row>
    <row r="396" spans="1:58" x14ac:dyDescent="0.25">
      <c r="D396" t="s">
        <v>99</v>
      </c>
      <c r="E396" s="35">
        <f t="shared" si="51"/>
        <v>0</v>
      </c>
      <c r="F396" s="35">
        <f t="shared" si="51"/>
        <v>0</v>
      </c>
      <c r="G396" s="35">
        <f t="shared" si="51"/>
        <v>6.1896681096681094</v>
      </c>
      <c r="H396" s="35">
        <f t="shared" si="51"/>
        <v>5.4390578104483209</v>
      </c>
      <c r="I396" s="35">
        <f t="shared" si="51"/>
        <v>0</v>
      </c>
      <c r="J396" s="35">
        <f t="shared" si="51"/>
        <v>0</v>
      </c>
      <c r="K396" s="35">
        <f t="shared" si="51"/>
        <v>0</v>
      </c>
      <c r="L396" s="35">
        <f t="shared" si="50"/>
        <v>0</v>
      </c>
      <c r="M396" s="35">
        <f t="shared" si="52"/>
        <v>11.62872592011643</v>
      </c>
      <c r="S396" t="s">
        <v>99</v>
      </c>
      <c r="T396" s="5">
        <f>data_origin!T475</f>
        <v>0</v>
      </c>
      <c r="U396" s="5">
        <f>data_origin!U475</f>
        <v>0</v>
      </c>
      <c r="V396" s="5">
        <f>data_origin!V475</f>
        <v>6.1818181818181817</v>
      </c>
      <c r="W396" s="5">
        <f>data_origin!W475</f>
        <v>5.4296875</v>
      </c>
      <c r="X396" s="5">
        <f>data_origin!X475</f>
        <v>0</v>
      </c>
      <c r="Y396" s="5">
        <f>data_origin!Y475</f>
        <v>0</v>
      </c>
      <c r="Z396" s="5">
        <f>data_origin!Z475</f>
        <v>0</v>
      </c>
      <c r="AA396" s="5">
        <f>data_origin!AA475</f>
        <v>0</v>
      </c>
      <c r="AB396" s="5">
        <f t="shared" si="47"/>
        <v>11.611505681818182</v>
      </c>
      <c r="AH396" t="s">
        <v>99</v>
      </c>
      <c r="AI396" s="5">
        <f>data_origin!T2688</f>
        <v>0</v>
      </c>
      <c r="AJ396" s="5">
        <f>data_origin!U2688</f>
        <v>0</v>
      </c>
      <c r="AK396" s="5">
        <f>data_origin!V2688</f>
        <v>0</v>
      </c>
      <c r="AL396" s="5">
        <f>data_origin!W2688</f>
        <v>0</v>
      </c>
      <c r="AM396" s="5">
        <f>data_origin!X2688</f>
        <v>0</v>
      </c>
      <c r="AN396" s="5">
        <f>data_origin!Y2688</f>
        <v>0</v>
      </c>
      <c r="AO396" s="5">
        <f>data_origin!Z2688</f>
        <v>0</v>
      </c>
      <c r="AP396" s="5">
        <f>data_origin!AA2688</f>
        <v>0</v>
      </c>
      <c r="AQ396" s="9">
        <f t="shared" si="48"/>
        <v>0</v>
      </c>
      <c r="AV396" t="s">
        <v>99</v>
      </c>
      <c r="AW396" s="5">
        <f>data_origin!T3402</f>
        <v>0</v>
      </c>
      <c r="AX396" s="5">
        <f>data_origin!U3402</f>
        <v>0</v>
      </c>
      <c r="AY396" s="5">
        <f>data_origin!V3402</f>
        <v>0</v>
      </c>
      <c r="AZ396" s="5">
        <f>data_origin!W3402</f>
        <v>0</v>
      </c>
      <c r="BA396" s="5">
        <f>data_origin!X3402</f>
        <v>0</v>
      </c>
      <c r="BB396" s="5">
        <f>data_origin!Y3402</f>
        <v>0</v>
      </c>
      <c r="BC396" s="5">
        <f>data_origin!Z3402</f>
        <v>0</v>
      </c>
      <c r="BD396" s="5">
        <f>data_origin!AA3402</f>
        <v>0</v>
      </c>
      <c r="BE396" s="9">
        <f t="shared" si="49"/>
        <v>0</v>
      </c>
    </row>
    <row r="397" spans="1:58" x14ac:dyDescent="0.25">
      <c r="D397" t="s">
        <v>100</v>
      </c>
      <c r="E397" s="35">
        <f t="shared" si="51"/>
        <v>0</v>
      </c>
      <c r="F397" s="35">
        <f t="shared" si="51"/>
        <v>0</v>
      </c>
      <c r="G397" s="35">
        <f t="shared" si="51"/>
        <v>0</v>
      </c>
      <c r="H397" s="35">
        <f t="shared" si="51"/>
        <v>0</v>
      </c>
      <c r="I397" s="35">
        <f t="shared" si="51"/>
        <v>0</v>
      </c>
      <c r="J397" s="35">
        <f t="shared" si="51"/>
        <v>0</v>
      </c>
      <c r="K397" s="35">
        <f t="shared" si="51"/>
        <v>0</v>
      </c>
      <c r="L397" s="35">
        <f t="shared" si="50"/>
        <v>0</v>
      </c>
      <c r="M397" s="35">
        <f t="shared" si="52"/>
        <v>0</v>
      </c>
      <c r="S397" t="s">
        <v>100</v>
      </c>
      <c r="T397" s="5">
        <f>data_origin!T476</f>
        <v>0</v>
      </c>
      <c r="U397" s="5">
        <f>data_origin!U476</f>
        <v>0</v>
      </c>
      <c r="V397" s="5">
        <f>data_origin!V476</f>
        <v>0</v>
      </c>
      <c r="W397" s="5">
        <f>data_origin!W476</f>
        <v>0</v>
      </c>
      <c r="X397" s="5">
        <f>data_origin!X476</f>
        <v>0</v>
      </c>
      <c r="Y397" s="5">
        <f>data_origin!Y476</f>
        <v>0</v>
      </c>
      <c r="Z397" s="5">
        <f>data_origin!Z476</f>
        <v>0</v>
      </c>
      <c r="AA397" s="5">
        <f>data_origin!AA476</f>
        <v>0</v>
      </c>
      <c r="AB397" s="5">
        <f t="shared" si="47"/>
        <v>0</v>
      </c>
      <c r="AH397" t="s">
        <v>100</v>
      </c>
      <c r="AI397" s="5">
        <f>data_origin!T2689</f>
        <v>0</v>
      </c>
      <c r="AJ397" s="5">
        <f>data_origin!U2689</f>
        <v>0</v>
      </c>
      <c r="AK397" s="5">
        <f>data_origin!V2689</f>
        <v>0</v>
      </c>
      <c r="AL397" s="5">
        <f>data_origin!W2689</f>
        <v>0</v>
      </c>
      <c r="AM397" s="5">
        <f>data_origin!X2689</f>
        <v>0</v>
      </c>
      <c r="AN397" s="5">
        <f>data_origin!Y2689</f>
        <v>0</v>
      </c>
      <c r="AO397" s="5">
        <f>data_origin!Z2689</f>
        <v>0</v>
      </c>
      <c r="AP397" s="5">
        <f>data_origin!AA2689</f>
        <v>0</v>
      </c>
      <c r="AQ397" s="9">
        <f t="shared" si="48"/>
        <v>0</v>
      </c>
      <c r="AV397" t="s">
        <v>100</v>
      </c>
      <c r="AW397" s="5">
        <f>data_origin!T3403</f>
        <v>0</v>
      </c>
      <c r="AX397" s="5">
        <f>data_origin!U3403</f>
        <v>0</v>
      </c>
      <c r="AY397" s="5">
        <f>data_origin!V3403</f>
        <v>0</v>
      </c>
      <c r="AZ397" s="5">
        <f>data_origin!W3403</f>
        <v>0</v>
      </c>
      <c r="BA397" s="5">
        <f>data_origin!X3403</f>
        <v>0</v>
      </c>
      <c r="BB397" s="5">
        <f>data_origin!Y3403</f>
        <v>0</v>
      </c>
      <c r="BC397" s="5">
        <f>data_origin!Z3403</f>
        <v>0</v>
      </c>
      <c r="BD397" s="5">
        <f>data_origin!AA3403</f>
        <v>0</v>
      </c>
      <c r="BE397" s="9">
        <f t="shared" si="49"/>
        <v>0</v>
      </c>
    </row>
    <row r="398" spans="1:58" x14ac:dyDescent="0.25">
      <c r="D398" t="s">
        <v>101</v>
      </c>
      <c r="E398" s="35">
        <f t="shared" si="51"/>
        <v>0</v>
      </c>
      <c r="F398" s="35">
        <f t="shared" si="51"/>
        <v>0</v>
      </c>
      <c r="G398" s="35">
        <f t="shared" si="51"/>
        <v>3.0948340548340547</v>
      </c>
      <c r="H398" s="35">
        <f t="shared" si="51"/>
        <v>1.0878115620896642</v>
      </c>
      <c r="I398" s="35">
        <f t="shared" si="51"/>
        <v>3.06758399621169</v>
      </c>
      <c r="J398" s="35">
        <f t="shared" si="51"/>
        <v>1.0062429057888762</v>
      </c>
      <c r="K398" s="35">
        <f t="shared" si="51"/>
        <v>0</v>
      </c>
      <c r="L398" s="35">
        <f t="shared" si="50"/>
        <v>0</v>
      </c>
      <c r="M398" s="35">
        <f t="shared" si="52"/>
        <v>8.2564725189242854</v>
      </c>
      <c r="N398" s="5">
        <f>SUM(M366:M398)</f>
        <v>331.58647791892975</v>
      </c>
      <c r="S398" t="s">
        <v>101</v>
      </c>
      <c r="T398" s="5">
        <f>data_origin!T477</f>
        <v>0</v>
      </c>
      <c r="U398" s="5">
        <f>data_origin!U477</f>
        <v>0</v>
      </c>
      <c r="V398" s="5">
        <f>data_origin!V477</f>
        <v>3.0909090909090908</v>
      </c>
      <c r="W398" s="5">
        <f>data_origin!W477</f>
        <v>1.0859375</v>
      </c>
      <c r="X398" s="5">
        <f>data_origin!X477</f>
        <v>3.0588235294117645</v>
      </c>
      <c r="Y398" s="5">
        <f>data_origin!Y477</f>
        <v>1</v>
      </c>
      <c r="Z398" s="5">
        <f>data_origin!Z477</f>
        <v>0</v>
      </c>
      <c r="AA398" s="5">
        <f>data_origin!AA477</f>
        <v>0</v>
      </c>
      <c r="AB398" s="5">
        <f t="shared" si="47"/>
        <v>8.2356701203208544</v>
      </c>
      <c r="AC398" s="5">
        <f>SUM(AB366:AB398)</f>
        <v>330.99999999999989</v>
      </c>
      <c r="AH398" t="s">
        <v>101</v>
      </c>
      <c r="AI398" s="5">
        <f>data_origin!T2690</f>
        <v>0</v>
      </c>
      <c r="AJ398" s="5">
        <f>data_origin!U2690</f>
        <v>0</v>
      </c>
      <c r="AK398" s="5">
        <f>data_origin!V2690</f>
        <v>0</v>
      </c>
      <c r="AL398" s="5">
        <f>data_origin!W2690</f>
        <v>0</v>
      </c>
      <c r="AM398" s="5">
        <f>data_origin!X2690</f>
        <v>0</v>
      </c>
      <c r="AN398" s="5">
        <f>data_origin!Y2690</f>
        <v>0</v>
      </c>
      <c r="AO398" s="5">
        <f>data_origin!Z2690</f>
        <v>0</v>
      </c>
      <c r="AP398" s="5">
        <f>data_origin!AA2690</f>
        <v>0</v>
      </c>
      <c r="AQ398" s="9">
        <f t="shared" si="48"/>
        <v>0</v>
      </c>
      <c r="AR398" s="9">
        <f>SUM(AQ366:AQ398)</f>
        <v>2</v>
      </c>
      <c r="AV398" t="s">
        <v>101</v>
      </c>
      <c r="AW398" s="5">
        <f>data_origin!T3404</f>
        <v>0</v>
      </c>
      <c r="AX398" s="5">
        <f>data_origin!U3404</f>
        <v>0</v>
      </c>
      <c r="AY398" s="5">
        <f>data_origin!V3404</f>
        <v>0</v>
      </c>
      <c r="AZ398" s="5">
        <f>data_origin!W3404</f>
        <v>0</v>
      </c>
      <c r="BA398" s="5">
        <f>data_origin!X3404</f>
        <v>0</v>
      </c>
      <c r="BB398" s="5">
        <f>data_origin!Y3404</f>
        <v>0</v>
      </c>
      <c r="BC398" s="5">
        <f>data_origin!Z3404</f>
        <v>0</v>
      </c>
      <c r="BD398" s="5">
        <f>data_origin!AA3404</f>
        <v>0</v>
      </c>
      <c r="BE398" s="9">
        <f t="shared" si="49"/>
        <v>0</v>
      </c>
      <c r="BF398" s="9">
        <f>SUM(BE366:BE398)</f>
        <v>1</v>
      </c>
    </row>
    <row r="399" spans="1:58" x14ac:dyDescent="0.25">
      <c r="A399" s="23" t="s">
        <v>104</v>
      </c>
      <c r="B399" s="23" t="s">
        <v>116</v>
      </c>
      <c r="C399" s="23" t="s">
        <v>107</v>
      </c>
      <c r="D399" t="s">
        <v>70</v>
      </c>
      <c r="E399" s="35">
        <f t="shared" si="51"/>
        <v>0</v>
      </c>
      <c r="F399" s="35">
        <f t="shared" si="51"/>
        <v>0</v>
      </c>
      <c r="G399" s="35">
        <f t="shared" si="51"/>
        <v>0</v>
      </c>
      <c r="H399" s="35">
        <f t="shared" si="51"/>
        <v>0</v>
      </c>
      <c r="I399" s="35">
        <f t="shared" si="51"/>
        <v>0</v>
      </c>
      <c r="J399" s="35">
        <f t="shared" si="51"/>
        <v>0</v>
      </c>
      <c r="K399" s="35">
        <f t="shared" si="51"/>
        <v>0</v>
      </c>
      <c r="L399" s="35">
        <f t="shared" si="50"/>
        <v>0</v>
      </c>
      <c r="M399" s="35">
        <f t="shared" si="52"/>
        <v>0</v>
      </c>
      <c r="P399" t="s">
        <v>104</v>
      </c>
      <c r="Q399" t="s">
        <v>116</v>
      </c>
      <c r="R399" t="s">
        <v>107</v>
      </c>
      <c r="S399" t="s">
        <v>70</v>
      </c>
      <c r="T399" s="5">
        <f>data_origin!T479</f>
        <v>0</v>
      </c>
      <c r="U399" s="5">
        <f>data_origin!U479</f>
        <v>0</v>
      </c>
      <c r="V399" s="5">
        <f>data_origin!V479</f>
        <v>0</v>
      </c>
      <c r="W399" s="5">
        <f>data_origin!W479</f>
        <v>0</v>
      </c>
      <c r="X399" s="5">
        <f>data_origin!X479</f>
        <v>0</v>
      </c>
      <c r="Y399" s="5">
        <f>data_origin!Y479</f>
        <v>0</v>
      </c>
      <c r="Z399" s="5">
        <f>data_origin!Z479</f>
        <v>0</v>
      </c>
      <c r="AA399" s="5">
        <f>data_origin!AA479</f>
        <v>0</v>
      </c>
      <c r="AB399" s="5">
        <f t="shared" si="47"/>
        <v>0</v>
      </c>
      <c r="AE399" t="s">
        <v>104</v>
      </c>
      <c r="AF399" t="s">
        <v>117</v>
      </c>
      <c r="AG399" s="28" t="s">
        <v>132</v>
      </c>
      <c r="AH399" t="s">
        <v>70</v>
      </c>
      <c r="AI399" s="5">
        <f>data_origin!T2726</f>
        <v>0</v>
      </c>
      <c r="AJ399" s="5">
        <f>data_origin!U2726</f>
        <v>0</v>
      </c>
      <c r="AK399" s="5">
        <f>data_origin!V2726</f>
        <v>0</v>
      </c>
      <c r="AL399" s="5">
        <f>data_origin!W2726</f>
        <v>0</v>
      </c>
      <c r="AM399" s="5">
        <f>data_origin!X2726</f>
        <v>0</v>
      </c>
      <c r="AN399" s="5">
        <f>data_origin!Y2726</f>
        <v>0</v>
      </c>
      <c r="AO399" s="5">
        <f>data_origin!Z2726</f>
        <v>0</v>
      </c>
      <c r="AP399" s="5">
        <f>data_origin!AA2726</f>
        <v>0</v>
      </c>
      <c r="AQ399" s="9">
        <f t="shared" si="48"/>
        <v>0</v>
      </c>
      <c r="AS399" t="s">
        <v>115</v>
      </c>
      <c r="AT399" t="s">
        <v>117</v>
      </c>
      <c r="AU399" s="28" t="s">
        <v>132</v>
      </c>
      <c r="AV399" t="s">
        <v>70</v>
      </c>
      <c r="AW399" s="5">
        <f>data_origin!T3440</f>
        <v>0</v>
      </c>
      <c r="AX399" s="5">
        <f>data_origin!U3440</f>
        <v>0</v>
      </c>
      <c r="AY399" s="5">
        <f>data_origin!V3440</f>
        <v>0</v>
      </c>
      <c r="AZ399" s="5">
        <f>data_origin!W3440</f>
        <v>0</v>
      </c>
      <c r="BA399" s="5">
        <f>data_origin!X3440</f>
        <v>0</v>
      </c>
      <c r="BB399" s="5">
        <f>data_origin!Y3440</f>
        <v>0</v>
      </c>
      <c r="BC399" s="5">
        <f>data_origin!Z3440</f>
        <v>0</v>
      </c>
      <c r="BD399" s="5">
        <f>data_origin!AA3440</f>
        <v>0</v>
      </c>
      <c r="BE399" s="9">
        <f t="shared" si="49"/>
        <v>0</v>
      </c>
    </row>
    <row r="400" spans="1:58" x14ac:dyDescent="0.25">
      <c r="D400" t="s">
        <v>71</v>
      </c>
      <c r="E400" s="35">
        <f t="shared" si="51"/>
        <v>0</v>
      </c>
      <c r="F400" s="35">
        <f t="shared" si="51"/>
        <v>0</v>
      </c>
      <c r="G400" s="35">
        <f t="shared" si="51"/>
        <v>0</v>
      </c>
      <c r="H400" s="35">
        <f t="shared" si="51"/>
        <v>0</v>
      </c>
      <c r="I400" s="35">
        <f t="shared" si="51"/>
        <v>0</v>
      </c>
      <c r="J400" s="35">
        <f t="shared" si="51"/>
        <v>0</v>
      </c>
      <c r="K400" s="35">
        <f t="shared" si="51"/>
        <v>0</v>
      </c>
      <c r="L400" s="35">
        <f t="shared" si="50"/>
        <v>0</v>
      </c>
      <c r="M400" s="35">
        <f t="shared" si="52"/>
        <v>0</v>
      </c>
      <c r="S400" t="s">
        <v>71</v>
      </c>
      <c r="T400" s="5">
        <f>data_origin!T480</f>
        <v>0</v>
      </c>
      <c r="U400" s="5">
        <f>data_origin!U480</f>
        <v>0</v>
      </c>
      <c r="V400" s="5">
        <f>data_origin!V480</f>
        <v>0</v>
      </c>
      <c r="W400" s="5">
        <f>data_origin!W480</f>
        <v>0</v>
      </c>
      <c r="X400" s="5">
        <f>data_origin!X480</f>
        <v>0</v>
      </c>
      <c r="Y400" s="5">
        <f>data_origin!Y480</f>
        <v>0</v>
      </c>
      <c r="Z400" s="5">
        <f>data_origin!Z480</f>
        <v>0</v>
      </c>
      <c r="AA400" s="5">
        <f>data_origin!AA480</f>
        <v>0</v>
      </c>
      <c r="AB400" s="5">
        <f t="shared" si="47"/>
        <v>0</v>
      </c>
      <c r="AH400" t="s">
        <v>71</v>
      </c>
      <c r="AI400" s="5">
        <f>data_origin!T2727</f>
        <v>0</v>
      </c>
      <c r="AJ400" s="5">
        <f>data_origin!U2727</f>
        <v>0</v>
      </c>
      <c r="AK400" s="5">
        <f>data_origin!V2727</f>
        <v>0</v>
      </c>
      <c r="AL400" s="5">
        <f>data_origin!W2727</f>
        <v>0</v>
      </c>
      <c r="AM400" s="5">
        <f>data_origin!X2727</f>
        <v>0</v>
      </c>
      <c r="AN400" s="5">
        <f>data_origin!Y2727</f>
        <v>0</v>
      </c>
      <c r="AO400" s="5">
        <f>data_origin!Z2727</f>
        <v>0</v>
      </c>
      <c r="AP400" s="5">
        <f>data_origin!AA2727</f>
        <v>0</v>
      </c>
      <c r="AQ400" s="9">
        <f t="shared" si="48"/>
        <v>0</v>
      </c>
      <c r="AV400" t="s">
        <v>71</v>
      </c>
      <c r="AW400" s="5">
        <f>data_origin!T3441</f>
        <v>0</v>
      </c>
      <c r="AX400" s="5">
        <f>data_origin!U3441</f>
        <v>0</v>
      </c>
      <c r="AY400" s="5">
        <f>data_origin!V3441</f>
        <v>0</v>
      </c>
      <c r="AZ400" s="5">
        <f>data_origin!W3441</f>
        <v>0</v>
      </c>
      <c r="BA400" s="5">
        <f>data_origin!X3441</f>
        <v>0</v>
      </c>
      <c r="BB400" s="5">
        <f>data_origin!Y3441</f>
        <v>0</v>
      </c>
      <c r="BC400" s="5">
        <f>data_origin!Z3441</f>
        <v>0</v>
      </c>
      <c r="BD400" s="5">
        <f>data_origin!AA3441</f>
        <v>0</v>
      </c>
      <c r="BE400" s="9">
        <f t="shared" si="49"/>
        <v>0</v>
      </c>
    </row>
    <row r="401" spans="4:57" x14ac:dyDescent="0.25">
      <c r="D401" t="s">
        <v>72</v>
      </c>
      <c r="E401" s="35">
        <f t="shared" si="51"/>
        <v>0</v>
      </c>
      <c r="F401" s="35">
        <f t="shared" si="51"/>
        <v>0</v>
      </c>
      <c r="G401" s="35">
        <f t="shared" si="51"/>
        <v>0</v>
      </c>
      <c r="H401" s="35">
        <f t="shared" si="51"/>
        <v>0</v>
      </c>
      <c r="I401" s="35">
        <f t="shared" si="51"/>
        <v>0</v>
      </c>
      <c r="J401" s="35">
        <f t="shared" si="51"/>
        <v>0</v>
      </c>
      <c r="K401" s="35">
        <f t="shared" si="51"/>
        <v>0</v>
      </c>
      <c r="L401" s="35">
        <f t="shared" si="50"/>
        <v>0</v>
      </c>
      <c r="M401" s="35">
        <f t="shared" si="52"/>
        <v>0</v>
      </c>
      <c r="S401" t="s">
        <v>72</v>
      </c>
      <c r="T401" s="5">
        <f>data_origin!T481</f>
        <v>0</v>
      </c>
      <c r="U401" s="5">
        <f>data_origin!U481</f>
        <v>0</v>
      </c>
      <c r="V401" s="5">
        <f>data_origin!V481</f>
        <v>0</v>
      </c>
      <c r="W401" s="5">
        <f>data_origin!W481</f>
        <v>0</v>
      </c>
      <c r="X401" s="5">
        <f>data_origin!X481</f>
        <v>0</v>
      </c>
      <c r="Y401" s="5">
        <f>data_origin!Y481</f>
        <v>0</v>
      </c>
      <c r="Z401" s="5">
        <f>data_origin!Z481</f>
        <v>0</v>
      </c>
      <c r="AA401" s="5">
        <f>data_origin!AA481</f>
        <v>0</v>
      </c>
      <c r="AB401" s="5">
        <f t="shared" si="47"/>
        <v>0</v>
      </c>
      <c r="AH401" t="s">
        <v>72</v>
      </c>
      <c r="AI401" s="5">
        <f>data_origin!T2728</f>
        <v>0</v>
      </c>
      <c r="AJ401" s="5">
        <f>data_origin!U2728</f>
        <v>0</v>
      </c>
      <c r="AK401" s="5">
        <f>data_origin!V2728</f>
        <v>0</v>
      </c>
      <c r="AL401" s="5">
        <f>data_origin!W2728</f>
        <v>0</v>
      </c>
      <c r="AM401" s="5">
        <f>data_origin!X2728</f>
        <v>0</v>
      </c>
      <c r="AN401" s="5">
        <f>data_origin!Y2728</f>
        <v>0</v>
      </c>
      <c r="AO401" s="5">
        <f>data_origin!Z2728</f>
        <v>0</v>
      </c>
      <c r="AP401" s="5">
        <f>data_origin!AA2728</f>
        <v>0</v>
      </c>
      <c r="AQ401" s="9">
        <f t="shared" si="48"/>
        <v>0</v>
      </c>
      <c r="AV401" t="s">
        <v>72</v>
      </c>
      <c r="AW401" s="5">
        <f>data_origin!T3442</f>
        <v>0</v>
      </c>
      <c r="AX401" s="5">
        <f>data_origin!U3442</f>
        <v>0</v>
      </c>
      <c r="AY401" s="5">
        <f>data_origin!V3442</f>
        <v>0</v>
      </c>
      <c r="AZ401" s="5">
        <f>data_origin!W3442</f>
        <v>0</v>
      </c>
      <c r="BA401" s="5">
        <f>data_origin!X3442</f>
        <v>0</v>
      </c>
      <c r="BB401" s="5">
        <f>data_origin!Y3442</f>
        <v>0</v>
      </c>
      <c r="BC401" s="5">
        <f>data_origin!Z3442</f>
        <v>0</v>
      </c>
      <c r="BD401" s="5">
        <f>data_origin!AA3442</f>
        <v>0</v>
      </c>
      <c r="BE401" s="9">
        <f t="shared" si="49"/>
        <v>0</v>
      </c>
    </row>
    <row r="402" spans="4:57" x14ac:dyDescent="0.25">
      <c r="D402" t="s">
        <v>73</v>
      </c>
      <c r="E402" s="35">
        <f t="shared" si="51"/>
        <v>0</v>
      </c>
      <c r="F402" s="35">
        <f t="shared" si="51"/>
        <v>0</v>
      </c>
      <c r="G402" s="35">
        <f t="shared" si="51"/>
        <v>0</v>
      </c>
      <c r="H402" s="35">
        <f t="shared" ref="H402:L458" si="53">W402+IFERROR((W402/SUM(W$3:W$992)*AL$630),0)</f>
        <v>0</v>
      </c>
      <c r="I402" s="35">
        <f t="shared" si="53"/>
        <v>0</v>
      </c>
      <c r="J402" s="35">
        <f t="shared" si="53"/>
        <v>0</v>
      </c>
      <c r="K402" s="35">
        <f t="shared" si="53"/>
        <v>0</v>
      </c>
      <c r="L402" s="35">
        <f t="shared" si="50"/>
        <v>0</v>
      </c>
      <c r="M402" s="35">
        <f t="shared" si="52"/>
        <v>0</v>
      </c>
      <c r="S402" t="s">
        <v>73</v>
      </c>
      <c r="T402" s="5">
        <f>data_origin!T482</f>
        <v>0</v>
      </c>
      <c r="U402" s="5">
        <f>data_origin!U482</f>
        <v>0</v>
      </c>
      <c r="V402" s="5">
        <f>data_origin!V482</f>
        <v>0</v>
      </c>
      <c r="W402" s="5">
        <f>data_origin!W482</f>
        <v>0</v>
      </c>
      <c r="X402" s="5">
        <f>data_origin!X482</f>
        <v>0</v>
      </c>
      <c r="Y402" s="5">
        <f>data_origin!Y482</f>
        <v>0</v>
      </c>
      <c r="Z402" s="5">
        <f>data_origin!Z482</f>
        <v>0</v>
      </c>
      <c r="AA402" s="5">
        <f>data_origin!AA482</f>
        <v>0</v>
      </c>
      <c r="AB402" s="5">
        <f t="shared" si="47"/>
        <v>0</v>
      </c>
      <c r="AH402" t="s">
        <v>73</v>
      </c>
      <c r="AI402" s="5">
        <f>data_origin!T2729</f>
        <v>0</v>
      </c>
      <c r="AJ402" s="5">
        <f>data_origin!U2729</f>
        <v>0</v>
      </c>
      <c r="AK402" s="5">
        <f>data_origin!V2729</f>
        <v>0</v>
      </c>
      <c r="AL402" s="5">
        <f>data_origin!W2729</f>
        <v>0</v>
      </c>
      <c r="AM402" s="5">
        <f>data_origin!X2729</f>
        <v>0</v>
      </c>
      <c r="AN402" s="5">
        <f>data_origin!Y2729</f>
        <v>0</v>
      </c>
      <c r="AO402" s="5">
        <f>data_origin!Z2729</f>
        <v>0</v>
      </c>
      <c r="AP402" s="5">
        <f>data_origin!AA2729</f>
        <v>0</v>
      </c>
      <c r="AQ402" s="9">
        <f t="shared" si="48"/>
        <v>0</v>
      </c>
      <c r="AV402" t="s">
        <v>73</v>
      </c>
      <c r="AW402" s="5">
        <f>data_origin!T3443</f>
        <v>0</v>
      </c>
      <c r="AX402" s="5">
        <f>data_origin!U3443</f>
        <v>0</v>
      </c>
      <c r="AY402" s="5">
        <f>data_origin!V3443</f>
        <v>0</v>
      </c>
      <c r="AZ402" s="5">
        <f>data_origin!W3443</f>
        <v>0</v>
      </c>
      <c r="BA402" s="5">
        <f>data_origin!X3443</f>
        <v>0</v>
      </c>
      <c r="BB402" s="5">
        <f>data_origin!Y3443</f>
        <v>0</v>
      </c>
      <c r="BC402" s="5">
        <f>data_origin!Z3443</f>
        <v>0</v>
      </c>
      <c r="BD402" s="5">
        <f>data_origin!AA3443</f>
        <v>0</v>
      </c>
      <c r="BE402" s="9">
        <f t="shared" si="49"/>
        <v>0</v>
      </c>
    </row>
    <row r="403" spans="4:57" x14ac:dyDescent="0.25">
      <c r="D403" t="s">
        <v>74</v>
      </c>
      <c r="E403" s="35">
        <f t="shared" ref="E403:I464" si="54">T403+IFERROR((T403/SUM(T$3:T$992)*AI$630),0)</f>
        <v>0</v>
      </c>
      <c r="F403" s="35">
        <f t="shared" si="54"/>
        <v>0</v>
      </c>
      <c r="G403" s="35">
        <f t="shared" si="54"/>
        <v>0</v>
      </c>
      <c r="H403" s="35">
        <f t="shared" si="53"/>
        <v>0</v>
      </c>
      <c r="I403" s="35">
        <f t="shared" si="53"/>
        <v>0</v>
      </c>
      <c r="J403" s="35">
        <f t="shared" si="53"/>
        <v>0</v>
      </c>
      <c r="K403" s="35">
        <f t="shared" si="53"/>
        <v>0</v>
      </c>
      <c r="L403" s="35">
        <f t="shared" si="50"/>
        <v>0</v>
      </c>
      <c r="M403" s="35">
        <f t="shared" si="52"/>
        <v>0</v>
      </c>
      <c r="S403" t="s">
        <v>74</v>
      </c>
      <c r="T403" s="5">
        <f>data_origin!T483</f>
        <v>0</v>
      </c>
      <c r="U403" s="5">
        <f>data_origin!U483</f>
        <v>0</v>
      </c>
      <c r="V403" s="5">
        <f>data_origin!V483</f>
        <v>0</v>
      </c>
      <c r="W403" s="5">
        <f>data_origin!W483</f>
        <v>0</v>
      </c>
      <c r="X403" s="5">
        <f>data_origin!X483</f>
        <v>0</v>
      </c>
      <c r="Y403" s="5">
        <f>data_origin!Y483</f>
        <v>0</v>
      </c>
      <c r="Z403" s="5">
        <f>data_origin!Z483</f>
        <v>0</v>
      </c>
      <c r="AA403" s="5">
        <f>data_origin!AA483</f>
        <v>0</v>
      </c>
      <c r="AB403" s="5">
        <f t="shared" si="47"/>
        <v>0</v>
      </c>
      <c r="AH403" t="s">
        <v>74</v>
      </c>
      <c r="AI403" s="5">
        <f>data_origin!T2730</f>
        <v>0</v>
      </c>
      <c r="AJ403" s="5">
        <f>data_origin!U2730</f>
        <v>0</v>
      </c>
      <c r="AK403" s="5">
        <f>data_origin!V2730</f>
        <v>0</v>
      </c>
      <c r="AL403" s="5">
        <f>data_origin!W2730</f>
        <v>0</v>
      </c>
      <c r="AM403" s="5">
        <f>data_origin!X2730</f>
        <v>0</v>
      </c>
      <c r="AN403" s="5">
        <f>data_origin!Y2730</f>
        <v>0</v>
      </c>
      <c r="AO403" s="5">
        <f>data_origin!Z2730</f>
        <v>0</v>
      </c>
      <c r="AP403" s="5">
        <f>data_origin!AA2730</f>
        <v>0</v>
      </c>
      <c r="AQ403" s="9">
        <f t="shared" si="48"/>
        <v>0</v>
      </c>
      <c r="AV403" t="s">
        <v>74</v>
      </c>
      <c r="AW403" s="5">
        <f>data_origin!T3444</f>
        <v>0</v>
      </c>
      <c r="AX403" s="5">
        <f>data_origin!U3444</f>
        <v>0</v>
      </c>
      <c r="AY403" s="5">
        <f>data_origin!V3444</f>
        <v>0</v>
      </c>
      <c r="AZ403" s="5">
        <f>data_origin!W3444</f>
        <v>0</v>
      </c>
      <c r="BA403" s="5">
        <f>data_origin!X3444</f>
        <v>0</v>
      </c>
      <c r="BB403" s="5">
        <f>data_origin!Y3444</f>
        <v>0</v>
      </c>
      <c r="BC403" s="5">
        <f>data_origin!Z3444</f>
        <v>0</v>
      </c>
      <c r="BD403" s="5">
        <f>data_origin!AA3444</f>
        <v>0</v>
      </c>
      <c r="BE403" s="9">
        <f t="shared" si="49"/>
        <v>0</v>
      </c>
    </row>
    <row r="404" spans="4:57" x14ac:dyDescent="0.25">
      <c r="D404" t="s">
        <v>75</v>
      </c>
      <c r="E404" s="35">
        <f t="shared" si="54"/>
        <v>0</v>
      </c>
      <c r="F404" s="35">
        <f t="shared" si="54"/>
        <v>0</v>
      </c>
      <c r="G404" s="35">
        <f t="shared" si="54"/>
        <v>0</v>
      </c>
      <c r="H404" s="35">
        <f t="shared" si="53"/>
        <v>0</v>
      </c>
      <c r="I404" s="35">
        <f t="shared" si="53"/>
        <v>0</v>
      </c>
      <c r="J404" s="35">
        <f t="shared" si="53"/>
        <v>0</v>
      </c>
      <c r="K404" s="35">
        <f t="shared" si="53"/>
        <v>0</v>
      </c>
      <c r="L404" s="35">
        <f t="shared" si="50"/>
        <v>0</v>
      </c>
      <c r="M404" s="35">
        <f t="shared" si="52"/>
        <v>0</v>
      </c>
      <c r="S404" t="s">
        <v>75</v>
      </c>
      <c r="T404" s="5">
        <f>data_origin!T484</f>
        <v>0</v>
      </c>
      <c r="U404" s="5">
        <f>data_origin!U484</f>
        <v>0</v>
      </c>
      <c r="V404" s="5">
        <f>data_origin!V484</f>
        <v>0</v>
      </c>
      <c r="W404" s="5">
        <f>data_origin!W484</f>
        <v>0</v>
      </c>
      <c r="X404" s="5">
        <f>data_origin!X484</f>
        <v>0</v>
      </c>
      <c r="Y404" s="5">
        <f>data_origin!Y484</f>
        <v>0</v>
      </c>
      <c r="Z404" s="5">
        <f>data_origin!Z484</f>
        <v>0</v>
      </c>
      <c r="AA404" s="5">
        <f>data_origin!AA484</f>
        <v>0</v>
      </c>
      <c r="AB404" s="5">
        <f t="shared" si="47"/>
        <v>0</v>
      </c>
      <c r="AH404" t="s">
        <v>75</v>
      </c>
      <c r="AI404" s="5">
        <f>data_origin!T2731</f>
        <v>0</v>
      </c>
      <c r="AJ404" s="5">
        <f>data_origin!U2731</f>
        <v>0</v>
      </c>
      <c r="AK404" s="5">
        <f>data_origin!V2731</f>
        <v>0</v>
      </c>
      <c r="AL404" s="5">
        <f>data_origin!W2731</f>
        <v>0</v>
      </c>
      <c r="AM404" s="5">
        <f>data_origin!X2731</f>
        <v>0</v>
      </c>
      <c r="AN404" s="5">
        <f>data_origin!Y2731</f>
        <v>0</v>
      </c>
      <c r="AO404" s="5">
        <f>data_origin!Z2731</f>
        <v>0</v>
      </c>
      <c r="AP404" s="5">
        <f>data_origin!AA2731</f>
        <v>0</v>
      </c>
      <c r="AQ404" s="9">
        <f t="shared" si="48"/>
        <v>0</v>
      </c>
      <c r="AV404" t="s">
        <v>75</v>
      </c>
      <c r="AW404" s="5">
        <f>data_origin!T3445</f>
        <v>0</v>
      </c>
      <c r="AX404" s="5">
        <f>data_origin!U3445</f>
        <v>0</v>
      </c>
      <c r="AY404" s="5">
        <f>data_origin!V3445</f>
        <v>0</v>
      </c>
      <c r="AZ404" s="5">
        <f>data_origin!W3445</f>
        <v>0</v>
      </c>
      <c r="BA404" s="5">
        <f>data_origin!X3445</f>
        <v>0</v>
      </c>
      <c r="BB404" s="5">
        <f>data_origin!Y3445</f>
        <v>0</v>
      </c>
      <c r="BC404" s="5">
        <f>data_origin!Z3445</f>
        <v>0</v>
      </c>
      <c r="BD404" s="5">
        <f>data_origin!AA3445</f>
        <v>0</v>
      </c>
      <c r="BE404" s="9">
        <f t="shared" si="49"/>
        <v>0</v>
      </c>
    </row>
    <row r="405" spans="4:57" x14ac:dyDescent="0.25">
      <c r="D405" t="s">
        <v>76</v>
      </c>
      <c r="E405" s="35">
        <f t="shared" si="54"/>
        <v>0</v>
      </c>
      <c r="F405" s="35">
        <f t="shared" si="54"/>
        <v>0</v>
      </c>
      <c r="G405" s="35">
        <f t="shared" si="54"/>
        <v>0</v>
      </c>
      <c r="H405" s="35">
        <f t="shared" si="53"/>
        <v>1.0017257550178202</v>
      </c>
      <c r="I405" s="35">
        <f t="shared" si="53"/>
        <v>0</v>
      </c>
      <c r="J405" s="35">
        <f t="shared" si="53"/>
        <v>0</v>
      </c>
      <c r="K405" s="35">
        <f t="shared" si="53"/>
        <v>0</v>
      </c>
      <c r="L405" s="35">
        <f t="shared" si="50"/>
        <v>0</v>
      </c>
      <c r="M405" s="35">
        <f t="shared" si="52"/>
        <v>1.0017257550178202</v>
      </c>
      <c r="S405" t="s">
        <v>76</v>
      </c>
      <c r="T405" s="5">
        <f>data_origin!T485</f>
        <v>0</v>
      </c>
      <c r="U405" s="5">
        <f>data_origin!U485</f>
        <v>0</v>
      </c>
      <c r="V405" s="5">
        <f>data_origin!V485</f>
        <v>0</v>
      </c>
      <c r="W405" s="5">
        <f>data_origin!W485</f>
        <v>1</v>
      </c>
      <c r="X405" s="5">
        <f>data_origin!X485</f>
        <v>0</v>
      </c>
      <c r="Y405" s="5">
        <f>data_origin!Y485</f>
        <v>0</v>
      </c>
      <c r="Z405" s="5">
        <f>data_origin!Z485</f>
        <v>0</v>
      </c>
      <c r="AA405" s="5">
        <f>data_origin!AA485</f>
        <v>0</v>
      </c>
      <c r="AB405" s="5">
        <f t="shared" si="47"/>
        <v>1</v>
      </c>
      <c r="AH405" t="s">
        <v>76</v>
      </c>
      <c r="AI405" s="5">
        <f>data_origin!T2732</f>
        <v>0</v>
      </c>
      <c r="AJ405" s="5">
        <f>data_origin!U2732</f>
        <v>0</v>
      </c>
      <c r="AK405" s="5">
        <f>data_origin!V2732</f>
        <v>0</v>
      </c>
      <c r="AL405" s="5">
        <f>data_origin!W2732</f>
        <v>0</v>
      </c>
      <c r="AM405" s="5">
        <f>data_origin!X2732</f>
        <v>0</v>
      </c>
      <c r="AN405" s="5">
        <f>data_origin!Y2732</f>
        <v>0</v>
      </c>
      <c r="AO405" s="5">
        <f>data_origin!Z2732</f>
        <v>0</v>
      </c>
      <c r="AP405" s="5">
        <f>data_origin!AA2732</f>
        <v>0</v>
      </c>
      <c r="AQ405" s="9">
        <f t="shared" si="48"/>
        <v>0</v>
      </c>
      <c r="AV405" t="s">
        <v>76</v>
      </c>
      <c r="AW405" s="5">
        <f>data_origin!T3446</f>
        <v>0</v>
      </c>
      <c r="AX405" s="5">
        <f>data_origin!U3446</f>
        <v>0</v>
      </c>
      <c r="AY405" s="5">
        <f>data_origin!V3446</f>
        <v>0</v>
      </c>
      <c r="AZ405" s="5">
        <f>data_origin!W3446</f>
        <v>0</v>
      </c>
      <c r="BA405" s="5">
        <f>data_origin!X3446</f>
        <v>0</v>
      </c>
      <c r="BB405" s="5">
        <f>data_origin!Y3446</f>
        <v>0</v>
      </c>
      <c r="BC405" s="5">
        <f>data_origin!Z3446</f>
        <v>0</v>
      </c>
      <c r="BD405" s="5">
        <f>data_origin!AA3446</f>
        <v>0</v>
      </c>
      <c r="BE405" s="9">
        <f t="shared" si="49"/>
        <v>0</v>
      </c>
    </row>
    <row r="406" spans="4:57" x14ac:dyDescent="0.25">
      <c r="D406" t="s">
        <v>77</v>
      </c>
      <c r="E406" s="35">
        <f t="shared" si="54"/>
        <v>0</v>
      </c>
      <c r="F406" s="35">
        <f t="shared" si="54"/>
        <v>0</v>
      </c>
      <c r="G406" s="35">
        <f t="shared" si="54"/>
        <v>0</v>
      </c>
      <c r="H406" s="35">
        <f t="shared" si="53"/>
        <v>0</v>
      </c>
      <c r="I406" s="35">
        <f t="shared" si="53"/>
        <v>0</v>
      </c>
      <c r="J406" s="35">
        <f t="shared" si="53"/>
        <v>0</v>
      </c>
      <c r="K406" s="35">
        <f t="shared" si="53"/>
        <v>0</v>
      </c>
      <c r="L406" s="35">
        <f t="shared" si="50"/>
        <v>0</v>
      </c>
      <c r="M406" s="35">
        <f t="shared" si="52"/>
        <v>0</v>
      </c>
      <c r="S406" t="s">
        <v>77</v>
      </c>
      <c r="T406" s="5">
        <f>data_origin!T486</f>
        <v>0</v>
      </c>
      <c r="U406" s="5">
        <f>data_origin!U486</f>
        <v>0</v>
      </c>
      <c r="V406" s="5">
        <f>data_origin!V486</f>
        <v>0</v>
      </c>
      <c r="W406" s="5">
        <f>data_origin!W486</f>
        <v>0</v>
      </c>
      <c r="X406" s="5">
        <f>data_origin!X486</f>
        <v>0</v>
      </c>
      <c r="Y406" s="5">
        <f>data_origin!Y486</f>
        <v>0</v>
      </c>
      <c r="Z406" s="5">
        <f>data_origin!Z486</f>
        <v>0</v>
      </c>
      <c r="AA406" s="5">
        <f>data_origin!AA486</f>
        <v>0</v>
      </c>
      <c r="AB406" s="5">
        <f t="shared" si="47"/>
        <v>0</v>
      </c>
      <c r="AH406" t="s">
        <v>77</v>
      </c>
      <c r="AI406" s="5">
        <f>data_origin!T2733</f>
        <v>0</v>
      </c>
      <c r="AJ406" s="5">
        <f>data_origin!U2733</f>
        <v>0</v>
      </c>
      <c r="AK406" s="5">
        <f>data_origin!V2733</f>
        <v>0</v>
      </c>
      <c r="AL406" s="5">
        <f>data_origin!W2733</f>
        <v>0</v>
      </c>
      <c r="AM406" s="5">
        <f>data_origin!X2733</f>
        <v>0</v>
      </c>
      <c r="AN406" s="5">
        <f>data_origin!Y2733</f>
        <v>0</v>
      </c>
      <c r="AO406" s="5">
        <f>data_origin!Z2733</f>
        <v>0</v>
      </c>
      <c r="AP406" s="5">
        <f>data_origin!AA2733</f>
        <v>0</v>
      </c>
      <c r="AQ406" s="9">
        <f t="shared" si="48"/>
        <v>0</v>
      </c>
      <c r="AV406" t="s">
        <v>77</v>
      </c>
      <c r="AW406" s="5">
        <f>data_origin!T3447</f>
        <v>0</v>
      </c>
      <c r="AX406" s="5">
        <f>data_origin!U3447</f>
        <v>0</v>
      </c>
      <c r="AY406" s="5">
        <f>data_origin!V3447</f>
        <v>0</v>
      </c>
      <c r="AZ406" s="5">
        <f>data_origin!W3447</f>
        <v>0</v>
      </c>
      <c r="BA406" s="5">
        <f>data_origin!X3447</f>
        <v>0</v>
      </c>
      <c r="BB406" s="5">
        <f>data_origin!Y3447</f>
        <v>0</v>
      </c>
      <c r="BC406" s="5">
        <f>data_origin!Z3447</f>
        <v>0</v>
      </c>
      <c r="BD406" s="5">
        <f>data_origin!AA3447</f>
        <v>0</v>
      </c>
      <c r="BE406" s="9">
        <f t="shared" si="49"/>
        <v>0</v>
      </c>
    </row>
    <row r="407" spans="4:57" x14ac:dyDescent="0.25">
      <c r="D407" t="s">
        <v>78</v>
      </c>
      <c r="E407" s="35">
        <f t="shared" si="54"/>
        <v>0</v>
      </c>
      <c r="F407" s="35">
        <f t="shared" si="54"/>
        <v>0</v>
      </c>
      <c r="G407" s="35">
        <f t="shared" si="54"/>
        <v>0</v>
      </c>
      <c r="H407" s="35">
        <f t="shared" si="53"/>
        <v>0</v>
      </c>
      <c r="I407" s="35">
        <f t="shared" si="53"/>
        <v>0</v>
      </c>
      <c r="J407" s="35">
        <f t="shared" si="53"/>
        <v>0</v>
      </c>
      <c r="K407" s="35">
        <f t="shared" si="53"/>
        <v>0</v>
      </c>
      <c r="L407" s="35">
        <f t="shared" si="50"/>
        <v>0</v>
      </c>
      <c r="M407" s="35">
        <f t="shared" si="52"/>
        <v>0</v>
      </c>
      <c r="S407" t="s">
        <v>78</v>
      </c>
      <c r="T407" s="5">
        <f>data_origin!T487</f>
        <v>0</v>
      </c>
      <c r="U407" s="5">
        <f>data_origin!U487</f>
        <v>0</v>
      </c>
      <c r="V407" s="5">
        <f>data_origin!V487</f>
        <v>0</v>
      </c>
      <c r="W407" s="5">
        <f>data_origin!W487</f>
        <v>0</v>
      </c>
      <c r="X407" s="5">
        <f>data_origin!X487</f>
        <v>0</v>
      </c>
      <c r="Y407" s="5">
        <f>data_origin!Y487</f>
        <v>0</v>
      </c>
      <c r="Z407" s="5">
        <f>data_origin!Z487</f>
        <v>0</v>
      </c>
      <c r="AA407" s="5">
        <f>data_origin!AA487</f>
        <v>0</v>
      </c>
      <c r="AB407" s="5">
        <f t="shared" si="47"/>
        <v>0</v>
      </c>
      <c r="AH407" t="s">
        <v>78</v>
      </c>
      <c r="AI407" s="5">
        <f>data_origin!T2734</f>
        <v>0</v>
      </c>
      <c r="AJ407" s="5">
        <f>data_origin!U2734</f>
        <v>0</v>
      </c>
      <c r="AK407" s="5">
        <f>data_origin!V2734</f>
        <v>0</v>
      </c>
      <c r="AL407" s="5">
        <f>data_origin!W2734</f>
        <v>0</v>
      </c>
      <c r="AM407" s="5">
        <f>data_origin!X2734</f>
        <v>0</v>
      </c>
      <c r="AN407" s="5">
        <f>data_origin!Y2734</f>
        <v>0</v>
      </c>
      <c r="AO407" s="5">
        <f>data_origin!Z2734</f>
        <v>0</v>
      </c>
      <c r="AP407" s="5">
        <f>data_origin!AA2734</f>
        <v>0</v>
      </c>
      <c r="AQ407" s="9">
        <f t="shared" si="48"/>
        <v>0</v>
      </c>
      <c r="AV407" t="s">
        <v>78</v>
      </c>
      <c r="AW407" s="5">
        <f>data_origin!T3448</f>
        <v>0</v>
      </c>
      <c r="AX407" s="5">
        <f>data_origin!U3448</f>
        <v>0</v>
      </c>
      <c r="AY407" s="5">
        <f>data_origin!V3448</f>
        <v>0</v>
      </c>
      <c r="AZ407" s="5">
        <f>data_origin!W3448</f>
        <v>0</v>
      </c>
      <c r="BA407" s="5">
        <f>data_origin!X3448</f>
        <v>0</v>
      </c>
      <c r="BB407" s="5">
        <f>data_origin!Y3448</f>
        <v>0</v>
      </c>
      <c r="BC407" s="5">
        <f>data_origin!Z3448</f>
        <v>0</v>
      </c>
      <c r="BD407" s="5">
        <f>data_origin!AA3448</f>
        <v>0</v>
      </c>
      <c r="BE407" s="9">
        <f t="shared" si="49"/>
        <v>0</v>
      </c>
    </row>
    <row r="408" spans="4:57" x14ac:dyDescent="0.25">
      <c r="D408" t="s">
        <v>79</v>
      </c>
      <c r="E408" s="35">
        <f t="shared" si="54"/>
        <v>0</v>
      </c>
      <c r="F408" s="35">
        <f t="shared" si="54"/>
        <v>0</v>
      </c>
      <c r="G408" s="35">
        <f t="shared" si="54"/>
        <v>0</v>
      </c>
      <c r="H408" s="35">
        <f t="shared" si="53"/>
        <v>0</v>
      </c>
      <c r="I408" s="35">
        <f t="shared" si="53"/>
        <v>0</v>
      </c>
      <c r="J408" s="35">
        <f t="shared" si="53"/>
        <v>0</v>
      </c>
      <c r="K408" s="35">
        <f t="shared" si="53"/>
        <v>0</v>
      </c>
      <c r="L408" s="35">
        <f t="shared" si="50"/>
        <v>0</v>
      </c>
      <c r="M408" s="35">
        <f t="shared" si="52"/>
        <v>0</v>
      </c>
      <c r="S408" t="s">
        <v>79</v>
      </c>
      <c r="T408" s="5">
        <f>data_origin!T488</f>
        <v>0</v>
      </c>
      <c r="U408" s="5">
        <f>data_origin!U488</f>
        <v>0</v>
      </c>
      <c r="V408" s="5">
        <f>data_origin!V488</f>
        <v>0</v>
      </c>
      <c r="W408" s="5">
        <f>data_origin!W488</f>
        <v>0</v>
      </c>
      <c r="X408" s="5">
        <f>data_origin!X488</f>
        <v>0</v>
      </c>
      <c r="Y408" s="5">
        <f>data_origin!Y488</f>
        <v>0</v>
      </c>
      <c r="Z408" s="5">
        <f>data_origin!Z488</f>
        <v>0</v>
      </c>
      <c r="AA408" s="5">
        <f>data_origin!AA488</f>
        <v>0</v>
      </c>
      <c r="AB408" s="5">
        <f t="shared" si="47"/>
        <v>0</v>
      </c>
      <c r="AH408" t="s">
        <v>79</v>
      </c>
      <c r="AI408" s="5">
        <f>data_origin!T2735</f>
        <v>0</v>
      </c>
      <c r="AJ408" s="5">
        <f>data_origin!U2735</f>
        <v>0</v>
      </c>
      <c r="AK408" s="5">
        <f>data_origin!V2735</f>
        <v>0</v>
      </c>
      <c r="AL408" s="5">
        <f>data_origin!W2735</f>
        <v>0</v>
      </c>
      <c r="AM408" s="5">
        <f>data_origin!X2735</f>
        <v>0</v>
      </c>
      <c r="AN408" s="5">
        <f>data_origin!Y2735</f>
        <v>0</v>
      </c>
      <c r="AO408" s="5">
        <f>data_origin!Z2735</f>
        <v>0</v>
      </c>
      <c r="AP408" s="5">
        <f>data_origin!AA2735</f>
        <v>0</v>
      </c>
      <c r="AQ408" s="9">
        <f t="shared" si="48"/>
        <v>0</v>
      </c>
      <c r="AV408" t="s">
        <v>79</v>
      </c>
      <c r="AW408" s="5">
        <f>data_origin!T3449</f>
        <v>0</v>
      </c>
      <c r="AX408" s="5">
        <f>data_origin!U3449</f>
        <v>0</v>
      </c>
      <c r="AY408" s="5">
        <f>data_origin!V3449</f>
        <v>0</v>
      </c>
      <c r="AZ408" s="5">
        <f>data_origin!W3449</f>
        <v>0</v>
      </c>
      <c r="BA408" s="5">
        <f>data_origin!X3449</f>
        <v>0</v>
      </c>
      <c r="BB408" s="5">
        <f>data_origin!Y3449</f>
        <v>0</v>
      </c>
      <c r="BC408" s="5">
        <f>data_origin!Z3449</f>
        <v>0</v>
      </c>
      <c r="BD408" s="5">
        <f>data_origin!AA3449</f>
        <v>0</v>
      </c>
      <c r="BE408" s="9">
        <f t="shared" si="49"/>
        <v>0</v>
      </c>
    </row>
    <row r="409" spans="4:57" x14ac:dyDescent="0.25">
      <c r="D409" t="s">
        <v>80</v>
      </c>
      <c r="E409" s="35">
        <f t="shared" si="54"/>
        <v>0</v>
      </c>
      <c r="F409" s="35">
        <f t="shared" si="54"/>
        <v>0</v>
      </c>
      <c r="G409" s="35">
        <f t="shared" si="54"/>
        <v>0</v>
      </c>
      <c r="H409" s="35">
        <f t="shared" si="53"/>
        <v>0</v>
      </c>
      <c r="I409" s="35">
        <f t="shared" si="53"/>
        <v>0</v>
      </c>
      <c r="J409" s="35">
        <f t="shared" si="53"/>
        <v>0</v>
      </c>
      <c r="K409" s="35">
        <f t="shared" si="53"/>
        <v>0</v>
      </c>
      <c r="L409" s="35">
        <f t="shared" si="50"/>
        <v>0</v>
      </c>
      <c r="M409" s="35">
        <f t="shared" si="52"/>
        <v>0</v>
      </c>
      <c r="S409" t="s">
        <v>80</v>
      </c>
      <c r="T409" s="5">
        <f>data_origin!T489</f>
        <v>0</v>
      </c>
      <c r="U409" s="5">
        <f>data_origin!U489</f>
        <v>0</v>
      </c>
      <c r="V409" s="5">
        <f>data_origin!V489</f>
        <v>0</v>
      </c>
      <c r="W409" s="5">
        <f>data_origin!W489</f>
        <v>0</v>
      </c>
      <c r="X409" s="5">
        <f>data_origin!X489</f>
        <v>0</v>
      </c>
      <c r="Y409" s="5">
        <f>data_origin!Y489</f>
        <v>0</v>
      </c>
      <c r="Z409" s="5">
        <f>data_origin!Z489</f>
        <v>0</v>
      </c>
      <c r="AA409" s="5">
        <f>data_origin!AA489</f>
        <v>0</v>
      </c>
      <c r="AB409" s="5">
        <f t="shared" si="47"/>
        <v>0</v>
      </c>
      <c r="AH409" t="s">
        <v>80</v>
      </c>
      <c r="AI409" s="5">
        <f>data_origin!T2736</f>
        <v>0</v>
      </c>
      <c r="AJ409" s="5">
        <f>data_origin!U2736</f>
        <v>0</v>
      </c>
      <c r="AK409" s="5">
        <f>data_origin!V2736</f>
        <v>0</v>
      </c>
      <c r="AL409" s="5">
        <f>data_origin!W2736</f>
        <v>0</v>
      </c>
      <c r="AM409" s="5">
        <f>data_origin!X2736</f>
        <v>0</v>
      </c>
      <c r="AN409" s="5">
        <f>data_origin!Y2736</f>
        <v>0</v>
      </c>
      <c r="AO409" s="5">
        <f>data_origin!Z2736</f>
        <v>0</v>
      </c>
      <c r="AP409" s="5">
        <f>data_origin!AA2736</f>
        <v>0</v>
      </c>
      <c r="AQ409" s="9">
        <f t="shared" si="48"/>
        <v>0</v>
      </c>
      <c r="AV409" t="s">
        <v>80</v>
      </c>
      <c r="AW409" s="5">
        <f>data_origin!T3450</f>
        <v>0</v>
      </c>
      <c r="AX409" s="5">
        <f>data_origin!U3450</f>
        <v>0</v>
      </c>
      <c r="AY409" s="5">
        <f>data_origin!V3450</f>
        <v>0</v>
      </c>
      <c r="AZ409" s="5">
        <f>data_origin!W3450</f>
        <v>0</v>
      </c>
      <c r="BA409" s="5">
        <f>data_origin!X3450</f>
        <v>0</v>
      </c>
      <c r="BB409" s="5">
        <f>data_origin!Y3450</f>
        <v>0</v>
      </c>
      <c r="BC409" s="5">
        <f>data_origin!Z3450</f>
        <v>0</v>
      </c>
      <c r="BD409" s="5">
        <f>data_origin!AA3450</f>
        <v>0</v>
      </c>
      <c r="BE409" s="9">
        <f t="shared" si="49"/>
        <v>0</v>
      </c>
    </row>
    <row r="410" spans="4:57" x14ac:dyDescent="0.25">
      <c r="D410" t="s">
        <v>81</v>
      </c>
      <c r="E410" s="35">
        <f t="shared" si="54"/>
        <v>0</v>
      </c>
      <c r="F410" s="35">
        <f t="shared" si="54"/>
        <v>0</v>
      </c>
      <c r="G410" s="35">
        <f t="shared" si="54"/>
        <v>0</v>
      </c>
      <c r="H410" s="35">
        <f t="shared" si="53"/>
        <v>0</v>
      </c>
      <c r="I410" s="35">
        <f t="shared" si="53"/>
        <v>0</v>
      </c>
      <c r="J410" s="35">
        <f t="shared" si="53"/>
        <v>0</v>
      </c>
      <c r="K410" s="35">
        <f t="shared" si="53"/>
        <v>0</v>
      </c>
      <c r="L410" s="35">
        <f t="shared" si="50"/>
        <v>0</v>
      </c>
      <c r="M410" s="35">
        <f t="shared" si="52"/>
        <v>0</v>
      </c>
      <c r="S410" t="s">
        <v>81</v>
      </c>
      <c r="T410" s="5">
        <f>data_origin!T490</f>
        <v>0</v>
      </c>
      <c r="U410" s="5">
        <f>data_origin!U490</f>
        <v>0</v>
      </c>
      <c r="V410" s="5">
        <f>data_origin!V490</f>
        <v>0</v>
      </c>
      <c r="W410" s="5">
        <f>data_origin!W490</f>
        <v>0</v>
      </c>
      <c r="X410" s="5">
        <f>data_origin!X490</f>
        <v>0</v>
      </c>
      <c r="Y410" s="5">
        <f>data_origin!Y490</f>
        <v>0</v>
      </c>
      <c r="Z410" s="5">
        <f>data_origin!Z490</f>
        <v>0</v>
      </c>
      <c r="AA410" s="5">
        <f>data_origin!AA490</f>
        <v>0</v>
      </c>
      <c r="AB410" s="5">
        <f t="shared" si="47"/>
        <v>0</v>
      </c>
      <c r="AH410" t="s">
        <v>81</v>
      </c>
      <c r="AI410" s="5">
        <f>data_origin!T2737</f>
        <v>0</v>
      </c>
      <c r="AJ410" s="5">
        <f>data_origin!U2737</f>
        <v>0</v>
      </c>
      <c r="AK410" s="5">
        <f>data_origin!V2737</f>
        <v>0</v>
      </c>
      <c r="AL410" s="5">
        <f>data_origin!W2737</f>
        <v>0</v>
      </c>
      <c r="AM410" s="5">
        <f>data_origin!X2737</f>
        <v>0</v>
      </c>
      <c r="AN410" s="5">
        <f>data_origin!Y2737</f>
        <v>0</v>
      </c>
      <c r="AO410" s="5">
        <f>data_origin!Z2737</f>
        <v>0</v>
      </c>
      <c r="AP410" s="5">
        <f>data_origin!AA2737</f>
        <v>0</v>
      </c>
      <c r="AQ410" s="9">
        <f t="shared" si="48"/>
        <v>0</v>
      </c>
      <c r="AV410" t="s">
        <v>81</v>
      </c>
      <c r="AW410" s="5">
        <f>data_origin!T3451</f>
        <v>0</v>
      </c>
      <c r="AX410" s="5">
        <f>data_origin!U3451</f>
        <v>0</v>
      </c>
      <c r="AY410" s="5">
        <f>data_origin!V3451</f>
        <v>0</v>
      </c>
      <c r="AZ410" s="5">
        <f>data_origin!W3451</f>
        <v>0</v>
      </c>
      <c r="BA410" s="5">
        <f>data_origin!X3451</f>
        <v>0</v>
      </c>
      <c r="BB410" s="5">
        <f>data_origin!Y3451</f>
        <v>0</v>
      </c>
      <c r="BC410" s="5">
        <f>data_origin!Z3451</f>
        <v>0</v>
      </c>
      <c r="BD410" s="5">
        <f>data_origin!AA3451</f>
        <v>0</v>
      </c>
      <c r="BE410" s="9">
        <f t="shared" si="49"/>
        <v>0</v>
      </c>
    </row>
    <row r="411" spans="4:57" x14ac:dyDescent="0.25">
      <c r="D411" t="s">
        <v>82</v>
      </c>
      <c r="E411" s="35">
        <f t="shared" si="54"/>
        <v>0</v>
      </c>
      <c r="F411" s="35">
        <f t="shared" si="54"/>
        <v>0</v>
      </c>
      <c r="G411" s="35">
        <f t="shared" si="54"/>
        <v>0</v>
      </c>
      <c r="H411" s="35">
        <f t="shared" si="53"/>
        <v>0</v>
      </c>
      <c r="I411" s="35">
        <f t="shared" si="53"/>
        <v>0</v>
      </c>
      <c r="J411" s="35">
        <f t="shared" si="53"/>
        <v>0</v>
      </c>
      <c r="K411" s="35">
        <f t="shared" si="53"/>
        <v>0</v>
      </c>
      <c r="L411" s="35">
        <f t="shared" si="50"/>
        <v>0</v>
      </c>
      <c r="M411" s="35">
        <f t="shared" si="52"/>
        <v>0</v>
      </c>
      <c r="S411" t="s">
        <v>82</v>
      </c>
      <c r="T411" s="5">
        <f>data_origin!T491</f>
        <v>0</v>
      </c>
      <c r="U411" s="5">
        <f>data_origin!U491</f>
        <v>0</v>
      </c>
      <c r="V411" s="5">
        <f>data_origin!V491</f>
        <v>0</v>
      </c>
      <c r="W411" s="5">
        <f>data_origin!W491</f>
        <v>0</v>
      </c>
      <c r="X411" s="5">
        <f>data_origin!X491</f>
        <v>0</v>
      </c>
      <c r="Y411" s="5">
        <f>data_origin!Y491</f>
        <v>0</v>
      </c>
      <c r="Z411" s="5">
        <f>data_origin!Z491</f>
        <v>0</v>
      </c>
      <c r="AA411" s="5">
        <f>data_origin!AA491</f>
        <v>0</v>
      </c>
      <c r="AB411" s="5">
        <f t="shared" si="47"/>
        <v>0</v>
      </c>
      <c r="AH411" t="s">
        <v>82</v>
      </c>
      <c r="AI411" s="5">
        <f>data_origin!T2738</f>
        <v>0</v>
      </c>
      <c r="AJ411" s="5">
        <f>data_origin!U2738</f>
        <v>0</v>
      </c>
      <c r="AK411" s="5">
        <f>data_origin!V2738</f>
        <v>0</v>
      </c>
      <c r="AL411" s="5">
        <f>data_origin!W2738</f>
        <v>0</v>
      </c>
      <c r="AM411" s="5">
        <f>data_origin!X2738</f>
        <v>0</v>
      </c>
      <c r="AN411" s="5">
        <f>data_origin!Y2738</f>
        <v>0</v>
      </c>
      <c r="AO411" s="5">
        <f>data_origin!Z2738</f>
        <v>0</v>
      </c>
      <c r="AP411" s="5">
        <f>data_origin!AA2738</f>
        <v>0</v>
      </c>
      <c r="AQ411" s="9">
        <f t="shared" si="48"/>
        <v>0</v>
      </c>
      <c r="AV411" t="s">
        <v>82</v>
      </c>
      <c r="AW411" s="5">
        <f>data_origin!T3452</f>
        <v>0</v>
      </c>
      <c r="AX411" s="5">
        <f>data_origin!U3452</f>
        <v>0</v>
      </c>
      <c r="AY411" s="5">
        <f>data_origin!V3452</f>
        <v>0</v>
      </c>
      <c r="AZ411" s="5">
        <f>data_origin!W3452</f>
        <v>0</v>
      </c>
      <c r="BA411" s="5">
        <f>data_origin!X3452</f>
        <v>0</v>
      </c>
      <c r="BB411" s="5">
        <f>data_origin!Y3452</f>
        <v>0</v>
      </c>
      <c r="BC411" s="5">
        <f>data_origin!Z3452</f>
        <v>0</v>
      </c>
      <c r="BD411" s="5">
        <f>data_origin!AA3452</f>
        <v>0</v>
      </c>
      <c r="BE411" s="9">
        <f t="shared" si="49"/>
        <v>0</v>
      </c>
    </row>
    <row r="412" spans="4:57" x14ac:dyDescent="0.25">
      <c r="D412" t="s">
        <v>83</v>
      </c>
      <c r="E412" s="35">
        <f t="shared" si="54"/>
        <v>0</v>
      </c>
      <c r="F412" s="35">
        <f t="shared" si="54"/>
        <v>0</v>
      </c>
      <c r="G412" s="35">
        <f t="shared" si="54"/>
        <v>0</v>
      </c>
      <c r="H412" s="35">
        <f t="shared" si="53"/>
        <v>0</v>
      </c>
      <c r="I412" s="35">
        <f t="shared" si="53"/>
        <v>0</v>
      </c>
      <c r="J412" s="35">
        <f t="shared" si="53"/>
        <v>0</v>
      </c>
      <c r="K412" s="35">
        <f t="shared" si="53"/>
        <v>0</v>
      </c>
      <c r="L412" s="35">
        <f t="shared" si="50"/>
        <v>0</v>
      </c>
      <c r="M412" s="35">
        <f t="shared" si="52"/>
        <v>0</v>
      </c>
      <c r="S412" t="s">
        <v>83</v>
      </c>
      <c r="T412" s="5">
        <f>data_origin!T492</f>
        <v>0</v>
      </c>
      <c r="U412" s="5">
        <f>data_origin!U492</f>
        <v>0</v>
      </c>
      <c r="V412" s="5">
        <f>data_origin!V492</f>
        <v>0</v>
      </c>
      <c r="W412" s="5">
        <f>data_origin!W492</f>
        <v>0</v>
      </c>
      <c r="X412" s="5">
        <f>data_origin!X492</f>
        <v>0</v>
      </c>
      <c r="Y412" s="5">
        <f>data_origin!Y492</f>
        <v>0</v>
      </c>
      <c r="Z412" s="5">
        <f>data_origin!Z492</f>
        <v>0</v>
      </c>
      <c r="AA412" s="5">
        <f>data_origin!AA492</f>
        <v>0</v>
      </c>
      <c r="AB412" s="5">
        <f t="shared" si="47"/>
        <v>0</v>
      </c>
      <c r="AH412" t="s">
        <v>83</v>
      </c>
      <c r="AI412" s="5">
        <f>data_origin!T2739</f>
        <v>0</v>
      </c>
      <c r="AJ412" s="5">
        <f>data_origin!U2739</f>
        <v>0</v>
      </c>
      <c r="AK412" s="5">
        <f>data_origin!V2739</f>
        <v>0</v>
      </c>
      <c r="AL412" s="5">
        <f>data_origin!W2739</f>
        <v>0</v>
      </c>
      <c r="AM412" s="5">
        <f>data_origin!X2739</f>
        <v>0</v>
      </c>
      <c r="AN412" s="5">
        <f>data_origin!Y2739</f>
        <v>0</v>
      </c>
      <c r="AO412" s="5">
        <f>data_origin!Z2739</f>
        <v>0</v>
      </c>
      <c r="AP412" s="5">
        <f>data_origin!AA2739</f>
        <v>0</v>
      </c>
      <c r="AQ412" s="9">
        <f t="shared" si="48"/>
        <v>0</v>
      </c>
      <c r="AV412" t="s">
        <v>83</v>
      </c>
      <c r="AW412" s="5">
        <f>data_origin!T3453</f>
        <v>0</v>
      </c>
      <c r="AX412" s="5">
        <f>data_origin!U3453</f>
        <v>0</v>
      </c>
      <c r="AY412" s="5">
        <f>data_origin!V3453</f>
        <v>0</v>
      </c>
      <c r="AZ412" s="5">
        <f>data_origin!W3453</f>
        <v>0</v>
      </c>
      <c r="BA412" s="5">
        <f>data_origin!X3453</f>
        <v>0</v>
      </c>
      <c r="BB412" s="5">
        <f>data_origin!Y3453</f>
        <v>0</v>
      </c>
      <c r="BC412" s="5">
        <f>data_origin!Z3453</f>
        <v>0</v>
      </c>
      <c r="BD412" s="5">
        <f>data_origin!AA3453</f>
        <v>0</v>
      </c>
      <c r="BE412" s="9">
        <f t="shared" si="49"/>
        <v>0</v>
      </c>
    </row>
    <row r="413" spans="4:57" x14ac:dyDescent="0.25">
      <c r="D413" t="s">
        <v>84</v>
      </c>
      <c r="E413" s="35">
        <f t="shared" si="54"/>
        <v>0</v>
      </c>
      <c r="F413" s="35">
        <f t="shared" si="54"/>
        <v>0</v>
      </c>
      <c r="G413" s="35">
        <f t="shared" si="54"/>
        <v>0</v>
      </c>
      <c r="H413" s="35">
        <f t="shared" si="53"/>
        <v>0</v>
      </c>
      <c r="I413" s="35">
        <f t="shared" si="53"/>
        <v>0</v>
      </c>
      <c r="J413" s="35">
        <f t="shared" si="53"/>
        <v>0</v>
      </c>
      <c r="K413" s="35">
        <f t="shared" si="53"/>
        <v>0</v>
      </c>
      <c r="L413" s="35">
        <f t="shared" si="50"/>
        <v>0</v>
      </c>
      <c r="M413" s="35">
        <f t="shared" si="52"/>
        <v>0</v>
      </c>
      <c r="S413" t="s">
        <v>84</v>
      </c>
      <c r="T413" s="5">
        <f>data_origin!T493</f>
        <v>0</v>
      </c>
      <c r="U413" s="5">
        <f>data_origin!U493</f>
        <v>0</v>
      </c>
      <c r="V413" s="5">
        <f>data_origin!V493</f>
        <v>0</v>
      </c>
      <c r="W413" s="5">
        <f>data_origin!W493</f>
        <v>0</v>
      </c>
      <c r="X413" s="5">
        <f>data_origin!X493</f>
        <v>0</v>
      </c>
      <c r="Y413" s="5">
        <f>data_origin!Y493</f>
        <v>0</v>
      </c>
      <c r="Z413" s="5">
        <f>data_origin!Z493</f>
        <v>0</v>
      </c>
      <c r="AA413" s="5">
        <f>data_origin!AA493</f>
        <v>0</v>
      </c>
      <c r="AB413" s="5">
        <f t="shared" si="47"/>
        <v>0</v>
      </c>
      <c r="AH413" t="s">
        <v>84</v>
      </c>
      <c r="AI413" s="5">
        <f>data_origin!T2740</f>
        <v>0</v>
      </c>
      <c r="AJ413" s="5">
        <f>data_origin!U2740</f>
        <v>0</v>
      </c>
      <c r="AK413" s="5">
        <f>data_origin!V2740</f>
        <v>0</v>
      </c>
      <c r="AL413" s="5">
        <f>data_origin!W2740</f>
        <v>0</v>
      </c>
      <c r="AM413" s="5">
        <f>data_origin!X2740</f>
        <v>0</v>
      </c>
      <c r="AN413" s="5">
        <f>data_origin!Y2740</f>
        <v>0</v>
      </c>
      <c r="AO413" s="5">
        <f>data_origin!Z2740</f>
        <v>0</v>
      </c>
      <c r="AP413" s="5">
        <f>data_origin!AA2740</f>
        <v>0</v>
      </c>
      <c r="AQ413" s="9">
        <f t="shared" si="48"/>
        <v>0</v>
      </c>
      <c r="AV413" t="s">
        <v>84</v>
      </c>
      <c r="AW413" s="5">
        <f>data_origin!T3454</f>
        <v>0</v>
      </c>
      <c r="AX413" s="5">
        <f>data_origin!U3454</f>
        <v>0</v>
      </c>
      <c r="AY413" s="5">
        <f>data_origin!V3454</f>
        <v>0</v>
      </c>
      <c r="AZ413" s="5">
        <f>data_origin!W3454</f>
        <v>0</v>
      </c>
      <c r="BA413" s="5">
        <f>data_origin!X3454</f>
        <v>0</v>
      </c>
      <c r="BB413" s="5">
        <f>data_origin!Y3454</f>
        <v>0</v>
      </c>
      <c r="BC413" s="5">
        <f>data_origin!Z3454</f>
        <v>0</v>
      </c>
      <c r="BD413" s="5">
        <f>data_origin!AA3454</f>
        <v>0</v>
      </c>
      <c r="BE413" s="9">
        <f t="shared" si="49"/>
        <v>0</v>
      </c>
    </row>
    <row r="414" spans="4:57" x14ac:dyDescent="0.25">
      <c r="D414" t="s">
        <v>85</v>
      </c>
      <c r="E414" s="35">
        <f t="shared" si="54"/>
        <v>0</v>
      </c>
      <c r="F414" s="35">
        <f t="shared" si="54"/>
        <v>0</v>
      </c>
      <c r="G414" s="35">
        <f t="shared" si="54"/>
        <v>0</v>
      </c>
      <c r="H414" s="35">
        <f t="shared" si="53"/>
        <v>0</v>
      </c>
      <c r="I414" s="35">
        <f t="shared" si="53"/>
        <v>0</v>
      </c>
      <c r="J414" s="35">
        <f t="shared" si="53"/>
        <v>0</v>
      </c>
      <c r="K414" s="35">
        <f t="shared" si="53"/>
        <v>0</v>
      </c>
      <c r="L414" s="35">
        <f t="shared" si="50"/>
        <v>0</v>
      </c>
      <c r="M414" s="35">
        <f t="shared" si="52"/>
        <v>0</v>
      </c>
      <c r="S414" t="s">
        <v>85</v>
      </c>
      <c r="T414" s="5">
        <f>data_origin!T494</f>
        <v>0</v>
      </c>
      <c r="U414" s="5">
        <f>data_origin!U494</f>
        <v>0</v>
      </c>
      <c r="V414" s="5">
        <f>data_origin!V494</f>
        <v>0</v>
      </c>
      <c r="W414" s="5">
        <f>data_origin!W494</f>
        <v>0</v>
      </c>
      <c r="X414" s="5">
        <f>data_origin!X494</f>
        <v>0</v>
      </c>
      <c r="Y414" s="5">
        <f>data_origin!Y494</f>
        <v>0</v>
      </c>
      <c r="Z414" s="5">
        <f>data_origin!Z494</f>
        <v>0</v>
      </c>
      <c r="AA414" s="5">
        <f>data_origin!AA494</f>
        <v>0</v>
      </c>
      <c r="AB414" s="5">
        <f t="shared" si="47"/>
        <v>0</v>
      </c>
      <c r="AH414" t="s">
        <v>85</v>
      </c>
      <c r="AI414" s="5">
        <f>data_origin!T2741</f>
        <v>0</v>
      </c>
      <c r="AJ414" s="5">
        <f>data_origin!U2741</f>
        <v>0</v>
      </c>
      <c r="AK414" s="5">
        <f>data_origin!V2741</f>
        <v>0</v>
      </c>
      <c r="AL414" s="5">
        <f>data_origin!W2741</f>
        <v>0</v>
      </c>
      <c r="AM414" s="5">
        <f>data_origin!X2741</f>
        <v>0</v>
      </c>
      <c r="AN414" s="5">
        <f>data_origin!Y2741</f>
        <v>0</v>
      </c>
      <c r="AO414" s="5">
        <f>data_origin!Z2741</f>
        <v>0</v>
      </c>
      <c r="AP414" s="5">
        <f>data_origin!AA2741</f>
        <v>0</v>
      </c>
      <c r="AQ414" s="9">
        <f t="shared" si="48"/>
        <v>0</v>
      </c>
      <c r="AV414" t="s">
        <v>85</v>
      </c>
      <c r="AW414" s="5">
        <f>data_origin!T3455</f>
        <v>0</v>
      </c>
      <c r="AX414" s="5">
        <f>data_origin!U3455</f>
        <v>0</v>
      </c>
      <c r="AY414" s="5">
        <f>data_origin!V3455</f>
        <v>0</v>
      </c>
      <c r="AZ414" s="5">
        <f>data_origin!W3455</f>
        <v>0</v>
      </c>
      <c r="BA414" s="5">
        <f>data_origin!X3455</f>
        <v>0</v>
      </c>
      <c r="BB414" s="5">
        <f>data_origin!Y3455</f>
        <v>0</v>
      </c>
      <c r="BC414" s="5">
        <f>data_origin!Z3455</f>
        <v>0</v>
      </c>
      <c r="BD414" s="5">
        <f>data_origin!AA3455</f>
        <v>0</v>
      </c>
      <c r="BE414" s="9">
        <f t="shared" si="49"/>
        <v>0</v>
      </c>
    </row>
    <row r="415" spans="4:57" x14ac:dyDescent="0.25">
      <c r="D415" t="s">
        <v>86</v>
      </c>
      <c r="E415" s="35">
        <f t="shared" si="54"/>
        <v>0</v>
      </c>
      <c r="F415" s="35">
        <f t="shared" si="54"/>
        <v>0</v>
      </c>
      <c r="G415" s="35">
        <f t="shared" si="54"/>
        <v>0</v>
      </c>
      <c r="H415" s="35">
        <f t="shared" si="53"/>
        <v>0</v>
      </c>
      <c r="I415" s="35">
        <f t="shared" si="53"/>
        <v>0</v>
      </c>
      <c r="J415" s="35">
        <f t="shared" si="53"/>
        <v>0</v>
      </c>
      <c r="K415" s="35">
        <f t="shared" si="53"/>
        <v>0</v>
      </c>
      <c r="L415" s="35">
        <f t="shared" si="50"/>
        <v>0</v>
      </c>
      <c r="M415" s="35">
        <f t="shared" si="52"/>
        <v>0</v>
      </c>
      <c r="S415" t="s">
        <v>86</v>
      </c>
      <c r="T415" s="5">
        <f>data_origin!T495</f>
        <v>0</v>
      </c>
      <c r="U415" s="5">
        <f>data_origin!U495</f>
        <v>0</v>
      </c>
      <c r="V415" s="5">
        <f>data_origin!V495</f>
        <v>0</v>
      </c>
      <c r="W415" s="5">
        <f>data_origin!W495</f>
        <v>0</v>
      </c>
      <c r="X415" s="5">
        <f>data_origin!X495</f>
        <v>0</v>
      </c>
      <c r="Y415" s="5">
        <f>data_origin!Y495</f>
        <v>0</v>
      </c>
      <c r="Z415" s="5">
        <f>data_origin!Z495</f>
        <v>0</v>
      </c>
      <c r="AA415" s="5">
        <f>data_origin!AA495</f>
        <v>0</v>
      </c>
      <c r="AB415" s="5">
        <f t="shared" si="47"/>
        <v>0</v>
      </c>
      <c r="AH415" t="s">
        <v>86</v>
      </c>
      <c r="AI415" s="5">
        <f>data_origin!T2742</f>
        <v>0</v>
      </c>
      <c r="AJ415" s="5">
        <f>data_origin!U2742</f>
        <v>0</v>
      </c>
      <c r="AK415" s="5">
        <f>data_origin!V2742</f>
        <v>0</v>
      </c>
      <c r="AL415" s="5">
        <f>data_origin!W2742</f>
        <v>1</v>
      </c>
      <c r="AM415" s="5">
        <f>data_origin!X2742</f>
        <v>0</v>
      </c>
      <c r="AN415" s="5">
        <f>data_origin!Y2742</f>
        <v>0</v>
      </c>
      <c r="AO415" s="5">
        <f>data_origin!Z2742</f>
        <v>0</v>
      </c>
      <c r="AP415" s="5">
        <f>data_origin!AA2742</f>
        <v>0</v>
      </c>
      <c r="AQ415" s="9">
        <f t="shared" si="48"/>
        <v>1</v>
      </c>
      <c r="AV415" t="s">
        <v>86</v>
      </c>
      <c r="AW415" s="5">
        <f>data_origin!T3456</f>
        <v>0</v>
      </c>
      <c r="AX415" s="5">
        <f>data_origin!U3456</f>
        <v>0</v>
      </c>
      <c r="AY415" s="5">
        <f>data_origin!V3456</f>
        <v>0</v>
      </c>
      <c r="AZ415" s="5">
        <f>data_origin!W3456</f>
        <v>0</v>
      </c>
      <c r="BA415" s="5">
        <f>data_origin!X3456</f>
        <v>0</v>
      </c>
      <c r="BB415" s="5">
        <f>data_origin!Y3456</f>
        <v>0</v>
      </c>
      <c r="BC415" s="5">
        <f>data_origin!Z3456</f>
        <v>0</v>
      </c>
      <c r="BD415" s="5">
        <f>data_origin!AA3456</f>
        <v>0</v>
      </c>
      <c r="BE415" s="9">
        <f t="shared" si="49"/>
        <v>0</v>
      </c>
    </row>
    <row r="416" spans="4:57" x14ac:dyDescent="0.25">
      <c r="D416" t="s">
        <v>87</v>
      </c>
      <c r="E416" s="35">
        <f t="shared" si="54"/>
        <v>0</v>
      </c>
      <c r="F416" s="35">
        <f t="shared" si="54"/>
        <v>0</v>
      </c>
      <c r="G416" s="35">
        <f t="shared" si="54"/>
        <v>0</v>
      </c>
      <c r="H416" s="35">
        <f t="shared" si="53"/>
        <v>0</v>
      </c>
      <c r="I416" s="35">
        <f t="shared" si="53"/>
        <v>0</v>
      </c>
      <c r="J416" s="35">
        <f t="shared" si="53"/>
        <v>0</v>
      </c>
      <c r="K416" s="35">
        <f t="shared" si="53"/>
        <v>0</v>
      </c>
      <c r="L416" s="35">
        <f t="shared" si="50"/>
        <v>0</v>
      </c>
      <c r="M416" s="35">
        <f t="shared" si="52"/>
        <v>0</v>
      </c>
      <c r="S416" t="s">
        <v>87</v>
      </c>
      <c r="T416" s="5">
        <f>data_origin!T496</f>
        <v>0</v>
      </c>
      <c r="U416" s="5">
        <f>data_origin!U496</f>
        <v>0</v>
      </c>
      <c r="V416" s="5">
        <f>data_origin!V496</f>
        <v>0</v>
      </c>
      <c r="W416" s="5">
        <f>data_origin!W496</f>
        <v>0</v>
      </c>
      <c r="X416" s="5">
        <f>data_origin!X496</f>
        <v>0</v>
      </c>
      <c r="Y416" s="5">
        <f>data_origin!Y496</f>
        <v>0</v>
      </c>
      <c r="Z416" s="5">
        <f>data_origin!Z496</f>
        <v>0</v>
      </c>
      <c r="AA416" s="5">
        <f>data_origin!AA496</f>
        <v>0</v>
      </c>
      <c r="AB416" s="5">
        <f t="shared" ref="AB416:AB479" si="55">SUM(T416:AA416)</f>
        <v>0</v>
      </c>
      <c r="AH416" t="s">
        <v>87</v>
      </c>
      <c r="AI416" s="5">
        <f>data_origin!T2743</f>
        <v>0</v>
      </c>
      <c r="AJ416" s="5">
        <f>data_origin!U2743</f>
        <v>0</v>
      </c>
      <c r="AK416" s="5">
        <f>data_origin!V2743</f>
        <v>0</v>
      </c>
      <c r="AL416" s="5">
        <f>data_origin!W2743</f>
        <v>0</v>
      </c>
      <c r="AM416" s="5">
        <f>data_origin!X2743</f>
        <v>0</v>
      </c>
      <c r="AN416" s="5">
        <f>data_origin!Y2743</f>
        <v>0</v>
      </c>
      <c r="AO416" s="5">
        <f>data_origin!Z2743</f>
        <v>0</v>
      </c>
      <c r="AP416" s="5">
        <f>data_origin!AA2743</f>
        <v>0</v>
      </c>
      <c r="AQ416" s="9">
        <f t="shared" si="48"/>
        <v>0</v>
      </c>
      <c r="AV416" t="s">
        <v>87</v>
      </c>
      <c r="AW416" s="5">
        <f>data_origin!T3457</f>
        <v>0</v>
      </c>
      <c r="AX416" s="5">
        <f>data_origin!U3457</f>
        <v>0</v>
      </c>
      <c r="AY416" s="5">
        <f>data_origin!V3457</f>
        <v>0</v>
      </c>
      <c r="AZ416" s="5">
        <f>data_origin!W3457</f>
        <v>0</v>
      </c>
      <c r="BA416" s="5">
        <f>data_origin!X3457</f>
        <v>0</v>
      </c>
      <c r="BB416" s="5">
        <f>data_origin!Y3457</f>
        <v>0</v>
      </c>
      <c r="BC416" s="5">
        <f>data_origin!Z3457</f>
        <v>0</v>
      </c>
      <c r="BD416" s="5">
        <f>data_origin!AA3457</f>
        <v>0</v>
      </c>
      <c r="BE416" s="9">
        <f t="shared" si="49"/>
        <v>0</v>
      </c>
    </row>
    <row r="417" spans="1:58" x14ac:dyDescent="0.25">
      <c r="D417" t="s">
        <v>88</v>
      </c>
      <c r="E417" s="35">
        <f t="shared" si="54"/>
        <v>0</v>
      </c>
      <c r="F417" s="35">
        <f t="shared" si="54"/>
        <v>0</v>
      </c>
      <c r="G417" s="35">
        <f t="shared" si="54"/>
        <v>0</v>
      </c>
      <c r="H417" s="35">
        <f t="shared" si="53"/>
        <v>1.0017257550178202</v>
      </c>
      <c r="I417" s="35">
        <f t="shared" si="53"/>
        <v>0</v>
      </c>
      <c r="J417" s="35">
        <f t="shared" si="53"/>
        <v>0</v>
      </c>
      <c r="K417" s="35">
        <f t="shared" si="53"/>
        <v>0</v>
      </c>
      <c r="L417" s="35">
        <f t="shared" si="50"/>
        <v>0</v>
      </c>
      <c r="M417" s="35">
        <f t="shared" si="52"/>
        <v>1.0017257550178202</v>
      </c>
      <c r="S417" t="s">
        <v>88</v>
      </c>
      <c r="T417" s="5">
        <f>data_origin!T497</f>
        <v>0</v>
      </c>
      <c r="U417" s="5">
        <f>data_origin!U497</f>
        <v>0</v>
      </c>
      <c r="V417" s="5">
        <f>data_origin!V497</f>
        <v>0</v>
      </c>
      <c r="W417" s="5">
        <f>data_origin!W497</f>
        <v>1</v>
      </c>
      <c r="X417" s="5">
        <f>data_origin!X497</f>
        <v>0</v>
      </c>
      <c r="Y417" s="5">
        <f>data_origin!Y497</f>
        <v>0</v>
      </c>
      <c r="Z417" s="5">
        <f>data_origin!Z497</f>
        <v>0</v>
      </c>
      <c r="AA417" s="5">
        <f>data_origin!AA497</f>
        <v>0</v>
      </c>
      <c r="AB417" s="5">
        <f t="shared" si="55"/>
        <v>1</v>
      </c>
      <c r="AH417" t="s">
        <v>88</v>
      </c>
      <c r="AI417" s="5">
        <f>data_origin!T2744</f>
        <v>0</v>
      </c>
      <c r="AJ417" s="5">
        <f>data_origin!U2744</f>
        <v>0</v>
      </c>
      <c r="AK417" s="5">
        <f>data_origin!V2744</f>
        <v>0</v>
      </c>
      <c r="AL417" s="5">
        <f>data_origin!W2744</f>
        <v>0</v>
      </c>
      <c r="AM417" s="5">
        <f>data_origin!X2744</f>
        <v>0</v>
      </c>
      <c r="AN417" s="5">
        <f>data_origin!Y2744</f>
        <v>0</v>
      </c>
      <c r="AO417" s="5">
        <f>data_origin!Z2744</f>
        <v>0</v>
      </c>
      <c r="AP417" s="5">
        <f>data_origin!AA2744</f>
        <v>0</v>
      </c>
      <c r="AQ417" s="9">
        <f t="shared" si="48"/>
        <v>0</v>
      </c>
      <c r="AV417" t="s">
        <v>88</v>
      </c>
      <c r="AW417" s="5">
        <f>data_origin!T3458</f>
        <v>0</v>
      </c>
      <c r="AX417" s="5">
        <f>data_origin!U3458</f>
        <v>0</v>
      </c>
      <c r="AY417" s="5">
        <f>data_origin!V3458</f>
        <v>0</v>
      </c>
      <c r="AZ417" s="5">
        <f>data_origin!W3458</f>
        <v>0</v>
      </c>
      <c r="BA417" s="5">
        <f>data_origin!X3458</f>
        <v>0</v>
      </c>
      <c r="BB417" s="5">
        <f>data_origin!Y3458</f>
        <v>0</v>
      </c>
      <c r="BC417" s="5">
        <f>data_origin!Z3458</f>
        <v>0</v>
      </c>
      <c r="BD417" s="5">
        <f>data_origin!AA3458</f>
        <v>0</v>
      </c>
      <c r="BE417" s="9">
        <f t="shared" si="49"/>
        <v>0</v>
      </c>
    </row>
    <row r="418" spans="1:58" x14ac:dyDescent="0.25">
      <c r="D418" t="s">
        <v>89</v>
      </c>
      <c r="E418" s="35">
        <f t="shared" si="54"/>
        <v>0</v>
      </c>
      <c r="F418" s="35">
        <f t="shared" si="54"/>
        <v>0</v>
      </c>
      <c r="G418" s="35">
        <f t="shared" si="54"/>
        <v>0</v>
      </c>
      <c r="H418" s="35">
        <f t="shared" si="53"/>
        <v>0</v>
      </c>
      <c r="I418" s="35">
        <f t="shared" si="53"/>
        <v>0</v>
      </c>
      <c r="J418" s="35">
        <f t="shared" si="53"/>
        <v>0</v>
      </c>
      <c r="K418" s="35">
        <f t="shared" si="53"/>
        <v>0</v>
      </c>
      <c r="L418" s="35">
        <f t="shared" si="50"/>
        <v>0</v>
      </c>
      <c r="M418" s="35">
        <f t="shared" si="52"/>
        <v>0</v>
      </c>
      <c r="S418" t="s">
        <v>89</v>
      </c>
      <c r="T418" s="5">
        <f>data_origin!T498</f>
        <v>0</v>
      </c>
      <c r="U418" s="5">
        <f>data_origin!U498</f>
        <v>0</v>
      </c>
      <c r="V418" s="5">
        <f>data_origin!V498</f>
        <v>0</v>
      </c>
      <c r="W418" s="5">
        <f>data_origin!W498</f>
        <v>0</v>
      </c>
      <c r="X418" s="5">
        <f>data_origin!X498</f>
        <v>0</v>
      </c>
      <c r="Y418" s="5">
        <f>data_origin!Y498</f>
        <v>0</v>
      </c>
      <c r="Z418" s="5">
        <f>data_origin!Z498</f>
        <v>0</v>
      </c>
      <c r="AA418" s="5">
        <f>data_origin!AA498</f>
        <v>0</v>
      </c>
      <c r="AB418" s="5">
        <f t="shared" si="55"/>
        <v>0</v>
      </c>
      <c r="AH418" t="s">
        <v>89</v>
      </c>
      <c r="AI418" s="5">
        <f>data_origin!T2745</f>
        <v>0</v>
      </c>
      <c r="AJ418" s="5">
        <f>data_origin!U2745</f>
        <v>0</v>
      </c>
      <c r="AK418" s="5">
        <f>data_origin!V2745</f>
        <v>0</v>
      </c>
      <c r="AL418" s="5">
        <f>data_origin!W2745</f>
        <v>0</v>
      </c>
      <c r="AM418" s="5">
        <f>data_origin!X2745</f>
        <v>0</v>
      </c>
      <c r="AN418" s="5">
        <f>data_origin!Y2745</f>
        <v>0</v>
      </c>
      <c r="AO418" s="5">
        <f>data_origin!Z2745</f>
        <v>0</v>
      </c>
      <c r="AP418" s="5">
        <f>data_origin!AA2745</f>
        <v>0</v>
      </c>
      <c r="AQ418" s="9">
        <f t="shared" si="48"/>
        <v>0</v>
      </c>
      <c r="AV418" t="s">
        <v>89</v>
      </c>
      <c r="AW418" s="5">
        <f>data_origin!T3459</f>
        <v>0</v>
      </c>
      <c r="AX418" s="5">
        <f>data_origin!U3459</f>
        <v>0</v>
      </c>
      <c r="AY418" s="5">
        <f>data_origin!V3459</f>
        <v>0</v>
      </c>
      <c r="AZ418" s="5">
        <f>data_origin!W3459</f>
        <v>0</v>
      </c>
      <c r="BA418" s="5">
        <f>data_origin!X3459</f>
        <v>0</v>
      </c>
      <c r="BB418" s="5">
        <f>data_origin!Y3459</f>
        <v>0</v>
      </c>
      <c r="BC418" s="5">
        <f>data_origin!Z3459</f>
        <v>0</v>
      </c>
      <c r="BD418" s="5">
        <f>data_origin!AA3459</f>
        <v>0</v>
      </c>
      <c r="BE418" s="9">
        <f t="shared" si="49"/>
        <v>0</v>
      </c>
    </row>
    <row r="419" spans="1:58" x14ac:dyDescent="0.25">
      <c r="D419" t="s">
        <v>90</v>
      </c>
      <c r="E419" s="35">
        <f t="shared" si="54"/>
        <v>0</v>
      </c>
      <c r="F419" s="35">
        <f t="shared" si="54"/>
        <v>0</v>
      </c>
      <c r="G419" s="35">
        <f t="shared" si="54"/>
        <v>0</v>
      </c>
      <c r="H419" s="35">
        <f t="shared" si="53"/>
        <v>0</v>
      </c>
      <c r="I419" s="35">
        <f t="shared" si="53"/>
        <v>0</v>
      </c>
      <c r="J419" s="35">
        <f t="shared" si="53"/>
        <v>0</v>
      </c>
      <c r="K419" s="35">
        <f t="shared" si="53"/>
        <v>0</v>
      </c>
      <c r="L419" s="35">
        <f t="shared" si="50"/>
        <v>0</v>
      </c>
      <c r="M419" s="35">
        <f t="shared" si="52"/>
        <v>0</v>
      </c>
      <c r="S419" t="s">
        <v>90</v>
      </c>
      <c r="T419" s="5">
        <f>data_origin!T499</f>
        <v>0</v>
      </c>
      <c r="U419" s="5">
        <f>data_origin!U499</f>
        <v>0</v>
      </c>
      <c r="V419" s="5">
        <f>data_origin!V499</f>
        <v>0</v>
      </c>
      <c r="W419" s="5">
        <f>data_origin!W499</f>
        <v>0</v>
      </c>
      <c r="X419" s="5">
        <f>data_origin!X499</f>
        <v>0</v>
      </c>
      <c r="Y419" s="5">
        <f>data_origin!Y499</f>
        <v>0</v>
      </c>
      <c r="Z419" s="5">
        <f>data_origin!Z499</f>
        <v>0</v>
      </c>
      <c r="AA419" s="5">
        <f>data_origin!AA499</f>
        <v>0</v>
      </c>
      <c r="AB419" s="5">
        <f t="shared" si="55"/>
        <v>0</v>
      </c>
      <c r="AH419" t="s">
        <v>90</v>
      </c>
      <c r="AI419" s="5">
        <f>data_origin!T2746</f>
        <v>0</v>
      </c>
      <c r="AJ419" s="5">
        <f>data_origin!U2746</f>
        <v>0</v>
      </c>
      <c r="AK419" s="5">
        <f>data_origin!V2746</f>
        <v>0</v>
      </c>
      <c r="AL419" s="5">
        <f>data_origin!W2746</f>
        <v>0</v>
      </c>
      <c r="AM419" s="5">
        <f>data_origin!X2746</f>
        <v>0</v>
      </c>
      <c r="AN419" s="5">
        <f>data_origin!Y2746</f>
        <v>0</v>
      </c>
      <c r="AO419" s="5">
        <f>data_origin!Z2746</f>
        <v>0</v>
      </c>
      <c r="AP419" s="5">
        <f>data_origin!AA2746</f>
        <v>0</v>
      </c>
      <c r="AQ419" s="9">
        <f t="shared" si="48"/>
        <v>0</v>
      </c>
      <c r="AV419" t="s">
        <v>90</v>
      </c>
      <c r="AW419" s="5">
        <f>data_origin!T3460</f>
        <v>0</v>
      </c>
      <c r="AX419" s="5">
        <f>data_origin!U3460</f>
        <v>0</v>
      </c>
      <c r="AY419" s="5">
        <f>data_origin!V3460</f>
        <v>0</v>
      </c>
      <c r="AZ419" s="5">
        <f>data_origin!W3460</f>
        <v>0</v>
      </c>
      <c r="BA419" s="5">
        <f>data_origin!X3460</f>
        <v>0</v>
      </c>
      <c r="BB419" s="5">
        <f>data_origin!Y3460</f>
        <v>0</v>
      </c>
      <c r="BC419" s="5">
        <f>data_origin!Z3460</f>
        <v>0</v>
      </c>
      <c r="BD419" s="5">
        <f>data_origin!AA3460</f>
        <v>0</v>
      </c>
      <c r="BE419" s="9">
        <f t="shared" si="49"/>
        <v>0</v>
      </c>
    </row>
    <row r="420" spans="1:58" x14ac:dyDescent="0.25">
      <c r="D420" t="s">
        <v>91</v>
      </c>
      <c r="E420" s="35">
        <f t="shared" si="54"/>
        <v>0</v>
      </c>
      <c r="F420" s="35">
        <f t="shared" si="54"/>
        <v>0</v>
      </c>
      <c r="G420" s="35">
        <f t="shared" si="54"/>
        <v>0</v>
      </c>
      <c r="H420" s="35">
        <f t="shared" si="53"/>
        <v>0</v>
      </c>
      <c r="I420" s="35">
        <f t="shared" si="53"/>
        <v>0</v>
      </c>
      <c r="J420" s="35">
        <f t="shared" si="53"/>
        <v>0</v>
      </c>
      <c r="K420" s="35">
        <f t="shared" si="53"/>
        <v>0</v>
      </c>
      <c r="L420" s="35">
        <f t="shared" si="50"/>
        <v>0</v>
      </c>
      <c r="M420" s="35">
        <f t="shared" si="52"/>
        <v>0</v>
      </c>
      <c r="S420" t="s">
        <v>91</v>
      </c>
      <c r="T420" s="5">
        <f>data_origin!T500</f>
        <v>0</v>
      </c>
      <c r="U420" s="5">
        <f>data_origin!U500</f>
        <v>0</v>
      </c>
      <c r="V420" s="5">
        <f>data_origin!V500</f>
        <v>0</v>
      </c>
      <c r="W420" s="5">
        <f>data_origin!W500</f>
        <v>0</v>
      </c>
      <c r="X420" s="5">
        <f>data_origin!X500</f>
        <v>0</v>
      </c>
      <c r="Y420" s="5">
        <f>data_origin!Y500</f>
        <v>0</v>
      </c>
      <c r="Z420" s="5">
        <f>data_origin!Z500</f>
        <v>0</v>
      </c>
      <c r="AA420" s="5">
        <f>data_origin!AA500</f>
        <v>0</v>
      </c>
      <c r="AB420" s="5">
        <f t="shared" si="55"/>
        <v>0</v>
      </c>
      <c r="AH420" t="s">
        <v>91</v>
      </c>
      <c r="AI420" s="5">
        <f>data_origin!T2747</f>
        <v>0</v>
      </c>
      <c r="AJ420" s="5">
        <f>data_origin!U2747</f>
        <v>0</v>
      </c>
      <c r="AK420" s="5">
        <f>data_origin!V2747</f>
        <v>0</v>
      </c>
      <c r="AL420" s="5">
        <f>data_origin!W2747</f>
        <v>0</v>
      </c>
      <c r="AM420" s="5">
        <f>data_origin!X2747</f>
        <v>0</v>
      </c>
      <c r="AN420" s="5">
        <f>data_origin!Y2747</f>
        <v>0</v>
      </c>
      <c r="AO420" s="5">
        <f>data_origin!Z2747</f>
        <v>0</v>
      </c>
      <c r="AP420" s="5">
        <f>data_origin!AA2747</f>
        <v>0</v>
      </c>
      <c r="AQ420" s="9">
        <f t="shared" ref="AQ420:AQ483" si="56">SUM(AI420:AP420)</f>
        <v>0</v>
      </c>
      <c r="AV420" t="s">
        <v>91</v>
      </c>
      <c r="AW420" s="5">
        <f>data_origin!T3461</f>
        <v>0</v>
      </c>
      <c r="AX420" s="5">
        <f>data_origin!U3461</f>
        <v>0</v>
      </c>
      <c r="AY420" s="5">
        <f>data_origin!V3461</f>
        <v>0</v>
      </c>
      <c r="AZ420" s="5">
        <f>data_origin!W3461</f>
        <v>0</v>
      </c>
      <c r="BA420" s="5">
        <f>data_origin!X3461</f>
        <v>0</v>
      </c>
      <c r="BB420" s="5">
        <f>data_origin!Y3461</f>
        <v>0</v>
      </c>
      <c r="BC420" s="5">
        <f>data_origin!Z3461</f>
        <v>0</v>
      </c>
      <c r="BD420" s="5">
        <f>data_origin!AA3461</f>
        <v>0</v>
      </c>
      <c r="BE420" s="9">
        <f t="shared" ref="BE420:BE483" si="57">SUM(AW420:BD420)</f>
        <v>0</v>
      </c>
    </row>
    <row r="421" spans="1:58" x14ac:dyDescent="0.25">
      <c r="D421" t="s">
        <v>92</v>
      </c>
      <c r="E421" s="35">
        <f t="shared" si="54"/>
        <v>0</v>
      </c>
      <c r="F421" s="35">
        <f t="shared" si="54"/>
        <v>0</v>
      </c>
      <c r="G421" s="35">
        <f t="shared" si="54"/>
        <v>0</v>
      </c>
      <c r="H421" s="35">
        <f t="shared" si="53"/>
        <v>0</v>
      </c>
      <c r="I421" s="35">
        <f t="shared" si="53"/>
        <v>0</v>
      </c>
      <c r="J421" s="35">
        <f t="shared" si="53"/>
        <v>0</v>
      </c>
      <c r="K421" s="35">
        <f t="shared" si="53"/>
        <v>0</v>
      </c>
      <c r="L421" s="35">
        <f t="shared" si="50"/>
        <v>0</v>
      </c>
      <c r="M421" s="35">
        <f t="shared" si="52"/>
        <v>0</v>
      </c>
      <c r="S421" t="s">
        <v>92</v>
      </c>
      <c r="T421" s="5">
        <f>data_origin!T501</f>
        <v>0</v>
      </c>
      <c r="U421" s="5">
        <f>data_origin!U501</f>
        <v>0</v>
      </c>
      <c r="V421" s="5">
        <f>data_origin!V501</f>
        <v>0</v>
      </c>
      <c r="W421" s="5">
        <f>data_origin!W501</f>
        <v>0</v>
      </c>
      <c r="X421" s="5">
        <f>data_origin!X501</f>
        <v>0</v>
      </c>
      <c r="Y421" s="5">
        <f>data_origin!Y501</f>
        <v>0</v>
      </c>
      <c r="Z421" s="5">
        <f>data_origin!Z501</f>
        <v>0</v>
      </c>
      <c r="AA421" s="5">
        <f>data_origin!AA501</f>
        <v>0</v>
      </c>
      <c r="AB421" s="5">
        <f t="shared" si="55"/>
        <v>0</v>
      </c>
      <c r="AH421" t="s">
        <v>92</v>
      </c>
      <c r="AI421" s="5">
        <f>data_origin!T2748</f>
        <v>0</v>
      </c>
      <c r="AJ421" s="5">
        <f>data_origin!U2748</f>
        <v>0</v>
      </c>
      <c r="AK421" s="5">
        <f>data_origin!V2748</f>
        <v>0</v>
      </c>
      <c r="AL421" s="5">
        <f>data_origin!W2748</f>
        <v>0</v>
      </c>
      <c r="AM421" s="5">
        <f>data_origin!X2748</f>
        <v>0</v>
      </c>
      <c r="AN421" s="5">
        <f>data_origin!Y2748</f>
        <v>0</v>
      </c>
      <c r="AO421" s="5">
        <f>data_origin!Z2748</f>
        <v>0</v>
      </c>
      <c r="AP421" s="5">
        <f>data_origin!AA2748</f>
        <v>0</v>
      </c>
      <c r="AQ421" s="9">
        <f t="shared" si="56"/>
        <v>0</v>
      </c>
      <c r="AV421" t="s">
        <v>92</v>
      </c>
      <c r="AW421" s="5">
        <f>data_origin!T3462</f>
        <v>0</v>
      </c>
      <c r="AX421" s="5">
        <f>data_origin!U3462</f>
        <v>0</v>
      </c>
      <c r="AY421" s="5">
        <f>data_origin!V3462</f>
        <v>0</v>
      </c>
      <c r="AZ421" s="5">
        <f>data_origin!W3462</f>
        <v>0</v>
      </c>
      <c r="BA421" s="5">
        <f>data_origin!X3462</f>
        <v>0</v>
      </c>
      <c r="BB421" s="5">
        <f>data_origin!Y3462</f>
        <v>0</v>
      </c>
      <c r="BC421" s="5">
        <f>data_origin!Z3462</f>
        <v>0</v>
      </c>
      <c r="BD421" s="5">
        <f>data_origin!AA3462</f>
        <v>0</v>
      </c>
      <c r="BE421" s="9">
        <f t="shared" si="57"/>
        <v>0</v>
      </c>
    </row>
    <row r="422" spans="1:58" x14ac:dyDescent="0.25">
      <c r="D422" t="s">
        <v>93</v>
      </c>
      <c r="E422" s="35">
        <f t="shared" si="54"/>
        <v>0</v>
      </c>
      <c r="F422" s="35">
        <f t="shared" si="54"/>
        <v>0</v>
      </c>
      <c r="G422" s="35">
        <f t="shared" si="54"/>
        <v>0</v>
      </c>
      <c r="H422" s="35">
        <f t="shared" si="53"/>
        <v>0</v>
      </c>
      <c r="I422" s="35">
        <f t="shared" si="53"/>
        <v>0</v>
      </c>
      <c r="J422" s="35">
        <f t="shared" si="53"/>
        <v>0</v>
      </c>
      <c r="K422" s="35">
        <f t="shared" si="53"/>
        <v>0</v>
      </c>
      <c r="L422" s="35">
        <f t="shared" si="50"/>
        <v>0</v>
      </c>
      <c r="M422" s="35">
        <f t="shared" si="52"/>
        <v>0</v>
      </c>
      <c r="S422" t="s">
        <v>93</v>
      </c>
      <c r="T422" s="5">
        <f>data_origin!T502</f>
        <v>0</v>
      </c>
      <c r="U422" s="5">
        <f>data_origin!U502</f>
        <v>0</v>
      </c>
      <c r="V422" s="5">
        <f>data_origin!V502</f>
        <v>0</v>
      </c>
      <c r="W422" s="5">
        <f>data_origin!W502</f>
        <v>0</v>
      </c>
      <c r="X422" s="5">
        <f>data_origin!X502</f>
        <v>0</v>
      </c>
      <c r="Y422" s="5">
        <f>data_origin!Y502</f>
        <v>0</v>
      </c>
      <c r="Z422" s="5">
        <f>data_origin!Z502</f>
        <v>0</v>
      </c>
      <c r="AA422" s="5">
        <f>data_origin!AA502</f>
        <v>0</v>
      </c>
      <c r="AB422" s="5">
        <f t="shared" si="55"/>
        <v>0</v>
      </c>
      <c r="AH422" t="s">
        <v>93</v>
      </c>
      <c r="AI422" s="5">
        <f>data_origin!T2749</f>
        <v>0</v>
      </c>
      <c r="AJ422" s="5">
        <f>data_origin!U2749</f>
        <v>0</v>
      </c>
      <c r="AK422" s="5">
        <f>data_origin!V2749</f>
        <v>0</v>
      </c>
      <c r="AL422" s="5">
        <f>data_origin!W2749</f>
        <v>0</v>
      </c>
      <c r="AM422" s="5">
        <f>data_origin!X2749</f>
        <v>0</v>
      </c>
      <c r="AN422" s="5">
        <f>data_origin!Y2749</f>
        <v>0</v>
      </c>
      <c r="AO422" s="5">
        <f>data_origin!Z2749</f>
        <v>0</v>
      </c>
      <c r="AP422" s="5">
        <f>data_origin!AA2749</f>
        <v>0</v>
      </c>
      <c r="AQ422" s="9">
        <f t="shared" si="56"/>
        <v>0</v>
      </c>
      <c r="AV422" t="s">
        <v>93</v>
      </c>
      <c r="AW422" s="5">
        <f>data_origin!T3463</f>
        <v>0</v>
      </c>
      <c r="AX422" s="5">
        <f>data_origin!U3463</f>
        <v>0</v>
      </c>
      <c r="AY422" s="5">
        <f>data_origin!V3463</f>
        <v>0</v>
      </c>
      <c r="AZ422" s="5">
        <f>data_origin!W3463</f>
        <v>0</v>
      </c>
      <c r="BA422" s="5">
        <f>data_origin!X3463</f>
        <v>0</v>
      </c>
      <c r="BB422" s="5">
        <f>data_origin!Y3463</f>
        <v>0</v>
      </c>
      <c r="BC422" s="5">
        <f>data_origin!Z3463</f>
        <v>0</v>
      </c>
      <c r="BD422" s="5">
        <f>data_origin!AA3463</f>
        <v>0</v>
      </c>
      <c r="BE422" s="9">
        <f t="shared" si="57"/>
        <v>0</v>
      </c>
    </row>
    <row r="423" spans="1:58" x14ac:dyDescent="0.25">
      <c r="D423" t="s">
        <v>94</v>
      </c>
      <c r="E423" s="35">
        <f t="shared" si="54"/>
        <v>0</v>
      </c>
      <c r="F423" s="35">
        <f t="shared" si="54"/>
        <v>0</v>
      </c>
      <c r="G423" s="35">
        <f t="shared" si="54"/>
        <v>0</v>
      </c>
      <c r="H423" s="35">
        <f t="shared" si="53"/>
        <v>0</v>
      </c>
      <c r="I423" s="35">
        <f t="shared" si="53"/>
        <v>0</v>
      </c>
      <c r="J423" s="35">
        <f t="shared" si="53"/>
        <v>0</v>
      </c>
      <c r="K423" s="35">
        <f t="shared" si="53"/>
        <v>0</v>
      </c>
      <c r="L423" s="35">
        <f t="shared" si="50"/>
        <v>0</v>
      </c>
      <c r="M423" s="35">
        <f t="shared" si="52"/>
        <v>0</v>
      </c>
      <c r="S423" t="s">
        <v>94</v>
      </c>
      <c r="T423" s="5">
        <f>data_origin!T503</f>
        <v>0</v>
      </c>
      <c r="U423" s="5">
        <f>data_origin!U503</f>
        <v>0</v>
      </c>
      <c r="V423" s="5">
        <f>data_origin!V503</f>
        <v>0</v>
      </c>
      <c r="W423" s="5">
        <f>data_origin!W503</f>
        <v>0</v>
      </c>
      <c r="X423" s="5">
        <f>data_origin!X503</f>
        <v>0</v>
      </c>
      <c r="Y423" s="5">
        <f>data_origin!Y503</f>
        <v>0</v>
      </c>
      <c r="Z423" s="5">
        <f>data_origin!Z503</f>
        <v>0</v>
      </c>
      <c r="AA423" s="5">
        <f>data_origin!AA503</f>
        <v>0</v>
      </c>
      <c r="AB423" s="5">
        <f t="shared" si="55"/>
        <v>0</v>
      </c>
      <c r="AH423" t="s">
        <v>94</v>
      </c>
      <c r="AI423" s="5">
        <f>data_origin!T2750</f>
        <v>0</v>
      </c>
      <c r="AJ423" s="5">
        <f>data_origin!U2750</f>
        <v>0</v>
      </c>
      <c r="AK423" s="5">
        <f>data_origin!V2750</f>
        <v>0</v>
      </c>
      <c r="AL423" s="5">
        <f>data_origin!W2750</f>
        <v>0</v>
      </c>
      <c r="AM423" s="5">
        <f>data_origin!X2750</f>
        <v>0</v>
      </c>
      <c r="AN423" s="5">
        <f>data_origin!Y2750</f>
        <v>0</v>
      </c>
      <c r="AO423" s="5">
        <f>data_origin!Z2750</f>
        <v>0</v>
      </c>
      <c r="AP423" s="5">
        <f>data_origin!AA2750</f>
        <v>0</v>
      </c>
      <c r="AQ423" s="9">
        <f t="shared" si="56"/>
        <v>0</v>
      </c>
      <c r="AV423" t="s">
        <v>94</v>
      </c>
      <c r="AW423" s="5">
        <f>data_origin!T3464</f>
        <v>0</v>
      </c>
      <c r="AX423" s="5">
        <f>data_origin!U3464</f>
        <v>0</v>
      </c>
      <c r="AY423" s="5">
        <f>data_origin!V3464</f>
        <v>0</v>
      </c>
      <c r="AZ423" s="5">
        <f>data_origin!W3464</f>
        <v>0</v>
      </c>
      <c r="BA423" s="5">
        <f>data_origin!X3464</f>
        <v>0</v>
      </c>
      <c r="BB423" s="5">
        <f>data_origin!Y3464</f>
        <v>0</v>
      </c>
      <c r="BC423" s="5">
        <f>data_origin!Z3464</f>
        <v>0</v>
      </c>
      <c r="BD423" s="5">
        <f>data_origin!AA3464</f>
        <v>0</v>
      </c>
      <c r="BE423" s="9">
        <f t="shared" si="57"/>
        <v>0</v>
      </c>
    </row>
    <row r="424" spans="1:58" x14ac:dyDescent="0.25">
      <c r="D424" t="s">
        <v>95</v>
      </c>
      <c r="E424" s="35">
        <f t="shared" si="54"/>
        <v>0</v>
      </c>
      <c r="F424" s="35">
        <f t="shared" si="54"/>
        <v>0</v>
      </c>
      <c r="G424" s="35">
        <f t="shared" si="54"/>
        <v>0</v>
      </c>
      <c r="H424" s="35">
        <f t="shared" si="53"/>
        <v>0</v>
      </c>
      <c r="I424" s="35">
        <f t="shared" si="53"/>
        <v>0</v>
      </c>
      <c r="J424" s="35">
        <f t="shared" si="53"/>
        <v>0</v>
      </c>
      <c r="K424" s="35">
        <f t="shared" si="53"/>
        <v>0</v>
      </c>
      <c r="L424" s="35">
        <f t="shared" si="50"/>
        <v>0</v>
      </c>
      <c r="M424" s="35">
        <f t="shared" si="52"/>
        <v>0</v>
      </c>
      <c r="S424" t="s">
        <v>95</v>
      </c>
      <c r="T424" s="5">
        <f>data_origin!T504</f>
        <v>0</v>
      </c>
      <c r="U424" s="5">
        <f>data_origin!U504</f>
        <v>0</v>
      </c>
      <c r="V424" s="5">
        <f>data_origin!V504</f>
        <v>0</v>
      </c>
      <c r="W424" s="5">
        <f>data_origin!W504</f>
        <v>0</v>
      </c>
      <c r="X424" s="5">
        <f>data_origin!X504</f>
        <v>0</v>
      </c>
      <c r="Y424" s="5">
        <f>data_origin!Y504</f>
        <v>0</v>
      </c>
      <c r="Z424" s="5">
        <f>data_origin!Z504</f>
        <v>0</v>
      </c>
      <c r="AA424" s="5">
        <f>data_origin!AA504</f>
        <v>0</v>
      </c>
      <c r="AB424" s="5">
        <f t="shared" si="55"/>
        <v>0</v>
      </c>
      <c r="AH424" t="s">
        <v>95</v>
      </c>
      <c r="AI424" s="5">
        <f>data_origin!T2751</f>
        <v>0</v>
      </c>
      <c r="AJ424" s="5">
        <f>data_origin!U2751</f>
        <v>0</v>
      </c>
      <c r="AK424" s="5">
        <f>data_origin!V2751</f>
        <v>0</v>
      </c>
      <c r="AL424" s="5">
        <f>data_origin!W2751</f>
        <v>0</v>
      </c>
      <c r="AM424" s="5">
        <f>data_origin!X2751</f>
        <v>0</v>
      </c>
      <c r="AN424" s="5">
        <f>data_origin!Y2751</f>
        <v>0</v>
      </c>
      <c r="AO424" s="5">
        <f>data_origin!Z2751</f>
        <v>0</v>
      </c>
      <c r="AP424" s="5">
        <f>data_origin!AA2751</f>
        <v>0</v>
      </c>
      <c r="AQ424" s="9">
        <f t="shared" si="56"/>
        <v>0</v>
      </c>
      <c r="AV424" t="s">
        <v>95</v>
      </c>
      <c r="AW424" s="5">
        <f>data_origin!T3465</f>
        <v>0</v>
      </c>
      <c r="AX424" s="5">
        <f>data_origin!U3465</f>
        <v>0</v>
      </c>
      <c r="AY424" s="5">
        <f>data_origin!V3465</f>
        <v>0</v>
      </c>
      <c r="AZ424" s="5">
        <f>data_origin!W3465</f>
        <v>0</v>
      </c>
      <c r="BA424" s="5">
        <f>data_origin!X3465</f>
        <v>0</v>
      </c>
      <c r="BB424" s="5">
        <f>data_origin!Y3465</f>
        <v>0</v>
      </c>
      <c r="BC424" s="5">
        <f>data_origin!Z3465</f>
        <v>0</v>
      </c>
      <c r="BD424" s="5">
        <f>data_origin!AA3465</f>
        <v>0</v>
      </c>
      <c r="BE424" s="9">
        <f t="shared" si="57"/>
        <v>0</v>
      </c>
    </row>
    <row r="425" spans="1:58" x14ac:dyDescent="0.25">
      <c r="D425" t="s">
        <v>96</v>
      </c>
      <c r="E425" s="35">
        <f t="shared" si="54"/>
        <v>0</v>
      </c>
      <c r="F425" s="35">
        <f t="shared" si="54"/>
        <v>0</v>
      </c>
      <c r="G425" s="35">
        <f t="shared" si="54"/>
        <v>0</v>
      </c>
      <c r="H425" s="35">
        <f t="shared" si="53"/>
        <v>0</v>
      </c>
      <c r="I425" s="35">
        <f t="shared" si="53"/>
        <v>0</v>
      </c>
      <c r="J425" s="35">
        <f t="shared" si="53"/>
        <v>0</v>
      </c>
      <c r="K425" s="35">
        <f t="shared" si="53"/>
        <v>0</v>
      </c>
      <c r="L425" s="35">
        <f t="shared" si="50"/>
        <v>0</v>
      </c>
      <c r="M425" s="35">
        <f t="shared" si="52"/>
        <v>0</v>
      </c>
      <c r="S425" t="s">
        <v>96</v>
      </c>
      <c r="T425" s="5">
        <f>data_origin!T505</f>
        <v>0</v>
      </c>
      <c r="U425" s="5">
        <f>data_origin!U505</f>
        <v>0</v>
      </c>
      <c r="V425" s="5">
        <f>data_origin!V505</f>
        <v>0</v>
      </c>
      <c r="W425" s="5">
        <f>data_origin!W505</f>
        <v>0</v>
      </c>
      <c r="X425" s="5">
        <f>data_origin!X505</f>
        <v>0</v>
      </c>
      <c r="Y425" s="5">
        <f>data_origin!Y505</f>
        <v>0</v>
      </c>
      <c r="Z425" s="5">
        <f>data_origin!Z505</f>
        <v>0</v>
      </c>
      <c r="AA425" s="5">
        <f>data_origin!AA505</f>
        <v>0</v>
      </c>
      <c r="AB425" s="5">
        <f t="shared" si="55"/>
        <v>0</v>
      </c>
      <c r="AH425" t="s">
        <v>96</v>
      </c>
      <c r="AI425" s="5">
        <f>data_origin!T2752</f>
        <v>0</v>
      </c>
      <c r="AJ425" s="5">
        <f>data_origin!U2752</f>
        <v>0</v>
      </c>
      <c r="AK425" s="5">
        <f>data_origin!V2752</f>
        <v>0</v>
      </c>
      <c r="AL425" s="5">
        <f>data_origin!W2752</f>
        <v>0</v>
      </c>
      <c r="AM425" s="5">
        <f>data_origin!X2752</f>
        <v>0</v>
      </c>
      <c r="AN425" s="5">
        <f>data_origin!Y2752</f>
        <v>0</v>
      </c>
      <c r="AO425" s="5">
        <f>data_origin!Z2752</f>
        <v>0</v>
      </c>
      <c r="AP425" s="5">
        <f>data_origin!AA2752</f>
        <v>0</v>
      </c>
      <c r="AQ425" s="9">
        <f t="shared" si="56"/>
        <v>0</v>
      </c>
      <c r="AV425" t="s">
        <v>96</v>
      </c>
      <c r="AW425" s="5">
        <f>data_origin!T3466</f>
        <v>0</v>
      </c>
      <c r="AX425" s="5">
        <f>data_origin!U3466</f>
        <v>0</v>
      </c>
      <c r="AY425" s="5">
        <f>data_origin!V3466</f>
        <v>0</v>
      </c>
      <c r="AZ425" s="5">
        <f>data_origin!W3466</f>
        <v>0</v>
      </c>
      <c r="BA425" s="5">
        <f>data_origin!X3466</f>
        <v>0</v>
      </c>
      <c r="BB425" s="5">
        <f>data_origin!Y3466</f>
        <v>0</v>
      </c>
      <c r="BC425" s="5">
        <f>data_origin!Z3466</f>
        <v>0</v>
      </c>
      <c r="BD425" s="5">
        <f>data_origin!AA3466</f>
        <v>0</v>
      </c>
      <c r="BE425" s="9">
        <f t="shared" si="57"/>
        <v>0</v>
      </c>
    </row>
    <row r="426" spans="1:58" x14ac:dyDescent="0.25">
      <c r="D426" t="s">
        <v>97</v>
      </c>
      <c r="E426" s="35">
        <f t="shared" si="54"/>
        <v>0</v>
      </c>
      <c r="F426" s="35">
        <f t="shared" si="54"/>
        <v>0</v>
      </c>
      <c r="G426" s="35">
        <f t="shared" si="54"/>
        <v>0</v>
      </c>
      <c r="H426" s="35">
        <f t="shared" si="53"/>
        <v>0</v>
      </c>
      <c r="I426" s="35">
        <f t="shared" si="53"/>
        <v>0</v>
      </c>
      <c r="J426" s="35">
        <f t="shared" si="53"/>
        <v>0</v>
      </c>
      <c r="K426" s="35">
        <f t="shared" si="53"/>
        <v>0</v>
      </c>
      <c r="L426" s="35">
        <f t="shared" si="50"/>
        <v>0</v>
      </c>
      <c r="M426" s="35">
        <f t="shared" si="52"/>
        <v>0</v>
      </c>
      <c r="S426" t="s">
        <v>97</v>
      </c>
      <c r="T426" s="5">
        <f>data_origin!T506</f>
        <v>0</v>
      </c>
      <c r="U426" s="5">
        <f>data_origin!U506</f>
        <v>0</v>
      </c>
      <c r="V426" s="5">
        <f>data_origin!V506</f>
        <v>0</v>
      </c>
      <c r="W426" s="5">
        <f>data_origin!W506</f>
        <v>0</v>
      </c>
      <c r="X426" s="5">
        <f>data_origin!X506</f>
        <v>0</v>
      </c>
      <c r="Y426" s="5">
        <f>data_origin!Y506</f>
        <v>0</v>
      </c>
      <c r="Z426" s="5">
        <f>data_origin!Z506</f>
        <v>0</v>
      </c>
      <c r="AA426" s="5">
        <f>data_origin!AA506</f>
        <v>0</v>
      </c>
      <c r="AB426" s="5">
        <f t="shared" si="55"/>
        <v>0</v>
      </c>
      <c r="AH426" t="s">
        <v>97</v>
      </c>
      <c r="AI426" s="5">
        <f>data_origin!T2753</f>
        <v>0</v>
      </c>
      <c r="AJ426" s="5">
        <f>data_origin!U2753</f>
        <v>0</v>
      </c>
      <c r="AK426" s="5">
        <f>data_origin!V2753</f>
        <v>0</v>
      </c>
      <c r="AL426" s="5">
        <f>data_origin!W2753</f>
        <v>0</v>
      </c>
      <c r="AM426" s="5">
        <f>data_origin!X2753</f>
        <v>0</v>
      </c>
      <c r="AN426" s="5">
        <f>data_origin!Y2753</f>
        <v>0</v>
      </c>
      <c r="AO426" s="5">
        <f>data_origin!Z2753</f>
        <v>0</v>
      </c>
      <c r="AP426" s="5">
        <f>data_origin!AA2753</f>
        <v>0</v>
      </c>
      <c r="AQ426" s="9">
        <f t="shared" si="56"/>
        <v>0</v>
      </c>
      <c r="AV426" t="s">
        <v>97</v>
      </c>
      <c r="AW426" s="5">
        <f>data_origin!T3467</f>
        <v>0</v>
      </c>
      <c r="AX426" s="5">
        <f>data_origin!U3467</f>
        <v>0</v>
      </c>
      <c r="AY426" s="5">
        <f>data_origin!V3467</f>
        <v>0</v>
      </c>
      <c r="AZ426" s="5">
        <f>data_origin!W3467</f>
        <v>0</v>
      </c>
      <c r="BA426" s="5">
        <f>data_origin!X3467</f>
        <v>0</v>
      </c>
      <c r="BB426" s="5">
        <f>data_origin!Y3467</f>
        <v>0</v>
      </c>
      <c r="BC426" s="5">
        <f>data_origin!Z3467</f>
        <v>0</v>
      </c>
      <c r="BD426" s="5">
        <f>data_origin!AA3467</f>
        <v>0</v>
      </c>
      <c r="BE426" s="9">
        <f t="shared" si="57"/>
        <v>0</v>
      </c>
    </row>
    <row r="427" spans="1:58" x14ac:dyDescent="0.25">
      <c r="D427" t="s">
        <v>119</v>
      </c>
      <c r="E427" s="35">
        <f t="shared" si="54"/>
        <v>0</v>
      </c>
      <c r="F427" s="35">
        <f t="shared" si="54"/>
        <v>0</v>
      </c>
      <c r="G427" s="35">
        <f t="shared" si="54"/>
        <v>0</v>
      </c>
      <c r="H427" s="35">
        <f t="shared" si="53"/>
        <v>0</v>
      </c>
      <c r="I427" s="35">
        <f t="shared" si="53"/>
        <v>0</v>
      </c>
      <c r="J427" s="35">
        <f t="shared" si="53"/>
        <v>0</v>
      </c>
      <c r="K427" s="35">
        <f t="shared" si="53"/>
        <v>0</v>
      </c>
      <c r="L427" s="35">
        <f t="shared" si="50"/>
        <v>0</v>
      </c>
      <c r="M427" s="35">
        <f t="shared" si="52"/>
        <v>0</v>
      </c>
      <c r="S427" t="s">
        <v>119</v>
      </c>
      <c r="T427" s="5">
        <f>data_origin!T507</f>
        <v>0</v>
      </c>
      <c r="U427" s="5">
        <f>data_origin!U507</f>
        <v>0</v>
      </c>
      <c r="V427" s="5">
        <f>data_origin!V507</f>
        <v>0</v>
      </c>
      <c r="W427" s="5">
        <f>data_origin!W507</f>
        <v>0</v>
      </c>
      <c r="X427" s="5">
        <f>data_origin!X507</f>
        <v>0</v>
      </c>
      <c r="Y427" s="5">
        <f>data_origin!Y507</f>
        <v>0</v>
      </c>
      <c r="Z427" s="5">
        <f>data_origin!Z507</f>
        <v>0</v>
      </c>
      <c r="AA427" s="5">
        <f>data_origin!AA507</f>
        <v>0</v>
      </c>
      <c r="AB427" s="5">
        <f t="shared" si="55"/>
        <v>0</v>
      </c>
      <c r="AH427" t="s">
        <v>98</v>
      </c>
      <c r="AI427" s="5">
        <f>data_origin!T2754</f>
        <v>0</v>
      </c>
      <c r="AJ427" s="5">
        <f>data_origin!U2754</f>
        <v>0</v>
      </c>
      <c r="AK427" s="5">
        <f>data_origin!V2754</f>
        <v>0</v>
      </c>
      <c r="AL427" s="5">
        <f>data_origin!W2754</f>
        <v>0</v>
      </c>
      <c r="AM427" s="5">
        <f>data_origin!X2754</f>
        <v>0</v>
      </c>
      <c r="AN427" s="5">
        <f>data_origin!Y2754</f>
        <v>0</v>
      </c>
      <c r="AO427" s="5">
        <f>data_origin!Z2754</f>
        <v>0</v>
      </c>
      <c r="AP427" s="5">
        <f>data_origin!AA2754</f>
        <v>0</v>
      </c>
      <c r="AQ427" s="9">
        <f t="shared" si="56"/>
        <v>0</v>
      </c>
      <c r="AV427" t="s">
        <v>98</v>
      </c>
      <c r="AW427" s="5">
        <f>data_origin!T3468</f>
        <v>0</v>
      </c>
      <c r="AX427" s="5">
        <f>data_origin!U3468</f>
        <v>0</v>
      </c>
      <c r="AY427" s="5">
        <f>data_origin!V3468</f>
        <v>0</v>
      </c>
      <c r="AZ427" s="5">
        <f>data_origin!W3468</f>
        <v>0</v>
      </c>
      <c r="BA427" s="5">
        <f>data_origin!X3468</f>
        <v>0</v>
      </c>
      <c r="BB427" s="5">
        <f>data_origin!Y3468</f>
        <v>0</v>
      </c>
      <c r="BC427" s="5">
        <f>data_origin!Z3468</f>
        <v>0</v>
      </c>
      <c r="BD427" s="5">
        <f>data_origin!AA3468</f>
        <v>0</v>
      </c>
      <c r="BE427" s="9">
        <f t="shared" si="57"/>
        <v>0</v>
      </c>
    </row>
    <row r="428" spans="1:58" x14ac:dyDescent="0.25">
      <c r="D428" t="s">
        <v>98</v>
      </c>
      <c r="E428" s="35">
        <f t="shared" si="54"/>
        <v>0</v>
      </c>
      <c r="F428" s="35">
        <f t="shared" si="54"/>
        <v>0</v>
      </c>
      <c r="G428" s="35">
        <f t="shared" si="54"/>
        <v>0</v>
      </c>
      <c r="H428" s="35">
        <f t="shared" si="53"/>
        <v>0</v>
      </c>
      <c r="I428" s="35">
        <f t="shared" si="53"/>
        <v>0</v>
      </c>
      <c r="J428" s="35">
        <f t="shared" si="53"/>
        <v>0</v>
      </c>
      <c r="K428" s="35">
        <f t="shared" si="53"/>
        <v>0</v>
      </c>
      <c r="L428" s="35">
        <f t="shared" si="50"/>
        <v>0</v>
      </c>
      <c r="M428" s="35">
        <f t="shared" si="52"/>
        <v>0</v>
      </c>
      <c r="S428" t="s">
        <v>98</v>
      </c>
      <c r="T428" s="5">
        <f>data_origin!T508</f>
        <v>0</v>
      </c>
      <c r="U428" s="5">
        <f>data_origin!U508</f>
        <v>0</v>
      </c>
      <c r="V428" s="5">
        <f>data_origin!V508</f>
        <v>0</v>
      </c>
      <c r="W428" s="5">
        <f>data_origin!W508</f>
        <v>0</v>
      </c>
      <c r="X428" s="5">
        <f>data_origin!X508</f>
        <v>0</v>
      </c>
      <c r="Y428" s="5">
        <f>data_origin!Y508</f>
        <v>0</v>
      </c>
      <c r="Z428" s="5">
        <f>data_origin!Z508</f>
        <v>0</v>
      </c>
      <c r="AA428" s="5">
        <f>data_origin!AA508</f>
        <v>0</v>
      </c>
      <c r="AB428" s="5">
        <f t="shared" si="55"/>
        <v>0</v>
      </c>
      <c r="AH428" t="s">
        <v>119</v>
      </c>
      <c r="AI428" s="5">
        <f>data_origin!T2755</f>
        <v>0</v>
      </c>
      <c r="AJ428" s="5">
        <f>data_origin!U2755</f>
        <v>0</v>
      </c>
      <c r="AK428" s="5">
        <f>data_origin!V2755</f>
        <v>0</v>
      </c>
      <c r="AL428" s="5">
        <f>data_origin!W2755</f>
        <v>0</v>
      </c>
      <c r="AM428" s="5">
        <f>data_origin!X2755</f>
        <v>0</v>
      </c>
      <c r="AN428" s="5">
        <f>data_origin!Y2755</f>
        <v>0</v>
      </c>
      <c r="AO428" s="5">
        <f>data_origin!Z2755</f>
        <v>0</v>
      </c>
      <c r="AP428" s="5">
        <f>data_origin!AA2755</f>
        <v>0</v>
      </c>
      <c r="AQ428" s="9">
        <f t="shared" si="56"/>
        <v>0</v>
      </c>
      <c r="AV428" t="s">
        <v>119</v>
      </c>
      <c r="AW428" s="5">
        <f>data_origin!T3469</f>
        <v>0</v>
      </c>
      <c r="AX428" s="5">
        <f>data_origin!U3469</f>
        <v>0</v>
      </c>
      <c r="AY428" s="5">
        <f>data_origin!V3469</f>
        <v>0</v>
      </c>
      <c r="AZ428" s="5">
        <f>data_origin!W3469</f>
        <v>0</v>
      </c>
      <c r="BA428" s="5">
        <f>data_origin!X3469</f>
        <v>0</v>
      </c>
      <c r="BB428" s="5">
        <f>data_origin!Y3469</f>
        <v>0</v>
      </c>
      <c r="BC428" s="5">
        <f>data_origin!Z3469</f>
        <v>0</v>
      </c>
      <c r="BD428" s="5">
        <f>data_origin!AA3469</f>
        <v>0</v>
      </c>
      <c r="BE428" s="9">
        <f t="shared" si="57"/>
        <v>0</v>
      </c>
    </row>
    <row r="429" spans="1:58" x14ac:dyDescent="0.25">
      <c r="D429" t="s">
        <v>99</v>
      </c>
      <c r="E429" s="35">
        <f t="shared" si="54"/>
        <v>0</v>
      </c>
      <c r="F429" s="35">
        <f t="shared" si="54"/>
        <v>0</v>
      </c>
      <c r="G429" s="35">
        <f t="shared" si="54"/>
        <v>0</v>
      </c>
      <c r="H429" s="35">
        <f t="shared" si="53"/>
        <v>1.0017257550178202</v>
      </c>
      <c r="I429" s="35">
        <f t="shared" si="53"/>
        <v>0</v>
      </c>
      <c r="J429" s="35">
        <f t="shared" si="53"/>
        <v>0</v>
      </c>
      <c r="K429" s="35">
        <f t="shared" si="53"/>
        <v>0</v>
      </c>
      <c r="L429" s="35">
        <f t="shared" si="53"/>
        <v>0</v>
      </c>
      <c r="M429" s="35">
        <f t="shared" si="52"/>
        <v>1.0017257550178202</v>
      </c>
      <c r="S429" t="s">
        <v>99</v>
      </c>
      <c r="T429" s="5">
        <f>data_origin!T509</f>
        <v>0</v>
      </c>
      <c r="U429" s="5">
        <f>data_origin!U509</f>
        <v>0</v>
      </c>
      <c r="V429" s="5">
        <f>data_origin!V509</f>
        <v>0</v>
      </c>
      <c r="W429" s="5">
        <f>data_origin!W509</f>
        <v>1</v>
      </c>
      <c r="X429" s="5">
        <f>data_origin!X509</f>
        <v>0</v>
      </c>
      <c r="Y429" s="5">
        <f>data_origin!Y509</f>
        <v>0</v>
      </c>
      <c r="Z429" s="5">
        <f>data_origin!Z509</f>
        <v>0</v>
      </c>
      <c r="AA429" s="5">
        <f>data_origin!AA509</f>
        <v>0</v>
      </c>
      <c r="AB429" s="5">
        <f t="shared" si="55"/>
        <v>1</v>
      </c>
      <c r="AH429" t="s">
        <v>99</v>
      </c>
      <c r="AI429" s="5">
        <f>data_origin!T2756</f>
        <v>0</v>
      </c>
      <c r="AJ429" s="5">
        <f>data_origin!U2756</f>
        <v>0</v>
      </c>
      <c r="AK429" s="5">
        <f>data_origin!V2756</f>
        <v>0</v>
      </c>
      <c r="AL429" s="5">
        <f>data_origin!W2756</f>
        <v>0</v>
      </c>
      <c r="AM429" s="5">
        <f>data_origin!X2756</f>
        <v>0</v>
      </c>
      <c r="AN429" s="5">
        <f>data_origin!Y2756</f>
        <v>0</v>
      </c>
      <c r="AO429" s="5">
        <f>data_origin!Z2756</f>
        <v>0</v>
      </c>
      <c r="AP429" s="5">
        <f>data_origin!AA2756</f>
        <v>0</v>
      </c>
      <c r="AQ429" s="9">
        <f t="shared" si="56"/>
        <v>0</v>
      </c>
      <c r="AV429" t="s">
        <v>99</v>
      </c>
      <c r="AW429" s="5">
        <f>data_origin!T3470</f>
        <v>0</v>
      </c>
      <c r="AX429" s="5">
        <f>data_origin!U3470</f>
        <v>0</v>
      </c>
      <c r="AY429" s="5">
        <f>data_origin!V3470</f>
        <v>0</v>
      </c>
      <c r="AZ429" s="5">
        <f>data_origin!W3470</f>
        <v>0</v>
      </c>
      <c r="BA429" s="5">
        <f>data_origin!X3470</f>
        <v>0</v>
      </c>
      <c r="BB429" s="5">
        <f>data_origin!Y3470</f>
        <v>0</v>
      </c>
      <c r="BC429" s="5">
        <f>data_origin!Z3470</f>
        <v>0</v>
      </c>
      <c r="BD429" s="5">
        <f>data_origin!AA3470</f>
        <v>0</v>
      </c>
      <c r="BE429" s="9">
        <f t="shared" si="57"/>
        <v>0</v>
      </c>
    </row>
    <row r="430" spans="1:58" x14ac:dyDescent="0.25">
      <c r="D430" t="s">
        <v>100</v>
      </c>
      <c r="E430" s="35">
        <f t="shared" si="54"/>
        <v>0</v>
      </c>
      <c r="F430" s="35">
        <f t="shared" si="54"/>
        <v>0</v>
      </c>
      <c r="G430" s="35">
        <f t="shared" si="54"/>
        <v>0</v>
      </c>
      <c r="H430" s="35">
        <f t="shared" si="53"/>
        <v>0</v>
      </c>
      <c r="I430" s="35">
        <f t="shared" si="53"/>
        <v>0</v>
      </c>
      <c r="J430" s="35">
        <f t="shared" si="53"/>
        <v>0</v>
      </c>
      <c r="K430" s="35">
        <f t="shared" si="53"/>
        <v>0</v>
      </c>
      <c r="L430" s="35">
        <f t="shared" si="53"/>
        <v>0</v>
      </c>
      <c r="M430" s="35">
        <f t="shared" si="52"/>
        <v>0</v>
      </c>
      <c r="S430" t="s">
        <v>100</v>
      </c>
      <c r="T430" s="5">
        <f>data_origin!T510</f>
        <v>0</v>
      </c>
      <c r="U430" s="5">
        <f>data_origin!U510</f>
        <v>0</v>
      </c>
      <c r="V430" s="5">
        <f>data_origin!V510</f>
        <v>0</v>
      </c>
      <c r="W430" s="5">
        <f>data_origin!W510</f>
        <v>0</v>
      </c>
      <c r="X430" s="5">
        <f>data_origin!X510</f>
        <v>0</v>
      </c>
      <c r="Y430" s="5">
        <f>data_origin!Y510</f>
        <v>0</v>
      </c>
      <c r="Z430" s="5">
        <f>data_origin!Z510</f>
        <v>0</v>
      </c>
      <c r="AA430" s="5">
        <f>data_origin!AA510</f>
        <v>0</v>
      </c>
      <c r="AB430" s="5">
        <f t="shared" si="55"/>
        <v>0</v>
      </c>
      <c r="AH430" t="s">
        <v>100</v>
      </c>
      <c r="AI430" s="5">
        <f>data_origin!T2757</f>
        <v>0</v>
      </c>
      <c r="AJ430" s="5">
        <f>data_origin!U2757</f>
        <v>0</v>
      </c>
      <c r="AK430" s="5">
        <f>data_origin!V2757</f>
        <v>0</v>
      </c>
      <c r="AL430" s="5">
        <f>data_origin!W2757</f>
        <v>0</v>
      </c>
      <c r="AM430" s="5">
        <f>data_origin!X2757</f>
        <v>0</v>
      </c>
      <c r="AN430" s="5">
        <f>data_origin!Y2757</f>
        <v>0</v>
      </c>
      <c r="AO430" s="5">
        <f>data_origin!Z2757</f>
        <v>0</v>
      </c>
      <c r="AP430" s="5">
        <f>data_origin!AA2757</f>
        <v>0</v>
      </c>
      <c r="AQ430" s="9">
        <f t="shared" si="56"/>
        <v>0</v>
      </c>
      <c r="AV430" t="s">
        <v>100</v>
      </c>
      <c r="AW430" s="5">
        <f>data_origin!T3471</f>
        <v>0</v>
      </c>
      <c r="AX430" s="5">
        <f>data_origin!U3471</f>
        <v>0</v>
      </c>
      <c r="AY430" s="5">
        <f>data_origin!V3471</f>
        <v>0</v>
      </c>
      <c r="AZ430" s="5">
        <f>data_origin!W3471</f>
        <v>0</v>
      </c>
      <c r="BA430" s="5">
        <f>data_origin!X3471</f>
        <v>0</v>
      </c>
      <c r="BB430" s="5">
        <f>data_origin!Y3471</f>
        <v>0</v>
      </c>
      <c r="BC430" s="5">
        <f>data_origin!Z3471</f>
        <v>0</v>
      </c>
      <c r="BD430" s="5">
        <f>data_origin!AA3471</f>
        <v>0</v>
      </c>
      <c r="BE430" s="9">
        <f t="shared" si="57"/>
        <v>0</v>
      </c>
    </row>
    <row r="431" spans="1:58" x14ac:dyDescent="0.25">
      <c r="D431" t="s">
        <v>101</v>
      </c>
      <c r="E431" s="35">
        <f t="shared" si="54"/>
        <v>0</v>
      </c>
      <c r="F431" s="35">
        <f t="shared" si="54"/>
        <v>0</v>
      </c>
      <c r="G431" s="35">
        <f t="shared" si="54"/>
        <v>0</v>
      </c>
      <c r="H431" s="35">
        <f t="shared" si="53"/>
        <v>0</v>
      </c>
      <c r="I431" s="35">
        <f t="shared" si="53"/>
        <v>0</v>
      </c>
      <c r="J431" s="35">
        <f t="shared" si="53"/>
        <v>0</v>
      </c>
      <c r="K431" s="35">
        <f t="shared" si="53"/>
        <v>0</v>
      </c>
      <c r="L431" s="35">
        <f t="shared" si="53"/>
        <v>0</v>
      </c>
      <c r="M431" s="35">
        <f t="shared" si="52"/>
        <v>0</v>
      </c>
      <c r="N431" s="5">
        <f>SUM(M399:M431)</f>
        <v>3.0051772650534607</v>
      </c>
      <c r="S431" t="s">
        <v>101</v>
      </c>
      <c r="T431" s="5">
        <f>data_origin!T511</f>
        <v>0</v>
      </c>
      <c r="U431" s="5">
        <f>data_origin!U511</f>
        <v>0</v>
      </c>
      <c r="V431" s="5">
        <f>data_origin!V511</f>
        <v>0</v>
      </c>
      <c r="W431" s="5">
        <f>data_origin!W511</f>
        <v>0</v>
      </c>
      <c r="X431" s="5">
        <f>data_origin!X511</f>
        <v>0</v>
      </c>
      <c r="Y431" s="5">
        <f>data_origin!Y511</f>
        <v>0</v>
      </c>
      <c r="Z431" s="5">
        <f>data_origin!Z511</f>
        <v>0</v>
      </c>
      <c r="AA431" s="5">
        <f>data_origin!AA511</f>
        <v>0</v>
      </c>
      <c r="AB431" s="5">
        <f t="shared" si="55"/>
        <v>0</v>
      </c>
      <c r="AC431" s="5">
        <f>SUM(AB399:AB431)</f>
        <v>3</v>
      </c>
      <c r="AH431" t="s">
        <v>101</v>
      </c>
      <c r="AI431" s="5">
        <f>data_origin!T2758</f>
        <v>0</v>
      </c>
      <c r="AJ431" s="5">
        <f>data_origin!U2758</f>
        <v>0</v>
      </c>
      <c r="AK431" s="5">
        <f>data_origin!V2758</f>
        <v>0</v>
      </c>
      <c r="AL431" s="5">
        <f>data_origin!W2758</f>
        <v>0</v>
      </c>
      <c r="AM431" s="5">
        <f>data_origin!X2758</f>
        <v>0</v>
      </c>
      <c r="AN431" s="5">
        <f>data_origin!Y2758</f>
        <v>0</v>
      </c>
      <c r="AO431" s="5">
        <f>data_origin!Z2758</f>
        <v>0</v>
      </c>
      <c r="AP431" s="5">
        <f>data_origin!AA2758</f>
        <v>0</v>
      </c>
      <c r="AQ431" s="9">
        <f t="shared" si="56"/>
        <v>0</v>
      </c>
      <c r="AR431" s="9">
        <f>SUM(AQ399:AQ431)</f>
        <v>1</v>
      </c>
      <c r="AV431" t="s">
        <v>101</v>
      </c>
      <c r="AW431" s="5">
        <f>data_origin!T3472</f>
        <v>0</v>
      </c>
      <c r="AX431" s="5">
        <f>data_origin!U3472</f>
        <v>0</v>
      </c>
      <c r="AY431" s="5">
        <f>data_origin!V3472</f>
        <v>0</v>
      </c>
      <c r="AZ431" s="5">
        <f>data_origin!W3472</f>
        <v>0</v>
      </c>
      <c r="BA431" s="5">
        <f>data_origin!X3472</f>
        <v>0</v>
      </c>
      <c r="BB431" s="5">
        <f>data_origin!Y3472</f>
        <v>0</v>
      </c>
      <c r="BC431" s="5">
        <f>data_origin!Z3472</f>
        <v>0</v>
      </c>
      <c r="BD431" s="5">
        <f>data_origin!AA3472</f>
        <v>0</v>
      </c>
      <c r="BE431" s="9">
        <f t="shared" si="57"/>
        <v>0</v>
      </c>
      <c r="BF431" s="9">
        <f>SUM(BE399:BE431)</f>
        <v>0</v>
      </c>
    </row>
    <row r="432" spans="1:58" x14ac:dyDescent="0.25">
      <c r="A432" s="23" t="s">
        <v>104</v>
      </c>
      <c r="B432" s="23" t="s">
        <v>116</v>
      </c>
      <c r="C432" s="23" t="s">
        <v>108</v>
      </c>
      <c r="D432" t="s">
        <v>70</v>
      </c>
      <c r="E432" s="35">
        <f t="shared" si="54"/>
        <v>0</v>
      </c>
      <c r="F432" s="35">
        <f t="shared" si="54"/>
        <v>0</v>
      </c>
      <c r="G432" s="35">
        <f t="shared" si="54"/>
        <v>0</v>
      </c>
      <c r="H432" s="35">
        <f t="shared" si="53"/>
        <v>0</v>
      </c>
      <c r="I432" s="35">
        <f t="shared" si="53"/>
        <v>0</v>
      </c>
      <c r="J432" s="35">
        <f t="shared" si="53"/>
        <v>0</v>
      </c>
      <c r="K432" s="35">
        <f t="shared" si="53"/>
        <v>0</v>
      </c>
      <c r="L432" s="35">
        <f t="shared" si="53"/>
        <v>0</v>
      </c>
      <c r="M432" s="35">
        <f t="shared" si="52"/>
        <v>0</v>
      </c>
      <c r="P432" t="s">
        <v>104</v>
      </c>
      <c r="Q432" t="s">
        <v>116</v>
      </c>
      <c r="R432" t="s">
        <v>108</v>
      </c>
      <c r="S432" t="s">
        <v>70</v>
      </c>
      <c r="T432" s="5">
        <f>data_origin!T513</f>
        <v>0</v>
      </c>
      <c r="U432" s="5">
        <f>data_origin!U513</f>
        <v>0</v>
      </c>
      <c r="V432" s="5">
        <f>data_origin!V513</f>
        <v>0</v>
      </c>
      <c r="W432" s="5">
        <f>data_origin!W513</f>
        <v>0</v>
      </c>
      <c r="X432" s="5">
        <f>data_origin!X513</f>
        <v>0</v>
      </c>
      <c r="Y432" s="5">
        <f>data_origin!Y513</f>
        <v>0</v>
      </c>
      <c r="Z432" s="5">
        <f>data_origin!Z513</f>
        <v>0</v>
      </c>
      <c r="AA432" s="5">
        <f>data_origin!AA513</f>
        <v>0</v>
      </c>
      <c r="AB432" s="5">
        <f t="shared" si="55"/>
        <v>0</v>
      </c>
      <c r="AE432" t="s">
        <v>104</v>
      </c>
      <c r="AF432" t="s">
        <v>117</v>
      </c>
      <c r="AG432" s="28" t="s">
        <v>133</v>
      </c>
      <c r="AH432" t="s">
        <v>70</v>
      </c>
      <c r="AI432" s="5">
        <f>data_origin!T2760</f>
        <v>0</v>
      </c>
      <c r="AJ432" s="5">
        <f>data_origin!U2760</f>
        <v>0</v>
      </c>
      <c r="AK432" s="5">
        <f>data_origin!V2760</f>
        <v>0</v>
      </c>
      <c r="AL432" s="5">
        <f>data_origin!W2760</f>
        <v>0</v>
      </c>
      <c r="AM432" s="5">
        <f>data_origin!X2760</f>
        <v>0</v>
      </c>
      <c r="AN432" s="5">
        <f>data_origin!Y2760</f>
        <v>0</v>
      </c>
      <c r="AO432" s="5">
        <f>data_origin!Z2760</f>
        <v>0</v>
      </c>
      <c r="AP432" s="5">
        <f>data_origin!AA2760</f>
        <v>0</v>
      </c>
      <c r="AQ432" s="9">
        <f t="shared" si="56"/>
        <v>0</v>
      </c>
      <c r="AS432" t="s">
        <v>115</v>
      </c>
      <c r="AT432" t="s">
        <v>117</v>
      </c>
      <c r="AU432" s="28" t="s">
        <v>133</v>
      </c>
      <c r="AV432" t="s">
        <v>70</v>
      </c>
      <c r="AW432" s="5">
        <f>data_origin!T3474</f>
        <v>0</v>
      </c>
      <c r="AX432" s="5">
        <f>data_origin!U3474</f>
        <v>0</v>
      </c>
      <c r="AY432" s="5">
        <f>data_origin!V3474</f>
        <v>0</v>
      </c>
      <c r="AZ432" s="5">
        <f>data_origin!W3474</f>
        <v>0</v>
      </c>
      <c r="BA432" s="5">
        <f>data_origin!X3474</f>
        <v>0</v>
      </c>
      <c r="BB432" s="5">
        <f>data_origin!Y3474</f>
        <v>0</v>
      </c>
      <c r="BC432" s="5">
        <f>data_origin!Z3474</f>
        <v>0</v>
      </c>
      <c r="BD432" s="5">
        <f>data_origin!AA3474</f>
        <v>0</v>
      </c>
      <c r="BE432" s="9">
        <f t="shared" si="57"/>
        <v>0</v>
      </c>
    </row>
    <row r="433" spans="4:57" x14ac:dyDescent="0.25">
      <c r="D433" t="s">
        <v>71</v>
      </c>
      <c r="E433" s="35">
        <f t="shared" si="54"/>
        <v>0</v>
      </c>
      <c r="F433" s="35">
        <f t="shared" si="54"/>
        <v>0</v>
      </c>
      <c r="G433" s="35">
        <f t="shared" si="54"/>
        <v>0</v>
      </c>
      <c r="H433" s="35">
        <f t="shared" si="53"/>
        <v>0</v>
      </c>
      <c r="I433" s="35">
        <f t="shared" si="53"/>
        <v>0</v>
      </c>
      <c r="J433" s="35">
        <f t="shared" si="53"/>
        <v>0</v>
      </c>
      <c r="K433" s="35">
        <f t="shared" si="53"/>
        <v>0</v>
      </c>
      <c r="L433" s="35">
        <f t="shared" si="53"/>
        <v>0</v>
      </c>
      <c r="M433" s="35">
        <f t="shared" si="52"/>
        <v>0</v>
      </c>
      <c r="S433" t="s">
        <v>71</v>
      </c>
      <c r="T433" s="5">
        <f>data_origin!T514</f>
        <v>0</v>
      </c>
      <c r="U433" s="5">
        <f>data_origin!U514</f>
        <v>0</v>
      </c>
      <c r="V433" s="5">
        <f>data_origin!V514</f>
        <v>0</v>
      </c>
      <c r="W433" s="5">
        <f>data_origin!W514</f>
        <v>0</v>
      </c>
      <c r="X433" s="5">
        <f>data_origin!X514</f>
        <v>0</v>
      </c>
      <c r="Y433" s="5">
        <f>data_origin!Y514</f>
        <v>0</v>
      </c>
      <c r="Z433" s="5">
        <f>data_origin!Z514</f>
        <v>0</v>
      </c>
      <c r="AA433" s="5">
        <f>data_origin!AA514</f>
        <v>0</v>
      </c>
      <c r="AB433" s="5">
        <f t="shared" si="55"/>
        <v>0</v>
      </c>
      <c r="AH433" t="s">
        <v>71</v>
      </c>
      <c r="AI433" s="5">
        <f>data_origin!T2761</f>
        <v>0</v>
      </c>
      <c r="AJ433" s="5">
        <f>data_origin!U2761</f>
        <v>0</v>
      </c>
      <c r="AK433" s="5">
        <f>data_origin!V2761</f>
        <v>0</v>
      </c>
      <c r="AL433" s="5">
        <f>data_origin!W2761</f>
        <v>0</v>
      </c>
      <c r="AM433" s="5">
        <f>data_origin!X2761</f>
        <v>0</v>
      </c>
      <c r="AN433" s="5">
        <f>data_origin!Y2761</f>
        <v>0</v>
      </c>
      <c r="AO433" s="5">
        <f>data_origin!Z2761</f>
        <v>0</v>
      </c>
      <c r="AP433" s="5">
        <f>data_origin!AA2761</f>
        <v>0</v>
      </c>
      <c r="AQ433" s="9">
        <f t="shared" si="56"/>
        <v>0</v>
      </c>
      <c r="AV433" t="s">
        <v>71</v>
      </c>
      <c r="AW433" s="5">
        <f>data_origin!T3475</f>
        <v>0</v>
      </c>
      <c r="AX433" s="5">
        <f>data_origin!U3475</f>
        <v>0</v>
      </c>
      <c r="AY433" s="5">
        <f>data_origin!V3475</f>
        <v>0</v>
      </c>
      <c r="AZ433" s="5">
        <f>data_origin!W3475</f>
        <v>0</v>
      </c>
      <c r="BA433" s="5">
        <f>data_origin!X3475</f>
        <v>0</v>
      </c>
      <c r="BB433" s="5">
        <f>data_origin!Y3475</f>
        <v>0</v>
      </c>
      <c r="BC433" s="5">
        <f>data_origin!Z3475</f>
        <v>0</v>
      </c>
      <c r="BD433" s="5">
        <f>data_origin!AA3475</f>
        <v>0</v>
      </c>
      <c r="BE433" s="9">
        <f t="shared" si="57"/>
        <v>0</v>
      </c>
    </row>
    <row r="434" spans="4:57" x14ac:dyDescent="0.25">
      <c r="D434" t="s">
        <v>72</v>
      </c>
      <c r="E434" s="35">
        <f t="shared" si="54"/>
        <v>0</v>
      </c>
      <c r="F434" s="35">
        <f t="shared" si="54"/>
        <v>0</v>
      </c>
      <c r="G434" s="35">
        <f t="shared" si="54"/>
        <v>0</v>
      </c>
      <c r="H434" s="35">
        <f t="shared" si="53"/>
        <v>1.0017257550178202</v>
      </c>
      <c r="I434" s="35">
        <f t="shared" si="53"/>
        <v>0</v>
      </c>
      <c r="J434" s="35">
        <f t="shared" si="53"/>
        <v>0</v>
      </c>
      <c r="K434" s="35">
        <f t="shared" si="53"/>
        <v>0</v>
      </c>
      <c r="L434" s="35">
        <f t="shared" si="53"/>
        <v>0</v>
      </c>
      <c r="M434" s="35">
        <f t="shared" si="52"/>
        <v>1.0017257550178202</v>
      </c>
      <c r="S434" t="s">
        <v>72</v>
      </c>
      <c r="T434" s="5">
        <f>data_origin!T515</f>
        <v>0</v>
      </c>
      <c r="U434" s="5">
        <f>data_origin!U515</f>
        <v>0</v>
      </c>
      <c r="V434" s="5">
        <f>data_origin!V515</f>
        <v>0</v>
      </c>
      <c r="W434" s="5">
        <f>data_origin!W515</f>
        <v>1</v>
      </c>
      <c r="X434" s="5">
        <f>data_origin!X515</f>
        <v>0</v>
      </c>
      <c r="Y434" s="5">
        <f>data_origin!Y515</f>
        <v>0</v>
      </c>
      <c r="Z434" s="5">
        <f>data_origin!Z515</f>
        <v>0</v>
      </c>
      <c r="AA434" s="5">
        <f>data_origin!AA515</f>
        <v>0</v>
      </c>
      <c r="AB434" s="5">
        <f t="shared" si="55"/>
        <v>1</v>
      </c>
      <c r="AH434" t="s">
        <v>72</v>
      </c>
      <c r="AI434" s="5">
        <f>data_origin!T2762</f>
        <v>0</v>
      </c>
      <c r="AJ434" s="5">
        <f>data_origin!U2762</f>
        <v>0</v>
      </c>
      <c r="AK434" s="5">
        <f>data_origin!V2762</f>
        <v>0</v>
      </c>
      <c r="AL434" s="5">
        <f>data_origin!W2762</f>
        <v>0</v>
      </c>
      <c r="AM434" s="5">
        <f>data_origin!X2762</f>
        <v>0</v>
      </c>
      <c r="AN434" s="5">
        <f>data_origin!Y2762</f>
        <v>0</v>
      </c>
      <c r="AO434" s="5">
        <f>data_origin!Z2762</f>
        <v>0</v>
      </c>
      <c r="AP434" s="5">
        <f>data_origin!AA2762</f>
        <v>0</v>
      </c>
      <c r="AQ434" s="9">
        <f t="shared" si="56"/>
        <v>0</v>
      </c>
      <c r="AV434" t="s">
        <v>72</v>
      </c>
      <c r="AW434" s="5">
        <f>data_origin!T3476</f>
        <v>0</v>
      </c>
      <c r="AX434" s="5">
        <f>data_origin!U3476</f>
        <v>0</v>
      </c>
      <c r="AY434" s="5">
        <f>data_origin!V3476</f>
        <v>0</v>
      </c>
      <c r="AZ434" s="5">
        <f>data_origin!W3476</f>
        <v>0</v>
      </c>
      <c r="BA434" s="5">
        <f>data_origin!X3476</f>
        <v>0</v>
      </c>
      <c r="BB434" s="5">
        <f>data_origin!Y3476</f>
        <v>0</v>
      </c>
      <c r="BC434" s="5">
        <f>data_origin!Z3476</f>
        <v>0</v>
      </c>
      <c r="BD434" s="5">
        <f>data_origin!AA3476</f>
        <v>0</v>
      </c>
      <c r="BE434" s="9">
        <f t="shared" si="57"/>
        <v>0</v>
      </c>
    </row>
    <row r="435" spans="4:57" x14ac:dyDescent="0.25">
      <c r="D435" t="s">
        <v>73</v>
      </c>
      <c r="E435" s="35">
        <f t="shared" si="54"/>
        <v>0</v>
      </c>
      <c r="F435" s="35">
        <f t="shared" si="54"/>
        <v>0</v>
      </c>
      <c r="G435" s="35">
        <f t="shared" si="54"/>
        <v>0</v>
      </c>
      <c r="H435" s="35">
        <f t="shared" si="53"/>
        <v>0</v>
      </c>
      <c r="I435" s="35">
        <f t="shared" si="53"/>
        <v>0</v>
      </c>
      <c r="J435" s="35">
        <f t="shared" si="53"/>
        <v>0</v>
      </c>
      <c r="K435" s="35">
        <f t="shared" si="53"/>
        <v>0</v>
      </c>
      <c r="L435" s="35">
        <f t="shared" si="53"/>
        <v>0</v>
      </c>
      <c r="M435" s="35">
        <f t="shared" si="52"/>
        <v>0</v>
      </c>
      <c r="S435" t="s">
        <v>73</v>
      </c>
      <c r="T435" s="5">
        <f>data_origin!T516</f>
        <v>0</v>
      </c>
      <c r="U435" s="5">
        <f>data_origin!U516</f>
        <v>0</v>
      </c>
      <c r="V435" s="5">
        <f>data_origin!V516</f>
        <v>0</v>
      </c>
      <c r="W435" s="5">
        <f>data_origin!W516</f>
        <v>0</v>
      </c>
      <c r="X435" s="5">
        <f>data_origin!X516</f>
        <v>0</v>
      </c>
      <c r="Y435" s="5">
        <f>data_origin!Y516</f>
        <v>0</v>
      </c>
      <c r="Z435" s="5">
        <f>data_origin!Z516</f>
        <v>0</v>
      </c>
      <c r="AA435" s="5">
        <f>data_origin!AA516</f>
        <v>0</v>
      </c>
      <c r="AB435" s="5">
        <f t="shared" si="55"/>
        <v>0</v>
      </c>
      <c r="AH435" t="s">
        <v>73</v>
      </c>
      <c r="AI435" s="5">
        <f>data_origin!T2763</f>
        <v>0</v>
      </c>
      <c r="AJ435" s="5">
        <f>data_origin!U2763</f>
        <v>0</v>
      </c>
      <c r="AK435" s="5">
        <f>data_origin!V2763</f>
        <v>0</v>
      </c>
      <c r="AL435" s="5">
        <f>data_origin!W2763</f>
        <v>0</v>
      </c>
      <c r="AM435" s="5">
        <f>data_origin!X2763</f>
        <v>0</v>
      </c>
      <c r="AN435" s="5">
        <f>data_origin!Y2763</f>
        <v>0</v>
      </c>
      <c r="AO435" s="5">
        <f>data_origin!Z2763</f>
        <v>0</v>
      </c>
      <c r="AP435" s="5">
        <f>data_origin!AA2763</f>
        <v>0</v>
      </c>
      <c r="AQ435" s="9">
        <f t="shared" si="56"/>
        <v>0</v>
      </c>
      <c r="AV435" t="s">
        <v>73</v>
      </c>
      <c r="AW435" s="5">
        <f>data_origin!T3477</f>
        <v>0</v>
      </c>
      <c r="AX435" s="5">
        <f>data_origin!U3477</f>
        <v>0</v>
      </c>
      <c r="AY435" s="5">
        <f>data_origin!V3477</f>
        <v>0</v>
      </c>
      <c r="AZ435" s="5">
        <f>data_origin!W3477</f>
        <v>0</v>
      </c>
      <c r="BA435" s="5">
        <f>data_origin!X3477</f>
        <v>0</v>
      </c>
      <c r="BB435" s="5">
        <f>data_origin!Y3477</f>
        <v>0</v>
      </c>
      <c r="BC435" s="5">
        <f>data_origin!Z3477</f>
        <v>0</v>
      </c>
      <c r="BD435" s="5">
        <f>data_origin!AA3477</f>
        <v>0</v>
      </c>
      <c r="BE435" s="9">
        <f t="shared" si="57"/>
        <v>0</v>
      </c>
    </row>
    <row r="436" spans="4:57" x14ac:dyDescent="0.25">
      <c r="D436" t="s">
        <v>74</v>
      </c>
      <c r="E436" s="35">
        <f t="shared" si="54"/>
        <v>0</v>
      </c>
      <c r="F436" s="35">
        <f t="shared" si="54"/>
        <v>0</v>
      </c>
      <c r="G436" s="35">
        <f t="shared" si="54"/>
        <v>0</v>
      </c>
      <c r="H436" s="35">
        <f t="shared" si="53"/>
        <v>0</v>
      </c>
      <c r="I436" s="35">
        <f t="shared" si="53"/>
        <v>0</v>
      </c>
      <c r="J436" s="35">
        <f t="shared" si="53"/>
        <v>0</v>
      </c>
      <c r="K436" s="35">
        <f t="shared" si="53"/>
        <v>0</v>
      </c>
      <c r="L436" s="35">
        <f t="shared" si="53"/>
        <v>0</v>
      </c>
      <c r="M436" s="35">
        <f t="shared" si="52"/>
        <v>0</v>
      </c>
      <c r="S436" t="s">
        <v>74</v>
      </c>
      <c r="T436" s="5">
        <f>data_origin!T517</f>
        <v>0</v>
      </c>
      <c r="U436" s="5">
        <f>data_origin!U517</f>
        <v>0</v>
      </c>
      <c r="V436" s="5">
        <f>data_origin!V517</f>
        <v>0</v>
      </c>
      <c r="W436" s="5">
        <f>data_origin!W517</f>
        <v>0</v>
      </c>
      <c r="X436" s="5">
        <f>data_origin!X517</f>
        <v>0</v>
      </c>
      <c r="Y436" s="5">
        <f>data_origin!Y517</f>
        <v>0</v>
      </c>
      <c r="Z436" s="5">
        <f>data_origin!Z517</f>
        <v>0</v>
      </c>
      <c r="AA436" s="5">
        <f>data_origin!AA517</f>
        <v>0</v>
      </c>
      <c r="AB436" s="5">
        <f t="shared" si="55"/>
        <v>0</v>
      </c>
      <c r="AH436" t="s">
        <v>74</v>
      </c>
      <c r="AI436" s="5">
        <f>data_origin!T2764</f>
        <v>0</v>
      </c>
      <c r="AJ436" s="5">
        <f>data_origin!U2764</f>
        <v>0</v>
      </c>
      <c r="AK436" s="5">
        <f>data_origin!V2764</f>
        <v>0</v>
      </c>
      <c r="AL436" s="5">
        <f>data_origin!W2764</f>
        <v>0</v>
      </c>
      <c r="AM436" s="5">
        <f>data_origin!X2764</f>
        <v>0</v>
      </c>
      <c r="AN436" s="5">
        <f>data_origin!Y2764</f>
        <v>0</v>
      </c>
      <c r="AO436" s="5">
        <f>data_origin!Z2764</f>
        <v>0</v>
      </c>
      <c r="AP436" s="5">
        <f>data_origin!AA2764</f>
        <v>0</v>
      </c>
      <c r="AQ436" s="9">
        <f t="shared" si="56"/>
        <v>0</v>
      </c>
      <c r="AV436" t="s">
        <v>74</v>
      </c>
      <c r="AW436" s="5">
        <f>data_origin!T3478</f>
        <v>0</v>
      </c>
      <c r="AX436" s="5">
        <f>data_origin!U3478</f>
        <v>0</v>
      </c>
      <c r="AY436" s="5">
        <f>data_origin!V3478</f>
        <v>0</v>
      </c>
      <c r="AZ436" s="5">
        <f>data_origin!W3478</f>
        <v>0</v>
      </c>
      <c r="BA436" s="5">
        <f>data_origin!X3478</f>
        <v>0</v>
      </c>
      <c r="BB436" s="5">
        <f>data_origin!Y3478</f>
        <v>0</v>
      </c>
      <c r="BC436" s="5">
        <f>data_origin!Z3478</f>
        <v>0</v>
      </c>
      <c r="BD436" s="5">
        <f>data_origin!AA3478</f>
        <v>0</v>
      </c>
      <c r="BE436" s="9">
        <f t="shared" si="57"/>
        <v>0</v>
      </c>
    </row>
    <row r="437" spans="4:57" x14ac:dyDescent="0.25">
      <c r="D437" t="s">
        <v>75</v>
      </c>
      <c r="E437" s="35">
        <f t="shared" si="54"/>
        <v>0</v>
      </c>
      <c r="F437" s="35">
        <f t="shared" si="54"/>
        <v>0</v>
      </c>
      <c r="G437" s="35">
        <f t="shared" si="54"/>
        <v>0</v>
      </c>
      <c r="H437" s="35">
        <f t="shared" si="53"/>
        <v>0</v>
      </c>
      <c r="I437" s="35">
        <f t="shared" si="53"/>
        <v>0</v>
      </c>
      <c r="J437" s="35">
        <f t="shared" si="53"/>
        <v>0</v>
      </c>
      <c r="K437" s="35">
        <f t="shared" si="53"/>
        <v>0</v>
      </c>
      <c r="L437" s="35">
        <f t="shared" si="53"/>
        <v>0</v>
      </c>
      <c r="M437" s="35">
        <f t="shared" si="52"/>
        <v>0</v>
      </c>
      <c r="S437" t="s">
        <v>75</v>
      </c>
      <c r="T437" s="5">
        <f>data_origin!T518</f>
        <v>0</v>
      </c>
      <c r="U437" s="5">
        <f>data_origin!U518</f>
        <v>0</v>
      </c>
      <c r="V437" s="5">
        <f>data_origin!V518</f>
        <v>0</v>
      </c>
      <c r="W437" s="5">
        <f>data_origin!W518</f>
        <v>0</v>
      </c>
      <c r="X437" s="5">
        <f>data_origin!X518</f>
        <v>0</v>
      </c>
      <c r="Y437" s="5">
        <f>data_origin!Y518</f>
        <v>0</v>
      </c>
      <c r="Z437" s="5">
        <f>data_origin!Z518</f>
        <v>0</v>
      </c>
      <c r="AA437" s="5">
        <f>data_origin!AA518</f>
        <v>0</v>
      </c>
      <c r="AB437" s="5">
        <f t="shared" si="55"/>
        <v>0</v>
      </c>
      <c r="AH437" t="s">
        <v>75</v>
      </c>
      <c r="AI437" s="5">
        <f>data_origin!T2765</f>
        <v>0</v>
      </c>
      <c r="AJ437" s="5">
        <f>data_origin!U2765</f>
        <v>0</v>
      </c>
      <c r="AK437" s="5">
        <f>data_origin!V2765</f>
        <v>0</v>
      </c>
      <c r="AL437" s="5">
        <f>data_origin!W2765</f>
        <v>0</v>
      </c>
      <c r="AM437" s="5">
        <f>data_origin!X2765</f>
        <v>0</v>
      </c>
      <c r="AN437" s="5">
        <f>data_origin!Y2765</f>
        <v>0</v>
      </c>
      <c r="AO437" s="5">
        <f>data_origin!Z2765</f>
        <v>0</v>
      </c>
      <c r="AP437" s="5">
        <f>data_origin!AA2765</f>
        <v>0</v>
      </c>
      <c r="AQ437" s="9">
        <f t="shared" si="56"/>
        <v>0</v>
      </c>
      <c r="AV437" t="s">
        <v>75</v>
      </c>
      <c r="AW437" s="5">
        <f>data_origin!T3479</f>
        <v>0</v>
      </c>
      <c r="AX437" s="5">
        <f>data_origin!U3479</f>
        <v>0</v>
      </c>
      <c r="AY437" s="5">
        <f>data_origin!V3479</f>
        <v>0</v>
      </c>
      <c r="AZ437" s="5">
        <f>data_origin!W3479</f>
        <v>0</v>
      </c>
      <c r="BA437" s="5">
        <f>data_origin!X3479</f>
        <v>0</v>
      </c>
      <c r="BB437" s="5">
        <f>data_origin!Y3479</f>
        <v>0</v>
      </c>
      <c r="BC437" s="5">
        <f>data_origin!Z3479</f>
        <v>0</v>
      </c>
      <c r="BD437" s="5">
        <f>data_origin!AA3479</f>
        <v>0</v>
      </c>
      <c r="BE437" s="9">
        <f t="shared" si="57"/>
        <v>0</v>
      </c>
    </row>
    <row r="438" spans="4:57" x14ac:dyDescent="0.25">
      <c r="D438" t="s">
        <v>76</v>
      </c>
      <c r="E438" s="35">
        <f t="shared" si="54"/>
        <v>0</v>
      </c>
      <c r="F438" s="35">
        <f t="shared" si="54"/>
        <v>0</v>
      </c>
      <c r="G438" s="35">
        <f t="shared" si="54"/>
        <v>0</v>
      </c>
      <c r="H438" s="35">
        <f t="shared" si="53"/>
        <v>0</v>
      </c>
      <c r="I438" s="35">
        <f t="shared" si="53"/>
        <v>0</v>
      </c>
      <c r="J438" s="35">
        <f t="shared" si="53"/>
        <v>0</v>
      </c>
      <c r="K438" s="35">
        <f t="shared" si="53"/>
        <v>0</v>
      </c>
      <c r="L438" s="35">
        <f t="shared" si="53"/>
        <v>0</v>
      </c>
      <c r="M438" s="35">
        <f t="shared" si="52"/>
        <v>0</v>
      </c>
      <c r="S438" t="s">
        <v>76</v>
      </c>
      <c r="T438" s="5">
        <f>data_origin!T519</f>
        <v>0</v>
      </c>
      <c r="U438" s="5">
        <f>data_origin!U519</f>
        <v>0</v>
      </c>
      <c r="V438" s="5">
        <f>data_origin!V519</f>
        <v>0</v>
      </c>
      <c r="W438" s="5">
        <f>data_origin!W519</f>
        <v>0</v>
      </c>
      <c r="X438" s="5">
        <f>data_origin!X519</f>
        <v>0</v>
      </c>
      <c r="Y438" s="5">
        <f>data_origin!Y519</f>
        <v>0</v>
      </c>
      <c r="Z438" s="5">
        <f>data_origin!Z519</f>
        <v>0</v>
      </c>
      <c r="AA438" s="5">
        <f>data_origin!AA519</f>
        <v>0</v>
      </c>
      <c r="AB438" s="5">
        <f t="shared" si="55"/>
        <v>0</v>
      </c>
      <c r="AH438" t="s">
        <v>76</v>
      </c>
      <c r="AI438" s="5">
        <f>data_origin!T2766</f>
        <v>0</v>
      </c>
      <c r="AJ438" s="5">
        <f>data_origin!U2766</f>
        <v>0</v>
      </c>
      <c r="AK438" s="5">
        <f>data_origin!V2766</f>
        <v>1.6956521739130435</v>
      </c>
      <c r="AL438" s="5">
        <f>data_origin!W2766</f>
        <v>0</v>
      </c>
      <c r="AM438" s="5">
        <f>data_origin!X2766</f>
        <v>0</v>
      </c>
      <c r="AN438" s="5">
        <f>data_origin!Y2766</f>
        <v>0</v>
      </c>
      <c r="AO438" s="5">
        <f>data_origin!Z2766</f>
        <v>0</v>
      </c>
      <c r="AP438" s="5">
        <f>data_origin!AA2766</f>
        <v>0</v>
      </c>
      <c r="AQ438" s="9">
        <f t="shared" si="56"/>
        <v>1.6956521739130435</v>
      </c>
      <c r="AV438" t="s">
        <v>76</v>
      </c>
      <c r="AW438" s="5">
        <f>data_origin!T3480</f>
        <v>0</v>
      </c>
      <c r="AX438" s="5">
        <f>data_origin!U3480</f>
        <v>0</v>
      </c>
      <c r="AY438" s="5">
        <f>data_origin!V3480</f>
        <v>0</v>
      </c>
      <c r="AZ438" s="5">
        <f>data_origin!W3480</f>
        <v>0</v>
      </c>
      <c r="BA438" s="5">
        <f>data_origin!X3480</f>
        <v>0</v>
      </c>
      <c r="BB438" s="5">
        <f>data_origin!Y3480</f>
        <v>0</v>
      </c>
      <c r="BC438" s="5">
        <f>data_origin!Z3480</f>
        <v>0</v>
      </c>
      <c r="BD438" s="5">
        <f>data_origin!AA3480</f>
        <v>0</v>
      </c>
      <c r="BE438" s="9">
        <f t="shared" si="57"/>
        <v>0</v>
      </c>
    </row>
    <row r="439" spans="4:57" x14ac:dyDescent="0.25">
      <c r="D439" t="s">
        <v>77</v>
      </c>
      <c r="E439" s="35">
        <f t="shared" si="54"/>
        <v>0</v>
      </c>
      <c r="F439" s="35">
        <f t="shared" si="54"/>
        <v>0</v>
      </c>
      <c r="G439" s="35">
        <f t="shared" si="54"/>
        <v>0</v>
      </c>
      <c r="H439" s="35">
        <f t="shared" si="53"/>
        <v>0</v>
      </c>
      <c r="I439" s="35">
        <f t="shared" si="53"/>
        <v>0</v>
      </c>
      <c r="J439" s="35">
        <f t="shared" si="53"/>
        <v>0</v>
      </c>
      <c r="K439" s="35">
        <f t="shared" si="53"/>
        <v>0</v>
      </c>
      <c r="L439" s="35">
        <f t="shared" si="53"/>
        <v>0</v>
      </c>
      <c r="M439" s="35">
        <f t="shared" si="52"/>
        <v>0</v>
      </c>
      <c r="S439" t="s">
        <v>77</v>
      </c>
      <c r="T439" s="5">
        <f>data_origin!T520</f>
        <v>0</v>
      </c>
      <c r="U439" s="5">
        <f>data_origin!U520</f>
        <v>0</v>
      </c>
      <c r="V439" s="5">
        <f>data_origin!V520</f>
        <v>0</v>
      </c>
      <c r="W439" s="5">
        <f>data_origin!W520</f>
        <v>0</v>
      </c>
      <c r="X439" s="5">
        <f>data_origin!X520</f>
        <v>0</v>
      </c>
      <c r="Y439" s="5">
        <f>data_origin!Y520</f>
        <v>0</v>
      </c>
      <c r="Z439" s="5">
        <f>data_origin!Z520</f>
        <v>0</v>
      </c>
      <c r="AA439" s="5">
        <f>data_origin!AA520</f>
        <v>0</v>
      </c>
      <c r="AB439" s="5">
        <f t="shared" si="55"/>
        <v>0</v>
      </c>
      <c r="AH439" t="s">
        <v>77</v>
      </c>
      <c r="AI439" s="5">
        <f>data_origin!T2767</f>
        <v>0</v>
      </c>
      <c r="AJ439" s="5">
        <f>data_origin!U2767</f>
        <v>0</v>
      </c>
      <c r="AK439" s="5">
        <f>data_origin!V2767</f>
        <v>0</v>
      </c>
      <c r="AL439" s="5">
        <f>data_origin!W2767</f>
        <v>0</v>
      </c>
      <c r="AM439" s="5">
        <f>data_origin!X2767</f>
        <v>0</v>
      </c>
      <c r="AN439" s="5">
        <f>data_origin!Y2767</f>
        <v>0</v>
      </c>
      <c r="AO439" s="5">
        <f>data_origin!Z2767</f>
        <v>0</v>
      </c>
      <c r="AP439" s="5">
        <f>data_origin!AA2767</f>
        <v>0</v>
      </c>
      <c r="AQ439" s="9">
        <f t="shared" si="56"/>
        <v>0</v>
      </c>
      <c r="AV439" t="s">
        <v>77</v>
      </c>
      <c r="AW439" s="5">
        <f>data_origin!T3481</f>
        <v>0</v>
      </c>
      <c r="AX439" s="5">
        <f>data_origin!U3481</f>
        <v>0</v>
      </c>
      <c r="AY439" s="5">
        <f>data_origin!V3481</f>
        <v>0</v>
      </c>
      <c r="AZ439" s="5">
        <f>data_origin!W3481</f>
        <v>0</v>
      </c>
      <c r="BA439" s="5">
        <f>data_origin!X3481</f>
        <v>0</v>
      </c>
      <c r="BB439" s="5">
        <f>data_origin!Y3481</f>
        <v>0</v>
      </c>
      <c r="BC439" s="5">
        <f>data_origin!Z3481</f>
        <v>0</v>
      </c>
      <c r="BD439" s="5">
        <f>data_origin!AA3481</f>
        <v>0</v>
      </c>
      <c r="BE439" s="9">
        <f t="shared" si="57"/>
        <v>0</v>
      </c>
    </row>
    <row r="440" spans="4:57" x14ac:dyDescent="0.25">
      <c r="D440" t="s">
        <v>78</v>
      </c>
      <c r="E440" s="35">
        <f t="shared" si="54"/>
        <v>0</v>
      </c>
      <c r="F440" s="35">
        <f t="shared" si="54"/>
        <v>0</v>
      </c>
      <c r="G440" s="35">
        <f t="shared" si="54"/>
        <v>0</v>
      </c>
      <c r="H440" s="35">
        <f t="shared" si="53"/>
        <v>0</v>
      </c>
      <c r="I440" s="35">
        <f t="shared" si="53"/>
        <v>0</v>
      </c>
      <c r="J440" s="35">
        <f t="shared" si="53"/>
        <v>0</v>
      </c>
      <c r="K440" s="35">
        <f t="shared" si="53"/>
        <v>0</v>
      </c>
      <c r="L440" s="35">
        <f t="shared" si="53"/>
        <v>0</v>
      </c>
      <c r="M440" s="35">
        <f t="shared" si="52"/>
        <v>0</v>
      </c>
      <c r="S440" t="s">
        <v>78</v>
      </c>
      <c r="T440" s="5">
        <f>data_origin!T521</f>
        <v>0</v>
      </c>
      <c r="U440" s="5">
        <f>data_origin!U521</f>
        <v>0</v>
      </c>
      <c r="V440" s="5">
        <f>data_origin!V521</f>
        <v>0</v>
      </c>
      <c r="W440" s="5">
        <f>data_origin!W521</f>
        <v>0</v>
      </c>
      <c r="X440" s="5">
        <f>data_origin!X521</f>
        <v>0</v>
      </c>
      <c r="Y440" s="5">
        <f>data_origin!Y521</f>
        <v>0</v>
      </c>
      <c r="Z440" s="5">
        <f>data_origin!Z521</f>
        <v>0</v>
      </c>
      <c r="AA440" s="5">
        <f>data_origin!AA521</f>
        <v>0</v>
      </c>
      <c r="AB440" s="5">
        <f t="shared" si="55"/>
        <v>0</v>
      </c>
      <c r="AH440" t="s">
        <v>78</v>
      </c>
      <c r="AI440" s="5">
        <f>data_origin!T2768</f>
        <v>0</v>
      </c>
      <c r="AJ440" s="5">
        <f>data_origin!U2768</f>
        <v>0</v>
      </c>
      <c r="AK440" s="5">
        <f>data_origin!V2768</f>
        <v>0</v>
      </c>
      <c r="AL440" s="5">
        <f>data_origin!W2768</f>
        <v>0</v>
      </c>
      <c r="AM440" s="5">
        <f>data_origin!X2768</f>
        <v>0</v>
      </c>
      <c r="AN440" s="5">
        <f>data_origin!Y2768</f>
        <v>0</v>
      </c>
      <c r="AO440" s="5">
        <f>data_origin!Z2768</f>
        <v>0</v>
      </c>
      <c r="AP440" s="5">
        <f>data_origin!AA2768</f>
        <v>0</v>
      </c>
      <c r="AQ440" s="9">
        <f t="shared" si="56"/>
        <v>0</v>
      </c>
      <c r="AV440" t="s">
        <v>78</v>
      </c>
      <c r="AW440" s="5">
        <f>data_origin!T3482</f>
        <v>0</v>
      </c>
      <c r="AX440" s="5">
        <f>data_origin!U3482</f>
        <v>0</v>
      </c>
      <c r="AY440" s="5">
        <f>data_origin!V3482</f>
        <v>0</v>
      </c>
      <c r="AZ440" s="5">
        <f>data_origin!W3482</f>
        <v>0</v>
      </c>
      <c r="BA440" s="5">
        <f>data_origin!X3482</f>
        <v>0</v>
      </c>
      <c r="BB440" s="5">
        <f>data_origin!Y3482</f>
        <v>0</v>
      </c>
      <c r="BC440" s="5">
        <f>data_origin!Z3482</f>
        <v>0</v>
      </c>
      <c r="BD440" s="5">
        <f>data_origin!AA3482</f>
        <v>0</v>
      </c>
      <c r="BE440" s="9">
        <f t="shared" si="57"/>
        <v>0</v>
      </c>
    </row>
    <row r="441" spans="4:57" x14ac:dyDescent="0.25">
      <c r="D441" t="s">
        <v>79</v>
      </c>
      <c r="E441" s="35">
        <f t="shared" si="54"/>
        <v>0</v>
      </c>
      <c r="F441" s="35">
        <f t="shared" si="54"/>
        <v>0</v>
      </c>
      <c r="G441" s="35">
        <f t="shared" si="54"/>
        <v>0</v>
      </c>
      <c r="H441" s="35">
        <f t="shared" si="53"/>
        <v>0</v>
      </c>
      <c r="I441" s="35">
        <f t="shared" si="53"/>
        <v>0</v>
      </c>
      <c r="J441" s="35">
        <f t="shared" si="53"/>
        <v>0</v>
      </c>
      <c r="K441" s="35">
        <f t="shared" si="53"/>
        <v>0</v>
      </c>
      <c r="L441" s="35">
        <f t="shared" si="53"/>
        <v>0</v>
      </c>
      <c r="M441" s="35">
        <f t="shared" si="52"/>
        <v>0</v>
      </c>
      <c r="S441" t="s">
        <v>79</v>
      </c>
      <c r="T441" s="5">
        <f>data_origin!T522</f>
        <v>0</v>
      </c>
      <c r="U441" s="5">
        <f>data_origin!U522</f>
        <v>0</v>
      </c>
      <c r="V441" s="5">
        <f>data_origin!V522</f>
        <v>0</v>
      </c>
      <c r="W441" s="5">
        <f>data_origin!W522</f>
        <v>0</v>
      </c>
      <c r="X441" s="5">
        <f>data_origin!X522</f>
        <v>0</v>
      </c>
      <c r="Y441" s="5">
        <f>data_origin!Y522</f>
        <v>0</v>
      </c>
      <c r="Z441" s="5">
        <f>data_origin!Z522</f>
        <v>0</v>
      </c>
      <c r="AA441" s="5">
        <f>data_origin!AA522</f>
        <v>0</v>
      </c>
      <c r="AB441" s="5">
        <f t="shared" si="55"/>
        <v>0</v>
      </c>
      <c r="AH441" t="s">
        <v>79</v>
      </c>
      <c r="AI441" s="5">
        <f>data_origin!T2769</f>
        <v>0</v>
      </c>
      <c r="AJ441" s="5">
        <f>data_origin!U2769</f>
        <v>0</v>
      </c>
      <c r="AK441" s="5">
        <f>data_origin!V2769</f>
        <v>0</v>
      </c>
      <c r="AL441" s="5">
        <f>data_origin!W2769</f>
        <v>0</v>
      </c>
      <c r="AM441" s="5">
        <f>data_origin!X2769</f>
        <v>0</v>
      </c>
      <c r="AN441" s="5">
        <f>data_origin!Y2769</f>
        <v>0</v>
      </c>
      <c r="AO441" s="5">
        <f>data_origin!Z2769</f>
        <v>0</v>
      </c>
      <c r="AP441" s="5">
        <f>data_origin!AA2769</f>
        <v>0</v>
      </c>
      <c r="AQ441" s="9">
        <f t="shared" si="56"/>
        <v>0</v>
      </c>
      <c r="AV441" t="s">
        <v>79</v>
      </c>
      <c r="AW441" s="5">
        <f>data_origin!T3483</f>
        <v>0</v>
      </c>
      <c r="AX441" s="5">
        <f>data_origin!U3483</f>
        <v>0</v>
      </c>
      <c r="AY441" s="5">
        <f>data_origin!V3483</f>
        <v>0</v>
      </c>
      <c r="AZ441" s="5">
        <f>data_origin!W3483</f>
        <v>0</v>
      </c>
      <c r="BA441" s="5">
        <f>data_origin!X3483</f>
        <v>0</v>
      </c>
      <c r="BB441" s="5">
        <f>data_origin!Y3483</f>
        <v>0</v>
      </c>
      <c r="BC441" s="5">
        <f>data_origin!Z3483</f>
        <v>0</v>
      </c>
      <c r="BD441" s="5">
        <f>data_origin!AA3483</f>
        <v>0</v>
      </c>
      <c r="BE441" s="9">
        <f t="shared" si="57"/>
        <v>0</v>
      </c>
    </row>
    <row r="442" spans="4:57" x14ac:dyDescent="0.25">
      <c r="D442" t="s">
        <v>80</v>
      </c>
      <c r="E442" s="35">
        <f t="shared" si="54"/>
        <v>0</v>
      </c>
      <c r="F442" s="35">
        <f t="shared" si="54"/>
        <v>0</v>
      </c>
      <c r="G442" s="35">
        <f t="shared" si="54"/>
        <v>0</v>
      </c>
      <c r="H442" s="35">
        <f t="shared" si="53"/>
        <v>0</v>
      </c>
      <c r="I442" s="35">
        <f t="shared" si="53"/>
        <v>0</v>
      </c>
      <c r="J442" s="35">
        <f t="shared" si="53"/>
        <v>0</v>
      </c>
      <c r="K442" s="35">
        <f t="shared" si="53"/>
        <v>0</v>
      </c>
      <c r="L442" s="35">
        <f t="shared" si="53"/>
        <v>0</v>
      </c>
      <c r="M442" s="35">
        <f t="shared" si="52"/>
        <v>0</v>
      </c>
      <c r="S442" t="s">
        <v>80</v>
      </c>
      <c r="T442" s="5">
        <f>data_origin!T523</f>
        <v>0</v>
      </c>
      <c r="U442" s="5">
        <f>data_origin!U523</f>
        <v>0</v>
      </c>
      <c r="V442" s="5">
        <f>data_origin!V523</f>
        <v>0</v>
      </c>
      <c r="W442" s="5">
        <f>data_origin!W523</f>
        <v>0</v>
      </c>
      <c r="X442" s="5">
        <f>data_origin!X523</f>
        <v>0</v>
      </c>
      <c r="Y442" s="5">
        <f>data_origin!Y523</f>
        <v>0</v>
      </c>
      <c r="Z442" s="5">
        <f>data_origin!Z523</f>
        <v>0</v>
      </c>
      <c r="AA442" s="5">
        <f>data_origin!AA523</f>
        <v>0</v>
      </c>
      <c r="AB442" s="5">
        <f t="shared" si="55"/>
        <v>0</v>
      </c>
      <c r="AH442" t="s">
        <v>80</v>
      </c>
      <c r="AI442" s="5">
        <f>data_origin!T2770</f>
        <v>0</v>
      </c>
      <c r="AJ442" s="5">
        <f>data_origin!U2770</f>
        <v>0</v>
      </c>
      <c r="AK442" s="5">
        <f>data_origin!V2770</f>
        <v>0</v>
      </c>
      <c r="AL442" s="5">
        <f>data_origin!W2770</f>
        <v>0</v>
      </c>
      <c r="AM442" s="5">
        <f>data_origin!X2770</f>
        <v>0</v>
      </c>
      <c r="AN442" s="5">
        <f>data_origin!Y2770</f>
        <v>0</v>
      </c>
      <c r="AO442" s="5">
        <f>data_origin!Z2770</f>
        <v>0</v>
      </c>
      <c r="AP442" s="5">
        <f>data_origin!AA2770</f>
        <v>0</v>
      </c>
      <c r="AQ442" s="9">
        <f t="shared" si="56"/>
        <v>0</v>
      </c>
      <c r="AV442" t="s">
        <v>80</v>
      </c>
      <c r="AW442" s="5">
        <f>data_origin!T3484</f>
        <v>0</v>
      </c>
      <c r="AX442" s="5">
        <f>data_origin!U3484</f>
        <v>0</v>
      </c>
      <c r="AY442" s="5">
        <f>data_origin!V3484</f>
        <v>0</v>
      </c>
      <c r="AZ442" s="5">
        <f>data_origin!W3484</f>
        <v>0</v>
      </c>
      <c r="BA442" s="5">
        <f>data_origin!X3484</f>
        <v>0</v>
      </c>
      <c r="BB442" s="5">
        <f>data_origin!Y3484</f>
        <v>0</v>
      </c>
      <c r="BC442" s="5">
        <f>data_origin!Z3484</f>
        <v>0</v>
      </c>
      <c r="BD442" s="5">
        <f>data_origin!AA3484</f>
        <v>0</v>
      </c>
      <c r="BE442" s="9">
        <f t="shared" si="57"/>
        <v>0</v>
      </c>
    </row>
    <row r="443" spans="4:57" x14ac:dyDescent="0.25">
      <c r="D443" t="s">
        <v>81</v>
      </c>
      <c r="E443" s="35">
        <f t="shared" si="54"/>
        <v>0</v>
      </c>
      <c r="F443" s="35">
        <f t="shared" si="54"/>
        <v>0</v>
      </c>
      <c r="G443" s="35">
        <f t="shared" si="54"/>
        <v>0</v>
      </c>
      <c r="H443" s="35">
        <f t="shared" si="53"/>
        <v>0</v>
      </c>
      <c r="I443" s="35">
        <f t="shared" si="53"/>
        <v>0</v>
      </c>
      <c r="J443" s="35">
        <f t="shared" si="53"/>
        <v>0</v>
      </c>
      <c r="K443" s="35">
        <f t="shared" si="53"/>
        <v>0</v>
      </c>
      <c r="L443" s="35">
        <f t="shared" si="53"/>
        <v>0</v>
      </c>
      <c r="M443" s="35">
        <f t="shared" si="52"/>
        <v>0</v>
      </c>
      <c r="S443" t="s">
        <v>81</v>
      </c>
      <c r="T443" s="5">
        <f>data_origin!T524</f>
        <v>0</v>
      </c>
      <c r="U443" s="5">
        <f>data_origin!U524</f>
        <v>0</v>
      </c>
      <c r="V443" s="5">
        <f>data_origin!V524</f>
        <v>0</v>
      </c>
      <c r="W443" s="5">
        <f>data_origin!W524</f>
        <v>0</v>
      </c>
      <c r="X443" s="5">
        <f>data_origin!X524</f>
        <v>0</v>
      </c>
      <c r="Y443" s="5">
        <f>data_origin!Y524</f>
        <v>0</v>
      </c>
      <c r="Z443" s="5">
        <f>data_origin!Z524</f>
        <v>0</v>
      </c>
      <c r="AA443" s="5">
        <f>data_origin!AA524</f>
        <v>0</v>
      </c>
      <c r="AB443" s="5">
        <f t="shared" si="55"/>
        <v>0</v>
      </c>
      <c r="AH443" t="s">
        <v>81</v>
      </c>
      <c r="AI443" s="5">
        <f>data_origin!T2771</f>
        <v>0</v>
      </c>
      <c r="AJ443" s="5">
        <f>data_origin!U2771</f>
        <v>0</v>
      </c>
      <c r="AK443" s="5">
        <f>data_origin!V2771</f>
        <v>0</v>
      </c>
      <c r="AL443" s="5">
        <f>data_origin!W2771</f>
        <v>1.8275862068965516</v>
      </c>
      <c r="AM443" s="5">
        <f>data_origin!X2771</f>
        <v>0</v>
      </c>
      <c r="AN443" s="5">
        <f>data_origin!Y2771</f>
        <v>0</v>
      </c>
      <c r="AO443" s="5">
        <f>data_origin!Z2771</f>
        <v>0</v>
      </c>
      <c r="AP443" s="5">
        <f>data_origin!AA2771</f>
        <v>0</v>
      </c>
      <c r="AQ443" s="9">
        <f t="shared" si="56"/>
        <v>1.8275862068965516</v>
      </c>
      <c r="AV443" t="s">
        <v>81</v>
      </c>
      <c r="AW443" s="5">
        <f>data_origin!T3485</f>
        <v>0</v>
      </c>
      <c r="AX443" s="5">
        <f>data_origin!U3485</f>
        <v>0</v>
      </c>
      <c r="AY443" s="5">
        <f>data_origin!V3485</f>
        <v>0</v>
      </c>
      <c r="AZ443" s="5">
        <f>data_origin!W3485</f>
        <v>0</v>
      </c>
      <c r="BA443" s="5">
        <f>data_origin!X3485</f>
        <v>0</v>
      </c>
      <c r="BB443" s="5">
        <f>data_origin!Y3485</f>
        <v>0</v>
      </c>
      <c r="BC443" s="5">
        <f>data_origin!Z3485</f>
        <v>0</v>
      </c>
      <c r="BD443" s="5">
        <f>data_origin!AA3485</f>
        <v>0</v>
      </c>
      <c r="BE443" s="9">
        <f t="shared" si="57"/>
        <v>0</v>
      </c>
    </row>
    <row r="444" spans="4:57" x14ac:dyDescent="0.25">
      <c r="D444" t="s">
        <v>82</v>
      </c>
      <c r="E444" s="35">
        <f t="shared" si="54"/>
        <v>0</v>
      </c>
      <c r="F444" s="35">
        <f t="shared" si="54"/>
        <v>0</v>
      </c>
      <c r="G444" s="35">
        <f t="shared" si="54"/>
        <v>0</v>
      </c>
      <c r="H444" s="35">
        <f t="shared" si="53"/>
        <v>0</v>
      </c>
      <c r="I444" s="35">
        <f t="shared" si="53"/>
        <v>0</v>
      </c>
      <c r="J444" s="35">
        <f t="shared" si="53"/>
        <v>0</v>
      </c>
      <c r="K444" s="35">
        <f t="shared" si="53"/>
        <v>0</v>
      </c>
      <c r="L444" s="35">
        <f t="shared" si="53"/>
        <v>0</v>
      </c>
      <c r="M444" s="35">
        <f t="shared" si="52"/>
        <v>0</v>
      </c>
      <c r="S444" t="s">
        <v>82</v>
      </c>
      <c r="T444" s="5">
        <f>data_origin!T525</f>
        <v>0</v>
      </c>
      <c r="U444" s="5">
        <f>data_origin!U525</f>
        <v>0</v>
      </c>
      <c r="V444" s="5">
        <f>data_origin!V525</f>
        <v>0</v>
      </c>
      <c r="W444" s="5">
        <f>data_origin!W525</f>
        <v>0</v>
      </c>
      <c r="X444" s="5">
        <f>data_origin!X525</f>
        <v>0</v>
      </c>
      <c r="Y444" s="5">
        <f>data_origin!Y525</f>
        <v>0</v>
      </c>
      <c r="Z444" s="5">
        <f>data_origin!Z525</f>
        <v>0</v>
      </c>
      <c r="AA444" s="5">
        <f>data_origin!AA525</f>
        <v>0</v>
      </c>
      <c r="AB444" s="5">
        <f t="shared" si="55"/>
        <v>0</v>
      </c>
      <c r="AH444" t="s">
        <v>82</v>
      </c>
      <c r="AI444" s="5">
        <f>data_origin!T2772</f>
        <v>0</v>
      </c>
      <c r="AJ444" s="5">
        <f>data_origin!U2772</f>
        <v>0</v>
      </c>
      <c r="AK444" s="5">
        <f>data_origin!V2772</f>
        <v>0</v>
      </c>
      <c r="AL444" s="5">
        <f>data_origin!W2772</f>
        <v>0</v>
      </c>
      <c r="AM444" s="5">
        <f>data_origin!X2772</f>
        <v>0</v>
      </c>
      <c r="AN444" s="5">
        <f>data_origin!Y2772</f>
        <v>0</v>
      </c>
      <c r="AO444" s="5">
        <f>data_origin!Z2772</f>
        <v>0</v>
      </c>
      <c r="AP444" s="5">
        <f>data_origin!AA2772</f>
        <v>0</v>
      </c>
      <c r="AQ444" s="9">
        <f t="shared" si="56"/>
        <v>0</v>
      </c>
      <c r="AV444" t="s">
        <v>82</v>
      </c>
      <c r="AW444" s="5">
        <f>data_origin!T3486</f>
        <v>0</v>
      </c>
      <c r="AX444" s="5">
        <f>data_origin!U3486</f>
        <v>0</v>
      </c>
      <c r="AY444" s="5">
        <f>data_origin!V3486</f>
        <v>0</v>
      </c>
      <c r="AZ444" s="5">
        <f>data_origin!W3486</f>
        <v>0</v>
      </c>
      <c r="BA444" s="5">
        <f>data_origin!X3486</f>
        <v>0</v>
      </c>
      <c r="BB444" s="5">
        <f>data_origin!Y3486</f>
        <v>0</v>
      </c>
      <c r="BC444" s="5">
        <f>data_origin!Z3486</f>
        <v>0</v>
      </c>
      <c r="BD444" s="5">
        <f>data_origin!AA3486</f>
        <v>0</v>
      </c>
      <c r="BE444" s="9">
        <f t="shared" si="57"/>
        <v>0</v>
      </c>
    </row>
    <row r="445" spans="4:57" x14ac:dyDescent="0.25">
      <c r="D445" t="s">
        <v>83</v>
      </c>
      <c r="E445" s="35">
        <f t="shared" si="54"/>
        <v>0</v>
      </c>
      <c r="F445" s="35">
        <f t="shared" si="54"/>
        <v>0</v>
      </c>
      <c r="G445" s="35">
        <f t="shared" si="54"/>
        <v>0</v>
      </c>
      <c r="H445" s="35">
        <f t="shared" si="53"/>
        <v>0</v>
      </c>
      <c r="I445" s="35">
        <f t="shared" si="53"/>
        <v>0</v>
      </c>
      <c r="J445" s="35">
        <f t="shared" si="53"/>
        <v>0</v>
      </c>
      <c r="K445" s="35">
        <f t="shared" si="53"/>
        <v>0</v>
      </c>
      <c r="L445" s="35">
        <f t="shared" si="53"/>
        <v>0</v>
      </c>
      <c r="M445" s="35">
        <f t="shared" si="52"/>
        <v>0</v>
      </c>
      <c r="S445" t="s">
        <v>83</v>
      </c>
      <c r="T445" s="5">
        <f>data_origin!T526</f>
        <v>0</v>
      </c>
      <c r="U445" s="5">
        <f>data_origin!U526</f>
        <v>0</v>
      </c>
      <c r="V445" s="5">
        <f>data_origin!V526</f>
        <v>0</v>
      </c>
      <c r="W445" s="5">
        <f>data_origin!W526</f>
        <v>0</v>
      </c>
      <c r="X445" s="5">
        <f>data_origin!X526</f>
        <v>0</v>
      </c>
      <c r="Y445" s="5">
        <f>data_origin!Y526</f>
        <v>0</v>
      </c>
      <c r="Z445" s="5">
        <f>data_origin!Z526</f>
        <v>0</v>
      </c>
      <c r="AA445" s="5">
        <f>data_origin!AA526</f>
        <v>0</v>
      </c>
      <c r="AB445" s="5">
        <f t="shared" si="55"/>
        <v>0</v>
      </c>
      <c r="AH445" t="s">
        <v>83</v>
      </c>
      <c r="AI445" s="5">
        <f>data_origin!T2773</f>
        <v>0</v>
      </c>
      <c r="AJ445" s="5">
        <f>data_origin!U2773</f>
        <v>0</v>
      </c>
      <c r="AK445" s="5">
        <f>data_origin!V2773</f>
        <v>0</v>
      </c>
      <c r="AL445" s="5">
        <f>data_origin!W2773</f>
        <v>0</v>
      </c>
      <c r="AM445" s="5">
        <f>data_origin!X2773</f>
        <v>0</v>
      </c>
      <c r="AN445" s="5">
        <f>data_origin!Y2773</f>
        <v>0</v>
      </c>
      <c r="AO445" s="5">
        <f>data_origin!Z2773</f>
        <v>0</v>
      </c>
      <c r="AP445" s="5">
        <f>data_origin!AA2773</f>
        <v>0</v>
      </c>
      <c r="AQ445" s="9">
        <f t="shared" si="56"/>
        <v>0</v>
      </c>
      <c r="AV445" t="s">
        <v>83</v>
      </c>
      <c r="AW445" s="5">
        <f>data_origin!T3487</f>
        <v>0</v>
      </c>
      <c r="AX445" s="5">
        <f>data_origin!U3487</f>
        <v>0</v>
      </c>
      <c r="AY445" s="5">
        <f>data_origin!V3487</f>
        <v>0</v>
      </c>
      <c r="AZ445" s="5">
        <f>data_origin!W3487</f>
        <v>0</v>
      </c>
      <c r="BA445" s="5">
        <f>data_origin!X3487</f>
        <v>0</v>
      </c>
      <c r="BB445" s="5">
        <f>data_origin!Y3487</f>
        <v>0</v>
      </c>
      <c r="BC445" s="5">
        <f>data_origin!Z3487</f>
        <v>0</v>
      </c>
      <c r="BD445" s="5">
        <f>data_origin!AA3487</f>
        <v>0</v>
      </c>
      <c r="BE445" s="9">
        <f t="shared" si="57"/>
        <v>0</v>
      </c>
    </row>
    <row r="446" spans="4:57" x14ac:dyDescent="0.25">
      <c r="D446" t="s">
        <v>84</v>
      </c>
      <c r="E446" s="35">
        <f t="shared" si="54"/>
        <v>0</v>
      </c>
      <c r="F446" s="35">
        <f t="shared" si="54"/>
        <v>0</v>
      </c>
      <c r="G446" s="35">
        <f t="shared" si="54"/>
        <v>0</v>
      </c>
      <c r="H446" s="35">
        <f t="shared" si="53"/>
        <v>0</v>
      </c>
      <c r="I446" s="35">
        <f t="shared" si="53"/>
        <v>0</v>
      </c>
      <c r="J446" s="35">
        <f t="shared" si="53"/>
        <v>0</v>
      </c>
      <c r="K446" s="35">
        <f t="shared" si="53"/>
        <v>0</v>
      </c>
      <c r="L446" s="35">
        <f t="shared" si="53"/>
        <v>0</v>
      </c>
      <c r="M446" s="35">
        <f t="shared" si="52"/>
        <v>0</v>
      </c>
      <c r="S446" t="s">
        <v>84</v>
      </c>
      <c r="T446" s="5">
        <f>data_origin!T527</f>
        <v>0</v>
      </c>
      <c r="U446" s="5">
        <f>data_origin!U527</f>
        <v>0</v>
      </c>
      <c r="V446" s="5">
        <f>data_origin!V527</f>
        <v>0</v>
      </c>
      <c r="W446" s="5">
        <f>data_origin!W527</f>
        <v>0</v>
      </c>
      <c r="X446" s="5">
        <f>data_origin!X527</f>
        <v>0</v>
      </c>
      <c r="Y446" s="5">
        <f>data_origin!Y527</f>
        <v>0</v>
      </c>
      <c r="Z446" s="5">
        <f>data_origin!Z527</f>
        <v>0</v>
      </c>
      <c r="AA446" s="5">
        <f>data_origin!AA527</f>
        <v>0</v>
      </c>
      <c r="AB446" s="5">
        <f t="shared" si="55"/>
        <v>0</v>
      </c>
      <c r="AH446" t="s">
        <v>84</v>
      </c>
      <c r="AI446" s="5">
        <f>data_origin!T2774</f>
        <v>0</v>
      </c>
      <c r="AJ446" s="5">
        <f>data_origin!U2774</f>
        <v>0</v>
      </c>
      <c r="AK446" s="5">
        <f>data_origin!V2774</f>
        <v>0</v>
      </c>
      <c r="AL446" s="5">
        <f>data_origin!W2774</f>
        <v>0</v>
      </c>
      <c r="AM446" s="5">
        <f>data_origin!X2774</f>
        <v>0</v>
      </c>
      <c r="AN446" s="5">
        <f>data_origin!Y2774</f>
        <v>0</v>
      </c>
      <c r="AO446" s="5">
        <f>data_origin!Z2774</f>
        <v>0</v>
      </c>
      <c r="AP446" s="5">
        <f>data_origin!AA2774</f>
        <v>0</v>
      </c>
      <c r="AQ446" s="9">
        <f t="shared" si="56"/>
        <v>0</v>
      </c>
      <c r="AV446" t="s">
        <v>84</v>
      </c>
      <c r="AW446" s="5">
        <f>data_origin!T3488</f>
        <v>0</v>
      </c>
      <c r="AX446" s="5">
        <f>data_origin!U3488</f>
        <v>0</v>
      </c>
      <c r="AY446" s="5">
        <f>data_origin!V3488</f>
        <v>0</v>
      </c>
      <c r="AZ446" s="5">
        <f>data_origin!W3488</f>
        <v>0</v>
      </c>
      <c r="BA446" s="5">
        <f>data_origin!X3488</f>
        <v>0</v>
      </c>
      <c r="BB446" s="5">
        <f>data_origin!Y3488</f>
        <v>0</v>
      </c>
      <c r="BC446" s="5">
        <f>data_origin!Z3488</f>
        <v>0</v>
      </c>
      <c r="BD446" s="5">
        <f>data_origin!AA3488</f>
        <v>0</v>
      </c>
      <c r="BE446" s="9">
        <f t="shared" si="57"/>
        <v>0</v>
      </c>
    </row>
    <row r="447" spans="4:57" x14ac:dyDescent="0.25">
      <c r="D447" t="s">
        <v>85</v>
      </c>
      <c r="E447" s="35">
        <f t="shared" si="54"/>
        <v>0</v>
      </c>
      <c r="F447" s="35">
        <f t="shared" si="54"/>
        <v>0</v>
      </c>
      <c r="G447" s="35">
        <f t="shared" si="54"/>
        <v>0</v>
      </c>
      <c r="H447" s="35">
        <f t="shared" si="53"/>
        <v>0</v>
      </c>
      <c r="I447" s="35">
        <f t="shared" si="53"/>
        <v>0</v>
      </c>
      <c r="J447" s="35">
        <f t="shared" si="53"/>
        <v>0</v>
      </c>
      <c r="K447" s="35">
        <f t="shared" si="53"/>
        <v>0</v>
      </c>
      <c r="L447" s="35">
        <f t="shared" si="53"/>
        <v>0</v>
      </c>
      <c r="M447" s="35">
        <f t="shared" si="52"/>
        <v>0</v>
      </c>
      <c r="S447" t="s">
        <v>85</v>
      </c>
      <c r="T447" s="5">
        <f>data_origin!T528</f>
        <v>0</v>
      </c>
      <c r="U447" s="5">
        <f>data_origin!U528</f>
        <v>0</v>
      </c>
      <c r="V447" s="5">
        <f>data_origin!V528</f>
        <v>0</v>
      </c>
      <c r="W447" s="5">
        <f>data_origin!W528</f>
        <v>0</v>
      </c>
      <c r="X447" s="5">
        <f>data_origin!X528</f>
        <v>0</v>
      </c>
      <c r="Y447" s="5">
        <f>data_origin!Y528</f>
        <v>0</v>
      </c>
      <c r="Z447" s="5">
        <f>data_origin!Z528</f>
        <v>0</v>
      </c>
      <c r="AA447" s="5">
        <f>data_origin!AA528</f>
        <v>0</v>
      </c>
      <c r="AB447" s="5">
        <f t="shared" si="55"/>
        <v>0</v>
      </c>
      <c r="AH447" t="s">
        <v>85</v>
      </c>
      <c r="AI447" s="5">
        <f>data_origin!T2775</f>
        <v>0</v>
      </c>
      <c r="AJ447" s="5">
        <f>data_origin!U2775</f>
        <v>0</v>
      </c>
      <c r="AK447" s="5">
        <f>data_origin!V2775</f>
        <v>0</v>
      </c>
      <c r="AL447" s="5">
        <f>data_origin!W2775</f>
        <v>0</v>
      </c>
      <c r="AM447" s="5">
        <f>data_origin!X2775</f>
        <v>0</v>
      </c>
      <c r="AN447" s="5">
        <f>data_origin!Y2775</f>
        <v>0</v>
      </c>
      <c r="AO447" s="5">
        <f>data_origin!Z2775</f>
        <v>0</v>
      </c>
      <c r="AP447" s="5">
        <f>data_origin!AA2775</f>
        <v>0</v>
      </c>
      <c r="AQ447" s="9">
        <f t="shared" si="56"/>
        <v>0</v>
      </c>
      <c r="AV447" t="s">
        <v>85</v>
      </c>
      <c r="AW447" s="5">
        <f>data_origin!T3489</f>
        <v>0</v>
      </c>
      <c r="AX447" s="5">
        <f>data_origin!U3489</f>
        <v>0</v>
      </c>
      <c r="AY447" s="5">
        <f>data_origin!V3489</f>
        <v>0</v>
      </c>
      <c r="AZ447" s="5">
        <f>data_origin!W3489</f>
        <v>0</v>
      </c>
      <c r="BA447" s="5">
        <f>data_origin!X3489</f>
        <v>0</v>
      </c>
      <c r="BB447" s="5">
        <f>data_origin!Y3489</f>
        <v>0</v>
      </c>
      <c r="BC447" s="5">
        <f>data_origin!Z3489</f>
        <v>0</v>
      </c>
      <c r="BD447" s="5">
        <f>data_origin!AA3489</f>
        <v>0</v>
      </c>
      <c r="BE447" s="9">
        <f t="shared" si="57"/>
        <v>0</v>
      </c>
    </row>
    <row r="448" spans="4:57" x14ac:dyDescent="0.25">
      <c r="D448" t="s">
        <v>86</v>
      </c>
      <c r="E448" s="35">
        <f t="shared" si="54"/>
        <v>0</v>
      </c>
      <c r="F448" s="35">
        <f t="shared" si="54"/>
        <v>0</v>
      </c>
      <c r="G448" s="35">
        <f t="shared" si="54"/>
        <v>0</v>
      </c>
      <c r="H448" s="35">
        <f t="shared" si="53"/>
        <v>0</v>
      </c>
      <c r="I448" s="35">
        <f t="shared" si="53"/>
        <v>0</v>
      </c>
      <c r="J448" s="35">
        <f t="shared" si="53"/>
        <v>0</v>
      </c>
      <c r="K448" s="35">
        <f t="shared" si="53"/>
        <v>0</v>
      </c>
      <c r="L448" s="35">
        <f t="shared" si="53"/>
        <v>0</v>
      </c>
      <c r="M448" s="35">
        <f t="shared" si="52"/>
        <v>0</v>
      </c>
      <c r="S448" t="s">
        <v>86</v>
      </c>
      <c r="T448" s="5">
        <f>data_origin!T529</f>
        <v>0</v>
      </c>
      <c r="U448" s="5">
        <f>data_origin!U529</f>
        <v>0</v>
      </c>
      <c r="V448" s="5">
        <f>data_origin!V529</f>
        <v>0</v>
      </c>
      <c r="W448" s="5">
        <f>data_origin!W529</f>
        <v>0</v>
      </c>
      <c r="X448" s="5">
        <f>data_origin!X529</f>
        <v>0</v>
      </c>
      <c r="Y448" s="5">
        <f>data_origin!Y529</f>
        <v>0</v>
      </c>
      <c r="Z448" s="5">
        <f>data_origin!Z529</f>
        <v>0</v>
      </c>
      <c r="AA448" s="5">
        <f>data_origin!AA529</f>
        <v>0</v>
      </c>
      <c r="AB448" s="5">
        <f t="shared" si="55"/>
        <v>0</v>
      </c>
      <c r="AH448" t="s">
        <v>86</v>
      </c>
      <c r="AI448" s="5">
        <f>data_origin!T2776</f>
        <v>0</v>
      </c>
      <c r="AJ448" s="5">
        <f>data_origin!U2776</f>
        <v>0</v>
      </c>
      <c r="AK448" s="5">
        <f>data_origin!V2776</f>
        <v>0</v>
      </c>
      <c r="AL448" s="5">
        <f>data_origin!W2776</f>
        <v>0</v>
      </c>
      <c r="AM448" s="5">
        <f>data_origin!X2776</f>
        <v>1.1851851851851851</v>
      </c>
      <c r="AN448" s="5">
        <f>data_origin!Y2776</f>
        <v>0</v>
      </c>
      <c r="AO448" s="5">
        <f>data_origin!Z2776</f>
        <v>0</v>
      </c>
      <c r="AP448" s="5">
        <f>data_origin!AA2776</f>
        <v>0</v>
      </c>
      <c r="AQ448" s="9">
        <f t="shared" si="56"/>
        <v>1.1851851851851851</v>
      </c>
      <c r="AV448" t="s">
        <v>86</v>
      </c>
      <c r="AW448" s="5">
        <f>data_origin!T3490</f>
        <v>0</v>
      </c>
      <c r="AX448" s="5">
        <f>data_origin!U3490</f>
        <v>0</v>
      </c>
      <c r="AY448" s="5">
        <f>data_origin!V3490</f>
        <v>0</v>
      </c>
      <c r="AZ448" s="5">
        <f>data_origin!W3490</f>
        <v>0</v>
      </c>
      <c r="BA448" s="5">
        <f>data_origin!X3490</f>
        <v>0</v>
      </c>
      <c r="BB448" s="5">
        <f>data_origin!Y3490</f>
        <v>0</v>
      </c>
      <c r="BC448" s="5">
        <f>data_origin!Z3490</f>
        <v>0</v>
      </c>
      <c r="BD448" s="5">
        <f>data_origin!AA3490</f>
        <v>0</v>
      </c>
      <c r="BE448" s="9">
        <f t="shared" si="57"/>
        <v>0</v>
      </c>
    </row>
    <row r="449" spans="4:58" x14ac:dyDescent="0.25">
      <c r="D449" t="s">
        <v>87</v>
      </c>
      <c r="E449" s="35">
        <f t="shared" si="54"/>
        <v>0</v>
      </c>
      <c r="F449" s="35">
        <f t="shared" si="54"/>
        <v>0</v>
      </c>
      <c r="G449" s="35">
        <f t="shared" si="54"/>
        <v>0</v>
      </c>
      <c r="H449" s="35">
        <f t="shared" si="53"/>
        <v>0</v>
      </c>
      <c r="I449" s="35">
        <f t="shared" si="53"/>
        <v>0</v>
      </c>
      <c r="J449" s="35">
        <f t="shared" si="53"/>
        <v>0</v>
      </c>
      <c r="K449" s="35">
        <f t="shared" si="53"/>
        <v>0</v>
      </c>
      <c r="L449" s="35">
        <f t="shared" si="53"/>
        <v>0</v>
      </c>
      <c r="M449" s="35">
        <f t="shared" si="52"/>
        <v>0</v>
      </c>
      <c r="S449" t="s">
        <v>87</v>
      </c>
      <c r="T449" s="5">
        <f>data_origin!T530</f>
        <v>0</v>
      </c>
      <c r="U449" s="5">
        <f>data_origin!U530</f>
        <v>0</v>
      </c>
      <c r="V449" s="5">
        <f>data_origin!V530</f>
        <v>0</v>
      </c>
      <c r="W449" s="5">
        <f>data_origin!W530</f>
        <v>0</v>
      </c>
      <c r="X449" s="5">
        <f>data_origin!X530</f>
        <v>0</v>
      </c>
      <c r="Y449" s="5">
        <f>data_origin!Y530</f>
        <v>0</v>
      </c>
      <c r="Z449" s="5">
        <f>data_origin!Z530</f>
        <v>0</v>
      </c>
      <c r="AA449" s="5">
        <f>data_origin!AA530</f>
        <v>0</v>
      </c>
      <c r="AB449" s="5">
        <f t="shared" si="55"/>
        <v>0</v>
      </c>
      <c r="AH449" t="s">
        <v>87</v>
      </c>
      <c r="AI449" s="5">
        <f>data_origin!T2777</f>
        <v>0</v>
      </c>
      <c r="AJ449" s="5">
        <f>data_origin!U2777</f>
        <v>0</v>
      </c>
      <c r="AK449" s="5">
        <f>data_origin!V2777</f>
        <v>0</v>
      </c>
      <c r="AL449" s="5">
        <f>data_origin!W2777</f>
        <v>0</v>
      </c>
      <c r="AM449" s="5">
        <f>data_origin!X2777</f>
        <v>0</v>
      </c>
      <c r="AN449" s="5">
        <f>data_origin!Y2777</f>
        <v>0</v>
      </c>
      <c r="AO449" s="5">
        <f>data_origin!Z2777</f>
        <v>0</v>
      </c>
      <c r="AP449" s="5">
        <f>data_origin!AA2777</f>
        <v>0</v>
      </c>
      <c r="AQ449" s="9">
        <f t="shared" si="56"/>
        <v>0</v>
      </c>
      <c r="AV449" t="s">
        <v>87</v>
      </c>
      <c r="AW449" s="5">
        <f>data_origin!T3491</f>
        <v>0</v>
      </c>
      <c r="AX449" s="5">
        <f>data_origin!U3491</f>
        <v>0</v>
      </c>
      <c r="AY449" s="5">
        <f>data_origin!V3491</f>
        <v>0</v>
      </c>
      <c r="AZ449" s="5">
        <f>data_origin!W3491</f>
        <v>0</v>
      </c>
      <c r="BA449" s="5">
        <f>data_origin!X3491</f>
        <v>0</v>
      </c>
      <c r="BB449" s="5">
        <f>data_origin!Y3491</f>
        <v>0</v>
      </c>
      <c r="BC449" s="5">
        <f>data_origin!Z3491</f>
        <v>0</v>
      </c>
      <c r="BD449" s="5">
        <f>data_origin!AA3491</f>
        <v>0</v>
      </c>
      <c r="BE449" s="9">
        <f t="shared" si="57"/>
        <v>0</v>
      </c>
    </row>
    <row r="450" spans="4:58" x14ac:dyDescent="0.25">
      <c r="D450" t="s">
        <v>88</v>
      </c>
      <c r="E450" s="35">
        <f t="shared" si="54"/>
        <v>0</v>
      </c>
      <c r="F450" s="35">
        <f t="shared" si="54"/>
        <v>0</v>
      </c>
      <c r="G450" s="35">
        <f t="shared" si="54"/>
        <v>0</v>
      </c>
      <c r="H450" s="35">
        <f t="shared" si="53"/>
        <v>0</v>
      </c>
      <c r="I450" s="35">
        <f t="shared" si="53"/>
        <v>0</v>
      </c>
      <c r="J450" s="35">
        <f t="shared" si="53"/>
        <v>0</v>
      </c>
      <c r="K450" s="35">
        <f t="shared" si="53"/>
        <v>0</v>
      </c>
      <c r="L450" s="35">
        <f t="shared" si="53"/>
        <v>0</v>
      </c>
      <c r="M450" s="35">
        <f t="shared" si="52"/>
        <v>0</v>
      </c>
      <c r="S450" t="s">
        <v>88</v>
      </c>
      <c r="T450" s="5">
        <f>data_origin!T531</f>
        <v>0</v>
      </c>
      <c r="U450" s="5">
        <f>data_origin!U531</f>
        <v>0</v>
      </c>
      <c r="V450" s="5">
        <f>data_origin!V531</f>
        <v>0</v>
      </c>
      <c r="W450" s="5">
        <f>data_origin!W531</f>
        <v>0</v>
      </c>
      <c r="X450" s="5">
        <f>data_origin!X531</f>
        <v>0</v>
      </c>
      <c r="Y450" s="5">
        <f>data_origin!Y531</f>
        <v>0</v>
      </c>
      <c r="Z450" s="5">
        <f>data_origin!Z531</f>
        <v>0</v>
      </c>
      <c r="AA450" s="5">
        <f>data_origin!AA531</f>
        <v>0</v>
      </c>
      <c r="AB450" s="5">
        <f t="shared" si="55"/>
        <v>0</v>
      </c>
      <c r="AH450" t="s">
        <v>88</v>
      </c>
      <c r="AI450" s="5">
        <f>data_origin!T2778</f>
        <v>0</v>
      </c>
      <c r="AJ450" s="5">
        <f>data_origin!U2778</f>
        <v>0</v>
      </c>
      <c r="AK450" s="5">
        <f>data_origin!V2778</f>
        <v>0</v>
      </c>
      <c r="AL450" s="5">
        <f>data_origin!W2778</f>
        <v>0</v>
      </c>
      <c r="AM450" s="5">
        <f>data_origin!X2778</f>
        <v>1.1851851851851851</v>
      </c>
      <c r="AN450" s="5">
        <f>data_origin!Y2778</f>
        <v>0</v>
      </c>
      <c r="AO450" s="5">
        <f>data_origin!Z2778</f>
        <v>0</v>
      </c>
      <c r="AP450" s="5">
        <f>data_origin!AA2778</f>
        <v>0</v>
      </c>
      <c r="AQ450" s="9">
        <f t="shared" si="56"/>
        <v>1.1851851851851851</v>
      </c>
      <c r="AV450" t="s">
        <v>88</v>
      </c>
      <c r="AW450" s="5">
        <f>data_origin!T3492</f>
        <v>0</v>
      </c>
      <c r="AX450" s="5">
        <f>data_origin!U3492</f>
        <v>0</v>
      </c>
      <c r="AY450" s="5">
        <f>data_origin!V3492</f>
        <v>0</v>
      </c>
      <c r="AZ450" s="5">
        <f>data_origin!W3492</f>
        <v>0</v>
      </c>
      <c r="BA450" s="5">
        <f>data_origin!X3492</f>
        <v>0</v>
      </c>
      <c r="BB450" s="5">
        <f>data_origin!Y3492</f>
        <v>0</v>
      </c>
      <c r="BC450" s="5">
        <f>data_origin!Z3492</f>
        <v>0</v>
      </c>
      <c r="BD450" s="5">
        <f>data_origin!AA3492</f>
        <v>0</v>
      </c>
      <c r="BE450" s="9">
        <f t="shared" si="57"/>
        <v>0</v>
      </c>
    </row>
    <row r="451" spans="4:58" x14ac:dyDescent="0.25">
      <c r="D451" t="s">
        <v>89</v>
      </c>
      <c r="E451" s="35">
        <f t="shared" si="54"/>
        <v>0</v>
      </c>
      <c r="F451" s="35">
        <f t="shared" si="54"/>
        <v>0</v>
      </c>
      <c r="G451" s="35">
        <f t="shared" si="54"/>
        <v>0</v>
      </c>
      <c r="H451" s="35">
        <f t="shared" si="53"/>
        <v>0</v>
      </c>
      <c r="I451" s="35">
        <f t="shared" si="53"/>
        <v>0</v>
      </c>
      <c r="J451" s="35">
        <f t="shared" si="53"/>
        <v>0</v>
      </c>
      <c r="K451" s="35">
        <f t="shared" si="53"/>
        <v>0</v>
      </c>
      <c r="L451" s="35">
        <f t="shared" si="53"/>
        <v>0</v>
      </c>
      <c r="M451" s="35">
        <f t="shared" si="52"/>
        <v>0</v>
      </c>
      <c r="S451" t="s">
        <v>89</v>
      </c>
      <c r="T451" s="5">
        <f>data_origin!T532</f>
        <v>0</v>
      </c>
      <c r="U451" s="5">
        <f>data_origin!U532</f>
        <v>0</v>
      </c>
      <c r="V451" s="5">
        <f>data_origin!V532</f>
        <v>0</v>
      </c>
      <c r="W451" s="5">
        <f>data_origin!W532</f>
        <v>0</v>
      </c>
      <c r="X451" s="5">
        <f>data_origin!X532</f>
        <v>0</v>
      </c>
      <c r="Y451" s="5">
        <f>data_origin!Y532</f>
        <v>0</v>
      </c>
      <c r="Z451" s="5">
        <f>data_origin!Z532</f>
        <v>0</v>
      </c>
      <c r="AA451" s="5">
        <f>data_origin!AA532</f>
        <v>0</v>
      </c>
      <c r="AB451" s="5">
        <f t="shared" si="55"/>
        <v>0</v>
      </c>
      <c r="AH451" t="s">
        <v>89</v>
      </c>
      <c r="AI451" s="5">
        <f>data_origin!T2779</f>
        <v>0</v>
      </c>
      <c r="AJ451" s="5">
        <f>data_origin!U2779</f>
        <v>0</v>
      </c>
      <c r="AK451" s="5">
        <f>data_origin!V2779</f>
        <v>0</v>
      </c>
      <c r="AL451" s="5">
        <f>data_origin!W2779</f>
        <v>0</v>
      </c>
      <c r="AM451" s="5">
        <f>data_origin!X2779</f>
        <v>1.1851851851851851</v>
      </c>
      <c r="AN451" s="5">
        <f>data_origin!Y2779</f>
        <v>0</v>
      </c>
      <c r="AO451" s="5">
        <f>data_origin!Z2779</f>
        <v>0</v>
      </c>
      <c r="AP451" s="5">
        <f>data_origin!AA2779</f>
        <v>0</v>
      </c>
      <c r="AQ451" s="9">
        <f t="shared" si="56"/>
        <v>1.1851851851851851</v>
      </c>
      <c r="AV451" t="s">
        <v>89</v>
      </c>
      <c r="AW451" s="5">
        <f>data_origin!T3493</f>
        <v>0</v>
      </c>
      <c r="AX451" s="5">
        <f>data_origin!U3493</f>
        <v>0</v>
      </c>
      <c r="AY451" s="5">
        <f>data_origin!V3493</f>
        <v>0</v>
      </c>
      <c r="AZ451" s="5">
        <f>data_origin!W3493</f>
        <v>0</v>
      </c>
      <c r="BA451" s="5">
        <f>data_origin!X3493</f>
        <v>0</v>
      </c>
      <c r="BB451" s="5">
        <f>data_origin!Y3493</f>
        <v>0</v>
      </c>
      <c r="BC451" s="5">
        <f>data_origin!Z3493</f>
        <v>0</v>
      </c>
      <c r="BD451" s="5">
        <f>data_origin!AA3493</f>
        <v>0</v>
      </c>
      <c r="BE451" s="9">
        <f t="shared" si="57"/>
        <v>0</v>
      </c>
    </row>
    <row r="452" spans="4:58" x14ac:dyDescent="0.25">
      <c r="D452" t="s">
        <v>90</v>
      </c>
      <c r="E452" s="35">
        <f t="shared" si="54"/>
        <v>0</v>
      </c>
      <c r="F452" s="35">
        <f t="shared" si="54"/>
        <v>0</v>
      </c>
      <c r="G452" s="35">
        <f t="shared" si="54"/>
        <v>0</v>
      </c>
      <c r="H452" s="35">
        <f t="shared" si="53"/>
        <v>0</v>
      </c>
      <c r="I452" s="35">
        <f t="shared" si="53"/>
        <v>0</v>
      </c>
      <c r="J452" s="35">
        <f t="shared" si="53"/>
        <v>0</v>
      </c>
      <c r="K452" s="35">
        <f t="shared" si="53"/>
        <v>0</v>
      </c>
      <c r="L452" s="35">
        <f t="shared" si="53"/>
        <v>0</v>
      </c>
      <c r="M452" s="35">
        <f t="shared" si="52"/>
        <v>0</v>
      </c>
      <c r="S452" t="s">
        <v>90</v>
      </c>
      <c r="T452" s="5">
        <f>data_origin!T533</f>
        <v>0</v>
      </c>
      <c r="U452" s="5">
        <f>data_origin!U533</f>
        <v>0</v>
      </c>
      <c r="V452" s="5">
        <f>data_origin!V533</f>
        <v>0</v>
      </c>
      <c r="W452" s="5">
        <f>data_origin!W533</f>
        <v>0</v>
      </c>
      <c r="X452" s="5">
        <f>data_origin!X533</f>
        <v>0</v>
      </c>
      <c r="Y452" s="5">
        <f>data_origin!Y533</f>
        <v>0</v>
      </c>
      <c r="Z452" s="5">
        <f>data_origin!Z533</f>
        <v>0</v>
      </c>
      <c r="AA452" s="5">
        <f>data_origin!AA533</f>
        <v>0</v>
      </c>
      <c r="AB452" s="5">
        <f t="shared" si="55"/>
        <v>0</v>
      </c>
      <c r="AH452" t="s">
        <v>90</v>
      </c>
      <c r="AI452" s="5">
        <f>data_origin!T2780</f>
        <v>0</v>
      </c>
      <c r="AJ452" s="5">
        <f>data_origin!U2780</f>
        <v>0</v>
      </c>
      <c r="AK452" s="5">
        <f>data_origin!V2780</f>
        <v>0</v>
      </c>
      <c r="AL452" s="5">
        <f>data_origin!W2780</f>
        <v>0</v>
      </c>
      <c r="AM452" s="5">
        <f>data_origin!X2780</f>
        <v>0</v>
      </c>
      <c r="AN452" s="5">
        <f>data_origin!Y2780</f>
        <v>0</v>
      </c>
      <c r="AO452" s="5">
        <f>data_origin!Z2780</f>
        <v>0</v>
      </c>
      <c r="AP452" s="5">
        <f>data_origin!AA2780</f>
        <v>0</v>
      </c>
      <c r="AQ452" s="9">
        <f t="shared" si="56"/>
        <v>0</v>
      </c>
      <c r="AV452" t="s">
        <v>90</v>
      </c>
      <c r="AW452" s="5">
        <f>data_origin!T3494</f>
        <v>0</v>
      </c>
      <c r="AX452" s="5">
        <f>data_origin!U3494</f>
        <v>0</v>
      </c>
      <c r="AY452" s="5">
        <f>data_origin!V3494</f>
        <v>0</v>
      </c>
      <c r="AZ452" s="5">
        <f>data_origin!W3494</f>
        <v>0</v>
      </c>
      <c r="BA452" s="5">
        <f>data_origin!X3494</f>
        <v>0</v>
      </c>
      <c r="BB452" s="5">
        <f>data_origin!Y3494</f>
        <v>0</v>
      </c>
      <c r="BC452" s="5">
        <f>data_origin!Z3494</f>
        <v>0</v>
      </c>
      <c r="BD452" s="5">
        <f>data_origin!AA3494</f>
        <v>0</v>
      </c>
      <c r="BE452" s="9">
        <f t="shared" si="57"/>
        <v>0</v>
      </c>
    </row>
    <row r="453" spans="4:58" x14ac:dyDescent="0.25">
      <c r="D453" t="s">
        <v>91</v>
      </c>
      <c r="E453" s="35">
        <f t="shared" si="54"/>
        <v>0</v>
      </c>
      <c r="F453" s="35">
        <f t="shared" si="54"/>
        <v>0</v>
      </c>
      <c r="G453" s="35">
        <f t="shared" si="54"/>
        <v>0</v>
      </c>
      <c r="H453" s="35">
        <f t="shared" si="53"/>
        <v>0</v>
      </c>
      <c r="I453" s="35">
        <f t="shared" si="53"/>
        <v>0</v>
      </c>
      <c r="J453" s="35">
        <f t="shared" si="53"/>
        <v>0</v>
      </c>
      <c r="K453" s="35">
        <f t="shared" si="53"/>
        <v>0</v>
      </c>
      <c r="L453" s="35">
        <f t="shared" si="53"/>
        <v>0</v>
      </c>
      <c r="M453" s="35">
        <f t="shared" si="52"/>
        <v>0</v>
      </c>
      <c r="S453" t="s">
        <v>91</v>
      </c>
      <c r="T453" s="5">
        <f>data_origin!T534</f>
        <v>0</v>
      </c>
      <c r="U453" s="5">
        <f>data_origin!U534</f>
        <v>0</v>
      </c>
      <c r="V453" s="5">
        <f>data_origin!V534</f>
        <v>0</v>
      </c>
      <c r="W453" s="5">
        <f>data_origin!W534</f>
        <v>0</v>
      </c>
      <c r="X453" s="5">
        <f>data_origin!X534</f>
        <v>0</v>
      </c>
      <c r="Y453" s="5">
        <f>data_origin!Y534</f>
        <v>0</v>
      </c>
      <c r="Z453" s="5">
        <f>data_origin!Z534</f>
        <v>0</v>
      </c>
      <c r="AA453" s="5">
        <f>data_origin!AA534</f>
        <v>0</v>
      </c>
      <c r="AB453" s="5">
        <f t="shared" si="55"/>
        <v>0</v>
      </c>
      <c r="AH453" t="s">
        <v>91</v>
      </c>
      <c r="AI453" s="5">
        <f>data_origin!T2781</f>
        <v>0</v>
      </c>
      <c r="AJ453" s="5">
        <f>data_origin!U2781</f>
        <v>0</v>
      </c>
      <c r="AK453" s="5">
        <f>data_origin!V2781</f>
        <v>0</v>
      </c>
      <c r="AL453" s="5">
        <f>data_origin!W2781</f>
        <v>0</v>
      </c>
      <c r="AM453" s="5">
        <f>data_origin!X2781</f>
        <v>0</v>
      </c>
      <c r="AN453" s="5">
        <f>data_origin!Y2781</f>
        <v>0</v>
      </c>
      <c r="AO453" s="5">
        <f>data_origin!Z2781</f>
        <v>0</v>
      </c>
      <c r="AP453" s="5">
        <f>data_origin!AA2781</f>
        <v>0</v>
      </c>
      <c r="AQ453" s="9">
        <f t="shared" si="56"/>
        <v>0</v>
      </c>
      <c r="AV453" t="s">
        <v>91</v>
      </c>
      <c r="AW453" s="5">
        <f>data_origin!T3495</f>
        <v>0</v>
      </c>
      <c r="AX453" s="5">
        <f>data_origin!U3495</f>
        <v>0</v>
      </c>
      <c r="AY453" s="5">
        <f>data_origin!V3495</f>
        <v>0</v>
      </c>
      <c r="AZ453" s="5">
        <f>data_origin!W3495</f>
        <v>0</v>
      </c>
      <c r="BA453" s="5">
        <f>data_origin!X3495</f>
        <v>0</v>
      </c>
      <c r="BB453" s="5">
        <f>data_origin!Y3495</f>
        <v>0</v>
      </c>
      <c r="BC453" s="5">
        <f>data_origin!Z3495</f>
        <v>0</v>
      </c>
      <c r="BD453" s="5">
        <f>data_origin!AA3495</f>
        <v>0</v>
      </c>
      <c r="BE453" s="9">
        <f t="shared" si="57"/>
        <v>0</v>
      </c>
    </row>
    <row r="454" spans="4:58" x14ac:dyDescent="0.25">
      <c r="D454" t="s">
        <v>92</v>
      </c>
      <c r="E454" s="35">
        <f t="shared" si="54"/>
        <v>0</v>
      </c>
      <c r="F454" s="35">
        <f t="shared" si="54"/>
        <v>0</v>
      </c>
      <c r="G454" s="35">
        <f t="shared" si="54"/>
        <v>0</v>
      </c>
      <c r="H454" s="35">
        <f t="shared" si="53"/>
        <v>0</v>
      </c>
      <c r="I454" s="35">
        <f t="shared" si="53"/>
        <v>0</v>
      </c>
      <c r="J454" s="35">
        <f t="shared" si="53"/>
        <v>0</v>
      </c>
      <c r="K454" s="35">
        <f t="shared" si="53"/>
        <v>0</v>
      </c>
      <c r="L454" s="35">
        <f t="shared" si="53"/>
        <v>0</v>
      </c>
      <c r="M454" s="35">
        <f t="shared" si="52"/>
        <v>0</v>
      </c>
      <c r="S454" t="s">
        <v>92</v>
      </c>
      <c r="T454" s="5">
        <f>data_origin!T535</f>
        <v>0</v>
      </c>
      <c r="U454" s="5">
        <f>data_origin!U535</f>
        <v>0</v>
      </c>
      <c r="V454" s="5">
        <f>data_origin!V535</f>
        <v>0</v>
      </c>
      <c r="W454" s="5">
        <f>data_origin!W535</f>
        <v>0</v>
      </c>
      <c r="X454" s="5">
        <f>data_origin!X535</f>
        <v>0</v>
      </c>
      <c r="Y454" s="5">
        <f>data_origin!Y535</f>
        <v>0</v>
      </c>
      <c r="Z454" s="5">
        <f>data_origin!Z535</f>
        <v>0</v>
      </c>
      <c r="AA454" s="5">
        <f>data_origin!AA535</f>
        <v>0</v>
      </c>
      <c r="AB454" s="5">
        <f t="shared" si="55"/>
        <v>0</v>
      </c>
      <c r="AH454" t="s">
        <v>92</v>
      </c>
      <c r="AI454" s="5">
        <f>data_origin!T2782</f>
        <v>0</v>
      </c>
      <c r="AJ454" s="5">
        <f>data_origin!U2782</f>
        <v>0</v>
      </c>
      <c r="AK454" s="5">
        <f>data_origin!V2782</f>
        <v>0</v>
      </c>
      <c r="AL454" s="5">
        <f>data_origin!W2782</f>
        <v>0</v>
      </c>
      <c r="AM454" s="5">
        <f>data_origin!X2782</f>
        <v>0</v>
      </c>
      <c r="AN454" s="5">
        <f>data_origin!Y2782</f>
        <v>0</v>
      </c>
      <c r="AO454" s="5">
        <f>data_origin!Z2782</f>
        <v>0</v>
      </c>
      <c r="AP454" s="5">
        <f>data_origin!AA2782</f>
        <v>0</v>
      </c>
      <c r="AQ454" s="9">
        <f t="shared" si="56"/>
        <v>0</v>
      </c>
      <c r="AV454" t="s">
        <v>92</v>
      </c>
      <c r="AW454" s="5">
        <f>data_origin!T3496</f>
        <v>0</v>
      </c>
      <c r="AX454" s="5">
        <f>data_origin!U3496</f>
        <v>0</v>
      </c>
      <c r="AY454" s="5">
        <f>data_origin!V3496</f>
        <v>0</v>
      </c>
      <c r="AZ454" s="5">
        <f>data_origin!W3496</f>
        <v>0</v>
      </c>
      <c r="BA454" s="5">
        <f>data_origin!X3496</f>
        <v>0</v>
      </c>
      <c r="BB454" s="5">
        <f>data_origin!Y3496</f>
        <v>0</v>
      </c>
      <c r="BC454" s="5">
        <f>data_origin!Z3496</f>
        <v>0</v>
      </c>
      <c r="BD454" s="5">
        <f>data_origin!AA3496</f>
        <v>0</v>
      </c>
      <c r="BE454" s="9">
        <f t="shared" si="57"/>
        <v>0</v>
      </c>
    </row>
    <row r="455" spans="4:58" x14ac:dyDescent="0.25">
      <c r="D455" t="s">
        <v>93</v>
      </c>
      <c r="E455" s="35">
        <f t="shared" si="54"/>
        <v>0</v>
      </c>
      <c r="F455" s="35">
        <f t="shared" si="54"/>
        <v>0</v>
      </c>
      <c r="G455" s="35">
        <f t="shared" si="54"/>
        <v>0</v>
      </c>
      <c r="H455" s="35">
        <f t="shared" si="53"/>
        <v>0</v>
      </c>
      <c r="I455" s="35">
        <f t="shared" si="53"/>
        <v>0</v>
      </c>
      <c r="J455" s="35">
        <f t="shared" si="53"/>
        <v>0</v>
      </c>
      <c r="K455" s="35">
        <f t="shared" si="53"/>
        <v>0</v>
      </c>
      <c r="L455" s="35">
        <f t="shared" si="53"/>
        <v>0</v>
      </c>
      <c r="M455" s="35">
        <f t="shared" si="52"/>
        <v>0</v>
      </c>
      <c r="S455" t="s">
        <v>93</v>
      </c>
      <c r="T455" s="5">
        <f>data_origin!T536</f>
        <v>0</v>
      </c>
      <c r="U455" s="5">
        <f>data_origin!U536</f>
        <v>0</v>
      </c>
      <c r="V455" s="5">
        <f>data_origin!V536</f>
        <v>0</v>
      </c>
      <c r="W455" s="5">
        <f>data_origin!W536</f>
        <v>0</v>
      </c>
      <c r="X455" s="5">
        <f>data_origin!X536</f>
        <v>0</v>
      </c>
      <c r="Y455" s="5">
        <f>data_origin!Y536</f>
        <v>0</v>
      </c>
      <c r="Z455" s="5">
        <f>data_origin!Z536</f>
        <v>0</v>
      </c>
      <c r="AA455" s="5">
        <f>data_origin!AA536</f>
        <v>0</v>
      </c>
      <c r="AB455" s="5">
        <f t="shared" si="55"/>
        <v>0</v>
      </c>
      <c r="AH455" t="s">
        <v>93</v>
      </c>
      <c r="AI455" s="5">
        <f>data_origin!T2783</f>
        <v>0</v>
      </c>
      <c r="AJ455" s="5">
        <f>data_origin!U2783</f>
        <v>0</v>
      </c>
      <c r="AK455" s="5">
        <f>data_origin!V2783</f>
        <v>0</v>
      </c>
      <c r="AL455" s="5">
        <f>data_origin!W2783</f>
        <v>0</v>
      </c>
      <c r="AM455" s="5">
        <f>data_origin!X2783</f>
        <v>0</v>
      </c>
      <c r="AN455" s="5">
        <f>data_origin!Y2783</f>
        <v>0</v>
      </c>
      <c r="AO455" s="5">
        <f>data_origin!Z2783</f>
        <v>0</v>
      </c>
      <c r="AP455" s="5">
        <f>data_origin!AA2783</f>
        <v>0</v>
      </c>
      <c r="AQ455" s="9">
        <f t="shared" si="56"/>
        <v>0</v>
      </c>
      <c r="AV455" t="s">
        <v>93</v>
      </c>
      <c r="AW455" s="5">
        <f>data_origin!T3497</f>
        <v>0</v>
      </c>
      <c r="AX455" s="5">
        <f>data_origin!U3497</f>
        <v>0</v>
      </c>
      <c r="AY455" s="5">
        <f>data_origin!V3497</f>
        <v>0</v>
      </c>
      <c r="AZ455" s="5">
        <f>data_origin!W3497</f>
        <v>0</v>
      </c>
      <c r="BA455" s="5">
        <f>data_origin!X3497</f>
        <v>0</v>
      </c>
      <c r="BB455" s="5">
        <f>data_origin!Y3497</f>
        <v>0</v>
      </c>
      <c r="BC455" s="5">
        <f>data_origin!Z3497</f>
        <v>0</v>
      </c>
      <c r="BD455" s="5">
        <f>data_origin!AA3497</f>
        <v>0</v>
      </c>
      <c r="BE455" s="9">
        <f t="shared" si="57"/>
        <v>0</v>
      </c>
    </row>
    <row r="456" spans="4:58" x14ac:dyDescent="0.25">
      <c r="D456" t="s">
        <v>94</v>
      </c>
      <c r="E456" s="35">
        <f t="shared" si="54"/>
        <v>0</v>
      </c>
      <c r="F456" s="35">
        <f t="shared" si="54"/>
        <v>0</v>
      </c>
      <c r="G456" s="35">
        <f t="shared" si="54"/>
        <v>0</v>
      </c>
      <c r="H456" s="35">
        <f t="shared" si="53"/>
        <v>0</v>
      </c>
      <c r="I456" s="35">
        <f t="shared" si="53"/>
        <v>0</v>
      </c>
      <c r="J456" s="35">
        <f t="shared" si="53"/>
        <v>0</v>
      </c>
      <c r="K456" s="35">
        <f t="shared" si="53"/>
        <v>0</v>
      </c>
      <c r="L456" s="35">
        <f t="shared" si="53"/>
        <v>0</v>
      </c>
      <c r="M456" s="35">
        <f t="shared" si="52"/>
        <v>0</v>
      </c>
      <c r="S456" t="s">
        <v>94</v>
      </c>
      <c r="T456" s="5">
        <f>data_origin!T537</f>
        <v>0</v>
      </c>
      <c r="U456" s="5">
        <f>data_origin!U537</f>
        <v>0</v>
      </c>
      <c r="V456" s="5">
        <f>data_origin!V537</f>
        <v>0</v>
      </c>
      <c r="W456" s="5">
        <f>data_origin!W537</f>
        <v>0</v>
      </c>
      <c r="X456" s="5">
        <f>data_origin!X537</f>
        <v>0</v>
      </c>
      <c r="Y456" s="5">
        <f>data_origin!Y537</f>
        <v>0</v>
      </c>
      <c r="Z456" s="5">
        <f>data_origin!Z537</f>
        <v>0</v>
      </c>
      <c r="AA456" s="5">
        <f>data_origin!AA537</f>
        <v>0</v>
      </c>
      <c r="AB456" s="5">
        <f t="shared" si="55"/>
        <v>0</v>
      </c>
      <c r="AH456" t="s">
        <v>94</v>
      </c>
      <c r="AI456" s="5">
        <f>data_origin!T2784</f>
        <v>0</v>
      </c>
      <c r="AJ456" s="5">
        <f>data_origin!U2784</f>
        <v>0</v>
      </c>
      <c r="AK456" s="5">
        <f>data_origin!V2784</f>
        <v>0</v>
      </c>
      <c r="AL456" s="5">
        <f>data_origin!W2784</f>
        <v>0</v>
      </c>
      <c r="AM456" s="5">
        <f>data_origin!X2784</f>
        <v>0</v>
      </c>
      <c r="AN456" s="5">
        <f>data_origin!Y2784</f>
        <v>0</v>
      </c>
      <c r="AO456" s="5">
        <f>data_origin!Z2784</f>
        <v>0</v>
      </c>
      <c r="AP456" s="5">
        <f>data_origin!AA2784</f>
        <v>0</v>
      </c>
      <c r="AQ456" s="9">
        <f t="shared" si="56"/>
        <v>0</v>
      </c>
      <c r="AV456" t="s">
        <v>94</v>
      </c>
      <c r="AW456" s="5">
        <f>data_origin!T3498</f>
        <v>0</v>
      </c>
      <c r="AX456" s="5">
        <f>data_origin!U3498</f>
        <v>0</v>
      </c>
      <c r="AY456" s="5">
        <f>data_origin!V3498</f>
        <v>0</v>
      </c>
      <c r="AZ456" s="5">
        <f>data_origin!W3498</f>
        <v>0</v>
      </c>
      <c r="BA456" s="5">
        <f>data_origin!X3498</f>
        <v>0</v>
      </c>
      <c r="BB456" s="5">
        <f>data_origin!Y3498</f>
        <v>0</v>
      </c>
      <c r="BC456" s="5">
        <f>data_origin!Z3498</f>
        <v>0</v>
      </c>
      <c r="BD456" s="5">
        <f>data_origin!AA3498</f>
        <v>0</v>
      </c>
      <c r="BE456" s="9">
        <f t="shared" si="57"/>
        <v>0</v>
      </c>
    </row>
    <row r="457" spans="4:58" x14ac:dyDescent="0.25">
      <c r="D457" t="s">
        <v>95</v>
      </c>
      <c r="E457" s="35">
        <f t="shared" si="54"/>
        <v>0</v>
      </c>
      <c r="F457" s="35">
        <f t="shared" si="54"/>
        <v>0</v>
      </c>
      <c r="G457" s="35">
        <f t="shared" si="54"/>
        <v>0</v>
      </c>
      <c r="H457" s="35">
        <f t="shared" si="53"/>
        <v>0</v>
      </c>
      <c r="I457" s="35">
        <f t="shared" si="53"/>
        <v>0</v>
      </c>
      <c r="J457" s="35">
        <f t="shared" si="53"/>
        <v>0</v>
      </c>
      <c r="K457" s="35">
        <f t="shared" si="53"/>
        <v>0</v>
      </c>
      <c r="L457" s="35">
        <f t="shared" si="53"/>
        <v>0</v>
      </c>
      <c r="M457" s="35">
        <f t="shared" ref="M457:M520" si="58">SUM(E457:L457)</f>
        <v>0</v>
      </c>
      <c r="S457" t="s">
        <v>95</v>
      </c>
      <c r="T457" s="5">
        <f>data_origin!T538</f>
        <v>0</v>
      </c>
      <c r="U457" s="5">
        <f>data_origin!U538</f>
        <v>0</v>
      </c>
      <c r="V457" s="5">
        <f>data_origin!V538</f>
        <v>0</v>
      </c>
      <c r="W457" s="5">
        <f>data_origin!W538</f>
        <v>0</v>
      </c>
      <c r="X457" s="5">
        <f>data_origin!X538</f>
        <v>0</v>
      </c>
      <c r="Y457" s="5">
        <f>data_origin!Y538</f>
        <v>0</v>
      </c>
      <c r="Z457" s="5">
        <f>data_origin!Z538</f>
        <v>0</v>
      </c>
      <c r="AA457" s="5">
        <f>data_origin!AA538</f>
        <v>0</v>
      </c>
      <c r="AB457" s="5">
        <f t="shared" si="55"/>
        <v>0</v>
      </c>
      <c r="AH457" t="s">
        <v>95</v>
      </c>
      <c r="AI457" s="5">
        <f>data_origin!T2785</f>
        <v>0</v>
      </c>
      <c r="AJ457" s="5">
        <f>data_origin!U2785</f>
        <v>0</v>
      </c>
      <c r="AK457" s="5">
        <f>data_origin!V2785</f>
        <v>0</v>
      </c>
      <c r="AL457" s="5">
        <f>data_origin!W2785</f>
        <v>0</v>
      </c>
      <c r="AM457" s="5">
        <f>data_origin!X2785</f>
        <v>0</v>
      </c>
      <c r="AN457" s="5">
        <f>data_origin!Y2785</f>
        <v>0</v>
      </c>
      <c r="AO457" s="5">
        <f>data_origin!Z2785</f>
        <v>0</v>
      </c>
      <c r="AP457" s="5">
        <f>data_origin!AA2785</f>
        <v>0</v>
      </c>
      <c r="AQ457" s="9">
        <f t="shared" si="56"/>
        <v>0</v>
      </c>
      <c r="AV457" t="s">
        <v>95</v>
      </c>
      <c r="AW457" s="5">
        <f>data_origin!T3499</f>
        <v>0</v>
      </c>
      <c r="AX457" s="5">
        <f>data_origin!U3499</f>
        <v>0</v>
      </c>
      <c r="AY457" s="5">
        <f>data_origin!V3499</f>
        <v>0</v>
      </c>
      <c r="AZ457" s="5">
        <f>data_origin!W3499</f>
        <v>0</v>
      </c>
      <c r="BA457" s="5">
        <f>data_origin!X3499</f>
        <v>0</v>
      </c>
      <c r="BB457" s="5">
        <f>data_origin!Y3499</f>
        <v>0</v>
      </c>
      <c r="BC457" s="5">
        <f>data_origin!Z3499</f>
        <v>0</v>
      </c>
      <c r="BD457" s="5">
        <f>data_origin!AA3499</f>
        <v>0</v>
      </c>
      <c r="BE457" s="9">
        <f t="shared" si="57"/>
        <v>0</v>
      </c>
    </row>
    <row r="458" spans="4:58" x14ac:dyDescent="0.25">
      <c r="D458" t="s">
        <v>96</v>
      </c>
      <c r="E458" s="35">
        <f t="shared" si="54"/>
        <v>0</v>
      </c>
      <c r="F458" s="35">
        <f t="shared" si="54"/>
        <v>0</v>
      </c>
      <c r="G458" s="35">
        <f t="shared" si="54"/>
        <v>0</v>
      </c>
      <c r="H458" s="35">
        <f t="shared" si="53"/>
        <v>0</v>
      </c>
      <c r="I458" s="35">
        <f t="shared" si="53"/>
        <v>0</v>
      </c>
      <c r="J458" s="35">
        <f t="shared" ref="J458:L464" si="59">Y458+IFERROR((Y458/SUM(Y$3:Y$992)*AN$630),0)</f>
        <v>0</v>
      </c>
      <c r="K458" s="35">
        <f t="shared" si="59"/>
        <v>0</v>
      </c>
      <c r="L458" s="35">
        <f t="shared" si="59"/>
        <v>0</v>
      </c>
      <c r="M458" s="35">
        <f t="shared" si="58"/>
        <v>0</v>
      </c>
      <c r="S458" t="s">
        <v>96</v>
      </c>
      <c r="T458" s="5">
        <f>data_origin!T539</f>
        <v>0</v>
      </c>
      <c r="U458" s="5">
        <f>data_origin!U539</f>
        <v>0</v>
      </c>
      <c r="V458" s="5">
        <f>data_origin!V539</f>
        <v>0</v>
      </c>
      <c r="W458" s="5">
        <f>data_origin!W539</f>
        <v>0</v>
      </c>
      <c r="X458" s="5">
        <f>data_origin!X539</f>
        <v>0</v>
      </c>
      <c r="Y458" s="5">
        <f>data_origin!Y539</f>
        <v>0</v>
      </c>
      <c r="Z458" s="5">
        <f>data_origin!Z539</f>
        <v>0</v>
      </c>
      <c r="AA458" s="5">
        <f>data_origin!AA539</f>
        <v>0</v>
      </c>
      <c r="AB458" s="5">
        <f t="shared" si="55"/>
        <v>0</v>
      </c>
      <c r="AH458" t="s">
        <v>96</v>
      </c>
      <c r="AI458" s="5">
        <f>data_origin!T2786</f>
        <v>0</v>
      </c>
      <c r="AJ458" s="5">
        <f>data_origin!U2786</f>
        <v>0</v>
      </c>
      <c r="AK458" s="5">
        <f>data_origin!V2786</f>
        <v>0</v>
      </c>
      <c r="AL458" s="5">
        <f>data_origin!W2786</f>
        <v>0</v>
      </c>
      <c r="AM458" s="5">
        <f>data_origin!X2786</f>
        <v>0</v>
      </c>
      <c r="AN458" s="5">
        <f>data_origin!Y2786</f>
        <v>0</v>
      </c>
      <c r="AO458" s="5">
        <f>data_origin!Z2786</f>
        <v>0</v>
      </c>
      <c r="AP458" s="5">
        <f>data_origin!AA2786</f>
        <v>0</v>
      </c>
      <c r="AQ458" s="9">
        <f t="shared" si="56"/>
        <v>0</v>
      </c>
      <c r="AV458" t="s">
        <v>96</v>
      </c>
      <c r="AW458" s="5">
        <f>data_origin!T3500</f>
        <v>0</v>
      </c>
      <c r="AX458" s="5">
        <f>data_origin!U3500</f>
        <v>0</v>
      </c>
      <c r="AY458" s="5">
        <f>data_origin!V3500</f>
        <v>0</v>
      </c>
      <c r="AZ458" s="5">
        <f>data_origin!W3500</f>
        <v>0</v>
      </c>
      <c r="BA458" s="5">
        <f>data_origin!X3500</f>
        <v>0</v>
      </c>
      <c r="BB458" s="5">
        <f>data_origin!Y3500</f>
        <v>0</v>
      </c>
      <c r="BC458" s="5">
        <f>data_origin!Z3500</f>
        <v>0</v>
      </c>
      <c r="BD458" s="5">
        <f>data_origin!AA3500</f>
        <v>0</v>
      </c>
      <c r="BE458" s="9">
        <f t="shared" si="57"/>
        <v>0</v>
      </c>
    </row>
    <row r="459" spans="4:58" x14ac:dyDescent="0.25">
      <c r="D459" t="s">
        <v>97</v>
      </c>
      <c r="E459" s="35">
        <f t="shared" si="54"/>
        <v>0</v>
      </c>
      <c r="F459" s="35">
        <f t="shared" si="54"/>
        <v>0</v>
      </c>
      <c r="G459" s="35">
        <f t="shared" si="54"/>
        <v>0</v>
      </c>
      <c r="H459" s="35">
        <f t="shared" si="54"/>
        <v>0</v>
      </c>
      <c r="I459" s="35">
        <f t="shared" si="54"/>
        <v>0</v>
      </c>
      <c r="J459" s="35">
        <f t="shared" si="59"/>
        <v>0</v>
      </c>
      <c r="K459" s="35">
        <f t="shared" si="59"/>
        <v>0</v>
      </c>
      <c r="L459" s="35">
        <f t="shared" si="59"/>
        <v>0</v>
      </c>
      <c r="M459" s="35">
        <f t="shared" si="58"/>
        <v>0</v>
      </c>
      <c r="S459" t="s">
        <v>97</v>
      </c>
      <c r="T459" s="5">
        <f>data_origin!T540</f>
        <v>0</v>
      </c>
      <c r="U459" s="5">
        <f>data_origin!U540</f>
        <v>0</v>
      </c>
      <c r="V459" s="5">
        <f>data_origin!V540</f>
        <v>0</v>
      </c>
      <c r="W459" s="5">
        <f>data_origin!W540</f>
        <v>0</v>
      </c>
      <c r="X459" s="5">
        <f>data_origin!X540</f>
        <v>0</v>
      </c>
      <c r="Y459" s="5">
        <f>data_origin!Y540</f>
        <v>0</v>
      </c>
      <c r="Z459" s="5">
        <f>data_origin!Z540</f>
        <v>0</v>
      </c>
      <c r="AA459" s="5">
        <f>data_origin!AA540</f>
        <v>0</v>
      </c>
      <c r="AB459" s="5">
        <f t="shared" si="55"/>
        <v>0</v>
      </c>
      <c r="AH459" t="s">
        <v>97</v>
      </c>
      <c r="AI459" s="5">
        <f>data_origin!T2787</f>
        <v>0</v>
      </c>
      <c r="AJ459" s="5">
        <f>data_origin!U2787</f>
        <v>0</v>
      </c>
      <c r="AK459" s="5">
        <f>data_origin!V2787</f>
        <v>0</v>
      </c>
      <c r="AL459" s="5">
        <f>data_origin!W2787</f>
        <v>0</v>
      </c>
      <c r="AM459" s="5">
        <f>data_origin!X2787</f>
        <v>0</v>
      </c>
      <c r="AN459" s="5">
        <f>data_origin!Y2787</f>
        <v>0</v>
      </c>
      <c r="AO459" s="5">
        <f>data_origin!Z2787</f>
        <v>0</v>
      </c>
      <c r="AP459" s="5">
        <f>data_origin!AA2787</f>
        <v>0</v>
      </c>
      <c r="AQ459" s="9">
        <f t="shared" si="56"/>
        <v>0</v>
      </c>
      <c r="AV459" t="s">
        <v>97</v>
      </c>
      <c r="AW459" s="5">
        <f>data_origin!T3501</f>
        <v>0</v>
      </c>
      <c r="AX459" s="5">
        <f>data_origin!U3501</f>
        <v>0</v>
      </c>
      <c r="AY459" s="5">
        <f>data_origin!V3501</f>
        <v>0</v>
      </c>
      <c r="AZ459" s="5">
        <f>data_origin!W3501</f>
        <v>1.5833333333333333</v>
      </c>
      <c r="BA459" s="5">
        <f>data_origin!X3501</f>
        <v>0</v>
      </c>
      <c r="BB459" s="5">
        <f>data_origin!Y3501</f>
        <v>0</v>
      </c>
      <c r="BC459" s="5">
        <f>data_origin!Z3501</f>
        <v>0</v>
      </c>
      <c r="BD459" s="5">
        <f>data_origin!AA3501</f>
        <v>0</v>
      </c>
      <c r="BE459" s="9">
        <f t="shared" si="57"/>
        <v>1.5833333333333333</v>
      </c>
    </row>
    <row r="460" spans="4:58" x14ac:dyDescent="0.25">
      <c r="D460" t="s">
        <v>98</v>
      </c>
      <c r="E460" s="35">
        <f t="shared" si="54"/>
        <v>0</v>
      </c>
      <c r="F460" s="35">
        <f t="shared" si="54"/>
        <v>0</v>
      </c>
      <c r="G460" s="35">
        <f t="shared" si="54"/>
        <v>0</v>
      </c>
      <c r="H460" s="35">
        <f t="shared" si="54"/>
        <v>0</v>
      </c>
      <c r="I460" s="35">
        <f t="shared" si="54"/>
        <v>0</v>
      </c>
      <c r="J460" s="35">
        <f t="shared" si="59"/>
        <v>0</v>
      </c>
      <c r="K460" s="35">
        <f t="shared" si="59"/>
        <v>0</v>
      </c>
      <c r="L460" s="35">
        <f t="shared" si="59"/>
        <v>0</v>
      </c>
      <c r="M460" s="35">
        <f t="shared" si="58"/>
        <v>0</v>
      </c>
      <c r="S460" t="s">
        <v>98</v>
      </c>
      <c r="T460" s="5">
        <f>data_origin!T541</f>
        <v>0</v>
      </c>
      <c r="U460" s="5">
        <f>data_origin!U541</f>
        <v>0</v>
      </c>
      <c r="V460" s="5">
        <f>data_origin!V541</f>
        <v>0</v>
      </c>
      <c r="W460" s="5">
        <f>data_origin!W541</f>
        <v>0</v>
      </c>
      <c r="X460" s="5">
        <f>data_origin!X541</f>
        <v>0</v>
      </c>
      <c r="Y460" s="5">
        <f>data_origin!Y541</f>
        <v>0</v>
      </c>
      <c r="Z460" s="5">
        <f>data_origin!Z541</f>
        <v>0</v>
      </c>
      <c r="AA460" s="5">
        <f>data_origin!AA541</f>
        <v>0</v>
      </c>
      <c r="AB460" s="5">
        <f t="shared" si="55"/>
        <v>0</v>
      </c>
      <c r="AH460" t="s">
        <v>98</v>
      </c>
      <c r="AI460" s="5">
        <f>data_origin!T2788</f>
        <v>0</v>
      </c>
      <c r="AJ460" s="5">
        <f>data_origin!U2788</f>
        <v>0</v>
      </c>
      <c r="AK460" s="5">
        <f>data_origin!V2788</f>
        <v>0</v>
      </c>
      <c r="AL460" s="5">
        <f>data_origin!W2788</f>
        <v>0</v>
      </c>
      <c r="AM460" s="5">
        <f>data_origin!X2788</f>
        <v>0</v>
      </c>
      <c r="AN460" s="5">
        <f>data_origin!Y2788</f>
        <v>0</v>
      </c>
      <c r="AO460" s="5">
        <f>data_origin!Z2788</f>
        <v>0</v>
      </c>
      <c r="AP460" s="5">
        <f>data_origin!AA2788</f>
        <v>0</v>
      </c>
      <c r="AQ460" s="9">
        <f t="shared" si="56"/>
        <v>0</v>
      </c>
      <c r="AV460" t="s">
        <v>98</v>
      </c>
      <c r="AW460" s="5">
        <f>data_origin!T3502</f>
        <v>0</v>
      </c>
      <c r="AX460" s="5">
        <f>data_origin!U3502</f>
        <v>0</v>
      </c>
      <c r="AY460" s="5">
        <f>data_origin!V3502</f>
        <v>0</v>
      </c>
      <c r="AZ460" s="5">
        <f>data_origin!W3502</f>
        <v>0</v>
      </c>
      <c r="BA460" s="5">
        <f>data_origin!X3502</f>
        <v>0</v>
      </c>
      <c r="BB460" s="5">
        <f>data_origin!Y3502</f>
        <v>0</v>
      </c>
      <c r="BC460" s="5">
        <f>data_origin!Z3502</f>
        <v>0</v>
      </c>
      <c r="BD460" s="5">
        <f>data_origin!AA3502</f>
        <v>0</v>
      </c>
      <c r="BE460" s="9">
        <f t="shared" si="57"/>
        <v>0</v>
      </c>
    </row>
    <row r="461" spans="4:58" x14ac:dyDescent="0.25">
      <c r="D461" t="s">
        <v>119</v>
      </c>
      <c r="E461" s="35">
        <f t="shared" si="54"/>
        <v>0</v>
      </c>
      <c r="F461" s="35">
        <f t="shared" si="54"/>
        <v>0</v>
      </c>
      <c r="G461" s="35">
        <f t="shared" si="54"/>
        <v>0</v>
      </c>
      <c r="H461" s="35">
        <f t="shared" si="54"/>
        <v>0</v>
      </c>
      <c r="I461" s="35">
        <f t="shared" si="54"/>
        <v>0</v>
      </c>
      <c r="J461" s="35">
        <f t="shared" si="59"/>
        <v>0</v>
      </c>
      <c r="K461" s="35">
        <f t="shared" si="59"/>
        <v>0</v>
      </c>
      <c r="L461" s="35">
        <f t="shared" si="59"/>
        <v>0</v>
      </c>
      <c r="M461" s="35">
        <f t="shared" si="58"/>
        <v>0</v>
      </c>
      <c r="S461" t="s">
        <v>119</v>
      </c>
      <c r="T461" s="5">
        <f>data_origin!T542</f>
        <v>0</v>
      </c>
      <c r="U461" s="5">
        <f>data_origin!U542</f>
        <v>0</v>
      </c>
      <c r="V461" s="5">
        <f>data_origin!V542</f>
        <v>0</v>
      </c>
      <c r="W461" s="5">
        <f>data_origin!W542</f>
        <v>0</v>
      </c>
      <c r="X461" s="5">
        <f>data_origin!X542</f>
        <v>0</v>
      </c>
      <c r="Y461" s="5">
        <f>data_origin!Y542</f>
        <v>0</v>
      </c>
      <c r="Z461" s="5">
        <f>data_origin!Z542</f>
        <v>0</v>
      </c>
      <c r="AA461" s="5">
        <f>data_origin!AA542</f>
        <v>0</v>
      </c>
      <c r="AB461" s="5">
        <f t="shared" si="55"/>
        <v>0</v>
      </c>
      <c r="AH461" t="s">
        <v>119</v>
      </c>
      <c r="AI461" s="5">
        <f>data_origin!T2789</f>
        <v>0</v>
      </c>
      <c r="AJ461" s="5">
        <f>data_origin!U2789</f>
        <v>0</v>
      </c>
      <c r="AK461" s="5">
        <f>data_origin!V2789</f>
        <v>0</v>
      </c>
      <c r="AL461" s="5">
        <f>data_origin!W2789</f>
        <v>0</v>
      </c>
      <c r="AM461" s="5">
        <f>data_origin!X2789</f>
        <v>0</v>
      </c>
      <c r="AN461" s="5">
        <f>data_origin!Y2789</f>
        <v>0</v>
      </c>
      <c r="AO461" s="5">
        <f>data_origin!Z2789</f>
        <v>0</v>
      </c>
      <c r="AP461" s="5">
        <f>data_origin!AA2789</f>
        <v>0</v>
      </c>
      <c r="AQ461" s="9">
        <f t="shared" si="56"/>
        <v>0</v>
      </c>
      <c r="AV461" t="s">
        <v>119</v>
      </c>
      <c r="AW461" s="5">
        <f>data_origin!T3503</f>
        <v>0</v>
      </c>
      <c r="AX461" s="5">
        <f>data_origin!U3503</f>
        <v>0</v>
      </c>
      <c r="AY461" s="5">
        <f>data_origin!V3503</f>
        <v>0</v>
      </c>
      <c r="AZ461" s="5">
        <f>data_origin!W3503</f>
        <v>0</v>
      </c>
      <c r="BA461" s="5">
        <f>data_origin!X3503</f>
        <v>0</v>
      </c>
      <c r="BB461" s="5">
        <f>data_origin!Y3503</f>
        <v>0</v>
      </c>
      <c r="BC461" s="5">
        <f>data_origin!Z3503</f>
        <v>0</v>
      </c>
      <c r="BD461" s="5">
        <f>data_origin!AA3503</f>
        <v>0</v>
      </c>
      <c r="BE461" s="9">
        <f t="shared" si="57"/>
        <v>0</v>
      </c>
    </row>
    <row r="462" spans="4:58" x14ac:dyDescent="0.25">
      <c r="D462" t="s">
        <v>99</v>
      </c>
      <c r="E462" s="35">
        <f t="shared" si="54"/>
        <v>0</v>
      </c>
      <c r="F462" s="35">
        <f t="shared" si="54"/>
        <v>0</v>
      </c>
      <c r="G462" s="35">
        <f t="shared" si="54"/>
        <v>0</v>
      </c>
      <c r="H462" s="35">
        <f t="shared" si="54"/>
        <v>0</v>
      </c>
      <c r="I462" s="35">
        <f t="shared" si="54"/>
        <v>0</v>
      </c>
      <c r="J462" s="35">
        <f t="shared" si="59"/>
        <v>0</v>
      </c>
      <c r="K462" s="35">
        <f t="shared" si="59"/>
        <v>0</v>
      </c>
      <c r="L462" s="35">
        <f t="shared" si="59"/>
        <v>0</v>
      </c>
      <c r="M462" s="35">
        <f t="shared" si="58"/>
        <v>0</v>
      </c>
      <c r="S462" t="s">
        <v>99</v>
      </c>
      <c r="T462" s="5">
        <f>data_origin!T543</f>
        <v>0</v>
      </c>
      <c r="U462" s="5">
        <f>data_origin!U543</f>
        <v>0</v>
      </c>
      <c r="V462" s="5">
        <f>data_origin!V543</f>
        <v>0</v>
      </c>
      <c r="W462" s="5">
        <f>data_origin!W543</f>
        <v>0</v>
      </c>
      <c r="X462" s="5">
        <f>data_origin!X543</f>
        <v>0</v>
      </c>
      <c r="Y462" s="5">
        <f>data_origin!Y543</f>
        <v>0</v>
      </c>
      <c r="Z462" s="5">
        <f>data_origin!Z543</f>
        <v>0</v>
      </c>
      <c r="AA462" s="5">
        <f>data_origin!AA543</f>
        <v>0</v>
      </c>
      <c r="AB462" s="5">
        <f t="shared" si="55"/>
        <v>0</v>
      </c>
      <c r="AH462" t="s">
        <v>99</v>
      </c>
      <c r="AI462" s="5">
        <f>data_origin!T2790</f>
        <v>0</v>
      </c>
      <c r="AJ462" s="5">
        <f>data_origin!U2790</f>
        <v>0</v>
      </c>
      <c r="AK462" s="5">
        <f>data_origin!V2790</f>
        <v>0</v>
      </c>
      <c r="AL462" s="5">
        <f>data_origin!W2790</f>
        <v>0</v>
      </c>
      <c r="AM462" s="5">
        <f>data_origin!X2790</f>
        <v>0</v>
      </c>
      <c r="AN462" s="5">
        <f>data_origin!Y2790</f>
        <v>0</v>
      </c>
      <c r="AO462" s="5">
        <f>data_origin!Z2790</f>
        <v>0</v>
      </c>
      <c r="AP462" s="5">
        <f>data_origin!AA2790</f>
        <v>0</v>
      </c>
      <c r="AQ462" s="9">
        <f t="shared" si="56"/>
        <v>0</v>
      </c>
      <c r="AV462" t="s">
        <v>99</v>
      </c>
      <c r="AW462" s="5">
        <f>data_origin!T3504</f>
        <v>0</v>
      </c>
      <c r="AX462" s="5">
        <f>data_origin!U3504</f>
        <v>0</v>
      </c>
      <c r="AY462" s="5">
        <f>data_origin!V3504</f>
        <v>0</v>
      </c>
      <c r="AZ462" s="5">
        <f>data_origin!W3504</f>
        <v>0</v>
      </c>
      <c r="BA462" s="5">
        <f>data_origin!X3504</f>
        <v>0</v>
      </c>
      <c r="BB462" s="5">
        <f>data_origin!Y3504</f>
        <v>0</v>
      </c>
      <c r="BC462" s="5">
        <f>data_origin!Z3504</f>
        <v>0</v>
      </c>
      <c r="BD462" s="5">
        <f>data_origin!AA3504</f>
        <v>0</v>
      </c>
      <c r="BE462" s="9">
        <f t="shared" si="57"/>
        <v>0</v>
      </c>
    </row>
    <row r="463" spans="4:58" x14ac:dyDescent="0.25">
      <c r="D463" t="s">
        <v>100</v>
      </c>
      <c r="E463" s="35">
        <f t="shared" si="54"/>
        <v>0</v>
      </c>
      <c r="F463" s="35">
        <f t="shared" si="54"/>
        <v>0</v>
      </c>
      <c r="G463" s="35">
        <f t="shared" si="54"/>
        <v>0</v>
      </c>
      <c r="H463" s="35">
        <f t="shared" si="54"/>
        <v>0</v>
      </c>
      <c r="I463" s="35">
        <f t="shared" si="54"/>
        <v>0</v>
      </c>
      <c r="J463" s="35">
        <f t="shared" si="59"/>
        <v>0</v>
      </c>
      <c r="K463" s="35">
        <f t="shared" si="59"/>
        <v>0</v>
      </c>
      <c r="L463" s="35">
        <f t="shared" si="59"/>
        <v>0</v>
      </c>
      <c r="M463" s="35">
        <f t="shared" si="58"/>
        <v>0</v>
      </c>
      <c r="S463" t="s">
        <v>100</v>
      </c>
      <c r="T463" s="5">
        <f>data_origin!T544</f>
        <v>0</v>
      </c>
      <c r="U463" s="5">
        <f>data_origin!U544</f>
        <v>0</v>
      </c>
      <c r="V463" s="5">
        <f>data_origin!V544</f>
        <v>0</v>
      </c>
      <c r="W463" s="5">
        <f>data_origin!W544</f>
        <v>0</v>
      </c>
      <c r="X463" s="5">
        <f>data_origin!X544</f>
        <v>0</v>
      </c>
      <c r="Y463" s="5">
        <f>data_origin!Y544</f>
        <v>0</v>
      </c>
      <c r="Z463" s="5">
        <f>data_origin!Z544</f>
        <v>0</v>
      </c>
      <c r="AA463" s="5">
        <f>data_origin!AA544</f>
        <v>0</v>
      </c>
      <c r="AB463" s="5">
        <f t="shared" si="55"/>
        <v>0</v>
      </c>
      <c r="AH463" t="s">
        <v>100</v>
      </c>
      <c r="AI463" s="5">
        <f>data_origin!T2791</f>
        <v>0</v>
      </c>
      <c r="AJ463" s="5">
        <f>data_origin!U2791</f>
        <v>0</v>
      </c>
      <c r="AK463" s="5">
        <f>data_origin!V2791</f>
        <v>35.608695652173914</v>
      </c>
      <c r="AL463" s="5">
        <f>data_origin!W2791</f>
        <v>51.172413793103445</v>
      </c>
      <c r="AM463" s="5">
        <f>data_origin!X2791</f>
        <v>28.444444444444443</v>
      </c>
      <c r="AN463" s="5">
        <f>data_origin!Y2791</f>
        <v>6</v>
      </c>
      <c r="AO463" s="5">
        <f>data_origin!Z2791</f>
        <v>0</v>
      </c>
      <c r="AP463" s="5">
        <f>data_origin!AA2791</f>
        <v>0</v>
      </c>
      <c r="AQ463" s="9">
        <f t="shared" si="56"/>
        <v>121.22555388972181</v>
      </c>
      <c r="AV463" t="s">
        <v>100</v>
      </c>
      <c r="AW463" s="5">
        <f>data_origin!T3505</f>
        <v>0</v>
      </c>
      <c r="AX463" s="5">
        <f>data_origin!U3505</f>
        <v>0</v>
      </c>
      <c r="AY463" s="5">
        <f>data_origin!V3505</f>
        <v>46</v>
      </c>
      <c r="AZ463" s="5">
        <f>data_origin!W3505</f>
        <v>55.416666666666671</v>
      </c>
      <c r="BA463" s="5">
        <f>data_origin!X3505</f>
        <v>38</v>
      </c>
      <c r="BB463" s="5">
        <f>data_origin!Y3505</f>
        <v>5</v>
      </c>
      <c r="BC463" s="5">
        <f>data_origin!Z3505</f>
        <v>2</v>
      </c>
      <c r="BD463" s="5">
        <f>data_origin!AA3505</f>
        <v>0</v>
      </c>
      <c r="BE463" s="9">
        <f t="shared" si="57"/>
        <v>146.41666666666669</v>
      </c>
    </row>
    <row r="464" spans="4:58" x14ac:dyDescent="0.25">
      <c r="D464" t="s">
        <v>101</v>
      </c>
      <c r="E464" s="35">
        <f t="shared" si="54"/>
        <v>0</v>
      </c>
      <c r="F464" s="35">
        <f t="shared" si="54"/>
        <v>0</v>
      </c>
      <c r="G464" s="35">
        <f t="shared" si="54"/>
        <v>0</v>
      </c>
      <c r="H464" s="35">
        <f t="shared" si="54"/>
        <v>0</v>
      </c>
      <c r="I464" s="35">
        <f t="shared" si="54"/>
        <v>0</v>
      </c>
      <c r="J464" s="35">
        <f t="shared" si="59"/>
        <v>0</v>
      </c>
      <c r="K464" s="35">
        <f t="shared" si="59"/>
        <v>0</v>
      </c>
      <c r="L464" s="35">
        <f t="shared" si="59"/>
        <v>0</v>
      </c>
      <c r="M464" s="35">
        <f t="shared" si="58"/>
        <v>0</v>
      </c>
      <c r="N464" s="5">
        <f>SUM(M432:M464)</f>
        <v>1.0017257550178202</v>
      </c>
      <c r="S464" t="s">
        <v>101</v>
      </c>
      <c r="T464" s="5">
        <f>data_origin!T545</f>
        <v>0</v>
      </c>
      <c r="U464" s="5">
        <f>data_origin!U545</f>
        <v>0</v>
      </c>
      <c r="V464" s="5">
        <f>data_origin!V545</f>
        <v>0</v>
      </c>
      <c r="W464" s="5">
        <f>data_origin!W545</f>
        <v>0</v>
      </c>
      <c r="X464" s="5">
        <f>data_origin!X545</f>
        <v>0</v>
      </c>
      <c r="Y464" s="5">
        <f>data_origin!Y545</f>
        <v>0</v>
      </c>
      <c r="Z464" s="5">
        <f>data_origin!Z545</f>
        <v>0</v>
      </c>
      <c r="AA464" s="5">
        <f>data_origin!AA545</f>
        <v>0</v>
      </c>
      <c r="AB464" s="5">
        <f t="shared" si="55"/>
        <v>0</v>
      </c>
      <c r="AC464" s="5">
        <f>SUM(AB432:AB464)</f>
        <v>1</v>
      </c>
      <c r="AH464" t="s">
        <v>101</v>
      </c>
      <c r="AI464" s="5">
        <f>data_origin!T2792</f>
        <v>0</v>
      </c>
      <c r="AJ464" s="5">
        <f>data_origin!U2792</f>
        <v>0</v>
      </c>
      <c r="AK464" s="5">
        <f>data_origin!V2792</f>
        <v>1.6956521739130435</v>
      </c>
      <c r="AL464" s="5">
        <f>data_origin!W2792</f>
        <v>0</v>
      </c>
      <c r="AM464" s="5">
        <f>data_origin!X2792</f>
        <v>0</v>
      </c>
      <c r="AN464" s="5">
        <f>data_origin!Y2792</f>
        <v>0</v>
      </c>
      <c r="AO464" s="5">
        <f>data_origin!Z2792</f>
        <v>0</v>
      </c>
      <c r="AP464" s="5">
        <f>data_origin!AA2792</f>
        <v>0</v>
      </c>
      <c r="AQ464" s="9">
        <f t="shared" si="56"/>
        <v>1.6956521739130435</v>
      </c>
      <c r="AR464" s="9">
        <f>SUM(AQ432:AQ464)</f>
        <v>130</v>
      </c>
      <c r="AV464" t="s">
        <v>101</v>
      </c>
      <c r="AW464" s="5">
        <f>data_origin!T3506</f>
        <v>0</v>
      </c>
      <c r="AX464" s="5">
        <f>data_origin!U3506</f>
        <v>0</v>
      </c>
      <c r="AY464" s="5">
        <f>data_origin!V3506</f>
        <v>0</v>
      </c>
      <c r="AZ464" s="5">
        <f>data_origin!W3506</f>
        <v>0</v>
      </c>
      <c r="BA464" s="5">
        <f>data_origin!X3506</f>
        <v>0</v>
      </c>
      <c r="BB464" s="5">
        <f>data_origin!Y3506</f>
        <v>0</v>
      </c>
      <c r="BC464" s="5">
        <f>data_origin!Z3506</f>
        <v>0</v>
      </c>
      <c r="BD464" s="5">
        <f>data_origin!AA3506</f>
        <v>0</v>
      </c>
      <c r="BE464" s="9">
        <f t="shared" si="57"/>
        <v>0</v>
      </c>
      <c r="BF464" s="9">
        <f>SUM(BE432:BE464)</f>
        <v>148.00000000000003</v>
      </c>
    </row>
    <row r="465" spans="1:57" x14ac:dyDescent="0.25">
      <c r="A465" s="23" t="s">
        <v>104</v>
      </c>
      <c r="B465" s="23" t="s">
        <v>116</v>
      </c>
      <c r="C465" s="23" t="s">
        <v>109</v>
      </c>
      <c r="D465" t="s">
        <v>70</v>
      </c>
      <c r="E465" s="38">
        <f>T465+AI201+IFERROR((T465/SUM(T$3:T$992)*AI$630),0)+IFERROR((T465/SUM(T$135:T$332,T$465:T$662,T$795:T$992)*AI$732),0)</f>
        <v>0</v>
      </c>
      <c r="F465" s="38">
        <f t="shared" ref="F465:L465" si="60">U465+AJ201+IFERROR((U465/SUM(U$3:U$992)*AJ$630),0)+IFERROR((U465/SUM(U$135:U$332,U$465:U$662,U$795:U$992)*AJ$732),0)</f>
        <v>0</v>
      </c>
      <c r="G465" s="38">
        <f t="shared" si="60"/>
        <v>23.113937299580758</v>
      </c>
      <c r="H465" s="38">
        <f t="shared" si="60"/>
        <v>23.088748243558104</v>
      </c>
      <c r="I465" s="38">
        <f t="shared" si="60"/>
        <v>9.5397455165959748</v>
      </c>
      <c r="J465" s="38">
        <f t="shared" si="60"/>
        <v>0</v>
      </c>
      <c r="K465" s="38">
        <f t="shared" si="60"/>
        <v>0</v>
      </c>
      <c r="L465" s="38">
        <f t="shared" si="60"/>
        <v>0</v>
      </c>
      <c r="M465" s="35">
        <f t="shared" si="58"/>
        <v>55.742431059734841</v>
      </c>
      <c r="P465" t="s">
        <v>104</v>
      </c>
      <c r="Q465" t="s">
        <v>116</v>
      </c>
      <c r="R465" t="s">
        <v>109</v>
      </c>
      <c r="S465" t="s">
        <v>70</v>
      </c>
      <c r="T465" s="5">
        <f>data_origin!T547</f>
        <v>0</v>
      </c>
      <c r="U465" s="5">
        <f>data_origin!U547</f>
        <v>0</v>
      </c>
      <c r="V465" s="5">
        <f>data_origin!V547</f>
        <v>22.934114202049781</v>
      </c>
      <c r="W465" s="5">
        <f>data_origin!W547</f>
        <v>22.804177545691907</v>
      </c>
      <c r="X465" s="5">
        <f>data_origin!X547</f>
        <v>9.3727810650887573</v>
      </c>
      <c r="Y465" s="5">
        <f>data_origin!Y547</f>
        <v>0</v>
      </c>
      <c r="Z465" s="5">
        <f>data_origin!Z547</f>
        <v>0</v>
      </c>
      <c r="AA465" s="5">
        <f>data_origin!AA547</f>
        <v>0</v>
      </c>
      <c r="AB465" s="5">
        <f t="shared" si="55"/>
        <v>55.111072812830443</v>
      </c>
      <c r="AE465" t="s">
        <v>104</v>
      </c>
      <c r="AF465" t="s">
        <v>117</v>
      </c>
      <c r="AG465" s="28" t="s">
        <v>137</v>
      </c>
      <c r="AH465" t="s">
        <v>70</v>
      </c>
      <c r="AI465" s="5">
        <f>data_origin!T2794</f>
        <v>0</v>
      </c>
      <c r="AJ465" s="5">
        <f>data_origin!U2794</f>
        <v>0</v>
      </c>
      <c r="AK465" s="5">
        <f>data_origin!V2794</f>
        <v>0</v>
      </c>
      <c r="AL465" s="5">
        <f>data_origin!W2794</f>
        <v>0</v>
      </c>
      <c r="AM465" s="5">
        <f>data_origin!X2794</f>
        <v>0</v>
      </c>
      <c r="AN465" s="5">
        <f>data_origin!Y2794</f>
        <v>0</v>
      </c>
      <c r="AO465" s="5">
        <f>data_origin!Z2794</f>
        <v>0</v>
      </c>
      <c r="AP465" s="5">
        <f>data_origin!AA2794</f>
        <v>0</v>
      </c>
      <c r="AQ465" s="9">
        <f t="shared" si="56"/>
        <v>0</v>
      </c>
      <c r="AS465" t="s">
        <v>115</v>
      </c>
      <c r="AT465" t="s">
        <v>117</v>
      </c>
      <c r="AU465" s="28" t="s">
        <v>137</v>
      </c>
      <c r="AV465" t="s">
        <v>70</v>
      </c>
      <c r="AW465" s="5">
        <f>data_origin!T3508</f>
        <v>0</v>
      </c>
      <c r="AX465" s="5">
        <f>data_origin!U3508</f>
        <v>0</v>
      </c>
      <c r="AY465" s="5">
        <f>data_origin!V3508</f>
        <v>0</v>
      </c>
      <c r="AZ465" s="5">
        <f>data_origin!W3508</f>
        <v>0</v>
      </c>
      <c r="BA465" s="5">
        <f>data_origin!X3508</f>
        <v>0</v>
      </c>
      <c r="BB465" s="5">
        <f>data_origin!Y3508</f>
        <v>0</v>
      </c>
      <c r="BC465" s="5">
        <f>data_origin!Z3508</f>
        <v>0</v>
      </c>
      <c r="BD465" s="5">
        <f>data_origin!AA3508</f>
        <v>0</v>
      </c>
      <c r="BE465" s="9">
        <f t="shared" si="57"/>
        <v>0</v>
      </c>
    </row>
    <row r="466" spans="1:57" x14ac:dyDescent="0.25">
      <c r="D466" t="s">
        <v>71</v>
      </c>
      <c r="E466" s="38">
        <f t="shared" ref="E466:L497" si="61">T466+AI202+IFERROR((T466/SUM(T$3:T$992)*AI$630),0)+IFERROR((T466/SUM(T$135:T$332,T$465:T$662,T$795:T$992)*AI$732),0)</f>
        <v>0</v>
      </c>
      <c r="F466" s="38">
        <f t="shared" si="61"/>
        <v>0</v>
      </c>
      <c r="G466" s="38">
        <f t="shared" si="61"/>
        <v>110.31651892981726</v>
      </c>
      <c r="H466" s="38">
        <f t="shared" si="61"/>
        <v>85.008573078554832</v>
      </c>
      <c r="I466" s="38">
        <f t="shared" si="61"/>
        <v>12.719660688794633</v>
      </c>
      <c r="J466" s="38">
        <f t="shared" si="61"/>
        <v>2.0924393680875548</v>
      </c>
      <c r="K466" s="38">
        <f t="shared" si="61"/>
        <v>1.0186567164179106</v>
      </c>
      <c r="L466" s="38">
        <f t="shared" si="61"/>
        <v>0</v>
      </c>
      <c r="M466" s="35">
        <f t="shared" si="58"/>
        <v>211.15584878167223</v>
      </c>
      <c r="S466" t="s">
        <v>71</v>
      </c>
      <c r="T466" s="5">
        <f>data_origin!T548</f>
        <v>0</v>
      </c>
      <c r="U466" s="5">
        <f>data_origin!U548</f>
        <v>0</v>
      </c>
      <c r="V466" s="5">
        <f>data_origin!V548</f>
        <v>109.45827232796486</v>
      </c>
      <c r="W466" s="5">
        <f>data_origin!W548</f>
        <v>83.960835509138377</v>
      </c>
      <c r="X466" s="5">
        <f>data_origin!X548</f>
        <v>12.497041420118343</v>
      </c>
      <c r="Y466" s="5">
        <f>data_origin!Y548</f>
        <v>2.0499999999999998</v>
      </c>
      <c r="Z466" s="5">
        <f>data_origin!Z548</f>
        <v>1</v>
      </c>
      <c r="AA466" s="5">
        <f>data_origin!AA548</f>
        <v>0</v>
      </c>
      <c r="AB466" s="5">
        <f t="shared" si="55"/>
        <v>208.96614925722159</v>
      </c>
      <c r="AH466" t="s">
        <v>71</v>
      </c>
      <c r="AI466" s="5">
        <f>data_origin!T2795</f>
        <v>0</v>
      </c>
      <c r="AJ466" s="5">
        <f>data_origin!U2795</f>
        <v>0</v>
      </c>
      <c r="AK466" s="5">
        <f>data_origin!V2795</f>
        <v>0</v>
      </c>
      <c r="AL466" s="5">
        <f>data_origin!W2795</f>
        <v>0</v>
      </c>
      <c r="AM466" s="5">
        <f>data_origin!X2795</f>
        <v>0</v>
      </c>
      <c r="AN466" s="5">
        <f>data_origin!Y2795</f>
        <v>0</v>
      </c>
      <c r="AO466" s="5">
        <f>data_origin!Z2795</f>
        <v>0</v>
      </c>
      <c r="AP466" s="5">
        <f>data_origin!AA2795</f>
        <v>0</v>
      </c>
      <c r="AQ466" s="9">
        <f t="shared" si="56"/>
        <v>0</v>
      </c>
      <c r="AV466" t="s">
        <v>71</v>
      </c>
      <c r="AW466" s="5">
        <f>data_origin!T3509</f>
        <v>0</v>
      </c>
      <c r="AX466" s="5">
        <f>data_origin!U3509</f>
        <v>0</v>
      </c>
      <c r="AY466" s="5">
        <f>data_origin!V3509</f>
        <v>0</v>
      </c>
      <c r="AZ466" s="5">
        <f>data_origin!W3509</f>
        <v>0</v>
      </c>
      <c r="BA466" s="5">
        <f>data_origin!X3509</f>
        <v>0</v>
      </c>
      <c r="BB466" s="5">
        <f>data_origin!Y3509</f>
        <v>0</v>
      </c>
      <c r="BC466" s="5">
        <f>data_origin!Z3509</f>
        <v>0</v>
      </c>
      <c r="BD466" s="5">
        <f>data_origin!AA3509</f>
        <v>0</v>
      </c>
      <c r="BE466" s="9">
        <f t="shared" si="57"/>
        <v>0</v>
      </c>
    </row>
    <row r="467" spans="1:57" x14ac:dyDescent="0.25">
      <c r="D467" t="s">
        <v>72</v>
      </c>
      <c r="E467" s="38">
        <f t="shared" si="61"/>
        <v>0</v>
      </c>
      <c r="F467" s="38">
        <f t="shared" si="61"/>
        <v>0</v>
      </c>
      <c r="G467" s="38">
        <f t="shared" si="61"/>
        <v>12.607602163407686</v>
      </c>
      <c r="H467" s="38">
        <f t="shared" si="61"/>
        <v>20.989771130507364</v>
      </c>
      <c r="I467" s="38">
        <f t="shared" si="61"/>
        <v>8.4797737925297554</v>
      </c>
      <c r="J467" s="38">
        <f t="shared" si="61"/>
        <v>0</v>
      </c>
      <c r="K467" s="38">
        <f t="shared" si="61"/>
        <v>0</v>
      </c>
      <c r="L467" s="38">
        <f t="shared" si="61"/>
        <v>0</v>
      </c>
      <c r="M467" s="35">
        <f t="shared" si="58"/>
        <v>42.077147086444803</v>
      </c>
      <c r="S467" t="s">
        <v>72</v>
      </c>
      <c r="T467" s="5">
        <f>data_origin!T549</f>
        <v>0</v>
      </c>
      <c r="U467" s="5">
        <f>data_origin!U549</f>
        <v>0</v>
      </c>
      <c r="V467" s="5">
        <f>data_origin!V549</f>
        <v>12.509516837481698</v>
      </c>
      <c r="W467" s="5">
        <f>data_origin!W549</f>
        <v>20.73107049608355</v>
      </c>
      <c r="X467" s="5">
        <f>data_origin!X549</f>
        <v>8.331360946745562</v>
      </c>
      <c r="Y467" s="5">
        <f>data_origin!Y549</f>
        <v>0</v>
      </c>
      <c r="Z467" s="5">
        <f>data_origin!Z549</f>
        <v>0</v>
      </c>
      <c r="AA467" s="5">
        <f>data_origin!AA549</f>
        <v>0</v>
      </c>
      <c r="AB467" s="5">
        <f t="shared" si="55"/>
        <v>41.571948280310806</v>
      </c>
      <c r="AH467" t="s">
        <v>72</v>
      </c>
      <c r="AI467" s="5">
        <f>data_origin!T2796</f>
        <v>0</v>
      </c>
      <c r="AJ467" s="5">
        <f>data_origin!U2796</f>
        <v>0</v>
      </c>
      <c r="AK467" s="5">
        <f>data_origin!V2796</f>
        <v>0</v>
      </c>
      <c r="AL467" s="5">
        <f>data_origin!W2796</f>
        <v>0</v>
      </c>
      <c r="AM467" s="5">
        <f>data_origin!X2796</f>
        <v>0</v>
      </c>
      <c r="AN467" s="5">
        <f>data_origin!Y2796</f>
        <v>0</v>
      </c>
      <c r="AO467" s="5">
        <f>data_origin!Z2796</f>
        <v>0</v>
      </c>
      <c r="AP467" s="5">
        <f>data_origin!AA2796</f>
        <v>0</v>
      </c>
      <c r="AQ467" s="9">
        <f t="shared" si="56"/>
        <v>0</v>
      </c>
      <c r="AV467" t="s">
        <v>72</v>
      </c>
      <c r="AW467" s="5">
        <f>data_origin!T3510</f>
        <v>0</v>
      </c>
      <c r="AX467" s="5">
        <f>data_origin!U3510</f>
        <v>0</v>
      </c>
      <c r="AY467" s="5">
        <f>data_origin!V3510</f>
        <v>0</v>
      </c>
      <c r="AZ467" s="5">
        <f>data_origin!W3510</f>
        <v>0</v>
      </c>
      <c r="BA467" s="5">
        <f>data_origin!X3510</f>
        <v>0</v>
      </c>
      <c r="BB467" s="5">
        <f>data_origin!Y3510</f>
        <v>0</v>
      </c>
      <c r="BC467" s="5">
        <f>data_origin!Z3510</f>
        <v>0</v>
      </c>
      <c r="BD467" s="5">
        <f>data_origin!AA3510</f>
        <v>0</v>
      </c>
      <c r="BE467" s="9">
        <f t="shared" si="57"/>
        <v>0</v>
      </c>
    </row>
    <row r="468" spans="1:57" x14ac:dyDescent="0.25">
      <c r="D468" t="s">
        <v>73</v>
      </c>
      <c r="E468" s="38">
        <f t="shared" si="61"/>
        <v>0</v>
      </c>
      <c r="F468" s="38">
        <f t="shared" si="61"/>
        <v>0</v>
      </c>
      <c r="G468" s="38">
        <f t="shared" si="61"/>
        <v>0</v>
      </c>
      <c r="H468" s="38">
        <f t="shared" si="61"/>
        <v>11.544374121779052</v>
      </c>
      <c r="I468" s="38">
        <f t="shared" si="61"/>
        <v>14.839604136927072</v>
      </c>
      <c r="J468" s="38">
        <f t="shared" si="61"/>
        <v>1.0462196840437774</v>
      </c>
      <c r="K468" s="38">
        <f t="shared" si="61"/>
        <v>0</v>
      </c>
      <c r="L468" s="38">
        <f t="shared" si="61"/>
        <v>0</v>
      </c>
      <c r="M468" s="35">
        <f t="shared" si="58"/>
        <v>27.430197942749899</v>
      </c>
      <c r="S468" t="s">
        <v>73</v>
      </c>
      <c r="T468" s="5">
        <f>data_origin!T550</f>
        <v>0</v>
      </c>
      <c r="U468" s="5">
        <f>data_origin!U550</f>
        <v>0</v>
      </c>
      <c r="V468" s="5">
        <f>data_origin!V550</f>
        <v>0</v>
      </c>
      <c r="W468" s="5">
        <f>data_origin!W550</f>
        <v>11.402088772845953</v>
      </c>
      <c r="X468" s="5">
        <f>data_origin!X550</f>
        <v>14.579881656804734</v>
      </c>
      <c r="Y468" s="5">
        <f>data_origin!Y550</f>
        <v>1.0249999999999999</v>
      </c>
      <c r="Z468" s="5">
        <f>data_origin!Z550</f>
        <v>0</v>
      </c>
      <c r="AA468" s="5">
        <f>data_origin!AA550</f>
        <v>0</v>
      </c>
      <c r="AB468" s="5">
        <f t="shared" si="55"/>
        <v>27.006970429650686</v>
      </c>
      <c r="AH468" t="s">
        <v>73</v>
      </c>
      <c r="AI468" s="5">
        <f>data_origin!T2797</f>
        <v>0</v>
      </c>
      <c r="AJ468" s="5">
        <f>data_origin!U2797</f>
        <v>0</v>
      </c>
      <c r="AK468" s="5">
        <f>data_origin!V2797</f>
        <v>0</v>
      </c>
      <c r="AL468" s="5">
        <f>data_origin!W2797</f>
        <v>0</v>
      </c>
      <c r="AM468" s="5">
        <f>data_origin!X2797</f>
        <v>0</v>
      </c>
      <c r="AN468" s="5">
        <f>data_origin!Y2797</f>
        <v>0</v>
      </c>
      <c r="AO468" s="5">
        <f>data_origin!Z2797</f>
        <v>0</v>
      </c>
      <c r="AP468" s="5">
        <f>data_origin!AA2797</f>
        <v>0</v>
      </c>
      <c r="AQ468" s="9">
        <f t="shared" si="56"/>
        <v>0</v>
      </c>
      <c r="AV468" t="s">
        <v>73</v>
      </c>
      <c r="AW468" s="5">
        <f>data_origin!T3511</f>
        <v>0</v>
      </c>
      <c r="AX468" s="5">
        <f>data_origin!U3511</f>
        <v>0</v>
      </c>
      <c r="AY468" s="5">
        <f>data_origin!V3511</f>
        <v>0</v>
      </c>
      <c r="AZ468" s="5">
        <f>data_origin!W3511</f>
        <v>0</v>
      </c>
      <c r="BA468" s="5">
        <f>data_origin!X3511</f>
        <v>0</v>
      </c>
      <c r="BB468" s="5">
        <f>data_origin!Y3511</f>
        <v>0</v>
      </c>
      <c r="BC468" s="5">
        <f>data_origin!Z3511</f>
        <v>0</v>
      </c>
      <c r="BD468" s="5">
        <f>data_origin!AA3511</f>
        <v>0</v>
      </c>
      <c r="BE468" s="9">
        <f t="shared" si="57"/>
        <v>0</v>
      </c>
    </row>
    <row r="469" spans="1:57" x14ac:dyDescent="0.25">
      <c r="D469" t="s">
        <v>74</v>
      </c>
      <c r="E469" s="38">
        <f t="shared" si="61"/>
        <v>0</v>
      </c>
      <c r="F469" s="38">
        <f t="shared" si="61"/>
        <v>0</v>
      </c>
      <c r="G469" s="38">
        <f t="shared" si="61"/>
        <v>15.759502704259608</v>
      </c>
      <c r="H469" s="38">
        <f t="shared" si="61"/>
        <v>40.93005370448936</v>
      </c>
      <c r="I469" s="38">
        <f t="shared" si="61"/>
        <v>38.158982066383899</v>
      </c>
      <c r="J469" s="38">
        <f t="shared" si="61"/>
        <v>10.462196840437775</v>
      </c>
      <c r="K469" s="38">
        <f t="shared" si="61"/>
        <v>0</v>
      </c>
      <c r="L469" s="38">
        <f t="shared" si="61"/>
        <v>0</v>
      </c>
      <c r="M469" s="35">
        <f t="shared" si="58"/>
        <v>105.31073531557064</v>
      </c>
      <c r="S469" t="s">
        <v>74</v>
      </c>
      <c r="T469" s="5">
        <f>data_origin!T551</f>
        <v>0</v>
      </c>
      <c r="U469" s="5">
        <f>data_origin!U551</f>
        <v>0</v>
      </c>
      <c r="V469" s="5">
        <f>data_origin!V551</f>
        <v>15.636896046852122</v>
      </c>
      <c r="W469" s="5">
        <f>data_origin!W551</f>
        <v>40.425587467362924</v>
      </c>
      <c r="X469" s="5">
        <f>data_origin!X551</f>
        <v>37.491124260355029</v>
      </c>
      <c r="Y469" s="5">
        <f>data_origin!Y551</f>
        <v>10.25</v>
      </c>
      <c r="Z469" s="5">
        <f>data_origin!Z551</f>
        <v>0</v>
      </c>
      <c r="AA469" s="5">
        <f>data_origin!AA551</f>
        <v>0</v>
      </c>
      <c r="AB469" s="5">
        <f t="shared" si="55"/>
        <v>103.80360777457008</v>
      </c>
      <c r="AH469" t="s">
        <v>74</v>
      </c>
      <c r="AI469" s="5">
        <f>data_origin!T2798</f>
        <v>0</v>
      </c>
      <c r="AJ469" s="5">
        <f>data_origin!U2798</f>
        <v>0</v>
      </c>
      <c r="AK469" s="5">
        <f>data_origin!V2798</f>
        <v>0</v>
      </c>
      <c r="AL469" s="5">
        <f>data_origin!W2798</f>
        <v>0</v>
      </c>
      <c r="AM469" s="5">
        <f>data_origin!X2798</f>
        <v>0</v>
      </c>
      <c r="AN469" s="5">
        <f>data_origin!Y2798</f>
        <v>0</v>
      </c>
      <c r="AO469" s="5">
        <f>data_origin!Z2798</f>
        <v>0</v>
      </c>
      <c r="AP469" s="5">
        <f>data_origin!AA2798</f>
        <v>0</v>
      </c>
      <c r="AQ469" s="9">
        <f t="shared" si="56"/>
        <v>0</v>
      </c>
      <c r="AV469" t="s">
        <v>74</v>
      </c>
      <c r="AW469" s="5">
        <f>data_origin!T3512</f>
        <v>0</v>
      </c>
      <c r="AX469" s="5">
        <f>data_origin!U3512</f>
        <v>0</v>
      </c>
      <c r="AY469" s="5">
        <f>data_origin!V3512</f>
        <v>0</v>
      </c>
      <c r="AZ469" s="5">
        <f>data_origin!W3512</f>
        <v>0</v>
      </c>
      <c r="BA469" s="5">
        <f>data_origin!X3512</f>
        <v>0</v>
      </c>
      <c r="BB469" s="5">
        <f>data_origin!Y3512</f>
        <v>0</v>
      </c>
      <c r="BC469" s="5">
        <f>data_origin!Z3512</f>
        <v>0</v>
      </c>
      <c r="BD469" s="5">
        <f>data_origin!AA3512</f>
        <v>0</v>
      </c>
      <c r="BE469" s="9">
        <f t="shared" si="57"/>
        <v>0</v>
      </c>
    </row>
    <row r="470" spans="1:57" x14ac:dyDescent="0.25">
      <c r="D470" t="s">
        <v>75</v>
      </c>
      <c r="E470" s="38">
        <f t="shared" si="61"/>
        <v>0</v>
      </c>
      <c r="F470" s="38">
        <f t="shared" si="61"/>
        <v>0</v>
      </c>
      <c r="G470" s="38">
        <f t="shared" si="61"/>
        <v>11.556968649790379</v>
      </c>
      <c r="H470" s="38">
        <f t="shared" si="61"/>
        <v>8.3959084522029457</v>
      </c>
      <c r="I470" s="38">
        <f t="shared" si="61"/>
        <v>6.3598303443973165</v>
      </c>
      <c r="J470" s="38">
        <f t="shared" si="61"/>
        <v>0</v>
      </c>
      <c r="K470" s="38">
        <f t="shared" si="61"/>
        <v>0</v>
      </c>
      <c r="L470" s="38">
        <f t="shared" si="61"/>
        <v>0</v>
      </c>
      <c r="M470" s="35">
        <f t="shared" si="58"/>
        <v>26.31270744639064</v>
      </c>
      <c r="S470" t="s">
        <v>75</v>
      </c>
      <c r="T470" s="5">
        <f>data_origin!T552</f>
        <v>0</v>
      </c>
      <c r="U470" s="5">
        <f>data_origin!U552</f>
        <v>0</v>
      </c>
      <c r="V470" s="5">
        <f>data_origin!V552</f>
        <v>11.46705710102489</v>
      </c>
      <c r="W470" s="5">
        <f>data_origin!W552</f>
        <v>8.2924281984334201</v>
      </c>
      <c r="X470" s="5">
        <f>data_origin!X552</f>
        <v>6.2485207100591715</v>
      </c>
      <c r="Y470" s="5">
        <f>data_origin!Y552</f>
        <v>0</v>
      </c>
      <c r="Z470" s="5">
        <f>data_origin!Z552</f>
        <v>0</v>
      </c>
      <c r="AA470" s="5">
        <f>data_origin!AA552</f>
        <v>0</v>
      </c>
      <c r="AB470" s="5">
        <f t="shared" si="55"/>
        <v>26.008006009517484</v>
      </c>
      <c r="AH470" t="s">
        <v>75</v>
      </c>
      <c r="AI470" s="5">
        <f>data_origin!T2799</f>
        <v>0</v>
      </c>
      <c r="AJ470" s="5">
        <f>data_origin!U2799</f>
        <v>0</v>
      </c>
      <c r="AK470" s="5">
        <f>data_origin!V2799</f>
        <v>0</v>
      </c>
      <c r="AL470" s="5">
        <f>data_origin!W2799</f>
        <v>0</v>
      </c>
      <c r="AM470" s="5">
        <f>data_origin!X2799</f>
        <v>0</v>
      </c>
      <c r="AN470" s="5">
        <f>data_origin!Y2799</f>
        <v>0</v>
      </c>
      <c r="AO470" s="5">
        <f>data_origin!Z2799</f>
        <v>0</v>
      </c>
      <c r="AP470" s="5">
        <f>data_origin!AA2799</f>
        <v>0</v>
      </c>
      <c r="AQ470" s="9">
        <f t="shared" si="56"/>
        <v>0</v>
      </c>
      <c r="AV470" t="s">
        <v>75</v>
      </c>
      <c r="AW470" s="5">
        <f>data_origin!T3513</f>
        <v>0</v>
      </c>
      <c r="AX470" s="5">
        <f>data_origin!U3513</f>
        <v>0</v>
      </c>
      <c r="AY470" s="5">
        <f>data_origin!V3513</f>
        <v>0</v>
      </c>
      <c r="AZ470" s="5">
        <f>data_origin!W3513</f>
        <v>0</v>
      </c>
      <c r="BA470" s="5">
        <f>data_origin!X3513</f>
        <v>0</v>
      </c>
      <c r="BB470" s="5">
        <f>data_origin!Y3513</f>
        <v>0</v>
      </c>
      <c r="BC470" s="5">
        <f>data_origin!Z3513</f>
        <v>0</v>
      </c>
      <c r="BD470" s="5">
        <f>data_origin!AA3513</f>
        <v>0</v>
      </c>
      <c r="BE470" s="9">
        <f t="shared" si="57"/>
        <v>0</v>
      </c>
    </row>
    <row r="471" spans="1:57" x14ac:dyDescent="0.25">
      <c r="D471" t="s">
        <v>76</v>
      </c>
      <c r="E471" s="38">
        <f t="shared" si="61"/>
        <v>0</v>
      </c>
      <c r="F471" s="38">
        <f t="shared" si="61"/>
        <v>0</v>
      </c>
      <c r="G471" s="38">
        <f t="shared" si="61"/>
        <v>37.822806490223059</v>
      </c>
      <c r="H471" s="38">
        <f t="shared" si="61"/>
        <v>41.979542261014728</v>
      </c>
      <c r="I471" s="38">
        <f t="shared" si="61"/>
        <v>28.619236549787928</v>
      </c>
      <c r="J471" s="38">
        <f t="shared" si="61"/>
        <v>1.0462196840437774</v>
      </c>
      <c r="K471" s="38">
        <f t="shared" si="61"/>
        <v>0</v>
      </c>
      <c r="L471" s="38">
        <f t="shared" si="61"/>
        <v>0</v>
      </c>
      <c r="M471" s="35">
        <f t="shared" si="58"/>
        <v>109.46780498506949</v>
      </c>
      <c r="S471" t="s">
        <v>76</v>
      </c>
      <c r="T471" s="5">
        <f>data_origin!T553</f>
        <v>0</v>
      </c>
      <c r="U471" s="5">
        <f>data_origin!U553</f>
        <v>0</v>
      </c>
      <c r="V471" s="5">
        <f>data_origin!V553</f>
        <v>37.528550512445094</v>
      </c>
      <c r="W471" s="5">
        <f>data_origin!W553</f>
        <v>41.4621409921671</v>
      </c>
      <c r="X471" s="5">
        <f>data_origin!X553</f>
        <v>28.118343195266274</v>
      </c>
      <c r="Y471" s="5">
        <f>data_origin!Y553</f>
        <v>1.0249999999999999</v>
      </c>
      <c r="Z471" s="5">
        <f>data_origin!Z553</f>
        <v>0</v>
      </c>
      <c r="AA471" s="5">
        <f>data_origin!AA553</f>
        <v>0</v>
      </c>
      <c r="AB471" s="5">
        <f t="shared" si="55"/>
        <v>108.13403469987847</v>
      </c>
      <c r="AH471" t="s">
        <v>76</v>
      </c>
      <c r="AI471" s="5">
        <f>data_origin!T2800</f>
        <v>0</v>
      </c>
      <c r="AJ471" s="5">
        <f>data_origin!U2800</f>
        <v>0</v>
      </c>
      <c r="AK471" s="5">
        <f>data_origin!V2800</f>
        <v>0</v>
      </c>
      <c r="AL471" s="5">
        <f>data_origin!W2800</f>
        <v>0</v>
      </c>
      <c r="AM471" s="5">
        <f>data_origin!X2800</f>
        <v>0</v>
      </c>
      <c r="AN471" s="5">
        <f>data_origin!Y2800</f>
        <v>0</v>
      </c>
      <c r="AO471" s="5">
        <f>data_origin!Z2800</f>
        <v>0</v>
      </c>
      <c r="AP471" s="5">
        <f>data_origin!AA2800</f>
        <v>0</v>
      </c>
      <c r="AQ471" s="9">
        <f t="shared" si="56"/>
        <v>0</v>
      </c>
      <c r="AV471" t="s">
        <v>76</v>
      </c>
      <c r="AW471" s="5">
        <f>data_origin!T3514</f>
        <v>0</v>
      </c>
      <c r="AX471" s="5">
        <f>data_origin!U3514</f>
        <v>0</v>
      </c>
      <c r="AY471" s="5">
        <f>data_origin!V3514</f>
        <v>0</v>
      </c>
      <c r="AZ471" s="5">
        <f>data_origin!W3514</f>
        <v>0</v>
      </c>
      <c r="BA471" s="5">
        <f>data_origin!X3514</f>
        <v>0</v>
      </c>
      <c r="BB471" s="5">
        <f>data_origin!Y3514</f>
        <v>0</v>
      </c>
      <c r="BC471" s="5">
        <f>data_origin!Z3514</f>
        <v>0</v>
      </c>
      <c r="BD471" s="5">
        <f>data_origin!AA3514</f>
        <v>0</v>
      </c>
      <c r="BE471" s="9">
        <f t="shared" si="57"/>
        <v>0</v>
      </c>
    </row>
    <row r="472" spans="1:57" x14ac:dyDescent="0.25">
      <c r="D472" t="s">
        <v>77</v>
      </c>
      <c r="E472" s="38">
        <f t="shared" si="61"/>
        <v>0</v>
      </c>
      <c r="F472" s="38">
        <f t="shared" si="61"/>
        <v>0</v>
      </c>
      <c r="G472" s="38">
        <f t="shared" si="61"/>
        <v>43.075974058309598</v>
      </c>
      <c r="H472" s="38">
        <f t="shared" si="61"/>
        <v>54.573404939319154</v>
      </c>
      <c r="I472" s="38">
        <f t="shared" si="61"/>
        <v>22.259406205390608</v>
      </c>
      <c r="J472" s="38">
        <f t="shared" si="61"/>
        <v>1.0462196840437774</v>
      </c>
      <c r="K472" s="38">
        <f t="shared" si="61"/>
        <v>0</v>
      </c>
      <c r="L472" s="38">
        <f t="shared" si="61"/>
        <v>0</v>
      </c>
      <c r="M472" s="35">
        <f t="shared" si="58"/>
        <v>120.95500488706314</v>
      </c>
      <c r="S472" t="s">
        <v>77</v>
      </c>
      <c r="T472" s="5">
        <f>data_origin!T554</f>
        <v>0</v>
      </c>
      <c r="U472" s="5">
        <f>data_origin!U554</f>
        <v>0</v>
      </c>
      <c r="V472" s="5">
        <f>data_origin!V554</f>
        <v>42.740849194729137</v>
      </c>
      <c r="W472" s="5">
        <f>data_origin!W554</f>
        <v>53.900783289817234</v>
      </c>
      <c r="X472" s="5">
        <f>data_origin!X554</f>
        <v>21.869822485207102</v>
      </c>
      <c r="Y472" s="5">
        <f>data_origin!Y554</f>
        <v>1.0249999999999999</v>
      </c>
      <c r="Z472" s="5">
        <f>data_origin!Z554</f>
        <v>0</v>
      </c>
      <c r="AA472" s="5">
        <f>data_origin!AA554</f>
        <v>0</v>
      </c>
      <c r="AB472" s="5">
        <f t="shared" si="55"/>
        <v>119.53645496975346</v>
      </c>
      <c r="AH472" t="s">
        <v>77</v>
      </c>
      <c r="AI472" s="5">
        <f>data_origin!T2801</f>
        <v>0</v>
      </c>
      <c r="AJ472" s="5">
        <f>data_origin!U2801</f>
        <v>0</v>
      </c>
      <c r="AK472" s="5">
        <f>data_origin!V2801</f>
        <v>0</v>
      </c>
      <c r="AL472" s="5">
        <f>data_origin!W2801</f>
        <v>0</v>
      </c>
      <c r="AM472" s="5">
        <f>data_origin!X2801</f>
        <v>0</v>
      </c>
      <c r="AN472" s="5">
        <f>data_origin!Y2801</f>
        <v>0</v>
      </c>
      <c r="AO472" s="5">
        <f>data_origin!Z2801</f>
        <v>0</v>
      </c>
      <c r="AP472" s="5">
        <f>data_origin!AA2801</f>
        <v>0</v>
      </c>
      <c r="AQ472" s="9">
        <f t="shared" si="56"/>
        <v>0</v>
      </c>
      <c r="AV472" t="s">
        <v>77</v>
      </c>
      <c r="AW472" s="5">
        <f>data_origin!T3515</f>
        <v>0</v>
      </c>
      <c r="AX472" s="5">
        <f>data_origin!U3515</f>
        <v>0</v>
      </c>
      <c r="AY472" s="5">
        <f>data_origin!V3515</f>
        <v>0</v>
      </c>
      <c r="AZ472" s="5">
        <f>data_origin!W3515</f>
        <v>0</v>
      </c>
      <c r="BA472" s="5">
        <f>data_origin!X3515</f>
        <v>0</v>
      </c>
      <c r="BB472" s="5">
        <f>data_origin!Y3515</f>
        <v>0</v>
      </c>
      <c r="BC472" s="5">
        <f>data_origin!Z3515</f>
        <v>0</v>
      </c>
      <c r="BD472" s="5">
        <f>data_origin!AA3515</f>
        <v>0</v>
      </c>
      <c r="BE472" s="9">
        <f t="shared" si="57"/>
        <v>0</v>
      </c>
    </row>
    <row r="473" spans="1:57" x14ac:dyDescent="0.25">
      <c r="D473" t="s">
        <v>78</v>
      </c>
      <c r="E473" s="38">
        <f t="shared" si="61"/>
        <v>0</v>
      </c>
      <c r="F473" s="38">
        <f t="shared" si="61"/>
        <v>0</v>
      </c>
      <c r="G473" s="38">
        <f t="shared" si="61"/>
        <v>43.075974058309598</v>
      </c>
      <c r="H473" s="38">
        <f t="shared" si="61"/>
        <v>37.781588034913256</v>
      </c>
      <c r="I473" s="38">
        <f t="shared" si="61"/>
        <v>16.959547585059511</v>
      </c>
      <c r="J473" s="38">
        <f t="shared" si="61"/>
        <v>1.0462196840437774</v>
      </c>
      <c r="K473" s="38">
        <f t="shared" si="61"/>
        <v>0</v>
      </c>
      <c r="L473" s="38">
        <f t="shared" si="61"/>
        <v>0</v>
      </c>
      <c r="M473" s="35">
        <f t="shared" si="58"/>
        <v>98.863329362326141</v>
      </c>
      <c r="S473" t="s">
        <v>78</v>
      </c>
      <c r="T473" s="5">
        <f>data_origin!T555</f>
        <v>0</v>
      </c>
      <c r="U473" s="5">
        <f>data_origin!U555</f>
        <v>0</v>
      </c>
      <c r="V473" s="5">
        <f>data_origin!V555</f>
        <v>42.740849194729137</v>
      </c>
      <c r="W473" s="5">
        <f>data_origin!W555</f>
        <v>37.315926892950394</v>
      </c>
      <c r="X473" s="5">
        <f>data_origin!X555</f>
        <v>16.662721893491124</v>
      </c>
      <c r="Y473" s="5">
        <f>data_origin!Y555</f>
        <v>1.0249999999999999</v>
      </c>
      <c r="Z473" s="5">
        <f>data_origin!Z555</f>
        <v>0</v>
      </c>
      <c r="AA473" s="5">
        <f>data_origin!AA555</f>
        <v>0</v>
      </c>
      <c r="AB473" s="5">
        <f t="shared" si="55"/>
        <v>97.744497981170667</v>
      </c>
      <c r="AH473" t="s">
        <v>78</v>
      </c>
      <c r="AI473" s="5">
        <f>data_origin!T2802</f>
        <v>0</v>
      </c>
      <c r="AJ473" s="5">
        <f>data_origin!U2802</f>
        <v>0</v>
      </c>
      <c r="AK473" s="5">
        <f>data_origin!V2802</f>
        <v>0</v>
      </c>
      <c r="AL473" s="5">
        <f>data_origin!W2802</f>
        <v>0</v>
      </c>
      <c r="AM473" s="5">
        <f>data_origin!X2802</f>
        <v>0</v>
      </c>
      <c r="AN473" s="5">
        <f>data_origin!Y2802</f>
        <v>0</v>
      </c>
      <c r="AO473" s="5">
        <f>data_origin!Z2802</f>
        <v>0</v>
      </c>
      <c r="AP473" s="5">
        <f>data_origin!AA2802</f>
        <v>0</v>
      </c>
      <c r="AQ473" s="9">
        <f t="shared" si="56"/>
        <v>0</v>
      </c>
      <c r="AV473" t="s">
        <v>78</v>
      </c>
      <c r="AW473" s="5">
        <f>data_origin!T3516</f>
        <v>0</v>
      </c>
      <c r="AX473" s="5">
        <f>data_origin!U3516</f>
        <v>0</v>
      </c>
      <c r="AY473" s="5">
        <f>data_origin!V3516</f>
        <v>0</v>
      </c>
      <c r="AZ473" s="5">
        <f>data_origin!W3516</f>
        <v>0</v>
      </c>
      <c r="BA473" s="5">
        <f>data_origin!X3516</f>
        <v>0</v>
      </c>
      <c r="BB473" s="5">
        <f>data_origin!Y3516</f>
        <v>0</v>
      </c>
      <c r="BC473" s="5">
        <f>data_origin!Z3516</f>
        <v>0</v>
      </c>
      <c r="BD473" s="5">
        <f>data_origin!AA3516</f>
        <v>0</v>
      </c>
      <c r="BE473" s="9">
        <f t="shared" si="57"/>
        <v>0</v>
      </c>
    </row>
    <row r="474" spans="1:57" x14ac:dyDescent="0.25">
      <c r="D474" t="s">
        <v>79</v>
      </c>
      <c r="E474" s="38">
        <f t="shared" si="61"/>
        <v>0</v>
      </c>
      <c r="F474" s="38">
        <f t="shared" si="61"/>
        <v>0</v>
      </c>
      <c r="G474" s="38">
        <f t="shared" si="61"/>
        <v>56.734209735334588</v>
      </c>
      <c r="H474" s="38">
        <f t="shared" si="61"/>
        <v>49.325962156692313</v>
      </c>
      <c r="I474" s="38">
        <f t="shared" si="61"/>
        <v>14.839604136927072</v>
      </c>
      <c r="J474" s="38">
        <f t="shared" si="61"/>
        <v>0</v>
      </c>
      <c r="K474" s="38">
        <f t="shared" si="61"/>
        <v>0</v>
      </c>
      <c r="L474" s="38">
        <f t="shared" si="61"/>
        <v>0</v>
      </c>
      <c r="M474" s="35">
        <f t="shared" si="58"/>
        <v>120.89977602895397</v>
      </c>
      <c r="S474" t="s">
        <v>79</v>
      </c>
      <c r="T474" s="5">
        <f>data_origin!T556</f>
        <v>0</v>
      </c>
      <c r="U474" s="5">
        <f>data_origin!U556</f>
        <v>0</v>
      </c>
      <c r="V474" s="5">
        <f>data_origin!V556</f>
        <v>56.29282576866764</v>
      </c>
      <c r="W474" s="5">
        <f>data_origin!W556</f>
        <v>48.718015665796344</v>
      </c>
      <c r="X474" s="5">
        <f>data_origin!X556</f>
        <v>14.579881656804734</v>
      </c>
      <c r="Y474" s="5">
        <f>data_origin!Y556</f>
        <v>0</v>
      </c>
      <c r="Z474" s="5">
        <f>data_origin!Z556</f>
        <v>0</v>
      </c>
      <c r="AA474" s="5">
        <f>data_origin!AA556</f>
        <v>0</v>
      </c>
      <c r="AB474" s="5">
        <f t="shared" si="55"/>
        <v>119.59072309126871</v>
      </c>
      <c r="AH474" t="s">
        <v>79</v>
      </c>
      <c r="AI474" s="5">
        <f>data_origin!T2803</f>
        <v>0</v>
      </c>
      <c r="AJ474" s="5">
        <f>data_origin!U2803</f>
        <v>0</v>
      </c>
      <c r="AK474" s="5">
        <f>data_origin!V2803</f>
        <v>0</v>
      </c>
      <c r="AL474" s="5">
        <f>data_origin!W2803</f>
        <v>0</v>
      </c>
      <c r="AM474" s="5">
        <f>data_origin!X2803</f>
        <v>0</v>
      </c>
      <c r="AN474" s="5">
        <f>data_origin!Y2803</f>
        <v>0</v>
      </c>
      <c r="AO474" s="5">
        <f>data_origin!Z2803</f>
        <v>0</v>
      </c>
      <c r="AP474" s="5">
        <f>data_origin!AA2803</f>
        <v>0</v>
      </c>
      <c r="AQ474" s="9">
        <f t="shared" si="56"/>
        <v>0</v>
      </c>
      <c r="AV474" t="s">
        <v>79</v>
      </c>
      <c r="AW474" s="5">
        <f>data_origin!T3517</f>
        <v>0</v>
      </c>
      <c r="AX474" s="5">
        <f>data_origin!U3517</f>
        <v>0</v>
      </c>
      <c r="AY474" s="5">
        <f>data_origin!V3517</f>
        <v>0</v>
      </c>
      <c r="AZ474" s="5">
        <f>data_origin!W3517</f>
        <v>0</v>
      </c>
      <c r="BA474" s="5">
        <f>data_origin!X3517</f>
        <v>0</v>
      </c>
      <c r="BB474" s="5">
        <f>data_origin!Y3517</f>
        <v>0</v>
      </c>
      <c r="BC474" s="5">
        <f>data_origin!Z3517</f>
        <v>0</v>
      </c>
      <c r="BD474" s="5">
        <f>data_origin!AA3517</f>
        <v>0</v>
      </c>
      <c r="BE474" s="9">
        <f t="shared" si="57"/>
        <v>0</v>
      </c>
    </row>
    <row r="475" spans="1:57" x14ac:dyDescent="0.25">
      <c r="D475" t="s">
        <v>80</v>
      </c>
      <c r="E475" s="38">
        <f t="shared" si="61"/>
        <v>0</v>
      </c>
      <c r="F475" s="38">
        <f t="shared" si="61"/>
        <v>0</v>
      </c>
      <c r="G475" s="38">
        <f t="shared" si="61"/>
        <v>46.227874599161517</v>
      </c>
      <c r="H475" s="38">
        <f t="shared" si="61"/>
        <v>86.058061635080193</v>
      </c>
      <c r="I475" s="38">
        <f t="shared" si="61"/>
        <v>30.739179997920367</v>
      </c>
      <c r="J475" s="38">
        <f t="shared" si="61"/>
        <v>1.0462196840437774</v>
      </c>
      <c r="K475" s="38">
        <f t="shared" si="61"/>
        <v>0</v>
      </c>
      <c r="L475" s="38">
        <f t="shared" si="61"/>
        <v>0</v>
      </c>
      <c r="M475" s="35">
        <f t="shared" si="58"/>
        <v>164.07133591620587</v>
      </c>
      <c r="S475" t="s">
        <v>80</v>
      </c>
      <c r="T475" s="5">
        <f>data_origin!T557</f>
        <v>0</v>
      </c>
      <c r="U475" s="5">
        <f>data_origin!U557</f>
        <v>0</v>
      </c>
      <c r="V475" s="5">
        <f>data_origin!V557</f>
        <v>45.868228404099561</v>
      </c>
      <c r="W475" s="5">
        <f>data_origin!W557</f>
        <v>84.997389033942554</v>
      </c>
      <c r="X475" s="5">
        <f>data_origin!X557</f>
        <v>30.201183431952664</v>
      </c>
      <c r="Y475" s="5">
        <f>data_origin!Y557</f>
        <v>1.0249999999999999</v>
      </c>
      <c r="Z475" s="5">
        <f>data_origin!Z557</f>
        <v>0</v>
      </c>
      <c r="AA475" s="5">
        <f>data_origin!AA557</f>
        <v>0</v>
      </c>
      <c r="AB475" s="5">
        <f t="shared" si="55"/>
        <v>162.09180086999478</v>
      </c>
      <c r="AH475" t="s">
        <v>80</v>
      </c>
      <c r="AI475" s="5">
        <f>data_origin!T2804</f>
        <v>0</v>
      </c>
      <c r="AJ475" s="5">
        <f>data_origin!U2804</f>
        <v>0</v>
      </c>
      <c r="AK475" s="5">
        <f>data_origin!V2804</f>
        <v>0</v>
      </c>
      <c r="AL475" s="5">
        <f>data_origin!W2804</f>
        <v>0</v>
      </c>
      <c r="AM475" s="5">
        <f>data_origin!X2804</f>
        <v>0</v>
      </c>
      <c r="AN475" s="5">
        <f>data_origin!Y2804</f>
        <v>0</v>
      </c>
      <c r="AO475" s="5">
        <f>data_origin!Z2804</f>
        <v>0</v>
      </c>
      <c r="AP475" s="5">
        <f>data_origin!AA2804</f>
        <v>0</v>
      </c>
      <c r="AQ475" s="9">
        <f t="shared" si="56"/>
        <v>0</v>
      </c>
      <c r="AV475" t="s">
        <v>80</v>
      </c>
      <c r="AW475" s="5">
        <f>data_origin!T3518</f>
        <v>0</v>
      </c>
      <c r="AX475" s="5">
        <f>data_origin!U3518</f>
        <v>0</v>
      </c>
      <c r="AY475" s="5">
        <f>data_origin!V3518</f>
        <v>0</v>
      </c>
      <c r="AZ475" s="5">
        <f>data_origin!W3518</f>
        <v>0</v>
      </c>
      <c r="BA475" s="5">
        <f>data_origin!X3518</f>
        <v>0</v>
      </c>
      <c r="BB475" s="5">
        <f>data_origin!Y3518</f>
        <v>0</v>
      </c>
      <c r="BC475" s="5">
        <f>data_origin!Z3518</f>
        <v>0</v>
      </c>
      <c r="BD475" s="5">
        <f>data_origin!AA3518</f>
        <v>0</v>
      </c>
      <c r="BE475" s="9">
        <f t="shared" si="57"/>
        <v>0</v>
      </c>
    </row>
    <row r="476" spans="1:57" x14ac:dyDescent="0.25">
      <c r="D476" t="s">
        <v>81</v>
      </c>
      <c r="E476" s="38">
        <f t="shared" si="61"/>
        <v>0</v>
      </c>
      <c r="F476" s="38">
        <f t="shared" si="61"/>
        <v>0</v>
      </c>
      <c r="G476" s="38">
        <f t="shared" si="61"/>
        <v>7.354434595321151</v>
      </c>
      <c r="H476" s="38">
        <f t="shared" si="61"/>
        <v>11.544374121779052</v>
      </c>
      <c r="I476" s="38">
        <f t="shared" si="61"/>
        <v>9.5397455165959748</v>
      </c>
      <c r="J476" s="38">
        <f t="shared" si="61"/>
        <v>0</v>
      </c>
      <c r="K476" s="38">
        <f t="shared" si="61"/>
        <v>0</v>
      </c>
      <c r="L476" s="38">
        <f t="shared" si="61"/>
        <v>0</v>
      </c>
      <c r="M476" s="35">
        <f t="shared" si="58"/>
        <v>28.438554233696177</v>
      </c>
      <c r="S476" t="s">
        <v>81</v>
      </c>
      <c r="T476" s="5">
        <f>data_origin!T558</f>
        <v>0</v>
      </c>
      <c r="U476" s="5">
        <f>data_origin!U558</f>
        <v>0</v>
      </c>
      <c r="V476" s="5">
        <f>data_origin!V558</f>
        <v>7.2972181551976574</v>
      </c>
      <c r="W476" s="5">
        <f>data_origin!W558</f>
        <v>11.402088772845953</v>
      </c>
      <c r="X476" s="5">
        <f>data_origin!X558</f>
        <v>9.3727810650887573</v>
      </c>
      <c r="Y476" s="5">
        <f>data_origin!Y558</f>
        <v>0</v>
      </c>
      <c r="Z476" s="5">
        <f>data_origin!Z558</f>
        <v>0</v>
      </c>
      <c r="AA476" s="5">
        <f>data_origin!AA558</f>
        <v>0</v>
      </c>
      <c r="AB476" s="5">
        <f t="shared" si="55"/>
        <v>28.072087993132371</v>
      </c>
      <c r="AH476" t="s">
        <v>81</v>
      </c>
      <c r="AI476" s="5">
        <f>data_origin!T2805</f>
        <v>0</v>
      </c>
      <c r="AJ476" s="5">
        <f>data_origin!U2805</f>
        <v>0</v>
      </c>
      <c r="AK476" s="5">
        <f>data_origin!V2805</f>
        <v>0</v>
      </c>
      <c r="AL476" s="5">
        <f>data_origin!W2805</f>
        <v>0</v>
      </c>
      <c r="AM476" s="5">
        <f>data_origin!X2805</f>
        <v>0</v>
      </c>
      <c r="AN476" s="5">
        <f>data_origin!Y2805</f>
        <v>0</v>
      </c>
      <c r="AO476" s="5">
        <f>data_origin!Z2805</f>
        <v>0</v>
      </c>
      <c r="AP476" s="5">
        <f>data_origin!AA2805</f>
        <v>0</v>
      </c>
      <c r="AQ476" s="9">
        <f t="shared" si="56"/>
        <v>0</v>
      </c>
      <c r="AV476" t="s">
        <v>81</v>
      </c>
      <c r="AW476" s="5">
        <f>data_origin!T3519</f>
        <v>0</v>
      </c>
      <c r="AX476" s="5">
        <f>data_origin!U3519</f>
        <v>0</v>
      </c>
      <c r="AY476" s="5">
        <f>data_origin!V3519</f>
        <v>0</v>
      </c>
      <c r="AZ476" s="5">
        <f>data_origin!W3519</f>
        <v>0</v>
      </c>
      <c r="BA476" s="5">
        <f>data_origin!X3519</f>
        <v>0</v>
      </c>
      <c r="BB476" s="5">
        <f>data_origin!Y3519</f>
        <v>0</v>
      </c>
      <c r="BC476" s="5">
        <f>data_origin!Z3519</f>
        <v>0</v>
      </c>
      <c r="BD476" s="5">
        <f>data_origin!AA3519</f>
        <v>0</v>
      </c>
      <c r="BE476" s="9">
        <f t="shared" si="57"/>
        <v>0</v>
      </c>
    </row>
    <row r="477" spans="1:57" x14ac:dyDescent="0.25">
      <c r="D477" t="s">
        <v>82</v>
      </c>
      <c r="E477" s="38">
        <f t="shared" si="61"/>
        <v>0</v>
      </c>
      <c r="F477" s="38">
        <f t="shared" si="61"/>
        <v>0</v>
      </c>
      <c r="G477" s="38">
        <f t="shared" si="61"/>
        <v>18.911403245111529</v>
      </c>
      <c r="H477" s="38">
        <f t="shared" si="61"/>
        <v>14.692839791355155</v>
      </c>
      <c r="I477" s="38">
        <f t="shared" si="61"/>
        <v>11.659688964728414</v>
      </c>
      <c r="J477" s="38">
        <f t="shared" si="61"/>
        <v>4.1848787361751096</v>
      </c>
      <c r="K477" s="38">
        <f t="shared" si="61"/>
        <v>0</v>
      </c>
      <c r="L477" s="38">
        <f t="shared" si="61"/>
        <v>0</v>
      </c>
      <c r="M477" s="35">
        <f t="shared" si="58"/>
        <v>49.448810737370209</v>
      </c>
      <c r="S477" t="s">
        <v>82</v>
      </c>
      <c r="T477" s="5">
        <f>data_origin!T559</f>
        <v>0</v>
      </c>
      <c r="U477" s="5">
        <f>data_origin!U559</f>
        <v>0</v>
      </c>
      <c r="V477" s="5">
        <f>data_origin!V559</f>
        <v>18.764275256222547</v>
      </c>
      <c r="W477" s="5">
        <f>data_origin!W559</f>
        <v>14.511749347258485</v>
      </c>
      <c r="X477" s="5">
        <f>data_origin!X559</f>
        <v>11.455621301775148</v>
      </c>
      <c r="Y477" s="5">
        <f>data_origin!Y559</f>
        <v>4.0999999999999996</v>
      </c>
      <c r="Z477" s="5">
        <f>data_origin!Z559</f>
        <v>0</v>
      </c>
      <c r="AA477" s="5">
        <f>data_origin!AA559</f>
        <v>0</v>
      </c>
      <c r="AB477" s="5">
        <f t="shared" si="55"/>
        <v>48.831645905256181</v>
      </c>
      <c r="AH477" t="s">
        <v>82</v>
      </c>
      <c r="AI477" s="5">
        <f>data_origin!T2806</f>
        <v>0</v>
      </c>
      <c r="AJ477" s="5">
        <f>data_origin!U2806</f>
        <v>0</v>
      </c>
      <c r="AK477" s="5">
        <f>data_origin!V2806</f>
        <v>0</v>
      </c>
      <c r="AL477" s="5">
        <f>data_origin!W2806</f>
        <v>0</v>
      </c>
      <c r="AM477" s="5">
        <f>data_origin!X2806</f>
        <v>0</v>
      </c>
      <c r="AN477" s="5">
        <f>data_origin!Y2806</f>
        <v>0</v>
      </c>
      <c r="AO477" s="5">
        <f>data_origin!Z2806</f>
        <v>0</v>
      </c>
      <c r="AP477" s="5">
        <f>data_origin!AA2806</f>
        <v>0</v>
      </c>
      <c r="AQ477" s="9">
        <f t="shared" si="56"/>
        <v>0</v>
      </c>
      <c r="AV477" t="s">
        <v>82</v>
      </c>
      <c r="AW477" s="5">
        <f>data_origin!T3520</f>
        <v>0</v>
      </c>
      <c r="AX477" s="5">
        <f>data_origin!U3520</f>
        <v>0</v>
      </c>
      <c r="AY477" s="5">
        <f>data_origin!V3520</f>
        <v>0</v>
      </c>
      <c r="AZ477" s="5">
        <f>data_origin!W3520</f>
        <v>0</v>
      </c>
      <c r="BA477" s="5">
        <f>data_origin!X3520</f>
        <v>0</v>
      </c>
      <c r="BB477" s="5">
        <f>data_origin!Y3520</f>
        <v>0</v>
      </c>
      <c r="BC477" s="5">
        <f>data_origin!Z3520</f>
        <v>0</v>
      </c>
      <c r="BD477" s="5">
        <f>data_origin!AA3520</f>
        <v>0</v>
      </c>
      <c r="BE477" s="9">
        <f t="shared" si="57"/>
        <v>0</v>
      </c>
    </row>
    <row r="478" spans="1:57" x14ac:dyDescent="0.25">
      <c r="D478" t="s">
        <v>83</v>
      </c>
      <c r="E478" s="38">
        <f t="shared" si="61"/>
        <v>0</v>
      </c>
      <c r="F478" s="38">
        <f t="shared" si="61"/>
        <v>0</v>
      </c>
      <c r="G478" s="38">
        <f t="shared" si="61"/>
        <v>2.1012670272346146</v>
      </c>
      <c r="H478" s="38">
        <f t="shared" si="61"/>
        <v>8.3959084522029457</v>
      </c>
      <c r="I478" s="38">
        <f t="shared" si="61"/>
        <v>4.2398868962648777</v>
      </c>
      <c r="J478" s="38">
        <f t="shared" si="61"/>
        <v>0</v>
      </c>
      <c r="K478" s="38">
        <f t="shared" si="61"/>
        <v>1.0186567164179106</v>
      </c>
      <c r="L478" s="38">
        <f t="shared" si="61"/>
        <v>0</v>
      </c>
      <c r="M478" s="35">
        <f t="shared" si="58"/>
        <v>15.755719092120348</v>
      </c>
      <c r="S478" t="s">
        <v>83</v>
      </c>
      <c r="T478" s="5">
        <f>data_origin!T560</f>
        <v>0</v>
      </c>
      <c r="U478" s="5">
        <f>data_origin!U560</f>
        <v>0</v>
      </c>
      <c r="V478" s="5">
        <f>data_origin!V560</f>
        <v>2.0849194729136165</v>
      </c>
      <c r="W478" s="5">
        <f>data_origin!W560</f>
        <v>8.2924281984334201</v>
      </c>
      <c r="X478" s="5">
        <f>data_origin!X560</f>
        <v>4.165680473372781</v>
      </c>
      <c r="Y478" s="5">
        <f>data_origin!Y560</f>
        <v>0</v>
      </c>
      <c r="Z478" s="5">
        <f>data_origin!Z560</f>
        <v>1</v>
      </c>
      <c r="AA478" s="5">
        <f>data_origin!AA560</f>
        <v>0</v>
      </c>
      <c r="AB478" s="5">
        <f t="shared" si="55"/>
        <v>15.543028144719818</v>
      </c>
      <c r="AH478" t="s">
        <v>83</v>
      </c>
      <c r="AI478" s="5">
        <f>data_origin!T2807</f>
        <v>0</v>
      </c>
      <c r="AJ478" s="5">
        <f>data_origin!U2807</f>
        <v>0</v>
      </c>
      <c r="AK478" s="5">
        <f>data_origin!V2807</f>
        <v>0</v>
      </c>
      <c r="AL478" s="5">
        <f>data_origin!W2807</f>
        <v>0</v>
      </c>
      <c r="AM478" s="5">
        <f>data_origin!X2807</f>
        <v>0</v>
      </c>
      <c r="AN478" s="5">
        <f>data_origin!Y2807</f>
        <v>0</v>
      </c>
      <c r="AO478" s="5">
        <f>data_origin!Z2807</f>
        <v>0</v>
      </c>
      <c r="AP478" s="5">
        <f>data_origin!AA2807</f>
        <v>0</v>
      </c>
      <c r="AQ478" s="9">
        <f t="shared" si="56"/>
        <v>0</v>
      </c>
      <c r="AV478" t="s">
        <v>83</v>
      </c>
      <c r="AW478" s="5">
        <f>data_origin!T3521</f>
        <v>0</v>
      </c>
      <c r="AX478" s="5">
        <f>data_origin!U3521</f>
        <v>0</v>
      </c>
      <c r="AY478" s="5">
        <f>data_origin!V3521</f>
        <v>0</v>
      </c>
      <c r="AZ478" s="5">
        <f>data_origin!W3521</f>
        <v>0</v>
      </c>
      <c r="BA478" s="5">
        <f>data_origin!X3521</f>
        <v>0</v>
      </c>
      <c r="BB478" s="5">
        <f>data_origin!Y3521</f>
        <v>0</v>
      </c>
      <c r="BC478" s="5">
        <f>data_origin!Z3521</f>
        <v>0</v>
      </c>
      <c r="BD478" s="5">
        <f>data_origin!AA3521</f>
        <v>0</v>
      </c>
      <c r="BE478" s="9">
        <f t="shared" si="57"/>
        <v>0</v>
      </c>
    </row>
    <row r="479" spans="1:57" x14ac:dyDescent="0.25">
      <c r="D479" t="s">
        <v>84</v>
      </c>
      <c r="E479" s="38">
        <f t="shared" si="61"/>
        <v>0</v>
      </c>
      <c r="F479" s="38">
        <f t="shared" si="61"/>
        <v>0</v>
      </c>
      <c r="G479" s="38">
        <f t="shared" si="61"/>
        <v>5.2531675680865364</v>
      </c>
      <c r="H479" s="38">
        <f t="shared" si="61"/>
        <v>7.3464198956775775</v>
      </c>
      <c r="I479" s="38">
        <f t="shared" si="61"/>
        <v>4.2398868962648777</v>
      </c>
      <c r="J479" s="38">
        <f t="shared" si="61"/>
        <v>1.0462196840437774</v>
      </c>
      <c r="K479" s="38">
        <f t="shared" si="61"/>
        <v>1.0186567164179106</v>
      </c>
      <c r="L479" s="38">
        <f t="shared" si="61"/>
        <v>0</v>
      </c>
      <c r="M479" s="35">
        <f t="shared" si="58"/>
        <v>18.904350760490679</v>
      </c>
      <c r="S479" t="s">
        <v>84</v>
      </c>
      <c r="T479" s="5">
        <f>data_origin!T561</f>
        <v>0</v>
      </c>
      <c r="U479" s="5">
        <f>data_origin!U561</f>
        <v>0</v>
      </c>
      <c r="V479" s="5">
        <f>data_origin!V561</f>
        <v>5.2122986822840414</v>
      </c>
      <c r="W479" s="5">
        <f>data_origin!W561</f>
        <v>7.2558746736292425</v>
      </c>
      <c r="X479" s="5">
        <f>data_origin!X561</f>
        <v>4.165680473372781</v>
      </c>
      <c r="Y479" s="5">
        <f>data_origin!Y561</f>
        <v>1.0249999999999999</v>
      </c>
      <c r="Z479" s="5">
        <f>data_origin!Z561</f>
        <v>1</v>
      </c>
      <c r="AA479" s="5">
        <f>data_origin!AA561</f>
        <v>0</v>
      </c>
      <c r="AB479" s="5">
        <f t="shared" si="55"/>
        <v>18.658853829286063</v>
      </c>
      <c r="AH479" t="s">
        <v>84</v>
      </c>
      <c r="AI479" s="5">
        <f>data_origin!T2808</f>
        <v>0</v>
      </c>
      <c r="AJ479" s="5">
        <f>data_origin!U2808</f>
        <v>0</v>
      </c>
      <c r="AK479" s="5">
        <f>data_origin!V2808</f>
        <v>0</v>
      </c>
      <c r="AL479" s="5">
        <f>data_origin!W2808</f>
        <v>0</v>
      </c>
      <c r="AM479" s="5">
        <f>data_origin!X2808</f>
        <v>0</v>
      </c>
      <c r="AN479" s="5">
        <f>data_origin!Y2808</f>
        <v>0</v>
      </c>
      <c r="AO479" s="5">
        <f>data_origin!Z2808</f>
        <v>0</v>
      </c>
      <c r="AP479" s="5">
        <f>data_origin!AA2808</f>
        <v>0</v>
      </c>
      <c r="AQ479" s="9">
        <f t="shared" si="56"/>
        <v>0</v>
      </c>
      <c r="AV479" t="s">
        <v>84</v>
      </c>
      <c r="AW479" s="5">
        <f>data_origin!T3522</f>
        <v>0</v>
      </c>
      <c r="AX479" s="5">
        <f>data_origin!U3522</f>
        <v>0</v>
      </c>
      <c r="AY479" s="5">
        <f>data_origin!V3522</f>
        <v>0</v>
      </c>
      <c r="AZ479" s="5">
        <f>data_origin!W3522</f>
        <v>0</v>
      </c>
      <c r="BA479" s="5">
        <f>data_origin!X3522</f>
        <v>0</v>
      </c>
      <c r="BB479" s="5">
        <f>data_origin!Y3522</f>
        <v>0</v>
      </c>
      <c r="BC479" s="5">
        <f>data_origin!Z3522</f>
        <v>0</v>
      </c>
      <c r="BD479" s="5">
        <f>data_origin!AA3522</f>
        <v>0</v>
      </c>
      <c r="BE479" s="9">
        <f t="shared" si="57"/>
        <v>0</v>
      </c>
    </row>
    <row r="480" spans="1:57" x14ac:dyDescent="0.25">
      <c r="D480" t="s">
        <v>85</v>
      </c>
      <c r="E480" s="38">
        <f t="shared" si="61"/>
        <v>0</v>
      </c>
      <c r="F480" s="38">
        <f t="shared" si="61"/>
        <v>0</v>
      </c>
      <c r="G480" s="38">
        <f t="shared" si="61"/>
        <v>6.3038010817038428</v>
      </c>
      <c r="H480" s="38">
        <f t="shared" si="61"/>
        <v>7.3464198956775775</v>
      </c>
      <c r="I480" s="38">
        <f t="shared" si="61"/>
        <v>2.1199434481324388</v>
      </c>
      <c r="J480" s="38">
        <f t="shared" si="61"/>
        <v>0</v>
      </c>
      <c r="K480" s="38">
        <f t="shared" si="61"/>
        <v>0</v>
      </c>
      <c r="L480" s="38">
        <f t="shared" si="61"/>
        <v>0</v>
      </c>
      <c r="M480" s="35">
        <f t="shared" si="58"/>
        <v>15.770164425513858</v>
      </c>
      <c r="S480" t="s">
        <v>85</v>
      </c>
      <c r="T480" s="5">
        <f>data_origin!T562</f>
        <v>0</v>
      </c>
      <c r="U480" s="5">
        <f>data_origin!U562</f>
        <v>0</v>
      </c>
      <c r="V480" s="5">
        <f>data_origin!V562</f>
        <v>6.2547584187408489</v>
      </c>
      <c r="W480" s="5">
        <f>data_origin!W562</f>
        <v>7.2558746736292425</v>
      </c>
      <c r="X480" s="5">
        <f>data_origin!X562</f>
        <v>2.0828402366863905</v>
      </c>
      <c r="Y480" s="5">
        <f>data_origin!Y562</f>
        <v>0</v>
      </c>
      <c r="Z480" s="5">
        <f>data_origin!Z562</f>
        <v>0</v>
      </c>
      <c r="AA480" s="5">
        <f>data_origin!AA562</f>
        <v>0</v>
      </c>
      <c r="AB480" s="5">
        <f t="shared" ref="AB480:AB543" si="62">SUM(T480:AA480)</f>
        <v>15.593473329056483</v>
      </c>
      <c r="AH480" t="s">
        <v>85</v>
      </c>
      <c r="AI480" s="5">
        <f>data_origin!T2809</f>
        <v>0</v>
      </c>
      <c r="AJ480" s="5">
        <f>data_origin!U2809</f>
        <v>0</v>
      </c>
      <c r="AK480" s="5">
        <f>data_origin!V2809</f>
        <v>0</v>
      </c>
      <c r="AL480" s="5">
        <f>data_origin!W2809</f>
        <v>0</v>
      </c>
      <c r="AM480" s="5">
        <f>data_origin!X2809</f>
        <v>0</v>
      </c>
      <c r="AN480" s="5">
        <f>data_origin!Y2809</f>
        <v>0</v>
      </c>
      <c r="AO480" s="5">
        <f>data_origin!Z2809</f>
        <v>0</v>
      </c>
      <c r="AP480" s="5">
        <f>data_origin!AA2809</f>
        <v>0</v>
      </c>
      <c r="AQ480" s="9">
        <f t="shared" si="56"/>
        <v>0</v>
      </c>
      <c r="AV480" t="s">
        <v>85</v>
      </c>
      <c r="AW480" s="5">
        <f>data_origin!T3523</f>
        <v>0</v>
      </c>
      <c r="AX480" s="5">
        <f>data_origin!U3523</f>
        <v>0</v>
      </c>
      <c r="AY480" s="5">
        <f>data_origin!V3523</f>
        <v>0</v>
      </c>
      <c r="AZ480" s="5">
        <f>data_origin!W3523</f>
        <v>0</v>
      </c>
      <c r="BA480" s="5">
        <f>data_origin!X3523</f>
        <v>0</v>
      </c>
      <c r="BB480" s="5">
        <f>data_origin!Y3523</f>
        <v>0</v>
      </c>
      <c r="BC480" s="5">
        <f>data_origin!Z3523</f>
        <v>0</v>
      </c>
      <c r="BD480" s="5">
        <f>data_origin!AA3523</f>
        <v>0</v>
      </c>
      <c r="BE480" s="9">
        <f t="shared" si="57"/>
        <v>0</v>
      </c>
    </row>
    <row r="481" spans="4:57" x14ac:dyDescent="0.25">
      <c r="D481" t="s">
        <v>86</v>
      </c>
      <c r="E481" s="38">
        <f t="shared" si="61"/>
        <v>0</v>
      </c>
      <c r="F481" s="38">
        <f t="shared" si="61"/>
        <v>0</v>
      </c>
      <c r="G481" s="38">
        <f t="shared" si="61"/>
        <v>202.77226812814027</v>
      </c>
      <c r="H481" s="38">
        <f t="shared" si="61"/>
        <v>219.34310831380196</v>
      </c>
      <c r="I481" s="38">
        <f t="shared" si="61"/>
        <v>89.037624821562432</v>
      </c>
      <c r="J481" s="38">
        <f t="shared" si="61"/>
        <v>9.415977156393998</v>
      </c>
      <c r="K481" s="38">
        <f t="shared" si="61"/>
        <v>0</v>
      </c>
      <c r="L481" s="38">
        <f t="shared" si="61"/>
        <v>0</v>
      </c>
      <c r="M481" s="35">
        <f t="shared" si="58"/>
        <v>520.5689784198986</v>
      </c>
      <c r="S481" t="s">
        <v>86</v>
      </c>
      <c r="T481" s="5">
        <f>data_origin!T563</f>
        <v>0</v>
      </c>
      <c r="U481" s="5">
        <f>data_origin!U563</f>
        <v>0</v>
      </c>
      <c r="V481" s="5">
        <f>data_origin!V563</f>
        <v>201.19472913616397</v>
      </c>
      <c r="W481" s="5">
        <f>data_origin!W563</f>
        <v>216.6396866840731</v>
      </c>
      <c r="X481" s="5">
        <f>data_origin!X563</f>
        <v>87.479289940828409</v>
      </c>
      <c r="Y481" s="5">
        <f>data_origin!Y563</f>
        <v>9.2249999999999996</v>
      </c>
      <c r="Z481" s="5">
        <f>data_origin!Z563</f>
        <v>0</v>
      </c>
      <c r="AA481" s="5">
        <f>data_origin!AA563</f>
        <v>0</v>
      </c>
      <c r="AB481" s="5">
        <f t="shared" si="62"/>
        <v>514.53870576106544</v>
      </c>
      <c r="AH481" t="s">
        <v>86</v>
      </c>
      <c r="AI481" s="5">
        <f>data_origin!T2810</f>
        <v>0</v>
      </c>
      <c r="AJ481" s="5">
        <f>data_origin!U2810</f>
        <v>0</v>
      </c>
      <c r="AK481" s="5">
        <f>data_origin!V2810</f>
        <v>0</v>
      </c>
      <c r="AL481" s="5">
        <f>data_origin!W2810</f>
        <v>0</v>
      </c>
      <c r="AM481" s="5">
        <f>data_origin!X2810</f>
        <v>1</v>
      </c>
      <c r="AN481" s="5">
        <f>data_origin!Y2810</f>
        <v>0</v>
      </c>
      <c r="AO481" s="5">
        <f>data_origin!Z2810</f>
        <v>0</v>
      </c>
      <c r="AP481" s="5">
        <f>data_origin!AA2810</f>
        <v>0</v>
      </c>
      <c r="AQ481" s="9">
        <f t="shared" si="56"/>
        <v>1</v>
      </c>
      <c r="AV481" t="s">
        <v>86</v>
      </c>
      <c r="AW481" s="5">
        <f>data_origin!T3524</f>
        <v>0</v>
      </c>
      <c r="AX481" s="5">
        <f>data_origin!U3524</f>
        <v>0</v>
      </c>
      <c r="AY481" s="5">
        <f>data_origin!V3524</f>
        <v>0</v>
      </c>
      <c r="AZ481" s="5">
        <f>data_origin!W3524</f>
        <v>0</v>
      </c>
      <c r="BA481" s="5">
        <f>data_origin!X3524</f>
        <v>0</v>
      </c>
      <c r="BB481" s="5">
        <f>data_origin!Y3524</f>
        <v>0</v>
      </c>
      <c r="BC481" s="5">
        <f>data_origin!Z3524</f>
        <v>0</v>
      </c>
      <c r="BD481" s="5">
        <f>data_origin!AA3524</f>
        <v>0</v>
      </c>
      <c r="BE481" s="9">
        <f t="shared" si="57"/>
        <v>0</v>
      </c>
    </row>
    <row r="482" spans="4:57" x14ac:dyDescent="0.25">
      <c r="D482" t="s">
        <v>87</v>
      </c>
      <c r="E482" s="38">
        <f t="shared" si="61"/>
        <v>0</v>
      </c>
      <c r="F482" s="38">
        <f t="shared" si="61"/>
        <v>0</v>
      </c>
      <c r="G482" s="38">
        <f t="shared" si="61"/>
        <v>15.759502704259608</v>
      </c>
      <c r="H482" s="38">
        <f t="shared" si="61"/>
        <v>15.742328347880525</v>
      </c>
      <c r="I482" s="38">
        <f t="shared" si="61"/>
        <v>11.659688964728414</v>
      </c>
      <c r="J482" s="38">
        <f t="shared" si="61"/>
        <v>3.1386590521313327</v>
      </c>
      <c r="K482" s="38">
        <f t="shared" si="61"/>
        <v>0</v>
      </c>
      <c r="L482" s="38">
        <f t="shared" si="61"/>
        <v>0</v>
      </c>
      <c r="M482" s="35">
        <f t="shared" si="58"/>
        <v>46.300179068999881</v>
      </c>
      <c r="S482" t="s">
        <v>87</v>
      </c>
      <c r="T482" s="5">
        <f>data_origin!T564</f>
        <v>0</v>
      </c>
      <c r="U482" s="5">
        <f>data_origin!U564</f>
        <v>0</v>
      </c>
      <c r="V482" s="5">
        <f>data_origin!V564</f>
        <v>15.636896046852122</v>
      </c>
      <c r="W482" s="5">
        <f>data_origin!W564</f>
        <v>15.548302872062663</v>
      </c>
      <c r="X482" s="5">
        <f>data_origin!X564</f>
        <v>11.455621301775148</v>
      </c>
      <c r="Y482" s="5">
        <f>data_origin!Y564</f>
        <v>3.0750000000000002</v>
      </c>
      <c r="Z482" s="5">
        <f>data_origin!Z564</f>
        <v>0</v>
      </c>
      <c r="AA482" s="5">
        <f>data_origin!AA564</f>
        <v>0</v>
      </c>
      <c r="AB482" s="5">
        <f t="shared" si="62"/>
        <v>45.715820220689935</v>
      </c>
      <c r="AH482" t="s">
        <v>87</v>
      </c>
      <c r="AI482" s="5">
        <f>data_origin!T2811</f>
        <v>0</v>
      </c>
      <c r="AJ482" s="5">
        <f>data_origin!U2811</f>
        <v>0</v>
      </c>
      <c r="AK482" s="5">
        <f>data_origin!V2811</f>
        <v>0</v>
      </c>
      <c r="AL482" s="5">
        <f>data_origin!W2811</f>
        <v>0</v>
      </c>
      <c r="AM482" s="5">
        <f>data_origin!X2811</f>
        <v>0</v>
      </c>
      <c r="AN482" s="5">
        <f>data_origin!Y2811</f>
        <v>0</v>
      </c>
      <c r="AO482" s="5">
        <f>data_origin!Z2811</f>
        <v>0</v>
      </c>
      <c r="AP482" s="5">
        <f>data_origin!AA2811</f>
        <v>0</v>
      </c>
      <c r="AQ482" s="9">
        <f t="shared" si="56"/>
        <v>0</v>
      </c>
      <c r="AV482" t="s">
        <v>87</v>
      </c>
      <c r="AW482" s="5">
        <f>data_origin!T3525</f>
        <v>0</v>
      </c>
      <c r="AX482" s="5">
        <f>data_origin!U3525</f>
        <v>0</v>
      </c>
      <c r="AY482" s="5">
        <f>data_origin!V3525</f>
        <v>0</v>
      </c>
      <c r="AZ482" s="5">
        <f>data_origin!W3525</f>
        <v>0</v>
      </c>
      <c r="BA482" s="5">
        <f>data_origin!X3525</f>
        <v>0</v>
      </c>
      <c r="BB482" s="5">
        <f>data_origin!Y3525</f>
        <v>0</v>
      </c>
      <c r="BC482" s="5">
        <f>data_origin!Z3525</f>
        <v>0</v>
      </c>
      <c r="BD482" s="5">
        <f>data_origin!AA3525</f>
        <v>0</v>
      </c>
      <c r="BE482" s="9">
        <f t="shared" si="57"/>
        <v>0</v>
      </c>
    </row>
    <row r="483" spans="4:57" x14ac:dyDescent="0.25">
      <c r="D483" t="s">
        <v>88</v>
      </c>
      <c r="E483" s="38">
        <f t="shared" si="61"/>
        <v>0</v>
      </c>
      <c r="F483" s="38">
        <f t="shared" si="61"/>
        <v>0</v>
      </c>
      <c r="G483" s="38">
        <f t="shared" si="61"/>
        <v>30.46837189490191</v>
      </c>
      <c r="H483" s="38">
        <f t="shared" si="61"/>
        <v>32.534145252286422</v>
      </c>
      <c r="I483" s="38">
        <f t="shared" si="61"/>
        <v>11.659688964728414</v>
      </c>
      <c r="J483" s="38">
        <f t="shared" si="61"/>
        <v>4.1848787361751096</v>
      </c>
      <c r="K483" s="38">
        <f t="shared" si="61"/>
        <v>1.0186567164179106</v>
      </c>
      <c r="L483" s="38">
        <f t="shared" si="61"/>
        <v>0</v>
      </c>
      <c r="M483" s="35">
        <f t="shared" si="58"/>
        <v>79.865741564509761</v>
      </c>
      <c r="S483" t="s">
        <v>88</v>
      </c>
      <c r="T483" s="5">
        <f>data_origin!T565</f>
        <v>0</v>
      </c>
      <c r="U483" s="5">
        <f>data_origin!U565</f>
        <v>0</v>
      </c>
      <c r="V483" s="5">
        <f>data_origin!V565</f>
        <v>30.231332357247439</v>
      </c>
      <c r="W483" s="5">
        <f>data_origin!W565</f>
        <v>32.133159268929504</v>
      </c>
      <c r="X483" s="5">
        <f>data_origin!X565</f>
        <v>11.455621301775148</v>
      </c>
      <c r="Y483" s="5">
        <f>data_origin!Y565</f>
        <v>4.0999999999999996</v>
      </c>
      <c r="Z483" s="5">
        <f>data_origin!Z565</f>
        <v>1</v>
      </c>
      <c r="AA483" s="5">
        <f>data_origin!AA565</f>
        <v>0</v>
      </c>
      <c r="AB483" s="5">
        <f t="shared" si="62"/>
        <v>78.92011292795209</v>
      </c>
      <c r="AH483" t="s">
        <v>88</v>
      </c>
      <c r="AI483" s="5">
        <f>data_origin!T2812</f>
        <v>0</v>
      </c>
      <c r="AJ483" s="5">
        <f>data_origin!U2812</f>
        <v>0</v>
      </c>
      <c r="AK483" s="5">
        <f>data_origin!V2812</f>
        <v>0</v>
      </c>
      <c r="AL483" s="5">
        <f>data_origin!W2812</f>
        <v>0</v>
      </c>
      <c r="AM483" s="5">
        <f>data_origin!X2812</f>
        <v>0</v>
      </c>
      <c r="AN483" s="5">
        <f>data_origin!Y2812</f>
        <v>0</v>
      </c>
      <c r="AO483" s="5">
        <f>data_origin!Z2812</f>
        <v>0</v>
      </c>
      <c r="AP483" s="5">
        <f>data_origin!AA2812</f>
        <v>0</v>
      </c>
      <c r="AQ483" s="9">
        <f t="shared" si="56"/>
        <v>0</v>
      </c>
      <c r="AV483" t="s">
        <v>88</v>
      </c>
      <c r="AW483" s="5">
        <f>data_origin!T3526</f>
        <v>0</v>
      </c>
      <c r="AX483" s="5">
        <f>data_origin!U3526</f>
        <v>0</v>
      </c>
      <c r="AY483" s="5">
        <f>data_origin!V3526</f>
        <v>0</v>
      </c>
      <c r="AZ483" s="5">
        <f>data_origin!W3526</f>
        <v>0</v>
      </c>
      <c r="BA483" s="5">
        <f>data_origin!X3526</f>
        <v>0</v>
      </c>
      <c r="BB483" s="5">
        <f>data_origin!Y3526</f>
        <v>0</v>
      </c>
      <c r="BC483" s="5">
        <f>data_origin!Z3526</f>
        <v>0</v>
      </c>
      <c r="BD483" s="5">
        <f>data_origin!AA3526</f>
        <v>0</v>
      </c>
      <c r="BE483" s="9">
        <f t="shared" si="57"/>
        <v>0</v>
      </c>
    </row>
    <row r="484" spans="4:57" x14ac:dyDescent="0.25">
      <c r="D484" t="s">
        <v>89</v>
      </c>
      <c r="E484" s="38">
        <f t="shared" si="61"/>
        <v>0</v>
      </c>
      <c r="F484" s="38">
        <f t="shared" si="61"/>
        <v>0</v>
      </c>
      <c r="G484" s="38">
        <f t="shared" si="61"/>
        <v>2.1012670272346146</v>
      </c>
      <c r="H484" s="38">
        <f t="shared" si="61"/>
        <v>2.0989771130507364</v>
      </c>
      <c r="I484" s="38">
        <f t="shared" si="61"/>
        <v>1.0599717240662194</v>
      </c>
      <c r="J484" s="38">
        <f t="shared" si="61"/>
        <v>0</v>
      </c>
      <c r="K484" s="38">
        <f t="shared" si="61"/>
        <v>0</v>
      </c>
      <c r="L484" s="38">
        <f t="shared" si="61"/>
        <v>0</v>
      </c>
      <c r="M484" s="35">
        <f t="shared" si="58"/>
        <v>5.2602158643515704</v>
      </c>
      <c r="S484" t="s">
        <v>89</v>
      </c>
      <c r="T484" s="5">
        <f>data_origin!T566</f>
        <v>0</v>
      </c>
      <c r="U484" s="5">
        <f>data_origin!U566</f>
        <v>0</v>
      </c>
      <c r="V484" s="5">
        <f>data_origin!V566</f>
        <v>2.0849194729136165</v>
      </c>
      <c r="W484" s="5">
        <f>data_origin!W566</f>
        <v>2.073107049608355</v>
      </c>
      <c r="X484" s="5">
        <f>data_origin!X566</f>
        <v>1.0414201183431953</v>
      </c>
      <c r="Y484" s="5">
        <f>data_origin!Y566</f>
        <v>0</v>
      </c>
      <c r="Z484" s="5">
        <f>data_origin!Z566</f>
        <v>0</v>
      </c>
      <c r="AA484" s="5">
        <f>data_origin!AA566</f>
        <v>0</v>
      </c>
      <c r="AB484" s="5">
        <f t="shared" si="62"/>
        <v>5.1994466408651672</v>
      </c>
      <c r="AH484" t="s">
        <v>89</v>
      </c>
      <c r="AI484" s="5">
        <f>data_origin!T2813</f>
        <v>0</v>
      </c>
      <c r="AJ484" s="5">
        <f>data_origin!U2813</f>
        <v>0</v>
      </c>
      <c r="AK484" s="5">
        <f>data_origin!V2813</f>
        <v>0</v>
      </c>
      <c r="AL484" s="5">
        <f>data_origin!W2813</f>
        <v>0</v>
      </c>
      <c r="AM484" s="5">
        <f>data_origin!X2813</f>
        <v>0</v>
      </c>
      <c r="AN484" s="5">
        <f>data_origin!Y2813</f>
        <v>0</v>
      </c>
      <c r="AO484" s="5">
        <f>data_origin!Z2813</f>
        <v>0</v>
      </c>
      <c r="AP484" s="5">
        <f>data_origin!AA2813</f>
        <v>0</v>
      </c>
      <c r="AQ484" s="9">
        <f t="shared" ref="AQ484:AQ547" si="63">SUM(AI484:AP484)</f>
        <v>0</v>
      </c>
      <c r="AV484" t="s">
        <v>89</v>
      </c>
      <c r="AW484" s="5">
        <f>data_origin!T3527</f>
        <v>0</v>
      </c>
      <c r="AX484" s="5">
        <f>data_origin!U3527</f>
        <v>0</v>
      </c>
      <c r="AY484" s="5">
        <f>data_origin!V3527</f>
        <v>0</v>
      </c>
      <c r="AZ484" s="5">
        <f>data_origin!W3527</f>
        <v>0</v>
      </c>
      <c r="BA484" s="5">
        <f>data_origin!X3527</f>
        <v>0</v>
      </c>
      <c r="BB484" s="5">
        <f>data_origin!Y3527</f>
        <v>0</v>
      </c>
      <c r="BC484" s="5">
        <f>data_origin!Z3527</f>
        <v>0</v>
      </c>
      <c r="BD484" s="5">
        <f>data_origin!AA3527</f>
        <v>0</v>
      </c>
      <c r="BE484" s="9">
        <f t="shared" ref="BE484:BE547" si="64">SUM(AW484:BD484)</f>
        <v>0</v>
      </c>
    </row>
    <row r="485" spans="4:57" x14ac:dyDescent="0.25">
      <c r="D485" t="s">
        <v>90</v>
      </c>
      <c r="E485" s="38">
        <f t="shared" si="61"/>
        <v>0</v>
      </c>
      <c r="F485" s="38">
        <f t="shared" si="61"/>
        <v>0</v>
      </c>
      <c r="G485" s="38">
        <f t="shared" si="61"/>
        <v>0</v>
      </c>
      <c r="H485" s="38">
        <f t="shared" si="61"/>
        <v>0</v>
      </c>
      <c r="I485" s="38">
        <f t="shared" si="61"/>
        <v>0</v>
      </c>
      <c r="J485" s="38">
        <f t="shared" si="61"/>
        <v>1.0462196840437774</v>
      </c>
      <c r="K485" s="38">
        <f t="shared" si="61"/>
        <v>0</v>
      </c>
      <c r="L485" s="38">
        <f t="shared" si="61"/>
        <v>0</v>
      </c>
      <c r="M485" s="35">
        <f t="shared" si="58"/>
        <v>1.0462196840437774</v>
      </c>
      <c r="S485" t="s">
        <v>90</v>
      </c>
      <c r="T485" s="5">
        <f>data_origin!T567</f>
        <v>0</v>
      </c>
      <c r="U485" s="5">
        <f>data_origin!U567</f>
        <v>0</v>
      </c>
      <c r="V485" s="5">
        <f>data_origin!V567</f>
        <v>0</v>
      </c>
      <c r="W485" s="5">
        <f>data_origin!W567</f>
        <v>0</v>
      </c>
      <c r="X485" s="5">
        <f>data_origin!X567</f>
        <v>0</v>
      </c>
      <c r="Y485" s="5">
        <f>data_origin!Y567</f>
        <v>1.0249999999999999</v>
      </c>
      <c r="Z485" s="5">
        <f>data_origin!Z567</f>
        <v>0</v>
      </c>
      <c r="AA485" s="5">
        <f>data_origin!AA567</f>
        <v>0</v>
      </c>
      <c r="AB485" s="5">
        <f t="shared" si="62"/>
        <v>1.0249999999999999</v>
      </c>
      <c r="AH485" t="s">
        <v>90</v>
      </c>
      <c r="AI485" s="5">
        <f>data_origin!T2814</f>
        <v>0</v>
      </c>
      <c r="AJ485" s="5">
        <f>data_origin!U2814</f>
        <v>0</v>
      </c>
      <c r="AK485" s="5">
        <f>data_origin!V2814</f>
        <v>0</v>
      </c>
      <c r="AL485" s="5">
        <f>data_origin!W2814</f>
        <v>0</v>
      </c>
      <c r="AM485" s="5">
        <f>data_origin!X2814</f>
        <v>0</v>
      </c>
      <c r="AN485" s="5">
        <f>data_origin!Y2814</f>
        <v>0</v>
      </c>
      <c r="AO485" s="5">
        <f>data_origin!Z2814</f>
        <v>0</v>
      </c>
      <c r="AP485" s="5">
        <f>data_origin!AA2814</f>
        <v>0</v>
      </c>
      <c r="AQ485" s="9">
        <f t="shared" si="63"/>
        <v>0</v>
      </c>
      <c r="AV485" t="s">
        <v>90</v>
      </c>
      <c r="AW485" s="5">
        <f>data_origin!T3528</f>
        <v>0</v>
      </c>
      <c r="AX485" s="5">
        <f>data_origin!U3528</f>
        <v>0</v>
      </c>
      <c r="AY485" s="5">
        <f>data_origin!V3528</f>
        <v>0</v>
      </c>
      <c r="AZ485" s="5">
        <f>data_origin!W3528</f>
        <v>0</v>
      </c>
      <c r="BA485" s="5">
        <f>data_origin!X3528</f>
        <v>0</v>
      </c>
      <c r="BB485" s="5">
        <f>data_origin!Y3528</f>
        <v>0</v>
      </c>
      <c r="BC485" s="5">
        <f>data_origin!Z3528</f>
        <v>0</v>
      </c>
      <c r="BD485" s="5">
        <f>data_origin!AA3528</f>
        <v>0</v>
      </c>
      <c r="BE485" s="9">
        <f t="shared" si="64"/>
        <v>0</v>
      </c>
    </row>
    <row r="486" spans="4:57" x14ac:dyDescent="0.25">
      <c r="D486" t="s">
        <v>91</v>
      </c>
      <c r="E486" s="38">
        <f t="shared" si="61"/>
        <v>0</v>
      </c>
      <c r="F486" s="38">
        <f t="shared" si="61"/>
        <v>0</v>
      </c>
      <c r="G486" s="38">
        <f t="shared" si="61"/>
        <v>0</v>
      </c>
      <c r="H486" s="38">
        <f t="shared" si="61"/>
        <v>0</v>
      </c>
      <c r="I486" s="38">
        <f t="shared" si="61"/>
        <v>0</v>
      </c>
      <c r="J486" s="38">
        <f t="shared" si="61"/>
        <v>0</v>
      </c>
      <c r="K486" s="38">
        <f t="shared" si="61"/>
        <v>0</v>
      </c>
      <c r="L486" s="38">
        <f t="shared" si="61"/>
        <v>0</v>
      </c>
      <c r="M486" s="35">
        <f t="shared" si="58"/>
        <v>0</v>
      </c>
      <c r="S486" t="s">
        <v>91</v>
      </c>
      <c r="T486" s="5">
        <f>data_origin!T568</f>
        <v>0</v>
      </c>
      <c r="U486" s="5">
        <f>data_origin!U568</f>
        <v>0</v>
      </c>
      <c r="V486" s="5">
        <f>data_origin!V568</f>
        <v>0</v>
      </c>
      <c r="W486" s="5">
        <f>data_origin!W568</f>
        <v>0</v>
      </c>
      <c r="X486" s="5">
        <f>data_origin!X568</f>
        <v>0</v>
      </c>
      <c r="Y486" s="5">
        <f>data_origin!Y568</f>
        <v>0</v>
      </c>
      <c r="Z486" s="5">
        <f>data_origin!Z568</f>
        <v>0</v>
      </c>
      <c r="AA486" s="5">
        <f>data_origin!AA568</f>
        <v>0</v>
      </c>
      <c r="AB486" s="5">
        <f t="shared" si="62"/>
        <v>0</v>
      </c>
      <c r="AH486" t="s">
        <v>91</v>
      </c>
      <c r="AI486" s="5">
        <f>data_origin!T2815</f>
        <v>0</v>
      </c>
      <c r="AJ486" s="5">
        <f>data_origin!U2815</f>
        <v>0</v>
      </c>
      <c r="AK486" s="5">
        <f>data_origin!V2815</f>
        <v>0</v>
      </c>
      <c r="AL486" s="5">
        <f>data_origin!W2815</f>
        <v>0</v>
      </c>
      <c r="AM486" s="5">
        <f>data_origin!X2815</f>
        <v>0</v>
      </c>
      <c r="AN486" s="5">
        <f>data_origin!Y2815</f>
        <v>0</v>
      </c>
      <c r="AO486" s="5">
        <f>data_origin!Z2815</f>
        <v>0</v>
      </c>
      <c r="AP486" s="5">
        <f>data_origin!AA2815</f>
        <v>0</v>
      </c>
      <c r="AQ486" s="9">
        <f t="shared" si="63"/>
        <v>0</v>
      </c>
      <c r="AV486" t="s">
        <v>91</v>
      </c>
      <c r="AW486" s="5">
        <f>data_origin!T3529</f>
        <v>0</v>
      </c>
      <c r="AX486" s="5">
        <f>data_origin!U3529</f>
        <v>0</v>
      </c>
      <c r="AY486" s="5">
        <f>data_origin!V3529</f>
        <v>0</v>
      </c>
      <c r="AZ486" s="5">
        <f>data_origin!W3529</f>
        <v>0</v>
      </c>
      <c r="BA486" s="5">
        <f>data_origin!X3529</f>
        <v>0</v>
      </c>
      <c r="BB486" s="5">
        <f>data_origin!Y3529</f>
        <v>0</v>
      </c>
      <c r="BC486" s="5">
        <f>data_origin!Z3529</f>
        <v>0</v>
      </c>
      <c r="BD486" s="5">
        <f>data_origin!AA3529</f>
        <v>0</v>
      </c>
      <c r="BE486" s="9">
        <f t="shared" si="64"/>
        <v>0</v>
      </c>
    </row>
    <row r="487" spans="4:57" x14ac:dyDescent="0.25">
      <c r="D487" t="s">
        <v>92</v>
      </c>
      <c r="E487" s="38">
        <f t="shared" si="61"/>
        <v>0</v>
      </c>
      <c r="F487" s="38">
        <f t="shared" si="61"/>
        <v>0</v>
      </c>
      <c r="G487" s="38">
        <f t="shared" si="61"/>
        <v>0</v>
      </c>
      <c r="H487" s="38">
        <f t="shared" si="61"/>
        <v>0</v>
      </c>
      <c r="I487" s="38">
        <f t="shared" si="61"/>
        <v>0</v>
      </c>
      <c r="J487" s="38">
        <f t="shared" si="61"/>
        <v>0</v>
      </c>
      <c r="K487" s="38">
        <f t="shared" si="61"/>
        <v>0</v>
      </c>
      <c r="L487" s="38">
        <f t="shared" si="61"/>
        <v>0</v>
      </c>
      <c r="M487" s="35">
        <f t="shared" si="58"/>
        <v>0</v>
      </c>
      <c r="S487" t="s">
        <v>92</v>
      </c>
      <c r="T487" s="5">
        <f>data_origin!T569</f>
        <v>0</v>
      </c>
      <c r="U487" s="5">
        <f>data_origin!U569</f>
        <v>0</v>
      </c>
      <c r="V487" s="5">
        <f>data_origin!V569</f>
        <v>0</v>
      </c>
      <c r="W487" s="5">
        <f>data_origin!W569</f>
        <v>0</v>
      </c>
      <c r="X487" s="5">
        <f>data_origin!X569</f>
        <v>0</v>
      </c>
      <c r="Y487" s="5">
        <f>data_origin!Y569</f>
        <v>0</v>
      </c>
      <c r="Z487" s="5">
        <f>data_origin!Z569</f>
        <v>0</v>
      </c>
      <c r="AA487" s="5">
        <f>data_origin!AA569</f>
        <v>0</v>
      </c>
      <c r="AB487" s="5">
        <f t="shared" si="62"/>
        <v>0</v>
      </c>
      <c r="AH487" t="s">
        <v>92</v>
      </c>
      <c r="AI487" s="5">
        <f>data_origin!T2816</f>
        <v>0</v>
      </c>
      <c r="AJ487" s="5">
        <f>data_origin!U2816</f>
        <v>0</v>
      </c>
      <c r="AK487" s="5">
        <f>data_origin!V2816</f>
        <v>0</v>
      </c>
      <c r="AL487" s="5">
        <f>data_origin!W2816</f>
        <v>0</v>
      </c>
      <c r="AM487" s="5">
        <f>data_origin!X2816</f>
        <v>0</v>
      </c>
      <c r="AN487" s="5">
        <f>data_origin!Y2816</f>
        <v>0</v>
      </c>
      <c r="AO487" s="5">
        <f>data_origin!Z2816</f>
        <v>0</v>
      </c>
      <c r="AP487" s="5">
        <f>data_origin!AA2816</f>
        <v>0</v>
      </c>
      <c r="AQ487" s="9">
        <f t="shared" si="63"/>
        <v>0</v>
      </c>
      <c r="AV487" t="s">
        <v>92</v>
      </c>
      <c r="AW487" s="5">
        <f>data_origin!T3530</f>
        <v>0</v>
      </c>
      <c r="AX487" s="5">
        <f>data_origin!U3530</f>
        <v>0</v>
      </c>
      <c r="AY487" s="5">
        <f>data_origin!V3530</f>
        <v>0</v>
      </c>
      <c r="AZ487" s="5">
        <f>data_origin!W3530</f>
        <v>0</v>
      </c>
      <c r="BA487" s="5">
        <f>data_origin!X3530</f>
        <v>0</v>
      </c>
      <c r="BB487" s="5">
        <f>data_origin!Y3530</f>
        <v>0</v>
      </c>
      <c r="BC487" s="5">
        <f>data_origin!Z3530</f>
        <v>0</v>
      </c>
      <c r="BD487" s="5">
        <f>data_origin!AA3530</f>
        <v>0</v>
      </c>
      <c r="BE487" s="9">
        <f t="shared" si="64"/>
        <v>0</v>
      </c>
    </row>
    <row r="488" spans="4:57" x14ac:dyDescent="0.25">
      <c r="D488" t="s">
        <v>93</v>
      </c>
      <c r="E488" s="38">
        <f t="shared" si="61"/>
        <v>0</v>
      </c>
      <c r="F488" s="38">
        <f t="shared" si="61"/>
        <v>0</v>
      </c>
      <c r="G488" s="38">
        <f t="shared" si="61"/>
        <v>0</v>
      </c>
      <c r="H488" s="38">
        <f t="shared" si="61"/>
        <v>0</v>
      </c>
      <c r="I488" s="38">
        <f t="shared" si="61"/>
        <v>0</v>
      </c>
      <c r="J488" s="38">
        <f t="shared" si="61"/>
        <v>0</v>
      </c>
      <c r="K488" s="38">
        <f t="shared" si="61"/>
        <v>0</v>
      </c>
      <c r="L488" s="38">
        <f t="shared" si="61"/>
        <v>0</v>
      </c>
      <c r="M488" s="35">
        <f t="shared" si="58"/>
        <v>0</v>
      </c>
      <c r="S488" t="s">
        <v>93</v>
      </c>
      <c r="T488" s="5">
        <f>data_origin!T570</f>
        <v>0</v>
      </c>
      <c r="U488" s="5">
        <f>data_origin!U570</f>
        <v>0</v>
      </c>
      <c r="V488" s="5">
        <f>data_origin!V570</f>
        <v>0</v>
      </c>
      <c r="W488" s="5">
        <f>data_origin!W570</f>
        <v>0</v>
      </c>
      <c r="X488" s="5">
        <f>data_origin!X570</f>
        <v>0</v>
      </c>
      <c r="Y488" s="5">
        <f>data_origin!Y570</f>
        <v>0</v>
      </c>
      <c r="Z488" s="5">
        <f>data_origin!Z570</f>
        <v>0</v>
      </c>
      <c r="AA488" s="5">
        <f>data_origin!AA570</f>
        <v>0</v>
      </c>
      <c r="AB488" s="5">
        <f t="shared" si="62"/>
        <v>0</v>
      </c>
      <c r="AH488" t="s">
        <v>93</v>
      </c>
      <c r="AI488" s="5">
        <f>data_origin!T2817</f>
        <v>0</v>
      </c>
      <c r="AJ488" s="5">
        <f>data_origin!U2817</f>
        <v>0</v>
      </c>
      <c r="AK488" s="5">
        <f>data_origin!V2817</f>
        <v>0</v>
      </c>
      <c r="AL488" s="5">
        <f>data_origin!W2817</f>
        <v>0</v>
      </c>
      <c r="AM488" s="5">
        <f>data_origin!X2817</f>
        <v>0</v>
      </c>
      <c r="AN488" s="5">
        <f>data_origin!Y2817</f>
        <v>0</v>
      </c>
      <c r="AO488" s="5">
        <f>data_origin!Z2817</f>
        <v>0</v>
      </c>
      <c r="AP488" s="5">
        <f>data_origin!AA2817</f>
        <v>0</v>
      </c>
      <c r="AQ488" s="9">
        <f t="shared" si="63"/>
        <v>0</v>
      </c>
      <c r="AV488" t="s">
        <v>93</v>
      </c>
      <c r="AW488" s="5">
        <f>data_origin!T3531</f>
        <v>0</v>
      </c>
      <c r="AX488" s="5">
        <f>data_origin!U3531</f>
        <v>0</v>
      </c>
      <c r="AY488" s="5">
        <f>data_origin!V3531</f>
        <v>0</v>
      </c>
      <c r="AZ488" s="5">
        <f>data_origin!W3531</f>
        <v>0</v>
      </c>
      <c r="BA488" s="5">
        <f>data_origin!X3531</f>
        <v>0</v>
      </c>
      <c r="BB488" s="5">
        <f>data_origin!Y3531</f>
        <v>0</v>
      </c>
      <c r="BC488" s="5">
        <f>data_origin!Z3531</f>
        <v>0</v>
      </c>
      <c r="BD488" s="5">
        <f>data_origin!AA3531</f>
        <v>0</v>
      </c>
      <c r="BE488" s="9">
        <f t="shared" si="64"/>
        <v>0</v>
      </c>
    </row>
    <row r="489" spans="4:57" x14ac:dyDescent="0.25">
      <c r="D489" t="s">
        <v>94</v>
      </c>
      <c r="E489" s="38">
        <f t="shared" si="61"/>
        <v>0</v>
      </c>
      <c r="F489" s="38">
        <f t="shared" si="61"/>
        <v>0</v>
      </c>
      <c r="G489" s="38">
        <f t="shared" si="61"/>
        <v>0</v>
      </c>
      <c r="H489" s="38">
        <f t="shared" si="61"/>
        <v>0</v>
      </c>
      <c r="I489" s="38">
        <f t="shared" si="61"/>
        <v>0</v>
      </c>
      <c r="J489" s="38">
        <f t="shared" si="61"/>
        <v>0</v>
      </c>
      <c r="K489" s="38">
        <f t="shared" si="61"/>
        <v>0</v>
      </c>
      <c r="L489" s="38">
        <f t="shared" si="61"/>
        <v>0</v>
      </c>
      <c r="M489" s="35">
        <f t="shared" si="58"/>
        <v>0</v>
      </c>
      <c r="S489" t="s">
        <v>94</v>
      </c>
      <c r="T489" s="5">
        <f>data_origin!T571</f>
        <v>0</v>
      </c>
      <c r="U489" s="5">
        <f>data_origin!U571</f>
        <v>0</v>
      </c>
      <c r="V489" s="5">
        <f>data_origin!V571</f>
        <v>0</v>
      </c>
      <c r="W489" s="5">
        <f>data_origin!W571</f>
        <v>0</v>
      </c>
      <c r="X489" s="5">
        <f>data_origin!X571</f>
        <v>0</v>
      </c>
      <c r="Y489" s="5">
        <f>data_origin!Y571</f>
        <v>0</v>
      </c>
      <c r="Z489" s="5">
        <f>data_origin!Z571</f>
        <v>0</v>
      </c>
      <c r="AA489" s="5">
        <f>data_origin!AA571</f>
        <v>0</v>
      </c>
      <c r="AB489" s="5">
        <f t="shared" si="62"/>
        <v>0</v>
      </c>
      <c r="AH489" t="s">
        <v>94</v>
      </c>
      <c r="AI489" s="5">
        <f>data_origin!T2818</f>
        <v>0</v>
      </c>
      <c r="AJ489" s="5">
        <f>data_origin!U2818</f>
        <v>0</v>
      </c>
      <c r="AK489" s="5">
        <f>data_origin!V2818</f>
        <v>0</v>
      </c>
      <c r="AL489" s="5">
        <f>data_origin!W2818</f>
        <v>0</v>
      </c>
      <c r="AM489" s="5">
        <f>data_origin!X2818</f>
        <v>0</v>
      </c>
      <c r="AN489" s="5">
        <f>data_origin!Y2818</f>
        <v>0</v>
      </c>
      <c r="AO489" s="5">
        <f>data_origin!Z2818</f>
        <v>0</v>
      </c>
      <c r="AP489" s="5">
        <f>data_origin!AA2818</f>
        <v>0</v>
      </c>
      <c r="AQ489" s="9">
        <f t="shared" si="63"/>
        <v>0</v>
      </c>
      <c r="AV489" t="s">
        <v>94</v>
      </c>
      <c r="AW489" s="5">
        <f>data_origin!T3532</f>
        <v>0</v>
      </c>
      <c r="AX489" s="5">
        <f>data_origin!U3532</f>
        <v>0</v>
      </c>
      <c r="AY489" s="5">
        <f>data_origin!V3532</f>
        <v>0</v>
      </c>
      <c r="AZ489" s="5">
        <f>data_origin!W3532</f>
        <v>0</v>
      </c>
      <c r="BA489" s="5">
        <f>data_origin!X3532</f>
        <v>0</v>
      </c>
      <c r="BB489" s="5">
        <f>data_origin!Y3532</f>
        <v>0</v>
      </c>
      <c r="BC489" s="5">
        <f>data_origin!Z3532</f>
        <v>0</v>
      </c>
      <c r="BD489" s="5">
        <f>data_origin!AA3532</f>
        <v>0</v>
      </c>
      <c r="BE489" s="9">
        <f t="shared" si="64"/>
        <v>0</v>
      </c>
    </row>
    <row r="490" spans="4:57" x14ac:dyDescent="0.25">
      <c r="D490" t="s">
        <v>95</v>
      </c>
      <c r="E490" s="38">
        <f t="shared" si="61"/>
        <v>0</v>
      </c>
      <c r="F490" s="38">
        <f t="shared" si="61"/>
        <v>0</v>
      </c>
      <c r="G490" s="38">
        <f t="shared" si="61"/>
        <v>0</v>
      </c>
      <c r="H490" s="38">
        <f t="shared" si="61"/>
        <v>0</v>
      </c>
      <c r="I490" s="38">
        <f t="shared" si="61"/>
        <v>0</v>
      </c>
      <c r="J490" s="38">
        <f t="shared" si="61"/>
        <v>0</v>
      </c>
      <c r="K490" s="38">
        <f t="shared" si="61"/>
        <v>0</v>
      </c>
      <c r="L490" s="38">
        <f t="shared" si="61"/>
        <v>0</v>
      </c>
      <c r="M490" s="35">
        <f t="shared" si="58"/>
        <v>0</v>
      </c>
      <c r="S490" t="s">
        <v>95</v>
      </c>
      <c r="T490" s="5">
        <f>data_origin!T572</f>
        <v>0</v>
      </c>
      <c r="U490" s="5">
        <f>data_origin!U572</f>
        <v>0</v>
      </c>
      <c r="V490" s="5">
        <f>data_origin!V572</f>
        <v>0</v>
      </c>
      <c r="W490" s="5">
        <f>data_origin!W572</f>
        <v>0</v>
      </c>
      <c r="X490" s="5">
        <f>data_origin!X572</f>
        <v>0</v>
      </c>
      <c r="Y490" s="5">
        <f>data_origin!Y572</f>
        <v>0</v>
      </c>
      <c r="Z490" s="5">
        <f>data_origin!Z572</f>
        <v>0</v>
      </c>
      <c r="AA490" s="5">
        <f>data_origin!AA572</f>
        <v>0</v>
      </c>
      <c r="AB490" s="5">
        <f t="shared" si="62"/>
        <v>0</v>
      </c>
      <c r="AH490" t="s">
        <v>95</v>
      </c>
      <c r="AI490" s="5">
        <f>data_origin!T2819</f>
        <v>0</v>
      </c>
      <c r="AJ490" s="5">
        <f>data_origin!U2819</f>
        <v>0</v>
      </c>
      <c r="AK490" s="5">
        <f>data_origin!V2819</f>
        <v>0</v>
      </c>
      <c r="AL490" s="5">
        <f>data_origin!W2819</f>
        <v>0</v>
      </c>
      <c r="AM490" s="5">
        <f>data_origin!X2819</f>
        <v>0</v>
      </c>
      <c r="AN490" s="5">
        <f>data_origin!Y2819</f>
        <v>0</v>
      </c>
      <c r="AO490" s="5">
        <f>data_origin!Z2819</f>
        <v>0</v>
      </c>
      <c r="AP490" s="5">
        <f>data_origin!AA2819</f>
        <v>0</v>
      </c>
      <c r="AQ490" s="9">
        <f t="shared" si="63"/>
        <v>0</v>
      </c>
      <c r="AV490" t="s">
        <v>95</v>
      </c>
      <c r="AW490" s="5">
        <f>data_origin!T3533</f>
        <v>0</v>
      </c>
      <c r="AX490" s="5">
        <f>data_origin!U3533</f>
        <v>0</v>
      </c>
      <c r="AY490" s="5">
        <f>data_origin!V3533</f>
        <v>0</v>
      </c>
      <c r="AZ490" s="5">
        <f>data_origin!W3533</f>
        <v>0</v>
      </c>
      <c r="BA490" s="5">
        <f>data_origin!X3533</f>
        <v>0</v>
      </c>
      <c r="BB490" s="5">
        <f>data_origin!Y3533</f>
        <v>0</v>
      </c>
      <c r="BC490" s="5">
        <f>data_origin!Z3533</f>
        <v>0</v>
      </c>
      <c r="BD490" s="5">
        <f>data_origin!AA3533</f>
        <v>0</v>
      </c>
      <c r="BE490" s="9">
        <f t="shared" si="64"/>
        <v>0</v>
      </c>
    </row>
    <row r="491" spans="4:57" x14ac:dyDescent="0.25">
      <c r="D491" t="s">
        <v>96</v>
      </c>
      <c r="E491" s="38">
        <f t="shared" si="61"/>
        <v>0</v>
      </c>
      <c r="F491" s="38">
        <f t="shared" si="61"/>
        <v>0</v>
      </c>
      <c r="G491" s="38">
        <f t="shared" si="61"/>
        <v>0</v>
      </c>
      <c r="H491" s="38">
        <f t="shared" si="61"/>
        <v>0</v>
      </c>
      <c r="I491" s="38">
        <f t="shared" si="61"/>
        <v>0</v>
      </c>
      <c r="J491" s="38">
        <f t="shared" si="61"/>
        <v>0</v>
      </c>
      <c r="K491" s="38">
        <f t="shared" si="61"/>
        <v>0</v>
      </c>
      <c r="L491" s="38">
        <f t="shared" si="61"/>
        <v>0</v>
      </c>
      <c r="M491" s="35">
        <f t="shared" si="58"/>
        <v>0</v>
      </c>
      <c r="S491" t="s">
        <v>96</v>
      </c>
      <c r="T491" s="5">
        <f>data_origin!T573</f>
        <v>0</v>
      </c>
      <c r="U491" s="5">
        <f>data_origin!U573</f>
        <v>0</v>
      </c>
      <c r="V491" s="5">
        <f>data_origin!V573</f>
        <v>0</v>
      </c>
      <c r="W491" s="5">
        <f>data_origin!W573</f>
        <v>0</v>
      </c>
      <c r="X491" s="5">
        <f>data_origin!X573</f>
        <v>0</v>
      </c>
      <c r="Y491" s="5">
        <f>data_origin!Y573</f>
        <v>0</v>
      </c>
      <c r="Z491" s="5">
        <f>data_origin!Z573</f>
        <v>0</v>
      </c>
      <c r="AA491" s="5">
        <f>data_origin!AA573</f>
        <v>0</v>
      </c>
      <c r="AB491" s="5">
        <f t="shared" si="62"/>
        <v>0</v>
      </c>
      <c r="AH491" t="s">
        <v>96</v>
      </c>
      <c r="AI491" s="5">
        <f>data_origin!T2820</f>
        <v>0</v>
      </c>
      <c r="AJ491" s="5">
        <f>data_origin!U2820</f>
        <v>0</v>
      </c>
      <c r="AK491" s="5">
        <f>data_origin!V2820</f>
        <v>0</v>
      </c>
      <c r="AL491" s="5">
        <f>data_origin!W2820</f>
        <v>0</v>
      </c>
      <c r="AM491" s="5">
        <f>data_origin!X2820</f>
        <v>0</v>
      </c>
      <c r="AN491" s="5">
        <f>data_origin!Y2820</f>
        <v>0</v>
      </c>
      <c r="AO491" s="5">
        <f>data_origin!Z2820</f>
        <v>0</v>
      </c>
      <c r="AP491" s="5">
        <f>data_origin!AA2820</f>
        <v>0</v>
      </c>
      <c r="AQ491" s="9">
        <f t="shared" si="63"/>
        <v>0</v>
      </c>
      <c r="AV491" t="s">
        <v>96</v>
      </c>
      <c r="AW491" s="5">
        <f>data_origin!T3534</f>
        <v>0</v>
      </c>
      <c r="AX491" s="5">
        <f>data_origin!U3534</f>
        <v>0</v>
      </c>
      <c r="AY491" s="5">
        <f>data_origin!V3534</f>
        <v>0</v>
      </c>
      <c r="AZ491" s="5">
        <f>data_origin!W3534</f>
        <v>0</v>
      </c>
      <c r="BA491" s="5">
        <f>data_origin!X3534</f>
        <v>0</v>
      </c>
      <c r="BB491" s="5">
        <f>data_origin!Y3534</f>
        <v>0</v>
      </c>
      <c r="BC491" s="5">
        <f>data_origin!Z3534</f>
        <v>0</v>
      </c>
      <c r="BD491" s="5">
        <f>data_origin!AA3534</f>
        <v>0</v>
      </c>
      <c r="BE491" s="9">
        <f t="shared" si="64"/>
        <v>0</v>
      </c>
    </row>
    <row r="492" spans="4:57" x14ac:dyDescent="0.25">
      <c r="D492" t="s">
        <v>97</v>
      </c>
      <c r="E492" s="38">
        <f t="shared" si="61"/>
        <v>0</v>
      </c>
      <c r="F492" s="38">
        <f t="shared" si="61"/>
        <v>0</v>
      </c>
      <c r="G492" s="38">
        <f t="shared" si="61"/>
        <v>0</v>
      </c>
      <c r="H492" s="38">
        <f t="shared" si="61"/>
        <v>0</v>
      </c>
      <c r="I492" s="38">
        <f t="shared" si="61"/>
        <v>0</v>
      </c>
      <c r="J492" s="38">
        <f t="shared" si="61"/>
        <v>0</v>
      </c>
      <c r="K492" s="38">
        <f t="shared" si="61"/>
        <v>0</v>
      </c>
      <c r="L492" s="38">
        <f t="shared" si="61"/>
        <v>0</v>
      </c>
      <c r="M492" s="35">
        <f t="shared" si="58"/>
        <v>0</v>
      </c>
      <c r="S492" t="s">
        <v>97</v>
      </c>
      <c r="T492" s="5">
        <f>data_origin!T574</f>
        <v>0</v>
      </c>
      <c r="U492" s="5">
        <f>data_origin!U574</f>
        <v>0</v>
      </c>
      <c r="V492" s="5">
        <f>data_origin!V574</f>
        <v>0</v>
      </c>
      <c r="W492" s="5">
        <f>data_origin!W574</f>
        <v>0</v>
      </c>
      <c r="X492" s="5">
        <f>data_origin!X574</f>
        <v>0</v>
      </c>
      <c r="Y492" s="5">
        <f>data_origin!Y574</f>
        <v>0</v>
      </c>
      <c r="Z492" s="5">
        <f>data_origin!Z574</f>
        <v>0</v>
      </c>
      <c r="AA492" s="5">
        <f>data_origin!AA574</f>
        <v>0</v>
      </c>
      <c r="AB492" s="5">
        <f t="shared" si="62"/>
        <v>0</v>
      </c>
      <c r="AH492" t="s">
        <v>97</v>
      </c>
      <c r="AI492" s="5">
        <f>data_origin!T2821</f>
        <v>0</v>
      </c>
      <c r="AJ492" s="5">
        <f>data_origin!U2821</f>
        <v>0</v>
      </c>
      <c r="AK492" s="5">
        <f>data_origin!V2821</f>
        <v>0</v>
      </c>
      <c r="AL492" s="5">
        <f>data_origin!W2821</f>
        <v>0</v>
      </c>
      <c r="AM492" s="5">
        <f>data_origin!X2821</f>
        <v>0</v>
      </c>
      <c r="AN492" s="5">
        <f>data_origin!Y2821</f>
        <v>0</v>
      </c>
      <c r="AO492" s="5">
        <f>data_origin!Z2821</f>
        <v>0</v>
      </c>
      <c r="AP492" s="5">
        <f>data_origin!AA2821</f>
        <v>0</v>
      </c>
      <c r="AQ492" s="9">
        <f t="shared" si="63"/>
        <v>0</v>
      </c>
      <c r="AV492" t="s">
        <v>97</v>
      </c>
      <c r="AW492" s="5">
        <f>data_origin!T3535</f>
        <v>0</v>
      </c>
      <c r="AX492" s="5">
        <f>data_origin!U3535</f>
        <v>0</v>
      </c>
      <c r="AY492" s="5">
        <f>data_origin!V3535</f>
        <v>0</v>
      </c>
      <c r="AZ492" s="5">
        <f>data_origin!W3535</f>
        <v>0</v>
      </c>
      <c r="BA492" s="5">
        <f>data_origin!X3535</f>
        <v>0</v>
      </c>
      <c r="BB492" s="5">
        <f>data_origin!Y3535</f>
        <v>0</v>
      </c>
      <c r="BC492" s="5">
        <f>data_origin!Z3535</f>
        <v>0</v>
      </c>
      <c r="BD492" s="5">
        <f>data_origin!AA3535</f>
        <v>0</v>
      </c>
      <c r="BE492" s="9">
        <f t="shared" si="64"/>
        <v>0</v>
      </c>
    </row>
    <row r="493" spans="4:57" x14ac:dyDescent="0.25">
      <c r="D493" t="s">
        <v>98</v>
      </c>
      <c r="E493" s="38">
        <f t="shared" si="61"/>
        <v>0</v>
      </c>
      <c r="F493" s="38">
        <f t="shared" si="61"/>
        <v>0</v>
      </c>
      <c r="G493" s="38">
        <f t="shared" si="61"/>
        <v>0</v>
      </c>
      <c r="H493" s="38">
        <f t="shared" si="61"/>
        <v>0</v>
      </c>
      <c r="I493" s="38">
        <f t="shared" si="61"/>
        <v>2.1199434481324388</v>
      </c>
      <c r="J493" s="38">
        <f t="shared" si="61"/>
        <v>0</v>
      </c>
      <c r="K493" s="38">
        <f t="shared" si="61"/>
        <v>0</v>
      </c>
      <c r="L493" s="38">
        <f t="shared" si="61"/>
        <v>0</v>
      </c>
      <c r="M493" s="35">
        <f t="shared" si="58"/>
        <v>2.1199434481324388</v>
      </c>
      <c r="S493" t="s">
        <v>98</v>
      </c>
      <c r="T493" s="5">
        <f>data_origin!T575</f>
        <v>0</v>
      </c>
      <c r="U493" s="5">
        <f>data_origin!U575</f>
        <v>0</v>
      </c>
      <c r="V493" s="5">
        <f>data_origin!V575</f>
        <v>0</v>
      </c>
      <c r="W493" s="5">
        <f>data_origin!W575</f>
        <v>0</v>
      </c>
      <c r="X493" s="5">
        <f>data_origin!X575</f>
        <v>2.0828402366863905</v>
      </c>
      <c r="Y493" s="5">
        <f>data_origin!Y575</f>
        <v>0</v>
      </c>
      <c r="Z493" s="5">
        <f>data_origin!Z575</f>
        <v>0</v>
      </c>
      <c r="AA493" s="5">
        <f>data_origin!AA575</f>
        <v>0</v>
      </c>
      <c r="AB493" s="5">
        <f t="shared" si="62"/>
        <v>2.0828402366863905</v>
      </c>
      <c r="AH493" t="s">
        <v>98</v>
      </c>
      <c r="AI493" s="5">
        <f>data_origin!T2822</f>
        <v>0</v>
      </c>
      <c r="AJ493" s="5">
        <f>data_origin!U2822</f>
        <v>0</v>
      </c>
      <c r="AK493" s="5">
        <f>data_origin!V2822</f>
        <v>0</v>
      </c>
      <c r="AL493" s="5">
        <f>data_origin!W2822</f>
        <v>0</v>
      </c>
      <c r="AM493" s="5">
        <f>data_origin!X2822</f>
        <v>0</v>
      </c>
      <c r="AN493" s="5">
        <f>data_origin!Y2822</f>
        <v>0</v>
      </c>
      <c r="AO493" s="5">
        <f>data_origin!Z2822</f>
        <v>0</v>
      </c>
      <c r="AP493" s="5">
        <f>data_origin!AA2822</f>
        <v>0</v>
      </c>
      <c r="AQ493" s="9">
        <f t="shared" si="63"/>
        <v>0</v>
      </c>
      <c r="AV493" t="s">
        <v>98</v>
      </c>
      <c r="AW493" s="5">
        <f>data_origin!T3536</f>
        <v>0</v>
      </c>
      <c r="AX493" s="5">
        <f>data_origin!U3536</f>
        <v>0</v>
      </c>
      <c r="AY493" s="5">
        <f>data_origin!V3536</f>
        <v>0</v>
      </c>
      <c r="AZ493" s="5">
        <f>data_origin!W3536</f>
        <v>0</v>
      </c>
      <c r="BA493" s="5">
        <f>data_origin!X3536</f>
        <v>0</v>
      </c>
      <c r="BB493" s="5">
        <f>data_origin!Y3536</f>
        <v>0</v>
      </c>
      <c r="BC493" s="5">
        <f>data_origin!Z3536</f>
        <v>0</v>
      </c>
      <c r="BD493" s="5">
        <f>data_origin!AA3536</f>
        <v>0</v>
      </c>
      <c r="BE493" s="9">
        <f t="shared" si="64"/>
        <v>0</v>
      </c>
    </row>
    <row r="494" spans="4:57" x14ac:dyDescent="0.25">
      <c r="D494" t="s">
        <v>119</v>
      </c>
      <c r="E494" s="38">
        <f t="shared" si="61"/>
        <v>0</v>
      </c>
      <c r="F494" s="38">
        <f t="shared" si="61"/>
        <v>0</v>
      </c>
      <c r="G494" s="38">
        <f t="shared" si="61"/>
        <v>0</v>
      </c>
      <c r="H494" s="38">
        <f t="shared" si="61"/>
        <v>0</v>
      </c>
      <c r="I494" s="38">
        <f t="shared" si="61"/>
        <v>1.0599717240662194</v>
      </c>
      <c r="J494" s="38">
        <f t="shared" si="61"/>
        <v>0</v>
      </c>
      <c r="K494" s="38">
        <f t="shared" si="61"/>
        <v>0</v>
      </c>
      <c r="L494" s="38">
        <f t="shared" si="61"/>
        <v>0</v>
      </c>
      <c r="M494" s="35">
        <f t="shared" si="58"/>
        <v>1.0599717240662194</v>
      </c>
      <c r="S494" t="s">
        <v>119</v>
      </c>
      <c r="T494" s="5">
        <f>data_origin!T576</f>
        <v>0</v>
      </c>
      <c r="U494" s="5">
        <f>data_origin!U576</f>
        <v>0</v>
      </c>
      <c r="V494" s="5">
        <f>data_origin!V576</f>
        <v>0</v>
      </c>
      <c r="W494" s="5">
        <f>data_origin!W576</f>
        <v>0</v>
      </c>
      <c r="X494" s="5">
        <f>data_origin!X576</f>
        <v>1.0414201183431953</v>
      </c>
      <c r="Y494" s="5">
        <f>data_origin!Y576</f>
        <v>0</v>
      </c>
      <c r="Z494" s="5">
        <f>data_origin!Z576</f>
        <v>0</v>
      </c>
      <c r="AA494" s="5">
        <f>data_origin!AA576</f>
        <v>0</v>
      </c>
      <c r="AB494" s="5">
        <f t="shared" si="62"/>
        <v>1.0414201183431953</v>
      </c>
      <c r="AH494" t="s">
        <v>119</v>
      </c>
      <c r="AI494" s="5">
        <f>data_origin!T2823</f>
        <v>0</v>
      </c>
      <c r="AJ494" s="5">
        <f>data_origin!U2823</f>
        <v>0</v>
      </c>
      <c r="AK494" s="5">
        <f>data_origin!V2823</f>
        <v>0</v>
      </c>
      <c r="AL494" s="5">
        <f>data_origin!W2823</f>
        <v>0</v>
      </c>
      <c r="AM494" s="5">
        <f>data_origin!X2823</f>
        <v>0</v>
      </c>
      <c r="AN494" s="5">
        <f>data_origin!Y2823</f>
        <v>0</v>
      </c>
      <c r="AO494" s="5">
        <f>data_origin!Z2823</f>
        <v>0</v>
      </c>
      <c r="AP494" s="5">
        <f>data_origin!AA2823</f>
        <v>0</v>
      </c>
      <c r="AQ494" s="9">
        <f t="shared" si="63"/>
        <v>0</v>
      </c>
      <c r="AV494" t="s">
        <v>119</v>
      </c>
      <c r="AW494" s="5">
        <f>data_origin!T3537</f>
        <v>0</v>
      </c>
      <c r="AX494" s="5">
        <f>data_origin!U3537</f>
        <v>0</v>
      </c>
      <c r="AY494" s="5">
        <f>data_origin!V3537</f>
        <v>0</v>
      </c>
      <c r="AZ494" s="5">
        <f>data_origin!W3537</f>
        <v>0</v>
      </c>
      <c r="BA494" s="5">
        <f>data_origin!X3537</f>
        <v>0</v>
      </c>
      <c r="BB494" s="5">
        <f>data_origin!Y3537</f>
        <v>0</v>
      </c>
      <c r="BC494" s="5">
        <f>data_origin!Z3537</f>
        <v>0</v>
      </c>
      <c r="BD494" s="5">
        <f>data_origin!AA3537</f>
        <v>0</v>
      </c>
      <c r="BE494" s="9">
        <f t="shared" si="64"/>
        <v>0</v>
      </c>
    </row>
    <row r="495" spans="4:57" x14ac:dyDescent="0.25">
      <c r="D495" t="s">
        <v>99</v>
      </c>
      <c r="E495" s="38">
        <f t="shared" si="61"/>
        <v>0</v>
      </c>
      <c r="F495" s="38">
        <f t="shared" si="61"/>
        <v>0</v>
      </c>
      <c r="G495" s="38">
        <f t="shared" si="61"/>
        <v>17.860769731494226</v>
      </c>
      <c r="H495" s="38">
        <f t="shared" si="61"/>
        <v>14.692839791355155</v>
      </c>
      <c r="I495" s="38">
        <f t="shared" si="61"/>
        <v>6.3598303443973165</v>
      </c>
      <c r="J495" s="38">
        <f t="shared" si="61"/>
        <v>1.0462196840437774</v>
      </c>
      <c r="K495" s="38">
        <f t="shared" si="61"/>
        <v>0</v>
      </c>
      <c r="L495" s="38">
        <f t="shared" si="61"/>
        <v>0</v>
      </c>
      <c r="M495" s="35">
        <f t="shared" si="58"/>
        <v>39.959659551290478</v>
      </c>
      <c r="S495" t="s">
        <v>99</v>
      </c>
      <c r="T495" s="5">
        <f>data_origin!T577</f>
        <v>0</v>
      </c>
      <c r="U495" s="5">
        <f>data_origin!U577</f>
        <v>0</v>
      </c>
      <c r="V495" s="5">
        <f>data_origin!V577</f>
        <v>17.721815519765741</v>
      </c>
      <c r="W495" s="5">
        <f>data_origin!W577</f>
        <v>14.511749347258485</v>
      </c>
      <c r="X495" s="5">
        <f>data_origin!X577</f>
        <v>6.2485207100591715</v>
      </c>
      <c r="Y495" s="5">
        <f>data_origin!Y577</f>
        <v>1.0249999999999999</v>
      </c>
      <c r="Z495" s="5">
        <f>data_origin!Z577</f>
        <v>0</v>
      </c>
      <c r="AA495" s="5">
        <f>data_origin!AA577</f>
        <v>0</v>
      </c>
      <c r="AB495" s="5">
        <f t="shared" si="62"/>
        <v>39.507085577083394</v>
      </c>
      <c r="AH495" t="s">
        <v>99</v>
      </c>
      <c r="AI495" s="5">
        <f>data_origin!T2824</f>
        <v>0</v>
      </c>
      <c r="AJ495" s="5">
        <f>data_origin!U2824</f>
        <v>0</v>
      </c>
      <c r="AK495" s="5">
        <f>data_origin!V2824</f>
        <v>0</v>
      </c>
      <c r="AL495" s="5">
        <f>data_origin!W2824</f>
        <v>0</v>
      </c>
      <c r="AM495" s="5">
        <f>data_origin!X2824</f>
        <v>0</v>
      </c>
      <c r="AN495" s="5">
        <f>data_origin!Y2824</f>
        <v>0</v>
      </c>
      <c r="AO495" s="5">
        <f>data_origin!Z2824</f>
        <v>0</v>
      </c>
      <c r="AP495" s="5">
        <f>data_origin!AA2824</f>
        <v>0</v>
      </c>
      <c r="AQ495" s="9">
        <f t="shared" si="63"/>
        <v>0</v>
      </c>
      <c r="AV495" t="s">
        <v>99</v>
      </c>
      <c r="AW495" s="5">
        <f>data_origin!T3538</f>
        <v>0</v>
      </c>
      <c r="AX495" s="5">
        <f>data_origin!U3538</f>
        <v>0</v>
      </c>
      <c r="AY495" s="5">
        <f>data_origin!V3538</f>
        <v>0</v>
      </c>
      <c r="AZ495" s="5">
        <f>data_origin!W3538</f>
        <v>0</v>
      </c>
      <c r="BA495" s="5">
        <f>data_origin!X3538</f>
        <v>0</v>
      </c>
      <c r="BB495" s="5">
        <f>data_origin!Y3538</f>
        <v>0</v>
      </c>
      <c r="BC495" s="5">
        <f>data_origin!Z3538</f>
        <v>0</v>
      </c>
      <c r="BD495" s="5">
        <f>data_origin!AA3538</f>
        <v>0</v>
      </c>
      <c r="BE495" s="9">
        <f t="shared" si="64"/>
        <v>0</v>
      </c>
    </row>
    <row r="496" spans="4:57" x14ac:dyDescent="0.25">
      <c r="D496" t="s">
        <v>100</v>
      </c>
      <c r="E496" s="38">
        <f t="shared" si="61"/>
        <v>0</v>
      </c>
      <c r="F496" s="38">
        <f t="shared" si="61"/>
        <v>0</v>
      </c>
      <c r="G496" s="38">
        <f t="shared" si="61"/>
        <v>0</v>
      </c>
      <c r="H496" s="38">
        <f t="shared" si="61"/>
        <v>0</v>
      </c>
      <c r="I496" s="38">
        <f t="shared" si="61"/>
        <v>0</v>
      </c>
      <c r="J496" s="38">
        <f t="shared" si="61"/>
        <v>0</v>
      </c>
      <c r="K496" s="38">
        <f t="shared" si="61"/>
        <v>0</v>
      </c>
      <c r="L496" s="38">
        <f t="shared" si="61"/>
        <v>0</v>
      </c>
      <c r="M496" s="35">
        <f t="shared" si="58"/>
        <v>0</v>
      </c>
      <c r="S496" t="s">
        <v>100</v>
      </c>
      <c r="T496" s="5">
        <f>data_origin!T578</f>
        <v>0</v>
      </c>
      <c r="U496" s="5">
        <f>data_origin!U578</f>
        <v>0</v>
      </c>
      <c r="V496" s="5">
        <f>data_origin!V578</f>
        <v>0</v>
      </c>
      <c r="W496" s="5">
        <f>data_origin!W578</f>
        <v>0</v>
      </c>
      <c r="X496" s="5">
        <f>data_origin!X578</f>
        <v>0</v>
      </c>
      <c r="Y496" s="5">
        <f>data_origin!Y578</f>
        <v>0</v>
      </c>
      <c r="Z496" s="5">
        <f>data_origin!Z578</f>
        <v>0</v>
      </c>
      <c r="AA496" s="5">
        <f>data_origin!AA578</f>
        <v>0</v>
      </c>
      <c r="AB496" s="5">
        <f t="shared" si="62"/>
        <v>0</v>
      </c>
      <c r="AH496" t="s">
        <v>100</v>
      </c>
      <c r="AI496" s="5">
        <f>data_origin!T2825</f>
        <v>0</v>
      </c>
      <c r="AJ496" s="5">
        <f>data_origin!U2825</f>
        <v>0</v>
      </c>
      <c r="AK496" s="5">
        <f>data_origin!V2825</f>
        <v>0</v>
      </c>
      <c r="AL496" s="5">
        <f>data_origin!W2825</f>
        <v>0</v>
      </c>
      <c r="AM496" s="5">
        <f>data_origin!X2825</f>
        <v>0</v>
      </c>
      <c r="AN496" s="5">
        <f>data_origin!Y2825</f>
        <v>0</v>
      </c>
      <c r="AO496" s="5">
        <f>data_origin!Z2825</f>
        <v>0</v>
      </c>
      <c r="AP496" s="5">
        <f>data_origin!AA2825</f>
        <v>0</v>
      </c>
      <c r="AQ496" s="9">
        <f t="shared" si="63"/>
        <v>0</v>
      </c>
      <c r="AV496" t="s">
        <v>100</v>
      </c>
      <c r="AW496" s="5">
        <f>data_origin!T3539</f>
        <v>0</v>
      </c>
      <c r="AX496" s="5">
        <f>data_origin!U3539</f>
        <v>0</v>
      </c>
      <c r="AY496" s="5">
        <f>data_origin!V3539</f>
        <v>0</v>
      </c>
      <c r="AZ496" s="5">
        <f>data_origin!W3539</f>
        <v>0</v>
      </c>
      <c r="BA496" s="5">
        <f>data_origin!X3539</f>
        <v>0</v>
      </c>
      <c r="BB496" s="5">
        <f>data_origin!Y3539</f>
        <v>0</v>
      </c>
      <c r="BC496" s="5">
        <f>data_origin!Z3539</f>
        <v>0</v>
      </c>
      <c r="BD496" s="5">
        <f>data_origin!AA3539</f>
        <v>0</v>
      </c>
      <c r="BE496" s="9">
        <f t="shared" si="64"/>
        <v>0</v>
      </c>
    </row>
    <row r="497" spans="1:58" x14ac:dyDescent="0.25">
      <c r="D497" t="s">
        <v>101</v>
      </c>
      <c r="E497" s="38">
        <f t="shared" si="61"/>
        <v>0</v>
      </c>
      <c r="F497" s="38">
        <f t="shared" si="61"/>
        <v>0</v>
      </c>
      <c r="G497" s="38">
        <f t="shared" si="61"/>
        <v>8.4050681089384582</v>
      </c>
      <c r="H497" s="38">
        <f t="shared" si="61"/>
        <v>10.494885565253682</v>
      </c>
      <c r="I497" s="38">
        <f t="shared" si="61"/>
        <v>0</v>
      </c>
      <c r="J497" s="38">
        <f t="shared" si="61"/>
        <v>0</v>
      </c>
      <c r="K497" s="38">
        <f t="shared" si="61"/>
        <v>0</v>
      </c>
      <c r="L497" s="38">
        <f t="shared" ref="L497:L560" si="65">AA497+AP233+IFERROR((AA497/SUM(AA$3:AA$992)*AP$630),0)+IFERROR((AA497/SUM(AA$135:AA$332,AA$465:AA$662,AA$795:AA$992)*AP$732),0)</f>
        <v>0</v>
      </c>
      <c r="M497" s="35">
        <f t="shared" si="58"/>
        <v>18.89995367419214</v>
      </c>
      <c r="N497" s="5">
        <f>SUM(M465:M497)</f>
        <v>1925.6847810608576</v>
      </c>
      <c r="S497" t="s">
        <v>101</v>
      </c>
      <c r="T497" s="5">
        <f>data_origin!T579</f>
        <v>0</v>
      </c>
      <c r="U497" s="5">
        <f>data_origin!U579</f>
        <v>0</v>
      </c>
      <c r="V497" s="5">
        <f>data_origin!V579</f>
        <v>8.3396778916544658</v>
      </c>
      <c r="W497" s="5">
        <f>data_origin!W579</f>
        <v>10.365535248041775</v>
      </c>
      <c r="X497" s="5">
        <f>data_origin!X579</f>
        <v>0</v>
      </c>
      <c r="Y497" s="5">
        <f>data_origin!Y579</f>
        <v>0</v>
      </c>
      <c r="Z497" s="5">
        <f>data_origin!Z579</f>
        <v>0</v>
      </c>
      <c r="AA497" s="5">
        <f>data_origin!AA579</f>
        <v>0</v>
      </c>
      <c r="AB497" s="5">
        <f t="shared" si="62"/>
        <v>18.705213139696241</v>
      </c>
      <c r="AC497" s="5">
        <f>SUM(AB465:AB497)</f>
        <v>1903</v>
      </c>
      <c r="AH497" t="s">
        <v>101</v>
      </c>
      <c r="AI497" s="5">
        <f>data_origin!T2826</f>
        <v>0</v>
      </c>
      <c r="AJ497" s="5">
        <f>data_origin!U2826</f>
        <v>0</v>
      </c>
      <c r="AK497" s="5">
        <f>data_origin!V2826</f>
        <v>0</v>
      </c>
      <c r="AL497" s="5">
        <f>data_origin!W2826</f>
        <v>0</v>
      </c>
      <c r="AM497" s="5">
        <f>data_origin!X2826</f>
        <v>0</v>
      </c>
      <c r="AN497" s="5">
        <f>data_origin!Y2826</f>
        <v>0</v>
      </c>
      <c r="AO497" s="5">
        <f>data_origin!Z2826</f>
        <v>0</v>
      </c>
      <c r="AP497" s="5">
        <f>data_origin!AA2826</f>
        <v>0</v>
      </c>
      <c r="AQ497" s="9">
        <f t="shared" si="63"/>
        <v>0</v>
      </c>
      <c r="AR497" s="9">
        <f>SUM(AQ465:AQ497)</f>
        <v>1</v>
      </c>
      <c r="AV497" t="s">
        <v>101</v>
      </c>
      <c r="AW497" s="5">
        <f>data_origin!T3540</f>
        <v>0</v>
      </c>
      <c r="AX497" s="5">
        <f>data_origin!U3540</f>
        <v>0</v>
      </c>
      <c r="AY497" s="5">
        <f>data_origin!V3540</f>
        <v>0</v>
      </c>
      <c r="AZ497" s="5">
        <f>data_origin!W3540</f>
        <v>0</v>
      </c>
      <c r="BA497" s="5">
        <f>data_origin!X3540</f>
        <v>0</v>
      </c>
      <c r="BB497" s="5">
        <f>data_origin!Y3540</f>
        <v>0</v>
      </c>
      <c r="BC497" s="5">
        <f>data_origin!Z3540</f>
        <v>0</v>
      </c>
      <c r="BD497" s="5">
        <f>data_origin!AA3540</f>
        <v>0</v>
      </c>
      <c r="BE497" s="9">
        <f t="shared" si="64"/>
        <v>0</v>
      </c>
      <c r="BF497" s="9">
        <f>SUM(BE465:BE497)</f>
        <v>0</v>
      </c>
    </row>
    <row r="498" spans="1:58" x14ac:dyDescent="0.25">
      <c r="A498" s="23" t="s">
        <v>104</v>
      </c>
      <c r="B498" s="23" t="s">
        <v>116</v>
      </c>
      <c r="C498" s="23" t="s">
        <v>110</v>
      </c>
      <c r="D498" t="s">
        <v>70</v>
      </c>
      <c r="E498" s="38">
        <f t="shared" ref="E498:K534" si="66">T498+AI234+IFERROR((T498/SUM(T$3:T$992)*AI$630),0)+IFERROR((T498/SUM(T$135:T$332,T$465:T$662,T$795:T$992)*AI$732),0)</f>
        <v>0</v>
      </c>
      <c r="F498" s="38">
        <f t="shared" si="66"/>
        <v>0</v>
      </c>
      <c r="G498" s="38">
        <f t="shared" si="66"/>
        <v>0</v>
      </c>
      <c r="H498" s="38">
        <f t="shared" si="66"/>
        <v>0</v>
      </c>
      <c r="I498" s="38">
        <f t="shared" si="66"/>
        <v>0</v>
      </c>
      <c r="J498" s="38">
        <f t="shared" si="66"/>
        <v>3.093036759922476E-2</v>
      </c>
      <c r="K498" s="38">
        <f t="shared" si="66"/>
        <v>0</v>
      </c>
      <c r="L498" s="38">
        <f t="shared" si="65"/>
        <v>0</v>
      </c>
      <c r="M498" s="35">
        <f t="shared" si="58"/>
        <v>3.093036759922476E-2</v>
      </c>
      <c r="P498" t="s">
        <v>104</v>
      </c>
      <c r="Q498" t="s">
        <v>116</v>
      </c>
      <c r="R498" t="s">
        <v>110</v>
      </c>
      <c r="S498" t="s">
        <v>70</v>
      </c>
      <c r="T498" s="5">
        <f>data_origin!T581</f>
        <v>0</v>
      </c>
      <c r="U498" s="5">
        <f>data_origin!U581</f>
        <v>0</v>
      </c>
      <c r="V498" s="5">
        <f>data_origin!V581</f>
        <v>0</v>
      </c>
      <c r="W498" s="5">
        <f>data_origin!W581</f>
        <v>0</v>
      </c>
      <c r="X498" s="5">
        <f>data_origin!X581</f>
        <v>0</v>
      </c>
      <c r="Y498" s="5">
        <f>data_origin!Y581</f>
        <v>3.0303030303030304E-2</v>
      </c>
      <c r="Z498" s="5">
        <f>data_origin!Z581</f>
        <v>0</v>
      </c>
      <c r="AA498" s="5">
        <f>data_origin!AA581</f>
        <v>0</v>
      </c>
      <c r="AB498" s="5">
        <f t="shared" si="62"/>
        <v>3.0303030303030304E-2</v>
      </c>
      <c r="AE498" t="s">
        <v>104</v>
      </c>
      <c r="AF498" t="s">
        <v>117</v>
      </c>
      <c r="AG498" s="28" t="s">
        <v>134</v>
      </c>
      <c r="AH498" t="s">
        <v>70</v>
      </c>
      <c r="AI498" s="5">
        <f>data_origin!T2828</f>
        <v>0</v>
      </c>
      <c r="AJ498" s="5">
        <f>data_origin!U2828</f>
        <v>0</v>
      </c>
      <c r="AK498" s="5">
        <f>data_origin!V2828</f>
        <v>0</v>
      </c>
      <c r="AL498" s="5">
        <f>data_origin!W2828</f>
        <v>0</v>
      </c>
      <c r="AM498" s="5">
        <f>data_origin!X2828</f>
        <v>0</v>
      </c>
      <c r="AN498" s="5">
        <f>data_origin!Y2828</f>
        <v>0</v>
      </c>
      <c r="AO498" s="5">
        <f>data_origin!Z2828</f>
        <v>0</v>
      </c>
      <c r="AP498" s="5">
        <f>data_origin!AA2828</f>
        <v>0</v>
      </c>
      <c r="AQ498" s="9">
        <f t="shared" si="63"/>
        <v>0</v>
      </c>
      <c r="AS498" t="s">
        <v>115</v>
      </c>
      <c r="AT498" t="s">
        <v>117</v>
      </c>
      <c r="AU498" s="28" t="s">
        <v>134</v>
      </c>
      <c r="AV498" t="s">
        <v>70</v>
      </c>
      <c r="AW498" s="5">
        <f>data_origin!T3542</f>
        <v>0</v>
      </c>
      <c r="AX498" s="5">
        <f>data_origin!U3542</f>
        <v>0</v>
      </c>
      <c r="AY498" s="5">
        <f>data_origin!V3542</f>
        <v>0</v>
      </c>
      <c r="AZ498" s="5">
        <f>data_origin!W3542</f>
        <v>0</v>
      </c>
      <c r="BA498" s="5">
        <f>data_origin!X3542</f>
        <v>0</v>
      </c>
      <c r="BB498" s="5">
        <f>data_origin!Y3542</f>
        <v>0</v>
      </c>
      <c r="BC498" s="5">
        <f>data_origin!Z3542</f>
        <v>0</v>
      </c>
      <c r="BD498" s="5">
        <f>data_origin!AA3542</f>
        <v>0</v>
      </c>
      <c r="BE498" s="9">
        <f t="shared" si="64"/>
        <v>0</v>
      </c>
    </row>
    <row r="499" spans="1:58" x14ac:dyDescent="0.25">
      <c r="D499" t="s">
        <v>71</v>
      </c>
      <c r="E499" s="38">
        <f t="shared" si="66"/>
        <v>0</v>
      </c>
      <c r="F499" s="38">
        <f t="shared" si="66"/>
        <v>0</v>
      </c>
      <c r="G499" s="38">
        <f t="shared" si="66"/>
        <v>0</v>
      </c>
      <c r="H499" s="38">
        <f t="shared" si="66"/>
        <v>0</v>
      </c>
      <c r="I499" s="38">
        <f t="shared" si="66"/>
        <v>0</v>
      </c>
      <c r="J499" s="38">
        <f t="shared" si="66"/>
        <v>3.093036759922476E-2</v>
      </c>
      <c r="K499" s="38">
        <f t="shared" si="66"/>
        <v>0</v>
      </c>
      <c r="L499" s="38">
        <f t="shared" si="65"/>
        <v>0</v>
      </c>
      <c r="M499" s="35">
        <f t="shared" si="58"/>
        <v>3.093036759922476E-2</v>
      </c>
      <c r="S499" t="s">
        <v>71</v>
      </c>
      <c r="T499" s="5">
        <f>data_origin!T582</f>
        <v>0</v>
      </c>
      <c r="U499" s="5">
        <f>data_origin!U582</f>
        <v>0</v>
      </c>
      <c r="V499" s="5">
        <f>data_origin!V582</f>
        <v>0</v>
      </c>
      <c r="W499" s="5">
        <f>data_origin!W582</f>
        <v>0</v>
      </c>
      <c r="X499" s="5">
        <f>data_origin!X582</f>
        <v>0</v>
      </c>
      <c r="Y499" s="5">
        <f>data_origin!Y582</f>
        <v>3.0303030303030304E-2</v>
      </c>
      <c r="Z499" s="5">
        <f>data_origin!Z582</f>
        <v>0</v>
      </c>
      <c r="AA499" s="5">
        <f>data_origin!AA582</f>
        <v>0</v>
      </c>
      <c r="AB499" s="5">
        <f t="shared" si="62"/>
        <v>3.0303030303030304E-2</v>
      </c>
      <c r="AH499" t="s">
        <v>71</v>
      </c>
      <c r="AI499" s="5">
        <f>data_origin!T2829</f>
        <v>0</v>
      </c>
      <c r="AJ499" s="5">
        <f>data_origin!U2829</f>
        <v>0</v>
      </c>
      <c r="AK499" s="5">
        <f>data_origin!V2829</f>
        <v>0</v>
      </c>
      <c r="AL499" s="5">
        <f>data_origin!W2829</f>
        <v>0</v>
      </c>
      <c r="AM499" s="5">
        <f>data_origin!X2829</f>
        <v>0</v>
      </c>
      <c r="AN499" s="5">
        <f>data_origin!Y2829</f>
        <v>0</v>
      </c>
      <c r="AO499" s="5">
        <f>data_origin!Z2829</f>
        <v>0</v>
      </c>
      <c r="AP499" s="5">
        <f>data_origin!AA2829</f>
        <v>0</v>
      </c>
      <c r="AQ499" s="9">
        <f t="shared" si="63"/>
        <v>0</v>
      </c>
      <c r="AV499" t="s">
        <v>71</v>
      </c>
      <c r="AW499" s="5">
        <f>data_origin!T3543</f>
        <v>0</v>
      </c>
      <c r="AX499" s="5">
        <f>data_origin!U3543</f>
        <v>0</v>
      </c>
      <c r="AY499" s="5">
        <f>data_origin!V3543</f>
        <v>0</v>
      </c>
      <c r="AZ499" s="5">
        <f>data_origin!W3543</f>
        <v>0</v>
      </c>
      <c r="BA499" s="5">
        <f>data_origin!X3543</f>
        <v>0</v>
      </c>
      <c r="BB499" s="5">
        <f>data_origin!Y3543</f>
        <v>0</v>
      </c>
      <c r="BC499" s="5">
        <f>data_origin!Z3543</f>
        <v>0</v>
      </c>
      <c r="BD499" s="5">
        <f>data_origin!AA3543</f>
        <v>0</v>
      </c>
      <c r="BE499" s="9">
        <f t="shared" si="64"/>
        <v>0</v>
      </c>
    </row>
    <row r="500" spans="1:58" x14ac:dyDescent="0.25">
      <c r="D500" t="s">
        <v>72</v>
      </c>
      <c r="E500" s="38">
        <f t="shared" si="66"/>
        <v>0</v>
      </c>
      <c r="F500" s="38">
        <f t="shared" si="66"/>
        <v>0</v>
      </c>
      <c r="G500" s="38">
        <f t="shared" si="66"/>
        <v>0</v>
      </c>
      <c r="H500" s="38">
        <f t="shared" si="66"/>
        <v>0</v>
      </c>
      <c r="I500" s="38">
        <f t="shared" si="66"/>
        <v>0</v>
      </c>
      <c r="J500" s="38">
        <f t="shared" si="66"/>
        <v>3.093036759922476E-2</v>
      </c>
      <c r="K500" s="38">
        <f t="shared" si="66"/>
        <v>0</v>
      </c>
      <c r="L500" s="38">
        <f t="shared" si="65"/>
        <v>0</v>
      </c>
      <c r="M500" s="35">
        <f t="shared" si="58"/>
        <v>3.093036759922476E-2</v>
      </c>
      <c r="S500" t="s">
        <v>72</v>
      </c>
      <c r="T500" s="5">
        <f>data_origin!T583</f>
        <v>0</v>
      </c>
      <c r="U500" s="5">
        <f>data_origin!U583</f>
        <v>0</v>
      </c>
      <c r="V500" s="5">
        <f>data_origin!V583</f>
        <v>0</v>
      </c>
      <c r="W500" s="5">
        <f>data_origin!W583</f>
        <v>0</v>
      </c>
      <c r="X500" s="5">
        <f>data_origin!X583</f>
        <v>0</v>
      </c>
      <c r="Y500" s="5">
        <f>data_origin!Y583</f>
        <v>3.0303030303030304E-2</v>
      </c>
      <c r="Z500" s="5">
        <f>data_origin!Z583</f>
        <v>0</v>
      </c>
      <c r="AA500" s="5">
        <f>data_origin!AA583</f>
        <v>0</v>
      </c>
      <c r="AB500" s="5">
        <f t="shared" si="62"/>
        <v>3.0303030303030304E-2</v>
      </c>
      <c r="AH500" t="s">
        <v>72</v>
      </c>
      <c r="AI500" s="5">
        <f>data_origin!T2830</f>
        <v>0</v>
      </c>
      <c r="AJ500" s="5">
        <f>data_origin!U2830</f>
        <v>0</v>
      </c>
      <c r="AK500" s="5">
        <f>data_origin!V2830</f>
        <v>0</v>
      </c>
      <c r="AL500" s="5">
        <f>data_origin!W2830</f>
        <v>0</v>
      </c>
      <c r="AM500" s="5">
        <f>data_origin!X2830</f>
        <v>0</v>
      </c>
      <c r="AN500" s="5">
        <f>data_origin!Y2830</f>
        <v>0</v>
      </c>
      <c r="AO500" s="5">
        <f>data_origin!Z2830</f>
        <v>0</v>
      </c>
      <c r="AP500" s="5">
        <f>data_origin!AA2830</f>
        <v>0</v>
      </c>
      <c r="AQ500" s="9">
        <f t="shared" si="63"/>
        <v>0</v>
      </c>
      <c r="AV500" t="s">
        <v>72</v>
      </c>
      <c r="AW500" s="5">
        <f>data_origin!T3544</f>
        <v>0</v>
      </c>
      <c r="AX500" s="5">
        <f>data_origin!U3544</f>
        <v>0</v>
      </c>
      <c r="AY500" s="5">
        <f>data_origin!V3544</f>
        <v>0</v>
      </c>
      <c r="AZ500" s="5">
        <f>data_origin!W3544</f>
        <v>0</v>
      </c>
      <c r="BA500" s="5">
        <f>data_origin!X3544</f>
        <v>0</v>
      </c>
      <c r="BB500" s="5">
        <f>data_origin!Y3544</f>
        <v>0</v>
      </c>
      <c r="BC500" s="5">
        <f>data_origin!Z3544</f>
        <v>0</v>
      </c>
      <c r="BD500" s="5">
        <f>data_origin!AA3544</f>
        <v>0</v>
      </c>
      <c r="BE500" s="9">
        <f t="shared" si="64"/>
        <v>0</v>
      </c>
    </row>
    <row r="501" spans="1:58" x14ac:dyDescent="0.25">
      <c r="D501" t="s">
        <v>73</v>
      </c>
      <c r="E501" s="38">
        <f t="shared" si="66"/>
        <v>0</v>
      </c>
      <c r="F501" s="38">
        <f t="shared" si="66"/>
        <v>0</v>
      </c>
      <c r="G501" s="38">
        <f t="shared" si="66"/>
        <v>0</v>
      </c>
      <c r="H501" s="38">
        <f t="shared" si="66"/>
        <v>0</v>
      </c>
      <c r="I501" s="38">
        <f t="shared" si="66"/>
        <v>0</v>
      </c>
      <c r="J501" s="38">
        <f t="shared" si="66"/>
        <v>3.093036759922476E-2</v>
      </c>
      <c r="K501" s="38">
        <f t="shared" si="66"/>
        <v>0</v>
      </c>
      <c r="L501" s="38">
        <f t="shared" si="65"/>
        <v>0</v>
      </c>
      <c r="M501" s="35">
        <f t="shared" si="58"/>
        <v>3.093036759922476E-2</v>
      </c>
      <c r="S501" t="s">
        <v>73</v>
      </c>
      <c r="T501" s="5">
        <f>data_origin!T584</f>
        <v>0</v>
      </c>
      <c r="U501" s="5">
        <f>data_origin!U584</f>
        <v>0</v>
      </c>
      <c r="V501" s="5">
        <f>data_origin!V584</f>
        <v>0</v>
      </c>
      <c r="W501" s="5">
        <f>data_origin!W584</f>
        <v>0</v>
      </c>
      <c r="X501" s="5">
        <f>data_origin!X584</f>
        <v>0</v>
      </c>
      <c r="Y501" s="5">
        <f>data_origin!Y584</f>
        <v>3.0303030303030304E-2</v>
      </c>
      <c r="Z501" s="5">
        <f>data_origin!Z584</f>
        <v>0</v>
      </c>
      <c r="AA501" s="5">
        <f>data_origin!AA584</f>
        <v>0</v>
      </c>
      <c r="AB501" s="5">
        <f t="shared" si="62"/>
        <v>3.0303030303030304E-2</v>
      </c>
      <c r="AH501" t="s">
        <v>73</v>
      </c>
      <c r="AI501" s="5">
        <f>data_origin!T2831</f>
        <v>0</v>
      </c>
      <c r="AJ501" s="5">
        <f>data_origin!U2831</f>
        <v>0</v>
      </c>
      <c r="AK501" s="5">
        <f>data_origin!V2831</f>
        <v>0</v>
      </c>
      <c r="AL501" s="5">
        <f>data_origin!W2831</f>
        <v>0</v>
      </c>
      <c r="AM501" s="5">
        <f>data_origin!X2831</f>
        <v>0</v>
      </c>
      <c r="AN501" s="5">
        <f>data_origin!Y2831</f>
        <v>0</v>
      </c>
      <c r="AO501" s="5">
        <f>data_origin!Z2831</f>
        <v>0</v>
      </c>
      <c r="AP501" s="5">
        <f>data_origin!AA2831</f>
        <v>0</v>
      </c>
      <c r="AQ501" s="9">
        <f t="shared" si="63"/>
        <v>0</v>
      </c>
      <c r="AV501" t="s">
        <v>73</v>
      </c>
      <c r="AW501" s="5">
        <f>data_origin!T3545</f>
        <v>0</v>
      </c>
      <c r="AX501" s="5">
        <f>data_origin!U3545</f>
        <v>0</v>
      </c>
      <c r="AY501" s="5">
        <f>data_origin!V3545</f>
        <v>0</v>
      </c>
      <c r="AZ501" s="5">
        <f>data_origin!W3545</f>
        <v>0</v>
      </c>
      <c r="BA501" s="5">
        <f>data_origin!X3545</f>
        <v>0</v>
      </c>
      <c r="BB501" s="5">
        <f>data_origin!Y3545</f>
        <v>0</v>
      </c>
      <c r="BC501" s="5">
        <f>data_origin!Z3545</f>
        <v>0</v>
      </c>
      <c r="BD501" s="5">
        <f>data_origin!AA3545</f>
        <v>0</v>
      </c>
      <c r="BE501" s="9">
        <f t="shared" si="64"/>
        <v>0</v>
      </c>
    </row>
    <row r="502" spans="1:58" x14ac:dyDescent="0.25">
      <c r="D502" t="s">
        <v>74</v>
      </c>
      <c r="E502" s="38">
        <f t="shared" si="66"/>
        <v>0</v>
      </c>
      <c r="F502" s="38">
        <f t="shared" si="66"/>
        <v>0</v>
      </c>
      <c r="G502" s="38">
        <f t="shared" si="66"/>
        <v>0</v>
      </c>
      <c r="H502" s="38">
        <f t="shared" si="66"/>
        <v>0</v>
      </c>
      <c r="I502" s="38">
        <f t="shared" si="66"/>
        <v>0</v>
      </c>
      <c r="J502" s="38">
        <f t="shared" si="66"/>
        <v>3.093036759922476E-2</v>
      </c>
      <c r="K502" s="38">
        <f t="shared" si="66"/>
        <v>0</v>
      </c>
      <c r="L502" s="38">
        <f t="shared" si="65"/>
        <v>0</v>
      </c>
      <c r="M502" s="35">
        <f t="shared" si="58"/>
        <v>3.093036759922476E-2</v>
      </c>
      <c r="S502" t="s">
        <v>74</v>
      </c>
      <c r="T502" s="5">
        <f>data_origin!T585</f>
        <v>0</v>
      </c>
      <c r="U502" s="5">
        <f>data_origin!U585</f>
        <v>0</v>
      </c>
      <c r="V502" s="5">
        <f>data_origin!V585</f>
        <v>0</v>
      </c>
      <c r="W502" s="5">
        <f>data_origin!W585</f>
        <v>0</v>
      </c>
      <c r="X502" s="5">
        <f>data_origin!X585</f>
        <v>0</v>
      </c>
      <c r="Y502" s="5">
        <f>data_origin!Y585</f>
        <v>3.0303030303030304E-2</v>
      </c>
      <c r="Z502" s="5">
        <f>data_origin!Z585</f>
        <v>0</v>
      </c>
      <c r="AA502" s="5">
        <f>data_origin!AA585</f>
        <v>0</v>
      </c>
      <c r="AB502" s="5">
        <f t="shared" si="62"/>
        <v>3.0303030303030304E-2</v>
      </c>
      <c r="AH502" t="s">
        <v>74</v>
      </c>
      <c r="AI502" s="5">
        <f>data_origin!T2832</f>
        <v>0</v>
      </c>
      <c r="AJ502" s="5">
        <f>data_origin!U2832</f>
        <v>0</v>
      </c>
      <c r="AK502" s="5">
        <f>data_origin!V2832</f>
        <v>0</v>
      </c>
      <c r="AL502" s="5">
        <f>data_origin!W2832</f>
        <v>0</v>
      </c>
      <c r="AM502" s="5">
        <f>data_origin!X2832</f>
        <v>0</v>
      </c>
      <c r="AN502" s="5">
        <f>data_origin!Y2832</f>
        <v>0</v>
      </c>
      <c r="AO502" s="5">
        <f>data_origin!Z2832</f>
        <v>0</v>
      </c>
      <c r="AP502" s="5">
        <f>data_origin!AA2832</f>
        <v>0</v>
      </c>
      <c r="AQ502" s="9">
        <f t="shared" si="63"/>
        <v>0</v>
      </c>
      <c r="AV502" t="s">
        <v>74</v>
      </c>
      <c r="AW502" s="5">
        <f>data_origin!T3546</f>
        <v>0</v>
      </c>
      <c r="AX502" s="5">
        <f>data_origin!U3546</f>
        <v>0</v>
      </c>
      <c r="AY502" s="5">
        <f>data_origin!V3546</f>
        <v>0</v>
      </c>
      <c r="AZ502" s="5">
        <f>data_origin!W3546</f>
        <v>0</v>
      </c>
      <c r="BA502" s="5">
        <f>data_origin!X3546</f>
        <v>0</v>
      </c>
      <c r="BB502" s="5">
        <f>data_origin!Y3546</f>
        <v>0</v>
      </c>
      <c r="BC502" s="5">
        <f>data_origin!Z3546</f>
        <v>0</v>
      </c>
      <c r="BD502" s="5">
        <f>data_origin!AA3546</f>
        <v>0</v>
      </c>
      <c r="BE502" s="9">
        <f t="shared" si="64"/>
        <v>0</v>
      </c>
    </row>
    <row r="503" spans="1:58" x14ac:dyDescent="0.25">
      <c r="D503" t="s">
        <v>75</v>
      </c>
      <c r="E503" s="38">
        <f t="shared" si="66"/>
        <v>0</v>
      </c>
      <c r="F503" s="38">
        <f t="shared" si="66"/>
        <v>0</v>
      </c>
      <c r="G503" s="38">
        <f t="shared" si="66"/>
        <v>0</v>
      </c>
      <c r="H503" s="38">
        <f t="shared" si="66"/>
        <v>0</v>
      </c>
      <c r="I503" s="38">
        <f t="shared" si="66"/>
        <v>0</v>
      </c>
      <c r="J503" s="38">
        <f t="shared" si="66"/>
        <v>3.093036759922476E-2</v>
      </c>
      <c r="K503" s="38">
        <f t="shared" si="66"/>
        <v>0</v>
      </c>
      <c r="L503" s="38">
        <f t="shared" si="65"/>
        <v>0</v>
      </c>
      <c r="M503" s="35">
        <f t="shared" si="58"/>
        <v>3.093036759922476E-2</v>
      </c>
      <c r="S503" t="s">
        <v>75</v>
      </c>
      <c r="T503" s="5">
        <f>data_origin!T586</f>
        <v>0</v>
      </c>
      <c r="U503" s="5">
        <f>data_origin!U586</f>
        <v>0</v>
      </c>
      <c r="V503" s="5">
        <f>data_origin!V586</f>
        <v>0</v>
      </c>
      <c r="W503" s="5">
        <f>data_origin!W586</f>
        <v>0</v>
      </c>
      <c r="X503" s="5">
        <f>data_origin!X586</f>
        <v>0</v>
      </c>
      <c r="Y503" s="5">
        <f>data_origin!Y586</f>
        <v>3.0303030303030304E-2</v>
      </c>
      <c r="Z503" s="5">
        <f>data_origin!Z586</f>
        <v>0</v>
      </c>
      <c r="AA503" s="5">
        <f>data_origin!AA586</f>
        <v>0</v>
      </c>
      <c r="AB503" s="5">
        <f t="shared" si="62"/>
        <v>3.0303030303030304E-2</v>
      </c>
      <c r="AH503" t="s">
        <v>75</v>
      </c>
      <c r="AI503" s="5">
        <f>data_origin!T2833</f>
        <v>0</v>
      </c>
      <c r="AJ503" s="5">
        <f>data_origin!U2833</f>
        <v>0</v>
      </c>
      <c r="AK503" s="5">
        <f>data_origin!V2833</f>
        <v>0</v>
      </c>
      <c r="AL503" s="5">
        <f>data_origin!W2833</f>
        <v>0</v>
      </c>
      <c r="AM503" s="5">
        <f>data_origin!X2833</f>
        <v>0</v>
      </c>
      <c r="AN503" s="5">
        <f>data_origin!Y2833</f>
        <v>0</v>
      </c>
      <c r="AO503" s="5">
        <f>data_origin!Z2833</f>
        <v>0</v>
      </c>
      <c r="AP503" s="5">
        <f>data_origin!AA2833</f>
        <v>0</v>
      </c>
      <c r="AQ503" s="9">
        <f t="shared" si="63"/>
        <v>0</v>
      </c>
      <c r="AV503" t="s">
        <v>75</v>
      </c>
      <c r="AW503" s="5">
        <f>data_origin!T3547</f>
        <v>0</v>
      </c>
      <c r="AX503" s="5">
        <f>data_origin!U3547</f>
        <v>0</v>
      </c>
      <c r="AY503" s="5">
        <f>data_origin!V3547</f>
        <v>0</v>
      </c>
      <c r="AZ503" s="5">
        <f>data_origin!W3547</f>
        <v>0</v>
      </c>
      <c r="BA503" s="5">
        <f>data_origin!X3547</f>
        <v>0</v>
      </c>
      <c r="BB503" s="5">
        <f>data_origin!Y3547</f>
        <v>0</v>
      </c>
      <c r="BC503" s="5">
        <f>data_origin!Z3547</f>
        <v>0</v>
      </c>
      <c r="BD503" s="5">
        <f>data_origin!AA3547</f>
        <v>0</v>
      </c>
      <c r="BE503" s="9">
        <f t="shared" si="64"/>
        <v>0</v>
      </c>
    </row>
    <row r="504" spans="1:58" x14ac:dyDescent="0.25">
      <c r="D504" t="s">
        <v>76</v>
      </c>
      <c r="E504" s="38">
        <f t="shared" si="66"/>
        <v>0</v>
      </c>
      <c r="F504" s="38">
        <f t="shared" si="66"/>
        <v>0</v>
      </c>
      <c r="G504" s="38">
        <f t="shared" si="66"/>
        <v>0</v>
      </c>
      <c r="H504" s="38">
        <f t="shared" si="66"/>
        <v>0</v>
      </c>
      <c r="I504" s="38">
        <f t="shared" si="66"/>
        <v>0</v>
      </c>
      <c r="J504" s="38">
        <f t="shared" si="66"/>
        <v>3.093036759922476E-2</v>
      </c>
      <c r="K504" s="38">
        <f t="shared" si="66"/>
        <v>0</v>
      </c>
      <c r="L504" s="38">
        <f t="shared" si="65"/>
        <v>0</v>
      </c>
      <c r="M504" s="35">
        <f t="shared" si="58"/>
        <v>3.093036759922476E-2</v>
      </c>
      <c r="S504" t="s">
        <v>76</v>
      </c>
      <c r="T504" s="5">
        <f>data_origin!T587</f>
        <v>0</v>
      </c>
      <c r="U504" s="5">
        <f>data_origin!U587</f>
        <v>0</v>
      </c>
      <c r="V504" s="5">
        <f>data_origin!V587</f>
        <v>0</v>
      </c>
      <c r="W504" s="5">
        <f>data_origin!W587</f>
        <v>0</v>
      </c>
      <c r="X504" s="5">
        <f>data_origin!X587</f>
        <v>0</v>
      </c>
      <c r="Y504" s="5">
        <f>data_origin!Y587</f>
        <v>3.0303030303030304E-2</v>
      </c>
      <c r="Z504" s="5">
        <f>data_origin!Z587</f>
        <v>0</v>
      </c>
      <c r="AA504" s="5">
        <f>data_origin!AA587</f>
        <v>0</v>
      </c>
      <c r="AB504" s="5">
        <f t="shared" si="62"/>
        <v>3.0303030303030304E-2</v>
      </c>
      <c r="AH504" t="s">
        <v>76</v>
      </c>
      <c r="AI504" s="5">
        <f>data_origin!T2834</f>
        <v>0</v>
      </c>
      <c r="AJ504" s="5">
        <f>data_origin!U2834</f>
        <v>0</v>
      </c>
      <c r="AK504" s="5">
        <f>data_origin!V2834</f>
        <v>0</v>
      </c>
      <c r="AL504" s="5">
        <f>data_origin!W2834</f>
        <v>0</v>
      </c>
      <c r="AM504" s="5">
        <f>data_origin!X2834</f>
        <v>0</v>
      </c>
      <c r="AN504" s="5">
        <f>data_origin!Y2834</f>
        <v>0</v>
      </c>
      <c r="AO504" s="5">
        <f>data_origin!Z2834</f>
        <v>0</v>
      </c>
      <c r="AP504" s="5">
        <f>data_origin!AA2834</f>
        <v>0</v>
      </c>
      <c r="AQ504" s="9">
        <f t="shared" si="63"/>
        <v>0</v>
      </c>
      <c r="AV504" t="s">
        <v>76</v>
      </c>
      <c r="AW504" s="5">
        <f>data_origin!T3548</f>
        <v>0</v>
      </c>
      <c r="AX504" s="5">
        <f>data_origin!U3548</f>
        <v>0</v>
      </c>
      <c r="AY504" s="5">
        <f>data_origin!V3548</f>
        <v>0</v>
      </c>
      <c r="AZ504" s="5">
        <f>data_origin!W3548</f>
        <v>0</v>
      </c>
      <c r="BA504" s="5">
        <f>data_origin!X3548</f>
        <v>0</v>
      </c>
      <c r="BB504" s="5">
        <f>data_origin!Y3548</f>
        <v>0</v>
      </c>
      <c r="BC504" s="5">
        <f>data_origin!Z3548</f>
        <v>0</v>
      </c>
      <c r="BD504" s="5">
        <f>data_origin!AA3548</f>
        <v>0</v>
      </c>
      <c r="BE504" s="9">
        <f t="shared" si="64"/>
        <v>0</v>
      </c>
    </row>
    <row r="505" spans="1:58" x14ac:dyDescent="0.25">
      <c r="D505" t="s">
        <v>77</v>
      </c>
      <c r="E505" s="38">
        <f t="shared" si="66"/>
        <v>0</v>
      </c>
      <c r="F505" s="38">
        <f t="shared" si="66"/>
        <v>0</v>
      </c>
      <c r="G505" s="38">
        <f t="shared" si="66"/>
        <v>0</v>
      </c>
      <c r="H505" s="38">
        <f t="shared" si="66"/>
        <v>0</v>
      </c>
      <c r="I505" s="38">
        <f t="shared" si="66"/>
        <v>0</v>
      </c>
      <c r="J505" s="38">
        <f t="shared" si="66"/>
        <v>3.093036759922476E-2</v>
      </c>
      <c r="K505" s="38">
        <f t="shared" si="66"/>
        <v>0</v>
      </c>
      <c r="L505" s="38">
        <f t="shared" si="65"/>
        <v>0</v>
      </c>
      <c r="M505" s="35">
        <f t="shared" si="58"/>
        <v>3.093036759922476E-2</v>
      </c>
      <c r="S505" t="s">
        <v>77</v>
      </c>
      <c r="T505" s="5">
        <f>data_origin!T588</f>
        <v>0</v>
      </c>
      <c r="U505" s="5">
        <f>data_origin!U588</f>
        <v>0</v>
      </c>
      <c r="V505" s="5">
        <f>data_origin!V588</f>
        <v>0</v>
      </c>
      <c r="W505" s="5">
        <f>data_origin!W588</f>
        <v>0</v>
      </c>
      <c r="X505" s="5">
        <f>data_origin!X588</f>
        <v>0</v>
      </c>
      <c r="Y505" s="5">
        <f>data_origin!Y588</f>
        <v>3.0303030303030304E-2</v>
      </c>
      <c r="Z505" s="5">
        <f>data_origin!Z588</f>
        <v>0</v>
      </c>
      <c r="AA505" s="5">
        <f>data_origin!AA588</f>
        <v>0</v>
      </c>
      <c r="AB505" s="5">
        <f t="shared" si="62"/>
        <v>3.0303030303030304E-2</v>
      </c>
      <c r="AH505" t="s">
        <v>77</v>
      </c>
      <c r="AI505" s="5">
        <f>data_origin!T2835</f>
        <v>0</v>
      </c>
      <c r="AJ505" s="5">
        <f>data_origin!U2835</f>
        <v>0</v>
      </c>
      <c r="AK505" s="5">
        <f>data_origin!V2835</f>
        <v>0</v>
      </c>
      <c r="AL505" s="5">
        <f>data_origin!W2835</f>
        <v>0</v>
      </c>
      <c r="AM505" s="5">
        <f>data_origin!X2835</f>
        <v>0</v>
      </c>
      <c r="AN505" s="5">
        <f>data_origin!Y2835</f>
        <v>0</v>
      </c>
      <c r="AO505" s="5">
        <f>data_origin!Z2835</f>
        <v>0</v>
      </c>
      <c r="AP505" s="5">
        <f>data_origin!AA2835</f>
        <v>0</v>
      </c>
      <c r="AQ505" s="9">
        <f t="shared" si="63"/>
        <v>0</v>
      </c>
      <c r="AV505" t="s">
        <v>77</v>
      </c>
      <c r="AW505" s="5">
        <f>data_origin!T3549</f>
        <v>0</v>
      </c>
      <c r="AX505" s="5">
        <f>data_origin!U3549</f>
        <v>0</v>
      </c>
      <c r="AY505" s="5">
        <f>data_origin!V3549</f>
        <v>0</v>
      </c>
      <c r="AZ505" s="5">
        <f>data_origin!W3549</f>
        <v>0</v>
      </c>
      <c r="BA505" s="5">
        <f>data_origin!X3549</f>
        <v>0</v>
      </c>
      <c r="BB505" s="5">
        <f>data_origin!Y3549</f>
        <v>0</v>
      </c>
      <c r="BC505" s="5">
        <f>data_origin!Z3549</f>
        <v>0</v>
      </c>
      <c r="BD505" s="5">
        <f>data_origin!AA3549</f>
        <v>0</v>
      </c>
      <c r="BE505" s="9">
        <f t="shared" si="64"/>
        <v>0</v>
      </c>
    </row>
    <row r="506" spans="1:58" x14ac:dyDescent="0.25">
      <c r="D506" t="s">
        <v>78</v>
      </c>
      <c r="E506" s="38">
        <f t="shared" si="66"/>
        <v>0</v>
      </c>
      <c r="F506" s="38">
        <f t="shared" si="66"/>
        <v>0</v>
      </c>
      <c r="G506" s="38">
        <f t="shared" si="66"/>
        <v>0</v>
      </c>
      <c r="H506" s="38">
        <f t="shared" si="66"/>
        <v>0</v>
      </c>
      <c r="I506" s="38">
        <f t="shared" si="66"/>
        <v>0</v>
      </c>
      <c r="J506" s="38">
        <f t="shared" si="66"/>
        <v>3.093036759922476E-2</v>
      </c>
      <c r="K506" s="38">
        <f t="shared" si="66"/>
        <v>0</v>
      </c>
      <c r="L506" s="38">
        <f t="shared" si="65"/>
        <v>0</v>
      </c>
      <c r="M506" s="35">
        <f t="shared" si="58"/>
        <v>3.093036759922476E-2</v>
      </c>
      <c r="S506" t="s">
        <v>78</v>
      </c>
      <c r="T506" s="5">
        <f>data_origin!T589</f>
        <v>0</v>
      </c>
      <c r="U506" s="5">
        <f>data_origin!U589</f>
        <v>0</v>
      </c>
      <c r="V506" s="5">
        <f>data_origin!V589</f>
        <v>0</v>
      </c>
      <c r="W506" s="5">
        <f>data_origin!W589</f>
        <v>0</v>
      </c>
      <c r="X506" s="5">
        <f>data_origin!X589</f>
        <v>0</v>
      </c>
      <c r="Y506" s="5">
        <f>data_origin!Y589</f>
        <v>3.0303030303030304E-2</v>
      </c>
      <c r="Z506" s="5">
        <f>data_origin!Z589</f>
        <v>0</v>
      </c>
      <c r="AA506" s="5">
        <f>data_origin!AA589</f>
        <v>0</v>
      </c>
      <c r="AB506" s="5">
        <f t="shared" si="62"/>
        <v>3.0303030303030304E-2</v>
      </c>
      <c r="AH506" t="s">
        <v>78</v>
      </c>
      <c r="AI506" s="5">
        <f>data_origin!T2836</f>
        <v>0</v>
      </c>
      <c r="AJ506" s="5">
        <f>data_origin!U2836</f>
        <v>0</v>
      </c>
      <c r="AK506" s="5">
        <f>data_origin!V2836</f>
        <v>0</v>
      </c>
      <c r="AL506" s="5">
        <f>data_origin!W2836</f>
        <v>0</v>
      </c>
      <c r="AM506" s="5">
        <f>data_origin!X2836</f>
        <v>0</v>
      </c>
      <c r="AN506" s="5">
        <f>data_origin!Y2836</f>
        <v>0</v>
      </c>
      <c r="AO506" s="5">
        <f>data_origin!Z2836</f>
        <v>0</v>
      </c>
      <c r="AP506" s="5">
        <f>data_origin!AA2836</f>
        <v>0</v>
      </c>
      <c r="AQ506" s="9">
        <f t="shared" si="63"/>
        <v>0</v>
      </c>
      <c r="AV506" t="s">
        <v>78</v>
      </c>
      <c r="AW506" s="5">
        <f>data_origin!T3550</f>
        <v>0</v>
      </c>
      <c r="AX506" s="5">
        <f>data_origin!U3550</f>
        <v>0</v>
      </c>
      <c r="AY506" s="5">
        <f>data_origin!V3550</f>
        <v>0</v>
      </c>
      <c r="AZ506" s="5">
        <f>data_origin!W3550</f>
        <v>0</v>
      </c>
      <c r="BA506" s="5">
        <f>data_origin!X3550</f>
        <v>0</v>
      </c>
      <c r="BB506" s="5">
        <f>data_origin!Y3550</f>
        <v>0</v>
      </c>
      <c r="BC506" s="5">
        <f>data_origin!Z3550</f>
        <v>0</v>
      </c>
      <c r="BD506" s="5">
        <f>data_origin!AA3550</f>
        <v>0</v>
      </c>
      <c r="BE506" s="9">
        <f t="shared" si="64"/>
        <v>0</v>
      </c>
    </row>
    <row r="507" spans="1:58" x14ac:dyDescent="0.25">
      <c r="D507" t="s">
        <v>79</v>
      </c>
      <c r="E507" s="38">
        <f t="shared" si="66"/>
        <v>0</v>
      </c>
      <c r="F507" s="38">
        <f t="shared" si="66"/>
        <v>0</v>
      </c>
      <c r="G507" s="38">
        <f t="shared" si="66"/>
        <v>0</v>
      </c>
      <c r="H507" s="38">
        <f t="shared" si="66"/>
        <v>0</v>
      </c>
      <c r="I507" s="38">
        <f t="shared" si="66"/>
        <v>0</v>
      </c>
      <c r="J507" s="38">
        <f t="shared" si="66"/>
        <v>3.093036759922476E-2</v>
      </c>
      <c r="K507" s="38">
        <f t="shared" si="66"/>
        <v>0</v>
      </c>
      <c r="L507" s="38">
        <f t="shared" si="65"/>
        <v>0</v>
      </c>
      <c r="M507" s="35">
        <f t="shared" si="58"/>
        <v>3.093036759922476E-2</v>
      </c>
      <c r="S507" t="s">
        <v>79</v>
      </c>
      <c r="T507" s="5">
        <f>data_origin!T590</f>
        <v>0</v>
      </c>
      <c r="U507" s="5">
        <f>data_origin!U590</f>
        <v>0</v>
      </c>
      <c r="V507" s="5">
        <f>data_origin!V590</f>
        <v>0</v>
      </c>
      <c r="W507" s="5">
        <f>data_origin!W590</f>
        <v>0</v>
      </c>
      <c r="X507" s="5">
        <f>data_origin!X590</f>
        <v>0</v>
      </c>
      <c r="Y507" s="5">
        <f>data_origin!Y590</f>
        <v>3.0303030303030304E-2</v>
      </c>
      <c r="Z507" s="5">
        <f>data_origin!Z590</f>
        <v>0</v>
      </c>
      <c r="AA507" s="5">
        <f>data_origin!AA590</f>
        <v>0</v>
      </c>
      <c r="AB507" s="5">
        <f t="shared" si="62"/>
        <v>3.0303030303030304E-2</v>
      </c>
      <c r="AH507" t="s">
        <v>79</v>
      </c>
      <c r="AI507" s="5">
        <f>data_origin!T2837</f>
        <v>0</v>
      </c>
      <c r="AJ507" s="5">
        <f>data_origin!U2837</f>
        <v>0</v>
      </c>
      <c r="AK507" s="5">
        <f>data_origin!V2837</f>
        <v>0</v>
      </c>
      <c r="AL507" s="5">
        <f>data_origin!W2837</f>
        <v>0</v>
      </c>
      <c r="AM507" s="5">
        <f>data_origin!X2837</f>
        <v>0</v>
      </c>
      <c r="AN507" s="5">
        <f>data_origin!Y2837</f>
        <v>0</v>
      </c>
      <c r="AO507" s="5">
        <f>data_origin!Z2837</f>
        <v>0</v>
      </c>
      <c r="AP507" s="5">
        <f>data_origin!AA2837</f>
        <v>0</v>
      </c>
      <c r="AQ507" s="9">
        <f t="shared" si="63"/>
        <v>0</v>
      </c>
      <c r="AV507" t="s">
        <v>79</v>
      </c>
      <c r="AW507" s="5">
        <f>data_origin!T3551</f>
        <v>0</v>
      </c>
      <c r="AX507" s="5">
        <f>data_origin!U3551</f>
        <v>0</v>
      </c>
      <c r="AY507" s="5">
        <f>data_origin!V3551</f>
        <v>0</v>
      </c>
      <c r="AZ507" s="5">
        <f>data_origin!W3551</f>
        <v>0</v>
      </c>
      <c r="BA507" s="5">
        <f>data_origin!X3551</f>
        <v>0</v>
      </c>
      <c r="BB507" s="5">
        <f>data_origin!Y3551</f>
        <v>0</v>
      </c>
      <c r="BC507" s="5">
        <f>data_origin!Z3551</f>
        <v>0</v>
      </c>
      <c r="BD507" s="5">
        <f>data_origin!AA3551</f>
        <v>0</v>
      </c>
      <c r="BE507" s="9">
        <f t="shared" si="64"/>
        <v>0</v>
      </c>
    </row>
    <row r="508" spans="1:58" x14ac:dyDescent="0.25">
      <c r="D508" t="s">
        <v>80</v>
      </c>
      <c r="E508" s="38">
        <f t="shared" si="66"/>
        <v>0</v>
      </c>
      <c r="F508" s="38">
        <f t="shared" si="66"/>
        <v>0</v>
      </c>
      <c r="G508" s="38">
        <f t="shared" si="66"/>
        <v>0</v>
      </c>
      <c r="H508" s="38">
        <f t="shared" si="66"/>
        <v>0</v>
      </c>
      <c r="I508" s="38">
        <f t="shared" si="66"/>
        <v>0</v>
      </c>
      <c r="J508" s="38">
        <f t="shared" si="66"/>
        <v>3.093036759922476E-2</v>
      </c>
      <c r="K508" s="38">
        <f t="shared" si="66"/>
        <v>0</v>
      </c>
      <c r="L508" s="38">
        <f t="shared" si="65"/>
        <v>0</v>
      </c>
      <c r="M508" s="35">
        <f t="shared" si="58"/>
        <v>3.093036759922476E-2</v>
      </c>
      <c r="S508" t="s">
        <v>80</v>
      </c>
      <c r="T508" s="5">
        <f>data_origin!T591</f>
        <v>0</v>
      </c>
      <c r="U508" s="5">
        <f>data_origin!U591</f>
        <v>0</v>
      </c>
      <c r="V508" s="5">
        <f>data_origin!V591</f>
        <v>0</v>
      </c>
      <c r="W508" s="5">
        <f>data_origin!W591</f>
        <v>0</v>
      </c>
      <c r="X508" s="5">
        <f>data_origin!X591</f>
        <v>0</v>
      </c>
      <c r="Y508" s="5">
        <f>data_origin!Y591</f>
        <v>3.0303030303030304E-2</v>
      </c>
      <c r="Z508" s="5">
        <f>data_origin!Z591</f>
        <v>0</v>
      </c>
      <c r="AA508" s="5">
        <f>data_origin!AA591</f>
        <v>0</v>
      </c>
      <c r="AB508" s="5">
        <f t="shared" si="62"/>
        <v>3.0303030303030304E-2</v>
      </c>
      <c r="AH508" t="s">
        <v>80</v>
      </c>
      <c r="AI508" s="5">
        <f>data_origin!T2838</f>
        <v>0</v>
      </c>
      <c r="AJ508" s="5">
        <f>data_origin!U2838</f>
        <v>0</v>
      </c>
      <c r="AK508" s="5">
        <f>data_origin!V2838</f>
        <v>0</v>
      </c>
      <c r="AL508" s="5">
        <f>data_origin!W2838</f>
        <v>0</v>
      </c>
      <c r="AM508" s="5">
        <f>data_origin!X2838</f>
        <v>0</v>
      </c>
      <c r="AN508" s="5">
        <f>data_origin!Y2838</f>
        <v>0</v>
      </c>
      <c r="AO508" s="5">
        <f>data_origin!Z2838</f>
        <v>0</v>
      </c>
      <c r="AP508" s="5">
        <f>data_origin!AA2838</f>
        <v>0</v>
      </c>
      <c r="AQ508" s="9">
        <f t="shared" si="63"/>
        <v>0</v>
      </c>
      <c r="AV508" t="s">
        <v>80</v>
      </c>
      <c r="AW508" s="5">
        <f>data_origin!T3552</f>
        <v>0</v>
      </c>
      <c r="AX508" s="5">
        <f>data_origin!U3552</f>
        <v>0</v>
      </c>
      <c r="AY508" s="5">
        <f>data_origin!V3552</f>
        <v>0</v>
      </c>
      <c r="AZ508" s="5">
        <f>data_origin!W3552</f>
        <v>0</v>
      </c>
      <c r="BA508" s="5">
        <f>data_origin!X3552</f>
        <v>0</v>
      </c>
      <c r="BB508" s="5">
        <f>data_origin!Y3552</f>
        <v>0</v>
      </c>
      <c r="BC508" s="5">
        <f>data_origin!Z3552</f>
        <v>0</v>
      </c>
      <c r="BD508" s="5">
        <f>data_origin!AA3552</f>
        <v>0</v>
      </c>
      <c r="BE508" s="9">
        <f t="shared" si="64"/>
        <v>0</v>
      </c>
    </row>
    <row r="509" spans="1:58" x14ac:dyDescent="0.25">
      <c r="D509" t="s">
        <v>81</v>
      </c>
      <c r="E509" s="38">
        <f t="shared" si="66"/>
        <v>0</v>
      </c>
      <c r="F509" s="38">
        <f t="shared" si="66"/>
        <v>0</v>
      </c>
      <c r="G509" s="38">
        <f t="shared" si="66"/>
        <v>0</v>
      </c>
      <c r="H509" s="38">
        <f t="shared" si="66"/>
        <v>0</v>
      </c>
      <c r="I509" s="38">
        <f t="shared" si="66"/>
        <v>0</v>
      </c>
      <c r="J509" s="38">
        <f t="shared" si="66"/>
        <v>3.093036759922476E-2</v>
      </c>
      <c r="K509" s="38">
        <f t="shared" si="66"/>
        <v>0</v>
      </c>
      <c r="L509" s="38">
        <f t="shared" si="65"/>
        <v>0</v>
      </c>
      <c r="M509" s="35">
        <f t="shared" si="58"/>
        <v>3.093036759922476E-2</v>
      </c>
      <c r="S509" t="s">
        <v>81</v>
      </c>
      <c r="T509" s="5">
        <f>data_origin!T592</f>
        <v>0</v>
      </c>
      <c r="U509" s="5">
        <f>data_origin!U592</f>
        <v>0</v>
      </c>
      <c r="V509" s="5">
        <f>data_origin!V592</f>
        <v>0</v>
      </c>
      <c r="W509" s="5">
        <f>data_origin!W592</f>
        <v>0</v>
      </c>
      <c r="X509" s="5">
        <f>data_origin!X592</f>
        <v>0</v>
      </c>
      <c r="Y509" s="5">
        <f>data_origin!Y592</f>
        <v>3.0303030303030304E-2</v>
      </c>
      <c r="Z509" s="5">
        <f>data_origin!Z592</f>
        <v>0</v>
      </c>
      <c r="AA509" s="5">
        <f>data_origin!AA592</f>
        <v>0</v>
      </c>
      <c r="AB509" s="5">
        <f t="shared" si="62"/>
        <v>3.0303030303030304E-2</v>
      </c>
      <c r="AH509" t="s">
        <v>81</v>
      </c>
      <c r="AI509" s="5">
        <f>data_origin!T2839</f>
        <v>0</v>
      </c>
      <c r="AJ509" s="5">
        <f>data_origin!U2839</f>
        <v>0</v>
      </c>
      <c r="AK509" s="5">
        <f>data_origin!V2839</f>
        <v>0</v>
      </c>
      <c r="AL509" s="5">
        <f>data_origin!W2839</f>
        <v>0</v>
      </c>
      <c r="AM509" s="5">
        <f>data_origin!X2839</f>
        <v>0</v>
      </c>
      <c r="AN509" s="5">
        <f>data_origin!Y2839</f>
        <v>0</v>
      </c>
      <c r="AO509" s="5">
        <f>data_origin!Z2839</f>
        <v>0</v>
      </c>
      <c r="AP509" s="5">
        <f>data_origin!AA2839</f>
        <v>0</v>
      </c>
      <c r="AQ509" s="9">
        <f t="shared" si="63"/>
        <v>0</v>
      </c>
      <c r="AV509" t="s">
        <v>81</v>
      </c>
      <c r="AW509" s="5">
        <f>data_origin!T3553</f>
        <v>0</v>
      </c>
      <c r="AX509" s="5">
        <f>data_origin!U3553</f>
        <v>0</v>
      </c>
      <c r="AY509" s="5">
        <f>data_origin!V3553</f>
        <v>0</v>
      </c>
      <c r="AZ509" s="5">
        <f>data_origin!W3553</f>
        <v>0</v>
      </c>
      <c r="BA509" s="5">
        <f>data_origin!X3553</f>
        <v>0</v>
      </c>
      <c r="BB509" s="5">
        <f>data_origin!Y3553</f>
        <v>0</v>
      </c>
      <c r="BC509" s="5">
        <f>data_origin!Z3553</f>
        <v>0</v>
      </c>
      <c r="BD509" s="5">
        <f>data_origin!AA3553</f>
        <v>0</v>
      </c>
      <c r="BE509" s="9">
        <f t="shared" si="64"/>
        <v>0</v>
      </c>
    </row>
    <row r="510" spans="1:58" x14ac:dyDescent="0.25">
      <c r="D510" t="s">
        <v>82</v>
      </c>
      <c r="E510" s="38">
        <f t="shared" si="66"/>
        <v>0</v>
      </c>
      <c r="F510" s="38">
        <f t="shared" si="66"/>
        <v>0</v>
      </c>
      <c r="G510" s="38">
        <f t="shared" si="66"/>
        <v>0</v>
      </c>
      <c r="H510" s="38">
        <f t="shared" si="66"/>
        <v>0</v>
      </c>
      <c r="I510" s="38">
        <f t="shared" si="66"/>
        <v>0</v>
      </c>
      <c r="J510" s="38">
        <f t="shared" si="66"/>
        <v>3.093036759922476E-2</v>
      </c>
      <c r="K510" s="38">
        <f t="shared" si="66"/>
        <v>0</v>
      </c>
      <c r="L510" s="38">
        <f t="shared" si="65"/>
        <v>0</v>
      </c>
      <c r="M510" s="35">
        <f t="shared" si="58"/>
        <v>3.093036759922476E-2</v>
      </c>
      <c r="S510" t="s">
        <v>82</v>
      </c>
      <c r="T510" s="5">
        <f>data_origin!T593</f>
        <v>0</v>
      </c>
      <c r="U510" s="5">
        <f>data_origin!U593</f>
        <v>0</v>
      </c>
      <c r="V510" s="5">
        <f>data_origin!V593</f>
        <v>0</v>
      </c>
      <c r="W510" s="5">
        <f>data_origin!W593</f>
        <v>0</v>
      </c>
      <c r="X510" s="5">
        <f>data_origin!X593</f>
        <v>0</v>
      </c>
      <c r="Y510" s="5">
        <f>data_origin!Y593</f>
        <v>3.0303030303030304E-2</v>
      </c>
      <c r="Z510" s="5">
        <f>data_origin!Z593</f>
        <v>0</v>
      </c>
      <c r="AA510" s="5">
        <f>data_origin!AA593</f>
        <v>0</v>
      </c>
      <c r="AB510" s="5">
        <f t="shared" si="62"/>
        <v>3.0303030303030304E-2</v>
      </c>
      <c r="AH510" t="s">
        <v>82</v>
      </c>
      <c r="AI510" s="5">
        <f>data_origin!T2840</f>
        <v>0</v>
      </c>
      <c r="AJ510" s="5">
        <f>data_origin!U2840</f>
        <v>0</v>
      </c>
      <c r="AK510" s="5">
        <f>data_origin!V2840</f>
        <v>0</v>
      </c>
      <c r="AL510" s="5">
        <f>data_origin!W2840</f>
        <v>0</v>
      </c>
      <c r="AM510" s="5">
        <f>data_origin!X2840</f>
        <v>0</v>
      </c>
      <c r="AN510" s="5">
        <f>data_origin!Y2840</f>
        <v>0</v>
      </c>
      <c r="AO510" s="5">
        <f>data_origin!Z2840</f>
        <v>0</v>
      </c>
      <c r="AP510" s="5">
        <f>data_origin!AA2840</f>
        <v>0</v>
      </c>
      <c r="AQ510" s="9">
        <f t="shared" si="63"/>
        <v>0</v>
      </c>
      <c r="AV510" t="s">
        <v>82</v>
      </c>
      <c r="AW510" s="5">
        <f>data_origin!T3554</f>
        <v>0</v>
      </c>
      <c r="AX510" s="5">
        <f>data_origin!U3554</f>
        <v>0</v>
      </c>
      <c r="AY510" s="5">
        <f>data_origin!V3554</f>
        <v>0</v>
      </c>
      <c r="AZ510" s="5">
        <f>data_origin!W3554</f>
        <v>0</v>
      </c>
      <c r="BA510" s="5">
        <f>data_origin!X3554</f>
        <v>0</v>
      </c>
      <c r="BB510" s="5">
        <f>data_origin!Y3554</f>
        <v>0</v>
      </c>
      <c r="BC510" s="5">
        <f>data_origin!Z3554</f>
        <v>0</v>
      </c>
      <c r="BD510" s="5">
        <f>data_origin!AA3554</f>
        <v>0</v>
      </c>
      <c r="BE510" s="9">
        <f t="shared" si="64"/>
        <v>0</v>
      </c>
    </row>
    <row r="511" spans="1:58" x14ac:dyDescent="0.25">
      <c r="D511" t="s">
        <v>83</v>
      </c>
      <c r="E511" s="38">
        <f t="shared" si="66"/>
        <v>0</v>
      </c>
      <c r="F511" s="38">
        <f t="shared" si="66"/>
        <v>0</v>
      </c>
      <c r="G511" s="38">
        <f t="shared" si="66"/>
        <v>0</v>
      </c>
      <c r="H511" s="38">
        <f t="shared" si="66"/>
        <v>0</v>
      </c>
      <c r="I511" s="38">
        <f t="shared" si="66"/>
        <v>0</v>
      </c>
      <c r="J511" s="38">
        <f t="shared" si="66"/>
        <v>3.093036759922476E-2</v>
      </c>
      <c r="K511" s="38">
        <f t="shared" si="66"/>
        <v>0</v>
      </c>
      <c r="L511" s="38">
        <f t="shared" si="65"/>
        <v>0</v>
      </c>
      <c r="M511" s="35">
        <f t="shared" si="58"/>
        <v>3.093036759922476E-2</v>
      </c>
      <c r="S511" t="s">
        <v>83</v>
      </c>
      <c r="T511" s="5">
        <f>data_origin!T594</f>
        <v>0</v>
      </c>
      <c r="U511" s="5">
        <f>data_origin!U594</f>
        <v>0</v>
      </c>
      <c r="V511" s="5">
        <f>data_origin!V594</f>
        <v>0</v>
      </c>
      <c r="W511" s="5">
        <f>data_origin!W594</f>
        <v>0</v>
      </c>
      <c r="X511" s="5">
        <f>data_origin!X594</f>
        <v>0</v>
      </c>
      <c r="Y511" s="5">
        <f>data_origin!Y594</f>
        <v>3.0303030303030304E-2</v>
      </c>
      <c r="Z511" s="5">
        <f>data_origin!Z594</f>
        <v>0</v>
      </c>
      <c r="AA511" s="5">
        <f>data_origin!AA594</f>
        <v>0</v>
      </c>
      <c r="AB511" s="5">
        <f t="shared" si="62"/>
        <v>3.0303030303030304E-2</v>
      </c>
      <c r="AH511" t="s">
        <v>83</v>
      </c>
      <c r="AI511" s="5">
        <f>data_origin!T2841</f>
        <v>0</v>
      </c>
      <c r="AJ511" s="5">
        <f>data_origin!U2841</f>
        <v>0</v>
      </c>
      <c r="AK511" s="5">
        <f>data_origin!V2841</f>
        <v>0</v>
      </c>
      <c r="AL511" s="5">
        <f>data_origin!W2841</f>
        <v>0</v>
      </c>
      <c r="AM511" s="5">
        <f>data_origin!X2841</f>
        <v>0</v>
      </c>
      <c r="AN511" s="5">
        <f>data_origin!Y2841</f>
        <v>0</v>
      </c>
      <c r="AO511" s="5">
        <f>data_origin!Z2841</f>
        <v>0</v>
      </c>
      <c r="AP511" s="5">
        <f>data_origin!AA2841</f>
        <v>0</v>
      </c>
      <c r="AQ511" s="9">
        <f t="shared" si="63"/>
        <v>0</v>
      </c>
      <c r="AV511" t="s">
        <v>83</v>
      </c>
      <c r="AW511" s="5">
        <f>data_origin!T3555</f>
        <v>0</v>
      </c>
      <c r="AX511" s="5">
        <f>data_origin!U3555</f>
        <v>0</v>
      </c>
      <c r="AY511" s="5">
        <f>data_origin!V3555</f>
        <v>0</v>
      </c>
      <c r="AZ511" s="5">
        <f>data_origin!W3555</f>
        <v>0</v>
      </c>
      <c r="BA511" s="5">
        <f>data_origin!X3555</f>
        <v>0</v>
      </c>
      <c r="BB511" s="5">
        <f>data_origin!Y3555</f>
        <v>0</v>
      </c>
      <c r="BC511" s="5">
        <f>data_origin!Z3555</f>
        <v>0</v>
      </c>
      <c r="BD511" s="5">
        <f>data_origin!AA3555</f>
        <v>0</v>
      </c>
      <c r="BE511" s="9">
        <f t="shared" si="64"/>
        <v>0</v>
      </c>
    </row>
    <row r="512" spans="1:58" x14ac:dyDescent="0.25">
      <c r="D512" t="s">
        <v>84</v>
      </c>
      <c r="E512" s="38">
        <f t="shared" si="66"/>
        <v>0</v>
      </c>
      <c r="F512" s="38">
        <f t="shared" si="66"/>
        <v>0</v>
      </c>
      <c r="G512" s="38">
        <f t="shared" si="66"/>
        <v>0</v>
      </c>
      <c r="H512" s="38">
        <f t="shared" si="66"/>
        <v>0</v>
      </c>
      <c r="I512" s="38">
        <f t="shared" si="66"/>
        <v>0</v>
      </c>
      <c r="J512" s="38">
        <f t="shared" si="66"/>
        <v>3.093036759922476E-2</v>
      </c>
      <c r="K512" s="38">
        <f t="shared" si="66"/>
        <v>0</v>
      </c>
      <c r="L512" s="38">
        <f t="shared" si="65"/>
        <v>0</v>
      </c>
      <c r="M512" s="35">
        <f t="shared" si="58"/>
        <v>3.093036759922476E-2</v>
      </c>
      <c r="S512" t="s">
        <v>84</v>
      </c>
      <c r="T512" s="5">
        <f>data_origin!T595</f>
        <v>0</v>
      </c>
      <c r="U512" s="5">
        <f>data_origin!U595</f>
        <v>0</v>
      </c>
      <c r="V512" s="5">
        <f>data_origin!V595</f>
        <v>0</v>
      </c>
      <c r="W512" s="5">
        <f>data_origin!W595</f>
        <v>0</v>
      </c>
      <c r="X512" s="5">
        <f>data_origin!X595</f>
        <v>0</v>
      </c>
      <c r="Y512" s="5">
        <f>data_origin!Y595</f>
        <v>3.0303030303030304E-2</v>
      </c>
      <c r="Z512" s="5">
        <f>data_origin!Z595</f>
        <v>0</v>
      </c>
      <c r="AA512" s="5">
        <f>data_origin!AA595</f>
        <v>0</v>
      </c>
      <c r="AB512" s="5">
        <f t="shared" si="62"/>
        <v>3.0303030303030304E-2</v>
      </c>
      <c r="AH512" t="s">
        <v>84</v>
      </c>
      <c r="AI512" s="5">
        <f>data_origin!T2842</f>
        <v>0</v>
      </c>
      <c r="AJ512" s="5">
        <f>data_origin!U2842</f>
        <v>0</v>
      </c>
      <c r="AK512" s="5">
        <f>data_origin!V2842</f>
        <v>0</v>
      </c>
      <c r="AL512" s="5">
        <f>data_origin!W2842</f>
        <v>0</v>
      </c>
      <c r="AM512" s="5">
        <f>data_origin!X2842</f>
        <v>0</v>
      </c>
      <c r="AN512" s="5">
        <f>data_origin!Y2842</f>
        <v>0</v>
      </c>
      <c r="AO512" s="5">
        <f>data_origin!Z2842</f>
        <v>0</v>
      </c>
      <c r="AP512" s="5">
        <f>data_origin!AA2842</f>
        <v>0</v>
      </c>
      <c r="AQ512" s="9">
        <f t="shared" si="63"/>
        <v>0</v>
      </c>
      <c r="AV512" t="s">
        <v>84</v>
      </c>
      <c r="AW512" s="5">
        <f>data_origin!T3556</f>
        <v>0</v>
      </c>
      <c r="AX512" s="5">
        <f>data_origin!U3556</f>
        <v>0</v>
      </c>
      <c r="AY512" s="5">
        <f>data_origin!V3556</f>
        <v>0</v>
      </c>
      <c r="AZ512" s="5">
        <f>data_origin!W3556</f>
        <v>0</v>
      </c>
      <c r="BA512" s="5">
        <f>data_origin!X3556</f>
        <v>0</v>
      </c>
      <c r="BB512" s="5">
        <f>data_origin!Y3556</f>
        <v>0</v>
      </c>
      <c r="BC512" s="5">
        <f>data_origin!Z3556</f>
        <v>0</v>
      </c>
      <c r="BD512" s="5">
        <f>data_origin!AA3556</f>
        <v>0</v>
      </c>
      <c r="BE512" s="9">
        <f t="shared" si="64"/>
        <v>0</v>
      </c>
    </row>
    <row r="513" spans="4:57" x14ac:dyDescent="0.25">
      <c r="D513" t="s">
        <v>85</v>
      </c>
      <c r="E513" s="38">
        <f t="shared" si="66"/>
        <v>0</v>
      </c>
      <c r="F513" s="38">
        <f t="shared" si="66"/>
        <v>0</v>
      </c>
      <c r="G513" s="38">
        <f t="shared" si="66"/>
        <v>0</v>
      </c>
      <c r="H513" s="38">
        <f t="shared" si="66"/>
        <v>0</v>
      </c>
      <c r="I513" s="38">
        <f t="shared" si="66"/>
        <v>0</v>
      </c>
      <c r="J513" s="38">
        <f t="shared" si="66"/>
        <v>3.093036759922476E-2</v>
      </c>
      <c r="K513" s="38">
        <f t="shared" si="66"/>
        <v>0</v>
      </c>
      <c r="L513" s="38">
        <f t="shared" si="65"/>
        <v>0</v>
      </c>
      <c r="M513" s="35">
        <f t="shared" si="58"/>
        <v>3.093036759922476E-2</v>
      </c>
      <c r="S513" t="s">
        <v>85</v>
      </c>
      <c r="T513" s="5">
        <f>data_origin!T596</f>
        <v>0</v>
      </c>
      <c r="U513" s="5">
        <f>data_origin!U596</f>
        <v>0</v>
      </c>
      <c r="V513" s="5">
        <f>data_origin!V596</f>
        <v>0</v>
      </c>
      <c r="W513" s="5">
        <f>data_origin!W596</f>
        <v>0</v>
      </c>
      <c r="X513" s="5">
        <f>data_origin!X596</f>
        <v>0</v>
      </c>
      <c r="Y513" s="5">
        <f>data_origin!Y596</f>
        <v>3.0303030303030304E-2</v>
      </c>
      <c r="Z513" s="5">
        <f>data_origin!Z596</f>
        <v>0</v>
      </c>
      <c r="AA513" s="5">
        <f>data_origin!AA596</f>
        <v>0</v>
      </c>
      <c r="AB513" s="5">
        <f t="shared" si="62"/>
        <v>3.0303030303030304E-2</v>
      </c>
      <c r="AH513" t="s">
        <v>85</v>
      </c>
      <c r="AI513" s="5">
        <f>data_origin!T2843</f>
        <v>0</v>
      </c>
      <c r="AJ513" s="5">
        <f>data_origin!U2843</f>
        <v>0</v>
      </c>
      <c r="AK513" s="5">
        <f>data_origin!V2843</f>
        <v>0</v>
      </c>
      <c r="AL513" s="5">
        <f>data_origin!W2843</f>
        <v>0</v>
      </c>
      <c r="AM513" s="5">
        <f>data_origin!X2843</f>
        <v>0</v>
      </c>
      <c r="AN513" s="5">
        <f>data_origin!Y2843</f>
        <v>0</v>
      </c>
      <c r="AO513" s="5">
        <f>data_origin!Z2843</f>
        <v>0</v>
      </c>
      <c r="AP513" s="5">
        <f>data_origin!AA2843</f>
        <v>0</v>
      </c>
      <c r="AQ513" s="9">
        <f t="shared" si="63"/>
        <v>0</v>
      </c>
      <c r="AV513" t="s">
        <v>85</v>
      </c>
      <c r="AW513" s="5">
        <f>data_origin!T3557</f>
        <v>0</v>
      </c>
      <c r="AX513" s="5">
        <f>data_origin!U3557</f>
        <v>0</v>
      </c>
      <c r="AY513" s="5">
        <f>data_origin!V3557</f>
        <v>0</v>
      </c>
      <c r="AZ513" s="5">
        <f>data_origin!W3557</f>
        <v>0</v>
      </c>
      <c r="BA513" s="5">
        <f>data_origin!X3557</f>
        <v>0</v>
      </c>
      <c r="BB513" s="5">
        <f>data_origin!Y3557</f>
        <v>0</v>
      </c>
      <c r="BC513" s="5">
        <f>data_origin!Z3557</f>
        <v>0</v>
      </c>
      <c r="BD513" s="5">
        <f>data_origin!AA3557</f>
        <v>0</v>
      </c>
      <c r="BE513" s="9">
        <f t="shared" si="64"/>
        <v>0</v>
      </c>
    </row>
    <row r="514" spans="4:57" x14ac:dyDescent="0.25">
      <c r="D514" t="s">
        <v>86</v>
      </c>
      <c r="E514" s="38">
        <f t="shared" si="66"/>
        <v>0</v>
      </c>
      <c r="F514" s="38">
        <f t="shared" si="66"/>
        <v>0</v>
      </c>
      <c r="G514" s="38">
        <f t="shared" si="66"/>
        <v>0</v>
      </c>
      <c r="H514" s="38">
        <f t="shared" si="66"/>
        <v>0</v>
      </c>
      <c r="I514" s="38">
        <f t="shared" si="66"/>
        <v>0</v>
      </c>
      <c r="J514" s="38">
        <f t="shared" si="66"/>
        <v>3.093036759922476E-2</v>
      </c>
      <c r="K514" s="38">
        <f t="shared" si="66"/>
        <v>0</v>
      </c>
      <c r="L514" s="38">
        <f t="shared" si="65"/>
        <v>0</v>
      </c>
      <c r="M514" s="35">
        <f t="shared" si="58"/>
        <v>3.093036759922476E-2</v>
      </c>
      <c r="S514" t="s">
        <v>86</v>
      </c>
      <c r="T514" s="5">
        <f>data_origin!T597</f>
        <v>0</v>
      </c>
      <c r="U514" s="5">
        <f>data_origin!U597</f>
        <v>0</v>
      </c>
      <c r="V514" s="5">
        <f>data_origin!V597</f>
        <v>0</v>
      </c>
      <c r="W514" s="5">
        <f>data_origin!W597</f>
        <v>0</v>
      </c>
      <c r="X514" s="5">
        <f>data_origin!X597</f>
        <v>0</v>
      </c>
      <c r="Y514" s="5">
        <f>data_origin!Y597</f>
        <v>3.0303030303030304E-2</v>
      </c>
      <c r="Z514" s="5">
        <f>data_origin!Z597</f>
        <v>0</v>
      </c>
      <c r="AA514" s="5">
        <f>data_origin!AA597</f>
        <v>0</v>
      </c>
      <c r="AB514" s="5">
        <f t="shared" si="62"/>
        <v>3.0303030303030304E-2</v>
      </c>
      <c r="AH514" t="s">
        <v>86</v>
      </c>
      <c r="AI514" s="5">
        <f>data_origin!T2844</f>
        <v>0</v>
      </c>
      <c r="AJ514" s="5">
        <f>data_origin!U2844</f>
        <v>0</v>
      </c>
      <c r="AK514" s="5">
        <f>data_origin!V2844</f>
        <v>0</v>
      </c>
      <c r="AL514" s="5">
        <f>data_origin!W2844</f>
        <v>0</v>
      </c>
      <c r="AM514" s="5">
        <f>data_origin!X2844</f>
        <v>0</v>
      </c>
      <c r="AN514" s="5">
        <f>data_origin!Y2844</f>
        <v>0</v>
      </c>
      <c r="AO514" s="5">
        <f>data_origin!Z2844</f>
        <v>0</v>
      </c>
      <c r="AP514" s="5">
        <f>data_origin!AA2844</f>
        <v>0</v>
      </c>
      <c r="AQ514" s="9">
        <f t="shared" si="63"/>
        <v>0</v>
      </c>
      <c r="AV514" t="s">
        <v>86</v>
      </c>
      <c r="AW514" s="5">
        <f>data_origin!T3558</f>
        <v>0</v>
      </c>
      <c r="AX514" s="5">
        <f>data_origin!U3558</f>
        <v>0</v>
      </c>
      <c r="AY514" s="5">
        <f>data_origin!V3558</f>
        <v>0</v>
      </c>
      <c r="AZ514" s="5">
        <f>data_origin!W3558</f>
        <v>0</v>
      </c>
      <c r="BA514" s="5">
        <f>data_origin!X3558</f>
        <v>0</v>
      </c>
      <c r="BB514" s="5">
        <f>data_origin!Y3558</f>
        <v>0</v>
      </c>
      <c r="BC514" s="5">
        <f>data_origin!Z3558</f>
        <v>0</v>
      </c>
      <c r="BD514" s="5">
        <f>data_origin!AA3558</f>
        <v>0</v>
      </c>
      <c r="BE514" s="9">
        <f t="shared" si="64"/>
        <v>0</v>
      </c>
    </row>
    <row r="515" spans="4:57" x14ac:dyDescent="0.25">
      <c r="D515" t="s">
        <v>87</v>
      </c>
      <c r="E515" s="38">
        <f t="shared" si="66"/>
        <v>0</v>
      </c>
      <c r="F515" s="38">
        <f t="shared" si="66"/>
        <v>0</v>
      </c>
      <c r="G515" s="38">
        <f t="shared" si="66"/>
        <v>0</v>
      </c>
      <c r="H515" s="38">
        <f t="shared" si="66"/>
        <v>0</v>
      </c>
      <c r="I515" s="38">
        <f t="shared" si="66"/>
        <v>0</v>
      </c>
      <c r="J515" s="38">
        <f t="shared" si="66"/>
        <v>3.093036759922476E-2</v>
      </c>
      <c r="K515" s="38">
        <f t="shared" si="66"/>
        <v>0</v>
      </c>
      <c r="L515" s="38">
        <f t="shared" si="65"/>
        <v>0</v>
      </c>
      <c r="M515" s="35">
        <f t="shared" si="58"/>
        <v>3.093036759922476E-2</v>
      </c>
      <c r="S515" t="s">
        <v>87</v>
      </c>
      <c r="T515" s="5">
        <f>data_origin!T598</f>
        <v>0</v>
      </c>
      <c r="U515" s="5">
        <f>data_origin!U598</f>
        <v>0</v>
      </c>
      <c r="V515" s="5">
        <f>data_origin!V598</f>
        <v>0</v>
      </c>
      <c r="W515" s="5">
        <f>data_origin!W598</f>
        <v>0</v>
      </c>
      <c r="X515" s="5">
        <f>data_origin!X598</f>
        <v>0</v>
      </c>
      <c r="Y515" s="5">
        <f>data_origin!Y598</f>
        <v>3.0303030303030304E-2</v>
      </c>
      <c r="Z515" s="5">
        <f>data_origin!Z598</f>
        <v>0</v>
      </c>
      <c r="AA515" s="5">
        <f>data_origin!AA598</f>
        <v>0</v>
      </c>
      <c r="AB515" s="5">
        <f t="shared" si="62"/>
        <v>3.0303030303030304E-2</v>
      </c>
      <c r="AH515" t="s">
        <v>87</v>
      </c>
      <c r="AI515" s="5">
        <f>data_origin!T2845</f>
        <v>0</v>
      </c>
      <c r="AJ515" s="5">
        <f>data_origin!U2845</f>
        <v>0</v>
      </c>
      <c r="AK515" s="5">
        <f>data_origin!V2845</f>
        <v>0</v>
      </c>
      <c r="AL515" s="5">
        <f>data_origin!W2845</f>
        <v>1</v>
      </c>
      <c r="AM515" s="5">
        <f>data_origin!X2845</f>
        <v>0</v>
      </c>
      <c r="AN515" s="5">
        <f>data_origin!Y2845</f>
        <v>0</v>
      </c>
      <c r="AO515" s="5">
        <f>data_origin!Z2845</f>
        <v>0</v>
      </c>
      <c r="AP515" s="5">
        <f>data_origin!AA2845</f>
        <v>0</v>
      </c>
      <c r="AQ515" s="9">
        <f t="shared" si="63"/>
        <v>1</v>
      </c>
      <c r="AV515" t="s">
        <v>87</v>
      </c>
      <c r="AW515" s="5">
        <f>data_origin!T3559</f>
        <v>0</v>
      </c>
      <c r="AX515" s="5">
        <f>data_origin!U3559</f>
        <v>0</v>
      </c>
      <c r="AY515" s="5">
        <f>data_origin!V3559</f>
        <v>0</v>
      </c>
      <c r="AZ515" s="5">
        <f>data_origin!W3559</f>
        <v>0</v>
      </c>
      <c r="BA515" s="5">
        <f>data_origin!X3559</f>
        <v>0</v>
      </c>
      <c r="BB515" s="5">
        <f>data_origin!Y3559</f>
        <v>0</v>
      </c>
      <c r="BC515" s="5">
        <f>data_origin!Z3559</f>
        <v>0</v>
      </c>
      <c r="BD515" s="5">
        <f>data_origin!AA3559</f>
        <v>0</v>
      </c>
      <c r="BE515" s="9">
        <f t="shared" si="64"/>
        <v>0</v>
      </c>
    </row>
    <row r="516" spans="4:57" x14ac:dyDescent="0.25">
      <c r="D516" t="s">
        <v>88</v>
      </c>
      <c r="E516" s="38">
        <f t="shared" si="66"/>
        <v>0</v>
      </c>
      <c r="F516" s="38">
        <f t="shared" si="66"/>
        <v>0</v>
      </c>
      <c r="G516" s="38">
        <f t="shared" si="66"/>
        <v>0</v>
      </c>
      <c r="H516" s="38">
        <f t="shared" si="66"/>
        <v>0</v>
      </c>
      <c r="I516" s="38">
        <f t="shared" si="66"/>
        <v>0</v>
      </c>
      <c r="J516" s="38">
        <f t="shared" si="66"/>
        <v>3.093036759922476E-2</v>
      </c>
      <c r="K516" s="38">
        <f t="shared" si="66"/>
        <v>0</v>
      </c>
      <c r="L516" s="38">
        <f t="shared" si="65"/>
        <v>0</v>
      </c>
      <c r="M516" s="35">
        <f t="shared" si="58"/>
        <v>3.093036759922476E-2</v>
      </c>
      <c r="S516" t="s">
        <v>88</v>
      </c>
      <c r="T516" s="5">
        <f>data_origin!T599</f>
        <v>0</v>
      </c>
      <c r="U516" s="5">
        <f>data_origin!U599</f>
        <v>0</v>
      </c>
      <c r="V516" s="5">
        <f>data_origin!V599</f>
        <v>0</v>
      </c>
      <c r="W516" s="5">
        <f>data_origin!W599</f>
        <v>0</v>
      </c>
      <c r="X516" s="5">
        <f>data_origin!X599</f>
        <v>0</v>
      </c>
      <c r="Y516" s="5">
        <f>data_origin!Y599</f>
        <v>3.0303030303030304E-2</v>
      </c>
      <c r="Z516" s="5">
        <f>data_origin!Z599</f>
        <v>0</v>
      </c>
      <c r="AA516" s="5">
        <f>data_origin!AA599</f>
        <v>0</v>
      </c>
      <c r="AB516" s="5">
        <f t="shared" si="62"/>
        <v>3.0303030303030304E-2</v>
      </c>
      <c r="AH516" t="s">
        <v>88</v>
      </c>
      <c r="AI516" s="5">
        <f>data_origin!T2846</f>
        <v>0</v>
      </c>
      <c r="AJ516" s="5">
        <f>data_origin!U2846</f>
        <v>0</v>
      </c>
      <c r="AK516" s="5">
        <f>data_origin!V2846</f>
        <v>0</v>
      </c>
      <c r="AL516" s="5">
        <f>data_origin!W2846</f>
        <v>0</v>
      </c>
      <c r="AM516" s="5">
        <f>data_origin!X2846</f>
        <v>0</v>
      </c>
      <c r="AN516" s="5">
        <f>data_origin!Y2846</f>
        <v>0</v>
      </c>
      <c r="AO516" s="5">
        <f>data_origin!Z2846</f>
        <v>0</v>
      </c>
      <c r="AP516" s="5">
        <f>data_origin!AA2846</f>
        <v>0</v>
      </c>
      <c r="AQ516" s="9">
        <f t="shared" si="63"/>
        <v>0</v>
      </c>
      <c r="AV516" t="s">
        <v>88</v>
      </c>
      <c r="AW516" s="5">
        <f>data_origin!T3560</f>
        <v>0</v>
      </c>
      <c r="AX516" s="5">
        <f>data_origin!U3560</f>
        <v>0</v>
      </c>
      <c r="AY516" s="5">
        <f>data_origin!V3560</f>
        <v>0</v>
      </c>
      <c r="AZ516" s="5">
        <f>data_origin!W3560</f>
        <v>0</v>
      </c>
      <c r="BA516" s="5">
        <f>data_origin!X3560</f>
        <v>0</v>
      </c>
      <c r="BB516" s="5">
        <f>data_origin!Y3560</f>
        <v>0</v>
      </c>
      <c r="BC516" s="5">
        <f>data_origin!Z3560</f>
        <v>0</v>
      </c>
      <c r="BD516" s="5">
        <f>data_origin!AA3560</f>
        <v>0</v>
      </c>
      <c r="BE516" s="9">
        <f t="shared" si="64"/>
        <v>0</v>
      </c>
    </row>
    <row r="517" spans="4:57" x14ac:dyDescent="0.25">
      <c r="D517" t="s">
        <v>89</v>
      </c>
      <c r="E517" s="38">
        <f t="shared" si="66"/>
        <v>0</v>
      </c>
      <c r="F517" s="38">
        <f t="shared" si="66"/>
        <v>0</v>
      </c>
      <c r="G517" s="38">
        <f t="shared" si="66"/>
        <v>0</v>
      </c>
      <c r="H517" s="38">
        <f t="shared" si="66"/>
        <v>2.0249577690136826</v>
      </c>
      <c r="I517" s="38">
        <f t="shared" si="66"/>
        <v>2.7989878338623604</v>
      </c>
      <c r="J517" s="38">
        <f t="shared" si="66"/>
        <v>3.093036759922476E-2</v>
      </c>
      <c r="K517" s="38">
        <f t="shared" si="66"/>
        <v>0</v>
      </c>
      <c r="L517" s="38">
        <f t="shared" si="65"/>
        <v>0</v>
      </c>
      <c r="M517" s="35">
        <f t="shared" si="58"/>
        <v>4.8548759704752671</v>
      </c>
      <c r="S517" t="s">
        <v>89</v>
      </c>
      <c r="T517" s="5">
        <f>data_origin!T600</f>
        <v>0</v>
      </c>
      <c r="U517" s="5">
        <f>data_origin!U600</f>
        <v>0</v>
      </c>
      <c r="V517" s="5">
        <f>data_origin!V600</f>
        <v>0</v>
      </c>
      <c r="W517" s="5">
        <f>data_origin!W600</f>
        <v>2</v>
      </c>
      <c r="X517" s="5">
        <f>data_origin!X600</f>
        <v>2.75</v>
      </c>
      <c r="Y517" s="5">
        <f>data_origin!Y600</f>
        <v>3.0303030303030304E-2</v>
      </c>
      <c r="Z517" s="5">
        <f>data_origin!Z600</f>
        <v>0</v>
      </c>
      <c r="AA517" s="5">
        <f>data_origin!AA600</f>
        <v>0</v>
      </c>
      <c r="AB517" s="5">
        <f t="shared" si="62"/>
        <v>4.7803030303030303</v>
      </c>
      <c r="AH517" t="s">
        <v>89</v>
      </c>
      <c r="AI517" s="5">
        <f>data_origin!T2847</f>
        <v>0</v>
      </c>
      <c r="AJ517" s="5">
        <f>data_origin!U2847</f>
        <v>0</v>
      </c>
      <c r="AK517" s="5">
        <f>data_origin!V2847</f>
        <v>0</v>
      </c>
      <c r="AL517" s="5">
        <f>data_origin!W2847</f>
        <v>0</v>
      </c>
      <c r="AM517" s="5">
        <f>data_origin!X2847</f>
        <v>0</v>
      </c>
      <c r="AN517" s="5">
        <f>data_origin!Y2847</f>
        <v>0</v>
      </c>
      <c r="AO517" s="5">
        <f>data_origin!Z2847</f>
        <v>0</v>
      </c>
      <c r="AP517" s="5">
        <f>data_origin!AA2847</f>
        <v>0</v>
      </c>
      <c r="AQ517" s="9">
        <f t="shared" si="63"/>
        <v>0</v>
      </c>
      <c r="AV517" t="s">
        <v>89</v>
      </c>
      <c r="AW517" s="5">
        <f>data_origin!T3561</f>
        <v>0</v>
      </c>
      <c r="AX517" s="5">
        <f>data_origin!U3561</f>
        <v>0</v>
      </c>
      <c r="AY517" s="5">
        <f>data_origin!V3561</f>
        <v>0</v>
      </c>
      <c r="AZ517" s="5">
        <f>data_origin!W3561</f>
        <v>0</v>
      </c>
      <c r="BA517" s="5">
        <f>data_origin!X3561</f>
        <v>0</v>
      </c>
      <c r="BB517" s="5">
        <f>data_origin!Y3561</f>
        <v>0</v>
      </c>
      <c r="BC517" s="5">
        <f>data_origin!Z3561</f>
        <v>0</v>
      </c>
      <c r="BD517" s="5">
        <f>data_origin!AA3561</f>
        <v>0</v>
      </c>
      <c r="BE517" s="9">
        <f t="shared" si="64"/>
        <v>0</v>
      </c>
    </row>
    <row r="518" spans="4:57" x14ac:dyDescent="0.25">
      <c r="D518" t="s">
        <v>90</v>
      </c>
      <c r="E518" s="38">
        <f t="shared" si="66"/>
        <v>0</v>
      </c>
      <c r="F518" s="38">
        <f t="shared" si="66"/>
        <v>0</v>
      </c>
      <c r="G518" s="38">
        <f t="shared" si="66"/>
        <v>0</v>
      </c>
      <c r="H518" s="38">
        <f t="shared" si="66"/>
        <v>0</v>
      </c>
      <c r="I518" s="38">
        <f t="shared" si="66"/>
        <v>0</v>
      </c>
      <c r="J518" s="38">
        <f t="shared" si="66"/>
        <v>3.093036759922476E-2</v>
      </c>
      <c r="K518" s="38">
        <f t="shared" si="66"/>
        <v>0</v>
      </c>
      <c r="L518" s="38">
        <f t="shared" si="65"/>
        <v>0</v>
      </c>
      <c r="M518" s="35">
        <f t="shared" si="58"/>
        <v>3.093036759922476E-2</v>
      </c>
      <c r="S518" t="s">
        <v>90</v>
      </c>
      <c r="T518" s="5">
        <f>data_origin!T601</f>
        <v>0</v>
      </c>
      <c r="U518" s="5">
        <f>data_origin!U601</f>
        <v>0</v>
      </c>
      <c r="V518" s="5">
        <f>data_origin!V601</f>
        <v>0</v>
      </c>
      <c r="W518" s="5">
        <f>data_origin!W601</f>
        <v>0</v>
      </c>
      <c r="X518" s="5">
        <f>data_origin!X601</f>
        <v>0</v>
      </c>
      <c r="Y518" s="5">
        <f>data_origin!Y601</f>
        <v>3.0303030303030304E-2</v>
      </c>
      <c r="Z518" s="5">
        <f>data_origin!Z601</f>
        <v>0</v>
      </c>
      <c r="AA518" s="5">
        <f>data_origin!AA601</f>
        <v>0</v>
      </c>
      <c r="AB518" s="5">
        <f t="shared" si="62"/>
        <v>3.0303030303030304E-2</v>
      </c>
      <c r="AH518" t="s">
        <v>90</v>
      </c>
      <c r="AI518" s="5">
        <f>data_origin!T2848</f>
        <v>0</v>
      </c>
      <c r="AJ518" s="5">
        <f>data_origin!U2848</f>
        <v>0</v>
      </c>
      <c r="AK518" s="5">
        <f>data_origin!V2848</f>
        <v>0</v>
      </c>
      <c r="AL518" s="5">
        <f>data_origin!W2848</f>
        <v>0</v>
      </c>
      <c r="AM518" s="5">
        <f>data_origin!X2848</f>
        <v>0</v>
      </c>
      <c r="AN518" s="5">
        <f>data_origin!Y2848</f>
        <v>0</v>
      </c>
      <c r="AO518" s="5">
        <f>data_origin!Z2848</f>
        <v>0</v>
      </c>
      <c r="AP518" s="5">
        <f>data_origin!AA2848</f>
        <v>0</v>
      </c>
      <c r="AQ518" s="9">
        <f t="shared" si="63"/>
        <v>0</v>
      </c>
      <c r="AV518" t="s">
        <v>90</v>
      </c>
      <c r="AW518" s="5">
        <f>data_origin!T3562</f>
        <v>0</v>
      </c>
      <c r="AX518" s="5">
        <f>data_origin!U3562</f>
        <v>0</v>
      </c>
      <c r="AY518" s="5">
        <f>data_origin!V3562</f>
        <v>0</v>
      </c>
      <c r="AZ518" s="5">
        <f>data_origin!W3562</f>
        <v>0</v>
      </c>
      <c r="BA518" s="5">
        <f>data_origin!X3562</f>
        <v>0</v>
      </c>
      <c r="BB518" s="5">
        <f>data_origin!Y3562</f>
        <v>0</v>
      </c>
      <c r="BC518" s="5">
        <f>data_origin!Z3562</f>
        <v>0</v>
      </c>
      <c r="BD518" s="5">
        <f>data_origin!AA3562</f>
        <v>0</v>
      </c>
      <c r="BE518" s="9">
        <f t="shared" si="64"/>
        <v>0</v>
      </c>
    </row>
    <row r="519" spans="4:57" x14ac:dyDescent="0.25">
      <c r="D519" t="s">
        <v>91</v>
      </c>
      <c r="E519" s="38">
        <f t="shared" si="66"/>
        <v>0</v>
      </c>
      <c r="F519" s="38">
        <f t="shared" si="66"/>
        <v>0</v>
      </c>
      <c r="G519" s="38">
        <f t="shared" si="66"/>
        <v>0</v>
      </c>
      <c r="H519" s="38">
        <f t="shared" si="66"/>
        <v>0</v>
      </c>
      <c r="I519" s="38">
        <f t="shared" si="66"/>
        <v>0</v>
      </c>
      <c r="J519" s="38">
        <f t="shared" si="66"/>
        <v>3.093036759922476E-2</v>
      </c>
      <c r="K519" s="38">
        <f t="shared" si="66"/>
        <v>0</v>
      </c>
      <c r="L519" s="38">
        <f t="shared" si="65"/>
        <v>0</v>
      </c>
      <c r="M519" s="35">
        <f t="shared" si="58"/>
        <v>3.093036759922476E-2</v>
      </c>
      <c r="S519" t="s">
        <v>91</v>
      </c>
      <c r="T519" s="5">
        <f>data_origin!T602</f>
        <v>0</v>
      </c>
      <c r="U519" s="5">
        <f>data_origin!U602</f>
        <v>0</v>
      </c>
      <c r="V519" s="5">
        <f>data_origin!V602</f>
        <v>0</v>
      </c>
      <c r="W519" s="5">
        <f>data_origin!W602</f>
        <v>0</v>
      </c>
      <c r="X519" s="5">
        <f>data_origin!X602</f>
        <v>0</v>
      </c>
      <c r="Y519" s="5">
        <f>data_origin!Y602</f>
        <v>3.0303030303030304E-2</v>
      </c>
      <c r="Z519" s="5">
        <f>data_origin!Z602</f>
        <v>0</v>
      </c>
      <c r="AA519" s="5">
        <f>data_origin!AA602</f>
        <v>0</v>
      </c>
      <c r="AB519" s="5">
        <f t="shared" si="62"/>
        <v>3.0303030303030304E-2</v>
      </c>
      <c r="AH519" t="s">
        <v>91</v>
      </c>
      <c r="AI519" s="5">
        <f>data_origin!T2849</f>
        <v>0</v>
      </c>
      <c r="AJ519" s="5">
        <f>data_origin!U2849</f>
        <v>0</v>
      </c>
      <c r="AK519" s="5">
        <f>data_origin!V2849</f>
        <v>0</v>
      </c>
      <c r="AL519" s="5">
        <f>data_origin!W2849</f>
        <v>0</v>
      </c>
      <c r="AM519" s="5">
        <f>data_origin!X2849</f>
        <v>0</v>
      </c>
      <c r="AN519" s="5">
        <f>data_origin!Y2849</f>
        <v>0</v>
      </c>
      <c r="AO519" s="5">
        <f>data_origin!Z2849</f>
        <v>0</v>
      </c>
      <c r="AP519" s="5">
        <f>data_origin!AA2849</f>
        <v>0</v>
      </c>
      <c r="AQ519" s="9">
        <f t="shared" si="63"/>
        <v>0</v>
      </c>
      <c r="AV519" t="s">
        <v>91</v>
      </c>
      <c r="AW519" s="5">
        <f>data_origin!T3563</f>
        <v>0</v>
      </c>
      <c r="AX519" s="5">
        <f>data_origin!U3563</f>
        <v>0</v>
      </c>
      <c r="AY519" s="5">
        <f>data_origin!V3563</f>
        <v>0</v>
      </c>
      <c r="AZ519" s="5">
        <f>data_origin!W3563</f>
        <v>0</v>
      </c>
      <c r="BA519" s="5">
        <f>data_origin!X3563</f>
        <v>0</v>
      </c>
      <c r="BB519" s="5">
        <f>data_origin!Y3563</f>
        <v>0</v>
      </c>
      <c r="BC519" s="5">
        <f>data_origin!Z3563</f>
        <v>0</v>
      </c>
      <c r="BD519" s="5">
        <f>data_origin!AA3563</f>
        <v>0</v>
      </c>
      <c r="BE519" s="9">
        <f t="shared" si="64"/>
        <v>0</v>
      </c>
    </row>
    <row r="520" spans="4:57" x14ac:dyDescent="0.25">
      <c r="D520" t="s">
        <v>92</v>
      </c>
      <c r="E520" s="38">
        <f t="shared" si="66"/>
        <v>0</v>
      </c>
      <c r="F520" s="38">
        <f t="shared" si="66"/>
        <v>0</v>
      </c>
      <c r="G520" s="38">
        <f t="shared" si="66"/>
        <v>0</v>
      </c>
      <c r="H520" s="38">
        <f t="shared" si="66"/>
        <v>0</v>
      </c>
      <c r="I520" s="38">
        <f t="shared" si="66"/>
        <v>0</v>
      </c>
      <c r="J520" s="38">
        <f t="shared" si="66"/>
        <v>3.093036759922476E-2</v>
      </c>
      <c r="K520" s="38">
        <f t="shared" si="66"/>
        <v>0</v>
      </c>
      <c r="L520" s="38">
        <f t="shared" si="65"/>
        <v>0</v>
      </c>
      <c r="M520" s="35">
        <f t="shared" si="58"/>
        <v>3.093036759922476E-2</v>
      </c>
      <c r="S520" t="s">
        <v>92</v>
      </c>
      <c r="T520" s="5">
        <f>data_origin!T603</f>
        <v>0</v>
      </c>
      <c r="U520" s="5">
        <f>data_origin!U603</f>
        <v>0</v>
      </c>
      <c r="V520" s="5">
        <f>data_origin!V603</f>
        <v>0</v>
      </c>
      <c r="W520" s="5">
        <f>data_origin!W603</f>
        <v>0</v>
      </c>
      <c r="X520" s="5">
        <f>data_origin!X603</f>
        <v>0</v>
      </c>
      <c r="Y520" s="5">
        <f>data_origin!Y603</f>
        <v>3.0303030303030304E-2</v>
      </c>
      <c r="Z520" s="5">
        <f>data_origin!Z603</f>
        <v>0</v>
      </c>
      <c r="AA520" s="5">
        <f>data_origin!AA603</f>
        <v>0</v>
      </c>
      <c r="AB520" s="5">
        <f t="shared" si="62"/>
        <v>3.0303030303030304E-2</v>
      </c>
      <c r="AH520" t="s">
        <v>92</v>
      </c>
      <c r="AI520" s="5">
        <f>data_origin!T2850</f>
        <v>0</v>
      </c>
      <c r="AJ520" s="5">
        <f>data_origin!U2850</f>
        <v>0</v>
      </c>
      <c r="AK520" s="5">
        <f>data_origin!V2850</f>
        <v>0</v>
      </c>
      <c r="AL520" s="5">
        <f>data_origin!W2850</f>
        <v>0</v>
      </c>
      <c r="AM520" s="5">
        <f>data_origin!X2850</f>
        <v>0</v>
      </c>
      <c r="AN520" s="5">
        <f>data_origin!Y2850</f>
        <v>0</v>
      </c>
      <c r="AO520" s="5">
        <f>data_origin!Z2850</f>
        <v>0</v>
      </c>
      <c r="AP520" s="5">
        <f>data_origin!AA2850</f>
        <v>0</v>
      </c>
      <c r="AQ520" s="9">
        <f t="shared" si="63"/>
        <v>0</v>
      </c>
      <c r="AV520" t="s">
        <v>92</v>
      </c>
      <c r="AW520" s="5">
        <f>data_origin!T3564</f>
        <v>0</v>
      </c>
      <c r="AX520" s="5">
        <f>data_origin!U3564</f>
        <v>0</v>
      </c>
      <c r="AY520" s="5">
        <f>data_origin!V3564</f>
        <v>0</v>
      </c>
      <c r="AZ520" s="5">
        <f>data_origin!W3564</f>
        <v>0</v>
      </c>
      <c r="BA520" s="5">
        <f>data_origin!X3564</f>
        <v>0</v>
      </c>
      <c r="BB520" s="5">
        <f>data_origin!Y3564</f>
        <v>0</v>
      </c>
      <c r="BC520" s="5">
        <f>data_origin!Z3564</f>
        <v>0</v>
      </c>
      <c r="BD520" s="5">
        <f>data_origin!AA3564</f>
        <v>0</v>
      </c>
      <c r="BE520" s="9">
        <f t="shared" si="64"/>
        <v>0</v>
      </c>
    </row>
    <row r="521" spans="4:57" x14ac:dyDescent="0.25">
      <c r="D521" t="s">
        <v>93</v>
      </c>
      <c r="E521" s="38">
        <f t="shared" si="66"/>
        <v>0</v>
      </c>
      <c r="F521" s="38">
        <f t="shared" si="66"/>
        <v>0</v>
      </c>
      <c r="G521" s="38">
        <f t="shared" si="66"/>
        <v>0</v>
      </c>
      <c r="H521" s="38">
        <f t="shared" si="66"/>
        <v>0</v>
      </c>
      <c r="I521" s="38">
        <f t="shared" si="66"/>
        <v>0</v>
      </c>
      <c r="J521" s="38">
        <f t="shared" si="66"/>
        <v>3.093036759922476E-2</v>
      </c>
      <c r="K521" s="38">
        <f t="shared" si="66"/>
        <v>0</v>
      </c>
      <c r="L521" s="38">
        <f t="shared" si="65"/>
        <v>0</v>
      </c>
      <c r="M521" s="35">
        <f t="shared" ref="M521:M584" si="67">SUM(E521:L521)</f>
        <v>3.093036759922476E-2</v>
      </c>
      <c r="S521" t="s">
        <v>93</v>
      </c>
      <c r="T521" s="5">
        <f>data_origin!T604</f>
        <v>0</v>
      </c>
      <c r="U521" s="5">
        <f>data_origin!U604</f>
        <v>0</v>
      </c>
      <c r="V521" s="5">
        <f>data_origin!V604</f>
        <v>0</v>
      </c>
      <c r="W521" s="5">
        <f>data_origin!W604</f>
        <v>0</v>
      </c>
      <c r="X521" s="5">
        <f>data_origin!X604</f>
        <v>0</v>
      </c>
      <c r="Y521" s="5">
        <f>data_origin!Y604</f>
        <v>3.0303030303030304E-2</v>
      </c>
      <c r="Z521" s="5">
        <f>data_origin!Z604</f>
        <v>0</v>
      </c>
      <c r="AA521" s="5">
        <f>data_origin!AA604</f>
        <v>0</v>
      </c>
      <c r="AB521" s="5">
        <f t="shared" si="62"/>
        <v>3.0303030303030304E-2</v>
      </c>
      <c r="AH521" t="s">
        <v>93</v>
      </c>
      <c r="AI521" s="5">
        <f>data_origin!T2851</f>
        <v>0</v>
      </c>
      <c r="AJ521" s="5">
        <f>data_origin!U2851</f>
        <v>0</v>
      </c>
      <c r="AK521" s="5">
        <f>data_origin!V2851</f>
        <v>0</v>
      </c>
      <c r="AL521" s="5">
        <f>data_origin!W2851</f>
        <v>0</v>
      </c>
      <c r="AM521" s="5">
        <f>data_origin!X2851</f>
        <v>0</v>
      </c>
      <c r="AN521" s="5">
        <f>data_origin!Y2851</f>
        <v>0</v>
      </c>
      <c r="AO521" s="5">
        <f>data_origin!Z2851</f>
        <v>0</v>
      </c>
      <c r="AP521" s="5">
        <f>data_origin!AA2851</f>
        <v>0</v>
      </c>
      <c r="AQ521" s="9">
        <f t="shared" si="63"/>
        <v>0</v>
      </c>
      <c r="AV521" t="s">
        <v>93</v>
      </c>
      <c r="AW521" s="5">
        <f>data_origin!T3565</f>
        <v>0</v>
      </c>
      <c r="AX521" s="5">
        <f>data_origin!U3565</f>
        <v>0</v>
      </c>
      <c r="AY521" s="5">
        <f>data_origin!V3565</f>
        <v>0</v>
      </c>
      <c r="AZ521" s="5">
        <f>data_origin!W3565</f>
        <v>0</v>
      </c>
      <c r="BA521" s="5">
        <f>data_origin!X3565</f>
        <v>0</v>
      </c>
      <c r="BB521" s="5">
        <f>data_origin!Y3565</f>
        <v>0</v>
      </c>
      <c r="BC521" s="5">
        <f>data_origin!Z3565</f>
        <v>0</v>
      </c>
      <c r="BD521" s="5">
        <f>data_origin!AA3565</f>
        <v>0</v>
      </c>
      <c r="BE521" s="9">
        <f t="shared" si="64"/>
        <v>0</v>
      </c>
    </row>
    <row r="522" spans="4:57" x14ac:dyDescent="0.25">
      <c r="D522" t="s">
        <v>94</v>
      </c>
      <c r="E522" s="38">
        <f t="shared" si="66"/>
        <v>0</v>
      </c>
      <c r="F522" s="38">
        <f t="shared" si="66"/>
        <v>0</v>
      </c>
      <c r="G522" s="38">
        <f t="shared" si="66"/>
        <v>0</v>
      </c>
      <c r="H522" s="38">
        <f t="shared" si="66"/>
        <v>0</v>
      </c>
      <c r="I522" s="38">
        <f t="shared" si="66"/>
        <v>0</v>
      </c>
      <c r="J522" s="38">
        <f t="shared" si="66"/>
        <v>3.093036759922476E-2</v>
      </c>
      <c r="K522" s="38">
        <f t="shared" si="66"/>
        <v>0</v>
      </c>
      <c r="L522" s="38">
        <f t="shared" si="65"/>
        <v>0</v>
      </c>
      <c r="M522" s="35">
        <f t="shared" si="67"/>
        <v>3.093036759922476E-2</v>
      </c>
      <c r="S522" t="s">
        <v>94</v>
      </c>
      <c r="T522" s="5">
        <f>data_origin!T605</f>
        <v>0</v>
      </c>
      <c r="U522" s="5">
        <f>data_origin!U605</f>
        <v>0</v>
      </c>
      <c r="V522" s="5">
        <f>data_origin!V605</f>
        <v>0</v>
      </c>
      <c r="W522" s="5">
        <f>data_origin!W605</f>
        <v>0</v>
      </c>
      <c r="X522" s="5">
        <f>data_origin!X605</f>
        <v>0</v>
      </c>
      <c r="Y522" s="5">
        <f>data_origin!Y605</f>
        <v>3.0303030303030304E-2</v>
      </c>
      <c r="Z522" s="5">
        <f>data_origin!Z605</f>
        <v>0</v>
      </c>
      <c r="AA522" s="5">
        <f>data_origin!AA605</f>
        <v>0</v>
      </c>
      <c r="AB522" s="5">
        <f t="shared" si="62"/>
        <v>3.0303030303030304E-2</v>
      </c>
      <c r="AH522" t="s">
        <v>94</v>
      </c>
      <c r="AI522" s="5">
        <f>data_origin!T2852</f>
        <v>0</v>
      </c>
      <c r="AJ522" s="5">
        <f>data_origin!U2852</f>
        <v>0</v>
      </c>
      <c r="AK522" s="5">
        <f>data_origin!V2852</f>
        <v>0</v>
      </c>
      <c r="AL522" s="5">
        <f>data_origin!W2852</f>
        <v>0</v>
      </c>
      <c r="AM522" s="5">
        <f>data_origin!X2852</f>
        <v>0</v>
      </c>
      <c r="AN522" s="5">
        <f>data_origin!Y2852</f>
        <v>0</v>
      </c>
      <c r="AO522" s="5">
        <f>data_origin!Z2852</f>
        <v>0</v>
      </c>
      <c r="AP522" s="5">
        <f>data_origin!AA2852</f>
        <v>0</v>
      </c>
      <c r="AQ522" s="9">
        <f t="shared" si="63"/>
        <v>0</v>
      </c>
      <c r="AV522" t="s">
        <v>94</v>
      </c>
      <c r="AW522" s="5">
        <f>data_origin!T3566</f>
        <v>0</v>
      </c>
      <c r="AX522" s="5">
        <f>data_origin!U3566</f>
        <v>0</v>
      </c>
      <c r="AY522" s="5">
        <f>data_origin!V3566</f>
        <v>0</v>
      </c>
      <c r="AZ522" s="5">
        <f>data_origin!W3566</f>
        <v>0</v>
      </c>
      <c r="BA522" s="5">
        <f>data_origin!X3566</f>
        <v>0</v>
      </c>
      <c r="BB522" s="5">
        <f>data_origin!Y3566</f>
        <v>0</v>
      </c>
      <c r="BC522" s="5">
        <f>data_origin!Z3566</f>
        <v>0</v>
      </c>
      <c r="BD522" s="5">
        <f>data_origin!AA3566</f>
        <v>0</v>
      </c>
      <c r="BE522" s="9">
        <f t="shared" si="64"/>
        <v>0</v>
      </c>
    </row>
    <row r="523" spans="4:57" x14ac:dyDescent="0.25">
      <c r="D523" t="s">
        <v>95</v>
      </c>
      <c r="E523" s="38">
        <f t="shared" si="66"/>
        <v>0</v>
      </c>
      <c r="F523" s="38">
        <f t="shared" si="66"/>
        <v>0</v>
      </c>
      <c r="G523" s="38">
        <f t="shared" si="66"/>
        <v>0</v>
      </c>
      <c r="H523" s="38">
        <f t="shared" si="66"/>
        <v>0</v>
      </c>
      <c r="I523" s="38">
        <f t="shared" si="66"/>
        <v>0</v>
      </c>
      <c r="J523" s="38">
        <f t="shared" si="66"/>
        <v>3.093036759922476E-2</v>
      </c>
      <c r="K523" s="38">
        <f t="shared" si="66"/>
        <v>0</v>
      </c>
      <c r="L523" s="38">
        <f t="shared" si="65"/>
        <v>0</v>
      </c>
      <c r="M523" s="35">
        <f t="shared" si="67"/>
        <v>3.093036759922476E-2</v>
      </c>
      <c r="S523" t="s">
        <v>95</v>
      </c>
      <c r="T523" s="5">
        <f>data_origin!T606</f>
        <v>0</v>
      </c>
      <c r="U523" s="5">
        <f>data_origin!U606</f>
        <v>0</v>
      </c>
      <c r="V523" s="5">
        <f>data_origin!V606</f>
        <v>0</v>
      </c>
      <c r="W523" s="5">
        <f>data_origin!W606</f>
        <v>0</v>
      </c>
      <c r="X523" s="5">
        <f>data_origin!X606</f>
        <v>0</v>
      </c>
      <c r="Y523" s="5">
        <f>data_origin!Y606</f>
        <v>3.0303030303030304E-2</v>
      </c>
      <c r="Z523" s="5">
        <f>data_origin!Z606</f>
        <v>0</v>
      </c>
      <c r="AA523" s="5">
        <f>data_origin!AA606</f>
        <v>0</v>
      </c>
      <c r="AB523" s="5">
        <f t="shared" si="62"/>
        <v>3.0303030303030304E-2</v>
      </c>
      <c r="AH523" t="s">
        <v>95</v>
      </c>
      <c r="AI523" s="5">
        <f>data_origin!T2853</f>
        <v>0</v>
      </c>
      <c r="AJ523" s="5">
        <f>data_origin!U2853</f>
        <v>0</v>
      </c>
      <c r="AK523" s="5">
        <f>data_origin!V2853</f>
        <v>0</v>
      </c>
      <c r="AL523" s="5">
        <f>data_origin!W2853</f>
        <v>0</v>
      </c>
      <c r="AM523" s="5">
        <f>data_origin!X2853</f>
        <v>0</v>
      </c>
      <c r="AN523" s="5">
        <f>data_origin!Y2853</f>
        <v>0</v>
      </c>
      <c r="AO523" s="5">
        <f>data_origin!Z2853</f>
        <v>0</v>
      </c>
      <c r="AP523" s="5">
        <f>data_origin!AA2853</f>
        <v>0</v>
      </c>
      <c r="AQ523" s="9">
        <f t="shared" si="63"/>
        <v>0</v>
      </c>
      <c r="AV523" t="s">
        <v>95</v>
      </c>
      <c r="AW523" s="5">
        <f>data_origin!T3567</f>
        <v>0</v>
      </c>
      <c r="AX523" s="5">
        <f>data_origin!U3567</f>
        <v>0</v>
      </c>
      <c r="AY523" s="5">
        <f>data_origin!V3567</f>
        <v>0</v>
      </c>
      <c r="AZ523" s="5">
        <f>data_origin!W3567</f>
        <v>0</v>
      </c>
      <c r="BA523" s="5">
        <f>data_origin!X3567</f>
        <v>0</v>
      </c>
      <c r="BB523" s="5">
        <f>data_origin!Y3567</f>
        <v>0</v>
      </c>
      <c r="BC523" s="5">
        <f>data_origin!Z3567</f>
        <v>0</v>
      </c>
      <c r="BD523" s="5">
        <f>data_origin!AA3567</f>
        <v>0</v>
      </c>
      <c r="BE523" s="9">
        <f t="shared" si="64"/>
        <v>0</v>
      </c>
    </row>
    <row r="524" spans="4:57" x14ac:dyDescent="0.25">
      <c r="D524" t="s">
        <v>96</v>
      </c>
      <c r="E524" s="38">
        <f t="shared" si="66"/>
        <v>0</v>
      </c>
      <c r="F524" s="38">
        <f t="shared" si="66"/>
        <v>0</v>
      </c>
      <c r="G524" s="38">
        <f t="shared" si="66"/>
        <v>0</v>
      </c>
      <c r="H524" s="38">
        <f t="shared" si="66"/>
        <v>0</v>
      </c>
      <c r="I524" s="38">
        <f t="shared" si="66"/>
        <v>0</v>
      </c>
      <c r="J524" s="38">
        <f t="shared" si="66"/>
        <v>3.093036759922476E-2</v>
      </c>
      <c r="K524" s="38">
        <f t="shared" si="66"/>
        <v>0</v>
      </c>
      <c r="L524" s="38">
        <f t="shared" si="65"/>
        <v>0</v>
      </c>
      <c r="M524" s="35">
        <f t="shared" si="67"/>
        <v>3.093036759922476E-2</v>
      </c>
      <c r="S524" t="s">
        <v>96</v>
      </c>
      <c r="T524" s="5">
        <f>data_origin!T607</f>
        <v>0</v>
      </c>
      <c r="U524" s="5">
        <f>data_origin!U607</f>
        <v>0</v>
      </c>
      <c r="V524" s="5">
        <f>data_origin!V607</f>
        <v>0</v>
      </c>
      <c r="W524" s="5">
        <f>data_origin!W607</f>
        <v>0</v>
      </c>
      <c r="X524" s="5">
        <f>data_origin!X607</f>
        <v>0</v>
      </c>
      <c r="Y524" s="5">
        <f>data_origin!Y607</f>
        <v>3.0303030303030304E-2</v>
      </c>
      <c r="Z524" s="5">
        <f>data_origin!Z607</f>
        <v>0</v>
      </c>
      <c r="AA524" s="5">
        <f>data_origin!AA607</f>
        <v>0</v>
      </c>
      <c r="AB524" s="5">
        <f t="shared" si="62"/>
        <v>3.0303030303030304E-2</v>
      </c>
      <c r="AH524" t="s">
        <v>96</v>
      </c>
      <c r="AI524" s="5">
        <f>data_origin!T2854</f>
        <v>0</v>
      </c>
      <c r="AJ524" s="5">
        <f>data_origin!U2854</f>
        <v>0</v>
      </c>
      <c r="AK524" s="5">
        <f>data_origin!V2854</f>
        <v>0</v>
      </c>
      <c r="AL524" s="5">
        <f>data_origin!W2854</f>
        <v>0</v>
      </c>
      <c r="AM524" s="5">
        <f>data_origin!X2854</f>
        <v>0</v>
      </c>
      <c r="AN524" s="5">
        <f>data_origin!Y2854</f>
        <v>0</v>
      </c>
      <c r="AO524" s="5">
        <f>data_origin!Z2854</f>
        <v>0</v>
      </c>
      <c r="AP524" s="5">
        <f>data_origin!AA2854</f>
        <v>0</v>
      </c>
      <c r="AQ524" s="9">
        <f t="shared" si="63"/>
        <v>0</v>
      </c>
      <c r="AV524" t="s">
        <v>96</v>
      </c>
      <c r="AW524" s="5">
        <f>data_origin!T3568</f>
        <v>0</v>
      </c>
      <c r="AX524" s="5">
        <f>data_origin!U3568</f>
        <v>0</v>
      </c>
      <c r="AY524" s="5">
        <f>data_origin!V3568</f>
        <v>0</v>
      </c>
      <c r="AZ524" s="5">
        <f>data_origin!W3568</f>
        <v>0</v>
      </c>
      <c r="BA524" s="5">
        <f>data_origin!X3568</f>
        <v>0</v>
      </c>
      <c r="BB524" s="5">
        <f>data_origin!Y3568</f>
        <v>0</v>
      </c>
      <c r="BC524" s="5">
        <f>data_origin!Z3568</f>
        <v>0</v>
      </c>
      <c r="BD524" s="5">
        <f>data_origin!AA3568</f>
        <v>0</v>
      </c>
      <c r="BE524" s="9">
        <f t="shared" si="64"/>
        <v>0</v>
      </c>
    </row>
    <row r="525" spans="4:57" x14ac:dyDescent="0.25">
      <c r="D525" t="s">
        <v>97</v>
      </c>
      <c r="E525" s="38">
        <f t="shared" si="66"/>
        <v>0</v>
      </c>
      <c r="F525" s="38">
        <f t="shared" si="66"/>
        <v>0</v>
      </c>
      <c r="G525" s="38">
        <f t="shared" si="66"/>
        <v>0</v>
      </c>
      <c r="H525" s="38">
        <f t="shared" si="66"/>
        <v>0</v>
      </c>
      <c r="I525" s="38">
        <f t="shared" si="66"/>
        <v>0</v>
      </c>
      <c r="J525" s="38">
        <f t="shared" si="66"/>
        <v>3.093036759922476E-2</v>
      </c>
      <c r="K525" s="38">
        <f t="shared" si="66"/>
        <v>0</v>
      </c>
      <c r="L525" s="38">
        <f t="shared" si="65"/>
        <v>0</v>
      </c>
      <c r="M525" s="35">
        <f t="shared" si="67"/>
        <v>3.093036759922476E-2</v>
      </c>
      <c r="S525" t="s">
        <v>97</v>
      </c>
      <c r="T525" s="5">
        <f>data_origin!T608</f>
        <v>0</v>
      </c>
      <c r="U525" s="5">
        <f>data_origin!U608</f>
        <v>0</v>
      </c>
      <c r="V525" s="5">
        <f>data_origin!V608</f>
        <v>0</v>
      </c>
      <c r="W525" s="5">
        <f>data_origin!W608</f>
        <v>0</v>
      </c>
      <c r="X525" s="5">
        <f>data_origin!X608</f>
        <v>0</v>
      </c>
      <c r="Y525" s="5">
        <f>data_origin!Y608</f>
        <v>3.0303030303030304E-2</v>
      </c>
      <c r="Z525" s="5">
        <f>data_origin!Z608</f>
        <v>0</v>
      </c>
      <c r="AA525" s="5">
        <f>data_origin!AA608</f>
        <v>0</v>
      </c>
      <c r="AB525" s="5">
        <f t="shared" si="62"/>
        <v>3.0303030303030304E-2</v>
      </c>
      <c r="AH525" t="s">
        <v>97</v>
      </c>
      <c r="AI525" s="5">
        <f>data_origin!T2855</f>
        <v>0</v>
      </c>
      <c r="AJ525" s="5">
        <f>data_origin!U2855</f>
        <v>0</v>
      </c>
      <c r="AK525" s="5">
        <f>data_origin!V2855</f>
        <v>0</v>
      </c>
      <c r="AL525" s="5">
        <f>data_origin!W2855</f>
        <v>0</v>
      </c>
      <c r="AM525" s="5">
        <f>data_origin!X2855</f>
        <v>0</v>
      </c>
      <c r="AN525" s="5">
        <f>data_origin!Y2855</f>
        <v>0</v>
      </c>
      <c r="AO525" s="5">
        <f>data_origin!Z2855</f>
        <v>0</v>
      </c>
      <c r="AP525" s="5">
        <f>data_origin!AA2855</f>
        <v>0</v>
      </c>
      <c r="AQ525" s="9">
        <f t="shared" si="63"/>
        <v>0</v>
      </c>
      <c r="AV525" t="s">
        <v>97</v>
      </c>
      <c r="AW525" s="5">
        <f>data_origin!T3569</f>
        <v>0</v>
      </c>
      <c r="AX525" s="5">
        <f>data_origin!U3569</f>
        <v>0</v>
      </c>
      <c r="AY525" s="5">
        <f>data_origin!V3569</f>
        <v>0</v>
      </c>
      <c r="AZ525" s="5">
        <f>data_origin!W3569</f>
        <v>0</v>
      </c>
      <c r="BA525" s="5">
        <f>data_origin!X3569</f>
        <v>0</v>
      </c>
      <c r="BB525" s="5">
        <f>data_origin!Y3569</f>
        <v>0</v>
      </c>
      <c r="BC525" s="5">
        <f>data_origin!Z3569</f>
        <v>0</v>
      </c>
      <c r="BD525" s="5">
        <f>data_origin!AA3569</f>
        <v>0</v>
      </c>
      <c r="BE525" s="9">
        <f t="shared" si="64"/>
        <v>0</v>
      </c>
    </row>
    <row r="526" spans="4:57" x14ac:dyDescent="0.25">
      <c r="D526" t="s">
        <v>98</v>
      </c>
      <c r="E526" s="38">
        <f t="shared" si="66"/>
        <v>0</v>
      </c>
      <c r="F526" s="38">
        <f t="shared" si="66"/>
        <v>0</v>
      </c>
      <c r="G526" s="38">
        <f t="shared" si="66"/>
        <v>0</v>
      </c>
      <c r="H526" s="38">
        <f t="shared" si="66"/>
        <v>0</v>
      </c>
      <c r="I526" s="38">
        <f t="shared" si="66"/>
        <v>0</v>
      </c>
      <c r="J526" s="38">
        <f t="shared" si="66"/>
        <v>3.093036759922476E-2</v>
      </c>
      <c r="K526" s="38">
        <f t="shared" si="66"/>
        <v>0</v>
      </c>
      <c r="L526" s="38">
        <f t="shared" si="65"/>
        <v>0</v>
      </c>
      <c r="M526" s="35">
        <f t="shared" si="67"/>
        <v>3.093036759922476E-2</v>
      </c>
      <c r="S526" t="s">
        <v>98</v>
      </c>
      <c r="T526" s="5">
        <f>data_origin!T609</f>
        <v>0</v>
      </c>
      <c r="U526" s="5">
        <f>data_origin!U609</f>
        <v>0</v>
      </c>
      <c r="V526" s="5">
        <f>data_origin!V609</f>
        <v>0</v>
      </c>
      <c r="W526" s="5">
        <f>data_origin!W609</f>
        <v>0</v>
      </c>
      <c r="X526" s="5">
        <f>data_origin!X609</f>
        <v>0</v>
      </c>
      <c r="Y526" s="5">
        <f>data_origin!Y609</f>
        <v>3.0303030303030304E-2</v>
      </c>
      <c r="Z526" s="5">
        <f>data_origin!Z609</f>
        <v>0</v>
      </c>
      <c r="AA526" s="5">
        <f>data_origin!AA609</f>
        <v>0</v>
      </c>
      <c r="AB526" s="5">
        <f t="shared" si="62"/>
        <v>3.0303030303030304E-2</v>
      </c>
      <c r="AH526" t="s">
        <v>98</v>
      </c>
      <c r="AI526" s="5">
        <f>data_origin!T2856</f>
        <v>0</v>
      </c>
      <c r="AJ526" s="5">
        <f>data_origin!U2856</f>
        <v>0</v>
      </c>
      <c r="AK526" s="5">
        <f>data_origin!V2856</f>
        <v>0</v>
      </c>
      <c r="AL526" s="5">
        <f>data_origin!W2856</f>
        <v>0</v>
      </c>
      <c r="AM526" s="5">
        <f>data_origin!X2856</f>
        <v>0</v>
      </c>
      <c r="AN526" s="5">
        <f>data_origin!Y2856</f>
        <v>0</v>
      </c>
      <c r="AO526" s="5">
        <f>data_origin!Z2856</f>
        <v>0</v>
      </c>
      <c r="AP526" s="5">
        <f>data_origin!AA2856</f>
        <v>0</v>
      </c>
      <c r="AQ526" s="9">
        <f t="shared" si="63"/>
        <v>0</v>
      </c>
      <c r="AV526" t="s">
        <v>98</v>
      </c>
      <c r="AW526" s="5">
        <f>data_origin!T3570</f>
        <v>0</v>
      </c>
      <c r="AX526" s="5">
        <f>data_origin!U3570</f>
        <v>0</v>
      </c>
      <c r="AY526" s="5">
        <f>data_origin!V3570</f>
        <v>0</v>
      </c>
      <c r="AZ526" s="5">
        <f>data_origin!W3570</f>
        <v>0</v>
      </c>
      <c r="BA526" s="5">
        <f>data_origin!X3570</f>
        <v>0</v>
      </c>
      <c r="BB526" s="5">
        <f>data_origin!Y3570</f>
        <v>0</v>
      </c>
      <c r="BC526" s="5">
        <f>data_origin!Z3570</f>
        <v>0</v>
      </c>
      <c r="BD526" s="5">
        <f>data_origin!AA3570</f>
        <v>0</v>
      </c>
      <c r="BE526" s="9">
        <f t="shared" si="64"/>
        <v>0</v>
      </c>
    </row>
    <row r="527" spans="4:57" x14ac:dyDescent="0.25">
      <c r="D527" t="s">
        <v>119</v>
      </c>
      <c r="E527" s="38">
        <f t="shared" si="66"/>
        <v>0</v>
      </c>
      <c r="F527" s="38">
        <f t="shared" si="66"/>
        <v>0</v>
      </c>
      <c r="G527" s="38">
        <f t="shared" si="66"/>
        <v>0</v>
      </c>
      <c r="H527" s="38">
        <f t="shared" si="66"/>
        <v>0</v>
      </c>
      <c r="I527" s="38">
        <f t="shared" si="66"/>
        <v>0</v>
      </c>
      <c r="J527" s="38">
        <f t="shared" si="66"/>
        <v>3.093036759922476E-2</v>
      </c>
      <c r="K527" s="38">
        <f t="shared" si="66"/>
        <v>0</v>
      </c>
      <c r="L527" s="38">
        <f t="shared" si="65"/>
        <v>0</v>
      </c>
      <c r="M527" s="35">
        <f t="shared" si="67"/>
        <v>3.093036759922476E-2</v>
      </c>
      <c r="S527" t="s">
        <v>119</v>
      </c>
      <c r="T527" s="5">
        <f>data_origin!T610</f>
        <v>0</v>
      </c>
      <c r="U527" s="5">
        <f>data_origin!U610</f>
        <v>0</v>
      </c>
      <c r="V527" s="5">
        <f>data_origin!V610</f>
        <v>0</v>
      </c>
      <c r="W527" s="5">
        <f>data_origin!W610</f>
        <v>0</v>
      </c>
      <c r="X527" s="5">
        <f>data_origin!X610</f>
        <v>0</v>
      </c>
      <c r="Y527" s="5">
        <f>data_origin!Y610</f>
        <v>3.0303030303030304E-2</v>
      </c>
      <c r="Z527" s="5">
        <f>data_origin!Z610</f>
        <v>0</v>
      </c>
      <c r="AA527" s="5">
        <f>data_origin!AA610</f>
        <v>0</v>
      </c>
      <c r="AB527" s="5">
        <f t="shared" si="62"/>
        <v>3.0303030303030304E-2</v>
      </c>
      <c r="AH527" t="s">
        <v>119</v>
      </c>
      <c r="AI527" s="5">
        <f>data_origin!T2857</f>
        <v>0</v>
      </c>
      <c r="AJ527" s="5">
        <f>data_origin!U2857</f>
        <v>0</v>
      </c>
      <c r="AK527" s="5">
        <f>data_origin!V2857</f>
        <v>0</v>
      </c>
      <c r="AL527" s="5">
        <f>data_origin!W2857</f>
        <v>0</v>
      </c>
      <c r="AM527" s="5">
        <f>data_origin!X2857</f>
        <v>0</v>
      </c>
      <c r="AN527" s="5">
        <f>data_origin!Y2857</f>
        <v>0</v>
      </c>
      <c r="AO527" s="5">
        <f>data_origin!Z2857</f>
        <v>0</v>
      </c>
      <c r="AP527" s="5">
        <f>data_origin!AA2857</f>
        <v>0</v>
      </c>
      <c r="AQ527" s="9">
        <f t="shared" si="63"/>
        <v>0</v>
      </c>
      <c r="AV527" t="s">
        <v>119</v>
      </c>
      <c r="AW527" s="5">
        <f>data_origin!T3571</f>
        <v>0</v>
      </c>
      <c r="AX527" s="5">
        <f>data_origin!U3571</f>
        <v>0</v>
      </c>
      <c r="AY527" s="5">
        <f>data_origin!V3571</f>
        <v>0</v>
      </c>
      <c r="AZ527" s="5">
        <f>data_origin!W3571</f>
        <v>0</v>
      </c>
      <c r="BA527" s="5">
        <f>data_origin!X3571</f>
        <v>0</v>
      </c>
      <c r="BB527" s="5">
        <f>data_origin!Y3571</f>
        <v>0</v>
      </c>
      <c r="BC527" s="5">
        <f>data_origin!Z3571</f>
        <v>0</v>
      </c>
      <c r="BD527" s="5">
        <f>data_origin!AA3571</f>
        <v>0</v>
      </c>
      <c r="BE527" s="9">
        <f t="shared" si="64"/>
        <v>0</v>
      </c>
    </row>
    <row r="528" spans="4:57" x14ac:dyDescent="0.25">
      <c r="D528" t="s">
        <v>99</v>
      </c>
      <c r="E528" s="38">
        <f t="shared" si="66"/>
        <v>0</v>
      </c>
      <c r="F528" s="38">
        <f t="shared" si="66"/>
        <v>0</v>
      </c>
      <c r="G528" s="38">
        <f t="shared" si="66"/>
        <v>0</v>
      </c>
      <c r="H528" s="38">
        <f t="shared" si="66"/>
        <v>0</v>
      </c>
      <c r="I528" s="38">
        <f t="shared" si="66"/>
        <v>0</v>
      </c>
      <c r="J528" s="38">
        <f t="shared" si="66"/>
        <v>3.093036759922476E-2</v>
      </c>
      <c r="K528" s="38">
        <f t="shared" si="66"/>
        <v>0</v>
      </c>
      <c r="L528" s="38">
        <f t="shared" si="65"/>
        <v>0</v>
      </c>
      <c r="M528" s="35">
        <f t="shared" si="67"/>
        <v>3.093036759922476E-2</v>
      </c>
      <c r="S528" t="s">
        <v>99</v>
      </c>
      <c r="T528" s="5">
        <f>data_origin!T611</f>
        <v>0</v>
      </c>
      <c r="U528" s="5">
        <f>data_origin!U611</f>
        <v>0</v>
      </c>
      <c r="V528" s="5">
        <f>data_origin!V611</f>
        <v>0</v>
      </c>
      <c r="W528" s="5">
        <f>data_origin!W611</f>
        <v>0</v>
      </c>
      <c r="X528" s="5">
        <f>data_origin!X611</f>
        <v>0</v>
      </c>
      <c r="Y528" s="5">
        <f>data_origin!Y611</f>
        <v>3.0303030303030304E-2</v>
      </c>
      <c r="Z528" s="5">
        <f>data_origin!Z611</f>
        <v>0</v>
      </c>
      <c r="AA528" s="5">
        <f>data_origin!AA611</f>
        <v>0</v>
      </c>
      <c r="AB528" s="5">
        <f t="shared" si="62"/>
        <v>3.0303030303030304E-2</v>
      </c>
      <c r="AH528" t="s">
        <v>99</v>
      </c>
      <c r="AI528" s="5">
        <f>data_origin!T2858</f>
        <v>0</v>
      </c>
      <c r="AJ528" s="5">
        <f>data_origin!U2858</f>
        <v>0</v>
      </c>
      <c r="AK528" s="5">
        <f>data_origin!V2858</f>
        <v>0</v>
      </c>
      <c r="AL528" s="5">
        <f>data_origin!W2858</f>
        <v>0</v>
      </c>
      <c r="AM528" s="5">
        <f>data_origin!X2858</f>
        <v>0</v>
      </c>
      <c r="AN528" s="5">
        <f>data_origin!Y2858</f>
        <v>0</v>
      </c>
      <c r="AO528" s="5">
        <f>data_origin!Z2858</f>
        <v>0</v>
      </c>
      <c r="AP528" s="5">
        <f>data_origin!AA2858</f>
        <v>0</v>
      </c>
      <c r="AQ528" s="9">
        <f t="shared" si="63"/>
        <v>0</v>
      </c>
      <c r="AV528" t="s">
        <v>99</v>
      </c>
      <c r="AW528" s="5">
        <f>data_origin!T3572</f>
        <v>0</v>
      </c>
      <c r="AX528" s="5">
        <f>data_origin!U3572</f>
        <v>0</v>
      </c>
      <c r="AY528" s="5">
        <f>data_origin!V3572</f>
        <v>0</v>
      </c>
      <c r="AZ528" s="5">
        <f>data_origin!W3572</f>
        <v>0</v>
      </c>
      <c r="BA528" s="5">
        <f>data_origin!X3572</f>
        <v>0</v>
      </c>
      <c r="BB528" s="5">
        <f>data_origin!Y3572</f>
        <v>0</v>
      </c>
      <c r="BC528" s="5">
        <f>data_origin!Z3572</f>
        <v>0</v>
      </c>
      <c r="BD528" s="5">
        <f>data_origin!AA3572</f>
        <v>0</v>
      </c>
      <c r="BE528" s="9">
        <f t="shared" si="64"/>
        <v>0</v>
      </c>
    </row>
    <row r="529" spans="1:58" x14ac:dyDescent="0.25">
      <c r="D529" t="s">
        <v>100</v>
      </c>
      <c r="E529" s="38">
        <f t="shared" si="66"/>
        <v>0</v>
      </c>
      <c r="F529" s="38">
        <f t="shared" si="66"/>
        <v>0</v>
      </c>
      <c r="G529" s="38">
        <f t="shared" si="66"/>
        <v>22.117612846923191</v>
      </c>
      <c r="H529" s="38">
        <f t="shared" si="66"/>
        <v>21.199662152109461</v>
      </c>
      <c r="I529" s="38">
        <f t="shared" si="66"/>
        <v>11.396963501587082</v>
      </c>
      <c r="J529" s="38">
        <f t="shared" si="66"/>
        <v>3.093036759922476E-2</v>
      </c>
      <c r="K529" s="38">
        <f t="shared" si="66"/>
        <v>0</v>
      </c>
      <c r="L529" s="38">
        <f t="shared" si="65"/>
        <v>0</v>
      </c>
      <c r="M529" s="35">
        <f t="shared" si="67"/>
        <v>54.745168868218954</v>
      </c>
      <c r="S529" t="s">
        <v>100</v>
      </c>
      <c r="T529" s="5">
        <f>data_origin!T612</f>
        <v>0</v>
      </c>
      <c r="U529" s="5">
        <f>data_origin!U612</f>
        <v>0</v>
      </c>
      <c r="V529" s="5">
        <f>data_origin!V612</f>
        <v>15</v>
      </c>
      <c r="W529" s="5">
        <f>data_origin!W612</f>
        <v>16</v>
      </c>
      <c r="X529" s="5">
        <f>data_origin!X612</f>
        <v>8.25</v>
      </c>
      <c r="Y529" s="5">
        <f>data_origin!Y612</f>
        <v>3.0303030303030304E-2</v>
      </c>
      <c r="Z529" s="5">
        <f>data_origin!Z612</f>
        <v>0</v>
      </c>
      <c r="AA529" s="5">
        <f>data_origin!AA612</f>
        <v>0</v>
      </c>
      <c r="AB529" s="5">
        <f t="shared" si="62"/>
        <v>39.280303030303031</v>
      </c>
      <c r="AH529" t="s">
        <v>100</v>
      </c>
      <c r="AI529" s="5">
        <f>data_origin!T2859</f>
        <v>0</v>
      </c>
      <c r="AJ529" s="5">
        <f>data_origin!U2859</f>
        <v>0</v>
      </c>
      <c r="AK529" s="5">
        <f>data_origin!V2859</f>
        <v>0</v>
      </c>
      <c r="AL529" s="5">
        <f>data_origin!W2859</f>
        <v>0</v>
      </c>
      <c r="AM529" s="5">
        <f>data_origin!X2859</f>
        <v>0</v>
      </c>
      <c r="AN529" s="5">
        <f>data_origin!Y2859</f>
        <v>0</v>
      </c>
      <c r="AO529" s="5">
        <f>data_origin!Z2859</f>
        <v>0</v>
      </c>
      <c r="AP529" s="5">
        <f>data_origin!AA2859</f>
        <v>0</v>
      </c>
      <c r="AQ529" s="9">
        <f t="shared" si="63"/>
        <v>0</v>
      </c>
      <c r="AV529" t="s">
        <v>100</v>
      </c>
      <c r="AW529" s="5">
        <f>data_origin!T3573</f>
        <v>0</v>
      </c>
      <c r="AX529" s="5">
        <f>data_origin!U3573</f>
        <v>0</v>
      </c>
      <c r="AY529" s="5">
        <f>data_origin!V3573</f>
        <v>0</v>
      </c>
      <c r="AZ529" s="5">
        <f>data_origin!W3573</f>
        <v>0</v>
      </c>
      <c r="BA529" s="5">
        <f>data_origin!X3573</f>
        <v>0</v>
      </c>
      <c r="BB529" s="5">
        <f>data_origin!Y3573</f>
        <v>0</v>
      </c>
      <c r="BC529" s="5">
        <f>data_origin!Z3573</f>
        <v>0</v>
      </c>
      <c r="BD529" s="5">
        <f>data_origin!AA3573</f>
        <v>0</v>
      </c>
      <c r="BE529" s="9">
        <f t="shared" si="64"/>
        <v>0</v>
      </c>
    </row>
    <row r="530" spans="1:58" x14ac:dyDescent="0.25">
      <c r="D530" t="s">
        <v>101</v>
      </c>
      <c r="E530" s="38">
        <f t="shared" si="66"/>
        <v>0</v>
      </c>
      <c r="F530" s="38">
        <f t="shared" si="66"/>
        <v>0</v>
      </c>
      <c r="G530" s="38">
        <f t="shared" si="66"/>
        <v>0</v>
      </c>
      <c r="H530" s="38">
        <f t="shared" si="66"/>
        <v>0</v>
      </c>
      <c r="I530" s="38">
        <f t="shared" si="66"/>
        <v>0</v>
      </c>
      <c r="J530" s="38">
        <f t="shared" si="66"/>
        <v>3.093036759922476E-2</v>
      </c>
      <c r="K530" s="38">
        <f t="shared" si="66"/>
        <v>0</v>
      </c>
      <c r="L530" s="38">
        <f t="shared" si="65"/>
        <v>0</v>
      </c>
      <c r="M530" s="35">
        <f t="shared" si="67"/>
        <v>3.093036759922476E-2</v>
      </c>
      <c r="N530" s="5">
        <f>SUM(M498:M530)</f>
        <v>60.55888623427019</v>
      </c>
      <c r="S530" t="s">
        <v>101</v>
      </c>
      <c r="T530" s="5">
        <f>data_origin!T613</f>
        <v>0</v>
      </c>
      <c r="U530" s="5">
        <f>data_origin!U613</f>
        <v>0</v>
      </c>
      <c r="V530" s="5">
        <f>data_origin!V613</f>
        <v>0</v>
      </c>
      <c r="W530" s="5">
        <f>data_origin!W613</f>
        <v>0</v>
      </c>
      <c r="X530" s="5">
        <f>data_origin!X613</f>
        <v>0</v>
      </c>
      <c r="Y530" s="5">
        <f>data_origin!Y613</f>
        <v>3.0303030303030304E-2</v>
      </c>
      <c r="Z530" s="5">
        <f>data_origin!Z613</f>
        <v>0</v>
      </c>
      <c r="AA530" s="5">
        <f>data_origin!AA613</f>
        <v>0</v>
      </c>
      <c r="AB530" s="5">
        <f t="shared" si="62"/>
        <v>3.0303030303030304E-2</v>
      </c>
      <c r="AC530" s="5">
        <f>SUM(AB498:AB530)</f>
        <v>45</v>
      </c>
      <c r="AH530" t="s">
        <v>101</v>
      </c>
      <c r="AI530" s="5">
        <f>data_origin!T2860</f>
        <v>0</v>
      </c>
      <c r="AJ530" s="5">
        <f>data_origin!U2860</f>
        <v>0</v>
      </c>
      <c r="AK530" s="5">
        <f>data_origin!V2860</f>
        <v>0</v>
      </c>
      <c r="AL530" s="5">
        <f>data_origin!W2860</f>
        <v>0</v>
      </c>
      <c r="AM530" s="5">
        <f>data_origin!X2860</f>
        <v>0</v>
      </c>
      <c r="AN530" s="5">
        <f>data_origin!Y2860</f>
        <v>0</v>
      </c>
      <c r="AO530" s="5">
        <f>data_origin!Z2860</f>
        <v>0</v>
      </c>
      <c r="AP530" s="5">
        <f>data_origin!AA2860</f>
        <v>0</v>
      </c>
      <c r="AQ530" s="9">
        <f t="shared" si="63"/>
        <v>0</v>
      </c>
      <c r="AR530" s="9">
        <f>SUM(AQ498:AQ530)</f>
        <v>1</v>
      </c>
      <c r="AV530" t="s">
        <v>101</v>
      </c>
      <c r="AW530" s="5">
        <f>data_origin!T3574</f>
        <v>0</v>
      </c>
      <c r="AX530" s="5">
        <f>data_origin!U3574</f>
        <v>0</v>
      </c>
      <c r="AY530" s="5">
        <f>data_origin!V3574</f>
        <v>0</v>
      </c>
      <c r="AZ530" s="5">
        <f>data_origin!W3574</f>
        <v>0</v>
      </c>
      <c r="BA530" s="5">
        <f>data_origin!X3574</f>
        <v>0</v>
      </c>
      <c r="BB530" s="5">
        <f>data_origin!Y3574</f>
        <v>0</v>
      </c>
      <c r="BC530" s="5">
        <f>data_origin!Z3574</f>
        <v>0</v>
      </c>
      <c r="BD530" s="5">
        <f>data_origin!AA3574</f>
        <v>0</v>
      </c>
      <c r="BE530" s="9">
        <f t="shared" si="64"/>
        <v>0</v>
      </c>
      <c r="BF530" s="9">
        <f>SUM(BE498:BE530)</f>
        <v>0</v>
      </c>
    </row>
    <row r="531" spans="1:58" x14ac:dyDescent="0.25">
      <c r="A531" s="23" t="s">
        <v>104</v>
      </c>
      <c r="B531" s="23" t="s">
        <v>116</v>
      </c>
      <c r="C531" s="23" t="s">
        <v>111</v>
      </c>
      <c r="D531" t="s">
        <v>70</v>
      </c>
      <c r="E531" s="38">
        <f t="shared" si="66"/>
        <v>0</v>
      </c>
      <c r="F531" s="38">
        <f t="shared" si="66"/>
        <v>0</v>
      </c>
      <c r="G531" s="38">
        <f t="shared" si="66"/>
        <v>0</v>
      </c>
      <c r="H531" s="38">
        <f t="shared" si="66"/>
        <v>0</v>
      </c>
      <c r="I531" s="38">
        <f t="shared" si="66"/>
        <v>0</v>
      </c>
      <c r="J531" s="38">
        <f t="shared" si="66"/>
        <v>0</v>
      </c>
      <c r="K531" s="38">
        <f t="shared" si="66"/>
        <v>0</v>
      </c>
      <c r="L531" s="38">
        <f t="shared" si="65"/>
        <v>0</v>
      </c>
      <c r="M531" s="35">
        <f t="shared" si="67"/>
        <v>0</v>
      </c>
      <c r="P531" t="s">
        <v>104</v>
      </c>
      <c r="Q531" t="s">
        <v>116</v>
      </c>
      <c r="R531" t="s">
        <v>111</v>
      </c>
      <c r="S531" t="s">
        <v>70</v>
      </c>
      <c r="T531" s="5">
        <f>data_origin!T615</f>
        <v>0</v>
      </c>
      <c r="U531" s="5">
        <f>data_origin!U615</f>
        <v>0</v>
      </c>
      <c r="V531" s="5">
        <f>data_origin!V615</f>
        <v>0</v>
      </c>
      <c r="W531" s="5">
        <f>data_origin!W615</f>
        <v>0</v>
      </c>
      <c r="X531" s="5">
        <f>data_origin!X615</f>
        <v>0</v>
      </c>
      <c r="Y531" s="5">
        <f>data_origin!Y615</f>
        <v>0</v>
      </c>
      <c r="Z531" s="5">
        <f>data_origin!Z615</f>
        <v>0</v>
      </c>
      <c r="AA531" s="5">
        <f>data_origin!AA615</f>
        <v>0</v>
      </c>
      <c r="AB531" s="5">
        <f t="shared" si="62"/>
        <v>0</v>
      </c>
      <c r="AE531" t="s">
        <v>104</v>
      </c>
      <c r="AF531" t="s">
        <v>117</v>
      </c>
      <c r="AG531" s="28" t="s">
        <v>135</v>
      </c>
      <c r="AH531" t="s">
        <v>70</v>
      </c>
      <c r="AI531" s="5">
        <f>data_origin!T2862</f>
        <v>0</v>
      </c>
      <c r="AJ531" s="5">
        <f>data_origin!U2862</f>
        <v>0</v>
      </c>
      <c r="AK531" s="5">
        <f>data_origin!V2862</f>
        <v>3.0303030303030304E-2</v>
      </c>
      <c r="AL531" s="5">
        <f>data_origin!W2862</f>
        <v>0</v>
      </c>
      <c r="AM531" s="5">
        <f>data_origin!X2862</f>
        <v>0</v>
      </c>
      <c r="AN531" s="5">
        <f>data_origin!Y2862</f>
        <v>0</v>
      </c>
      <c r="AO531" s="5">
        <f>data_origin!Z2862</f>
        <v>0</v>
      </c>
      <c r="AP531" s="5">
        <f>data_origin!AA2862</f>
        <v>0</v>
      </c>
      <c r="AQ531" s="9">
        <f t="shared" si="63"/>
        <v>3.0303030303030304E-2</v>
      </c>
      <c r="AS531" t="s">
        <v>115</v>
      </c>
      <c r="AT531" t="s">
        <v>117</v>
      </c>
      <c r="AU531" s="28" t="s">
        <v>135</v>
      </c>
      <c r="AV531" t="s">
        <v>70</v>
      </c>
      <c r="AW531" s="5">
        <f>data_origin!T3576</f>
        <v>0</v>
      </c>
      <c r="AX531" s="5">
        <f>data_origin!U3576</f>
        <v>0</v>
      </c>
      <c r="AY531" s="5">
        <f>data_origin!V3576</f>
        <v>3.0303030303030304E-2</v>
      </c>
      <c r="AZ531" s="5">
        <f>data_origin!W3576</f>
        <v>0</v>
      </c>
      <c r="BA531" s="5">
        <f>data_origin!X3576</f>
        <v>0</v>
      </c>
      <c r="BB531" s="5">
        <f>data_origin!Y3576</f>
        <v>0</v>
      </c>
      <c r="BC531" s="5">
        <f>data_origin!Z3576</f>
        <v>0</v>
      </c>
      <c r="BD531" s="5">
        <f>data_origin!AA3576</f>
        <v>0</v>
      </c>
      <c r="BE531" s="9">
        <f t="shared" si="64"/>
        <v>3.0303030303030304E-2</v>
      </c>
    </row>
    <row r="532" spans="1:58" x14ac:dyDescent="0.25">
      <c r="D532" t="s">
        <v>71</v>
      </c>
      <c r="E532" s="38">
        <f t="shared" si="66"/>
        <v>0</v>
      </c>
      <c r="F532" s="38">
        <f t="shared" si="66"/>
        <v>0</v>
      </c>
      <c r="G532" s="38">
        <f t="shared" si="66"/>
        <v>3.2952998789922461</v>
      </c>
      <c r="H532" s="38">
        <f t="shared" si="66"/>
        <v>2.3765129372452254</v>
      </c>
      <c r="I532" s="38">
        <f t="shared" si="66"/>
        <v>4.4049644598489612</v>
      </c>
      <c r="J532" s="38">
        <f t="shared" si="66"/>
        <v>0</v>
      </c>
      <c r="K532" s="38">
        <f t="shared" si="66"/>
        <v>0</v>
      </c>
      <c r="L532" s="38">
        <f t="shared" si="65"/>
        <v>0</v>
      </c>
      <c r="M532" s="35">
        <f t="shared" si="67"/>
        <v>10.076777276086432</v>
      </c>
      <c r="S532" t="s">
        <v>71</v>
      </c>
      <c r="T532" s="5">
        <f>data_origin!T616</f>
        <v>0</v>
      </c>
      <c r="U532" s="5">
        <f>data_origin!U616</f>
        <v>0</v>
      </c>
      <c r="V532" s="5">
        <f>data_origin!V616</f>
        <v>3.2696629213483144</v>
      </c>
      <c r="W532" s="5">
        <f>data_origin!W616</f>
        <v>2.3472222222222223</v>
      </c>
      <c r="X532" s="5">
        <f>data_origin!X616</f>
        <v>4.3278688524590168</v>
      </c>
      <c r="Y532" s="5">
        <f>data_origin!Y616</f>
        <v>0</v>
      </c>
      <c r="Z532" s="5">
        <f>data_origin!Z616</f>
        <v>0</v>
      </c>
      <c r="AA532" s="5">
        <f>data_origin!AA616</f>
        <v>0</v>
      </c>
      <c r="AB532" s="5">
        <f t="shared" si="62"/>
        <v>9.9447539960295543</v>
      </c>
      <c r="AH532" t="s">
        <v>71</v>
      </c>
      <c r="AI532" s="5">
        <f>data_origin!T2863</f>
        <v>0</v>
      </c>
      <c r="AJ532" s="5">
        <f>data_origin!U2863</f>
        <v>0</v>
      </c>
      <c r="AK532" s="5">
        <f>data_origin!V2863</f>
        <v>3.0303030303030304E-2</v>
      </c>
      <c r="AL532" s="5">
        <f>data_origin!W2863</f>
        <v>0</v>
      </c>
      <c r="AM532" s="5">
        <f>data_origin!X2863</f>
        <v>0</v>
      </c>
      <c r="AN532" s="5">
        <f>data_origin!Y2863</f>
        <v>0</v>
      </c>
      <c r="AO532" s="5">
        <f>data_origin!Z2863</f>
        <v>0</v>
      </c>
      <c r="AP532" s="5">
        <f>data_origin!AA2863</f>
        <v>0</v>
      </c>
      <c r="AQ532" s="9">
        <f t="shared" si="63"/>
        <v>3.0303030303030304E-2</v>
      </c>
      <c r="AV532" t="s">
        <v>71</v>
      </c>
      <c r="AW532" s="5">
        <f>data_origin!T3577</f>
        <v>0</v>
      </c>
      <c r="AX532" s="5">
        <f>data_origin!U3577</f>
        <v>0</v>
      </c>
      <c r="AY532" s="5">
        <f>data_origin!V3577</f>
        <v>3.0303030303030304E-2</v>
      </c>
      <c r="AZ532" s="5">
        <f>data_origin!W3577</f>
        <v>0</v>
      </c>
      <c r="BA532" s="5">
        <f>data_origin!X3577</f>
        <v>0</v>
      </c>
      <c r="BB532" s="5">
        <f>data_origin!Y3577</f>
        <v>0</v>
      </c>
      <c r="BC532" s="5">
        <f>data_origin!Z3577</f>
        <v>0</v>
      </c>
      <c r="BD532" s="5">
        <f>data_origin!AA3577</f>
        <v>0</v>
      </c>
      <c r="BE532" s="9">
        <f t="shared" si="64"/>
        <v>3.0303030303030304E-2</v>
      </c>
    </row>
    <row r="533" spans="1:58" x14ac:dyDescent="0.25">
      <c r="D533" t="s">
        <v>72</v>
      </c>
      <c r="E533" s="38">
        <f t="shared" si="66"/>
        <v>0</v>
      </c>
      <c r="F533" s="38">
        <f t="shared" si="66"/>
        <v>0</v>
      </c>
      <c r="G533" s="38">
        <f t="shared" si="66"/>
        <v>2.1968665859948309</v>
      </c>
      <c r="H533" s="38">
        <f t="shared" si="66"/>
        <v>8.317795280358288</v>
      </c>
      <c r="I533" s="38">
        <f t="shared" si="66"/>
        <v>10.911170034660163</v>
      </c>
      <c r="J533" s="38">
        <f t="shared" si="66"/>
        <v>1.0910953811726527</v>
      </c>
      <c r="K533" s="38">
        <f t="shared" si="66"/>
        <v>0</v>
      </c>
      <c r="L533" s="38">
        <f t="shared" si="65"/>
        <v>0</v>
      </c>
      <c r="M533" s="35">
        <f t="shared" si="67"/>
        <v>22.516927282185936</v>
      </c>
      <c r="S533" t="s">
        <v>72</v>
      </c>
      <c r="T533" s="5">
        <f>data_origin!T617</f>
        <v>0</v>
      </c>
      <c r="U533" s="5">
        <f>data_origin!U617</f>
        <v>0</v>
      </c>
      <c r="V533" s="5">
        <f>data_origin!V617</f>
        <v>2.1797752808988764</v>
      </c>
      <c r="W533" s="5">
        <f>data_origin!W617</f>
        <v>8.2152777777777786</v>
      </c>
      <c r="X533" s="5">
        <f>data_origin!X617</f>
        <v>9.7377049180327866</v>
      </c>
      <c r="Y533" s="5">
        <f>data_origin!Y617</f>
        <v>1.0689655172413792</v>
      </c>
      <c r="Z533" s="5">
        <f>data_origin!Z617</f>
        <v>0</v>
      </c>
      <c r="AA533" s="5">
        <f>data_origin!AA617</f>
        <v>0</v>
      </c>
      <c r="AB533" s="5">
        <f t="shared" si="62"/>
        <v>21.201723493950823</v>
      </c>
      <c r="AH533" t="s">
        <v>72</v>
      </c>
      <c r="AI533" s="5">
        <f>data_origin!T2864</f>
        <v>0</v>
      </c>
      <c r="AJ533" s="5">
        <f>data_origin!U2864</f>
        <v>0</v>
      </c>
      <c r="AK533" s="5">
        <f>data_origin!V2864</f>
        <v>3.0303030303030304E-2</v>
      </c>
      <c r="AL533" s="5">
        <f>data_origin!W2864</f>
        <v>0</v>
      </c>
      <c r="AM533" s="5">
        <f>data_origin!X2864</f>
        <v>0</v>
      </c>
      <c r="AN533" s="5">
        <f>data_origin!Y2864</f>
        <v>0</v>
      </c>
      <c r="AO533" s="5">
        <f>data_origin!Z2864</f>
        <v>0</v>
      </c>
      <c r="AP533" s="5">
        <f>data_origin!AA2864</f>
        <v>0</v>
      </c>
      <c r="AQ533" s="9">
        <f t="shared" si="63"/>
        <v>3.0303030303030304E-2</v>
      </c>
      <c r="AV533" t="s">
        <v>72</v>
      </c>
      <c r="AW533" s="5">
        <f>data_origin!T3578</f>
        <v>0</v>
      </c>
      <c r="AX533" s="5">
        <f>data_origin!U3578</f>
        <v>0</v>
      </c>
      <c r="AY533" s="5">
        <f>data_origin!V3578</f>
        <v>3.0303030303030304E-2</v>
      </c>
      <c r="AZ533" s="5">
        <f>data_origin!W3578</f>
        <v>0</v>
      </c>
      <c r="BA533" s="5">
        <f>data_origin!X3578</f>
        <v>0</v>
      </c>
      <c r="BB533" s="5">
        <f>data_origin!Y3578</f>
        <v>0</v>
      </c>
      <c r="BC533" s="5">
        <f>data_origin!Z3578</f>
        <v>0</v>
      </c>
      <c r="BD533" s="5">
        <f>data_origin!AA3578</f>
        <v>0</v>
      </c>
      <c r="BE533" s="9">
        <f t="shared" si="64"/>
        <v>3.0303030303030304E-2</v>
      </c>
    </row>
    <row r="534" spans="1:58" x14ac:dyDescent="0.25">
      <c r="D534" t="s">
        <v>73</v>
      </c>
      <c r="E534" s="38">
        <f t="shared" si="66"/>
        <v>0</v>
      </c>
      <c r="F534" s="38">
        <f t="shared" si="66"/>
        <v>0</v>
      </c>
      <c r="G534" s="38">
        <f t="shared" si="66"/>
        <v>0</v>
      </c>
      <c r="H534" s="38">
        <f t="shared" ref="H534:L590" si="68">W534+AL270+IFERROR((W534/SUM(W$3:W$992)*AL$630),0)+IFERROR((W534/SUM(W$135:W$332,W$465:W$662,W$795:W$992)*AL$732),0)</f>
        <v>0</v>
      </c>
      <c r="I534" s="38">
        <f t="shared" si="68"/>
        <v>6.6074466897734414</v>
      </c>
      <c r="J534" s="38">
        <f t="shared" si="68"/>
        <v>1.0910953811726527</v>
      </c>
      <c r="K534" s="38">
        <f t="shared" si="68"/>
        <v>0</v>
      </c>
      <c r="L534" s="38">
        <f t="shared" si="65"/>
        <v>0</v>
      </c>
      <c r="M534" s="35">
        <f t="shared" si="67"/>
        <v>7.6985420709460941</v>
      </c>
      <c r="S534" t="s">
        <v>73</v>
      </c>
      <c r="T534" s="5">
        <f>data_origin!T618</f>
        <v>0</v>
      </c>
      <c r="U534" s="5">
        <f>data_origin!U618</f>
        <v>0</v>
      </c>
      <c r="V534" s="5">
        <f>data_origin!V618</f>
        <v>0</v>
      </c>
      <c r="W534" s="5">
        <f>data_origin!W618</f>
        <v>0</v>
      </c>
      <c r="X534" s="5">
        <f>data_origin!X618</f>
        <v>6.4918032786885247</v>
      </c>
      <c r="Y534" s="5">
        <f>data_origin!Y618</f>
        <v>1.0689655172413792</v>
      </c>
      <c r="Z534" s="5">
        <f>data_origin!Z618</f>
        <v>0</v>
      </c>
      <c r="AA534" s="5">
        <f>data_origin!AA618</f>
        <v>0</v>
      </c>
      <c r="AB534" s="5">
        <f t="shared" si="62"/>
        <v>7.5607687959299037</v>
      </c>
      <c r="AH534" t="s">
        <v>73</v>
      </c>
      <c r="AI534" s="5">
        <f>data_origin!T2865</f>
        <v>0</v>
      </c>
      <c r="AJ534" s="5">
        <f>data_origin!U2865</f>
        <v>0</v>
      </c>
      <c r="AK534" s="5">
        <f>data_origin!V2865</f>
        <v>3.0303030303030304E-2</v>
      </c>
      <c r="AL534" s="5">
        <f>data_origin!W2865</f>
        <v>0</v>
      </c>
      <c r="AM534" s="5">
        <f>data_origin!X2865</f>
        <v>0</v>
      </c>
      <c r="AN534" s="5">
        <f>data_origin!Y2865</f>
        <v>0</v>
      </c>
      <c r="AO534" s="5">
        <f>data_origin!Z2865</f>
        <v>0</v>
      </c>
      <c r="AP534" s="5">
        <f>data_origin!AA2865</f>
        <v>0</v>
      </c>
      <c r="AQ534" s="9">
        <f t="shared" si="63"/>
        <v>3.0303030303030304E-2</v>
      </c>
      <c r="AV534" t="s">
        <v>73</v>
      </c>
      <c r="AW534" s="5">
        <f>data_origin!T3579</f>
        <v>0</v>
      </c>
      <c r="AX534" s="5">
        <f>data_origin!U3579</f>
        <v>0</v>
      </c>
      <c r="AY534" s="5">
        <f>data_origin!V3579</f>
        <v>3.0303030303030304E-2</v>
      </c>
      <c r="AZ534" s="5">
        <f>data_origin!W3579</f>
        <v>0</v>
      </c>
      <c r="BA534" s="5">
        <f>data_origin!X3579</f>
        <v>0</v>
      </c>
      <c r="BB534" s="5">
        <f>data_origin!Y3579</f>
        <v>0</v>
      </c>
      <c r="BC534" s="5">
        <f>data_origin!Z3579</f>
        <v>0</v>
      </c>
      <c r="BD534" s="5">
        <f>data_origin!AA3579</f>
        <v>0</v>
      </c>
      <c r="BE534" s="9">
        <f t="shared" si="64"/>
        <v>3.0303030303030304E-2</v>
      </c>
    </row>
    <row r="535" spans="1:58" x14ac:dyDescent="0.25">
      <c r="D535" t="s">
        <v>74</v>
      </c>
      <c r="E535" s="38">
        <f t="shared" ref="E535:I598" si="69">T535+AI271+IFERROR((T535/SUM(T$3:T$992)*AI$630),0)+IFERROR((T535/SUM(T$135:T$332,T$465:T$662,T$795:T$992)*AI$732),0)</f>
        <v>0</v>
      </c>
      <c r="F535" s="38">
        <f t="shared" si="69"/>
        <v>0</v>
      </c>
      <c r="G535" s="38">
        <f t="shared" si="69"/>
        <v>1.0984332929974154</v>
      </c>
      <c r="H535" s="38">
        <f t="shared" si="68"/>
        <v>11.882564686226125</v>
      </c>
      <c r="I535" s="38">
        <f t="shared" si="68"/>
        <v>6.6074466897734414</v>
      </c>
      <c r="J535" s="38">
        <f t="shared" si="68"/>
        <v>4.3643815246906108</v>
      </c>
      <c r="K535" s="38">
        <f t="shared" si="68"/>
        <v>0</v>
      </c>
      <c r="L535" s="38">
        <f t="shared" si="65"/>
        <v>0</v>
      </c>
      <c r="M535" s="35">
        <f t="shared" si="67"/>
        <v>23.952826193687592</v>
      </c>
      <c r="S535" t="s">
        <v>74</v>
      </c>
      <c r="T535" s="5">
        <f>data_origin!T619</f>
        <v>0</v>
      </c>
      <c r="U535" s="5">
        <f>data_origin!U619</f>
        <v>0</v>
      </c>
      <c r="V535" s="5">
        <f>data_origin!V619</f>
        <v>1.0898876404494382</v>
      </c>
      <c r="W535" s="5">
        <f>data_origin!W619</f>
        <v>11.736111111111111</v>
      </c>
      <c r="X535" s="5">
        <f>data_origin!X619</f>
        <v>6.4918032786885247</v>
      </c>
      <c r="Y535" s="5">
        <f>data_origin!Y619</f>
        <v>4.2758620689655169</v>
      </c>
      <c r="Z535" s="5">
        <f>data_origin!Z619</f>
        <v>0</v>
      </c>
      <c r="AA535" s="5">
        <f>data_origin!AA619</f>
        <v>0</v>
      </c>
      <c r="AB535" s="5">
        <f t="shared" si="62"/>
        <v>23.593664099214589</v>
      </c>
      <c r="AH535" t="s">
        <v>74</v>
      </c>
      <c r="AI535" s="5">
        <f>data_origin!T2866</f>
        <v>0</v>
      </c>
      <c r="AJ535" s="5">
        <f>data_origin!U2866</f>
        <v>0</v>
      </c>
      <c r="AK535" s="5">
        <f>data_origin!V2866</f>
        <v>3.0303030303030304E-2</v>
      </c>
      <c r="AL535" s="5">
        <f>data_origin!W2866</f>
        <v>0</v>
      </c>
      <c r="AM535" s="5">
        <f>data_origin!X2866</f>
        <v>0</v>
      </c>
      <c r="AN535" s="5">
        <f>data_origin!Y2866</f>
        <v>0</v>
      </c>
      <c r="AO535" s="5">
        <f>data_origin!Z2866</f>
        <v>0</v>
      </c>
      <c r="AP535" s="5">
        <f>data_origin!AA2866</f>
        <v>0</v>
      </c>
      <c r="AQ535" s="9">
        <f t="shared" si="63"/>
        <v>3.0303030303030304E-2</v>
      </c>
      <c r="AV535" t="s">
        <v>74</v>
      </c>
      <c r="AW535" s="5">
        <f>data_origin!T3580</f>
        <v>0</v>
      </c>
      <c r="AX535" s="5">
        <f>data_origin!U3580</f>
        <v>0</v>
      </c>
      <c r="AY535" s="5">
        <f>data_origin!V3580</f>
        <v>3.0303030303030304E-2</v>
      </c>
      <c r="AZ535" s="5">
        <f>data_origin!W3580</f>
        <v>0</v>
      </c>
      <c r="BA535" s="5">
        <f>data_origin!X3580</f>
        <v>0</v>
      </c>
      <c r="BB535" s="5">
        <f>data_origin!Y3580</f>
        <v>0</v>
      </c>
      <c r="BC535" s="5">
        <f>data_origin!Z3580</f>
        <v>0</v>
      </c>
      <c r="BD535" s="5">
        <f>data_origin!AA3580</f>
        <v>0</v>
      </c>
      <c r="BE535" s="9">
        <f t="shared" si="64"/>
        <v>3.0303030303030304E-2</v>
      </c>
    </row>
    <row r="536" spans="1:58" x14ac:dyDescent="0.25">
      <c r="D536" t="s">
        <v>75</v>
      </c>
      <c r="E536" s="38">
        <f t="shared" si="69"/>
        <v>0</v>
      </c>
      <c r="F536" s="38">
        <f t="shared" si="69"/>
        <v>0</v>
      </c>
      <c r="G536" s="38">
        <f t="shared" si="69"/>
        <v>2.1968665859948309</v>
      </c>
      <c r="H536" s="38">
        <f t="shared" si="68"/>
        <v>1.1882564686226127</v>
      </c>
      <c r="I536" s="38">
        <f t="shared" si="68"/>
        <v>5.5062055748112018</v>
      </c>
      <c r="J536" s="38">
        <f t="shared" si="68"/>
        <v>0</v>
      </c>
      <c r="K536" s="38">
        <f t="shared" si="68"/>
        <v>0</v>
      </c>
      <c r="L536" s="38">
        <f t="shared" si="65"/>
        <v>0</v>
      </c>
      <c r="M536" s="35">
        <f t="shared" si="67"/>
        <v>8.8913286294286458</v>
      </c>
      <c r="S536" t="s">
        <v>75</v>
      </c>
      <c r="T536" s="5">
        <f>data_origin!T620</f>
        <v>0</v>
      </c>
      <c r="U536" s="5">
        <f>data_origin!U620</f>
        <v>0</v>
      </c>
      <c r="V536" s="5">
        <f>data_origin!V620</f>
        <v>2.1797752808988764</v>
      </c>
      <c r="W536" s="5">
        <f>data_origin!W620</f>
        <v>1.1736111111111112</v>
      </c>
      <c r="X536" s="5">
        <f>data_origin!X620</f>
        <v>5.4098360655737707</v>
      </c>
      <c r="Y536" s="5">
        <f>data_origin!Y620</f>
        <v>0</v>
      </c>
      <c r="Z536" s="5">
        <f>data_origin!Z620</f>
        <v>0</v>
      </c>
      <c r="AA536" s="5">
        <f>data_origin!AA620</f>
        <v>0</v>
      </c>
      <c r="AB536" s="5">
        <f t="shared" si="62"/>
        <v>8.7632224575837583</v>
      </c>
      <c r="AH536" t="s">
        <v>75</v>
      </c>
      <c r="AI536" s="5">
        <f>data_origin!T2867</f>
        <v>0</v>
      </c>
      <c r="AJ536" s="5">
        <f>data_origin!U2867</f>
        <v>0</v>
      </c>
      <c r="AK536" s="5">
        <f>data_origin!V2867</f>
        <v>3.0303030303030304E-2</v>
      </c>
      <c r="AL536" s="5">
        <f>data_origin!W2867</f>
        <v>0</v>
      </c>
      <c r="AM536" s="5">
        <f>data_origin!X2867</f>
        <v>0</v>
      </c>
      <c r="AN536" s="5">
        <f>data_origin!Y2867</f>
        <v>0</v>
      </c>
      <c r="AO536" s="5">
        <f>data_origin!Z2867</f>
        <v>0</v>
      </c>
      <c r="AP536" s="5">
        <f>data_origin!AA2867</f>
        <v>0</v>
      </c>
      <c r="AQ536" s="9">
        <f t="shared" si="63"/>
        <v>3.0303030303030304E-2</v>
      </c>
      <c r="AV536" t="s">
        <v>75</v>
      </c>
      <c r="AW536" s="5">
        <f>data_origin!T3581</f>
        <v>0</v>
      </c>
      <c r="AX536" s="5">
        <f>data_origin!U3581</f>
        <v>0</v>
      </c>
      <c r="AY536" s="5">
        <f>data_origin!V3581</f>
        <v>3.0303030303030304E-2</v>
      </c>
      <c r="AZ536" s="5">
        <f>data_origin!W3581</f>
        <v>0</v>
      </c>
      <c r="BA536" s="5">
        <f>data_origin!X3581</f>
        <v>0</v>
      </c>
      <c r="BB536" s="5">
        <f>data_origin!Y3581</f>
        <v>0</v>
      </c>
      <c r="BC536" s="5">
        <f>data_origin!Z3581</f>
        <v>0</v>
      </c>
      <c r="BD536" s="5">
        <f>data_origin!AA3581</f>
        <v>0</v>
      </c>
      <c r="BE536" s="9">
        <f t="shared" si="64"/>
        <v>3.0303030303030304E-2</v>
      </c>
    </row>
    <row r="537" spans="1:58" x14ac:dyDescent="0.25">
      <c r="D537" t="s">
        <v>76</v>
      </c>
      <c r="E537" s="38">
        <f t="shared" si="69"/>
        <v>0</v>
      </c>
      <c r="F537" s="38">
        <f t="shared" si="69"/>
        <v>0</v>
      </c>
      <c r="G537" s="38">
        <f t="shared" si="69"/>
        <v>4.3937331719896617</v>
      </c>
      <c r="H537" s="38">
        <f t="shared" si="68"/>
        <v>7.1295388117356744</v>
      </c>
      <c r="I537" s="38">
        <f t="shared" si="68"/>
        <v>8.8099289196979225</v>
      </c>
      <c r="J537" s="38">
        <f t="shared" si="68"/>
        <v>3.2732861435179581</v>
      </c>
      <c r="K537" s="38">
        <f t="shared" si="68"/>
        <v>0</v>
      </c>
      <c r="L537" s="38">
        <f t="shared" si="65"/>
        <v>0</v>
      </c>
      <c r="M537" s="35">
        <f t="shared" si="67"/>
        <v>23.606487046941218</v>
      </c>
      <c r="S537" t="s">
        <v>76</v>
      </c>
      <c r="T537" s="5">
        <f>data_origin!T621</f>
        <v>0</v>
      </c>
      <c r="U537" s="5">
        <f>data_origin!U621</f>
        <v>0</v>
      </c>
      <c r="V537" s="5">
        <f>data_origin!V621</f>
        <v>4.3595505617977528</v>
      </c>
      <c r="W537" s="5">
        <f>data_origin!W621</f>
        <v>7.0416666666666661</v>
      </c>
      <c r="X537" s="5">
        <f>data_origin!X621</f>
        <v>8.6557377049180335</v>
      </c>
      <c r="Y537" s="5">
        <f>data_origin!Y621</f>
        <v>3.2068965517241379</v>
      </c>
      <c r="Z537" s="5">
        <f>data_origin!Z621</f>
        <v>0</v>
      </c>
      <c r="AA537" s="5">
        <f>data_origin!AA621</f>
        <v>0</v>
      </c>
      <c r="AB537" s="5">
        <f t="shared" si="62"/>
        <v>23.263851485106589</v>
      </c>
      <c r="AH537" t="s">
        <v>76</v>
      </c>
      <c r="AI537" s="5">
        <f>data_origin!T2868</f>
        <v>0</v>
      </c>
      <c r="AJ537" s="5">
        <f>data_origin!U2868</f>
        <v>0</v>
      </c>
      <c r="AK537" s="5">
        <f>data_origin!V2868</f>
        <v>3.0303030303030304E-2</v>
      </c>
      <c r="AL537" s="5">
        <f>data_origin!W2868</f>
        <v>0</v>
      </c>
      <c r="AM537" s="5">
        <f>data_origin!X2868</f>
        <v>0</v>
      </c>
      <c r="AN537" s="5">
        <f>data_origin!Y2868</f>
        <v>0</v>
      </c>
      <c r="AO537" s="5">
        <f>data_origin!Z2868</f>
        <v>0</v>
      </c>
      <c r="AP537" s="5">
        <f>data_origin!AA2868</f>
        <v>0</v>
      </c>
      <c r="AQ537" s="9">
        <f t="shared" si="63"/>
        <v>3.0303030303030304E-2</v>
      </c>
      <c r="AV537" t="s">
        <v>76</v>
      </c>
      <c r="AW537" s="5">
        <f>data_origin!T3582</f>
        <v>0</v>
      </c>
      <c r="AX537" s="5">
        <f>data_origin!U3582</f>
        <v>0</v>
      </c>
      <c r="AY537" s="5">
        <f>data_origin!V3582</f>
        <v>3.0303030303030304E-2</v>
      </c>
      <c r="AZ537" s="5">
        <f>data_origin!W3582</f>
        <v>0</v>
      </c>
      <c r="BA537" s="5">
        <f>data_origin!X3582</f>
        <v>0</v>
      </c>
      <c r="BB537" s="5">
        <f>data_origin!Y3582</f>
        <v>0</v>
      </c>
      <c r="BC537" s="5">
        <f>data_origin!Z3582</f>
        <v>0</v>
      </c>
      <c r="BD537" s="5">
        <f>data_origin!AA3582</f>
        <v>0</v>
      </c>
      <c r="BE537" s="9">
        <f t="shared" si="64"/>
        <v>3.0303030303030304E-2</v>
      </c>
    </row>
    <row r="538" spans="1:58" x14ac:dyDescent="0.25">
      <c r="D538" t="s">
        <v>77</v>
      </c>
      <c r="E538" s="38">
        <f t="shared" si="69"/>
        <v>0</v>
      </c>
      <c r="F538" s="38">
        <f t="shared" si="69"/>
        <v>0</v>
      </c>
      <c r="G538" s="38">
        <f t="shared" si="69"/>
        <v>15.378066101963816</v>
      </c>
      <c r="H538" s="38">
        <f t="shared" si="68"/>
        <v>16.635590560716576</v>
      </c>
      <c r="I538" s="38">
        <f t="shared" si="68"/>
        <v>13.214893379546883</v>
      </c>
      <c r="J538" s="38">
        <f t="shared" si="68"/>
        <v>2.1821907623453054</v>
      </c>
      <c r="K538" s="38">
        <f t="shared" si="68"/>
        <v>2.3283582089552239</v>
      </c>
      <c r="L538" s="38">
        <f t="shared" si="65"/>
        <v>0</v>
      </c>
      <c r="M538" s="35">
        <f t="shared" si="67"/>
        <v>49.739099013527799</v>
      </c>
      <c r="S538" t="s">
        <v>77</v>
      </c>
      <c r="T538" s="5">
        <f>data_origin!T622</f>
        <v>0</v>
      </c>
      <c r="U538" s="5">
        <f>data_origin!U622</f>
        <v>0</v>
      </c>
      <c r="V538" s="5">
        <f>data_origin!V622</f>
        <v>15.258426966292134</v>
      </c>
      <c r="W538" s="5">
        <f>data_origin!W622</f>
        <v>16.430555555555557</v>
      </c>
      <c r="X538" s="5">
        <f>data_origin!X622</f>
        <v>12.983606557377049</v>
      </c>
      <c r="Y538" s="5">
        <f>data_origin!Y622</f>
        <v>2.1379310344827585</v>
      </c>
      <c r="Z538" s="5">
        <f>data_origin!Z622</f>
        <v>2.2857142857142856</v>
      </c>
      <c r="AA538" s="5">
        <f>data_origin!AA622</f>
        <v>0</v>
      </c>
      <c r="AB538" s="5">
        <f t="shared" si="62"/>
        <v>49.096234399421789</v>
      </c>
      <c r="AH538" t="s">
        <v>77</v>
      </c>
      <c r="AI538" s="5">
        <f>data_origin!T2869</f>
        <v>0</v>
      </c>
      <c r="AJ538" s="5">
        <f>data_origin!U2869</f>
        <v>0</v>
      </c>
      <c r="AK538" s="5">
        <f>data_origin!V2869</f>
        <v>3.0303030303030304E-2</v>
      </c>
      <c r="AL538" s="5">
        <f>data_origin!W2869</f>
        <v>0</v>
      </c>
      <c r="AM538" s="5">
        <f>data_origin!X2869</f>
        <v>0</v>
      </c>
      <c r="AN538" s="5">
        <f>data_origin!Y2869</f>
        <v>0</v>
      </c>
      <c r="AO538" s="5">
        <f>data_origin!Z2869</f>
        <v>0</v>
      </c>
      <c r="AP538" s="5">
        <f>data_origin!AA2869</f>
        <v>0</v>
      </c>
      <c r="AQ538" s="9">
        <f t="shared" si="63"/>
        <v>3.0303030303030304E-2</v>
      </c>
      <c r="AV538" t="s">
        <v>77</v>
      </c>
      <c r="AW538" s="5">
        <f>data_origin!T3583</f>
        <v>0</v>
      </c>
      <c r="AX538" s="5">
        <f>data_origin!U3583</f>
        <v>0</v>
      </c>
      <c r="AY538" s="5">
        <f>data_origin!V3583</f>
        <v>3.0303030303030304E-2</v>
      </c>
      <c r="AZ538" s="5">
        <f>data_origin!W3583</f>
        <v>0</v>
      </c>
      <c r="BA538" s="5">
        <f>data_origin!X3583</f>
        <v>0</v>
      </c>
      <c r="BB538" s="5">
        <f>data_origin!Y3583</f>
        <v>0</v>
      </c>
      <c r="BC538" s="5">
        <f>data_origin!Z3583</f>
        <v>0</v>
      </c>
      <c r="BD538" s="5">
        <f>data_origin!AA3583</f>
        <v>0</v>
      </c>
      <c r="BE538" s="9">
        <f t="shared" si="64"/>
        <v>3.0303030303030304E-2</v>
      </c>
    </row>
    <row r="539" spans="1:58" x14ac:dyDescent="0.25">
      <c r="D539" t="s">
        <v>78</v>
      </c>
      <c r="E539" s="38">
        <f t="shared" si="69"/>
        <v>0</v>
      </c>
      <c r="F539" s="38">
        <f t="shared" si="69"/>
        <v>0</v>
      </c>
      <c r="G539" s="38">
        <f t="shared" si="69"/>
        <v>6.5905997579844922</v>
      </c>
      <c r="H539" s="38">
        <f t="shared" si="68"/>
        <v>14.259077623471349</v>
      </c>
      <c r="I539" s="38">
        <f t="shared" si="68"/>
        <v>4.4049644598489612</v>
      </c>
      <c r="J539" s="38">
        <f t="shared" si="68"/>
        <v>0</v>
      </c>
      <c r="K539" s="38">
        <f t="shared" si="68"/>
        <v>0</v>
      </c>
      <c r="L539" s="38">
        <f t="shared" si="65"/>
        <v>0</v>
      </c>
      <c r="M539" s="35">
        <f t="shared" si="67"/>
        <v>25.254641841304803</v>
      </c>
      <c r="S539" t="s">
        <v>78</v>
      </c>
      <c r="T539" s="5">
        <f>data_origin!T623</f>
        <v>0</v>
      </c>
      <c r="U539" s="5">
        <f>data_origin!U623</f>
        <v>0</v>
      </c>
      <c r="V539" s="5">
        <f>data_origin!V623</f>
        <v>6.5393258426966288</v>
      </c>
      <c r="W539" s="5">
        <f>data_origin!W623</f>
        <v>14.083333333333332</v>
      </c>
      <c r="X539" s="5">
        <f>data_origin!X623</f>
        <v>4.3278688524590168</v>
      </c>
      <c r="Y539" s="5">
        <f>data_origin!Y623</f>
        <v>0</v>
      </c>
      <c r="Z539" s="5">
        <f>data_origin!Z623</f>
        <v>0</v>
      </c>
      <c r="AA539" s="5">
        <f>data_origin!AA623</f>
        <v>0</v>
      </c>
      <c r="AB539" s="5">
        <f t="shared" si="62"/>
        <v>24.950528028488979</v>
      </c>
      <c r="AH539" t="s">
        <v>78</v>
      </c>
      <c r="AI539" s="5">
        <f>data_origin!T2870</f>
        <v>0</v>
      </c>
      <c r="AJ539" s="5">
        <f>data_origin!U2870</f>
        <v>0</v>
      </c>
      <c r="AK539" s="5">
        <f>data_origin!V2870</f>
        <v>3.0303030303030304E-2</v>
      </c>
      <c r="AL539" s="5">
        <f>data_origin!W2870</f>
        <v>0</v>
      </c>
      <c r="AM539" s="5">
        <f>data_origin!X2870</f>
        <v>0</v>
      </c>
      <c r="AN539" s="5">
        <f>data_origin!Y2870</f>
        <v>0</v>
      </c>
      <c r="AO539" s="5">
        <f>data_origin!Z2870</f>
        <v>0</v>
      </c>
      <c r="AP539" s="5">
        <f>data_origin!AA2870</f>
        <v>0</v>
      </c>
      <c r="AQ539" s="9">
        <f t="shared" si="63"/>
        <v>3.0303030303030304E-2</v>
      </c>
      <c r="AV539" t="s">
        <v>78</v>
      </c>
      <c r="AW539" s="5">
        <f>data_origin!T3584</f>
        <v>0</v>
      </c>
      <c r="AX539" s="5">
        <f>data_origin!U3584</f>
        <v>0</v>
      </c>
      <c r="AY539" s="5">
        <f>data_origin!V3584</f>
        <v>3.0303030303030304E-2</v>
      </c>
      <c r="AZ539" s="5">
        <f>data_origin!W3584</f>
        <v>0</v>
      </c>
      <c r="BA539" s="5">
        <f>data_origin!X3584</f>
        <v>0</v>
      </c>
      <c r="BB539" s="5">
        <f>data_origin!Y3584</f>
        <v>0</v>
      </c>
      <c r="BC539" s="5">
        <f>data_origin!Z3584</f>
        <v>0</v>
      </c>
      <c r="BD539" s="5">
        <f>data_origin!AA3584</f>
        <v>0</v>
      </c>
      <c r="BE539" s="9">
        <f t="shared" si="64"/>
        <v>3.0303030303030304E-2</v>
      </c>
    </row>
    <row r="540" spans="1:58" x14ac:dyDescent="0.25">
      <c r="D540" t="s">
        <v>79</v>
      </c>
      <c r="E540" s="38">
        <f t="shared" si="69"/>
        <v>0</v>
      </c>
      <c r="F540" s="38">
        <f t="shared" si="69"/>
        <v>0</v>
      </c>
      <c r="G540" s="38">
        <f t="shared" si="69"/>
        <v>8.7874663439793235</v>
      </c>
      <c r="H540" s="38">
        <f t="shared" si="68"/>
        <v>8.317795280358288</v>
      </c>
      <c r="I540" s="38">
        <f t="shared" si="68"/>
        <v>14.316134494509123</v>
      </c>
      <c r="J540" s="38">
        <f t="shared" si="68"/>
        <v>5.4554769058632644</v>
      </c>
      <c r="K540" s="38">
        <f t="shared" si="68"/>
        <v>2.3283582089552239</v>
      </c>
      <c r="L540" s="38">
        <f t="shared" si="65"/>
        <v>1.0769230769230769</v>
      </c>
      <c r="M540" s="35">
        <f t="shared" si="67"/>
        <v>40.282154310588304</v>
      </c>
      <c r="S540" t="s">
        <v>79</v>
      </c>
      <c r="T540" s="5">
        <f>data_origin!T624</f>
        <v>0</v>
      </c>
      <c r="U540" s="5">
        <f>data_origin!U624</f>
        <v>0</v>
      </c>
      <c r="V540" s="5">
        <f>data_origin!V624</f>
        <v>8.7191011235955056</v>
      </c>
      <c r="W540" s="5">
        <f>data_origin!W624</f>
        <v>8.2152777777777786</v>
      </c>
      <c r="X540" s="5">
        <f>data_origin!X624</f>
        <v>14.065573770491802</v>
      </c>
      <c r="Y540" s="5">
        <f>data_origin!Y624</f>
        <v>5.3448275862068968</v>
      </c>
      <c r="Z540" s="5">
        <f>data_origin!Z624</f>
        <v>2.2857142857142856</v>
      </c>
      <c r="AA540" s="5">
        <f>data_origin!AA624</f>
        <v>1</v>
      </c>
      <c r="AB540" s="5">
        <f t="shared" si="62"/>
        <v>39.63049454378627</v>
      </c>
      <c r="AH540" t="s">
        <v>79</v>
      </c>
      <c r="AI540" s="5">
        <f>data_origin!T2871</f>
        <v>0</v>
      </c>
      <c r="AJ540" s="5">
        <f>data_origin!U2871</f>
        <v>0</v>
      </c>
      <c r="AK540" s="5">
        <f>data_origin!V2871</f>
        <v>3.0303030303030304E-2</v>
      </c>
      <c r="AL540" s="5">
        <f>data_origin!W2871</f>
        <v>0</v>
      </c>
      <c r="AM540" s="5">
        <f>data_origin!X2871</f>
        <v>0</v>
      </c>
      <c r="AN540" s="5">
        <f>data_origin!Y2871</f>
        <v>0</v>
      </c>
      <c r="AO540" s="5">
        <f>data_origin!Z2871</f>
        <v>0</v>
      </c>
      <c r="AP540" s="5">
        <f>data_origin!AA2871</f>
        <v>0</v>
      </c>
      <c r="AQ540" s="9">
        <f t="shared" si="63"/>
        <v>3.0303030303030304E-2</v>
      </c>
      <c r="AV540" t="s">
        <v>79</v>
      </c>
      <c r="AW540" s="5">
        <f>data_origin!T3585</f>
        <v>0</v>
      </c>
      <c r="AX540" s="5">
        <f>data_origin!U3585</f>
        <v>0</v>
      </c>
      <c r="AY540" s="5">
        <f>data_origin!V3585</f>
        <v>3.0303030303030304E-2</v>
      </c>
      <c r="AZ540" s="5">
        <f>data_origin!W3585</f>
        <v>0</v>
      </c>
      <c r="BA540" s="5">
        <f>data_origin!X3585</f>
        <v>0</v>
      </c>
      <c r="BB540" s="5">
        <f>data_origin!Y3585</f>
        <v>0</v>
      </c>
      <c r="BC540" s="5">
        <f>data_origin!Z3585</f>
        <v>0</v>
      </c>
      <c r="BD540" s="5">
        <f>data_origin!AA3585</f>
        <v>0</v>
      </c>
      <c r="BE540" s="9">
        <f t="shared" si="64"/>
        <v>3.0303030303030304E-2</v>
      </c>
    </row>
    <row r="541" spans="1:58" x14ac:dyDescent="0.25">
      <c r="D541" t="s">
        <v>80</v>
      </c>
      <c r="E541" s="38">
        <f t="shared" si="69"/>
        <v>0</v>
      </c>
      <c r="F541" s="38">
        <f t="shared" si="69"/>
        <v>0</v>
      </c>
      <c r="G541" s="38">
        <f t="shared" si="69"/>
        <v>5.4921664649870774</v>
      </c>
      <c r="H541" s="38">
        <f t="shared" si="68"/>
        <v>10.694308217603513</v>
      </c>
      <c r="I541" s="38">
        <f t="shared" si="68"/>
        <v>12.113652264584642</v>
      </c>
      <c r="J541" s="38">
        <f t="shared" si="68"/>
        <v>2.1821907623453054</v>
      </c>
      <c r="K541" s="38">
        <f t="shared" si="68"/>
        <v>0</v>
      </c>
      <c r="L541" s="38">
        <f t="shared" si="65"/>
        <v>0</v>
      </c>
      <c r="M541" s="35">
        <f t="shared" si="67"/>
        <v>30.482317709520544</v>
      </c>
      <c r="S541" t="s">
        <v>80</v>
      </c>
      <c r="T541" s="5">
        <f>data_origin!T625</f>
        <v>0</v>
      </c>
      <c r="U541" s="5">
        <f>data_origin!U625</f>
        <v>0</v>
      </c>
      <c r="V541" s="5">
        <f>data_origin!V625</f>
        <v>5.4494382022471912</v>
      </c>
      <c r="W541" s="5">
        <f>data_origin!W625</f>
        <v>10.5625</v>
      </c>
      <c r="X541" s="5">
        <f>data_origin!X625</f>
        <v>11.901639344262295</v>
      </c>
      <c r="Y541" s="5">
        <f>data_origin!Y625</f>
        <v>2.1379310344827585</v>
      </c>
      <c r="Z541" s="5">
        <f>data_origin!Z625</f>
        <v>0</v>
      </c>
      <c r="AA541" s="5">
        <f>data_origin!AA625</f>
        <v>0</v>
      </c>
      <c r="AB541" s="5">
        <f t="shared" si="62"/>
        <v>30.051508580992245</v>
      </c>
      <c r="AH541" t="s">
        <v>80</v>
      </c>
      <c r="AI541" s="5">
        <f>data_origin!T2872</f>
        <v>0</v>
      </c>
      <c r="AJ541" s="5">
        <f>data_origin!U2872</f>
        <v>0</v>
      </c>
      <c r="AK541" s="5">
        <f>data_origin!V2872</f>
        <v>3.0303030303030304E-2</v>
      </c>
      <c r="AL541" s="5">
        <f>data_origin!W2872</f>
        <v>0</v>
      </c>
      <c r="AM541" s="5">
        <f>data_origin!X2872</f>
        <v>0</v>
      </c>
      <c r="AN541" s="5">
        <f>data_origin!Y2872</f>
        <v>0</v>
      </c>
      <c r="AO541" s="5">
        <f>data_origin!Z2872</f>
        <v>0</v>
      </c>
      <c r="AP541" s="5">
        <f>data_origin!AA2872</f>
        <v>0</v>
      </c>
      <c r="AQ541" s="9">
        <f t="shared" si="63"/>
        <v>3.0303030303030304E-2</v>
      </c>
      <c r="AV541" t="s">
        <v>80</v>
      </c>
      <c r="AW541" s="5">
        <f>data_origin!T3586</f>
        <v>0</v>
      </c>
      <c r="AX541" s="5">
        <f>data_origin!U3586</f>
        <v>0</v>
      </c>
      <c r="AY541" s="5">
        <f>data_origin!V3586</f>
        <v>3.0303030303030304E-2</v>
      </c>
      <c r="AZ541" s="5">
        <f>data_origin!W3586</f>
        <v>0</v>
      </c>
      <c r="BA541" s="5">
        <f>data_origin!X3586</f>
        <v>0</v>
      </c>
      <c r="BB541" s="5">
        <f>data_origin!Y3586</f>
        <v>0</v>
      </c>
      <c r="BC541" s="5">
        <f>data_origin!Z3586</f>
        <v>0</v>
      </c>
      <c r="BD541" s="5">
        <f>data_origin!AA3586</f>
        <v>0</v>
      </c>
      <c r="BE541" s="9">
        <f t="shared" si="64"/>
        <v>3.0303030303030304E-2</v>
      </c>
    </row>
    <row r="542" spans="1:58" x14ac:dyDescent="0.25">
      <c r="D542" t="s">
        <v>81</v>
      </c>
      <c r="E542" s="38">
        <f t="shared" si="69"/>
        <v>0</v>
      </c>
      <c r="F542" s="38">
        <f t="shared" si="69"/>
        <v>0</v>
      </c>
      <c r="G542" s="38">
        <f t="shared" si="69"/>
        <v>10.984332929974155</v>
      </c>
      <c r="H542" s="38">
        <f t="shared" si="68"/>
        <v>4.7530258744904508</v>
      </c>
      <c r="I542" s="38">
        <f t="shared" si="68"/>
        <v>4.4049644598489612</v>
      </c>
      <c r="J542" s="38">
        <f t="shared" si="68"/>
        <v>0</v>
      </c>
      <c r="K542" s="38">
        <f t="shared" si="68"/>
        <v>0</v>
      </c>
      <c r="L542" s="38">
        <f t="shared" si="65"/>
        <v>0</v>
      </c>
      <c r="M542" s="35">
        <f t="shared" si="67"/>
        <v>20.142323264313568</v>
      </c>
      <c r="S542" t="s">
        <v>81</v>
      </c>
      <c r="T542" s="5">
        <f>data_origin!T626</f>
        <v>0</v>
      </c>
      <c r="U542" s="5">
        <f>data_origin!U626</f>
        <v>0</v>
      </c>
      <c r="V542" s="5">
        <f>data_origin!V626</f>
        <v>10.898876404494382</v>
      </c>
      <c r="W542" s="5">
        <f>data_origin!W626</f>
        <v>4.6944444444444446</v>
      </c>
      <c r="X542" s="5">
        <f>data_origin!X626</f>
        <v>4.3278688524590168</v>
      </c>
      <c r="Y542" s="5">
        <f>data_origin!Y626</f>
        <v>0</v>
      </c>
      <c r="Z542" s="5">
        <f>data_origin!Z626</f>
        <v>0</v>
      </c>
      <c r="AA542" s="5">
        <f>data_origin!AA626</f>
        <v>0</v>
      </c>
      <c r="AB542" s="5">
        <f t="shared" si="62"/>
        <v>19.921189701397843</v>
      </c>
      <c r="AH542" t="s">
        <v>81</v>
      </c>
      <c r="AI542" s="5">
        <f>data_origin!T2873</f>
        <v>0</v>
      </c>
      <c r="AJ542" s="5">
        <f>data_origin!U2873</f>
        <v>0</v>
      </c>
      <c r="AK542" s="5">
        <f>data_origin!V2873</f>
        <v>3.0303030303030304E-2</v>
      </c>
      <c r="AL542" s="5">
        <f>data_origin!W2873</f>
        <v>0</v>
      </c>
      <c r="AM542" s="5">
        <f>data_origin!X2873</f>
        <v>0</v>
      </c>
      <c r="AN542" s="5">
        <f>data_origin!Y2873</f>
        <v>0</v>
      </c>
      <c r="AO542" s="5">
        <f>data_origin!Z2873</f>
        <v>0</v>
      </c>
      <c r="AP542" s="5">
        <f>data_origin!AA2873</f>
        <v>0</v>
      </c>
      <c r="AQ542" s="9">
        <f t="shared" si="63"/>
        <v>3.0303030303030304E-2</v>
      </c>
      <c r="AV542" t="s">
        <v>81</v>
      </c>
      <c r="AW542" s="5">
        <f>data_origin!T3587</f>
        <v>0</v>
      </c>
      <c r="AX542" s="5">
        <f>data_origin!U3587</f>
        <v>0</v>
      </c>
      <c r="AY542" s="5">
        <f>data_origin!V3587</f>
        <v>3.0303030303030304E-2</v>
      </c>
      <c r="AZ542" s="5">
        <f>data_origin!W3587</f>
        <v>0</v>
      </c>
      <c r="BA542" s="5">
        <f>data_origin!X3587</f>
        <v>0</v>
      </c>
      <c r="BB542" s="5">
        <f>data_origin!Y3587</f>
        <v>0</v>
      </c>
      <c r="BC542" s="5">
        <f>data_origin!Z3587</f>
        <v>0</v>
      </c>
      <c r="BD542" s="5">
        <f>data_origin!AA3587</f>
        <v>0</v>
      </c>
      <c r="BE542" s="9">
        <f t="shared" si="64"/>
        <v>3.0303030303030304E-2</v>
      </c>
    </row>
    <row r="543" spans="1:58" x14ac:dyDescent="0.25">
      <c r="D543" t="s">
        <v>82</v>
      </c>
      <c r="E543" s="38">
        <f t="shared" si="69"/>
        <v>0</v>
      </c>
      <c r="F543" s="38">
        <f t="shared" si="69"/>
        <v>0</v>
      </c>
      <c r="G543" s="38">
        <f t="shared" si="69"/>
        <v>6.5905997579844922</v>
      </c>
      <c r="H543" s="38">
        <f t="shared" si="68"/>
        <v>4.7530258744904508</v>
      </c>
      <c r="I543" s="38">
        <f t="shared" si="68"/>
        <v>9.911170034660163</v>
      </c>
      <c r="J543" s="38">
        <f t="shared" si="68"/>
        <v>1.0910953811726527</v>
      </c>
      <c r="K543" s="38">
        <f t="shared" si="68"/>
        <v>0</v>
      </c>
      <c r="L543" s="38">
        <f t="shared" si="65"/>
        <v>0</v>
      </c>
      <c r="M543" s="35">
        <f t="shared" si="67"/>
        <v>22.34589104830776</v>
      </c>
      <c r="S543" t="s">
        <v>82</v>
      </c>
      <c r="T543" s="5">
        <f>data_origin!T627</f>
        <v>0</v>
      </c>
      <c r="U543" s="5">
        <f>data_origin!U627</f>
        <v>0</v>
      </c>
      <c r="V543" s="5">
        <f>data_origin!V627</f>
        <v>6.5393258426966288</v>
      </c>
      <c r="W543" s="5">
        <f>data_origin!W627</f>
        <v>4.6944444444444446</v>
      </c>
      <c r="X543" s="5">
        <f>data_origin!X627</f>
        <v>9.7377049180327866</v>
      </c>
      <c r="Y543" s="5">
        <f>data_origin!Y627</f>
        <v>1.0689655172413792</v>
      </c>
      <c r="Z543" s="5">
        <f>data_origin!Z627</f>
        <v>0</v>
      </c>
      <c r="AA543" s="5">
        <f>data_origin!AA627</f>
        <v>0</v>
      </c>
      <c r="AB543" s="5">
        <f t="shared" si="62"/>
        <v>22.040440722415241</v>
      </c>
      <c r="AH543" t="s">
        <v>82</v>
      </c>
      <c r="AI543" s="5">
        <f>data_origin!T2874</f>
        <v>0</v>
      </c>
      <c r="AJ543" s="5">
        <f>data_origin!U2874</f>
        <v>0</v>
      </c>
      <c r="AK543" s="5">
        <f>data_origin!V2874</f>
        <v>3.0303030303030304E-2</v>
      </c>
      <c r="AL543" s="5">
        <f>data_origin!W2874</f>
        <v>0</v>
      </c>
      <c r="AM543" s="5">
        <f>data_origin!X2874</f>
        <v>0</v>
      </c>
      <c r="AN543" s="5">
        <f>data_origin!Y2874</f>
        <v>0</v>
      </c>
      <c r="AO543" s="5">
        <f>data_origin!Z2874</f>
        <v>0</v>
      </c>
      <c r="AP543" s="5">
        <f>data_origin!AA2874</f>
        <v>0</v>
      </c>
      <c r="AQ543" s="9">
        <f t="shared" si="63"/>
        <v>3.0303030303030304E-2</v>
      </c>
      <c r="AV543" t="s">
        <v>82</v>
      </c>
      <c r="AW543" s="5">
        <f>data_origin!T3588</f>
        <v>0</v>
      </c>
      <c r="AX543" s="5">
        <f>data_origin!U3588</f>
        <v>0</v>
      </c>
      <c r="AY543" s="5">
        <f>data_origin!V3588</f>
        <v>3.0303030303030304E-2</v>
      </c>
      <c r="AZ543" s="5">
        <f>data_origin!W3588</f>
        <v>0</v>
      </c>
      <c r="BA543" s="5">
        <f>data_origin!X3588</f>
        <v>0</v>
      </c>
      <c r="BB543" s="5">
        <f>data_origin!Y3588</f>
        <v>0</v>
      </c>
      <c r="BC543" s="5">
        <f>data_origin!Z3588</f>
        <v>0</v>
      </c>
      <c r="BD543" s="5">
        <f>data_origin!AA3588</f>
        <v>0</v>
      </c>
      <c r="BE543" s="9">
        <f t="shared" si="64"/>
        <v>3.0303030303030304E-2</v>
      </c>
    </row>
    <row r="544" spans="1:58" x14ac:dyDescent="0.25">
      <c r="D544" t="s">
        <v>83</v>
      </c>
      <c r="E544" s="38">
        <f t="shared" si="69"/>
        <v>0</v>
      </c>
      <c r="F544" s="38">
        <f t="shared" si="69"/>
        <v>0</v>
      </c>
      <c r="G544" s="38">
        <f t="shared" si="69"/>
        <v>1.0984332929974154</v>
      </c>
      <c r="H544" s="38">
        <f t="shared" si="68"/>
        <v>3.5647694058678372</v>
      </c>
      <c r="I544" s="38">
        <f t="shared" si="68"/>
        <v>2.2024822299244806</v>
      </c>
      <c r="J544" s="38">
        <f t="shared" si="68"/>
        <v>1.0910953811726527</v>
      </c>
      <c r="K544" s="38">
        <f t="shared" si="68"/>
        <v>0</v>
      </c>
      <c r="L544" s="38">
        <f t="shared" si="65"/>
        <v>0</v>
      </c>
      <c r="M544" s="35">
        <f t="shared" si="67"/>
        <v>7.9567803099623857</v>
      </c>
      <c r="S544" t="s">
        <v>83</v>
      </c>
      <c r="T544" s="5">
        <f>data_origin!T628</f>
        <v>0</v>
      </c>
      <c r="U544" s="5">
        <f>data_origin!U628</f>
        <v>0</v>
      </c>
      <c r="V544" s="5">
        <f>data_origin!V628</f>
        <v>1.0898876404494382</v>
      </c>
      <c r="W544" s="5">
        <f>data_origin!W628</f>
        <v>3.520833333333333</v>
      </c>
      <c r="X544" s="5">
        <f>data_origin!X628</f>
        <v>2.1639344262295084</v>
      </c>
      <c r="Y544" s="5">
        <f>data_origin!Y628</f>
        <v>1.0689655172413792</v>
      </c>
      <c r="Z544" s="5">
        <f>data_origin!Z628</f>
        <v>0</v>
      </c>
      <c r="AA544" s="5">
        <f>data_origin!AA628</f>
        <v>0</v>
      </c>
      <c r="AB544" s="5">
        <f t="shared" ref="AB544:AB607" si="70">SUM(T544:AA544)</f>
        <v>7.8436209172536593</v>
      </c>
      <c r="AH544" t="s">
        <v>83</v>
      </c>
      <c r="AI544" s="5">
        <f>data_origin!T2875</f>
        <v>0</v>
      </c>
      <c r="AJ544" s="5">
        <f>data_origin!U2875</f>
        <v>0</v>
      </c>
      <c r="AK544" s="5">
        <f>data_origin!V2875</f>
        <v>3.0303030303030304E-2</v>
      </c>
      <c r="AL544" s="5">
        <f>data_origin!W2875</f>
        <v>0</v>
      </c>
      <c r="AM544" s="5">
        <f>data_origin!X2875</f>
        <v>0</v>
      </c>
      <c r="AN544" s="5">
        <f>data_origin!Y2875</f>
        <v>0</v>
      </c>
      <c r="AO544" s="5">
        <f>data_origin!Z2875</f>
        <v>0</v>
      </c>
      <c r="AP544" s="5">
        <f>data_origin!AA2875</f>
        <v>0</v>
      </c>
      <c r="AQ544" s="9">
        <f t="shared" si="63"/>
        <v>3.0303030303030304E-2</v>
      </c>
      <c r="AV544" t="s">
        <v>83</v>
      </c>
      <c r="AW544" s="5">
        <f>data_origin!T3589</f>
        <v>0</v>
      </c>
      <c r="AX544" s="5">
        <f>data_origin!U3589</f>
        <v>0</v>
      </c>
      <c r="AY544" s="5">
        <f>data_origin!V3589</f>
        <v>3.0303030303030304E-2</v>
      </c>
      <c r="AZ544" s="5">
        <f>data_origin!W3589</f>
        <v>0</v>
      </c>
      <c r="BA544" s="5">
        <f>data_origin!X3589</f>
        <v>0</v>
      </c>
      <c r="BB544" s="5">
        <f>data_origin!Y3589</f>
        <v>0</v>
      </c>
      <c r="BC544" s="5">
        <f>data_origin!Z3589</f>
        <v>0</v>
      </c>
      <c r="BD544" s="5">
        <f>data_origin!AA3589</f>
        <v>0</v>
      </c>
      <c r="BE544" s="9">
        <f t="shared" si="64"/>
        <v>3.0303030303030304E-2</v>
      </c>
    </row>
    <row r="545" spans="4:57" x14ac:dyDescent="0.25">
      <c r="D545" t="s">
        <v>84</v>
      </c>
      <c r="E545" s="38">
        <f t="shared" si="69"/>
        <v>0</v>
      </c>
      <c r="F545" s="38">
        <f t="shared" si="69"/>
        <v>0</v>
      </c>
      <c r="G545" s="38">
        <f t="shared" si="69"/>
        <v>0</v>
      </c>
      <c r="H545" s="38">
        <f t="shared" si="68"/>
        <v>3.5647694058678372</v>
      </c>
      <c r="I545" s="38">
        <f t="shared" si="68"/>
        <v>2.2024822299244806</v>
      </c>
      <c r="J545" s="38">
        <f t="shared" si="68"/>
        <v>0</v>
      </c>
      <c r="K545" s="38">
        <f t="shared" si="68"/>
        <v>1.164179104477612</v>
      </c>
      <c r="L545" s="38">
        <f t="shared" si="65"/>
        <v>0</v>
      </c>
      <c r="M545" s="35">
        <f t="shared" si="67"/>
        <v>6.9314307402699304</v>
      </c>
      <c r="S545" t="s">
        <v>84</v>
      </c>
      <c r="T545" s="5">
        <f>data_origin!T629</f>
        <v>0</v>
      </c>
      <c r="U545" s="5">
        <f>data_origin!U629</f>
        <v>0</v>
      </c>
      <c r="V545" s="5">
        <f>data_origin!V629</f>
        <v>0</v>
      </c>
      <c r="W545" s="5">
        <f>data_origin!W629</f>
        <v>3.520833333333333</v>
      </c>
      <c r="X545" s="5">
        <f>data_origin!X629</f>
        <v>2.1639344262295084</v>
      </c>
      <c r="Y545" s="5">
        <f>data_origin!Y629</f>
        <v>0</v>
      </c>
      <c r="Z545" s="5">
        <f>data_origin!Z629</f>
        <v>1.1428571428571428</v>
      </c>
      <c r="AA545" s="5">
        <f>data_origin!AA629</f>
        <v>0</v>
      </c>
      <c r="AB545" s="5">
        <f t="shared" si="70"/>
        <v>6.8276249024199842</v>
      </c>
      <c r="AH545" t="s">
        <v>84</v>
      </c>
      <c r="AI545" s="5">
        <f>data_origin!T2876</f>
        <v>0</v>
      </c>
      <c r="AJ545" s="5">
        <f>data_origin!U2876</f>
        <v>0</v>
      </c>
      <c r="AK545" s="5">
        <f>data_origin!V2876</f>
        <v>3.0303030303030304E-2</v>
      </c>
      <c r="AL545" s="5">
        <f>data_origin!W2876</f>
        <v>0</v>
      </c>
      <c r="AM545" s="5">
        <f>data_origin!X2876</f>
        <v>0</v>
      </c>
      <c r="AN545" s="5">
        <f>data_origin!Y2876</f>
        <v>0</v>
      </c>
      <c r="AO545" s="5">
        <f>data_origin!Z2876</f>
        <v>0</v>
      </c>
      <c r="AP545" s="5">
        <f>data_origin!AA2876</f>
        <v>0</v>
      </c>
      <c r="AQ545" s="9">
        <f t="shared" si="63"/>
        <v>3.0303030303030304E-2</v>
      </c>
      <c r="AV545" t="s">
        <v>84</v>
      </c>
      <c r="AW545" s="5">
        <f>data_origin!T3590</f>
        <v>0</v>
      </c>
      <c r="AX545" s="5">
        <f>data_origin!U3590</f>
        <v>0</v>
      </c>
      <c r="AY545" s="5">
        <f>data_origin!V3590</f>
        <v>3.0303030303030304E-2</v>
      </c>
      <c r="AZ545" s="5">
        <f>data_origin!W3590</f>
        <v>0</v>
      </c>
      <c r="BA545" s="5">
        <f>data_origin!X3590</f>
        <v>0</v>
      </c>
      <c r="BB545" s="5">
        <f>data_origin!Y3590</f>
        <v>0</v>
      </c>
      <c r="BC545" s="5">
        <f>data_origin!Z3590</f>
        <v>0</v>
      </c>
      <c r="BD545" s="5">
        <f>data_origin!AA3590</f>
        <v>0</v>
      </c>
      <c r="BE545" s="9">
        <f t="shared" si="64"/>
        <v>3.0303030303030304E-2</v>
      </c>
    </row>
    <row r="546" spans="4:57" x14ac:dyDescent="0.25">
      <c r="D546" t="s">
        <v>85</v>
      </c>
      <c r="E546" s="38">
        <f t="shared" si="69"/>
        <v>0</v>
      </c>
      <c r="F546" s="38">
        <f t="shared" si="69"/>
        <v>0</v>
      </c>
      <c r="G546" s="38">
        <f t="shared" si="69"/>
        <v>8.7874663439793235</v>
      </c>
      <c r="H546" s="38">
        <f t="shared" si="68"/>
        <v>9.5060517489809016</v>
      </c>
      <c r="I546" s="38">
        <f t="shared" si="68"/>
        <v>2.2024822299244806</v>
      </c>
      <c r="J546" s="38">
        <f t="shared" si="68"/>
        <v>0</v>
      </c>
      <c r="K546" s="38">
        <f t="shared" si="68"/>
        <v>0</v>
      </c>
      <c r="L546" s="38">
        <f t="shared" si="65"/>
        <v>0</v>
      </c>
      <c r="M546" s="35">
        <f t="shared" si="67"/>
        <v>20.496000322884708</v>
      </c>
      <c r="S546" t="s">
        <v>85</v>
      </c>
      <c r="T546" s="5">
        <f>data_origin!T630</f>
        <v>0</v>
      </c>
      <c r="U546" s="5">
        <f>data_origin!U630</f>
        <v>0</v>
      </c>
      <c r="V546" s="5">
        <f>data_origin!V630</f>
        <v>8.7191011235955056</v>
      </c>
      <c r="W546" s="5">
        <f>data_origin!W630</f>
        <v>9.3888888888888893</v>
      </c>
      <c r="X546" s="5">
        <f>data_origin!X630</f>
        <v>2.1639344262295084</v>
      </c>
      <c r="Y546" s="5">
        <f>data_origin!Y630</f>
        <v>0</v>
      </c>
      <c r="Z546" s="5">
        <f>data_origin!Z630</f>
        <v>0</v>
      </c>
      <c r="AA546" s="5">
        <f>data_origin!AA630</f>
        <v>0</v>
      </c>
      <c r="AB546" s="5">
        <f t="shared" si="70"/>
        <v>20.271924438713903</v>
      </c>
      <c r="AH546" t="s">
        <v>85</v>
      </c>
      <c r="AI546" s="5">
        <f>data_origin!T2877</f>
        <v>0</v>
      </c>
      <c r="AJ546" s="5">
        <f>data_origin!U2877</f>
        <v>0</v>
      </c>
      <c r="AK546" s="5">
        <f>data_origin!V2877</f>
        <v>3.0303030303030304E-2</v>
      </c>
      <c r="AL546" s="5">
        <f>data_origin!W2877</f>
        <v>0</v>
      </c>
      <c r="AM546" s="5">
        <f>data_origin!X2877</f>
        <v>0</v>
      </c>
      <c r="AN546" s="5">
        <f>data_origin!Y2877</f>
        <v>0</v>
      </c>
      <c r="AO546" s="5">
        <f>data_origin!Z2877</f>
        <v>0</v>
      </c>
      <c r="AP546" s="5">
        <f>data_origin!AA2877</f>
        <v>0</v>
      </c>
      <c r="AQ546" s="9">
        <f t="shared" si="63"/>
        <v>3.0303030303030304E-2</v>
      </c>
      <c r="AV546" t="s">
        <v>85</v>
      </c>
      <c r="AW546" s="5">
        <f>data_origin!T3591</f>
        <v>0</v>
      </c>
      <c r="AX546" s="5">
        <f>data_origin!U3591</f>
        <v>0</v>
      </c>
      <c r="AY546" s="5">
        <f>data_origin!V3591</f>
        <v>3.0303030303030304E-2</v>
      </c>
      <c r="AZ546" s="5">
        <f>data_origin!W3591</f>
        <v>0</v>
      </c>
      <c r="BA546" s="5">
        <f>data_origin!X3591</f>
        <v>0</v>
      </c>
      <c r="BB546" s="5">
        <f>data_origin!Y3591</f>
        <v>0</v>
      </c>
      <c r="BC546" s="5">
        <f>data_origin!Z3591</f>
        <v>0</v>
      </c>
      <c r="BD546" s="5">
        <f>data_origin!AA3591</f>
        <v>0</v>
      </c>
      <c r="BE546" s="9">
        <f t="shared" si="64"/>
        <v>3.0303030303030304E-2</v>
      </c>
    </row>
    <row r="547" spans="4:57" x14ac:dyDescent="0.25">
      <c r="D547" t="s">
        <v>86</v>
      </c>
      <c r="E547" s="38">
        <f t="shared" si="69"/>
        <v>0</v>
      </c>
      <c r="F547" s="38">
        <f t="shared" si="69"/>
        <v>0</v>
      </c>
      <c r="G547" s="38">
        <f t="shared" si="69"/>
        <v>7.6890330509819078</v>
      </c>
      <c r="H547" s="38">
        <f t="shared" si="68"/>
        <v>36.835950527300987</v>
      </c>
      <c r="I547" s="38">
        <f t="shared" si="68"/>
        <v>16.518616724433606</v>
      </c>
      <c r="J547" s="38">
        <f t="shared" si="68"/>
        <v>8.7287630493812216</v>
      </c>
      <c r="K547" s="38">
        <f t="shared" si="68"/>
        <v>1.164179104477612</v>
      </c>
      <c r="L547" s="38">
        <f t="shared" si="65"/>
        <v>2.1538461538461537</v>
      </c>
      <c r="M547" s="35">
        <f t="shared" si="67"/>
        <v>73.090388610421499</v>
      </c>
      <c r="S547" t="s">
        <v>86</v>
      </c>
      <c r="T547" s="5">
        <f>data_origin!T631</f>
        <v>0</v>
      </c>
      <c r="U547" s="5">
        <f>data_origin!U631</f>
        <v>0</v>
      </c>
      <c r="V547" s="5">
        <f>data_origin!V631</f>
        <v>7.6292134831460672</v>
      </c>
      <c r="W547" s="5">
        <f>data_origin!W631</f>
        <v>36.381944444444443</v>
      </c>
      <c r="X547" s="5">
        <f>data_origin!X631</f>
        <v>16.229508196721312</v>
      </c>
      <c r="Y547" s="5">
        <f>data_origin!Y631</f>
        <v>8.5517241379310338</v>
      </c>
      <c r="Z547" s="5">
        <f>data_origin!Z631</f>
        <v>1.1428571428571428</v>
      </c>
      <c r="AA547" s="5">
        <f>data_origin!AA631</f>
        <v>2</v>
      </c>
      <c r="AB547" s="5">
        <f t="shared" si="70"/>
        <v>71.9352474051</v>
      </c>
      <c r="AH547" t="s">
        <v>86</v>
      </c>
      <c r="AI547" s="5">
        <f>data_origin!T2878</f>
        <v>0</v>
      </c>
      <c r="AJ547" s="5">
        <f>data_origin!U2878</f>
        <v>0</v>
      </c>
      <c r="AK547" s="5">
        <f>data_origin!V2878</f>
        <v>3.0303030303030304E-2</v>
      </c>
      <c r="AL547" s="5">
        <f>data_origin!W2878</f>
        <v>0</v>
      </c>
      <c r="AM547" s="5">
        <f>data_origin!X2878</f>
        <v>0</v>
      </c>
      <c r="AN547" s="5">
        <f>data_origin!Y2878</f>
        <v>0</v>
      </c>
      <c r="AO547" s="5">
        <f>data_origin!Z2878</f>
        <v>0</v>
      </c>
      <c r="AP547" s="5">
        <f>data_origin!AA2878</f>
        <v>0</v>
      </c>
      <c r="AQ547" s="9">
        <f t="shared" si="63"/>
        <v>3.0303030303030304E-2</v>
      </c>
      <c r="AV547" t="s">
        <v>86</v>
      </c>
      <c r="AW547" s="5">
        <f>data_origin!T3592</f>
        <v>0</v>
      </c>
      <c r="AX547" s="5">
        <f>data_origin!U3592</f>
        <v>0</v>
      </c>
      <c r="AY547" s="5">
        <f>data_origin!V3592</f>
        <v>3.0303030303030304E-2</v>
      </c>
      <c r="AZ547" s="5">
        <f>data_origin!W3592</f>
        <v>0</v>
      </c>
      <c r="BA547" s="5">
        <f>data_origin!X3592</f>
        <v>0</v>
      </c>
      <c r="BB547" s="5">
        <f>data_origin!Y3592</f>
        <v>0</v>
      </c>
      <c r="BC547" s="5">
        <f>data_origin!Z3592</f>
        <v>0</v>
      </c>
      <c r="BD547" s="5">
        <f>data_origin!AA3592</f>
        <v>0</v>
      </c>
      <c r="BE547" s="9">
        <f t="shared" si="64"/>
        <v>3.0303030303030304E-2</v>
      </c>
    </row>
    <row r="548" spans="4:57" x14ac:dyDescent="0.25">
      <c r="D548" t="s">
        <v>87</v>
      </c>
      <c r="E548" s="38">
        <f t="shared" si="69"/>
        <v>0</v>
      </c>
      <c r="F548" s="38">
        <f t="shared" si="69"/>
        <v>0</v>
      </c>
      <c r="G548" s="38">
        <f t="shared" si="69"/>
        <v>3.2952998789922461</v>
      </c>
      <c r="H548" s="38">
        <f t="shared" si="68"/>
        <v>1.1882564686226127</v>
      </c>
      <c r="I548" s="38">
        <f t="shared" si="68"/>
        <v>1.1012411149622403</v>
      </c>
      <c r="J548" s="38">
        <f t="shared" si="68"/>
        <v>0</v>
      </c>
      <c r="K548" s="38">
        <f t="shared" si="68"/>
        <v>0</v>
      </c>
      <c r="L548" s="38">
        <f t="shared" si="65"/>
        <v>0</v>
      </c>
      <c r="M548" s="35">
        <f t="shared" si="67"/>
        <v>5.5847974625770993</v>
      </c>
      <c r="S548" t="s">
        <v>87</v>
      </c>
      <c r="T548" s="5">
        <f>data_origin!T632</f>
        <v>0</v>
      </c>
      <c r="U548" s="5">
        <f>data_origin!U632</f>
        <v>0</v>
      </c>
      <c r="V548" s="5">
        <f>data_origin!V632</f>
        <v>3.2696629213483144</v>
      </c>
      <c r="W548" s="5">
        <f>data_origin!W632</f>
        <v>1.1736111111111112</v>
      </c>
      <c r="X548" s="5">
        <f>data_origin!X632</f>
        <v>1.0819672131147542</v>
      </c>
      <c r="Y548" s="5">
        <f>data_origin!Y632</f>
        <v>0</v>
      </c>
      <c r="Z548" s="5">
        <f>data_origin!Z632</f>
        <v>0</v>
      </c>
      <c r="AA548" s="5">
        <f>data_origin!AA632</f>
        <v>0</v>
      </c>
      <c r="AB548" s="5">
        <f t="shared" si="70"/>
        <v>5.5252412455741799</v>
      </c>
      <c r="AH548" t="s">
        <v>87</v>
      </c>
      <c r="AI548" s="5">
        <f>data_origin!T2879</f>
        <v>0</v>
      </c>
      <c r="AJ548" s="5">
        <f>data_origin!U2879</f>
        <v>0</v>
      </c>
      <c r="AK548" s="5">
        <f>data_origin!V2879</f>
        <v>3.0303030303030304E-2</v>
      </c>
      <c r="AL548" s="5">
        <f>data_origin!W2879</f>
        <v>0</v>
      </c>
      <c r="AM548" s="5">
        <f>data_origin!X2879</f>
        <v>0</v>
      </c>
      <c r="AN548" s="5">
        <f>data_origin!Y2879</f>
        <v>0</v>
      </c>
      <c r="AO548" s="5">
        <f>data_origin!Z2879</f>
        <v>0</v>
      </c>
      <c r="AP548" s="5">
        <f>data_origin!AA2879</f>
        <v>0</v>
      </c>
      <c r="AQ548" s="9">
        <f t="shared" ref="AQ548:AQ596" si="71">SUM(AI548:AP548)</f>
        <v>3.0303030303030304E-2</v>
      </c>
      <c r="AV548" t="s">
        <v>87</v>
      </c>
      <c r="AW548" s="5">
        <f>data_origin!T3593</f>
        <v>0</v>
      </c>
      <c r="AX548" s="5">
        <f>data_origin!U3593</f>
        <v>0</v>
      </c>
      <c r="AY548" s="5">
        <f>data_origin!V3593</f>
        <v>3.0303030303030304E-2</v>
      </c>
      <c r="AZ548" s="5">
        <f>data_origin!W3593</f>
        <v>0</v>
      </c>
      <c r="BA548" s="5">
        <f>data_origin!X3593</f>
        <v>0</v>
      </c>
      <c r="BB548" s="5">
        <f>data_origin!Y3593</f>
        <v>0</v>
      </c>
      <c r="BC548" s="5">
        <f>data_origin!Z3593</f>
        <v>0</v>
      </c>
      <c r="BD548" s="5">
        <f>data_origin!AA3593</f>
        <v>0</v>
      </c>
      <c r="BE548" s="9">
        <f t="shared" ref="BE548:BE596" si="72">SUM(AW548:BD548)</f>
        <v>3.0303030303030304E-2</v>
      </c>
    </row>
    <row r="549" spans="4:57" x14ac:dyDescent="0.25">
      <c r="D549" t="s">
        <v>88</v>
      </c>
      <c r="E549" s="38">
        <f t="shared" si="69"/>
        <v>0</v>
      </c>
      <c r="F549" s="38">
        <f t="shared" si="69"/>
        <v>0</v>
      </c>
      <c r="G549" s="38">
        <f t="shared" si="69"/>
        <v>1.0984332929974154</v>
      </c>
      <c r="H549" s="38">
        <f t="shared" si="68"/>
        <v>11.882564686226125</v>
      </c>
      <c r="I549" s="38">
        <f t="shared" si="68"/>
        <v>5.5062055748112018</v>
      </c>
      <c r="J549" s="38">
        <f t="shared" si="68"/>
        <v>0</v>
      </c>
      <c r="K549" s="38">
        <f t="shared" si="68"/>
        <v>1.164179104477612</v>
      </c>
      <c r="L549" s="38">
        <f t="shared" si="65"/>
        <v>0</v>
      </c>
      <c r="M549" s="35">
        <f t="shared" si="67"/>
        <v>19.651382658512354</v>
      </c>
      <c r="S549" t="s">
        <v>88</v>
      </c>
      <c r="T549" s="5">
        <f>data_origin!T633</f>
        <v>0</v>
      </c>
      <c r="U549" s="5">
        <f>data_origin!U633</f>
        <v>0</v>
      </c>
      <c r="V549" s="5">
        <f>data_origin!V633</f>
        <v>1.0898876404494382</v>
      </c>
      <c r="W549" s="5">
        <f>data_origin!W633</f>
        <v>11.736111111111111</v>
      </c>
      <c r="X549" s="5">
        <f>data_origin!X633</f>
        <v>5.4098360655737707</v>
      </c>
      <c r="Y549" s="5">
        <f>data_origin!Y633</f>
        <v>0</v>
      </c>
      <c r="Z549" s="5">
        <f>data_origin!Z633</f>
        <v>1.1428571428571428</v>
      </c>
      <c r="AA549" s="5">
        <f>data_origin!AA633</f>
        <v>0</v>
      </c>
      <c r="AB549" s="5">
        <f t="shared" si="70"/>
        <v>19.37869195999146</v>
      </c>
      <c r="AH549" t="s">
        <v>88</v>
      </c>
      <c r="AI549" s="5">
        <f>data_origin!T2880</f>
        <v>0</v>
      </c>
      <c r="AJ549" s="5">
        <f>data_origin!U2880</f>
        <v>0</v>
      </c>
      <c r="AK549" s="5">
        <f>data_origin!V2880</f>
        <v>3.0303030303030304E-2</v>
      </c>
      <c r="AL549" s="5">
        <f>data_origin!W2880</f>
        <v>0</v>
      </c>
      <c r="AM549" s="5">
        <f>data_origin!X2880</f>
        <v>0</v>
      </c>
      <c r="AN549" s="5">
        <f>data_origin!Y2880</f>
        <v>0</v>
      </c>
      <c r="AO549" s="5">
        <f>data_origin!Z2880</f>
        <v>0</v>
      </c>
      <c r="AP549" s="5">
        <f>data_origin!AA2880</f>
        <v>0</v>
      </c>
      <c r="AQ549" s="9">
        <f t="shared" si="71"/>
        <v>3.0303030303030304E-2</v>
      </c>
      <c r="AV549" t="s">
        <v>88</v>
      </c>
      <c r="AW549" s="5">
        <f>data_origin!T3594</f>
        <v>0</v>
      </c>
      <c r="AX549" s="5">
        <f>data_origin!U3594</f>
        <v>0</v>
      </c>
      <c r="AY549" s="5">
        <f>data_origin!V3594</f>
        <v>3.0303030303030304E-2</v>
      </c>
      <c r="AZ549" s="5">
        <f>data_origin!W3594</f>
        <v>0</v>
      </c>
      <c r="BA549" s="5">
        <f>data_origin!X3594</f>
        <v>0</v>
      </c>
      <c r="BB549" s="5">
        <f>data_origin!Y3594</f>
        <v>0</v>
      </c>
      <c r="BC549" s="5">
        <f>data_origin!Z3594</f>
        <v>0</v>
      </c>
      <c r="BD549" s="5">
        <f>data_origin!AA3594</f>
        <v>0</v>
      </c>
      <c r="BE549" s="9">
        <f t="shared" si="72"/>
        <v>3.0303030303030304E-2</v>
      </c>
    </row>
    <row r="550" spans="4:57" x14ac:dyDescent="0.25">
      <c r="D550" t="s">
        <v>89</v>
      </c>
      <c r="E550" s="38">
        <f t="shared" si="69"/>
        <v>0</v>
      </c>
      <c r="F550" s="38">
        <f t="shared" si="69"/>
        <v>0</v>
      </c>
      <c r="G550" s="38">
        <f t="shared" si="69"/>
        <v>0</v>
      </c>
      <c r="H550" s="38">
        <f t="shared" si="68"/>
        <v>0</v>
      </c>
      <c r="I550" s="38">
        <f t="shared" si="68"/>
        <v>1.1012411149622403</v>
      </c>
      <c r="J550" s="38">
        <f t="shared" si="68"/>
        <v>1.0910953811726527</v>
      </c>
      <c r="K550" s="38">
        <f t="shared" si="68"/>
        <v>0</v>
      </c>
      <c r="L550" s="38">
        <f t="shared" si="65"/>
        <v>0</v>
      </c>
      <c r="M550" s="35">
        <f t="shared" si="67"/>
        <v>2.1923364961348932</v>
      </c>
      <c r="S550" t="s">
        <v>89</v>
      </c>
      <c r="T550" s="5">
        <f>data_origin!T634</f>
        <v>0</v>
      </c>
      <c r="U550" s="5">
        <f>data_origin!U634</f>
        <v>0</v>
      </c>
      <c r="V550" s="5">
        <f>data_origin!V634</f>
        <v>0</v>
      </c>
      <c r="W550" s="5">
        <f>data_origin!W634</f>
        <v>0</v>
      </c>
      <c r="X550" s="5">
        <f>data_origin!X634</f>
        <v>1.0819672131147542</v>
      </c>
      <c r="Y550" s="5">
        <f>data_origin!Y634</f>
        <v>1.0689655172413792</v>
      </c>
      <c r="Z550" s="5">
        <f>data_origin!Z634</f>
        <v>0</v>
      </c>
      <c r="AA550" s="5">
        <f>data_origin!AA634</f>
        <v>0</v>
      </c>
      <c r="AB550" s="5">
        <f t="shared" si="70"/>
        <v>2.1509327303561334</v>
      </c>
      <c r="AH550" t="s">
        <v>89</v>
      </c>
      <c r="AI550" s="5">
        <f>data_origin!T2881</f>
        <v>0</v>
      </c>
      <c r="AJ550" s="5">
        <f>data_origin!U2881</f>
        <v>0</v>
      </c>
      <c r="AK550" s="5">
        <f>data_origin!V2881</f>
        <v>3.0303030303030304E-2</v>
      </c>
      <c r="AL550" s="5">
        <f>data_origin!W2881</f>
        <v>0</v>
      </c>
      <c r="AM550" s="5">
        <f>data_origin!X2881</f>
        <v>0</v>
      </c>
      <c r="AN550" s="5">
        <f>data_origin!Y2881</f>
        <v>0</v>
      </c>
      <c r="AO550" s="5">
        <f>data_origin!Z2881</f>
        <v>0</v>
      </c>
      <c r="AP550" s="5">
        <f>data_origin!AA2881</f>
        <v>0</v>
      </c>
      <c r="AQ550" s="9">
        <f t="shared" si="71"/>
        <v>3.0303030303030304E-2</v>
      </c>
      <c r="AV550" t="s">
        <v>89</v>
      </c>
      <c r="AW550" s="5">
        <f>data_origin!T3595</f>
        <v>0</v>
      </c>
      <c r="AX550" s="5">
        <f>data_origin!U3595</f>
        <v>0</v>
      </c>
      <c r="AY550" s="5">
        <f>data_origin!V3595</f>
        <v>3.0303030303030304E-2</v>
      </c>
      <c r="AZ550" s="5">
        <f>data_origin!W3595</f>
        <v>0</v>
      </c>
      <c r="BA550" s="5">
        <f>data_origin!X3595</f>
        <v>0</v>
      </c>
      <c r="BB550" s="5">
        <f>data_origin!Y3595</f>
        <v>0</v>
      </c>
      <c r="BC550" s="5">
        <f>data_origin!Z3595</f>
        <v>0</v>
      </c>
      <c r="BD550" s="5">
        <f>data_origin!AA3595</f>
        <v>0</v>
      </c>
      <c r="BE550" s="9">
        <f t="shared" si="72"/>
        <v>3.0303030303030304E-2</v>
      </c>
    </row>
    <row r="551" spans="4:57" x14ac:dyDescent="0.25">
      <c r="D551" t="s">
        <v>90</v>
      </c>
      <c r="E551" s="38">
        <f t="shared" si="69"/>
        <v>0</v>
      </c>
      <c r="F551" s="38">
        <f t="shared" si="69"/>
        <v>0</v>
      </c>
      <c r="G551" s="38">
        <f t="shared" si="69"/>
        <v>0</v>
      </c>
      <c r="H551" s="38">
        <f t="shared" si="68"/>
        <v>0</v>
      </c>
      <c r="I551" s="38">
        <f t="shared" si="68"/>
        <v>0</v>
      </c>
      <c r="J551" s="38">
        <f t="shared" si="68"/>
        <v>0</v>
      </c>
      <c r="K551" s="38">
        <f t="shared" si="68"/>
        <v>0</v>
      </c>
      <c r="L551" s="38">
        <f t="shared" si="65"/>
        <v>0</v>
      </c>
      <c r="M551" s="35">
        <f t="shared" si="67"/>
        <v>0</v>
      </c>
      <c r="S551" t="s">
        <v>90</v>
      </c>
      <c r="T551" s="5">
        <f>data_origin!T635</f>
        <v>0</v>
      </c>
      <c r="U551" s="5">
        <f>data_origin!U635</f>
        <v>0</v>
      </c>
      <c r="V551" s="5">
        <f>data_origin!V635</f>
        <v>0</v>
      </c>
      <c r="W551" s="5">
        <f>data_origin!W635</f>
        <v>0</v>
      </c>
      <c r="X551" s="5">
        <f>data_origin!X635</f>
        <v>0</v>
      </c>
      <c r="Y551" s="5">
        <f>data_origin!Y635</f>
        <v>0</v>
      </c>
      <c r="Z551" s="5">
        <f>data_origin!Z635</f>
        <v>0</v>
      </c>
      <c r="AA551" s="5">
        <f>data_origin!AA635</f>
        <v>0</v>
      </c>
      <c r="AB551" s="5">
        <f t="shared" si="70"/>
        <v>0</v>
      </c>
      <c r="AH551" t="s">
        <v>90</v>
      </c>
      <c r="AI551" s="5">
        <f>data_origin!T2882</f>
        <v>0</v>
      </c>
      <c r="AJ551" s="5">
        <f>data_origin!U2882</f>
        <v>0</v>
      </c>
      <c r="AK551" s="5">
        <f>data_origin!V2882</f>
        <v>3.0303030303030304E-2</v>
      </c>
      <c r="AL551" s="5">
        <f>data_origin!W2882</f>
        <v>0</v>
      </c>
      <c r="AM551" s="5">
        <f>data_origin!X2882</f>
        <v>0</v>
      </c>
      <c r="AN551" s="5">
        <f>data_origin!Y2882</f>
        <v>0</v>
      </c>
      <c r="AO551" s="5">
        <f>data_origin!Z2882</f>
        <v>0</v>
      </c>
      <c r="AP551" s="5">
        <f>data_origin!AA2882</f>
        <v>0</v>
      </c>
      <c r="AQ551" s="9">
        <f t="shared" si="71"/>
        <v>3.0303030303030304E-2</v>
      </c>
      <c r="AV551" t="s">
        <v>90</v>
      </c>
      <c r="AW551" s="5">
        <f>data_origin!T3596</f>
        <v>0</v>
      </c>
      <c r="AX551" s="5">
        <f>data_origin!U3596</f>
        <v>0</v>
      </c>
      <c r="AY551" s="5">
        <f>data_origin!V3596</f>
        <v>3.0303030303030304E-2</v>
      </c>
      <c r="AZ551" s="5">
        <f>data_origin!W3596</f>
        <v>0</v>
      </c>
      <c r="BA551" s="5">
        <f>data_origin!X3596</f>
        <v>0</v>
      </c>
      <c r="BB551" s="5">
        <f>data_origin!Y3596</f>
        <v>0</v>
      </c>
      <c r="BC551" s="5">
        <f>data_origin!Z3596</f>
        <v>0</v>
      </c>
      <c r="BD551" s="5">
        <f>data_origin!AA3596</f>
        <v>0</v>
      </c>
      <c r="BE551" s="9">
        <f t="shared" si="72"/>
        <v>3.0303030303030304E-2</v>
      </c>
    </row>
    <row r="552" spans="4:57" x14ac:dyDescent="0.25">
      <c r="D552" t="s">
        <v>91</v>
      </c>
      <c r="E552" s="38">
        <f t="shared" si="69"/>
        <v>0</v>
      </c>
      <c r="F552" s="38">
        <f t="shared" si="69"/>
        <v>0</v>
      </c>
      <c r="G552" s="38">
        <f t="shared" si="69"/>
        <v>0</v>
      </c>
      <c r="H552" s="38">
        <f t="shared" si="68"/>
        <v>1.1882564686226127</v>
      </c>
      <c r="I552" s="38">
        <f t="shared" si="68"/>
        <v>0</v>
      </c>
      <c r="J552" s="38">
        <f t="shared" si="68"/>
        <v>0</v>
      </c>
      <c r="K552" s="38">
        <f t="shared" si="68"/>
        <v>0</v>
      </c>
      <c r="L552" s="38">
        <f t="shared" si="65"/>
        <v>0</v>
      </c>
      <c r="M552" s="35">
        <f t="shared" si="67"/>
        <v>1.1882564686226127</v>
      </c>
      <c r="S552" t="s">
        <v>91</v>
      </c>
      <c r="T552" s="5">
        <f>data_origin!T636</f>
        <v>0</v>
      </c>
      <c r="U552" s="5">
        <f>data_origin!U636</f>
        <v>0</v>
      </c>
      <c r="V552" s="5">
        <f>data_origin!V636</f>
        <v>0</v>
      </c>
      <c r="W552" s="5">
        <f>data_origin!W636</f>
        <v>1.1736111111111112</v>
      </c>
      <c r="X552" s="5">
        <f>data_origin!X636</f>
        <v>0</v>
      </c>
      <c r="Y552" s="5">
        <f>data_origin!Y636</f>
        <v>0</v>
      </c>
      <c r="Z552" s="5">
        <f>data_origin!Z636</f>
        <v>0</v>
      </c>
      <c r="AA552" s="5">
        <f>data_origin!AA636</f>
        <v>0</v>
      </c>
      <c r="AB552" s="5">
        <f t="shared" si="70"/>
        <v>1.1736111111111112</v>
      </c>
      <c r="AH552" t="s">
        <v>91</v>
      </c>
      <c r="AI552" s="5">
        <f>data_origin!T2883</f>
        <v>0</v>
      </c>
      <c r="AJ552" s="5">
        <f>data_origin!U2883</f>
        <v>0</v>
      </c>
      <c r="AK552" s="5">
        <f>data_origin!V2883</f>
        <v>3.0303030303030304E-2</v>
      </c>
      <c r="AL552" s="5">
        <f>data_origin!W2883</f>
        <v>0</v>
      </c>
      <c r="AM552" s="5">
        <f>data_origin!X2883</f>
        <v>0</v>
      </c>
      <c r="AN552" s="5">
        <f>data_origin!Y2883</f>
        <v>0</v>
      </c>
      <c r="AO552" s="5">
        <f>data_origin!Z2883</f>
        <v>0</v>
      </c>
      <c r="AP552" s="5">
        <f>data_origin!AA2883</f>
        <v>0</v>
      </c>
      <c r="AQ552" s="9">
        <f t="shared" si="71"/>
        <v>3.0303030303030304E-2</v>
      </c>
      <c r="AV552" t="s">
        <v>91</v>
      </c>
      <c r="AW552" s="5">
        <f>data_origin!T3597</f>
        <v>0</v>
      </c>
      <c r="AX552" s="5">
        <f>data_origin!U3597</f>
        <v>0</v>
      </c>
      <c r="AY552" s="5">
        <f>data_origin!V3597</f>
        <v>3.0303030303030304E-2</v>
      </c>
      <c r="AZ552" s="5">
        <f>data_origin!W3597</f>
        <v>0</v>
      </c>
      <c r="BA552" s="5">
        <f>data_origin!X3597</f>
        <v>0</v>
      </c>
      <c r="BB552" s="5">
        <f>data_origin!Y3597</f>
        <v>0</v>
      </c>
      <c r="BC552" s="5">
        <f>data_origin!Z3597</f>
        <v>0</v>
      </c>
      <c r="BD552" s="5">
        <f>data_origin!AA3597</f>
        <v>0</v>
      </c>
      <c r="BE552" s="9">
        <f t="shared" si="72"/>
        <v>3.0303030303030304E-2</v>
      </c>
    </row>
    <row r="553" spans="4:57" x14ac:dyDescent="0.25">
      <c r="D553" t="s">
        <v>92</v>
      </c>
      <c r="E553" s="38">
        <f t="shared" si="69"/>
        <v>0</v>
      </c>
      <c r="F553" s="38">
        <f t="shared" si="69"/>
        <v>0</v>
      </c>
      <c r="G553" s="38">
        <f t="shared" si="69"/>
        <v>0</v>
      </c>
      <c r="H553" s="38">
        <f t="shared" si="68"/>
        <v>0</v>
      </c>
      <c r="I553" s="38">
        <f t="shared" si="68"/>
        <v>0</v>
      </c>
      <c r="J553" s="38">
        <f t="shared" si="68"/>
        <v>0</v>
      </c>
      <c r="K553" s="38">
        <f t="shared" si="68"/>
        <v>0</v>
      </c>
      <c r="L553" s="38">
        <f t="shared" si="65"/>
        <v>0</v>
      </c>
      <c r="M553" s="35">
        <f t="shared" si="67"/>
        <v>0</v>
      </c>
      <c r="S553" t="s">
        <v>92</v>
      </c>
      <c r="T553" s="5">
        <f>data_origin!T637</f>
        <v>0</v>
      </c>
      <c r="U553" s="5">
        <f>data_origin!U637</f>
        <v>0</v>
      </c>
      <c r="V553" s="5">
        <f>data_origin!V637</f>
        <v>0</v>
      </c>
      <c r="W553" s="5">
        <f>data_origin!W637</f>
        <v>0</v>
      </c>
      <c r="X553" s="5">
        <f>data_origin!X637</f>
        <v>0</v>
      </c>
      <c r="Y553" s="5">
        <f>data_origin!Y637</f>
        <v>0</v>
      </c>
      <c r="Z553" s="5">
        <f>data_origin!Z637</f>
        <v>0</v>
      </c>
      <c r="AA553" s="5">
        <f>data_origin!AA637</f>
        <v>0</v>
      </c>
      <c r="AB553" s="5">
        <f t="shared" si="70"/>
        <v>0</v>
      </c>
      <c r="AH553" t="s">
        <v>92</v>
      </c>
      <c r="AI553" s="5">
        <f>data_origin!T2884</f>
        <v>0</v>
      </c>
      <c r="AJ553" s="5">
        <f>data_origin!U2884</f>
        <v>0</v>
      </c>
      <c r="AK553" s="5">
        <f>data_origin!V2884</f>
        <v>3.0303030303030304E-2</v>
      </c>
      <c r="AL553" s="5">
        <f>data_origin!W2884</f>
        <v>0</v>
      </c>
      <c r="AM553" s="5">
        <f>data_origin!X2884</f>
        <v>0</v>
      </c>
      <c r="AN553" s="5">
        <f>data_origin!Y2884</f>
        <v>0</v>
      </c>
      <c r="AO553" s="5">
        <f>data_origin!Z2884</f>
        <v>0</v>
      </c>
      <c r="AP553" s="5">
        <f>data_origin!AA2884</f>
        <v>0</v>
      </c>
      <c r="AQ553" s="9">
        <f t="shared" si="71"/>
        <v>3.0303030303030304E-2</v>
      </c>
      <c r="AV553" t="s">
        <v>92</v>
      </c>
      <c r="AW553" s="5">
        <f>data_origin!T3598</f>
        <v>0</v>
      </c>
      <c r="AX553" s="5">
        <f>data_origin!U3598</f>
        <v>0</v>
      </c>
      <c r="AY553" s="5">
        <f>data_origin!V3598</f>
        <v>3.0303030303030304E-2</v>
      </c>
      <c r="AZ553" s="5">
        <f>data_origin!W3598</f>
        <v>0</v>
      </c>
      <c r="BA553" s="5">
        <f>data_origin!X3598</f>
        <v>0</v>
      </c>
      <c r="BB553" s="5">
        <f>data_origin!Y3598</f>
        <v>0</v>
      </c>
      <c r="BC553" s="5">
        <f>data_origin!Z3598</f>
        <v>0</v>
      </c>
      <c r="BD553" s="5">
        <f>data_origin!AA3598</f>
        <v>0</v>
      </c>
      <c r="BE553" s="9">
        <f t="shared" si="72"/>
        <v>3.0303030303030304E-2</v>
      </c>
    </row>
    <row r="554" spans="4:57" x14ac:dyDescent="0.25">
      <c r="D554" t="s">
        <v>93</v>
      </c>
      <c r="E554" s="38">
        <f t="shared" si="69"/>
        <v>0</v>
      </c>
      <c r="F554" s="38">
        <f t="shared" si="69"/>
        <v>0</v>
      </c>
      <c r="G554" s="38">
        <f t="shared" si="69"/>
        <v>0</v>
      </c>
      <c r="H554" s="38">
        <f t="shared" si="68"/>
        <v>0</v>
      </c>
      <c r="I554" s="38">
        <f t="shared" si="68"/>
        <v>0</v>
      </c>
      <c r="J554" s="38">
        <f t="shared" si="68"/>
        <v>0</v>
      </c>
      <c r="K554" s="38">
        <f t="shared" si="68"/>
        <v>0</v>
      </c>
      <c r="L554" s="38">
        <f t="shared" si="65"/>
        <v>0</v>
      </c>
      <c r="M554" s="35">
        <f t="shared" si="67"/>
        <v>0</v>
      </c>
      <c r="S554" t="s">
        <v>93</v>
      </c>
      <c r="T554" s="5">
        <f>data_origin!T638</f>
        <v>0</v>
      </c>
      <c r="U554" s="5">
        <f>data_origin!U638</f>
        <v>0</v>
      </c>
      <c r="V554" s="5">
        <f>data_origin!V638</f>
        <v>0</v>
      </c>
      <c r="W554" s="5">
        <f>data_origin!W638</f>
        <v>0</v>
      </c>
      <c r="X554" s="5">
        <f>data_origin!X638</f>
        <v>0</v>
      </c>
      <c r="Y554" s="5">
        <f>data_origin!Y638</f>
        <v>0</v>
      </c>
      <c r="Z554" s="5">
        <f>data_origin!Z638</f>
        <v>0</v>
      </c>
      <c r="AA554" s="5">
        <f>data_origin!AA638</f>
        <v>0</v>
      </c>
      <c r="AB554" s="5">
        <f t="shared" si="70"/>
        <v>0</v>
      </c>
      <c r="AH554" t="s">
        <v>93</v>
      </c>
      <c r="AI554" s="5">
        <f>data_origin!T2885</f>
        <v>0</v>
      </c>
      <c r="AJ554" s="5">
        <f>data_origin!U2885</f>
        <v>0</v>
      </c>
      <c r="AK554" s="5">
        <f>data_origin!V2885</f>
        <v>3.0303030303030304E-2</v>
      </c>
      <c r="AL554" s="5">
        <f>data_origin!W2885</f>
        <v>0</v>
      </c>
      <c r="AM554" s="5">
        <f>data_origin!X2885</f>
        <v>0</v>
      </c>
      <c r="AN554" s="5">
        <f>data_origin!Y2885</f>
        <v>0</v>
      </c>
      <c r="AO554" s="5">
        <f>data_origin!Z2885</f>
        <v>0</v>
      </c>
      <c r="AP554" s="5">
        <f>data_origin!AA2885</f>
        <v>0</v>
      </c>
      <c r="AQ554" s="9">
        <f t="shared" si="71"/>
        <v>3.0303030303030304E-2</v>
      </c>
      <c r="AV554" t="s">
        <v>93</v>
      </c>
      <c r="AW554" s="5">
        <f>data_origin!T3599</f>
        <v>0</v>
      </c>
      <c r="AX554" s="5">
        <f>data_origin!U3599</f>
        <v>0</v>
      </c>
      <c r="AY554" s="5">
        <f>data_origin!V3599</f>
        <v>3.0303030303030304E-2</v>
      </c>
      <c r="AZ554" s="5">
        <f>data_origin!W3599</f>
        <v>0</v>
      </c>
      <c r="BA554" s="5">
        <f>data_origin!X3599</f>
        <v>0</v>
      </c>
      <c r="BB554" s="5">
        <f>data_origin!Y3599</f>
        <v>0</v>
      </c>
      <c r="BC554" s="5">
        <f>data_origin!Z3599</f>
        <v>0</v>
      </c>
      <c r="BD554" s="5">
        <f>data_origin!AA3599</f>
        <v>0</v>
      </c>
      <c r="BE554" s="9">
        <f t="shared" si="72"/>
        <v>3.0303030303030304E-2</v>
      </c>
    </row>
    <row r="555" spans="4:57" x14ac:dyDescent="0.25">
      <c r="D555" t="s">
        <v>94</v>
      </c>
      <c r="E555" s="38">
        <f t="shared" si="69"/>
        <v>0</v>
      </c>
      <c r="F555" s="38">
        <f t="shared" si="69"/>
        <v>0</v>
      </c>
      <c r="G555" s="38">
        <f t="shared" si="69"/>
        <v>0</v>
      </c>
      <c r="H555" s="38">
        <f t="shared" si="68"/>
        <v>0</v>
      </c>
      <c r="I555" s="38">
        <f t="shared" si="68"/>
        <v>0</v>
      </c>
      <c r="J555" s="38">
        <f t="shared" si="68"/>
        <v>0</v>
      </c>
      <c r="K555" s="38">
        <f t="shared" si="68"/>
        <v>0</v>
      </c>
      <c r="L555" s="38">
        <f t="shared" si="65"/>
        <v>0</v>
      </c>
      <c r="M555" s="35">
        <f t="shared" si="67"/>
        <v>0</v>
      </c>
      <c r="S555" t="s">
        <v>94</v>
      </c>
      <c r="T555" s="5">
        <f>data_origin!T639</f>
        <v>0</v>
      </c>
      <c r="U555" s="5">
        <f>data_origin!U639</f>
        <v>0</v>
      </c>
      <c r="V555" s="5">
        <f>data_origin!V639</f>
        <v>0</v>
      </c>
      <c r="W555" s="5">
        <f>data_origin!W639</f>
        <v>0</v>
      </c>
      <c r="X555" s="5">
        <f>data_origin!X639</f>
        <v>0</v>
      </c>
      <c r="Y555" s="5">
        <f>data_origin!Y639</f>
        <v>0</v>
      </c>
      <c r="Z555" s="5">
        <f>data_origin!Z639</f>
        <v>0</v>
      </c>
      <c r="AA555" s="5">
        <f>data_origin!AA639</f>
        <v>0</v>
      </c>
      <c r="AB555" s="5">
        <f t="shared" si="70"/>
        <v>0</v>
      </c>
      <c r="AH555" t="s">
        <v>94</v>
      </c>
      <c r="AI555" s="5">
        <f>data_origin!T2886</f>
        <v>0</v>
      </c>
      <c r="AJ555" s="5">
        <f>data_origin!U2886</f>
        <v>0</v>
      </c>
      <c r="AK555" s="5">
        <f>data_origin!V2886</f>
        <v>3.0303030303030304E-2</v>
      </c>
      <c r="AL555" s="5">
        <f>data_origin!W2886</f>
        <v>0</v>
      </c>
      <c r="AM555" s="5">
        <f>data_origin!X2886</f>
        <v>0</v>
      </c>
      <c r="AN555" s="5">
        <f>data_origin!Y2886</f>
        <v>0</v>
      </c>
      <c r="AO555" s="5">
        <f>data_origin!Z2886</f>
        <v>0</v>
      </c>
      <c r="AP555" s="5">
        <f>data_origin!AA2886</f>
        <v>0</v>
      </c>
      <c r="AQ555" s="9">
        <f t="shared" si="71"/>
        <v>3.0303030303030304E-2</v>
      </c>
      <c r="AV555" t="s">
        <v>94</v>
      </c>
      <c r="AW555" s="5">
        <f>data_origin!T3600</f>
        <v>0</v>
      </c>
      <c r="AX555" s="5">
        <f>data_origin!U3600</f>
        <v>0</v>
      </c>
      <c r="AY555" s="5">
        <f>data_origin!V3600</f>
        <v>3.0303030303030304E-2</v>
      </c>
      <c r="AZ555" s="5">
        <f>data_origin!W3600</f>
        <v>0</v>
      </c>
      <c r="BA555" s="5">
        <f>data_origin!X3600</f>
        <v>0</v>
      </c>
      <c r="BB555" s="5">
        <f>data_origin!Y3600</f>
        <v>0</v>
      </c>
      <c r="BC555" s="5">
        <f>data_origin!Z3600</f>
        <v>0</v>
      </c>
      <c r="BD555" s="5">
        <f>data_origin!AA3600</f>
        <v>0</v>
      </c>
      <c r="BE555" s="9">
        <f t="shared" si="72"/>
        <v>3.0303030303030304E-2</v>
      </c>
    </row>
    <row r="556" spans="4:57" x14ac:dyDescent="0.25">
      <c r="D556" t="s">
        <v>95</v>
      </c>
      <c r="E556" s="38">
        <f t="shared" si="69"/>
        <v>0</v>
      </c>
      <c r="F556" s="38">
        <f t="shared" si="69"/>
        <v>0</v>
      </c>
      <c r="G556" s="38">
        <f t="shared" si="69"/>
        <v>0</v>
      </c>
      <c r="H556" s="38">
        <f t="shared" si="68"/>
        <v>0</v>
      </c>
      <c r="I556" s="38">
        <f t="shared" si="68"/>
        <v>0</v>
      </c>
      <c r="J556" s="38">
        <f t="shared" si="68"/>
        <v>0</v>
      </c>
      <c r="K556" s="38">
        <f t="shared" si="68"/>
        <v>0</v>
      </c>
      <c r="L556" s="38">
        <f t="shared" si="65"/>
        <v>0</v>
      </c>
      <c r="M556" s="35">
        <f t="shared" si="67"/>
        <v>0</v>
      </c>
      <c r="S556" t="s">
        <v>95</v>
      </c>
      <c r="T556" s="5">
        <f>data_origin!T640</f>
        <v>0</v>
      </c>
      <c r="U556" s="5">
        <f>data_origin!U640</f>
        <v>0</v>
      </c>
      <c r="V556" s="5">
        <f>data_origin!V640</f>
        <v>0</v>
      </c>
      <c r="W556" s="5">
        <f>data_origin!W640</f>
        <v>0</v>
      </c>
      <c r="X556" s="5">
        <f>data_origin!X640</f>
        <v>0</v>
      </c>
      <c r="Y556" s="5">
        <f>data_origin!Y640</f>
        <v>0</v>
      </c>
      <c r="Z556" s="5">
        <f>data_origin!Z640</f>
        <v>0</v>
      </c>
      <c r="AA556" s="5">
        <f>data_origin!AA640</f>
        <v>0</v>
      </c>
      <c r="AB556" s="5">
        <f t="shared" si="70"/>
        <v>0</v>
      </c>
      <c r="AH556" t="s">
        <v>95</v>
      </c>
      <c r="AI556" s="5">
        <f>data_origin!T2887</f>
        <v>0</v>
      </c>
      <c r="AJ556" s="5">
        <f>data_origin!U2887</f>
        <v>0</v>
      </c>
      <c r="AK556" s="5">
        <f>data_origin!V2887</f>
        <v>3.0303030303030304E-2</v>
      </c>
      <c r="AL556" s="5">
        <f>data_origin!W2887</f>
        <v>0</v>
      </c>
      <c r="AM556" s="5">
        <f>data_origin!X2887</f>
        <v>0</v>
      </c>
      <c r="AN556" s="5">
        <f>data_origin!Y2887</f>
        <v>0</v>
      </c>
      <c r="AO556" s="5">
        <f>data_origin!Z2887</f>
        <v>0</v>
      </c>
      <c r="AP556" s="5">
        <f>data_origin!AA2887</f>
        <v>0</v>
      </c>
      <c r="AQ556" s="9">
        <f t="shared" si="71"/>
        <v>3.0303030303030304E-2</v>
      </c>
      <c r="AV556" t="s">
        <v>95</v>
      </c>
      <c r="AW556" s="5">
        <f>data_origin!T3601</f>
        <v>0</v>
      </c>
      <c r="AX556" s="5">
        <f>data_origin!U3601</f>
        <v>0</v>
      </c>
      <c r="AY556" s="5">
        <f>data_origin!V3601</f>
        <v>3.0303030303030304E-2</v>
      </c>
      <c r="AZ556" s="5">
        <f>data_origin!W3601</f>
        <v>0</v>
      </c>
      <c r="BA556" s="5">
        <f>data_origin!X3601</f>
        <v>0</v>
      </c>
      <c r="BB556" s="5">
        <f>data_origin!Y3601</f>
        <v>0</v>
      </c>
      <c r="BC556" s="5">
        <f>data_origin!Z3601</f>
        <v>0</v>
      </c>
      <c r="BD556" s="5">
        <f>data_origin!AA3601</f>
        <v>0</v>
      </c>
      <c r="BE556" s="9">
        <f t="shared" si="72"/>
        <v>3.0303030303030304E-2</v>
      </c>
    </row>
    <row r="557" spans="4:57" x14ac:dyDescent="0.25">
      <c r="D557" t="s">
        <v>96</v>
      </c>
      <c r="E557" s="38">
        <f t="shared" si="69"/>
        <v>0</v>
      </c>
      <c r="F557" s="38">
        <f t="shared" si="69"/>
        <v>0</v>
      </c>
      <c r="G557" s="38">
        <f t="shared" si="69"/>
        <v>0</v>
      </c>
      <c r="H557" s="38">
        <f t="shared" si="68"/>
        <v>0</v>
      </c>
      <c r="I557" s="38">
        <f t="shared" si="68"/>
        <v>0</v>
      </c>
      <c r="J557" s="38">
        <f t="shared" si="68"/>
        <v>0</v>
      </c>
      <c r="K557" s="38">
        <f t="shared" si="68"/>
        <v>0</v>
      </c>
      <c r="L557" s="38">
        <f t="shared" si="65"/>
        <v>0</v>
      </c>
      <c r="M557" s="35">
        <f t="shared" si="67"/>
        <v>0</v>
      </c>
      <c r="S557" t="s">
        <v>96</v>
      </c>
      <c r="T557" s="5">
        <f>data_origin!T641</f>
        <v>0</v>
      </c>
      <c r="U557" s="5">
        <f>data_origin!U641</f>
        <v>0</v>
      </c>
      <c r="V557" s="5">
        <f>data_origin!V641</f>
        <v>0</v>
      </c>
      <c r="W557" s="5">
        <f>data_origin!W641</f>
        <v>0</v>
      </c>
      <c r="X557" s="5">
        <f>data_origin!X641</f>
        <v>0</v>
      </c>
      <c r="Y557" s="5">
        <f>data_origin!Y641</f>
        <v>0</v>
      </c>
      <c r="Z557" s="5">
        <f>data_origin!Z641</f>
        <v>0</v>
      </c>
      <c r="AA557" s="5">
        <f>data_origin!AA641</f>
        <v>0</v>
      </c>
      <c r="AB557" s="5">
        <f t="shared" si="70"/>
        <v>0</v>
      </c>
      <c r="AH557" t="s">
        <v>96</v>
      </c>
      <c r="AI557" s="5">
        <f>data_origin!T2888</f>
        <v>0</v>
      </c>
      <c r="AJ557" s="5">
        <f>data_origin!U2888</f>
        <v>0</v>
      </c>
      <c r="AK557" s="5">
        <f>data_origin!V2888</f>
        <v>3.0303030303030304E-2</v>
      </c>
      <c r="AL557" s="5">
        <f>data_origin!W2888</f>
        <v>0</v>
      </c>
      <c r="AM557" s="5">
        <f>data_origin!X2888</f>
        <v>0</v>
      </c>
      <c r="AN557" s="5">
        <f>data_origin!Y2888</f>
        <v>0</v>
      </c>
      <c r="AO557" s="5">
        <f>data_origin!Z2888</f>
        <v>0</v>
      </c>
      <c r="AP557" s="5">
        <f>data_origin!AA2888</f>
        <v>0</v>
      </c>
      <c r="AQ557" s="9">
        <f t="shared" si="71"/>
        <v>3.0303030303030304E-2</v>
      </c>
      <c r="AV557" t="s">
        <v>96</v>
      </c>
      <c r="AW557" s="5">
        <f>data_origin!T3602</f>
        <v>0</v>
      </c>
      <c r="AX557" s="5">
        <f>data_origin!U3602</f>
        <v>0</v>
      </c>
      <c r="AY557" s="5">
        <f>data_origin!V3602</f>
        <v>3.0303030303030304E-2</v>
      </c>
      <c r="AZ557" s="5">
        <f>data_origin!W3602</f>
        <v>0</v>
      </c>
      <c r="BA557" s="5">
        <f>data_origin!X3602</f>
        <v>0</v>
      </c>
      <c r="BB557" s="5">
        <f>data_origin!Y3602</f>
        <v>0</v>
      </c>
      <c r="BC557" s="5">
        <f>data_origin!Z3602</f>
        <v>0</v>
      </c>
      <c r="BD557" s="5">
        <f>data_origin!AA3602</f>
        <v>0</v>
      </c>
      <c r="BE557" s="9">
        <f t="shared" si="72"/>
        <v>3.0303030303030304E-2</v>
      </c>
    </row>
    <row r="558" spans="4:57" x14ac:dyDescent="0.25">
      <c r="D558" t="s">
        <v>97</v>
      </c>
      <c r="E558" s="38">
        <f t="shared" si="69"/>
        <v>0</v>
      </c>
      <c r="F558" s="38">
        <f t="shared" si="69"/>
        <v>0</v>
      </c>
      <c r="G558" s="38">
        <f t="shared" si="69"/>
        <v>1.0984332929974154</v>
      </c>
      <c r="H558" s="38">
        <f t="shared" si="68"/>
        <v>0</v>
      </c>
      <c r="I558" s="38">
        <f t="shared" si="68"/>
        <v>0</v>
      </c>
      <c r="J558" s="38">
        <f t="shared" si="68"/>
        <v>0</v>
      </c>
      <c r="K558" s="38">
        <f t="shared" si="68"/>
        <v>0</v>
      </c>
      <c r="L558" s="38">
        <f t="shared" si="65"/>
        <v>0</v>
      </c>
      <c r="M558" s="35">
        <f t="shared" si="67"/>
        <v>1.0984332929974154</v>
      </c>
      <c r="S558" t="s">
        <v>97</v>
      </c>
      <c r="T558" s="5">
        <f>data_origin!T642</f>
        <v>0</v>
      </c>
      <c r="U558" s="5">
        <f>data_origin!U642</f>
        <v>0</v>
      </c>
      <c r="V558" s="5">
        <f>data_origin!V642</f>
        <v>1.0898876404494382</v>
      </c>
      <c r="W558" s="5">
        <f>data_origin!W642</f>
        <v>0</v>
      </c>
      <c r="X558" s="5">
        <f>data_origin!X642</f>
        <v>0</v>
      </c>
      <c r="Y558" s="5">
        <f>data_origin!Y642</f>
        <v>0</v>
      </c>
      <c r="Z558" s="5">
        <f>data_origin!Z642</f>
        <v>0</v>
      </c>
      <c r="AA558" s="5">
        <f>data_origin!AA642</f>
        <v>0</v>
      </c>
      <c r="AB558" s="5">
        <f t="shared" si="70"/>
        <v>1.0898876404494382</v>
      </c>
      <c r="AH558" t="s">
        <v>97</v>
      </c>
      <c r="AI558" s="5">
        <f>data_origin!T2889</f>
        <v>0</v>
      </c>
      <c r="AJ558" s="5">
        <f>data_origin!U2889</f>
        <v>0</v>
      </c>
      <c r="AK558" s="5">
        <f>data_origin!V2889</f>
        <v>3.0303030303030304E-2</v>
      </c>
      <c r="AL558" s="5">
        <f>data_origin!W2889</f>
        <v>0</v>
      </c>
      <c r="AM558" s="5">
        <f>data_origin!X2889</f>
        <v>0</v>
      </c>
      <c r="AN558" s="5">
        <f>data_origin!Y2889</f>
        <v>0</v>
      </c>
      <c r="AO558" s="5">
        <f>data_origin!Z2889</f>
        <v>0</v>
      </c>
      <c r="AP558" s="5">
        <f>data_origin!AA2889</f>
        <v>0</v>
      </c>
      <c r="AQ558" s="9">
        <f t="shared" si="71"/>
        <v>3.0303030303030304E-2</v>
      </c>
      <c r="AV558" t="s">
        <v>97</v>
      </c>
      <c r="AW558" s="5">
        <f>data_origin!T3603</f>
        <v>0</v>
      </c>
      <c r="AX558" s="5">
        <f>data_origin!U3603</f>
        <v>0</v>
      </c>
      <c r="AY558" s="5">
        <f>data_origin!V3603</f>
        <v>3.0303030303030304E-2</v>
      </c>
      <c r="AZ558" s="5">
        <f>data_origin!W3603</f>
        <v>0</v>
      </c>
      <c r="BA558" s="5">
        <f>data_origin!X3603</f>
        <v>0</v>
      </c>
      <c r="BB558" s="5">
        <f>data_origin!Y3603</f>
        <v>0</v>
      </c>
      <c r="BC558" s="5">
        <f>data_origin!Z3603</f>
        <v>0</v>
      </c>
      <c r="BD558" s="5">
        <f>data_origin!AA3603</f>
        <v>0</v>
      </c>
      <c r="BE558" s="9">
        <f t="shared" si="72"/>
        <v>3.0303030303030304E-2</v>
      </c>
    </row>
    <row r="559" spans="4:57" x14ac:dyDescent="0.25">
      <c r="D559" t="s">
        <v>98</v>
      </c>
      <c r="E559" s="38">
        <f t="shared" si="69"/>
        <v>0</v>
      </c>
      <c r="F559" s="38">
        <f t="shared" si="69"/>
        <v>0</v>
      </c>
      <c r="G559" s="38">
        <f t="shared" si="69"/>
        <v>0</v>
      </c>
      <c r="H559" s="38">
        <f t="shared" si="68"/>
        <v>0</v>
      </c>
      <c r="I559" s="38">
        <f t="shared" si="68"/>
        <v>0</v>
      </c>
      <c r="J559" s="38">
        <f t="shared" si="68"/>
        <v>0</v>
      </c>
      <c r="K559" s="38">
        <f t="shared" si="68"/>
        <v>0</v>
      </c>
      <c r="L559" s="38">
        <f t="shared" si="65"/>
        <v>0</v>
      </c>
      <c r="M559" s="35">
        <f t="shared" si="67"/>
        <v>0</v>
      </c>
      <c r="S559" t="s">
        <v>98</v>
      </c>
      <c r="T559" s="5">
        <f>data_origin!T643</f>
        <v>0</v>
      </c>
      <c r="U559" s="5">
        <f>data_origin!U643</f>
        <v>0</v>
      </c>
      <c r="V559" s="5">
        <f>data_origin!V643</f>
        <v>0</v>
      </c>
      <c r="W559" s="5">
        <f>data_origin!W643</f>
        <v>0</v>
      </c>
      <c r="X559" s="5">
        <f>data_origin!X643</f>
        <v>0</v>
      </c>
      <c r="Y559" s="5">
        <f>data_origin!Y643</f>
        <v>0</v>
      </c>
      <c r="Z559" s="5">
        <f>data_origin!Z643</f>
        <v>0</v>
      </c>
      <c r="AA559" s="5">
        <f>data_origin!AA643</f>
        <v>0</v>
      </c>
      <c r="AB559" s="5">
        <f t="shared" si="70"/>
        <v>0</v>
      </c>
      <c r="AH559" t="s">
        <v>98</v>
      </c>
      <c r="AI559" s="5">
        <f>data_origin!T2890</f>
        <v>0</v>
      </c>
      <c r="AJ559" s="5">
        <f>data_origin!U2890</f>
        <v>0</v>
      </c>
      <c r="AK559" s="5">
        <f>data_origin!V2890</f>
        <v>3.0303030303030304E-2</v>
      </c>
      <c r="AL559" s="5">
        <f>data_origin!W2890</f>
        <v>0</v>
      </c>
      <c r="AM559" s="5">
        <f>data_origin!X2890</f>
        <v>0</v>
      </c>
      <c r="AN559" s="5">
        <f>data_origin!Y2890</f>
        <v>0</v>
      </c>
      <c r="AO559" s="5">
        <f>data_origin!Z2890</f>
        <v>0</v>
      </c>
      <c r="AP559" s="5">
        <f>data_origin!AA2890</f>
        <v>0</v>
      </c>
      <c r="AQ559" s="9">
        <f t="shared" si="71"/>
        <v>3.0303030303030304E-2</v>
      </c>
      <c r="AV559" t="s">
        <v>98</v>
      </c>
      <c r="AW559" s="5">
        <f>data_origin!T3604</f>
        <v>0</v>
      </c>
      <c r="AX559" s="5">
        <f>data_origin!U3604</f>
        <v>0</v>
      </c>
      <c r="AY559" s="5">
        <f>data_origin!V3604</f>
        <v>3.0303030303030304E-2</v>
      </c>
      <c r="AZ559" s="5">
        <f>data_origin!W3604</f>
        <v>0</v>
      </c>
      <c r="BA559" s="5">
        <f>data_origin!X3604</f>
        <v>0</v>
      </c>
      <c r="BB559" s="5">
        <f>data_origin!Y3604</f>
        <v>0</v>
      </c>
      <c r="BC559" s="5">
        <f>data_origin!Z3604</f>
        <v>0</v>
      </c>
      <c r="BD559" s="5">
        <f>data_origin!AA3604</f>
        <v>0</v>
      </c>
      <c r="BE559" s="9">
        <f t="shared" si="72"/>
        <v>3.0303030303030304E-2</v>
      </c>
    </row>
    <row r="560" spans="4:57" x14ac:dyDescent="0.25">
      <c r="D560" t="s">
        <v>119</v>
      </c>
      <c r="E560" s="38">
        <f t="shared" si="69"/>
        <v>0</v>
      </c>
      <c r="F560" s="38">
        <f t="shared" si="69"/>
        <v>0</v>
      </c>
      <c r="G560" s="38">
        <f t="shared" si="69"/>
        <v>0</v>
      </c>
      <c r="H560" s="38">
        <f t="shared" si="68"/>
        <v>0</v>
      </c>
      <c r="I560" s="38">
        <f t="shared" si="68"/>
        <v>0</v>
      </c>
      <c r="J560" s="38">
        <f t="shared" si="68"/>
        <v>0</v>
      </c>
      <c r="K560" s="38">
        <f t="shared" si="68"/>
        <v>0</v>
      </c>
      <c r="L560" s="38">
        <f t="shared" si="65"/>
        <v>0</v>
      </c>
      <c r="M560" s="35">
        <f t="shared" si="67"/>
        <v>0</v>
      </c>
      <c r="S560" t="s">
        <v>119</v>
      </c>
      <c r="T560" s="5">
        <f>data_origin!T644</f>
        <v>0</v>
      </c>
      <c r="U560" s="5">
        <f>data_origin!U644</f>
        <v>0</v>
      </c>
      <c r="V560" s="5">
        <f>data_origin!V644</f>
        <v>0</v>
      </c>
      <c r="W560" s="5">
        <f>data_origin!W644</f>
        <v>0</v>
      </c>
      <c r="X560" s="5">
        <f>data_origin!X644</f>
        <v>0</v>
      </c>
      <c r="Y560" s="5">
        <f>data_origin!Y644</f>
        <v>0</v>
      </c>
      <c r="Z560" s="5">
        <f>data_origin!Z644</f>
        <v>0</v>
      </c>
      <c r="AA560" s="5">
        <f>data_origin!AA644</f>
        <v>0</v>
      </c>
      <c r="AB560" s="5">
        <f t="shared" si="70"/>
        <v>0</v>
      </c>
      <c r="AH560" t="s">
        <v>119</v>
      </c>
      <c r="AI560" s="5">
        <f>data_origin!T2891</f>
        <v>0</v>
      </c>
      <c r="AJ560" s="5">
        <f>data_origin!U2891</f>
        <v>0</v>
      </c>
      <c r="AK560" s="5">
        <f>data_origin!V2891</f>
        <v>3.0303030303030304E-2</v>
      </c>
      <c r="AL560" s="5">
        <f>data_origin!W2891</f>
        <v>0</v>
      </c>
      <c r="AM560" s="5">
        <f>data_origin!X2891</f>
        <v>0</v>
      </c>
      <c r="AN560" s="5">
        <f>data_origin!Y2891</f>
        <v>0</v>
      </c>
      <c r="AO560" s="5">
        <f>data_origin!Z2891</f>
        <v>0</v>
      </c>
      <c r="AP560" s="5">
        <f>data_origin!AA2891</f>
        <v>0</v>
      </c>
      <c r="AQ560" s="9">
        <f t="shared" si="71"/>
        <v>3.0303030303030304E-2</v>
      </c>
      <c r="AV560" t="s">
        <v>119</v>
      </c>
      <c r="AW560" s="5">
        <f>data_origin!T3605</f>
        <v>0</v>
      </c>
      <c r="AX560" s="5">
        <f>data_origin!U3605</f>
        <v>0</v>
      </c>
      <c r="AY560" s="5">
        <f>data_origin!V3605</f>
        <v>3.0303030303030304E-2</v>
      </c>
      <c r="AZ560" s="5">
        <f>data_origin!W3605</f>
        <v>0</v>
      </c>
      <c r="BA560" s="5">
        <f>data_origin!X3605</f>
        <v>0</v>
      </c>
      <c r="BB560" s="5">
        <f>data_origin!Y3605</f>
        <v>0</v>
      </c>
      <c r="BC560" s="5">
        <f>data_origin!Z3605</f>
        <v>0</v>
      </c>
      <c r="BD560" s="5">
        <f>data_origin!AA3605</f>
        <v>0</v>
      </c>
      <c r="BE560" s="9">
        <f t="shared" si="72"/>
        <v>3.0303030303030304E-2</v>
      </c>
    </row>
    <row r="561" spans="1:58" x14ac:dyDescent="0.25">
      <c r="D561" t="s">
        <v>99</v>
      </c>
      <c r="E561" s="38">
        <f t="shared" si="69"/>
        <v>0</v>
      </c>
      <c r="F561" s="38">
        <f t="shared" si="69"/>
        <v>0</v>
      </c>
      <c r="G561" s="38">
        <f t="shared" si="69"/>
        <v>2.1968665859948309</v>
      </c>
      <c r="H561" s="38">
        <f t="shared" si="68"/>
        <v>2.3765129372452254</v>
      </c>
      <c r="I561" s="38">
        <f t="shared" si="68"/>
        <v>0</v>
      </c>
      <c r="J561" s="38">
        <f t="shared" si="68"/>
        <v>0</v>
      </c>
      <c r="K561" s="38">
        <f t="shared" si="68"/>
        <v>0</v>
      </c>
      <c r="L561" s="38">
        <f t="shared" si="68"/>
        <v>0</v>
      </c>
      <c r="M561" s="35">
        <f t="shared" si="67"/>
        <v>4.5733795232400567</v>
      </c>
      <c r="S561" t="s">
        <v>99</v>
      </c>
      <c r="T561" s="5">
        <f>data_origin!T645</f>
        <v>0</v>
      </c>
      <c r="U561" s="5">
        <f>data_origin!U645</f>
        <v>0</v>
      </c>
      <c r="V561" s="5">
        <f>data_origin!V645</f>
        <v>2.1797752808988764</v>
      </c>
      <c r="W561" s="5">
        <f>data_origin!W645</f>
        <v>2.3472222222222223</v>
      </c>
      <c r="X561" s="5">
        <f>data_origin!X645</f>
        <v>0</v>
      </c>
      <c r="Y561" s="5">
        <f>data_origin!Y645</f>
        <v>0</v>
      </c>
      <c r="Z561" s="5">
        <f>data_origin!Z645</f>
        <v>0</v>
      </c>
      <c r="AA561" s="5">
        <f>data_origin!AA645</f>
        <v>0</v>
      </c>
      <c r="AB561" s="5">
        <f t="shared" si="70"/>
        <v>4.5269975031210983</v>
      </c>
      <c r="AH561" t="s">
        <v>99</v>
      </c>
      <c r="AI561" s="5">
        <f>data_origin!T2892</f>
        <v>0</v>
      </c>
      <c r="AJ561" s="5">
        <f>data_origin!U2892</f>
        <v>0</v>
      </c>
      <c r="AK561" s="5">
        <f>data_origin!V2892</f>
        <v>3.0303030303030304E-2</v>
      </c>
      <c r="AL561" s="5">
        <f>data_origin!W2892</f>
        <v>0</v>
      </c>
      <c r="AM561" s="5">
        <f>data_origin!X2892</f>
        <v>0</v>
      </c>
      <c r="AN561" s="5">
        <f>data_origin!Y2892</f>
        <v>0</v>
      </c>
      <c r="AO561" s="5">
        <f>data_origin!Z2892</f>
        <v>0</v>
      </c>
      <c r="AP561" s="5">
        <f>data_origin!AA2892</f>
        <v>0</v>
      </c>
      <c r="AQ561" s="9">
        <f t="shared" si="71"/>
        <v>3.0303030303030304E-2</v>
      </c>
      <c r="AV561" t="s">
        <v>99</v>
      </c>
      <c r="AW561" s="5">
        <f>data_origin!T3606</f>
        <v>0</v>
      </c>
      <c r="AX561" s="5">
        <f>data_origin!U3606</f>
        <v>0</v>
      </c>
      <c r="AY561" s="5">
        <f>data_origin!V3606</f>
        <v>3.0303030303030304E-2</v>
      </c>
      <c r="AZ561" s="5">
        <f>data_origin!W3606</f>
        <v>0</v>
      </c>
      <c r="BA561" s="5">
        <f>data_origin!X3606</f>
        <v>0</v>
      </c>
      <c r="BB561" s="5">
        <f>data_origin!Y3606</f>
        <v>0</v>
      </c>
      <c r="BC561" s="5">
        <f>data_origin!Z3606</f>
        <v>0</v>
      </c>
      <c r="BD561" s="5">
        <f>data_origin!AA3606</f>
        <v>0</v>
      </c>
      <c r="BE561" s="9">
        <f t="shared" si="72"/>
        <v>3.0303030303030304E-2</v>
      </c>
    </row>
    <row r="562" spans="1:58" x14ac:dyDescent="0.25">
      <c r="D562" t="s">
        <v>100</v>
      </c>
      <c r="E562" s="38">
        <f t="shared" si="69"/>
        <v>0</v>
      </c>
      <c r="F562" s="38">
        <f t="shared" si="69"/>
        <v>0</v>
      </c>
      <c r="G562" s="38">
        <f t="shared" si="69"/>
        <v>0</v>
      </c>
      <c r="H562" s="38">
        <f t="shared" si="68"/>
        <v>0</v>
      </c>
      <c r="I562" s="38">
        <f t="shared" si="68"/>
        <v>0</v>
      </c>
      <c r="J562" s="38">
        <f t="shared" si="68"/>
        <v>0</v>
      </c>
      <c r="K562" s="38">
        <f t="shared" si="68"/>
        <v>0</v>
      </c>
      <c r="L562" s="38">
        <f t="shared" si="68"/>
        <v>0</v>
      </c>
      <c r="M562" s="35">
        <f t="shared" si="67"/>
        <v>0</v>
      </c>
      <c r="S562" t="s">
        <v>100</v>
      </c>
      <c r="T562" s="5">
        <f>data_origin!T646</f>
        <v>0</v>
      </c>
      <c r="U562" s="5">
        <f>data_origin!U646</f>
        <v>0</v>
      </c>
      <c r="V562" s="5">
        <f>data_origin!V646</f>
        <v>0</v>
      </c>
      <c r="W562" s="5">
        <f>data_origin!W646</f>
        <v>0</v>
      </c>
      <c r="X562" s="5">
        <f>data_origin!X646</f>
        <v>0</v>
      </c>
      <c r="Y562" s="5">
        <f>data_origin!Y646</f>
        <v>0</v>
      </c>
      <c r="Z562" s="5">
        <f>data_origin!Z646</f>
        <v>0</v>
      </c>
      <c r="AA562" s="5">
        <f>data_origin!AA646</f>
        <v>0</v>
      </c>
      <c r="AB562" s="5">
        <f t="shared" si="70"/>
        <v>0</v>
      </c>
      <c r="AH562" t="s">
        <v>100</v>
      </c>
      <c r="AI562" s="5">
        <f>data_origin!T2893</f>
        <v>0</v>
      </c>
      <c r="AJ562" s="5">
        <f>data_origin!U2893</f>
        <v>0</v>
      </c>
      <c r="AK562" s="5">
        <f>data_origin!V2893</f>
        <v>3.0303030303030304E-2</v>
      </c>
      <c r="AL562" s="5">
        <f>data_origin!W2893</f>
        <v>0</v>
      </c>
      <c r="AM562" s="5">
        <f>data_origin!X2893</f>
        <v>0</v>
      </c>
      <c r="AN562" s="5">
        <f>data_origin!Y2893</f>
        <v>0</v>
      </c>
      <c r="AO562" s="5">
        <f>data_origin!Z2893</f>
        <v>0</v>
      </c>
      <c r="AP562" s="5">
        <f>data_origin!AA2893</f>
        <v>0</v>
      </c>
      <c r="AQ562" s="9">
        <f t="shared" si="71"/>
        <v>3.0303030303030304E-2</v>
      </c>
      <c r="AV562" t="s">
        <v>100</v>
      </c>
      <c r="AW562" s="5">
        <f>data_origin!T3607</f>
        <v>0</v>
      </c>
      <c r="AX562" s="5">
        <f>data_origin!U3607</f>
        <v>0</v>
      </c>
      <c r="AY562" s="5">
        <f>data_origin!V3607</f>
        <v>3.0303030303030304E-2</v>
      </c>
      <c r="AZ562" s="5">
        <f>data_origin!W3607</f>
        <v>0</v>
      </c>
      <c r="BA562" s="5">
        <f>data_origin!X3607</f>
        <v>0</v>
      </c>
      <c r="BB562" s="5">
        <f>data_origin!Y3607</f>
        <v>0</v>
      </c>
      <c r="BC562" s="5">
        <f>data_origin!Z3607</f>
        <v>0</v>
      </c>
      <c r="BD562" s="5">
        <f>data_origin!AA3607</f>
        <v>0</v>
      </c>
      <c r="BE562" s="9">
        <f t="shared" si="72"/>
        <v>3.0303030303030304E-2</v>
      </c>
    </row>
    <row r="563" spans="1:58" x14ac:dyDescent="0.25">
      <c r="D563" t="s">
        <v>101</v>
      </c>
      <c r="E563" s="38">
        <f t="shared" si="69"/>
        <v>0</v>
      </c>
      <c r="F563" s="38">
        <f t="shared" si="69"/>
        <v>0</v>
      </c>
      <c r="G563" s="38">
        <f t="shared" si="69"/>
        <v>5.4921664649870774</v>
      </c>
      <c r="H563" s="38">
        <f t="shared" si="68"/>
        <v>10.694308217603513</v>
      </c>
      <c r="I563" s="38">
        <f t="shared" si="68"/>
        <v>3.3037233448867207</v>
      </c>
      <c r="J563" s="38">
        <f t="shared" si="68"/>
        <v>0</v>
      </c>
      <c r="K563" s="38">
        <f t="shared" si="68"/>
        <v>0</v>
      </c>
      <c r="L563" s="38">
        <f t="shared" si="68"/>
        <v>0</v>
      </c>
      <c r="M563" s="35">
        <f t="shared" si="67"/>
        <v>19.490198027477312</v>
      </c>
      <c r="S563" t="s">
        <v>101</v>
      </c>
      <c r="T563" s="5">
        <f>data_origin!T647</f>
        <v>0</v>
      </c>
      <c r="U563" s="5">
        <f>data_origin!U647</f>
        <v>0</v>
      </c>
      <c r="V563" s="5">
        <f>data_origin!V647</f>
        <v>5.4494382022471912</v>
      </c>
      <c r="W563" s="5">
        <f>data_origin!W647</f>
        <v>10.5625</v>
      </c>
      <c r="X563" s="5">
        <f>data_origin!X647</f>
        <v>3.2459016393442623</v>
      </c>
      <c r="Y563" s="5">
        <f>data_origin!Y647</f>
        <v>0</v>
      </c>
      <c r="Z563" s="5">
        <f>data_origin!Z647</f>
        <v>0</v>
      </c>
      <c r="AA563" s="5">
        <f>data_origin!AA647</f>
        <v>0</v>
      </c>
      <c r="AB563" s="5">
        <f t="shared" si="70"/>
        <v>19.257839841591451</v>
      </c>
      <c r="AH563" t="s">
        <v>101</v>
      </c>
      <c r="AI563" s="5">
        <f>data_origin!T2894</f>
        <v>0</v>
      </c>
      <c r="AJ563" s="5">
        <f>data_origin!U2894</f>
        <v>0</v>
      </c>
      <c r="AK563" s="5">
        <f>data_origin!V2894</f>
        <v>3.0303030303030304E-2</v>
      </c>
      <c r="AL563" s="5">
        <f>data_origin!W2894</f>
        <v>0</v>
      </c>
      <c r="AM563" s="5">
        <f>data_origin!X2894</f>
        <v>0</v>
      </c>
      <c r="AN563" s="5">
        <f>data_origin!Y2894</f>
        <v>0</v>
      </c>
      <c r="AO563" s="5">
        <f>data_origin!Z2894</f>
        <v>0</v>
      </c>
      <c r="AP563" s="5">
        <f>data_origin!AA2894</f>
        <v>0</v>
      </c>
      <c r="AQ563" s="9">
        <f t="shared" si="71"/>
        <v>3.0303030303030304E-2</v>
      </c>
      <c r="AR563" s="9">
        <f>SUM(AQ531:AQ563)</f>
        <v>0.99999999999999933</v>
      </c>
      <c r="AV563" t="s">
        <v>101</v>
      </c>
      <c r="AW563" s="5">
        <f>data_origin!T3608</f>
        <v>0</v>
      </c>
      <c r="AX563" s="5">
        <f>data_origin!U3608</f>
        <v>0</v>
      </c>
      <c r="AY563" s="5">
        <f>data_origin!V3608</f>
        <v>3.0303030303030304E-2</v>
      </c>
      <c r="AZ563" s="5">
        <f>data_origin!W3608</f>
        <v>0</v>
      </c>
      <c r="BA563" s="5">
        <f>data_origin!X3608</f>
        <v>0</v>
      </c>
      <c r="BB563" s="5">
        <f>data_origin!Y3608</f>
        <v>0</v>
      </c>
      <c r="BC563" s="5">
        <f>data_origin!Z3608</f>
        <v>0</v>
      </c>
      <c r="BD563" s="5">
        <f>data_origin!AA3608</f>
        <v>0</v>
      </c>
      <c r="BE563" s="9">
        <f t="shared" si="72"/>
        <v>3.0303030303030304E-2</v>
      </c>
      <c r="BF563" s="9">
        <f>SUM(BE531:BE563)</f>
        <v>0.99999999999999933</v>
      </c>
    </row>
    <row r="564" spans="1:58" x14ac:dyDescent="0.25">
      <c r="A564" s="23" t="s">
        <v>104</v>
      </c>
      <c r="B564" s="23" t="s">
        <v>116</v>
      </c>
      <c r="C564" s="23" t="s">
        <v>112</v>
      </c>
      <c r="D564" t="s">
        <v>70</v>
      </c>
      <c r="E564" s="38">
        <f t="shared" si="69"/>
        <v>0</v>
      </c>
      <c r="F564" s="38">
        <f t="shared" si="69"/>
        <v>0</v>
      </c>
      <c r="G564" s="38">
        <f t="shared" si="69"/>
        <v>0</v>
      </c>
      <c r="H564" s="38">
        <f t="shared" si="68"/>
        <v>0</v>
      </c>
      <c r="I564" s="38">
        <f t="shared" si="68"/>
        <v>0</v>
      </c>
      <c r="J564" s="38">
        <f t="shared" si="68"/>
        <v>0</v>
      </c>
      <c r="K564" s="38">
        <f t="shared" si="68"/>
        <v>0</v>
      </c>
      <c r="L564" s="38">
        <f t="shared" si="68"/>
        <v>0</v>
      </c>
      <c r="M564" s="35">
        <f t="shared" si="67"/>
        <v>0</v>
      </c>
      <c r="P564" t="s">
        <v>104</v>
      </c>
      <c r="Q564" t="s">
        <v>116</v>
      </c>
      <c r="R564" t="s">
        <v>112</v>
      </c>
      <c r="S564" t="s">
        <v>70</v>
      </c>
      <c r="T564" s="5">
        <f>data_origin!T649</f>
        <v>0</v>
      </c>
      <c r="U564" s="5">
        <f>data_origin!U649</f>
        <v>0</v>
      </c>
      <c r="V564" s="5">
        <f>data_origin!V649</f>
        <v>0</v>
      </c>
      <c r="W564" s="5">
        <f>data_origin!W649</f>
        <v>0</v>
      </c>
      <c r="X564" s="5">
        <f>data_origin!X649</f>
        <v>0</v>
      </c>
      <c r="Y564" s="5">
        <f>data_origin!Y649</f>
        <v>0</v>
      </c>
      <c r="Z564" s="5">
        <f>data_origin!Z649</f>
        <v>0</v>
      </c>
      <c r="AA564" s="5">
        <f>data_origin!AA649</f>
        <v>0</v>
      </c>
      <c r="AB564" s="5">
        <f t="shared" si="70"/>
        <v>0</v>
      </c>
      <c r="AE564" t="s">
        <v>104</v>
      </c>
      <c r="AF564" t="s">
        <v>117</v>
      </c>
      <c r="AG564" s="28" t="s">
        <v>136</v>
      </c>
      <c r="AH564" t="s">
        <v>70</v>
      </c>
      <c r="AI564" s="5">
        <f>data_origin!T2896</f>
        <v>0</v>
      </c>
      <c r="AJ564" s="5">
        <f>data_origin!U2896</f>
        <v>0</v>
      </c>
      <c r="AK564" s="5">
        <f>data_origin!V2896</f>
        <v>1.125</v>
      </c>
      <c r="AL564" s="5">
        <f>data_origin!W2896</f>
        <v>0</v>
      </c>
      <c r="AM564" s="5">
        <f>data_origin!X2896</f>
        <v>0</v>
      </c>
      <c r="AN564" s="5">
        <f>data_origin!Y2896</f>
        <v>0</v>
      </c>
      <c r="AO564" s="5">
        <f>data_origin!Z2896</f>
        <v>0</v>
      </c>
      <c r="AP564" s="5">
        <f>data_origin!AA2896</f>
        <v>0</v>
      </c>
      <c r="AQ564" s="9">
        <f t="shared" si="71"/>
        <v>1.125</v>
      </c>
      <c r="AS564" t="s">
        <v>115</v>
      </c>
      <c r="AT564" t="s">
        <v>117</v>
      </c>
      <c r="AU564" s="28" t="s">
        <v>136</v>
      </c>
      <c r="AV564" t="s">
        <v>70</v>
      </c>
      <c r="AW564" s="5">
        <f>data_origin!T3610</f>
        <v>0</v>
      </c>
      <c r="AX564" s="5">
        <f>data_origin!U3610</f>
        <v>0</v>
      </c>
      <c r="AY564" s="5">
        <f>data_origin!V3610</f>
        <v>0</v>
      </c>
      <c r="AZ564" s="5">
        <f>data_origin!W3610</f>
        <v>0</v>
      </c>
      <c r="BA564" s="5">
        <f>data_origin!X3610</f>
        <v>0</v>
      </c>
      <c r="BB564" s="5">
        <f>data_origin!Y3610</f>
        <v>0</v>
      </c>
      <c r="BC564" s="5">
        <f>data_origin!Z3610</f>
        <v>0</v>
      </c>
      <c r="BD564" s="5">
        <f>data_origin!AA3610</f>
        <v>0</v>
      </c>
      <c r="BE564" s="9">
        <f t="shared" si="72"/>
        <v>0</v>
      </c>
    </row>
    <row r="565" spans="1:58" x14ac:dyDescent="0.25">
      <c r="D565" t="s">
        <v>71</v>
      </c>
      <c r="E565" s="38">
        <f t="shared" si="69"/>
        <v>0</v>
      </c>
      <c r="F565" s="38">
        <f t="shared" si="69"/>
        <v>0</v>
      </c>
      <c r="G565" s="38">
        <f t="shared" si="69"/>
        <v>0</v>
      </c>
      <c r="H565" s="38">
        <f t="shared" si="68"/>
        <v>0</v>
      </c>
      <c r="I565" s="38">
        <f t="shared" si="68"/>
        <v>0</v>
      </c>
      <c r="J565" s="38">
        <f t="shared" si="68"/>
        <v>0</v>
      </c>
      <c r="K565" s="38">
        <f t="shared" si="68"/>
        <v>0</v>
      </c>
      <c r="L565" s="38">
        <f t="shared" si="68"/>
        <v>0</v>
      </c>
      <c r="M565" s="35">
        <f t="shared" si="67"/>
        <v>0</v>
      </c>
      <c r="S565" t="s">
        <v>71</v>
      </c>
      <c r="T565" s="5">
        <f>data_origin!T650</f>
        <v>0</v>
      </c>
      <c r="U565" s="5">
        <f>data_origin!U650</f>
        <v>0</v>
      </c>
      <c r="V565" s="5">
        <f>data_origin!V650</f>
        <v>0</v>
      </c>
      <c r="W565" s="5">
        <f>data_origin!W650</f>
        <v>0</v>
      </c>
      <c r="X565" s="5">
        <f>data_origin!X650</f>
        <v>0</v>
      </c>
      <c r="Y565" s="5">
        <f>data_origin!Y650</f>
        <v>0</v>
      </c>
      <c r="Z565" s="5">
        <f>data_origin!Z650</f>
        <v>0</v>
      </c>
      <c r="AA565" s="5">
        <f>data_origin!AA650</f>
        <v>0</v>
      </c>
      <c r="AB565" s="5">
        <f t="shared" si="70"/>
        <v>0</v>
      </c>
      <c r="AH565" t="s">
        <v>71</v>
      </c>
      <c r="AI565" s="5">
        <f>data_origin!T2897</f>
        <v>0</v>
      </c>
      <c r="AJ565" s="5">
        <f>data_origin!U2897</f>
        <v>0</v>
      </c>
      <c r="AK565" s="5">
        <f>data_origin!V2897</f>
        <v>0</v>
      </c>
      <c r="AL565" s="5">
        <f>data_origin!W2897</f>
        <v>0</v>
      </c>
      <c r="AM565" s="5">
        <f>data_origin!X2897</f>
        <v>0</v>
      </c>
      <c r="AN565" s="5">
        <f>data_origin!Y2897</f>
        <v>0</v>
      </c>
      <c r="AO565" s="5">
        <f>data_origin!Z2897</f>
        <v>0</v>
      </c>
      <c r="AP565" s="5">
        <f>data_origin!AA2897</f>
        <v>0</v>
      </c>
      <c r="AQ565" s="9">
        <f t="shared" si="71"/>
        <v>0</v>
      </c>
      <c r="AV565" t="s">
        <v>71</v>
      </c>
      <c r="AW565" s="5">
        <f>data_origin!T3611</f>
        <v>0</v>
      </c>
      <c r="AX565" s="5">
        <f>data_origin!U3611</f>
        <v>0</v>
      </c>
      <c r="AY565" s="5">
        <f>data_origin!V3611</f>
        <v>0</v>
      </c>
      <c r="AZ565" s="5">
        <f>data_origin!W3611</f>
        <v>0</v>
      </c>
      <c r="BA565" s="5">
        <f>data_origin!X3611</f>
        <v>0</v>
      </c>
      <c r="BB565" s="5">
        <f>data_origin!Y3611</f>
        <v>0</v>
      </c>
      <c r="BC565" s="5">
        <f>data_origin!Z3611</f>
        <v>0</v>
      </c>
      <c r="BD565" s="5">
        <f>data_origin!AA3611</f>
        <v>0</v>
      </c>
      <c r="BE565" s="9">
        <f t="shared" si="72"/>
        <v>0</v>
      </c>
    </row>
    <row r="566" spans="1:58" x14ac:dyDescent="0.25">
      <c r="D566" t="s">
        <v>72</v>
      </c>
      <c r="E566" s="38">
        <f t="shared" si="69"/>
        <v>0</v>
      </c>
      <c r="F566" s="38">
        <f t="shared" si="69"/>
        <v>0</v>
      </c>
      <c r="G566" s="38">
        <f t="shared" si="69"/>
        <v>0</v>
      </c>
      <c r="H566" s="38">
        <f t="shared" si="68"/>
        <v>0</v>
      </c>
      <c r="I566" s="38">
        <f t="shared" si="68"/>
        <v>0</v>
      </c>
      <c r="J566" s="38">
        <f t="shared" si="68"/>
        <v>0</v>
      </c>
      <c r="K566" s="38">
        <f t="shared" si="68"/>
        <v>0</v>
      </c>
      <c r="L566" s="38">
        <f t="shared" si="68"/>
        <v>0</v>
      </c>
      <c r="M566" s="35">
        <f t="shared" si="67"/>
        <v>0</v>
      </c>
      <c r="S566" t="s">
        <v>72</v>
      </c>
      <c r="T566" s="5">
        <f>data_origin!T651</f>
        <v>0</v>
      </c>
      <c r="U566" s="5">
        <f>data_origin!U651</f>
        <v>0</v>
      </c>
      <c r="V566" s="5">
        <f>data_origin!V651</f>
        <v>0</v>
      </c>
      <c r="W566" s="5">
        <f>data_origin!W651</f>
        <v>0</v>
      </c>
      <c r="X566" s="5">
        <f>data_origin!X651</f>
        <v>0</v>
      </c>
      <c r="Y566" s="5">
        <f>data_origin!Y651</f>
        <v>0</v>
      </c>
      <c r="Z566" s="5">
        <f>data_origin!Z651</f>
        <v>0</v>
      </c>
      <c r="AA566" s="5">
        <f>data_origin!AA651</f>
        <v>0</v>
      </c>
      <c r="AB566" s="5">
        <f t="shared" si="70"/>
        <v>0</v>
      </c>
      <c r="AH566" t="s">
        <v>72</v>
      </c>
      <c r="AI566" s="5">
        <f>data_origin!T2898</f>
        <v>0</v>
      </c>
      <c r="AJ566" s="5">
        <f>data_origin!U2898</f>
        <v>0</v>
      </c>
      <c r="AK566" s="5">
        <f>data_origin!V2898</f>
        <v>0</v>
      </c>
      <c r="AL566" s="5">
        <f>data_origin!W2898</f>
        <v>0</v>
      </c>
      <c r="AM566" s="5">
        <f>data_origin!X2898</f>
        <v>0</v>
      </c>
      <c r="AN566" s="5">
        <f>data_origin!Y2898</f>
        <v>0</v>
      </c>
      <c r="AO566" s="5">
        <f>data_origin!Z2898</f>
        <v>0</v>
      </c>
      <c r="AP566" s="5">
        <f>data_origin!AA2898</f>
        <v>0</v>
      </c>
      <c r="AQ566" s="9">
        <f t="shared" si="71"/>
        <v>0</v>
      </c>
      <c r="AV566" t="s">
        <v>72</v>
      </c>
      <c r="AW566" s="5">
        <f>data_origin!T3612</f>
        <v>0</v>
      </c>
      <c r="AX566" s="5">
        <f>data_origin!U3612</f>
        <v>0</v>
      </c>
      <c r="AY566" s="5">
        <f>data_origin!V3612</f>
        <v>0</v>
      </c>
      <c r="AZ566" s="5">
        <f>data_origin!W3612</f>
        <v>0</v>
      </c>
      <c r="BA566" s="5">
        <f>data_origin!X3612</f>
        <v>0</v>
      </c>
      <c r="BB566" s="5">
        <f>data_origin!Y3612</f>
        <v>0</v>
      </c>
      <c r="BC566" s="5">
        <f>data_origin!Z3612</f>
        <v>0</v>
      </c>
      <c r="BD566" s="5">
        <f>data_origin!AA3612</f>
        <v>0</v>
      </c>
      <c r="BE566" s="9">
        <f t="shared" si="72"/>
        <v>0</v>
      </c>
    </row>
    <row r="567" spans="1:58" x14ac:dyDescent="0.25">
      <c r="D567" t="s">
        <v>73</v>
      </c>
      <c r="E567" s="38">
        <f t="shared" si="69"/>
        <v>0</v>
      </c>
      <c r="F567" s="38">
        <f t="shared" si="69"/>
        <v>0</v>
      </c>
      <c r="G567" s="38">
        <f t="shared" si="69"/>
        <v>0</v>
      </c>
      <c r="H567" s="38">
        <f t="shared" si="68"/>
        <v>0</v>
      </c>
      <c r="I567" s="38">
        <f t="shared" si="68"/>
        <v>0</v>
      </c>
      <c r="J567" s="38">
        <f t="shared" si="68"/>
        <v>0</v>
      </c>
      <c r="K567" s="38">
        <f t="shared" si="68"/>
        <v>0</v>
      </c>
      <c r="L567" s="38">
        <f t="shared" si="68"/>
        <v>0</v>
      </c>
      <c r="M567" s="35">
        <f t="shared" si="67"/>
        <v>0</v>
      </c>
      <c r="S567" t="s">
        <v>73</v>
      </c>
      <c r="T567" s="5">
        <f>data_origin!T652</f>
        <v>0</v>
      </c>
      <c r="U567" s="5">
        <f>data_origin!U652</f>
        <v>0</v>
      </c>
      <c r="V567" s="5">
        <f>data_origin!V652</f>
        <v>0</v>
      </c>
      <c r="W567" s="5">
        <f>data_origin!W652</f>
        <v>0</v>
      </c>
      <c r="X567" s="5">
        <f>data_origin!X652</f>
        <v>0</v>
      </c>
      <c r="Y567" s="5">
        <f>data_origin!Y652</f>
        <v>0</v>
      </c>
      <c r="Z567" s="5">
        <f>data_origin!Z652</f>
        <v>0</v>
      </c>
      <c r="AA567" s="5">
        <f>data_origin!AA652</f>
        <v>0</v>
      </c>
      <c r="AB567" s="5">
        <f t="shared" si="70"/>
        <v>0</v>
      </c>
      <c r="AH567" t="s">
        <v>73</v>
      </c>
      <c r="AI567" s="5">
        <f>data_origin!T2899</f>
        <v>0</v>
      </c>
      <c r="AJ567" s="5">
        <f>data_origin!U2899</f>
        <v>0</v>
      </c>
      <c r="AK567" s="5">
        <f>data_origin!V2899</f>
        <v>0</v>
      </c>
      <c r="AL567" s="5">
        <f>data_origin!W2899</f>
        <v>0</v>
      </c>
      <c r="AM567" s="5">
        <f>data_origin!X2899</f>
        <v>0</v>
      </c>
      <c r="AN567" s="5">
        <f>data_origin!Y2899</f>
        <v>0</v>
      </c>
      <c r="AO567" s="5">
        <f>data_origin!Z2899</f>
        <v>0</v>
      </c>
      <c r="AP567" s="5">
        <f>data_origin!AA2899</f>
        <v>0</v>
      </c>
      <c r="AQ567" s="9">
        <f t="shared" si="71"/>
        <v>0</v>
      </c>
      <c r="AV567" t="s">
        <v>73</v>
      </c>
      <c r="AW567" s="5">
        <f>data_origin!T3613</f>
        <v>0</v>
      </c>
      <c r="AX567" s="5">
        <f>data_origin!U3613</f>
        <v>0</v>
      </c>
      <c r="AY567" s="5">
        <f>data_origin!V3613</f>
        <v>0</v>
      </c>
      <c r="AZ567" s="5">
        <f>data_origin!W3613</f>
        <v>0</v>
      </c>
      <c r="BA567" s="5">
        <f>data_origin!X3613</f>
        <v>0</v>
      </c>
      <c r="BB567" s="5">
        <f>data_origin!Y3613</f>
        <v>0</v>
      </c>
      <c r="BC567" s="5">
        <f>data_origin!Z3613</f>
        <v>0</v>
      </c>
      <c r="BD567" s="5">
        <f>data_origin!AA3613</f>
        <v>0</v>
      </c>
      <c r="BE567" s="9">
        <f t="shared" si="72"/>
        <v>0</v>
      </c>
    </row>
    <row r="568" spans="1:58" x14ac:dyDescent="0.25">
      <c r="D568" t="s">
        <v>74</v>
      </c>
      <c r="E568" s="38">
        <f t="shared" si="69"/>
        <v>0</v>
      </c>
      <c r="F568" s="38">
        <f t="shared" si="69"/>
        <v>0</v>
      </c>
      <c r="G568" s="38">
        <f t="shared" si="69"/>
        <v>0</v>
      </c>
      <c r="H568" s="38">
        <f t="shared" si="68"/>
        <v>0</v>
      </c>
      <c r="I568" s="38">
        <f t="shared" si="68"/>
        <v>0</v>
      </c>
      <c r="J568" s="38">
        <f t="shared" si="68"/>
        <v>0</v>
      </c>
      <c r="K568" s="38">
        <f t="shared" si="68"/>
        <v>0</v>
      </c>
      <c r="L568" s="38">
        <f t="shared" si="68"/>
        <v>0</v>
      </c>
      <c r="M568" s="35">
        <f t="shared" si="67"/>
        <v>0</v>
      </c>
      <c r="S568" t="s">
        <v>74</v>
      </c>
      <c r="T568" s="5">
        <f>data_origin!T653</f>
        <v>0</v>
      </c>
      <c r="U568" s="5">
        <f>data_origin!U653</f>
        <v>0</v>
      </c>
      <c r="V568" s="5">
        <f>data_origin!V653</f>
        <v>0</v>
      </c>
      <c r="W568" s="5">
        <f>data_origin!W653</f>
        <v>0</v>
      </c>
      <c r="X568" s="5">
        <f>data_origin!X653</f>
        <v>0</v>
      </c>
      <c r="Y568" s="5">
        <f>data_origin!Y653</f>
        <v>0</v>
      </c>
      <c r="Z568" s="5">
        <f>data_origin!Z653</f>
        <v>0</v>
      </c>
      <c r="AA568" s="5">
        <f>data_origin!AA653</f>
        <v>0</v>
      </c>
      <c r="AB568" s="5">
        <f t="shared" si="70"/>
        <v>0</v>
      </c>
      <c r="AH568" t="s">
        <v>74</v>
      </c>
      <c r="AI568" s="5">
        <f>data_origin!T2900</f>
        <v>0</v>
      </c>
      <c r="AJ568" s="5">
        <f>data_origin!U2900</f>
        <v>0</v>
      </c>
      <c r="AK568" s="5">
        <f>data_origin!V2900</f>
        <v>0</v>
      </c>
      <c r="AL568" s="5">
        <f>data_origin!W2900</f>
        <v>0</v>
      </c>
      <c r="AM568" s="5">
        <f>data_origin!X2900</f>
        <v>0</v>
      </c>
      <c r="AN568" s="5">
        <f>data_origin!Y2900</f>
        <v>0</v>
      </c>
      <c r="AO568" s="5">
        <f>data_origin!Z2900</f>
        <v>0</v>
      </c>
      <c r="AP568" s="5">
        <f>data_origin!AA2900</f>
        <v>0</v>
      </c>
      <c r="AQ568" s="9">
        <f t="shared" si="71"/>
        <v>0</v>
      </c>
      <c r="AV568" t="s">
        <v>74</v>
      </c>
      <c r="AW568" s="5">
        <f>data_origin!T3614</f>
        <v>0</v>
      </c>
      <c r="AX568" s="5">
        <f>data_origin!U3614</f>
        <v>0</v>
      </c>
      <c r="AY568" s="5">
        <f>data_origin!V3614</f>
        <v>0</v>
      </c>
      <c r="AZ568" s="5">
        <f>data_origin!W3614</f>
        <v>0</v>
      </c>
      <c r="BA568" s="5">
        <f>data_origin!X3614</f>
        <v>0</v>
      </c>
      <c r="BB568" s="5">
        <f>data_origin!Y3614</f>
        <v>0</v>
      </c>
      <c r="BC568" s="5">
        <f>data_origin!Z3614</f>
        <v>0</v>
      </c>
      <c r="BD568" s="5">
        <f>data_origin!AA3614</f>
        <v>0</v>
      </c>
      <c r="BE568" s="9">
        <f t="shared" si="72"/>
        <v>0</v>
      </c>
    </row>
    <row r="569" spans="1:58" x14ac:dyDescent="0.25">
      <c r="D569" t="s">
        <v>75</v>
      </c>
      <c r="E569" s="38">
        <f t="shared" si="69"/>
        <v>0</v>
      </c>
      <c r="F569" s="38">
        <f t="shared" si="69"/>
        <v>0</v>
      </c>
      <c r="G569" s="38">
        <f t="shared" si="69"/>
        <v>0</v>
      </c>
      <c r="H569" s="38">
        <f t="shared" si="68"/>
        <v>0</v>
      </c>
      <c r="I569" s="38">
        <f t="shared" si="68"/>
        <v>0</v>
      </c>
      <c r="J569" s="38">
        <f t="shared" si="68"/>
        <v>0</v>
      </c>
      <c r="K569" s="38">
        <f t="shared" si="68"/>
        <v>0</v>
      </c>
      <c r="L569" s="38">
        <f t="shared" si="68"/>
        <v>0</v>
      </c>
      <c r="M569" s="35">
        <f t="shared" si="67"/>
        <v>0</v>
      </c>
      <c r="S569" t="s">
        <v>75</v>
      </c>
      <c r="T569" s="5">
        <f>data_origin!T654</f>
        <v>0</v>
      </c>
      <c r="U569" s="5">
        <f>data_origin!U654</f>
        <v>0</v>
      </c>
      <c r="V569" s="5">
        <f>data_origin!V654</f>
        <v>0</v>
      </c>
      <c r="W569" s="5">
        <f>data_origin!W654</f>
        <v>0</v>
      </c>
      <c r="X569" s="5">
        <f>data_origin!X654</f>
        <v>0</v>
      </c>
      <c r="Y569" s="5">
        <f>data_origin!Y654</f>
        <v>0</v>
      </c>
      <c r="Z569" s="5">
        <f>data_origin!Z654</f>
        <v>0</v>
      </c>
      <c r="AA569" s="5">
        <f>data_origin!AA654</f>
        <v>0</v>
      </c>
      <c r="AB569" s="5">
        <f t="shared" si="70"/>
        <v>0</v>
      </c>
      <c r="AH569" t="s">
        <v>75</v>
      </c>
      <c r="AI569" s="5">
        <f>data_origin!T2901</f>
        <v>0</v>
      </c>
      <c r="AJ569" s="5">
        <f>data_origin!U2901</f>
        <v>0</v>
      </c>
      <c r="AK569" s="5">
        <f>data_origin!V2901</f>
        <v>0</v>
      </c>
      <c r="AL569" s="5">
        <f>data_origin!W2901</f>
        <v>0</v>
      </c>
      <c r="AM569" s="5">
        <f>data_origin!X2901</f>
        <v>0</v>
      </c>
      <c r="AN569" s="5">
        <f>data_origin!Y2901</f>
        <v>0</v>
      </c>
      <c r="AO569" s="5">
        <f>data_origin!Z2901</f>
        <v>0</v>
      </c>
      <c r="AP569" s="5">
        <f>data_origin!AA2901</f>
        <v>0</v>
      </c>
      <c r="AQ569" s="9">
        <f t="shared" si="71"/>
        <v>0</v>
      </c>
      <c r="AV569" t="s">
        <v>75</v>
      </c>
      <c r="AW569" s="5">
        <f>data_origin!T3615</f>
        <v>0</v>
      </c>
      <c r="AX569" s="5">
        <f>data_origin!U3615</f>
        <v>0</v>
      </c>
      <c r="AY569" s="5">
        <f>data_origin!V3615</f>
        <v>0</v>
      </c>
      <c r="AZ569" s="5">
        <f>data_origin!W3615</f>
        <v>0</v>
      </c>
      <c r="BA569" s="5">
        <f>data_origin!X3615</f>
        <v>0</v>
      </c>
      <c r="BB569" s="5">
        <f>data_origin!Y3615</f>
        <v>0</v>
      </c>
      <c r="BC569" s="5">
        <f>data_origin!Z3615</f>
        <v>0</v>
      </c>
      <c r="BD569" s="5">
        <f>data_origin!AA3615</f>
        <v>0</v>
      </c>
      <c r="BE569" s="9">
        <f t="shared" si="72"/>
        <v>0</v>
      </c>
    </row>
    <row r="570" spans="1:58" x14ac:dyDescent="0.25">
      <c r="D570" t="s">
        <v>76</v>
      </c>
      <c r="E570" s="38">
        <f t="shared" si="69"/>
        <v>0</v>
      </c>
      <c r="F570" s="38">
        <f t="shared" si="69"/>
        <v>0</v>
      </c>
      <c r="G570" s="38">
        <f t="shared" si="69"/>
        <v>0</v>
      </c>
      <c r="H570" s="38">
        <f t="shared" si="68"/>
        <v>0</v>
      </c>
      <c r="I570" s="38">
        <f t="shared" si="68"/>
        <v>0</v>
      </c>
      <c r="J570" s="38">
        <f t="shared" si="68"/>
        <v>0</v>
      </c>
      <c r="K570" s="38">
        <f t="shared" si="68"/>
        <v>0</v>
      </c>
      <c r="L570" s="38">
        <f t="shared" si="68"/>
        <v>0</v>
      </c>
      <c r="M570" s="35">
        <f t="shared" si="67"/>
        <v>0</v>
      </c>
      <c r="S570" t="s">
        <v>76</v>
      </c>
      <c r="T570" s="5">
        <f>data_origin!T655</f>
        <v>0</v>
      </c>
      <c r="U570" s="5">
        <f>data_origin!U655</f>
        <v>0</v>
      </c>
      <c r="V570" s="5">
        <f>data_origin!V655</f>
        <v>0</v>
      </c>
      <c r="W570" s="5">
        <f>data_origin!W655</f>
        <v>0</v>
      </c>
      <c r="X570" s="5">
        <f>data_origin!X655</f>
        <v>0</v>
      </c>
      <c r="Y570" s="5">
        <f>data_origin!Y655</f>
        <v>0</v>
      </c>
      <c r="Z570" s="5">
        <f>data_origin!Z655</f>
        <v>0</v>
      </c>
      <c r="AA570" s="5">
        <f>data_origin!AA655</f>
        <v>0</v>
      </c>
      <c r="AB570" s="5">
        <f t="shared" si="70"/>
        <v>0</v>
      </c>
      <c r="AH570" t="s">
        <v>76</v>
      </c>
      <c r="AI570" s="5">
        <f>data_origin!T2902</f>
        <v>0</v>
      </c>
      <c r="AJ570" s="5">
        <f>data_origin!U2902</f>
        <v>0</v>
      </c>
      <c r="AK570" s="5">
        <f>data_origin!V2902</f>
        <v>0</v>
      </c>
      <c r="AL570" s="5">
        <f>data_origin!W2902</f>
        <v>0</v>
      </c>
      <c r="AM570" s="5">
        <f>data_origin!X2902</f>
        <v>1.25</v>
      </c>
      <c r="AN570" s="5">
        <f>data_origin!Y2902</f>
        <v>0</v>
      </c>
      <c r="AO570" s="5">
        <f>data_origin!Z2902</f>
        <v>0</v>
      </c>
      <c r="AP570" s="5">
        <f>data_origin!AA2902</f>
        <v>0</v>
      </c>
      <c r="AQ570" s="9">
        <f t="shared" si="71"/>
        <v>1.25</v>
      </c>
      <c r="AV570" t="s">
        <v>76</v>
      </c>
      <c r="AW570" s="5">
        <f>data_origin!T3616</f>
        <v>0</v>
      </c>
      <c r="AX570" s="5">
        <f>data_origin!U3616</f>
        <v>0</v>
      </c>
      <c r="AY570" s="5">
        <f>data_origin!V3616</f>
        <v>0</v>
      </c>
      <c r="AZ570" s="5">
        <f>data_origin!W3616</f>
        <v>0</v>
      </c>
      <c r="BA570" s="5">
        <f>data_origin!X3616</f>
        <v>0</v>
      </c>
      <c r="BB570" s="5">
        <f>data_origin!Y3616</f>
        <v>0</v>
      </c>
      <c r="BC570" s="5">
        <f>data_origin!Z3616</f>
        <v>0</v>
      </c>
      <c r="BD570" s="5">
        <f>data_origin!AA3616</f>
        <v>0</v>
      </c>
      <c r="BE570" s="9">
        <f t="shared" si="72"/>
        <v>0</v>
      </c>
    </row>
    <row r="571" spans="1:58" x14ac:dyDescent="0.25">
      <c r="D571" t="s">
        <v>77</v>
      </c>
      <c r="E571" s="38">
        <f t="shared" si="69"/>
        <v>0</v>
      </c>
      <c r="F571" s="38">
        <f t="shared" si="69"/>
        <v>0</v>
      </c>
      <c r="G571" s="38">
        <f t="shared" si="69"/>
        <v>0</v>
      </c>
      <c r="H571" s="38">
        <f t="shared" si="68"/>
        <v>0</v>
      </c>
      <c r="I571" s="38">
        <f t="shared" si="68"/>
        <v>0</v>
      </c>
      <c r="J571" s="38">
        <f t="shared" si="68"/>
        <v>0</v>
      </c>
      <c r="K571" s="38">
        <f t="shared" si="68"/>
        <v>0</v>
      </c>
      <c r="L571" s="38">
        <f t="shared" si="68"/>
        <v>0</v>
      </c>
      <c r="M571" s="35">
        <f t="shared" si="67"/>
        <v>0</v>
      </c>
      <c r="S571" t="s">
        <v>77</v>
      </c>
      <c r="T571" s="5">
        <f>data_origin!T656</f>
        <v>0</v>
      </c>
      <c r="U571" s="5">
        <f>data_origin!U656</f>
        <v>0</v>
      </c>
      <c r="V571" s="5">
        <f>data_origin!V656</f>
        <v>0</v>
      </c>
      <c r="W571" s="5">
        <f>data_origin!W656</f>
        <v>0</v>
      </c>
      <c r="X571" s="5">
        <f>data_origin!X656</f>
        <v>0</v>
      </c>
      <c r="Y571" s="5">
        <f>data_origin!Y656</f>
        <v>0</v>
      </c>
      <c r="Z571" s="5">
        <f>data_origin!Z656</f>
        <v>0</v>
      </c>
      <c r="AA571" s="5">
        <f>data_origin!AA656</f>
        <v>0</v>
      </c>
      <c r="AB571" s="5">
        <f t="shared" si="70"/>
        <v>0</v>
      </c>
      <c r="AH571" t="s">
        <v>77</v>
      </c>
      <c r="AI571" s="5">
        <f>data_origin!T2903</f>
        <v>0</v>
      </c>
      <c r="AJ571" s="5">
        <f>data_origin!U2903</f>
        <v>0</v>
      </c>
      <c r="AK571" s="5">
        <f>data_origin!V2903</f>
        <v>0</v>
      </c>
      <c r="AL571" s="5">
        <f>data_origin!W2903</f>
        <v>0</v>
      </c>
      <c r="AM571" s="5">
        <f>data_origin!X2903</f>
        <v>0</v>
      </c>
      <c r="AN571" s="5">
        <f>data_origin!Y2903</f>
        <v>0</v>
      </c>
      <c r="AO571" s="5">
        <f>data_origin!Z2903</f>
        <v>0</v>
      </c>
      <c r="AP571" s="5">
        <f>data_origin!AA2903</f>
        <v>0</v>
      </c>
      <c r="AQ571" s="9">
        <f t="shared" si="71"/>
        <v>0</v>
      </c>
      <c r="AV571" t="s">
        <v>77</v>
      </c>
      <c r="AW571" s="5">
        <f>data_origin!T3617</f>
        <v>0</v>
      </c>
      <c r="AX571" s="5">
        <f>data_origin!U3617</f>
        <v>0</v>
      </c>
      <c r="AY571" s="5">
        <f>data_origin!V3617</f>
        <v>0</v>
      </c>
      <c r="AZ571" s="5">
        <f>data_origin!W3617</f>
        <v>0</v>
      </c>
      <c r="BA571" s="5">
        <f>data_origin!X3617</f>
        <v>0</v>
      </c>
      <c r="BB571" s="5">
        <f>data_origin!Y3617</f>
        <v>0</v>
      </c>
      <c r="BC571" s="5">
        <f>data_origin!Z3617</f>
        <v>0</v>
      </c>
      <c r="BD571" s="5">
        <f>data_origin!AA3617</f>
        <v>0</v>
      </c>
      <c r="BE571" s="9">
        <f t="shared" si="72"/>
        <v>0</v>
      </c>
    </row>
    <row r="572" spans="1:58" x14ac:dyDescent="0.25">
      <c r="D572" t="s">
        <v>78</v>
      </c>
      <c r="E572" s="38">
        <f t="shared" si="69"/>
        <v>0</v>
      </c>
      <c r="F572" s="38">
        <f t="shared" si="69"/>
        <v>0</v>
      </c>
      <c r="G572" s="38">
        <f t="shared" si="69"/>
        <v>0</v>
      </c>
      <c r="H572" s="38">
        <f t="shared" si="68"/>
        <v>0</v>
      </c>
      <c r="I572" s="38">
        <f t="shared" si="68"/>
        <v>0</v>
      </c>
      <c r="J572" s="38">
        <f t="shared" si="68"/>
        <v>0</v>
      </c>
      <c r="K572" s="38">
        <f t="shared" si="68"/>
        <v>0</v>
      </c>
      <c r="L572" s="38">
        <f t="shared" si="68"/>
        <v>0</v>
      </c>
      <c r="M572" s="35">
        <f t="shared" si="67"/>
        <v>0</v>
      </c>
      <c r="S572" t="s">
        <v>78</v>
      </c>
      <c r="T572" s="5">
        <f>data_origin!T657</f>
        <v>0</v>
      </c>
      <c r="U572" s="5">
        <f>data_origin!U657</f>
        <v>0</v>
      </c>
      <c r="V572" s="5">
        <f>data_origin!V657</f>
        <v>0</v>
      </c>
      <c r="W572" s="5">
        <f>data_origin!W657</f>
        <v>0</v>
      </c>
      <c r="X572" s="5">
        <f>data_origin!X657</f>
        <v>0</v>
      </c>
      <c r="Y572" s="5">
        <f>data_origin!Y657</f>
        <v>0</v>
      </c>
      <c r="Z572" s="5">
        <f>data_origin!Z657</f>
        <v>0</v>
      </c>
      <c r="AA572" s="5">
        <f>data_origin!AA657</f>
        <v>0</v>
      </c>
      <c r="AB572" s="5">
        <f t="shared" si="70"/>
        <v>0</v>
      </c>
      <c r="AH572" t="s">
        <v>78</v>
      </c>
      <c r="AI572" s="5">
        <f>data_origin!T2904</f>
        <v>0</v>
      </c>
      <c r="AJ572" s="5">
        <f>data_origin!U2904</f>
        <v>0</v>
      </c>
      <c r="AK572" s="5">
        <f>data_origin!V2904</f>
        <v>1.125</v>
      </c>
      <c r="AL572" s="5">
        <f>data_origin!W2904</f>
        <v>0</v>
      </c>
      <c r="AM572" s="5">
        <f>data_origin!X2904</f>
        <v>2.5</v>
      </c>
      <c r="AN572" s="5">
        <f>data_origin!Y2904</f>
        <v>0</v>
      </c>
      <c r="AO572" s="5">
        <f>data_origin!Z2904</f>
        <v>0</v>
      </c>
      <c r="AP572" s="5">
        <f>data_origin!AA2904</f>
        <v>0</v>
      </c>
      <c r="AQ572" s="9">
        <f t="shared" si="71"/>
        <v>3.625</v>
      </c>
      <c r="AV572" t="s">
        <v>78</v>
      </c>
      <c r="AW572" s="5">
        <f>data_origin!T3618</f>
        <v>0</v>
      </c>
      <c r="AX572" s="5">
        <f>data_origin!U3618</f>
        <v>0</v>
      </c>
      <c r="AY572" s="5">
        <f>data_origin!V3618</f>
        <v>0</v>
      </c>
      <c r="AZ572" s="5">
        <f>data_origin!W3618</f>
        <v>0</v>
      </c>
      <c r="BA572" s="5">
        <f>data_origin!X3618</f>
        <v>0</v>
      </c>
      <c r="BB572" s="5">
        <f>data_origin!Y3618</f>
        <v>0</v>
      </c>
      <c r="BC572" s="5">
        <f>data_origin!Z3618</f>
        <v>0</v>
      </c>
      <c r="BD572" s="5">
        <f>data_origin!AA3618</f>
        <v>0</v>
      </c>
      <c r="BE572" s="9">
        <f t="shared" si="72"/>
        <v>0</v>
      </c>
    </row>
    <row r="573" spans="1:58" x14ac:dyDescent="0.25">
      <c r="D573" t="s">
        <v>79</v>
      </c>
      <c r="E573" s="38">
        <f t="shared" si="69"/>
        <v>0</v>
      </c>
      <c r="F573" s="38">
        <f t="shared" si="69"/>
        <v>0</v>
      </c>
      <c r="G573" s="38">
        <f t="shared" si="69"/>
        <v>1.0078408564615462</v>
      </c>
      <c r="H573" s="38">
        <f t="shared" si="68"/>
        <v>0</v>
      </c>
      <c r="I573" s="38">
        <f t="shared" si="68"/>
        <v>0</v>
      </c>
      <c r="J573" s="38">
        <f t="shared" si="68"/>
        <v>0</v>
      </c>
      <c r="K573" s="38">
        <f t="shared" si="68"/>
        <v>0</v>
      </c>
      <c r="L573" s="38">
        <f t="shared" si="68"/>
        <v>0</v>
      </c>
      <c r="M573" s="35">
        <f t="shared" si="67"/>
        <v>1.0078408564615462</v>
      </c>
      <c r="S573" t="s">
        <v>79</v>
      </c>
      <c r="T573" s="5">
        <f>data_origin!T658</f>
        <v>0</v>
      </c>
      <c r="U573" s="5">
        <f>data_origin!U658</f>
        <v>0</v>
      </c>
      <c r="V573" s="5">
        <f>data_origin!V658</f>
        <v>1</v>
      </c>
      <c r="W573" s="5">
        <f>data_origin!W658</f>
        <v>0</v>
      </c>
      <c r="X573" s="5">
        <f>data_origin!X658</f>
        <v>0</v>
      </c>
      <c r="Y573" s="5">
        <f>data_origin!Y658</f>
        <v>0</v>
      </c>
      <c r="Z573" s="5">
        <f>data_origin!Z658</f>
        <v>0</v>
      </c>
      <c r="AA573" s="5">
        <f>data_origin!AA658</f>
        <v>0</v>
      </c>
      <c r="AB573" s="5">
        <f t="shared" si="70"/>
        <v>1</v>
      </c>
      <c r="AH573" t="s">
        <v>79</v>
      </c>
      <c r="AI573" s="5">
        <f>data_origin!T2905</f>
        <v>0</v>
      </c>
      <c r="AJ573" s="5">
        <f>data_origin!U2905</f>
        <v>0</v>
      </c>
      <c r="AK573" s="5">
        <f>data_origin!V2905</f>
        <v>0</v>
      </c>
      <c r="AL573" s="5">
        <f>data_origin!W2905</f>
        <v>0</v>
      </c>
      <c r="AM573" s="5">
        <f>data_origin!X2905</f>
        <v>0</v>
      </c>
      <c r="AN573" s="5">
        <f>data_origin!Y2905</f>
        <v>0</v>
      </c>
      <c r="AO573" s="5">
        <f>data_origin!Z2905</f>
        <v>0</v>
      </c>
      <c r="AP573" s="5">
        <f>data_origin!AA2905</f>
        <v>0</v>
      </c>
      <c r="AQ573" s="9">
        <f t="shared" si="71"/>
        <v>0</v>
      </c>
      <c r="AV573" t="s">
        <v>79</v>
      </c>
      <c r="AW573" s="5">
        <f>data_origin!T3619</f>
        <v>0</v>
      </c>
      <c r="AX573" s="5">
        <f>data_origin!U3619</f>
        <v>0</v>
      </c>
      <c r="AY573" s="5">
        <f>data_origin!V3619</f>
        <v>0</v>
      </c>
      <c r="AZ573" s="5">
        <f>data_origin!W3619</f>
        <v>0</v>
      </c>
      <c r="BA573" s="5">
        <f>data_origin!X3619</f>
        <v>0</v>
      </c>
      <c r="BB573" s="5">
        <f>data_origin!Y3619</f>
        <v>0</v>
      </c>
      <c r="BC573" s="5">
        <f>data_origin!Z3619</f>
        <v>0</v>
      </c>
      <c r="BD573" s="5">
        <f>data_origin!AA3619</f>
        <v>0</v>
      </c>
      <c r="BE573" s="9">
        <f t="shared" si="72"/>
        <v>0</v>
      </c>
    </row>
    <row r="574" spans="1:58" x14ac:dyDescent="0.25">
      <c r="D574" t="s">
        <v>80</v>
      </c>
      <c r="E574" s="38">
        <f t="shared" si="69"/>
        <v>0</v>
      </c>
      <c r="F574" s="38">
        <f t="shared" si="69"/>
        <v>0</v>
      </c>
      <c r="G574" s="38">
        <f t="shared" si="69"/>
        <v>0</v>
      </c>
      <c r="H574" s="38">
        <f t="shared" si="68"/>
        <v>0</v>
      </c>
      <c r="I574" s="38">
        <f t="shared" si="68"/>
        <v>0</v>
      </c>
      <c r="J574" s="38">
        <f t="shared" si="68"/>
        <v>0</v>
      </c>
      <c r="K574" s="38">
        <f t="shared" si="68"/>
        <v>0</v>
      </c>
      <c r="L574" s="38">
        <f t="shared" si="68"/>
        <v>0</v>
      </c>
      <c r="M574" s="35">
        <f t="shared" si="67"/>
        <v>0</v>
      </c>
      <c r="S574" t="s">
        <v>80</v>
      </c>
      <c r="T574" s="5">
        <f>data_origin!T659</f>
        <v>0</v>
      </c>
      <c r="U574" s="5">
        <f>data_origin!U659</f>
        <v>0</v>
      </c>
      <c r="V574" s="5">
        <f>data_origin!V659</f>
        <v>0</v>
      </c>
      <c r="W574" s="5">
        <f>data_origin!W659</f>
        <v>0</v>
      </c>
      <c r="X574" s="5">
        <f>data_origin!X659</f>
        <v>0</v>
      </c>
      <c r="Y574" s="5">
        <f>data_origin!Y659</f>
        <v>0</v>
      </c>
      <c r="Z574" s="5">
        <f>data_origin!Z659</f>
        <v>0</v>
      </c>
      <c r="AA574" s="5">
        <f>data_origin!AA659</f>
        <v>0</v>
      </c>
      <c r="AB574" s="5">
        <f t="shared" si="70"/>
        <v>0</v>
      </c>
      <c r="AH574" t="s">
        <v>80</v>
      </c>
      <c r="AI574" s="5">
        <f>data_origin!T2906</f>
        <v>0</v>
      </c>
      <c r="AJ574" s="5">
        <f>data_origin!U2906</f>
        <v>0</v>
      </c>
      <c r="AK574" s="5">
        <f>data_origin!V2906</f>
        <v>0</v>
      </c>
      <c r="AL574" s="5">
        <f>data_origin!W2906</f>
        <v>1.25</v>
      </c>
      <c r="AM574" s="5">
        <f>data_origin!X2906</f>
        <v>0</v>
      </c>
      <c r="AN574" s="5">
        <f>data_origin!Y2906</f>
        <v>0</v>
      </c>
      <c r="AO574" s="5">
        <f>data_origin!Z2906</f>
        <v>0</v>
      </c>
      <c r="AP574" s="5">
        <f>data_origin!AA2906</f>
        <v>0</v>
      </c>
      <c r="AQ574" s="9">
        <f t="shared" si="71"/>
        <v>1.25</v>
      </c>
      <c r="AV574" t="s">
        <v>80</v>
      </c>
      <c r="AW574" s="5">
        <f>data_origin!T3620</f>
        <v>0</v>
      </c>
      <c r="AX574" s="5">
        <f>data_origin!U3620</f>
        <v>0</v>
      </c>
      <c r="AY574" s="5">
        <f>data_origin!V3620</f>
        <v>0</v>
      </c>
      <c r="AZ574" s="5">
        <f>data_origin!W3620</f>
        <v>0</v>
      </c>
      <c r="BA574" s="5">
        <f>data_origin!X3620</f>
        <v>0</v>
      </c>
      <c r="BB574" s="5">
        <f>data_origin!Y3620</f>
        <v>0</v>
      </c>
      <c r="BC574" s="5">
        <f>data_origin!Z3620</f>
        <v>0</v>
      </c>
      <c r="BD574" s="5">
        <f>data_origin!AA3620</f>
        <v>0</v>
      </c>
      <c r="BE574" s="9">
        <f t="shared" si="72"/>
        <v>0</v>
      </c>
    </row>
    <row r="575" spans="1:58" x14ac:dyDescent="0.25">
      <c r="D575" t="s">
        <v>81</v>
      </c>
      <c r="E575" s="38">
        <f t="shared" si="69"/>
        <v>0</v>
      </c>
      <c r="F575" s="38">
        <f t="shared" si="69"/>
        <v>0</v>
      </c>
      <c r="G575" s="38">
        <f t="shared" si="69"/>
        <v>0</v>
      </c>
      <c r="H575" s="38">
        <f t="shared" si="68"/>
        <v>0</v>
      </c>
      <c r="I575" s="38">
        <f t="shared" si="68"/>
        <v>0</v>
      </c>
      <c r="J575" s="38">
        <f t="shared" si="68"/>
        <v>0</v>
      </c>
      <c r="K575" s="38">
        <f t="shared" si="68"/>
        <v>0</v>
      </c>
      <c r="L575" s="38">
        <f t="shared" si="68"/>
        <v>0</v>
      </c>
      <c r="M575" s="35">
        <f t="shared" si="67"/>
        <v>0</v>
      </c>
      <c r="S575" t="s">
        <v>81</v>
      </c>
      <c r="T575" s="5">
        <f>data_origin!T660</f>
        <v>0</v>
      </c>
      <c r="U575" s="5">
        <f>data_origin!U660</f>
        <v>0</v>
      </c>
      <c r="V575" s="5">
        <f>data_origin!V660</f>
        <v>0</v>
      </c>
      <c r="W575" s="5">
        <f>data_origin!W660</f>
        <v>0</v>
      </c>
      <c r="X575" s="5">
        <f>data_origin!X660</f>
        <v>0</v>
      </c>
      <c r="Y575" s="5">
        <f>data_origin!Y660</f>
        <v>0</v>
      </c>
      <c r="Z575" s="5">
        <f>data_origin!Z660</f>
        <v>0</v>
      </c>
      <c r="AA575" s="5">
        <f>data_origin!AA660</f>
        <v>0</v>
      </c>
      <c r="AB575" s="5">
        <f t="shared" si="70"/>
        <v>0</v>
      </c>
      <c r="AH575" t="s">
        <v>81</v>
      </c>
      <c r="AI575" s="5">
        <f>data_origin!T2907</f>
        <v>0</v>
      </c>
      <c r="AJ575" s="5">
        <f>data_origin!U2907</f>
        <v>0</v>
      </c>
      <c r="AK575" s="5">
        <f>data_origin!V2907</f>
        <v>0</v>
      </c>
      <c r="AL575" s="5">
        <f>data_origin!W2907</f>
        <v>0</v>
      </c>
      <c r="AM575" s="5">
        <f>data_origin!X2907</f>
        <v>0</v>
      </c>
      <c r="AN575" s="5">
        <f>data_origin!Y2907</f>
        <v>0</v>
      </c>
      <c r="AO575" s="5">
        <f>data_origin!Z2907</f>
        <v>0</v>
      </c>
      <c r="AP575" s="5">
        <f>data_origin!AA2907</f>
        <v>0</v>
      </c>
      <c r="AQ575" s="9">
        <f t="shared" si="71"/>
        <v>0</v>
      </c>
      <c r="AV575" t="s">
        <v>81</v>
      </c>
      <c r="AW575" s="5">
        <f>data_origin!T3621</f>
        <v>0</v>
      </c>
      <c r="AX575" s="5">
        <f>data_origin!U3621</f>
        <v>0</v>
      </c>
      <c r="AY575" s="5">
        <f>data_origin!V3621</f>
        <v>0</v>
      </c>
      <c r="AZ575" s="5">
        <f>data_origin!W3621</f>
        <v>0</v>
      </c>
      <c r="BA575" s="5">
        <f>data_origin!X3621</f>
        <v>0</v>
      </c>
      <c r="BB575" s="5">
        <f>data_origin!Y3621</f>
        <v>0</v>
      </c>
      <c r="BC575" s="5">
        <f>data_origin!Z3621</f>
        <v>0</v>
      </c>
      <c r="BD575" s="5">
        <f>data_origin!AA3621</f>
        <v>0</v>
      </c>
      <c r="BE575" s="9">
        <f t="shared" si="72"/>
        <v>0</v>
      </c>
    </row>
    <row r="576" spans="1:58" x14ac:dyDescent="0.25">
      <c r="D576" t="s">
        <v>82</v>
      </c>
      <c r="E576" s="38">
        <f t="shared" si="69"/>
        <v>0</v>
      </c>
      <c r="F576" s="38">
        <f t="shared" si="69"/>
        <v>0</v>
      </c>
      <c r="G576" s="38">
        <f t="shared" si="69"/>
        <v>0</v>
      </c>
      <c r="H576" s="38">
        <f t="shared" si="68"/>
        <v>0</v>
      </c>
      <c r="I576" s="38">
        <f t="shared" si="68"/>
        <v>0</v>
      </c>
      <c r="J576" s="38">
        <f t="shared" si="68"/>
        <v>0</v>
      </c>
      <c r="K576" s="38">
        <f t="shared" si="68"/>
        <v>0</v>
      </c>
      <c r="L576" s="38">
        <f t="shared" si="68"/>
        <v>0</v>
      </c>
      <c r="M576" s="35">
        <f t="shared" si="67"/>
        <v>0</v>
      </c>
      <c r="S576" t="s">
        <v>82</v>
      </c>
      <c r="T576" s="5">
        <f>data_origin!T661</f>
        <v>0</v>
      </c>
      <c r="U576" s="5">
        <f>data_origin!U661</f>
        <v>0</v>
      </c>
      <c r="V576" s="5">
        <f>data_origin!V661</f>
        <v>0</v>
      </c>
      <c r="W576" s="5">
        <f>data_origin!W661</f>
        <v>0</v>
      </c>
      <c r="X576" s="5">
        <f>data_origin!X661</f>
        <v>0</v>
      </c>
      <c r="Y576" s="5">
        <f>data_origin!Y661</f>
        <v>0</v>
      </c>
      <c r="Z576" s="5">
        <f>data_origin!Z661</f>
        <v>0</v>
      </c>
      <c r="AA576" s="5">
        <f>data_origin!AA661</f>
        <v>0</v>
      </c>
      <c r="AB576" s="5">
        <f t="shared" si="70"/>
        <v>0</v>
      </c>
      <c r="AH576" t="s">
        <v>82</v>
      </c>
      <c r="AI576" s="5">
        <f>data_origin!T2908</f>
        <v>0</v>
      </c>
      <c r="AJ576" s="5">
        <f>data_origin!U2908</f>
        <v>0</v>
      </c>
      <c r="AK576" s="5">
        <f>data_origin!V2908</f>
        <v>0</v>
      </c>
      <c r="AL576" s="5">
        <f>data_origin!W2908</f>
        <v>0</v>
      </c>
      <c r="AM576" s="5">
        <f>data_origin!X2908</f>
        <v>0</v>
      </c>
      <c r="AN576" s="5">
        <f>data_origin!Y2908</f>
        <v>0</v>
      </c>
      <c r="AO576" s="5">
        <f>data_origin!Z2908</f>
        <v>0</v>
      </c>
      <c r="AP576" s="5">
        <f>data_origin!AA2908</f>
        <v>0</v>
      </c>
      <c r="AQ576" s="9">
        <f t="shared" si="71"/>
        <v>0</v>
      </c>
      <c r="AV576" t="s">
        <v>82</v>
      </c>
      <c r="AW576" s="5">
        <f>data_origin!T3622</f>
        <v>0</v>
      </c>
      <c r="AX576" s="5">
        <f>data_origin!U3622</f>
        <v>0</v>
      </c>
      <c r="AY576" s="5">
        <f>data_origin!V3622</f>
        <v>0</v>
      </c>
      <c r="AZ576" s="5">
        <f>data_origin!W3622</f>
        <v>0</v>
      </c>
      <c r="BA576" s="5">
        <f>data_origin!X3622</f>
        <v>0</v>
      </c>
      <c r="BB576" s="5">
        <f>data_origin!Y3622</f>
        <v>0</v>
      </c>
      <c r="BC576" s="5">
        <f>data_origin!Z3622</f>
        <v>0</v>
      </c>
      <c r="BD576" s="5">
        <f>data_origin!AA3622</f>
        <v>0</v>
      </c>
      <c r="BE576" s="9">
        <f t="shared" si="72"/>
        <v>0</v>
      </c>
    </row>
    <row r="577" spans="4:57" x14ac:dyDescent="0.25">
      <c r="D577" t="s">
        <v>83</v>
      </c>
      <c r="E577" s="38">
        <f t="shared" si="69"/>
        <v>0</v>
      </c>
      <c r="F577" s="38">
        <f t="shared" si="69"/>
        <v>0</v>
      </c>
      <c r="G577" s="38">
        <f t="shared" si="69"/>
        <v>0</v>
      </c>
      <c r="H577" s="38">
        <f t="shared" si="68"/>
        <v>0</v>
      </c>
      <c r="I577" s="38">
        <f t="shared" si="68"/>
        <v>0</v>
      </c>
      <c r="J577" s="38">
        <f t="shared" si="68"/>
        <v>0</v>
      </c>
      <c r="K577" s="38">
        <f t="shared" si="68"/>
        <v>0</v>
      </c>
      <c r="L577" s="38">
        <f t="shared" si="68"/>
        <v>0</v>
      </c>
      <c r="M577" s="35">
        <f t="shared" si="67"/>
        <v>0</v>
      </c>
      <c r="S577" t="s">
        <v>83</v>
      </c>
      <c r="T577" s="5">
        <f>data_origin!T662</f>
        <v>0</v>
      </c>
      <c r="U577" s="5">
        <f>data_origin!U662</f>
        <v>0</v>
      </c>
      <c r="V577" s="5">
        <f>data_origin!V662</f>
        <v>0</v>
      </c>
      <c r="W577" s="5">
        <f>data_origin!W662</f>
        <v>0</v>
      </c>
      <c r="X577" s="5">
        <f>data_origin!X662</f>
        <v>0</v>
      </c>
      <c r="Y577" s="5">
        <f>data_origin!Y662</f>
        <v>0</v>
      </c>
      <c r="Z577" s="5">
        <f>data_origin!Z662</f>
        <v>0</v>
      </c>
      <c r="AA577" s="5">
        <f>data_origin!AA662</f>
        <v>0</v>
      </c>
      <c r="AB577" s="5">
        <f t="shared" si="70"/>
        <v>0</v>
      </c>
      <c r="AH577" t="s">
        <v>83</v>
      </c>
      <c r="AI577" s="5">
        <f>data_origin!T2909</f>
        <v>0</v>
      </c>
      <c r="AJ577" s="5">
        <f>data_origin!U2909</f>
        <v>0</v>
      </c>
      <c r="AK577" s="5">
        <f>data_origin!V2909</f>
        <v>0</v>
      </c>
      <c r="AL577" s="5">
        <f>data_origin!W2909</f>
        <v>0</v>
      </c>
      <c r="AM577" s="5">
        <f>data_origin!X2909</f>
        <v>0</v>
      </c>
      <c r="AN577" s="5">
        <f>data_origin!Y2909</f>
        <v>0</v>
      </c>
      <c r="AO577" s="5">
        <f>data_origin!Z2909</f>
        <v>0</v>
      </c>
      <c r="AP577" s="5">
        <f>data_origin!AA2909</f>
        <v>0</v>
      </c>
      <c r="AQ577" s="9">
        <f t="shared" si="71"/>
        <v>0</v>
      </c>
      <c r="AV577" t="s">
        <v>83</v>
      </c>
      <c r="AW577" s="5">
        <f>data_origin!T3623</f>
        <v>0</v>
      </c>
      <c r="AX577" s="5">
        <f>data_origin!U3623</f>
        <v>0</v>
      </c>
      <c r="AY577" s="5">
        <f>data_origin!V3623</f>
        <v>0</v>
      </c>
      <c r="AZ577" s="5">
        <f>data_origin!W3623</f>
        <v>0</v>
      </c>
      <c r="BA577" s="5">
        <f>data_origin!X3623</f>
        <v>0</v>
      </c>
      <c r="BB577" s="5">
        <f>data_origin!Y3623</f>
        <v>0</v>
      </c>
      <c r="BC577" s="5">
        <f>data_origin!Z3623</f>
        <v>0</v>
      </c>
      <c r="BD577" s="5">
        <f>data_origin!AA3623</f>
        <v>0</v>
      </c>
      <c r="BE577" s="9">
        <f t="shared" si="72"/>
        <v>0</v>
      </c>
    </row>
    <row r="578" spans="4:57" x14ac:dyDescent="0.25">
      <c r="D578" t="s">
        <v>84</v>
      </c>
      <c r="E578" s="38">
        <f t="shared" si="69"/>
        <v>0</v>
      </c>
      <c r="F578" s="38">
        <f t="shared" si="69"/>
        <v>0</v>
      </c>
      <c r="G578" s="38">
        <f t="shared" si="69"/>
        <v>0</v>
      </c>
      <c r="H578" s="38">
        <f t="shared" si="68"/>
        <v>0</v>
      </c>
      <c r="I578" s="38">
        <f t="shared" si="68"/>
        <v>0</v>
      </c>
      <c r="J578" s="38">
        <f t="shared" si="68"/>
        <v>0</v>
      </c>
      <c r="K578" s="38">
        <f t="shared" si="68"/>
        <v>0</v>
      </c>
      <c r="L578" s="38">
        <f t="shared" si="68"/>
        <v>0</v>
      </c>
      <c r="M578" s="35">
        <f t="shared" si="67"/>
        <v>0</v>
      </c>
      <c r="S578" t="s">
        <v>84</v>
      </c>
      <c r="T578" s="5">
        <f>data_origin!T663</f>
        <v>0</v>
      </c>
      <c r="U578" s="5">
        <f>data_origin!U663</f>
        <v>0</v>
      </c>
      <c r="V578" s="5">
        <f>data_origin!V663</f>
        <v>0</v>
      </c>
      <c r="W578" s="5">
        <f>data_origin!W663</f>
        <v>0</v>
      </c>
      <c r="X578" s="5">
        <f>data_origin!X663</f>
        <v>0</v>
      </c>
      <c r="Y578" s="5">
        <f>data_origin!Y663</f>
        <v>0</v>
      </c>
      <c r="Z578" s="5">
        <f>data_origin!Z663</f>
        <v>0</v>
      </c>
      <c r="AA578" s="5">
        <f>data_origin!AA663</f>
        <v>0</v>
      </c>
      <c r="AB578" s="5">
        <f t="shared" si="70"/>
        <v>0</v>
      </c>
      <c r="AH578" t="s">
        <v>84</v>
      </c>
      <c r="AI578" s="5">
        <f>data_origin!T2910</f>
        <v>0</v>
      </c>
      <c r="AJ578" s="5">
        <f>data_origin!U2910</f>
        <v>0</v>
      </c>
      <c r="AK578" s="5">
        <f>data_origin!V2910</f>
        <v>0</v>
      </c>
      <c r="AL578" s="5">
        <f>data_origin!W2910</f>
        <v>0</v>
      </c>
      <c r="AM578" s="5">
        <f>data_origin!X2910</f>
        <v>0</v>
      </c>
      <c r="AN578" s="5">
        <f>data_origin!Y2910</f>
        <v>0</v>
      </c>
      <c r="AO578" s="5">
        <f>data_origin!Z2910</f>
        <v>0</v>
      </c>
      <c r="AP578" s="5">
        <f>data_origin!AA2910</f>
        <v>0</v>
      </c>
      <c r="AQ578" s="9">
        <f t="shared" si="71"/>
        <v>0</v>
      </c>
      <c r="AV578" t="s">
        <v>84</v>
      </c>
      <c r="AW578" s="5">
        <f>data_origin!T3624</f>
        <v>0</v>
      </c>
      <c r="AX578" s="5">
        <f>data_origin!U3624</f>
        <v>0</v>
      </c>
      <c r="AY578" s="5">
        <f>data_origin!V3624</f>
        <v>0</v>
      </c>
      <c r="AZ578" s="5">
        <f>data_origin!W3624</f>
        <v>0</v>
      </c>
      <c r="BA578" s="5">
        <f>data_origin!X3624</f>
        <v>0</v>
      </c>
      <c r="BB578" s="5">
        <f>data_origin!Y3624</f>
        <v>0</v>
      </c>
      <c r="BC578" s="5">
        <f>data_origin!Z3624</f>
        <v>0</v>
      </c>
      <c r="BD578" s="5">
        <f>data_origin!AA3624</f>
        <v>0</v>
      </c>
      <c r="BE578" s="9">
        <f t="shared" si="72"/>
        <v>0</v>
      </c>
    </row>
    <row r="579" spans="4:57" x14ac:dyDescent="0.25">
      <c r="D579" t="s">
        <v>85</v>
      </c>
      <c r="E579" s="38">
        <f t="shared" si="69"/>
        <v>0</v>
      </c>
      <c r="F579" s="38">
        <f t="shared" si="69"/>
        <v>0</v>
      </c>
      <c r="G579" s="38">
        <f t="shared" si="69"/>
        <v>0</v>
      </c>
      <c r="H579" s="38">
        <f t="shared" si="68"/>
        <v>0</v>
      </c>
      <c r="I579" s="38">
        <f t="shared" si="68"/>
        <v>0</v>
      </c>
      <c r="J579" s="38">
        <f t="shared" si="68"/>
        <v>0</v>
      </c>
      <c r="K579" s="38">
        <f t="shared" si="68"/>
        <v>0</v>
      </c>
      <c r="L579" s="38">
        <f t="shared" si="68"/>
        <v>0</v>
      </c>
      <c r="M579" s="35">
        <f t="shared" si="67"/>
        <v>0</v>
      </c>
      <c r="S579" t="s">
        <v>85</v>
      </c>
      <c r="T579" s="5">
        <f>data_origin!T664</f>
        <v>0</v>
      </c>
      <c r="U579" s="5">
        <f>data_origin!U664</f>
        <v>0</v>
      </c>
      <c r="V579" s="5">
        <f>data_origin!V664</f>
        <v>0</v>
      </c>
      <c r="W579" s="5">
        <f>data_origin!W664</f>
        <v>0</v>
      </c>
      <c r="X579" s="5">
        <f>data_origin!X664</f>
        <v>0</v>
      </c>
      <c r="Y579" s="5">
        <f>data_origin!Y664</f>
        <v>0</v>
      </c>
      <c r="Z579" s="5">
        <f>data_origin!Z664</f>
        <v>0</v>
      </c>
      <c r="AA579" s="5">
        <f>data_origin!AA664</f>
        <v>0</v>
      </c>
      <c r="AB579" s="5">
        <f t="shared" si="70"/>
        <v>0</v>
      </c>
      <c r="AH579" t="s">
        <v>85</v>
      </c>
      <c r="AI579" s="5">
        <f>data_origin!T2911</f>
        <v>0</v>
      </c>
      <c r="AJ579" s="5">
        <f>data_origin!U2911</f>
        <v>0</v>
      </c>
      <c r="AK579" s="5">
        <f>data_origin!V2911</f>
        <v>0</v>
      </c>
      <c r="AL579" s="5">
        <f>data_origin!W2911</f>
        <v>0</v>
      </c>
      <c r="AM579" s="5">
        <f>data_origin!X2911</f>
        <v>0</v>
      </c>
      <c r="AN579" s="5">
        <f>data_origin!Y2911</f>
        <v>0</v>
      </c>
      <c r="AO579" s="5">
        <f>data_origin!Z2911</f>
        <v>0</v>
      </c>
      <c r="AP579" s="5">
        <f>data_origin!AA2911</f>
        <v>0</v>
      </c>
      <c r="AQ579" s="9">
        <f t="shared" si="71"/>
        <v>0</v>
      </c>
      <c r="AV579" t="s">
        <v>85</v>
      </c>
      <c r="AW579" s="5">
        <f>data_origin!T3625</f>
        <v>0</v>
      </c>
      <c r="AX579" s="5">
        <f>data_origin!U3625</f>
        <v>0</v>
      </c>
      <c r="AY579" s="5">
        <f>data_origin!V3625</f>
        <v>0</v>
      </c>
      <c r="AZ579" s="5">
        <f>data_origin!W3625</f>
        <v>0</v>
      </c>
      <c r="BA579" s="5">
        <f>data_origin!X3625</f>
        <v>0</v>
      </c>
      <c r="BB579" s="5">
        <f>data_origin!Y3625</f>
        <v>0</v>
      </c>
      <c r="BC579" s="5">
        <f>data_origin!Z3625</f>
        <v>0</v>
      </c>
      <c r="BD579" s="5">
        <f>data_origin!AA3625</f>
        <v>0</v>
      </c>
      <c r="BE579" s="9">
        <f t="shared" si="72"/>
        <v>0</v>
      </c>
    </row>
    <row r="580" spans="4:57" x14ac:dyDescent="0.25">
      <c r="D580" t="s">
        <v>86</v>
      </c>
      <c r="E580" s="38">
        <f t="shared" si="69"/>
        <v>0</v>
      </c>
      <c r="F580" s="38">
        <f t="shared" si="69"/>
        <v>0</v>
      </c>
      <c r="G580" s="38">
        <f t="shared" si="69"/>
        <v>0</v>
      </c>
      <c r="H580" s="38">
        <f t="shared" si="68"/>
        <v>0</v>
      </c>
      <c r="I580" s="38">
        <f t="shared" si="68"/>
        <v>0</v>
      </c>
      <c r="J580" s="38">
        <f t="shared" si="68"/>
        <v>0</v>
      </c>
      <c r="K580" s="38">
        <f t="shared" si="68"/>
        <v>0</v>
      </c>
      <c r="L580" s="38">
        <f t="shared" si="68"/>
        <v>0</v>
      </c>
      <c r="M580" s="35">
        <f t="shared" si="67"/>
        <v>0</v>
      </c>
      <c r="S580" t="s">
        <v>86</v>
      </c>
      <c r="T580" s="5">
        <f>data_origin!T665</f>
        <v>0</v>
      </c>
      <c r="U580" s="5">
        <f>data_origin!U665</f>
        <v>0</v>
      </c>
      <c r="V580" s="5">
        <f>data_origin!V665</f>
        <v>0</v>
      </c>
      <c r="W580" s="5">
        <f>data_origin!W665</f>
        <v>0</v>
      </c>
      <c r="X580" s="5">
        <f>data_origin!X665</f>
        <v>0</v>
      </c>
      <c r="Y580" s="5">
        <f>data_origin!Y665</f>
        <v>0</v>
      </c>
      <c r="Z580" s="5">
        <f>data_origin!Z665</f>
        <v>0</v>
      </c>
      <c r="AA580" s="5">
        <f>data_origin!AA665</f>
        <v>0</v>
      </c>
      <c r="AB580" s="5">
        <f t="shared" si="70"/>
        <v>0</v>
      </c>
      <c r="AH580" t="s">
        <v>86</v>
      </c>
      <c r="AI580" s="5">
        <f>data_origin!T2912</f>
        <v>0</v>
      </c>
      <c r="AJ580" s="5">
        <f>data_origin!U2912</f>
        <v>0</v>
      </c>
      <c r="AK580" s="5">
        <f>data_origin!V2912</f>
        <v>1.125</v>
      </c>
      <c r="AL580" s="5">
        <f>data_origin!W2912</f>
        <v>0</v>
      </c>
      <c r="AM580" s="5">
        <f>data_origin!X2912</f>
        <v>0</v>
      </c>
      <c r="AN580" s="5">
        <f>data_origin!Y2912</f>
        <v>0</v>
      </c>
      <c r="AO580" s="5">
        <f>data_origin!Z2912</f>
        <v>0</v>
      </c>
      <c r="AP580" s="5">
        <f>data_origin!AA2912</f>
        <v>0</v>
      </c>
      <c r="AQ580" s="9">
        <f t="shared" si="71"/>
        <v>1.125</v>
      </c>
      <c r="AV580" t="s">
        <v>86</v>
      </c>
      <c r="AW580" s="5">
        <f>data_origin!T3626</f>
        <v>0</v>
      </c>
      <c r="AX580" s="5">
        <f>data_origin!U3626</f>
        <v>0</v>
      </c>
      <c r="AY580" s="5">
        <f>data_origin!V3626</f>
        <v>0</v>
      </c>
      <c r="AZ580" s="5">
        <f>data_origin!W3626</f>
        <v>0</v>
      </c>
      <c r="BA580" s="5">
        <f>data_origin!X3626</f>
        <v>3</v>
      </c>
      <c r="BB580" s="5">
        <f>data_origin!Y3626</f>
        <v>0</v>
      </c>
      <c r="BC580" s="5">
        <f>data_origin!Z3626</f>
        <v>0</v>
      </c>
      <c r="BD580" s="5">
        <f>data_origin!AA3626</f>
        <v>0</v>
      </c>
      <c r="BE580" s="9">
        <f t="shared" si="72"/>
        <v>3</v>
      </c>
    </row>
    <row r="581" spans="4:57" x14ac:dyDescent="0.25">
      <c r="D581" t="s">
        <v>87</v>
      </c>
      <c r="E581" s="38">
        <f t="shared" si="69"/>
        <v>0</v>
      </c>
      <c r="F581" s="38">
        <f t="shared" si="69"/>
        <v>0</v>
      </c>
      <c r="G581" s="38">
        <f t="shared" si="69"/>
        <v>0</v>
      </c>
      <c r="H581" s="38">
        <f t="shared" si="68"/>
        <v>0</v>
      </c>
      <c r="I581" s="38">
        <f t="shared" si="68"/>
        <v>0</v>
      </c>
      <c r="J581" s="38">
        <f t="shared" si="68"/>
        <v>0</v>
      </c>
      <c r="K581" s="38">
        <f t="shared" si="68"/>
        <v>0</v>
      </c>
      <c r="L581" s="38">
        <f t="shared" si="68"/>
        <v>0</v>
      </c>
      <c r="M581" s="35">
        <f t="shared" si="67"/>
        <v>0</v>
      </c>
      <c r="S581" t="s">
        <v>87</v>
      </c>
      <c r="T581" s="5">
        <f>data_origin!T666</f>
        <v>0</v>
      </c>
      <c r="U581" s="5">
        <f>data_origin!U666</f>
        <v>0</v>
      </c>
      <c r="V581" s="5">
        <f>data_origin!V666</f>
        <v>0</v>
      </c>
      <c r="W581" s="5">
        <f>data_origin!W666</f>
        <v>0</v>
      </c>
      <c r="X581" s="5">
        <f>data_origin!X666</f>
        <v>0</v>
      </c>
      <c r="Y581" s="5">
        <f>data_origin!Y666</f>
        <v>0</v>
      </c>
      <c r="Z581" s="5">
        <f>data_origin!Z666</f>
        <v>0</v>
      </c>
      <c r="AA581" s="5">
        <f>data_origin!AA666</f>
        <v>0</v>
      </c>
      <c r="AB581" s="5">
        <f t="shared" si="70"/>
        <v>0</v>
      </c>
      <c r="AH581" t="s">
        <v>87</v>
      </c>
      <c r="AI581" s="5">
        <f>data_origin!T2913</f>
        <v>0</v>
      </c>
      <c r="AJ581" s="5">
        <f>data_origin!U2913</f>
        <v>0</v>
      </c>
      <c r="AK581" s="5">
        <f>data_origin!V2913</f>
        <v>0</v>
      </c>
      <c r="AL581" s="5">
        <f>data_origin!W2913</f>
        <v>0</v>
      </c>
      <c r="AM581" s="5">
        <f>data_origin!X2913</f>
        <v>0</v>
      </c>
      <c r="AN581" s="5">
        <f>data_origin!Y2913</f>
        <v>0</v>
      </c>
      <c r="AO581" s="5">
        <f>data_origin!Z2913</f>
        <v>0</v>
      </c>
      <c r="AP581" s="5">
        <f>data_origin!AA2913</f>
        <v>0</v>
      </c>
      <c r="AQ581" s="9">
        <f t="shared" si="71"/>
        <v>0</v>
      </c>
      <c r="AV581" t="s">
        <v>87</v>
      </c>
      <c r="AW581" s="5">
        <f>data_origin!T3627</f>
        <v>0</v>
      </c>
      <c r="AX581" s="5">
        <f>data_origin!U3627</f>
        <v>0</v>
      </c>
      <c r="AY581" s="5">
        <f>data_origin!V3627</f>
        <v>0</v>
      </c>
      <c r="AZ581" s="5">
        <f>data_origin!W3627</f>
        <v>0</v>
      </c>
      <c r="BA581" s="5">
        <f>data_origin!X3627</f>
        <v>0</v>
      </c>
      <c r="BB581" s="5">
        <f>data_origin!Y3627</f>
        <v>0</v>
      </c>
      <c r="BC581" s="5">
        <f>data_origin!Z3627</f>
        <v>0</v>
      </c>
      <c r="BD581" s="5">
        <f>data_origin!AA3627</f>
        <v>0</v>
      </c>
      <c r="BE581" s="9">
        <f t="shared" si="72"/>
        <v>0</v>
      </c>
    </row>
    <row r="582" spans="4:57" x14ac:dyDescent="0.25">
      <c r="D582" t="s">
        <v>88</v>
      </c>
      <c r="E582" s="38">
        <f t="shared" si="69"/>
        <v>0</v>
      </c>
      <c r="F582" s="38">
        <f t="shared" si="69"/>
        <v>0</v>
      </c>
      <c r="G582" s="38">
        <f t="shared" si="69"/>
        <v>0</v>
      </c>
      <c r="H582" s="38">
        <f t="shared" si="68"/>
        <v>0</v>
      </c>
      <c r="I582" s="38">
        <f t="shared" si="68"/>
        <v>0</v>
      </c>
      <c r="J582" s="38">
        <f t="shared" si="68"/>
        <v>0</v>
      </c>
      <c r="K582" s="38">
        <f t="shared" si="68"/>
        <v>0</v>
      </c>
      <c r="L582" s="38">
        <f t="shared" si="68"/>
        <v>0</v>
      </c>
      <c r="M582" s="35">
        <f t="shared" si="67"/>
        <v>0</v>
      </c>
      <c r="S582" t="s">
        <v>88</v>
      </c>
      <c r="T582" s="5">
        <f>data_origin!T667</f>
        <v>0</v>
      </c>
      <c r="U582" s="5">
        <f>data_origin!U667</f>
        <v>0</v>
      </c>
      <c r="V582" s="5">
        <f>data_origin!V667</f>
        <v>0</v>
      </c>
      <c r="W582" s="5">
        <f>data_origin!W667</f>
        <v>0</v>
      </c>
      <c r="X582" s="5">
        <f>data_origin!X667</f>
        <v>0</v>
      </c>
      <c r="Y582" s="5">
        <f>data_origin!Y667</f>
        <v>0</v>
      </c>
      <c r="Z582" s="5">
        <f>data_origin!Z667</f>
        <v>0</v>
      </c>
      <c r="AA582" s="5">
        <f>data_origin!AA667</f>
        <v>0</v>
      </c>
      <c r="AB582" s="5">
        <f t="shared" si="70"/>
        <v>0</v>
      </c>
      <c r="AH582" t="s">
        <v>88</v>
      </c>
      <c r="AI582" s="5">
        <f>data_origin!T2914</f>
        <v>0</v>
      </c>
      <c r="AJ582" s="5">
        <f>data_origin!U2914</f>
        <v>0</v>
      </c>
      <c r="AK582" s="5">
        <f>data_origin!V2914</f>
        <v>3.375</v>
      </c>
      <c r="AL582" s="5">
        <f>data_origin!W2914</f>
        <v>2.5</v>
      </c>
      <c r="AM582" s="5">
        <f>data_origin!X2914</f>
        <v>0</v>
      </c>
      <c r="AN582" s="5">
        <f>data_origin!Y2914</f>
        <v>0</v>
      </c>
      <c r="AO582" s="5">
        <f>data_origin!Z2914</f>
        <v>0</v>
      </c>
      <c r="AP582" s="5">
        <f>data_origin!AA2914</f>
        <v>0</v>
      </c>
      <c r="AQ582" s="9">
        <f t="shared" si="71"/>
        <v>5.875</v>
      </c>
      <c r="AV582" t="s">
        <v>88</v>
      </c>
      <c r="AW582" s="5">
        <f>data_origin!T3628</f>
        <v>0</v>
      </c>
      <c r="AX582" s="5">
        <f>data_origin!U3628</f>
        <v>0</v>
      </c>
      <c r="AY582" s="5">
        <f>data_origin!V3628</f>
        <v>1.5</v>
      </c>
      <c r="AZ582" s="5">
        <f>data_origin!W3628</f>
        <v>0</v>
      </c>
      <c r="BA582" s="5">
        <f>data_origin!X3628</f>
        <v>0</v>
      </c>
      <c r="BB582" s="5">
        <f>data_origin!Y3628</f>
        <v>1</v>
      </c>
      <c r="BC582" s="5">
        <f>data_origin!Z3628</f>
        <v>0</v>
      </c>
      <c r="BD582" s="5">
        <f>data_origin!AA3628</f>
        <v>0</v>
      </c>
      <c r="BE582" s="9">
        <f t="shared" si="72"/>
        <v>2.5</v>
      </c>
    </row>
    <row r="583" spans="4:57" x14ac:dyDescent="0.25">
      <c r="D583" t="s">
        <v>89</v>
      </c>
      <c r="E583" s="38">
        <f t="shared" si="69"/>
        <v>0</v>
      </c>
      <c r="F583" s="38">
        <f t="shared" si="69"/>
        <v>0</v>
      </c>
      <c r="G583" s="38">
        <f t="shared" si="69"/>
        <v>0</v>
      </c>
      <c r="H583" s="38">
        <f t="shared" si="68"/>
        <v>0</v>
      </c>
      <c r="I583" s="38">
        <f t="shared" si="68"/>
        <v>0</v>
      </c>
      <c r="J583" s="38">
        <f t="shared" si="68"/>
        <v>0</v>
      </c>
      <c r="K583" s="38">
        <f t="shared" si="68"/>
        <v>0</v>
      </c>
      <c r="L583" s="38">
        <f t="shared" si="68"/>
        <v>0</v>
      </c>
      <c r="M583" s="35">
        <f t="shared" si="67"/>
        <v>0</v>
      </c>
      <c r="S583" t="s">
        <v>89</v>
      </c>
      <c r="T583" s="5">
        <f>data_origin!T668</f>
        <v>0</v>
      </c>
      <c r="U583" s="5">
        <f>data_origin!U668</f>
        <v>0</v>
      </c>
      <c r="V583" s="5">
        <f>data_origin!V668</f>
        <v>0</v>
      </c>
      <c r="W583" s="5">
        <f>data_origin!W668</f>
        <v>0</v>
      </c>
      <c r="X583" s="5">
        <f>data_origin!X668</f>
        <v>0</v>
      </c>
      <c r="Y583" s="5">
        <f>data_origin!Y668</f>
        <v>0</v>
      </c>
      <c r="Z583" s="5">
        <f>data_origin!Z668</f>
        <v>0</v>
      </c>
      <c r="AA583" s="5">
        <f>data_origin!AA668</f>
        <v>0</v>
      </c>
      <c r="AB583" s="5">
        <f t="shared" si="70"/>
        <v>0</v>
      </c>
      <c r="AH583" t="s">
        <v>89</v>
      </c>
      <c r="AI583" s="5">
        <f>data_origin!T2915</f>
        <v>0</v>
      </c>
      <c r="AJ583" s="5">
        <f>data_origin!U2915</f>
        <v>0</v>
      </c>
      <c r="AK583" s="5">
        <f>data_origin!V2915</f>
        <v>0</v>
      </c>
      <c r="AL583" s="5">
        <f>data_origin!W2915</f>
        <v>0</v>
      </c>
      <c r="AM583" s="5">
        <f>data_origin!X2915</f>
        <v>0</v>
      </c>
      <c r="AN583" s="5">
        <f>data_origin!Y2915</f>
        <v>0</v>
      </c>
      <c r="AO583" s="5">
        <f>data_origin!Z2915</f>
        <v>0</v>
      </c>
      <c r="AP583" s="5">
        <f>data_origin!AA2915</f>
        <v>0</v>
      </c>
      <c r="AQ583" s="9">
        <f t="shared" si="71"/>
        <v>0</v>
      </c>
      <c r="AV583" t="s">
        <v>89</v>
      </c>
      <c r="AW583" s="5">
        <f>data_origin!T3629</f>
        <v>0</v>
      </c>
      <c r="AX583" s="5">
        <f>data_origin!U3629</f>
        <v>0</v>
      </c>
      <c r="AY583" s="5">
        <f>data_origin!V3629</f>
        <v>1.5</v>
      </c>
      <c r="AZ583" s="5">
        <f>data_origin!W3629</f>
        <v>0</v>
      </c>
      <c r="BA583" s="5">
        <f>data_origin!X3629</f>
        <v>0</v>
      </c>
      <c r="BB583" s="5">
        <f>data_origin!Y3629</f>
        <v>0</v>
      </c>
      <c r="BC583" s="5">
        <f>data_origin!Z3629</f>
        <v>0</v>
      </c>
      <c r="BD583" s="5">
        <f>data_origin!AA3629</f>
        <v>0</v>
      </c>
      <c r="BE583" s="9">
        <f t="shared" si="72"/>
        <v>1.5</v>
      </c>
    </row>
    <row r="584" spans="4:57" x14ac:dyDescent="0.25">
      <c r="D584" t="s">
        <v>90</v>
      </c>
      <c r="E584" s="38">
        <f t="shared" si="69"/>
        <v>0</v>
      </c>
      <c r="F584" s="38">
        <f t="shared" si="69"/>
        <v>0</v>
      </c>
      <c r="G584" s="38">
        <f t="shared" si="69"/>
        <v>0</v>
      </c>
      <c r="H584" s="38">
        <f t="shared" si="68"/>
        <v>0</v>
      </c>
      <c r="I584" s="38">
        <f t="shared" si="68"/>
        <v>0</v>
      </c>
      <c r="J584" s="38">
        <f t="shared" si="68"/>
        <v>0</v>
      </c>
      <c r="K584" s="38">
        <f t="shared" si="68"/>
        <v>0</v>
      </c>
      <c r="L584" s="38">
        <f t="shared" si="68"/>
        <v>0</v>
      </c>
      <c r="M584" s="35">
        <f t="shared" si="67"/>
        <v>0</v>
      </c>
      <c r="S584" t="s">
        <v>90</v>
      </c>
      <c r="T584" s="5">
        <f>data_origin!T669</f>
        <v>0</v>
      </c>
      <c r="U584" s="5">
        <f>data_origin!U669</f>
        <v>0</v>
      </c>
      <c r="V584" s="5">
        <f>data_origin!V669</f>
        <v>0</v>
      </c>
      <c r="W584" s="5">
        <f>data_origin!W669</f>
        <v>0</v>
      </c>
      <c r="X584" s="5">
        <f>data_origin!X669</f>
        <v>0</v>
      </c>
      <c r="Y584" s="5">
        <f>data_origin!Y669</f>
        <v>0</v>
      </c>
      <c r="Z584" s="5">
        <f>data_origin!Z669</f>
        <v>0</v>
      </c>
      <c r="AA584" s="5">
        <f>data_origin!AA669</f>
        <v>0</v>
      </c>
      <c r="AB584" s="5">
        <f t="shared" si="70"/>
        <v>0</v>
      </c>
      <c r="AH584" t="s">
        <v>90</v>
      </c>
      <c r="AI584" s="5">
        <f>data_origin!T2916</f>
        <v>0</v>
      </c>
      <c r="AJ584" s="5">
        <f>data_origin!U2916</f>
        <v>0</v>
      </c>
      <c r="AK584" s="5">
        <f>data_origin!V2916</f>
        <v>0</v>
      </c>
      <c r="AL584" s="5">
        <f>data_origin!W2916</f>
        <v>0</v>
      </c>
      <c r="AM584" s="5">
        <f>data_origin!X2916</f>
        <v>0</v>
      </c>
      <c r="AN584" s="5">
        <f>data_origin!Y2916</f>
        <v>0</v>
      </c>
      <c r="AO584" s="5">
        <f>data_origin!Z2916</f>
        <v>0</v>
      </c>
      <c r="AP584" s="5">
        <f>data_origin!AA2916</f>
        <v>0</v>
      </c>
      <c r="AQ584" s="9">
        <f t="shared" si="71"/>
        <v>0</v>
      </c>
      <c r="AV584" t="s">
        <v>90</v>
      </c>
      <c r="AW584" s="5">
        <f>data_origin!T3630</f>
        <v>0</v>
      </c>
      <c r="AX584" s="5">
        <f>data_origin!U3630</f>
        <v>0</v>
      </c>
      <c r="AY584" s="5">
        <f>data_origin!V3630</f>
        <v>0</v>
      </c>
      <c r="AZ584" s="5">
        <f>data_origin!W3630</f>
        <v>0</v>
      </c>
      <c r="BA584" s="5">
        <f>data_origin!X3630</f>
        <v>0</v>
      </c>
      <c r="BB584" s="5">
        <f>data_origin!Y3630</f>
        <v>0</v>
      </c>
      <c r="BC584" s="5">
        <f>data_origin!Z3630</f>
        <v>0</v>
      </c>
      <c r="BD584" s="5">
        <f>data_origin!AA3630</f>
        <v>0</v>
      </c>
      <c r="BE584" s="9">
        <f t="shared" si="72"/>
        <v>0</v>
      </c>
    </row>
    <row r="585" spans="4:57" x14ac:dyDescent="0.25">
      <c r="D585" t="s">
        <v>91</v>
      </c>
      <c r="E585" s="38">
        <f t="shared" si="69"/>
        <v>0</v>
      </c>
      <c r="F585" s="38">
        <f t="shared" si="69"/>
        <v>0</v>
      </c>
      <c r="G585" s="38">
        <f t="shared" si="69"/>
        <v>0</v>
      </c>
      <c r="H585" s="38">
        <f t="shared" si="68"/>
        <v>0</v>
      </c>
      <c r="I585" s="38">
        <f t="shared" si="68"/>
        <v>0</v>
      </c>
      <c r="J585" s="38">
        <f t="shared" si="68"/>
        <v>0</v>
      </c>
      <c r="K585" s="38">
        <f t="shared" si="68"/>
        <v>0</v>
      </c>
      <c r="L585" s="38">
        <f t="shared" si="68"/>
        <v>0</v>
      </c>
      <c r="M585" s="35">
        <f t="shared" ref="M585:M642" si="73">SUM(E585:L585)</f>
        <v>0</v>
      </c>
      <c r="S585" t="s">
        <v>91</v>
      </c>
      <c r="T585" s="5">
        <f>data_origin!T670</f>
        <v>0</v>
      </c>
      <c r="U585" s="5">
        <f>data_origin!U670</f>
        <v>0</v>
      </c>
      <c r="V585" s="5">
        <f>data_origin!V670</f>
        <v>0</v>
      </c>
      <c r="W585" s="5">
        <f>data_origin!W670</f>
        <v>0</v>
      </c>
      <c r="X585" s="5">
        <f>data_origin!X670</f>
        <v>0</v>
      </c>
      <c r="Y585" s="5">
        <f>data_origin!Y670</f>
        <v>0</v>
      </c>
      <c r="Z585" s="5">
        <f>data_origin!Z670</f>
        <v>0</v>
      </c>
      <c r="AA585" s="5">
        <f>data_origin!AA670</f>
        <v>0</v>
      </c>
      <c r="AB585" s="5">
        <f t="shared" si="70"/>
        <v>0</v>
      </c>
      <c r="AH585" t="s">
        <v>91</v>
      </c>
      <c r="AI585" s="5">
        <f>data_origin!T2917</f>
        <v>0</v>
      </c>
      <c r="AJ585" s="5">
        <f>data_origin!U2917</f>
        <v>0</v>
      </c>
      <c r="AK585" s="5">
        <f>data_origin!V2917</f>
        <v>0</v>
      </c>
      <c r="AL585" s="5">
        <f>data_origin!W2917</f>
        <v>0</v>
      </c>
      <c r="AM585" s="5">
        <f>data_origin!X2917</f>
        <v>1.25</v>
      </c>
      <c r="AN585" s="5">
        <f>data_origin!Y2917</f>
        <v>0</v>
      </c>
      <c r="AO585" s="5">
        <f>data_origin!Z2917</f>
        <v>0</v>
      </c>
      <c r="AP585" s="5">
        <f>data_origin!AA2917</f>
        <v>0</v>
      </c>
      <c r="AQ585" s="9">
        <f t="shared" si="71"/>
        <v>1.25</v>
      </c>
      <c r="AV585" t="s">
        <v>91</v>
      </c>
      <c r="AW585" s="5">
        <f>data_origin!T3631</f>
        <v>0</v>
      </c>
      <c r="AX585" s="5">
        <f>data_origin!U3631</f>
        <v>0</v>
      </c>
      <c r="AY585" s="5">
        <f>data_origin!V3631</f>
        <v>0</v>
      </c>
      <c r="AZ585" s="5">
        <f>data_origin!W3631</f>
        <v>0</v>
      </c>
      <c r="BA585" s="5">
        <f>data_origin!X3631</f>
        <v>0</v>
      </c>
      <c r="BB585" s="5">
        <f>data_origin!Y3631</f>
        <v>0</v>
      </c>
      <c r="BC585" s="5">
        <f>data_origin!Z3631</f>
        <v>0</v>
      </c>
      <c r="BD585" s="5">
        <f>data_origin!AA3631</f>
        <v>0</v>
      </c>
      <c r="BE585" s="9">
        <f t="shared" si="72"/>
        <v>0</v>
      </c>
    </row>
    <row r="586" spans="4:57" x14ac:dyDescent="0.25">
      <c r="D586" t="s">
        <v>92</v>
      </c>
      <c r="E586" s="38">
        <f t="shared" si="69"/>
        <v>0</v>
      </c>
      <c r="F586" s="38">
        <f t="shared" si="69"/>
        <v>0</v>
      </c>
      <c r="G586" s="38">
        <f t="shared" si="69"/>
        <v>0</v>
      </c>
      <c r="H586" s="38">
        <f t="shared" si="68"/>
        <v>0</v>
      </c>
      <c r="I586" s="38">
        <f t="shared" si="68"/>
        <v>0</v>
      </c>
      <c r="J586" s="38">
        <f t="shared" si="68"/>
        <v>0</v>
      </c>
      <c r="K586" s="38">
        <f t="shared" si="68"/>
        <v>0</v>
      </c>
      <c r="L586" s="38">
        <f t="shared" si="68"/>
        <v>0</v>
      </c>
      <c r="M586" s="35">
        <f t="shared" si="73"/>
        <v>0</v>
      </c>
      <c r="S586" t="s">
        <v>92</v>
      </c>
      <c r="T586" s="5">
        <f>data_origin!T671</f>
        <v>0</v>
      </c>
      <c r="U586" s="5">
        <f>data_origin!U671</f>
        <v>0</v>
      </c>
      <c r="V586" s="5">
        <f>data_origin!V671</f>
        <v>0</v>
      </c>
      <c r="W586" s="5">
        <f>data_origin!W671</f>
        <v>0</v>
      </c>
      <c r="X586" s="5">
        <f>data_origin!X671</f>
        <v>0</v>
      </c>
      <c r="Y586" s="5">
        <f>data_origin!Y671</f>
        <v>0</v>
      </c>
      <c r="Z586" s="5">
        <f>data_origin!Z671</f>
        <v>0</v>
      </c>
      <c r="AA586" s="5">
        <f>data_origin!AA671</f>
        <v>0</v>
      </c>
      <c r="AB586" s="5">
        <f t="shared" si="70"/>
        <v>0</v>
      </c>
      <c r="AH586" t="s">
        <v>92</v>
      </c>
      <c r="AI586" s="5">
        <f>data_origin!T2918</f>
        <v>0</v>
      </c>
      <c r="AJ586" s="5">
        <f>data_origin!U2918</f>
        <v>0</v>
      </c>
      <c r="AK586" s="5">
        <f>data_origin!V2918</f>
        <v>0</v>
      </c>
      <c r="AL586" s="5">
        <f>data_origin!W2918</f>
        <v>0</v>
      </c>
      <c r="AM586" s="5">
        <f>data_origin!X2918</f>
        <v>0</v>
      </c>
      <c r="AN586" s="5">
        <f>data_origin!Y2918</f>
        <v>0</v>
      </c>
      <c r="AO586" s="5">
        <f>data_origin!Z2918</f>
        <v>0</v>
      </c>
      <c r="AP586" s="5">
        <f>data_origin!AA2918</f>
        <v>0</v>
      </c>
      <c r="AQ586" s="9">
        <f t="shared" si="71"/>
        <v>0</v>
      </c>
      <c r="AV586" t="s">
        <v>92</v>
      </c>
      <c r="AW586" s="5">
        <f>data_origin!T3632</f>
        <v>0</v>
      </c>
      <c r="AX586" s="5">
        <f>data_origin!U3632</f>
        <v>0</v>
      </c>
      <c r="AY586" s="5">
        <f>data_origin!V3632</f>
        <v>0</v>
      </c>
      <c r="AZ586" s="5">
        <f>data_origin!W3632</f>
        <v>0</v>
      </c>
      <c r="BA586" s="5">
        <f>data_origin!X3632</f>
        <v>0</v>
      </c>
      <c r="BB586" s="5">
        <f>data_origin!Y3632</f>
        <v>0</v>
      </c>
      <c r="BC586" s="5">
        <f>data_origin!Z3632</f>
        <v>0</v>
      </c>
      <c r="BD586" s="5">
        <f>data_origin!AA3632</f>
        <v>0</v>
      </c>
      <c r="BE586" s="9">
        <f t="shared" si="72"/>
        <v>0</v>
      </c>
    </row>
    <row r="587" spans="4:57" x14ac:dyDescent="0.25">
      <c r="D587" t="s">
        <v>93</v>
      </c>
      <c r="E587" s="38">
        <f t="shared" si="69"/>
        <v>0</v>
      </c>
      <c r="F587" s="38">
        <f t="shared" si="69"/>
        <v>0</v>
      </c>
      <c r="G587" s="38">
        <f t="shared" si="69"/>
        <v>0</v>
      </c>
      <c r="H587" s="38">
        <f t="shared" si="68"/>
        <v>0</v>
      </c>
      <c r="I587" s="38">
        <f t="shared" si="68"/>
        <v>0</v>
      </c>
      <c r="J587" s="38">
        <f t="shared" si="68"/>
        <v>0</v>
      </c>
      <c r="K587" s="38">
        <f t="shared" si="68"/>
        <v>0</v>
      </c>
      <c r="L587" s="38">
        <f t="shared" si="68"/>
        <v>0</v>
      </c>
      <c r="M587" s="35">
        <f t="shared" si="73"/>
        <v>0</v>
      </c>
      <c r="S587" t="s">
        <v>93</v>
      </c>
      <c r="T587" s="5">
        <f>data_origin!T672</f>
        <v>0</v>
      </c>
      <c r="U587" s="5">
        <f>data_origin!U672</f>
        <v>0</v>
      </c>
      <c r="V587" s="5">
        <f>data_origin!V672</f>
        <v>0</v>
      </c>
      <c r="W587" s="5">
        <f>data_origin!W672</f>
        <v>0</v>
      </c>
      <c r="X587" s="5">
        <f>data_origin!X672</f>
        <v>0</v>
      </c>
      <c r="Y587" s="5">
        <f>data_origin!Y672</f>
        <v>0</v>
      </c>
      <c r="Z587" s="5">
        <f>data_origin!Z672</f>
        <v>0</v>
      </c>
      <c r="AA587" s="5">
        <f>data_origin!AA672</f>
        <v>0</v>
      </c>
      <c r="AB587" s="5">
        <f t="shared" si="70"/>
        <v>0</v>
      </c>
      <c r="AH587" t="s">
        <v>93</v>
      </c>
      <c r="AI587" s="5">
        <f>data_origin!T2919</f>
        <v>0</v>
      </c>
      <c r="AJ587" s="5">
        <f>data_origin!U2919</f>
        <v>0</v>
      </c>
      <c r="AK587" s="5">
        <f>data_origin!V2919</f>
        <v>0</v>
      </c>
      <c r="AL587" s="5">
        <f>data_origin!W2919</f>
        <v>0</v>
      </c>
      <c r="AM587" s="5">
        <f>data_origin!X2919</f>
        <v>0</v>
      </c>
      <c r="AN587" s="5">
        <f>data_origin!Y2919</f>
        <v>0</v>
      </c>
      <c r="AO587" s="5">
        <f>data_origin!Z2919</f>
        <v>0</v>
      </c>
      <c r="AP587" s="5">
        <f>data_origin!AA2919</f>
        <v>0</v>
      </c>
      <c r="AQ587" s="9">
        <f t="shared" si="71"/>
        <v>0</v>
      </c>
      <c r="AV587" t="s">
        <v>93</v>
      </c>
      <c r="AW587" s="5">
        <f>data_origin!T3633</f>
        <v>0</v>
      </c>
      <c r="AX587" s="5">
        <f>data_origin!U3633</f>
        <v>0</v>
      </c>
      <c r="AY587" s="5">
        <f>data_origin!V3633</f>
        <v>0</v>
      </c>
      <c r="AZ587" s="5">
        <f>data_origin!W3633</f>
        <v>0</v>
      </c>
      <c r="BA587" s="5">
        <f>data_origin!X3633</f>
        <v>0</v>
      </c>
      <c r="BB587" s="5">
        <f>data_origin!Y3633</f>
        <v>0</v>
      </c>
      <c r="BC587" s="5">
        <f>data_origin!Z3633</f>
        <v>0</v>
      </c>
      <c r="BD587" s="5">
        <f>data_origin!AA3633</f>
        <v>0</v>
      </c>
      <c r="BE587" s="9">
        <f t="shared" si="72"/>
        <v>0</v>
      </c>
    </row>
    <row r="588" spans="4:57" x14ac:dyDescent="0.25">
      <c r="D588" t="s">
        <v>94</v>
      </c>
      <c r="E588" s="38">
        <f t="shared" si="69"/>
        <v>0</v>
      </c>
      <c r="F588" s="38">
        <f t="shared" si="69"/>
        <v>0</v>
      </c>
      <c r="G588" s="38">
        <f t="shared" si="69"/>
        <v>0</v>
      </c>
      <c r="H588" s="38">
        <f t="shared" si="68"/>
        <v>0</v>
      </c>
      <c r="I588" s="38">
        <f t="shared" si="68"/>
        <v>0</v>
      </c>
      <c r="J588" s="38">
        <f t="shared" si="68"/>
        <v>0</v>
      </c>
      <c r="K588" s="38">
        <f t="shared" si="68"/>
        <v>0</v>
      </c>
      <c r="L588" s="38">
        <f t="shared" si="68"/>
        <v>0</v>
      </c>
      <c r="M588" s="35">
        <f t="shared" si="73"/>
        <v>0</v>
      </c>
      <c r="S588" t="s">
        <v>94</v>
      </c>
      <c r="T588" s="5">
        <f>data_origin!T673</f>
        <v>0</v>
      </c>
      <c r="U588" s="5">
        <f>data_origin!U673</f>
        <v>0</v>
      </c>
      <c r="V588" s="5">
        <f>data_origin!V673</f>
        <v>0</v>
      </c>
      <c r="W588" s="5">
        <f>data_origin!W673</f>
        <v>0</v>
      </c>
      <c r="X588" s="5">
        <f>data_origin!X673</f>
        <v>0</v>
      </c>
      <c r="Y588" s="5">
        <f>data_origin!Y673</f>
        <v>0</v>
      </c>
      <c r="Z588" s="5">
        <f>data_origin!Z673</f>
        <v>0</v>
      </c>
      <c r="AA588" s="5">
        <f>data_origin!AA673</f>
        <v>0</v>
      </c>
      <c r="AB588" s="5">
        <f t="shared" si="70"/>
        <v>0</v>
      </c>
      <c r="AH588" t="s">
        <v>94</v>
      </c>
      <c r="AI588" s="5">
        <f>data_origin!T2920</f>
        <v>0</v>
      </c>
      <c r="AJ588" s="5">
        <f>data_origin!U2920</f>
        <v>0</v>
      </c>
      <c r="AK588" s="5">
        <f>data_origin!V2920</f>
        <v>0</v>
      </c>
      <c r="AL588" s="5">
        <f>data_origin!W2920</f>
        <v>0</v>
      </c>
      <c r="AM588" s="5">
        <f>data_origin!X2920</f>
        <v>0</v>
      </c>
      <c r="AN588" s="5">
        <f>data_origin!Y2920</f>
        <v>0</v>
      </c>
      <c r="AO588" s="5">
        <f>data_origin!Z2920</f>
        <v>0</v>
      </c>
      <c r="AP588" s="5">
        <f>data_origin!AA2920</f>
        <v>0</v>
      </c>
      <c r="AQ588" s="9">
        <f t="shared" si="71"/>
        <v>0</v>
      </c>
      <c r="AV588" t="s">
        <v>94</v>
      </c>
      <c r="AW588" s="5">
        <f>data_origin!T3634</f>
        <v>0</v>
      </c>
      <c r="AX588" s="5">
        <f>data_origin!U3634</f>
        <v>0</v>
      </c>
      <c r="AY588" s="5">
        <f>data_origin!V3634</f>
        <v>0</v>
      </c>
      <c r="AZ588" s="5">
        <f>data_origin!W3634</f>
        <v>0</v>
      </c>
      <c r="BA588" s="5">
        <f>data_origin!X3634</f>
        <v>0</v>
      </c>
      <c r="BB588" s="5">
        <f>data_origin!Y3634</f>
        <v>0</v>
      </c>
      <c r="BC588" s="5">
        <f>data_origin!Z3634</f>
        <v>0</v>
      </c>
      <c r="BD588" s="5">
        <f>data_origin!AA3634</f>
        <v>0</v>
      </c>
      <c r="BE588" s="9">
        <f t="shared" si="72"/>
        <v>0</v>
      </c>
    </row>
    <row r="589" spans="4:57" x14ac:dyDescent="0.25">
      <c r="D589" t="s">
        <v>95</v>
      </c>
      <c r="E589" s="38">
        <f t="shared" si="69"/>
        <v>0</v>
      </c>
      <c r="F589" s="38">
        <f t="shared" si="69"/>
        <v>0</v>
      </c>
      <c r="G589" s="38">
        <f t="shared" si="69"/>
        <v>0</v>
      </c>
      <c r="H589" s="38">
        <f t="shared" si="68"/>
        <v>0</v>
      </c>
      <c r="I589" s="38">
        <f t="shared" si="68"/>
        <v>0</v>
      </c>
      <c r="J589" s="38">
        <f t="shared" si="68"/>
        <v>0</v>
      </c>
      <c r="K589" s="38">
        <f t="shared" si="68"/>
        <v>0</v>
      </c>
      <c r="L589" s="38">
        <f t="shared" si="68"/>
        <v>0</v>
      </c>
      <c r="M589" s="35">
        <f t="shared" si="73"/>
        <v>0</v>
      </c>
      <c r="S589" t="s">
        <v>95</v>
      </c>
      <c r="T589" s="5">
        <f>data_origin!T674</f>
        <v>0</v>
      </c>
      <c r="U589" s="5">
        <f>data_origin!U674</f>
        <v>0</v>
      </c>
      <c r="V589" s="5">
        <f>data_origin!V674</f>
        <v>0</v>
      </c>
      <c r="W589" s="5">
        <f>data_origin!W674</f>
        <v>0</v>
      </c>
      <c r="X589" s="5">
        <f>data_origin!X674</f>
        <v>0</v>
      </c>
      <c r="Y589" s="5">
        <f>data_origin!Y674</f>
        <v>0</v>
      </c>
      <c r="Z589" s="5">
        <f>data_origin!Z674</f>
        <v>0</v>
      </c>
      <c r="AA589" s="5">
        <f>data_origin!AA674</f>
        <v>0</v>
      </c>
      <c r="AB589" s="5">
        <f t="shared" si="70"/>
        <v>0</v>
      </c>
      <c r="AH589" t="s">
        <v>95</v>
      </c>
      <c r="AI589" s="5">
        <f>data_origin!T2921</f>
        <v>0</v>
      </c>
      <c r="AJ589" s="5">
        <f>data_origin!U2921</f>
        <v>0</v>
      </c>
      <c r="AK589" s="5">
        <f>data_origin!V2921</f>
        <v>0</v>
      </c>
      <c r="AL589" s="5">
        <f>data_origin!W2921</f>
        <v>0</v>
      </c>
      <c r="AM589" s="5">
        <f>data_origin!X2921</f>
        <v>0</v>
      </c>
      <c r="AN589" s="5">
        <f>data_origin!Y2921</f>
        <v>0</v>
      </c>
      <c r="AO589" s="5">
        <f>data_origin!Z2921</f>
        <v>0</v>
      </c>
      <c r="AP589" s="5">
        <f>data_origin!AA2921</f>
        <v>0</v>
      </c>
      <c r="AQ589" s="9">
        <f t="shared" si="71"/>
        <v>0</v>
      </c>
      <c r="AV589" t="s">
        <v>95</v>
      </c>
      <c r="AW589" s="5">
        <f>data_origin!T3635</f>
        <v>0</v>
      </c>
      <c r="AX589" s="5">
        <f>data_origin!U3635</f>
        <v>0</v>
      </c>
      <c r="AY589" s="5">
        <f>data_origin!V3635</f>
        <v>0</v>
      </c>
      <c r="AZ589" s="5">
        <f>data_origin!W3635</f>
        <v>0</v>
      </c>
      <c r="BA589" s="5">
        <f>data_origin!X3635</f>
        <v>0</v>
      </c>
      <c r="BB589" s="5">
        <f>data_origin!Y3635</f>
        <v>0</v>
      </c>
      <c r="BC589" s="5">
        <f>data_origin!Z3635</f>
        <v>0</v>
      </c>
      <c r="BD589" s="5">
        <f>data_origin!AA3635</f>
        <v>0</v>
      </c>
      <c r="BE589" s="9">
        <f t="shared" si="72"/>
        <v>0</v>
      </c>
    </row>
    <row r="590" spans="4:57" x14ac:dyDescent="0.25">
      <c r="D590" t="s">
        <v>96</v>
      </c>
      <c r="E590" s="38">
        <f t="shared" si="69"/>
        <v>0</v>
      </c>
      <c r="F590" s="38">
        <f t="shared" si="69"/>
        <v>0</v>
      </c>
      <c r="G590" s="38">
        <f t="shared" si="69"/>
        <v>0</v>
      </c>
      <c r="H590" s="38">
        <f t="shared" si="68"/>
        <v>0</v>
      </c>
      <c r="I590" s="38">
        <f t="shared" si="68"/>
        <v>0</v>
      </c>
      <c r="J590" s="38">
        <f t="shared" ref="J590:L653" si="74">Y590+AN326+IFERROR((Y590/SUM(Y$3:Y$992)*AN$630),0)+IFERROR((Y590/SUM(Y$135:Y$332,Y$465:Y$662,Y$795:Y$992)*AN$732),0)</f>
        <v>0</v>
      </c>
      <c r="K590" s="38">
        <f t="shared" si="74"/>
        <v>0</v>
      </c>
      <c r="L590" s="38">
        <f t="shared" si="74"/>
        <v>0</v>
      </c>
      <c r="M590" s="35">
        <f t="shared" si="73"/>
        <v>0</v>
      </c>
      <c r="S590" t="s">
        <v>96</v>
      </c>
      <c r="T590" s="5">
        <f>data_origin!T675</f>
        <v>0</v>
      </c>
      <c r="U590" s="5">
        <f>data_origin!U675</f>
        <v>0</v>
      </c>
      <c r="V590" s="5">
        <f>data_origin!V675</f>
        <v>0</v>
      </c>
      <c r="W590" s="5">
        <f>data_origin!W675</f>
        <v>0</v>
      </c>
      <c r="X590" s="5">
        <f>data_origin!X675</f>
        <v>0</v>
      </c>
      <c r="Y590" s="5">
        <f>data_origin!Y675</f>
        <v>0</v>
      </c>
      <c r="Z590" s="5">
        <f>data_origin!Z675</f>
        <v>0</v>
      </c>
      <c r="AA590" s="5">
        <f>data_origin!AA675</f>
        <v>0</v>
      </c>
      <c r="AB590" s="5">
        <f t="shared" si="70"/>
        <v>0</v>
      </c>
      <c r="AH590" t="s">
        <v>96</v>
      </c>
      <c r="AI590" s="5">
        <f>data_origin!T2922</f>
        <v>0</v>
      </c>
      <c r="AJ590" s="5">
        <f>data_origin!U2922</f>
        <v>0</v>
      </c>
      <c r="AK590" s="5">
        <f>data_origin!V2922</f>
        <v>0</v>
      </c>
      <c r="AL590" s="5">
        <f>data_origin!W2922</f>
        <v>0</v>
      </c>
      <c r="AM590" s="5">
        <f>data_origin!X2922</f>
        <v>0</v>
      </c>
      <c r="AN590" s="5">
        <f>data_origin!Y2922</f>
        <v>0</v>
      </c>
      <c r="AO590" s="5">
        <f>data_origin!Z2922</f>
        <v>0</v>
      </c>
      <c r="AP590" s="5">
        <f>data_origin!AA2922</f>
        <v>0</v>
      </c>
      <c r="AQ590" s="9">
        <f t="shared" si="71"/>
        <v>0</v>
      </c>
      <c r="AV590" t="s">
        <v>96</v>
      </c>
      <c r="AW590" s="5">
        <f>data_origin!T3636</f>
        <v>0</v>
      </c>
      <c r="AX590" s="5">
        <f>data_origin!U3636</f>
        <v>0</v>
      </c>
      <c r="AY590" s="5">
        <f>data_origin!V3636</f>
        <v>0</v>
      </c>
      <c r="AZ590" s="5">
        <f>data_origin!W3636</f>
        <v>0</v>
      </c>
      <c r="BA590" s="5">
        <f>data_origin!X3636</f>
        <v>0</v>
      </c>
      <c r="BB590" s="5">
        <f>data_origin!Y3636</f>
        <v>0</v>
      </c>
      <c r="BC590" s="5">
        <f>data_origin!Z3636</f>
        <v>0</v>
      </c>
      <c r="BD590" s="5">
        <f>data_origin!AA3636</f>
        <v>0</v>
      </c>
      <c r="BE590" s="9">
        <f t="shared" si="72"/>
        <v>0</v>
      </c>
    </row>
    <row r="591" spans="4:57" x14ac:dyDescent="0.25">
      <c r="D591" t="s">
        <v>97</v>
      </c>
      <c r="E591" s="38">
        <f t="shared" si="69"/>
        <v>0</v>
      </c>
      <c r="F591" s="38">
        <f t="shared" si="69"/>
        <v>0</v>
      </c>
      <c r="G591" s="38">
        <f t="shared" si="69"/>
        <v>0</v>
      </c>
      <c r="H591" s="38">
        <f t="shared" si="69"/>
        <v>0</v>
      </c>
      <c r="I591" s="38">
        <f t="shared" si="69"/>
        <v>0</v>
      </c>
      <c r="J591" s="38">
        <f t="shared" si="74"/>
        <v>0</v>
      </c>
      <c r="K591" s="38">
        <f t="shared" si="74"/>
        <v>0</v>
      </c>
      <c r="L591" s="38">
        <f t="shared" si="74"/>
        <v>0</v>
      </c>
      <c r="M591" s="35">
        <f t="shared" si="73"/>
        <v>0</v>
      </c>
      <c r="S591" t="s">
        <v>97</v>
      </c>
      <c r="T591" s="5">
        <f>data_origin!T676</f>
        <v>0</v>
      </c>
      <c r="U591" s="5">
        <f>data_origin!U676</f>
        <v>0</v>
      </c>
      <c r="V591" s="5">
        <f>data_origin!V676</f>
        <v>0</v>
      </c>
      <c r="W591" s="5">
        <f>data_origin!W676</f>
        <v>0</v>
      </c>
      <c r="X591" s="5">
        <f>data_origin!X676</f>
        <v>0</v>
      </c>
      <c r="Y591" s="5">
        <f>data_origin!Y676</f>
        <v>0</v>
      </c>
      <c r="Z591" s="5">
        <f>data_origin!Z676</f>
        <v>0</v>
      </c>
      <c r="AA591" s="5">
        <f>data_origin!AA676</f>
        <v>0</v>
      </c>
      <c r="AB591" s="5">
        <f t="shared" si="70"/>
        <v>0</v>
      </c>
      <c r="AH591" t="s">
        <v>97</v>
      </c>
      <c r="AI591" s="5">
        <f>data_origin!T2923</f>
        <v>0</v>
      </c>
      <c r="AJ591" s="5">
        <f>data_origin!U2923</f>
        <v>0</v>
      </c>
      <c r="AK591" s="5">
        <f>data_origin!V2923</f>
        <v>0</v>
      </c>
      <c r="AL591" s="5">
        <f>data_origin!W2923</f>
        <v>0</v>
      </c>
      <c r="AM591" s="5">
        <f>data_origin!X2923</f>
        <v>0</v>
      </c>
      <c r="AN591" s="5">
        <f>data_origin!Y2923</f>
        <v>0</v>
      </c>
      <c r="AO591" s="5">
        <f>data_origin!Z2923</f>
        <v>0</v>
      </c>
      <c r="AP591" s="5">
        <f>data_origin!AA2923</f>
        <v>0</v>
      </c>
      <c r="AQ591" s="9">
        <f t="shared" si="71"/>
        <v>0</v>
      </c>
      <c r="AV591" t="s">
        <v>97</v>
      </c>
      <c r="AW591" s="5">
        <f>data_origin!T3637</f>
        <v>0</v>
      </c>
      <c r="AX591" s="5">
        <f>data_origin!U3637</f>
        <v>0</v>
      </c>
      <c r="AY591" s="5">
        <f>data_origin!V3637</f>
        <v>0</v>
      </c>
      <c r="AZ591" s="5">
        <f>data_origin!W3637</f>
        <v>0</v>
      </c>
      <c r="BA591" s="5">
        <f>data_origin!X3637</f>
        <v>0</v>
      </c>
      <c r="BB591" s="5">
        <f>data_origin!Y3637</f>
        <v>0</v>
      </c>
      <c r="BC591" s="5">
        <f>data_origin!Z3637</f>
        <v>0</v>
      </c>
      <c r="BD591" s="5">
        <f>data_origin!AA3637</f>
        <v>0</v>
      </c>
      <c r="BE591" s="9">
        <f t="shared" si="72"/>
        <v>0</v>
      </c>
    </row>
    <row r="592" spans="4:57" x14ac:dyDescent="0.25">
      <c r="D592" t="s">
        <v>98</v>
      </c>
      <c r="E592" s="38">
        <f t="shared" si="69"/>
        <v>0</v>
      </c>
      <c r="F592" s="38">
        <f t="shared" si="69"/>
        <v>0</v>
      </c>
      <c r="G592" s="38">
        <f t="shared" si="69"/>
        <v>3.0235225693846384</v>
      </c>
      <c r="H592" s="38">
        <f t="shared" si="69"/>
        <v>1.0124788845068413</v>
      </c>
      <c r="I592" s="38">
        <f t="shared" si="69"/>
        <v>1.0178137577681312</v>
      </c>
      <c r="J592" s="38">
        <f t="shared" si="74"/>
        <v>0</v>
      </c>
      <c r="K592" s="38">
        <f t="shared" si="74"/>
        <v>0</v>
      </c>
      <c r="L592" s="38">
        <f t="shared" si="74"/>
        <v>0</v>
      </c>
      <c r="M592" s="35">
        <f t="shared" si="73"/>
        <v>5.0538152116596109</v>
      </c>
      <c r="S592" t="s">
        <v>98</v>
      </c>
      <c r="T592" s="5">
        <f>data_origin!T677</f>
        <v>0</v>
      </c>
      <c r="U592" s="5">
        <f>data_origin!U677</f>
        <v>0</v>
      </c>
      <c r="V592" s="5">
        <f>data_origin!V677</f>
        <v>3</v>
      </c>
      <c r="W592" s="5">
        <f>data_origin!W677</f>
        <v>1</v>
      </c>
      <c r="X592" s="5">
        <f>data_origin!X677</f>
        <v>1</v>
      </c>
      <c r="Y592" s="5">
        <f>data_origin!Y677</f>
        <v>0</v>
      </c>
      <c r="Z592" s="5">
        <f>data_origin!Z677</f>
        <v>0</v>
      </c>
      <c r="AA592" s="5">
        <f>data_origin!AA677</f>
        <v>0</v>
      </c>
      <c r="AB592" s="5">
        <f t="shared" si="70"/>
        <v>5</v>
      </c>
      <c r="AH592" t="s">
        <v>98</v>
      </c>
      <c r="AI592" s="5">
        <f>data_origin!T2924</f>
        <v>0</v>
      </c>
      <c r="AJ592" s="5">
        <f>data_origin!U2924</f>
        <v>0</v>
      </c>
      <c r="AK592" s="5">
        <f>data_origin!V2924</f>
        <v>0</v>
      </c>
      <c r="AL592" s="5">
        <f>data_origin!W2924</f>
        <v>0</v>
      </c>
      <c r="AM592" s="5">
        <f>data_origin!X2924</f>
        <v>0</v>
      </c>
      <c r="AN592" s="5">
        <f>data_origin!Y2924</f>
        <v>0</v>
      </c>
      <c r="AO592" s="5">
        <f>data_origin!Z2924</f>
        <v>0</v>
      </c>
      <c r="AP592" s="5">
        <f>data_origin!AA2924</f>
        <v>0</v>
      </c>
      <c r="AQ592" s="9">
        <f t="shared" si="71"/>
        <v>0</v>
      </c>
      <c r="AV592" t="s">
        <v>98</v>
      </c>
      <c r="AW592" s="5">
        <f>data_origin!T3638</f>
        <v>0</v>
      </c>
      <c r="AX592" s="5">
        <f>data_origin!U3638</f>
        <v>0</v>
      </c>
      <c r="AY592" s="5">
        <f>data_origin!V3638</f>
        <v>0</v>
      </c>
      <c r="AZ592" s="5">
        <f>data_origin!W3638</f>
        <v>0</v>
      </c>
      <c r="BA592" s="5">
        <f>data_origin!X3638</f>
        <v>0</v>
      </c>
      <c r="BB592" s="5">
        <f>data_origin!Y3638</f>
        <v>0</v>
      </c>
      <c r="BC592" s="5">
        <f>data_origin!Z3638</f>
        <v>0</v>
      </c>
      <c r="BD592" s="5">
        <f>data_origin!AA3638</f>
        <v>0</v>
      </c>
      <c r="BE592" s="9">
        <f t="shared" si="72"/>
        <v>0</v>
      </c>
    </row>
    <row r="593" spans="1:58" x14ac:dyDescent="0.25">
      <c r="D593" t="s">
        <v>119</v>
      </c>
      <c r="E593" s="38">
        <f t="shared" si="69"/>
        <v>0</v>
      </c>
      <c r="F593" s="38">
        <f t="shared" si="69"/>
        <v>0</v>
      </c>
      <c r="G593" s="38">
        <f t="shared" si="69"/>
        <v>0</v>
      </c>
      <c r="H593" s="38">
        <f t="shared" si="69"/>
        <v>0</v>
      </c>
      <c r="I593" s="38">
        <f t="shared" si="69"/>
        <v>3.0534412733043932</v>
      </c>
      <c r="J593" s="38">
        <f t="shared" si="74"/>
        <v>0</v>
      </c>
      <c r="K593" s="38">
        <f t="shared" si="74"/>
        <v>0</v>
      </c>
      <c r="L593" s="38">
        <f t="shared" si="74"/>
        <v>0</v>
      </c>
      <c r="M593" s="35">
        <f t="shared" si="73"/>
        <v>3.0534412733043932</v>
      </c>
      <c r="S593" t="s">
        <v>119</v>
      </c>
      <c r="T593" s="5">
        <f>data_origin!T678</f>
        <v>0</v>
      </c>
      <c r="U593" s="5">
        <f>data_origin!U678</f>
        <v>0</v>
      </c>
      <c r="V593" s="5">
        <f>data_origin!V678</f>
        <v>0</v>
      </c>
      <c r="W593" s="5">
        <f>data_origin!W678</f>
        <v>0</v>
      </c>
      <c r="X593" s="5">
        <f>data_origin!X678</f>
        <v>3</v>
      </c>
      <c r="Y593" s="5">
        <f>data_origin!Y678</f>
        <v>0</v>
      </c>
      <c r="Z593" s="5">
        <f>data_origin!Z678</f>
        <v>0</v>
      </c>
      <c r="AA593" s="5">
        <f>data_origin!AA678</f>
        <v>0</v>
      </c>
      <c r="AB593" s="5">
        <f t="shared" si="70"/>
        <v>3</v>
      </c>
      <c r="AH593" t="s">
        <v>119</v>
      </c>
      <c r="AI593" s="5">
        <f>data_origin!T2925</f>
        <v>0</v>
      </c>
      <c r="AJ593" s="5">
        <f>data_origin!U2925</f>
        <v>0</v>
      </c>
      <c r="AK593" s="5">
        <f>data_origin!V2925</f>
        <v>0</v>
      </c>
      <c r="AL593" s="5">
        <f>data_origin!W2925</f>
        <v>0</v>
      </c>
      <c r="AM593" s="5">
        <f>data_origin!X2925</f>
        <v>0</v>
      </c>
      <c r="AN593" s="5">
        <f>data_origin!Y2925</f>
        <v>0</v>
      </c>
      <c r="AO593" s="5">
        <f>data_origin!Z2925</f>
        <v>0</v>
      </c>
      <c r="AP593" s="5">
        <f>data_origin!AA2925</f>
        <v>0</v>
      </c>
      <c r="AQ593" s="9">
        <f t="shared" si="71"/>
        <v>0</v>
      </c>
      <c r="AV593" t="s">
        <v>119</v>
      </c>
      <c r="AW593" s="5">
        <f>data_origin!T3639</f>
        <v>0</v>
      </c>
      <c r="AX593" s="5">
        <f>data_origin!U3639</f>
        <v>0</v>
      </c>
      <c r="AY593" s="5">
        <f>data_origin!V3639</f>
        <v>0</v>
      </c>
      <c r="AZ593" s="5">
        <f>data_origin!W3639</f>
        <v>0</v>
      </c>
      <c r="BA593" s="5">
        <f>data_origin!X3639</f>
        <v>0</v>
      </c>
      <c r="BB593" s="5">
        <f>data_origin!Y3639</f>
        <v>0</v>
      </c>
      <c r="BC593" s="5">
        <f>data_origin!Z3639</f>
        <v>0</v>
      </c>
      <c r="BD593" s="5">
        <f>data_origin!AA3639</f>
        <v>0</v>
      </c>
      <c r="BE593" s="9">
        <f t="shared" si="72"/>
        <v>0</v>
      </c>
    </row>
    <row r="594" spans="1:58" x14ac:dyDescent="0.25">
      <c r="D594" t="s">
        <v>99</v>
      </c>
      <c r="E594" s="38">
        <f t="shared" si="69"/>
        <v>0</v>
      </c>
      <c r="F594" s="38">
        <f t="shared" si="69"/>
        <v>0</v>
      </c>
      <c r="G594" s="38">
        <f t="shared" si="69"/>
        <v>0</v>
      </c>
      <c r="H594" s="38">
        <f t="shared" si="69"/>
        <v>0</v>
      </c>
      <c r="I594" s="38">
        <f t="shared" si="69"/>
        <v>0</v>
      </c>
      <c r="J594" s="38">
        <f t="shared" si="74"/>
        <v>0</v>
      </c>
      <c r="K594" s="38">
        <f t="shared" si="74"/>
        <v>0</v>
      </c>
      <c r="L594" s="38">
        <f t="shared" si="74"/>
        <v>0</v>
      </c>
      <c r="M594" s="35">
        <f t="shared" si="73"/>
        <v>0</v>
      </c>
      <c r="S594" t="s">
        <v>99</v>
      </c>
      <c r="T594" s="5">
        <f>data_origin!T679</f>
        <v>0</v>
      </c>
      <c r="U594" s="5">
        <f>data_origin!U679</f>
        <v>0</v>
      </c>
      <c r="V594" s="5">
        <f>data_origin!V679</f>
        <v>0</v>
      </c>
      <c r="W594" s="5">
        <f>data_origin!W679</f>
        <v>0</v>
      </c>
      <c r="X594" s="5">
        <f>data_origin!X679</f>
        <v>0</v>
      </c>
      <c r="Y594" s="5">
        <f>data_origin!Y679</f>
        <v>0</v>
      </c>
      <c r="Z594" s="5">
        <f>data_origin!Z679</f>
        <v>0</v>
      </c>
      <c r="AA594" s="5">
        <f>data_origin!AA679</f>
        <v>0</v>
      </c>
      <c r="AB594" s="5">
        <f t="shared" si="70"/>
        <v>0</v>
      </c>
      <c r="AH594" t="s">
        <v>99</v>
      </c>
      <c r="AI594" s="5">
        <f>data_origin!T2926</f>
        <v>0</v>
      </c>
      <c r="AJ594" s="5">
        <f>data_origin!U2926</f>
        <v>0</v>
      </c>
      <c r="AK594" s="5">
        <f>data_origin!V2926</f>
        <v>1.125</v>
      </c>
      <c r="AL594" s="5">
        <f>data_origin!W2926</f>
        <v>1.25</v>
      </c>
      <c r="AM594" s="5">
        <f>data_origin!X2926</f>
        <v>0</v>
      </c>
      <c r="AN594" s="5">
        <f>data_origin!Y2926</f>
        <v>0</v>
      </c>
      <c r="AO594" s="5">
        <f>data_origin!Z2926</f>
        <v>0</v>
      </c>
      <c r="AP594" s="5">
        <f>data_origin!AA2926</f>
        <v>0</v>
      </c>
      <c r="AQ594" s="9">
        <f t="shared" si="71"/>
        <v>2.375</v>
      </c>
      <c r="AV594" t="s">
        <v>99</v>
      </c>
      <c r="AW594" s="5">
        <f>data_origin!T3640</f>
        <v>0</v>
      </c>
      <c r="AX594" s="5">
        <f>data_origin!U3640</f>
        <v>0</v>
      </c>
      <c r="AY594" s="5">
        <f>data_origin!V3640</f>
        <v>0</v>
      </c>
      <c r="AZ594" s="5">
        <f>data_origin!W3640</f>
        <v>0</v>
      </c>
      <c r="BA594" s="5">
        <f>data_origin!X3640</f>
        <v>0</v>
      </c>
      <c r="BB594" s="5">
        <f>data_origin!Y3640</f>
        <v>0</v>
      </c>
      <c r="BC594" s="5">
        <f>data_origin!Z3640</f>
        <v>0</v>
      </c>
      <c r="BD594" s="5">
        <f>data_origin!AA3640</f>
        <v>0</v>
      </c>
      <c r="BE594" s="9">
        <f t="shared" si="72"/>
        <v>0</v>
      </c>
    </row>
    <row r="595" spans="1:58" x14ac:dyDescent="0.25">
      <c r="D595" t="s">
        <v>100</v>
      </c>
      <c r="E595" s="38">
        <f t="shared" si="69"/>
        <v>0</v>
      </c>
      <c r="F595" s="38">
        <f t="shared" si="69"/>
        <v>0</v>
      </c>
      <c r="G595" s="38">
        <f t="shared" si="69"/>
        <v>0</v>
      </c>
      <c r="H595" s="38">
        <f t="shared" si="69"/>
        <v>0</v>
      </c>
      <c r="I595" s="38">
        <f t="shared" si="69"/>
        <v>0</v>
      </c>
      <c r="J595" s="38">
        <f t="shared" si="74"/>
        <v>0</v>
      </c>
      <c r="K595" s="38">
        <f t="shared" si="74"/>
        <v>0</v>
      </c>
      <c r="L595" s="38">
        <f t="shared" si="74"/>
        <v>0</v>
      </c>
      <c r="M595" s="35">
        <f t="shared" si="73"/>
        <v>0</v>
      </c>
      <c r="S595" t="s">
        <v>100</v>
      </c>
      <c r="T595" s="5">
        <f>data_origin!T680</f>
        <v>0</v>
      </c>
      <c r="U595" s="5">
        <f>data_origin!U680</f>
        <v>0</v>
      </c>
      <c r="V595" s="5">
        <f>data_origin!V680</f>
        <v>0</v>
      </c>
      <c r="W595" s="5">
        <f>data_origin!W680</f>
        <v>0</v>
      </c>
      <c r="X595" s="5">
        <f>data_origin!X680</f>
        <v>0</v>
      </c>
      <c r="Y595" s="5">
        <f>data_origin!Y680</f>
        <v>0</v>
      </c>
      <c r="Z595" s="5">
        <f>data_origin!Z680</f>
        <v>0</v>
      </c>
      <c r="AA595" s="5">
        <f>data_origin!AA680</f>
        <v>0</v>
      </c>
      <c r="AB595" s="5">
        <f t="shared" si="70"/>
        <v>0</v>
      </c>
      <c r="AH595" t="s">
        <v>100</v>
      </c>
      <c r="AI595" s="5">
        <f>data_origin!T2927</f>
        <v>0</v>
      </c>
      <c r="AJ595" s="5">
        <f>data_origin!U2927</f>
        <v>0</v>
      </c>
      <c r="AK595" s="5">
        <f>data_origin!V2927</f>
        <v>0</v>
      </c>
      <c r="AL595" s="5">
        <f>data_origin!W2927</f>
        <v>0</v>
      </c>
      <c r="AM595" s="5">
        <f>data_origin!X2927</f>
        <v>0</v>
      </c>
      <c r="AN595" s="5">
        <f>data_origin!Y2927</f>
        <v>0</v>
      </c>
      <c r="AO595" s="5">
        <f>data_origin!Z2927</f>
        <v>0</v>
      </c>
      <c r="AP595" s="5">
        <f>data_origin!AA2927</f>
        <v>0</v>
      </c>
      <c r="AQ595" s="9">
        <f t="shared" si="71"/>
        <v>0</v>
      </c>
      <c r="AV595" t="s">
        <v>100</v>
      </c>
      <c r="AW595" s="5">
        <f>data_origin!T3641</f>
        <v>0</v>
      </c>
      <c r="AX595" s="5">
        <f>data_origin!U3641</f>
        <v>0</v>
      </c>
      <c r="AY595" s="5">
        <f>data_origin!V3641</f>
        <v>0</v>
      </c>
      <c r="AZ595" s="5">
        <f>data_origin!W3641</f>
        <v>0</v>
      </c>
      <c r="BA595" s="5">
        <f>data_origin!X3641</f>
        <v>0</v>
      </c>
      <c r="BB595" s="5">
        <f>data_origin!Y3641</f>
        <v>0</v>
      </c>
      <c r="BC595" s="5">
        <f>data_origin!Z3641</f>
        <v>0</v>
      </c>
      <c r="BD595" s="5">
        <f>data_origin!AA3641</f>
        <v>0</v>
      </c>
      <c r="BE595" s="9">
        <f t="shared" si="72"/>
        <v>0</v>
      </c>
    </row>
    <row r="596" spans="1:58" x14ac:dyDescent="0.25">
      <c r="D596" t="s">
        <v>101</v>
      </c>
      <c r="E596" s="38">
        <f t="shared" si="69"/>
        <v>0</v>
      </c>
      <c r="F596" s="38">
        <f t="shared" si="69"/>
        <v>0</v>
      </c>
      <c r="G596" s="38">
        <f t="shared" si="69"/>
        <v>0</v>
      </c>
      <c r="H596" s="38">
        <f t="shared" si="69"/>
        <v>0</v>
      </c>
      <c r="I596" s="38">
        <f t="shared" si="69"/>
        <v>0</v>
      </c>
      <c r="J596" s="38">
        <f t="shared" si="74"/>
        <v>0</v>
      </c>
      <c r="K596" s="38">
        <f t="shared" si="74"/>
        <v>0</v>
      </c>
      <c r="L596" s="38">
        <f t="shared" si="74"/>
        <v>0</v>
      </c>
      <c r="M596" s="35">
        <f t="shared" si="73"/>
        <v>0</v>
      </c>
      <c r="S596" t="s">
        <v>101</v>
      </c>
      <c r="T596" s="5">
        <f>data_origin!T681</f>
        <v>0</v>
      </c>
      <c r="U596" s="5">
        <f>data_origin!U681</f>
        <v>0</v>
      </c>
      <c r="V596" s="5">
        <f>data_origin!V681</f>
        <v>0</v>
      </c>
      <c r="W596" s="5">
        <f>data_origin!W681</f>
        <v>0</v>
      </c>
      <c r="X596" s="5">
        <f>data_origin!X681</f>
        <v>0</v>
      </c>
      <c r="Y596" s="5">
        <f>data_origin!Y681</f>
        <v>0</v>
      </c>
      <c r="Z596" s="5">
        <f>data_origin!Z681</f>
        <v>0</v>
      </c>
      <c r="AA596" s="5">
        <f>data_origin!AA681</f>
        <v>0</v>
      </c>
      <c r="AB596" s="5">
        <f t="shared" si="70"/>
        <v>0</v>
      </c>
      <c r="AH596" t="s">
        <v>101</v>
      </c>
      <c r="AI596" s="5">
        <f>data_origin!T2928</f>
        <v>0</v>
      </c>
      <c r="AJ596" s="5">
        <f>data_origin!U2928</f>
        <v>0</v>
      </c>
      <c r="AK596" s="5">
        <f>data_origin!V2928</f>
        <v>1.125</v>
      </c>
      <c r="AL596" s="5">
        <f>data_origin!W2928</f>
        <v>0</v>
      </c>
      <c r="AM596" s="5">
        <f>data_origin!X2928</f>
        <v>0</v>
      </c>
      <c r="AN596" s="5">
        <f>data_origin!Y2928</f>
        <v>0</v>
      </c>
      <c r="AO596" s="5">
        <f>data_origin!Z2928</f>
        <v>0</v>
      </c>
      <c r="AP596" s="5">
        <f>data_origin!AA2928</f>
        <v>0</v>
      </c>
      <c r="AQ596" s="9">
        <f t="shared" si="71"/>
        <v>1.125</v>
      </c>
      <c r="AR596" s="9">
        <f>SUM(AQ564:AQ596)</f>
        <v>19</v>
      </c>
      <c r="AV596" t="s">
        <v>101</v>
      </c>
      <c r="AW596" s="5">
        <f>data_origin!T3642</f>
        <v>0</v>
      </c>
      <c r="AX596" s="5">
        <f>data_origin!U3642</f>
        <v>0</v>
      </c>
      <c r="AY596" s="5">
        <f>data_origin!V3642</f>
        <v>0</v>
      </c>
      <c r="AZ596" s="5">
        <f>data_origin!W3642</f>
        <v>0</v>
      </c>
      <c r="BA596" s="5">
        <f>data_origin!X3642</f>
        <v>0</v>
      </c>
      <c r="BB596" s="5">
        <f>data_origin!Y3642</f>
        <v>0</v>
      </c>
      <c r="BC596" s="5">
        <f>data_origin!Z3642</f>
        <v>0</v>
      </c>
      <c r="BD596" s="5">
        <f>data_origin!AA3642</f>
        <v>0</v>
      </c>
      <c r="BE596" s="9">
        <f t="shared" si="72"/>
        <v>0</v>
      </c>
      <c r="BF596" s="9">
        <f>SUM(BE564:BE596)</f>
        <v>7</v>
      </c>
    </row>
    <row r="597" spans="1:58" x14ac:dyDescent="0.25">
      <c r="A597" s="23" t="s">
        <v>104</v>
      </c>
      <c r="B597" s="23" t="s">
        <v>116</v>
      </c>
      <c r="C597" s="23" t="s">
        <v>113</v>
      </c>
      <c r="D597" t="s">
        <v>70</v>
      </c>
      <c r="E597" s="38">
        <f t="shared" si="69"/>
        <v>0</v>
      </c>
      <c r="F597" s="38">
        <f t="shared" si="69"/>
        <v>0</v>
      </c>
      <c r="G597" s="38">
        <f t="shared" si="69"/>
        <v>0</v>
      </c>
      <c r="H597" s="38">
        <f t="shared" si="69"/>
        <v>0</v>
      </c>
      <c r="I597" s="38">
        <f t="shared" si="69"/>
        <v>0</v>
      </c>
      <c r="J597" s="38">
        <f t="shared" si="74"/>
        <v>0</v>
      </c>
      <c r="K597" s="38">
        <f t="shared" si="74"/>
        <v>0</v>
      </c>
      <c r="L597" s="38">
        <f t="shared" si="74"/>
        <v>0</v>
      </c>
      <c r="M597" s="35">
        <f t="shared" si="73"/>
        <v>0</v>
      </c>
      <c r="P597" t="s">
        <v>104</v>
      </c>
      <c r="Q597" t="s">
        <v>116</v>
      </c>
      <c r="R597" t="s">
        <v>113</v>
      </c>
      <c r="S597" t="s">
        <v>70</v>
      </c>
      <c r="T597" s="5">
        <f>data_origin!T683</f>
        <v>0</v>
      </c>
      <c r="U597" s="5">
        <f>data_origin!U683</f>
        <v>0</v>
      </c>
      <c r="V597" s="5">
        <f>data_origin!V683</f>
        <v>0</v>
      </c>
      <c r="W597" s="5">
        <f>data_origin!W683</f>
        <v>0</v>
      </c>
      <c r="X597" s="5">
        <f>data_origin!X683</f>
        <v>0</v>
      </c>
      <c r="Y597" s="5">
        <f>data_origin!Y683</f>
        <v>0</v>
      </c>
      <c r="Z597" s="5">
        <f>data_origin!Z683</f>
        <v>0</v>
      </c>
      <c r="AA597" s="5">
        <f>data_origin!AA683</f>
        <v>0</v>
      </c>
      <c r="AB597" s="5">
        <f t="shared" si="70"/>
        <v>0</v>
      </c>
      <c r="AE597" t="s">
        <v>104</v>
      </c>
      <c r="AF597" t="s">
        <v>151</v>
      </c>
      <c r="AG597" s="28" t="s">
        <v>138</v>
      </c>
      <c r="AH597" t="s">
        <v>70</v>
      </c>
      <c r="AI597" s="5">
        <f>data_origin!T2454+data_origin!T2692+data_origin!T2930</f>
        <v>0</v>
      </c>
      <c r="AJ597" s="5">
        <f>data_origin!U2454+data_origin!U2692+data_origin!U2930</f>
        <v>0</v>
      </c>
      <c r="AK597" s="5">
        <f>data_origin!V2454+data_origin!V2692+data_origin!V2930</f>
        <v>1.2909090909090908</v>
      </c>
      <c r="AL597" s="5">
        <f>data_origin!W2454+data_origin!W2692+data_origin!W2930</f>
        <v>0</v>
      </c>
      <c r="AM597" s="5">
        <f>data_origin!X2454+data_origin!X2692+data_origin!X2930</f>
        <v>0</v>
      </c>
      <c r="AN597" s="5">
        <f>data_origin!Y2454+data_origin!Y2692+data_origin!Y2930</f>
        <v>1</v>
      </c>
      <c r="AO597" s="5">
        <f>data_origin!Z2454+data_origin!Z2692+data_origin!Z2930</f>
        <v>0</v>
      </c>
      <c r="AP597" s="5">
        <f>data_origin!AA2454+data_origin!AA2692+data_origin!AA2930</f>
        <v>0</v>
      </c>
      <c r="AQ597" s="9">
        <f t="shared" ref="AQ597:AQ629" si="75">SUM(AI597:AP597)</f>
        <v>2.290909090909091</v>
      </c>
      <c r="AS597" t="s">
        <v>104</v>
      </c>
      <c r="AT597" t="s">
        <v>151</v>
      </c>
      <c r="AU597" s="28" t="s">
        <v>138</v>
      </c>
      <c r="AV597" t="s">
        <v>70</v>
      </c>
      <c r="AW597" s="5">
        <f>data_origin!T3168+data_origin!T3406+data_origin!T3644</f>
        <v>0</v>
      </c>
      <c r="AX597" s="5">
        <f>data_origin!U3168+data_origin!U3406+data_origin!U3644</f>
        <v>0</v>
      </c>
      <c r="AY597" s="5">
        <f>data_origin!V3168+data_origin!V3406+data_origin!V3644</f>
        <v>0</v>
      </c>
      <c r="AZ597" s="5">
        <f>data_origin!W3168+data_origin!W3406+data_origin!W3644</f>
        <v>0</v>
      </c>
      <c r="BA597" s="5">
        <f>data_origin!X3168+data_origin!X3406+data_origin!X3644</f>
        <v>0</v>
      </c>
      <c r="BB597" s="5">
        <f>data_origin!Y3168+data_origin!Y3406+data_origin!Y3644</f>
        <v>0</v>
      </c>
      <c r="BC597" s="5">
        <f>data_origin!Z3168+data_origin!Z3406+data_origin!Z3644</f>
        <v>3.0303030303030304E-2</v>
      </c>
      <c r="BD597" s="5">
        <f>data_origin!AA3168+data_origin!AA3406+data_origin!AA3644</f>
        <v>0</v>
      </c>
      <c r="BE597" s="9">
        <f t="shared" ref="BE597:BE629" si="76">SUM(AW597:BD597)</f>
        <v>3.0303030303030304E-2</v>
      </c>
    </row>
    <row r="598" spans="1:58" x14ac:dyDescent="0.25">
      <c r="D598" t="s">
        <v>71</v>
      </c>
      <c r="E598" s="38">
        <f t="shared" si="69"/>
        <v>0</v>
      </c>
      <c r="F598" s="38">
        <f t="shared" si="69"/>
        <v>0</v>
      </c>
      <c r="G598" s="38">
        <f t="shared" si="69"/>
        <v>0</v>
      </c>
      <c r="H598" s="38">
        <f t="shared" si="69"/>
        <v>0</v>
      </c>
      <c r="I598" s="38">
        <f t="shared" si="69"/>
        <v>0</v>
      </c>
      <c r="J598" s="38">
        <f t="shared" si="74"/>
        <v>0</v>
      </c>
      <c r="K598" s="38">
        <f t="shared" si="74"/>
        <v>0</v>
      </c>
      <c r="L598" s="38">
        <f t="shared" si="74"/>
        <v>0</v>
      </c>
      <c r="M598" s="35">
        <f t="shared" si="73"/>
        <v>0</v>
      </c>
      <c r="S598" t="s">
        <v>71</v>
      </c>
      <c r="T598" s="5">
        <f>data_origin!T684</f>
        <v>0</v>
      </c>
      <c r="U598" s="5">
        <f>data_origin!U684</f>
        <v>0</v>
      </c>
      <c r="V598" s="5">
        <f>data_origin!V684</f>
        <v>0</v>
      </c>
      <c r="W598" s="5">
        <f>data_origin!W684</f>
        <v>0</v>
      </c>
      <c r="X598" s="5">
        <f>data_origin!X684</f>
        <v>0</v>
      </c>
      <c r="Y598" s="5">
        <f>data_origin!Y684</f>
        <v>0</v>
      </c>
      <c r="Z598" s="5">
        <f>data_origin!Z684</f>
        <v>0</v>
      </c>
      <c r="AA598" s="5">
        <f>data_origin!AA684</f>
        <v>0</v>
      </c>
      <c r="AB598" s="5">
        <f t="shared" si="70"/>
        <v>0</v>
      </c>
      <c r="AH598" t="s">
        <v>71</v>
      </c>
      <c r="AI598" s="5">
        <f>data_origin!T2455+data_origin!T2693+data_origin!T2931</f>
        <v>0</v>
      </c>
      <c r="AJ598" s="5">
        <f>data_origin!U2455+data_origin!U2693+data_origin!U2931</f>
        <v>0</v>
      </c>
      <c r="AK598" s="5">
        <f>data_origin!V2455+data_origin!V2693+data_origin!V2931</f>
        <v>3.0909090909090908</v>
      </c>
      <c r="AL598" s="5">
        <f>data_origin!W2455+data_origin!W2693+data_origin!W2931</f>
        <v>0</v>
      </c>
      <c r="AM598" s="5">
        <f>data_origin!X2455+data_origin!X2693+data_origin!X2931</f>
        <v>0</v>
      </c>
      <c r="AN598" s="5">
        <f>data_origin!Y2455+data_origin!Y2693+data_origin!Y2931</f>
        <v>0</v>
      </c>
      <c r="AO598" s="5">
        <f>data_origin!Z2455+data_origin!Z2693+data_origin!Z2931</f>
        <v>0</v>
      </c>
      <c r="AP598" s="5">
        <f>data_origin!AA2455+data_origin!AA2693+data_origin!AA2931</f>
        <v>0</v>
      </c>
      <c r="AQ598" s="9">
        <f t="shared" si="75"/>
        <v>3.0909090909090908</v>
      </c>
      <c r="AV598" t="s">
        <v>71</v>
      </c>
      <c r="AW598" s="5">
        <f>data_origin!T3169+data_origin!T3407+data_origin!T3645</f>
        <v>0</v>
      </c>
      <c r="AX598" s="5">
        <f>data_origin!U3169+data_origin!U3407+data_origin!U3645</f>
        <v>0</v>
      </c>
      <c r="AY598" s="5">
        <f>data_origin!V3169+data_origin!V3407+data_origin!V3645</f>
        <v>2.25</v>
      </c>
      <c r="AZ598" s="5">
        <f>data_origin!W3169+data_origin!W3407+data_origin!W3645</f>
        <v>1.9</v>
      </c>
      <c r="BA598" s="5">
        <f>data_origin!X3169+data_origin!X3407+data_origin!X3645</f>
        <v>1.5</v>
      </c>
      <c r="BB598" s="5">
        <f>data_origin!Y3169+data_origin!Y3407+data_origin!Y3645</f>
        <v>0</v>
      </c>
      <c r="BC598" s="5">
        <f>data_origin!Z3169+data_origin!Z3407+data_origin!Z3645</f>
        <v>3.0303030303030304E-2</v>
      </c>
      <c r="BD598" s="5">
        <f>data_origin!AA3169+data_origin!AA3407+data_origin!AA3645</f>
        <v>0</v>
      </c>
      <c r="BE598" s="9">
        <f t="shared" si="76"/>
        <v>5.6803030303030306</v>
      </c>
    </row>
    <row r="599" spans="1:58" x14ac:dyDescent="0.25">
      <c r="D599" t="s">
        <v>72</v>
      </c>
      <c r="E599" s="38">
        <f t="shared" ref="E599:I649" si="77">T599+AI335+IFERROR((T599/SUM(T$3:T$992)*AI$630),0)+IFERROR((T599/SUM(T$135:T$332,T$465:T$662,T$795:T$992)*AI$732),0)</f>
        <v>0</v>
      </c>
      <c r="F599" s="38">
        <f t="shared" si="77"/>
        <v>0</v>
      </c>
      <c r="G599" s="38">
        <f t="shared" si="77"/>
        <v>0</v>
      </c>
      <c r="H599" s="38">
        <f t="shared" si="77"/>
        <v>0</v>
      </c>
      <c r="I599" s="38">
        <f t="shared" si="77"/>
        <v>0</v>
      </c>
      <c r="J599" s="38">
        <f t="shared" si="74"/>
        <v>0</v>
      </c>
      <c r="K599" s="38">
        <f t="shared" si="74"/>
        <v>0</v>
      </c>
      <c r="L599" s="38">
        <f t="shared" si="74"/>
        <v>0</v>
      </c>
      <c r="M599" s="35">
        <f t="shared" si="73"/>
        <v>0</v>
      </c>
      <c r="S599" t="s">
        <v>72</v>
      </c>
      <c r="T599" s="5">
        <f>data_origin!T685</f>
        <v>0</v>
      </c>
      <c r="U599" s="5">
        <f>data_origin!U685</f>
        <v>0</v>
      </c>
      <c r="V599" s="5">
        <f>data_origin!V685</f>
        <v>0</v>
      </c>
      <c r="W599" s="5">
        <f>data_origin!W685</f>
        <v>0</v>
      </c>
      <c r="X599" s="5">
        <f>data_origin!X685</f>
        <v>0</v>
      </c>
      <c r="Y599" s="5">
        <f>data_origin!Y685</f>
        <v>0</v>
      </c>
      <c r="Z599" s="5">
        <f>data_origin!Z685</f>
        <v>0</v>
      </c>
      <c r="AA599" s="5">
        <f>data_origin!AA685</f>
        <v>0</v>
      </c>
      <c r="AB599" s="5">
        <f t="shared" si="70"/>
        <v>0</v>
      </c>
      <c r="AH599" t="s">
        <v>72</v>
      </c>
      <c r="AI599" s="5">
        <f>data_origin!T2456+data_origin!T2694+data_origin!T2932</f>
        <v>0</v>
      </c>
      <c r="AJ599" s="5">
        <f>data_origin!U2456+data_origin!U2694+data_origin!U2932</f>
        <v>0</v>
      </c>
      <c r="AK599" s="5">
        <f>data_origin!V2456+data_origin!V2694+data_origin!V2932</f>
        <v>9.0909090909090912E-2</v>
      </c>
      <c r="AL599" s="5">
        <f>data_origin!W2456+data_origin!W2694+data_origin!W2932</f>
        <v>1</v>
      </c>
      <c r="AM599" s="5">
        <f>data_origin!X2456+data_origin!X2694+data_origin!X2932</f>
        <v>1.375</v>
      </c>
      <c r="AN599" s="5">
        <f>data_origin!Y2456+data_origin!Y2694+data_origin!Y2932</f>
        <v>0</v>
      </c>
      <c r="AO599" s="5">
        <f>data_origin!Z2456+data_origin!Z2694+data_origin!Z2932</f>
        <v>0</v>
      </c>
      <c r="AP599" s="5">
        <f>data_origin!AA2456+data_origin!AA2694+data_origin!AA2932</f>
        <v>0</v>
      </c>
      <c r="AQ599" s="9">
        <f t="shared" si="75"/>
        <v>2.4659090909090908</v>
      </c>
      <c r="AV599" t="s">
        <v>72</v>
      </c>
      <c r="AW599" s="5">
        <f>data_origin!T3170+data_origin!T3408+data_origin!T3646</f>
        <v>0</v>
      </c>
      <c r="AX599" s="5">
        <f>data_origin!U3170+data_origin!U3408+data_origin!U3646</f>
        <v>0</v>
      </c>
      <c r="AY599" s="5">
        <f>data_origin!V3170+data_origin!V3408+data_origin!V3646</f>
        <v>0</v>
      </c>
      <c r="AZ599" s="5">
        <f>data_origin!W3170+data_origin!W3408+data_origin!W3646</f>
        <v>2.1428571428571428</v>
      </c>
      <c r="BA599" s="5">
        <f>data_origin!X3170+data_origin!X3408+data_origin!X3646</f>
        <v>0</v>
      </c>
      <c r="BB599" s="5">
        <f>data_origin!Y3170+data_origin!Y3408+data_origin!Y3646</f>
        <v>0</v>
      </c>
      <c r="BC599" s="5">
        <f>data_origin!Z3170+data_origin!Z3408+data_origin!Z3646</f>
        <v>3.0303030303030304E-2</v>
      </c>
      <c r="BD599" s="5">
        <f>data_origin!AA3170+data_origin!AA3408+data_origin!AA3646</f>
        <v>0</v>
      </c>
      <c r="BE599" s="9">
        <f t="shared" si="76"/>
        <v>2.1731601731601731</v>
      </c>
    </row>
    <row r="600" spans="1:58" x14ac:dyDescent="0.25">
      <c r="D600" t="s">
        <v>73</v>
      </c>
      <c r="E600" s="38">
        <f t="shared" si="77"/>
        <v>0</v>
      </c>
      <c r="F600" s="38">
        <f t="shared" si="77"/>
        <v>0</v>
      </c>
      <c r="G600" s="38">
        <f t="shared" si="77"/>
        <v>0</v>
      </c>
      <c r="H600" s="38">
        <f t="shared" si="77"/>
        <v>0</v>
      </c>
      <c r="I600" s="38">
        <f t="shared" si="77"/>
        <v>0</v>
      </c>
      <c r="J600" s="38">
        <f t="shared" si="74"/>
        <v>0</v>
      </c>
      <c r="K600" s="38">
        <f t="shared" si="74"/>
        <v>0</v>
      </c>
      <c r="L600" s="38">
        <f t="shared" si="74"/>
        <v>0</v>
      </c>
      <c r="M600" s="35">
        <f t="shared" si="73"/>
        <v>0</v>
      </c>
      <c r="S600" t="s">
        <v>73</v>
      </c>
      <c r="T600" s="5">
        <f>data_origin!T686</f>
        <v>0</v>
      </c>
      <c r="U600" s="5">
        <f>data_origin!U686</f>
        <v>0</v>
      </c>
      <c r="V600" s="5">
        <f>data_origin!V686</f>
        <v>0</v>
      </c>
      <c r="W600" s="5">
        <f>data_origin!W686</f>
        <v>0</v>
      </c>
      <c r="X600" s="5">
        <f>data_origin!X686</f>
        <v>0</v>
      </c>
      <c r="Y600" s="5">
        <f>data_origin!Y686</f>
        <v>0</v>
      </c>
      <c r="Z600" s="5">
        <f>data_origin!Z686</f>
        <v>0</v>
      </c>
      <c r="AA600" s="5">
        <f>data_origin!AA686</f>
        <v>0</v>
      </c>
      <c r="AB600" s="5">
        <f t="shared" si="70"/>
        <v>0</v>
      </c>
      <c r="AH600" t="s">
        <v>73</v>
      </c>
      <c r="AI600" s="5">
        <f>data_origin!T2457+data_origin!T2695+data_origin!T2933</f>
        <v>0</v>
      </c>
      <c r="AJ600" s="5">
        <f>data_origin!U2457+data_origin!U2695+data_origin!U2933</f>
        <v>0</v>
      </c>
      <c r="AK600" s="5">
        <f>data_origin!V2457+data_origin!V2695+data_origin!V2933</f>
        <v>9.0909090909090912E-2</v>
      </c>
      <c r="AL600" s="5">
        <f>data_origin!W2457+data_origin!W2695+data_origin!W2933</f>
        <v>1</v>
      </c>
      <c r="AM600" s="5">
        <f>data_origin!X2457+data_origin!X2695+data_origin!X2933</f>
        <v>3.8611111111111112</v>
      </c>
      <c r="AN600" s="5">
        <f>data_origin!Y2457+data_origin!Y2695+data_origin!Y2933</f>
        <v>0</v>
      </c>
      <c r="AO600" s="5">
        <f>data_origin!Z2457+data_origin!Z2695+data_origin!Z2933</f>
        <v>0</v>
      </c>
      <c r="AP600" s="5">
        <f>data_origin!AA2457+data_origin!AA2695+data_origin!AA2933</f>
        <v>0</v>
      </c>
      <c r="AQ600" s="9">
        <f t="shared" si="75"/>
        <v>4.9520202020202024</v>
      </c>
      <c r="AV600" t="s">
        <v>73</v>
      </c>
      <c r="AW600" s="5">
        <f>data_origin!T3171+data_origin!T3409+data_origin!T3647</f>
        <v>0</v>
      </c>
      <c r="AX600" s="5">
        <f>data_origin!U3171+data_origin!U3409+data_origin!U3647</f>
        <v>0</v>
      </c>
      <c r="AY600" s="5">
        <f>data_origin!V3171+data_origin!V3409+data_origin!V3647</f>
        <v>0</v>
      </c>
      <c r="AZ600" s="5">
        <f>data_origin!W3171+data_origin!W3409+data_origin!W3647</f>
        <v>0</v>
      </c>
      <c r="BA600" s="5">
        <f>data_origin!X3171+data_origin!X3409+data_origin!X3647</f>
        <v>0</v>
      </c>
      <c r="BB600" s="5">
        <f>data_origin!Y3171+data_origin!Y3409+data_origin!Y3647</f>
        <v>0</v>
      </c>
      <c r="BC600" s="5">
        <f>data_origin!Z3171+data_origin!Z3409+data_origin!Z3647</f>
        <v>3.0303030303030304E-2</v>
      </c>
      <c r="BD600" s="5">
        <f>data_origin!AA3171+data_origin!AA3409+data_origin!AA3647</f>
        <v>0</v>
      </c>
      <c r="BE600" s="9">
        <f t="shared" si="76"/>
        <v>3.0303030303030304E-2</v>
      </c>
    </row>
    <row r="601" spans="1:58" x14ac:dyDescent="0.25">
      <c r="D601" t="s">
        <v>74</v>
      </c>
      <c r="E601" s="38">
        <f t="shared" si="77"/>
        <v>0</v>
      </c>
      <c r="F601" s="38">
        <f t="shared" si="77"/>
        <v>0</v>
      </c>
      <c r="G601" s="38">
        <f t="shared" si="77"/>
        <v>0</v>
      </c>
      <c r="H601" s="38">
        <f t="shared" si="77"/>
        <v>0</v>
      </c>
      <c r="I601" s="38">
        <f t="shared" si="77"/>
        <v>0</v>
      </c>
      <c r="J601" s="38">
        <f t="shared" si="74"/>
        <v>0</v>
      </c>
      <c r="K601" s="38">
        <f t="shared" si="74"/>
        <v>0</v>
      </c>
      <c r="L601" s="38">
        <f t="shared" si="74"/>
        <v>0</v>
      </c>
      <c r="M601" s="35">
        <f t="shared" si="73"/>
        <v>0</v>
      </c>
      <c r="S601" t="s">
        <v>74</v>
      </c>
      <c r="T601" s="5">
        <f>data_origin!T687</f>
        <v>0</v>
      </c>
      <c r="U601" s="5">
        <f>data_origin!U687</f>
        <v>0</v>
      </c>
      <c r="V601" s="5">
        <f>data_origin!V687</f>
        <v>0</v>
      </c>
      <c r="W601" s="5">
        <f>data_origin!W687</f>
        <v>0</v>
      </c>
      <c r="X601" s="5">
        <f>data_origin!X687</f>
        <v>0</v>
      </c>
      <c r="Y601" s="5">
        <f>data_origin!Y687</f>
        <v>0</v>
      </c>
      <c r="Z601" s="5">
        <f>data_origin!Z687</f>
        <v>0</v>
      </c>
      <c r="AA601" s="5">
        <f>data_origin!AA687</f>
        <v>0</v>
      </c>
      <c r="AB601" s="5">
        <f t="shared" si="70"/>
        <v>0</v>
      </c>
      <c r="AH601" t="s">
        <v>74</v>
      </c>
      <c r="AI601" s="5">
        <f>data_origin!T2458+data_origin!T2696+data_origin!T2934</f>
        <v>0</v>
      </c>
      <c r="AJ601" s="5">
        <f>data_origin!U2458+data_origin!U2696+data_origin!U2934</f>
        <v>0</v>
      </c>
      <c r="AK601" s="5">
        <f>data_origin!V2458+data_origin!V2696+data_origin!V2934</f>
        <v>9.0909090909090912E-2</v>
      </c>
      <c r="AL601" s="5">
        <f>data_origin!W2458+data_origin!W2696+data_origin!W2934</f>
        <v>0</v>
      </c>
      <c r="AM601" s="5">
        <f>data_origin!X2458+data_origin!X2696+data_origin!X2934</f>
        <v>1.375</v>
      </c>
      <c r="AN601" s="5">
        <f>data_origin!Y2458+data_origin!Y2696+data_origin!Y2934</f>
        <v>3.2</v>
      </c>
      <c r="AO601" s="5">
        <f>data_origin!Z2458+data_origin!Z2696+data_origin!Z2934</f>
        <v>0</v>
      </c>
      <c r="AP601" s="5">
        <f>data_origin!AA2458+data_origin!AA2696+data_origin!AA2934</f>
        <v>0</v>
      </c>
      <c r="AQ601" s="9">
        <f t="shared" si="75"/>
        <v>4.665909090909091</v>
      </c>
      <c r="AV601" t="s">
        <v>74</v>
      </c>
      <c r="AW601" s="5">
        <f>data_origin!T3172+data_origin!T3410+data_origin!T3648</f>
        <v>0</v>
      </c>
      <c r="AX601" s="5">
        <f>data_origin!U3172+data_origin!U3410+data_origin!U3648</f>
        <v>0</v>
      </c>
      <c r="AY601" s="5">
        <f>data_origin!V3172+data_origin!V3410+data_origin!V3648</f>
        <v>0</v>
      </c>
      <c r="AZ601" s="5">
        <f>data_origin!W3172+data_origin!W3410+data_origin!W3648</f>
        <v>0</v>
      </c>
      <c r="BA601" s="5">
        <f>data_origin!X3172+data_origin!X3410+data_origin!X3648</f>
        <v>0</v>
      </c>
      <c r="BB601" s="5">
        <f>data_origin!Y3172+data_origin!Y3410+data_origin!Y3648</f>
        <v>0</v>
      </c>
      <c r="BC601" s="5">
        <f>data_origin!Z3172+data_origin!Z3410+data_origin!Z3648</f>
        <v>3.0303030303030304E-2</v>
      </c>
      <c r="BD601" s="5">
        <f>data_origin!AA3172+data_origin!AA3410+data_origin!AA3648</f>
        <v>0</v>
      </c>
      <c r="BE601" s="9">
        <f t="shared" si="76"/>
        <v>3.0303030303030304E-2</v>
      </c>
    </row>
    <row r="602" spans="1:58" x14ac:dyDescent="0.25">
      <c r="D602" t="s">
        <v>75</v>
      </c>
      <c r="E602" s="38">
        <f t="shared" si="77"/>
        <v>0</v>
      </c>
      <c r="F602" s="38">
        <f t="shared" si="77"/>
        <v>0</v>
      </c>
      <c r="G602" s="38">
        <f t="shared" si="77"/>
        <v>0</v>
      </c>
      <c r="H602" s="38">
        <f t="shared" si="77"/>
        <v>0</v>
      </c>
      <c r="I602" s="38">
        <f t="shared" si="77"/>
        <v>0</v>
      </c>
      <c r="J602" s="38">
        <f t="shared" si="74"/>
        <v>0</v>
      </c>
      <c r="K602" s="38">
        <f t="shared" si="74"/>
        <v>0</v>
      </c>
      <c r="L602" s="38">
        <f t="shared" si="74"/>
        <v>0</v>
      </c>
      <c r="M602" s="35">
        <f t="shared" si="73"/>
        <v>0</v>
      </c>
      <c r="S602" t="s">
        <v>75</v>
      </c>
      <c r="T602" s="5">
        <f>data_origin!T688</f>
        <v>0</v>
      </c>
      <c r="U602" s="5">
        <f>data_origin!U688</f>
        <v>0</v>
      </c>
      <c r="V602" s="5">
        <f>data_origin!V688</f>
        <v>0</v>
      </c>
      <c r="W602" s="5">
        <f>data_origin!W688</f>
        <v>0</v>
      </c>
      <c r="X602" s="5">
        <f>data_origin!X688</f>
        <v>0</v>
      </c>
      <c r="Y602" s="5">
        <f>data_origin!Y688</f>
        <v>0</v>
      </c>
      <c r="Z602" s="5">
        <f>data_origin!Z688</f>
        <v>0</v>
      </c>
      <c r="AA602" s="5">
        <f>data_origin!AA688</f>
        <v>0</v>
      </c>
      <c r="AB602" s="5">
        <f t="shared" si="70"/>
        <v>0</v>
      </c>
      <c r="AH602" t="s">
        <v>75</v>
      </c>
      <c r="AI602" s="5">
        <f>data_origin!T2459+data_origin!T2697+data_origin!T2935</f>
        <v>0</v>
      </c>
      <c r="AJ602" s="5">
        <f>data_origin!U2459+data_origin!U2697+data_origin!U2935</f>
        <v>0</v>
      </c>
      <c r="AK602" s="5">
        <f>data_origin!V2459+data_origin!V2697+data_origin!V2935</f>
        <v>9.0909090909090912E-2</v>
      </c>
      <c r="AL602" s="5">
        <f>data_origin!W2459+data_origin!W2697+data_origin!W2935</f>
        <v>0</v>
      </c>
      <c r="AM602" s="5">
        <f>data_origin!X2459+data_origin!X2697+data_origin!X2935</f>
        <v>0</v>
      </c>
      <c r="AN602" s="5">
        <f>data_origin!Y2459+data_origin!Y2697+data_origin!Y2935</f>
        <v>0</v>
      </c>
      <c r="AO602" s="5">
        <f>data_origin!Z2459+data_origin!Z2697+data_origin!Z2935</f>
        <v>0</v>
      </c>
      <c r="AP602" s="5">
        <f>data_origin!AA2459+data_origin!AA2697+data_origin!AA2935</f>
        <v>0</v>
      </c>
      <c r="AQ602" s="9">
        <f t="shared" si="75"/>
        <v>9.0909090909090912E-2</v>
      </c>
      <c r="AV602" t="s">
        <v>75</v>
      </c>
      <c r="AW602" s="5">
        <f>data_origin!T3173+data_origin!T3411+data_origin!T3649</f>
        <v>0</v>
      </c>
      <c r="AX602" s="5">
        <f>data_origin!U3173+data_origin!U3411+data_origin!U3649</f>
        <v>0</v>
      </c>
      <c r="AY602" s="5">
        <f>data_origin!V3173+data_origin!V3411+data_origin!V3649</f>
        <v>0</v>
      </c>
      <c r="AZ602" s="5">
        <f>data_origin!W3173+data_origin!W3411+data_origin!W3649</f>
        <v>0</v>
      </c>
      <c r="BA602" s="5">
        <f>data_origin!X3173+data_origin!X3411+data_origin!X3649</f>
        <v>0</v>
      </c>
      <c r="BB602" s="5">
        <f>data_origin!Y3173+data_origin!Y3411+data_origin!Y3649</f>
        <v>0</v>
      </c>
      <c r="BC602" s="5">
        <f>data_origin!Z3173+data_origin!Z3411+data_origin!Z3649</f>
        <v>3.0303030303030304E-2</v>
      </c>
      <c r="BD602" s="5">
        <f>data_origin!AA3173+data_origin!AA3411+data_origin!AA3649</f>
        <v>0</v>
      </c>
      <c r="BE602" s="9">
        <f t="shared" si="76"/>
        <v>3.0303030303030304E-2</v>
      </c>
    </row>
    <row r="603" spans="1:58" x14ac:dyDescent="0.25">
      <c r="D603" t="s">
        <v>76</v>
      </c>
      <c r="E603" s="38">
        <f t="shared" si="77"/>
        <v>0</v>
      </c>
      <c r="F603" s="38">
        <f t="shared" si="77"/>
        <v>0</v>
      </c>
      <c r="G603" s="38">
        <f t="shared" si="77"/>
        <v>0</v>
      </c>
      <c r="H603" s="38">
        <f t="shared" si="77"/>
        <v>0</v>
      </c>
      <c r="I603" s="38">
        <f t="shared" si="77"/>
        <v>0</v>
      </c>
      <c r="J603" s="38">
        <f t="shared" si="74"/>
        <v>0</v>
      </c>
      <c r="K603" s="38">
        <f t="shared" si="74"/>
        <v>0</v>
      </c>
      <c r="L603" s="38">
        <f t="shared" si="74"/>
        <v>0</v>
      </c>
      <c r="M603" s="35">
        <f t="shared" si="73"/>
        <v>0</v>
      </c>
      <c r="S603" t="s">
        <v>76</v>
      </c>
      <c r="T603" s="5">
        <f>data_origin!T689</f>
        <v>0</v>
      </c>
      <c r="U603" s="5">
        <f>data_origin!U689</f>
        <v>0</v>
      </c>
      <c r="V603" s="5">
        <f>data_origin!V689</f>
        <v>0</v>
      </c>
      <c r="W603" s="5">
        <f>data_origin!W689</f>
        <v>0</v>
      </c>
      <c r="X603" s="5">
        <f>data_origin!X689</f>
        <v>0</v>
      </c>
      <c r="Y603" s="5">
        <f>data_origin!Y689</f>
        <v>0</v>
      </c>
      <c r="Z603" s="5">
        <f>data_origin!Z689</f>
        <v>0</v>
      </c>
      <c r="AA603" s="5">
        <f>data_origin!AA689</f>
        <v>0</v>
      </c>
      <c r="AB603" s="5">
        <f t="shared" si="70"/>
        <v>0</v>
      </c>
      <c r="AH603" t="s">
        <v>76</v>
      </c>
      <c r="AI603" s="5">
        <f>data_origin!T2460+data_origin!T2698+data_origin!T2936</f>
        <v>0</v>
      </c>
      <c r="AJ603" s="5">
        <f>data_origin!U2460+data_origin!U2698+data_origin!U2936</f>
        <v>0</v>
      </c>
      <c r="AK603" s="5">
        <f>data_origin!V2460+data_origin!V2698+data_origin!V2936</f>
        <v>9.0909090909090912E-2</v>
      </c>
      <c r="AL603" s="5">
        <f>data_origin!W2460+data_origin!W2698+data_origin!W2936</f>
        <v>1.9333333333333333</v>
      </c>
      <c r="AM603" s="5">
        <f>data_origin!X2460+data_origin!X2698+data_origin!X2936</f>
        <v>2.4861111111111112</v>
      </c>
      <c r="AN603" s="5">
        <f>data_origin!Y2460+data_origin!Y2698+data_origin!Y2936</f>
        <v>0</v>
      </c>
      <c r="AO603" s="5">
        <f>data_origin!Z2460+data_origin!Z2698+data_origin!Z2936</f>
        <v>0</v>
      </c>
      <c r="AP603" s="5">
        <f>data_origin!AA2460+data_origin!AA2698+data_origin!AA2936</f>
        <v>0</v>
      </c>
      <c r="AQ603" s="9">
        <f t="shared" si="75"/>
        <v>4.510353535353536</v>
      </c>
      <c r="AV603" t="s">
        <v>76</v>
      </c>
      <c r="AW603" s="5">
        <f>data_origin!T3174+data_origin!T3412+data_origin!T3650</f>
        <v>0</v>
      </c>
      <c r="AX603" s="5">
        <f>data_origin!U3174+data_origin!U3412+data_origin!U3650</f>
        <v>0</v>
      </c>
      <c r="AY603" s="5">
        <f>data_origin!V3174+data_origin!V3412+data_origin!V3650</f>
        <v>0</v>
      </c>
      <c r="AZ603" s="5">
        <f>data_origin!W3174+data_origin!W3412+data_origin!W3650</f>
        <v>0</v>
      </c>
      <c r="BA603" s="5">
        <f>data_origin!X3174+data_origin!X3412+data_origin!X3650</f>
        <v>0</v>
      </c>
      <c r="BB603" s="5">
        <f>data_origin!Y3174+data_origin!Y3412+data_origin!Y3650</f>
        <v>0</v>
      </c>
      <c r="BC603" s="5">
        <f>data_origin!Z3174+data_origin!Z3412+data_origin!Z3650</f>
        <v>3.0303030303030304E-2</v>
      </c>
      <c r="BD603" s="5">
        <f>data_origin!AA3174+data_origin!AA3412+data_origin!AA3650</f>
        <v>0</v>
      </c>
      <c r="BE603" s="9">
        <f t="shared" si="76"/>
        <v>3.0303030303030304E-2</v>
      </c>
    </row>
    <row r="604" spans="1:58" x14ac:dyDescent="0.25">
      <c r="D604" t="s">
        <v>77</v>
      </c>
      <c r="E604" s="38">
        <f t="shared" si="77"/>
        <v>0</v>
      </c>
      <c r="F604" s="38">
        <f t="shared" si="77"/>
        <v>0</v>
      </c>
      <c r="G604" s="38">
        <f t="shared" si="77"/>
        <v>0</v>
      </c>
      <c r="H604" s="38">
        <f t="shared" si="77"/>
        <v>0</v>
      </c>
      <c r="I604" s="38">
        <f t="shared" si="77"/>
        <v>0</v>
      </c>
      <c r="J604" s="38">
        <f t="shared" si="74"/>
        <v>0</v>
      </c>
      <c r="K604" s="38">
        <f t="shared" si="74"/>
        <v>0</v>
      </c>
      <c r="L604" s="38">
        <f t="shared" si="74"/>
        <v>0</v>
      </c>
      <c r="M604" s="35">
        <f t="shared" si="73"/>
        <v>0</v>
      </c>
      <c r="S604" t="s">
        <v>77</v>
      </c>
      <c r="T604" s="5">
        <f>data_origin!T690</f>
        <v>0</v>
      </c>
      <c r="U604" s="5">
        <f>data_origin!U690</f>
        <v>0</v>
      </c>
      <c r="V604" s="5">
        <f>data_origin!V690</f>
        <v>0</v>
      </c>
      <c r="W604" s="5">
        <f>data_origin!W690</f>
        <v>0</v>
      </c>
      <c r="X604" s="5">
        <f>data_origin!X690</f>
        <v>0</v>
      </c>
      <c r="Y604" s="5">
        <f>data_origin!Y690</f>
        <v>0</v>
      </c>
      <c r="Z604" s="5">
        <f>data_origin!Z690</f>
        <v>0</v>
      </c>
      <c r="AA604" s="5">
        <f>data_origin!AA690</f>
        <v>0</v>
      </c>
      <c r="AB604" s="5">
        <f t="shared" si="70"/>
        <v>0</v>
      </c>
      <c r="AH604" t="s">
        <v>77</v>
      </c>
      <c r="AI604" s="5">
        <f>data_origin!T2461+data_origin!T2699+data_origin!T2937</f>
        <v>0</v>
      </c>
      <c r="AJ604" s="5">
        <f>data_origin!U2461+data_origin!U2699+data_origin!U2937</f>
        <v>0</v>
      </c>
      <c r="AK604" s="5">
        <f>data_origin!V2461+data_origin!V2699+data_origin!V2937</f>
        <v>9.0909090909090912E-2</v>
      </c>
      <c r="AL604" s="5">
        <f>data_origin!W2461+data_origin!W2699+data_origin!W2937</f>
        <v>0</v>
      </c>
      <c r="AM604" s="5">
        <f>data_origin!X2461+data_origin!X2699+data_origin!X2937</f>
        <v>0</v>
      </c>
      <c r="AN604" s="5">
        <f>data_origin!Y2461+data_origin!Y2699+data_origin!Y2937</f>
        <v>0</v>
      </c>
      <c r="AO604" s="5">
        <f>data_origin!Z2461+data_origin!Z2699+data_origin!Z2937</f>
        <v>0</v>
      </c>
      <c r="AP604" s="5">
        <f>data_origin!AA2461+data_origin!AA2699+data_origin!AA2937</f>
        <v>0</v>
      </c>
      <c r="AQ604" s="9">
        <f t="shared" si="75"/>
        <v>9.0909090909090912E-2</v>
      </c>
      <c r="AV604" t="s">
        <v>77</v>
      </c>
      <c r="AW604" s="5">
        <f>data_origin!T3175+data_origin!T3413+data_origin!T3651</f>
        <v>0</v>
      </c>
      <c r="AX604" s="5">
        <f>data_origin!U3175+data_origin!U3413+data_origin!U3651</f>
        <v>0</v>
      </c>
      <c r="AY604" s="5">
        <f>data_origin!V3175+data_origin!V3413+data_origin!V3651</f>
        <v>0</v>
      </c>
      <c r="AZ604" s="5">
        <f>data_origin!W3175+data_origin!W3413+data_origin!W3651</f>
        <v>0</v>
      </c>
      <c r="BA604" s="5">
        <f>data_origin!X3175+data_origin!X3413+data_origin!X3651</f>
        <v>0</v>
      </c>
      <c r="BB604" s="5">
        <f>data_origin!Y3175+data_origin!Y3413+data_origin!Y3651</f>
        <v>0</v>
      </c>
      <c r="BC604" s="5">
        <f>data_origin!Z3175+data_origin!Z3413+data_origin!Z3651</f>
        <v>3.0303030303030304E-2</v>
      </c>
      <c r="BD604" s="5">
        <f>data_origin!AA3175+data_origin!AA3413+data_origin!AA3651</f>
        <v>0</v>
      </c>
      <c r="BE604" s="9">
        <f t="shared" si="76"/>
        <v>3.0303030303030304E-2</v>
      </c>
    </row>
    <row r="605" spans="1:58" x14ac:dyDescent="0.25">
      <c r="D605" t="s">
        <v>78</v>
      </c>
      <c r="E605" s="38">
        <f t="shared" si="77"/>
        <v>0</v>
      </c>
      <c r="F605" s="38">
        <f t="shared" si="77"/>
        <v>0</v>
      </c>
      <c r="G605" s="38">
        <f t="shared" si="77"/>
        <v>0</v>
      </c>
      <c r="H605" s="38">
        <f t="shared" si="77"/>
        <v>0</v>
      </c>
      <c r="I605" s="38">
        <f t="shared" si="77"/>
        <v>0</v>
      </c>
      <c r="J605" s="38">
        <f t="shared" si="74"/>
        <v>0</v>
      </c>
      <c r="K605" s="38">
        <f t="shared" si="74"/>
        <v>0</v>
      </c>
      <c r="L605" s="38">
        <f t="shared" si="74"/>
        <v>0</v>
      </c>
      <c r="M605" s="35">
        <f t="shared" si="73"/>
        <v>0</v>
      </c>
      <c r="S605" t="s">
        <v>78</v>
      </c>
      <c r="T605" s="5">
        <f>data_origin!T691</f>
        <v>0</v>
      </c>
      <c r="U605" s="5">
        <f>data_origin!U691</f>
        <v>0</v>
      </c>
      <c r="V605" s="5">
        <f>data_origin!V691</f>
        <v>0</v>
      </c>
      <c r="W605" s="5">
        <f>data_origin!W691</f>
        <v>0</v>
      </c>
      <c r="X605" s="5">
        <f>data_origin!X691</f>
        <v>0</v>
      </c>
      <c r="Y605" s="5">
        <f>data_origin!Y691</f>
        <v>0</v>
      </c>
      <c r="Z605" s="5">
        <f>data_origin!Z691</f>
        <v>0</v>
      </c>
      <c r="AA605" s="5">
        <f>data_origin!AA691</f>
        <v>0</v>
      </c>
      <c r="AB605" s="5">
        <f t="shared" si="70"/>
        <v>0</v>
      </c>
      <c r="AH605" t="s">
        <v>78</v>
      </c>
      <c r="AI605" s="5">
        <f>data_origin!T2462+data_origin!T2700+data_origin!T2938</f>
        <v>0</v>
      </c>
      <c r="AJ605" s="5">
        <f>data_origin!U2462+data_origin!U2700+data_origin!U2938</f>
        <v>0</v>
      </c>
      <c r="AK605" s="5">
        <f>data_origin!V2462+data_origin!V2700+data_origin!V2938</f>
        <v>9.0909090909090912E-2</v>
      </c>
      <c r="AL605" s="5">
        <f>data_origin!W2462+data_origin!W2700+data_origin!W2938</f>
        <v>0</v>
      </c>
      <c r="AM605" s="5">
        <f>data_origin!X2462+data_origin!X2700+data_origin!X2938</f>
        <v>0</v>
      </c>
      <c r="AN605" s="5">
        <f>data_origin!Y2462+data_origin!Y2700+data_origin!Y2938</f>
        <v>0</v>
      </c>
      <c r="AO605" s="5">
        <f>data_origin!Z2462+data_origin!Z2700+data_origin!Z2938</f>
        <v>0</v>
      </c>
      <c r="AP605" s="5">
        <f>data_origin!AA2462+data_origin!AA2700+data_origin!AA2938</f>
        <v>0</v>
      </c>
      <c r="AQ605" s="9">
        <f t="shared" si="75"/>
        <v>9.0909090909090912E-2</v>
      </c>
      <c r="AV605" t="s">
        <v>78</v>
      </c>
      <c r="AW605" s="5">
        <f>data_origin!T3176+data_origin!T3414+data_origin!T3652</f>
        <v>0</v>
      </c>
      <c r="AX605" s="5">
        <f>data_origin!U3176+data_origin!U3414+data_origin!U3652</f>
        <v>0</v>
      </c>
      <c r="AY605" s="5">
        <f>data_origin!V3176+data_origin!V3414+data_origin!V3652</f>
        <v>0</v>
      </c>
      <c r="AZ605" s="5">
        <f>data_origin!W3176+data_origin!W3414+data_origin!W3652</f>
        <v>0</v>
      </c>
      <c r="BA605" s="5">
        <f>data_origin!X3176+data_origin!X3414+data_origin!X3652</f>
        <v>1.5</v>
      </c>
      <c r="BB605" s="5">
        <f>data_origin!Y3176+data_origin!Y3414+data_origin!Y3652</f>
        <v>0</v>
      </c>
      <c r="BC605" s="5">
        <f>data_origin!Z3176+data_origin!Z3414+data_origin!Z3652</f>
        <v>3.0303030303030304E-2</v>
      </c>
      <c r="BD605" s="5">
        <f>data_origin!AA3176+data_origin!AA3414+data_origin!AA3652</f>
        <v>0</v>
      </c>
      <c r="BE605" s="9">
        <f t="shared" si="76"/>
        <v>1.5303030303030303</v>
      </c>
    </row>
    <row r="606" spans="1:58" x14ac:dyDescent="0.25">
      <c r="D606" t="s">
        <v>79</v>
      </c>
      <c r="E606" s="38">
        <f t="shared" si="77"/>
        <v>0</v>
      </c>
      <c r="F606" s="38">
        <f t="shared" si="77"/>
        <v>0</v>
      </c>
      <c r="G606" s="38">
        <f t="shared" si="77"/>
        <v>0</v>
      </c>
      <c r="H606" s="38">
        <f t="shared" si="77"/>
        <v>0</v>
      </c>
      <c r="I606" s="38">
        <f t="shared" si="77"/>
        <v>0</v>
      </c>
      <c r="J606" s="38">
        <f t="shared" si="74"/>
        <v>0</v>
      </c>
      <c r="K606" s="38">
        <f t="shared" si="74"/>
        <v>0</v>
      </c>
      <c r="L606" s="38">
        <f t="shared" si="74"/>
        <v>0</v>
      </c>
      <c r="M606" s="35">
        <f t="shared" si="73"/>
        <v>0</v>
      </c>
      <c r="S606" t="s">
        <v>79</v>
      </c>
      <c r="T606" s="5">
        <f>data_origin!T692</f>
        <v>0</v>
      </c>
      <c r="U606" s="5">
        <f>data_origin!U692</f>
        <v>0</v>
      </c>
      <c r="V606" s="5">
        <f>data_origin!V692</f>
        <v>0</v>
      </c>
      <c r="W606" s="5">
        <f>data_origin!W692</f>
        <v>0</v>
      </c>
      <c r="X606" s="5">
        <f>data_origin!X692</f>
        <v>0</v>
      </c>
      <c r="Y606" s="5">
        <f>data_origin!Y692</f>
        <v>0</v>
      </c>
      <c r="Z606" s="5">
        <f>data_origin!Z692</f>
        <v>0</v>
      </c>
      <c r="AA606" s="5">
        <f>data_origin!AA692</f>
        <v>0</v>
      </c>
      <c r="AB606" s="5">
        <f t="shared" si="70"/>
        <v>0</v>
      </c>
      <c r="AH606" t="s">
        <v>79</v>
      </c>
      <c r="AI606" s="5">
        <f>data_origin!T2463+data_origin!T2701+data_origin!T2939</f>
        <v>0</v>
      </c>
      <c r="AJ606" s="5">
        <f>data_origin!U2463+data_origin!U2701+data_origin!U2939</f>
        <v>0</v>
      </c>
      <c r="AK606" s="5">
        <f>data_origin!V2463+data_origin!V2701+data_origin!V2939</f>
        <v>9.0909090909090912E-2</v>
      </c>
      <c r="AL606" s="5">
        <f>data_origin!W2463+data_origin!W2701+data_origin!W2939</f>
        <v>0</v>
      </c>
      <c r="AM606" s="5">
        <f>data_origin!X2463+data_origin!X2701+data_origin!X2939</f>
        <v>0</v>
      </c>
      <c r="AN606" s="5">
        <f>data_origin!Y2463+data_origin!Y2701+data_origin!Y2939</f>
        <v>1.6</v>
      </c>
      <c r="AO606" s="5">
        <f>data_origin!Z2463+data_origin!Z2701+data_origin!Z2939</f>
        <v>0</v>
      </c>
      <c r="AP606" s="5">
        <f>data_origin!AA2463+data_origin!AA2701+data_origin!AA2939</f>
        <v>0</v>
      </c>
      <c r="AQ606" s="9">
        <f t="shared" si="75"/>
        <v>1.6909090909090909</v>
      </c>
      <c r="AV606" t="s">
        <v>79</v>
      </c>
      <c r="AW606" s="5">
        <f>data_origin!T3177+data_origin!T3415+data_origin!T3653</f>
        <v>0</v>
      </c>
      <c r="AX606" s="5">
        <f>data_origin!U3177+data_origin!U3415+data_origin!U3653</f>
        <v>0</v>
      </c>
      <c r="AY606" s="5">
        <f>data_origin!V3177+data_origin!V3415+data_origin!V3653</f>
        <v>0</v>
      </c>
      <c r="AZ606" s="5">
        <f>data_origin!W3177+data_origin!W3415+data_origin!W3653</f>
        <v>0</v>
      </c>
      <c r="BA606" s="5">
        <f>data_origin!X3177+data_origin!X3415+data_origin!X3653</f>
        <v>0</v>
      </c>
      <c r="BB606" s="5">
        <f>data_origin!Y3177+data_origin!Y3415+data_origin!Y3653</f>
        <v>0</v>
      </c>
      <c r="BC606" s="5">
        <f>data_origin!Z3177+data_origin!Z3415+data_origin!Z3653</f>
        <v>3.0303030303030304E-2</v>
      </c>
      <c r="BD606" s="5">
        <f>data_origin!AA3177+data_origin!AA3415+data_origin!AA3653</f>
        <v>0</v>
      </c>
      <c r="BE606" s="9">
        <f t="shared" si="76"/>
        <v>3.0303030303030304E-2</v>
      </c>
    </row>
    <row r="607" spans="1:58" x14ac:dyDescent="0.25">
      <c r="D607" t="s">
        <v>80</v>
      </c>
      <c r="E607" s="38">
        <f t="shared" si="77"/>
        <v>0</v>
      </c>
      <c r="F607" s="38">
        <f t="shared" si="77"/>
        <v>0</v>
      </c>
      <c r="G607" s="38">
        <f t="shared" si="77"/>
        <v>0</v>
      </c>
      <c r="H607" s="38">
        <f t="shared" si="77"/>
        <v>0</v>
      </c>
      <c r="I607" s="38">
        <f t="shared" si="77"/>
        <v>0</v>
      </c>
      <c r="J607" s="38">
        <f t="shared" si="74"/>
        <v>0</v>
      </c>
      <c r="K607" s="38">
        <f t="shared" si="74"/>
        <v>0</v>
      </c>
      <c r="L607" s="38">
        <f t="shared" si="74"/>
        <v>0</v>
      </c>
      <c r="M607" s="35">
        <f t="shared" si="73"/>
        <v>0</v>
      </c>
      <c r="S607" t="s">
        <v>80</v>
      </c>
      <c r="T607" s="5">
        <f>data_origin!T693</f>
        <v>0</v>
      </c>
      <c r="U607" s="5">
        <f>data_origin!U693</f>
        <v>0</v>
      </c>
      <c r="V607" s="5">
        <f>data_origin!V693</f>
        <v>0</v>
      </c>
      <c r="W607" s="5">
        <f>data_origin!W693</f>
        <v>0</v>
      </c>
      <c r="X607" s="5">
        <f>data_origin!X693</f>
        <v>0</v>
      </c>
      <c r="Y607" s="5">
        <f>data_origin!Y693</f>
        <v>0</v>
      </c>
      <c r="Z607" s="5">
        <f>data_origin!Z693</f>
        <v>0</v>
      </c>
      <c r="AA607" s="5">
        <f>data_origin!AA693</f>
        <v>0</v>
      </c>
      <c r="AB607" s="5">
        <f t="shared" si="70"/>
        <v>0</v>
      </c>
      <c r="AH607" t="s">
        <v>80</v>
      </c>
      <c r="AI607" s="5">
        <f>data_origin!T2464+data_origin!T2702+data_origin!T2940</f>
        <v>0</v>
      </c>
      <c r="AJ607" s="5">
        <f>data_origin!U2464+data_origin!U2702+data_origin!U2940</f>
        <v>0</v>
      </c>
      <c r="AK607" s="5">
        <f>data_origin!V2464+data_origin!V2702+data_origin!V2940</f>
        <v>9.0909090909090912E-2</v>
      </c>
      <c r="AL607" s="5">
        <f>data_origin!W2464+data_origin!W2702+data_origin!W2940</f>
        <v>1.9333333333333333</v>
      </c>
      <c r="AM607" s="5">
        <f>data_origin!X2464+data_origin!X2702+data_origin!X2940</f>
        <v>0</v>
      </c>
      <c r="AN607" s="5">
        <f>data_origin!Y2464+data_origin!Y2702+data_origin!Y2940</f>
        <v>1.6</v>
      </c>
      <c r="AO607" s="5">
        <f>data_origin!Z2464+data_origin!Z2702+data_origin!Z2940</f>
        <v>0</v>
      </c>
      <c r="AP607" s="5">
        <f>data_origin!AA2464+data_origin!AA2702+data_origin!AA2940</f>
        <v>0</v>
      </c>
      <c r="AQ607" s="9">
        <f t="shared" si="75"/>
        <v>3.6242424242424245</v>
      </c>
      <c r="AV607" t="s">
        <v>80</v>
      </c>
      <c r="AW607" s="5">
        <f>data_origin!T3178+data_origin!T3416+data_origin!T3654</f>
        <v>0</v>
      </c>
      <c r="AX607" s="5">
        <f>data_origin!U3178+data_origin!U3416+data_origin!U3654</f>
        <v>0</v>
      </c>
      <c r="AY607" s="5">
        <f>data_origin!V3178+data_origin!V3416+data_origin!V3654</f>
        <v>0</v>
      </c>
      <c r="AZ607" s="5">
        <f>data_origin!W3178+data_origin!W3416+data_origin!W3654</f>
        <v>2.1428571428571428</v>
      </c>
      <c r="BA607" s="5">
        <f>data_origin!X3178+data_origin!X3416+data_origin!X3654</f>
        <v>0</v>
      </c>
      <c r="BB607" s="5">
        <f>data_origin!Y3178+data_origin!Y3416+data_origin!Y3654</f>
        <v>0</v>
      </c>
      <c r="BC607" s="5">
        <f>data_origin!Z3178+data_origin!Z3416+data_origin!Z3654</f>
        <v>3.0303030303030304E-2</v>
      </c>
      <c r="BD607" s="5">
        <f>data_origin!AA3178+data_origin!AA3416+data_origin!AA3654</f>
        <v>0</v>
      </c>
      <c r="BE607" s="9">
        <f t="shared" si="76"/>
        <v>2.1731601731601731</v>
      </c>
    </row>
    <row r="608" spans="1:58" x14ac:dyDescent="0.25">
      <c r="D608" t="s">
        <v>81</v>
      </c>
      <c r="E608" s="38">
        <f t="shared" si="77"/>
        <v>0</v>
      </c>
      <c r="F608" s="38">
        <f t="shared" si="77"/>
        <v>0</v>
      </c>
      <c r="G608" s="38">
        <f t="shared" si="77"/>
        <v>0</v>
      </c>
      <c r="H608" s="38">
        <f t="shared" si="77"/>
        <v>0</v>
      </c>
      <c r="I608" s="38">
        <f t="shared" si="77"/>
        <v>0</v>
      </c>
      <c r="J608" s="38">
        <f t="shared" si="74"/>
        <v>0</v>
      </c>
      <c r="K608" s="38">
        <f t="shared" si="74"/>
        <v>0</v>
      </c>
      <c r="L608" s="38">
        <f t="shared" si="74"/>
        <v>0</v>
      </c>
      <c r="M608" s="35">
        <f t="shared" si="73"/>
        <v>0</v>
      </c>
      <c r="S608" t="s">
        <v>81</v>
      </c>
      <c r="T608" s="5">
        <f>data_origin!T694</f>
        <v>0</v>
      </c>
      <c r="U608" s="5">
        <f>data_origin!U694</f>
        <v>0</v>
      </c>
      <c r="V608" s="5">
        <f>data_origin!V694</f>
        <v>0</v>
      </c>
      <c r="W608" s="5">
        <f>data_origin!W694</f>
        <v>0</v>
      </c>
      <c r="X608" s="5">
        <f>data_origin!X694</f>
        <v>0</v>
      </c>
      <c r="Y608" s="5">
        <f>data_origin!Y694</f>
        <v>0</v>
      </c>
      <c r="Z608" s="5">
        <f>data_origin!Z694</f>
        <v>0</v>
      </c>
      <c r="AA608" s="5">
        <f>data_origin!AA694</f>
        <v>0</v>
      </c>
      <c r="AB608" s="5">
        <f t="shared" ref="AB608:AB621" si="78">SUM(T608:AA608)</f>
        <v>0</v>
      </c>
      <c r="AH608" t="s">
        <v>81</v>
      </c>
      <c r="AI608" s="5">
        <f>data_origin!T2465+data_origin!T2703+data_origin!T2941</f>
        <v>0</v>
      </c>
      <c r="AJ608" s="5">
        <f>data_origin!U2465+data_origin!U2703+data_origin!U2941</f>
        <v>0</v>
      </c>
      <c r="AK608" s="5">
        <f>data_origin!V2465+data_origin!V2703+data_origin!V2941</f>
        <v>9.0909090909090912E-2</v>
      </c>
      <c r="AL608" s="5">
        <f>data_origin!W2465+data_origin!W2703+data_origin!W2941</f>
        <v>0</v>
      </c>
      <c r="AM608" s="5">
        <f>data_origin!X2465+data_origin!X2703+data_origin!X2941</f>
        <v>0</v>
      </c>
      <c r="AN608" s="5">
        <f>data_origin!Y2465+data_origin!Y2703+data_origin!Y2941</f>
        <v>0</v>
      </c>
      <c r="AO608" s="5">
        <f>data_origin!Z2465+data_origin!Z2703+data_origin!Z2941</f>
        <v>0</v>
      </c>
      <c r="AP608" s="5">
        <f>data_origin!AA2465+data_origin!AA2703+data_origin!AA2941</f>
        <v>0</v>
      </c>
      <c r="AQ608" s="9">
        <f t="shared" si="75"/>
        <v>9.0909090909090912E-2</v>
      </c>
      <c r="AV608" t="s">
        <v>81</v>
      </c>
      <c r="AW608" s="5">
        <f>data_origin!T3179+data_origin!T3417+data_origin!T3655</f>
        <v>0</v>
      </c>
      <c r="AX608" s="5">
        <f>data_origin!U3179+data_origin!U3417+data_origin!U3655</f>
        <v>0</v>
      </c>
      <c r="AY608" s="5">
        <f>data_origin!V3179+data_origin!V3417+data_origin!V3655</f>
        <v>0</v>
      </c>
      <c r="AZ608" s="5">
        <f>data_origin!W3179+data_origin!W3417+data_origin!W3655</f>
        <v>0</v>
      </c>
      <c r="BA608" s="5">
        <f>data_origin!X3179+data_origin!X3417+data_origin!X3655</f>
        <v>0</v>
      </c>
      <c r="BB608" s="5">
        <f>data_origin!Y3179+data_origin!Y3417+data_origin!Y3655</f>
        <v>0</v>
      </c>
      <c r="BC608" s="5">
        <f>data_origin!Z3179+data_origin!Z3417+data_origin!Z3655</f>
        <v>3.0303030303030304E-2</v>
      </c>
      <c r="BD608" s="5">
        <f>data_origin!AA3179+data_origin!AA3417+data_origin!AA3655</f>
        <v>0</v>
      </c>
      <c r="BE608" s="9">
        <f t="shared" si="76"/>
        <v>3.0303030303030304E-2</v>
      </c>
    </row>
    <row r="609" spans="4:57" x14ac:dyDescent="0.25">
      <c r="D609" t="s">
        <v>82</v>
      </c>
      <c r="E609" s="38">
        <f t="shared" si="77"/>
        <v>0</v>
      </c>
      <c r="F609" s="38">
        <f t="shared" si="77"/>
        <v>0</v>
      </c>
      <c r="G609" s="38">
        <f t="shared" si="77"/>
        <v>0</v>
      </c>
      <c r="H609" s="38">
        <f t="shared" si="77"/>
        <v>0</v>
      </c>
      <c r="I609" s="38">
        <f t="shared" si="77"/>
        <v>0</v>
      </c>
      <c r="J609" s="38">
        <f t="shared" si="74"/>
        <v>0</v>
      </c>
      <c r="K609" s="38">
        <f t="shared" si="74"/>
        <v>0</v>
      </c>
      <c r="L609" s="38">
        <f t="shared" si="74"/>
        <v>0</v>
      </c>
      <c r="M609" s="35">
        <f t="shared" si="73"/>
        <v>0</v>
      </c>
      <c r="S609" t="s">
        <v>82</v>
      </c>
      <c r="T609" s="5">
        <f>data_origin!T695</f>
        <v>0</v>
      </c>
      <c r="U609" s="5">
        <f>data_origin!U695</f>
        <v>0</v>
      </c>
      <c r="V609" s="5">
        <f>data_origin!V695</f>
        <v>0</v>
      </c>
      <c r="W609" s="5">
        <f>data_origin!W695</f>
        <v>0</v>
      </c>
      <c r="X609" s="5">
        <f>data_origin!X695</f>
        <v>0</v>
      </c>
      <c r="Y609" s="5">
        <f>data_origin!Y695</f>
        <v>0</v>
      </c>
      <c r="Z609" s="5">
        <f>data_origin!Z695</f>
        <v>0</v>
      </c>
      <c r="AA609" s="5">
        <f>data_origin!AA695</f>
        <v>0</v>
      </c>
      <c r="AB609" s="5">
        <f t="shared" si="78"/>
        <v>0</v>
      </c>
      <c r="AH609" t="s">
        <v>82</v>
      </c>
      <c r="AI609" s="5">
        <f>data_origin!T2466+data_origin!T2704+data_origin!T2942</f>
        <v>0</v>
      </c>
      <c r="AJ609" s="5">
        <f>data_origin!U2466+data_origin!U2704+data_origin!U2942</f>
        <v>0</v>
      </c>
      <c r="AK609" s="5">
        <f>data_origin!V2466+data_origin!V2704+data_origin!V2942</f>
        <v>1.2909090909090908</v>
      </c>
      <c r="AL609" s="5">
        <f>data_origin!W2466+data_origin!W2704+data_origin!W2942</f>
        <v>0</v>
      </c>
      <c r="AM609" s="5">
        <f>data_origin!X2466+data_origin!X2704+data_origin!X2942</f>
        <v>0</v>
      </c>
      <c r="AN609" s="5">
        <f>data_origin!Y2466+data_origin!Y2704+data_origin!Y2942</f>
        <v>0</v>
      </c>
      <c r="AO609" s="5">
        <f>data_origin!Z2466+data_origin!Z2704+data_origin!Z2942</f>
        <v>0</v>
      </c>
      <c r="AP609" s="5">
        <f>data_origin!AA2466+data_origin!AA2704+data_origin!AA2942</f>
        <v>0</v>
      </c>
      <c r="AQ609" s="9">
        <f t="shared" si="75"/>
        <v>1.2909090909090908</v>
      </c>
      <c r="AV609" t="s">
        <v>82</v>
      </c>
      <c r="AW609" s="5">
        <f>data_origin!T3180+data_origin!T3418+data_origin!T3656</f>
        <v>0</v>
      </c>
      <c r="AX609" s="5">
        <f>data_origin!U3180+data_origin!U3418+data_origin!U3656</f>
        <v>0</v>
      </c>
      <c r="AY609" s="5">
        <f>data_origin!V3180+data_origin!V3418+data_origin!V3656</f>
        <v>0</v>
      </c>
      <c r="AZ609" s="5">
        <f>data_origin!W3180+data_origin!W3418+data_origin!W3656</f>
        <v>0</v>
      </c>
      <c r="BA609" s="5">
        <f>data_origin!X3180+data_origin!X3418+data_origin!X3656</f>
        <v>0</v>
      </c>
      <c r="BB609" s="5">
        <f>data_origin!Y3180+data_origin!Y3418+data_origin!Y3656</f>
        <v>0</v>
      </c>
      <c r="BC609" s="5">
        <f>data_origin!Z3180+data_origin!Z3418+data_origin!Z3656</f>
        <v>3.0303030303030304E-2</v>
      </c>
      <c r="BD609" s="5">
        <f>data_origin!AA3180+data_origin!AA3418+data_origin!AA3656</f>
        <v>0</v>
      </c>
      <c r="BE609" s="9">
        <f t="shared" si="76"/>
        <v>3.0303030303030304E-2</v>
      </c>
    </row>
    <row r="610" spans="4:57" x14ac:dyDescent="0.25">
      <c r="D610" t="s">
        <v>83</v>
      </c>
      <c r="E610" s="38">
        <f t="shared" si="77"/>
        <v>0</v>
      </c>
      <c r="F610" s="38">
        <f t="shared" si="77"/>
        <v>0</v>
      </c>
      <c r="G610" s="38">
        <f t="shared" si="77"/>
        <v>0</v>
      </c>
      <c r="H610" s="38">
        <f t="shared" si="77"/>
        <v>0</v>
      </c>
      <c r="I610" s="38">
        <f t="shared" si="77"/>
        <v>0</v>
      </c>
      <c r="J610" s="38">
        <f t="shared" si="74"/>
        <v>0</v>
      </c>
      <c r="K610" s="38">
        <f t="shared" si="74"/>
        <v>0</v>
      </c>
      <c r="L610" s="38">
        <f t="shared" si="74"/>
        <v>0</v>
      </c>
      <c r="M610" s="35">
        <f t="shared" si="73"/>
        <v>0</v>
      </c>
      <c r="S610" t="s">
        <v>83</v>
      </c>
      <c r="T610" s="5">
        <f>data_origin!T696</f>
        <v>0</v>
      </c>
      <c r="U610" s="5">
        <f>data_origin!U696</f>
        <v>0</v>
      </c>
      <c r="V610" s="5">
        <f>data_origin!V696</f>
        <v>0</v>
      </c>
      <c r="W610" s="5">
        <f>data_origin!W696</f>
        <v>0</v>
      </c>
      <c r="X610" s="5">
        <f>data_origin!X696</f>
        <v>0</v>
      </c>
      <c r="Y610" s="5">
        <f>data_origin!Y696</f>
        <v>0</v>
      </c>
      <c r="Z610" s="5">
        <f>data_origin!Z696</f>
        <v>0</v>
      </c>
      <c r="AA610" s="5">
        <f>data_origin!AA696</f>
        <v>0</v>
      </c>
      <c r="AB610" s="5">
        <f t="shared" si="78"/>
        <v>0</v>
      </c>
      <c r="AH610" t="s">
        <v>83</v>
      </c>
      <c r="AI610" s="5">
        <f>data_origin!T2467+data_origin!T2705+data_origin!T2943</f>
        <v>0</v>
      </c>
      <c r="AJ610" s="5">
        <f>data_origin!U2467+data_origin!U2705+data_origin!U2943</f>
        <v>0</v>
      </c>
      <c r="AK610" s="5">
        <f>data_origin!V2467+data_origin!V2705+data_origin!V2943</f>
        <v>9.0909090909090912E-2</v>
      </c>
      <c r="AL610" s="5">
        <f>data_origin!W2467+data_origin!W2705+data_origin!W2943</f>
        <v>0</v>
      </c>
      <c r="AM610" s="5">
        <f>data_origin!X2467+data_origin!X2705+data_origin!X2943</f>
        <v>0</v>
      </c>
      <c r="AN610" s="5">
        <f>data_origin!Y2467+data_origin!Y2705+data_origin!Y2943</f>
        <v>0</v>
      </c>
      <c r="AO610" s="5">
        <f>data_origin!Z2467+data_origin!Z2705+data_origin!Z2943</f>
        <v>0</v>
      </c>
      <c r="AP610" s="5">
        <f>data_origin!AA2467+data_origin!AA2705+data_origin!AA2943</f>
        <v>0</v>
      </c>
      <c r="AQ610" s="9">
        <f t="shared" si="75"/>
        <v>9.0909090909090912E-2</v>
      </c>
      <c r="AV610" t="s">
        <v>83</v>
      </c>
      <c r="AW610" s="5">
        <f>data_origin!T3181+data_origin!T3419+data_origin!T3657</f>
        <v>0</v>
      </c>
      <c r="AX610" s="5">
        <f>data_origin!U3181+data_origin!U3419+data_origin!U3657</f>
        <v>0</v>
      </c>
      <c r="AY610" s="5">
        <f>data_origin!V3181+data_origin!V3419+data_origin!V3657</f>
        <v>0</v>
      </c>
      <c r="AZ610" s="5">
        <f>data_origin!W3181+data_origin!W3419+data_origin!W3657</f>
        <v>0</v>
      </c>
      <c r="BA610" s="5">
        <f>data_origin!X3181+data_origin!X3419+data_origin!X3657</f>
        <v>0</v>
      </c>
      <c r="BB610" s="5">
        <f>data_origin!Y3181+data_origin!Y3419+data_origin!Y3657</f>
        <v>0</v>
      </c>
      <c r="BC610" s="5">
        <f>data_origin!Z3181+data_origin!Z3419+data_origin!Z3657</f>
        <v>1.0303030303030303</v>
      </c>
      <c r="BD610" s="5">
        <f>data_origin!AA3181+data_origin!AA3419+data_origin!AA3657</f>
        <v>0</v>
      </c>
      <c r="BE610" s="9">
        <f t="shared" si="76"/>
        <v>1.0303030303030303</v>
      </c>
    </row>
    <row r="611" spans="4:57" x14ac:dyDescent="0.25">
      <c r="D611" t="s">
        <v>84</v>
      </c>
      <c r="E611" s="38">
        <f t="shared" si="77"/>
        <v>0</v>
      </c>
      <c r="F611" s="38">
        <f t="shared" si="77"/>
        <v>0</v>
      </c>
      <c r="G611" s="38">
        <f t="shared" si="77"/>
        <v>0</v>
      </c>
      <c r="H611" s="38">
        <f t="shared" si="77"/>
        <v>0</v>
      </c>
      <c r="I611" s="38">
        <f t="shared" si="77"/>
        <v>0</v>
      </c>
      <c r="J611" s="38">
        <f t="shared" si="74"/>
        <v>0</v>
      </c>
      <c r="K611" s="38">
        <f t="shared" si="74"/>
        <v>0</v>
      </c>
      <c r="L611" s="38">
        <f t="shared" si="74"/>
        <v>0</v>
      </c>
      <c r="M611" s="35">
        <f t="shared" si="73"/>
        <v>0</v>
      </c>
      <c r="S611" t="s">
        <v>84</v>
      </c>
      <c r="T611" s="5">
        <f>data_origin!T697</f>
        <v>0</v>
      </c>
      <c r="U611" s="5">
        <f>data_origin!U697</f>
        <v>0</v>
      </c>
      <c r="V611" s="5">
        <f>data_origin!V697</f>
        <v>0</v>
      </c>
      <c r="W611" s="5">
        <f>data_origin!W697</f>
        <v>0</v>
      </c>
      <c r="X611" s="5">
        <f>data_origin!X697</f>
        <v>0</v>
      </c>
      <c r="Y611" s="5">
        <f>data_origin!Y697</f>
        <v>0</v>
      </c>
      <c r="Z611" s="5">
        <f>data_origin!Z697</f>
        <v>0</v>
      </c>
      <c r="AA611" s="5">
        <f>data_origin!AA697</f>
        <v>0</v>
      </c>
      <c r="AB611" s="5">
        <f t="shared" si="78"/>
        <v>0</v>
      </c>
      <c r="AH611" t="s">
        <v>84</v>
      </c>
      <c r="AI611" s="5">
        <f>data_origin!T2468+data_origin!T2706+data_origin!T2944</f>
        <v>0</v>
      </c>
      <c r="AJ611" s="5">
        <f>data_origin!U2468+data_origin!U2706+data_origin!U2944</f>
        <v>0</v>
      </c>
      <c r="AK611" s="5">
        <f>data_origin!V2468+data_origin!V2706+data_origin!V2944</f>
        <v>9.0909090909090912E-2</v>
      </c>
      <c r="AL611" s="5">
        <f>data_origin!W2468+data_origin!W2706+data_origin!W2944</f>
        <v>0</v>
      </c>
      <c r="AM611" s="5">
        <f>data_origin!X2468+data_origin!X2706+data_origin!X2944</f>
        <v>0</v>
      </c>
      <c r="AN611" s="5">
        <f>data_origin!Y2468+data_origin!Y2706+data_origin!Y2944</f>
        <v>0</v>
      </c>
      <c r="AO611" s="5">
        <f>data_origin!Z2468+data_origin!Z2706+data_origin!Z2944</f>
        <v>0</v>
      </c>
      <c r="AP611" s="5">
        <f>data_origin!AA2468+data_origin!AA2706+data_origin!AA2944</f>
        <v>0</v>
      </c>
      <c r="AQ611" s="9">
        <f t="shared" si="75"/>
        <v>9.0909090909090912E-2</v>
      </c>
      <c r="AV611" t="s">
        <v>84</v>
      </c>
      <c r="AW611" s="5">
        <f>data_origin!T3182+data_origin!T3420+data_origin!T3658</f>
        <v>0</v>
      </c>
      <c r="AX611" s="5">
        <f>data_origin!U3182+data_origin!U3420+data_origin!U3658</f>
        <v>0</v>
      </c>
      <c r="AY611" s="5">
        <f>data_origin!V3182+data_origin!V3420+data_origin!V3658</f>
        <v>0</v>
      </c>
      <c r="AZ611" s="5">
        <f>data_origin!W3182+data_origin!W3420+data_origin!W3658</f>
        <v>0</v>
      </c>
      <c r="BA611" s="5">
        <f>data_origin!X3182+data_origin!X3420+data_origin!X3658</f>
        <v>0</v>
      </c>
      <c r="BB611" s="5">
        <f>data_origin!Y3182+data_origin!Y3420+data_origin!Y3658</f>
        <v>1</v>
      </c>
      <c r="BC611" s="5">
        <f>data_origin!Z3182+data_origin!Z3420+data_origin!Z3658</f>
        <v>3.0303030303030304E-2</v>
      </c>
      <c r="BD611" s="5">
        <f>data_origin!AA3182+data_origin!AA3420+data_origin!AA3658</f>
        <v>0</v>
      </c>
      <c r="BE611" s="9">
        <f t="shared" si="76"/>
        <v>1.0303030303030303</v>
      </c>
    </row>
    <row r="612" spans="4:57" x14ac:dyDescent="0.25">
      <c r="D612" t="s">
        <v>85</v>
      </c>
      <c r="E612" s="38">
        <f t="shared" si="77"/>
        <v>0</v>
      </c>
      <c r="F612" s="38">
        <f t="shared" si="77"/>
        <v>0</v>
      </c>
      <c r="G612" s="38">
        <f t="shared" si="77"/>
        <v>0</v>
      </c>
      <c r="H612" s="38">
        <f t="shared" si="77"/>
        <v>0</v>
      </c>
      <c r="I612" s="38">
        <f t="shared" si="77"/>
        <v>0</v>
      </c>
      <c r="J612" s="38">
        <f t="shared" si="74"/>
        <v>0</v>
      </c>
      <c r="K612" s="38">
        <f t="shared" si="74"/>
        <v>0</v>
      </c>
      <c r="L612" s="38">
        <f t="shared" si="74"/>
        <v>0</v>
      </c>
      <c r="M612" s="35">
        <f t="shared" si="73"/>
        <v>0</v>
      </c>
      <c r="S612" t="s">
        <v>85</v>
      </c>
      <c r="T612" s="5">
        <f>data_origin!T698</f>
        <v>0</v>
      </c>
      <c r="U612" s="5">
        <f>data_origin!U698</f>
        <v>0</v>
      </c>
      <c r="V612" s="5">
        <f>data_origin!V698</f>
        <v>0</v>
      </c>
      <c r="W612" s="5">
        <f>data_origin!W698</f>
        <v>0</v>
      </c>
      <c r="X612" s="5">
        <f>data_origin!X698</f>
        <v>0</v>
      </c>
      <c r="Y612" s="5">
        <f>data_origin!Y698</f>
        <v>0</v>
      </c>
      <c r="Z612" s="5">
        <f>data_origin!Z698</f>
        <v>0</v>
      </c>
      <c r="AA612" s="5">
        <f>data_origin!AA698</f>
        <v>0</v>
      </c>
      <c r="AB612" s="5">
        <f t="shared" si="78"/>
        <v>0</v>
      </c>
      <c r="AH612" t="s">
        <v>85</v>
      </c>
      <c r="AI612" s="5">
        <f>data_origin!T2469+data_origin!T2707+data_origin!T2945</f>
        <v>0</v>
      </c>
      <c r="AJ612" s="5">
        <f>data_origin!U2469+data_origin!U2707+data_origin!U2945</f>
        <v>0</v>
      </c>
      <c r="AK612" s="5">
        <f>data_origin!V2469+data_origin!V2707+data_origin!V2945</f>
        <v>9.0909090909090912E-2</v>
      </c>
      <c r="AL612" s="5">
        <f>data_origin!W2469+data_origin!W2707+data_origin!W2945</f>
        <v>0</v>
      </c>
      <c r="AM612" s="5">
        <f>data_origin!X2469+data_origin!X2707+data_origin!X2945</f>
        <v>0</v>
      </c>
      <c r="AN612" s="5">
        <f>data_origin!Y2469+data_origin!Y2707+data_origin!Y2945</f>
        <v>0</v>
      </c>
      <c r="AO612" s="5">
        <f>data_origin!Z2469+data_origin!Z2707+data_origin!Z2945</f>
        <v>0</v>
      </c>
      <c r="AP612" s="5">
        <f>data_origin!AA2469+data_origin!AA2707+data_origin!AA2945</f>
        <v>0</v>
      </c>
      <c r="AQ612" s="9">
        <f t="shared" si="75"/>
        <v>9.0909090909090912E-2</v>
      </c>
      <c r="AV612" t="s">
        <v>85</v>
      </c>
      <c r="AW612" s="5">
        <f>data_origin!T3183+data_origin!T3421+data_origin!T3659</f>
        <v>0</v>
      </c>
      <c r="AX612" s="5">
        <f>data_origin!U3183+data_origin!U3421+data_origin!U3659</f>
        <v>0</v>
      </c>
      <c r="AY612" s="5">
        <f>data_origin!V3183+data_origin!V3421+data_origin!V3659</f>
        <v>1.25</v>
      </c>
      <c r="AZ612" s="5">
        <f>data_origin!W3183+data_origin!W3421+data_origin!W3659</f>
        <v>4.0428571428571427</v>
      </c>
      <c r="BA612" s="5">
        <f>data_origin!X3183+data_origin!X3421+data_origin!X3659</f>
        <v>0</v>
      </c>
      <c r="BB612" s="5">
        <f>data_origin!Y3183+data_origin!Y3421+data_origin!Y3659</f>
        <v>0</v>
      </c>
      <c r="BC612" s="5">
        <f>data_origin!Z3183+data_origin!Z3421+data_origin!Z3659</f>
        <v>3.0303030303030304E-2</v>
      </c>
      <c r="BD612" s="5">
        <f>data_origin!AA3183+data_origin!AA3421+data_origin!AA3659</f>
        <v>0</v>
      </c>
      <c r="BE612" s="9">
        <f t="shared" si="76"/>
        <v>5.323160173160173</v>
      </c>
    </row>
    <row r="613" spans="4:57" x14ac:dyDescent="0.25">
      <c r="D613" t="s">
        <v>86</v>
      </c>
      <c r="E613" s="38">
        <f t="shared" si="77"/>
        <v>0</v>
      </c>
      <c r="F613" s="38">
        <f t="shared" si="77"/>
        <v>0</v>
      </c>
      <c r="G613" s="38">
        <f t="shared" si="77"/>
        <v>0</v>
      </c>
      <c r="H613" s="38">
        <f t="shared" si="77"/>
        <v>0</v>
      </c>
      <c r="I613" s="38">
        <f t="shared" si="77"/>
        <v>0</v>
      </c>
      <c r="J613" s="38">
        <f t="shared" si="74"/>
        <v>0</v>
      </c>
      <c r="K613" s="38">
        <f t="shared" si="74"/>
        <v>0</v>
      </c>
      <c r="L613" s="38">
        <f t="shared" si="74"/>
        <v>0</v>
      </c>
      <c r="M613" s="35">
        <f t="shared" si="73"/>
        <v>0</v>
      </c>
      <c r="S613" t="s">
        <v>86</v>
      </c>
      <c r="T613" s="5">
        <f>data_origin!T699</f>
        <v>0</v>
      </c>
      <c r="U613" s="5">
        <f>data_origin!U699</f>
        <v>0</v>
      </c>
      <c r="V613" s="5">
        <f>data_origin!V699</f>
        <v>0</v>
      </c>
      <c r="W613" s="5">
        <f>data_origin!W699</f>
        <v>0</v>
      </c>
      <c r="X613" s="5">
        <f>data_origin!X699</f>
        <v>0</v>
      </c>
      <c r="Y613" s="5">
        <f>data_origin!Y699</f>
        <v>0</v>
      </c>
      <c r="Z613" s="5">
        <f>data_origin!Z699</f>
        <v>0</v>
      </c>
      <c r="AA613" s="5">
        <f>data_origin!AA699</f>
        <v>0</v>
      </c>
      <c r="AB613" s="5">
        <f t="shared" si="78"/>
        <v>0</v>
      </c>
      <c r="AH613" t="s">
        <v>86</v>
      </c>
      <c r="AI613" s="5">
        <f>data_origin!T2470+data_origin!T2708+data_origin!T2946</f>
        <v>0</v>
      </c>
      <c r="AJ613" s="5">
        <f>data_origin!U2470+data_origin!U2708+data_origin!U2946</f>
        <v>0</v>
      </c>
      <c r="AK613" s="5">
        <f>data_origin!V2470+data_origin!V2708+data_origin!V2946</f>
        <v>7.290909090909091</v>
      </c>
      <c r="AL613" s="5">
        <f>data_origin!W2470+data_origin!W2708+data_origin!W2946</f>
        <v>10.666666666666666</v>
      </c>
      <c r="AM613" s="5">
        <f>data_origin!X2470+data_origin!X2708+data_origin!X2946</f>
        <v>13.222222222222221</v>
      </c>
      <c r="AN613" s="5">
        <f>data_origin!Y2470+data_origin!Y2708+data_origin!Y2946</f>
        <v>1.6</v>
      </c>
      <c r="AO613" s="5">
        <f>data_origin!Z2470+data_origin!Z2708+data_origin!Z2946</f>
        <v>0</v>
      </c>
      <c r="AP613" s="5">
        <f>data_origin!AA2470+data_origin!AA2708+data_origin!AA2946</f>
        <v>0</v>
      </c>
      <c r="AQ613" s="9">
        <f t="shared" si="75"/>
        <v>32.779797979797976</v>
      </c>
      <c r="AV613" t="s">
        <v>86</v>
      </c>
      <c r="AW613" s="5">
        <f>data_origin!T3184+data_origin!T3422+data_origin!T3660</f>
        <v>0</v>
      </c>
      <c r="AX613" s="5">
        <f>data_origin!U3184+data_origin!U3422+data_origin!U3660</f>
        <v>0</v>
      </c>
      <c r="AY613" s="5">
        <f>data_origin!V3184+data_origin!V3422+data_origin!V3660</f>
        <v>3.25</v>
      </c>
      <c r="AZ613" s="5">
        <f>data_origin!W3184+data_origin!W3422+data_origin!W3660</f>
        <v>3.8</v>
      </c>
      <c r="BA613" s="5">
        <f>data_origin!X3184+data_origin!X3422+data_origin!X3660</f>
        <v>3</v>
      </c>
      <c r="BB613" s="5">
        <f>data_origin!Y3184+data_origin!Y3422+data_origin!Y3660</f>
        <v>0</v>
      </c>
      <c r="BC613" s="5">
        <f>data_origin!Z3184+data_origin!Z3422+data_origin!Z3660</f>
        <v>3.0303030303030304E-2</v>
      </c>
      <c r="BD613" s="5">
        <f>data_origin!AA3184+data_origin!AA3422+data_origin!AA3660</f>
        <v>0</v>
      </c>
      <c r="BE613" s="9">
        <f t="shared" si="76"/>
        <v>10.080303030303032</v>
      </c>
    </row>
    <row r="614" spans="4:57" x14ac:dyDescent="0.25">
      <c r="D614" t="s">
        <v>87</v>
      </c>
      <c r="E614" s="38">
        <f t="shared" si="77"/>
        <v>0</v>
      </c>
      <c r="F614" s="38">
        <f t="shared" si="77"/>
        <v>0</v>
      </c>
      <c r="G614" s="38">
        <f t="shared" si="77"/>
        <v>0</v>
      </c>
      <c r="H614" s="38">
        <f t="shared" si="77"/>
        <v>0</v>
      </c>
      <c r="I614" s="38">
        <f t="shared" si="77"/>
        <v>0</v>
      </c>
      <c r="J614" s="38">
        <f t="shared" si="74"/>
        <v>0</v>
      </c>
      <c r="K614" s="38">
        <f t="shared" si="74"/>
        <v>0</v>
      </c>
      <c r="L614" s="38">
        <f t="shared" si="74"/>
        <v>0</v>
      </c>
      <c r="M614" s="35">
        <f t="shared" si="73"/>
        <v>0</v>
      </c>
      <c r="S614" t="s">
        <v>87</v>
      </c>
      <c r="T614" s="5">
        <f>data_origin!T700</f>
        <v>0</v>
      </c>
      <c r="U614" s="5">
        <f>data_origin!U700</f>
        <v>0</v>
      </c>
      <c r="V614" s="5">
        <f>data_origin!V700</f>
        <v>0</v>
      </c>
      <c r="W614" s="5">
        <f>data_origin!W700</f>
        <v>0</v>
      </c>
      <c r="X614" s="5">
        <f>data_origin!X700</f>
        <v>0</v>
      </c>
      <c r="Y614" s="5">
        <f>data_origin!Y700</f>
        <v>0</v>
      </c>
      <c r="Z614" s="5">
        <f>data_origin!Z700</f>
        <v>0</v>
      </c>
      <c r="AA614" s="5">
        <f>data_origin!AA700</f>
        <v>0</v>
      </c>
      <c r="AB614" s="5">
        <f t="shared" si="78"/>
        <v>0</v>
      </c>
      <c r="AH614" t="s">
        <v>87</v>
      </c>
      <c r="AI614" s="5">
        <f>data_origin!T2471+data_origin!T2709+data_origin!T2947</f>
        <v>0</v>
      </c>
      <c r="AJ614" s="5">
        <f>data_origin!U2471+data_origin!U2709+data_origin!U2947</f>
        <v>0</v>
      </c>
      <c r="AK614" s="5">
        <f>data_origin!V2471+data_origin!V2709+data_origin!V2947</f>
        <v>9.0909090909090912E-2</v>
      </c>
      <c r="AL614" s="5">
        <f>data_origin!W2471+data_origin!W2709+data_origin!W2947</f>
        <v>4.3333333333333339</v>
      </c>
      <c r="AM614" s="5">
        <f>data_origin!X2471+data_origin!X2709+data_origin!X2947</f>
        <v>1.375</v>
      </c>
      <c r="AN614" s="5">
        <f>data_origin!Y2471+data_origin!Y2709+data_origin!Y2947</f>
        <v>0</v>
      </c>
      <c r="AO614" s="5">
        <f>data_origin!Z2471+data_origin!Z2709+data_origin!Z2947</f>
        <v>0</v>
      </c>
      <c r="AP614" s="5">
        <f>data_origin!AA2471+data_origin!AA2709+data_origin!AA2947</f>
        <v>0</v>
      </c>
      <c r="AQ614" s="9">
        <f t="shared" si="75"/>
        <v>5.7992424242424248</v>
      </c>
      <c r="AV614" t="s">
        <v>87</v>
      </c>
      <c r="AW614" s="5">
        <f>data_origin!T3185+data_origin!T3423+data_origin!T3661</f>
        <v>0</v>
      </c>
      <c r="AX614" s="5">
        <f>data_origin!U3185+data_origin!U3423+data_origin!U3661</f>
        <v>0</v>
      </c>
      <c r="AY614" s="5">
        <f>data_origin!V3185+data_origin!V3423+data_origin!V3661</f>
        <v>0</v>
      </c>
      <c r="AZ614" s="5">
        <f>data_origin!W3185+data_origin!W3423+data_origin!W3661</f>
        <v>4.2857142857142856</v>
      </c>
      <c r="BA614" s="5">
        <f>data_origin!X3185+data_origin!X3423+data_origin!X3661</f>
        <v>0</v>
      </c>
      <c r="BB614" s="5">
        <f>data_origin!Y3185+data_origin!Y3423+data_origin!Y3661</f>
        <v>0</v>
      </c>
      <c r="BC614" s="5">
        <f>data_origin!Z3185+data_origin!Z3423+data_origin!Z3661</f>
        <v>3.0303030303030304E-2</v>
      </c>
      <c r="BD614" s="5">
        <f>data_origin!AA3185+data_origin!AA3423+data_origin!AA3661</f>
        <v>0</v>
      </c>
      <c r="BE614" s="9">
        <f t="shared" si="76"/>
        <v>4.3160173160173159</v>
      </c>
    </row>
    <row r="615" spans="4:57" x14ac:dyDescent="0.25">
      <c r="D615" t="s">
        <v>88</v>
      </c>
      <c r="E615" s="38">
        <f t="shared" si="77"/>
        <v>0</v>
      </c>
      <c r="F615" s="38">
        <f t="shared" si="77"/>
        <v>0</v>
      </c>
      <c r="G615" s="38">
        <f t="shared" si="77"/>
        <v>0</v>
      </c>
      <c r="H615" s="38">
        <f t="shared" si="77"/>
        <v>0</v>
      </c>
      <c r="I615" s="38">
        <f t="shared" si="77"/>
        <v>0</v>
      </c>
      <c r="J615" s="38">
        <f t="shared" si="74"/>
        <v>0</v>
      </c>
      <c r="K615" s="38">
        <f t="shared" si="74"/>
        <v>0</v>
      </c>
      <c r="L615" s="38">
        <f t="shared" si="74"/>
        <v>0</v>
      </c>
      <c r="M615" s="35">
        <f t="shared" si="73"/>
        <v>0</v>
      </c>
      <c r="S615" t="s">
        <v>88</v>
      </c>
      <c r="T615" s="5">
        <f>data_origin!T701</f>
        <v>0</v>
      </c>
      <c r="U615" s="5">
        <f>data_origin!U701</f>
        <v>0</v>
      </c>
      <c r="V615" s="5">
        <f>data_origin!V701</f>
        <v>0</v>
      </c>
      <c r="W615" s="5">
        <f>data_origin!W701</f>
        <v>0</v>
      </c>
      <c r="X615" s="5">
        <f>data_origin!X701</f>
        <v>0</v>
      </c>
      <c r="Y615" s="5">
        <f>data_origin!Y701</f>
        <v>0</v>
      </c>
      <c r="Z615" s="5">
        <f>data_origin!Z701</f>
        <v>0</v>
      </c>
      <c r="AA615" s="5">
        <f>data_origin!AA701</f>
        <v>0</v>
      </c>
      <c r="AB615" s="5">
        <f t="shared" si="78"/>
        <v>0</v>
      </c>
      <c r="AH615" t="s">
        <v>88</v>
      </c>
      <c r="AI615" s="5">
        <f>data_origin!T2472+data_origin!T2710+data_origin!T2948</f>
        <v>0</v>
      </c>
      <c r="AJ615" s="5">
        <f>data_origin!U2472+data_origin!U2710+data_origin!U2948</f>
        <v>0</v>
      </c>
      <c r="AK615" s="5">
        <f>data_origin!V2472+data_origin!V2710+data_origin!V2948</f>
        <v>7.290909090909091</v>
      </c>
      <c r="AL615" s="5">
        <f>data_origin!W2472+data_origin!W2710+data_origin!W2948</f>
        <v>12.600000000000001</v>
      </c>
      <c r="AM615" s="5">
        <f>data_origin!X2472+data_origin!X2710+data_origin!X2948</f>
        <v>7.1944444444444446</v>
      </c>
      <c r="AN615" s="5">
        <f>data_origin!Y2472+data_origin!Y2710+data_origin!Y2948</f>
        <v>0</v>
      </c>
      <c r="AO615" s="5">
        <f>data_origin!Z2472+data_origin!Z2710+data_origin!Z2948</f>
        <v>0</v>
      </c>
      <c r="AP615" s="5">
        <f>data_origin!AA2472+data_origin!AA2710+data_origin!AA2948</f>
        <v>0</v>
      </c>
      <c r="AQ615" s="9">
        <f t="shared" si="75"/>
        <v>27.085353535353534</v>
      </c>
      <c r="AV615" t="s">
        <v>88</v>
      </c>
      <c r="AW615" s="5">
        <f>data_origin!T3186+data_origin!T3424+data_origin!T3662</f>
        <v>0</v>
      </c>
      <c r="AX615" s="5">
        <f>data_origin!U3186+data_origin!U3424+data_origin!U3662</f>
        <v>0</v>
      </c>
      <c r="AY615" s="5">
        <f>data_origin!V3186+data_origin!V3424+data_origin!V3662</f>
        <v>7</v>
      </c>
      <c r="AZ615" s="5">
        <f>data_origin!W3186+data_origin!W3424+data_origin!W3662</f>
        <v>7.6</v>
      </c>
      <c r="BA615" s="5">
        <f>data_origin!X3186+data_origin!X3424+data_origin!X3662</f>
        <v>0</v>
      </c>
      <c r="BB615" s="5">
        <f>data_origin!Y3186+data_origin!Y3424+data_origin!Y3662</f>
        <v>0</v>
      </c>
      <c r="BC615" s="5">
        <f>data_origin!Z3186+data_origin!Z3424+data_origin!Z3662</f>
        <v>3.0303030303030304E-2</v>
      </c>
      <c r="BD615" s="5">
        <f>data_origin!AA3186+data_origin!AA3424+data_origin!AA3662</f>
        <v>0</v>
      </c>
      <c r="BE615" s="9">
        <f t="shared" si="76"/>
        <v>14.630303030303031</v>
      </c>
    </row>
    <row r="616" spans="4:57" x14ac:dyDescent="0.25">
      <c r="D616" t="s">
        <v>89</v>
      </c>
      <c r="E616" s="38">
        <f t="shared" si="77"/>
        <v>0</v>
      </c>
      <c r="F616" s="38">
        <f t="shared" si="77"/>
        <v>0</v>
      </c>
      <c r="G616" s="38">
        <f t="shared" si="77"/>
        <v>0</v>
      </c>
      <c r="H616" s="38">
        <f t="shared" si="77"/>
        <v>0</v>
      </c>
      <c r="I616" s="38">
        <f t="shared" si="77"/>
        <v>0</v>
      </c>
      <c r="J616" s="38">
        <f t="shared" si="74"/>
        <v>0</v>
      </c>
      <c r="K616" s="38">
        <f t="shared" si="74"/>
        <v>0</v>
      </c>
      <c r="L616" s="38">
        <f t="shared" si="74"/>
        <v>0</v>
      </c>
      <c r="M616" s="35">
        <f t="shared" si="73"/>
        <v>0</v>
      </c>
      <c r="S616" t="s">
        <v>89</v>
      </c>
      <c r="T616" s="5">
        <f>data_origin!T702</f>
        <v>0</v>
      </c>
      <c r="U616" s="5">
        <f>data_origin!U702</f>
        <v>0</v>
      </c>
      <c r="V616" s="5">
        <f>data_origin!V702</f>
        <v>0</v>
      </c>
      <c r="W616" s="5">
        <f>data_origin!W702</f>
        <v>0</v>
      </c>
      <c r="X616" s="5">
        <f>data_origin!X702</f>
        <v>0</v>
      </c>
      <c r="Y616" s="5">
        <f>data_origin!Y702</f>
        <v>0</v>
      </c>
      <c r="Z616" s="5">
        <f>data_origin!Z702</f>
        <v>0</v>
      </c>
      <c r="AA616" s="5">
        <f>data_origin!AA702</f>
        <v>0</v>
      </c>
      <c r="AB616" s="5">
        <f t="shared" si="78"/>
        <v>0</v>
      </c>
      <c r="AH616" t="s">
        <v>89</v>
      </c>
      <c r="AI616" s="5">
        <f>data_origin!T2473+data_origin!T2711+data_origin!T2949</f>
        <v>0</v>
      </c>
      <c r="AJ616" s="5">
        <f>data_origin!U2473+data_origin!U2711+data_origin!U2949</f>
        <v>0</v>
      </c>
      <c r="AK616" s="5">
        <f>data_origin!V2473+data_origin!V2711+data_origin!V2949</f>
        <v>9.0909090909090912E-2</v>
      </c>
      <c r="AL616" s="5">
        <f>data_origin!W2473+data_origin!W2711+data_origin!W2949</f>
        <v>6.2666666666666675</v>
      </c>
      <c r="AM616" s="5">
        <f>data_origin!X2473+data_origin!X2711+data_origin!X2949</f>
        <v>1.6666666666666665</v>
      </c>
      <c r="AN616" s="5">
        <f>data_origin!Y2473+data_origin!Y2711+data_origin!Y2949</f>
        <v>2</v>
      </c>
      <c r="AO616" s="5">
        <f>data_origin!Z2473+data_origin!Z2711+data_origin!Z2949</f>
        <v>0</v>
      </c>
      <c r="AP616" s="5">
        <f>data_origin!AA2473+data_origin!AA2711+data_origin!AA2949</f>
        <v>0</v>
      </c>
      <c r="AQ616" s="9">
        <f t="shared" si="75"/>
        <v>10.024242424242425</v>
      </c>
      <c r="AV616" t="s">
        <v>89</v>
      </c>
      <c r="AW616" s="5">
        <f>data_origin!T3187+data_origin!T3425+data_origin!T3663</f>
        <v>0</v>
      </c>
      <c r="AX616" s="5">
        <f>data_origin!U3187+data_origin!U3425+data_origin!U3663</f>
        <v>0</v>
      </c>
      <c r="AY616" s="5">
        <f>data_origin!V3187+data_origin!V3425+data_origin!V3663</f>
        <v>0</v>
      </c>
      <c r="AZ616" s="5">
        <f>data_origin!W3187+data_origin!W3425+data_origin!W3663</f>
        <v>0</v>
      </c>
      <c r="BA616" s="5">
        <f>data_origin!X3187+data_origin!X3425+data_origin!X3663</f>
        <v>0</v>
      </c>
      <c r="BB616" s="5">
        <f>data_origin!Y3187+data_origin!Y3425+data_origin!Y3663</f>
        <v>0</v>
      </c>
      <c r="BC616" s="5">
        <f>data_origin!Z3187+data_origin!Z3425+data_origin!Z3663</f>
        <v>3.0303030303030304E-2</v>
      </c>
      <c r="BD616" s="5">
        <f>data_origin!AA3187+data_origin!AA3425+data_origin!AA3663</f>
        <v>0</v>
      </c>
      <c r="BE616" s="9">
        <f t="shared" si="76"/>
        <v>3.0303030303030304E-2</v>
      </c>
    </row>
    <row r="617" spans="4:57" x14ac:dyDescent="0.25">
      <c r="D617" t="s">
        <v>90</v>
      </c>
      <c r="E617" s="38">
        <f t="shared" si="77"/>
        <v>0</v>
      </c>
      <c r="F617" s="38">
        <f t="shared" si="77"/>
        <v>0</v>
      </c>
      <c r="G617" s="38">
        <f t="shared" si="77"/>
        <v>0</v>
      </c>
      <c r="H617" s="38">
        <f t="shared" si="77"/>
        <v>0</v>
      </c>
      <c r="I617" s="38">
        <f t="shared" si="77"/>
        <v>0</v>
      </c>
      <c r="J617" s="38">
        <f t="shared" si="74"/>
        <v>0</v>
      </c>
      <c r="K617" s="38">
        <f t="shared" si="74"/>
        <v>0</v>
      </c>
      <c r="L617" s="38">
        <f t="shared" si="74"/>
        <v>0</v>
      </c>
      <c r="M617" s="35">
        <f t="shared" si="73"/>
        <v>0</v>
      </c>
      <c r="S617" t="s">
        <v>90</v>
      </c>
      <c r="T617" s="5">
        <f>data_origin!T703</f>
        <v>0</v>
      </c>
      <c r="U617" s="5">
        <f>data_origin!U703</f>
        <v>0</v>
      </c>
      <c r="V617" s="5">
        <f>data_origin!V703</f>
        <v>0</v>
      </c>
      <c r="W617" s="5">
        <f>data_origin!W703</f>
        <v>0</v>
      </c>
      <c r="X617" s="5">
        <f>data_origin!X703</f>
        <v>0</v>
      </c>
      <c r="Y617" s="5">
        <f>data_origin!Y703</f>
        <v>0</v>
      </c>
      <c r="Z617" s="5">
        <f>data_origin!Z703</f>
        <v>0</v>
      </c>
      <c r="AA617" s="5">
        <f>data_origin!AA703</f>
        <v>0</v>
      </c>
      <c r="AB617" s="5">
        <f t="shared" si="78"/>
        <v>0</v>
      </c>
      <c r="AH617" t="s">
        <v>90</v>
      </c>
      <c r="AI617" s="5">
        <f>data_origin!T2474+data_origin!T2712+data_origin!T2950</f>
        <v>0</v>
      </c>
      <c r="AJ617" s="5">
        <f>data_origin!U2474+data_origin!U2712+data_origin!U2950</f>
        <v>0</v>
      </c>
      <c r="AK617" s="5">
        <f>data_origin!V2474+data_origin!V2712+data_origin!V2950</f>
        <v>9.0909090909090912E-2</v>
      </c>
      <c r="AL617" s="5">
        <f>data_origin!W2474+data_origin!W2712+data_origin!W2950</f>
        <v>0</v>
      </c>
      <c r="AM617" s="5">
        <f>data_origin!X2474+data_origin!X2712+data_origin!X2950</f>
        <v>0</v>
      </c>
      <c r="AN617" s="5">
        <f>data_origin!Y2474+data_origin!Y2712+data_origin!Y2950</f>
        <v>0</v>
      </c>
      <c r="AO617" s="5">
        <f>data_origin!Z2474+data_origin!Z2712+data_origin!Z2950</f>
        <v>0</v>
      </c>
      <c r="AP617" s="5">
        <f>data_origin!AA2474+data_origin!AA2712+data_origin!AA2950</f>
        <v>0</v>
      </c>
      <c r="AQ617" s="9">
        <f t="shared" si="75"/>
        <v>9.0909090909090912E-2</v>
      </c>
      <c r="AV617" t="s">
        <v>90</v>
      </c>
      <c r="AW617" s="5">
        <f>data_origin!T3188+data_origin!T3426+data_origin!T3664</f>
        <v>0</v>
      </c>
      <c r="AX617" s="5">
        <f>data_origin!U3188+data_origin!U3426+data_origin!U3664</f>
        <v>0</v>
      </c>
      <c r="AY617" s="5">
        <f>data_origin!V3188+data_origin!V3426+data_origin!V3664</f>
        <v>0</v>
      </c>
      <c r="AZ617" s="5">
        <f>data_origin!W3188+data_origin!W3426+data_origin!W3664</f>
        <v>0</v>
      </c>
      <c r="BA617" s="5">
        <f>data_origin!X3188+data_origin!X3426+data_origin!X3664</f>
        <v>0</v>
      </c>
      <c r="BB617" s="5">
        <f>data_origin!Y3188+data_origin!Y3426+data_origin!Y3664</f>
        <v>0</v>
      </c>
      <c r="BC617" s="5">
        <f>data_origin!Z3188+data_origin!Z3426+data_origin!Z3664</f>
        <v>3.0303030303030304E-2</v>
      </c>
      <c r="BD617" s="5">
        <f>data_origin!AA3188+data_origin!AA3426+data_origin!AA3664</f>
        <v>0</v>
      </c>
      <c r="BE617" s="9">
        <f t="shared" si="76"/>
        <v>3.0303030303030304E-2</v>
      </c>
    </row>
    <row r="618" spans="4:57" x14ac:dyDescent="0.25">
      <c r="D618" t="s">
        <v>91</v>
      </c>
      <c r="E618" s="38">
        <f t="shared" si="77"/>
        <v>0</v>
      </c>
      <c r="F618" s="38">
        <f t="shared" si="77"/>
        <v>0</v>
      </c>
      <c r="G618" s="38">
        <f t="shared" si="77"/>
        <v>0</v>
      </c>
      <c r="H618" s="38">
        <f t="shared" si="77"/>
        <v>0</v>
      </c>
      <c r="I618" s="38">
        <f t="shared" si="77"/>
        <v>0</v>
      </c>
      <c r="J618" s="38">
        <f t="shared" si="74"/>
        <v>0</v>
      </c>
      <c r="K618" s="38">
        <f t="shared" si="74"/>
        <v>0</v>
      </c>
      <c r="L618" s="38">
        <f t="shared" si="74"/>
        <v>0</v>
      </c>
      <c r="M618" s="35">
        <f t="shared" si="73"/>
        <v>0</v>
      </c>
      <c r="S618" t="s">
        <v>91</v>
      </c>
      <c r="T618" s="5">
        <f>data_origin!T704</f>
        <v>0</v>
      </c>
      <c r="U618" s="5">
        <f>data_origin!U704</f>
        <v>0</v>
      </c>
      <c r="V618" s="5">
        <f>data_origin!V704</f>
        <v>0</v>
      </c>
      <c r="W618" s="5">
        <f>data_origin!W704</f>
        <v>0</v>
      </c>
      <c r="X618" s="5">
        <f>data_origin!X704</f>
        <v>0</v>
      </c>
      <c r="Y618" s="5">
        <f>data_origin!Y704</f>
        <v>0</v>
      </c>
      <c r="Z618" s="5">
        <f>data_origin!Z704</f>
        <v>0</v>
      </c>
      <c r="AA618" s="5">
        <f>data_origin!AA704</f>
        <v>0</v>
      </c>
      <c r="AB618" s="5">
        <f t="shared" si="78"/>
        <v>0</v>
      </c>
      <c r="AH618" t="s">
        <v>91</v>
      </c>
      <c r="AI618" s="5">
        <f>data_origin!T2475+data_origin!T2713+data_origin!T2951</f>
        <v>0</v>
      </c>
      <c r="AJ618" s="5">
        <f>data_origin!U2475+data_origin!U2713+data_origin!U2951</f>
        <v>0</v>
      </c>
      <c r="AK618" s="5">
        <f>data_origin!V2475+data_origin!V2713+data_origin!V2951</f>
        <v>9.0909090909090912E-2</v>
      </c>
      <c r="AL618" s="5">
        <f>data_origin!W2475+data_origin!W2713+data_origin!W2951</f>
        <v>0</v>
      </c>
      <c r="AM618" s="5">
        <f>data_origin!X2475+data_origin!X2713+data_origin!X2951</f>
        <v>0</v>
      </c>
      <c r="AN618" s="5">
        <f>data_origin!Y2475+data_origin!Y2713+data_origin!Y2951</f>
        <v>0</v>
      </c>
      <c r="AO618" s="5">
        <f>data_origin!Z2475+data_origin!Z2713+data_origin!Z2951</f>
        <v>0</v>
      </c>
      <c r="AP618" s="5">
        <f>data_origin!AA2475+data_origin!AA2713+data_origin!AA2951</f>
        <v>0</v>
      </c>
      <c r="AQ618" s="9">
        <f t="shared" si="75"/>
        <v>9.0909090909090912E-2</v>
      </c>
      <c r="AV618" t="s">
        <v>91</v>
      </c>
      <c r="AW618" s="5">
        <f>data_origin!T3189+data_origin!T3427+data_origin!T3665</f>
        <v>0</v>
      </c>
      <c r="AX618" s="5">
        <f>data_origin!U3189+data_origin!U3427+data_origin!U3665</f>
        <v>0</v>
      </c>
      <c r="AY618" s="5">
        <f>data_origin!V3189+data_origin!V3427+data_origin!V3665</f>
        <v>0</v>
      </c>
      <c r="AZ618" s="5">
        <f>data_origin!W3189+data_origin!W3427+data_origin!W3665</f>
        <v>0</v>
      </c>
      <c r="BA618" s="5">
        <f>data_origin!X3189+data_origin!X3427+data_origin!X3665</f>
        <v>0</v>
      </c>
      <c r="BB618" s="5">
        <f>data_origin!Y3189+data_origin!Y3427+data_origin!Y3665</f>
        <v>0</v>
      </c>
      <c r="BC618" s="5">
        <f>data_origin!Z3189+data_origin!Z3427+data_origin!Z3665</f>
        <v>1.0303030303030303</v>
      </c>
      <c r="BD618" s="5">
        <f>data_origin!AA3189+data_origin!AA3427+data_origin!AA3665</f>
        <v>0</v>
      </c>
      <c r="BE618" s="9">
        <f t="shared" si="76"/>
        <v>1.0303030303030303</v>
      </c>
    </row>
    <row r="619" spans="4:57" x14ac:dyDescent="0.25">
      <c r="D619" t="s">
        <v>92</v>
      </c>
      <c r="E619" s="38">
        <f t="shared" si="77"/>
        <v>0</v>
      </c>
      <c r="F619" s="38">
        <f t="shared" si="77"/>
        <v>0</v>
      </c>
      <c r="G619" s="38">
        <f t="shared" si="77"/>
        <v>0</v>
      </c>
      <c r="H619" s="38">
        <f t="shared" si="77"/>
        <v>0</v>
      </c>
      <c r="I619" s="38">
        <f t="shared" si="77"/>
        <v>0</v>
      </c>
      <c r="J619" s="38">
        <f t="shared" si="74"/>
        <v>0</v>
      </c>
      <c r="K619" s="38">
        <f t="shared" si="74"/>
        <v>0</v>
      </c>
      <c r="L619" s="38">
        <f t="shared" si="74"/>
        <v>0</v>
      </c>
      <c r="M619" s="35">
        <f t="shared" si="73"/>
        <v>0</v>
      </c>
      <c r="S619" t="s">
        <v>92</v>
      </c>
      <c r="T619" s="5">
        <f>data_origin!T705</f>
        <v>0</v>
      </c>
      <c r="U619" s="5">
        <f>data_origin!U705</f>
        <v>0</v>
      </c>
      <c r="V619" s="5">
        <f>data_origin!V705</f>
        <v>0</v>
      </c>
      <c r="W619" s="5">
        <f>data_origin!W705</f>
        <v>0</v>
      </c>
      <c r="X619" s="5">
        <f>data_origin!X705</f>
        <v>0</v>
      </c>
      <c r="Y619" s="5">
        <f>data_origin!Y705</f>
        <v>0</v>
      </c>
      <c r="Z619" s="5">
        <f>data_origin!Z705</f>
        <v>0</v>
      </c>
      <c r="AA619" s="5">
        <f>data_origin!AA705</f>
        <v>0</v>
      </c>
      <c r="AB619" s="5">
        <f t="shared" si="78"/>
        <v>0</v>
      </c>
      <c r="AH619" t="s">
        <v>92</v>
      </c>
      <c r="AI619" s="5">
        <f>data_origin!T2476+data_origin!T2714+data_origin!T2952</f>
        <v>0</v>
      </c>
      <c r="AJ619" s="5">
        <f>data_origin!U2476+data_origin!U2714+data_origin!U2952</f>
        <v>0</v>
      </c>
      <c r="AK619" s="5">
        <f>data_origin!V2476+data_origin!V2714+data_origin!V2952</f>
        <v>9.0909090909090912E-2</v>
      </c>
      <c r="AL619" s="5">
        <f>data_origin!W2476+data_origin!W2714+data_origin!W2952</f>
        <v>0</v>
      </c>
      <c r="AM619" s="5">
        <f>data_origin!X2476+data_origin!X2714+data_origin!X2952</f>
        <v>0</v>
      </c>
      <c r="AN619" s="5">
        <f>data_origin!Y2476+data_origin!Y2714+data_origin!Y2952</f>
        <v>0</v>
      </c>
      <c r="AO619" s="5">
        <f>data_origin!Z2476+data_origin!Z2714+data_origin!Z2952</f>
        <v>0</v>
      </c>
      <c r="AP619" s="5">
        <f>data_origin!AA2476+data_origin!AA2714+data_origin!AA2952</f>
        <v>0</v>
      </c>
      <c r="AQ619" s="9">
        <f t="shared" si="75"/>
        <v>9.0909090909090912E-2</v>
      </c>
      <c r="AV619" t="s">
        <v>92</v>
      </c>
      <c r="AW619" s="5">
        <f>data_origin!T3190+data_origin!T3428+data_origin!T3666</f>
        <v>0</v>
      </c>
      <c r="AX619" s="5">
        <f>data_origin!U3190+data_origin!U3428+data_origin!U3666</f>
        <v>0</v>
      </c>
      <c r="AY619" s="5">
        <f>data_origin!V3190+data_origin!V3428+data_origin!V3666</f>
        <v>0</v>
      </c>
      <c r="AZ619" s="5">
        <f>data_origin!W3190+data_origin!W3428+data_origin!W3666</f>
        <v>0</v>
      </c>
      <c r="BA619" s="5">
        <f>data_origin!X3190+data_origin!X3428+data_origin!X3666</f>
        <v>0</v>
      </c>
      <c r="BB619" s="5">
        <f>data_origin!Y3190+data_origin!Y3428+data_origin!Y3666</f>
        <v>0</v>
      </c>
      <c r="BC619" s="5">
        <f>data_origin!Z3190+data_origin!Z3428+data_origin!Z3666</f>
        <v>3.0303030303030304E-2</v>
      </c>
      <c r="BD619" s="5">
        <f>data_origin!AA3190+data_origin!AA3428+data_origin!AA3666</f>
        <v>0</v>
      </c>
      <c r="BE619" s="9">
        <f t="shared" si="76"/>
        <v>3.0303030303030304E-2</v>
      </c>
    </row>
    <row r="620" spans="4:57" x14ac:dyDescent="0.25">
      <c r="D620" t="s">
        <v>93</v>
      </c>
      <c r="E620" s="38">
        <f t="shared" si="77"/>
        <v>0</v>
      </c>
      <c r="F620" s="38">
        <f t="shared" si="77"/>
        <v>0</v>
      </c>
      <c r="G620" s="38">
        <f t="shared" si="77"/>
        <v>0</v>
      </c>
      <c r="H620" s="38">
        <f t="shared" si="77"/>
        <v>0</v>
      </c>
      <c r="I620" s="38">
        <f t="shared" si="77"/>
        <v>0</v>
      </c>
      <c r="J620" s="38">
        <f t="shared" si="74"/>
        <v>0</v>
      </c>
      <c r="K620" s="38">
        <f t="shared" si="74"/>
        <v>0</v>
      </c>
      <c r="L620" s="38">
        <f t="shared" si="74"/>
        <v>0</v>
      </c>
      <c r="M620" s="35">
        <f t="shared" si="73"/>
        <v>0</v>
      </c>
      <c r="S620" t="s">
        <v>93</v>
      </c>
      <c r="T620" s="5">
        <f>data_origin!T706</f>
        <v>0</v>
      </c>
      <c r="U620" s="5">
        <f>data_origin!U706</f>
        <v>0</v>
      </c>
      <c r="V620" s="5">
        <f>data_origin!V706</f>
        <v>0</v>
      </c>
      <c r="W620" s="5">
        <f>data_origin!W706</f>
        <v>0</v>
      </c>
      <c r="X620" s="5">
        <f>data_origin!X706</f>
        <v>0</v>
      </c>
      <c r="Y620" s="5">
        <f>data_origin!Y706</f>
        <v>0</v>
      </c>
      <c r="Z620" s="5">
        <f>data_origin!Z706</f>
        <v>0</v>
      </c>
      <c r="AA620" s="5">
        <f>data_origin!AA706</f>
        <v>0</v>
      </c>
      <c r="AB620" s="5">
        <f t="shared" si="78"/>
        <v>0</v>
      </c>
      <c r="AH620" t="s">
        <v>93</v>
      </c>
      <c r="AI620" s="5">
        <f>data_origin!T2477+data_origin!T2715+data_origin!T2953</f>
        <v>0</v>
      </c>
      <c r="AJ620" s="5">
        <f>data_origin!U2477+data_origin!U2715+data_origin!U2953</f>
        <v>0</v>
      </c>
      <c r="AK620" s="5">
        <f>data_origin!V2477+data_origin!V2715+data_origin!V2953</f>
        <v>9.0909090909090912E-2</v>
      </c>
      <c r="AL620" s="5">
        <f>data_origin!W2477+data_origin!W2715+data_origin!W2953</f>
        <v>0</v>
      </c>
      <c r="AM620" s="5">
        <f>data_origin!X2477+data_origin!X2715+data_origin!X2953</f>
        <v>0</v>
      </c>
      <c r="AN620" s="5">
        <f>data_origin!Y2477+data_origin!Y2715+data_origin!Y2953</f>
        <v>0</v>
      </c>
      <c r="AO620" s="5">
        <f>data_origin!Z2477+data_origin!Z2715+data_origin!Z2953</f>
        <v>0</v>
      </c>
      <c r="AP620" s="5">
        <f>data_origin!AA2477+data_origin!AA2715+data_origin!AA2953</f>
        <v>0</v>
      </c>
      <c r="AQ620" s="9">
        <f t="shared" si="75"/>
        <v>9.0909090909090912E-2</v>
      </c>
      <c r="AV620" t="s">
        <v>93</v>
      </c>
      <c r="AW620" s="5">
        <f>data_origin!T3191+data_origin!T3429+data_origin!T3667</f>
        <v>0</v>
      </c>
      <c r="AX620" s="5">
        <f>data_origin!U3191+data_origin!U3429+data_origin!U3667</f>
        <v>0</v>
      </c>
      <c r="AY620" s="5">
        <f>data_origin!V3191+data_origin!V3429+data_origin!V3667</f>
        <v>0</v>
      </c>
      <c r="AZ620" s="5">
        <f>data_origin!W3191+data_origin!W3429+data_origin!W3667</f>
        <v>0</v>
      </c>
      <c r="BA620" s="5">
        <f>data_origin!X3191+data_origin!X3429+data_origin!X3667</f>
        <v>0</v>
      </c>
      <c r="BB620" s="5">
        <f>data_origin!Y3191+data_origin!Y3429+data_origin!Y3667</f>
        <v>0</v>
      </c>
      <c r="BC620" s="5">
        <f>data_origin!Z3191+data_origin!Z3429+data_origin!Z3667</f>
        <v>3.0303030303030304E-2</v>
      </c>
      <c r="BD620" s="5">
        <f>data_origin!AA3191+data_origin!AA3429+data_origin!AA3667</f>
        <v>0</v>
      </c>
      <c r="BE620" s="9">
        <f t="shared" si="76"/>
        <v>3.0303030303030304E-2</v>
      </c>
    </row>
    <row r="621" spans="4:57" x14ac:dyDescent="0.25">
      <c r="D621" t="s">
        <v>94</v>
      </c>
      <c r="E621" s="38">
        <f t="shared" si="77"/>
        <v>0</v>
      </c>
      <c r="F621" s="38">
        <f t="shared" si="77"/>
        <v>0</v>
      </c>
      <c r="G621" s="38">
        <f t="shared" si="77"/>
        <v>0</v>
      </c>
      <c r="H621" s="38">
        <f t="shared" si="77"/>
        <v>0</v>
      </c>
      <c r="I621" s="38">
        <f t="shared" si="77"/>
        <v>0</v>
      </c>
      <c r="J621" s="38">
        <f t="shared" si="74"/>
        <v>0</v>
      </c>
      <c r="K621" s="38">
        <f t="shared" si="74"/>
        <v>0</v>
      </c>
      <c r="L621" s="38">
        <f t="shared" si="74"/>
        <v>0</v>
      </c>
      <c r="M621" s="35">
        <f t="shared" si="73"/>
        <v>0</v>
      </c>
      <c r="S621" t="s">
        <v>94</v>
      </c>
      <c r="T621" s="5">
        <f>data_origin!T707</f>
        <v>0</v>
      </c>
      <c r="U621" s="5">
        <f>data_origin!U707</f>
        <v>0</v>
      </c>
      <c r="V621" s="5">
        <f>data_origin!V707</f>
        <v>0</v>
      </c>
      <c r="W621" s="5">
        <f>data_origin!W707</f>
        <v>0</v>
      </c>
      <c r="X621" s="5">
        <f>data_origin!X707</f>
        <v>0</v>
      </c>
      <c r="Y621" s="5">
        <f>data_origin!Y707</f>
        <v>0</v>
      </c>
      <c r="Z621" s="5">
        <f>data_origin!Z707</f>
        <v>0</v>
      </c>
      <c r="AA621" s="5">
        <f>data_origin!AA707</f>
        <v>0</v>
      </c>
      <c r="AB621" s="5">
        <f t="shared" si="78"/>
        <v>0</v>
      </c>
      <c r="AH621" t="s">
        <v>94</v>
      </c>
      <c r="AI621" s="5">
        <f>data_origin!T2478+data_origin!T2716+data_origin!T2954</f>
        <v>0</v>
      </c>
      <c r="AJ621" s="5">
        <f>data_origin!U2478+data_origin!U2716+data_origin!U2954</f>
        <v>0</v>
      </c>
      <c r="AK621" s="5">
        <f>data_origin!V2478+data_origin!V2716+data_origin!V2954</f>
        <v>9.0909090909090912E-2</v>
      </c>
      <c r="AL621" s="5">
        <f>data_origin!W2478+data_origin!W2716+data_origin!W2954</f>
        <v>0</v>
      </c>
      <c r="AM621" s="5">
        <f>data_origin!X2478+data_origin!X2716+data_origin!X2954</f>
        <v>0</v>
      </c>
      <c r="AN621" s="5">
        <f>data_origin!Y2478+data_origin!Y2716+data_origin!Y2954</f>
        <v>0</v>
      </c>
      <c r="AO621" s="5">
        <f>data_origin!Z2478+data_origin!Z2716+data_origin!Z2954</f>
        <v>0</v>
      </c>
      <c r="AP621" s="5">
        <f>data_origin!AA2478+data_origin!AA2716+data_origin!AA2954</f>
        <v>0</v>
      </c>
      <c r="AQ621" s="9">
        <f t="shared" si="75"/>
        <v>9.0909090909090912E-2</v>
      </c>
      <c r="AV621" t="s">
        <v>94</v>
      </c>
      <c r="AW621" s="5">
        <f>data_origin!T3192+data_origin!T3430+data_origin!T3668</f>
        <v>0</v>
      </c>
      <c r="AX621" s="5">
        <f>data_origin!U3192+data_origin!U3430+data_origin!U3668</f>
        <v>0</v>
      </c>
      <c r="AY621" s="5">
        <f>data_origin!V3192+data_origin!V3430+data_origin!V3668</f>
        <v>0</v>
      </c>
      <c r="AZ621" s="5">
        <f>data_origin!W3192+data_origin!W3430+data_origin!W3668</f>
        <v>0</v>
      </c>
      <c r="BA621" s="5">
        <f>data_origin!X3192+data_origin!X3430+data_origin!X3668</f>
        <v>0</v>
      </c>
      <c r="BB621" s="5">
        <f>data_origin!Y3192+data_origin!Y3430+data_origin!Y3668</f>
        <v>0</v>
      </c>
      <c r="BC621" s="5">
        <f>data_origin!Z3192+data_origin!Z3430+data_origin!Z3668</f>
        <v>3.0303030303030304E-2</v>
      </c>
      <c r="BD621" s="5">
        <f>data_origin!AA3192+data_origin!AA3430+data_origin!AA3668</f>
        <v>0</v>
      </c>
      <c r="BE621" s="9">
        <f t="shared" si="76"/>
        <v>3.0303030303030304E-2</v>
      </c>
    </row>
    <row r="622" spans="4:57" x14ac:dyDescent="0.25">
      <c r="D622" t="s">
        <v>95</v>
      </c>
      <c r="E622" s="38">
        <f t="shared" si="77"/>
        <v>0</v>
      </c>
      <c r="F622" s="38">
        <f t="shared" si="77"/>
        <v>0</v>
      </c>
      <c r="G622" s="38">
        <f t="shared" si="77"/>
        <v>0</v>
      </c>
      <c r="H622" s="38">
        <f t="shared" si="77"/>
        <v>0</v>
      </c>
      <c r="I622" s="38">
        <f t="shared" si="77"/>
        <v>0</v>
      </c>
      <c r="J622" s="38">
        <f t="shared" si="74"/>
        <v>0</v>
      </c>
      <c r="K622" s="38">
        <f t="shared" si="74"/>
        <v>0</v>
      </c>
      <c r="L622" s="38">
        <f t="shared" si="74"/>
        <v>0</v>
      </c>
      <c r="M622" s="35">
        <f t="shared" si="73"/>
        <v>0</v>
      </c>
      <c r="S622" t="s">
        <v>95</v>
      </c>
      <c r="T622" s="5">
        <f>data_origin!T708</f>
        <v>0</v>
      </c>
      <c r="U622" s="5">
        <f>data_origin!U708</f>
        <v>0</v>
      </c>
      <c r="V622" s="5">
        <f>data_origin!V708</f>
        <v>0</v>
      </c>
      <c r="W622" s="5">
        <f>data_origin!W708</f>
        <v>0</v>
      </c>
      <c r="X622" s="5">
        <f>data_origin!X708</f>
        <v>0</v>
      </c>
      <c r="Y622" s="5">
        <f>data_origin!Y708</f>
        <v>0</v>
      </c>
      <c r="Z622" s="5">
        <f>data_origin!Z708</f>
        <v>0</v>
      </c>
      <c r="AA622" s="5">
        <f>data_origin!AA708</f>
        <v>0</v>
      </c>
      <c r="AB622" s="5">
        <f t="shared" ref="AB622:AB662" si="79">SUM(T622:AA622)</f>
        <v>0</v>
      </c>
      <c r="AH622" t="s">
        <v>95</v>
      </c>
      <c r="AI622" s="5">
        <f>data_origin!T2479+data_origin!T2717+data_origin!T2955</f>
        <v>0</v>
      </c>
      <c r="AJ622" s="5">
        <f>data_origin!U2479+data_origin!U2717+data_origin!U2955</f>
        <v>0</v>
      </c>
      <c r="AK622" s="5">
        <f>data_origin!V2479+data_origin!V2717+data_origin!V2955</f>
        <v>9.0909090909090912E-2</v>
      </c>
      <c r="AL622" s="5">
        <f>data_origin!W2479+data_origin!W2717+data_origin!W2955</f>
        <v>0</v>
      </c>
      <c r="AM622" s="5">
        <f>data_origin!X2479+data_origin!X2717+data_origin!X2955</f>
        <v>0</v>
      </c>
      <c r="AN622" s="5">
        <f>data_origin!Y2479+data_origin!Y2717+data_origin!Y2955</f>
        <v>0</v>
      </c>
      <c r="AO622" s="5">
        <f>data_origin!Z2479+data_origin!Z2717+data_origin!Z2955</f>
        <v>0</v>
      </c>
      <c r="AP622" s="5">
        <f>data_origin!AA2479+data_origin!AA2717+data_origin!AA2955</f>
        <v>0</v>
      </c>
      <c r="AQ622" s="9">
        <f t="shared" si="75"/>
        <v>9.0909090909090912E-2</v>
      </c>
      <c r="AV622" t="s">
        <v>95</v>
      </c>
      <c r="AW622" s="5">
        <f>data_origin!T3193+data_origin!T3431+data_origin!T3669</f>
        <v>0</v>
      </c>
      <c r="AX622" s="5">
        <f>data_origin!U3193+data_origin!U3431+data_origin!U3669</f>
        <v>0</v>
      </c>
      <c r="AY622" s="5">
        <f>data_origin!V3193+data_origin!V3431+data_origin!V3669</f>
        <v>0</v>
      </c>
      <c r="AZ622" s="5">
        <f>data_origin!W3193+data_origin!W3431+data_origin!W3669</f>
        <v>0</v>
      </c>
      <c r="BA622" s="5">
        <f>data_origin!X3193+data_origin!X3431+data_origin!X3669</f>
        <v>0</v>
      </c>
      <c r="BB622" s="5">
        <f>data_origin!Y3193+data_origin!Y3431+data_origin!Y3669</f>
        <v>0</v>
      </c>
      <c r="BC622" s="5">
        <f>data_origin!Z3193+data_origin!Z3431+data_origin!Z3669</f>
        <v>3.0303030303030304E-2</v>
      </c>
      <c r="BD622" s="5">
        <f>data_origin!AA3193+data_origin!AA3431+data_origin!AA3669</f>
        <v>0</v>
      </c>
      <c r="BE622" s="9">
        <f t="shared" si="76"/>
        <v>3.0303030303030304E-2</v>
      </c>
    </row>
    <row r="623" spans="4:57" x14ac:dyDescent="0.25">
      <c r="D623" t="s">
        <v>96</v>
      </c>
      <c r="E623" s="38">
        <f t="shared" si="77"/>
        <v>0</v>
      </c>
      <c r="F623" s="38">
        <f t="shared" si="77"/>
        <v>0</v>
      </c>
      <c r="G623" s="38">
        <f t="shared" si="77"/>
        <v>0</v>
      </c>
      <c r="H623" s="38">
        <f t="shared" si="77"/>
        <v>0</v>
      </c>
      <c r="I623" s="38">
        <f t="shared" si="77"/>
        <v>0</v>
      </c>
      <c r="J623" s="38">
        <f t="shared" si="74"/>
        <v>0</v>
      </c>
      <c r="K623" s="38">
        <f t="shared" si="74"/>
        <v>0</v>
      </c>
      <c r="L623" s="38">
        <f t="shared" si="74"/>
        <v>0</v>
      </c>
      <c r="M623" s="35">
        <f t="shared" si="73"/>
        <v>0</v>
      </c>
      <c r="S623" t="s">
        <v>96</v>
      </c>
      <c r="T623" s="5">
        <f>data_origin!T709</f>
        <v>0</v>
      </c>
      <c r="U623" s="5">
        <f>data_origin!U709</f>
        <v>0</v>
      </c>
      <c r="V623" s="5">
        <f>data_origin!V709</f>
        <v>0</v>
      </c>
      <c r="W623" s="5">
        <f>data_origin!W709</f>
        <v>0</v>
      </c>
      <c r="X623" s="5">
        <f>data_origin!X709</f>
        <v>0</v>
      </c>
      <c r="Y623" s="5">
        <f>data_origin!Y709</f>
        <v>0</v>
      </c>
      <c r="Z623" s="5">
        <f>data_origin!Z709</f>
        <v>0</v>
      </c>
      <c r="AA623" s="5">
        <f>data_origin!AA709</f>
        <v>0</v>
      </c>
      <c r="AB623" s="5">
        <f t="shared" si="79"/>
        <v>0</v>
      </c>
      <c r="AH623" t="s">
        <v>96</v>
      </c>
      <c r="AI623" s="5">
        <f>data_origin!T2480+data_origin!T2718+data_origin!T2956</f>
        <v>0</v>
      </c>
      <c r="AJ623" s="5">
        <f>data_origin!U2480+data_origin!U2718+data_origin!U2956</f>
        <v>0</v>
      </c>
      <c r="AK623" s="5">
        <f>data_origin!V2480+data_origin!V2718+data_origin!V2956</f>
        <v>9.0909090909090912E-2</v>
      </c>
      <c r="AL623" s="5">
        <f>data_origin!W2480+data_origin!W2718+data_origin!W2956</f>
        <v>0</v>
      </c>
      <c r="AM623" s="5">
        <f>data_origin!X2480+data_origin!X2718+data_origin!X2956</f>
        <v>1.1111111111111112</v>
      </c>
      <c r="AN623" s="5">
        <f>data_origin!Y2480+data_origin!Y2718+data_origin!Y2956</f>
        <v>0</v>
      </c>
      <c r="AO623" s="5">
        <f>data_origin!Z2480+data_origin!Z2718+data_origin!Z2956</f>
        <v>0</v>
      </c>
      <c r="AP623" s="5">
        <f>data_origin!AA2480+data_origin!AA2718+data_origin!AA2956</f>
        <v>0</v>
      </c>
      <c r="AQ623" s="9">
        <f t="shared" si="75"/>
        <v>1.202020202020202</v>
      </c>
      <c r="AV623" t="s">
        <v>96</v>
      </c>
      <c r="AW623" s="5">
        <f>data_origin!T3194+data_origin!T3432+data_origin!T3670</f>
        <v>0</v>
      </c>
      <c r="AX623" s="5">
        <f>data_origin!U3194+data_origin!U3432+data_origin!U3670</f>
        <v>0</v>
      </c>
      <c r="AY623" s="5">
        <f>data_origin!V3194+data_origin!V3432+data_origin!V3670</f>
        <v>0</v>
      </c>
      <c r="AZ623" s="5">
        <f>data_origin!W3194+data_origin!W3432+data_origin!W3670</f>
        <v>0</v>
      </c>
      <c r="BA623" s="5">
        <f>data_origin!X3194+data_origin!X3432+data_origin!X3670</f>
        <v>0</v>
      </c>
      <c r="BB623" s="5">
        <f>data_origin!Y3194+data_origin!Y3432+data_origin!Y3670</f>
        <v>0</v>
      </c>
      <c r="BC623" s="5">
        <f>data_origin!Z3194+data_origin!Z3432+data_origin!Z3670</f>
        <v>3.0303030303030304E-2</v>
      </c>
      <c r="BD623" s="5">
        <f>data_origin!AA3194+data_origin!AA3432+data_origin!AA3670</f>
        <v>0</v>
      </c>
      <c r="BE623" s="9">
        <f t="shared" si="76"/>
        <v>3.0303030303030304E-2</v>
      </c>
    </row>
    <row r="624" spans="4:57" x14ac:dyDescent="0.25">
      <c r="D624" t="s">
        <v>97</v>
      </c>
      <c r="E624" s="38">
        <f t="shared" si="77"/>
        <v>0</v>
      </c>
      <c r="F624" s="38">
        <f t="shared" si="77"/>
        <v>0</v>
      </c>
      <c r="G624" s="38">
        <f t="shared" si="77"/>
        <v>0</v>
      </c>
      <c r="H624" s="38">
        <f t="shared" si="77"/>
        <v>0</v>
      </c>
      <c r="I624" s="38">
        <f t="shared" si="77"/>
        <v>0</v>
      </c>
      <c r="J624" s="38">
        <f t="shared" si="74"/>
        <v>0</v>
      </c>
      <c r="K624" s="38">
        <f t="shared" si="74"/>
        <v>0</v>
      </c>
      <c r="L624" s="38">
        <f t="shared" si="74"/>
        <v>0</v>
      </c>
      <c r="M624" s="35">
        <f t="shared" si="73"/>
        <v>0</v>
      </c>
      <c r="S624" t="s">
        <v>97</v>
      </c>
      <c r="T624" s="5">
        <f>data_origin!T710</f>
        <v>0</v>
      </c>
      <c r="U624" s="5">
        <f>data_origin!U710</f>
        <v>0</v>
      </c>
      <c r="V624" s="5">
        <f>data_origin!V710</f>
        <v>0</v>
      </c>
      <c r="W624" s="5">
        <f>data_origin!W710</f>
        <v>0</v>
      </c>
      <c r="X624" s="5">
        <f>data_origin!X710</f>
        <v>0</v>
      </c>
      <c r="Y624" s="5">
        <f>data_origin!Y710</f>
        <v>0</v>
      </c>
      <c r="Z624" s="5">
        <f>data_origin!Z710</f>
        <v>0</v>
      </c>
      <c r="AA624" s="5">
        <f>data_origin!AA710</f>
        <v>0</v>
      </c>
      <c r="AB624" s="5">
        <f t="shared" si="79"/>
        <v>0</v>
      </c>
      <c r="AH624" t="s">
        <v>97</v>
      </c>
      <c r="AI624" s="5">
        <f>data_origin!T2481+data_origin!T2719+data_origin!T2957</f>
        <v>0</v>
      </c>
      <c r="AJ624" s="5">
        <f>data_origin!U2481+data_origin!U2719+data_origin!U2957</f>
        <v>0</v>
      </c>
      <c r="AK624" s="5">
        <f>data_origin!V2481+data_origin!V2719+data_origin!V2957</f>
        <v>9.0909090909090912E-2</v>
      </c>
      <c r="AL624" s="5">
        <f>data_origin!W2481+data_origin!W2719+data_origin!W2957</f>
        <v>0</v>
      </c>
      <c r="AM624" s="5">
        <f>data_origin!X2481+data_origin!X2719+data_origin!X2957</f>
        <v>0</v>
      </c>
      <c r="AN624" s="5">
        <f>data_origin!Y2481+data_origin!Y2719+data_origin!Y2957</f>
        <v>0</v>
      </c>
      <c r="AO624" s="5">
        <f>data_origin!Z2481+data_origin!Z2719+data_origin!Z2957</f>
        <v>0</v>
      </c>
      <c r="AP624" s="5">
        <f>data_origin!AA2481+data_origin!AA2719+data_origin!AA2957</f>
        <v>0</v>
      </c>
      <c r="AQ624" s="9">
        <f t="shared" si="75"/>
        <v>9.0909090909090912E-2</v>
      </c>
      <c r="AV624" t="s">
        <v>97</v>
      </c>
      <c r="AW624" s="5">
        <f>data_origin!T3195+data_origin!T3433+data_origin!T3671</f>
        <v>0</v>
      </c>
      <c r="AX624" s="5">
        <f>data_origin!U3195+data_origin!U3433+data_origin!U3671</f>
        <v>0</v>
      </c>
      <c r="AY624" s="5">
        <f>data_origin!V3195+data_origin!V3433+data_origin!V3671</f>
        <v>0</v>
      </c>
      <c r="AZ624" s="5">
        <f>data_origin!W3195+data_origin!W3433+data_origin!W3671</f>
        <v>2.1428571428571428</v>
      </c>
      <c r="BA624" s="5">
        <f>data_origin!X3195+data_origin!X3433+data_origin!X3671</f>
        <v>0</v>
      </c>
      <c r="BB624" s="5">
        <f>data_origin!Y3195+data_origin!Y3433+data_origin!Y3671</f>
        <v>0</v>
      </c>
      <c r="BC624" s="5">
        <f>data_origin!Z3195+data_origin!Z3433+data_origin!Z3671</f>
        <v>3.0303030303030304E-2</v>
      </c>
      <c r="BD624" s="5">
        <f>data_origin!AA3195+data_origin!AA3433+data_origin!AA3671</f>
        <v>0</v>
      </c>
      <c r="BE624" s="9">
        <f t="shared" si="76"/>
        <v>2.1731601731601731</v>
      </c>
    </row>
    <row r="625" spans="1:58" x14ac:dyDescent="0.25">
      <c r="D625" t="s">
        <v>98</v>
      </c>
      <c r="E625" s="38">
        <f t="shared" si="77"/>
        <v>0</v>
      </c>
      <c r="F625" s="38">
        <f t="shared" si="77"/>
        <v>0</v>
      </c>
      <c r="G625" s="38">
        <f t="shared" si="77"/>
        <v>0</v>
      </c>
      <c r="H625" s="38">
        <f t="shared" si="77"/>
        <v>0</v>
      </c>
      <c r="I625" s="38">
        <f t="shared" si="77"/>
        <v>0</v>
      </c>
      <c r="J625" s="38">
        <f t="shared" si="74"/>
        <v>0</v>
      </c>
      <c r="K625" s="38">
        <f t="shared" si="74"/>
        <v>0</v>
      </c>
      <c r="L625" s="38">
        <f t="shared" si="74"/>
        <v>0</v>
      </c>
      <c r="M625" s="35">
        <f t="shared" si="73"/>
        <v>0</v>
      </c>
      <c r="S625" t="s">
        <v>98</v>
      </c>
      <c r="T625" s="5">
        <f>data_origin!T711</f>
        <v>0</v>
      </c>
      <c r="U625" s="5">
        <f>data_origin!U711</f>
        <v>0</v>
      </c>
      <c r="V625" s="5">
        <f>data_origin!V711</f>
        <v>0</v>
      </c>
      <c r="W625" s="5">
        <f>data_origin!W711</f>
        <v>0</v>
      </c>
      <c r="X625" s="5">
        <f>data_origin!X711</f>
        <v>0</v>
      </c>
      <c r="Y625" s="5">
        <f>data_origin!Y711</f>
        <v>0</v>
      </c>
      <c r="Z625" s="5">
        <f>data_origin!Z711</f>
        <v>0</v>
      </c>
      <c r="AA625" s="5">
        <f>data_origin!AA711</f>
        <v>0</v>
      </c>
      <c r="AB625" s="5">
        <f t="shared" si="79"/>
        <v>0</v>
      </c>
      <c r="AH625" t="s">
        <v>98</v>
      </c>
      <c r="AI625" s="5">
        <f>data_origin!T2482+data_origin!T2720+data_origin!T2958</f>
        <v>0</v>
      </c>
      <c r="AJ625" s="5">
        <f>data_origin!U2482+data_origin!U2720+data_origin!U2958</f>
        <v>0</v>
      </c>
      <c r="AK625" s="5">
        <f>data_origin!V2482+data_origin!V2720+data_origin!V2958</f>
        <v>9.0909090909090912E-2</v>
      </c>
      <c r="AL625" s="5">
        <f>data_origin!W2482+data_origin!W2720+data_origin!W2958</f>
        <v>0</v>
      </c>
      <c r="AM625" s="5">
        <f>data_origin!X2482+data_origin!X2720+data_origin!X2958</f>
        <v>1.1111111111111112</v>
      </c>
      <c r="AN625" s="5">
        <f>data_origin!Y2482+data_origin!Y2720+data_origin!Y2958</f>
        <v>0</v>
      </c>
      <c r="AO625" s="5">
        <f>data_origin!Z2482+data_origin!Z2720+data_origin!Z2958</f>
        <v>0</v>
      </c>
      <c r="AP625" s="5">
        <f>data_origin!AA2482+data_origin!AA2720+data_origin!AA2958</f>
        <v>0</v>
      </c>
      <c r="AQ625" s="9">
        <f t="shared" si="75"/>
        <v>1.202020202020202</v>
      </c>
      <c r="AV625" t="s">
        <v>98</v>
      </c>
      <c r="AW625" s="5">
        <f>data_origin!T3196+data_origin!T3434+data_origin!T3672</f>
        <v>0</v>
      </c>
      <c r="AX625" s="5">
        <f>data_origin!U3196+data_origin!U3434+data_origin!U3672</f>
        <v>0</v>
      </c>
      <c r="AY625" s="5">
        <f>data_origin!V3196+data_origin!V3434+data_origin!V3672</f>
        <v>0</v>
      </c>
      <c r="AZ625" s="5">
        <f>data_origin!W3196+data_origin!W3434+data_origin!W3672</f>
        <v>2.1428571428571428</v>
      </c>
      <c r="BA625" s="5">
        <f>data_origin!X3196+data_origin!X3434+data_origin!X3672</f>
        <v>0</v>
      </c>
      <c r="BB625" s="5">
        <f>data_origin!Y3196+data_origin!Y3434+data_origin!Y3672</f>
        <v>0</v>
      </c>
      <c r="BC625" s="5">
        <f>data_origin!Z3196+data_origin!Z3434+data_origin!Z3672</f>
        <v>3.0303030303030304E-2</v>
      </c>
      <c r="BD625" s="5">
        <f>data_origin!AA3196+data_origin!AA3434+data_origin!AA3672</f>
        <v>0</v>
      </c>
      <c r="BE625" s="9">
        <f t="shared" si="76"/>
        <v>2.1731601731601731</v>
      </c>
    </row>
    <row r="626" spans="1:58" x14ac:dyDescent="0.25">
      <c r="D626" t="s">
        <v>119</v>
      </c>
      <c r="E626" s="38">
        <f t="shared" si="77"/>
        <v>0</v>
      </c>
      <c r="F626" s="38">
        <f t="shared" si="77"/>
        <v>0</v>
      </c>
      <c r="G626" s="38">
        <f t="shared" si="77"/>
        <v>0</v>
      </c>
      <c r="H626" s="38">
        <f t="shared" si="77"/>
        <v>0</v>
      </c>
      <c r="I626" s="38">
        <f t="shared" si="77"/>
        <v>0</v>
      </c>
      <c r="J626" s="38">
        <f t="shared" si="74"/>
        <v>0</v>
      </c>
      <c r="K626" s="38">
        <f t="shared" si="74"/>
        <v>0</v>
      </c>
      <c r="L626" s="38">
        <f t="shared" si="74"/>
        <v>0</v>
      </c>
      <c r="M626" s="35">
        <f t="shared" si="73"/>
        <v>0</v>
      </c>
      <c r="S626" t="s">
        <v>119</v>
      </c>
      <c r="T626" s="5">
        <f>data_origin!T712</f>
        <v>0</v>
      </c>
      <c r="U626" s="5">
        <f>data_origin!U712</f>
        <v>0</v>
      </c>
      <c r="V626" s="5">
        <f>data_origin!V712</f>
        <v>0</v>
      </c>
      <c r="W626" s="5">
        <f>data_origin!W712</f>
        <v>0</v>
      </c>
      <c r="X626" s="5">
        <f>data_origin!X712</f>
        <v>0</v>
      </c>
      <c r="Y626" s="5">
        <f>data_origin!Y712</f>
        <v>0</v>
      </c>
      <c r="Z626" s="5">
        <f>data_origin!Z712</f>
        <v>0</v>
      </c>
      <c r="AA626" s="5">
        <f>data_origin!AA712</f>
        <v>0</v>
      </c>
      <c r="AB626" s="5">
        <f t="shared" si="79"/>
        <v>0</v>
      </c>
      <c r="AH626" t="s">
        <v>119</v>
      </c>
      <c r="AI626" s="5">
        <f>data_origin!T2483+data_origin!T2721+data_origin!T2959</f>
        <v>0</v>
      </c>
      <c r="AJ626" s="5">
        <f>data_origin!U2483+data_origin!U2721+data_origin!U2959</f>
        <v>0</v>
      </c>
      <c r="AK626" s="5">
        <f>data_origin!V2483+data_origin!V2721+data_origin!V2959</f>
        <v>9.0909090909090912E-2</v>
      </c>
      <c r="AL626" s="5">
        <f>data_origin!W2483+data_origin!W2721+data_origin!W2959</f>
        <v>0</v>
      </c>
      <c r="AM626" s="5">
        <f>data_origin!X2483+data_origin!X2721+data_origin!X2959</f>
        <v>0</v>
      </c>
      <c r="AN626" s="5">
        <f>data_origin!Y2483+data_origin!Y2721+data_origin!Y2959</f>
        <v>0</v>
      </c>
      <c r="AO626" s="5">
        <f>data_origin!Z2483+data_origin!Z2721+data_origin!Z2959</f>
        <v>0</v>
      </c>
      <c r="AP626" s="5">
        <f>data_origin!AA2483+data_origin!AA2721+data_origin!AA2959</f>
        <v>0</v>
      </c>
      <c r="AQ626" s="9">
        <f t="shared" si="75"/>
        <v>9.0909090909090912E-2</v>
      </c>
      <c r="AV626" t="s">
        <v>119</v>
      </c>
      <c r="AW626" s="5">
        <f>data_origin!T3197+data_origin!T3435+data_origin!T3673</f>
        <v>0</v>
      </c>
      <c r="AX626" s="5">
        <f>data_origin!U3197+data_origin!U3435+data_origin!U3673</f>
        <v>0</v>
      </c>
      <c r="AY626" s="5">
        <f>data_origin!V3197+data_origin!V3435+data_origin!V3673</f>
        <v>0</v>
      </c>
      <c r="AZ626" s="5">
        <f>data_origin!W3197+data_origin!W3435+data_origin!W3673</f>
        <v>0</v>
      </c>
      <c r="BA626" s="5">
        <f>data_origin!X3197+data_origin!X3435+data_origin!X3673</f>
        <v>0</v>
      </c>
      <c r="BB626" s="5">
        <f>data_origin!Y3197+data_origin!Y3435+data_origin!Y3673</f>
        <v>0</v>
      </c>
      <c r="BC626" s="5">
        <f>data_origin!Z3197+data_origin!Z3435+data_origin!Z3673</f>
        <v>3.0303030303030304E-2</v>
      </c>
      <c r="BD626" s="5">
        <f>data_origin!AA3197+data_origin!AA3435+data_origin!AA3673</f>
        <v>0</v>
      </c>
      <c r="BE626" s="9">
        <f t="shared" si="76"/>
        <v>3.0303030303030304E-2</v>
      </c>
    </row>
    <row r="627" spans="1:58" x14ac:dyDescent="0.25">
      <c r="D627" t="s">
        <v>99</v>
      </c>
      <c r="E627" s="38">
        <f t="shared" si="77"/>
        <v>0</v>
      </c>
      <c r="F627" s="38">
        <f t="shared" si="77"/>
        <v>0</v>
      </c>
      <c r="G627" s="38">
        <f t="shared" si="77"/>
        <v>0</v>
      </c>
      <c r="H627" s="38">
        <f t="shared" si="77"/>
        <v>0</v>
      </c>
      <c r="I627" s="38">
        <f t="shared" si="77"/>
        <v>0</v>
      </c>
      <c r="J627" s="38">
        <f t="shared" si="74"/>
        <v>0</v>
      </c>
      <c r="K627" s="38">
        <f t="shared" si="74"/>
        <v>0</v>
      </c>
      <c r="L627" s="38">
        <f t="shared" si="74"/>
        <v>0</v>
      </c>
      <c r="M627" s="35">
        <f t="shared" si="73"/>
        <v>0</v>
      </c>
      <c r="S627" t="s">
        <v>99</v>
      </c>
      <c r="T627" s="5">
        <f>data_origin!T713</f>
        <v>0</v>
      </c>
      <c r="U627" s="5">
        <f>data_origin!U713</f>
        <v>0</v>
      </c>
      <c r="V627" s="5">
        <f>data_origin!V713</f>
        <v>0</v>
      </c>
      <c r="W627" s="5">
        <f>data_origin!W713</f>
        <v>0</v>
      </c>
      <c r="X627" s="5">
        <f>data_origin!X713</f>
        <v>0</v>
      </c>
      <c r="Y627" s="5">
        <f>data_origin!Y713</f>
        <v>0</v>
      </c>
      <c r="Z627" s="5">
        <f>data_origin!Z713</f>
        <v>0</v>
      </c>
      <c r="AA627" s="5">
        <f>data_origin!AA713</f>
        <v>0</v>
      </c>
      <c r="AB627" s="5">
        <f t="shared" si="79"/>
        <v>0</v>
      </c>
      <c r="AH627" t="s">
        <v>99</v>
      </c>
      <c r="AI627" s="5">
        <f>data_origin!T2484+data_origin!T2722+data_origin!T2960</f>
        <v>0</v>
      </c>
      <c r="AJ627" s="5">
        <f>data_origin!U2484+data_origin!U2722+data_origin!U2960</f>
        <v>0</v>
      </c>
      <c r="AK627" s="5">
        <f>data_origin!V2484+data_origin!V2722+data_origin!V2960</f>
        <v>1.2909090909090908</v>
      </c>
      <c r="AL627" s="5">
        <f>data_origin!W2484+data_origin!W2722+data_origin!W2960</f>
        <v>1.9333333333333333</v>
      </c>
      <c r="AM627" s="5">
        <f>data_origin!X2484+data_origin!X2722+data_origin!X2960</f>
        <v>1.1111111111111112</v>
      </c>
      <c r="AN627" s="5">
        <f>data_origin!Y2484+data_origin!Y2722+data_origin!Y2960</f>
        <v>0</v>
      </c>
      <c r="AO627" s="5">
        <f>data_origin!Z2484+data_origin!Z2722+data_origin!Z2960</f>
        <v>0</v>
      </c>
      <c r="AP627" s="5">
        <f>data_origin!AA2484+data_origin!AA2722+data_origin!AA2960</f>
        <v>0</v>
      </c>
      <c r="AQ627" s="9">
        <f t="shared" si="75"/>
        <v>4.3353535353535353</v>
      </c>
      <c r="AV627" t="s">
        <v>99</v>
      </c>
      <c r="AW627" s="5">
        <f>data_origin!T3198+data_origin!T3436+data_origin!T3674</f>
        <v>0</v>
      </c>
      <c r="AX627" s="5">
        <f>data_origin!U3198+data_origin!U3436+data_origin!U3674</f>
        <v>0</v>
      </c>
      <c r="AY627" s="5">
        <f>data_origin!V3198+data_origin!V3436+data_origin!V3674</f>
        <v>0</v>
      </c>
      <c r="AZ627" s="5">
        <f>data_origin!W3198+data_origin!W3436+data_origin!W3674</f>
        <v>1.9</v>
      </c>
      <c r="BA627" s="5">
        <f>data_origin!X3198+data_origin!X3436+data_origin!X3674</f>
        <v>6</v>
      </c>
      <c r="BB627" s="5">
        <f>data_origin!Y3198+data_origin!Y3436+data_origin!Y3674</f>
        <v>0</v>
      </c>
      <c r="BC627" s="5">
        <f>data_origin!Z3198+data_origin!Z3436+data_origin!Z3674</f>
        <v>3.0303030303030304E-2</v>
      </c>
      <c r="BD627" s="5">
        <f>data_origin!AA3198+data_origin!AA3436+data_origin!AA3674</f>
        <v>0</v>
      </c>
      <c r="BE627" s="9">
        <f t="shared" si="76"/>
        <v>7.9303030303030306</v>
      </c>
    </row>
    <row r="628" spans="1:58" x14ac:dyDescent="0.25">
      <c r="D628" t="s">
        <v>100</v>
      </c>
      <c r="E628" s="38">
        <f t="shared" si="77"/>
        <v>0</v>
      </c>
      <c r="F628" s="38">
        <f t="shared" si="77"/>
        <v>0</v>
      </c>
      <c r="G628" s="38">
        <f t="shared" si="77"/>
        <v>0</v>
      </c>
      <c r="H628" s="38">
        <f t="shared" si="77"/>
        <v>0</v>
      </c>
      <c r="I628" s="38">
        <f t="shared" si="77"/>
        <v>0</v>
      </c>
      <c r="J628" s="38">
        <f t="shared" si="74"/>
        <v>0</v>
      </c>
      <c r="K628" s="38">
        <f t="shared" si="74"/>
        <v>0</v>
      </c>
      <c r="L628" s="38">
        <f t="shared" si="74"/>
        <v>0</v>
      </c>
      <c r="M628" s="35">
        <f t="shared" si="73"/>
        <v>0</v>
      </c>
      <c r="S628" t="s">
        <v>100</v>
      </c>
      <c r="T628" s="5">
        <f>data_origin!T714</f>
        <v>0</v>
      </c>
      <c r="U628" s="5">
        <f>data_origin!U714</f>
        <v>0</v>
      </c>
      <c r="V628" s="5">
        <f>data_origin!V714</f>
        <v>0</v>
      </c>
      <c r="W628" s="5">
        <f>data_origin!W714</f>
        <v>0</v>
      </c>
      <c r="X628" s="5">
        <f>data_origin!X714</f>
        <v>0</v>
      </c>
      <c r="Y628" s="5">
        <f>data_origin!Y714</f>
        <v>0</v>
      </c>
      <c r="Z628" s="5">
        <f>data_origin!Z714</f>
        <v>0</v>
      </c>
      <c r="AA628" s="5">
        <f>data_origin!AA714</f>
        <v>0</v>
      </c>
      <c r="AB628" s="5">
        <f t="shared" si="79"/>
        <v>0</v>
      </c>
      <c r="AH628" t="s">
        <v>100</v>
      </c>
      <c r="AI628" s="5">
        <f>data_origin!T2485+data_origin!T2723+data_origin!T2961</f>
        <v>0</v>
      </c>
      <c r="AJ628" s="5">
        <f>data_origin!U2485+data_origin!U2723+data_origin!U2961</f>
        <v>0</v>
      </c>
      <c r="AK628" s="5">
        <f>data_origin!V2485+data_origin!V2723+data_origin!V2961</f>
        <v>9.0909090909090912E-2</v>
      </c>
      <c r="AL628" s="5">
        <f>data_origin!W2485+data_origin!W2723+data_origin!W2961</f>
        <v>0</v>
      </c>
      <c r="AM628" s="5">
        <f>data_origin!X2485+data_origin!X2723+data_origin!X2961</f>
        <v>0</v>
      </c>
      <c r="AN628" s="5">
        <f>data_origin!Y2485+data_origin!Y2723+data_origin!Y2961</f>
        <v>0</v>
      </c>
      <c r="AO628" s="5">
        <f>data_origin!Z2485+data_origin!Z2723+data_origin!Z2961</f>
        <v>0</v>
      </c>
      <c r="AP628" s="5">
        <f>data_origin!AA2485+data_origin!AA2723+data_origin!AA2961</f>
        <v>0</v>
      </c>
      <c r="AQ628" s="9">
        <f t="shared" si="75"/>
        <v>9.0909090909090912E-2</v>
      </c>
      <c r="AV628" t="s">
        <v>100</v>
      </c>
      <c r="AW628" s="5">
        <f>data_origin!T3199+data_origin!T3437+data_origin!T3675</f>
        <v>0</v>
      </c>
      <c r="AX628" s="5">
        <f>data_origin!U3199+data_origin!U3437+data_origin!U3675</f>
        <v>0</v>
      </c>
      <c r="AY628" s="5">
        <f>data_origin!V3199+data_origin!V3437+data_origin!V3675</f>
        <v>2.25</v>
      </c>
      <c r="AZ628" s="5">
        <f>data_origin!W3199+data_origin!W3437+data_origin!W3675</f>
        <v>1.9</v>
      </c>
      <c r="BA628" s="5">
        <f>data_origin!X3199+data_origin!X3437+data_origin!X3675</f>
        <v>0</v>
      </c>
      <c r="BB628" s="5">
        <f>data_origin!Y3199+data_origin!Y3437+data_origin!Y3675</f>
        <v>0</v>
      </c>
      <c r="BC628" s="5">
        <f>data_origin!Z3199+data_origin!Z3437+data_origin!Z3675</f>
        <v>3.0303030303030304E-2</v>
      </c>
      <c r="BD628" s="5">
        <f>data_origin!AA3199+data_origin!AA3437+data_origin!AA3675</f>
        <v>0</v>
      </c>
      <c r="BE628" s="9">
        <f t="shared" si="76"/>
        <v>4.1803030303030306</v>
      </c>
    </row>
    <row r="629" spans="1:58" x14ac:dyDescent="0.25">
      <c r="D629" t="s">
        <v>101</v>
      </c>
      <c r="E629" s="38">
        <f t="shared" si="77"/>
        <v>0</v>
      </c>
      <c r="F629" s="38">
        <f t="shared" si="77"/>
        <v>0</v>
      </c>
      <c r="G629" s="38">
        <f t="shared" si="77"/>
        <v>0</v>
      </c>
      <c r="H629" s="38">
        <f t="shared" si="77"/>
        <v>0</v>
      </c>
      <c r="I629" s="38">
        <f t="shared" si="77"/>
        <v>0</v>
      </c>
      <c r="J629" s="38">
        <f t="shared" si="74"/>
        <v>0</v>
      </c>
      <c r="K629" s="38">
        <f t="shared" si="74"/>
        <v>0</v>
      </c>
      <c r="L629" s="38">
        <f t="shared" si="74"/>
        <v>0</v>
      </c>
      <c r="M629" s="35">
        <f t="shared" si="73"/>
        <v>0</v>
      </c>
      <c r="S629" t="s">
        <v>101</v>
      </c>
      <c r="T629" s="5">
        <f>data_origin!T715</f>
        <v>0</v>
      </c>
      <c r="U629" s="5">
        <f>data_origin!U715</f>
        <v>0</v>
      </c>
      <c r="V629" s="5">
        <f>data_origin!V715</f>
        <v>0</v>
      </c>
      <c r="W629" s="5">
        <f>data_origin!W715</f>
        <v>0</v>
      </c>
      <c r="X629" s="5">
        <f>data_origin!X715</f>
        <v>0</v>
      </c>
      <c r="Y629" s="5">
        <f>data_origin!Y715</f>
        <v>0</v>
      </c>
      <c r="Z629" s="5">
        <f>data_origin!Z715</f>
        <v>0</v>
      </c>
      <c r="AA629" s="5">
        <f>data_origin!AA715</f>
        <v>0</v>
      </c>
      <c r="AB629" s="5">
        <f t="shared" si="79"/>
        <v>0</v>
      </c>
      <c r="AH629" t="s">
        <v>101</v>
      </c>
      <c r="AI629" s="5">
        <f>data_origin!T2486+data_origin!T2724+data_origin!T2962</f>
        <v>0</v>
      </c>
      <c r="AJ629" s="5">
        <f>data_origin!U2486+data_origin!U2724+data_origin!U2962</f>
        <v>0</v>
      </c>
      <c r="AK629" s="5">
        <f>data_origin!V2486+data_origin!V2724+data_origin!V2962</f>
        <v>9.0909090909090912E-2</v>
      </c>
      <c r="AL629" s="5">
        <f>data_origin!W2486+data_origin!W2724+data_origin!W2962</f>
        <v>4.3333333333333339</v>
      </c>
      <c r="AM629" s="5">
        <f>data_origin!X2486+data_origin!X2724+data_origin!X2962</f>
        <v>1.1111111111111112</v>
      </c>
      <c r="AN629" s="5">
        <f>data_origin!Y2486+data_origin!Y2724+data_origin!Y2962</f>
        <v>0</v>
      </c>
      <c r="AO629" s="5">
        <f>data_origin!Z2486+data_origin!Z2724+data_origin!Z2962</f>
        <v>0</v>
      </c>
      <c r="AP629" s="5">
        <f>data_origin!AA2486+data_origin!AA2724+data_origin!AA2962</f>
        <v>0</v>
      </c>
      <c r="AQ629" s="9">
        <f t="shared" si="75"/>
        <v>5.5353535353535364</v>
      </c>
      <c r="AR629" s="9">
        <f>SUM(AQ597:AQ629)</f>
        <v>118.00000000000003</v>
      </c>
      <c r="AV629" t="s">
        <v>101</v>
      </c>
      <c r="AW629" s="5">
        <f>data_origin!T3200+data_origin!T3438+data_origin!T3676</f>
        <v>0</v>
      </c>
      <c r="AX629" s="5">
        <f>data_origin!U3200+data_origin!U3438+data_origin!U3676</f>
        <v>0</v>
      </c>
      <c r="AY629" s="5">
        <f>data_origin!V3200+data_origin!V3438+data_origin!V3676</f>
        <v>0</v>
      </c>
      <c r="AZ629" s="5">
        <f>data_origin!W3200+data_origin!W3438+data_origin!W3676</f>
        <v>0</v>
      </c>
      <c r="BA629" s="5">
        <f>data_origin!X3200+data_origin!X3438+data_origin!X3676</f>
        <v>0</v>
      </c>
      <c r="BB629" s="5">
        <f>data_origin!Y3200+data_origin!Y3438+data_origin!Y3676</f>
        <v>0</v>
      </c>
      <c r="BC629" s="5">
        <f>data_origin!Z3200+data_origin!Z3438+data_origin!Z3676</f>
        <v>3.0303030303030304E-2</v>
      </c>
      <c r="BD629" s="5">
        <f>data_origin!AA3200+data_origin!AA3438+data_origin!AA3676</f>
        <v>0</v>
      </c>
      <c r="BE629" s="9">
        <f t="shared" si="76"/>
        <v>3.0303030303030304E-2</v>
      </c>
      <c r="BF629" s="9">
        <f>SUM(BE597:BE629)</f>
        <v>66.000000000000014</v>
      </c>
    </row>
    <row r="630" spans="1:58" x14ac:dyDescent="0.25">
      <c r="A630" s="23" t="s">
        <v>104</v>
      </c>
      <c r="B630" s="23" t="s">
        <v>116</v>
      </c>
      <c r="C630" s="23" t="s">
        <v>114</v>
      </c>
      <c r="D630" t="s">
        <v>70</v>
      </c>
      <c r="E630" s="38">
        <f t="shared" si="77"/>
        <v>0</v>
      </c>
      <c r="F630" s="38">
        <f t="shared" si="77"/>
        <v>0</v>
      </c>
      <c r="G630" s="38">
        <f t="shared" si="77"/>
        <v>0</v>
      </c>
      <c r="H630" s="38">
        <f t="shared" si="77"/>
        <v>0</v>
      </c>
      <c r="I630" s="38">
        <f t="shared" si="77"/>
        <v>0</v>
      </c>
      <c r="J630" s="38">
        <f t="shared" si="74"/>
        <v>0</v>
      </c>
      <c r="K630" s="38">
        <f t="shared" si="74"/>
        <v>0</v>
      </c>
      <c r="L630" s="38">
        <f t="shared" si="74"/>
        <v>9.7902097902097904E-2</v>
      </c>
      <c r="M630" s="35">
        <f t="shared" si="73"/>
        <v>9.7902097902097904E-2</v>
      </c>
      <c r="P630" t="s">
        <v>104</v>
      </c>
      <c r="Q630" t="s">
        <v>116</v>
      </c>
      <c r="R630" t="s">
        <v>114</v>
      </c>
      <c r="S630" t="s">
        <v>70</v>
      </c>
      <c r="T630" s="5">
        <f>data_origin!T717</f>
        <v>0</v>
      </c>
      <c r="U630" s="5">
        <f>data_origin!U717</f>
        <v>0</v>
      </c>
      <c r="V630" s="5">
        <f>data_origin!V717</f>
        <v>0</v>
      </c>
      <c r="W630" s="5">
        <f>data_origin!W717</f>
        <v>0</v>
      </c>
      <c r="X630" s="5">
        <f>data_origin!X717</f>
        <v>0</v>
      </c>
      <c r="Y630" s="5">
        <f>data_origin!Y717</f>
        <v>0</v>
      </c>
      <c r="Z630" s="5">
        <f>data_origin!Z717</f>
        <v>0</v>
      </c>
      <c r="AA630" s="5">
        <f>data_origin!AA717</f>
        <v>9.0909090909090912E-2</v>
      </c>
      <c r="AB630" s="5">
        <f t="shared" si="79"/>
        <v>9.0909090909090912E-2</v>
      </c>
      <c r="AH630" s="4" t="s">
        <v>153</v>
      </c>
      <c r="AI630" s="31">
        <f>SUM(AI597:AI629)</f>
        <v>0</v>
      </c>
      <c r="AJ630" s="31">
        <f t="shared" ref="AJ630:AQ630" si="80">SUM(AJ597:AJ629)</f>
        <v>0</v>
      </c>
      <c r="AK630" s="31">
        <f t="shared" si="80"/>
        <v>23.999999999999986</v>
      </c>
      <c r="AL630" s="31">
        <f t="shared" si="80"/>
        <v>46</v>
      </c>
      <c r="AM630" s="31">
        <f t="shared" si="80"/>
        <v>37.000000000000007</v>
      </c>
      <c r="AN630" s="31">
        <f t="shared" si="80"/>
        <v>11</v>
      </c>
      <c r="AO630" s="31">
        <f t="shared" si="80"/>
        <v>0</v>
      </c>
      <c r="AP630" s="31">
        <f t="shared" si="80"/>
        <v>0</v>
      </c>
      <c r="AQ630" s="31">
        <f t="shared" si="80"/>
        <v>118.00000000000003</v>
      </c>
      <c r="AR630" s="31"/>
      <c r="AS630" s="4"/>
      <c r="AT630" s="4"/>
      <c r="AU630" s="4"/>
      <c r="AV630" s="4" t="s">
        <v>153</v>
      </c>
      <c r="AW630" s="31">
        <f>SUM(AW597:AW629)</f>
        <v>0</v>
      </c>
      <c r="AX630" s="31">
        <f t="shared" ref="AX630:BE630" si="81">SUM(AX597:AX629)</f>
        <v>0</v>
      </c>
      <c r="AY630" s="31">
        <f t="shared" si="81"/>
        <v>16</v>
      </c>
      <c r="AZ630" s="31">
        <f t="shared" si="81"/>
        <v>33.999999999999993</v>
      </c>
      <c r="BA630" s="31">
        <f t="shared" si="81"/>
        <v>12</v>
      </c>
      <c r="BB630" s="31">
        <f t="shared" si="81"/>
        <v>1</v>
      </c>
      <c r="BC630" s="31">
        <f t="shared" si="81"/>
        <v>2.9999999999999991</v>
      </c>
      <c r="BD630" s="31">
        <f t="shared" si="81"/>
        <v>0</v>
      </c>
      <c r="BE630" s="31">
        <f t="shared" si="81"/>
        <v>66.000000000000014</v>
      </c>
    </row>
    <row r="631" spans="1:58" x14ac:dyDescent="0.25">
      <c r="D631" t="s">
        <v>71</v>
      </c>
      <c r="E631" s="38">
        <f t="shared" si="77"/>
        <v>0</v>
      </c>
      <c r="F631" s="38">
        <f t="shared" si="77"/>
        <v>0</v>
      </c>
      <c r="G631" s="38">
        <f t="shared" si="77"/>
        <v>8.5405180725334002</v>
      </c>
      <c r="H631" s="38">
        <f t="shared" si="77"/>
        <v>29.108767929571691</v>
      </c>
      <c r="I631" s="38">
        <f t="shared" si="77"/>
        <v>0</v>
      </c>
      <c r="J631" s="38">
        <f t="shared" si="74"/>
        <v>0</v>
      </c>
      <c r="K631" s="38">
        <f t="shared" si="74"/>
        <v>0</v>
      </c>
      <c r="L631" s="38">
        <f t="shared" si="74"/>
        <v>9.7902097902097904E-2</v>
      </c>
      <c r="M631" s="35">
        <f t="shared" si="73"/>
        <v>37.747188100007193</v>
      </c>
      <c r="S631" t="s">
        <v>71</v>
      </c>
      <c r="T631" s="5">
        <f>data_origin!T718</f>
        <v>0</v>
      </c>
      <c r="U631" s="5">
        <f>data_origin!U718</f>
        <v>0</v>
      </c>
      <c r="V631" s="5">
        <f>data_origin!V718</f>
        <v>8.4740740740740748</v>
      </c>
      <c r="W631" s="5">
        <f>data_origin!W718</f>
        <v>28.75</v>
      </c>
      <c r="X631" s="5">
        <f>data_origin!X718</f>
        <v>0</v>
      </c>
      <c r="Y631" s="5">
        <f>data_origin!Y718</f>
        <v>0</v>
      </c>
      <c r="Z631" s="5">
        <f>data_origin!Z718</f>
        <v>0</v>
      </c>
      <c r="AA631" s="5">
        <f>data_origin!AA718</f>
        <v>9.0909090909090912E-2</v>
      </c>
      <c r="AB631" s="5">
        <f t="shared" si="79"/>
        <v>37.314983164983168</v>
      </c>
      <c r="AW631" s="5"/>
      <c r="AX631" s="5"/>
      <c r="AY631" s="5"/>
      <c r="AZ631" s="5"/>
      <c r="BA631" s="5"/>
      <c r="BB631" s="5"/>
      <c r="BC631" s="5"/>
      <c r="BD631" s="5"/>
      <c r="BE631" s="5"/>
      <c r="BF631" s="5"/>
    </row>
    <row r="632" spans="1:58" x14ac:dyDescent="0.25">
      <c r="D632" t="s">
        <v>72</v>
      </c>
      <c r="E632" s="38">
        <f t="shared" si="77"/>
        <v>0</v>
      </c>
      <c r="F632" s="38">
        <f t="shared" si="77"/>
        <v>0</v>
      </c>
      <c r="G632" s="38">
        <f t="shared" si="77"/>
        <v>2.1351295181333501</v>
      </c>
      <c r="H632" s="38">
        <f t="shared" si="77"/>
        <v>5.2925032599221256</v>
      </c>
      <c r="I632" s="38">
        <f t="shared" si="77"/>
        <v>3.8912335501067323</v>
      </c>
      <c r="J632" s="38">
        <f t="shared" si="74"/>
        <v>0</v>
      </c>
      <c r="K632" s="38">
        <f t="shared" si="74"/>
        <v>0</v>
      </c>
      <c r="L632" s="38">
        <f t="shared" si="74"/>
        <v>9.7902097902097904E-2</v>
      </c>
      <c r="M632" s="35">
        <f t="shared" si="73"/>
        <v>11.416768426064307</v>
      </c>
      <c r="S632" t="s">
        <v>72</v>
      </c>
      <c r="T632" s="5">
        <f>data_origin!T719</f>
        <v>0</v>
      </c>
      <c r="U632" s="5">
        <f>data_origin!U719</f>
        <v>0</v>
      </c>
      <c r="V632" s="5">
        <f>data_origin!V719</f>
        <v>2.1185185185185187</v>
      </c>
      <c r="W632" s="5">
        <f>data_origin!W719</f>
        <v>5.2272727272727266</v>
      </c>
      <c r="X632" s="5">
        <f>data_origin!X719</f>
        <v>3.8231292517006801</v>
      </c>
      <c r="Y632" s="5">
        <f>data_origin!Y719</f>
        <v>0</v>
      </c>
      <c r="Z632" s="5">
        <f>data_origin!Z719</f>
        <v>0</v>
      </c>
      <c r="AA632" s="5">
        <f>data_origin!AA719</f>
        <v>9.0909090909090912E-2</v>
      </c>
      <c r="AB632" s="5">
        <f t="shared" si="79"/>
        <v>11.259829588401017</v>
      </c>
    </row>
    <row r="633" spans="1:58" x14ac:dyDescent="0.25">
      <c r="D633" t="s">
        <v>73</v>
      </c>
      <c r="E633" s="38">
        <f t="shared" si="77"/>
        <v>0</v>
      </c>
      <c r="F633" s="38">
        <f t="shared" si="77"/>
        <v>0</v>
      </c>
      <c r="G633" s="38">
        <f t="shared" si="77"/>
        <v>0</v>
      </c>
      <c r="H633" s="38">
        <f t="shared" si="77"/>
        <v>2.6462516299610628</v>
      </c>
      <c r="I633" s="38">
        <f t="shared" si="77"/>
        <v>7.7824671002134647</v>
      </c>
      <c r="J633" s="38">
        <f t="shared" si="74"/>
        <v>0</v>
      </c>
      <c r="K633" s="38">
        <f t="shared" si="74"/>
        <v>0</v>
      </c>
      <c r="L633" s="38">
        <f t="shared" si="74"/>
        <v>9.7902097902097904E-2</v>
      </c>
      <c r="M633" s="35">
        <f t="shared" si="73"/>
        <v>10.526620828076625</v>
      </c>
      <c r="S633" t="s">
        <v>73</v>
      </c>
      <c r="T633" s="5">
        <f>data_origin!T720</f>
        <v>0</v>
      </c>
      <c r="U633" s="5">
        <f>data_origin!U720</f>
        <v>0</v>
      </c>
      <c r="V633" s="5">
        <f>data_origin!V720</f>
        <v>0</v>
      </c>
      <c r="W633" s="5">
        <f>data_origin!W720</f>
        <v>2.6136363636363633</v>
      </c>
      <c r="X633" s="5">
        <f>data_origin!X720</f>
        <v>7.6462585034013602</v>
      </c>
      <c r="Y633" s="5">
        <f>data_origin!Y720</f>
        <v>0</v>
      </c>
      <c r="Z633" s="5">
        <f>data_origin!Z720</f>
        <v>0</v>
      </c>
      <c r="AA633" s="5">
        <f>data_origin!AA720</f>
        <v>9.0909090909090912E-2</v>
      </c>
      <c r="AB633" s="5">
        <f t="shared" si="79"/>
        <v>10.350803957946814</v>
      </c>
      <c r="AE633" t="s">
        <v>104</v>
      </c>
      <c r="AF633" t="s">
        <v>103</v>
      </c>
      <c r="AG633" s="28" t="s">
        <v>244</v>
      </c>
      <c r="AH633" t="s">
        <v>70</v>
      </c>
      <c r="AI633" s="5">
        <f>data_origin!T3678</f>
        <v>0</v>
      </c>
      <c r="AJ633" s="5">
        <f>data_origin!U3678</f>
        <v>0</v>
      </c>
      <c r="AK633" s="5">
        <f>data_origin!V3678</f>
        <v>0</v>
      </c>
      <c r="AL633" s="5">
        <f>data_origin!W3678</f>
        <v>0</v>
      </c>
      <c r="AM633" s="5">
        <f>data_origin!X3678</f>
        <v>3.1666666666666665</v>
      </c>
      <c r="AN633" s="5">
        <f>data_origin!Y3678</f>
        <v>0</v>
      </c>
      <c r="AO633" s="5">
        <f>data_origin!Z3678</f>
        <v>3.0303030303030304E-2</v>
      </c>
      <c r="AP633" s="5">
        <f>data_origin!AA3678</f>
        <v>3.0303030303030304E-2</v>
      </c>
      <c r="AQ633" s="9">
        <f t="shared" ref="AQ633:AQ696" si="82">SUM(AI633:AP633)</f>
        <v>3.2272727272727271</v>
      </c>
      <c r="AR633" s="5"/>
      <c r="AS633" t="s">
        <v>115</v>
      </c>
      <c r="AT633" t="s">
        <v>151</v>
      </c>
      <c r="AU633" s="28" t="s">
        <v>244</v>
      </c>
      <c r="AV633" t="s">
        <v>70</v>
      </c>
      <c r="AW633" s="5">
        <f>data_origin!T3780</f>
        <v>0</v>
      </c>
      <c r="AX633" s="5">
        <f>data_origin!U3780</f>
        <v>0</v>
      </c>
      <c r="AY633" s="5">
        <f>data_origin!V3780</f>
        <v>0</v>
      </c>
      <c r="AZ633" s="5">
        <f>data_origin!W3780</f>
        <v>0</v>
      </c>
      <c r="BA633" s="5">
        <f>data_origin!X3780</f>
        <v>0</v>
      </c>
      <c r="BB633" s="5">
        <f>data_origin!Y3780</f>
        <v>0</v>
      </c>
      <c r="BC633" s="5">
        <f>data_origin!Z3780</f>
        <v>0</v>
      </c>
      <c r="BD633" s="5">
        <f>data_origin!AA3780</f>
        <v>0</v>
      </c>
      <c r="BE633" s="5">
        <f>SUM(AW633:BD633)</f>
        <v>0</v>
      </c>
    </row>
    <row r="634" spans="1:58" x14ac:dyDescent="0.25">
      <c r="D634" t="s">
        <v>74</v>
      </c>
      <c r="E634" s="38">
        <f t="shared" si="77"/>
        <v>0</v>
      </c>
      <c r="F634" s="38">
        <f t="shared" si="77"/>
        <v>0</v>
      </c>
      <c r="G634" s="38">
        <f t="shared" si="77"/>
        <v>0</v>
      </c>
      <c r="H634" s="38">
        <f t="shared" si="77"/>
        <v>10.585006519844251</v>
      </c>
      <c r="I634" s="38">
        <f t="shared" si="77"/>
        <v>3.8912335501067323</v>
      </c>
      <c r="J634" s="38">
        <f t="shared" si="74"/>
        <v>0</v>
      </c>
      <c r="K634" s="38">
        <f t="shared" si="74"/>
        <v>0</v>
      </c>
      <c r="L634" s="38">
        <f t="shared" si="74"/>
        <v>9.7902097902097904E-2</v>
      </c>
      <c r="M634" s="35">
        <f t="shared" si="73"/>
        <v>14.574142167853081</v>
      </c>
      <c r="S634" t="s">
        <v>74</v>
      </c>
      <c r="T634" s="5">
        <f>data_origin!T721</f>
        <v>0</v>
      </c>
      <c r="U634" s="5">
        <f>data_origin!U721</f>
        <v>0</v>
      </c>
      <c r="V634" s="5">
        <f>data_origin!V721</f>
        <v>0</v>
      </c>
      <c r="W634" s="5">
        <f>data_origin!W721</f>
        <v>10.454545454545453</v>
      </c>
      <c r="X634" s="5">
        <f>data_origin!X721</f>
        <v>3.8231292517006801</v>
      </c>
      <c r="Y634" s="5">
        <f>data_origin!Y721</f>
        <v>0</v>
      </c>
      <c r="Z634" s="5">
        <f>data_origin!Z721</f>
        <v>0</v>
      </c>
      <c r="AA634" s="5">
        <f>data_origin!AA721</f>
        <v>9.0909090909090912E-2</v>
      </c>
      <c r="AB634" s="5">
        <f t="shared" si="79"/>
        <v>14.368583797155225</v>
      </c>
      <c r="AH634" t="s">
        <v>71</v>
      </c>
      <c r="AI634" s="5">
        <f>data_origin!T3679</f>
        <v>0</v>
      </c>
      <c r="AJ634" s="5">
        <f>data_origin!U3679</f>
        <v>0</v>
      </c>
      <c r="AK634" s="5">
        <f>data_origin!V3679</f>
        <v>7.161290322580645</v>
      </c>
      <c r="AL634" s="5">
        <f>data_origin!W3679</f>
        <v>9.125</v>
      </c>
      <c r="AM634" s="5">
        <f>data_origin!X3679</f>
        <v>3.1666666666666665</v>
      </c>
      <c r="AN634" s="5">
        <f>data_origin!Y3679</f>
        <v>0</v>
      </c>
      <c r="AO634" s="5">
        <f>data_origin!Z3679</f>
        <v>3.0303030303030304E-2</v>
      </c>
      <c r="AP634" s="5">
        <f>data_origin!AA3679</f>
        <v>3.0303030303030304E-2</v>
      </c>
      <c r="AQ634" s="9">
        <f t="shared" si="82"/>
        <v>19.513563049853374</v>
      </c>
      <c r="AR634" s="5"/>
      <c r="AV634" t="s">
        <v>71</v>
      </c>
      <c r="AW634" s="5">
        <f>data_origin!T3781</f>
        <v>0</v>
      </c>
      <c r="AX634" s="5">
        <f>data_origin!U3781</f>
        <v>0</v>
      </c>
      <c r="AY634" s="5">
        <f>data_origin!V3781</f>
        <v>5</v>
      </c>
      <c r="AZ634" s="5">
        <f>data_origin!W3781</f>
        <v>0</v>
      </c>
      <c r="BA634" s="5">
        <f>data_origin!X3781</f>
        <v>0</v>
      </c>
      <c r="BB634" s="5">
        <f>data_origin!Y3781</f>
        <v>0</v>
      </c>
      <c r="BC634" s="5">
        <f>data_origin!Z3781</f>
        <v>0</v>
      </c>
      <c r="BD634" s="5">
        <f>data_origin!AA3781</f>
        <v>0</v>
      </c>
      <c r="BE634" s="5">
        <f t="shared" ref="BE634:BE697" si="83">SUM(AW634:BD634)</f>
        <v>5</v>
      </c>
    </row>
    <row r="635" spans="1:58" x14ac:dyDescent="0.25">
      <c r="D635" t="s">
        <v>75</v>
      </c>
      <c r="E635" s="38">
        <f t="shared" si="77"/>
        <v>0</v>
      </c>
      <c r="F635" s="38">
        <f t="shared" si="77"/>
        <v>0</v>
      </c>
      <c r="G635" s="38">
        <f t="shared" si="77"/>
        <v>0</v>
      </c>
      <c r="H635" s="38">
        <f t="shared" si="77"/>
        <v>3.6462516299610628</v>
      </c>
      <c r="I635" s="38">
        <f t="shared" si="77"/>
        <v>15.564934200426929</v>
      </c>
      <c r="J635" s="38">
        <f t="shared" si="74"/>
        <v>0</v>
      </c>
      <c r="K635" s="38">
        <f t="shared" si="74"/>
        <v>0</v>
      </c>
      <c r="L635" s="38">
        <f t="shared" si="74"/>
        <v>9.7902097902097904E-2</v>
      </c>
      <c r="M635" s="35">
        <f t="shared" si="73"/>
        <v>19.30908792829009</v>
      </c>
      <c r="S635" t="s">
        <v>75</v>
      </c>
      <c r="T635" s="5">
        <f>data_origin!T722</f>
        <v>0</v>
      </c>
      <c r="U635" s="5">
        <f>data_origin!U722</f>
        <v>0</v>
      </c>
      <c r="V635" s="5">
        <f>data_origin!V722</f>
        <v>0</v>
      </c>
      <c r="W635" s="5">
        <f>data_origin!W722</f>
        <v>2.6136363636363633</v>
      </c>
      <c r="X635" s="5">
        <f>data_origin!X722</f>
        <v>15.29251700680272</v>
      </c>
      <c r="Y635" s="5">
        <f>data_origin!Y722</f>
        <v>0</v>
      </c>
      <c r="Z635" s="5">
        <f>data_origin!Z722</f>
        <v>0</v>
      </c>
      <c r="AA635" s="5">
        <f>data_origin!AA722</f>
        <v>9.0909090909090912E-2</v>
      </c>
      <c r="AB635" s="5">
        <f t="shared" si="79"/>
        <v>17.997062461348175</v>
      </c>
      <c r="AH635" t="s">
        <v>72</v>
      </c>
      <c r="AI635" s="5">
        <f>data_origin!T3680</f>
        <v>0</v>
      </c>
      <c r="AJ635" s="5">
        <f>data_origin!U3680</f>
        <v>0</v>
      </c>
      <c r="AK635" s="5">
        <f>data_origin!V3680</f>
        <v>0</v>
      </c>
      <c r="AL635" s="5">
        <f>data_origin!W3680</f>
        <v>6.84375</v>
      </c>
      <c r="AM635" s="5">
        <f>data_origin!X3680</f>
        <v>0</v>
      </c>
      <c r="AN635" s="5">
        <f>data_origin!Y3680</f>
        <v>0</v>
      </c>
      <c r="AO635" s="5">
        <f>data_origin!Z3680</f>
        <v>3.0303030303030304E-2</v>
      </c>
      <c r="AP635" s="5">
        <f>data_origin!AA3680</f>
        <v>3.0303030303030304E-2</v>
      </c>
      <c r="AQ635" s="9">
        <f t="shared" si="82"/>
        <v>6.9043560606060606</v>
      </c>
      <c r="AV635" t="s">
        <v>72</v>
      </c>
      <c r="AW635" s="5">
        <f>data_origin!T3782</f>
        <v>0</v>
      </c>
      <c r="AX635" s="5">
        <f>data_origin!U3782</f>
        <v>0</v>
      </c>
      <c r="AY635" s="5">
        <f>data_origin!V3782</f>
        <v>0</v>
      </c>
      <c r="AZ635" s="5">
        <f>data_origin!W3782</f>
        <v>0</v>
      </c>
      <c r="BA635" s="5">
        <f>data_origin!X3782</f>
        <v>6.875</v>
      </c>
      <c r="BB635" s="5">
        <f>data_origin!Y3782</f>
        <v>3.5</v>
      </c>
      <c r="BC635" s="5">
        <f>data_origin!Z3782</f>
        <v>0</v>
      </c>
      <c r="BD635" s="5">
        <f>data_origin!AA3782</f>
        <v>0</v>
      </c>
      <c r="BE635" s="5">
        <f t="shared" si="83"/>
        <v>10.375</v>
      </c>
    </row>
    <row r="636" spans="1:58" x14ac:dyDescent="0.25">
      <c r="D636" t="s">
        <v>76</v>
      </c>
      <c r="E636" s="38">
        <f t="shared" si="77"/>
        <v>0</v>
      </c>
      <c r="F636" s="38">
        <f t="shared" si="77"/>
        <v>0</v>
      </c>
      <c r="G636" s="38">
        <f t="shared" si="77"/>
        <v>4.2702590362667001</v>
      </c>
      <c r="H636" s="38">
        <f t="shared" si="77"/>
        <v>5.2925032599221256</v>
      </c>
      <c r="I636" s="38">
        <f t="shared" si="77"/>
        <v>0</v>
      </c>
      <c r="J636" s="38">
        <f t="shared" si="74"/>
        <v>0</v>
      </c>
      <c r="K636" s="38">
        <f t="shared" si="74"/>
        <v>0</v>
      </c>
      <c r="L636" s="38">
        <f t="shared" si="74"/>
        <v>9.7902097902097904E-2</v>
      </c>
      <c r="M636" s="35">
        <f t="shared" si="73"/>
        <v>9.660664394090924</v>
      </c>
      <c r="S636" t="s">
        <v>76</v>
      </c>
      <c r="T636" s="5">
        <f>data_origin!T723</f>
        <v>0</v>
      </c>
      <c r="U636" s="5">
        <f>data_origin!U723</f>
        <v>0</v>
      </c>
      <c r="V636" s="5">
        <f>data_origin!V723</f>
        <v>4.2370370370370374</v>
      </c>
      <c r="W636" s="5">
        <f>data_origin!W723</f>
        <v>5.2272727272727266</v>
      </c>
      <c r="X636" s="5">
        <f>data_origin!X723</f>
        <v>0</v>
      </c>
      <c r="Y636" s="5">
        <f>data_origin!Y723</f>
        <v>0</v>
      </c>
      <c r="Z636" s="5">
        <f>data_origin!Z723</f>
        <v>0</v>
      </c>
      <c r="AA636" s="5">
        <f>data_origin!AA723</f>
        <v>9.0909090909090912E-2</v>
      </c>
      <c r="AB636" s="5">
        <f t="shared" si="79"/>
        <v>9.5552188552188557</v>
      </c>
      <c r="AH636" t="s">
        <v>73</v>
      </c>
      <c r="AI636" s="5">
        <f>data_origin!T3681</f>
        <v>0</v>
      </c>
      <c r="AJ636" s="5">
        <f>data_origin!U3681</f>
        <v>0</v>
      </c>
      <c r="AK636" s="5">
        <f>data_origin!V3681</f>
        <v>7.161290322580645</v>
      </c>
      <c r="AL636" s="5">
        <f>data_origin!W3681</f>
        <v>6.84375</v>
      </c>
      <c r="AM636" s="5">
        <f>data_origin!X3681</f>
        <v>9.5</v>
      </c>
      <c r="AN636" s="5">
        <f>data_origin!Y3681</f>
        <v>0</v>
      </c>
      <c r="AO636" s="5">
        <f>data_origin!Z3681</f>
        <v>3.0303030303030304E-2</v>
      </c>
      <c r="AP636" s="5">
        <f>data_origin!AA3681</f>
        <v>3.0303030303030304E-2</v>
      </c>
      <c r="AQ636" s="9">
        <f t="shared" si="82"/>
        <v>23.565646383186706</v>
      </c>
      <c r="AV636" t="s">
        <v>73</v>
      </c>
      <c r="AW636" s="5">
        <f>data_origin!T3783</f>
        <v>0</v>
      </c>
      <c r="AX636" s="5">
        <f>data_origin!U3783</f>
        <v>0</v>
      </c>
      <c r="AY636" s="5">
        <f>data_origin!V3783</f>
        <v>5</v>
      </c>
      <c r="AZ636" s="5">
        <f>data_origin!W3783</f>
        <v>11.444444444444445</v>
      </c>
      <c r="BA636" s="5">
        <f>data_origin!X3783</f>
        <v>3.4375</v>
      </c>
      <c r="BB636" s="5">
        <f>data_origin!Y3783</f>
        <v>0</v>
      </c>
      <c r="BC636" s="5">
        <f>data_origin!Z3783</f>
        <v>0</v>
      </c>
      <c r="BD636" s="5">
        <f>data_origin!AA3783</f>
        <v>0</v>
      </c>
      <c r="BE636" s="5">
        <f t="shared" si="83"/>
        <v>19.881944444444443</v>
      </c>
    </row>
    <row r="637" spans="1:58" x14ac:dyDescent="0.25">
      <c r="D637" t="s">
        <v>77</v>
      </c>
      <c r="E637" s="38">
        <f t="shared" si="77"/>
        <v>0</v>
      </c>
      <c r="F637" s="38">
        <f t="shared" si="77"/>
        <v>0</v>
      </c>
      <c r="G637" s="38">
        <f t="shared" si="77"/>
        <v>6.4053885544000497</v>
      </c>
      <c r="H637" s="38">
        <f t="shared" si="77"/>
        <v>10.585006519844251</v>
      </c>
      <c r="I637" s="38">
        <f t="shared" si="77"/>
        <v>0</v>
      </c>
      <c r="J637" s="38">
        <f t="shared" si="74"/>
        <v>0</v>
      </c>
      <c r="K637" s="38">
        <f t="shared" si="74"/>
        <v>0</v>
      </c>
      <c r="L637" s="38">
        <f t="shared" si="74"/>
        <v>9.7902097902097904E-2</v>
      </c>
      <c r="M637" s="35">
        <f t="shared" si="73"/>
        <v>17.088297172146397</v>
      </c>
      <c r="S637" t="s">
        <v>77</v>
      </c>
      <c r="T637" s="5">
        <f>data_origin!T724</f>
        <v>0</v>
      </c>
      <c r="U637" s="5">
        <f>data_origin!U724</f>
        <v>0</v>
      </c>
      <c r="V637" s="5">
        <f>data_origin!V724</f>
        <v>6.3555555555555561</v>
      </c>
      <c r="W637" s="5">
        <f>data_origin!W724</f>
        <v>10.454545454545453</v>
      </c>
      <c r="X637" s="5">
        <f>data_origin!X724</f>
        <v>0</v>
      </c>
      <c r="Y637" s="5">
        <f>data_origin!Y724</f>
        <v>0</v>
      </c>
      <c r="Z637" s="5">
        <f>data_origin!Z724</f>
        <v>0</v>
      </c>
      <c r="AA637" s="5">
        <f>data_origin!AA724</f>
        <v>9.0909090909090912E-2</v>
      </c>
      <c r="AB637" s="5">
        <f t="shared" si="79"/>
        <v>16.901010101010097</v>
      </c>
      <c r="AH637" t="s">
        <v>74</v>
      </c>
      <c r="AI637" s="5">
        <f>data_origin!T3682</f>
        <v>0</v>
      </c>
      <c r="AJ637" s="5">
        <f>data_origin!U3682</f>
        <v>0</v>
      </c>
      <c r="AK637" s="5">
        <f>data_origin!V3682</f>
        <v>0</v>
      </c>
      <c r="AL637" s="5">
        <f>data_origin!W3682</f>
        <v>9.125</v>
      </c>
      <c r="AM637" s="5">
        <f>data_origin!X3682</f>
        <v>0</v>
      </c>
      <c r="AN637" s="5">
        <f>data_origin!Y3682</f>
        <v>0</v>
      </c>
      <c r="AO637" s="5">
        <f>data_origin!Z3682</f>
        <v>3.0303030303030304E-2</v>
      </c>
      <c r="AP637" s="5">
        <f>data_origin!AA3682</f>
        <v>3.0303030303030304E-2</v>
      </c>
      <c r="AQ637" s="9">
        <f t="shared" si="82"/>
        <v>9.1856060606060623</v>
      </c>
      <c r="AV637" t="s">
        <v>74</v>
      </c>
      <c r="AW637" s="5">
        <f>data_origin!T3784</f>
        <v>0</v>
      </c>
      <c r="AX637" s="5">
        <f>data_origin!U3784</f>
        <v>0</v>
      </c>
      <c r="AY637" s="5">
        <f>data_origin!V3784</f>
        <v>0</v>
      </c>
      <c r="AZ637" s="5">
        <f>data_origin!W3784</f>
        <v>5.7222222222222223</v>
      </c>
      <c r="BA637" s="5">
        <f>data_origin!X3784</f>
        <v>0</v>
      </c>
      <c r="BB637" s="5">
        <f>data_origin!Y3784</f>
        <v>0</v>
      </c>
      <c r="BC637" s="5">
        <f>data_origin!Z3784</f>
        <v>0</v>
      </c>
      <c r="BD637" s="5">
        <f>data_origin!AA3784</f>
        <v>0</v>
      </c>
      <c r="BE637" s="5">
        <f t="shared" si="83"/>
        <v>5.7222222222222223</v>
      </c>
    </row>
    <row r="638" spans="1:58" x14ac:dyDescent="0.25">
      <c r="D638" t="s">
        <v>78</v>
      </c>
      <c r="E638" s="38">
        <f t="shared" si="77"/>
        <v>0</v>
      </c>
      <c r="F638" s="38">
        <f t="shared" si="77"/>
        <v>0</v>
      </c>
      <c r="G638" s="38">
        <f t="shared" si="77"/>
        <v>14.945906626933445</v>
      </c>
      <c r="H638" s="38">
        <f t="shared" si="77"/>
        <v>55.571284229182325</v>
      </c>
      <c r="I638" s="38">
        <f t="shared" si="77"/>
        <v>35.021101950960592</v>
      </c>
      <c r="J638" s="38">
        <f t="shared" si="74"/>
        <v>8.8460851333782831</v>
      </c>
      <c r="K638" s="38">
        <f t="shared" si="74"/>
        <v>6.6212686567164178</v>
      </c>
      <c r="L638" s="38">
        <f t="shared" si="74"/>
        <v>9.7902097902097904E-2</v>
      </c>
      <c r="M638" s="35">
        <f t="shared" si="73"/>
        <v>121.10354869507317</v>
      </c>
      <c r="S638" t="s">
        <v>78</v>
      </c>
      <c r="T638" s="5">
        <f>data_origin!T725</f>
        <v>0</v>
      </c>
      <c r="U638" s="5">
        <f>data_origin!U725</f>
        <v>0</v>
      </c>
      <c r="V638" s="5">
        <f>data_origin!V725</f>
        <v>14.829629629629629</v>
      </c>
      <c r="W638" s="5">
        <f>data_origin!W725</f>
        <v>54.88636363636364</v>
      </c>
      <c r="X638" s="5">
        <f>data_origin!X725</f>
        <v>34.408163265306122</v>
      </c>
      <c r="Y638" s="5">
        <f>data_origin!Y725</f>
        <v>8.6666666666666679</v>
      </c>
      <c r="Z638" s="5">
        <f>data_origin!Z725</f>
        <v>6.5</v>
      </c>
      <c r="AA638" s="5">
        <f>data_origin!AA725</f>
        <v>9.0909090909090912E-2</v>
      </c>
      <c r="AB638" s="5">
        <f t="shared" si="79"/>
        <v>119.38173228887514</v>
      </c>
      <c r="AH638" t="s">
        <v>75</v>
      </c>
      <c r="AI638" s="5">
        <f>data_origin!T3683</f>
        <v>0</v>
      </c>
      <c r="AJ638" s="5">
        <f>data_origin!U3683</f>
        <v>0</v>
      </c>
      <c r="AK638" s="5">
        <f>data_origin!V3683</f>
        <v>2.387096774193548</v>
      </c>
      <c r="AL638" s="5">
        <f>data_origin!W3683</f>
        <v>0</v>
      </c>
      <c r="AM638" s="5">
        <f>data_origin!X3683</f>
        <v>0</v>
      </c>
      <c r="AN638" s="5">
        <f>data_origin!Y3683</f>
        <v>0</v>
      </c>
      <c r="AO638" s="5">
        <f>data_origin!Z3683</f>
        <v>3.0303030303030304E-2</v>
      </c>
      <c r="AP638" s="5">
        <f>data_origin!AA3683</f>
        <v>3.0303030303030304E-2</v>
      </c>
      <c r="AQ638" s="9">
        <f t="shared" si="82"/>
        <v>2.4477028347996086</v>
      </c>
      <c r="AV638" t="s">
        <v>75</v>
      </c>
      <c r="AW638" s="5">
        <f>data_origin!T3785</f>
        <v>0</v>
      </c>
      <c r="AX638" s="5">
        <f>data_origin!U3785</f>
        <v>0</v>
      </c>
      <c r="AY638" s="5">
        <f>data_origin!V3785</f>
        <v>0</v>
      </c>
      <c r="AZ638" s="5">
        <f>data_origin!W3785</f>
        <v>0</v>
      </c>
      <c r="BA638" s="5">
        <f>data_origin!X3785</f>
        <v>0</v>
      </c>
      <c r="BB638" s="5">
        <f>data_origin!Y3785</f>
        <v>0</v>
      </c>
      <c r="BC638" s="5">
        <f>data_origin!Z3785</f>
        <v>0</v>
      </c>
      <c r="BD638" s="5">
        <f>data_origin!AA3785</f>
        <v>0</v>
      </c>
      <c r="BE638" s="5">
        <f t="shared" si="83"/>
        <v>0</v>
      </c>
    </row>
    <row r="639" spans="1:58" x14ac:dyDescent="0.25">
      <c r="D639" t="s">
        <v>79</v>
      </c>
      <c r="E639" s="38">
        <f t="shared" si="77"/>
        <v>0</v>
      </c>
      <c r="F639" s="38">
        <f t="shared" si="77"/>
        <v>0</v>
      </c>
      <c r="G639" s="38">
        <f t="shared" si="77"/>
        <v>8.5405180725334002</v>
      </c>
      <c r="H639" s="38">
        <f t="shared" si="77"/>
        <v>7.9387548898831888</v>
      </c>
      <c r="I639" s="38">
        <f t="shared" si="77"/>
        <v>11.673700650320198</v>
      </c>
      <c r="J639" s="38">
        <f t="shared" si="74"/>
        <v>17.692170266756566</v>
      </c>
      <c r="K639" s="38">
        <f t="shared" si="74"/>
        <v>0</v>
      </c>
      <c r="L639" s="38">
        <f t="shared" si="74"/>
        <v>9.7902097902097904E-2</v>
      </c>
      <c r="M639" s="35">
        <f t="shared" si="73"/>
        <v>45.94304597739545</v>
      </c>
      <c r="S639" t="s">
        <v>79</v>
      </c>
      <c r="T639" s="5">
        <f>data_origin!T726</f>
        <v>0</v>
      </c>
      <c r="U639" s="5">
        <f>data_origin!U726</f>
        <v>0</v>
      </c>
      <c r="V639" s="5">
        <f>data_origin!V726</f>
        <v>8.4740740740740748</v>
      </c>
      <c r="W639" s="5">
        <f>data_origin!W726</f>
        <v>7.8409090909090908</v>
      </c>
      <c r="X639" s="5">
        <f>data_origin!X726</f>
        <v>11.469387755102041</v>
      </c>
      <c r="Y639" s="5">
        <f>data_origin!Y726</f>
        <v>17.333333333333336</v>
      </c>
      <c r="Z639" s="5">
        <f>data_origin!Z726</f>
        <v>0</v>
      </c>
      <c r="AA639" s="5">
        <f>data_origin!AA726</f>
        <v>9.0909090909090912E-2</v>
      </c>
      <c r="AB639" s="5">
        <f t="shared" si="79"/>
        <v>45.208613344327631</v>
      </c>
      <c r="AH639" t="s">
        <v>76</v>
      </c>
      <c r="AI639" s="5">
        <f>data_origin!T3684</f>
        <v>0</v>
      </c>
      <c r="AJ639" s="5">
        <f>data_origin!U3684</f>
        <v>0</v>
      </c>
      <c r="AK639" s="5">
        <f>data_origin!V3684</f>
        <v>9.5483870967741922</v>
      </c>
      <c r="AL639" s="5">
        <f>data_origin!W3684</f>
        <v>2.28125</v>
      </c>
      <c r="AM639" s="5">
        <f>data_origin!X3684</f>
        <v>6.333333333333333</v>
      </c>
      <c r="AN639" s="5">
        <f>data_origin!Y3684</f>
        <v>0</v>
      </c>
      <c r="AO639" s="5">
        <f>data_origin!Z3684</f>
        <v>3.0303030303030304E-2</v>
      </c>
      <c r="AP639" s="5">
        <f>data_origin!AA3684</f>
        <v>3.0303030303030304E-2</v>
      </c>
      <c r="AQ639" s="9">
        <f t="shared" si="82"/>
        <v>18.223576490713587</v>
      </c>
      <c r="AV639" t="s">
        <v>76</v>
      </c>
      <c r="AW639" s="5">
        <f>data_origin!T3786</f>
        <v>0</v>
      </c>
      <c r="AX639" s="5">
        <f>data_origin!U3786</f>
        <v>0</v>
      </c>
      <c r="AY639" s="5">
        <f>data_origin!V3786</f>
        <v>0</v>
      </c>
      <c r="AZ639" s="5">
        <f>data_origin!W3786</f>
        <v>0</v>
      </c>
      <c r="BA639" s="5">
        <f>data_origin!X3786</f>
        <v>6.875</v>
      </c>
      <c r="BB639" s="5">
        <f>data_origin!Y3786</f>
        <v>1.75</v>
      </c>
      <c r="BC639" s="5">
        <f>data_origin!Z3786</f>
        <v>0</v>
      </c>
      <c r="BD639" s="5">
        <f>data_origin!AA3786</f>
        <v>0</v>
      </c>
      <c r="BE639" s="5">
        <f t="shared" si="83"/>
        <v>8.625</v>
      </c>
    </row>
    <row r="640" spans="1:58" x14ac:dyDescent="0.25">
      <c r="D640" t="s">
        <v>80</v>
      </c>
      <c r="E640" s="38">
        <f t="shared" si="77"/>
        <v>0</v>
      </c>
      <c r="F640" s="38">
        <f t="shared" si="77"/>
        <v>0</v>
      </c>
      <c r="G640" s="38">
        <f t="shared" si="77"/>
        <v>10.675647590666747</v>
      </c>
      <c r="H640" s="38">
        <f t="shared" si="77"/>
        <v>18.523761409727442</v>
      </c>
      <c r="I640" s="38">
        <f t="shared" si="77"/>
        <v>15.564934200426929</v>
      </c>
      <c r="J640" s="38">
        <f t="shared" si="74"/>
        <v>0</v>
      </c>
      <c r="K640" s="38">
        <f t="shared" si="74"/>
        <v>0</v>
      </c>
      <c r="L640" s="38">
        <f t="shared" si="74"/>
        <v>9.7902097902097904E-2</v>
      </c>
      <c r="M640" s="35">
        <f t="shared" si="73"/>
        <v>44.862245298723217</v>
      </c>
      <c r="S640" t="s">
        <v>80</v>
      </c>
      <c r="T640" s="5">
        <f>data_origin!T727</f>
        <v>0</v>
      </c>
      <c r="U640" s="5">
        <f>data_origin!U727</f>
        <v>0</v>
      </c>
      <c r="V640" s="5">
        <f>data_origin!V727</f>
        <v>10.592592592592592</v>
      </c>
      <c r="W640" s="5">
        <f>data_origin!W727</f>
        <v>18.295454545454547</v>
      </c>
      <c r="X640" s="5">
        <f>data_origin!X727</f>
        <v>15.29251700680272</v>
      </c>
      <c r="Y640" s="5">
        <f>data_origin!Y727</f>
        <v>0</v>
      </c>
      <c r="Z640" s="5">
        <f>data_origin!Z727</f>
        <v>0</v>
      </c>
      <c r="AA640" s="5">
        <f>data_origin!AA727</f>
        <v>9.0909090909090912E-2</v>
      </c>
      <c r="AB640" s="5">
        <f t="shared" si="79"/>
        <v>44.271473235758954</v>
      </c>
      <c r="AH640" t="s">
        <v>77</v>
      </c>
      <c r="AI640" s="5">
        <f>data_origin!T3685</f>
        <v>0</v>
      </c>
      <c r="AJ640" s="5">
        <f>data_origin!U3685</f>
        <v>0</v>
      </c>
      <c r="AK640" s="5">
        <f>data_origin!V3685</f>
        <v>2.387096774193548</v>
      </c>
      <c r="AL640" s="5">
        <f>data_origin!W3685</f>
        <v>2.28125</v>
      </c>
      <c r="AM640" s="5">
        <f>data_origin!X3685</f>
        <v>0</v>
      </c>
      <c r="AN640" s="5">
        <f>data_origin!Y3685</f>
        <v>0</v>
      </c>
      <c r="AO640" s="5">
        <f>data_origin!Z3685</f>
        <v>3.0303030303030304E-2</v>
      </c>
      <c r="AP640" s="5">
        <f>data_origin!AA3685</f>
        <v>3.0303030303030304E-2</v>
      </c>
      <c r="AQ640" s="9">
        <f t="shared" si="82"/>
        <v>4.7289528347996086</v>
      </c>
      <c r="AV640" t="s">
        <v>77</v>
      </c>
      <c r="AW640" s="5">
        <f>data_origin!T3787</f>
        <v>0</v>
      </c>
      <c r="AX640" s="5">
        <f>data_origin!U3787</f>
        <v>0</v>
      </c>
      <c r="AY640" s="5">
        <f>data_origin!V3787</f>
        <v>0</v>
      </c>
      <c r="AZ640" s="5">
        <f>data_origin!W3787</f>
        <v>0</v>
      </c>
      <c r="BA640" s="5">
        <f>data_origin!X3787</f>
        <v>0</v>
      </c>
      <c r="BB640" s="5">
        <f>data_origin!Y3787</f>
        <v>0</v>
      </c>
      <c r="BC640" s="5">
        <f>data_origin!Z3787</f>
        <v>0</v>
      </c>
      <c r="BD640" s="5">
        <f>data_origin!AA3787</f>
        <v>0</v>
      </c>
      <c r="BE640" s="5">
        <f t="shared" si="83"/>
        <v>0</v>
      </c>
    </row>
    <row r="641" spans="4:57" x14ac:dyDescent="0.25">
      <c r="D641" t="s">
        <v>81</v>
      </c>
      <c r="E641" s="38">
        <f t="shared" si="77"/>
        <v>0</v>
      </c>
      <c r="F641" s="38">
        <f t="shared" si="77"/>
        <v>0</v>
      </c>
      <c r="G641" s="38">
        <f t="shared" si="77"/>
        <v>6.4053885544000497</v>
      </c>
      <c r="H641" s="38">
        <f t="shared" si="77"/>
        <v>0</v>
      </c>
      <c r="I641" s="38">
        <f t="shared" si="77"/>
        <v>3.8912335501067323</v>
      </c>
      <c r="J641" s="38">
        <f t="shared" si="74"/>
        <v>0</v>
      </c>
      <c r="K641" s="38">
        <f t="shared" si="74"/>
        <v>0</v>
      </c>
      <c r="L641" s="38">
        <f t="shared" si="74"/>
        <v>9.7902097902097904E-2</v>
      </c>
      <c r="M641" s="35">
        <f t="shared" si="73"/>
        <v>10.39452420240888</v>
      </c>
      <c r="S641" t="s">
        <v>81</v>
      </c>
      <c r="T641" s="5">
        <f>data_origin!T728</f>
        <v>0</v>
      </c>
      <c r="U641" s="5">
        <f>data_origin!U728</f>
        <v>0</v>
      </c>
      <c r="V641" s="5">
        <f>data_origin!V728</f>
        <v>6.3555555555555561</v>
      </c>
      <c r="W641" s="5">
        <f>data_origin!W728</f>
        <v>0</v>
      </c>
      <c r="X641" s="5">
        <f>data_origin!X728</f>
        <v>3.8231292517006801</v>
      </c>
      <c r="Y641" s="5">
        <f>data_origin!Y728</f>
        <v>0</v>
      </c>
      <c r="Z641" s="5">
        <f>data_origin!Z728</f>
        <v>0</v>
      </c>
      <c r="AA641" s="5">
        <f>data_origin!AA728</f>
        <v>9.0909090909090912E-2</v>
      </c>
      <c r="AB641" s="5">
        <f t="shared" si="79"/>
        <v>10.269593898165327</v>
      </c>
      <c r="AH641" t="s">
        <v>78</v>
      </c>
      <c r="AI641" s="5">
        <f>data_origin!T3686</f>
        <v>0</v>
      </c>
      <c r="AJ641" s="5">
        <f>data_origin!U3686</f>
        <v>0</v>
      </c>
      <c r="AK641" s="5">
        <f>data_origin!V3686</f>
        <v>0</v>
      </c>
      <c r="AL641" s="5">
        <f>data_origin!W3686</f>
        <v>2.28125</v>
      </c>
      <c r="AM641" s="5">
        <f>data_origin!X3686</f>
        <v>0</v>
      </c>
      <c r="AN641" s="5">
        <f>data_origin!Y3686</f>
        <v>0</v>
      </c>
      <c r="AO641" s="5">
        <f>data_origin!Z3686</f>
        <v>3.0303030303030304E-2</v>
      </c>
      <c r="AP641" s="5">
        <f>data_origin!AA3686</f>
        <v>3.0303030303030304E-2</v>
      </c>
      <c r="AQ641" s="9">
        <f t="shared" si="82"/>
        <v>2.3418560606060606</v>
      </c>
      <c r="AV641" t="s">
        <v>78</v>
      </c>
      <c r="AW641" s="5">
        <f>data_origin!T3788</f>
        <v>0</v>
      </c>
      <c r="AX641" s="5">
        <f>data_origin!U3788</f>
        <v>0</v>
      </c>
      <c r="AY641" s="5">
        <f>data_origin!V3788</f>
        <v>0</v>
      </c>
      <c r="AZ641" s="5">
        <f>data_origin!W3788</f>
        <v>5.7222222222222223</v>
      </c>
      <c r="BA641" s="5">
        <f>data_origin!X3788</f>
        <v>0</v>
      </c>
      <c r="BB641" s="5">
        <f>data_origin!Y3788</f>
        <v>0</v>
      </c>
      <c r="BC641" s="5">
        <f>data_origin!Z3788</f>
        <v>0</v>
      </c>
      <c r="BD641" s="5">
        <f>data_origin!AA3788</f>
        <v>0</v>
      </c>
      <c r="BE641" s="5">
        <f t="shared" si="83"/>
        <v>5.7222222222222223</v>
      </c>
    </row>
    <row r="642" spans="4:57" x14ac:dyDescent="0.25">
      <c r="D642" t="s">
        <v>82</v>
      </c>
      <c r="E642" s="38">
        <f t="shared" si="77"/>
        <v>0</v>
      </c>
      <c r="F642" s="38">
        <f t="shared" si="77"/>
        <v>0</v>
      </c>
      <c r="G642" s="38">
        <f t="shared" si="77"/>
        <v>19.216165663200144</v>
      </c>
      <c r="H642" s="38">
        <f t="shared" si="77"/>
        <v>21.170013039688502</v>
      </c>
      <c r="I642" s="38">
        <f t="shared" si="77"/>
        <v>15.564934200426929</v>
      </c>
      <c r="J642" s="38">
        <f t="shared" si="74"/>
        <v>8.8460851333782831</v>
      </c>
      <c r="K642" s="38">
        <f t="shared" si="74"/>
        <v>0</v>
      </c>
      <c r="L642" s="38">
        <f t="shared" si="74"/>
        <v>9.7902097902097904E-2</v>
      </c>
      <c r="M642" s="35">
        <f t="shared" si="73"/>
        <v>64.89510013459595</v>
      </c>
      <c r="S642" t="s">
        <v>82</v>
      </c>
      <c r="T642" s="5">
        <f>data_origin!T729</f>
        <v>0</v>
      </c>
      <c r="U642" s="5">
        <f>data_origin!U729</f>
        <v>0</v>
      </c>
      <c r="V642" s="5">
        <f>data_origin!V729</f>
        <v>19.066666666666666</v>
      </c>
      <c r="W642" s="5">
        <f>data_origin!W729</f>
        <v>20.909090909090907</v>
      </c>
      <c r="X642" s="5">
        <f>data_origin!X729</f>
        <v>15.29251700680272</v>
      </c>
      <c r="Y642" s="5">
        <f>data_origin!Y729</f>
        <v>8.6666666666666679</v>
      </c>
      <c r="Z642" s="5">
        <f>data_origin!Z729</f>
        <v>0</v>
      </c>
      <c r="AA642" s="5">
        <f>data_origin!AA729</f>
        <v>9.0909090909090912E-2</v>
      </c>
      <c r="AB642" s="5">
        <f t="shared" si="79"/>
        <v>64.025850340136046</v>
      </c>
      <c r="AH642" t="s">
        <v>79</v>
      </c>
      <c r="AI642" s="5">
        <f>data_origin!T3687</f>
        <v>0</v>
      </c>
      <c r="AJ642" s="5">
        <f>data_origin!U3687</f>
        <v>0</v>
      </c>
      <c r="AK642" s="5">
        <f>data_origin!V3687</f>
        <v>0</v>
      </c>
      <c r="AL642" s="5">
        <f>data_origin!W3687</f>
        <v>9.125</v>
      </c>
      <c r="AM642" s="5">
        <f>data_origin!X3687</f>
        <v>3.1666666666666665</v>
      </c>
      <c r="AN642" s="5">
        <f>data_origin!Y3687</f>
        <v>4</v>
      </c>
      <c r="AO642" s="5">
        <f>data_origin!Z3687</f>
        <v>3.0303030303030304E-2</v>
      </c>
      <c r="AP642" s="5">
        <f>data_origin!AA3687</f>
        <v>3.0303030303030304E-2</v>
      </c>
      <c r="AQ642" s="9">
        <f t="shared" si="82"/>
        <v>16.352272727272727</v>
      </c>
      <c r="AV642" t="s">
        <v>79</v>
      </c>
      <c r="AW642" s="5">
        <f>data_origin!T3789</f>
        <v>0</v>
      </c>
      <c r="AX642" s="5">
        <f>data_origin!U3789</f>
        <v>0</v>
      </c>
      <c r="AY642" s="5">
        <f>data_origin!V3789</f>
        <v>0</v>
      </c>
      <c r="AZ642" s="5">
        <f>data_origin!W3789</f>
        <v>5.7222222222222223</v>
      </c>
      <c r="BA642" s="5">
        <f>data_origin!X3789</f>
        <v>10.3125</v>
      </c>
      <c r="BB642" s="5">
        <f>data_origin!Y3789</f>
        <v>0</v>
      </c>
      <c r="BC642" s="5">
        <f>data_origin!Z3789</f>
        <v>0</v>
      </c>
      <c r="BD642" s="5">
        <f>data_origin!AA3789</f>
        <v>0</v>
      </c>
      <c r="BE642" s="5">
        <f t="shared" si="83"/>
        <v>16.034722222222221</v>
      </c>
    </row>
    <row r="643" spans="4:57" x14ac:dyDescent="0.25">
      <c r="D643" t="s">
        <v>83</v>
      </c>
      <c r="E643" s="38">
        <f t="shared" si="77"/>
        <v>0</v>
      </c>
      <c r="F643" s="38">
        <f t="shared" si="77"/>
        <v>0</v>
      </c>
      <c r="G643" s="38">
        <f t="shared" si="77"/>
        <v>8.5405180725334002</v>
      </c>
      <c r="H643" s="38">
        <f t="shared" si="77"/>
        <v>13.231258149805315</v>
      </c>
      <c r="I643" s="38">
        <f t="shared" si="77"/>
        <v>0</v>
      </c>
      <c r="J643" s="38">
        <f t="shared" si="74"/>
        <v>0</v>
      </c>
      <c r="K643" s="38">
        <f t="shared" si="74"/>
        <v>0</v>
      </c>
      <c r="L643" s="38">
        <f t="shared" si="74"/>
        <v>9.7902097902097904E-2</v>
      </c>
      <c r="M643" s="35">
        <f t="shared" ref="M643:M706" si="84">SUM(E643:L643)</f>
        <v>21.869678320240812</v>
      </c>
      <c r="S643" t="s">
        <v>83</v>
      </c>
      <c r="T643" s="5">
        <f>data_origin!T730</f>
        <v>0</v>
      </c>
      <c r="U643" s="5">
        <f>data_origin!U730</f>
        <v>0</v>
      </c>
      <c r="V643" s="5">
        <f>data_origin!V730</f>
        <v>8.4740740740740748</v>
      </c>
      <c r="W643" s="5">
        <f>data_origin!W730</f>
        <v>13.068181818181818</v>
      </c>
      <c r="X643" s="5">
        <f>data_origin!X730</f>
        <v>0</v>
      </c>
      <c r="Y643" s="5">
        <f>data_origin!Y730</f>
        <v>0</v>
      </c>
      <c r="Z643" s="5">
        <f>data_origin!Z730</f>
        <v>0</v>
      </c>
      <c r="AA643" s="5">
        <f>data_origin!AA730</f>
        <v>9.0909090909090912E-2</v>
      </c>
      <c r="AB643" s="5">
        <f t="shared" si="79"/>
        <v>21.633164983164985</v>
      </c>
      <c r="AH643" t="s">
        <v>80</v>
      </c>
      <c r="AI643" s="5">
        <f>data_origin!T3688</f>
        <v>0</v>
      </c>
      <c r="AJ643" s="5">
        <f>data_origin!U3688</f>
        <v>0</v>
      </c>
      <c r="AK643" s="5">
        <f>data_origin!V3688</f>
        <v>0</v>
      </c>
      <c r="AL643" s="5">
        <f>data_origin!W3688</f>
        <v>4.5625</v>
      </c>
      <c r="AM643" s="5">
        <f>data_origin!X3688</f>
        <v>3.1666666666666665</v>
      </c>
      <c r="AN643" s="5">
        <f>data_origin!Y3688</f>
        <v>0</v>
      </c>
      <c r="AO643" s="5">
        <f>data_origin!Z3688</f>
        <v>3.0303030303030304E-2</v>
      </c>
      <c r="AP643" s="5">
        <f>data_origin!AA3688</f>
        <v>3.0303030303030304E-2</v>
      </c>
      <c r="AQ643" s="9">
        <f t="shared" si="82"/>
        <v>7.7897727272727266</v>
      </c>
      <c r="AV643" t="s">
        <v>80</v>
      </c>
      <c r="AW643" s="5">
        <f>data_origin!T3790</f>
        <v>0</v>
      </c>
      <c r="AX643" s="5">
        <f>data_origin!U3790</f>
        <v>0</v>
      </c>
      <c r="AY643" s="5">
        <f>data_origin!V3790</f>
        <v>0</v>
      </c>
      <c r="AZ643" s="5">
        <f>data_origin!W3790</f>
        <v>5.7222222222222223</v>
      </c>
      <c r="BA643" s="5">
        <f>data_origin!X3790</f>
        <v>3.4375</v>
      </c>
      <c r="BB643" s="5">
        <f>data_origin!Y3790</f>
        <v>0</v>
      </c>
      <c r="BC643" s="5">
        <f>data_origin!Z3790</f>
        <v>0</v>
      </c>
      <c r="BD643" s="5">
        <f>data_origin!AA3790</f>
        <v>0</v>
      </c>
      <c r="BE643" s="5">
        <f t="shared" si="83"/>
        <v>9.1597222222222214</v>
      </c>
    </row>
    <row r="644" spans="4:57" x14ac:dyDescent="0.25">
      <c r="D644" t="s">
        <v>84</v>
      </c>
      <c r="E644" s="38">
        <f t="shared" si="77"/>
        <v>0</v>
      </c>
      <c r="F644" s="38">
        <f t="shared" si="77"/>
        <v>0</v>
      </c>
      <c r="G644" s="38">
        <f t="shared" si="77"/>
        <v>6.4053885544000497</v>
      </c>
      <c r="H644" s="38">
        <f t="shared" si="77"/>
        <v>0</v>
      </c>
      <c r="I644" s="38">
        <f t="shared" si="77"/>
        <v>7.7824671002134647</v>
      </c>
      <c r="J644" s="38">
        <f t="shared" si="74"/>
        <v>0</v>
      </c>
      <c r="K644" s="38">
        <f t="shared" si="74"/>
        <v>6.6212686567164178</v>
      </c>
      <c r="L644" s="38">
        <f t="shared" si="74"/>
        <v>9.7902097902097904E-2</v>
      </c>
      <c r="M644" s="35">
        <f t="shared" si="84"/>
        <v>20.907026409232028</v>
      </c>
      <c r="S644" t="s">
        <v>84</v>
      </c>
      <c r="T644" s="5">
        <f>data_origin!T731</f>
        <v>0</v>
      </c>
      <c r="U644" s="5">
        <f>data_origin!U731</f>
        <v>0</v>
      </c>
      <c r="V644" s="5">
        <f>data_origin!V731</f>
        <v>6.3555555555555561</v>
      </c>
      <c r="W644" s="5">
        <f>data_origin!W731</f>
        <v>0</v>
      </c>
      <c r="X644" s="5">
        <f>data_origin!X731</f>
        <v>7.6462585034013602</v>
      </c>
      <c r="Y644" s="5">
        <f>data_origin!Y731</f>
        <v>0</v>
      </c>
      <c r="Z644" s="5">
        <f>data_origin!Z731</f>
        <v>6.5</v>
      </c>
      <c r="AA644" s="5">
        <f>data_origin!AA731</f>
        <v>9.0909090909090912E-2</v>
      </c>
      <c r="AB644" s="5">
        <f t="shared" si="79"/>
        <v>20.592723149866007</v>
      </c>
      <c r="AH644" t="s">
        <v>81</v>
      </c>
      <c r="AI644" s="5">
        <f>data_origin!T3689</f>
        <v>0</v>
      </c>
      <c r="AJ644" s="5">
        <f>data_origin!U3689</f>
        <v>0</v>
      </c>
      <c r="AK644" s="5">
        <f>data_origin!V3689</f>
        <v>0</v>
      </c>
      <c r="AL644" s="5">
        <f>data_origin!W3689</f>
        <v>2.28125</v>
      </c>
      <c r="AM644" s="5">
        <f>data_origin!X3689</f>
        <v>0</v>
      </c>
      <c r="AN644" s="5">
        <f>data_origin!Y3689</f>
        <v>0</v>
      </c>
      <c r="AO644" s="5">
        <f>data_origin!Z3689</f>
        <v>3.0303030303030304E-2</v>
      </c>
      <c r="AP644" s="5">
        <f>data_origin!AA3689</f>
        <v>3.0303030303030304E-2</v>
      </c>
      <c r="AQ644" s="9">
        <f t="shared" si="82"/>
        <v>2.3418560606060606</v>
      </c>
      <c r="AV644" t="s">
        <v>81</v>
      </c>
      <c r="AW644" s="5">
        <f>data_origin!T3791</f>
        <v>0</v>
      </c>
      <c r="AX644" s="5">
        <f>data_origin!U3791</f>
        <v>0</v>
      </c>
      <c r="AY644" s="5">
        <f>data_origin!V3791</f>
        <v>0</v>
      </c>
      <c r="AZ644" s="5">
        <f>data_origin!W3791</f>
        <v>0</v>
      </c>
      <c r="BA644" s="5">
        <f>data_origin!X3791</f>
        <v>0</v>
      </c>
      <c r="BB644" s="5">
        <f>data_origin!Y3791</f>
        <v>0</v>
      </c>
      <c r="BC644" s="5">
        <f>data_origin!Z3791</f>
        <v>0</v>
      </c>
      <c r="BD644" s="5">
        <f>data_origin!AA3791</f>
        <v>0</v>
      </c>
      <c r="BE644" s="5">
        <f t="shared" si="83"/>
        <v>0</v>
      </c>
    </row>
    <row r="645" spans="4:57" x14ac:dyDescent="0.25">
      <c r="D645" t="s">
        <v>85</v>
      </c>
      <c r="E645" s="38">
        <f t="shared" si="77"/>
        <v>0</v>
      </c>
      <c r="F645" s="38">
        <f t="shared" si="77"/>
        <v>0</v>
      </c>
      <c r="G645" s="38">
        <f t="shared" si="77"/>
        <v>4.2702590362667001</v>
      </c>
      <c r="H645" s="38">
        <f t="shared" si="77"/>
        <v>21.170013039688502</v>
      </c>
      <c r="I645" s="38">
        <f t="shared" si="77"/>
        <v>3.8912335501067323</v>
      </c>
      <c r="J645" s="38">
        <f t="shared" si="74"/>
        <v>0</v>
      </c>
      <c r="K645" s="38">
        <f t="shared" si="74"/>
        <v>0</v>
      </c>
      <c r="L645" s="38">
        <f t="shared" si="74"/>
        <v>9.7902097902097904E-2</v>
      </c>
      <c r="M645" s="35">
        <f t="shared" si="84"/>
        <v>29.429407723964033</v>
      </c>
      <c r="S645" t="s">
        <v>85</v>
      </c>
      <c r="T645" s="5">
        <f>data_origin!T732</f>
        <v>0</v>
      </c>
      <c r="U645" s="5">
        <f>data_origin!U732</f>
        <v>0</v>
      </c>
      <c r="V645" s="5">
        <f>data_origin!V732</f>
        <v>4.2370370370370374</v>
      </c>
      <c r="W645" s="5">
        <f>data_origin!W732</f>
        <v>20.909090909090907</v>
      </c>
      <c r="X645" s="5">
        <f>data_origin!X732</f>
        <v>3.8231292517006801</v>
      </c>
      <c r="Y645" s="5">
        <f>data_origin!Y732</f>
        <v>0</v>
      </c>
      <c r="Z645" s="5">
        <f>data_origin!Z732</f>
        <v>0</v>
      </c>
      <c r="AA645" s="5">
        <f>data_origin!AA732</f>
        <v>9.0909090909090912E-2</v>
      </c>
      <c r="AB645" s="5">
        <f t="shared" si="79"/>
        <v>29.060166288737715</v>
      </c>
      <c r="AH645" t="s">
        <v>82</v>
      </c>
      <c r="AI645" s="5">
        <f>data_origin!T3690</f>
        <v>0</v>
      </c>
      <c r="AJ645" s="5">
        <f>data_origin!U3690</f>
        <v>0</v>
      </c>
      <c r="AK645" s="5">
        <f>data_origin!V3690</f>
        <v>0</v>
      </c>
      <c r="AL645" s="5">
        <f>data_origin!W3690</f>
        <v>6.84375</v>
      </c>
      <c r="AM645" s="5">
        <f>data_origin!X3690</f>
        <v>0</v>
      </c>
      <c r="AN645" s="5">
        <f>data_origin!Y3690</f>
        <v>0</v>
      </c>
      <c r="AO645" s="5">
        <f>data_origin!Z3690</f>
        <v>3.0303030303030304E-2</v>
      </c>
      <c r="AP645" s="5">
        <f>data_origin!AA3690</f>
        <v>3.0303030303030304E-2</v>
      </c>
      <c r="AQ645" s="9">
        <f t="shared" si="82"/>
        <v>6.9043560606060606</v>
      </c>
      <c r="AV645" t="s">
        <v>82</v>
      </c>
      <c r="AW645" s="5">
        <f>data_origin!T3792</f>
        <v>0</v>
      </c>
      <c r="AX645" s="5">
        <f>data_origin!U3792</f>
        <v>0</v>
      </c>
      <c r="AY645" s="5">
        <f>data_origin!V3792</f>
        <v>0</v>
      </c>
      <c r="AZ645" s="5">
        <f>data_origin!W3792</f>
        <v>0</v>
      </c>
      <c r="BA645" s="5">
        <f>data_origin!X3792</f>
        <v>0</v>
      </c>
      <c r="BB645" s="5">
        <f>data_origin!Y3792</f>
        <v>0</v>
      </c>
      <c r="BC645" s="5">
        <f>data_origin!Z3792</f>
        <v>0</v>
      </c>
      <c r="BD645" s="5">
        <f>data_origin!AA3792</f>
        <v>0</v>
      </c>
      <c r="BE645" s="5">
        <f t="shared" si="83"/>
        <v>0</v>
      </c>
    </row>
    <row r="646" spans="4:57" x14ac:dyDescent="0.25">
      <c r="D646" t="s">
        <v>86</v>
      </c>
      <c r="E646" s="38">
        <f t="shared" si="77"/>
        <v>0</v>
      </c>
      <c r="F646" s="38">
        <f t="shared" si="77"/>
        <v>0</v>
      </c>
      <c r="G646" s="38">
        <f t="shared" si="77"/>
        <v>27.756683735733546</v>
      </c>
      <c r="H646" s="38">
        <f t="shared" si="77"/>
        <v>39.69377444941594</v>
      </c>
      <c r="I646" s="38">
        <f t="shared" si="77"/>
        <v>31.129868400853859</v>
      </c>
      <c r="J646" s="38">
        <f t="shared" si="74"/>
        <v>17.692170266756566</v>
      </c>
      <c r="K646" s="38">
        <f t="shared" si="74"/>
        <v>0</v>
      </c>
      <c r="L646" s="38">
        <f t="shared" si="74"/>
        <v>9.7902097902097904E-2</v>
      </c>
      <c r="M646" s="35">
        <f t="shared" si="84"/>
        <v>116.37039895066199</v>
      </c>
      <c r="S646" t="s">
        <v>86</v>
      </c>
      <c r="T646" s="5">
        <f>data_origin!T733</f>
        <v>0</v>
      </c>
      <c r="U646" s="5">
        <f>data_origin!U733</f>
        <v>0</v>
      </c>
      <c r="V646" s="5">
        <f>data_origin!V733</f>
        <v>27.540740740740741</v>
      </c>
      <c r="W646" s="5">
        <f>data_origin!W733</f>
        <v>39.204545454545453</v>
      </c>
      <c r="X646" s="5">
        <f>data_origin!X733</f>
        <v>30.585034013605441</v>
      </c>
      <c r="Y646" s="5">
        <f>data_origin!Y733</f>
        <v>17.333333333333336</v>
      </c>
      <c r="Z646" s="5">
        <f>data_origin!Z733</f>
        <v>0</v>
      </c>
      <c r="AA646" s="5">
        <f>data_origin!AA733</f>
        <v>9.0909090909090912E-2</v>
      </c>
      <c r="AB646" s="5">
        <f t="shared" si="79"/>
        <v>114.75456263313407</v>
      </c>
      <c r="AH646" t="s">
        <v>83</v>
      </c>
      <c r="AI646" s="5">
        <f>data_origin!T3691</f>
        <v>0</v>
      </c>
      <c r="AJ646" s="5">
        <f>data_origin!U3691</f>
        <v>0</v>
      </c>
      <c r="AK646" s="5">
        <f>data_origin!V3691</f>
        <v>2.387096774193548</v>
      </c>
      <c r="AL646" s="5">
        <f>data_origin!W3691</f>
        <v>2.28125</v>
      </c>
      <c r="AM646" s="5">
        <f>data_origin!X3691</f>
        <v>0</v>
      </c>
      <c r="AN646" s="5">
        <f>data_origin!Y3691</f>
        <v>0</v>
      </c>
      <c r="AO646" s="5">
        <f>data_origin!Z3691</f>
        <v>3.0303030303030304E-2</v>
      </c>
      <c r="AP646" s="5">
        <f>data_origin!AA3691</f>
        <v>3.0303030303030304E-2</v>
      </c>
      <c r="AQ646" s="9">
        <f t="shared" si="82"/>
        <v>4.7289528347996086</v>
      </c>
      <c r="AV646" t="s">
        <v>83</v>
      </c>
      <c r="AW646" s="5">
        <f>data_origin!T3793</f>
        <v>0</v>
      </c>
      <c r="AX646" s="5">
        <f>data_origin!U3793</f>
        <v>0</v>
      </c>
      <c r="AY646" s="5">
        <f>data_origin!V3793</f>
        <v>5</v>
      </c>
      <c r="AZ646" s="5">
        <f>data_origin!W3793</f>
        <v>5.7222222222222223</v>
      </c>
      <c r="BA646" s="5">
        <f>data_origin!X3793</f>
        <v>0</v>
      </c>
      <c r="BB646" s="5">
        <f>data_origin!Y3793</f>
        <v>0</v>
      </c>
      <c r="BC646" s="5">
        <f>data_origin!Z3793</f>
        <v>0</v>
      </c>
      <c r="BD646" s="5">
        <f>data_origin!AA3793</f>
        <v>0</v>
      </c>
      <c r="BE646" s="5">
        <f t="shared" si="83"/>
        <v>10.722222222222221</v>
      </c>
    </row>
    <row r="647" spans="4:57" x14ac:dyDescent="0.25">
      <c r="D647" t="s">
        <v>87</v>
      </c>
      <c r="E647" s="38">
        <f t="shared" si="77"/>
        <v>0</v>
      </c>
      <c r="F647" s="38">
        <f t="shared" si="77"/>
        <v>0</v>
      </c>
      <c r="G647" s="38">
        <f t="shared" si="77"/>
        <v>6.4053885544000497</v>
      </c>
      <c r="H647" s="38">
        <f t="shared" si="77"/>
        <v>31.755019559532755</v>
      </c>
      <c r="I647" s="38">
        <f t="shared" si="77"/>
        <v>50.586036151387525</v>
      </c>
      <c r="J647" s="38">
        <f t="shared" si="74"/>
        <v>8.8460851333782831</v>
      </c>
      <c r="K647" s="38">
        <f t="shared" si="74"/>
        <v>0</v>
      </c>
      <c r="L647" s="38">
        <f t="shared" si="74"/>
        <v>9.7902097902097904E-2</v>
      </c>
      <c r="M647" s="35">
        <f t="shared" si="84"/>
        <v>97.690431496600695</v>
      </c>
      <c r="S647" t="s">
        <v>87</v>
      </c>
      <c r="T647" s="5">
        <f>data_origin!T734</f>
        <v>0</v>
      </c>
      <c r="U647" s="5">
        <f>data_origin!U734</f>
        <v>0</v>
      </c>
      <c r="V647" s="5">
        <f>data_origin!V734</f>
        <v>6.3555555555555561</v>
      </c>
      <c r="W647" s="5">
        <f>data_origin!W734</f>
        <v>31.363636363636363</v>
      </c>
      <c r="X647" s="5">
        <f>data_origin!X734</f>
        <v>49.700680272108841</v>
      </c>
      <c r="Y647" s="5">
        <f>data_origin!Y734</f>
        <v>8.6666666666666679</v>
      </c>
      <c r="Z647" s="5">
        <f>data_origin!Z734</f>
        <v>0</v>
      </c>
      <c r="AA647" s="5">
        <f>data_origin!AA734</f>
        <v>9.0909090909090912E-2</v>
      </c>
      <c r="AB647" s="5">
        <f t="shared" si="79"/>
        <v>96.177447948876519</v>
      </c>
      <c r="AH647" t="s">
        <v>84</v>
      </c>
      <c r="AI647" s="5">
        <f>data_origin!T3692</f>
        <v>0</v>
      </c>
      <c r="AJ647" s="5">
        <f>data_origin!U3692</f>
        <v>0</v>
      </c>
      <c r="AK647" s="5">
        <f>data_origin!V3692</f>
        <v>0</v>
      </c>
      <c r="AL647" s="5">
        <f>data_origin!W3692</f>
        <v>0</v>
      </c>
      <c r="AM647" s="5">
        <f>data_origin!X3692</f>
        <v>0</v>
      </c>
      <c r="AN647" s="5">
        <f>data_origin!Y3692</f>
        <v>0</v>
      </c>
      <c r="AO647" s="5">
        <f>data_origin!Z3692</f>
        <v>3.0303030303030304E-2</v>
      </c>
      <c r="AP647" s="5">
        <f>data_origin!AA3692</f>
        <v>3.0303030303030304E-2</v>
      </c>
      <c r="AQ647" s="9">
        <f t="shared" si="82"/>
        <v>6.0606060606060608E-2</v>
      </c>
      <c r="AV647" t="s">
        <v>84</v>
      </c>
      <c r="AW647" s="5">
        <f>data_origin!T3794</f>
        <v>0</v>
      </c>
      <c r="AX647" s="5">
        <f>data_origin!U3794</f>
        <v>0</v>
      </c>
      <c r="AY647" s="5">
        <f>data_origin!V3794</f>
        <v>10</v>
      </c>
      <c r="AZ647" s="5">
        <f>data_origin!W3794</f>
        <v>0</v>
      </c>
      <c r="BA647" s="5">
        <f>data_origin!X3794</f>
        <v>0</v>
      </c>
      <c r="BB647" s="5">
        <f>data_origin!Y3794</f>
        <v>0</v>
      </c>
      <c r="BC647" s="5">
        <f>data_origin!Z3794</f>
        <v>0</v>
      </c>
      <c r="BD647" s="5">
        <f>data_origin!AA3794</f>
        <v>0</v>
      </c>
      <c r="BE647" s="5">
        <f t="shared" si="83"/>
        <v>10</v>
      </c>
    </row>
    <row r="648" spans="4:57" x14ac:dyDescent="0.25">
      <c r="D648" t="s">
        <v>88</v>
      </c>
      <c r="E648" s="38">
        <f t="shared" si="77"/>
        <v>0</v>
      </c>
      <c r="F648" s="38">
        <f t="shared" si="77"/>
        <v>0</v>
      </c>
      <c r="G648" s="38">
        <f t="shared" si="77"/>
        <v>40.567460844533642</v>
      </c>
      <c r="H648" s="38">
        <f t="shared" si="77"/>
        <v>72.448794008948695</v>
      </c>
      <c r="I648" s="38">
        <f t="shared" si="77"/>
        <v>73.933437452027917</v>
      </c>
      <c r="J648" s="38">
        <f t="shared" si="74"/>
        <v>17.692170266756566</v>
      </c>
      <c r="K648" s="38">
        <f t="shared" si="74"/>
        <v>6.6212686567164178</v>
      </c>
      <c r="L648" s="38">
        <f t="shared" si="74"/>
        <v>9.7902097902097904E-2</v>
      </c>
      <c r="M648" s="35">
        <f t="shared" si="84"/>
        <v>211.36103332688535</v>
      </c>
      <c r="S648" t="s">
        <v>88</v>
      </c>
      <c r="T648" s="5">
        <f>data_origin!T735</f>
        <v>0</v>
      </c>
      <c r="U648" s="5">
        <f>data_origin!U735</f>
        <v>0</v>
      </c>
      <c r="V648" s="5">
        <f>data_origin!V735</f>
        <v>40.251851851851853</v>
      </c>
      <c r="W648" s="5">
        <f>data_origin!W735</f>
        <v>70.568181818181813</v>
      </c>
      <c r="X648" s="5">
        <f>data_origin!X735</f>
        <v>72.639455782312922</v>
      </c>
      <c r="Y648" s="5">
        <f>data_origin!Y735</f>
        <v>17.333333333333336</v>
      </c>
      <c r="Z648" s="5">
        <f>data_origin!Z735</f>
        <v>6.5</v>
      </c>
      <c r="AA648" s="5">
        <f>data_origin!AA735</f>
        <v>9.0909090909090912E-2</v>
      </c>
      <c r="AB648" s="5">
        <f t="shared" si="79"/>
        <v>207.38373187658902</v>
      </c>
      <c r="AH648" t="s">
        <v>85</v>
      </c>
      <c r="AI648" s="5">
        <f>data_origin!T3693</f>
        <v>0</v>
      </c>
      <c r="AJ648" s="5">
        <f>data_origin!U3693</f>
        <v>0</v>
      </c>
      <c r="AK648" s="5">
        <f>data_origin!V3693</f>
        <v>2.387096774193548</v>
      </c>
      <c r="AL648" s="5">
        <f>data_origin!W3693</f>
        <v>4.5625</v>
      </c>
      <c r="AM648" s="5">
        <f>data_origin!X3693</f>
        <v>0</v>
      </c>
      <c r="AN648" s="5">
        <f>data_origin!Y3693</f>
        <v>0</v>
      </c>
      <c r="AO648" s="5">
        <f>data_origin!Z3693</f>
        <v>3.0303030303030304E-2</v>
      </c>
      <c r="AP648" s="5">
        <f>data_origin!AA3693</f>
        <v>3.0303030303030304E-2</v>
      </c>
      <c r="AQ648" s="9">
        <f t="shared" si="82"/>
        <v>7.0102028347996086</v>
      </c>
      <c r="AV648" t="s">
        <v>85</v>
      </c>
      <c r="AW648" s="5">
        <f>data_origin!T3795</f>
        <v>0</v>
      </c>
      <c r="AX648" s="5">
        <f>data_origin!U3795</f>
        <v>0</v>
      </c>
      <c r="AY648" s="5">
        <f>data_origin!V3795</f>
        <v>0</v>
      </c>
      <c r="AZ648" s="5">
        <f>data_origin!W3795</f>
        <v>11.444444444444445</v>
      </c>
      <c r="BA648" s="5">
        <f>data_origin!X3795</f>
        <v>6.875</v>
      </c>
      <c r="BB648" s="5">
        <f>data_origin!Y3795</f>
        <v>0</v>
      </c>
      <c r="BC648" s="5">
        <f>data_origin!Z3795</f>
        <v>0</v>
      </c>
      <c r="BD648" s="5">
        <f>data_origin!AA3795</f>
        <v>0</v>
      </c>
      <c r="BE648" s="5">
        <f t="shared" si="83"/>
        <v>18.319444444444443</v>
      </c>
    </row>
    <row r="649" spans="4:57" x14ac:dyDescent="0.25">
      <c r="D649" t="s">
        <v>89</v>
      </c>
      <c r="E649" s="38">
        <f t="shared" si="77"/>
        <v>0</v>
      </c>
      <c r="F649" s="38">
        <f t="shared" si="77"/>
        <v>0</v>
      </c>
      <c r="G649" s="38">
        <f t="shared" si="77"/>
        <v>25.621554217600199</v>
      </c>
      <c r="H649" s="38">
        <f t="shared" si="77"/>
        <v>76.741297268870809</v>
      </c>
      <c r="I649" s="38">
        <f t="shared" si="77"/>
        <v>85.607138102348131</v>
      </c>
      <c r="J649" s="38">
        <f t="shared" si="74"/>
        <v>35.384340533513132</v>
      </c>
      <c r="K649" s="38">
        <f t="shared" si="74"/>
        <v>0</v>
      </c>
      <c r="L649" s="38">
        <f t="shared" si="74"/>
        <v>9.7902097902097904E-2</v>
      </c>
      <c r="M649" s="35">
        <f t="shared" si="84"/>
        <v>223.45223222023438</v>
      </c>
      <c r="S649" t="s">
        <v>89</v>
      </c>
      <c r="T649" s="5">
        <f>data_origin!T736</f>
        <v>0</v>
      </c>
      <c r="U649" s="5">
        <f>data_origin!U736</f>
        <v>0</v>
      </c>
      <c r="V649" s="5">
        <f>data_origin!V736</f>
        <v>25.422222222222224</v>
      </c>
      <c r="W649" s="5">
        <f>data_origin!W736</f>
        <v>75.795454545454533</v>
      </c>
      <c r="X649" s="5">
        <f>data_origin!X736</f>
        <v>84.10884353741497</v>
      </c>
      <c r="Y649" s="5">
        <f>data_origin!Y736</f>
        <v>34.666666666666671</v>
      </c>
      <c r="Z649" s="5">
        <f>data_origin!Z736</f>
        <v>0</v>
      </c>
      <c r="AA649" s="5">
        <f>data_origin!AA736</f>
        <v>9.0909090909090912E-2</v>
      </c>
      <c r="AB649" s="5">
        <f t="shared" si="79"/>
        <v>220.0840960626675</v>
      </c>
      <c r="AH649" t="s">
        <v>86</v>
      </c>
      <c r="AI649" s="5">
        <f>data_origin!T3694</f>
        <v>0</v>
      </c>
      <c r="AJ649" s="5">
        <f>data_origin!U3694</f>
        <v>0</v>
      </c>
      <c r="AK649" s="5">
        <f>data_origin!V3694</f>
        <v>14.32258064516129</v>
      </c>
      <c r="AL649" s="5">
        <f>data_origin!W3694</f>
        <v>31.9375</v>
      </c>
      <c r="AM649" s="5">
        <f>data_origin!X3694</f>
        <v>38</v>
      </c>
      <c r="AN649" s="5">
        <f>data_origin!Y3694</f>
        <v>0</v>
      </c>
      <c r="AO649" s="5">
        <f>data_origin!Z3694</f>
        <v>3.0303030303030304E-2</v>
      </c>
      <c r="AP649" s="5">
        <f>data_origin!AA3694</f>
        <v>3.0303030303030304E-2</v>
      </c>
      <c r="AQ649" s="9">
        <f t="shared" si="82"/>
        <v>84.320686705767343</v>
      </c>
      <c r="AV649" t="s">
        <v>86</v>
      </c>
      <c r="AW649" s="5">
        <f>data_origin!T3796</f>
        <v>0</v>
      </c>
      <c r="AX649" s="5">
        <f>data_origin!U3796</f>
        <v>0</v>
      </c>
      <c r="AY649" s="5">
        <f>data_origin!V3796</f>
        <v>0</v>
      </c>
      <c r="AZ649" s="5">
        <f>data_origin!W3796</f>
        <v>5.7222222222222223</v>
      </c>
      <c r="BA649" s="5">
        <f>data_origin!X3796</f>
        <v>10.3125</v>
      </c>
      <c r="BB649" s="5">
        <f>data_origin!Y3796</f>
        <v>1.75</v>
      </c>
      <c r="BC649" s="5">
        <f>data_origin!Z3796</f>
        <v>0</v>
      </c>
      <c r="BD649" s="5">
        <f>data_origin!AA3796</f>
        <v>0</v>
      </c>
      <c r="BE649" s="5">
        <f t="shared" si="83"/>
        <v>17.784722222222221</v>
      </c>
    </row>
    <row r="650" spans="4:57" x14ac:dyDescent="0.25">
      <c r="D650" t="s">
        <v>90</v>
      </c>
      <c r="E650" s="38">
        <f t="shared" ref="E650:L662" si="85">T650+AI386+IFERROR((T650/SUM(T$3:T$992)*AI$630),0)+IFERROR((T650/SUM(T$135:T$332,T$465:T$662,T$795:T$992)*AI$732),0)</f>
        <v>0</v>
      </c>
      <c r="F650" s="38">
        <f t="shared" si="85"/>
        <v>0</v>
      </c>
      <c r="G650" s="38">
        <f t="shared" si="85"/>
        <v>0</v>
      </c>
      <c r="H650" s="38">
        <f t="shared" si="85"/>
        <v>2.6462516299610628</v>
      </c>
      <c r="I650" s="38">
        <f t="shared" si="85"/>
        <v>3.8912335501067323</v>
      </c>
      <c r="J650" s="38">
        <f t="shared" si="74"/>
        <v>0</v>
      </c>
      <c r="K650" s="38">
        <f t="shared" si="74"/>
        <v>0</v>
      </c>
      <c r="L650" s="38">
        <f t="shared" si="74"/>
        <v>9.7902097902097904E-2</v>
      </c>
      <c r="M650" s="35">
        <f t="shared" si="84"/>
        <v>6.635387277969893</v>
      </c>
      <c r="S650" t="s">
        <v>90</v>
      </c>
      <c r="T650" s="5">
        <f>data_origin!T737</f>
        <v>0</v>
      </c>
      <c r="U650" s="5">
        <f>data_origin!U737</f>
        <v>0</v>
      </c>
      <c r="V650" s="5">
        <f>data_origin!V737</f>
        <v>0</v>
      </c>
      <c r="W650" s="5">
        <f>data_origin!W737</f>
        <v>2.6136363636363633</v>
      </c>
      <c r="X650" s="5">
        <f>data_origin!X737</f>
        <v>3.8231292517006801</v>
      </c>
      <c r="Y650" s="5">
        <f>data_origin!Y737</f>
        <v>0</v>
      </c>
      <c r="Z650" s="5">
        <f>data_origin!Z737</f>
        <v>0</v>
      </c>
      <c r="AA650" s="5">
        <f>data_origin!AA737</f>
        <v>9.0909090909090912E-2</v>
      </c>
      <c r="AB650" s="5">
        <f t="shared" si="79"/>
        <v>6.5276747062461338</v>
      </c>
      <c r="AH650" t="s">
        <v>87</v>
      </c>
      <c r="AI650" s="5">
        <f>data_origin!T3695</f>
        <v>0</v>
      </c>
      <c r="AJ650" s="5">
        <f>data_origin!U3695</f>
        <v>0</v>
      </c>
      <c r="AK650" s="5">
        <f>data_origin!V3695</f>
        <v>2.387096774193548</v>
      </c>
      <c r="AL650" s="5">
        <f>data_origin!W3695</f>
        <v>4.5625</v>
      </c>
      <c r="AM650" s="5">
        <f>data_origin!X3695</f>
        <v>3.1666666666666665</v>
      </c>
      <c r="AN650" s="5">
        <f>data_origin!Y3695</f>
        <v>0</v>
      </c>
      <c r="AO650" s="5">
        <f>data_origin!Z3695</f>
        <v>3.0303030303030304E-2</v>
      </c>
      <c r="AP650" s="5">
        <f>data_origin!AA3695</f>
        <v>3.0303030303030304E-2</v>
      </c>
      <c r="AQ650" s="9">
        <f t="shared" si="82"/>
        <v>10.176869501466276</v>
      </c>
      <c r="AV650" t="s">
        <v>87</v>
      </c>
      <c r="AW650" s="5">
        <f>data_origin!T3797</f>
        <v>0</v>
      </c>
      <c r="AX650" s="5">
        <f>data_origin!U3797</f>
        <v>0</v>
      </c>
      <c r="AY650" s="5">
        <f>data_origin!V3797</f>
        <v>0</v>
      </c>
      <c r="AZ650" s="5">
        <f>data_origin!W3797</f>
        <v>5.7222222222222223</v>
      </c>
      <c r="BA650" s="5">
        <f>data_origin!X3797</f>
        <v>3.4375</v>
      </c>
      <c r="BB650" s="5">
        <f>data_origin!Y3797</f>
        <v>0</v>
      </c>
      <c r="BC650" s="5">
        <f>data_origin!Z3797</f>
        <v>0</v>
      </c>
      <c r="BD650" s="5">
        <f>data_origin!AA3797</f>
        <v>0</v>
      </c>
      <c r="BE650" s="5">
        <f t="shared" si="83"/>
        <v>9.1597222222222214</v>
      </c>
    </row>
    <row r="651" spans="4:57" x14ac:dyDescent="0.25">
      <c r="D651" t="s">
        <v>91</v>
      </c>
      <c r="E651" s="38">
        <f t="shared" si="85"/>
        <v>0</v>
      </c>
      <c r="F651" s="38">
        <f t="shared" si="85"/>
        <v>0</v>
      </c>
      <c r="G651" s="38">
        <f t="shared" si="85"/>
        <v>4.2702590362667001</v>
      </c>
      <c r="H651" s="38">
        <f t="shared" si="85"/>
        <v>10.585006519844251</v>
      </c>
      <c r="I651" s="38">
        <f t="shared" si="85"/>
        <v>7.7824671002134647</v>
      </c>
      <c r="J651" s="38">
        <f t="shared" si="74"/>
        <v>0</v>
      </c>
      <c r="K651" s="38">
        <f t="shared" si="74"/>
        <v>0</v>
      </c>
      <c r="L651" s="38">
        <f t="shared" si="74"/>
        <v>9.7902097902097904E-2</v>
      </c>
      <c r="M651" s="35">
        <f t="shared" si="84"/>
        <v>22.735634754226513</v>
      </c>
      <c r="S651" t="s">
        <v>91</v>
      </c>
      <c r="T651" s="5">
        <f>data_origin!T738</f>
        <v>0</v>
      </c>
      <c r="U651" s="5">
        <f>data_origin!U738</f>
        <v>0</v>
      </c>
      <c r="V651" s="5">
        <f>data_origin!V738</f>
        <v>4.2370370370370374</v>
      </c>
      <c r="W651" s="5">
        <f>data_origin!W738</f>
        <v>10.454545454545453</v>
      </c>
      <c r="X651" s="5">
        <f>data_origin!X738</f>
        <v>7.6462585034013602</v>
      </c>
      <c r="Y651" s="5">
        <f>data_origin!Y738</f>
        <v>0</v>
      </c>
      <c r="Z651" s="5">
        <f>data_origin!Z738</f>
        <v>0</v>
      </c>
      <c r="AA651" s="5">
        <f>data_origin!AA738</f>
        <v>9.0909090909090912E-2</v>
      </c>
      <c r="AB651" s="5">
        <f t="shared" si="79"/>
        <v>22.42875008589294</v>
      </c>
      <c r="AH651" t="s">
        <v>88</v>
      </c>
      <c r="AI651" s="5">
        <f>data_origin!T3696</f>
        <v>0</v>
      </c>
      <c r="AJ651" s="5">
        <f>data_origin!U3696</f>
        <v>0</v>
      </c>
      <c r="AK651" s="5">
        <f>data_origin!V3696</f>
        <v>14.32258064516129</v>
      </c>
      <c r="AL651" s="5">
        <f>data_origin!W3696</f>
        <v>29.65625</v>
      </c>
      <c r="AM651" s="5">
        <f>data_origin!X3696</f>
        <v>19</v>
      </c>
      <c r="AN651" s="5">
        <f>data_origin!Y3696</f>
        <v>8</v>
      </c>
      <c r="AO651" s="5">
        <f>data_origin!Z3696</f>
        <v>3.0303030303030304E-2</v>
      </c>
      <c r="AP651" s="5">
        <f>data_origin!AA3696</f>
        <v>3.0303030303030304E-2</v>
      </c>
      <c r="AQ651" s="9">
        <f t="shared" si="82"/>
        <v>71.039436705767343</v>
      </c>
      <c r="AV651" t="s">
        <v>88</v>
      </c>
      <c r="AW651" s="5">
        <f>data_origin!T3798</f>
        <v>0</v>
      </c>
      <c r="AX651" s="5">
        <f>data_origin!U3798</f>
        <v>0</v>
      </c>
      <c r="AY651" s="5">
        <f>data_origin!V3798</f>
        <v>0</v>
      </c>
      <c r="AZ651" s="5">
        <f>data_origin!W3798</f>
        <v>28.611111111111111</v>
      </c>
      <c r="BA651" s="5">
        <f>data_origin!X3798</f>
        <v>3.4375</v>
      </c>
      <c r="BB651" s="5">
        <f>data_origin!Y3798</f>
        <v>0</v>
      </c>
      <c r="BC651" s="5">
        <f>data_origin!Z3798</f>
        <v>0</v>
      </c>
      <c r="BD651" s="5">
        <f>data_origin!AA3798</f>
        <v>0</v>
      </c>
      <c r="BE651" s="5">
        <f t="shared" si="83"/>
        <v>32.048611111111114</v>
      </c>
    </row>
    <row r="652" spans="4:57" x14ac:dyDescent="0.25">
      <c r="D652" t="s">
        <v>92</v>
      </c>
      <c r="E652" s="38">
        <f t="shared" si="85"/>
        <v>0</v>
      </c>
      <c r="F652" s="38">
        <f t="shared" si="85"/>
        <v>0</v>
      </c>
      <c r="G652" s="38">
        <f t="shared" si="85"/>
        <v>0</v>
      </c>
      <c r="H652" s="38">
        <f t="shared" si="85"/>
        <v>0</v>
      </c>
      <c r="I652" s="38">
        <f t="shared" si="85"/>
        <v>0</v>
      </c>
      <c r="J652" s="38">
        <f t="shared" si="74"/>
        <v>0</v>
      </c>
      <c r="K652" s="38">
        <f t="shared" si="74"/>
        <v>0</v>
      </c>
      <c r="L652" s="38">
        <f t="shared" si="74"/>
        <v>9.7902097902097904E-2</v>
      </c>
      <c r="M652" s="35">
        <f t="shared" si="84"/>
        <v>9.7902097902097904E-2</v>
      </c>
      <c r="S652" t="s">
        <v>92</v>
      </c>
      <c r="T652" s="5">
        <f>data_origin!T739</f>
        <v>0</v>
      </c>
      <c r="U652" s="5">
        <f>data_origin!U739</f>
        <v>0</v>
      </c>
      <c r="V652" s="5">
        <f>data_origin!V739</f>
        <v>0</v>
      </c>
      <c r="W652" s="5">
        <f>data_origin!W739</f>
        <v>0</v>
      </c>
      <c r="X652" s="5">
        <f>data_origin!X739</f>
        <v>0</v>
      </c>
      <c r="Y652" s="5">
        <f>data_origin!Y739</f>
        <v>0</v>
      </c>
      <c r="Z652" s="5">
        <f>data_origin!Z739</f>
        <v>0</v>
      </c>
      <c r="AA652" s="5">
        <f>data_origin!AA739</f>
        <v>9.0909090909090912E-2</v>
      </c>
      <c r="AB652" s="5">
        <f t="shared" si="79"/>
        <v>9.0909090909090912E-2</v>
      </c>
      <c r="AH652" t="s">
        <v>89</v>
      </c>
      <c r="AI652" s="5">
        <f>data_origin!T3697</f>
        <v>0</v>
      </c>
      <c r="AJ652" s="5">
        <f>data_origin!U3697</f>
        <v>0</v>
      </c>
      <c r="AK652" s="5">
        <f>data_origin!V3697</f>
        <v>0</v>
      </c>
      <c r="AL652" s="5">
        <f>data_origin!W3697</f>
        <v>0</v>
      </c>
      <c r="AM652" s="5">
        <f>data_origin!X3697</f>
        <v>0</v>
      </c>
      <c r="AN652" s="5">
        <f>data_origin!Y3697</f>
        <v>0</v>
      </c>
      <c r="AO652" s="5">
        <f>data_origin!Z3697</f>
        <v>3.0303030303030304E-2</v>
      </c>
      <c r="AP652" s="5">
        <f>data_origin!AA3697</f>
        <v>3.0303030303030304E-2</v>
      </c>
      <c r="AQ652" s="9">
        <f t="shared" si="82"/>
        <v>6.0606060606060608E-2</v>
      </c>
      <c r="AV652" t="s">
        <v>89</v>
      </c>
      <c r="AW652" s="5">
        <f>data_origin!T3799</f>
        <v>0</v>
      </c>
      <c r="AX652" s="5">
        <f>data_origin!U3799</f>
        <v>0</v>
      </c>
      <c r="AY652" s="5">
        <f>data_origin!V3799</f>
        <v>10</v>
      </c>
      <c r="AZ652" s="5">
        <f>data_origin!W3799</f>
        <v>0</v>
      </c>
      <c r="BA652" s="5">
        <f>data_origin!X3799</f>
        <v>0</v>
      </c>
      <c r="BB652" s="5">
        <f>data_origin!Y3799</f>
        <v>0</v>
      </c>
      <c r="BC652" s="5">
        <f>data_origin!Z3799</f>
        <v>0</v>
      </c>
      <c r="BD652" s="5">
        <f>data_origin!AA3799</f>
        <v>0</v>
      </c>
      <c r="BE652" s="5">
        <f t="shared" si="83"/>
        <v>10</v>
      </c>
    </row>
    <row r="653" spans="4:57" x14ac:dyDescent="0.25">
      <c r="D653" t="s">
        <v>93</v>
      </c>
      <c r="E653" s="38">
        <f t="shared" si="85"/>
        <v>0</v>
      </c>
      <c r="F653" s="38">
        <f t="shared" si="85"/>
        <v>0</v>
      </c>
      <c r="G653" s="38">
        <f t="shared" si="85"/>
        <v>0</v>
      </c>
      <c r="H653" s="38">
        <f t="shared" si="85"/>
        <v>0</v>
      </c>
      <c r="I653" s="38">
        <f t="shared" si="85"/>
        <v>0</v>
      </c>
      <c r="J653" s="38">
        <f t="shared" si="74"/>
        <v>0</v>
      </c>
      <c r="K653" s="38">
        <f t="shared" si="74"/>
        <v>0</v>
      </c>
      <c r="L653" s="38">
        <f t="shared" si="74"/>
        <v>9.7902097902097904E-2</v>
      </c>
      <c r="M653" s="35">
        <f t="shared" si="84"/>
        <v>9.7902097902097904E-2</v>
      </c>
      <c r="S653" t="s">
        <v>93</v>
      </c>
      <c r="T653" s="5">
        <f>data_origin!T740</f>
        <v>0</v>
      </c>
      <c r="U653" s="5">
        <f>data_origin!U740</f>
        <v>0</v>
      </c>
      <c r="V653" s="5">
        <f>data_origin!V740</f>
        <v>0</v>
      </c>
      <c r="W653" s="5">
        <f>data_origin!W740</f>
        <v>0</v>
      </c>
      <c r="X653" s="5">
        <f>data_origin!X740</f>
        <v>0</v>
      </c>
      <c r="Y653" s="5">
        <f>data_origin!Y740</f>
        <v>0</v>
      </c>
      <c r="Z653" s="5">
        <f>data_origin!Z740</f>
        <v>0</v>
      </c>
      <c r="AA653" s="5">
        <f>data_origin!AA740</f>
        <v>9.0909090909090912E-2</v>
      </c>
      <c r="AB653" s="5">
        <f t="shared" si="79"/>
        <v>9.0909090909090912E-2</v>
      </c>
      <c r="AH653" t="s">
        <v>90</v>
      </c>
      <c r="AI653" s="5">
        <f>data_origin!T3698</f>
        <v>0</v>
      </c>
      <c r="AJ653" s="5">
        <f>data_origin!U3698</f>
        <v>0</v>
      </c>
      <c r="AK653" s="5">
        <f>data_origin!V3698</f>
        <v>0</v>
      </c>
      <c r="AL653" s="5">
        <f>data_origin!W3698</f>
        <v>0</v>
      </c>
      <c r="AM653" s="5">
        <f>data_origin!X3698</f>
        <v>0</v>
      </c>
      <c r="AN653" s="5">
        <f>data_origin!Y3698</f>
        <v>0</v>
      </c>
      <c r="AO653" s="5">
        <f>data_origin!Z3698</f>
        <v>3.0303030303030304E-2</v>
      </c>
      <c r="AP653" s="5">
        <f>data_origin!AA3698</f>
        <v>3.0303030303030304E-2</v>
      </c>
      <c r="AQ653" s="9">
        <f t="shared" si="82"/>
        <v>6.0606060606060608E-2</v>
      </c>
      <c r="AV653" t="s">
        <v>90</v>
      </c>
      <c r="AW653" s="5">
        <f>data_origin!T3800</f>
        <v>0</v>
      </c>
      <c r="AX653" s="5">
        <f>data_origin!U3800</f>
        <v>0</v>
      </c>
      <c r="AY653" s="5">
        <f>data_origin!V3800</f>
        <v>0</v>
      </c>
      <c r="AZ653" s="5">
        <f>data_origin!W3800</f>
        <v>0</v>
      </c>
      <c r="BA653" s="5">
        <f>data_origin!X3800</f>
        <v>0</v>
      </c>
      <c r="BB653" s="5">
        <f>data_origin!Y3800</f>
        <v>0</v>
      </c>
      <c r="BC653" s="5">
        <f>data_origin!Z3800</f>
        <v>0</v>
      </c>
      <c r="BD653" s="5">
        <f>data_origin!AA3800</f>
        <v>0</v>
      </c>
      <c r="BE653" s="5">
        <f t="shared" si="83"/>
        <v>0</v>
      </c>
    </row>
    <row r="654" spans="4:57" x14ac:dyDescent="0.25">
      <c r="D654" t="s">
        <v>94</v>
      </c>
      <c r="E654" s="38">
        <f t="shared" si="85"/>
        <v>0</v>
      </c>
      <c r="F654" s="38">
        <f t="shared" si="85"/>
        <v>0</v>
      </c>
      <c r="G654" s="38">
        <f t="shared" si="85"/>
        <v>0</v>
      </c>
      <c r="H654" s="38">
        <f t="shared" si="85"/>
        <v>0</v>
      </c>
      <c r="I654" s="38">
        <f t="shared" si="85"/>
        <v>0</v>
      </c>
      <c r="J654" s="38">
        <f t="shared" si="85"/>
        <v>0</v>
      </c>
      <c r="K654" s="38">
        <f t="shared" si="85"/>
        <v>0</v>
      </c>
      <c r="L654" s="38">
        <f t="shared" si="85"/>
        <v>9.7902097902097904E-2</v>
      </c>
      <c r="M654" s="35">
        <f t="shared" si="84"/>
        <v>9.7902097902097904E-2</v>
      </c>
      <c r="S654" t="s">
        <v>94</v>
      </c>
      <c r="T654" s="5">
        <f>data_origin!T741</f>
        <v>0</v>
      </c>
      <c r="U654" s="5">
        <f>data_origin!U741</f>
        <v>0</v>
      </c>
      <c r="V654" s="5">
        <f>data_origin!V741</f>
        <v>0</v>
      </c>
      <c r="W654" s="5">
        <f>data_origin!W741</f>
        <v>0</v>
      </c>
      <c r="X654" s="5">
        <f>data_origin!X741</f>
        <v>0</v>
      </c>
      <c r="Y654" s="5">
        <f>data_origin!Y741</f>
        <v>0</v>
      </c>
      <c r="Z654" s="5">
        <f>data_origin!Z741</f>
        <v>0</v>
      </c>
      <c r="AA654" s="5">
        <f>data_origin!AA741</f>
        <v>9.0909090909090912E-2</v>
      </c>
      <c r="AB654" s="5">
        <f t="shared" si="79"/>
        <v>9.0909090909090912E-2</v>
      </c>
      <c r="AH654" t="s">
        <v>91</v>
      </c>
      <c r="AI654" s="5">
        <f>data_origin!T3699</f>
        <v>0</v>
      </c>
      <c r="AJ654" s="5">
        <f>data_origin!U3699</f>
        <v>0</v>
      </c>
      <c r="AK654" s="5">
        <f>data_origin!V3699</f>
        <v>0</v>
      </c>
      <c r="AL654" s="5">
        <f>data_origin!W3699</f>
        <v>2.28125</v>
      </c>
      <c r="AM654" s="5">
        <f>data_origin!X3699</f>
        <v>0</v>
      </c>
      <c r="AN654" s="5">
        <f>data_origin!Y3699</f>
        <v>0</v>
      </c>
      <c r="AO654" s="5">
        <f>data_origin!Z3699</f>
        <v>3.0303030303030304E-2</v>
      </c>
      <c r="AP654" s="5">
        <f>data_origin!AA3699</f>
        <v>3.0303030303030304E-2</v>
      </c>
      <c r="AQ654" s="9">
        <f t="shared" si="82"/>
        <v>2.3418560606060606</v>
      </c>
      <c r="AV654" t="s">
        <v>91</v>
      </c>
      <c r="AW654" s="5">
        <f>data_origin!T3801</f>
        <v>0</v>
      </c>
      <c r="AX654" s="5">
        <f>data_origin!U3801</f>
        <v>0</v>
      </c>
      <c r="AY654" s="5">
        <f>data_origin!V3801</f>
        <v>0</v>
      </c>
      <c r="AZ654" s="5">
        <f>data_origin!W3801</f>
        <v>0</v>
      </c>
      <c r="BA654" s="5">
        <f>data_origin!X3801</f>
        <v>0</v>
      </c>
      <c r="BB654" s="5">
        <f>data_origin!Y3801</f>
        <v>0</v>
      </c>
      <c r="BC654" s="5">
        <f>data_origin!Z3801</f>
        <v>0</v>
      </c>
      <c r="BD654" s="5">
        <f>data_origin!AA3801</f>
        <v>0</v>
      </c>
      <c r="BE654" s="5">
        <f t="shared" si="83"/>
        <v>0</v>
      </c>
    </row>
    <row r="655" spans="4:57" x14ac:dyDescent="0.25">
      <c r="D655" t="s">
        <v>95</v>
      </c>
      <c r="E655" s="38">
        <f t="shared" si="85"/>
        <v>0</v>
      </c>
      <c r="F655" s="38">
        <f t="shared" si="85"/>
        <v>0</v>
      </c>
      <c r="G655" s="38">
        <f t="shared" si="85"/>
        <v>0</v>
      </c>
      <c r="H655" s="38">
        <f t="shared" si="85"/>
        <v>0</v>
      </c>
      <c r="I655" s="38">
        <f t="shared" si="85"/>
        <v>0</v>
      </c>
      <c r="J655" s="38">
        <f t="shared" si="85"/>
        <v>0</v>
      </c>
      <c r="K655" s="38">
        <f t="shared" si="85"/>
        <v>0</v>
      </c>
      <c r="L655" s="38">
        <f t="shared" si="85"/>
        <v>9.7902097902097904E-2</v>
      </c>
      <c r="M655" s="35">
        <f t="shared" si="84"/>
        <v>9.7902097902097904E-2</v>
      </c>
      <c r="S655" t="s">
        <v>95</v>
      </c>
      <c r="T655" s="5">
        <f>data_origin!T742</f>
        <v>0</v>
      </c>
      <c r="U655" s="5">
        <f>data_origin!U742</f>
        <v>0</v>
      </c>
      <c r="V655" s="5">
        <f>data_origin!V742</f>
        <v>0</v>
      </c>
      <c r="W655" s="5">
        <f>data_origin!W742</f>
        <v>0</v>
      </c>
      <c r="X655" s="5">
        <f>data_origin!X742</f>
        <v>0</v>
      </c>
      <c r="Y655" s="5">
        <f>data_origin!Y742</f>
        <v>0</v>
      </c>
      <c r="Z655" s="5">
        <f>data_origin!Z742</f>
        <v>0</v>
      </c>
      <c r="AA655" s="5">
        <f>data_origin!AA742</f>
        <v>9.0909090909090912E-2</v>
      </c>
      <c r="AB655" s="5">
        <f t="shared" si="79"/>
        <v>9.0909090909090912E-2</v>
      </c>
      <c r="AH655" t="s">
        <v>92</v>
      </c>
      <c r="AI655" s="5">
        <f>data_origin!T3700</f>
        <v>0</v>
      </c>
      <c r="AJ655" s="5">
        <f>data_origin!U3700</f>
        <v>0</v>
      </c>
      <c r="AK655" s="5">
        <f>data_origin!V3700</f>
        <v>0</v>
      </c>
      <c r="AL655" s="5">
        <f>data_origin!W3700</f>
        <v>0</v>
      </c>
      <c r="AM655" s="5">
        <f>data_origin!X3700</f>
        <v>0</v>
      </c>
      <c r="AN655" s="5">
        <f>data_origin!Y3700</f>
        <v>0</v>
      </c>
      <c r="AO655" s="5">
        <f>data_origin!Z3700</f>
        <v>3.0303030303030304E-2</v>
      </c>
      <c r="AP655" s="5">
        <f>data_origin!AA3700</f>
        <v>3.0303030303030304E-2</v>
      </c>
      <c r="AQ655" s="9">
        <f t="shared" si="82"/>
        <v>6.0606060606060608E-2</v>
      </c>
      <c r="AV655" t="s">
        <v>92</v>
      </c>
      <c r="AW655" s="5">
        <f>data_origin!T3802</f>
        <v>0</v>
      </c>
      <c r="AX655" s="5">
        <f>data_origin!U3802</f>
        <v>0</v>
      </c>
      <c r="AY655" s="5">
        <f>data_origin!V3802</f>
        <v>0</v>
      </c>
      <c r="AZ655" s="5">
        <f>data_origin!W3802</f>
        <v>0</v>
      </c>
      <c r="BA655" s="5">
        <f>data_origin!X3802</f>
        <v>0</v>
      </c>
      <c r="BB655" s="5">
        <f>data_origin!Y3802</f>
        <v>0</v>
      </c>
      <c r="BC655" s="5">
        <f>data_origin!Z3802</f>
        <v>0</v>
      </c>
      <c r="BD655" s="5">
        <f>data_origin!AA3802</f>
        <v>0</v>
      </c>
      <c r="BE655" s="5">
        <f t="shared" si="83"/>
        <v>0</v>
      </c>
    </row>
    <row r="656" spans="4:57" x14ac:dyDescent="0.25">
      <c r="D656" t="s">
        <v>96</v>
      </c>
      <c r="E656" s="38">
        <f t="shared" si="85"/>
        <v>0</v>
      </c>
      <c r="F656" s="38">
        <f t="shared" si="85"/>
        <v>0</v>
      </c>
      <c r="G656" s="38">
        <f t="shared" si="85"/>
        <v>0</v>
      </c>
      <c r="H656" s="38">
        <f t="shared" si="85"/>
        <v>0</v>
      </c>
      <c r="I656" s="38">
        <f t="shared" si="85"/>
        <v>0</v>
      </c>
      <c r="J656" s="38">
        <f t="shared" si="85"/>
        <v>0</v>
      </c>
      <c r="K656" s="38">
        <f t="shared" si="85"/>
        <v>0</v>
      </c>
      <c r="L656" s="38">
        <f t="shared" si="85"/>
        <v>9.7902097902097904E-2</v>
      </c>
      <c r="M656" s="35">
        <f t="shared" si="84"/>
        <v>9.7902097902097904E-2</v>
      </c>
      <c r="S656" t="s">
        <v>96</v>
      </c>
      <c r="T656" s="5">
        <f>data_origin!T743</f>
        <v>0</v>
      </c>
      <c r="U656" s="5">
        <f>data_origin!U743</f>
        <v>0</v>
      </c>
      <c r="V656" s="5">
        <f>data_origin!V743</f>
        <v>0</v>
      </c>
      <c r="W656" s="5">
        <f>data_origin!W743</f>
        <v>0</v>
      </c>
      <c r="X656" s="5">
        <f>data_origin!X743</f>
        <v>0</v>
      </c>
      <c r="Y656" s="5">
        <f>data_origin!Y743</f>
        <v>0</v>
      </c>
      <c r="Z656" s="5">
        <f>data_origin!Z743</f>
        <v>0</v>
      </c>
      <c r="AA656" s="5">
        <f>data_origin!AA743</f>
        <v>9.0909090909090912E-2</v>
      </c>
      <c r="AB656" s="5">
        <f t="shared" si="79"/>
        <v>9.0909090909090912E-2</v>
      </c>
      <c r="AH656" t="s">
        <v>93</v>
      </c>
      <c r="AI656" s="5">
        <f>data_origin!T3701</f>
        <v>0</v>
      </c>
      <c r="AJ656" s="5">
        <f>data_origin!U3701</f>
        <v>0</v>
      </c>
      <c r="AK656" s="5">
        <f>data_origin!V3701</f>
        <v>0</v>
      </c>
      <c r="AL656" s="5">
        <f>data_origin!W3701</f>
        <v>0</v>
      </c>
      <c r="AM656" s="5">
        <f>data_origin!X3701</f>
        <v>0</v>
      </c>
      <c r="AN656" s="5">
        <f>data_origin!Y3701</f>
        <v>0</v>
      </c>
      <c r="AO656" s="5">
        <f>data_origin!Z3701</f>
        <v>3.0303030303030304E-2</v>
      </c>
      <c r="AP656" s="5">
        <f>data_origin!AA3701</f>
        <v>3.0303030303030304E-2</v>
      </c>
      <c r="AQ656" s="9">
        <f t="shared" si="82"/>
        <v>6.0606060606060608E-2</v>
      </c>
      <c r="AV656" t="s">
        <v>93</v>
      </c>
      <c r="AW656" s="5">
        <f>data_origin!T3803</f>
        <v>0</v>
      </c>
      <c r="AX656" s="5">
        <f>data_origin!U3803</f>
        <v>0</v>
      </c>
      <c r="AY656" s="5">
        <f>data_origin!V3803</f>
        <v>0</v>
      </c>
      <c r="AZ656" s="5">
        <f>data_origin!W3803</f>
        <v>0</v>
      </c>
      <c r="BA656" s="5">
        <f>data_origin!X3803</f>
        <v>0</v>
      </c>
      <c r="BB656" s="5">
        <f>data_origin!Y3803</f>
        <v>0</v>
      </c>
      <c r="BC656" s="5">
        <f>data_origin!Z3803</f>
        <v>0</v>
      </c>
      <c r="BD656" s="5">
        <f>data_origin!AA3803</f>
        <v>0</v>
      </c>
      <c r="BE656" s="5">
        <f t="shared" si="83"/>
        <v>0</v>
      </c>
    </row>
    <row r="657" spans="1:58" x14ac:dyDescent="0.25">
      <c r="D657" t="s">
        <v>97</v>
      </c>
      <c r="E657" s="38">
        <f t="shared" si="85"/>
        <v>0</v>
      </c>
      <c r="F657" s="38">
        <f t="shared" si="85"/>
        <v>0</v>
      </c>
      <c r="G657" s="38">
        <f t="shared" si="85"/>
        <v>4.2702590362667001</v>
      </c>
      <c r="H657" s="38">
        <f t="shared" si="85"/>
        <v>5.2925032599221256</v>
      </c>
      <c r="I657" s="38">
        <f t="shared" si="85"/>
        <v>0</v>
      </c>
      <c r="J657" s="38">
        <f t="shared" si="85"/>
        <v>0</v>
      </c>
      <c r="K657" s="38">
        <f t="shared" si="85"/>
        <v>0</v>
      </c>
      <c r="L657" s="38">
        <f t="shared" si="85"/>
        <v>9.7902097902097904E-2</v>
      </c>
      <c r="M657" s="35">
        <f t="shared" si="84"/>
        <v>9.660664394090924</v>
      </c>
      <c r="S657" t="s">
        <v>97</v>
      </c>
      <c r="T657" s="5">
        <f>data_origin!T744</f>
        <v>0</v>
      </c>
      <c r="U657" s="5">
        <f>data_origin!U744</f>
        <v>0</v>
      </c>
      <c r="V657" s="5">
        <f>data_origin!V744</f>
        <v>4.2370370370370374</v>
      </c>
      <c r="W657" s="5">
        <f>data_origin!W744</f>
        <v>5.2272727272727266</v>
      </c>
      <c r="X657" s="5">
        <f>data_origin!X744</f>
        <v>0</v>
      </c>
      <c r="Y657" s="5">
        <f>data_origin!Y744</f>
        <v>0</v>
      </c>
      <c r="Z657" s="5">
        <f>data_origin!Z744</f>
        <v>0</v>
      </c>
      <c r="AA657" s="5">
        <f>data_origin!AA744</f>
        <v>9.0909090909090912E-2</v>
      </c>
      <c r="AB657" s="5">
        <f t="shared" si="79"/>
        <v>9.5552188552188557</v>
      </c>
      <c r="AH657" t="s">
        <v>94</v>
      </c>
      <c r="AI657" s="5">
        <f>data_origin!T3702</f>
        <v>0</v>
      </c>
      <c r="AJ657" s="5">
        <f>data_origin!U3702</f>
        <v>0</v>
      </c>
      <c r="AK657" s="5">
        <f>data_origin!V3702</f>
        <v>0</v>
      </c>
      <c r="AL657" s="5">
        <f>data_origin!W3702</f>
        <v>0</v>
      </c>
      <c r="AM657" s="5">
        <f>data_origin!X3702</f>
        <v>0</v>
      </c>
      <c r="AN657" s="5">
        <f>data_origin!Y3702</f>
        <v>0</v>
      </c>
      <c r="AO657" s="5">
        <f>data_origin!Z3702</f>
        <v>3.0303030303030304E-2</v>
      </c>
      <c r="AP657" s="5">
        <f>data_origin!AA3702</f>
        <v>3.0303030303030304E-2</v>
      </c>
      <c r="AQ657" s="9">
        <f t="shared" si="82"/>
        <v>6.0606060606060608E-2</v>
      </c>
      <c r="AV657" t="s">
        <v>94</v>
      </c>
      <c r="AW657" s="5">
        <f>data_origin!T3804</f>
        <v>0</v>
      </c>
      <c r="AX657" s="5">
        <f>data_origin!U3804</f>
        <v>0</v>
      </c>
      <c r="AY657" s="5">
        <f>data_origin!V3804</f>
        <v>0</v>
      </c>
      <c r="AZ657" s="5">
        <f>data_origin!W3804</f>
        <v>0</v>
      </c>
      <c r="BA657" s="5">
        <f>data_origin!X3804</f>
        <v>0</v>
      </c>
      <c r="BB657" s="5">
        <f>data_origin!Y3804</f>
        <v>0</v>
      </c>
      <c r="BC657" s="5">
        <f>data_origin!Z3804</f>
        <v>0</v>
      </c>
      <c r="BD657" s="5">
        <f>data_origin!AA3804</f>
        <v>0</v>
      </c>
      <c r="BE657" s="5">
        <f t="shared" si="83"/>
        <v>0</v>
      </c>
    </row>
    <row r="658" spans="1:58" x14ac:dyDescent="0.25">
      <c r="D658" t="s">
        <v>98</v>
      </c>
      <c r="E658" s="38">
        <f t="shared" si="85"/>
        <v>0</v>
      </c>
      <c r="F658" s="38">
        <f t="shared" si="85"/>
        <v>0</v>
      </c>
      <c r="G658" s="38">
        <f t="shared" si="85"/>
        <v>6.4053885544000497</v>
      </c>
      <c r="H658" s="38">
        <f t="shared" si="85"/>
        <v>13.231258149805315</v>
      </c>
      <c r="I658" s="38">
        <f t="shared" si="85"/>
        <v>11.673700650320198</v>
      </c>
      <c r="J658" s="38">
        <f t="shared" si="85"/>
        <v>0</v>
      </c>
      <c r="K658" s="38">
        <f t="shared" si="85"/>
        <v>0</v>
      </c>
      <c r="L658" s="38">
        <f t="shared" si="85"/>
        <v>9.7902097902097904E-2</v>
      </c>
      <c r="M658" s="35">
        <f t="shared" si="84"/>
        <v>31.408249452427658</v>
      </c>
      <c r="S658" t="s">
        <v>98</v>
      </c>
      <c r="T658" s="5">
        <f>data_origin!T745</f>
        <v>0</v>
      </c>
      <c r="U658" s="5">
        <f>data_origin!U745</f>
        <v>0</v>
      </c>
      <c r="V658" s="5">
        <f>data_origin!V745</f>
        <v>6.3555555555555561</v>
      </c>
      <c r="W658" s="5">
        <f>data_origin!W745</f>
        <v>13.068181818181818</v>
      </c>
      <c r="X658" s="5">
        <f>data_origin!X745</f>
        <v>11.469387755102041</v>
      </c>
      <c r="Y658" s="5">
        <f>data_origin!Y745</f>
        <v>0</v>
      </c>
      <c r="Z658" s="5">
        <f>data_origin!Z745</f>
        <v>0</v>
      </c>
      <c r="AA658" s="5">
        <f>data_origin!AA745</f>
        <v>9.0909090909090912E-2</v>
      </c>
      <c r="AB658" s="5">
        <f t="shared" si="79"/>
        <v>30.984034219748505</v>
      </c>
      <c r="AH658" t="s">
        <v>95</v>
      </c>
      <c r="AI658" s="5">
        <f>data_origin!T3703</f>
        <v>0</v>
      </c>
      <c r="AJ658" s="5">
        <f>data_origin!U3703</f>
        <v>0</v>
      </c>
      <c r="AK658" s="5">
        <f>data_origin!V3703</f>
        <v>0</v>
      </c>
      <c r="AL658" s="5">
        <f>data_origin!W3703</f>
        <v>0</v>
      </c>
      <c r="AM658" s="5">
        <f>data_origin!X3703</f>
        <v>0</v>
      </c>
      <c r="AN658" s="5">
        <f>data_origin!Y3703</f>
        <v>0</v>
      </c>
      <c r="AO658" s="5">
        <f>data_origin!Z3703</f>
        <v>3.0303030303030304E-2</v>
      </c>
      <c r="AP658" s="5">
        <f>data_origin!AA3703</f>
        <v>3.0303030303030304E-2</v>
      </c>
      <c r="AQ658" s="9">
        <f t="shared" si="82"/>
        <v>6.0606060606060608E-2</v>
      </c>
      <c r="AV658" t="s">
        <v>95</v>
      </c>
      <c r="AW658" s="5">
        <f>data_origin!T3805</f>
        <v>0</v>
      </c>
      <c r="AX658" s="5">
        <f>data_origin!U3805</f>
        <v>0</v>
      </c>
      <c r="AY658" s="5">
        <f>data_origin!V3805</f>
        <v>0</v>
      </c>
      <c r="AZ658" s="5">
        <f>data_origin!W3805</f>
        <v>0</v>
      </c>
      <c r="BA658" s="5">
        <f>data_origin!X3805</f>
        <v>0</v>
      </c>
      <c r="BB658" s="5">
        <f>data_origin!Y3805</f>
        <v>0</v>
      </c>
      <c r="BC658" s="5">
        <f>data_origin!Z3805</f>
        <v>0</v>
      </c>
      <c r="BD658" s="5">
        <f>data_origin!AA3805</f>
        <v>0</v>
      </c>
      <c r="BE658" s="5">
        <f t="shared" si="83"/>
        <v>0</v>
      </c>
    </row>
    <row r="659" spans="1:58" x14ac:dyDescent="0.25">
      <c r="D659" t="s">
        <v>119</v>
      </c>
      <c r="E659" s="38">
        <f t="shared" si="85"/>
        <v>0</v>
      </c>
      <c r="F659" s="38">
        <f t="shared" si="85"/>
        <v>0</v>
      </c>
      <c r="G659" s="38">
        <f t="shared" si="85"/>
        <v>2.1351295181333501</v>
      </c>
      <c r="H659" s="38">
        <f t="shared" si="85"/>
        <v>2.6462516299610628</v>
      </c>
      <c r="I659" s="38">
        <f t="shared" si="85"/>
        <v>11.673700650320198</v>
      </c>
      <c r="J659" s="38">
        <f t="shared" si="85"/>
        <v>0</v>
      </c>
      <c r="K659" s="38">
        <f t="shared" si="85"/>
        <v>0</v>
      </c>
      <c r="L659" s="38">
        <f t="shared" si="85"/>
        <v>9.7902097902097904E-2</v>
      </c>
      <c r="M659" s="35">
        <f t="shared" si="84"/>
        <v>16.552983896316707</v>
      </c>
      <c r="S659" t="s">
        <v>119</v>
      </c>
      <c r="T659" s="5">
        <f>data_origin!T746</f>
        <v>0</v>
      </c>
      <c r="U659" s="5">
        <f>data_origin!U746</f>
        <v>0</v>
      </c>
      <c r="V659" s="5">
        <f>data_origin!V746</f>
        <v>2.1185185185185187</v>
      </c>
      <c r="W659" s="5">
        <f>data_origin!W746</f>
        <v>2.6136363636363633</v>
      </c>
      <c r="X659" s="5">
        <f>data_origin!X746</f>
        <v>11.469387755102041</v>
      </c>
      <c r="Y659" s="5">
        <f>data_origin!Y746</f>
        <v>0</v>
      </c>
      <c r="Z659" s="5">
        <f>data_origin!Z746</f>
        <v>0</v>
      </c>
      <c r="AA659" s="5">
        <f>data_origin!AA746</f>
        <v>9.0909090909090912E-2</v>
      </c>
      <c r="AB659" s="5">
        <f t="shared" si="79"/>
        <v>16.292451728166011</v>
      </c>
      <c r="AH659" t="s">
        <v>96</v>
      </c>
      <c r="AI659" s="5">
        <f>data_origin!T3704</f>
        <v>0</v>
      </c>
      <c r="AJ659" s="5">
        <f>data_origin!U3704</f>
        <v>0</v>
      </c>
      <c r="AK659" s="5">
        <f>data_origin!V3704</f>
        <v>0</v>
      </c>
      <c r="AL659" s="5">
        <f>data_origin!W3704</f>
        <v>0</v>
      </c>
      <c r="AM659" s="5">
        <f>data_origin!X3704</f>
        <v>0</v>
      </c>
      <c r="AN659" s="5">
        <f>data_origin!Y3704</f>
        <v>0</v>
      </c>
      <c r="AO659" s="5">
        <f>data_origin!Z3704</f>
        <v>3.0303030303030304E-2</v>
      </c>
      <c r="AP659" s="5">
        <f>data_origin!AA3704</f>
        <v>3.0303030303030304E-2</v>
      </c>
      <c r="AQ659" s="9">
        <f t="shared" si="82"/>
        <v>6.0606060606060608E-2</v>
      </c>
      <c r="AV659" t="s">
        <v>96</v>
      </c>
      <c r="AW659" s="5">
        <f>data_origin!T3806</f>
        <v>0</v>
      </c>
      <c r="AX659" s="5">
        <f>data_origin!U3806</f>
        <v>0</v>
      </c>
      <c r="AY659" s="5">
        <f>data_origin!V3806</f>
        <v>0</v>
      </c>
      <c r="AZ659" s="5">
        <f>data_origin!W3806</f>
        <v>0</v>
      </c>
      <c r="BA659" s="5">
        <f>data_origin!X3806</f>
        <v>0</v>
      </c>
      <c r="BB659" s="5">
        <f>data_origin!Y3806</f>
        <v>0</v>
      </c>
      <c r="BC659" s="5">
        <f>data_origin!Z3806</f>
        <v>0</v>
      </c>
      <c r="BD659" s="5">
        <f>data_origin!AA3806</f>
        <v>0</v>
      </c>
      <c r="BE659" s="5">
        <f t="shared" si="83"/>
        <v>0</v>
      </c>
    </row>
    <row r="660" spans="1:58" x14ac:dyDescent="0.25">
      <c r="D660" t="s">
        <v>99</v>
      </c>
      <c r="E660" s="38">
        <f t="shared" si="85"/>
        <v>0</v>
      </c>
      <c r="F660" s="38">
        <f t="shared" si="85"/>
        <v>0</v>
      </c>
      <c r="G660" s="38">
        <f t="shared" si="85"/>
        <v>14.945906626933445</v>
      </c>
      <c r="H660" s="38">
        <f t="shared" si="85"/>
        <v>13.231258149805315</v>
      </c>
      <c r="I660" s="38">
        <f t="shared" si="85"/>
        <v>27.238634850747129</v>
      </c>
      <c r="J660" s="38">
        <f t="shared" si="85"/>
        <v>0</v>
      </c>
      <c r="K660" s="38">
        <f t="shared" si="85"/>
        <v>0</v>
      </c>
      <c r="L660" s="38">
        <f t="shared" si="85"/>
        <v>9.7902097902097904E-2</v>
      </c>
      <c r="M660" s="35">
        <f t="shared" si="84"/>
        <v>55.513701725387989</v>
      </c>
      <c r="S660" t="s">
        <v>99</v>
      </c>
      <c r="T660" s="5">
        <f>data_origin!T747</f>
        <v>0</v>
      </c>
      <c r="U660" s="5">
        <f>data_origin!U747</f>
        <v>0</v>
      </c>
      <c r="V660" s="5">
        <f>data_origin!V747</f>
        <v>14.829629629629629</v>
      </c>
      <c r="W660" s="5">
        <f>data_origin!W747</f>
        <v>13.068181818181818</v>
      </c>
      <c r="X660" s="5">
        <f>data_origin!X747</f>
        <v>26.761904761904759</v>
      </c>
      <c r="Y660" s="5">
        <f>data_origin!Y747</f>
        <v>0</v>
      </c>
      <c r="Z660" s="5">
        <f>data_origin!Z747</f>
        <v>0</v>
      </c>
      <c r="AA660" s="5">
        <f>data_origin!AA747</f>
        <v>9.0909090909090912E-2</v>
      </c>
      <c r="AB660" s="5">
        <f t="shared" si="79"/>
        <v>54.750625300625302</v>
      </c>
      <c r="AH660" t="s">
        <v>97</v>
      </c>
      <c r="AI660" s="5">
        <f>data_origin!T3705</f>
        <v>0</v>
      </c>
      <c r="AJ660" s="5">
        <f>data_origin!U3705</f>
        <v>0</v>
      </c>
      <c r="AK660" s="5">
        <f>data_origin!V3705</f>
        <v>0</v>
      </c>
      <c r="AL660" s="5">
        <f>data_origin!W3705</f>
        <v>0</v>
      </c>
      <c r="AM660" s="5">
        <f>data_origin!X3705</f>
        <v>0</v>
      </c>
      <c r="AN660" s="5">
        <f>data_origin!Y3705</f>
        <v>0</v>
      </c>
      <c r="AO660" s="5">
        <f>data_origin!Z3705</f>
        <v>3.0303030303030304E-2</v>
      </c>
      <c r="AP660" s="5">
        <f>data_origin!AA3705</f>
        <v>3.0303030303030304E-2</v>
      </c>
      <c r="AQ660" s="9">
        <f t="shared" si="82"/>
        <v>6.0606060606060608E-2</v>
      </c>
      <c r="AV660" t="s">
        <v>97</v>
      </c>
      <c r="AW660" s="5">
        <f>data_origin!T3807</f>
        <v>0</v>
      </c>
      <c r="AX660" s="5">
        <f>data_origin!U3807</f>
        <v>0</v>
      </c>
      <c r="AY660" s="5">
        <f>data_origin!V3807</f>
        <v>0</v>
      </c>
      <c r="AZ660" s="5">
        <f>data_origin!W3807</f>
        <v>0</v>
      </c>
      <c r="BA660" s="5">
        <f>data_origin!X3807</f>
        <v>0</v>
      </c>
      <c r="BB660" s="5">
        <f>data_origin!Y3807</f>
        <v>0</v>
      </c>
      <c r="BC660" s="5">
        <f>data_origin!Z3807</f>
        <v>0</v>
      </c>
      <c r="BD660" s="5">
        <f>data_origin!AA3807</f>
        <v>0</v>
      </c>
      <c r="BE660" s="5">
        <f t="shared" si="83"/>
        <v>0</v>
      </c>
    </row>
    <row r="661" spans="1:58" x14ac:dyDescent="0.25">
      <c r="D661" t="s">
        <v>100</v>
      </c>
      <c r="E661" s="38">
        <f t="shared" si="85"/>
        <v>0</v>
      </c>
      <c r="F661" s="38">
        <f t="shared" si="85"/>
        <v>0</v>
      </c>
      <c r="G661" s="38">
        <f t="shared" si="85"/>
        <v>42.702590362666989</v>
      </c>
      <c r="H661" s="38">
        <f t="shared" si="85"/>
        <v>82.033800528792952</v>
      </c>
      <c r="I661" s="38">
        <f t="shared" si="85"/>
        <v>124.51947360341543</v>
      </c>
      <c r="J661" s="38">
        <f t="shared" si="85"/>
        <v>17.692170266756566</v>
      </c>
      <c r="K661" s="38">
        <f t="shared" si="85"/>
        <v>6.6212686567164178</v>
      </c>
      <c r="L661" s="38">
        <f t="shared" si="85"/>
        <v>9.7902097902097904E-2</v>
      </c>
      <c r="M661" s="35">
        <f t="shared" si="84"/>
        <v>273.66720551625048</v>
      </c>
      <c r="S661" t="s">
        <v>100</v>
      </c>
      <c r="T661" s="5">
        <f>data_origin!T748</f>
        <v>0</v>
      </c>
      <c r="U661" s="5">
        <f>data_origin!U748</f>
        <v>0</v>
      </c>
      <c r="V661" s="5">
        <f>data_origin!V748</f>
        <v>42.370370370370367</v>
      </c>
      <c r="W661" s="5">
        <f>data_origin!W748</f>
        <v>81.022727272727266</v>
      </c>
      <c r="X661" s="5">
        <f>data_origin!X748</f>
        <v>122.34013605442176</v>
      </c>
      <c r="Y661" s="5">
        <f>data_origin!Y748</f>
        <v>17.333333333333336</v>
      </c>
      <c r="Z661" s="5">
        <f>data_origin!Z748</f>
        <v>6.5</v>
      </c>
      <c r="AA661" s="5">
        <f>data_origin!AA748</f>
        <v>9.0909090909090912E-2</v>
      </c>
      <c r="AB661" s="5">
        <f t="shared" si="79"/>
        <v>269.65747612176176</v>
      </c>
      <c r="AH661" t="s">
        <v>98</v>
      </c>
      <c r="AI661" s="5">
        <f>data_origin!T3706</f>
        <v>0</v>
      </c>
      <c r="AJ661" s="5">
        <f>data_origin!U3706</f>
        <v>0</v>
      </c>
      <c r="AK661" s="5">
        <f>data_origin!V3706</f>
        <v>0</v>
      </c>
      <c r="AL661" s="5">
        <f>data_origin!W3706</f>
        <v>0</v>
      </c>
      <c r="AM661" s="5">
        <f>data_origin!X3706</f>
        <v>3.1666666666666665</v>
      </c>
      <c r="AN661" s="5">
        <f>data_origin!Y3706</f>
        <v>0</v>
      </c>
      <c r="AO661" s="5">
        <f>data_origin!Z3706</f>
        <v>3.0303030303030304E-2</v>
      </c>
      <c r="AP661" s="5">
        <f>data_origin!AA3706</f>
        <v>3.0303030303030304E-2</v>
      </c>
      <c r="AQ661" s="9">
        <f t="shared" si="82"/>
        <v>3.2272727272727271</v>
      </c>
      <c r="AV661" t="s">
        <v>98</v>
      </c>
      <c r="AW661" s="5">
        <f>data_origin!T3808</f>
        <v>0</v>
      </c>
      <c r="AX661" s="5">
        <f>data_origin!U3808</f>
        <v>0</v>
      </c>
      <c r="AY661" s="5">
        <f>data_origin!V3808</f>
        <v>5</v>
      </c>
      <c r="AZ661" s="5">
        <f>data_origin!W3808</f>
        <v>0</v>
      </c>
      <c r="BA661" s="5">
        <f>data_origin!X3808</f>
        <v>0</v>
      </c>
      <c r="BB661" s="5">
        <f>data_origin!Y3808</f>
        <v>0</v>
      </c>
      <c r="BC661" s="5">
        <f>data_origin!Z3808</f>
        <v>0</v>
      </c>
      <c r="BD661" s="5">
        <f>data_origin!AA3808</f>
        <v>0</v>
      </c>
      <c r="BE661" s="5">
        <f t="shared" si="83"/>
        <v>5</v>
      </c>
    </row>
    <row r="662" spans="1:58" x14ac:dyDescent="0.25">
      <c r="D662" t="s">
        <v>101</v>
      </c>
      <c r="E662" s="38">
        <f t="shared" si="85"/>
        <v>0</v>
      </c>
      <c r="F662" s="38">
        <f t="shared" si="85"/>
        <v>0</v>
      </c>
      <c r="G662" s="38">
        <f t="shared" si="85"/>
        <v>12.810777108800099</v>
      </c>
      <c r="H662" s="38">
        <f t="shared" si="85"/>
        <v>29.108767929571691</v>
      </c>
      <c r="I662" s="38">
        <f t="shared" si="85"/>
        <v>19.456167750533666</v>
      </c>
      <c r="J662" s="38">
        <f t="shared" si="85"/>
        <v>0</v>
      </c>
      <c r="K662" s="38">
        <f t="shared" si="85"/>
        <v>0</v>
      </c>
      <c r="L662" s="38">
        <f t="shared" si="85"/>
        <v>9.7902097902097904E-2</v>
      </c>
      <c r="M662" s="35">
        <f t="shared" si="84"/>
        <v>61.47361488680756</v>
      </c>
      <c r="S662" t="s">
        <v>101</v>
      </c>
      <c r="T662" s="5">
        <f>data_origin!T749</f>
        <v>0</v>
      </c>
      <c r="U662" s="5">
        <f>data_origin!U749</f>
        <v>0</v>
      </c>
      <c r="V662" s="5">
        <f>data_origin!V749</f>
        <v>12.711111111111112</v>
      </c>
      <c r="W662" s="5">
        <f>data_origin!W749</f>
        <v>28.75</v>
      </c>
      <c r="X662" s="5">
        <f>data_origin!X749</f>
        <v>19.115646258503403</v>
      </c>
      <c r="Y662" s="5">
        <f>data_origin!Y749</f>
        <v>0</v>
      </c>
      <c r="Z662" s="5">
        <f>data_origin!Z749</f>
        <v>0</v>
      </c>
      <c r="AA662" s="5">
        <f>data_origin!AA749</f>
        <v>9.0909090909090912E-2</v>
      </c>
      <c r="AB662" s="5">
        <f t="shared" si="79"/>
        <v>60.667666460523606</v>
      </c>
      <c r="AH662" t="s">
        <v>119</v>
      </c>
      <c r="AI662" s="5">
        <f>data_origin!T3707</f>
        <v>0</v>
      </c>
      <c r="AJ662" s="5">
        <f>data_origin!U3707</f>
        <v>0</v>
      </c>
      <c r="AK662" s="5">
        <f>data_origin!V3707</f>
        <v>0</v>
      </c>
      <c r="AL662" s="5">
        <f>data_origin!W3707</f>
        <v>0</v>
      </c>
      <c r="AM662" s="5">
        <f>data_origin!X3707</f>
        <v>0</v>
      </c>
      <c r="AN662" s="5">
        <f>data_origin!Y3707</f>
        <v>0</v>
      </c>
      <c r="AO662" s="5">
        <f>data_origin!Z3707</f>
        <v>3.0303030303030304E-2</v>
      </c>
      <c r="AP662" s="5">
        <f>data_origin!AA3707</f>
        <v>3.0303030303030304E-2</v>
      </c>
      <c r="AQ662" s="9">
        <f t="shared" si="82"/>
        <v>6.0606060606060608E-2</v>
      </c>
      <c r="AV662" t="s">
        <v>119</v>
      </c>
      <c r="AW662" s="5">
        <f>data_origin!T3809</f>
        <v>0</v>
      </c>
      <c r="AX662" s="5">
        <f>data_origin!U3809</f>
        <v>0</v>
      </c>
      <c r="AY662" s="5">
        <f>data_origin!V3809</f>
        <v>0</v>
      </c>
      <c r="AZ662" s="5">
        <f>data_origin!W3809</f>
        <v>0</v>
      </c>
      <c r="BA662" s="5">
        <f>data_origin!X3809</f>
        <v>0</v>
      </c>
      <c r="BB662" s="5">
        <f>data_origin!Y3809</f>
        <v>0</v>
      </c>
      <c r="BC662" s="5">
        <f>data_origin!Z3809</f>
        <v>0</v>
      </c>
      <c r="BD662" s="5">
        <f>data_origin!AA3809</f>
        <v>0</v>
      </c>
      <c r="BE662" s="5">
        <f t="shared" si="83"/>
        <v>0</v>
      </c>
    </row>
    <row r="663" spans="1:58" x14ac:dyDescent="0.25">
      <c r="A663" s="23" t="s">
        <v>104</v>
      </c>
      <c r="B663" s="23" t="s">
        <v>117</v>
      </c>
      <c r="C663" s="23" t="s">
        <v>105</v>
      </c>
      <c r="D663" t="s">
        <v>70</v>
      </c>
      <c r="E663" s="35">
        <f>T663+IFERROR((T663/SUM(T$3:T$992)*AI$630),0)</f>
        <v>0</v>
      </c>
      <c r="F663" s="35">
        <f t="shared" ref="F663:L663" si="86">U663+IFERROR((U663/SUM(U$3:U$992)*AJ$630),0)</f>
        <v>0</v>
      </c>
      <c r="G663" s="35">
        <f t="shared" si="86"/>
        <v>0</v>
      </c>
      <c r="H663" s="35">
        <f t="shared" si="86"/>
        <v>0</v>
      </c>
      <c r="I663" s="35">
        <f t="shared" si="86"/>
        <v>0</v>
      </c>
      <c r="J663" s="35">
        <f t="shared" si="86"/>
        <v>0</v>
      </c>
      <c r="K663" s="35">
        <f t="shared" si="86"/>
        <v>0</v>
      </c>
      <c r="L663" s="35">
        <f t="shared" si="86"/>
        <v>0</v>
      </c>
      <c r="M663" s="35">
        <f t="shared" si="84"/>
        <v>0</v>
      </c>
      <c r="P663" t="s">
        <v>104</v>
      </c>
      <c r="Q663" t="s">
        <v>117</v>
      </c>
      <c r="R663" t="s">
        <v>105</v>
      </c>
      <c r="S663" t="s">
        <v>70</v>
      </c>
      <c r="T663" s="5">
        <f>data_origin!T785</f>
        <v>0</v>
      </c>
      <c r="U663" s="5">
        <f>data_origin!U785</f>
        <v>0</v>
      </c>
      <c r="V663" s="5">
        <f>data_origin!V785</f>
        <v>0</v>
      </c>
      <c r="W663" s="5">
        <f>data_origin!W785</f>
        <v>0</v>
      </c>
      <c r="X663" s="5">
        <f>data_origin!X785</f>
        <v>0</v>
      </c>
      <c r="Y663" s="5">
        <f>data_origin!Y785</f>
        <v>0</v>
      </c>
      <c r="Z663" s="5">
        <f>data_origin!Z785</f>
        <v>0</v>
      </c>
      <c r="AA663" s="5">
        <f>data_origin!AA785</f>
        <v>0</v>
      </c>
      <c r="AB663" s="5">
        <f t="shared" ref="AB663:AB726" si="87">SUM(T663:AA663)</f>
        <v>0</v>
      </c>
      <c r="AH663" t="s">
        <v>99</v>
      </c>
      <c r="AI663" s="5">
        <f>data_origin!T3708</f>
        <v>0</v>
      </c>
      <c r="AJ663" s="5">
        <f>data_origin!U3708</f>
        <v>0</v>
      </c>
      <c r="AK663" s="5">
        <f>data_origin!V3708</f>
        <v>0</v>
      </c>
      <c r="AL663" s="5">
        <f>data_origin!W3708</f>
        <v>4.5625</v>
      </c>
      <c r="AM663" s="5">
        <f>data_origin!X3708</f>
        <v>0</v>
      </c>
      <c r="AN663" s="5">
        <f>data_origin!Y3708</f>
        <v>0</v>
      </c>
      <c r="AO663" s="5">
        <f>data_origin!Z3708</f>
        <v>3.0303030303030304E-2</v>
      </c>
      <c r="AP663" s="5">
        <f>data_origin!AA3708</f>
        <v>3.0303030303030304E-2</v>
      </c>
      <c r="AQ663" s="9">
        <f t="shared" si="82"/>
        <v>4.6231060606060606</v>
      </c>
      <c r="AV663" t="s">
        <v>99</v>
      </c>
      <c r="AW663" s="5">
        <f>data_origin!T3810</f>
        <v>0</v>
      </c>
      <c r="AX663" s="5">
        <f>data_origin!U3810</f>
        <v>0</v>
      </c>
      <c r="AY663" s="5">
        <f>data_origin!V3810</f>
        <v>0</v>
      </c>
      <c r="AZ663" s="5">
        <f>data_origin!W3810</f>
        <v>0</v>
      </c>
      <c r="BA663" s="5">
        <f>data_origin!X3810</f>
        <v>0</v>
      </c>
      <c r="BB663" s="5">
        <f>data_origin!Y3810</f>
        <v>0</v>
      </c>
      <c r="BC663" s="5">
        <f>data_origin!Z3810</f>
        <v>0</v>
      </c>
      <c r="BD663" s="5">
        <f>data_origin!AA3810</f>
        <v>0</v>
      </c>
      <c r="BE663" s="5">
        <f t="shared" si="83"/>
        <v>0</v>
      </c>
    </row>
    <row r="664" spans="1:58" x14ac:dyDescent="0.25">
      <c r="D664" t="s">
        <v>71</v>
      </c>
      <c r="E664" s="35">
        <f t="shared" ref="E664:L695" si="88">T664+IFERROR((T664/SUM(T$3:T$992)*AI$630),0)</f>
        <v>0</v>
      </c>
      <c r="F664" s="35">
        <f t="shared" si="88"/>
        <v>0</v>
      </c>
      <c r="G664" s="35">
        <f t="shared" si="88"/>
        <v>1.0012698412698413</v>
      </c>
      <c r="H664" s="35">
        <f t="shared" si="88"/>
        <v>0</v>
      </c>
      <c r="I664" s="35">
        <f t="shared" si="88"/>
        <v>0</v>
      </c>
      <c r="J664" s="35">
        <f t="shared" si="88"/>
        <v>0</v>
      </c>
      <c r="K664" s="35">
        <f t="shared" si="88"/>
        <v>0</v>
      </c>
      <c r="L664" s="35">
        <f t="shared" si="88"/>
        <v>0</v>
      </c>
      <c r="M664" s="35">
        <f t="shared" si="84"/>
        <v>1.0012698412698413</v>
      </c>
      <c r="S664" t="s">
        <v>71</v>
      </c>
      <c r="T664" s="5">
        <f>data_origin!T786</f>
        <v>0</v>
      </c>
      <c r="U664" s="5">
        <f>data_origin!U786</f>
        <v>0</v>
      </c>
      <c r="V664" s="5">
        <f>data_origin!V786</f>
        <v>1</v>
      </c>
      <c r="W664" s="5">
        <f>data_origin!W786</f>
        <v>0</v>
      </c>
      <c r="X664" s="5">
        <f>data_origin!X786</f>
        <v>0</v>
      </c>
      <c r="Y664" s="5">
        <f>data_origin!Y786</f>
        <v>0</v>
      </c>
      <c r="Z664" s="5">
        <f>data_origin!Z786</f>
        <v>0</v>
      </c>
      <c r="AA664" s="5">
        <f>data_origin!AA786</f>
        <v>0</v>
      </c>
      <c r="AB664" s="5">
        <f t="shared" si="87"/>
        <v>1</v>
      </c>
      <c r="AH664" t="s">
        <v>100</v>
      </c>
      <c r="AI664" s="5">
        <f>data_origin!T3709</f>
        <v>0</v>
      </c>
      <c r="AJ664" s="5">
        <f>data_origin!U3709</f>
        <v>0</v>
      </c>
      <c r="AK664" s="5">
        <f>data_origin!V3709</f>
        <v>7.161290322580645</v>
      </c>
      <c r="AL664" s="5">
        <f>data_origin!W3709</f>
        <v>2.28125</v>
      </c>
      <c r="AM664" s="5">
        <f>data_origin!X3709</f>
        <v>0</v>
      </c>
      <c r="AN664" s="5">
        <f>data_origin!Y3709</f>
        <v>0</v>
      </c>
      <c r="AO664" s="5">
        <f>data_origin!Z3709</f>
        <v>3.0303030303030304E-2</v>
      </c>
      <c r="AP664" s="5">
        <f>data_origin!AA3709</f>
        <v>3.0303030303030304E-2</v>
      </c>
      <c r="AQ664" s="9">
        <f t="shared" si="82"/>
        <v>9.5031463831867065</v>
      </c>
      <c r="AV664" t="s">
        <v>100</v>
      </c>
      <c r="AW664" s="5">
        <f>data_origin!T3811</f>
        <v>0</v>
      </c>
      <c r="AX664" s="5">
        <f>data_origin!U3811</f>
        <v>0</v>
      </c>
      <c r="AY664" s="5">
        <f>data_origin!V3811</f>
        <v>10</v>
      </c>
      <c r="AZ664" s="5">
        <f>data_origin!W3811</f>
        <v>5.7222222222222223</v>
      </c>
      <c r="BA664" s="5">
        <f>data_origin!X3811</f>
        <v>0</v>
      </c>
      <c r="BB664" s="5">
        <f>data_origin!Y3811</f>
        <v>0</v>
      </c>
      <c r="BC664" s="5">
        <f>data_origin!Z3811</f>
        <v>0</v>
      </c>
      <c r="BD664" s="5">
        <f>data_origin!AA3811</f>
        <v>0</v>
      </c>
      <c r="BE664" s="5">
        <f t="shared" si="83"/>
        <v>15.722222222222221</v>
      </c>
    </row>
    <row r="665" spans="1:58" x14ac:dyDescent="0.25">
      <c r="D665" t="s">
        <v>72</v>
      </c>
      <c r="E665" s="35">
        <f t="shared" si="88"/>
        <v>0</v>
      </c>
      <c r="F665" s="35">
        <f t="shared" si="88"/>
        <v>0</v>
      </c>
      <c r="G665" s="35">
        <f t="shared" si="88"/>
        <v>0</v>
      </c>
      <c r="H665" s="35">
        <f t="shared" si="88"/>
        <v>0</v>
      </c>
      <c r="I665" s="35">
        <f t="shared" si="88"/>
        <v>0</v>
      </c>
      <c r="J665" s="35">
        <f t="shared" si="88"/>
        <v>0</v>
      </c>
      <c r="K665" s="35">
        <f t="shared" si="88"/>
        <v>0</v>
      </c>
      <c r="L665" s="35">
        <f t="shared" si="88"/>
        <v>0</v>
      </c>
      <c r="M665" s="35">
        <f t="shared" si="84"/>
        <v>0</v>
      </c>
      <c r="S665" t="s">
        <v>72</v>
      </c>
      <c r="T665" s="5">
        <f>data_origin!T787</f>
        <v>0</v>
      </c>
      <c r="U665" s="5">
        <f>data_origin!U787</f>
        <v>0</v>
      </c>
      <c r="V665" s="5">
        <f>data_origin!V787</f>
        <v>0</v>
      </c>
      <c r="W665" s="5">
        <f>data_origin!W787</f>
        <v>0</v>
      </c>
      <c r="X665" s="5">
        <f>data_origin!X787</f>
        <v>0</v>
      </c>
      <c r="Y665" s="5">
        <f>data_origin!Y787</f>
        <v>0</v>
      </c>
      <c r="Z665" s="5">
        <f>data_origin!Z787</f>
        <v>0</v>
      </c>
      <c r="AA665" s="5">
        <f>data_origin!AA787</f>
        <v>0</v>
      </c>
      <c r="AB665" s="5">
        <f t="shared" si="87"/>
        <v>0</v>
      </c>
      <c r="AH665" t="s">
        <v>101</v>
      </c>
      <c r="AI665" s="5">
        <f>data_origin!T3710</f>
        <v>0</v>
      </c>
      <c r="AJ665" s="5">
        <f>data_origin!U3710</f>
        <v>0</v>
      </c>
      <c r="AK665" s="5">
        <f>data_origin!V3710</f>
        <v>2.387096774193548</v>
      </c>
      <c r="AL665" s="5">
        <f>data_origin!W3710</f>
        <v>2.28125</v>
      </c>
      <c r="AM665" s="5">
        <f>data_origin!X3710</f>
        <v>3.1666666666666665</v>
      </c>
      <c r="AN665" s="5">
        <f>data_origin!Y3710</f>
        <v>0</v>
      </c>
      <c r="AO665" s="5">
        <f>data_origin!Z3710</f>
        <v>3.0303030303030304E-2</v>
      </c>
      <c r="AP665" s="5">
        <f>data_origin!AA3710</f>
        <v>3.0303030303030304E-2</v>
      </c>
      <c r="AQ665" s="9">
        <f t="shared" si="82"/>
        <v>7.8956195014662747</v>
      </c>
      <c r="AV665" t="s">
        <v>101</v>
      </c>
      <c r="AW665" s="5">
        <f>data_origin!T3812</f>
        <v>0</v>
      </c>
      <c r="AX665" s="5">
        <f>data_origin!U3812</f>
        <v>0</v>
      </c>
      <c r="AY665" s="5">
        <f>data_origin!V3812</f>
        <v>5</v>
      </c>
      <c r="AZ665" s="5">
        <f>data_origin!W3812</f>
        <v>5.7222222222222223</v>
      </c>
      <c r="BA665" s="5">
        <f>data_origin!X3812</f>
        <v>0</v>
      </c>
      <c r="BB665" s="5">
        <f>data_origin!Y3812</f>
        <v>0</v>
      </c>
      <c r="BC665" s="5">
        <f>data_origin!Z3812</f>
        <v>0</v>
      </c>
      <c r="BD665" s="5">
        <f>data_origin!AA3812</f>
        <v>0</v>
      </c>
      <c r="BE665" s="5">
        <f t="shared" si="83"/>
        <v>10.722222222222221</v>
      </c>
      <c r="BF665" s="9">
        <f>SUM(BE633:BE665)</f>
        <v>220.00000000000003</v>
      </c>
    </row>
    <row r="666" spans="1:58" x14ac:dyDescent="0.25">
      <c r="D666" t="s">
        <v>73</v>
      </c>
      <c r="E666" s="35">
        <f t="shared" si="88"/>
        <v>0</v>
      </c>
      <c r="F666" s="35">
        <f t="shared" si="88"/>
        <v>0</v>
      </c>
      <c r="G666" s="35">
        <f t="shared" si="88"/>
        <v>0</v>
      </c>
      <c r="H666" s="35">
        <f t="shared" si="88"/>
        <v>0</v>
      </c>
      <c r="I666" s="35">
        <f t="shared" si="88"/>
        <v>0</v>
      </c>
      <c r="J666" s="35">
        <f t="shared" si="88"/>
        <v>0</v>
      </c>
      <c r="K666" s="35">
        <f t="shared" si="88"/>
        <v>0</v>
      </c>
      <c r="L666" s="35">
        <f t="shared" si="88"/>
        <v>0</v>
      </c>
      <c r="M666" s="35">
        <f t="shared" si="84"/>
        <v>0</v>
      </c>
      <c r="S666" t="s">
        <v>73</v>
      </c>
      <c r="T666" s="5">
        <f>data_origin!T788</f>
        <v>0</v>
      </c>
      <c r="U666" s="5">
        <f>data_origin!U788</f>
        <v>0</v>
      </c>
      <c r="V666" s="5">
        <f>data_origin!V788</f>
        <v>0</v>
      </c>
      <c r="W666" s="5">
        <f>data_origin!W788</f>
        <v>0</v>
      </c>
      <c r="X666" s="5">
        <f>data_origin!X788</f>
        <v>0</v>
      </c>
      <c r="Y666" s="5">
        <f>data_origin!Y788</f>
        <v>0</v>
      </c>
      <c r="Z666" s="5">
        <f>data_origin!Z788</f>
        <v>0</v>
      </c>
      <c r="AA666" s="5">
        <f>data_origin!AA788</f>
        <v>0</v>
      </c>
      <c r="AB666" s="5">
        <f t="shared" si="87"/>
        <v>0</v>
      </c>
      <c r="AE666" t="s">
        <v>104</v>
      </c>
      <c r="AF666" t="s">
        <v>116</v>
      </c>
      <c r="AG666" s="28" t="s">
        <v>244</v>
      </c>
      <c r="AH666" t="s">
        <v>70</v>
      </c>
      <c r="AI666" s="5">
        <f>data_origin!T3712</f>
        <v>0</v>
      </c>
      <c r="AJ666" s="5">
        <f>data_origin!U3712</f>
        <v>0</v>
      </c>
      <c r="AK666" s="5">
        <f>data_origin!V3712</f>
        <v>0</v>
      </c>
      <c r="AL666" s="5">
        <f>data_origin!W3712</f>
        <v>0</v>
      </c>
      <c r="AM666" s="5">
        <f>data_origin!X3712</f>
        <v>0</v>
      </c>
      <c r="AN666" s="5">
        <f>data_origin!Y3712</f>
        <v>9.0909090909090912E-2</v>
      </c>
      <c r="AO666" s="5">
        <f>data_origin!Z3712</f>
        <v>0</v>
      </c>
      <c r="AP666" s="5">
        <f>data_origin!AA3712</f>
        <v>0</v>
      </c>
      <c r="AQ666" s="9">
        <f t="shared" si="82"/>
        <v>9.0909090909090912E-2</v>
      </c>
      <c r="AS666" t="s">
        <v>115</v>
      </c>
      <c r="AT666" t="s">
        <v>116</v>
      </c>
      <c r="AU666" s="28" t="s">
        <v>244</v>
      </c>
      <c r="AV666" t="s">
        <v>70</v>
      </c>
      <c r="AW666" s="5">
        <f>data_origin!T3814</f>
        <v>0</v>
      </c>
      <c r="AX666" s="5">
        <f>data_origin!U3814</f>
        <v>0</v>
      </c>
      <c r="AY666" s="5">
        <f>data_origin!V3814</f>
        <v>0</v>
      </c>
      <c r="AZ666" s="5">
        <f>data_origin!W3814</f>
        <v>0</v>
      </c>
      <c r="BA666" s="5">
        <f>data_origin!X3814</f>
        <v>0</v>
      </c>
      <c r="BB666" s="5">
        <f>data_origin!Y3814</f>
        <v>0</v>
      </c>
      <c r="BC666" s="5">
        <f>data_origin!Z3814</f>
        <v>0</v>
      </c>
      <c r="BD666" s="5">
        <f>data_origin!AA3814</f>
        <v>0</v>
      </c>
      <c r="BE666" s="5">
        <f t="shared" si="83"/>
        <v>0</v>
      </c>
    </row>
    <row r="667" spans="1:58" x14ac:dyDescent="0.25">
      <c r="D667" t="s">
        <v>74</v>
      </c>
      <c r="E667" s="35">
        <f t="shared" si="88"/>
        <v>0</v>
      </c>
      <c r="F667" s="35">
        <f t="shared" si="88"/>
        <v>0</v>
      </c>
      <c r="G667" s="35">
        <f t="shared" si="88"/>
        <v>0</v>
      </c>
      <c r="H667" s="35">
        <f t="shared" si="88"/>
        <v>0</v>
      </c>
      <c r="I667" s="35">
        <f t="shared" si="88"/>
        <v>0</v>
      </c>
      <c r="J667" s="35">
        <f t="shared" si="88"/>
        <v>0</v>
      </c>
      <c r="K667" s="35">
        <f t="shared" si="88"/>
        <v>0</v>
      </c>
      <c r="L667" s="35">
        <f t="shared" si="88"/>
        <v>0</v>
      </c>
      <c r="M667" s="35">
        <f t="shared" si="84"/>
        <v>0</v>
      </c>
      <c r="S667" t="s">
        <v>74</v>
      </c>
      <c r="T667" s="5">
        <f>data_origin!T789</f>
        <v>0</v>
      </c>
      <c r="U667" s="5">
        <f>data_origin!U789</f>
        <v>0</v>
      </c>
      <c r="V667" s="5">
        <f>data_origin!V789</f>
        <v>0</v>
      </c>
      <c r="W667" s="5">
        <f>data_origin!W789</f>
        <v>0</v>
      </c>
      <c r="X667" s="5">
        <f>data_origin!X789</f>
        <v>0</v>
      </c>
      <c r="Y667" s="5">
        <f>data_origin!Y789</f>
        <v>0</v>
      </c>
      <c r="Z667" s="5">
        <f>data_origin!Z789</f>
        <v>0</v>
      </c>
      <c r="AA667" s="5">
        <f>data_origin!AA789</f>
        <v>0</v>
      </c>
      <c r="AB667" s="5">
        <f t="shared" si="87"/>
        <v>0</v>
      </c>
      <c r="AH667" t="s">
        <v>71</v>
      </c>
      <c r="AI667" s="5">
        <f>data_origin!T3713</f>
        <v>0</v>
      </c>
      <c r="AJ667" s="5">
        <f>data_origin!U3713</f>
        <v>0</v>
      </c>
      <c r="AK667" s="5">
        <f>data_origin!V3713</f>
        <v>0</v>
      </c>
      <c r="AL667" s="5">
        <f>data_origin!W3713</f>
        <v>0</v>
      </c>
      <c r="AM667" s="5">
        <f>data_origin!X3713</f>
        <v>0</v>
      </c>
      <c r="AN667" s="5">
        <f>data_origin!Y3713</f>
        <v>9.0909090909090912E-2</v>
      </c>
      <c r="AO667" s="5">
        <f>data_origin!Z3713</f>
        <v>0</v>
      </c>
      <c r="AP667" s="5">
        <f>data_origin!AA3713</f>
        <v>0</v>
      </c>
      <c r="AQ667" s="9">
        <f t="shared" si="82"/>
        <v>9.0909090909090912E-2</v>
      </c>
      <c r="AV667" t="s">
        <v>71</v>
      </c>
      <c r="AW667" s="5">
        <f>data_origin!T3815</f>
        <v>0</v>
      </c>
      <c r="AX667" s="5">
        <f>data_origin!U3815</f>
        <v>0</v>
      </c>
      <c r="AY667" s="5">
        <f>data_origin!V3815</f>
        <v>0</v>
      </c>
      <c r="AZ667" s="5">
        <f>data_origin!W3815</f>
        <v>0</v>
      </c>
      <c r="BA667" s="5">
        <f>data_origin!X3815</f>
        <v>0</v>
      </c>
      <c r="BB667" s="5">
        <f>data_origin!Y3815</f>
        <v>0</v>
      </c>
      <c r="BC667" s="5">
        <f>data_origin!Z3815</f>
        <v>0</v>
      </c>
      <c r="BD667" s="5">
        <f>data_origin!AA3815</f>
        <v>0</v>
      </c>
      <c r="BE667" s="5">
        <f t="shared" si="83"/>
        <v>0</v>
      </c>
    </row>
    <row r="668" spans="1:58" x14ac:dyDescent="0.25">
      <c r="D668" t="s">
        <v>75</v>
      </c>
      <c r="E668" s="35">
        <f t="shared" si="88"/>
        <v>0</v>
      </c>
      <c r="F668" s="35">
        <f t="shared" si="88"/>
        <v>0</v>
      </c>
      <c r="G668" s="35">
        <f t="shared" si="88"/>
        <v>0</v>
      </c>
      <c r="H668" s="35">
        <f t="shared" si="88"/>
        <v>0</v>
      </c>
      <c r="I668" s="35">
        <f t="shared" si="88"/>
        <v>0</v>
      </c>
      <c r="J668" s="35">
        <f t="shared" si="88"/>
        <v>0</v>
      </c>
      <c r="K668" s="35">
        <f t="shared" si="88"/>
        <v>0</v>
      </c>
      <c r="L668" s="35">
        <f t="shared" si="88"/>
        <v>0</v>
      </c>
      <c r="M668" s="35">
        <f t="shared" si="84"/>
        <v>0</v>
      </c>
      <c r="S668" t="s">
        <v>75</v>
      </c>
      <c r="T668" s="5">
        <f>data_origin!T790</f>
        <v>0</v>
      </c>
      <c r="U668" s="5">
        <f>data_origin!U790</f>
        <v>0</v>
      </c>
      <c r="V668" s="5">
        <f>data_origin!V790</f>
        <v>0</v>
      </c>
      <c r="W668" s="5">
        <f>data_origin!W790</f>
        <v>0</v>
      </c>
      <c r="X668" s="5">
        <f>data_origin!X790</f>
        <v>0</v>
      </c>
      <c r="Y668" s="5">
        <f>data_origin!Y790</f>
        <v>0</v>
      </c>
      <c r="Z668" s="5">
        <f>data_origin!Z790</f>
        <v>0</v>
      </c>
      <c r="AA668" s="5">
        <f>data_origin!AA790</f>
        <v>0</v>
      </c>
      <c r="AB668" s="5">
        <f t="shared" si="87"/>
        <v>0</v>
      </c>
      <c r="AH668" t="s">
        <v>72</v>
      </c>
      <c r="AI668" s="5">
        <f>data_origin!T3714</f>
        <v>0</v>
      </c>
      <c r="AJ668" s="5">
        <f>data_origin!U3714</f>
        <v>0</v>
      </c>
      <c r="AK668" s="5">
        <f>data_origin!V3714</f>
        <v>0</v>
      </c>
      <c r="AL668" s="5">
        <f>data_origin!W3714</f>
        <v>0</v>
      </c>
      <c r="AM668" s="5">
        <f>data_origin!X3714</f>
        <v>0</v>
      </c>
      <c r="AN668" s="5">
        <f>data_origin!Y3714</f>
        <v>9.0909090909090912E-2</v>
      </c>
      <c r="AO668" s="5">
        <f>data_origin!Z3714</f>
        <v>0</v>
      </c>
      <c r="AP668" s="5">
        <f>data_origin!AA3714</f>
        <v>0</v>
      </c>
      <c r="AQ668" s="9">
        <f t="shared" si="82"/>
        <v>9.0909090909090912E-2</v>
      </c>
      <c r="AV668" t="s">
        <v>72</v>
      </c>
      <c r="AW668" s="5">
        <f>data_origin!T3816</f>
        <v>0</v>
      </c>
      <c r="AX668" s="5">
        <f>data_origin!U3816</f>
        <v>0</v>
      </c>
      <c r="AY668" s="5">
        <f>data_origin!V3816</f>
        <v>0</v>
      </c>
      <c r="AZ668" s="5">
        <f>data_origin!W3816</f>
        <v>0</v>
      </c>
      <c r="BA668" s="5">
        <f>data_origin!X3816</f>
        <v>0</v>
      </c>
      <c r="BB668" s="5">
        <f>data_origin!Y3816</f>
        <v>0</v>
      </c>
      <c r="BC668" s="5">
        <f>data_origin!Z3816</f>
        <v>0</v>
      </c>
      <c r="BD668" s="5">
        <f>data_origin!AA3816</f>
        <v>0</v>
      </c>
      <c r="BE668" s="5">
        <f t="shared" si="83"/>
        <v>0</v>
      </c>
    </row>
    <row r="669" spans="1:58" x14ac:dyDescent="0.25">
      <c r="D669" t="s">
        <v>76</v>
      </c>
      <c r="E669" s="35">
        <f t="shared" si="88"/>
        <v>0</v>
      </c>
      <c r="F669" s="35">
        <f t="shared" si="88"/>
        <v>0</v>
      </c>
      <c r="G669" s="35">
        <f t="shared" si="88"/>
        <v>0</v>
      </c>
      <c r="H669" s="35">
        <f t="shared" si="88"/>
        <v>0</v>
      </c>
      <c r="I669" s="35">
        <f t="shared" si="88"/>
        <v>0</v>
      </c>
      <c r="J669" s="35">
        <f t="shared" si="88"/>
        <v>0</v>
      </c>
      <c r="K669" s="35">
        <f t="shared" si="88"/>
        <v>0</v>
      </c>
      <c r="L669" s="35">
        <f t="shared" si="88"/>
        <v>0</v>
      </c>
      <c r="M669" s="35">
        <f t="shared" si="84"/>
        <v>0</v>
      </c>
      <c r="S669" t="s">
        <v>76</v>
      </c>
      <c r="T669" s="5">
        <f>data_origin!T791</f>
        <v>0</v>
      </c>
      <c r="U669" s="5">
        <f>data_origin!U791</f>
        <v>0</v>
      </c>
      <c r="V669" s="5">
        <f>data_origin!V791</f>
        <v>0</v>
      </c>
      <c r="W669" s="5">
        <f>data_origin!W791</f>
        <v>0</v>
      </c>
      <c r="X669" s="5">
        <f>data_origin!X791</f>
        <v>0</v>
      </c>
      <c r="Y669" s="5">
        <f>data_origin!Y791</f>
        <v>0</v>
      </c>
      <c r="Z669" s="5">
        <f>data_origin!Z791</f>
        <v>0</v>
      </c>
      <c r="AA669" s="5">
        <f>data_origin!AA791</f>
        <v>0</v>
      </c>
      <c r="AB669" s="5">
        <f t="shared" si="87"/>
        <v>0</v>
      </c>
      <c r="AH669" t="s">
        <v>73</v>
      </c>
      <c r="AI669" s="5">
        <f>data_origin!T3715</f>
        <v>0</v>
      </c>
      <c r="AJ669" s="5">
        <f>data_origin!U3715</f>
        <v>0</v>
      </c>
      <c r="AK669" s="5">
        <f>data_origin!V3715</f>
        <v>0</v>
      </c>
      <c r="AL669" s="5">
        <f>data_origin!W3715</f>
        <v>0</v>
      </c>
      <c r="AM669" s="5">
        <f>data_origin!X3715</f>
        <v>0</v>
      </c>
      <c r="AN669" s="5">
        <f>data_origin!Y3715</f>
        <v>9.0909090909090912E-2</v>
      </c>
      <c r="AO669" s="5">
        <f>data_origin!Z3715</f>
        <v>0</v>
      </c>
      <c r="AP669" s="5">
        <f>data_origin!AA3715</f>
        <v>0</v>
      </c>
      <c r="AQ669" s="9">
        <f t="shared" si="82"/>
        <v>9.0909090909090912E-2</v>
      </c>
      <c r="AV669" t="s">
        <v>73</v>
      </c>
      <c r="AW669" s="5">
        <f>data_origin!T3817</f>
        <v>0</v>
      </c>
      <c r="AX669" s="5">
        <f>data_origin!U3817</f>
        <v>0</v>
      </c>
      <c r="AY669" s="5">
        <f>data_origin!V3817</f>
        <v>0</v>
      </c>
      <c r="AZ669" s="5">
        <f>data_origin!W3817</f>
        <v>0</v>
      </c>
      <c r="BA669" s="5">
        <f>data_origin!X3817</f>
        <v>0</v>
      </c>
      <c r="BB669" s="5">
        <f>data_origin!Y3817</f>
        <v>0</v>
      </c>
      <c r="BC669" s="5">
        <f>data_origin!Z3817</f>
        <v>0</v>
      </c>
      <c r="BD669" s="5">
        <f>data_origin!AA3817</f>
        <v>0</v>
      </c>
      <c r="BE669" s="5">
        <f t="shared" si="83"/>
        <v>0</v>
      </c>
    </row>
    <row r="670" spans="1:58" x14ac:dyDescent="0.25">
      <c r="D670" t="s">
        <v>77</v>
      </c>
      <c r="E670" s="35">
        <f t="shared" si="88"/>
        <v>0</v>
      </c>
      <c r="F670" s="35">
        <f t="shared" si="88"/>
        <v>0</v>
      </c>
      <c r="G670" s="35">
        <f t="shared" si="88"/>
        <v>0</v>
      </c>
      <c r="H670" s="35">
        <f t="shared" si="88"/>
        <v>0</v>
      </c>
      <c r="I670" s="35">
        <f t="shared" si="88"/>
        <v>0</v>
      </c>
      <c r="J670" s="35">
        <f t="shared" si="88"/>
        <v>0</v>
      </c>
      <c r="K670" s="35">
        <f t="shared" si="88"/>
        <v>0</v>
      </c>
      <c r="L670" s="35">
        <f t="shared" si="88"/>
        <v>0</v>
      </c>
      <c r="M670" s="35">
        <f t="shared" si="84"/>
        <v>0</v>
      </c>
      <c r="S670" t="s">
        <v>77</v>
      </c>
      <c r="T670" s="5">
        <f>data_origin!T792</f>
        <v>0</v>
      </c>
      <c r="U670" s="5">
        <f>data_origin!U792</f>
        <v>0</v>
      </c>
      <c r="V670" s="5">
        <f>data_origin!V792</f>
        <v>0</v>
      </c>
      <c r="W670" s="5">
        <f>data_origin!W792</f>
        <v>0</v>
      </c>
      <c r="X670" s="5">
        <f>data_origin!X792</f>
        <v>0</v>
      </c>
      <c r="Y670" s="5">
        <f>data_origin!Y792</f>
        <v>0</v>
      </c>
      <c r="Z670" s="5">
        <f>data_origin!Z792</f>
        <v>0</v>
      </c>
      <c r="AA670" s="5">
        <f>data_origin!AA792</f>
        <v>0</v>
      </c>
      <c r="AB670" s="5">
        <f t="shared" si="87"/>
        <v>0</v>
      </c>
      <c r="AH670" t="s">
        <v>74</v>
      </c>
      <c r="AI670" s="5">
        <f>data_origin!T3716</f>
        <v>0</v>
      </c>
      <c r="AJ670" s="5">
        <f>data_origin!U3716</f>
        <v>0</v>
      </c>
      <c r="AK670" s="5">
        <f>data_origin!V3716</f>
        <v>0</v>
      </c>
      <c r="AL670" s="5">
        <f>data_origin!W3716</f>
        <v>0</v>
      </c>
      <c r="AM670" s="5">
        <f>data_origin!X3716</f>
        <v>0</v>
      </c>
      <c r="AN670" s="5">
        <f>data_origin!Y3716</f>
        <v>9.0909090909090912E-2</v>
      </c>
      <c r="AO670" s="5">
        <f>data_origin!Z3716</f>
        <v>0</v>
      </c>
      <c r="AP670" s="5">
        <f>data_origin!AA3716</f>
        <v>0</v>
      </c>
      <c r="AQ670" s="9">
        <f t="shared" si="82"/>
        <v>9.0909090909090912E-2</v>
      </c>
      <c r="AV670" t="s">
        <v>74</v>
      </c>
      <c r="AW670" s="5">
        <f>data_origin!T3818</f>
        <v>0</v>
      </c>
      <c r="AX670" s="5">
        <f>data_origin!U3818</f>
        <v>0</v>
      </c>
      <c r="AY670" s="5">
        <f>data_origin!V3818</f>
        <v>0</v>
      </c>
      <c r="AZ670" s="5">
        <f>data_origin!W3818</f>
        <v>0</v>
      </c>
      <c r="BA670" s="5">
        <f>data_origin!X3818</f>
        <v>0</v>
      </c>
      <c r="BB670" s="5">
        <f>data_origin!Y3818</f>
        <v>0</v>
      </c>
      <c r="BC670" s="5">
        <f>data_origin!Z3818</f>
        <v>0</v>
      </c>
      <c r="BD670" s="5">
        <f>data_origin!AA3818</f>
        <v>0</v>
      </c>
      <c r="BE670" s="5">
        <f t="shared" si="83"/>
        <v>0</v>
      </c>
    </row>
    <row r="671" spans="1:58" x14ac:dyDescent="0.25">
      <c r="D671" t="s">
        <v>78</v>
      </c>
      <c r="E671" s="35">
        <f t="shared" si="88"/>
        <v>0</v>
      </c>
      <c r="F671" s="35">
        <f t="shared" si="88"/>
        <v>0</v>
      </c>
      <c r="G671" s="35">
        <f t="shared" si="88"/>
        <v>0</v>
      </c>
      <c r="H671" s="35">
        <f t="shared" si="88"/>
        <v>0</v>
      </c>
      <c r="I671" s="35">
        <f t="shared" si="88"/>
        <v>0</v>
      </c>
      <c r="J671" s="35">
        <f t="shared" si="88"/>
        <v>0</v>
      </c>
      <c r="K671" s="35">
        <f t="shared" si="88"/>
        <v>0</v>
      </c>
      <c r="L671" s="35">
        <f t="shared" si="88"/>
        <v>0</v>
      </c>
      <c r="M671" s="35">
        <f t="shared" si="84"/>
        <v>0</v>
      </c>
      <c r="S671" t="s">
        <v>78</v>
      </c>
      <c r="T671" s="5">
        <f>data_origin!T793</f>
        <v>0</v>
      </c>
      <c r="U671" s="5">
        <f>data_origin!U793</f>
        <v>0</v>
      </c>
      <c r="V671" s="5">
        <f>data_origin!V793</f>
        <v>0</v>
      </c>
      <c r="W671" s="5">
        <f>data_origin!W793</f>
        <v>0</v>
      </c>
      <c r="X671" s="5">
        <f>data_origin!X793</f>
        <v>0</v>
      </c>
      <c r="Y671" s="5">
        <f>data_origin!Y793</f>
        <v>0</v>
      </c>
      <c r="Z671" s="5">
        <f>data_origin!Z793</f>
        <v>0</v>
      </c>
      <c r="AA671" s="5">
        <f>data_origin!AA793</f>
        <v>0</v>
      </c>
      <c r="AB671" s="5">
        <f t="shared" si="87"/>
        <v>0</v>
      </c>
      <c r="AH671" t="s">
        <v>75</v>
      </c>
      <c r="AI671" s="5">
        <f>data_origin!T3717</f>
        <v>0</v>
      </c>
      <c r="AJ671" s="5">
        <f>data_origin!U3717</f>
        <v>0</v>
      </c>
      <c r="AK671" s="5">
        <f>data_origin!V3717</f>
        <v>0</v>
      </c>
      <c r="AL671" s="5">
        <f>data_origin!W3717</f>
        <v>0</v>
      </c>
      <c r="AM671" s="5">
        <f>data_origin!X3717</f>
        <v>0</v>
      </c>
      <c r="AN671" s="5">
        <f>data_origin!Y3717</f>
        <v>9.0909090909090912E-2</v>
      </c>
      <c r="AO671" s="5">
        <f>data_origin!Z3717</f>
        <v>0</v>
      </c>
      <c r="AP671" s="5">
        <f>data_origin!AA3717</f>
        <v>0</v>
      </c>
      <c r="AQ671" s="9">
        <f t="shared" si="82"/>
        <v>9.0909090909090912E-2</v>
      </c>
      <c r="AV671" t="s">
        <v>75</v>
      </c>
      <c r="AW671" s="5">
        <f>data_origin!T3819</f>
        <v>0</v>
      </c>
      <c r="AX671" s="5">
        <f>data_origin!U3819</f>
        <v>0</v>
      </c>
      <c r="AY671" s="5">
        <f>data_origin!V3819</f>
        <v>0</v>
      </c>
      <c r="AZ671" s="5">
        <f>data_origin!W3819</f>
        <v>6</v>
      </c>
      <c r="BA671" s="5">
        <f>data_origin!X3819</f>
        <v>0</v>
      </c>
      <c r="BB671" s="5">
        <f>data_origin!Y3819</f>
        <v>0</v>
      </c>
      <c r="BC671" s="5">
        <f>data_origin!Z3819</f>
        <v>0</v>
      </c>
      <c r="BD671" s="5">
        <f>data_origin!AA3819</f>
        <v>0</v>
      </c>
      <c r="BE671" s="5">
        <f t="shared" si="83"/>
        <v>6</v>
      </c>
    </row>
    <row r="672" spans="1:58" x14ac:dyDescent="0.25">
      <c r="D672" t="s">
        <v>79</v>
      </c>
      <c r="E672" s="35">
        <f t="shared" si="88"/>
        <v>0</v>
      </c>
      <c r="F672" s="35">
        <f t="shared" si="88"/>
        <v>0</v>
      </c>
      <c r="G672" s="35">
        <f t="shared" si="88"/>
        <v>0</v>
      </c>
      <c r="H672" s="35">
        <f t="shared" si="88"/>
        <v>0</v>
      </c>
      <c r="I672" s="35">
        <f t="shared" si="88"/>
        <v>0</v>
      </c>
      <c r="J672" s="35">
        <f t="shared" si="88"/>
        <v>0</v>
      </c>
      <c r="K672" s="35">
        <f t="shared" si="88"/>
        <v>0</v>
      </c>
      <c r="L672" s="35">
        <f t="shared" si="88"/>
        <v>0</v>
      </c>
      <c r="M672" s="35">
        <f t="shared" si="84"/>
        <v>0</v>
      </c>
      <c r="S672" t="s">
        <v>79</v>
      </c>
      <c r="T672" s="5">
        <f>data_origin!T794</f>
        <v>0</v>
      </c>
      <c r="U672" s="5">
        <f>data_origin!U794</f>
        <v>0</v>
      </c>
      <c r="V672" s="5">
        <f>data_origin!V794</f>
        <v>0</v>
      </c>
      <c r="W672" s="5">
        <f>data_origin!W794</f>
        <v>0</v>
      </c>
      <c r="X672" s="5">
        <f>data_origin!X794</f>
        <v>0</v>
      </c>
      <c r="Y672" s="5">
        <f>data_origin!Y794</f>
        <v>0</v>
      </c>
      <c r="Z672" s="5">
        <f>data_origin!Z794</f>
        <v>0</v>
      </c>
      <c r="AA672" s="5">
        <f>data_origin!AA794</f>
        <v>0</v>
      </c>
      <c r="AB672" s="5">
        <f t="shared" si="87"/>
        <v>0</v>
      </c>
      <c r="AH672" t="s">
        <v>76</v>
      </c>
      <c r="AI672" s="5">
        <f>data_origin!T3718</f>
        <v>0</v>
      </c>
      <c r="AJ672" s="5">
        <f>data_origin!U3718</f>
        <v>0</v>
      </c>
      <c r="AK672" s="5">
        <f>data_origin!V3718</f>
        <v>0</v>
      </c>
      <c r="AL672" s="5">
        <f>data_origin!W3718</f>
        <v>0</v>
      </c>
      <c r="AM672" s="5">
        <f>data_origin!X3718</f>
        <v>0</v>
      </c>
      <c r="AN672" s="5">
        <f>data_origin!Y3718</f>
        <v>9.0909090909090912E-2</v>
      </c>
      <c r="AO672" s="5">
        <f>data_origin!Z3718</f>
        <v>0</v>
      </c>
      <c r="AP672" s="5">
        <f>data_origin!AA3718</f>
        <v>0</v>
      </c>
      <c r="AQ672" s="9">
        <f t="shared" si="82"/>
        <v>9.0909090909090912E-2</v>
      </c>
      <c r="AV672" t="s">
        <v>76</v>
      </c>
      <c r="AW672" s="5">
        <f>data_origin!T3820</f>
        <v>0</v>
      </c>
      <c r="AX672" s="5">
        <f>data_origin!U3820</f>
        <v>0</v>
      </c>
      <c r="AY672" s="5">
        <f>data_origin!V3820</f>
        <v>0</v>
      </c>
      <c r="AZ672" s="5">
        <f>data_origin!W3820</f>
        <v>0</v>
      </c>
      <c r="BA672" s="5">
        <f>data_origin!X3820</f>
        <v>0</v>
      </c>
      <c r="BB672" s="5">
        <f>data_origin!Y3820</f>
        <v>0</v>
      </c>
      <c r="BC672" s="5">
        <f>data_origin!Z3820</f>
        <v>0</v>
      </c>
      <c r="BD672" s="5">
        <f>data_origin!AA3820</f>
        <v>0</v>
      </c>
      <c r="BE672" s="5">
        <f t="shared" si="83"/>
        <v>0</v>
      </c>
    </row>
    <row r="673" spans="4:57" x14ac:dyDescent="0.25">
      <c r="D673" t="s">
        <v>80</v>
      </c>
      <c r="E673" s="35">
        <f t="shared" si="88"/>
        <v>0</v>
      </c>
      <c r="F673" s="35">
        <f t="shared" si="88"/>
        <v>0</v>
      </c>
      <c r="G673" s="35">
        <f t="shared" si="88"/>
        <v>0</v>
      </c>
      <c r="H673" s="35">
        <f t="shared" si="88"/>
        <v>0</v>
      </c>
      <c r="I673" s="35">
        <f t="shared" si="88"/>
        <v>0</v>
      </c>
      <c r="J673" s="35">
        <f t="shared" si="88"/>
        <v>0</v>
      </c>
      <c r="K673" s="35">
        <f t="shared" si="88"/>
        <v>0</v>
      </c>
      <c r="L673" s="35">
        <f t="shared" si="88"/>
        <v>0</v>
      </c>
      <c r="M673" s="35">
        <f t="shared" si="84"/>
        <v>0</v>
      </c>
      <c r="S673" t="s">
        <v>80</v>
      </c>
      <c r="T673" s="5">
        <f>data_origin!T795</f>
        <v>0</v>
      </c>
      <c r="U673" s="5">
        <f>data_origin!U795</f>
        <v>0</v>
      </c>
      <c r="V673" s="5">
        <f>data_origin!V795</f>
        <v>0</v>
      </c>
      <c r="W673" s="5">
        <f>data_origin!W795</f>
        <v>0</v>
      </c>
      <c r="X673" s="5">
        <f>data_origin!X795</f>
        <v>0</v>
      </c>
      <c r="Y673" s="5">
        <f>data_origin!Y795</f>
        <v>0</v>
      </c>
      <c r="Z673" s="5">
        <f>data_origin!Z795</f>
        <v>0</v>
      </c>
      <c r="AA673" s="5">
        <f>data_origin!AA795</f>
        <v>0</v>
      </c>
      <c r="AB673" s="5">
        <f t="shared" si="87"/>
        <v>0</v>
      </c>
      <c r="AH673" t="s">
        <v>77</v>
      </c>
      <c r="AI673" s="5">
        <f>data_origin!T3719</f>
        <v>0</v>
      </c>
      <c r="AJ673" s="5">
        <f>data_origin!U3719</f>
        <v>0</v>
      </c>
      <c r="AK673" s="5">
        <f>data_origin!V3719</f>
        <v>0</v>
      </c>
      <c r="AL673" s="5">
        <f>data_origin!W3719</f>
        <v>0</v>
      </c>
      <c r="AM673" s="5">
        <f>data_origin!X3719</f>
        <v>3.6666666666666665</v>
      </c>
      <c r="AN673" s="5">
        <f>data_origin!Y3719</f>
        <v>9.0909090909090912E-2</v>
      </c>
      <c r="AO673" s="5">
        <f>data_origin!Z3719</f>
        <v>0</v>
      </c>
      <c r="AP673" s="5">
        <f>data_origin!AA3719</f>
        <v>0</v>
      </c>
      <c r="AQ673" s="9">
        <f t="shared" si="82"/>
        <v>3.7575757575757573</v>
      </c>
      <c r="AV673" t="s">
        <v>77</v>
      </c>
      <c r="AW673" s="5">
        <f>data_origin!T3821</f>
        <v>0</v>
      </c>
      <c r="AX673" s="5">
        <f>data_origin!U3821</f>
        <v>0</v>
      </c>
      <c r="AY673" s="5">
        <f>data_origin!V3821</f>
        <v>0</v>
      </c>
      <c r="AZ673" s="5">
        <f>data_origin!W3821</f>
        <v>0</v>
      </c>
      <c r="BA673" s="5">
        <f>data_origin!X3821</f>
        <v>0</v>
      </c>
      <c r="BB673" s="5">
        <f>data_origin!Y3821</f>
        <v>0</v>
      </c>
      <c r="BC673" s="5">
        <f>data_origin!Z3821</f>
        <v>0</v>
      </c>
      <c r="BD673" s="5">
        <f>data_origin!AA3821</f>
        <v>0</v>
      </c>
      <c r="BE673" s="5">
        <f t="shared" si="83"/>
        <v>0</v>
      </c>
    </row>
    <row r="674" spans="4:57" x14ac:dyDescent="0.25">
      <c r="D674" t="s">
        <v>81</v>
      </c>
      <c r="E674" s="35">
        <f t="shared" si="88"/>
        <v>0</v>
      </c>
      <c r="F674" s="35">
        <f t="shared" si="88"/>
        <v>0</v>
      </c>
      <c r="G674" s="35">
        <f t="shared" si="88"/>
        <v>0</v>
      </c>
      <c r="H674" s="35">
        <f t="shared" si="88"/>
        <v>0</v>
      </c>
      <c r="I674" s="35">
        <f t="shared" si="88"/>
        <v>0</v>
      </c>
      <c r="J674" s="35">
        <f t="shared" si="88"/>
        <v>0</v>
      </c>
      <c r="K674" s="35">
        <f t="shared" si="88"/>
        <v>0</v>
      </c>
      <c r="L674" s="35">
        <f t="shared" si="88"/>
        <v>0</v>
      </c>
      <c r="M674" s="35">
        <f t="shared" si="84"/>
        <v>0</v>
      </c>
      <c r="S674" t="s">
        <v>81</v>
      </c>
      <c r="T674" s="5">
        <f>data_origin!T796</f>
        <v>0</v>
      </c>
      <c r="U674" s="5">
        <f>data_origin!U796</f>
        <v>0</v>
      </c>
      <c r="V674" s="5">
        <f>data_origin!V796</f>
        <v>0</v>
      </c>
      <c r="W674" s="5">
        <f>data_origin!W796</f>
        <v>0</v>
      </c>
      <c r="X674" s="5">
        <f>data_origin!X796</f>
        <v>0</v>
      </c>
      <c r="Y674" s="5">
        <f>data_origin!Y796</f>
        <v>0</v>
      </c>
      <c r="Z674" s="5">
        <f>data_origin!Z796</f>
        <v>0</v>
      </c>
      <c r="AA674" s="5">
        <f>data_origin!AA796</f>
        <v>0</v>
      </c>
      <c r="AB674" s="5">
        <f t="shared" si="87"/>
        <v>0</v>
      </c>
      <c r="AH674" t="s">
        <v>78</v>
      </c>
      <c r="AI674" s="5">
        <f>data_origin!T3720</f>
        <v>0</v>
      </c>
      <c r="AJ674" s="5">
        <f>data_origin!U3720</f>
        <v>0</v>
      </c>
      <c r="AK674" s="5">
        <f>data_origin!V3720</f>
        <v>0</v>
      </c>
      <c r="AL674" s="5">
        <f>data_origin!W3720</f>
        <v>0</v>
      </c>
      <c r="AM674" s="5">
        <f>data_origin!X3720</f>
        <v>0</v>
      </c>
      <c r="AN674" s="5">
        <f>data_origin!Y3720</f>
        <v>9.0909090909090912E-2</v>
      </c>
      <c r="AO674" s="5">
        <f>data_origin!Z3720</f>
        <v>0</v>
      </c>
      <c r="AP674" s="5">
        <f>data_origin!AA3720</f>
        <v>0</v>
      </c>
      <c r="AQ674" s="9">
        <f t="shared" si="82"/>
        <v>9.0909090909090912E-2</v>
      </c>
      <c r="AV674" t="s">
        <v>78</v>
      </c>
      <c r="AW674" s="5">
        <f>data_origin!T3822</f>
        <v>0</v>
      </c>
      <c r="AX674" s="5">
        <f>data_origin!U3822</f>
        <v>0</v>
      </c>
      <c r="AY674" s="5">
        <f>data_origin!V3822</f>
        <v>0</v>
      </c>
      <c r="AZ674" s="5">
        <f>data_origin!W3822</f>
        <v>0</v>
      </c>
      <c r="BA674" s="5">
        <f>data_origin!X3822</f>
        <v>0</v>
      </c>
      <c r="BB674" s="5">
        <f>data_origin!Y3822</f>
        <v>0</v>
      </c>
      <c r="BC674" s="5">
        <f>data_origin!Z3822</f>
        <v>0</v>
      </c>
      <c r="BD674" s="5">
        <f>data_origin!AA3822</f>
        <v>0</v>
      </c>
      <c r="BE674" s="5">
        <f t="shared" si="83"/>
        <v>0</v>
      </c>
    </row>
    <row r="675" spans="4:57" x14ac:dyDescent="0.25">
      <c r="D675" t="s">
        <v>82</v>
      </c>
      <c r="E675" s="35">
        <f t="shared" si="88"/>
        <v>0</v>
      </c>
      <c r="F675" s="35">
        <f t="shared" si="88"/>
        <v>0</v>
      </c>
      <c r="G675" s="35">
        <f t="shared" si="88"/>
        <v>0</v>
      </c>
      <c r="H675" s="35">
        <f t="shared" si="88"/>
        <v>0</v>
      </c>
      <c r="I675" s="35">
        <f t="shared" si="88"/>
        <v>0</v>
      </c>
      <c r="J675" s="35">
        <f t="shared" si="88"/>
        <v>0</v>
      </c>
      <c r="K675" s="35">
        <f t="shared" si="88"/>
        <v>0</v>
      </c>
      <c r="L675" s="35">
        <f t="shared" si="88"/>
        <v>0</v>
      </c>
      <c r="M675" s="35">
        <f t="shared" si="84"/>
        <v>0</v>
      </c>
      <c r="S675" t="s">
        <v>82</v>
      </c>
      <c r="T675" s="5">
        <f>data_origin!T797</f>
        <v>0</v>
      </c>
      <c r="U675" s="5">
        <f>data_origin!U797</f>
        <v>0</v>
      </c>
      <c r="V675" s="5">
        <f>data_origin!V797</f>
        <v>0</v>
      </c>
      <c r="W675" s="5">
        <f>data_origin!W797</f>
        <v>0</v>
      </c>
      <c r="X675" s="5">
        <f>data_origin!X797</f>
        <v>0</v>
      </c>
      <c r="Y675" s="5">
        <f>data_origin!Y797</f>
        <v>0</v>
      </c>
      <c r="Z675" s="5">
        <f>data_origin!Z797</f>
        <v>0</v>
      </c>
      <c r="AA675" s="5">
        <f>data_origin!AA797</f>
        <v>0</v>
      </c>
      <c r="AB675" s="5">
        <f t="shared" si="87"/>
        <v>0</v>
      </c>
      <c r="AH675" t="s">
        <v>79</v>
      </c>
      <c r="AI675" s="5">
        <f>data_origin!T3721</f>
        <v>0</v>
      </c>
      <c r="AJ675" s="5">
        <f>data_origin!U3721</f>
        <v>0</v>
      </c>
      <c r="AK675" s="5">
        <f>data_origin!V3721</f>
        <v>0</v>
      </c>
      <c r="AL675" s="5">
        <f>data_origin!W3721</f>
        <v>0</v>
      </c>
      <c r="AM675" s="5">
        <f>data_origin!X3721</f>
        <v>0</v>
      </c>
      <c r="AN675" s="5">
        <f>data_origin!Y3721</f>
        <v>9.0909090909090912E-2</v>
      </c>
      <c r="AO675" s="5">
        <f>data_origin!Z3721</f>
        <v>0</v>
      </c>
      <c r="AP675" s="5">
        <f>data_origin!AA3721</f>
        <v>0</v>
      </c>
      <c r="AQ675" s="9">
        <f t="shared" si="82"/>
        <v>9.0909090909090912E-2</v>
      </c>
      <c r="AV675" t="s">
        <v>79</v>
      </c>
      <c r="AW675" s="5">
        <f>data_origin!T3823</f>
        <v>0</v>
      </c>
      <c r="AX675" s="5">
        <f>data_origin!U3823</f>
        <v>0</v>
      </c>
      <c r="AY675" s="5">
        <f>data_origin!V3823</f>
        <v>0</v>
      </c>
      <c r="AZ675" s="5">
        <f>data_origin!W3823</f>
        <v>0</v>
      </c>
      <c r="BA675" s="5">
        <f>data_origin!X3823</f>
        <v>0</v>
      </c>
      <c r="BB675" s="5">
        <f>data_origin!Y3823</f>
        <v>0</v>
      </c>
      <c r="BC675" s="5">
        <f>data_origin!Z3823</f>
        <v>0</v>
      </c>
      <c r="BD675" s="5">
        <f>data_origin!AA3823</f>
        <v>0</v>
      </c>
      <c r="BE675" s="5">
        <f t="shared" si="83"/>
        <v>0</v>
      </c>
    </row>
    <row r="676" spans="4:57" x14ac:dyDescent="0.25">
      <c r="D676" t="s">
        <v>83</v>
      </c>
      <c r="E676" s="35">
        <f t="shared" si="88"/>
        <v>0</v>
      </c>
      <c r="F676" s="35">
        <f t="shared" si="88"/>
        <v>0</v>
      </c>
      <c r="G676" s="35">
        <f t="shared" si="88"/>
        <v>0</v>
      </c>
      <c r="H676" s="35">
        <f t="shared" si="88"/>
        <v>0</v>
      </c>
      <c r="I676" s="35">
        <f t="shared" si="88"/>
        <v>0</v>
      </c>
      <c r="J676" s="35">
        <f t="shared" si="88"/>
        <v>0</v>
      </c>
      <c r="K676" s="35">
        <f t="shared" si="88"/>
        <v>0</v>
      </c>
      <c r="L676" s="35">
        <f t="shared" si="88"/>
        <v>0</v>
      </c>
      <c r="M676" s="35">
        <f t="shared" si="84"/>
        <v>0</v>
      </c>
      <c r="S676" t="s">
        <v>83</v>
      </c>
      <c r="T676" s="5">
        <f>data_origin!T798</f>
        <v>0</v>
      </c>
      <c r="U676" s="5">
        <f>data_origin!U798</f>
        <v>0</v>
      </c>
      <c r="V676" s="5">
        <f>data_origin!V798</f>
        <v>0</v>
      </c>
      <c r="W676" s="5">
        <f>data_origin!W798</f>
        <v>0</v>
      </c>
      <c r="X676" s="5">
        <f>data_origin!X798</f>
        <v>0</v>
      </c>
      <c r="Y676" s="5">
        <f>data_origin!Y798</f>
        <v>0</v>
      </c>
      <c r="Z676" s="5">
        <f>data_origin!Z798</f>
        <v>0</v>
      </c>
      <c r="AA676" s="5">
        <f>data_origin!AA798</f>
        <v>0</v>
      </c>
      <c r="AB676" s="5">
        <f t="shared" si="87"/>
        <v>0</v>
      </c>
      <c r="AH676" t="s">
        <v>80</v>
      </c>
      <c r="AI676" s="5">
        <f>data_origin!T3722</f>
        <v>0</v>
      </c>
      <c r="AJ676" s="5">
        <f>data_origin!U3722</f>
        <v>0</v>
      </c>
      <c r="AK676" s="5">
        <f>data_origin!V3722</f>
        <v>0</v>
      </c>
      <c r="AL676" s="5">
        <f>data_origin!W3722</f>
        <v>0</v>
      </c>
      <c r="AM676" s="5">
        <f>data_origin!X3722</f>
        <v>0</v>
      </c>
      <c r="AN676" s="5">
        <f>data_origin!Y3722</f>
        <v>9.0909090909090912E-2</v>
      </c>
      <c r="AO676" s="5">
        <f>data_origin!Z3722</f>
        <v>0</v>
      </c>
      <c r="AP676" s="5">
        <f>data_origin!AA3722</f>
        <v>0</v>
      </c>
      <c r="AQ676" s="9">
        <f t="shared" si="82"/>
        <v>9.0909090909090912E-2</v>
      </c>
      <c r="AV676" t="s">
        <v>80</v>
      </c>
      <c r="AW676" s="5">
        <f>data_origin!T3824</f>
        <v>0</v>
      </c>
      <c r="AX676" s="5">
        <f>data_origin!U3824</f>
        <v>0</v>
      </c>
      <c r="AY676" s="5">
        <f>data_origin!V3824</f>
        <v>0</v>
      </c>
      <c r="AZ676" s="5">
        <f>data_origin!W3824</f>
        <v>0</v>
      </c>
      <c r="BA676" s="5">
        <f>data_origin!X3824</f>
        <v>0</v>
      </c>
      <c r="BB676" s="5">
        <f>data_origin!Y3824</f>
        <v>0</v>
      </c>
      <c r="BC676" s="5">
        <f>data_origin!Z3824</f>
        <v>0</v>
      </c>
      <c r="BD676" s="5">
        <f>data_origin!AA3824</f>
        <v>0</v>
      </c>
      <c r="BE676" s="5">
        <f t="shared" si="83"/>
        <v>0</v>
      </c>
    </row>
    <row r="677" spans="4:57" x14ac:dyDescent="0.25">
      <c r="D677" t="s">
        <v>84</v>
      </c>
      <c r="E677" s="35">
        <f t="shared" si="88"/>
        <v>0</v>
      </c>
      <c r="F677" s="35">
        <f t="shared" si="88"/>
        <v>0</v>
      </c>
      <c r="G677" s="35">
        <f t="shared" si="88"/>
        <v>0</v>
      </c>
      <c r="H677" s="35">
        <f t="shared" si="88"/>
        <v>0</v>
      </c>
      <c r="I677" s="35">
        <f t="shared" si="88"/>
        <v>0</v>
      </c>
      <c r="J677" s="35">
        <f t="shared" si="88"/>
        <v>0</v>
      </c>
      <c r="K677" s="35">
        <f t="shared" si="88"/>
        <v>0</v>
      </c>
      <c r="L677" s="35">
        <f t="shared" si="88"/>
        <v>0</v>
      </c>
      <c r="M677" s="35">
        <f t="shared" si="84"/>
        <v>0</v>
      </c>
      <c r="S677" t="s">
        <v>84</v>
      </c>
      <c r="T677" s="5">
        <f>data_origin!T799</f>
        <v>0</v>
      </c>
      <c r="U677" s="5">
        <f>data_origin!U799</f>
        <v>0</v>
      </c>
      <c r="V677" s="5">
        <f>data_origin!V799</f>
        <v>0</v>
      </c>
      <c r="W677" s="5">
        <f>data_origin!W799</f>
        <v>0</v>
      </c>
      <c r="X677" s="5">
        <f>data_origin!X799</f>
        <v>0</v>
      </c>
      <c r="Y677" s="5">
        <f>data_origin!Y799</f>
        <v>0</v>
      </c>
      <c r="Z677" s="5">
        <f>data_origin!Z799</f>
        <v>0</v>
      </c>
      <c r="AA677" s="5">
        <f>data_origin!AA799</f>
        <v>0</v>
      </c>
      <c r="AB677" s="5">
        <f t="shared" si="87"/>
        <v>0</v>
      </c>
      <c r="AH677" t="s">
        <v>81</v>
      </c>
      <c r="AI677" s="5">
        <f>data_origin!T3723</f>
        <v>0</v>
      </c>
      <c r="AJ677" s="5">
        <f>data_origin!U3723</f>
        <v>0</v>
      </c>
      <c r="AK677" s="5">
        <f>data_origin!V3723</f>
        <v>0</v>
      </c>
      <c r="AL677" s="5">
        <f>data_origin!W3723</f>
        <v>0</v>
      </c>
      <c r="AM677" s="5">
        <f>data_origin!X3723</f>
        <v>0</v>
      </c>
      <c r="AN677" s="5">
        <f>data_origin!Y3723</f>
        <v>9.0909090909090912E-2</v>
      </c>
      <c r="AO677" s="5">
        <f>data_origin!Z3723</f>
        <v>0</v>
      </c>
      <c r="AP677" s="5">
        <f>data_origin!AA3723</f>
        <v>0</v>
      </c>
      <c r="AQ677" s="9">
        <f t="shared" si="82"/>
        <v>9.0909090909090912E-2</v>
      </c>
      <c r="AV677" t="s">
        <v>81</v>
      </c>
      <c r="AW677" s="5">
        <f>data_origin!T3825</f>
        <v>0</v>
      </c>
      <c r="AX677" s="5">
        <f>data_origin!U3825</f>
        <v>0</v>
      </c>
      <c r="AY677" s="5">
        <f>data_origin!V3825</f>
        <v>0</v>
      </c>
      <c r="AZ677" s="5">
        <f>data_origin!W3825</f>
        <v>0</v>
      </c>
      <c r="BA677" s="5">
        <f>data_origin!X3825</f>
        <v>0</v>
      </c>
      <c r="BB677" s="5">
        <f>data_origin!Y3825</f>
        <v>0</v>
      </c>
      <c r="BC677" s="5">
        <f>data_origin!Z3825</f>
        <v>0</v>
      </c>
      <c r="BD677" s="5">
        <f>data_origin!AA3825</f>
        <v>0</v>
      </c>
      <c r="BE677" s="5">
        <f t="shared" si="83"/>
        <v>0</v>
      </c>
    </row>
    <row r="678" spans="4:57" x14ac:dyDescent="0.25">
      <c r="D678" t="s">
        <v>85</v>
      </c>
      <c r="E678" s="35">
        <f t="shared" si="88"/>
        <v>0</v>
      </c>
      <c r="F678" s="35">
        <f t="shared" si="88"/>
        <v>0</v>
      </c>
      <c r="G678" s="35">
        <f t="shared" si="88"/>
        <v>0</v>
      </c>
      <c r="H678" s="35">
        <f t="shared" si="88"/>
        <v>0</v>
      </c>
      <c r="I678" s="35">
        <f t="shared" si="88"/>
        <v>0</v>
      </c>
      <c r="J678" s="35">
        <f t="shared" si="88"/>
        <v>0</v>
      </c>
      <c r="K678" s="35">
        <f t="shared" si="88"/>
        <v>0</v>
      </c>
      <c r="L678" s="35">
        <f t="shared" si="88"/>
        <v>0</v>
      </c>
      <c r="M678" s="35">
        <f t="shared" si="84"/>
        <v>0</v>
      </c>
      <c r="S678" t="s">
        <v>85</v>
      </c>
      <c r="T678" s="5">
        <f>data_origin!T800</f>
        <v>0</v>
      </c>
      <c r="U678" s="5">
        <f>data_origin!U800</f>
        <v>0</v>
      </c>
      <c r="V678" s="5">
        <f>data_origin!V800</f>
        <v>0</v>
      </c>
      <c r="W678" s="5">
        <f>data_origin!W800</f>
        <v>0</v>
      </c>
      <c r="X678" s="5">
        <f>data_origin!X800</f>
        <v>0</v>
      </c>
      <c r="Y678" s="5">
        <f>data_origin!Y800</f>
        <v>0</v>
      </c>
      <c r="Z678" s="5">
        <f>data_origin!Z800</f>
        <v>0</v>
      </c>
      <c r="AA678" s="5">
        <f>data_origin!AA800</f>
        <v>0</v>
      </c>
      <c r="AB678" s="5">
        <f t="shared" si="87"/>
        <v>0</v>
      </c>
      <c r="AH678" t="s">
        <v>82</v>
      </c>
      <c r="AI678" s="5">
        <f>data_origin!T3724</f>
        <v>0</v>
      </c>
      <c r="AJ678" s="5">
        <f>data_origin!U3724</f>
        <v>0</v>
      </c>
      <c r="AK678" s="5">
        <f>data_origin!V3724</f>
        <v>0</v>
      </c>
      <c r="AL678" s="5">
        <f>data_origin!W3724</f>
        <v>0</v>
      </c>
      <c r="AM678" s="5">
        <f>data_origin!X3724</f>
        <v>0</v>
      </c>
      <c r="AN678" s="5">
        <f>data_origin!Y3724</f>
        <v>9.0909090909090912E-2</v>
      </c>
      <c r="AO678" s="5">
        <f>data_origin!Z3724</f>
        <v>0</v>
      </c>
      <c r="AP678" s="5">
        <f>data_origin!AA3724</f>
        <v>0</v>
      </c>
      <c r="AQ678" s="9">
        <f t="shared" si="82"/>
        <v>9.0909090909090912E-2</v>
      </c>
      <c r="AV678" t="s">
        <v>82</v>
      </c>
      <c r="AW678" s="5">
        <f>data_origin!T3826</f>
        <v>0</v>
      </c>
      <c r="AX678" s="5">
        <f>data_origin!U3826</f>
        <v>0</v>
      </c>
      <c r="AY678" s="5">
        <f>data_origin!V3826</f>
        <v>0</v>
      </c>
      <c r="AZ678" s="5">
        <f>data_origin!W3826</f>
        <v>0</v>
      </c>
      <c r="BA678" s="5">
        <f>data_origin!X3826</f>
        <v>0</v>
      </c>
      <c r="BB678" s="5">
        <f>data_origin!Y3826</f>
        <v>0</v>
      </c>
      <c r="BC678" s="5">
        <f>data_origin!Z3826</f>
        <v>0</v>
      </c>
      <c r="BD678" s="5">
        <f>data_origin!AA3826</f>
        <v>0</v>
      </c>
      <c r="BE678" s="5">
        <f t="shared" si="83"/>
        <v>0</v>
      </c>
    </row>
    <row r="679" spans="4:57" x14ac:dyDescent="0.25">
      <c r="D679" t="s">
        <v>86</v>
      </c>
      <c r="E679" s="35">
        <f t="shared" si="88"/>
        <v>0</v>
      </c>
      <c r="F679" s="35">
        <f t="shared" si="88"/>
        <v>0</v>
      </c>
      <c r="G679" s="35">
        <f t="shared" si="88"/>
        <v>0</v>
      </c>
      <c r="H679" s="35">
        <f t="shared" si="88"/>
        <v>1.2521571937722753</v>
      </c>
      <c r="I679" s="35">
        <f t="shared" si="88"/>
        <v>0</v>
      </c>
      <c r="J679" s="35">
        <f t="shared" si="88"/>
        <v>0</v>
      </c>
      <c r="K679" s="35">
        <f t="shared" si="88"/>
        <v>0</v>
      </c>
      <c r="L679" s="35">
        <f t="shared" si="88"/>
        <v>0</v>
      </c>
      <c r="M679" s="35">
        <f t="shared" si="84"/>
        <v>1.2521571937722753</v>
      </c>
      <c r="S679" t="s">
        <v>86</v>
      </c>
      <c r="T679" s="5">
        <f>data_origin!T801</f>
        <v>0</v>
      </c>
      <c r="U679" s="5">
        <f>data_origin!U801</f>
        <v>0</v>
      </c>
      <c r="V679" s="5">
        <f>data_origin!V801</f>
        <v>0</v>
      </c>
      <c r="W679" s="5">
        <f>data_origin!W801</f>
        <v>1.25</v>
      </c>
      <c r="X679" s="5">
        <f>data_origin!X801</f>
        <v>0</v>
      </c>
      <c r="Y679" s="5">
        <f>data_origin!Y801</f>
        <v>0</v>
      </c>
      <c r="Z679" s="5">
        <f>data_origin!Z801</f>
        <v>0</v>
      </c>
      <c r="AA679" s="5">
        <f>data_origin!AA801</f>
        <v>0</v>
      </c>
      <c r="AB679" s="5">
        <f t="shared" si="87"/>
        <v>1.25</v>
      </c>
      <c r="AH679" t="s">
        <v>83</v>
      </c>
      <c r="AI679" s="5">
        <f>data_origin!T3725</f>
        <v>0</v>
      </c>
      <c r="AJ679" s="5">
        <f>data_origin!U3725</f>
        <v>0</v>
      </c>
      <c r="AK679" s="5">
        <f>data_origin!V3725</f>
        <v>0</v>
      </c>
      <c r="AL679" s="5">
        <f>data_origin!W3725</f>
        <v>1.8571428571428572</v>
      </c>
      <c r="AM679" s="5">
        <f>data_origin!X3725</f>
        <v>0</v>
      </c>
      <c r="AN679" s="5">
        <f>data_origin!Y3725</f>
        <v>9.0909090909090912E-2</v>
      </c>
      <c r="AO679" s="5">
        <f>data_origin!Z3725</f>
        <v>0</v>
      </c>
      <c r="AP679" s="5">
        <f>data_origin!AA3725</f>
        <v>0</v>
      </c>
      <c r="AQ679" s="9">
        <f t="shared" si="82"/>
        <v>1.948051948051948</v>
      </c>
      <c r="AV679" t="s">
        <v>83</v>
      </c>
      <c r="AW679" s="5">
        <f>data_origin!T3827</f>
        <v>0</v>
      </c>
      <c r="AX679" s="5">
        <f>data_origin!U3827</f>
        <v>0</v>
      </c>
      <c r="AY679" s="5">
        <f>data_origin!V3827</f>
        <v>0</v>
      </c>
      <c r="AZ679" s="5">
        <f>data_origin!W3827</f>
        <v>6</v>
      </c>
      <c r="BA679" s="5">
        <f>data_origin!X3827</f>
        <v>0</v>
      </c>
      <c r="BB679" s="5">
        <f>data_origin!Y3827</f>
        <v>0</v>
      </c>
      <c r="BC679" s="5">
        <f>data_origin!Z3827</f>
        <v>0</v>
      </c>
      <c r="BD679" s="5">
        <f>data_origin!AA3827</f>
        <v>0</v>
      </c>
      <c r="BE679" s="5">
        <f t="shared" si="83"/>
        <v>6</v>
      </c>
    </row>
    <row r="680" spans="4:57" x14ac:dyDescent="0.25">
      <c r="D680" t="s">
        <v>87</v>
      </c>
      <c r="E680" s="35">
        <f t="shared" si="88"/>
        <v>0</v>
      </c>
      <c r="F680" s="35">
        <f t="shared" si="88"/>
        <v>0</v>
      </c>
      <c r="G680" s="35">
        <f t="shared" si="88"/>
        <v>0</v>
      </c>
      <c r="H680" s="35">
        <f t="shared" si="88"/>
        <v>0</v>
      </c>
      <c r="I680" s="35">
        <f t="shared" si="88"/>
        <v>1.4040095982661196</v>
      </c>
      <c r="J680" s="35">
        <f t="shared" si="88"/>
        <v>0</v>
      </c>
      <c r="K680" s="35">
        <f t="shared" si="88"/>
        <v>0</v>
      </c>
      <c r="L680" s="35">
        <f t="shared" si="88"/>
        <v>0</v>
      </c>
      <c r="M680" s="35">
        <f t="shared" si="84"/>
        <v>1.4040095982661196</v>
      </c>
      <c r="S680" t="s">
        <v>87</v>
      </c>
      <c r="T680" s="5">
        <f>data_origin!T802</f>
        <v>0</v>
      </c>
      <c r="U680" s="5">
        <f>data_origin!U802</f>
        <v>0</v>
      </c>
      <c r="V680" s="5">
        <f>data_origin!V802</f>
        <v>0</v>
      </c>
      <c r="W680" s="5">
        <f>data_origin!W802</f>
        <v>0</v>
      </c>
      <c r="X680" s="5">
        <f>data_origin!X802</f>
        <v>1.4</v>
      </c>
      <c r="Y680" s="5">
        <f>data_origin!Y802</f>
        <v>0</v>
      </c>
      <c r="Z680" s="5">
        <f>data_origin!Z802</f>
        <v>0</v>
      </c>
      <c r="AA680" s="5">
        <f>data_origin!AA802</f>
        <v>0</v>
      </c>
      <c r="AB680" s="5">
        <f t="shared" si="87"/>
        <v>1.4</v>
      </c>
      <c r="AH680" t="s">
        <v>84</v>
      </c>
      <c r="AI680" s="5">
        <f>data_origin!T3726</f>
        <v>0</v>
      </c>
      <c r="AJ680" s="5">
        <f>data_origin!U3726</f>
        <v>0</v>
      </c>
      <c r="AK680" s="5">
        <f>data_origin!V3726</f>
        <v>0</v>
      </c>
      <c r="AL680" s="5">
        <f>data_origin!W3726</f>
        <v>0</v>
      </c>
      <c r="AM680" s="5">
        <f>data_origin!X3726</f>
        <v>0</v>
      </c>
      <c r="AN680" s="5">
        <f>data_origin!Y3726</f>
        <v>9.0909090909090912E-2</v>
      </c>
      <c r="AO680" s="5">
        <f>data_origin!Z3726</f>
        <v>0</v>
      </c>
      <c r="AP680" s="5">
        <f>data_origin!AA3726</f>
        <v>0</v>
      </c>
      <c r="AQ680" s="9">
        <f t="shared" si="82"/>
        <v>9.0909090909090912E-2</v>
      </c>
      <c r="AV680" t="s">
        <v>84</v>
      </c>
      <c r="AW680" s="5">
        <f>data_origin!T3828</f>
        <v>0</v>
      </c>
      <c r="AX680" s="5">
        <f>data_origin!U3828</f>
        <v>0</v>
      </c>
      <c r="AY680" s="5">
        <f>data_origin!V3828</f>
        <v>0</v>
      </c>
      <c r="AZ680" s="5">
        <f>data_origin!W3828</f>
        <v>0</v>
      </c>
      <c r="BA680" s="5">
        <f>data_origin!X3828</f>
        <v>0</v>
      </c>
      <c r="BB680" s="5">
        <f>data_origin!Y3828</f>
        <v>2</v>
      </c>
      <c r="BC680" s="5">
        <f>data_origin!Z3828</f>
        <v>0</v>
      </c>
      <c r="BD680" s="5">
        <f>data_origin!AA3828</f>
        <v>0</v>
      </c>
      <c r="BE680" s="5">
        <f t="shared" si="83"/>
        <v>2</v>
      </c>
    </row>
    <row r="681" spans="4:57" x14ac:dyDescent="0.25">
      <c r="D681" t="s">
        <v>88</v>
      </c>
      <c r="E681" s="35">
        <f t="shared" si="88"/>
        <v>0</v>
      </c>
      <c r="F681" s="35">
        <f t="shared" si="88"/>
        <v>0</v>
      </c>
      <c r="G681" s="35">
        <f t="shared" si="88"/>
        <v>1.0012698412698413</v>
      </c>
      <c r="H681" s="35">
        <f t="shared" si="88"/>
        <v>2.5043143875445506</v>
      </c>
      <c r="I681" s="35">
        <f t="shared" si="88"/>
        <v>0</v>
      </c>
      <c r="J681" s="35">
        <f t="shared" si="88"/>
        <v>0</v>
      </c>
      <c r="K681" s="35">
        <f t="shared" si="88"/>
        <v>0</v>
      </c>
      <c r="L681" s="35">
        <f t="shared" si="88"/>
        <v>0</v>
      </c>
      <c r="M681" s="35">
        <f t="shared" si="84"/>
        <v>3.5055842288143921</v>
      </c>
      <c r="S681" t="s">
        <v>88</v>
      </c>
      <c r="T681" s="5">
        <f>data_origin!T803</f>
        <v>0</v>
      </c>
      <c r="U681" s="5">
        <f>data_origin!U803</f>
        <v>0</v>
      </c>
      <c r="V681" s="5">
        <f>data_origin!V803</f>
        <v>1</v>
      </c>
      <c r="W681" s="5">
        <f>data_origin!W803</f>
        <v>2.5</v>
      </c>
      <c r="X681" s="5">
        <f>data_origin!X803</f>
        <v>0</v>
      </c>
      <c r="Y681" s="5">
        <f>data_origin!Y803</f>
        <v>0</v>
      </c>
      <c r="Z681" s="5">
        <f>data_origin!Z803</f>
        <v>0</v>
      </c>
      <c r="AA681" s="5">
        <f>data_origin!AA803</f>
        <v>0</v>
      </c>
      <c r="AB681" s="5">
        <f t="shared" si="87"/>
        <v>3.5</v>
      </c>
      <c r="AH681" t="s">
        <v>85</v>
      </c>
      <c r="AI681" s="5">
        <f>data_origin!T3727</f>
        <v>0</v>
      </c>
      <c r="AJ681" s="5">
        <f>data_origin!U3727</f>
        <v>0</v>
      </c>
      <c r="AK681" s="5">
        <f>data_origin!V3727</f>
        <v>0</v>
      </c>
      <c r="AL681" s="5">
        <f>data_origin!W3727</f>
        <v>0</v>
      </c>
      <c r="AM681" s="5">
        <f>data_origin!X3727</f>
        <v>0</v>
      </c>
      <c r="AN681" s="5">
        <f>data_origin!Y3727</f>
        <v>9.0909090909090912E-2</v>
      </c>
      <c r="AO681" s="5">
        <f>data_origin!Z3727</f>
        <v>0</v>
      </c>
      <c r="AP681" s="5">
        <f>data_origin!AA3727</f>
        <v>0</v>
      </c>
      <c r="AQ681" s="9">
        <f t="shared" si="82"/>
        <v>9.0909090909090912E-2</v>
      </c>
      <c r="AV681" t="s">
        <v>85</v>
      </c>
      <c r="AW681" s="5">
        <f>data_origin!T3829</f>
        <v>0</v>
      </c>
      <c r="AX681" s="5">
        <f>data_origin!U3829</f>
        <v>0</v>
      </c>
      <c r="AY681" s="5">
        <f>data_origin!V3829</f>
        <v>0</v>
      </c>
      <c r="AZ681" s="5">
        <f>data_origin!W3829</f>
        <v>0</v>
      </c>
      <c r="BA681" s="5">
        <f>data_origin!X3829</f>
        <v>3</v>
      </c>
      <c r="BB681" s="5">
        <f>data_origin!Y3829</f>
        <v>0</v>
      </c>
      <c r="BC681" s="5">
        <f>data_origin!Z3829</f>
        <v>0</v>
      </c>
      <c r="BD681" s="5">
        <f>data_origin!AA3829</f>
        <v>0</v>
      </c>
      <c r="BE681" s="5">
        <f t="shared" si="83"/>
        <v>3</v>
      </c>
    </row>
    <row r="682" spans="4:57" x14ac:dyDescent="0.25">
      <c r="D682" t="s">
        <v>89</v>
      </c>
      <c r="E682" s="35">
        <f t="shared" si="88"/>
        <v>0</v>
      </c>
      <c r="F682" s="35">
        <f t="shared" si="88"/>
        <v>0</v>
      </c>
      <c r="G682" s="35">
        <f t="shared" si="88"/>
        <v>0</v>
      </c>
      <c r="H682" s="35">
        <f t="shared" si="88"/>
        <v>0</v>
      </c>
      <c r="I682" s="35">
        <f t="shared" si="88"/>
        <v>0</v>
      </c>
      <c r="J682" s="35">
        <f t="shared" si="88"/>
        <v>0</v>
      </c>
      <c r="K682" s="35">
        <f t="shared" si="88"/>
        <v>0</v>
      </c>
      <c r="L682" s="35">
        <f t="shared" si="88"/>
        <v>0</v>
      </c>
      <c r="M682" s="35">
        <f t="shared" si="84"/>
        <v>0</v>
      </c>
      <c r="S682" t="s">
        <v>89</v>
      </c>
      <c r="T682" s="5">
        <f>data_origin!T804</f>
        <v>0</v>
      </c>
      <c r="U682" s="5">
        <f>data_origin!U804</f>
        <v>0</v>
      </c>
      <c r="V682" s="5">
        <f>data_origin!V804</f>
        <v>0</v>
      </c>
      <c r="W682" s="5">
        <f>data_origin!W804</f>
        <v>0</v>
      </c>
      <c r="X682" s="5">
        <f>data_origin!X804</f>
        <v>0</v>
      </c>
      <c r="Y682" s="5">
        <f>data_origin!Y804</f>
        <v>0</v>
      </c>
      <c r="Z682" s="5">
        <f>data_origin!Z804</f>
        <v>0</v>
      </c>
      <c r="AA682" s="5">
        <f>data_origin!AA804</f>
        <v>0</v>
      </c>
      <c r="AB682" s="5">
        <f t="shared" si="87"/>
        <v>0</v>
      </c>
      <c r="AH682" t="s">
        <v>86</v>
      </c>
      <c r="AI682" s="5">
        <f>data_origin!T3728</f>
        <v>0</v>
      </c>
      <c r="AJ682" s="5">
        <f>data_origin!U3728</f>
        <v>0</v>
      </c>
      <c r="AK682" s="5">
        <f>data_origin!V3728</f>
        <v>3</v>
      </c>
      <c r="AL682" s="5">
        <f>data_origin!W3728</f>
        <v>3.7142857142857144</v>
      </c>
      <c r="AM682" s="5">
        <f>data_origin!X3728</f>
        <v>0</v>
      </c>
      <c r="AN682" s="5">
        <f>data_origin!Y3728</f>
        <v>9.0909090909090912E-2</v>
      </c>
      <c r="AO682" s="5">
        <f>data_origin!Z3728</f>
        <v>0</v>
      </c>
      <c r="AP682" s="5">
        <f>data_origin!AA3728</f>
        <v>0</v>
      </c>
      <c r="AQ682" s="9">
        <f t="shared" si="82"/>
        <v>6.8051948051948052</v>
      </c>
      <c r="AV682" t="s">
        <v>86</v>
      </c>
      <c r="AW682" s="5">
        <f>data_origin!T3830</f>
        <v>0</v>
      </c>
      <c r="AX682" s="5">
        <f>data_origin!U3830</f>
        <v>0</v>
      </c>
      <c r="AY682" s="5">
        <f>data_origin!V3830</f>
        <v>0</v>
      </c>
      <c r="AZ682" s="5">
        <f>data_origin!W3830</f>
        <v>0</v>
      </c>
      <c r="BA682" s="5">
        <f>data_origin!X3830</f>
        <v>0</v>
      </c>
      <c r="BB682" s="5">
        <f>data_origin!Y3830</f>
        <v>0</v>
      </c>
      <c r="BC682" s="5">
        <f>data_origin!Z3830</f>
        <v>0</v>
      </c>
      <c r="BD682" s="5">
        <f>data_origin!AA3830</f>
        <v>0</v>
      </c>
      <c r="BE682" s="5">
        <f t="shared" si="83"/>
        <v>0</v>
      </c>
    </row>
    <row r="683" spans="4:57" x14ac:dyDescent="0.25">
      <c r="D683" t="s">
        <v>90</v>
      </c>
      <c r="E683" s="35">
        <f t="shared" si="88"/>
        <v>0</v>
      </c>
      <c r="F683" s="35">
        <f t="shared" si="88"/>
        <v>0</v>
      </c>
      <c r="G683" s="35">
        <f t="shared" si="88"/>
        <v>0</v>
      </c>
      <c r="H683" s="35">
        <f t="shared" si="88"/>
        <v>0</v>
      </c>
      <c r="I683" s="35">
        <f t="shared" si="88"/>
        <v>0</v>
      </c>
      <c r="J683" s="35">
        <f t="shared" si="88"/>
        <v>0</v>
      </c>
      <c r="K683" s="35">
        <f t="shared" si="88"/>
        <v>0</v>
      </c>
      <c r="L683" s="35">
        <f t="shared" si="88"/>
        <v>0</v>
      </c>
      <c r="M683" s="35">
        <f t="shared" si="84"/>
        <v>0</v>
      </c>
      <c r="S683" t="s">
        <v>90</v>
      </c>
      <c r="T683" s="5">
        <f>data_origin!T805</f>
        <v>0</v>
      </c>
      <c r="U683" s="5">
        <f>data_origin!U805</f>
        <v>0</v>
      </c>
      <c r="V683" s="5">
        <f>data_origin!V805</f>
        <v>0</v>
      </c>
      <c r="W683" s="5">
        <f>data_origin!W805</f>
        <v>0</v>
      </c>
      <c r="X683" s="5">
        <f>data_origin!X805</f>
        <v>0</v>
      </c>
      <c r="Y683" s="5">
        <f>data_origin!Y805</f>
        <v>0</v>
      </c>
      <c r="Z683" s="5">
        <f>data_origin!Z805</f>
        <v>0</v>
      </c>
      <c r="AA683" s="5">
        <f>data_origin!AA805</f>
        <v>0</v>
      </c>
      <c r="AB683" s="5">
        <f t="shared" si="87"/>
        <v>0</v>
      </c>
      <c r="AH683" t="s">
        <v>87</v>
      </c>
      <c r="AI683" s="5">
        <f>data_origin!T3729</f>
        <v>0</v>
      </c>
      <c r="AJ683" s="5">
        <f>data_origin!U3729</f>
        <v>0</v>
      </c>
      <c r="AK683" s="5">
        <f>data_origin!V3729</f>
        <v>0</v>
      </c>
      <c r="AL683" s="5">
        <f>data_origin!W3729</f>
        <v>3.7142857142857144</v>
      </c>
      <c r="AM683" s="5">
        <f>data_origin!X3729</f>
        <v>0</v>
      </c>
      <c r="AN683" s="5">
        <f>data_origin!Y3729</f>
        <v>9.0909090909090912E-2</v>
      </c>
      <c r="AO683" s="5">
        <f>data_origin!Z3729</f>
        <v>0</v>
      </c>
      <c r="AP683" s="5">
        <f>data_origin!AA3729</f>
        <v>0</v>
      </c>
      <c r="AQ683" s="9">
        <f t="shared" si="82"/>
        <v>3.8051948051948052</v>
      </c>
      <c r="AV683" t="s">
        <v>87</v>
      </c>
      <c r="AW683" s="5">
        <f>data_origin!T3831</f>
        <v>0</v>
      </c>
      <c r="AX683" s="5">
        <f>data_origin!U3831</f>
        <v>0</v>
      </c>
      <c r="AY683" s="5">
        <f>data_origin!V3831</f>
        <v>0</v>
      </c>
      <c r="AZ683" s="5">
        <f>data_origin!W3831</f>
        <v>0</v>
      </c>
      <c r="BA683" s="5">
        <f>data_origin!X3831</f>
        <v>3</v>
      </c>
      <c r="BB683" s="5">
        <f>data_origin!Y3831</f>
        <v>0</v>
      </c>
      <c r="BC683" s="5">
        <f>data_origin!Z3831</f>
        <v>0</v>
      </c>
      <c r="BD683" s="5">
        <f>data_origin!AA3831</f>
        <v>0</v>
      </c>
      <c r="BE683" s="5">
        <f t="shared" si="83"/>
        <v>3</v>
      </c>
    </row>
    <row r="684" spans="4:57" x14ac:dyDescent="0.25">
      <c r="D684" t="s">
        <v>91</v>
      </c>
      <c r="E684" s="35">
        <f t="shared" si="88"/>
        <v>0</v>
      </c>
      <c r="F684" s="35">
        <f t="shared" si="88"/>
        <v>0</v>
      </c>
      <c r="G684" s="35">
        <f t="shared" si="88"/>
        <v>0</v>
      </c>
      <c r="H684" s="35">
        <f t="shared" si="88"/>
        <v>0</v>
      </c>
      <c r="I684" s="35">
        <f t="shared" si="88"/>
        <v>0</v>
      </c>
      <c r="J684" s="35">
        <f t="shared" si="88"/>
        <v>0</v>
      </c>
      <c r="K684" s="35">
        <f t="shared" si="88"/>
        <v>0</v>
      </c>
      <c r="L684" s="35">
        <f t="shared" si="88"/>
        <v>0</v>
      </c>
      <c r="M684" s="35">
        <f t="shared" si="84"/>
        <v>0</v>
      </c>
      <c r="S684" t="s">
        <v>91</v>
      </c>
      <c r="T684" s="5">
        <f>data_origin!T806</f>
        <v>0</v>
      </c>
      <c r="U684" s="5">
        <f>data_origin!U806</f>
        <v>0</v>
      </c>
      <c r="V684" s="5">
        <f>data_origin!V806</f>
        <v>0</v>
      </c>
      <c r="W684" s="5">
        <f>data_origin!W806</f>
        <v>0</v>
      </c>
      <c r="X684" s="5">
        <f>data_origin!X806</f>
        <v>0</v>
      </c>
      <c r="Y684" s="5">
        <f>data_origin!Y806</f>
        <v>0</v>
      </c>
      <c r="Z684" s="5">
        <f>data_origin!Z806</f>
        <v>0</v>
      </c>
      <c r="AA684" s="5">
        <f>data_origin!AA806</f>
        <v>0</v>
      </c>
      <c r="AB684" s="5">
        <f t="shared" si="87"/>
        <v>0</v>
      </c>
      <c r="AH684" t="s">
        <v>88</v>
      </c>
      <c r="AI684" s="5">
        <f>data_origin!T3730</f>
        <v>0</v>
      </c>
      <c r="AJ684" s="5">
        <f>data_origin!U3730</f>
        <v>0</v>
      </c>
      <c r="AK684" s="5">
        <f>data_origin!V3730</f>
        <v>0</v>
      </c>
      <c r="AL684" s="5">
        <f>data_origin!W3730</f>
        <v>3.7142857142857144</v>
      </c>
      <c r="AM684" s="5">
        <f>data_origin!X3730</f>
        <v>3.6666666666666665</v>
      </c>
      <c r="AN684" s="5">
        <f>data_origin!Y3730</f>
        <v>9.0909090909090912E-2</v>
      </c>
      <c r="AO684" s="5">
        <f>data_origin!Z3730</f>
        <v>0</v>
      </c>
      <c r="AP684" s="5">
        <f>data_origin!AA3730</f>
        <v>0</v>
      </c>
      <c r="AQ684" s="9">
        <f t="shared" si="82"/>
        <v>7.4718614718614722</v>
      </c>
      <c r="AV684" t="s">
        <v>88</v>
      </c>
      <c r="AW684" s="5">
        <f>data_origin!T3832</f>
        <v>0</v>
      </c>
      <c r="AX684" s="5">
        <f>data_origin!U3832</f>
        <v>0</v>
      </c>
      <c r="AY684" s="5">
        <f>data_origin!V3832</f>
        <v>0</v>
      </c>
      <c r="AZ684" s="5">
        <f>data_origin!W3832</f>
        <v>0</v>
      </c>
      <c r="BA684" s="5">
        <f>data_origin!X3832</f>
        <v>0</v>
      </c>
      <c r="BB684" s="5">
        <f>data_origin!Y3832</f>
        <v>0</v>
      </c>
      <c r="BC684" s="5">
        <f>data_origin!Z3832</f>
        <v>0</v>
      </c>
      <c r="BD684" s="5">
        <f>data_origin!AA3832</f>
        <v>0</v>
      </c>
      <c r="BE684" s="5">
        <f t="shared" si="83"/>
        <v>0</v>
      </c>
    </row>
    <row r="685" spans="4:57" x14ac:dyDescent="0.25">
      <c r="D685" t="s">
        <v>92</v>
      </c>
      <c r="E685" s="35">
        <f t="shared" si="88"/>
        <v>0</v>
      </c>
      <c r="F685" s="35">
        <f t="shared" si="88"/>
        <v>0</v>
      </c>
      <c r="G685" s="35">
        <f t="shared" si="88"/>
        <v>0</v>
      </c>
      <c r="H685" s="35">
        <f t="shared" si="88"/>
        <v>0</v>
      </c>
      <c r="I685" s="35">
        <f t="shared" si="88"/>
        <v>0</v>
      </c>
      <c r="J685" s="35">
        <f t="shared" si="88"/>
        <v>0</v>
      </c>
      <c r="K685" s="35">
        <f t="shared" si="88"/>
        <v>0</v>
      </c>
      <c r="L685" s="35">
        <f t="shared" si="88"/>
        <v>0</v>
      </c>
      <c r="M685" s="35">
        <f t="shared" si="84"/>
        <v>0</v>
      </c>
      <c r="S685" t="s">
        <v>92</v>
      </c>
      <c r="T685" s="5">
        <f>data_origin!T807</f>
        <v>0</v>
      </c>
      <c r="U685" s="5">
        <f>data_origin!U807</f>
        <v>0</v>
      </c>
      <c r="V685" s="5">
        <f>data_origin!V807</f>
        <v>0</v>
      </c>
      <c r="W685" s="5">
        <f>data_origin!W807</f>
        <v>0</v>
      </c>
      <c r="X685" s="5">
        <f>data_origin!X807</f>
        <v>0</v>
      </c>
      <c r="Y685" s="5">
        <f>data_origin!Y807</f>
        <v>0</v>
      </c>
      <c r="Z685" s="5">
        <f>data_origin!Z807</f>
        <v>0</v>
      </c>
      <c r="AA685" s="5">
        <f>data_origin!AA807</f>
        <v>0</v>
      </c>
      <c r="AB685" s="5">
        <f t="shared" si="87"/>
        <v>0</v>
      </c>
      <c r="AH685" t="s">
        <v>89</v>
      </c>
      <c r="AI685" s="5">
        <f>data_origin!T3731</f>
        <v>0</v>
      </c>
      <c r="AJ685" s="5">
        <f>data_origin!U3731</f>
        <v>0</v>
      </c>
      <c r="AK685" s="5">
        <f>data_origin!V3731</f>
        <v>0</v>
      </c>
      <c r="AL685" s="5">
        <f>data_origin!W3731</f>
        <v>0</v>
      </c>
      <c r="AM685" s="5">
        <f>data_origin!X3731</f>
        <v>0</v>
      </c>
      <c r="AN685" s="5">
        <f>data_origin!Y3731</f>
        <v>9.0909090909090912E-2</v>
      </c>
      <c r="AO685" s="5">
        <f>data_origin!Z3731</f>
        <v>0</v>
      </c>
      <c r="AP685" s="5">
        <f>data_origin!AA3731</f>
        <v>0</v>
      </c>
      <c r="AQ685" s="9">
        <f t="shared" si="82"/>
        <v>9.0909090909090912E-2</v>
      </c>
      <c r="AV685" t="s">
        <v>89</v>
      </c>
      <c r="AW685" s="5">
        <f>data_origin!T3833</f>
        <v>0</v>
      </c>
      <c r="AX685" s="5">
        <f>data_origin!U3833</f>
        <v>0</v>
      </c>
      <c r="AY685" s="5">
        <f>data_origin!V3833</f>
        <v>0</v>
      </c>
      <c r="AZ685" s="5">
        <f>data_origin!W3833</f>
        <v>0</v>
      </c>
      <c r="BA685" s="5">
        <f>data_origin!X3833</f>
        <v>0</v>
      </c>
      <c r="BB685" s="5">
        <f>data_origin!Y3833</f>
        <v>0</v>
      </c>
      <c r="BC685" s="5">
        <f>data_origin!Z3833</f>
        <v>0</v>
      </c>
      <c r="BD685" s="5">
        <f>data_origin!AA3833</f>
        <v>0</v>
      </c>
      <c r="BE685" s="5">
        <f t="shared" si="83"/>
        <v>0</v>
      </c>
    </row>
    <row r="686" spans="4:57" x14ac:dyDescent="0.25">
      <c r="D686" t="s">
        <v>93</v>
      </c>
      <c r="E686" s="35">
        <f t="shared" si="88"/>
        <v>0</v>
      </c>
      <c r="F686" s="35">
        <f t="shared" si="88"/>
        <v>0</v>
      </c>
      <c r="G686" s="35">
        <f t="shared" si="88"/>
        <v>0</v>
      </c>
      <c r="H686" s="35">
        <f t="shared" si="88"/>
        <v>0</v>
      </c>
      <c r="I686" s="35">
        <f t="shared" si="88"/>
        <v>0</v>
      </c>
      <c r="J686" s="35">
        <f t="shared" si="88"/>
        <v>0</v>
      </c>
      <c r="K686" s="35">
        <f t="shared" si="88"/>
        <v>0</v>
      </c>
      <c r="L686" s="35">
        <f t="shared" si="88"/>
        <v>0</v>
      </c>
      <c r="M686" s="35">
        <f t="shared" si="84"/>
        <v>0</v>
      </c>
      <c r="S686" t="s">
        <v>93</v>
      </c>
      <c r="T686" s="5">
        <f>data_origin!T808</f>
        <v>0</v>
      </c>
      <c r="U686" s="5">
        <f>data_origin!U808</f>
        <v>0</v>
      </c>
      <c r="V686" s="5">
        <f>data_origin!V808</f>
        <v>0</v>
      </c>
      <c r="W686" s="5">
        <f>data_origin!W808</f>
        <v>0</v>
      </c>
      <c r="X686" s="5">
        <f>data_origin!X808</f>
        <v>0</v>
      </c>
      <c r="Y686" s="5">
        <f>data_origin!Y808</f>
        <v>0</v>
      </c>
      <c r="Z686" s="5">
        <f>data_origin!Z808</f>
        <v>0</v>
      </c>
      <c r="AA686" s="5">
        <f>data_origin!AA808</f>
        <v>0</v>
      </c>
      <c r="AB686" s="5">
        <f t="shared" si="87"/>
        <v>0</v>
      </c>
      <c r="AH686" t="s">
        <v>90</v>
      </c>
      <c r="AI686" s="5">
        <f>data_origin!T3732</f>
        <v>0</v>
      </c>
      <c r="AJ686" s="5">
        <f>data_origin!U3732</f>
        <v>0</v>
      </c>
      <c r="AK686" s="5">
        <f>data_origin!V3732</f>
        <v>0</v>
      </c>
      <c r="AL686" s="5">
        <f>data_origin!W3732</f>
        <v>0</v>
      </c>
      <c r="AM686" s="5">
        <f>data_origin!X3732</f>
        <v>0</v>
      </c>
      <c r="AN686" s="5">
        <f>data_origin!Y3732</f>
        <v>9.0909090909090912E-2</v>
      </c>
      <c r="AO686" s="5">
        <f>data_origin!Z3732</f>
        <v>0</v>
      </c>
      <c r="AP686" s="5">
        <f>data_origin!AA3732</f>
        <v>0</v>
      </c>
      <c r="AQ686" s="9">
        <f t="shared" si="82"/>
        <v>9.0909090909090912E-2</v>
      </c>
      <c r="AV686" t="s">
        <v>90</v>
      </c>
      <c r="AW686" s="5">
        <f>data_origin!T3834</f>
        <v>0</v>
      </c>
      <c r="AX686" s="5">
        <f>data_origin!U3834</f>
        <v>0</v>
      </c>
      <c r="AY686" s="5">
        <f>data_origin!V3834</f>
        <v>0</v>
      </c>
      <c r="AZ686" s="5">
        <f>data_origin!W3834</f>
        <v>0</v>
      </c>
      <c r="BA686" s="5">
        <f>data_origin!X3834</f>
        <v>0</v>
      </c>
      <c r="BB686" s="5">
        <f>data_origin!Y3834</f>
        <v>0</v>
      </c>
      <c r="BC686" s="5">
        <f>data_origin!Z3834</f>
        <v>0</v>
      </c>
      <c r="BD686" s="5">
        <f>data_origin!AA3834</f>
        <v>0</v>
      </c>
      <c r="BE686" s="5">
        <f t="shared" si="83"/>
        <v>0</v>
      </c>
    </row>
    <row r="687" spans="4:57" x14ac:dyDescent="0.25">
      <c r="D687" t="s">
        <v>94</v>
      </c>
      <c r="E687" s="35">
        <f t="shared" si="88"/>
        <v>0</v>
      </c>
      <c r="F687" s="35">
        <f t="shared" si="88"/>
        <v>0</v>
      </c>
      <c r="G687" s="35">
        <f t="shared" si="88"/>
        <v>0</v>
      </c>
      <c r="H687" s="35">
        <f t="shared" si="88"/>
        <v>0</v>
      </c>
      <c r="I687" s="35">
        <f t="shared" si="88"/>
        <v>0</v>
      </c>
      <c r="J687" s="35">
        <f t="shared" si="88"/>
        <v>0</v>
      </c>
      <c r="K687" s="35">
        <f t="shared" si="88"/>
        <v>0</v>
      </c>
      <c r="L687" s="35">
        <f t="shared" si="88"/>
        <v>0</v>
      </c>
      <c r="M687" s="35">
        <f t="shared" si="84"/>
        <v>0</v>
      </c>
      <c r="S687" t="s">
        <v>94</v>
      </c>
      <c r="T687" s="5">
        <f>data_origin!T809</f>
        <v>0</v>
      </c>
      <c r="U687" s="5">
        <f>data_origin!U809</f>
        <v>0</v>
      </c>
      <c r="V687" s="5">
        <f>data_origin!V809</f>
        <v>0</v>
      </c>
      <c r="W687" s="5">
        <f>data_origin!W809</f>
        <v>0</v>
      </c>
      <c r="X687" s="5">
        <f>data_origin!X809</f>
        <v>0</v>
      </c>
      <c r="Y687" s="5">
        <f>data_origin!Y809</f>
        <v>0</v>
      </c>
      <c r="Z687" s="5">
        <f>data_origin!Z809</f>
        <v>0</v>
      </c>
      <c r="AA687" s="5">
        <f>data_origin!AA809</f>
        <v>0</v>
      </c>
      <c r="AB687" s="5">
        <f t="shared" si="87"/>
        <v>0</v>
      </c>
      <c r="AH687" t="s">
        <v>91</v>
      </c>
      <c r="AI687" s="5">
        <f>data_origin!T3733</f>
        <v>0</v>
      </c>
      <c r="AJ687" s="5">
        <f>data_origin!U3733</f>
        <v>0</v>
      </c>
      <c r="AK687" s="5">
        <f>data_origin!V3733</f>
        <v>0</v>
      </c>
      <c r="AL687" s="5">
        <f>data_origin!W3733</f>
        <v>0</v>
      </c>
      <c r="AM687" s="5">
        <f>data_origin!X3733</f>
        <v>0</v>
      </c>
      <c r="AN687" s="5">
        <f>data_origin!Y3733</f>
        <v>9.0909090909090912E-2</v>
      </c>
      <c r="AO687" s="5">
        <f>data_origin!Z3733</f>
        <v>0</v>
      </c>
      <c r="AP687" s="5">
        <f>data_origin!AA3733</f>
        <v>0</v>
      </c>
      <c r="AQ687" s="9">
        <f t="shared" si="82"/>
        <v>9.0909090909090912E-2</v>
      </c>
      <c r="AV687" t="s">
        <v>91</v>
      </c>
      <c r="AW687" s="5">
        <f>data_origin!T3835</f>
        <v>0</v>
      </c>
      <c r="AX687" s="5">
        <f>data_origin!U3835</f>
        <v>0</v>
      </c>
      <c r="AY687" s="5">
        <f>data_origin!V3835</f>
        <v>0</v>
      </c>
      <c r="AZ687" s="5">
        <f>data_origin!W3835</f>
        <v>0</v>
      </c>
      <c r="BA687" s="5">
        <f>data_origin!X3835</f>
        <v>0</v>
      </c>
      <c r="BB687" s="5">
        <f>data_origin!Y3835</f>
        <v>0</v>
      </c>
      <c r="BC687" s="5">
        <f>data_origin!Z3835</f>
        <v>0</v>
      </c>
      <c r="BD687" s="5">
        <f>data_origin!AA3835</f>
        <v>0</v>
      </c>
      <c r="BE687" s="5">
        <f t="shared" si="83"/>
        <v>0</v>
      </c>
    </row>
    <row r="688" spans="4:57" x14ac:dyDescent="0.25">
      <c r="D688" t="s">
        <v>95</v>
      </c>
      <c r="E688" s="35">
        <f t="shared" si="88"/>
        <v>0</v>
      </c>
      <c r="F688" s="35">
        <f t="shared" si="88"/>
        <v>0</v>
      </c>
      <c r="G688" s="35">
        <f t="shared" si="88"/>
        <v>0</v>
      </c>
      <c r="H688" s="35">
        <f t="shared" si="88"/>
        <v>0</v>
      </c>
      <c r="I688" s="35">
        <f t="shared" si="88"/>
        <v>0</v>
      </c>
      <c r="J688" s="35">
        <f t="shared" si="88"/>
        <v>0</v>
      </c>
      <c r="K688" s="35">
        <f t="shared" si="88"/>
        <v>0</v>
      </c>
      <c r="L688" s="35">
        <f t="shared" si="88"/>
        <v>0</v>
      </c>
      <c r="M688" s="35">
        <f t="shared" si="84"/>
        <v>0</v>
      </c>
      <c r="S688" t="s">
        <v>95</v>
      </c>
      <c r="T688" s="5">
        <f>data_origin!T810</f>
        <v>0</v>
      </c>
      <c r="U688" s="5">
        <f>data_origin!U810</f>
        <v>0</v>
      </c>
      <c r="V688" s="5">
        <f>data_origin!V810</f>
        <v>0</v>
      </c>
      <c r="W688" s="5">
        <f>data_origin!W810</f>
        <v>0</v>
      </c>
      <c r="X688" s="5">
        <f>data_origin!X810</f>
        <v>0</v>
      </c>
      <c r="Y688" s="5">
        <f>data_origin!Y810</f>
        <v>0</v>
      </c>
      <c r="Z688" s="5">
        <f>data_origin!Z810</f>
        <v>0</v>
      </c>
      <c r="AA688" s="5">
        <f>data_origin!AA810</f>
        <v>0</v>
      </c>
      <c r="AB688" s="5">
        <f t="shared" si="87"/>
        <v>0</v>
      </c>
      <c r="AH688" t="s">
        <v>92</v>
      </c>
      <c r="AI688" s="5">
        <f>data_origin!T3734</f>
        <v>0</v>
      </c>
      <c r="AJ688" s="5">
        <f>data_origin!U3734</f>
        <v>0</v>
      </c>
      <c r="AK688" s="5">
        <f>data_origin!V3734</f>
        <v>0</v>
      </c>
      <c r="AL688" s="5">
        <f>data_origin!W3734</f>
        <v>0</v>
      </c>
      <c r="AM688" s="5">
        <f>data_origin!X3734</f>
        <v>0</v>
      </c>
      <c r="AN688" s="5">
        <f>data_origin!Y3734</f>
        <v>9.0909090909090912E-2</v>
      </c>
      <c r="AO688" s="5">
        <f>data_origin!Z3734</f>
        <v>0</v>
      </c>
      <c r="AP688" s="5">
        <f>data_origin!AA3734</f>
        <v>0</v>
      </c>
      <c r="AQ688" s="9">
        <f t="shared" si="82"/>
        <v>9.0909090909090912E-2</v>
      </c>
      <c r="AV688" t="s">
        <v>92</v>
      </c>
      <c r="AW688" s="5">
        <f>data_origin!T3836</f>
        <v>0</v>
      </c>
      <c r="AX688" s="5">
        <f>data_origin!U3836</f>
        <v>0</v>
      </c>
      <c r="AY688" s="5">
        <f>data_origin!V3836</f>
        <v>0</v>
      </c>
      <c r="AZ688" s="5">
        <f>data_origin!W3836</f>
        <v>0</v>
      </c>
      <c r="BA688" s="5">
        <f>data_origin!X3836</f>
        <v>0</v>
      </c>
      <c r="BB688" s="5">
        <f>data_origin!Y3836</f>
        <v>0</v>
      </c>
      <c r="BC688" s="5">
        <f>data_origin!Z3836</f>
        <v>0</v>
      </c>
      <c r="BD688" s="5">
        <f>data_origin!AA3836</f>
        <v>0</v>
      </c>
      <c r="BE688" s="5">
        <f t="shared" si="83"/>
        <v>0</v>
      </c>
    </row>
    <row r="689" spans="1:57" x14ac:dyDescent="0.25">
      <c r="D689" t="s">
        <v>96</v>
      </c>
      <c r="E689" s="35">
        <f t="shared" si="88"/>
        <v>0</v>
      </c>
      <c r="F689" s="35">
        <f t="shared" si="88"/>
        <v>0</v>
      </c>
      <c r="G689" s="35">
        <f t="shared" si="88"/>
        <v>0</v>
      </c>
      <c r="H689" s="35">
        <f t="shared" si="88"/>
        <v>0</v>
      </c>
      <c r="I689" s="35">
        <f t="shared" si="88"/>
        <v>0</v>
      </c>
      <c r="J689" s="35">
        <f t="shared" si="88"/>
        <v>0</v>
      </c>
      <c r="K689" s="35">
        <f t="shared" si="88"/>
        <v>0</v>
      </c>
      <c r="L689" s="35">
        <f t="shared" si="88"/>
        <v>0</v>
      </c>
      <c r="M689" s="35">
        <f t="shared" si="84"/>
        <v>0</v>
      </c>
      <c r="S689" t="s">
        <v>96</v>
      </c>
      <c r="T689" s="5">
        <f>data_origin!T811</f>
        <v>0</v>
      </c>
      <c r="U689" s="5">
        <f>data_origin!U811</f>
        <v>0</v>
      </c>
      <c r="V689" s="5">
        <f>data_origin!V811</f>
        <v>0</v>
      </c>
      <c r="W689" s="5">
        <f>data_origin!W811</f>
        <v>0</v>
      </c>
      <c r="X689" s="5">
        <f>data_origin!X811</f>
        <v>0</v>
      </c>
      <c r="Y689" s="5">
        <f>data_origin!Y811</f>
        <v>0</v>
      </c>
      <c r="Z689" s="5">
        <f>data_origin!Z811</f>
        <v>0</v>
      </c>
      <c r="AA689" s="5">
        <f>data_origin!AA811</f>
        <v>0</v>
      </c>
      <c r="AB689" s="5">
        <f t="shared" si="87"/>
        <v>0</v>
      </c>
      <c r="AH689" t="s">
        <v>93</v>
      </c>
      <c r="AI689" s="5">
        <f>data_origin!T3735</f>
        <v>0</v>
      </c>
      <c r="AJ689" s="5">
        <f>data_origin!U3735</f>
        <v>0</v>
      </c>
      <c r="AK689" s="5">
        <f>data_origin!V3735</f>
        <v>0</v>
      </c>
      <c r="AL689" s="5">
        <f>data_origin!W3735</f>
        <v>0</v>
      </c>
      <c r="AM689" s="5">
        <f>data_origin!X3735</f>
        <v>0</v>
      </c>
      <c r="AN689" s="5">
        <f>data_origin!Y3735</f>
        <v>9.0909090909090912E-2</v>
      </c>
      <c r="AO689" s="5">
        <f>data_origin!Z3735</f>
        <v>0</v>
      </c>
      <c r="AP689" s="5">
        <f>data_origin!AA3735</f>
        <v>0</v>
      </c>
      <c r="AQ689" s="9">
        <f t="shared" si="82"/>
        <v>9.0909090909090912E-2</v>
      </c>
      <c r="AV689" t="s">
        <v>93</v>
      </c>
      <c r="AW689" s="5">
        <f>data_origin!T3837</f>
        <v>0</v>
      </c>
      <c r="AX689" s="5">
        <f>data_origin!U3837</f>
        <v>0</v>
      </c>
      <c r="AY689" s="5">
        <f>data_origin!V3837</f>
        <v>0</v>
      </c>
      <c r="AZ689" s="5">
        <f>data_origin!W3837</f>
        <v>0</v>
      </c>
      <c r="BA689" s="5">
        <f>data_origin!X3837</f>
        <v>0</v>
      </c>
      <c r="BB689" s="5">
        <f>data_origin!Y3837</f>
        <v>0</v>
      </c>
      <c r="BC689" s="5">
        <f>data_origin!Z3837</f>
        <v>0</v>
      </c>
      <c r="BD689" s="5">
        <f>data_origin!AA3837</f>
        <v>0</v>
      </c>
      <c r="BE689" s="5">
        <f t="shared" si="83"/>
        <v>0</v>
      </c>
    </row>
    <row r="690" spans="1:57" x14ac:dyDescent="0.25">
      <c r="D690" t="s">
        <v>97</v>
      </c>
      <c r="E690" s="35">
        <f t="shared" si="88"/>
        <v>0</v>
      </c>
      <c r="F690" s="35">
        <f t="shared" si="88"/>
        <v>0</v>
      </c>
      <c r="G690" s="35">
        <f t="shared" si="88"/>
        <v>0</v>
      </c>
      <c r="H690" s="35">
        <f t="shared" si="88"/>
        <v>0</v>
      </c>
      <c r="I690" s="35">
        <f t="shared" si="88"/>
        <v>0</v>
      </c>
      <c r="J690" s="35">
        <f t="shared" si="88"/>
        <v>0</v>
      </c>
      <c r="K690" s="35">
        <f t="shared" si="88"/>
        <v>0</v>
      </c>
      <c r="L690" s="35">
        <f t="shared" si="88"/>
        <v>0</v>
      </c>
      <c r="M690" s="35">
        <f t="shared" si="84"/>
        <v>0</v>
      </c>
      <c r="S690" t="s">
        <v>97</v>
      </c>
      <c r="T690" s="5">
        <f>data_origin!T812</f>
        <v>0</v>
      </c>
      <c r="U690" s="5">
        <f>data_origin!U812</f>
        <v>0</v>
      </c>
      <c r="V690" s="5">
        <f>data_origin!V812</f>
        <v>0</v>
      </c>
      <c r="W690" s="5">
        <f>data_origin!W812</f>
        <v>0</v>
      </c>
      <c r="X690" s="5">
        <f>data_origin!X812</f>
        <v>0</v>
      </c>
      <c r="Y690" s="5">
        <f>data_origin!Y812</f>
        <v>0</v>
      </c>
      <c r="Z690" s="5">
        <f>data_origin!Z812</f>
        <v>0</v>
      </c>
      <c r="AA690" s="5">
        <f>data_origin!AA812</f>
        <v>0</v>
      </c>
      <c r="AB690" s="5">
        <f t="shared" si="87"/>
        <v>0</v>
      </c>
      <c r="AH690" t="s">
        <v>94</v>
      </c>
      <c r="AI690" s="5">
        <f>data_origin!T3736</f>
        <v>0</v>
      </c>
      <c r="AJ690" s="5">
        <f>data_origin!U3736</f>
        <v>0</v>
      </c>
      <c r="AK690" s="5">
        <f>data_origin!V3736</f>
        <v>0</v>
      </c>
      <c r="AL690" s="5">
        <f>data_origin!W3736</f>
        <v>0</v>
      </c>
      <c r="AM690" s="5">
        <f>data_origin!X3736</f>
        <v>0</v>
      </c>
      <c r="AN690" s="5">
        <f>data_origin!Y3736</f>
        <v>9.0909090909090912E-2</v>
      </c>
      <c r="AO690" s="5">
        <f>data_origin!Z3736</f>
        <v>0</v>
      </c>
      <c r="AP690" s="5">
        <f>data_origin!AA3736</f>
        <v>0</v>
      </c>
      <c r="AQ690" s="9">
        <f t="shared" si="82"/>
        <v>9.0909090909090912E-2</v>
      </c>
      <c r="AV690" t="s">
        <v>94</v>
      </c>
      <c r="AW690" s="5">
        <f>data_origin!T3838</f>
        <v>0</v>
      </c>
      <c r="AX690" s="5">
        <f>data_origin!U3838</f>
        <v>0</v>
      </c>
      <c r="AY690" s="5">
        <f>data_origin!V3838</f>
        <v>0</v>
      </c>
      <c r="AZ690" s="5">
        <f>data_origin!W3838</f>
        <v>0</v>
      </c>
      <c r="BA690" s="5">
        <f>data_origin!X3838</f>
        <v>0</v>
      </c>
      <c r="BB690" s="5">
        <f>data_origin!Y3838</f>
        <v>0</v>
      </c>
      <c r="BC690" s="5">
        <f>data_origin!Z3838</f>
        <v>0</v>
      </c>
      <c r="BD690" s="5">
        <f>data_origin!AA3838</f>
        <v>0</v>
      </c>
      <c r="BE690" s="5">
        <f t="shared" si="83"/>
        <v>0</v>
      </c>
    </row>
    <row r="691" spans="1:57" x14ac:dyDescent="0.25">
      <c r="D691" t="s">
        <v>98</v>
      </c>
      <c r="E691" s="35">
        <f t="shared" si="88"/>
        <v>0</v>
      </c>
      <c r="F691" s="35">
        <f t="shared" si="88"/>
        <v>0</v>
      </c>
      <c r="G691" s="35">
        <f t="shared" si="88"/>
        <v>0</v>
      </c>
      <c r="H691" s="35">
        <f t="shared" si="88"/>
        <v>0</v>
      </c>
      <c r="I691" s="35">
        <f t="shared" si="88"/>
        <v>0</v>
      </c>
      <c r="J691" s="35">
        <f t="shared" si="88"/>
        <v>0</v>
      </c>
      <c r="K691" s="35">
        <f t="shared" si="88"/>
        <v>0</v>
      </c>
      <c r="L691" s="35">
        <f t="shared" si="88"/>
        <v>0</v>
      </c>
      <c r="M691" s="35">
        <f t="shared" si="84"/>
        <v>0</v>
      </c>
      <c r="S691" t="s">
        <v>98</v>
      </c>
      <c r="T691" s="5">
        <f>data_origin!T813</f>
        <v>0</v>
      </c>
      <c r="U691" s="5">
        <f>data_origin!U813</f>
        <v>0</v>
      </c>
      <c r="V691" s="5">
        <f>data_origin!V813</f>
        <v>0</v>
      </c>
      <c r="W691" s="5">
        <f>data_origin!W813</f>
        <v>0</v>
      </c>
      <c r="X691" s="5">
        <f>data_origin!X813</f>
        <v>0</v>
      </c>
      <c r="Y691" s="5">
        <f>data_origin!Y813</f>
        <v>0</v>
      </c>
      <c r="Z691" s="5">
        <f>data_origin!Z813</f>
        <v>0</v>
      </c>
      <c r="AA691" s="5">
        <f>data_origin!AA813</f>
        <v>0</v>
      </c>
      <c r="AB691" s="5">
        <f t="shared" si="87"/>
        <v>0</v>
      </c>
      <c r="AH691" t="s">
        <v>95</v>
      </c>
      <c r="AI691" s="5">
        <f>data_origin!T3737</f>
        <v>0</v>
      </c>
      <c r="AJ691" s="5">
        <f>data_origin!U3737</f>
        <v>0</v>
      </c>
      <c r="AK691" s="5">
        <f>data_origin!V3737</f>
        <v>0</v>
      </c>
      <c r="AL691" s="5">
        <f>data_origin!W3737</f>
        <v>0</v>
      </c>
      <c r="AM691" s="5">
        <f>data_origin!X3737</f>
        <v>0</v>
      </c>
      <c r="AN691" s="5">
        <f>data_origin!Y3737</f>
        <v>9.0909090909090912E-2</v>
      </c>
      <c r="AO691" s="5">
        <f>data_origin!Z3737</f>
        <v>0</v>
      </c>
      <c r="AP691" s="5">
        <f>data_origin!AA3737</f>
        <v>0</v>
      </c>
      <c r="AQ691" s="9">
        <f t="shared" si="82"/>
        <v>9.0909090909090912E-2</v>
      </c>
      <c r="AV691" t="s">
        <v>95</v>
      </c>
      <c r="AW691" s="5">
        <f>data_origin!T3839</f>
        <v>0</v>
      </c>
      <c r="AX691" s="5">
        <f>data_origin!U3839</f>
        <v>0</v>
      </c>
      <c r="AY691" s="5">
        <f>data_origin!V3839</f>
        <v>0</v>
      </c>
      <c r="AZ691" s="5">
        <f>data_origin!W3839</f>
        <v>0</v>
      </c>
      <c r="BA691" s="5">
        <f>data_origin!X3839</f>
        <v>0</v>
      </c>
      <c r="BB691" s="5">
        <f>data_origin!Y3839</f>
        <v>0</v>
      </c>
      <c r="BC691" s="5">
        <f>data_origin!Z3839</f>
        <v>0</v>
      </c>
      <c r="BD691" s="5">
        <f>data_origin!AA3839</f>
        <v>0</v>
      </c>
      <c r="BE691" s="5">
        <f t="shared" si="83"/>
        <v>0</v>
      </c>
    </row>
    <row r="692" spans="1:57" x14ac:dyDescent="0.25">
      <c r="D692" t="s">
        <v>119</v>
      </c>
      <c r="E692" s="35">
        <f t="shared" si="88"/>
        <v>0</v>
      </c>
      <c r="F692" s="35">
        <f t="shared" si="88"/>
        <v>0</v>
      </c>
      <c r="G692" s="35">
        <f t="shared" si="88"/>
        <v>0</v>
      </c>
      <c r="H692" s="35">
        <f t="shared" si="88"/>
        <v>0</v>
      </c>
      <c r="I692" s="35">
        <f t="shared" si="88"/>
        <v>0</v>
      </c>
      <c r="J692" s="35">
        <f t="shared" si="88"/>
        <v>0</v>
      </c>
      <c r="K692" s="35">
        <f t="shared" si="88"/>
        <v>0</v>
      </c>
      <c r="L692" s="35">
        <f t="shared" si="88"/>
        <v>0</v>
      </c>
      <c r="M692" s="35">
        <f t="shared" si="84"/>
        <v>0</v>
      </c>
      <c r="S692" t="s">
        <v>119</v>
      </c>
      <c r="T692" s="5">
        <f>data_origin!T814</f>
        <v>0</v>
      </c>
      <c r="U692" s="5">
        <f>data_origin!U814</f>
        <v>0</v>
      </c>
      <c r="V692" s="5">
        <f>data_origin!V814</f>
        <v>0</v>
      </c>
      <c r="W692" s="5">
        <f>data_origin!W814</f>
        <v>0</v>
      </c>
      <c r="X692" s="5">
        <f>data_origin!X814</f>
        <v>0</v>
      </c>
      <c r="Y692" s="5">
        <f>data_origin!Y814</f>
        <v>0</v>
      </c>
      <c r="Z692" s="5">
        <f>data_origin!Z814</f>
        <v>0</v>
      </c>
      <c r="AA692" s="5">
        <f>data_origin!AA814</f>
        <v>0</v>
      </c>
      <c r="AB692" s="5">
        <f t="shared" si="87"/>
        <v>0</v>
      </c>
      <c r="AH692" t="s">
        <v>96</v>
      </c>
      <c r="AI692" s="5">
        <f>data_origin!T3738</f>
        <v>0</v>
      </c>
      <c r="AJ692" s="5">
        <f>data_origin!U3738</f>
        <v>0</v>
      </c>
      <c r="AK692" s="5">
        <f>data_origin!V3738</f>
        <v>0</v>
      </c>
      <c r="AL692" s="5">
        <f>data_origin!W3738</f>
        <v>0</v>
      </c>
      <c r="AM692" s="5">
        <f>data_origin!X3738</f>
        <v>0</v>
      </c>
      <c r="AN692" s="5">
        <f>data_origin!Y3738</f>
        <v>9.0909090909090912E-2</v>
      </c>
      <c r="AO692" s="5">
        <f>data_origin!Z3738</f>
        <v>0</v>
      </c>
      <c r="AP692" s="5">
        <f>data_origin!AA3738</f>
        <v>0</v>
      </c>
      <c r="AQ692" s="9">
        <f t="shared" si="82"/>
        <v>9.0909090909090912E-2</v>
      </c>
      <c r="AV692" t="s">
        <v>96</v>
      </c>
      <c r="AW692" s="5">
        <f>data_origin!T3840</f>
        <v>0</v>
      </c>
      <c r="AX692" s="5">
        <f>data_origin!U3840</f>
        <v>0</v>
      </c>
      <c r="AY692" s="5">
        <f>data_origin!V3840</f>
        <v>0</v>
      </c>
      <c r="AZ692" s="5">
        <f>data_origin!W3840</f>
        <v>0</v>
      </c>
      <c r="BA692" s="5">
        <f>data_origin!X3840</f>
        <v>0</v>
      </c>
      <c r="BB692" s="5">
        <f>data_origin!Y3840</f>
        <v>0</v>
      </c>
      <c r="BC692" s="5">
        <f>data_origin!Z3840</f>
        <v>0</v>
      </c>
      <c r="BD692" s="5">
        <f>data_origin!AA3840</f>
        <v>0</v>
      </c>
      <c r="BE692" s="5">
        <f t="shared" si="83"/>
        <v>0</v>
      </c>
    </row>
    <row r="693" spans="1:57" x14ac:dyDescent="0.25">
      <c r="D693" t="s">
        <v>99</v>
      </c>
      <c r="E693" s="35">
        <f t="shared" si="88"/>
        <v>0</v>
      </c>
      <c r="F693" s="35">
        <f t="shared" si="88"/>
        <v>0</v>
      </c>
      <c r="G693" s="35">
        <f t="shared" si="88"/>
        <v>0</v>
      </c>
      <c r="H693" s="35">
        <f t="shared" si="88"/>
        <v>2.5043143875445506</v>
      </c>
      <c r="I693" s="35">
        <f t="shared" si="88"/>
        <v>0</v>
      </c>
      <c r="J693" s="35">
        <f t="shared" si="88"/>
        <v>0</v>
      </c>
      <c r="K693" s="35">
        <f t="shared" si="88"/>
        <v>0</v>
      </c>
      <c r="L693" s="35">
        <f t="shared" si="88"/>
        <v>0</v>
      </c>
      <c r="M693" s="35">
        <f t="shared" si="84"/>
        <v>2.5043143875445506</v>
      </c>
      <c r="S693" t="s">
        <v>99</v>
      </c>
      <c r="T693" s="5">
        <f>data_origin!T815</f>
        <v>0</v>
      </c>
      <c r="U693" s="5">
        <f>data_origin!U815</f>
        <v>0</v>
      </c>
      <c r="V693" s="5">
        <f>data_origin!V815</f>
        <v>0</v>
      </c>
      <c r="W693" s="5">
        <f>data_origin!W815</f>
        <v>2.5</v>
      </c>
      <c r="X693" s="5">
        <f>data_origin!X815</f>
        <v>0</v>
      </c>
      <c r="Y693" s="5">
        <f>data_origin!Y815</f>
        <v>0</v>
      </c>
      <c r="Z693" s="5">
        <f>data_origin!Z815</f>
        <v>0</v>
      </c>
      <c r="AA693" s="5">
        <f>data_origin!AA815</f>
        <v>0</v>
      </c>
      <c r="AB693" s="5">
        <f t="shared" si="87"/>
        <v>2.5</v>
      </c>
      <c r="AH693" t="s">
        <v>97</v>
      </c>
      <c r="AI693" s="5">
        <f>data_origin!T3739</f>
        <v>0</v>
      </c>
      <c r="AJ693" s="5">
        <f>data_origin!U3739</f>
        <v>0</v>
      </c>
      <c r="AK693" s="5">
        <f>data_origin!V3739</f>
        <v>0</v>
      </c>
      <c r="AL693" s="5">
        <f>data_origin!W3739</f>
        <v>0</v>
      </c>
      <c r="AM693" s="5">
        <f>data_origin!X3739</f>
        <v>0</v>
      </c>
      <c r="AN693" s="5">
        <f>data_origin!Y3739</f>
        <v>9.0909090909090912E-2</v>
      </c>
      <c r="AO693" s="5">
        <f>data_origin!Z3739</f>
        <v>0</v>
      </c>
      <c r="AP693" s="5">
        <f>data_origin!AA3739</f>
        <v>0</v>
      </c>
      <c r="AQ693" s="9">
        <f t="shared" si="82"/>
        <v>9.0909090909090912E-2</v>
      </c>
      <c r="AV693" t="s">
        <v>97</v>
      </c>
      <c r="AW693" s="5">
        <f>data_origin!T3841</f>
        <v>0</v>
      </c>
      <c r="AX693" s="5">
        <f>data_origin!U3841</f>
        <v>0</v>
      </c>
      <c r="AY693" s="5">
        <f>data_origin!V3841</f>
        <v>0</v>
      </c>
      <c r="AZ693" s="5">
        <f>data_origin!W3841</f>
        <v>0</v>
      </c>
      <c r="BA693" s="5">
        <f>data_origin!X3841</f>
        <v>0</v>
      </c>
      <c r="BB693" s="5">
        <f>data_origin!Y3841</f>
        <v>0</v>
      </c>
      <c r="BC693" s="5">
        <f>data_origin!Z3841</f>
        <v>0</v>
      </c>
      <c r="BD693" s="5">
        <f>data_origin!AA3841</f>
        <v>0</v>
      </c>
      <c r="BE693" s="5">
        <f t="shared" si="83"/>
        <v>0</v>
      </c>
    </row>
    <row r="694" spans="1:57" x14ac:dyDescent="0.25">
      <c r="D694" t="s">
        <v>100</v>
      </c>
      <c r="E694" s="35">
        <f t="shared" si="88"/>
        <v>0</v>
      </c>
      <c r="F694" s="35">
        <f t="shared" si="88"/>
        <v>0</v>
      </c>
      <c r="G694" s="35">
        <f t="shared" si="88"/>
        <v>6.0076190476190474</v>
      </c>
      <c r="H694" s="35">
        <f t="shared" si="88"/>
        <v>8.7651003564059273</v>
      </c>
      <c r="I694" s="35">
        <f t="shared" si="88"/>
        <v>5.6160383930644784</v>
      </c>
      <c r="J694" s="35">
        <f t="shared" si="88"/>
        <v>0</v>
      </c>
      <c r="K694" s="35">
        <f t="shared" si="88"/>
        <v>0</v>
      </c>
      <c r="L694" s="35">
        <f t="shared" si="88"/>
        <v>0</v>
      </c>
      <c r="M694" s="35">
        <f t="shared" si="84"/>
        <v>20.388757797089454</v>
      </c>
      <c r="S694" t="s">
        <v>100</v>
      </c>
      <c r="T694" s="5">
        <f>data_origin!T816</f>
        <v>0</v>
      </c>
      <c r="U694" s="5">
        <f>data_origin!U816</f>
        <v>0</v>
      </c>
      <c r="V694" s="5">
        <f>data_origin!V816</f>
        <v>6</v>
      </c>
      <c r="W694" s="5">
        <f>data_origin!W816</f>
        <v>8.75</v>
      </c>
      <c r="X694" s="5">
        <f>data_origin!X816</f>
        <v>5.6</v>
      </c>
      <c r="Y694" s="5">
        <f>data_origin!Y816</f>
        <v>0</v>
      </c>
      <c r="Z694" s="5">
        <f>data_origin!Z816</f>
        <v>0</v>
      </c>
      <c r="AA694" s="5">
        <f>data_origin!AA816</f>
        <v>0</v>
      </c>
      <c r="AB694" s="5">
        <f t="shared" si="87"/>
        <v>20.350000000000001</v>
      </c>
      <c r="AH694" t="s">
        <v>98</v>
      </c>
      <c r="AI694" s="5">
        <f>data_origin!T3740</f>
        <v>0</v>
      </c>
      <c r="AJ694" s="5">
        <f>data_origin!U3740</f>
        <v>0</v>
      </c>
      <c r="AK694" s="5">
        <f>data_origin!V3740</f>
        <v>0</v>
      </c>
      <c r="AL694" s="5">
        <f>data_origin!W3740</f>
        <v>0</v>
      </c>
      <c r="AM694" s="5">
        <f>data_origin!X3740</f>
        <v>0</v>
      </c>
      <c r="AN694" s="5">
        <f>data_origin!Y3740</f>
        <v>9.0909090909090912E-2</v>
      </c>
      <c r="AO694" s="5">
        <f>data_origin!Z3740</f>
        <v>0</v>
      </c>
      <c r="AP694" s="5">
        <f>data_origin!AA3740</f>
        <v>0</v>
      </c>
      <c r="AQ694" s="9">
        <f t="shared" si="82"/>
        <v>9.0909090909090912E-2</v>
      </c>
      <c r="AV694" t="s">
        <v>98</v>
      </c>
      <c r="AW694" s="5">
        <f>data_origin!T3842</f>
        <v>0</v>
      </c>
      <c r="AX694" s="5">
        <f>data_origin!U3842</f>
        <v>0</v>
      </c>
      <c r="AY694" s="5">
        <f>data_origin!V3842</f>
        <v>0</v>
      </c>
      <c r="AZ694" s="5">
        <f>data_origin!W3842</f>
        <v>0</v>
      </c>
      <c r="BA694" s="5">
        <f>data_origin!X3842</f>
        <v>0</v>
      </c>
      <c r="BB694" s="5">
        <f>data_origin!Y3842</f>
        <v>0</v>
      </c>
      <c r="BC694" s="5">
        <f>data_origin!Z3842</f>
        <v>0</v>
      </c>
      <c r="BD694" s="5">
        <f>data_origin!AA3842</f>
        <v>0</v>
      </c>
      <c r="BE694" s="5">
        <f t="shared" si="83"/>
        <v>0</v>
      </c>
    </row>
    <row r="695" spans="1:57" x14ac:dyDescent="0.25">
      <c r="D695" t="s">
        <v>101</v>
      </c>
      <c r="E695" s="35">
        <f t="shared" si="88"/>
        <v>0</v>
      </c>
      <c r="F695" s="35">
        <f t="shared" si="88"/>
        <v>0</v>
      </c>
      <c r="G695" s="35">
        <f t="shared" si="88"/>
        <v>1.0012698412698413</v>
      </c>
      <c r="H695" s="35">
        <f t="shared" si="88"/>
        <v>0</v>
      </c>
      <c r="I695" s="35">
        <f t="shared" si="88"/>
        <v>0</v>
      </c>
      <c r="J695" s="35">
        <f t="shared" si="88"/>
        <v>0</v>
      </c>
      <c r="K695" s="35">
        <f t="shared" si="88"/>
        <v>0</v>
      </c>
      <c r="L695" s="35">
        <f t="shared" ref="L695:L758" si="89">AA695+IFERROR((AA695/SUM(AA$3:AA$992)*AP$630),0)</f>
        <v>0</v>
      </c>
      <c r="M695" s="35">
        <f t="shared" si="84"/>
        <v>1.0012698412698413</v>
      </c>
      <c r="S695" t="s">
        <v>101</v>
      </c>
      <c r="T695" s="5">
        <f>data_origin!T817</f>
        <v>0</v>
      </c>
      <c r="U695" s="5">
        <f>data_origin!U817</f>
        <v>0</v>
      </c>
      <c r="V695" s="5">
        <f>data_origin!V817</f>
        <v>1</v>
      </c>
      <c r="W695" s="5">
        <f>data_origin!W817</f>
        <v>0</v>
      </c>
      <c r="X695" s="5">
        <f>data_origin!X817</f>
        <v>0</v>
      </c>
      <c r="Y695" s="5">
        <f>data_origin!Y817</f>
        <v>0</v>
      </c>
      <c r="Z695" s="5">
        <f>data_origin!Z817</f>
        <v>0</v>
      </c>
      <c r="AA695" s="5">
        <f>data_origin!AA817</f>
        <v>0</v>
      </c>
      <c r="AB695" s="5">
        <f t="shared" si="87"/>
        <v>1</v>
      </c>
      <c r="AH695" t="s">
        <v>119</v>
      </c>
      <c r="AI695" s="5">
        <f>data_origin!T3741</f>
        <v>0</v>
      </c>
      <c r="AJ695" s="5">
        <f>data_origin!U3741</f>
        <v>0</v>
      </c>
      <c r="AK695" s="5">
        <f>data_origin!V3741</f>
        <v>0</v>
      </c>
      <c r="AL695" s="5">
        <f>data_origin!W3741</f>
        <v>0</v>
      </c>
      <c r="AM695" s="5">
        <f>data_origin!X3741</f>
        <v>0</v>
      </c>
      <c r="AN695" s="5">
        <f>data_origin!Y3741</f>
        <v>9.0909090909090912E-2</v>
      </c>
      <c r="AO695" s="5">
        <f>data_origin!Z3741</f>
        <v>0</v>
      </c>
      <c r="AP695" s="5">
        <f>data_origin!AA3741</f>
        <v>0</v>
      </c>
      <c r="AQ695" s="9">
        <f t="shared" si="82"/>
        <v>9.0909090909090912E-2</v>
      </c>
      <c r="AV695" t="s">
        <v>119</v>
      </c>
      <c r="AW695" s="5">
        <f>data_origin!T3843</f>
        <v>0</v>
      </c>
      <c r="AX695" s="5">
        <f>data_origin!U3843</f>
        <v>0</v>
      </c>
      <c r="AY695" s="5">
        <f>data_origin!V3843</f>
        <v>0</v>
      </c>
      <c r="AZ695" s="5">
        <f>data_origin!W3843</f>
        <v>0</v>
      </c>
      <c r="BA695" s="5">
        <f>data_origin!X3843</f>
        <v>0</v>
      </c>
      <c r="BB695" s="5">
        <f>data_origin!Y3843</f>
        <v>0</v>
      </c>
      <c r="BC695" s="5">
        <f>data_origin!Z3843</f>
        <v>0</v>
      </c>
      <c r="BD695" s="5">
        <f>data_origin!AA3843</f>
        <v>0</v>
      </c>
      <c r="BE695" s="5">
        <f t="shared" si="83"/>
        <v>0</v>
      </c>
    </row>
    <row r="696" spans="1:57" x14ac:dyDescent="0.25">
      <c r="A696" s="23" t="s">
        <v>104</v>
      </c>
      <c r="B696" s="23" t="s">
        <v>117</v>
      </c>
      <c r="C696" s="23" t="s">
        <v>106</v>
      </c>
      <c r="D696" t="s">
        <v>70</v>
      </c>
      <c r="E696" s="35">
        <f t="shared" ref="E696:K732" si="90">T696+IFERROR((T696/SUM(T$3:T$992)*AI$630),0)</f>
        <v>0</v>
      </c>
      <c r="F696" s="35">
        <f t="shared" si="90"/>
        <v>0</v>
      </c>
      <c r="G696" s="35">
        <f t="shared" si="90"/>
        <v>27.870936722851617</v>
      </c>
      <c r="H696" s="35">
        <f t="shared" si="90"/>
        <v>23.772733661355854</v>
      </c>
      <c r="I696" s="35">
        <f t="shared" si="90"/>
        <v>7.667286458616398</v>
      </c>
      <c r="J696" s="35">
        <f t="shared" si="90"/>
        <v>0</v>
      </c>
      <c r="K696" s="35">
        <f t="shared" si="90"/>
        <v>0</v>
      </c>
      <c r="L696" s="35">
        <f t="shared" si="89"/>
        <v>0</v>
      </c>
      <c r="M696" s="35">
        <f t="shared" si="84"/>
        <v>59.310956842823863</v>
      </c>
      <c r="P696" t="s">
        <v>104</v>
      </c>
      <c r="Q696" t="s">
        <v>117</v>
      </c>
      <c r="R696" t="s">
        <v>106</v>
      </c>
      <c r="S696" t="s">
        <v>70</v>
      </c>
      <c r="T696" s="5">
        <f>data_origin!T819</f>
        <v>0</v>
      </c>
      <c r="U696" s="5">
        <f>data_origin!U819</f>
        <v>0</v>
      </c>
      <c r="V696" s="5">
        <f>data_origin!V819</f>
        <v>27.83558994197292</v>
      </c>
      <c r="W696" s="5">
        <f>data_origin!W819</f>
        <v>23.731778425655978</v>
      </c>
      <c r="X696" s="5">
        <f>data_origin!X819</f>
        <v>7.6453900709219855</v>
      </c>
      <c r="Y696" s="5">
        <f>data_origin!Y819</f>
        <v>0</v>
      </c>
      <c r="Z696" s="5">
        <f>data_origin!Z819</f>
        <v>0</v>
      </c>
      <c r="AA696" s="5">
        <f>data_origin!AA819</f>
        <v>0</v>
      </c>
      <c r="AB696" s="5">
        <f t="shared" si="87"/>
        <v>59.212758438550885</v>
      </c>
      <c r="AH696" t="s">
        <v>99</v>
      </c>
      <c r="AI696" s="5">
        <f>data_origin!T3742</f>
        <v>0</v>
      </c>
      <c r="AJ696" s="5">
        <f>data_origin!U3742</f>
        <v>0</v>
      </c>
      <c r="AK696" s="5">
        <f>data_origin!V3742</f>
        <v>3</v>
      </c>
      <c r="AL696" s="5">
        <f>data_origin!W3742</f>
        <v>0</v>
      </c>
      <c r="AM696" s="5">
        <f>data_origin!X3742</f>
        <v>0</v>
      </c>
      <c r="AN696" s="5">
        <f>data_origin!Y3742</f>
        <v>9.0909090909090912E-2</v>
      </c>
      <c r="AO696" s="5">
        <f>data_origin!Z3742</f>
        <v>0</v>
      </c>
      <c r="AP696" s="5">
        <f>data_origin!AA3742</f>
        <v>0</v>
      </c>
      <c r="AQ696" s="9">
        <f t="shared" si="82"/>
        <v>3.0909090909090908</v>
      </c>
      <c r="AV696" t="s">
        <v>99</v>
      </c>
      <c r="AW696" s="5">
        <f>data_origin!T3844</f>
        <v>0</v>
      </c>
      <c r="AX696" s="5">
        <f>data_origin!U3844</f>
        <v>0</v>
      </c>
      <c r="AY696" s="5">
        <f>data_origin!V3844</f>
        <v>0</v>
      </c>
      <c r="AZ696" s="5">
        <f>data_origin!W3844</f>
        <v>0</v>
      </c>
      <c r="BA696" s="5">
        <f>data_origin!X3844</f>
        <v>0</v>
      </c>
      <c r="BB696" s="5">
        <f>data_origin!Y3844</f>
        <v>0</v>
      </c>
      <c r="BC696" s="5">
        <f>data_origin!Z3844</f>
        <v>0</v>
      </c>
      <c r="BD696" s="5">
        <f>data_origin!AA3844</f>
        <v>0</v>
      </c>
      <c r="BE696" s="5">
        <f t="shared" si="83"/>
        <v>0</v>
      </c>
    </row>
    <row r="697" spans="1:57" x14ac:dyDescent="0.25">
      <c r="D697" t="s">
        <v>71</v>
      </c>
      <c r="E697" s="35">
        <f t="shared" si="90"/>
        <v>0</v>
      </c>
      <c r="F697" s="35">
        <f t="shared" si="90"/>
        <v>0</v>
      </c>
      <c r="G697" s="35">
        <f t="shared" si="90"/>
        <v>154.36211108040894</v>
      </c>
      <c r="H697" s="35">
        <f t="shared" si="90"/>
        <v>172.89260844622439</v>
      </c>
      <c r="I697" s="35">
        <f t="shared" si="90"/>
        <v>44.908392114753191</v>
      </c>
      <c r="J697" s="35">
        <f t="shared" si="90"/>
        <v>3.5218501702610672</v>
      </c>
      <c r="K697" s="35">
        <f t="shared" si="90"/>
        <v>0</v>
      </c>
      <c r="L697" s="35">
        <f t="shared" si="89"/>
        <v>0</v>
      </c>
      <c r="M697" s="35">
        <f t="shared" si="84"/>
        <v>375.68496181164761</v>
      </c>
      <c r="S697" t="s">
        <v>71</v>
      </c>
      <c r="T697" s="5">
        <f>data_origin!T820</f>
        <v>0</v>
      </c>
      <c r="U697" s="5">
        <f>data_origin!U820</f>
        <v>0</v>
      </c>
      <c r="V697" s="5">
        <f>data_origin!V820</f>
        <v>154.16634429400386</v>
      </c>
      <c r="W697" s="5">
        <f>data_origin!W820</f>
        <v>172.59475218658892</v>
      </c>
      <c r="X697" s="5">
        <f>data_origin!X820</f>
        <v>44.780141843971634</v>
      </c>
      <c r="Y697" s="5">
        <f>data_origin!Y820</f>
        <v>3.5</v>
      </c>
      <c r="Z697" s="5">
        <f>data_origin!Z820</f>
        <v>0</v>
      </c>
      <c r="AA697" s="5">
        <f>data_origin!AA820</f>
        <v>0</v>
      </c>
      <c r="AB697" s="5">
        <f t="shared" si="87"/>
        <v>375.0412383245644</v>
      </c>
      <c r="AH697" t="s">
        <v>100</v>
      </c>
      <c r="AI697" s="5">
        <f>data_origin!T3743</f>
        <v>0</v>
      </c>
      <c r="AJ697" s="5">
        <f>data_origin!U3743</f>
        <v>0</v>
      </c>
      <c r="AK697" s="5">
        <f>data_origin!V3743</f>
        <v>0</v>
      </c>
      <c r="AL697" s="5">
        <f>data_origin!W3743</f>
        <v>0</v>
      </c>
      <c r="AM697" s="5">
        <f>data_origin!X3743</f>
        <v>0</v>
      </c>
      <c r="AN697" s="5">
        <f>data_origin!Y3743</f>
        <v>9.0909090909090912E-2</v>
      </c>
      <c r="AO697" s="5">
        <f>data_origin!Z3743</f>
        <v>0</v>
      </c>
      <c r="AP697" s="5">
        <f>data_origin!AA3743</f>
        <v>0</v>
      </c>
      <c r="AQ697" s="9">
        <f t="shared" ref="AQ697:AQ731" si="91">SUM(AI697:AP697)</f>
        <v>9.0909090909090912E-2</v>
      </c>
      <c r="AV697" t="s">
        <v>100</v>
      </c>
      <c r="AW697" s="5">
        <f>data_origin!T3845</f>
        <v>0</v>
      </c>
      <c r="AX697" s="5">
        <f>data_origin!U3845</f>
        <v>0</v>
      </c>
      <c r="AY697" s="5">
        <f>data_origin!V3845</f>
        <v>0</v>
      </c>
      <c r="AZ697" s="5">
        <f>data_origin!W3845</f>
        <v>0</v>
      </c>
      <c r="BA697" s="5">
        <f>data_origin!X3845</f>
        <v>0</v>
      </c>
      <c r="BB697" s="5">
        <f>data_origin!Y3845</f>
        <v>0</v>
      </c>
      <c r="BC697" s="5">
        <f>data_origin!Z3845</f>
        <v>0</v>
      </c>
      <c r="BD697" s="5">
        <f>data_origin!AA3845</f>
        <v>0</v>
      </c>
      <c r="BE697" s="5">
        <f t="shared" si="83"/>
        <v>0</v>
      </c>
    </row>
    <row r="698" spans="1:57" x14ac:dyDescent="0.25">
      <c r="D698" t="s">
        <v>72</v>
      </c>
      <c r="E698" s="35">
        <f t="shared" si="90"/>
        <v>0</v>
      </c>
      <c r="F698" s="35">
        <f t="shared" si="90"/>
        <v>0</v>
      </c>
      <c r="G698" s="35">
        <f t="shared" si="90"/>
        <v>3.2158773141751862</v>
      </c>
      <c r="H698" s="35">
        <f t="shared" si="90"/>
        <v>3.2417364083667071</v>
      </c>
      <c r="I698" s="35">
        <f t="shared" si="90"/>
        <v>1.0953266369451997</v>
      </c>
      <c r="J698" s="35">
        <f t="shared" si="90"/>
        <v>0</v>
      </c>
      <c r="K698" s="35">
        <f t="shared" si="90"/>
        <v>0</v>
      </c>
      <c r="L698" s="35">
        <f t="shared" si="89"/>
        <v>0</v>
      </c>
      <c r="M698" s="35">
        <f t="shared" si="84"/>
        <v>7.552940359487093</v>
      </c>
      <c r="S698" t="s">
        <v>72</v>
      </c>
      <c r="T698" s="5">
        <f>data_origin!T821</f>
        <v>0</v>
      </c>
      <c r="U698" s="5">
        <f>data_origin!U821</f>
        <v>0</v>
      </c>
      <c r="V698" s="5">
        <f>data_origin!V821</f>
        <v>3.2117988394584138</v>
      </c>
      <c r="W698" s="5">
        <f>data_origin!W821</f>
        <v>3.2361516034985423</v>
      </c>
      <c r="X698" s="5">
        <f>data_origin!X821</f>
        <v>1.0921985815602837</v>
      </c>
      <c r="Y698" s="5">
        <f>data_origin!Y821</f>
        <v>0</v>
      </c>
      <c r="Z698" s="5">
        <f>data_origin!Z821</f>
        <v>0</v>
      </c>
      <c r="AA698" s="5">
        <f>data_origin!AA821</f>
        <v>0</v>
      </c>
      <c r="AB698" s="5">
        <f t="shared" si="87"/>
        <v>7.5401490245172393</v>
      </c>
      <c r="AH698" t="s">
        <v>101</v>
      </c>
      <c r="AI698" s="5">
        <f>data_origin!T3744</f>
        <v>0</v>
      </c>
      <c r="AJ698" s="5">
        <f>data_origin!U3744</f>
        <v>0</v>
      </c>
      <c r="AK698" s="5">
        <f>data_origin!V3744</f>
        <v>0</v>
      </c>
      <c r="AL698" s="5">
        <f>data_origin!W3744</f>
        <v>0</v>
      </c>
      <c r="AM698" s="5">
        <f>data_origin!X3744</f>
        <v>3.6666666666666665</v>
      </c>
      <c r="AN698" s="5">
        <f>data_origin!Y3744</f>
        <v>9.0909090909090912E-2</v>
      </c>
      <c r="AO698" s="5">
        <f>data_origin!Z3744</f>
        <v>0</v>
      </c>
      <c r="AP698" s="5">
        <f>data_origin!AA3744</f>
        <v>0</v>
      </c>
      <c r="AQ698" s="9">
        <f t="shared" si="91"/>
        <v>3.7575757575757573</v>
      </c>
      <c r="AV698" t="s">
        <v>101</v>
      </c>
      <c r="AW698" s="5">
        <f>data_origin!T3846</f>
        <v>0</v>
      </c>
      <c r="AX698" s="5">
        <f>data_origin!U3846</f>
        <v>0</v>
      </c>
      <c r="AY698" s="5">
        <f>data_origin!V3846</f>
        <v>0</v>
      </c>
      <c r="AZ698" s="5">
        <f>data_origin!W3846</f>
        <v>0</v>
      </c>
      <c r="BA698" s="5">
        <f>data_origin!X3846</f>
        <v>0</v>
      </c>
      <c r="BB698" s="5">
        <f>data_origin!Y3846</f>
        <v>0</v>
      </c>
      <c r="BC698" s="5">
        <f>data_origin!Z3846</f>
        <v>0</v>
      </c>
      <c r="BD698" s="5">
        <f>data_origin!AA3846</f>
        <v>0</v>
      </c>
      <c r="BE698" s="5">
        <f t="shared" ref="BE698:BE731" si="92">SUM(AW698:BD698)</f>
        <v>0</v>
      </c>
    </row>
    <row r="699" spans="1:57" x14ac:dyDescent="0.25">
      <c r="D699" t="s">
        <v>73</v>
      </c>
      <c r="E699" s="35">
        <f t="shared" si="90"/>
        <v>0</v>
      </c>
      <c r="F699" s="35">
        <f t="shared" si="90"/>
        <v>0</v>
      </c>
      <c r="G699" s="35">
        <f t="shared" si="90"/>
        <v>2.1439182094501241</v>
      </c>
      <c r="H699" s="35">
        <f t="shared" si="90"/>
        <v>4.3223152111556091</v>
      </c>
      <c r="I699" s="35">
        <f t="shared" si="90"/>
        <v>3.2859799108355991</v>
      </c>
      <c r="J699" s="35">
        <f t="shared" si="90"/>
        <v>0</v>
      </c>
      <c r="K699" s="35">
        <f t="shared" si="90"/>
        <v>0</v>
      </c>
      <c r="L699" s="35">
        <f t="shared" si="89"/>
        <v>0</v>
      </c>
      <c r="M699" s="35">
        <f t="shared" si="84"/>
        <v>9.7522133314413324</v>
      </c>
      <c r="S699" t="s">
        <v>73</v>
      </c>
      <c r="T699" s="5">
        <f>data_origin!T822</f>
        <v>0</v>
      </c>
      <c r="U699" s="5">
        <f>data_origin!U822</f>
        <v>0</v>
      </c>
      <c r="V699" s="5">
        <f>data_origin!V822</f>
        <v>2.1411992263056092</v>
      </c>
      <c r="W699" s="5">
        <f>data_origin!W822</f>
        <v>4.314868804664723</v>
      </c>
      <c r="X699" s="5">
        <f>data_origin!X822</f>
        <v>3.2765957446808511</v>
      </c>
      <c r="Y699" s="5">
        <f>data_origin!Y822</f>
        <v>0</v>
      </c>
      <c r="Z699" s="5">
        <f>data_origin!Z822</f>
        <v>0</v>
      </c>
      <c r="AA699" s="5">
        <f>data_origin!AA822</f>
        <v>0</v>
      </c>
      <c r="AB699" s="5">
        <f t="shared" si="87"/>
        <v>9.7326637756511829</v>
      </c>
      <c r="AE699" t="s">
        <v>104</v>
      </c>
      <c r="AF699" t="s">
        <v>117</v>
      </c>
      <c r="AG699" s="28" t="s">
        <v>244</v>
      </c>
      <c r="AH699" t="s">
        <v>70</v>
      </c>
      <c r="AI699" s="5">
        <f>data_origin!T3746</f>
        <v>0</v>
      </c>
      <c r="AJ699" s="5">
        <f>data_origin!U3746</f>
        <v>0</v>
      </c>
      <c r="AK699" s="5">
        <f>data_origin!V3746</f>
        <v>0</v>
      </c>
      <c r="AL699" s="5">
        <f>data_origin!W3746</f>
        <v>2.145833333333333</v>
      </c>
      <c r="AM699" s="5">
        <f>data_origin!X3746</f>
        <v>2.6551724137931032</v>
      </c>
      <c r="AN699" s="5">
        <f>data_origin!Y3746</f>
        <v>0</v>
      </c>
      <c r="AO699" s="5">
        <f>data_origin!Z3746</f>
        <v>0</v>
      </c>
      <c r="AP699" s="5">
        <f>data_origin!AA3746</f>
        <v>0</v>
      </c>
      <c r="AQ699" s="9">
        <f t="shared" si="91"/>
        <v>4.8010057471264362</v>
      </c>
      <c r="AS699" t="s">
        <v>115</v>
      </c>
      <c r="AT699" t="s">
        <v>117</v>
      </c>
      <c r="AU699" s="28" t="s">
        <v>244</v>
      </c>
      <c r="AV699" t="s">
        <v>70</v>
      </c>
      <c r="AW699" s="5">
        <f>data_origin!T3848</f>
        <v>0</v>
      </c>
      <c r="AX699" s="5">
        <f>data_origin!U3848</f>
        <v>0</v>
      </c>
      <c r="AY699" s="5">
        <f>data_origin!V3848</f>
        <v>0</v>
      </c>
      <c r="AZ699" s="5">
        <f>data_origin!W3848</f>
        <v>0</v>
      </c>
      <c r="BA699" s="5">
        <f>data_origin!X3848</f>
        <v>0</v>
      </c>
      <c r="BB699" s="5">
        <f>data_origin!Y3848</f>
        <v>0</v>
      </c>
      <c r="BC699" s="5">
        <f>data_origin!Z3848</f>
        <v>0</v>
      </c>
      <c r="BD699" s="5">
        <f>data_origin!AA3848</f>
        <v>0</v>
      </c>
      <c r="BE699" s="5">
        <f t="shared" si="92"/>
        <v>0</v>
      </c>
    </row>
    <row r="700" spans="1:57" x14ac:dyDescent="0.25">
      <c r="D700" t="s">
        <v>74</v>
      </c>
      <c r="E700" s="35">
        <f t="shared" si="90"/>
        <v>0</v>
      </c>
      <c r="F700" s="35">
        <f t="shared" si="90"/>
        <v>0</v>
      </c>
      <c r="G700" s="35">
        <f t="shared" si="90"/>
        <v>9.6476319425255586</v>
      </c>
      <c r="H700" s="35">
        <f t="shared" si="90"/>
        <v>15.128103239044632</v>
      </c>
      <c r="I700" s="35">
        <f t="shared" si="90"/>
        <v>5.4766331847259986</v>
      </c>
      <c r="J700" s="35">
        <f t="shared" si="90"/>
        <v>1.1739500567536891</v>
      </c>
      <c r="K700" s="35">
        <f t="shared" si="90"/>
        <v>0</v>
      </c>
      <c r="L700" s="35">
        <f t="shared" si="89"/>
        <v>0</v>
      </c>
      <c r="M700" s="35">
        <f t="shared" si="84"/>
        <v>31.426318423049878</v>
      </c>
      <c r="S700" t="s">
        <v>74</v>
      </c>
      <c r="T700" s="5">
        <f>data_origin!T823</f>
        <v>0</v>
      </c>
      <c r="U700" s="5">
        <f>data_origin!U823</f>
        <v>0</v>
      </c>
      <c r="V700" s="5">
        <f>data_origin!V823</f>
        <v>9.6353965183752415</v>
      </c>
      <c r="W700" s="5">
        <f>data_origin!W823</f>
        <v>15.102040816326531</v>
      </c>
      <c r="X700" s="5">
        <f>data_origin!X823</f>
        <v>5.4609929078014181</v>
      </c>
      <c r="Y700" s="5">
        <f>data_origin!Y823</f>
        <v>1.1666666666666667</v>
      </c>
      <c r="Z700" s="5">
        <f>data_origin!Z823</f>
        <v>0</v>
      </c>
      <c r="AA700" s="5">
        <f>data_origin!AA823</f>
        <v>0</v>
      </c>
      <c r="AB700" s="5">
        <f t="shared" si="87"/>
        <v>31.365096909169861</v>
      </c>
      <c r="AH700" t="s">
        <v>71</v>
      </c>
      <c r="AI700" s="5">
        <f>data_origin!T3747</f>
        <v>0</v>
      </c>
      <c r="AJ700" s="5">
        <f>data_origin!U3747</f>
        <v>0</v>
      </c>
      <c r="AK700" s="5">
        <f>data_origin!V3747</f>
        <v>1.2608695652173914</v>
      </c>
      <c r="AL700" s="5">
        <f>data_origin!W3747</f>
        <v>0</v>
      </c>
      <c r="AM700" s="5">
        <f>data_origin!X3747</f>
        <v>2.6551724137931032</v>
      </c>
      <c r="AN700" s="5">
        <f>data_origin!Y3747</f>
        <v>0</v>
      </c>
      <c r="AO700" s="5">
        <f>data_origin!Z3747</f>
        <v>0</v>
      </c>
      <c r="AP700" s="5">
        <f>data_origin!AA3747</f>
        <v>0</v>
      </c>
      <c r="AQ700" s="9">
        <f t="shared" si="91"/>
        <v>3.9160419790104948</v>
      </c>
      <c r="AV700" t="s">
        <v>71</v>
      </c>
      <c r="AW700" s="5">
        <f>data_origin!T3849</f>
        <v>0</v>
      </c>
      <c r="AX700" s="5">
        <f>data_origin!U3849</f>
        <v>0</v>
      </c>
      <c r="AY700" s="5">
        <f>data_origin!V3849</f>
        <v>0</v>
      </c>
      <c r="AZ700" s="5">
        <f>data_origin!W3849</f>
        <v>0</v>
      </c>
      <c r="BA700" s="5">
        <f>data_origin!X3849</f>
        <v>3.3529411764705883</v>
      </c>
      <c r="BB700" s="5">
        <f>data_origin!Y3849</f>
        <v>0</v>
      </c>
      <c r="BC700" s="5">
        <f>data_origin!Z3849</f>
        <v>0</v>
      </c>
      <c r="BD700" s="5">
        <f>data_origin!AA3849</f>
        <v>0</v>
      </c>
      <c r="BE700" s="5">
        <f t="shared" si="92"/>
        <v>3.3529411764705883</v>
      </c>
    </row>
    <row r="701" spans="1:57" x14ac:dyDescent="0.25">
      <c r="D701" t="s">
        <v>75</v>
      </c>
      <c r="E701" s="35">
        <f t="shared" si="90"/>
        <v>0</v>
      </c>
      <c r="F701" s="35">
        <f t="shared" si="90"/>
        <v>0</v>
      </c>
      <c r="G701" s="35">
        <f t="shared" si="90"/>
        <v>1.0719591047250621</v>
      </c>
      <c r="H701" s="35">
        <f t="shared" si="90"/>
        <v>0</v>
      </c>
      <c r="I701" s="35">
        <f t="shared" si="90"/>
        <v>0</v>
      </c>
      <c r="J701" s="35">
        <f t="shared" si="90"/>
        <v>0</v>
      </c>
      <c r="K701" s="35">
        <f t="shared" si="90"/>
        <v>0</v>
      </c>
      <c r="L701" s="35">
        <f t="shared" si="89"/>
        <v>0</v>
      </c>
      <c r="M701" s="35">
        <f t="shared" si="84"/>
        <v>1.0719591047250621</v>
      </c>
      <c r="S701" t="s">
        <v>75</v>
      </c>
      <c r="T701" s="5">
        <f>data_origin!T824</f>
        <v>0</v>
      </c>
      <c r="U701" s="5">
        <f>data_origin!U824</f>
        <v>0</v>
      </c>
      <c r="V701" s="5">
        <f>data_origin!V824</f>
        <v>1.0705996131528046</v>
      </c>
      <c r="W701" s="5">
        <f>data_origin!W824</f>
        <v>0</v>
      </c>
      <c r="X701" s="5">
        <f>data_origin!X824</f>
        <v>0</v>
      </c>
      <c r="Y701" s="5">
        <f>data_origin!Y824</f>
        <v>0</v>
      </c>
      <c r="Z701" s="5">
        <f>data_origin!Z824</f>
        <v>0</v>
      </c>
      <c r="AA701" s="5">
        <f>data_origin!AA824</f>
        <v>0</v>
      </c>
      <c r="AB701" s="5">
        <f t="shared" si="87"/>
        <v>1.0705996131528046</v>
      </c>
      <c r="AH701" t="s">
        <v>72</v>
      </c>
      <c r="AI701" s="5">
        <f>data_origin!T3748</f>
        <v>0</v>
      </c>
      <c r="AJ701" s="5">
        <f>data_origin!U3748</f>
        <v>0</v>
      </c>
      <c r="AK701" s="5">
        <f>data_origin!V3748</f>
        <v>1.2608695652173914</v>
      </c>
      <c r="AL701" s="5">
        <f>data_origin!W3748</f>
        <v>8.5833333333333321</v>
      </c>
      <c r="AM701" s="5">
        <f>data_origin!X3748</f>
        <v>2.6551724137931032</v>
      </c>
      <c r="AN701" s="5">
        <f>data_origin!Y3748</f>
        <v>0</v>
      </c>
      <c r="AO701" s="5">
        <f>data_origin!Z3748</f>
        <v>0</v>
      </c>
      <c r="AP701" s="5">
        <f>data_origin!AA3748</f>
        <v>0</v>
      </c>
      <c r="AQ701" s="9">
        <f t="shared" si="91"/>
        <v>12.499375312343826</v>
      </c>
      <c r="AV701" t="s">
        <v>72</v>
      </c>
      <c r="AW701" s="5">
        <f>data_origin!T3850</f>
        <v>0</v>
      </c>
      <c r="AX701" s="5">
        <f>data_origin!U3850</f>
        <v>0</v>
      </c>
      <c r="AY701" s="5">
        <f>data_origin!V3850</f>
        <v>0</v>
      </c>
      <c r="AZ701" s="5">
        <f>data_origin!W3850</f>
        <v>3.75</v>
      </c>
      <c r="BA701" s="5">
        <f>data_origin!X3850</f>
        <v>3.3529411764705883</v>
      </c>
      <c r="BB701" s="5">
        <f>data_origin!Y3850</f>
        <v>6.6666666666666661</v>
      </c>
      <c r="BC701" s="5">
        <f>data_origin!Z3850</f>
        <v>0</v>
      </c>
      <c r="BD701" s="5">
        <f>data_origin!AA3850</f>
        <v>0</v>
      </c>
      <c r="BE701" s="5">
        <f t="shared" si="92"/>
        <v>13.769607843137255</v>
      </c>
    </row>
    <row r="702" spans="1:57" x14ac:dyDescent="0.25">
      <c r="D702" t="s">
        <v>76</v>
      </c>
      <c r="E702" s="35">
        <f t="shared" si="90"/>
        <v>0</v>
      </c>
      <c r="F702" s="35">
        <f t="shared" si="90"/>
        <v>0</v>
      </c>
      <c r="G702" s="35">
        <f t="shared" si="90"/>
        <v>18.223304780326057</v>
      </c>
      <c r="H702" s="35">
        <f t="shared" si="90"/>
        <v>11.886366830677927</v>
      </c>
      <c r="I702" s="35">
        <f t="shared" si="90"/>
        <v>4.3813065477807989</v>
      </c>
      <c r="J702" s="35">
        <f t="shared" si="90"/>
        <v>0</v>
      </c>
      <c r="K702" s="35">
        <f t="shared" si="90"/>
        <v>0</v>
      </c>
      <c r="L702" s="35">
        <f t="shared" si="89"/>
        <v>0</v>
      </c>
      <c r="M702" s="35">
        <f t="shared" si="84"/>
        <v>34.490978158784785</v>
      </c>
      <c r="S702" t="s">
        <v>76</v>
      </c>
      <c r="T702" s="5">
        <f>data_origin!T825</f>
        <v>0</v>
      </c>
      <c r="U702" s="5">
        <f>data_origin!U825</f>
        <v>0</v>
      </c>
      <c r="V702" s="5">
        <f>data_origin!V825</f>
        <v>18.200193423597678</v>
      </c>
      <c r="W702" s="5">
        <f>data_origin!W825</f>
        <v>11.865889212827989</v>
      </c>
      <c r="X702" s="5">
        <f>data_origin!X825</f>
        <v>4.3687943262411348</v>
      </c>
      <c r="Y702" s="5">
        <f>data_origin!Y825</f>
        <v>0</v>
      </c>
      <c r="Z702" s="5">
        <f>data_origin!Z825</f>
        <v>0</v>
      </c>
      <c r="AA702" s="5">
        <f>data_origin!AA825</f>
        <v>0</v>
      </c>
      <c r="AB702" s="5">
        <f t="shared" si="87"/>
        <v>34.434876962666806</v>
      </c>
      <c r="AH702" t="s">
        <v>73</v>
      </c>
      <c r="AI702" s="5">
        <f>data_origin!T3749</f>
        <v>0</v>
      </c>
      <c r="AJ702" s="5">
        <f>data_origin!U3749</f>
        <v>0</v>
      </c>
      <c r="AK702" s="5">
        <f>data_origin!V3749</f>
        <v>0</v>
      </c>
      <c r="AL702" s="5">
        <f>data_origin!W3749</f>
        <v>0</v>
      </c>
      <c r="AM702" s="5">
        <f>data_origin!X3749</f>
        <v>0</v>
      </c>
      <c r="AN702" s="5">
        <f>data_origin!Y3749</f>
        <v>0</v>
      </c>
      <c r="AO702" s="5">
        <f>data_origin!Z3749</f>
        <v>0</v>
      </c>
      <c r="AP702" s="5">
        <f>data_origin!AA3749</f>
        <v>0</v>
      </c>
      <c r="AQ702" s="9">
        <f t="shared" si="91"/>
        <v>0</v>
      </c>
      <c r="AV702" t="s">
        <v>73</v>
      </c>
      <c r="AW702" s="5">
        <f>data_origin!T3851</f>
        <v>0</v>
      </c>
      <c r="AX702" s="5">
        <f>data_origin!U3851</f>
        <v>0</v>
      </c>
      <c r="AY702" s="5">
        <f>data_origin!V3851</f>
        <v>0</v>
      </c>
      <c r="AZ702" s="5">
        <f>data_origin!W3851</f>
        <v>0</v>
      </c>
      <c r="BA702" s="5">
        <f>data_origin!X3851</f>
        <v>0</v>
      </c>
      <c r="BB702" s="5">
        <f>data_origin!Y3851</f>
        <v>0</v>
      </c>
      <c r="BC702" s="5">
        <f>data_origin!Z3851</f>
        <v>0</v>
      </c>
      <c r="BD702" s="5">
        <f>data_origin!AA3851</f>
        <v>0</v>
      </c>
      <c r="BE702" s="5">
        <f t="shared" si="92"/>
        <v>0</v>
      </c>
    </row>
    <row r="703" spans="1:57" x14ac:dyDescent="0.25">
      <c r="D703" t="s">
        <v>77</v>
      </c>
      <c r="E703" s="35">
        <f t="shared" si="90"/>
        <v>0</v>
      </c>
      <c r="F703" s="35">
        <f t="shared" si="90"/>
        <v>0</v>
      </c>
      <c r="G703" s="35">
        <f t="shared" si="90"/>
        <v>48.238159712627798</v>
      </c>
      <c r="H703" s="35">
        <f t="shared" si="90"/>
        <v>45.384309717133902</v>
      </c>
      <c r="I703" s="35">
        <f t="shared" si="90"/>
        <v>16.429899554177997</v>
      </c>
      <c r="J703" s="35">
        <f t="shared" si="90"/>
        <v>1.1739500567536891</v>
      </c>
      <c r="K703" s="35">
        <f t="shared" si="90"/>
        <v>0</v>
      </c>
      <c r="L703" s="35">
        <f t="shared" si="89"/>
        <v>0</v>
      </c>
      <c r="M703" s="35">
        <f t="shared" si="84"/>
        <v>111.22631904069338</v>
      </c>
      <c r="S703" t="s">
        <v>77</v>
      </c>
      <c r="T703" s="5">
        <f>data_origin!T826</f>
        <v>0</v>
      </c>
      <c r="U703" s="5">
        <f>data_origin!U826</f>
        <v>0</v>
      </c>
      <c r="V703" s="5">
        <f>data_origin!V826</f>
        <v>48.176982591876211</v>
      </c>
      <c r="W703" s="5">
        <f>data_origin!W826</f>
        <v>45.306122448979593</v>
      </c>
      <c r="X703" s="5">
        <f>data_origin!X826</f>
        <v>16.382978723404257</v>
      </c>
      <c r="Y703" s="5">
        <f>data_origin!Y826</f>
        <v>1.1666666666666667</v>
      </c>
      <c r="Z703" s="5">
        <f>data_origin!Z826</f>
        <v>0</v>
      </c>
      <c r="AA703" s="5">
        <f>data_origin!AA826</f>
        <v>0</v>
      </c>
      <c r="AB703" s="5">
        <f t="shared" si="87"/>
        <v>111.03275043092673</v>
      </c>
      <c r="AH703" t="s">
        <v>74</v>
      </c>
      <c r="AI703" s="5">
        <f>data_origin!T3750</f>
        <v>0</v>
      </c>
      <c r="AJ703" s="5">
        <f>data_origin!U3750</f>
        <v>0</v>
      </c>
      <c r="AK703" s="5">
        <f>data_origin!V3750</f>
        <v>1.2608695652173914</v>
      </c>
      <c r="AL703" s="5">
        <f>data_origin!W3750</f>
        <v>2.145833333333333</v>
      </c>
      <c r="AM703" s="5">
        <f>data_origin!X3750</f>
        <v>5.3103448275862064</v>
      </c>
      <c r="AN703" s="5">
        <f>data_origin!Y3750</f>
        <v>0</v>
      </c>
      <c r="AO703" s="5">
        <f>data_origin!Z3750</f>
        <v>0</v>
      </c>
      <c r="AP703" s="5">
        <f>data_origin!AA3750</f>
        <v>0</v>
      </c>
      <c r="AQ703" s="9">
        <f t="shared" si="91"/>
        <v>8.717047726136931</v>
      </c>
      <c r="AV703" t="s">
        <v>74</v>
      </c>
      <c r="AW703" s="5">
        <f>data_origin!T3852</f>
        <v>0</v>
      </c>
      <c r="AX703" s="5">
        <f>data_origin!U3852</f>
        <v>0</v>
      </c>
      <c r="AY703" s="5">
        <f>data_origin!V3852</f>
        <v>6.333333333333333</v>
      </c>
      <c r="AZ703" s="5">
        <f>data_origin!W3852</f>
        <v>0</v>
      </c>
      <c r="BA703" s="5">
        <f>data_origin!X3852</f>
        <v>0</v>
      </c>
      <c r="BB703" s="5">
        <f>data_origin!Y3852</f>
        <v>0</v>
      </c>
      <c r="BC703" s="5">
        <f>data_origin!Z3852</f>
        <v>0</v>
      </c>
      <c r="BD703" s="5">
        <f>data_origin!AA3852</f>
        <v>0</v>
      </c>
      <c r="BE703" s="5">
        <f t="shared" si="92"/>
        <v>6.333333333333333</v>
      </c>
    </row>
    <row r="704" spans="1:57" x14ac:dyDescent="0.25">
      <c r="D704" t="s">
        <v>78</v>
      </c>
      <c r="E704" s="35">
        <f t="shared" si="90"/>
        <v>0</v>
      </c>
      <c r="F704" s="35">
        <f t="shared" si="90"/>
        <v>0</v>
      </c>
      <c r="G704" s="35">
        <f t="shared" si="90"/>
        <v>54.669914340978174</v>
      </c>
      <c r="H704" s="35">
        <f t="shared" si="90"/>
        <v>49.706624928289507</v>
      </c>
      <c r="I704" s="35">
        <f t="shared" si="90"/>
        <v>8.7626130955615977</v>
      </c>
      <c r="J704" s="35">
        <f t="shared" si="90"/>
        <v>0</v>
      </c>
      <c r="K704" s="35">
        <f t="shared" si="90"/>
        <v>0</v>
      </c>
      <c r="L704" s="35">
        <f t="shared" si="89"/>
        <v>0</v>
      </c>
      <c r="M704" s="35">
        <f t="shared" si="84"/>
        <v>113.13915236482927</v>
      </c>
      <c r="S704" t="s">
        <v>78</v>
      </c>
      <c r="T704" s="5">
        <f>data_origin!T827</f>
        <v>0</v>
      </c>
      <c r="U704" s="5">
        <f>data_origin!U827</f>
        <v>0</v>
      </c>
      <c r="V704" s="5">
        <f>data_origin!V827</f>
        <v>54.600580270793039</v>
      </c>
      <c r="W704" s="5">
        <f>data_origin!W827</f>
        <v>49.620991253644313</v>
      </c>
      <c r="X704" s="5">
        <f>data_origin!X827</f>
        <v>8.7375886524822697</v>
      </c>
      <c r="Y704" s="5">
        <f>data_origin!Y827</f>
        <v>0</v>
      </c>
      <c r="Z704" s="5">
        <f>data_origin!Z827</f>
        <v>0</v>
      </c>
      <c r="AA704" s="5">
        <f>data_origin!AA827</f>
        <v>0</v>
      </c>
      <c r="AB704" s="5">
        <f t="shared" si="87"/>
        <v>112.95916017691962</v>
      </c>
      <c r="AH704" t="s">
        <v>75</v>
      </c>
      <c r="AI704" s="5">
        <f>data_origin!T3751</f>
        <v>0</v>
      </c>
      <c r="AJ704" s="5">
        <f>data_origin!U3751</f>
        <v>0</v>
      </c>
      <c r="AK704" s="5">
        <f>data_origin!V3751</f>
        <v>0</v>
      </c>
      <c r="AL704" s="5">
        <f>data_origin!W3751</f>
        <v>0</v>
      </c>
      <c r="AM704" s="5">
        <f>data_origin!X3751</f>
        <v>0</v>
      </c>
      <c r="AN704" s="5">
        <f>data_origin!Y3751</f>
        <v>0</v>
      </c>
      <c r="AO704" s="5">
        <f>data_origin!Z3751</f>
        <v>0</v>
      </c>
      <c r="AP704" s="5">
        <f>data_origin!AA3751</f>
        <v>0</v>
      </c>
      <c r="AQ704" s="9">
        <f t="shared" si="91"/>
        <v>0</v>
      </c>
      <c r="AV704" t="s">
        <v>75</v>
      </c>
      <c r="AW704" s="5">
        <f>data_origin!T3853</f>
        <v>0</v>
      </c>
      <c r="AX704" s="5">
        <f>data_origin!U3853</f>
        <v>0</v>
      </c>
      <c r="AY704" s="5">
        <f>data_origin!V3853</f>
        <v>0</v>
      </c>
      <c r="AZ704" s="5">
        <f>data_origin!W3853</f>
        <v>0</v>
      </c>
      <c r="BA704" s="5">
        <f>data_origin!X3853</f>
        <v>0</v>
      </c>
      <c r="BB704" s="5">
        <f>data_origin!Y3853</f>
        <v>0</v>
      </c>
      <c r="BC704" s="5">
        <f>data_origin!Z3853</f>
        <v>0</v>
      </c>
      <c r="BD704" s="5">
        <f>data_origin!AA3853</f>
        <v>0</v>
      </c>
      <c r="BE704" s="5">
        <f t="shared" si="92"/>
        <v>0</v>
      </c>
    </row>
    <row r="705" spans="4:57" x14ac:dyDescent="0.25">
      <c r="D705" t="s">
        <v>79</v>
      </c>
      <c r="E705" s="35">
        <f t="shared" si="90"/>
        <v>0</v>
      </c>
      <c r="F705" s="35">
        <f t="shared" si="90"/>
        <v>0</v>
      </c>
      <c r="G705" s="35">
        <f t="shared" si="90"/>
        <v>3.2158773141751862</v>
      </c>
      <c r="H705" s="35">
        <f t="shared" si="90"/>
        <v>7.5640516195223162</v>
      </c>
      <c r="I705" s="35">
        <f t="shared" si="90"/>
        <v>0</v>
      </c>
      <c r="J705" s="35">
        <f t="shared" si="90"/>
        <v>0</v>
      </c>
      <c r="K705" s="35">
        <f t="shared" si="90"/>
        <v>0</v>
      </c>
      <c r="L705" s="35">
        <f t="shared" si="89"/>
        <v>0</v>
      </c>
      <c r="M705" s="35">
        <f t="shared" si="84"/>
        <v>10.779928933697501</v>
      </c>
      <c r="S705" t="s">
        <v>79</v>
      </c>
      <c r="T705" s="5">
        <f>data_origin!T828</f>
        <v>0</v>
      </c>
      <c r="U705" s="5">
        <f>data_origin!U828</f>
        <v>0</v>
      </c>
      <c r="V705" s="5">
        <f>data_origin!V828</f>
        <v>3.2117988394584138</v>
      </c>
      <c r="W705" s="5">
        <f>data_origin!W828</f>
        <v>7.5510204081632653</v>
      </c>
      <c r="X705" s="5">
        <f>data_origin!X828</f>
        <v>0</v>
      </c>
      <c r="Y705" s="5">
        <f>data_origin!Y828</f>
        <v>0</v>
      </c>
      <c r="Z705" s="5">
        <f>data_origin!Z828</f>
        <v>0</v>
      </c>
      <c r="AA705" s="5">
        <f>data_origin!AA828</f>
        <v>0</v>
      </c>
      <c r="AB705" s="5">
        <f t="shared" si="87"/>
        <v>10.762819247621678</v>
      </c>
      <c r="AH705" t="s">
        <v>76</v>
      </c>
      <c r="AI705" s="5">
        <f>data_origin!T3752</f>
        <v>0</v>
      </c>
      <c r="AJ705" s="5">
        <f>data_origin!U3752</f>
        <v>0</v>
      </c>
      <c r="AK705" s="5">
        <f>data_origin!V3752</f>
        <v>1.2608695652173914</v>
      </c>
      <c r="AL705" s="5">
        <f>data_origin!W3752</f>
        <v>0</v>
      </c>
      <c r="AM705" s="5">
        <f>data_origin!X3752</f>
        <v>2.6551724137931032</v>
      </c>
      <c r="AN705" s="5">
        <f>data_origin!Y3752</f>
        <v>0</v>
      </c>
      <c r="AO705" s="5">
        <f>data_origin!Z3752</f>
        <v>0</v>
      </c>
      <c r="AP705" s="5">
        <f>data_origin!AA3752</f>
        <v>0</v>
      </c>
      <c r="AQ705" s="9">
        <f t="shared" si="91"/>
        <v>3.9160419790104948</v>
      </c>
      <c r="AV705" t="s">
        <v>76</v>
      </c>
      <c r="AW705" s="5">
        <f>data_origin!T3854</f>
        <v>0</v>
      </c>
      <c r="AX705" s="5">
        <f>data_origin!U3854</f>
        <v>0</v>
      </c>
      <c r="AY705" s="5">
        <f>data_origin!V3854</f>
        <v>0</v>
      </c>
      <c r="AZ705" s="5">
        <f>data_origin!W3854</f>
        <v>0</v>
      </c>
      <c r="BA705" s="5">
        <f>data_origin!X3854</f>
        <v>0</v>
      </c>
      <c r="BB705" s="5">
        <f>data_origin!Y3854</f>
        <v>0</v>
      </c>
      <c r="BC705" s="5">
        <f>data_origin!Z3854</f>
        <v>0</v>
      </c>
      <c r="BD705" s="5">
        <f>data_origin!AA3854</f>
        <v>0</v>
      </c>
      <c r="BE705" s="5">
        <f t="shared" si="92"/>
        <v>0</v>
      </c>
    </row>
    <row r="706" spans="4:57" x14ac:dyDescent="0.25">
      <c r="D706" t="s">
        <v>80</v>
      </c>
      <c r="E706" s="35">
        <f t="shared" si="90"/>
        <v>0</v>
      </c>
      <c r="F706" s="35">
        <f t="shared" si="90"/>
        <v>0</v>
      </c>
      <c r="G706" s="35">
        <f t="shared" si="90"/>
        <v>3.2158773141751862</v>
      </c>
      <c r="H706" s="35">
        <f t="shared" si="90"/>
        <v>8.6446304223112183</v>
      </c>
      <c r="I706" s="35">
        <f t="shared" si="90"/>
        <v>2.1906532738903994</v>
      </c>
      <c r="J706" s="35">
        <f t="shared" si="90"/>
        <v>0</v>
      </c>
      <c r="K706" s="35">
        <f t="shared" si="90"/>
        <v>0</v>
      </c>
      <c r="L706" s="35">
        <f t="shared" si="89"/>
        <v>0</v>
      </c>
      <c r="M706" s="35">
        <f t="shared" si="84"/>
        <v>14.051161010376804</v>
      </c>
      <c r="S706" t="s">
        <v>80</v>
      </c>
      <c r="T706" s="5">
        <f>data_origin!T829</f>
        <v>0</v>
      </c>
      <c r="U706" s="5">
        <f>data_origin!U829</f>
        <v>0</v>
      </c>
      <c r="V706" s="5">
        <f>data_origin!V829</f>
        <v>3.2117988394584138</v>
      </c>
      <c r="W706" s="5">
        <f>data_origin!W829</f>
        <v>8.629737609329446</v>
      </c>
      <c r="X706" s="5">
        <f>data_origin!X829</f>
        <v>2.1843971631205674</v>
      </c>
      <c r="Y706" s="5">
        <f>data_origin!Y829</f>
        <v>0</v>
      </c>
      <c r="Z706" s="5">
        <f>data_origin!Z829</f>
        <v>0</v>
      </c>
      <c r="AA706" s="5">
        <f>data_origin!AA829</f>
        <v>0</v>
      </c>
      <c r="AB706" s="5">
        <f t="shared" si="87"/>
        <v>14.025933611908428</v>
      </c>
      <c r="AH706" t="s">
        <v>77</v>
      </c>
      <c r="AI706" s="5">
        <f>data_origin!T3753</f>
        <v>0</v>
      </c>
      <c r="AJ706" s="5">
        <f>data_origin!U3753</f>
        <v>0</v>
      </c>
      <c r="AK706" s="5">
        <f>data_origin!V3753</f>
        <v>0</v>
      </c>
      <c r="AL706" s="5">
        <f>data_origin!W3753</f>
        <v>2.145833333333333</v>
      </c>
      <c r="AM706" s="5">
        <f>data_origin!X3753</f>
        <v>0</v>
      </c>
      <c r="AN706" s="5">
        <f>data_origin!Y3753</f>
        <v>0</v>
      </c>
      <c r="AO706" s="5">
        <f>data_origin!Z3753</f>
        <v>2</v>
      </c>
      <c r="AP706" s="5">
        <f>data_origin!AA3753</f>
        <v>0</v>
      </c>
      <c r="AQ706" s="9">
        <f t="shared" si="91"/>
        <v>4.145833333333333</v>
      </c>
      <c r="AV706" t="s">
        <v>77</v>
      </c>
      <c r="AW706" s="5">
        <f>data_origin!T3855</f>
        <v>0</v>
      </c>
      <c r="AX706" s="5">
        <f>data_origin!U3855</f>
        <v>0</v>
      </c>
      <c r="AY706" s="5">
        <f>data_origin!V3855</f>
        <v>0</v>
      </c>
      <c r="AZ706" s="5">
        <f>data_origin!W3855</f>
        <v>0</v>
      </c>
      <c r="BA706" s="5">
        <f>data_origin!X3855</f>
        <v>6.7058823529411766</v>
      </c>
      <c r="BB706" s="5">
        <f>data_origin!Y3855</f>
        <v>0</v>
      </c>
      <c r="BC706" s="5">
        <f>data_origin!Z3855</f>
        <v>0</v>
      </c>
      <c r="BD706" s="5">
        <f>data_origin!AA3855</f>
        <v>0</v>
      </c>
      <c r="BE706" s="5">
        <f t="shared" si="92"/>
        <v>6.7058823529411766</v>
      </c>
    </row>
    <row r="707" spans="4:57" x14ac:dyDescent="0.25">
      <c r="D707" t="s">
        <v>81</v>
      </c>
      <c r="E707" s="35">
        <f t="shared" si="90"/>
        <v>0</v>
      </c>
      <c r="F707" s="35">
        <f t="shared" si="90"/>
        <v>0</v>
      </c>
      <c r="G707" s="35">
        <f t="shared" si="90"/>
        <v>0</v>
      </c>
      <c r="H707" s="35">
        <f t="shared" si="90"/>
        <v>0</v>
      </c>
      <c r="I707" s="35">
        <f t="shared" si="90"/>
        <v>0</v>
      </c>
      <c r="J707" s="35">
        <f t="shared" si="90"/>
        <v>0</v>
      </c>
      <c r="K707" s="35">
        <f t="shared" si="90"/>
        <v>0</v>
      </c>
      <c r="L707" s="35">
        <f t="shared" si="89"/>
        <v>0</v>
      </c>
      <c r="M707" s="35">
        <f t="shared" ref="M707:M770" si="93">SUM(E707:L707)</f>
        <v>0</v>
      </c>
      <c r="S707" t="s">
        <v>81</v>
      </c>
      <c r="T707" s="5">
        <f>data_origin!T830</f>
        <v>0</v>
      </c>
      <c r="U707" s="5">
        <f>data_origin!U830</f>
        <v>0</v>
      </c>
      <c r="V707" s="5">
        <f>data_origin!V830</f>
        <v>0</v>
      </c>
      <c r="W707" s="5">
        <f>data_origin!W830</f>
        <v>0</v>
      </c>
      <c r="X707" s="5">
        <f>data_origin!X830</f>
        <v>0</v>
      </c>
      <c r="Y707" s="5">
        <f>data_origin!Y830</f>
        <v>0</v>
      </c>
      <c r="Z707" s="5">
        <f>data_origin!Z830</f>
        <v>0</v>
      </c>
      <c r="AA707" s="5">
        <f>data_origin!AA830</f>
        <v>0</v>
      </c>
      <c r="AB707" s="5">
        <f t="shared" si="87"/>
        <v>0</v>
      </c>
      <c r="AH707" t="s">
        <v>78</v>
      </c>
      <c r="AI707" s="5">
        <f>data_origin!T3754</f>
        <v>0</v>
      </c>
      <c r="AJ707" s="5">
        <f>data_origin!U3754</f>
        <v>0</v>
      </c>
      <c r="AK707" s="5">
        <f>data_origin!V3754</f>
        <v>1.2608695652173914</v>
      </c>
      <c r="AL707" s="5">
        <f>data_origin!W3754</f>
        <v>4.2916666666666661</v>
      </c>
      <c r="AM707" s="5">
        <f>data_origin!X3754</f>
        <v>2.6551724137931032</v>
      </c>
      <c r="AN707" s="5">
        <f>data_origin!Y3754</f>
        <v>0</v>
      </c>
      <c r="AO707" s="5">
        <f>data_origin!Z3754</f>
        <v>0</v>
      </c>
      <c r="AP707" s="5">
        <f>data_origin!AA3754</f>
        <v>0</v>
      </c>
      <c r="AQ707" s="9">
        <f t="shared" si="91"/>
        <v>8.2077086456771617</v>
      </c>
      <c r="AV707" t="s">
        <v>78</v>
      </c>
      <c r="AW707" s="5">
        <f>data_origin!T3856</f>
        <v>0</v>
      </c>
      <c r="AX707" s="5">
        <f>data_origin!U3856</f>
        <v>0</v>
      </c>
      <c r="AY707" s="5">
        <f>data_origin!V3856</f>
        <v>0</v>
      </c>
      <c r="AZ707" s="5">
        <f>data_origin!W3856</f>
        <v>0</v>
      </c>
      <c r="BA707" s="5">
        <f>data_origin!X3856</f>
        <v>3.3529411764705883</v>
      </c>
      <c r="BB707" s="5">
        <f>data_origin!Y3856</f>
        <v>0</v>
      </c>
      <c r="BC707" s="5">
        <f>data_origin!Z3856</f>
        <v>0</v>
      </c>
      <c r="BD707" s="5">
        <f>data_origin!AA3856</f>
        <v>0</v>
      </c>
      <c r="BE707" s="5">
        <f t="shared" si="92"/>
        <v>3.3529411764705883</v>
      </c>
    </row>
    <row r="708" spans="4:57" x14ac:dyDescent="0.25">
      <c r="D708" t="s">
        <v>82</v>
      </c>
      <c r="E708" s="35">
        <f t="shared" si="90"/>
        <v>0</v>
      </c>
      <c r="F708" s="35">
        <f t="shared" si="90"/>
        <v>0</v>
      </c>
      <c r="G708" s="35">
        <f t="shared" si="90"/>
        <v>2.1439182094501241</v>
      </c>
      <c r="H708" s="35">
        <f t="shared" si="90"/>
        <v>4.3223152111556091</v>
      </c>
      <c r="I708" s="35">
        <f t="shared" si="90"/>
        <v>1.0953266369451997</v>
      </c>
      <c r="J708" s="35">
        <f t="shared" si="90"/>
        <v>0</v>
      </c>
      <c r="K708" s="35">
        <f t="shared" si="90"/>
        <v>0</v>
      </c>
      <c r="L708" s="35">
        <f t="shared" si="89"/>
        <v>0</v>
      </c>
      <c r="M708" s="35">
        <f t="shared" si="93"/>
        <v>7.561560057550933</v>
      </c>
      <c r="S708" t="s">
        <v>82</v>
      </c>
      <c r="T708" s="5">
        <f>data_origin!T831</f>
        <v>0</v>
      </c>
      <c r="U708" s="5">
        <f>data_origin!U831</f>
        <v>0</v>
      </c>
      <c r="V708" s="5">
        <f>data_origin!V831</f>
        <v>2.1411992263056092</v>
      </c>
      <c r="W708" s="5">
        <f>data_origin!W831</f>
        <v>4.314868804664723</v>
      </c>
      <c r="X708" s="5">
        <f>data_origin!X831</f>
        <v>1.0921985815602837</v>
      </c>
      <c r="Y708" s="5">
        <f>data_origin!Y831</f>
        <v>0</v>
      </c>
      <c r="Z708" s="5">
        <f>data_origin!Z831</f>
        <v>0</v>
      </c>
      <c r="AA708" s="5">
        <f>data_origin!AA831</f>
        <v>0</v>
      </c>
      <c r="AB708" s="5">
        <f t="shared" si="87"/>
        <v>7.5482666125306164</v>
      </c>
      <c r="AH708" t="s">
        <v>79</v>
      </c>
      <c r="AI708" s="5">
        <f>data_origin!T3755</f>
        <v>0</v>
      </c>
      <c r="AJ708" s="5">
        <f>data_origin!U3755</f>
        <v>0</v>
      </c>
      <c r="AK708" s="5">
        <f>data_origin!V3755</f>
        <v>1.2608695652173914</v>
      </c>
      <c r="AL708" s="5">
        <f>data_origin!W3755</f>
        <v>0</v>
      </c>
      <c r="AM708" s="5">
        <f>data_origin!X3755</f>
        <v>0</v>
      </c>
      <c r="AN708" s="5">
        <f>data_origin!Y3755</f>
        <v>0</v>
      </c>
      <c r="AO708" s="5">
        <f>data_origin!Z3755</f>
        <v>0</v>
      </c>
      <c r="AP708" s="5">
        <f>data_origin!AA3755</f>
        <v>0</v>
      </c>
      <c r="AQ708" s="9">
        <f t="shared" si="91"/>
        <v>1.2608695652173914</v>
      </c>
      <c r="AV708" t="s">
        <v>79</v>
      </c>
      <c r="AW708" s="5">
        <f>data_origin!T3857</f>
        <v>0</v>
      </c>
      <c r="AX708" s="5">
        <f>data_origin!U3857</f>
        <v>0</v>
      </c>
      <c r="AY708" s="5">
        <f>data_origin!V3857</f>
        <v>0</v>
      </c>
      <c r="AZ708" s="5">
        <f>data_origin!W3857</f>
        <v>0</v>
      </c>
      <c r="BA708" s="5">
        <f>data_origin!X3857</f>
        <v>3.3529411764705883</v>
      </c>
      <c r="BB708" s="5">
        <f>data_origin!Y3857</f>
        <v>0</v>
      </c>
      <c r="BC708" s="5">
        <f>data_origin!Z3857</f>
        <v>0</v>
      </c>
      <c r="BD708" s="5">
        <f>data_origin!AA3857</f>
        <v>0</v>
      </c>
      <c r="BE708" s="5">
        <f t="shared" si="92"/>
        <v>3.3529411764705883</v>
      </c>
    </row>
    <row r="709" spans="4:57" x14ac:dyDescent="0.25">
      <c r="D709" t="s">
        <v>83</v>
      </c>
      <c r="E709" s="35">
        <f t="shared" si="90"/>
        <v>0</v>
      </c>
      <c r="F709" s="35">
        <f t="shared" si="90"/>
        <v>0</v>
      </c>
      <c r="G709" s="35">
        <f t="shared" si="90"/>
        <v>2.1439182094501241</v>
      </c>
      <c r="H709" s="35">
        <f t="shared" si="90"/>
        <v>2.1611576055778046</v>
      </c>
      <c r="I709" s="35">
        <f t="shared" si="90"/>
        <v>2.1906532738903994</v>
      </c>
      <c r="J709" s="35">
        <f t="shared" si="90"/>
        <v>0</v>
      </c>
      <c r="K709" s="35">
        <f t="shared" si="90"/>
        <v>0</v>
      </c>
      <c r="L709" s="35">
        <f t="shared" si="89"/>
        <v>0</v>
      </c>
      <c r="M709" s="35">
        <f t="shared" si="93"/>
        <v>6.4957290889183277</v>
      </c>
      <c r="S709" t="s">
        <v>83</v>
      </c>
      <c r="T709" s="5">
        <f>data_origin!T832</f>
        <v>0</v>
      </c>
      <c r="U709" s="5">
        <f>data_origin!U832</f>
        <v>0</v>
      </c>
      <c r="V709" s="5">
        <f>data_origin!V832</f>
        <v>2.1411992263056092</v>
      </c>
      <c r="W709" s="5">
        <f>data_origin!W832</f>
        <v>2.1574344023323615</v>
      </c>
      <c r="X709" s="5">
        <f>data_origin!X832</f>
        <v>2.1843971631205674</v>
      </c>
      <c r="Y709" s="5">
        <f>data_origin!Y832</f>
        <v>0</v>
      </c>
      <c r="Z709" s="5">
        <f>data_origin!Z832</f>
        <v>0</v>
      </c>
      <c r="AA709" s="5">
        <f>data_origin!AA832</f>
        <v>0</v>
      </c>
      <c r="AB709" s="5">
        <f t="shared" si="87"/>
        <v>6.4830307917585381</v>
      </c>
      <c r="AH709" t="s">
        <v>80</v>
      </c>
      <c r="AI709" s="5">
        <f>data_origin!T3756</f>
        <v>0</v>
      </c>
      <c r="AJ709" s="5">
        <f>data_origin!U3756</f>
        <v>0</v>
      </c>
      <c r="AK709" s="5">
        <f>data_origin!V3756</f>
        <v>3.7826086956521738</v>
      </c>
      <c r="AL709" s="5">
        <f>data_origin!W3756</f>
        <v>4.2916666666666661</v>
      </c>
      <c r="AM709" s="5">
        <f>data_origin!X3756</f>
        <v>0</v>
      </c>
      <c r="AN709" s="5">
        <f>data_origin!Y3756</f>
        <v>0</v>
      </c>
      <c r="AO709" s="5">
        <f>data_origin!Z3756</f>
        <v>0</v>
      </c>
      <c r="AP709" s="5">
        <f>data_origin!AA3756</f>
        <v>0</v>
      </c>
      <c r="AQ709" s="9">
        <f t="shared" si="91"/>
        <v>8.0742753623188399</v>
      </c>
      <c r="AV709" t="s">
        <v>80</v>
      </c>
      <c r="AW709" s="5">
        <f>data_origin!T3858</f>
        <v>0</v>
      </c>
      <c r="AX709" s="5">
        <f>data_origin!U3858</f>
        <v>0</v>
      </c>
      <c r="AY709" s="5">
        <f>data_origin!V3858</f>
        <v>0</v>
      </c>
      <c r="AZ709" s="5">
        <f>data_origin!W3858</f>
        <v>0</v>
      </c>
      <c r="BA709" s="5">
        <f>data_origin!X3858</f>
        <v>0</v>
      </c>
      <c r="BB709" s="5">
        <f>data_origin!Y3858</f>
        <v>0</v>
      </c>
      <c r="BC709" s="5">
        <f>data_origin!Z3858</f>
        <v>0</v>
      </c>
      <c r="BD709" s="5">
        <f>data_origin!AA3858</f>
        <v>0</v>
      </c>
      <c r="BE709" s="5">
        <f t="shared" si="92"/>
        <v>0</v>
      </c>
    </row>
    <row r="710" spans="4:57" x14ac:dyDescent="0.25">
      <c r="D710" t="s">
        <v>84</v>
      </c>
      <c r="E710" s="35">
        <f t="shared" si="90"/>
        <v>0</v>
      </c>
      <c r="F710" s="35">
        <f t="shared" si="90"/>
        <v>0</v>
      </c>
      <c r="G710" s="35">
        <f t="shared" si="90"/>
        <v>1.0719591047250621</v>
      </c>
      <c r="H710" s="35">
        <f t="shared" si="90"/>
        <v>1.0805788027889023</v>
      </c>
      <c r="I710" s="35">
        <f t="shared" si="90"/>
        <v>0</v>
      </c>
      <c r="J710" s="35">
        <f t="shared" si="90"/>
        <v>0</v>
      </c>
      <c r="K710" s="35">
        <f t="shared" si="90"/>
        <v>0</v>
      </c>
      <c r="L710" s="35">
        <f t="shared" si="89"/>
        <v>0</v>
      </c>
      <c r="M710" s="35">
        <f t="shared" si="93"/>
        <v>2.1525379075139641</v>
      </c>
      <c r="S710" t="s">
        <v>84</v>
      </c>
      <c r="T710" s="5">
        <f>data_origin!T833</f>
        <v>0</v>
      </c>
      <c r="U710" s="5">
        <f>data_origin!U833</f>
        <v>0</v>
      </c>
      <c r="V710" s="5">
        <f>data_origin!V833</f>
        <v>1.0705996131528046</v>
      </c>
      <c r="W710" s="5">
        <f>data_origin!W833</f>
        <v>1.0787172011661808</v>
      </c>
      <c r="X710" s="5">
        <f>data_origin!X833</f>
        <v>0</v>
      </c>
      <c r="Y710" s="5">
        <f>data_origin!Y833</f>
        <v>0</v>
      </c>
      <c r="Z710" s="5">
        <f>data_origin!Z833</f>
        <v>0</v>
      </c>
      <c r="AA710" s="5">
        <f>data_origin!AA833</f>
        <v>0</v>
      </c>
      <c r="AB710" s="5">
        <f t="shared" si="87"/>
        <v>2.1493168143189854</v>
      </c>
      <c r="AH710" t="s">
        <v>81</v>
      </c>
      <c r="AI710" s="5">
        <f>data_origin!T3757</f>
        <v>0</v>
      </c>
      <c r="AJ710" s="5">
        <f>data_origin!U3757</f>
        <v>0</v>
      </c>
      <c r="AK710" s="5">
        <f>data_origin!V3757</f>
        <v>1.2608695652173914</v>
      </c>
      <c r="AL710" s="5">
        <f>data_origin!W3757</f>
        <v>0</v>
      </c>
      <c r="AM710" s="5">
        <f>data_origin!X3757</f>
        <v>0</v>
      </c>
      <c r="AN710" s="5">
        <f>data_origin!Y3757</f>
        <v>0</v>
      </c>
      <c r="AO710" s="5">
        <f>data_origin!Z3757</f>
        <v>0</v>
      </c>
      <c r="AP710" s="5">
        <f>data_origin!AA3757</f>
        <v>0</v>
      </c>
      <c r="AQ710" s="9">
        <f t="shared" si="91"/>
        <v>1.2608695652173914</v>
      </c>
      <c r="AV710" t="s">
        <v>81</v>
      </c>
      <c r="AW710" s="5">
        <f>data_origin!T3859</f>
        <v>0</v>
      </c>
      <c r="AX710" s="5">
        <f>data_origin!U3859</f>
        <v>0</v>
      </c>
      <c r="AY710" s="5">
        <f>data_origin!V3859</f>
        <v>0</v>
      </c>
      <c r="AZ710" s="5">
        <f>data_origin!W3859</f>
        <v>0</v>
      </c>
      <c r="BA710" s="5">
        <f>data_origin!X3859</f>
        <v>3.3529411764705883</v>
      </c>
      <c r="BB710" s="5">
        <f>data_origin!Y3859</f>
        <v>0</v>
      </c>
      <c r="BC710" s="5">
        <f>data_origin!Z3859</f>
        <v>0</v>
      </c>
      <c r="BD710" s="5">
        <f>data_origin!AA3859</f>
        <v>0</v>
      </c>
      <c r="BE710" s="5">
        <f t="shared" si="92"/>
        <v>3.3529411764705883</v>
      </c>
    </row>
    <row r="711" spans="4:57" x14ac:dyDescent="0.25">
      <c r="D711" t="s">
        <v>85</v>
      </c>
      <c r="E711" s="35">
        <f t="shared" si="90"/>
        <v>0</v>
      </c>
      <c r="F711" s="35">
        <f t="shared" si="90"/>
        <v>0</v>
      </c>
      <c r="G711" s="35">
        <f t="shared" si="90"/>
        <v>3.2158773141751862</v>
      </c>
      <c r="H711" s="35">
        <f t="shared" si="90"/>
        <v>4.3223152111556091</v>
      </c>
      <c r="I711" s="35">
        <f t="shared" si="90"/>
        <v>2.1906532738903994</v>
      </c>
      <c r="J711" s="35">
        <f t="shared" si="90"/>
        <v>0</v>
      </c>
      <c r="K711" s="35">
        <f t="shared" si="90"/>
        <v>0</v>
      </c>
      <c r="L711" s="35">
        <f t="shared" si="89"/>
        <v>0</v>
      </c>
      <c r="M711" s="35">
        <f t="shared" si="93"/>
        <v>9.7288457992211939</v>
      </c>
      <c r="S711" t="s">
        <v>85</v>
      </c>
      <c r="T711" s="5">
        <f>data_origin!T834</f>
        <v>0</v>
      </c>
      <c r="U711" s="5">
        <f>data_origin!U834</f>
        <v>0</v>
      </c>
      <c r="V711" s="5">
        <f>data_origin!V834</f>
        <v>3.2117988394584138</v>
      </c>
      <c r="W711" s="5">
        <f>data_origin!W834</f>
        <v>4.314868804664723</v>
      </c>
      <c r="X711" s="5">
        <f>data_origin!X834</f>
        <v>2.1843971631205674</v>
      </c>
      <c r="Y711" s="5">
        <f>data_origin!Y834</f>
        <v>0</v>
      </c>
      <c r="Z711" s="5">
        <f>data_origin!Z834</f>
        <v>0</v>
      </c>
      <c r="AA711" s="5">
        <f>data_origin!AA834</f>
        <v>0</v>
      </c>
      <c r="AB711" s="5">
        <f t="shared" si="87"/>
        <v>9.7110648072437051</v>
      </c>
      <c r="AH711" t="s">
        <v>82</v>
      </c>
      <c r="AI711" s="5">
        <f>data_origin!T3758</f>
        <v>0</v>
      </c>
      <c r="AJ711" s="5">
        <f>data_origin!U3758</f>
        <v>0</v>
      </c>
      <c r="AK711" s="5">
        <f>data_origin!V3758</f>
        <v>0</v>
      </c>
      <c r="AL711" s="5">
        <f>data_origin!W3758</f>
        <v>2.145833333333333</v>
      </c>
      <c r="AM711" s="5">
        <f>data_origin!X3758</f>
        <v>0</v>
      </c>
      <c r="AN711" s="5">
        <f>data_origin!Y3758</f>
        <v>3.333333333333333</v>
      </c>
      <c r="AO711" s="5">
        <f>data_origin!Z3758</f>
        <v>0</v>
      </c>
      <c r="AP711" s="5">
        <f>data_origin!AA3758</f>
        <v>0</v>
      </c>
      <c r="AQ711" s="9">
        <f t="shared" si="91"/>
        <v>5.4791666666666661</v>
      </c>
      <c r="AV711" t="s">
        <v>82</v>
      </c>
      <c r="AW711" s="5">
        <f>data_origin!T3860</f>
        <v>0</v>
      </c>
      <c r="AX711" s="5">
        <f>data_origin!U3860</f>
        <v>0</v>
      </c>
      <c r="AY711" s="5">
        <f>data_origin!V3860</f>
        <v>0</v>
      </c>
      <c r="AZ711" s="5">
        <f>data_origin!W3860</f>
        <v>0</v>
      </c>
      <c r="BA711" s="5">
        <f>data_origin!X3860</f>
        <v>3.3529411764705883</v>
      </c>
      <c r="BB711" s="5">
        <f>data_origin!Y3860</f>
        <v>0</v>
      </c>
      <c r="BC711" s="5">
        <f>data_origin!Z3860</f>
        <v>0</v>
      </c>
      <c r="BD711" s="5">
        <f>data_origin!AA3860</f>
        <v>0</v>
      </c>
      <c r="BE711" s="5">
        <f t="shared" si="92"/>
        <v>3.3529411764705883</v>
      </c>
    </row>
    <row r="712" spans="4:57" x14ac:dyDescent="0.25">
      <c r="D712" t="s">
        <v>86</v>
      </c>
      <c r="E712" s="35">
        <f t="shared" si="90"/>
        <v>0</v>
      </c>
      <c r="F712" s="35">
        <f t="shared" si="90"/>
        <v>0</v>
      </c>
      <c r="G712" s="35">
        <f t="shared" si="90"/>
        <v>177.94521138436031</v>
      </c>
      <c r="H712" s="35">
        <f t="shared" si="90"/>
        <v>208.55170893825814</v>
      </c>
      <c r="I712" s="35">
        <f t="shared" si="90"/>
        <v>52.575678573369586</v>
      </c>
      <c r="J712" s="35">
        <f t="shared" si="90"/>
        <v>5.869750283768445</v>
      </c>
      <c r="K712" s="35">
        <f t="shared" si="90"/>
        <v>0</v>
      </c>
      <c r="L712" s="35">
        <f t="shared" si="89"/>
        <v>0</v>
      </c>
      <c r="M712" s="35">
        <f t="shared" si="93"/>
        <v>444.94234917975649</v>
      </c>
      <c r="S712" t="s">
        <v>86</v>
      </c>
      <c r="T712" s="5">
        <f>data_origin!T835</f>
        <v>0</v>
      </c>
      <c r="U712" s="5">
        <f>data_origin!U835</f>
        <v>0</v>
      </c>
      <c r="V712" s="5">
        <f>data_origin!V835</f>
        <v>177.71953578336556</v>
      </c>
      <c r="W712" s="5">
        <f>data_origin!W835</f>
        <v>208.19241982507288</v>
      </c>
      <c r="X712" s="5">
        <f>data_origin!X835</f>
        <v>52.425531914893618</v>
      </c>
      <c r="Y712" s="5">
        <f>data_origin!Y835</f>
        <v>5.833333333333333</v>
      </c>
      <c r="Z712" s="5">
        <f>data_origin!Z835</f>
        <v>0</v>
      </c>
      <c r="AA712" s="5">
        <f>data_origin!AA835</f>
        <v>0</v>
      </c>
      <c r="AB712" s="5">
        <f t="shared" si="87"/>
        <v>444.17082085666539</v>
      </c>
      <c r="AH712" t="s">
        <v>83</v>
      </c>
      <c r="AI712" s="5">
        <f>data_origin!T3759</f>
        <v>0</v>
      </c>
      <c r="AJ712" s="5">
        <f>data_origin!U3759</f>
        <v>0</v>
      </c>
      <c r="AK712" s="5">
        <f>data_origin!V3759</f>
        <v>2.5217391304347827</v>
      </c>
      <c r="AL712" s="5">
        <f>data_origin!W3759</f>
        <v>4.2916666666666661</v>
      </c>
      <c r="AM712" s="5">
        <f>data_origin!X3759</f>
        <v>2.6551724137931032</v>
      </c>
      <c r="AN712" s="5">
        <f>data_origin!Y3759</f>
        <v>0</v>
      </c>
      <c r="AO712" s="5">
        <f>data_origin!Z3759</f>
        <v>0</v>
      </c>
      <c r="AP712" s="5">
        <f>data_origin!AA3759</f>
        <v>0</v>
      </c>
      <c r="AQ712" s="9">
        <f t="shared" si="91"/>
        <v>9.4685782108945524</v>
      </c>
      <c r="AV712" t="s">
        <v>83</v>
      </c>
      <c r="AW712" s="5">
        <f>data_origin!T3861</f>
        <v>0</v>
      </c>
      <c r="AX712" s="5">
        <f>data_origin!U3861</f>
        <v>0</v>
      </c>
      <c r="AY712" s="5">
        <f>data_origin!V3861</f>
        <v>6.333333333333333</v>
      </c>
      <c r="AZ712" s="5">
        <f>data_origin!W3861</f>
        <v>3.75</v>
      </c>
      <c r="BA712" s="5">
        <f>data_origin!X3861</f>
        <v>0</v>
      </c>
      <c r="BB712" s="5">
        <f>data_origin!Y3861</f>
        <v>0</v>
      </c>
      <c r="BC712" s="5">
        <f>data_origin!Z3861</f>
        <v>0</v>
      </c>
      <c r="BD712" s="5">
        <f>data_origin!AA3861</f>
        <v>0</v>
      </c>
      <c r="BE712" s="5">
        <f t="shared" si="92"/>
        <v>10.083333333333332</v>
      </c>
    </row>
    <row r="713" spans="4:57" x14ac:dyDescent="0.25">
      <c r="D713" t="s">
        <v>87</v>
      </c>
      <c r="E713" s="35">
        <f t="shared" si="90"/>
        <v>0</v>
      </c>
      <c r="F713" s="35">
        <f t="shared" si="90"/>
        <v>0</v>
      </c>
      <c r="G713" s="35">
        <f t="shared" si="90"/>
        <v>116.84354241503178</v>
      </c>
      <c r="H713" s="35">
        <f t="shared" si="90"/>
        <v>86.446304223112193</v>
      </c>
      <c r="I713" s="35">
        <f t="shared" si="90"/>
        <v>15.334572917232796</v>
      </c>
      <c r="J713" s="35">
        <f t="shared" si="90"/>
        <v>0</v>
      </c>
      <c r="K713" s="35">
        <f t="shared" si="90"/>
        <v>0</v>
      </c>
      <c r="L713" s="35">
        <f t="shared" si="89"/>
        <v>0</v>
      </c>
      <c r="M713" s="35">
        <f t="shared" si="93"/>
        <v>218.62441955537676</v>
      </c>
      <c r="S713" t="s">
        <v>87</v>
      </c>
      <c r="T713" s="5">
        <f>data_origin!T836</f>
        <v>0</v>
      </c>
      <c r="U713" s="5">
        <f>data_origin!U836</f>
        <v>0</v>
      </c>
      <c r="V713" s="5">
        <f>data_origin!V836</f>
        <v>116.69535783365571</v>
      </c>
      <c r="W713" s="5">
        <f>data_origin!W836</f>
        <v>86.29737609329446</v>
      </c>
      <c r="X713" s="5">
        <f>data_origin!X836</f>
        <v>15.290780141843971</v>
      </c>
      <c r="Y713" s="5">
        <f>data_origin!Y836</f>
        <v>0</v>
      </c>
      <c r="Z713" s="5">
        <f>data_origin!Z836</f>
        <v>0</v>
      </c>
      <c r="AA713" s="5">
        <f>data_origin!AA836</f>
        <v>0</v>
      </c>
      <c r="AB713" s="5">
        <f t="shared" si="87"/>
        <v>218.28351406879415</v>
      </c>
      <c r="AH713" t="s">
        <v>84</v>
      </c>
      <c r="AI713" s="5">
        <f>data_origin!T3760</f>
        <v>0</v>
      </c>
      <c r="AJ713" s="5">
        <f>data_origin!U3760</f>
        <v>0</v>
      </c>
      <c r="AK713" s="5">
        <f>data_origin!V3760</f>
        <v>3.7826086956521738</v>
      </c>
      <c r="AL713" s="5">
        <f>data_origin!W3760</f>
        <v>2.145833333333333</v>
      </c>
      <c r="AM713" s="5">
        <f>data_origin!X3760</f>
        <v>2.6551724137931032</v>
      </c>
      <c r="AN713" s="5">
        <f>data_origin!Y3760</f>
        <v>0</v>
      </c>
      <c r="AO713" s="5">
        <f>data_origin!Z3760</f>
        <v>0</v>
      </c>
      <c r="AP713" s="5">
        <f>data_origin!AA3760</f>
        <v>0</v>
      </c>
      <c r="AQ713" s="9">
        <f t="shared" si="91"/>
        <v>8.583614442778611</v>
      </c>
      <c r="AV713" t="s">
        <v>84</v>
      </c>
      <c r="AW713" s="5">
        <f>data_origin!T3862</f>
        <v>0</v>
      </c>
      <c r="AX713" s="5">
        <f>data_origin!U3862</f>
        <v>0</v>
      </c>
      <c r="AY713" s="5">
        <f>data_origin!V3862</f>
        <v>0</v>
      </c>
      <c r="AZ713" s="5">
        <f>data_origin!W3862</f>
        <v>0</v>
      </c>
      <c r="BA713" s="5">
        <f>data_origin!X3862</f>
        <v>6.7058823529411766</v>
      </c>
      <c r="BB713" s="5">
        <f>data_origin!Y3862</f>
        <v>0</v>
      </c>
      <c r="BC713" s="5">
        <f>data_origin!Z3862</f>
        <v>0</v>
      </c>
      <c r="BD713" s="5">
        <f>data_origin!AA3862</f>
        <v>0</v>
      </c>
      <c r="BE713" s="5">
        <f t="shared" si="92"/>
        <v>6.7058823529411766</v>
      </c>
    </row>
    <row r="714" spans="4:57" x14ac:dyDescent="0.25">
      <c r="D714" t="s">
        <v>88</v>
      </c>
      <c r="E714" s="35">
        <f t="shared" si="90"/>
        <v>0</v>
      </c>
      <c r="F714" s="35">
        <f t="shared" si="90"/>
        <v>0</v>
      </c>
      <c r="G714" s="35">
        <f t="shared" si="90"/>
        <v>400.91270516717327</v>
      </c>
      <c r="H714" s="35">
        <f t="shared" si="90"/>
        <v>391.16952660958265</v>
      </c>
      <c r="I714" s="35">
        <f t="shared" si="90"/>
        <v>119.39060342702678</v>
      </c>
      <c r="J714" s="35">
        <f t="shared" si="90"/>
        <v>7.0437003405221343</v>
      </c>
      <c r="K714" s="35">
        <f t="shared" si="90"/>
        <v>0</v>
      </c>
      <c r="L714" s="35">
        <f t="shared" si="89"/>
        <v>0</v>
      </c>
      <c r="M714" s="35">
        <f t="shared" si="93"/>
        <v>918.51653554430482</v>
      </c>
      <c r="S714" t="s">
        <v>88</v>
      </c>
      <c r="T714" s="5">
        <f>data_origin!T837</f>
        <v>0</v>
      </c>
      <c r="U714" s="5">
        <f>data_origin!U837</f>
        <v>0</v>
      </c>
      <c r="V714" s="5">
        <f>data_origin!V837</f>
        <v>400.40425531914894</v>
      </c>
      <c r="W714" s="5">
        <f>data_origin!W837</f>
        <v>390.49562682215742</v>
      </c>
      <c r="X714" s="5">
        <f>data_origin!X837</f>
        <v>119.04964539007092</v>
      </c>
      <c r="Y714" s="5">
        <f>data_origin!Y837</f>
        <v>7</v>
      </c>
      <c r="Z714" s="5">
        <f>data_origin!Z837</f>
        <v>0</v>
      </c>
      <c r="AA714" s="5">
        <f>data_origin!AA837</f>
        <v>0</v>
      </c>
      <c r="AB714" s="5">
        <f t="shared" si="87"/>
        <v>916.94952753137727</v>
      </c>
      <c r="AH714" t="s">
        <v>85</v>
      </c>
      <c r="AI714" s="5">
        <f>data_origin!T3761</f>
        <v>0</v>
      </c>
      <c r="AJ714" s="5">
        <f>data_origin!U3761</f>
        <v>0</v>
      </c>
      <c r="AK714" s="5">
        <f>data_origin!V3761</f>
        <v>3.7826086956521738</v>
      </c>
      <c r="AL714" s="5">
        <f>data_origin!W3761</f>
        <v>10.729166666666668</v>
      </c>
      <c r="AM714" s="5">
        <f>data_origin!X3761</f>
        <v>5.3103448275862064</v>
      </c>
      <c r="AN714" s="5">
        <f>data_origin!Y3761</f>
        <v>0</v>
      </c>
      <c r="AO714" s="5">
        <f>data_origin!Z3761</f>
        <v>0</v>
      </c>
      <c r="AP714" s="5">
        <f>data_origin!AA3761</f>
        <v>0</v>
      </c>
      <c r="AQ714" s="9">
        <f t="shared" si="91"/>
        <v>19.82212018990505</v>
      </c>
      <c r="AV714" t="s">
        <v>85</v>
      </c>
      <c r="AW714" s="5">
        <f>data_origin!T3863</f>
        <v>0</v>
      </c>
      <c r="AX714" s="5">
        <f>data_origin!U3863</f>
        <v>0</v>
      </c>
      <c r="AY714" s="5">
        <f>data_origin!V3863</f>
        <v>12.666666666666666</v>
      </c>
      <c r="AZ714" s="5">
        <f>data_origin!W3863</f>
        <v>7.5</v>
      </c>
      <c r="BA714" s="5">
        <f>data_origin!X3863</f>
        <v>3.3529411764705883</v>
      </c>
      <c r="BB714" s="5">
        <f>data_origin!Y3863</f>
        <v>0</v>
      </c>
      <c r="BC714" s="5">
        <f>data_origin!Z3863</f>
        <v>0</v>
      </c>
      <c r="BD714" s="5">
        <f>data_origin!AA3863</f>
        <v>0</v>
      </c>
      <c r="BE714" s="5">
        <f t="shared" si="92"/>
        <v>23.519607843137251</v>
      </c>
    </row>
    <row r="715" spans="4:57" x14ac:dyDescent="0.25">
      <c r="D715" t="s">
        <v>89</v>
      </c>
      <c r="E715" s="35">
        <f t="shared" si="90"/>
        <v>0</v>
      </c>
      <c r="F715" s="35">
        <f t="shared" si="90"/>
        <v>0</v>
      </c>
      <c r="G715" s="35">
        <f t="shared" si="90"/>
        <v>9.6476319425255586</v>
      </c>
      <c r="H715" s="35">
        <f t="shared" si="90"/>
        <v>15.128103239044632</v>
      </c>
      <c r="I715" s="35">
        <f t="shared" si="90"/>
        <v>9.8579397325067983</v>
      </c>
      <c r="J715" s="35">
        <f t="shared" si="90"/>
        <v>0</v>
      </c>
      <c r="K715" s="35">
        <f t="shared" si="90"/>
        <v>0</v>
      </c>
      <c r="L715" s="35">
        <f t="shared" si="89"/>
        <v>0</v>
      </c>
      <c r="M715" s="35">
        <f t="shared" si="93"/>
        <v>34.633674914076991</v>
      </c>
      <c r="S715" t="s">
        <v>89</v>
      </c>
      <c r="T715" s="5">
        <f>data_origin!T838</f>
        <v>0</v>
      </c>
      <c r="U715" s="5">
        <f>data_origin!U838</f>
        <v>0</v>
      </c>
      <c r="V715" s="5">
        <f>data_origin!V838</f>
        <v>9.6353965183752415</v>
      </c>
      <c r="W715" s="5">
        <f>data_origin!W838</f>
        <v>15.102040816326531</v>
      </c>
      <c r="X715" s="5">
        <f>data_origin!X838</f>
        <v>9.8297872340425538</v>
      </c>
      <c r="Y715" s="5">
        <f>data_origin!Y838</f>
        <v>0</v>
      </c>
      <c r="Z715" s="5">
        <f>data_origin!Z838</f>
        <v>0</v>
      </c>
      <c r="AA715" s="5">
        <f>data_origin!AA838</f>
        <v>0</v>
      </c>
      <c r="AB715" s="5">
        <f t="shared" si="87"/>
        <v>34.567224568744329</v>
      </c>
      <c r="AH715" t="s">
        <v>86</v>
      </c>
      <c r="AI715" s="5">
        <f>data_origin!T3762</f>
        <v>0</v>
      </c>
      <c r="AJ715" s="5">
        <f>data_origin!U3762</f>
        <v>0</v>
      </c>
      <c r="AK715" s="5">
        <f>data_origin!V3762</f>
        <v>1.2608695652173914</v>
      </c>
      <c r="AL715" s="5">
        <f>data_origin!W3762</f>
        <v>19.3125</v>
      </c>
      <c r="AM715" s="5">
        <f>data_origin!X3762</f>
        <v>18.586206896551722</v>
      </c>
      <c r="AN715" s="5">
        <f>data_origin!Y3762</f>
        <v>6.6666666666666661</v>
      </c>
      <c r="AO715" s="5">
        <f>data_origin!Z3762</f>
        <v>0</v>
      </c>
      <c r="AP715" s="5">
        <f>data_origin!AA3762</f>
        <v>0</v>
      </c>
      <c r="AQ715" s="9">
        <f t="shared" si="91"/>
        <v>45.826243128435777</v>
      </c>
      <c r="AV715" t="s">
        <v>86</v>
      </c>
      <c r="AW715" s="5">
        <f>data_origin!T3864</f>
        <v>0</v>
      </c>
      <c r="AX715" s="5">
        <f>data_origin!U3864</f>
        <v>0</v>
      </c>
      <c r="AY715" s="5">
        <f>data_origin!V3864</f>
        <v>6.333333333333333</v>
      </c>
      <c r="AZ715" s="5">
        <f>data_origin!W3864</f>
        <v>7.5</v>
      </c>
      <c r="BA715" s="5">
        <f>data_origin!X3864</f>
        <v>3.3529411764705883</v>
      </c>
      <c r="BB715" s="5">
        <f>data_origin!Y3864</f>
        <v>3.333333333333333</v>
      </c>
      <c r="BC715" s="5">
        <f>data_origin!Z3864</f>
        <v>0</v>
      </c>
      <c r="BD715" s="5">
        <f>data_origin!AA3864</f>
        <v>0</v>
      </c>
      <c r="BE715" s="5">
        <f t="shared" si="92"/>
        <v>20.519607843137251</v>
      </c>
    </row>
    <row r="716" spans="4:57" x14ac:dyDescent="0.25">
      <c r="D716" t="s">
        <v>90</v>
      </c>
      <c r="E716" s="35">
        <f t="shared" si="90"/>
        <v>0</v>
      </c>
      <c r="F716" s="35">
        <f t="shared" si="90"/>
        <v>0</v>
      </c>
      <c r="G716" s="35">
        <f t="shared" si="90"/>
        <v>0</v>
      </c>
      <c r="H716" s="35">
        <f t="shared" si="90"/>
        <v>0</v>
      </c>
      <c r="I716" s="35">
        <f t="shared" si="90"/>
        <v>0</v>
      </c>
      <c r="J716" s="35">
        <f t="shared" si="90"/>
        <v>0</v>
      </c>
      <c r="K716" s="35">
        <f t="shared" si="90"/>
        <v>0</v>
      </c>
      <c r="L716" s="35">
        <f t="shared" si="89"/>
        <v>0</v>
      </c>
      <c r="M716" s="35">
        <f t="shared" si="93"/>
        <v>0</v>
      </c>
      <c r="S716" t="s">
        <v>90</v>
      </c>
      <c r="T716" s="5">
        <f>data_origin!T839</f>
        <v>0</v>
      </c>
      <c r="U716" s="5">
        <f>data_origin!U839</f>
        <v>0</v>
      </c>
      <c r="V716" s="5">
        <f>data_origin!V839</f>
        <v>0</v>
      </c>
      <c r="W716" s="5">
        <f>data_origin!W839</f>
        <v>0</v>
      </c>
      <c r="X716" s="5">
        <f>data_origin!X839</f>
        <v>0</v>
      </c>
      <c r="Y716" s="5">
        <f>data_origin!Y839</f>
        <v>0</v>
      </c>
      <c r="Z716" s="5">
        <f>data_origin!Z839</f>
        <v>0</v>
      </c>
      <c r="AA716" s="5">
        <f>data_origin!AA839</f>
        <v>0</v>
      </c>
      <c r="AB716" s="5">
        <f t="shared" si="87"/>
        <v>0</v>
      </c>
      <c r="AH716" t="s">
        <v>87</v>
      </c>
      <c r="AI716" s="5">
        <f>data_origin!T3763</f>
        <v>0</v>
      </c>
      <c r="AJ716" s="5">
        <f>data_origin!U3763</f>
        <v>0</v>
      </c>
      <c r="AK716" s="5">
        <f>data_origin!V3763</f>
        <v>0</v>
      </c>
      <c r="AL716" s="5">
        <f>data_origin!W3763</f>
        <v>2.145833333333333</v>
      </c>
      <c r="AM716" s="5">
        <f>data_origin!X3763</f>
        <v>5.3103448275862064</v>
      </c>
      <c r="AN716" s="5">
        <f>data_origin!Y3763</f>
        <v>0</v>
      </c>
      <c r="AO716" s="5">
        <f>data_origin!Z3763</f>
        <v>0</v>
      </c>
      <c r="AP716" s="5">
        <f>data_origin!AA3763</f>
        <v>0</v>
      </c>
      <c r="AQ716" s="9">
        <f t="shared" si="91"/>
        <v>7.4561781609195394</v>
      </c>
      <c r="AV716" t="s">
        <v>87</v>
      </c>
      <c r="AW716" s="5">
        <f>data_origin!T3865</f>
        <v>0</v>
      </c>
      <c r="AX716" s="5">
        <f>data_origin!U3865</f>
        <v>0</v>
      </c>
      <c r="AY716" s="5">
        <f>data_origin!V3865</f>
        <v>0</v>
      </c>
      <c r="AZ716" s="5">
        <f>data_origin!W3865</f>
        <v>3.75</v>
      </c>
      <c r="BA716" s="5">
        <f>data_origin!X3865</f>
        <v>0</v>
      </c>
      <c r="BB716" s="5">
        <f>data_origin!Y3865</f>
        <v>0</v>
      </c>
      <c r="BC716" s="5">
        <f>data_origin!Z3865</f>
        <v>0</v>
      </c>
      <c r="BD716" s="5">
        <f>data_origin!AA3865</f>
        <v>0</v>
      </c>
      <c r="BE716" s="5">
        <f t="shared" si="92"/>
        <v>3.75</v>
      </c>
    </row>
    <row r="717" spans="4:57" x14ac:dyDescent="0.25">
      <c r="D717" t="s">
        <v>91</v>
      </c>
      <c r="E717" s="35">
        <f t="shared" si="90"/>
        <v>0</v>
      </c>
      <c r="F717" s="35">
        <f t="shared" si="90"/>
        <v>0</v>
      </c>
      <c r="G717" s="35">
        <f t="shared" si="90"/>
        <v>0</v>
      </c>
      <c r="H717" s="35">
        <f t="shared" si="90"/>
        <v>0</v>
      </c>
      <c r="I717" s="35">
        <f t="shared" si="90"/>
        <v>1.0953266369451997</v>
      </c>
      <c r="J717" s="35">
        <f t="shared" si="90"/>
        <v>0</v>
      </c>
      <c r="K717" s="35">
        <f t="shared" si="90"/>
        <v>0</v>
      </c>
      <c r="L717" s="35">
        <f t="shared" si="89"/>
        <v>0</v>
      </c>
      <c r="M717" s="35">
        <f t="shared" si="93"/>
        <v>1.0953266369451997</v>
      </c>
      <c r="S717" t="s">
        <v>91</v>
      </c>
      <c r="T717" s="5">
        <f>data_origin!T840</f>
        <v>0</v>
      </c>
      <c r="U717" s="5">
        <f>data_origin!U840</f>
        <v>0</v>
      </c>
      <c r="V717" s="5">
        <f>data_origin!V840</f>
        <v>0</v>
      </c>
      <c r="W717" s="5">
        <f>data_origin!W840</f>
        <v>0</v>
      </c>
      <c r="X717" s="5">
        <f>data_origin!X840</f>
        <v>1.0921985815602837</v>
      </c>
      <c r="Y717" s="5">
        <f>data_origin!Y840</f>
        <v>0</v>
      </c>
      <c r="Z717" s="5">
        <f>data_origin!Z840</f>
        <v>0</v>
      </c>
      <c r="AA717" s="5">
        <f>data_origin!AA840</f>
        <v>0</v>
      </c>
      <c r="AB717" s="5">
        <f t="shared" si="87"/>
        <v>1.0921985815602837</v>
      </c>
      <c r="AH717" t="s">
        <v>88</v>
      </c>
      <c r="AI717" s="5">
        <f>data_origin!T3764</f>
        <v>0</v>
      </c>
      <c r="AJ717" s="5">
        <f>data_origin!U3764</f>
        <v>0</v>
      </c>
      <c r="AK717" s="5">
        <f>data_origin!V3764</f>
        <v>3.7826086956521738</v>
      </c>
      <c r="AL717" s="5">
        <f>data_origin!W3764</f>
        <v>27.895833333333332</v>
      </c>
      <c r="AM717" s="5">
        <f>data_origin!X3764</f>
        <v>13.275862068965518</v>
      </c>
      <c r="AN717" s="5">
        <f>data_origin!Y3764</f>
        <v>0</v>
      </c>
      <c r="AO717" s="5">
        <f>data_origin!Z3764</f>
        <v>2</v>
      </c>
      <c r="AP717" s="5">
        <f>data_origin!AA3764</f>
        <v>0</v>
      </c>
      <c r="AQ717" s="9">
        <f t="shared" si="91"/>
        <v>46.954304097951024</v>
      </c>
      <c r="AV717" t="s">
        <v>88</v>
      </c>
      <c r="AW717" s="5">
        <f>data_origin!T3866</f>
        <v>0</v>
      </c>
      <c r="AX717" s="5">
        <f>data_origin!U3866</f>
        <v>0</v>
      </c>
      <c r="AY717" s="5">
        <f>data_origin!V3866</f>
        <v>6.333333333333333</v>
      </c>
      <c r="AZ717" s="5">
        <f>data_origin!W3866</f>
        <v>22.5</v>
      </c>
      <c r="BA717" s="5">
        <f>data_origin!X3866</f>
        <v>6.7058823529411766</v>
      </c>
      <c r="BB717" s="5">
        <f>data_origin!Y3866</f>
        <v>0</v>
      </c>
      <c r="BC717" s="5">
        <f>data_origin!Z3866</f>
        <v>0</v>
      </c>
      <c r="BD717" s="5">
        <f>data_origin!AA3866</f>
        <v>0</v>
      </c>
      <c r="BE717" s="5">
        <f t="shared" si="92"/>
        <v>35.53921568627451</v>
      </c>
    </row>
    <row r="718" spans="4:57" x14ac:dyDescent="0.25">
      <c r="D718" t="s">
        <v>92</v>
      </c>
      <c r="E718" s="35">
        <f t="shared" si="90"/>
        <v>0</v>
      </c>
      <c r="F718" s="35">
        <f t="shared" si="90"/>
        <v>0</v>
      </c>
      <c r="G718" s="35">
        <f t="shared" si="90"/>
        <v>0</v>
      </c>
      <c r="H718" s="35">
        <f t="shared" si="90"/>
        <v>0</v>
      </c>
      <c r="I718" s="35">
        <f t="shared" si="90"/>
        <v>0</v>
      </c>
      <c r="J718" s="35">
        <f t="shared" si="90"/>
        <v>0</v>
      </c>
      <c r="K718" s="35">
        <f t="shared" si="90"/>
        <v>0</v>
      </c>
      <c r="L718" s="35">
        <f t="shared" si="89"/>
        <v>0</v>
      </c>
      <c r="M718" s="35">
        <f t="shared" si="93"/>
        <v>0</v>
      </c>
      <c r="S718" t="s">
        <v>92</v>
      </c>
      <c r="T718" s="5">
        <f>data_origin!T841</f>
        <v>0</v>
      </c>
      <c r="U718" s="5">
        <f>data_origin!U841</f>
        <v>0</v>
      </c>
      <c r="V718" s="5">
        <f>data_origin!V841</f>
        <v>0</v>
      </c>
      <c r="W718" s="5">
        <f>data_origin!W841</f>
        <v>0</v>
      </c>
      <c r="X718" s="5">
        <f>data_origin!X841</f>
        <v>0</v>
      </c>
      <c r="Y718" s="5">
        <f>data_origin!Y841</f>
        <v>0</v>
      </c>
      <c r="Z718" s="5">
        <f>data_origin!Z841</f>
        <v>0</v>
      </c>
      <c r="AA718" s="5">
        <f>data_origin!AA841</f>
        <v>0</v>
      </c>
      <c r="AB718" s="5">
        <f t="shared" si="87"/>
        <v>0</v>
      </c>
      <c r="AH718" t="s">
        <v>89</v>
      </c>
      <c r="AI718" s="5">
        <f>data_origin!T3765</f>
        <v>0</v>
      </c>
      <c r="AJ718" s="5">
        <f>data_origin!U3765</f>
        <v>0</v>
      </c>
      <c r="AK718" s="5">
        <f>data_origin!V3765</f>
        <v>0</v>
      </c>
      <c r="AL718" s="5">
        <f>data_origin!W3765</f>
        <v>0</v>
      </c>
      <c r="AM718" s="5">
        <f>data_origin!X3765</f>
        <v>0</v>
      </c>
      <c r="AN718" s="5">
        <f>data_origin!Y3765</f>
        <v>0</v>
      </c>
      <c r="AO718" s="5">
        <f>data_origin!Z3765</f>
        <v>0</v>
      </c>
      <c r="AP718" s="5">
        <f>data_origin!AA3765</f>
        <v>0</v>
      </c>
      <c r="AQ718" s="9">
        <f t="shared" si="91"/>
        <v>0</v>
      </c>
      <c r="AV718" t="s">
        <v>89</v>
      </c>
      <c r="AW718" s="5">
        <f>data_origin!T3867</f>
        <v>0</v>
      </c>
      <c r="AX718" s="5">
        <f>data_origin!U3867</f>
        <v>0</v>
      </c>
      <c r="AY718" s="5">
        <f>data_origin!V3867</f>
        <v>0</v>
      </c>
      <c r="AZ718" s="5">
        <f>data_origin!W3867</f>
        <v>3.75</v>
      </c>
      <c r="BA718" s="5">
        <f>data_origin!X3867</f>
        <v>3.3529411764705883</v>
      </c>
      <c r="BB718" s="5">
        <f>data_origin!Y3867</f>
        <v>0</v>
      </c>
      <c r="BC718" s="5">
        <f>data_origin!Z3867</f>
        <v>0</v>
      </c>
      <c r="BD718" s="5">
        <f>data_origin!AA3867</f>
        <v>0</v>
      </c>
      <c r="BE718" s="5">
        <f t="shared" si="92"/>
        <v>7.1029411764705888</v>
      </c>
    </row>
    <row r="719" spans="4:57" x14ac:dyDescent="0.25">
      <c r="D719" t="s">
        <v>93</v>
      </c>
      <c r="E719" s="35">
        <f t="shared" si="90"/>
        <v>0</v>
      </c>
      <c r="F719" s="35">
        <f t="shared" si="90"/>
        <v>0</v>
      </c>
      <c r="G719" s="35">
        <f t="shared" si="90"/>
        <v>1.0719591047250621</v>
      </c>
      <c r="H719" s="35">
        <f t="shared" si="90"/>
        <v>0</v>
      </c>
      <c r="I719" s="35">
        <f t="shared" si="90"/>
        <v>0</v>
      </c>
      <c r="J719" s="35">
        <f t="shared" si="90"/>
        <v>0</v>
      </c>
      <c r="K719" s="35">
        <f t="shared" si="90"/>
        <v>0</v>
      </c>
      <c r="L719" s="35">
        <f t="shared" si="89"/>
        <v>0</v>
      </c>
      <c r="M719" s="35">
        <f t="shared" si="93"/>
        <v>1.0719591047250621</v>
      </c>
      <c r="S719" t="s">
        <v>93</v>
      </c>
      <c r="T719" s="5">
        <f>data_origin!T842</f>
        <v>0</v>
      </c>
      <c r="U719" s="5">
        <f>data_origin!U842</f>
        <v>0</v>
      </c>
      <c r="V719" s="5">
        <f>data_origin!V842</f>
        <v>1.0705996131528046</v>
      </c>
      <c r="W719" s="5">
        <f>data_origin!W842</f>
        <v>0</v>
      </c>
      <c r="X719" s="5">
        <f>data_origin!X842</f>
        <v>0</v>
      </c>
      <c r="Y719" s="5">
        <f>data_origin!Y842</f>
        <v>0</v>
      </c>
      <c r="Z719" s="5">
        <f>data_origin!Z842</f>
        <v>0</v>
      </c>
      <c r="AA719" s="5">
        <f>data_origin!AA842</f>
        <v>0</v>
      </c>
      <c r="AB719" s="5">
        <f t="shared" si="87"/>
        <v>1.0705996131528046</v>
      </c>
      <c r="AH719" t="s">
        <v>90</v>
      </c>
      <c r="AI719" s="5">
        <f>data_origin!T3766</f>
        <v>0</v>
      </c>
      <c r="AJ719" s="5">
        <f>data_origin!U3766</f>
        <v>0</v>
      </c>
      <c r="AK719" s="5">
        <f>data_origin!V3766</f>
        <v>0</v>
      </c>
      <c r="AL719" s="5">
        <f>data_origin!W3766</f>
        <v>0</v>
      </c>
      <c r="AM719" s="5">
        <f>data_origin!X3766</f>
        <v>0</v>
      </c>
      <c r="AN719" s="5">
        <f>data_origin!Y3766</f>
        <v>0</v>
      </c>
      <c r="AO719" s="5">
        <f>data_origin!Z3766</f>
        <v>0</v>
      </c>
      <c r="AP719" s="5">
        <f>data_origin!AA3766</f>
        <v>0</v>
      </c>
      <c r="AQ719" s="9">
        <f t="shared" si="91"/>
        <v>0</v>
      </c>
      <c r="AV719" t="s">
        <v>90</v>
      </c>
      <c r="AW719" s="5">
        <f>data_origin!T3868</f>
        <v>0</v>
      </c>
      <c r="AX719" s="5">
        <f>data_origin!U3868</f>
        <v>0</v>
      </c>
      <c r="AY719" s="5">
        <f>data_origin!V3868</f>
        <v>0</v>
      </c>
      <c r="AZ719" s="5">
        <f>data_origin!W3868</f>
        <v>0</v>
      </c>
      <c r="BA719" s="5">
        <f>data_origin!X3868</f>
        <v>0</v>
      </c>
      <c r="BB719" s="5">
        <f>data_origin!Y3868</f>
        <v>0</v>
      </c>
      <c r="BC719" s="5">
        <f>data_origin!Z3868</f>
        <v>0</v>
      </c>
      <c r="BD719" s="5">
        <f>data_origin!AA3868</f>
        <v>0</v>
      </c>
      <c r="BE719" s="5">
        <f t="shared" si="92"/>
        <v>0</v>
      </c>
    </row>
    <row r="720" spans="4:57" x14ac:dyDescent="0.25">
      <c r="D720" t="s">
        <v>94</v>
      </c>
      <c r="E720" s="35">
        <f t="shared" si="90"/>
        <v>0</v>
      </c>
      <c r="F720" s="35">
        <f t="shared" si="90"/>
        <v>0</v>
      </c>
      <c r="G720" s="35">
        <f t="shared" si="90"/>
        <v>0</v>
      </c>
      <c r="H720" s="35">
        <f t="shared" si="90"/>
        <v>0</v>
      </c>
      <c r="I720" s="35">
        <f t="shared" si="90"/>
        <v>0</v>
      </c>
      <c r="J720" s="35">
        <f t="shared" si="90"/>
        <v>0</v>
      </c>
      <c r="K720" s="35">
        <f t="shared" si="90"/>
        <v>0</v>
      </c>
      <c r="L720" s="35">
        <f t="shared" si="89"/>
        <v>0</v>
      </c>
      <c r="M720" s="35">
        <f t="shared" si="93"/>
        <v>0</v>
      </c>
      <c r="S720" t="s">
        <v>94</v>
      </c>
      <c r="T720" s="5">
        <f>data_origin!T843</f>
        <v>0</v>
      </c>
      <c r="U720" s="5">
        <f>data_origin!U843</f>
        <v>0</v>
      </c>
      <c r="V720" s="5">
        <f>data_origin!V843</f>
        <v>0</v>
      </c>
      <c r="W720" s="5">
        <f>data_origin!W843</f>
        <v>0</v>
      </c>
      <c r="X720" s="5">
        <f>data_origin!X843</f>
        <v>0</v>
      </c>
      <c r="Y720" s="5">
        <f>data_origin!Y843</f>
        <v>0</v>
      </c>
      <c r="Z720" s="5">
        <f>data_origin!Z843</f>
        <v>0</v>
      </c>
      <c r="AA720" s="5">
        <f>data_origin!AA843</f>
        <v>0</v>
      </c>
      <c r="AB720" s="5">
        <f t="shared" si="87"/>
        <v>0</v>
      </c>
      <c r="AH720" t="s">
        <v>91</v>
      </c>
      <c r="AI720" s="5">
        <f>data_origin!T3767</f>
        <v>0</v>
      </c>
      <c r="AJ720" s="5">
        <f>data_origin!U3767</f>
        <v>0</v>
      </c>
      <c r="AK720" s="5">
        <f>data_origin!V3767</f>
        <v>0</v>
      </c>
      <c r="AL720" s="5">
        <f>data_origin!W3767</f>
        <v>0</v>
      </c>
      <c r="AM720" s="5">
        <f>data_origin!X3767</f>
        <v>0</v>
      </c>
      <c r="AN720" s="5">
        <f>data_origin!Y3767</f>
        <v>0</v>
      </c>
      <c r="AO720" s="5">
        <f>data_origin!Z3767</f>
        <v>0</v>
      </c>
      <c r="AP720" s="5">
        <f>data_origin!AA3767</f>
        <v>0</v>
      </c>
      <c r="AQ720" s="9">
        <f t="shared" si="91"/>
        <v>0</v>
      </c>
      <c r="AV720" t="s">
        <v>91</v>
      </c>
      <c r="AW720" s="5">
        <f>data_origin!T3869</f>
        <v>0</v>
      </c>
      <c r="AX720" s="5">
        <f>data_origin!U3869</f>
        <v>0</v>
      </c>
      <c r="AY720" s="5">
        <f>data_origin!V3869</f>
        <v>0</v>
      </c>
      <c r="AZ720" s="5">
        <f>data_origin!W3869</f>
        <v>0</v>
      </c>
      <c r="BA720" s="5">
        <f>data_origin!X3869</f>
        <v>0</v>
      </c>
      <c r="BB720" s="5">
        <f>data_origin!Y3869</f>
        <v>0</v>
      </c>
      <c r="BC720" s="5">
        <f>data_origin!Z3869</f>
        <v>0</v>
      </c>
      <c r="BD720" s="5">
        <f>data_origin!AA3869</f>
        <v>0</v>
      </c>
      <c r="BE720" s="5">
        <f t="shared" si="92"/>
        <v>0</v>
      </c>
    </row>
    <row r="721" spans="1:57" x14ac:dyDescent="0.25">
      <c r="D721" t="s">
        <v>95</v>
      </c>
      <c r="E721" s="35">
        <f t="shared" si="90"/>
        <v>0</v>
      </c>
      <c r="F721" s="35">
        <f t="shared" si="90"/>
        <v>0</v>
      </c>
      <c r="G721" s="35">
        <f t="shared" si="90"/>
        <v>0</v>
      </c>
      <c r="H721" s="35">
        <f t="shared" si="90"/>
        <v>0</v>
      </c>
      <c r="I721" s="35">
        <f t="shared" si="90"/>
        <v>0</v>
      </c>
      <c r="J721" s="35">
        <f t="shared" si="90"/>
        <v>0</v>
      </c>
      <c r="K721" s="35">
        <f t="shared" si="90"/>
        <v>0</v>
      </c>
      <c r="L721" s="35">
        <f t="shared" si="89"/>
        <v>0</v>
      </c>
      <c r="M721" s="35">
        <f t="shared" si="93"/>
        <v>0</v>
      </c>
      <c r="S721" t="s">
        <v>95</v>
      </c>
      <c r="T721" s="5">
        <f>data_origin!T844</f>
        <v>0</v>
      </c>
      <c r="U721" s="5">
        <f>data_origin!U844</f>
        <v>0</v>
      </c>
      <c r="V721" s="5">
        <f>data_origin!V844</f>
        <v>0</v>
      </c>
      <c r="W721" s="5">
        <f>data_origin!W844</f>
        <v>0</v>
      </c>
      <c r="X721" s="5">
        <f>data_origin!X844</f>
        <v>0</v>
      </c>
      <c r="Y721" s="5">
        <f>data_origin!Y844</f>
        <v>0</v>
      </c>
      <c r="Z721" s="5">
        <f>data_origin!Z844</f>
        <v>0</v>
      </c>
      <c r="AA721" s="5">
        <f>data_origin!AA844</f>
        <v>0</v>
      </c>
      <c r="AB721" s="5">
        <f t="shared" si="87"/>
        <v>0</v>
      </c>
      <c r="AH721" t="s">
        <v>92</v>
      </c>
      <c r="AI721" s="5">
        <f>data_origin!T3768</f>
        <v>0</v>
      </c>
      <c r="AJ721" s="5">
        <f>data_origin!U3768</f>
        <v>0</v>
      </c>
      <c r="AK721" s="5">
        <f>data_origin!V3768</f>
        <v>0</v>
      </c>
      <c r="AL721" s="5">
        <f>data_origin!W3768</f>
        <v>0</v>
      </c>
      <c r="AM721" s="5">
        <f>data_origin!X3768</f>
        <v>0</v>
      </c>
      <c r="AN721" s="5">
        <f>data_origin!Y3768</f>
        <v>0</v>
      </c>
      <c r="AO721" s="5">
        <f>data_origin!Z3768</f>
        <v>0</v>
      </c>
      <c r="AP721" s="5">
        <f>data_origin!AA3768</f>
        <v>0</v>
      </c>
      <c r="AQ721" s="9">
        <f t="shared" si="91"/>
        <v>0</v>
      </c>
      <c r="AV721" t="s">
        <v>92</v>
      </c>
      <c r="AW721" s="5">
        <f>data_origin!T3870</f>
        <v>0</v>
      </c>
      <c r="AX721" s="5">
        <f>data_origin!U3870</f>
        <v>0</v>
      </c>
      <c r="AY721" s="5">
        <f>data_origin!V3870</f>
        <v>0</v>
      </c>
      <c r="AZ721" s="5">
        <f>data_origin!W3870</f>
        <v>0</v>
      </c>
      <c r="BA721" s="5">
        <f>data_origin!X3870</f>
        <v>0</v>
      </c>
      <c r="BB721" s="5">
        <f>data_origin!Y3870</f>
        <v>0</v>
      </c>
      <c r="BC721" s="5">
        <f>data_origin!Z3870</f>
        <v>0</v>
      </c>
      <c r="BD721" s="5">
        <f>data_origin!AA3870</f>
        <v>0</v>
      </c>
      <c r="BE721" s="5">
        <f t="shared" si="92"/>
        <v>0</v>
      </c>
    </row>
    <row r="722" spans="1:57" x14ac:dyDescent="0.25">
      <c r="D722" t="s">
        <v>96</v>
      </c>
      <c r="E722" s="35">
        <f t="shared" si="90"/>
        <v>0</v>
      </c>
      <c r="F722" s="35">
        <f t="shared" si="90"/>
        <v>0</v>
      </c>
      <c r="G722" s="35">
        <f t="shared" si="90"/>
        <v>0</v>
      </c>
      <c r="H722" s="35">
        <f t="shared" si="90"/>
        <v>1.0805788027889023</v>
      </c>
      <c r="I722" s="35">
        <f t="shared" si="90"/>
        <v>0</v>
      </c>
      <c r="J722" s="35">
        <f t="shared" si="90"/>
        <v>0</v>
      </c>
      <c r="K722" s="35">
        <f t="shared" si="90"/>
        <v>0</v>
      </c>
      <c r="L722" s="35">
        <f t="shared" si="89"/>
        <v>0</v>
      </c>
      <c r="M722" s="35">
        <f t="shared" si="93"/>
        <v>1.0805788027889023</v>
      </c>
      <c r="S722" t="s">
        <v>96</v>
      </c>
      <c r="T722" s="5">
        <f>data_origin!T845</f>
        <v>0</v>
      </c>
      <c r="U722" s="5">
        <f>data_origin!U845</f>
        <v>0</v>
      </c>
      <c r="V722" s="5">
        <f>data_origin!V845</f>
        <v>0</v>
      </c>
      <c r="W722" s="5">
        <f>data_origin!W845</f>
        <v>1.0787172011661808</v>
      </c>
      <c r="X722" s="5">
        <f>data_origin!X845</f>
        <v>0</v>
      </c>
      <c r="Y722" s="5">
        <f>data_origin!Y845</f>
        <v>0</v>
      </c>
      <c r="Z722" s="5">
        <f>data_origin!Z845</f>
        <v>0</v>
      </c>
      <c r="AA722" s="5">
        <f>data_origin!AA845</f>
        <v>0</v>
      </c>
      <c r="AB722" s="5">
        <f t="shared" si="87"/>
        <v>1.0787172011661808</v>
      </c>
      <c r="AH722" t="s">
        <v>93</v>
      </c>
      <c r="AI722" s="5">
        <f>data_origin!T3769</f>
        <v>0</v>
      </c>
      <c r="AJ722" s="5">
        <f>data_origin!U3769</f>
        <v>0</v>
      </c>
      <c r="AK722" s="5">
        <f>data_origin!V3769</f>
        <v>0</v>
      </c>
      <c r="AL722" s="5">
        <f>data_origin!W3769</f>
        <v>0</v>
      </c>
      <c r="AM722" s="5">
        <f>data_origin!X3769</f>
        <v>0</v>
      </c>
      <c r="AN722" s="5">
        <f>data_origin!Y3769</f>
        <v>0</v>
      </c>
      <c r="AO722" s="5">
        <f>data_origin!Z3769</f>
        <v>0</v>
      </c>
      <c r="AP722" s="5">
        <f>data_origin!AA3769</f>
        <v>0</v>
      </c>
      <c r="AQ722" s="9">
        <f t="shared" si="91"/>
        <v>0</v>
      </c>
      <c r="AV722" t="s">
        <v>93</v>
      </c>
      <c r="AW722" s="5">
        <f>data_origin!T3871</f>
        <v>0</v>
      </c>
      <c r="AX722" s="5">
        <f>data_origin!U3871</f>
        <v>0</v>
      </c>
      <c r="AY722" s="5">
        <f>data_origin!V3871</f>
        <v>0</v>
      </c>
      <c r="AZ722" s="5">
        <f>data_origin!W3871</f>
        <v>0</v>
      </c>
      <c r="BA722" s="5">
        <f>data_origin!X3871</f>
        <v>0</v>
      </c>
      <c r="BB722" s="5">
        <f>data_origin!Y3871</f>
        <v>0</v>
      </c>
      <c r="BC722" s="5">
        <f>data_origin!Z3871</f>
        <v>0</v>
      </c>
      <c r="BD722" s="5">
        <f>data_origin!AA3871</f>
        <v>0</v>
      </c>
      <c r="BE722" s="5">
        <f t="shared" si="92"/>
        <v>0</v>
      </c>
    </row>
    <row r="723" spans="1:57" x14ac:dyDescent="0.25">
      <c r="D723" t="s">
        <v>97</v>
      </c>
      <c r="E723" s="35">
        <f t="shared" si="90"/>
        <v>0</v>
      </c>
      <c r="F723" s="35">
        <f t="shared" si="90"/>
        <v>0</v>
      </c>
      <c r="G723" s="35">
        <f t="shared" si="90"/>
        <v>0</v>
      </c>
      <c r="H723" s="35">
        <f t="shared" si="90"/>
        <v>0</v>
      </c>
      <c r="I723" s="35">
        <f t="shared" si="90"/>
        <v>0</v>
      </c>
      <c r="J723" s="35">
        <f t="shared" si="90"/>
        <v>0</v>
      </c>
      <c r="K723" s="35">
        <f t="shared" si="90"/>
        <v>0</v>
      </c>
      <c r="L723" s="35">
        <f t="shared" si="89"/>
        <v>0</v>
      </c>
      <c r="M723" s="35">
        <f t="shared" si="93"/>
        <v>0</v>
      </c>
      <c r="S723" t="s">
        <v>97</v>
      </c>
      <c r="T723" s="5">
        <f>data_origin!T846</f>
        <v>0</v>
      </c>
      <c r="U723" s="5">
        <f>data_origin!U846</f>
        <v>0</v>
      </c>
      <c r="V723" s="5">
        <f>data_origin!V846</f>
        <v>0</v>
      </c>
      <c r="W723" s="5">
        <f>data_origin!W846</f>
        <v>0</v>
      </c>
      <c r="X723" s="5">
        <f>data_origin!X846</f>
        <v>0</v>
      </c>
      <c r="Y723" s="5">
        <f>data_origin!Y846</f>
        <v>0</v>
      </c>
      <c r="Z723" s="5">
        <f>data_origin!Z846</f>
        <v>0</v>
      </c>
      <c r="AA723" s="5">
        <f>data_origin!AA846</f>
        <v>0</v>
      </c>
      <c r="AB723" s="5">
        <f t="shared" si="87"/>
        <v>0</v>
      </c>
      <c r="AH723" t="s">
        <v>94</v>
      </c>
      <c r="AI723" s="5">
        <f>data_origin!T3770</f>
        <v>0</v>
      </c>
      <c r="AJ723" s="5">
        <f>data_origin!U3770</f>
        <v>0</v>
      </c>
      <c r="AK723" s="5">
        <f>data_origin!V3770</f>
        <v>0</v>
      </c>
      <c r="AL723" s="5">
        <f>data_origin!W3770</f>
        <v>0</v>
      </c>
      <c r="AM723" s="5">
        <f>data_origin!X3770</f>
        <v>0</v>
      </c>
      <c r="AN723" s="5">
        <f>data_origin!Y3770</f>
        <v>0</v>
      </c>
      <c r="AO723" s="5">
        <f>data_origin!Z3770</f>
        <v>0</v>
      </c>
      <c r="AP723" s="5">
        <f>data_origin!AA3770</f>
        <v>0</v>
      </c>
      <c r="AQ723" s="9">
        <f t="shared" si="91"/>
        <v>0</v>
      </c>
      <c r="AV723" t="s">
        <v>94</v>
      </c>
      <c r="AW723" s="5">
        <f>data_origin!T3872</f>
        <v>0</v>
      </c>
      <c r="AX723" s="5">
        <f>data_origin!U3872</f>
        <v>0</v>
      </c>
      <c r="AY723" s="5">
        <f>data_origin!V3872</f>
        <v>0</v>
      </c>
      <c r="AZ723" s="5">
        <f>data_origin!W3872</f>
        <v>0</v>
      </c>
      <c r="BA723" s="5">
        <f>data_origin!X3872</f>
        <v>0</v>
      </c>
      <c r="BB723" s="5">
        <f>data_origin!Y3872</f>
        <v>0</v>
      </c>
      <c r="BC723" s="5">
        <f>data_origin!Z3872</f>
        <v>0</v>
      </c>
      <c r="BD723" s="5">
        <f>data_origin!AA3872</f>
        <v>0</v>
      </c>
      <c r="BE723" s="5">
        <f t="shared" si="92"/>
        <v>0</v>
      </c>
    </row>
    <row r="724" spans="1:57" x14ac:dyDescent="0.25">
      <c r="D724" t="s">
        <v>98</v>
      </c>
      <c r="E724" s="35">
        <f t="shared" si="90"/>
        <v>0</v>
      </c>
      <c r="F724" s="35">
        <f t="shared" si="90"/>
        <v>0</v>
      </c>
      <c r="G724" s="35">
        <f t="shared" si="90"/>
        <v>0</v>
      </c>
      <c r="H724" s="35">
        <f t="shared" si="90"/>
        <v>1.0805788027889023</v>
      </c>
      <c r="I724" s="35">
        <f t="shared" si="90"/>
        <v>1.0953266369451997</v>
      </c>
      <c r="J724" s="35">
        <f t="shared" si="90"/>
        <v>0</v>
      </c>
      <c r="K724" s="35">
        <f t="shared" si="90"/>
        <v>0</v>
      </c>
      <c r="L724" s="35">
        <f t="shared" si="89"/>
        <v>0</v>
      </c>
      <c r="M724" s="35">
        <f t="shared" si="93"/>
        <v>2.1759054397341018</v>
      </c>
      <c r="S724" t="s">
        <v>98</v>
      </c>
      <c r="T724" s="5">
        <f>data_origin!T847</f>
        <v>0</v>
      </c>
      <c r="U724" s="5">
        <f>data_origin!U847</f>
        <v>0</v>
      </c>
      <c r="V724" s="5">
        <f>data_origin!V847</f>
        <v>0</v>
      </c>
      <c r="W724" s="5">
        <f>data_origin!W847</f>
        <v>1.0787172011661808</v>
      </c>
      <c r="X724" s="5">
        <f>data_origin!X847</f>
        <v>1.0921985815602837</v>
      </c>
      <c r="Y724" s="5">
        <f>data_origin!Y847</f>
        <v>0</v>
      </c>
      <c r="Z724" s="5">
        <f>data_origin!Z847</f>
        <v>0</v>
      </c>
      <c r="AA724" s="5">
        <f>data_origin!AA847</f>
        <v>0</v>
      </c>
      <c r="AB724" s="5">
        <f t="shared" si="87"/>
        <v>2.1709157827264645</v>
      </c>
      <c r="AH724" t="s">
        <v>95</v>
      </c>
      <c r="AI724" s="5">
        <f>data_origin!T3771</f>
        <v>0</v>
      </c>
      <c r="AJ724" s="5">
        <f>data_origin!U3771</f>
        <v>0</v>
      </c>
      <c r="AK724" s="5">
        <f>data_origin!V3771</f>
        <v>0</v>
      </c>
      <c r="AL724" s="5">
        <f>data_origin!W3771</f>
        <v>0</v>
      </c>
      <c r="AM724" s="5">
        <f>data_origin!X3771</f>
        <v>0</v>
      </c>
      <c r="AN724" s="5">
        <f>data_origin!Y3771</f>
        <v>0</v>
      </c>
      <c r="AO724" s="5">
        <f>data_origin!Z3771</f>
        <v>0</v>
      </c>
      <c r="AP724" s="5">
        <f>data_origin!AA3771</f>
        <v>0</v>
      </c>
      <c r="AQ724" s="9">
        <f t="shared" si="91"/>
        <v>0</v>
      </c>
      <c r="AV724" t="s">
        <v>95</v>
      </c>
      <c r="AW724" s="5">
        <f>data_origin!T3873</f>
        <v>0</v>
      </c>
      <c r="AX724" s="5">
        <f>data_origin!U3873</f>
        <v>0</v>
      </c>
      <c r="AY724" s="5">
        <f>data_origin!V3873</f>
        <v>0</v>
      </c>
      <c r="AZ724" s="5">
        <f>data_origin!W3873</f>
        <v>0</v>
      </c>
      <c r="BA724" s="5">
        <f>data_origin!X3873</f>
        <v>0</v>
      </c>
      <c r="BB724" s="5">
        <f>data_origin!Y3873</f>
        <v>0</v>
      </c>
      <c r="BC724" s="5">
        <f>data_origin!Z3873</f>
        <v>0</v>
      </c>
      <c r="BD724" s="5">
        <f>data_origin!AA3873</f>
        <v>0</v>
      </c>
      <c r="BE724" s="5">
        <f t="shared" si="92"/>
        <v>0</v>
      </c>
    </row>
    <row r="725" spans="1:57" x14ac:dyDescent="0.25">
      <c r="D725" t="s">
        <v>119</v>
      </c>
      <c r="E725" s="35">
        <f t="shared" si="90"/>
        <v>0</v>
      </c>
      <c r="F725" s="35">
        <f t="shared" si="90"/>
        <v>0</v>
      </c>
      <c r="G725" s="35">
        <f t="shared" si="90"/>
        <v>1.0719591047250621</v>
      </c>
      <c r="H725" s="35">
        <f t="shared" si="90"/>
        <v>1.0805788027889023</v>
      </c>
      <c r="I725" s="35">
        <f t="shared" si="90"/>
        <v>0</v>
      </c>
      <c r="J725" s="35">
        <f t="shared" si="90"/>
        <v>0</v>
      </c>
      <c r="K725" s="35">
        <f t="shared" si="90"/>
        <v>0</v>
      </c>
      <c r="L725" s="35">
        <f t="shared" si="89"/>
        <v>0</v>
      </c>
      <c r="M725" s="35">
        <f t="shared" si="93"/>
        <v>2.1525379075139641</v>
      </c>
      <c r="S725" t="s">
        <v>119</v>
      </c>
      <c r="T725" s="5">
        <f>data_origin!T848</f>
        <v>0</v>
      </c>
      <c r="U725" s="5">
        <f>data_origin!U848</f>
        <v>0</v>
      </c>
      <c r="V725" s="5">
        <f>data_origin!V848</f>
        <v>1.0705996131528046</v>
      </c>
      <c r="W725" s="5">
        <f>data_origin!W848</f>
        <v>1.0787172011661808</v>
      </c>
      <c r="X725" s="5">
        <f>data_origin!X848</f>
        <v>0</v>
      </c>
      <c r="Y725" s="5">
        <f>data_origin!Y848</f>
        <v>0</v>
      </c>
      <c r="Z725" s="5">
        <f>data_origin!Z848</f>
        <v>0</v>
      </c>
      <c r="AA725" s="5">
        <f>data_origin!AA848</f>
        <v>0</v>
      </c>
      <c r="AB725" s="5">
        <f t="shared" si="87"/>
        <v>2.1493168143189854</v>
      </c>
      <c r="AH725" t="s">
        <v>96</v>
      </c>
      <c r="AI725" s="5">
        <f>data_origin!T3772</f>
        <v>0</v>
      </c>
      <c r="AJ725" s="5">
        <f>data_origin!U3772</f>
        <v>0</v>
      </c>
      <c r="AK725" s="5">
        <f>data_origin!V3772</f>
        <v>0</v>
      </c>
      <c r="AL725" s="5">
        <f>data_origin!W3772</f>
        <v>0</v>
      </c>
      <c r="AM725" s="5">
        <f>data_origin!X3772</f>
        <v>0</v>
      </c>
      <c r="AN725" s="5">
        <f>data_origin!Y3772</f>
        <v>0</v>
      </c>
      <c r="AO725" s="5">
        <f>data_origin!Z3772</f>
        <v>0</v>
      </c>
      <c r="AP725" s="5">
        <f>data_origin!AA3772</f>
        <v>0</v>
      </c>
      <c r="AQ725" s="9">
        <f t="shared" si="91"/>
        <v>0</v>
      </c>
      <c r="AV725" t="s">
        <v>96</v>
      </c>
      <c r="AW725" s="5">
        <f>data_origin!T3874</f>
        <v>0</v>
      </c>
      <c r="AX725" s="5">
        <f>data_origin!U3874</f>
        <v>0</v>
      </c>
      <c r="AY725" s="5">
        <f>data_origin!V3874</f>
        <v>0</v>
      </c>
      <c r="AZ725" s="5">
        <f>data_origin!W3874</f>
        <v>0</v>
      </c>
      <c r="BA725" s="5">
        <f>data_origin!X3874</f>
        <v>0</v>
      </c>
      <c r="BB725" s="5">
        <f>data_origin!Y3874</f>
        <v>0</v>
      </c>
      <c r="BC725" s="5">
        <f>data_origin!Z3874</f>
        <v>0</v>
      </c>
      <c r="BD725" s="5">
        <f>data_origin!AA3874</f>
        <v>0</v>
      </c>
      <c r="BE725" s="5">
        <f t="shared" si="92"/>
        <v>0</v>
      </c>
    </row>
    <row r="726" spans="1:57" x14ac:dyDescent="0.25">
      <c r="D726" t="s">
        <v>99</v>
      </c>
      <c r="E726" s="35">
        <f t="shared" si="90"/>
        <v>0</v>
      </c>
      <c r="F726" s="35">
        <f t="shared" si="90"/>
        <v>0</v>
      </c>
      <c r="G726" s="35">
        <f t="shared" si="90"/>
        <v>46.094241503177678</v>
      </c>
      <c r="H726" s="35">
        <f t="shared" si="90"/>
        <v>25.933891266933657</v>
      </c>
      <c r="I726" s="35">
        <f t="shared" si="90"/>
        <v>5.4766331847259986</v>
      </c>
      <c r="J726" s="35">
        <f t="shared" si="90"/>
        <v>2.3479001135073783</v>
      </c>
      <c r="K726" s="35">
        <f t="shared" si="90"/>
        <v>0</v>
      </c>
      <c r="L726" s="35">
        <f t="shared" si="89"/>
        <v>0</v>
      </c>
      <c r="M726" s="35">
        <f t="shared" si="93"/>
        <v>79.852666068344718</v>
      </c>
      <c r="S726" t="s">
        <v>99</v>
      </c>
      <c r="T726" s="5">
        <f>data_origin!T849</f>
        <v>0</v>
      </c>
      <c r="U726" s="5">
        <f>data_origin!U849</f>
        <v>0</v>
      </c>
      <c r="V726" s="5">
        <f>data_origin!V849</f>
        <v>46.035783365570602</v>
      </c>
      <c r="W726" s="5">
        <f>data_origin!W849</f>
        <v>25.889212827988338</v>
      </c>
      <c r="X726" s="5">
        <f>data_origin!X849</f>
        <v>5.4609929078014181</v>
      </c>
      <c r="Y726" s="5">
        <f>data_origin!Y849</f>
        <v>2.3333333333333335</v>
      </c>
      <c r="Z726" s="5">
        <f>data_origin!Z849</f>
        <v>0</v>
      </c>
      <c r="AA726" s="5">
        <f>data_origin!AA849</f>
        <v>0</v>
      </c>
      <c r="AB726" s="5">
        <f t="shared" si="87"/>
        <v>79.71932243469368</v>
      </c>
      <c r="AH726" t="s">
        <v>97</v>
      </c>
      <c r="AI726" s="5">
        <f>data_origin!T3773</f>
        <v>0</v>
      </c>
      <c r="AJ726" s="5">
        <f>data_origin!U3773</f>
        <v>0</v>
      </c>
      <c r="AK726" s="5">
        <f>data_origin!V3773</f>
        <v>0</v>
      </c>
      <c r="AL726" s="5">
        <f>data_origin!W3773</f>
        <v>0</v>
      </c>
      <c r="AM726" s="5">
        <f>data_origin!X3773</f>
        <v>0</v>
      </c>
      <c r="AN726" s="5">
        <f>data_origin!Y3773</f>
        <v>0</v>
      </c>
      <c r="AO726" s="5">
        <f>data_origin!Z3773</f>
        <v>0</v>
      </c>
      <c r="AP726" s="5">
        <f>data_origin!AA3773</f>
        <v>0</v>
      </c>
      <c r="AQ726" s="9">
        <f t="shared" si="91"/>
        <v>0</v>
      </c>
      <c r="AV726" t="s">
        <v>97</v>
      </c>
      <c r="AW726" s="5">
        <f>data_origin!T3875</f>
        <v>0</v>
      </c>
      <c r="AX726" s="5">
        <f>data_origin!U3875</f>
        <v>0</v>
      </c>
      <c r="AY726" s="5">
        <f>data_origin!V3875</f>
        <v>0</v>
      </c>
      <c r="AZ726" s="5">
        <f>data_origin!W3875</f>
        <v>0</v>
      </c>
      <c r="BA726" s="5">
        <f>data_origin!X3875</f>
        <v>0</v>
      </c>
      <c r="BB726" s="5">
        <f>data_origin!Y3875</f>
        <v>0</v>
      </c>
      <c r="BC726" s="5">
        <f>data_origin!Z3875</f>
        <v>0</v>
      </c>
      <c r="BD726" s="5">
        <f>data_origin!AA3875</f>
        <v>0</v>
      </c>
      <c r="BE726" s="5">
        <f t="shared" si="92"/>
        <v>0</v>
      </c>
    </row>
    <row r="727" spans="1:57" x14ac:dyDescent="0.25">
      <c r="D727" t="s">
        <v>100</v>
      </c>
      <c r="E727" s="35">
        <f t="shared" si="90"/>
        <v>0</v>
      </c>
      <c r="F727" s="35">
        <f t="shared" si="90"/>
        <v>0</v>
      </c>
      <c r="G727" s="35">
        <f t="shared" si="90"/>
        <v>1.0719591047250621</v>
      </c>
      <c r="H727" s="35">
        <f t="shared" si="90"/>
        <v>1.0805788027889023</v>
      </c>
      <c r="I727" s="35">
        <f t="shared" si="90"/>
        <v>2.1906532738903994</v>
      </c>
      <c r="J727" s="35">
        <f t="shared" si="90"/>
        <v>0</v>
      </c>
      <c r="K727" s="35">
        <f t="shared" si="90"/>
        <v>0</v>
      </c>
      <c r="L727" s="35">
        <f t="shared" si="89"/>
        <v>0</v>
      </c>
      <c r="M727" s="35">
        <f t="shared" si="93"/>
        <v>4.3431911814043636</v>
      </c>
      <c r="S727" t="s">
        <v>100</v>
      </c>
      <c r="T727" s="5">
        <f>data_origin!T850</f>
        <v>0</v>
      </c>
      <c r="U727" s="5">
        <f>data_origin!U850</f>
        <v>0</v>
      </c>
      <c r="V727" s="5">
        <f>data_origin!V850</f>
        <v>1.0705996131528046</v>
      </c>
      <c r="W727" s="5">
        <f>data_origin!W850</f>
        <v>1.0787172011661808</v>
      </c>
      <c r="X727" s="5">
        <f>data_origin!X850</f>
        <v>2.1843971631205674</v>
      </c>
      <c r="Y727" s="5">
        <f>data_origin!Y850</f>
        <v>0</v>
      </c>
      <c r="Z727" s="5">
        <f>data_origin!Z850</f>
        <v>0</v>
      </c>
      <c r="AA727" s="5">
        <f>data_origin!AA850</f>
        <v>0</v>
      </c>
      <c r="AB727" s="5">
        <f t="shared" ref="AB727:AB774" si="94">SUM(T727:AA727)</f>
        <v>4.3337139774395528</v>
      </c>
      <c r="AH727" t="s">
        <v>98</v>
      </c>
      <c r="AI727" s="5">
        <f>data_origin!T3774</f>
        <v>0</v>
      </c>
      <c r="AJ727" s="5">
        <f>data_origin!U3774</f>
        <v>0</v>
      </c>
      <c r="AK727" s="5">
        <f>data_origin!V3774</f>
        <v>0</v>
      </c>
      <c r="AL727" s="5">
        <f>data_origin!W3774</f>
        <v>0</v>
      </c>
      <c r="AM727" s="5">
        <f>data_origin!X3774</f>
        <v>2.6551724137931032</v>
      </c>
      <c r="AN727" s="5">
        <f>data_origin!Y3774</f>
        <v>0</v>
      </c>
      <c r="AO727" s="5">
        <f>data_origin!Z3774</f>
        <v>0</v>
      </c>
      <c r="AP727" s="5">
        <f>data_origin!AA3774</f>
        <v>2</v>
      </c>
      <c r="AQ727" s="9">
        <f t="shared" si="91"/>
        <v>4.6551724137931032</v>
      </c>
      <c r="AV727" t="s">
        <v>98</v>
      </c>
      <c r="AW727" s="5">
        <f>data_origin!T3876</f>
        <v>0</v>
      </c>
      <c r="AX727" s="5">
        <f>data_origin!U3876</f>
        <v>0</v>
      </c>
      <c r="AY727" s="5">
        <f>data_origin!V3876</f>
        <v>0</v>
      </c>
      <c r="AZ727" s="5">
        <f>data_origin!W3876</f>
        <v>0</v>
      </c>
      <c r="BA727" s="5">
        <f>data_origin!X3876</f>
        <v>0</v>
      </c>
      <c r="BB727" s="5">
        <f>data_origin!Y3876</f>
        <v>0</v>
      </c>
      <c r="BC727" s="5">
        <f>data_origin!Z3876</f>
        <v>0</v>
      </c>
      <c r="BD727" s="5">
        <f>data_origin!AA3876</f>
        <v>0</v>
      </c>
      <c r="BE727" s="5">
        <f t="shared" si="92"/>
        <v>0</v>
      </c>
    </row>
    <row r="728" spans="1:57" x14ac:dyDescent="0.25">
      <c r="D728" t="s">
        <v>101</v>
      </c>
      <c r="E728" s="35">
        <f t="shared" si="90"/>
        <v>0</v>
      </c>
      <c r="F728" s="35">
        <f t="shared" si="90"/>
        <v>0</v>
      </c>
      <c r="G728" s="35">
        <f t="shared" si="90"/>
        <v>19.295263885051117</v>
      </c>
      <c r="H728" s="35">
        <f t="shared" si="90"/>
        <v>25.933891266933657</v>
      </c>
      <c r="I728" s="35">
        <f t="shared" si="90"/>
        <v>2.1906532738903994</v>
      </c>
      <c r="J728" s="35">
        <f t="shared" si="90"/>
        <v>0</v>
      </c>
      <c r="K728" s="35">
        <f t="shared" si="90"/>
        <v>0</v>
      </c>
      <c r="L728" s="35">
        <f t="shared" si="89"/>
        <v>0</v>
      </c>
      <c r="M728" s="35">
        <f t="shared" si="93"/>
        <v>47.419808425875168</v>
      </c>
      <c r="S728" t="s">
        <v>101</v>
      </c>
      <c r="T728" s="5">
        <f>data_origin!T851</f>
        <v>0</v>
      </c>
      <c r="U728" s="5">
        <f>data_origin!U851</f>
        <v>0</v>
      </c>
      <c r="V728" s="5">
        <f>data_origin!V851</f>
        <v>19.270793036750483</v>
      </c>
      <c r="W728" s="5">
        <f>data_origin!W851</f>
        <v>25.889212827988338</v>
      </c>
      <c r="X728" s="5">
        <f>data_origin!X851</f>
        <v>2.1843971631205674</v>
      </c>
      <c r="Y728" s="5">
        <f>data_origin!Y851</f>
        <v>0</v>
      </c>
      <c r="Z728" s="5">
        <f>data_origin!Z851</f>
        <v>0</v>
      </c>
      <c r="AA728" s="5">
        <f>data_origin!AA851</f>
        <v>0</v>
      </c>
      <c r="AB728" s="5">
        <f t="shared" si="94"/>
        <v>47.344403027859386</v>
      </c>
      <c r="AH728" t="s">
        <v>119</v>
      </c>
      <c r="AI728" s="5">
        <f>data_origin!T3775</f>
        <v>0</v>
      </c>
      <c r="AJ728" s="5">
        <f>data_origin!U3775</f>
        <v>0</v>
      </c>
      <c r="AK728" s="5">
        <f>data_origin!V3775</f>
        <v>0</v>
      </c>
      <c r="AL728" s="5">
        <f>data_origin!W3775</f>
        <v>0</v>
      </c>
      <c r="AM728" s="5">
        <f>data_origin!X3775</f>
        <v>0</v>
      </c>
      <c r="AN728" s="5">
        <f>data_origin!Y3775</f>
        <v>0</v>
      </c>
      <c r="AO728" s="5">
        <f>data_origin!Z3775</f>
        <v>0</v>
      </c>
      <c r="AP728" s="5">
        <f>data_origin!AA3775</f>
        <v>0</v>
      </c>
      <c r="AQ728" s="9">
        <f t="shared" si="91"/>
        <v>0</v>
      </c>
      <c r="AV728" t="s">
        <v>119</v>
      </c>
      <c r="AW728" s="5">
        <f>data_origin!T3877</f>
        <v>0</v>
      </c>
      <c r="AX728" s="5">
        <f>data_origin!U3877</f>
        <v>0</v>
      </c>
      <c r="AY728" s="5">
        <f>data_origin!V3877</f>
        <v>0</v>
      </c>
      <c r="AZ728" s="5">
        <f>data_origin!W3877</f>
        <v>0</v>
      </c>
      <c r="BA728" s="5">
        <f>data_origin!X3877</f>
        <v>0</v>
      </c>
      <c r="BB728" s="5">
        <f>data_origin!Y3877</f>
        <v>0</v>
      </c>
      <c r="BC728" s="5">
        <f>data_origin!Z3877</f>
        <v>0</v>
      </c>
      <c r="BD728" s="5">
        <f>data_origin!AA3877</f>
        <v>0</v>
      </c>
      <c r="BE728" s="5">
        <f t="shared" si="92"/>
        <v>0</v>
      </c>
    </row>
    <row r="729" spans="1:57" x14ac:dyDescent="0.25">
      <c r="A729" s="23" t="s">
        <v>104</v>
      </c>
      <c r="B729" s="23" t="s">
        <v>117</v>
      </c>
      <c r="C729" s="23" t="s">
        <v>107</v>
      </c>
      <c r="D729" t="s">
        <v>70</v>
      </c>
      <c r="E729" s="35">
        <f t="shared" si="90"/>
        <v>0</v>
      </c>
      <c r="F729" s="35">
        <f t="shared" si="90"/>
        <v>0</v>
      </c>
      <c r="G729" s="35">
        <f t="shared" si="90"/>
        <v>0</v>
      </c>
      <c r="H729" s="35">
        <f t="shared" si="90"/>
        <v>0</v>
      </c>
      <c r="I729" s="35">
        <f t="shared" si="90"/>
        <v>0</v>
      </c>
      <c r="J729" s="35">
        <f t="shared" si="90"/>
        <v>0</v>
      </c>
      <c r="K729" s="35">
        <f t="shared" si="90"/>
        <v>0</v>
      </c>
      <c r="L729" s="35">
        <f t="shared" si="89"/>
        <v>0</v>
      </c>
      <c r="M729" s="35">
        <f t="shared" si="93"/>
        <v>0</v>
      </c>
      <c r="P729" t="s">
        <v>104</v>
      </c>
      <c r="Q729" t="s">
        <v>117</v>
      </c>
      <c r="R729" t="s">
        <v>107</v>
      </c>
      <c r="S729" t="s">
        <v>70</v>
      </c>
      <c r="T729" s="5">
        <f>data_origin!T853</f>
        <v>0</v>
      </c>
      <c r="U729" s="5">
        <f>data_origin!U853</f>
        <v>0</v>
      </c>
      <c r="V729" s="5">
        <f>data_origin!V853</f>
        <v>0</v>
      </c>
      <c r="W729" s="5">
        <f>data_origin!W853</f>
        <v>0</v>
      </c>
      <c r="X729" s="5">
        <f>data_origin!X853</f>
        <v>0</v>
      </c>
      <c r="Y729" s="5">
        <f>data_origin!Y853</f>
        <v>0</v>
      </c>
      <c r="Z729" s="5">
        <f>data_origin!Z853</f>
        <v>0</v>
      </c>
      <c r="AA729" s="5">
        <f>data_origin!AA853</f>
        <v>0</v>
      </c>
      <c r="AB729" s="5">
        <f t="shared" si="94"/>
        <v>0</v>
      </c>
      <c r="AH729" t="s">
        <v>99</v>
      </c>
      <c r="AI729" s="5">
        <f>data_origin!T3776</f>
        <v>0</v>
      </c>
      <c r="AJ729" s="5">
        <f>data_origin!U3776</f>
        <v>0</v>
      </c>
      <c r="AK729" s="5">
        <f>data_origin!V3776</f>
        <v>1.2608695652173914</v>
      </c>
      <c r="AL729" s="5">
        <f>data_origin!W3776</f>
        <v>0</v>
      </c>
      <c r="AM729" s="5">
        <f>data_origin!X3776</f>
        <v>2.6551724137931032</v>
      </c>
      <c r="AN729" s="5">
        <f>data_origin!Y3776</f>
        <v>0</v>
      </c>
      <c r="AO729" s="5">
        <f>data_origin!Z3776</f>
        <v>0</v>
      </c>
      <c r="AP729" s="5">
        <f>data_origin!AA3776</f>
        <v>0</v>
      </c>
      <c r="AQ729" s="9">
        <f t="shared" si="91"/>
        <v>3.9160419790104948</v>
      </c>
      <c r="AV729" t="s">
        <v>99</v>
      </c>
      <c r="AW729" s="5">
        <f>data_origin!T3878</f>
        <v>0</v>
      </c>
      <c r="AX729" s="5">
        <f>data_origin!U3878</f>
        <v>0</v>
      </c>
      <c r="AY729" s="5">
        <f>data_origin!V3878</f>
        <v>0</v>
      </c>
      <c r="AZ729" s="5">
        <f>data_origin!W3878</f>
        <v>11.25</v>
      </c>
      <c r="BA729" s="5">
        <f>data_origin!X3878</f>
        <v>0</v>
      </c>
      <c r="BB729" s="5">
        <f>data_origin!Y3878</f>
        <v>0</v>
      </c>
      <c r="BC729" s="5">
        <f>data_origin!Z3878</f>
        <v>0</v>
      </c>
      <c r="BD729" s="5">
        <f>data_origin!AA3878</f>
        <v>0</v>
      </c>
      <c r="BE729" s="5">
        <f t="shared" si="92"/>
        <v>11.25</v>
      </c>
    </row>
    <row r="730" spans="1:57" x14ac:dyDescent="0.25">
      <c r="D730" t="s">
        <v>71</v>
      </c>
      <c r="E730" s="35">
        <f t="shared" si="90"/>
        <v>0</v>
      </c>
      <c r="F730" s="35">
        <f t="shared" si="90"/>
        <v>0</v>
      </c>
      <c r="G730" s="35">
        <f t="shared" si="90"/>
        <v>0</v>
      </c>
      <c r="H730" s="35">
        <f t="shared" si="90"/>
        <v>0</v>
      </c>
      <c r="I730" s="35">
        <f t="shared" si="90"/>
        <v>0</v>
      </c>
      <c r="J730" s="35">
        <f t="shared" si="90"/>
        <v>0</v>
      </c>
      <c r="K730" s="35">
        <f t="shared" si="90"/>
        <v>0</v>
      </c>
      <c r="L730" s="35">
        <f t="shared" si="89"/>
        <v>0</v>
      </c>
      <c r="M730" s="35">
        <f t="shared" si="93"/>
        <v>0</v>
      </c>
      <c r="S730" t="s">
        <v>71</v>
      </c>
      <c r="T730" s="5">
        <f>data_origin!T854</f>
        <v>0</v>
      </c>
      <c r="U730" s="5">
        <f>data_origin!U854</f>
        <v>0</v>
      </c>
      <c r="V730" s="5">
        <f>data_origin!V854</f>
        <v>0</v>
      </c>
      <c r="W730" s="5">
        <f>data_origin!W854</f>
        <v>0</v>
      </c>
      <c r="X730" s="5">
        <f>data_origin!X854</f>
        <v>0</v>
      </c>
      <c r="Y730" s="5">
        <f>data_origin!Y854</f>
        <v>0</v>
      </c>
      <c r="Z730" s="5">
        <f>data_origin!Z854</f>
        <v>0</v>
      </c>
      <c r="AA730" s="5">
        <f>data_origin!AA854</f>
        <v>0</v>
      </c>
      <c r="AB730" s="5">
        <f t="shared" si="94"/>
        <v>0</v>
      </c>
      <c r="AH730" t="s">
        <v>100</v>
      </c>
      <c r="AI730" s="5">
        <f>data_origin!T3777</f>
        <v>0</v>
      </c>
      <c r="AJ730" s="5">
        <f>data_origin!U3777</f>
        <v>0</v>
      </c>
      <c r="AK730" s="5">
        <f>data_origin!V3777</f>
        <v>0</v>
      </c>
      <c r="AL730" s="5">
        <f>data_origin!W3777</f>
        <v>8.5833333333333321</v>
      </c>
      <c r="AM730" s="5">
        <f>data_origin!X3777</f>
        <v>5.3103448275862064</v>
      </c>
      <c r="AN730" s="5">
        <f>data_origin!Y3777</f>
        <v>0</v>
      </c>
      <c r="AO730" s="5">
        <f>data_origin!Z3777</f>
        <v>0</v>
      </c>
      <c r="AP730" s="5">
        <f>data_origin!AA3777</f>
        <v>0</v>
      </c>
      <c r="AQ730" s="9">
        <f t="shared" si="91"/>
        <v>13.893678160919539</v>
      </c>
      <c r="AV730" t="s">
        <v>100</v>
      </c>
      <c r="AW730" s="5">
        <f>data_origin!T3879</f>
        <v>0</v>
      </c>
      <c r="AX730" s="5">
        <f>data_origin!U3879</f>
        <v>0</v>
      </c>
      <c r="AY730" s="5">
        <f>data_origin!V3879</f>
        <v>0</v>
      </c>
      <c r="AZ730" s="5">
        <f>data_origin!W3879</f>
        <v>7.5</v>
      </c>
      <c r="BA730" s="5">
        <f>data_origin!X3879</f>
        <v>3.3529411764705883</v>
      </c>
      <c r="BB730" s="5">
        <f>data_origin!Y3879</f>
        <v>0</v>
      </c>
      <c r="BC730" s="5">
        <f>data_origin!Z3879</f>
        <v>0</v>
      </c>
      <c r="BD730" s="5">
        <f>data_origin!AA3879</f>
        <v>0</v>
      </c>
      <c r="BE730" s="5">
        <f t="shared" si="92"/>
        <v>10.852941176470589</v>
      </c>
    </row>
    <row r="731" spans="1:57" x14ac:dyDescent="0.25">
      <c r="D731" t="s">
        <v>72</v>
      </c>
      <c r="E731" s="35">
        <f t="shared" si="90"/>
        <v>0</v>
      </c>
      <c r="F731" s="35">
        <f t="shared" si="90"/>
        <v>0</v>
      </c>
      <c r="G731" s="35">
        <f t="shared" si="90"/>
        <v>0</v>
      </c>
      <c r="H731" s="35">
        <f t="shared" si="90"/>
        <v>0</v>
      </c>
      <c r="I731" s="35">
        <f t="shared" si="90"/>
        <v>0</v>
      </c>
      <c r="J731" s="35">
        <f t="shared" si="90"/>
        <v>0</v>
      </c>
      <c r="K731" s="35">
        <f t="shared" si="90"/>
        <v>0</v>
      </c>
      <c r="L731" s="35">
        <f t="shared" si="89"/>
        <v>0</v>
      </c>
      <c r="M731" s="35">
        <f t="shared" si="93"/>
        <v>0</v>
      </c>
      <c r="S731" t="s">
        <v>72</v>
      </c>
      <c r="T731" s="5">
        <f>data_origin!T855</f>
        <v>0</v>
      </c>
      <c r="U731" s="5">
        <f>data_origin!U855</f>
        <v>0</v>
      </c>
      <c r="V731" s="5">
        <f>data_origin!V855</f>
        <v>0</v>
      </c>
      <c r="W731" s="5">
        <f>data_origin!W855</f>
        <v>0</v>
      </c>
      <c r="X731" s="5">
        <f>data_origin!X855</f>
        <v>0</v>
      </c>
      <c r="Y731" s="5">
        <f>data_origin!Y855</f>
        <v>0</v>
      </c>
      <c r="Z731" s="5">
        <f>data_origin!Z855</f>
        <v>0</v>
      </c>
      <c r="AA731" s="5">
        <f>data_origin!AA855</f>
        <v>0</v>
      </c>
      <c r="AB731" s="5">
        <f t="shared" si="94"/>
        <v>0</v>
      </c>
      <c r="AH731" t="s">
        <v>101</v>
      </c>
      <c r="AI731" s="5">
        <f>data_origin!T3778</f>
        <v>0</v>
      </c>
      <c r="AJ731" s="5">
        <f>data_origin!U3778</f>
        <v>0</v>
      </c>
      <c r="AK731" s="5">
        <f>data_origin!V3778</f>
        <v>0</v>
      </c>
      <c r="AL731" s="5">
        <f>data_origin!W3778</f>
        <v>2.145833333333333</v>
      </c>
      <c r="AM731" s="5">
        <f>data_origin!X3778</f>
        <v>0</v>
      </c>
      <c r="AN731" s="5">
        <f>data_origin!Y3778</f>
        <v>0</v>
      </c>
      <c r="AO731" s="5">
        <f>data_origin!Z3778</f>
        <v>0</v>
      </c>
      <c r="AP731" s="5">
        <f>data_origin!AA3778</f>
        <v>0</v>
      </c>
      <c r="AQ731" s="9">
        <f t="shared" si="91"/>
        <v>2.145833333333333</v>
      </c>
      <c r="AV731" t="s">
        <v>101</v>
      </c>
      <c r="AW731" s="5">
        <f>data_origin!T3880</f>
        <v>0</v>
      </c>
      <c r="AX731" s="5">
        <f>data_origin!U3880</f>
        <v>0</v>
      </c>
      <c r="AY731" s="5">
        <f>data_origin!V3880</f>
        <v>0</v>
      </c>
      <c r="AZ731" s="5">
        <f>data_origin!W3880</f>
        <v>3.75</v>
      </c>
      <c r="BA731" s="5">
        <f>data_origin!X3880</f>
        <v>3.3529411764705883</v>
      </c>
      <c r="BB731" s="5">
        <f>data_origin!Y3880</f>
        <v>0</v>
      </c>
      <c r="BC731" s="5">
        <f>data_origin!Z3880</f>
        <v>0</v>
      </c>
      <c r="BD731" s="5">
        <f>data_origin!AA3880</f>
        <v>0</v>
      </c>
      <c r="BE731" s="5">
        <f t="shared" si="92"/>
        <v>7.1029411764705888</v>
      </c>
    </row>
    <row r="732" spans="1:57" x14ac:dyDescent="0.25">
      <c r="D732" t="s">
        <v>73</v>
      </c>
      <c r="E732" s="35">
        <f t="shared" si="90"/>
        <v>0</v>
      </c>
      <c r="F732" s="35">
        <f t="shared" si="90"/>
        <v>0</v>
      </c>
      <c r="G732" s="35">
        <f t="shared" si="90"/>
        <v>0</v>
      </c>
      <c r="H732" s="35">
        <f t="shared" ref="H732:L788" si="95">W732+IFERROR((W732/SUM(W$3:W$992)*AL$630),0)</f>
        <v>0</v>
      </c>
      <c r="I732" s="35">
        <f t="shared" si="95"/>
        <v>0</v>
      </c>
      <c r="J732" s="35">
        <f t="shared" si="95"/>
        <v>0</v>
      </c>
      <c r="K732" s="35">
        <f t="shared" si="95"/>
        <v>0</v>
      </c>
      <c r="L732" s="35">
        <f t="shared" si="89"/>
        <v>0</v>
      </c>
      <c r="M732" s="35">
        <f t="shared" si="93"/>
        <v>0</v>
      </c>
      <c r="S732" t="s">
        <v>73</v>
      </c>
      <c r="T732" s="5">
        <f>data_origin!T856</f>
        <v>0</v>
      </c>
      <c r="U732" s="5">
        <f>data_origin!U856</f>
        <v>0</v>
      </c>
      <c r="V732" s="5">
        <f>data_origin!V856</f>
        <v>0</v>
      </c>
      <c r="W732" s="5">
        <f>data_origin!W856</f>
        <v>0</v>
      </c>
      <c r="X732" s="5">
        <f>data_origin!X856</f>
        <v>0</v>
      </c>
      <c r="Y732" s="5">
        <f>data_origin!Y856</f>
        <v>0</v>
      </c>
      <c r="Z732" s="5">
        <f>data_origin!Z856</f>
        <v>0</v>
      </c>
      <c r="AA732" s="5">
        <f>data_origin!AA856</f>
        <v>0</v>
      </c>
      <c r="AB732" s="5">
        <f t="shared" si="94"/>
        <v>0</v>
      </c>
      <c r="AH732" s="4" t="s">
        <v>245</v>
      </c>
      <c r="AI732" s="5">
        <f>SUM(AI633:AI731)</f>
        <v>0</v>
      </c>
      <c r="AJ732" s="5">
        <f t="shared" ref="AJ732:AQ732" si="96">SUM(AJ633:AJ731)</f>
        <v>0</v>
      </c>
      <c r="AK732" s="5">
        <f t="shared" si="96"/>
        <v>108.99999999999999</v>
      </c>
      <c r="AL732" s="5">
        <f t="shared" si="96"/>
        <v>262.00000000000006</v>
      </c>
      <c r="AM732" s="5">
        <f t="shared" si="96"/>
        <v>183.00000000000006</v>
      </c>
      <c r="AN732" s="5">
        <f t="shared" si="96"/>
        <v>25.000000000000028</v>
      </c>
      <c r="AO732" s="5">
        <f t="shared" si="96"/>
        <v>4.9999999999999991</v>
      </c>
      <c r="AP732" s="5">
        <f t="shared" si="96"/>
        <v>2.9999999999999991</v>
      </c>
      <c r="AQ732" s="5">
        <f t="shared" si="96"/>
        <v>586.99999999999932</v>
      </c>
      <c r="AV732" s="4" t="s">
        <v>245</v>
      </c>
      <c r="AW732" s="5">
        <f>SUM(AW633:AW731)</f>
        <v>0</v>
      </c>
      <c r="AX732" s="5">
        <f t="shared" ref="AX732:BE732" si="97">SUM(AX633:AX731)</f>
        <v>0</v>
      </c>
      <c r="AY732" s="5">
        <f t="shared" si="97"/>
        <v>93</v>
      </c>
      <c r="AZ732" s="5">
        <f t="shared" si="97"/>
        <v>190</v>
      </c>
      <c r="BA732" s="5">
        <f t="shared" si="97"/>
        <v>118.00000000000006</v>
      </c>
      <c r="BB732" s="5">
        <f t="shared" si="97"/>
        <v>19</v>
      </c>
      <c r="BC732" s="5">
        <f t="shared" si="97"/>
        <v>0</v>
      </c>
      <c r="BD732" s="5">
        <f t="shared" si="97"/>
        <v>0</v>
      </c>
      <c r="BE732" s="5">
        <f t="shared" si="97"/>
        <v>420.00000000000006</v>
      </c>
    </row>
    <row r="733" spans="1:57" x14ac:dyDescent="0.25">
      <c r="D733" t="s">
        <v>74</v>
      </c>
      <c r="E733" s="35">
        <f t="shared" ref="E733:I794" si="98">T733+IFERROR((T733/SUM(T$3:T$992)*AI$630),0)</f>
        <v>0</v>
      </c>
      <c r="F733" s="35">
        <f t="shared" si="98"/>
        <v>0</v>
      </c>
      <c r="G733" s="35">
        <f t="shared" si="98"/>
        <v>0</v>
      </c>
      <c r="H733" s="35">
        <f t="shared" si="95"/>
        <v>0</v>
      </c>
      <c r="I733" s="35">
        <f t="shared" si="95"/>
        <v>0</v>
      </c>
      <c r="J733" s="35">
        <f t="shared" si="95"/>
        <v>0</v>
      </c>
      <c r="K733" s="35">
        <f t="shared" si="95"/>
        <v>0</v>
      </c>
      <c r="L733" s="35">
        <f t="shared" si="89"/>
        <v>0</v>
      </c>
      <c r="M733" s="35">
        <f t="shared" si="93"/>
        <v>0</v>
      </c>
      <c r="S733" t="s">
        <v>74</v>
      </c>
      <c r="T733" s="5">
        <f>data_origin!T857</f>
        <v>0</v>
      </c>
      <c r="U733" s="5">
        <f>data_origin!U857</f>
        <v>0</v>
      </c>
      <c r="V733" s="5">
        <f>data_origin!V857</f>
        <v>0</v>
      </c>
      <c r="W733" s="5">
        <f>data_origin!W857</f>
        <v>0</v>
      </c>
      <c r="X733" s="5">
        <f>data_origin!X857</f>
        <v>0</v>
      </c>
      <c r="Y733" s="5">
        <f>data_origin!Y857</f>
        <v>0</v>
      </c>
      <c r="Z733" s="5">
        <f>data_origin!Z857</f>
        <v>0</v>
      </c>
      <c r="AA733" s="5">
        <f>data_origin!AA857</f>
        <v>0</v>
      </c>
      <c r="AB733" s="5">
        <f t="shared" si="94"/>
        <v>0</v>
      </c>
    </row>
    <row r="734" spans="1:57" x14ac:dyDescent="0.25">
      <c r="D734" t="s">
        <v>75</v>
      </c>
      <c r="E734" s="35">
        <f t="shared" si="98"/>
        <v>0</v>
      </c>
      <c r="F734" s="35">
        <f t="shared" si="98"/>
        <v>0</v>
      </c>
      <c r="G734" s="35">
        <f t="shared" si="98"/>
        <v>0</v>
      </c>
      <c r="H734" s="35">
        <f t="shared" si="95"/>
        <v>0</v>
      </c>
      <c r="I734" s="35">
        <f t="shared" si="95"/>
        <v>0</v>
      </c>
      <c r="J734" s="35">
        <f t="shared" si="95"/>
        <v>0</v>
      </c>
      <c r="K734" s="35">
        <f t="shared" si="95"/>
        <v>0</v>
      </c>
      <c r="L734" s="35">
        <f t="shared" si="89"/>
        <v>0</v>
      </c>
      <c r="M734" s="35">
        <f t="shared" si="93"/>
        <v>0</v>
      </c>
      <c r="S734" t="s">
        <v>75</v>
      </c>
      <c r="T734" s="5">
        <f>data_origin!T858</f>
        <v>0</v>
      </c>
      <c r="U734" s="5">
        <f>data_origin!U858</f>
        <v>0</v>
      </c>
      <c r="V734" s="5">
        <f>data_origin!V858</f>
        <v>0</v>
      </c>
      <c r="W734" s="5">
        <f>data_origin!W858</f>
        <v>0</v>
      </c>
      <c r="X734" s="5">
        <f>data_origin!X858</f>
        <v>0</v>
      </c>
      <c r="Y734" s="5">
        <f>data_origin!Y858</f>
        <v>0</v>
      </c>
      <c r="Z734" s="5">
        <f>data_origin!Z858</f>
        <v>0</v>
      </c>
      <c r="AA734" s="5">
        <f>data_origin!AA858</f>
        <v>0</v>
      </c>
      <c r="AB734" s="5">
        <f t="shared" si="94"/>
        <v>0</v>
      </c>
      <c r="AH734" t="s">
        <v>246</v>
      </c>
      <c r="AI734" s="5">
        <f>SUM(AI3:AI731)-AI630</f>
        <v>0</v>
      </c>
      <c r="AJ734" s="5">
        <f t="shared" ref="AJ734:AQ734" si="99">SUM(AJ3:AJ731)-AJ630</f>
        <v>0</v>
      </c>
      <c r="AK734" s="5">
        <f t="shared" si="99"/>
        <v>230.00000000000023</v>
      </c>
      <c r="AL734" s="5">
        <f t="shared" si="99"/>
        <v>454.99999999999989</v>
      </c>
      <c r="AM734" s="5">
        <f t="shared" si="99"/>
        <v>291.99999999999989</v>
      </c>
      <c r="AN734" s="5">
        <f t="shared" si="99"/>
        <v>44.000000000000085</v>
      </c>
      <c r="AO734" s="5">
        <f t="shared" si="99"/>
        <v>4.9999999999999991</v>
      </c>
      <c r="AP734" s="5">
        <f t="shared" si="99"/>
        <v>2.9999999999999991</v>
      </c>
      <c r="AQ734" s="5">
        <f t="shared" si="99"/>
        <v>1028.9999999999986</v>
      </c>
      <c r="AV734" t="s">
        <v>247</v>
      </c>
      <c r="AW734" s="5">
        <f>SUM(AW3:AW731)-AW630</f>
        <v>0</v>
      </c>
      <c r="AX734" s="5">
        <f t="shared" ref="AX734:BE734" si="100">SUM(AX3:AX731)-AX630</f>
        <v>0</v>
      </c>
      <c r="AY734" s="5">
        <f t="shared" si="100"/>
        <v>215.00000000000009</v>
      </c>
      <c r="AZ734" s="5">
        <f t="shared" si="100"/>
        <v>337.00000000000006</v>
      </c>
      <c r="BA734" s="5">
        <f t="shared" si="100"/>
        <v>197.99999999999994</v>
      </c>
      <c r="BB734" s="5">
        <f t="shared" si="100"/>
        <v>26.999999999999996</v>
      </c>
      <c r="BC734" s="5">
        <f t="shared" si="100"/>
        <v>4.9999999999999991</v>
      </c>
      <c r="BD734" s="5">
        <f t="shared" si="100"/>
        <v>0</v>
      </c>
      <c r="BE734" s="5">
        <f t="shared" si="100"/>
        <v>781.99999999999852</v>
      </c>
    </row>
    <row r="735" spans="1:57" x14ac:dyDescent="0.25">
      <c r="D735" t="s">
        <v>76</v>
      </c>
      <c r="E735" s="35">
        <f t="shared" si="98"/>
        <v>0</v>
      </c>
      <c r="F735" s="35">
        <f t="shared" si="98"/>
        <v>0</v>
      </c>
      <c r="G735" s="35">
        <f t="shared" si="98"/>
        <v>0</v>
      </c>
      <c r="H735" s="35">
        <f t="shared" si="95"/>
        <v>0</v>
      </c>
      <c r="I735" s="35">
        <f t="shared" si="95"/>
        <v>0</v>
      </c>
      <c r="J735" s="35">
        <f t="shared" si="95"/>
        <v>0</v>
      </c>
      <c r="K735" s="35">
        <f t="shared" si="95"/>
        <v>0</v>
      </c>
      <c r="L735" s="35">
        <f t="shared" si="89"/>
        <v>0</v>
      </c>
      <c r="M735" s="35">
        <f t="shared" si="93"/>
        <v>0</v>
      </c>
      <c r="S735" t="s">
        <v>76</v>
      </c>
      <c r="T735" s="5">
        <f>data_origin!T859</f>
        <v>0</v>
      </c>
      <c r="U735" s="5">
        <f>data_origin!U859</f>
        <v>0</v>
      </c>
      <c r="V735" s="5">
        <f>data_origin!V859</f>
        <v>0</v>
      </c>
      <c r="W735" s="5">
        <f>data_origin!W859</f>
        <v>0</v>
      </c>
      <c r="X735" s="5">
        <f>data_origin!X859</f>
        <v>0</v>
      </c>
      <c r="Y735" s="5">
        <f>data_origin!Y859</f>
        <v>0</v>
      </c>
      <c r="Z735" s="5">
        <f>data_origin!Z859</f>
        <v>0</v>
      </c>
      <c r="AA735" s="5">
        <f>data_origin!AA859</f>
        <v>0</v>
      </c>
      <c r="AB735" s="5">
        <f t="shared" si="94"/>
        <v>0</v>
      </c>
    </row>
    <row r="736" spans="1:57" x14ac:dyDescent="0.25">
      <c r="D736" t="s">
        <v>77</v>
      </c>
      <c r="E736" s="35">
        <f t="shared" si="98"/>
        <v>0</v>
      </c>
      <c r="F736" s="35">
        <f t="shared" si="98"/>
        <v>0</v>
      </c>
      <c r="G736" s="35">
        <f t="shared" si="98"/>
        <v>0</v>
      </c>
      <c r="H736" s="35">
        <f t="shared" si="95"/>
        <v>0</v>
      </c>
      <c r="I736" s="35">
        <f t="shared" si="95"/>
        <v>0</v>
      </c>
      <c r="J736" s="35">
        <f t="shared" si="95"/>
        <v>0</v>
      </c>
      <c r="K736" s="35">
        <f t="shared" si="95"/>
        <v>0</v>
      </c>
      <c r="L736" s="35">
        <f t="shared" si="89"/>
        <v>0</v>
      </c>
      <c r="M736" s="35">
        <f t="shared" si="93"/>
        <v>0</v>
      </c>
      <c r="S736" t="s">
        <v>77</v>
      </c>
      <c r="T736" s="5">
        <f>data_origin!T860</f>
        <v>0</v>
      </c>
      <c r="U736" s="5">
        <f>data_origin!U860</f>
        <v>0</v>
      </c>
      <c r="V736" s="5">
        <f>data_origin!V860</f>
        <v>0</v>
      </c>
      <c r="W736" s="5">
        <f>data_origin!W860</f>
        <v>0</v>
      </c>
      <c r="X736" s="5">
        <f>data_origin!X860</f>
        <v>0</v>
      </c>
      <c r="Y736" s="5">
        <f>data_origin!Y860</f>
        <v>0</v>
      </c>
      <c r="Z736" s="5">
        <f>data_origin!Z860</f>
        <v>0</v>
      </c>
      <c r="AA736" s="5">
        <f>data_origin!AA860</f>
        <v>0</v>
      </c>
      <c r="AB736" s="5">
        <f t="shared" si="94"/>
        <v>0</v>
      </c>
      <c r="AQ736" s="5">
        <f>AQ734+BE734</f>
        <v>1810.9999999999973</v>
      </c>
    </row>
    <row r="737" spans="4:28" x14ac:dyDescent="0.25">
      <c r="D737" t="s">
        <v>78</v>
      </c>
      <c r="E737" s="35">
        <f t="shared" si="98"/>
        <v>0</v>
      </c>
      <c r="F737" s="35">
        <f t="shared" si="98"/>
        <v>0</v>
      </c>
      <c r="G737" s="35">
        <f t="shared" si="98"/>
        <v>0</v>
      </c>
      <c r="H737" s="35">
        <f t="shared" si="95"/>
        <v>0</v>
      </c>
      <c r="I737" s="35">
        <f t="shared" si="95"/>
        <v>0</v>
      </c>
      <c r="J737" s="35">
        <f t="shared" si="95"/>
        <v>0</v>
      </c>
      <c r="K737" s="35">
        <f t="shared" si="95"/>
        <v>0</v>
      </c>
      <c r="L737" s="35">
        <f t="shared" si="89"/>
        <v>0</v>
      </c>
      <c r="M737" s="35">
        <f t="shared" si="93"/>
        <v>0</v>
      </c>
      <c r="S737" t="s">
        <v>78</v>
      </c>
      <c r="T737" s="5">
        <f>data_origin!T861</f>
        <v>0</v>
      </c>
      <c r="U737" s="5">
        <f>data_origin!U861</f>
        <v>0</v>
      </c>
      <c r="V737" s="5">
        <f>data_origin!V861</f>
        <v>0</v>
      </c>
      <c r="W737" s="5">
        <f>data_origin!W861</f>
        <v>0</v>
      </c>
      <c r="X737" s="5">
        <f>data_origin!X861</f>
        <v>0</v>
      </c>
      <c r="Y737" s="5">
        <f>data_origin!Y861</f>
        <v>0</v>
      </c>
      <c r="Z737" s="5">
        <f>data_origin!Z861</f>
        <v>0</v>
      </c>
      <c r="AA737" s="5">
        <f>data_origin!AA861</f>
        <v>0</v>
      </c>
      <c r="AB737" s="5">
        <f t="shared" si="94"/>
        <v>0</v>
      </c>
    </row>
    <row r="738" spans="4:28" x14ac:dyDescent="0.25">
      <c r="D738" t="s">
        <v>79</v>
      </c>
      <c r="E738" s="35">
        <f t="shared" si="98"/>
        <v>0</v>
      </c>
      <c r="F738" s="35">
        <f t="shared" si="98"/>
        <v>0</v>
      </c>
      <c r="G738" s="35">
        <f t="shared" si="98"/>
        <v>0</v>
      </c>
      <c r="H738" s="35">
        <f t="shared" si="95"/>
        <v>0</v>
      </c>
      <c r="I738" s="35">
        <f t="shared" si="95"/>
        <v>0</v>
      </c>
      <c r="J738" s="35">
        <f t="shared" si="95"/>
        <v>0</v>
      </c>
      <c r="K738" s="35">
        <f t="shared" si="95"/>
        <v>0</v>
      </c>
      <c r="L738" s="35">
        <f t="shared" si="89"/>
        <v>0</v>
      </c>
      <c r="M738" s="35">
        <f t="shared" si="93"/>
        <v>0</v>
      </c>
      <c r="S738" t="s">
        <v>79</v>
      </c>
      <c r="T738" s="5">
        <f>data_origin!T862</f>
        <v>0</v>
      </c>
      <c r="U738" s="5">
        <f>data_origin!U862</f>
        <v>0</v>
      </c>
      <c r="V738" s="5">
        <f>data_origin!V862</f>
        <v>0</v>
      </c>
      <c r="W738" s="5">
        <f>data_origin!W862</f>
        <v>0</v>
      </c>
      <c r="X738" s="5">
        <f>data_origin!X862</f>
        <v>0</v>
      </c>
      <c r="Y738" s="5">
        <f>data_origin!Y862</f>
        <v>0</v>
      </c>
      <c r="Z738" s="5">
        <f>data_origin!Z862</f>
        <v>0</v>
      </c>
      <c r="AA738" s="5">
        <f>data_origin!AA862</f>
        <v>0</v>
      </c>
      <c r="AB738" s="5">
        <f t="shared" si="94"/>
        <v>0</v>
      </c>
    </row>
    <row r="739" spans="4:28" x14ac:dyDescent="0.25">
      <c r="D739" t="s">
        <v>80</v>
      </c>
      <c r="E739" s="35">
        <f t="shared" si="98"/>
        <v>0</v>
      </c>
      <c r="F739" s="35">
        <f t="shared" si="98"/>
        <v>0</v>
      </c>
      <c r="G739" s="35">
        <f t="shared" si="98"/>
        <v>0</v>
      </c>
      <c r="H739" s="35">
        <f t="shared" si="95"/>
        <v>0</v>
      </c>
      <c r="I739" s="35">
        <f t="shared" si="95"/>
        <v>0</v>
      </c>
      <c r="J739" s="35">
        <f t="shared" si="95"/>
        <v>0</v>
      </c>
      <c r="K739" s="35">
        <f t="shared" si="95"/>
        <v>0</v>
      </c>
      <c r="L739" s="35">
        <f t="shared" si="89"/>
        <v>0</v>
      </c>
      <c r="M739" s="35">
        <f t="shared" si="93"/>
        <v>0</v>
      </c>
      <c r="S739" t="s">
        <v>80</v>
      </c>
      <c r="T739" s="5">
        <f>data_origin!T863</f>
        <v>0</v>
      </c>
      <c r="U739" s="5">
        <f>data_origin!U863</f>
        <v>0</v>
      </c>
      <c r="V739" s="5">
        <f>data_origin!V863</f>
        <v>0</v>
      </c>
      <c r="W739" s="5">
        <f>data_origin!W863</f>
        <v>0</v>
      </c>
      <c r="X739" s="5">
        <f>data_origin!X863</f>
        <v>0</v>
      </c>
      <c r="Y739" s="5">
        <f>data_origin!Y863</f>
        <v>0</v>
      </c>
      <c r="Z739" s="5">
        <f>data_origin!Z863</f>
        <v>0</v>
      </c>
      <c r="AA739" s="5">
        <f>data_origin!AA863</f>
        <v>0</v>
      </c>
      <c r="AB739" s="5">
        <f t="shared" si="94"/>
        <v>0</v>
      </c>
    </row>
    <row r="740" spans="4:28" x14ac:dyDescent="0.25">
      <c r="D740" t="s">
        <v>81</v>
      </c>
      <c r="E740" s="35">
        <f t="shared" si="98"/>
        <v>0</v>
      </c>
      <c r="F740" s="35">
        <f t="shared" si="98"/>
        <v>0</v>
      </c>
      <c r="G740" s="35">
        <f t="shared" si="98"/>
        <v>0</v>
      </c>
      <c r="H740" s="35">
        <f t="shared" si="95"/>
        <v>0</v>
      </c>
      <c r="I740" s="35">
        <f t="shared" si="95"/>
        <v>0</v>
      </c>
      <c r="J740" s="35">
        <f t="shared" si="95"/>
        <v>0</v>
      </c>
      <c r="K740" s="35">
        <f t="shared" si="95"/>
        <v>0</v>
      </c>
      <c r="L740" s="35">
        <f t="shared" si="89"/>
        <v>0</v>
      </c>
      <c r="M740" s="35">
        <f t="shared" si="93"/>
        <v>0</v>
      </c>
      <c r="S740" t="s">
        <v>81</v>
      </c>
      <c r="T740" s="5">
        <f>data_origin!T864</f>
        <v>0</v>
      </c>
      <c r="U740" s="5">
        <f>data_origin!U864</f>
        <v>0</v>
      </c>
      <c r="V740" s="5">
        <f>data_origin!V864</f>
        <v>0</v>
      </c>
      <c r="W740" s="5">
        <f>data_origin!W864</f>
        <v>0</v>
      </c>
      <c r="X740" s="5">
        <f>data_origin!X864</f>
        <v>0</v>
      </c>
      <c r="Y740" s="5">
        <f>data_origin!Y864</f>
        <v>0</v>
      </c>
      <c r="Z740" s="5">
        <f>data_origin!Z864</f>
        <v>0</v>
      </c>
      <c r="AA740" s="5">
        <f>data_origin!AA864</f>
        <v>0</v>
      </c>
      <c r="AB740" s="5">
        <f t="shared" si="94"/>
        <v>0</v>
      </c>
    </row>
    <row r="741" spans="4:28" x14ac:dyDescent="0.25">
      <c r="D741" t="s">
        <v>82</v>
      </c>
      <c r="E741" s="35">
        <f t="shared" si="98"/>
        <v>0</v>
      </c>
      <c r="F741" s="35">
        <f t="shared" si="98"/>
        <v>0</v>
      </c>
      <c r="G741" s="35">
        <f t="shared" si="98"/>
        <v>0</v>
      </c>
      <c r="H741" s="35">
        <f t="shared" si="95"/>
        <v>0</v>
      </c>
      <c r="I741" s="35">
        <f t="shared" si="95"/>
        <v>0</v>
      </c>
      <c r="J741" s="35">
        <f t="shared" si="95"/>
        <v>0</v>
      </c>
      <c r="K741" s="35">
        <f t="shared" si="95"/>
        <v>0</v>
      </c>
      <c r="L741" s="35">
        <f t="shared" si="89"/>
        <v>0</v>
      </c>
      <c r="M741" s="35">
        <f t="shared" si="93"/>
        <v>0</v>
      </c>
      <c r="S741" t="s">
        <v>82</v>
      </c>
      <c r="T741" s="5">
        <f>data_origin!T865</f>
        <v>0</v>
      </c>
      <c r="U741" s="5">
        <f>data_origin!U865</f>
        <v>0</v>
      </c>
      <c r="V741" s="5">
        <f>data_origin!V865</f>
        <v>0</v>
      </c>
      <c r="W741" s="5">
        <f>data_origin!W865</f>
        <v>0</v>
      </c>
      <c r="X741" s="5">
        <f>data_origin!X865</f>
        <v>0</v>
      </c>
      <c r="Y741" s="5">
        <f>data_origin!Y865</f>
        <v>0</v>
      </c>
      <c r="Z741" s="5">
        <f>data_origin!Z865</f>
        <v>0</v>
      </c>
      <c r="AA741" s="5">
        <f>data_origin!AA865</f>
        <v>0</v>
      </c>
      <c r="AB741" s="5">
        <f t="shared" si="94"/>
        <v>0</v>
      </c>
    </row>
    <row r="742" spans="4:28" x14ac:dyDescent="0.25">
      <c r="D742" t="s">
        <v>83</v>
      </c>
      <c r="E742" s="35">
        <f t="shared" si="98"/>
        <v>0</v>
      </c>
      <c r="F742" s="35">
        <f t="shared" si="98"/>
        <v>0</v>
      </c>
      <c r="G742" s="35">
        <f t="shared" si="98"/>
        <v>0</v>
      </c>
      <c r="H742" s="35">
        <f t="shared" si="95"/>
        <v>0</v>
      </c>
      <c r="I742" s="35">
        <f t="shared" si="95"/>
        <v>0</v>
      </c>
      <c r="J742" s="35">
        <f t="shared" si="95"/>
        <v>0</v>
      </c>
      <c r="K742" s="35">
        <f t="shared" si="95"/>
        <v>0</v>
      </c>
      <c r="L742" s="35">
        <f t="shared" si="89"/>
        <v>0</v>
      </c>
      <c r="M742" s="35">
        <f t="shared" si="93"/>
        <v>0</v>
      </c>
      <c r="S742" t="s">
        <v>83</v>
      </c>
      <c r="T742" s="5">
        <f>data_origin!T866</f>
        <v>0</v>
      </c>
      <c r="U742" s="5">
        <f>data_origin!U866</f>
        <v>0</v>
      </c>
      <c r="V742" s="5">
        <f>data_origin!V866</f>
        <v>0</v>
      </c>
      <c r="W742" s="5">
        <f>data_origin!W866</f>
        <v>0</v>
      </c>
      <c r="X742" s="5">
        <f>data_origin!X866</f>
        <v>0</v>
      </c>
      <c r="Y742" s="5">
        <f>data_origin!Y866</f>
        <v>0</v>
      </c>
      <c r="Z742" s="5">
        <f>data_origin!Z866</f>
        <v>0</v>
      </c>
      <c r="AA742" s="5">
        <f>data_origin!AA866</f>
        <v>0</v>
      </c>
      <c r="AB742" s="5">
        <f t="shared" si="94"/>
        <v>0</v>
      </c>
    </row>
    <row r="743" spans="4:28" x14ac:dyDescent="0.25">
      <c r="D743" t="s">
        <v>84</v>
      </c>
      <c r="E743" s="35">
        <f t="shared" si="98"/>
        <v>0</v>
      </c>
      <c r="F743" s="35">
        <f t="shared" si="98"/>
        <v>0</v>
      </c>
      <c r="G743" s="35">
        <f t="shared" si="98"/>
        <v>0</v>
      </c>
      <c r="H743" s="35">
        <f t="shared" si="95"/>
        <v>0</v>
      </c>
      <c r="I743" s="35">
        <f t="shared" si="95"/>
        <v>0</v>
      </c>
      <c r="J743" s="35">
        <f t="shared" si="95"/>
        <v>0</v>
      </c>
      <c r="K743" s="35">
        <f t="shared" si="95"/>
        <v>0</v>
      </c>
      <c r="L743" s="35">
        <f t="shared" si="89"/>
        <v>0</v>
      </c>
      <c r="M743" s="35">
        <f t="shared" si="93"/>
        <v>0</v>
      </c>
      <c r="S743" t="s">
        <v>84</v>
      </c>
      <c r="T743" s="5">
        <f>data_origin!T867</f>
        <v>0</v>
      </c>
      <c r="U743" s="5">
        <f>data_origin!U867</f>
        <v>0</v>
      </c>
      <c r="V743" s="5">
        <f>data_origin!V867</f>
        <v>0</v>
      </c>
      <c r="W743" s="5">
        <f>data_origin!W867</f>
        <v>0</v>
      </c>
      <c r="X743" s="5">
        <f>data_origin!X867</f>
        <v>0</v>
      </c>
      <c r="Y743" s="5">
        <f>data_origin!Y867</f>
        <v>0</v>
      </c>
      <c r="Z743" s="5">
        <f>data_origin!Z867</f>
        <v>0</v>
      </c>
      <c r="AA743" s="5">
        <f>data_origin!AA867</f>
        <v>0</v>
      </c>
      <c r="AB743" s="5">
        <f t="shared" si="94"/>
        <v>0</v>
      </c>
    </row>
    <row r="744" spans="4:28" x14ac:dyDescent="0.25">
      <c r="D744" t="s">
        <v>85</v>
      </c>
      <c r="E744" s="35">
        <f t="shared" si="98"/>
        <v>0</v>
      </c>
      <c r="F744" s="35">
        <f t="shared" si="98"/>
        <v>0</v>
      </c>
      <c r="G744" s="35">
        <f t="shared" si="98"/>
        <v>0</v>
      </c>
      <c r="H744" s="35">
        <f t="shared" si="95"/>
        <v>0</v>
      </c>
      <c r="I744" s="35">
        <f t="shared" si="95"/>
        <v>0</v>
      </c>
      <c r="J744" s="35">
        <f t="shared" si="95"/>
        <v>0</v>
      </c>
      <c r="K744" s="35">
        <f t="shared" si="95"/>
        <v>0</v>
      </c>
      <c r="L744" s="35">
        <f t="shared" si="89"/>
        <v>0</v>
      </c>
      <c r="M744" s="35">
        <f t="shared" si="93"/>
        <v>0</v>
      </c>
      <c r="S744" t="s">
        <v>85</v>
      </c>
      <c r="T744" s="5">
        <f>data_origin!T868</f>
        <v>0</v>
      </c>
      <c r="U744" s="5">
        <f>data_origin!U868</f>
        <v>0</v>
      </c>
      <c r="V744" s="5">
        <f>data_origin!V868</f>
        <v>0</v>
      </c>
      <c r="W744" s="5">
        <f>data_origin!W868</f>
        <v>0</v>
      </c>
      <c r="X744" s="5">
        <f>data_origin!X868</f>
        <v>0</v>
      </c>
      <c r="Y744" s="5">
        <f>data_origin!Y868</f>
        <v>0</v>
      </c>
      <c r="Z744" s="5">
        <f>data_origin!Z868</f>
        <v>0</v>
      </c>
      <c r="AA744" s="5">
        <f>data_origin!AA868</f>
        <v>0</v>
      </c>
      <c r="AB744" s="5">
        <f t="shared" si="94"/>
        <v>0</v>
      </c>
    </row>
    <row r="745" spans="4:28" x14ac:dyDescent="0.25">
      <c r="D745" t="s">
        <v>86</v>
      </c>
      <c r="E745" s="35">
        <f t="shared" si="98"/>
        <v>0</v>
      </c>
      <c r="F745" s="35">
        <f t="shared" si="98"/>
        <v>0</v>
      </c>
      <c r="G745" s="35">
        <f t="shared" si="98"/>
        <v>0</v>
      </c>
      <c r="H745" s="35">
        <f t="shared" si="95"/>
        <v>0</v>
      </c>
      <c r="I745" s="35">
        <f t="shared" si="95"/>
        <v>0</v>
      </c>
      <c r="J745" s="35">
        <f t="shared" si="95"/>
        <v>0</v>
      </c>
      <c r="K745" s="35">
        <f t="shared" si="95"/>
        <v>0</v>
      </c>
      <c r="L745" s="35">
        <f t="shared" si="89"/>
        <v>0</v>
      </c>
      <c r="M745" s="35">
        <f t="shared" si="93"/>
        <v>0</v>
      </c>
      <c r="S745" t="s">
        <v>86</v>
      </c>
      <c r="T745" s="5">
        <f>data_origin!T869</f>
        <v>0</v>
      </c>
      <c r="U745" s="5">
        <f>data_origin!U869</f>
        <v>0</v>
      </c>
      <c r="V745" s="5">
        <f>data_origin!V869</f>
        <v>0</v>
      </c>
      <c r="W745" s="5">
        <f>data_origin!W869</f>
        <v>0</v>
      </c>
      <c r="X745" s="5">
        <f>data_origin!X869</f>
        <v>0</v>
      </c>
      <c r="Y745" s="5">
        <f>data_origin!Y869</f>
        <v>0</v>
      </c>
      <c r="Z745" s="5">
        <f>data_origin!Z869</f>
        <v>0</v>
      </c>
      <c r="AA745" s="5">
        <f>data_origin!AA869</f>
        <v>0</v>
      </c>
      <c r="AB745" s="5">
        <f t="shared" si="94"/>
        <v>0</v>
      </c>
    </row>
    <row r="746" spans="4:28" x14ac:dyDescent="0.25">
      <c r="D746" t="s">
        <v>87</v>
      </c>
      <c r="E746" s="35">
        <f t="shared" si="98"/>
        <v>0</v>
      </c>
      <c r="F746" s="35">
        <f t="shared" si="98"/>
        <v>0</v>
      </c>
      <c r="G746" s="35">
        <f t="shared" si="98"/>
        <v>0</v>
      </c>
      <c r="H746" s="35">
        <f t="shared" si="95"/>
        <v>0</v>
      </c>
      <c r="I746" s="35">
        <f t="shared" si="95"/>
        <v>0</v>
      </c>
      <c r="J746" s="35">
        <f t="shared" si="95"/>
        <v>0</v>
      </c>
      <c r="K746" s="35">
        <f t="shared" si="95"/>
        <v>0</v>
      </c>
      <c r="L746" s="35">
        <f t="shared" si="89"/>
        <v>0</v>
      </c>
      <c r="M746" s="35">
        <f t="shared" si="93"/>
        <v>0</v>
      </c>
      <c r="S746" t="s">
        <v>87</v>
      </c>
      <c r="T746" s="5">
        <f>data_origin!T870</f>
        <v>0</v>
      </c>
      <c r="U746" s="5">
        <f>data_origin!U870</f>
        <v>0</v>
      </c>
      <c r="V746" s="5">
        <f>data_origin!V870</f>
        <v>0</v>
      </c>
      <c r="W746" s="5">
        <f>data_origin!W870</f>
        <v>0</v>
      </c>
      <c r="X746" s="5">
        <f>data_origin!X870</f>
        <v>0</v>
      </c>
      <c r="Y746" s="5">
        <f>data_origin!Y870</f>
        <v>0</v>
      </c>
      <c r="Z746" s="5">
        <f>data_origin!Z870</f>
        <v>0</v>
      </c>
      <c r="AA746" s="5">
        <f>data_origin!AA870</f>
        <v>0</v>
      </c>
      <c r="AB746" s="5">
        <f t="shared" si="94"/>
        <v>0</v>
      </c>
    </row>
    <row r="747" spans="4:28" x14ac:dyDescent="0.25">
      <c r="D747" t="s">
        <v>88</v>
      </c>
      <c r="E747" s="35">
        <f t="shared" si="98"/>
        <v>0</v>
      </c>
      <c r="F747" s="35">
        <f t="shared" si="98"/>
        <v>0</v>
      </c>
      <c r="G747" s="35">
        <f t="shared" si="98"/>
        <v>0</v>
      </c>
      <c r="H747" s="35">
        <f t="shared" si="95"/>
        <v>0</v>
      </c>
      <c r="I747" s="35">
        <f t="shared" si="95"/>
        <v>0</v>
      </c>
      <c r="J747" s="35">
        <f t="shared" si="95"/>
        <v>0</v>
      </c>
      <c r="K747" s="35">
        <f t="shared" si="95"/>
        <v>0</v>
      </c>
      <c r="L747" s="35">
        <f t="shared" si="89"/>
        <v>0</v>
      </c>
      <c r="M747" s="35">
        <f t="shared" si="93"/>
        <v>0</v>
      </c>
      <c r="S747" t="s">
        <v>88</v>
      </c>
      <c r="T747" s="5">
        <f>data_origin!T871</f>
        <v>0</v>
      </c>
      <c r="U747" s="5">
        <f>data_origin!U871</f>
        <v>0</v>
      </c>
      <c r="V747" s="5">
        <f>data_origin!V871</f>
        <v>0</v>
      </c>
      <c r="W747" s="5">
        <f>data_origin!W871</f>
        <v>0</v>
      </c>
      <c r="X747" s="5">
        <f>data_origin!X871</f>
        <v>0</v>
      </c>
      <c r="Y747" s="5">
        <f>data_origin!Y871</f>
        <v>0</v>
      </c>
      <c r="Z747" s="5">
        <f>data_origin!Z871</f>
        <v>0</v>
      </c>
      <c r="AA747" s="5">
        <f>data_origin!AA871</f>
        <v>0</v>
      </c>
      <c r="AB747" s="5">
        <f t="shared" si="94"/>
        <v>0</v>
      </c>
    </row>
    <row r="748" spans="4:28" x14ac:dyDescent="0.25">
      <c r="D748" t="s">
        <v>89</v>
      </c>
      <c r="E748" s="35">
        <f t="shared" si="98"/>
        <v>0</v>
      </c>
      <c r="F748" s="35">
        <f t="shared" si="98"/>
        <v>0</v>
      </c>
      <c r="G748" s="35">
        <f t="shared" si="98"/>
        <v>0</v>
      </c>
      <c r="H748" s="35">
        <f t="shared" si="95"/>
        <v>0</v>
      </c>
      <c r="I748" s="35">
        <f t="shared" si="95"/>
        <v>0</v>
      </c>
      <c r="J748" s="35">
        <f t="shared" si="95"/>
        <v>0</v>
      </c>
      <c r="K748" s="35">
        <f t="shared" si="95"/>
        <v>0</v>
      </c>
      <c r="L748" s="35">
        <f t="shared" si="89"/>
        <v>0</v>
      </c>
      <c r="M748" s="35">
        <f t="shared" si="93"/>
        <v>0</v>
      </c>
      <c r="S748" t="s">
        <v>89</v>
      </c>
      <c r="T748" s="5">
        <f>data_origin!T872</f>
        <v>0</v>
      </c>
      <c r="U748" s="5">
        <f>data_origin!U872</f>
        <v>0</v>
      </c>
      <c r="V748" s="5">
        <f>data_origin!V872</f>
        <v>0</v>
      </c>
      <c r="W748" s="5">
        <f>data_origin!W872</f>
        <v>0</v>
      </c>
      <c r="X748" s="5">
        <f>data_origin!X872</f>
        <v>0</v>
      </c>
      <c r="Y748" s="5">
        <f>data_origin!Y872</f>
        <v>0</v>
      </c>
      <c r="Z748" s="5">
        <f>data_origin!Z872</f>
        <v>0</v>
      </c>
      <c r="AA748" s="5">
        <f>data_origin!AA872</f>
        <v>0</v>
      </c>
      <c r="AB748" s="5">
        <f t="shared" si="94"/>
        <v>0</v>
      </c>
    </row>
    <row r="749" spans="4:28" x14ac:dyDescent="0.25">
      <c r="D749" t="s">
        <v>90</v>
      </c>
      <c r="E749" s="35">
        <f t="shared" si="98"/>
        <v>0</v>
      </c>
      <c r="F749" s="35">
        <f t="shared" si="98"/>
        <v>0</v>
      </c>
      <c r="G749" s="35">
        <f t="shared" si="98"/>
        <v>0</v>
      </c>
      <c r="H749" s="35">
        <f t="shared" si="95"/>
        <v>0</v>
      </c>
      <c r="I749" s="35">
        <f t="shared" si="95"/>
        <v>0</v>
      </c>
      <c r="J749" s="35">
        <f t="shared" si="95"/>
        <v>0</v>
      </c>
      <c r="K749" s="35">
        <f t="shared" si="95"/>
        <v>0</v>
      </c>
      <c r="L749" s="35">
        <f t="shared" si="89"/>
        <v>0</v>
      </c>
      <c r="M749" s="35">
        <f t="shared" si="93"/>
        <v>0</v>
      </c>
      <c r="S749" t="s">
        <v>90</v>
      </c>
      <c r="T749" s="5">
        <f>data_origin!T873</f>
        <v>0</v>
      </c>
      <c r="U749" s="5">
        <f>data_origin!U873</f>
        <v>0</v>
      </c>
      <c r="V749" s="5">
        <f>data_origin!V873</f>
        <v>0</v>
      </c>
      <c r="W749" s="5">
        <f>data_origin!W873</f>
        <v>0</v>
      </c>
      <c r="X749" s="5">
        <f>data_origin!X873</f>
        <v>0</v>
      </c>
      <c r="Y749" s="5">
        <f>data_origin!Y873</f>
        <v>0</v>
      </c>
      <c r="Z749" s="5">
        <f>data_origin!Z873</f>
        <v>0</v>
      </c>
      <c r="AA749" s="5">
        <f>data_origin!AA873</f>
        <v>0</v>
      </c>
      <c r="AB749" s="5">
        <f t="shared" si="94"/>
        <v>0</v>
      </c>
    </row>
    <row r="750" spans="4:28" x14ac:dyDescent="0.25">
      <c r="D750" t="s">
        <v>91</v>
      </c>
      <c r="E750" s="35">
        <f t="shared" si="98"/>
        <v>0</v>
      </c>
      <c r="F750" s="35">
        <f t="shared" si="98"/>
        <v>0</v>
      </c>
      <c r="G750" s="35">
        <f t="shared" si="98"/>
        <v>0</v>
      </c>
      <c r="H750" s="35">
        <f t="shared" si="95"/>
        <v>0</v>
      </c>
      <c r="I750" s="35">
        <f t="shared" si="95"/>
        <v>0</v>
      </c>
      <c r="J750" s="35">
        <f t="shared" si="95"/>
        <v>0</v>
      </c>
      <c r="K750" s="35">
        <f t="shared" si="95"/>
        <v>0</v>
      </c>
      <c r="L750" s="35">
        <f t="shared" si="89"/>
        <v>0</v>
      </c>
      <c r="M750" s="35">
        <f t="shared" si="93"/>
        <v>0</v>
      </c>
      <c r="S750" t="s">
        <v>91</v>
      </c>
      <c r="T750" s="5">
        <f>data_origin!T874</f>
        <v>0</v>
      </c>
      <c r="U750" s="5">
        <f>data_origin!U874</f>
        <v>0</v>
      </c>
      <c r="V750" s="5">
        <f>data_origin!V874</f>
        <v>0</v>
      </c>
      <c r="W750" s="5">
        <f>data_origin!W874</f>
        <v>0</v>
      </c>
      <c r="X750" s="5">
        <f>data_origin!X874</f>
        <v>0</v>
      </c>
      <c r="Y750" s="5">
        <f>data_origin!Y874</f>
        <v>0</v>
      </c>
      <c r="Z750" s="5">
        <f>data_origin!Z874</f>
        <v>0</v>
      </c>
      <c r="AA750" s="5">
        <f>data_origin!AA874</f>
        <v>0</v>
      </c>
      <c r="AB750" s="5">
        <f t="shared" si="94"/>
        <v>0</v>
      </c>
    </row>
    <row r="751" spans="4:28" x14ac:dyDescent="0.25">
      <c r="D751" t="s">
        <v>92</v>
      </c>
      <c r="E751" s="35">
        <f t="shared" si="98"/>
        <v>0</v>
      </c>
      <c r="F751" s="35">
        <f t="shared" si="98"/>
        <v>0</v>
      </c>
      <c r="G751" s="35">
        <f t="shared" si="98"/>
        <v>0</v>
      </c>
      <c r="H751" s="35">
        <f t="shared" si="95"/>
        <v>0</v>
      </c>
      <c r="I751" s="35">
        <f t="shared" si="95"/>
        <v>0</v>
      </c>
      <c r="J751" s="35">
        <f t="shared" si="95"/>
        <v>0</v>
      </c>
      <c r="K751" s="35">
        <f t="shared" si="95"/>
        <v>0</v>
      </c>
      <c r="L751" s="35">
        <f t="shared" si="89"/>
        <v>0</v>
      </c>
      <c r="M751" s="35">
        <f t="shared" si="93"/>
        <v>0</v>
      </c>
      <c r="S751" t="s">
        <v>92</v>
      </c>
      <c r="T751" s="5">
        <f>data_origin!T875</f>
        <v>0</v>
      </c>
      <c r="U751" s="5">
        <f>data_origin!U875</f>
        <v>0</v>
      </c>
      <c r="V751" s="5">
        <f>data_origin!V875</f>
        <v>0</v>
      </c>
      <c r="W751" s="5">
        <f>data_origin!W875</f>
        <v>0</v>
      </c>
      <c r="X751" s="5">
        <f>data_origin!X875</f>
        <v>0</v>
      </c>
      <c r="Y751" s="5">
        <f>data_origin!Y875</f>
        <v>0</v>
      </c>
      <c r="Z751" s="5">
        <f>data_origin!Z875</f>
        <v>0</v>
      </c>
      <c r="AA751" s="5">
        <f>data_origin!AA875</f>
        <v>0</v>
      </c>
      <c r="AB751" s="5">
        <f t="shared" si="94"/>
        <v>0</v>
      </c>
    </row>
    <row r="752" spans="4:28" x14ac:dyDescent="0.25">
      <c r="D752" t="s">
        <v>93</v>
      </c>
      <c r="E752" s="35">
        <f t="shared" si="98"/>
        <v>0</v>
      </c>
      <c r="F752" s="35">
        <f t="shared" si="98"/>
        <v>0</v>
      </c>
      <c r="G752" s="35">
        <f t="shared" si="98"/>
        <v>0</v>
      </c>
      <c r="H752" s="35">
        <f t="shared" si="95"/>
        <v>0</v>
      </c>
      <c r="I752" s="35">
        <f t="shared" si="95"/>
        <v>0</v>
      </c>
      <c r="J752" s="35">
        <f t="shared" si="95"/>
        <v>0</v>
      </c>
      <c r="K752" s="35">
        <f t="shared" si="95"/>
        <v>0</v>
      </c>
      <c r="L752" s="35">
        <f t="shared" si="89"/>
        <v>0</v>
      </c>
      <c r="M752" s="35">
        <f t="shared" si="93"/>
        <v>0</v>
      </c>
      <c r="S752" t="s">
        <v>93</v>
      </c>
      <c r="T752" s="5">
        <f>data_origin!T876</f>
        <v>0</v>
      </c>
      <c r="U752" s="5">
        <f>data_origin!U876</f>
        <v>0</v>
      </c>
      <c r="V752" s="5">
        <f>data_origin!V876</f>
        <v>0</v>
      </c>
      <c r="W752" s="5">
        <f>data_origin!W876</f>
        <v>0</v>
      </c>
      <c r="X752" s="5">
        <f>data_origin!X876</f>
        <v>0</v>
      </c>
      <c r="Y752" s="5">
        <f>data_origin!Y876</f>
        <v>0</v>
      </c>
      <c r="Z752" s="5">
        <f>data_origin!Z876</f>
        <v>0</v>
      </c>
      <c r="AA752" s="5">
        <f>data_origin!AA876</f>
        <v>0</v>
      </c>
      <c r="AB752" s="5">
        <f t="shared" si="94"/>
        <v>0</v>
      </c>
    </row>
    <row r="753" spans="1:28" x14ac:dyDescent="0.25">
      <c r="D753" t="s">
        <v>94</v>
      </c>
      <c r="E753" s="35">
        <f t="shared" si="98"/>
        <v>0</v>
      </c>
      <c r="F753" s="35">
        <f t="shared" si="98"/>
        <v>0</v>
      </c>
      <c r="G753" s="35">
        <f t="shared" si="98"/>
        <v>0</v>
      </c>
      <c r="H753" s="35">
        <f t="shared" si="95"/>
        <v>0</v>
      </c>
      <c r="I753" s="35">
        <f t="shared" si="95"/>
        <v>0</v>
      </c>
      <c r="J753" s="35">
        <f t="shared" si="95"/>
        <v>0</v>
      </c>
      <c r="K753" s="35">
        <f t="shared" si="95"/>
        <v>0</v>
      </c>
      <c r="L753" s="35">
        <f t="shared" si="89"/>
        <v>0</v>
      </c>
      <c r="M753" s="35">
        <f t="shared" si="93"/>
        <v>0</v>
      </c>
      <c r="S753" t="s">
        <v>94</v>
      </c>
      <c r="T753" s="5">
        <f>data_origin!T877</f>
        <v>0</v>
      </c>
      <c r="U753" s="5">
        <f>data_origin!U877</f>
        <v>0</v>
      </c>
      <c r="V753" s="5">
        <f>data_origin!V877</f>
        <v>0</v>
      </c>
      <c r="W753" s="5">
        <f>data_origin!W877</f>
        <v>0</v>
      </c>
      <c r="X753" s="5">
        <f>data_origin!X877</f>
        <v>0</v>
      </c>
      <c r="Y753" s="5">
        <f>data_origin!Y877</f>
        <v>0</v>
      </c>
      <c r="Z753" s="5">
        <f>data_origin!Z877</f>
        <v>0</v>
      </c>
      <c r="AA753" s="5">
        <f>data_origin!AA877</f>
        <v>0</v>
      </c>
      <c r="AB753" s="5">
        <f t="shared" si="94"/>
        <v>0</v>
      </c>
    </row>
    <row r="754" spans="1:28" x14ac:dyDescent="0.25">
      <c r="D754" t="s">
        <v>95</v>
      </c>
      <c r="E754" s="35">
        <f t="shared" si="98"/>
        <v>0</v>
      </c>
      <c r="F754" s="35">
        <f t="shared" si="98"/>
        <v>0</v>
      </c>
      <c r="G754" s="35">
        <f t="shared" si="98"/>
        <v>0</v>
      </c>
      <c r="H754" s="35">
        <f t="shared" si="95"/>
        <v>0</v>
      </c>
      <c r="I754" s="35">
        <f t="shared" si="95"/>
        <v>0</v>
      </c>
      <c r="J754" s="35">
        <f t="shared" si="95"/>
        <v>0</v>
      </c>
      <c r="K754" s="35">
        <f t="shared" si="95"/>
        <v>0</v>
      </c>
      <c r="L754" s="35">
        <f t="shared" si="89"/>
        <v>0</v>
      </c>
      <c r="M754" s="35">
        <f t="shared" si="93"/>
        <v>0</v>
      </c>
      <c r="S754" t="s">
        <v>95</v>
      </c>
      <c r="T754" s="5">
        <f>data_origin!T878</f>
        <v>0</v>
      </c>
      <c r="U754" s="5">
        <f>data_origin!U878</f>
        <v>0</v>
      </c>
      <c r="V754" s="5">
        <f>data_origin!V878</f>
        <v>0</v>
      </c>
      <c r="W754" s="5">
        <f>data_origin!W878</f>
        <v>0</v>
      </c>
      <c r="X754" s="5">
        <f>data_origin!X878</f>
        <v>0</v>
      </c>
      <c r="Y754" s="5">
        <f>data_origin!Y878</f>
        <v>0</v>
      </c>
      <c r="Z754" s="5">
        <f>data_origin!Z878</f>
        <v>0</v>
      </c>
      <c r="AA754" s="5">
        <f>data_origin!AA878</f>
        <v>0</v>
      </c>
      <c r="AB754" s="5">
        <f t="shared" si="94"/>
        <v>0</v>
      </c>
    </row>
    <row r="755" spans="1:28" x14ac:dyDescent="0.25">
      <c r="D755" t="s">
        <v>96</v>
      </c>
      <c r="E755" s="35">
        <f t="shared" si="98"/>
        <v>0</v>
      </c>
      <c r="F755" s="35">
        <f t="shared" si="98"/>
        <v>0</v>
      </c>
      <c r="G755" s="35">
        <f t="shared" si="98"/>
        <v>0</v>
      </c>
      <c r="H755" s="35">
        <f t="shared" si="95"/>
        <v>0</v>
      </c>
      <c r="I755" s="35">
        <f t="shared" si="95"/>
        <v>0</v>
      </c>
      <c r="J755" s="35">
        <f t="shared" si="95"/>
        <v>0</v>
      </c>
      <c r="K755" s="35">
        <f t="shared" si="95"/>
        <v>0</v>
      </c>
      <c r="L755" s="35">
        <f t="shared" si="89"/>
        <v>0</v>
      </c>
      <c r="M755" s="35">
        <f t="shared" si="93"/>
        <v>0</v>
      </c>
      <c r="S755" t="s">
        <v>96</v>
      </c>
      <c r="T755" s="5">
        <f>data_origin!T879</f>
        <v>0</v>
      </c>
      <c r="U755" s="5">
        <f>data_origin!U879</f>
        <v>0</v>
      </c>
      <c r="V755" s="5">
        <f>data_origin!V879</f>
        <v>0</v>
      </c>
      <c r="W755" s="5">
        <f>data_origin!W879</f>
        <v>0</v>
      </c>
      <c r="X755" s="5">
        <f>data_origin!X879</f>
        <v>0</v>
      </c>
      <c r="Y755" s="5">
        <f>data_origin!Y879</f>
        <v>0</v>
      </c>
      <c r="Z755" s="5">
        <f>data_origin!Z879</f>
        <v>0</v>
      </c>
      <c r="AA755" s="5">
        <f>data_origin!AA879</f>
        <v>0</v>
      </c>
      <c r="AB755" s="5">
        <f t="shared" si="94"/>
        <v>0</v>
      </c>
    </row>
    <row r="756" spans="1:28" x14ac:dyDescent="0.25">
      <c r="D756" t="s">
        <v>97</v>
      </c>
      <c r="E756" s="35">
        <f t="shared" si="98"/>
        <v>0</v>
      </c>
      <c r="F756" s="35">
        <f t="shared" si="98"/>
        <v>0</v>
      </c>
      <c r="G756" s="35">
        <f t="shared" si="98"/>
        <v>0</v>
      </c>
      <c r="H756" s="35">
        <f t="shared" si="95"/>
        <v>0</v>
      </c>
      <c r="I756" s="35">
        <f t="shared" si="95"/>
        <v>0</v>
      </c>
      <c r="J756" s="35">
        <f t="shared" si="95"/>
        <v>0</v>
      </c>
      <c r="K756" s="35">
        <f t="shared" si="95"/>
        <v>0</v>
      </c>
      <c r="L756" s="35">
        <f t="shared" si="89"/>
        <v>0</v>
      </c>
      <c r="M756" s="35">
        <f t="shared" si="93"/>
        <v>0</v>
      </c>
      <c r="S756" t="s">
        <v>97</v>
      </c>
      <c r="T756" s="5">
        <f>data_origin!T880</f>
        <v>0</v>
      </c>
      <c r="U756" s="5">
        <f>data_origin!U880</f>
        <v>0</v>
      </c>
      <c r="V756" s="5">
        <f>data_origin!V880</f>
        <v>0</v>
      </c>
      <c r="W756" s="5">
        <f>data_origin!W880</f>
        <v>0</v>
      </c>
      <c r="X756" s="5">
        <f>data_origin!X880</f>
        <v>0</v>
      </c>
      <c r="Y756" s="5">
        <f>data_origin!Y880</f>
        <v>0</v>
      </c>
      <c r="Z756" s="5">
        <f>data_origin!Z880</f>
        <v>0</v>
      </c>
      <c r="AA756" s="5">
        <f>data_origin!AA880</f>
        <v>0</v>
      </c>
      <c r="AB756" s="5">
        <f t="shared" si="94"/>
        <v>0</v>
      </c>
    </row>
    <row r="757" spans="1:28" x14ac:dyDescent="0.25">
      <c r="D757" t="s">
        <v>98</v>
      </c>
      <c r="E757" s="35">
        <f t="shared" si="98"/>
        <v>0</v>
      </c>
      <c r="F757" s="35">
        <f t="shared" si="98"/>
        <v>0</v>
      </c>
      <c r="G757" s="35">
        <f t="shared" si="98"/>
        <v>0</v>
      </c>
      <c r="H757" s="35">
        <f t="shared" si="95"/>
        <v>0</v>
      </c>
      <c r="I757" s="35">
        <f t="shared" si="95"/>
        <v>0</v>
      </c>
      <c r="J757" s="35">
        <f t="shared" si="95"/>
        <v>0</v>
      </c>
      <c r="K757" s="35">
        <f t="shared" si="95"/>
        <v>0</v>
      </c>
      <c r="L757" s="35">
        <f t="shared" si="89"/>
        <v>0</v>
      </c>
      <c r="M757" s="35">
        <f t="shared" si="93"/>
        <v>0</v>
      </c>
      <c r="S757" t="s">
        <v>98</v>
      </c>
      <c r="T757" s="5">
        <f>data_origin!T881</f>
        <v>0</v>
      </c>
      <c r="U757" s="5">
        <f>data_origin!U881</f>
        <v>0</v>
      </c>
      <c r="V757" s="5">
        <f>data_origin!V881</f>
        <v>0</v>
      </c>
      <c r="W757" s="5">
        <f>data_origin!W881</f>
        <v>0</v>
      </c>
      <c r="X757" s="5">
        <f>data_origin!X881</f>
        <v>0</v>
      </c>
      <c r="Y757" s="5">
        <f>data_origin!Y881</f>
        <v>0</v>
      </c>
      <c r="Z757" s="5">
        <f>data_origin!Z881</f>
        <v>0</v>
      </c>
      <c r="AA757" s="5">
        <f>data_origin!AA881</f>
        <v>0</v>
      </c>
      <c r="AB757" s="5">
        <f t="shared" si="94"/>
        <v>0</v>
      </c>
    </row>
    <row r="758" spans="1:28" x14ac:dyDescent="0.25">
      <c r="D758" t="s">
        <v>119</v>
      </c>
      <c r="E758" s="35">
        <f t="shared" si="98"/>
        <v>0</v>
      </c>
      <c r="F758" s="35">
        <f t="shared" si="98"/>
        <v>0</v>
      </c>
      <c r="G758" s="35">
        <f t="shared" si="98"/>
        <v>0</v>
      </c>
      <c r="H758" s="35">
        <f t="shared" si="95"/>
        <v>0</v>
      </c>
      <c r="I758" s="35">
        <f t="shared" si="95"/>
        <v>0</v>
      </c>
      <c r="J758" s="35">
        <f t="shared" si="95"/>
        <v>0</v>
      </c>
      <c r="K758" s="35">
        <f t="shared" si="95"/>
        <v>0</v>
      </c>
      <c r="L758" s="35">
        <f t="shared" si="89"/>
        <v>0</v>
      </c>
      <c r="M758" s="35">
        <f t="shared" si="93"/>
        <v>0</v>
      </c>
      <c r="S758" t="s">
        <v>119</v>
      </c>
      <c r="T758" s="5">
        <f>data_origin!T882</f>
        <v>0</v>
      </c>
      <c r="U758" s="5">
        <f>data_origin!U882</f>
        <v>0</v>
      </c>
      <c r="V758" s="5">
        <f>data_origin!V882</f>
        <v>0</v>
      </c>
      <c r="W758" s="5">
        <f>data_origin!W882</f>
        <v>0</v>
      </c>
      <c r="X758" s="5">
        <f>data_origin!X882</f>
        <v>0</v>
      </c>
      <c r="Y758" s="5">
        <f>data_origin!Y882</f>
        <v>0</v>
      </c>
      <c r="Z758" s="5">
        <f>data_origin!Z882</f>
        <v>0</v>
      </c>
      <c r="AA758" s="5">
        <f>data_origin!AA882</f>
        <v>0</v>
      </c>
      <c r="AB758" s="5">
        <f t="shared" si="94"/>
        <v>0</v>
      </c>
    </row>
    <row r="759" spans="1:28" x14ac:dyDescent="0.25">
      <c r="D759" t="s">
        <v>99</v>
      </c>
      <c r="E759" s="35">
        <f t="shared" si="98"/>
        <v>0</v>
      </c>
      <c r="F759" s="35">
        <f t="shared" si="98"/>
        <v>0</v>
      </c>
      <c r="G759" s="35">
        <f t="shared" si="98"/>
        <v>0</v>
      </c>
      <c r="H759" s="35">
        <f t="shared" si="95"/>
        <v>0</v>
      </c>
      <c r="I759" s="35">
        <f t="shared" si="95"/>
        <v>0</v>
      </c>
      <c r="J759" s="35">
        <f t="shared" si="95"/>
        <v>0</v>
      </c>
      <c r="K759" s="35">
        <f t="shared" si="95"/>
        <v>0</v>
      </c>
      <c r="L759" s="35">
        <f t="shared" si="95"/>
        <v>0</v>
      </c>
      <c r="M759" s="35">
        <f t="shared" si="93"/>
        <v>0</v>
      </c>
      <c r="S759" t="s">
        <v>99</v>
      </c>
      <c r="T759" s="5">
        <f>data_origin!T883</f>
        <v>0</v>
      </c>
      <c r="U759" s="5">
        <f>data_origin!U883</f>
        <v>0</v>
      </c>
      <c r="V759" s="5">
        <f>data_origin!V883</f>
        <v>0</v>
      </c>
      <c r="W759" s="5">
        <f>data_origin!W883</f>
        <v>0</v>
      </c>
      <c r="X759" s="5">
        <f>data_origin!X883</f>
        <v>0</v>
      </c>
      <c r="Y759" s="5">
        <f>data_origin!Y883</f>
        <v>0</v>
      </c>
      <c r="Z759" s="5">
        <f>data_origin!Z883</f>
        <v>0</v>
      </c>
      <c r="AA759" s="5">
        <f>data_origin!AA883</f>
        <v>0</v>
      </c>
      <c r="AB759" s="5">
        <f t="shared" si="94"/>
        <v>0</v>
      </c>
    </row>
    <row r="760" spans="1:28" x14ac:dyDescent="0.25">
      <c r="D760" t="s">
        <v>100</v>
      </c>
      <c r="E760" s="35">
        <f t="shared" si="98"/>
        <v>0</v>
      </c>
      <c r="F760" s="35">
        <f t="shared" si="98"/>
        <v>0</v>
      </c>
      <c r="G760" s="35">
        <f t="shared" si="98"/>
        <v>0</v>
      </c>
      <c r="H760" s="35">
        <f t="shared" si="95"/>
        <v>0</v>
      </c>
      <c r="I760" s="35">
        <f t="shared" si="95"/>
        <v>0</v>
      </c>
      <c r="J760" s="35">
        <f t="shared" si="95"/>
        <v>0</v>
      </c>
      <c r="K760" s="35">
        <f t="shared" si="95"/>
        <v>0</v>
      </c>
      <c r="L760" s="35">
        <f t="shared" si="95"/>
        <v>0</v>
      </c>
      <c r="M760" s="35">
        <f t="shared" si="93"/>
        <v>0</v>
      </c>
      <c r="S760" t="s">
        <v>100</v>
      </c>
      <c r="T760" s="5">
        <f>data_origin!T884</f>
        <v>0</v>
      </c>
      <c r="U760" s="5">
        <f>data_origin!U884</f>
        <v>0</v>
      </c>
      <c r="V760" s="5">
        <f>data_origin!V884</f>
        <v>0</v>
      </c>
      <c r="W760" s="5">
        <f>data_origin!W884</f>
        <v>0</v>
      </c>
      <c r="X760" s="5">
        <f>data_origin!X884</f>
        <v>0</v>
      </c>
      <c r="Y760" s="5">
        <f>data_origin!Y884</f>
        <v>0</v>
      </c>
      <c r="Z760" s="5">
        <f>data_origin!Z884</f>
        <v>0</v>
      </c>
      <c r="AA760" s="5">
        <f>data_origin!AA884</f>
        <v>0</v>
      </c>
      <c r="AB760" s="5">
        <f t="shared" si="94"/>
        <v>0</v>
      </c>
    </row>
    <row r="761" spans="1:28" x14ac:dyDescent="0.25">
      <c r="D761" t="s">
        <v>101</v>
      </c>
      <c r="E761" s="35">
        <f t="shared" si="98"/>
        <v>0</v>
      </c>
      <c r="F761" s="35">
        <f t="shared" si="98"/>
        <v>0</v>
      </c>
      <c r="G761" s="35">
        <f t="shared" si="98"/>
        <v>0</v>
      </c>
      <c r="H761" s="35">
        <f t="shared" si="95"/>
        <v>0</v>
      </c>
      <c r="I761" s="35">
        <f t="shared" si="95"/>
        <v>0</v>
      </c>
      <c r="J761" s="35">
        <f t="shared" si="95"/>
        <v>0</v>
      </c>
      <c r="K761" s="35">
        <f t="shared" si="95"/>
        <v>0</v>
      </c>
      <c r="L761" s="35">
        <f t="shared" si="95"/>
        <v>0</v>
      </c>
      <c r="M761" s="35">
        <f t="shared" si="93"/>
        <v>0</v>
      </c>
      <c r="S761" t="s">
        <v>101</v>
      </c>
      <c r="T761" s="5">
        <f>data_origin!T885</f>
        <v>0</v>
      </c>
      <c r="U761" s="5">
        <f>data_origin!U885</f>
        <v>0</v>
      </c>
      <c r="V761" s="5">
        <f>data_origin!V885</f>
        <v>0</v>
      </c>
      <c r="W761" s="5">
        <f>data_origin!W885</f>
        <v>0</v>
      </c>
      <c r="X761" s="5">
        <f>data_origin!X885</f>
        <v>0</v>
      </c>
      <c r="Y761" s="5">
        <f>data_origin!Y885</f>
        <v>0</v>
      </c>
      <c r="Z761" s="5">
        <f>data_origin!Z885</f>
        <v>0</v>
      </c>
      <c r="AA761" s="5">
        <f>data_origin!AA885</f>
        <v>0</v>
      </c>
      <c r="AB761" s="5">
        <f t="shared" si="94"/>
        <v>0</v>
      </c>
    </row>
    <row r="762" spans="1:28" x14ac:dyDescent="0.25">
      <c r="A762" s="23" t="s">
        <v>104</v>
      </c>
      <c r="B762" s="23" t="s">
        <v>117</v>
      </c>
      <c r="C762" s="23" t="s">
        <v>108</v>
      </c>
      <c r="D762" t="s">
        <v>70</v>
      </c>
      <c r="E762" s="35">
        <f t="shared" si="98"/>
        <v>0</v>
      </c>
      <c r="F762" s="35">
        <f t="shared" si="98"/>
        <v>0</v>
      </c>
      <c r="G762" s="35">
        <f t="shared" si="98"/>
        <v>0</v>
      </c>
      <c r="H762" s="35">
        <f t="shared" si="95"/>
        <v>0</v>
      </c>
      <c r="I762" s="35">
        <f t="shared" si="95"/>
        <v>0</v>
      </c>
      <c r="J762" s="35">
        <f t="shared" si="95"/>
        <v>0</v>
      </c>
      <c r="K762" s="35">
        <f t="shared" si="95"/>
        <v>0</v>
      </c>
      <c r="L762" s="35">
        <f t="shared" si="95"/>
        <v>0</v>
      </c>
      <c r="M762" s="35">
        <f t="shared" si="93"/>
        <v>0</v>
      </c>
      <c r="P762" t="s">
        <v>104</v>
      </c>
      <c r="Q762" t="s">
        <v>117</v>
      </c>
      <c r="R762" t="s">
        <v>108</v>
      </c>
      <c r="S762" t="s">
        <v>70</v>
      </c>
      <c r="T762" s="5">
        <f>data_origin!T887</f>
        <v>0</v>
      </c>
      <c r="U762" s="5">
        <f>data_origin!U887</f>
        <v>0</v>
      </c>
      <c r="V762" s="5">
        <f>data_origin!V887</f>
        <v>0</v>
      </c>
      <c r="W762" s="5">
        <f>data_origin!W887</f>
        <v>0</v>
      </c>
      <c r="X762" s="5">
        <f>data_origin!X887</f>
        <v>0</v>
      </c>
      <c r="Y762" s="5">
        <f>data_origin!Y887</f>
        <v>0</v>
      </c>
      <c r="Z762" s="5">
        <f>data_origin!Z887</f>
        <v>0</v>
      </c>
      <c r="AA762" s="5">
        <f>data_origin!AA887</f>
        <v>0</v>
      </c>
      <c r="AB762" s="5">
        <f t="shared" si="94"/>
        <v>0</v>
      </c>
    </row>
    <row r="763" spans="1:28" x14ac:dyDescent="0.25">
      <c r="D763" t="s">
        <v>71</v>
      </c>
      <c r="E763" s="35">
        <f t="shared" si="98"/>
        <v>0</v>
      </c>
      <c r="F763" s="35">
        <f t="shared" si="98"/>
        <v>0</v>
      </c>
      <c r="G763" s="35">
        <f t="shared" si="98"/>
        <v>0</v>
      </c>
      <c r="H763" s="35">
        <f t="shared" si="95"/>
        <v>0</v>
      </c>
      <c r="I763" s="35">
        <f t="shared" si="95"/>
        <v>0</v>
      </c>
      <c r="J763" s="35">
        <f t="shared" si="95"/>
        <v>0</v>
      </c>
      <c r="K763" s="35">
        <f t="shared" si="95"/>
        <v>0</v>
      </c>
      <c r="L763" s="35">
        <f t="shared" si="95"/>
        <v>0</v>
      </c>
      <c r="M763" s="35">
        <f t="shared" si="93"/>
        <v>0</v>
      </c>
      <c r="S763" t="s">
        <v>71</v>
      </c>
      <c r="T763" s="5">
        <f>data_origin!T888</f>
        <v>0</v>
      </c>
      <c r="U763" s="5">
        <f>data_origin!U888</f>
        <v>0</v>
      </c>
      <c r="V763" s="5">
        <f>data_origin!V888</f>
        <v>0</v>
      </c>
      <c r="W763" s="5">
        <f>data_origin!W888</f>
        <v>0</v>
      </c>
      <c r="X763" s="5">
        <f>data_origin!X888</f>
        <v>0</v>
      </c>
      <c r="Y763" s="5">
        <f>data_origin!Y888</f>
        <v>0</v>
      </c>
      <c r="Z763" s="5">
        <f>data_origin!Z888</f>
        <v>0</v>
      </c>
      <c r="AA763" s="5">
        <f>data_origin!AA888</f>
        <v>0</v>
      </c>
      <c r="AB763" s="5">
        <f t="shared" si="94"/>
        <v>0</v>
      </c>
    </row>
    <row r="764" spans="1:28" x14ac:dyDescent="0.25">
      <c r="D764" t="s">
        <v>72</v>
      </c>
      <c r="E764" s="35">
        <f t="shared" si="98"/>
        <v>0</v>
      </c>
      <c r="F764" s="35">
        <f t="shared" si="98"/>
        <v>0</v>
      </c>
      <c r="G764" s="35">
        <f t="shared" si="98"/>
        <v>0</v>
      </c>
      <c r="H764" s="35">
        <f t="shared" si="95"/>
        <v>0</v>
      </c>
      <c r="I764" s="35">
        <f t="shared" si="95"/>
        <v>0</v>
      </c>
      <c r="J764" s="35">
        <f t="shared" si="95"/>
        <v>0</v>
      </c>
      <c r="K764" s="35">
        <f t="shared" si="95"/>
        <v>0</v>
      </c>
      <c r="L764" s="35">
        <f t="shared" si="95"/>
        <v>0</v>
      </c>
      <c r="M764" s="35">
        <f t="shared" si="93"/>
        <v>0</v>
      </c>
      <c r="S764" t="s">
        <v>72</v>
      </c>
      <c r="T764" s="5">
        <f>data_origin!T889</f>
        <v>0</v>
      </c>
      <c r="U764" s="5">
        <f>data_origin!U889</f>
        <v>0</v>
      </c>
      <c r="V764" s="5">
        <f>data_origin!V889</f>
        <v>0</v>
      </c>
      <c r="W764" s="5">
        <f>data_origin!W889</f>
        <v>0</v>
      </c>
      <c r="X764" s="5">
        <f>data_origin!X889</f>
        <v>0</v>
      </c>
      <c r="Y764" s="5">
        <f>data_origin!Y889</f>
        <v>0</v>
      </c>
      <c r="Z764" s="5">
        <f>data_origin!Z889</f>
        <v>0</v>
      </c>
      <c r="AA764" s="5">
        <f>data_origin!AA889</f>
        <v>0</v>
      </c>
      <c r="AB764" s="5">
        <f t="shared" si="94"/>
        <v>0</v>
      </c>
    </row>
    <row r="765" spans="1:28" x14ac:dyDescent="0.25">
      <c r="D765" t="s">
        <v>73</v>
      </c>
      <c r="E765" s="35">
        <f t="shared" si="98"/>
        <v>0</v>
      </c>
      <c r="F765" s="35">
        <f t="shared" si="98"/>
        <v>0</v>
      </c>
      <c r="G765" s="35">
        <f t="shared" si="98"/>
        <v>0</v>
      </c>
      <c r="H765" s="35">
        <f t="shared" si="95"/>
        <v>0</v>
      </c>
      <c r="I765" s="35">
        <f t="shared" si="95"/>
        <v>0</v>
      </c>
      <c r="J765" s="35">
        <f t="shared" si="95"/>
        <v>0</v>
      </c>
      <c r="K765" s="35">
        <f t="shared" si="95"/>
        <v>0</v>
      </c>
      <c r="L765" s="35">
        <f t="shared" si="95"/>
        <v>0</v>
      </c>
      <c r="M765" s="35">
        <f t="shared" si="93"/>
        <v>0</v>
      </c>
      <c r="S765" t="s">
        <v>73</v>
      </c>
      <c r="T765" s="5">
        <f>data_origin!T890</f>
        <v>0</v>
      </c>
      <c r="U765" s="5">
        <f>data_origin!U890</f>
        <v>0</v>
      </c>
      <c r="V765" s="5">
        <f>data_origin!V890</f>
        <v>0</v>
      </c>
      <c r="W765" s="5">
        <f>data_origin!W890</f>
        <v>0</v>
      </c>
      <c r="X765" s="5">
        <f>data_origin!X890</f>
        <v>0</v>
      </c>
      <c r="Y765" s="5">
        <f>data_origin!Y890</f>
        <v>0</v>
      </c>
      <c r="Z765" s="5">
        <f>data_origin!Z890</f>
        <v>0</v>
      </c>
      <c r="AA765" s="5">
        <f>data_origin!AA890</f>
        <v>0</v>
      </c>
      <c r="AB765" s="5">
        <f t="shared" si="94"/>
        <v>0</v>
      </c>
    </row>
    <row r="766" spans="1:28" x14ac:dyDescent="0.25">
      <c r="D766" t="s">
        <v>74</v>
      </c>
      <c r="E766" s="35">
        <f t="shared" si="98"/>
        <v>0</v>
      </c>
      <c r="F766" s="35">
        <f t="shared" si="98"/>
        <v>0</v>
      </c>
      <c r="G766" s="35">
        <f t="shared" si="98"/>
        <v>0</v>
      </c>
      <c r="H766" s="35">
        <f t="shared" si="95"/>
        <v>0</v>
      </c>
      <c r="I766" s="35">
        <f t="shared" si="95"/>
        <v>0</v>
      </c>
      <c r="J766" s="35">
        <f t="shared" si="95"/>
        <v>0</v>
      </c>
      <c r="K766" s="35">
        <f t="shared" si="95"/>
        <v>0</v>
      </c>
      <c r="L766" s="35">
        <f t="shared" si="95"/>
        <v>0</v>
      </c>
      <c r="M766" s="35">
        <f t="shared" si="93"/>
        <v>0</v>
      </c>
      <c r="S766" t="s">
        <v>74</v>
      </c>
      <c r="T766" s="5">
        <f>data_origin!T891</f>
        <v>0</v>
      </c>
      <c r="U766" s="5">
        <f>data_origin!U891</f>
        <v>0</v>
      </c>
      <c r="V766" s="5">
        <f>data_origin!V891</f>
        <v>0</v>
      </c>
      <c r="W766" s="5">
        <f>data_origin!W891</f>
        <v>0</v>
      </c>
      <c r="X766" s="5">
        <f>data_origin!X891</f>
        <v>0</v>
      </c>
      <c r="Y766" s="5">
        <f>data_origin!Y891</f>
        <v>0</v>
      </c>
      <c r="Z766" s="5">
        <f>data_origin!Z891</f>
        <v>0</v>
      </c>
      <c r="AA766" s="5">
        <f>data_origin!AA891</f>
        <v>0</v>
      </c>
      <c r="AB766" s="5">
        <f t="shared" si="94"/>
        <v>0</v>
      </c>
    </row>
    <row r="767" spans="1:28" x14ac:dyDescent="0.25">
      <c r="D767" t="s">
        <v>75</v>
      </c>
      <c r="E767" s="35">
        <f t="shared" si="98"/>
        <v>0</v>
      </c>
      <c r="F767" s="35">
        <f t="shared" si="98"/>
        <v>0</v>
      </c>
      <c r="G767" s="35">
        <f t="shared" si="98"/>
        <v>0</v>
      </c>
      <c r="H767" s="35">
        <f t="shared" si="95"/>
        <v>0</v>
      </c>
      <c r="I767" s="35">
        <f t="shared" si="95"/>
        <v>0</v>
      </c>
      <c r="J767" s="35">
        <f t="shared" si="95"/>
        <v>0</v>
      </c>
      <c r="K767" s="35">
        <f t="shared" si="95"/>
        <v>0</v>
      </c>
      <c r="L767" s="35">
        <f t="shared" si="95"/>
        <v>0</v>
      </c>
      <c r="M767" s="35">
        <f t="shared" si="93"/>
        <v>0</v>
      </c>
      <c r="S767" t="s">
        <v>75</v>
      </c>
      <c r="T767" s="5">
        <f>data_origin!T892</f>
        <v>0</v>
      </c>
      <c r="U767" s="5">
        <f>data_origin!U892</f>
        <v>0</v>
      </c>
      <c r="V767" s="5">
        <f>data_origin!V892</f>
        <v>0</v>
      </c>
      <c r="W767" s="5">
        <f>data_origin!W892</f>
        <v>0</v>
      </c>
      <c r="X767" s="5">
        <f>data_origin!X892</f>
        <v>0</v>
      </c>
      <c r="Y767" s="5">
        <f>data_origin!Y892</f>
        <v>0</v>
      </c>
      <c r="Z767" s="5">
        <f>data_origin!Z892</f>
        <v>0</v>
      </c>
      <c r="AA767" s="5">
        <f>data_origin!AA892</f>
        <v>0</v>
      </c>
      <c r="AB767" s="5">
        <f t="shared" si="94"/>
        <v>0</v>
      </c>
    </row>
    <row r="768" spans="1:28" x14ac:dyDescent="0.25">
      <c r="D768" t="s">
        <v>76</v>
      </c>
      <c r="E768" s="35">
        <f t="shared" si="98"/>
        <v>0</v>
      </c>
      <c r="F768" s="35">
        <f t="shared" si="98"/>
        <v>0</v>
      </c>
      <c r="G768" s="35">
        <f t="shared" si="98"/>
        <v>0</v>
      </c>
      <c r="H768" s="35">
        <f t="shared" si="95"/>
        <v>0</v>
      </c>
      <c r="I768" s="35">
        <f t="shared" si="95"/>
        <v>0</v>
      </c>
      <c r="J768" s="35">
        <f t="shared" si="95"/>
        <v>0</v>
      </c>
      <c r="K768" s="35">
        <f t="shared" si="95"/>
        <v>0</v>
      </c>
      <c r="L768" s="35">
        <f t="shared" si="95"/>
        <v>0</v>
      </c>
      <c r="M768" s="35">
        <f t="shared" si="93"/>
        <v>0</v>
      </c>
      <c r="S768" t="s">
        <v>76</v>
      </c>
      <c r="T768" s="5">
        <f>data_origin!T893</f>
        <v>0</v>
      </c>
      <c r="U768" s="5">
        <f>data_origin!U893</f>
        <v>0</v>
      </c>
      <c r="V768" s="5">
        <f>data_origin!V893</f>
        <v>0</v>
      </c>
      <c r="W768" s="5">
        <f>data_origin!W893</f>
        <v>0</v>
      </c>
      <c r="X768" s="5">
        <f>data_origin!X893</f>
        <v>0</v>
      </c>
      <c r="Y768" s="5">
        <f>data_origin!Y893</f>
        <v>0</v>
      </c>
      <c r="Z768" s="5">
        <f>data_origin!Z893</f>
        <v>0</v>
      </c>
      <c r="AA768" s="5">
        <f>data_origin!AA893</f>
        <v>0</v>
      </c>
      <c r="AB768" s="5">
        <f t="shared" si="94"/>
        <v>0</v>
      </c>
    </row>
    <row r="769" spans="4:28" x14ac:dyDescent="0.25">
      <c r="D769" t="s">
        <v>77</v>
      </c>
      <c r="E769" s="35">
        <f t="shared" si="98"/>
        <v>0</v>
      </c>
      <c r="F769" s="35">
        <f t="shared" si="98"/>
        <v>0</v>
      </c>
      <c r="G769" s="35">
        <f t="shared" si="98"/>
        <v>0</v>
      </c>
      <c r="H769" s="35">
        <f t="shared" si="95"/>
        <v>0</v>
      </c>
      <c r="I769" s="35">
        <f t="shared" si="95"/>
        <v>0</v>
      </c>
      <c r="J769" s="35">
        <f t="shared" si="95"/>
        <v>0</v>
      </c>
      <c r="K769" s="35">
        <f t="shared" si="95"/>
        <v>0</v>
      </c>
      <c r="L769" s="35">
        <f t="shared" si="95"/>
        <v>0</v>
      </c>
      <c r="M769" s="35">
        <f t="shared" si="93"/>
        <v>0</v>
      </c>
      <c r="S769" t="s">
        <v>77</v>
      </c>
      <c r="T769" s="5">
        <f>data_origin!T894</f>
        <v>0</v>
      </c>
      <c r="U769" s="5">
        <f>data_origin!U894</f>
        <v>0</v>
      </c>
      <c r="V769" s="5">
        <f>data_origin!V894</f>
        <v>0</v>
      </c>
      <c r="W769" s="5">
        <f>data_origin!W894</f>
        <v>0</v>
      </c>
      <c r="X769" s="5">
        <f>data_origin!X894</f>
        <v>0</v>
      </c>
      <c r="Y769" s="5">
        <f>data_origin!Y894</f>
        <v>0</v>
      </c>
      <c r="Z769" s="5">
        <f>data_origin!Z894</f>
        <v>0</v>
      </c>
      <c r="AA769" s="5">
        <f>data_origin!AA894</f>
        <v>0</v>
      </c>
      <c r="AB769" s="5">
        <f t="shared" si="94"/>
        <v>0</v>
      </c>
    </row>
    <row r="770" spans="4:28" x14ac:dyDescent="0.25">
      <c r="D770" t="s">
        <v>78</v>
      </c>
      <c r="E770" s="35">
        <f t="shared" si="98"/>
        <v>0</v>
      </c>
      <c r="F770" s="35">
        <f t="shared" si="98"/>
        <v>0</v>
      </c>
      <c r="G770" s="35">
        <f t="shared" si="98"/>
        <v>0</v>
      </c>
      <c r="H770" s="35">
        <f t="shared" si="95"/>
        <v>0</v>
      </c>
      <c r="I770" s="35">
        <f t="shared" si="95"/>
        <v>0</v>
      </c>
      <c r="J770" s="35">
        <f t="shared" si="95"/>
        <v>0</v>
      </c>
      <c r="K770" s="35">
        <f t="shared" si="95"/>
        <v>0</v>
      </c>
      <c r="L770" s="35">
        <f t="shared" si="95"/>
        <v>0</v>
      </c>
      <c r="M770" s="35">
        <f t="shared" si="93"/>
        <v>0</v>
      </c>
      <c r="S770" t="s">
        <v>78</v>
      </c>
      <c r="T770" s="5">
        <f>data_origin!T895</f>
        <v>0</v>
      </c>
      <c r="U770" s="5">
        <f>data_origin!U895</f>
        <v>0</v>
      </c>
      <c r="V770" s="5">
        <f>data_origin!V895</f>
        <v>0</v>
      </c>
      <c r="W770" s="5">
        <f>data_origin!W895</f>
        <v>0</v>
      </c>
      <c r="X770" s="5">
        <f>data_origin!X895</f>
        <v>0</v>
      </c>
      <c r="Y770" s="5">
        <f>data_origin!Y895</f>
        <v>0</v>
      </c>
      <c r="Z770" s="5">
        <f>data_origin!Z895</f>
        <v>0</v>
      </c>
      <c r="AA770" s="5">
        <f>data_origin!AA895</f>
        <v>0</v>
      </c>
      <c r="AB770" s="5">
        <f t="shared" si="94"/>
        <v>0</v>
      </c>
    </row>
    <row r="771" spans="4:28" x14ac:dyDescent="0.25">
      <c r="D771" t="s">
        <v>79</v>
      </c>
      <c r="E771" s="35">
        <f t="shared" si="98"/>
        <v>0</v>
      </c>
      <c r="F771" s="35">
        <f t="shared" si="98"/>
        <v>0</v>
      </c>
      <c r="G771" s="35">
        <f t="shared" si="98"/>
        <v>0</v>
      </c>
      <c r="H771" s="35">
        <f t="shared" si="95"/>
        <v>0</v>
      </c>
      <c r="I771" s="35">
        <f t="shared" si="95"/>
        <v>0</v>
      </c>
      <c r="J771" s="35">
        <f t="shared" si="95"/>
        <v>0</v>
      </c>
      <c r="K771" s="35">
        <f t="shared" si="95"/>
        <v>0</v>
      </c>
      <c r="L771" s="35">
        <f t="shared" si="95"/>
        <v>0</v>
      </c>
      <c r="M771" s="35">
        <f t="shared" ref="M771:M834" si="101">SUM(E771:L771)</f>
        <v>0</v>
      </c>
      <c r="S771" t="s">
        <v>79</v>
      </c>
      <c r="T771" s="5">
        <f>data_origin!T896</f>
        <v>0</v>
      </c>
      <c r="U771" s="5">
        <f>data_origin!U896</f>
        <v>0</v>
      </c>
      <c r="V771" s="5">
        <f>data_origin!V896</f>
        <v>0</v>
      </c>
      <c r="W771" s="5">
        <f>data_origin!W896</f>
        <v>0</v>
      </c>
      <c r="X771" s="5">
        <f>data_origin!X896</f>
        <v>0</v>
      </c>
      <c r="Y771" s="5">
        <f>data_origin!Y896</f>
        <v>0</v>
      </c>
      <c r="Z771" s="5">
        <f>data_origin!Z896</f>
        <v>0</v>
      </c>
      <c r="AA771" s="5">
        <f>data_origin!AA896</f>
        <v>0</v>
      </c>
      <c r="AB771" s="5">
        <f t="shared" si="94"/>
        <v>0</v>
      </c>
    </row>
    <row r="772" spans="4:28" x14ac:dyDescent="0.25">
      <c r="D772" t="s">
        <v>80</v>
      </c>
      <c r="E772" s="35">
        <f t="shared" si="98"/>
        <v>0</v>
      </c>
      <c r="F772" s="35">
        <f t="shared" si="98"/>
        <v>0</v>
      </c>
      <c r="G772" s="35">
        <f t="shared" si="98"/>
        <v>0</v>
      </c>
      <c r="H772" s="35">
        <f t="shared" si="95"/>
        <v>0</v>
      </c>
      <c r="I772" s="35">
        <f t="shared" si="95"/>
        <v>0</v>
      </c>
      <c r="J772" s="35">
        <f t="shared" si="95"/>
        <v>0</v>
      </c>
      <c r="K772" s="35">
        <f t="shared" si="95"/>
        <v>0</v>
      </c>
      <c r="L772" s="35">
        <f t="shared" si="95"/>
        <v>0</v>
      </c>
      <c r="M772" s="35">
        <f t="shared" si="101"/>
        <v>0</v>
      </c>
      <c r="S772" t="s">
        <v>80</v>
      </c>
      <c r="T772" s="5">
        <f>data_origin!T897</f>
        <v>0</v>
      </c>
      <c r="U772" s="5">
        <f>data_origin!U897</f>
        <v>0</v>
      </c>
      <c r="V772" s="5">
        <f>data_origin!V897</f>
        <v>0</v>
      </c>
      <c r="W772" s="5">
        <f>data_origin!W897</f>
        <v>0</v>
      </c>
      <c r="X772" s="5">
        <f>data_origin!X897</f>
        <v>0</v>
      </c>
      <c r="Y772" s="5">
        <f>data_origin!Y897</f>
        <v>0</v>
      </c>
      <c r="Z772" s="5">
        <f>data_origin!Z897</f>
        <v>0</v>
      </c>
      <c r="AA772" s="5">
        <f>data_origin!AA897</f>
        <v>0</v>
      </c>
      <c r="AB772" s="5">
        <f t="shared" si="94"/>
        <v>0</v>
      </c>
    </row>
    <row r="773" spans="4:28" x14ac:dyDescent="0.25">
      <c r="D773" t="s">
        <v>81</v>
      </c>
      <c r="E773" s="35">
        <f t="shared" si="98"/>
        <v>0</v>
      </c>
      <c r="F773" s="35">
        <f t="shared" si="98"/>
        <v>0</v>
      </c>
      <c r="G773" s="35">
        <f t="shared" si="98"/>
        <v>0</v>
      </c>
      <c r="H773" s="35">
        <f t="shared" si="95"/>
        <v>0</v>
      </c>
      <c r="I773" s="35">
        <f t="shared" si="95"/>
        <v>0</v>
      </c>
      <c r="J773" s="35">
        <f t="shared" si="95"/>
        <v>0</v>
      </c>
      <c r="K773" s="35">
        <f t="shared" si="95"/>
        <v>0</v>
      </c>
      <c r="L773" s="35">
        <f t="shared" si="95"/>
        <v>0</v>
      </c>
      <c r="M773" s="35">
        <f t="shared" si="101"/>
        <v>0</v>
      </c>
      <c r="S773" t="s">
        <v>81</v>
      </c>
      <c r="T773" s="5">
        <f>data_origin!T898</f>
        <v>0</v>
      </c>
      <c r="U773" s="5">
        <f>data_origin!U898</f>
        <v>0</v>
      </c>
      <c r="V773" s="5">
        <f>data_origin!V898</f>
        <v>0</v>
      </c>
      <c r="W773" s="5">
        <f>data_origin!W898</f>
        <v>0</v>
      </c>
      <c r="X773" s="5">
        <f>data_origin!X898</f>
        <v>0</v>
      </c>
      <c r="Y773" s="5">
        <f>data_origin!Y898</f>
        <v>0</v>
      </c>
      <c r="Z773" s="5">
        <f>data_origin!Z898</f>
        <v>0</v>
      </c>
      <c r="AA773" s="5">
        <f>data_origin!AA898</f>
        <v>0</v>
      </c>
      <c r="AB773" s="5">
        <f t="shared" si="94"/>
        <v>0</v>
      </c>
    </row>
    <row r="774" spans="4:28" x14ac:dyDescent="0.25">
      <c r="D774" t="s">
        <v>82</v>
      </c>
      <c r="E774" s="35">
        <f t="shared" si="98"/>
        <v>0</v>
      </c>
      <c r="F774" s="35">
        <f t="shared" si="98"/>
        <v>0</v>
      </c>
      <c r="G774" s="35">
        <f t="shared" si="98"/>
        <v>0</v>
      </c>
      <c r="H774" s="35">
        <f t="shared" si="95"/>
        <v>0</v>
      </c>
      <c r="I774" s="35">
        <f t="shared" si="95"/>
        <v>0</v>
      </c>
      <c r="J774" s="35">
        <f t="shared" si="95"/>
        <v>0</v>
      </c>
      <c r="K774" s="35">
        <f t="shared" si="95"/>
        <v>0</v>
      </c>
      <c r="L774" s="35">
        <f t="shared" si="95"/>
        <v>0</v>
      </c>
      <c r="M774" s="35">
        <f t="shared" si="101"/>
        <v>0</v>
      </c>
      <c r="S774" t="s">
        <v>82</v>
      </c>
      <c r="T774" s="5">
        <f>data_origin!T899</f>
        <v>0</v>
      </c>
      <c r="U774" s="5">
        <f>data_origin!U899</f>
        <v>0</v>
      </c>
      <c r="V774" s="5">
        <f>data_origin!V899</f>
        <v>0</v>
      </c>
      <c r="W774" s="5">
        <f>data_origin!W899</f>
        <v>0</v>
      </c>
      <c r="X774" s="5">
        <f>data_origin!X899</f>
        <v>0</v>
      </c>
      <c r="Y774" s="5">
        <f>data_origin!Y899</f>
        <v>0</v>
      </c>
      <c r="Z774" s="5">
        <f>data_origin!Z899</f>
        <v>0</v>
      </c>
      <c r="AA774" s="5">
        <f>data_origin!AA899</f>
        <v>0</v>
      </c>
      <c r="AB774" s="5">
        <f t="shared" si="94"/>
        <v>0</v>
      </c>
    </row>
    <row r="775" spans="4:28" x14ac:dyDescent="0.25">
      <c r="D775" t="s">
        <v>83</v>
      </c>
      <c r="E775" s="35">
        <f t="shared" si="98"/>
        <v>0</v>
      </c>
      <c r="F775" s="35">
        <f t="shared" si="98"/>
        <v>0</v>
      </c>
      <c r="G775" s="35">
        <f t="shared" si="98"/>
        <v>0</v>
      </c>
      <c r="H775" s="35">
        <f t="shared" si="95"/>
        <v>0</v>
      </c>
      <c r="I775" s="35">
        <f t="shared" si="95"/>
        <v>0</v>
      </c>
      <c r="J775" s="35">
        <f t="shared" si="95"/>
        <v>0</v>
      </c>
      <c r="K775" s="35">
        <f t="shared" si="95"/>
        <v>0</v>
      </c>
      <c r="L775" s="35">
        <f t="shared" si="95"/>
        <v>0</v>
      </c>
      <c r="M775" s="35">
        <f t="shared" si="101"/>
        <v>0</v>
      </c>
      <c r="S775" t="s">
        <v>83</v>
      </c>
      <c r="T775" s="5">
        <f>data_origin!T900</f>
        <v>0</v>
      </c>
      <c r="U775" s="5">
        <f>data_origin!U900</f>
        <v>0</v>
      </c>
      <c r="V775" s="5">
        <f>data_origin!V900</f>
        <v>0</v>
      </c>
      <c r="W775" s="5">
        <f>data_origin!W900</f>
        <v>0</v>
      </c>
      <c r="X775" s="5">
        <f>data_origin!X900</f>
        <v>0</v>
      </c>
      <c r="Y775" s="5">
        <f>data_origin!Y900</f>
        <v>0</v>
      </c>
      <c r="Z775" s="5">
        <f>data_origin!Z900</f>
        <v>0</v>
      </c>
      <c r="AA775" s="5">
        <f>data_origin!AA900</f>
        <v>0</v>
      </c>
      <c r="AB775" s="5">
        <f t="shared" ref="AB775:AB836" si="102">SUM(T775:AA775)</f>
        <v>0</v>
      </c>
    </row>
    <row r="776" spans="4:28" x14ac:dyDescent="0.25">
      <c r="D776" t="s">
        <v>84</v>
      </c>
      <c r="E776" s="35">
        <f t="shared" si="98"/>
        <v>0</v>
      </c>
      <c r="F776" s="35">
        <f t="shared" si="98"/>
        <v>0</v>
      </c>
      <c r="G776" s="35">
        <f t="shared" si="98"/>
        <v>0</v>
      </c>
      <c r="H776" s="35">
        <f t="shared" si="95"/>
        <v>0</v>
      </c>
      <c r="I776" s="35">
        <f t="shared" si="95"/>
        <v>0</v>
      </c>
      <c r="J776" s="35">
        <f t="shared" si="95"/>
        <v>0</v>
      </c>
      <c r="K776" s="35">
        <f t="shared" si="95"/>
        <v>0</v>
      </c>
      <c r="L776" s="35">
        <f t="shared" si="95"/>
        <v>0</v>
      </c>
      <c r="M776" s="35">
        <f t="shared" si="101"/>
        <v>0</v>
      </c>
      <c r="S776" t="s">
        <v>84</v>
      </c>
      <c r="T776" s="5">
        <f>data_origin!T901</f>
        <v>0</v>
      </c>
      <c r="U776" s="5">
        <f>data_origin!U901</f>
        <v>0</v>
      </c>
      <c r="V776" s="5">
        <f>data_origin!V901</f>
        <v>0</v>
      </c>
      <c r="W776" s="5">
        <f>data_origin!W901</f>
        <v>0</v>
      </c>
      <c r="X776" s="5">
        <f>data_origin!X901</f>
        <v>0</v>
      </c>
      <c r="Y776" s="5">
        <f>data_origin!Y901</f>
        <v>0</v>
      </c>
      <c r="Z776" s="5">
        <f>data_origin!Z901</f>
        <v>0</v>
      </c>
      <c r="AA776" s="5">
        <f>data_origin!AA901</f>
        <v>0</v>
      </c>
      <c r="AB776" s="5">
        <f t="shared" si="102"/>
        <v>0</v>
      </c>
    </row>
    <row r="777" spans="4:28" x14ac:dyDescent="0.25">
      <c r="D777" t="s">
        <v>85</v>
      </c>
      <c r="E777" s="35">
        <f t="shared" si="98"/>
        <v>0</v>
      </c>
      <c r="F777" s="35">
        <f t="shared" si="98"/>
        <v>0</v>
      </c>
      <c r="G777" s="35">
        <f t="shared" si="98"/>
        <v>0</v>
      </c>
      <c r="H777" s="35">
        <f t="shared" si="95"/>
        <v>0</v>
      </c>
      <c r="I777" s="35">
        <f t="shared" si="95"/>
        <v>0</v>
      </c>
      <c r="J777" s="35">
        <f t="shared" si="95"/>
        <v>0</v>
      </c>
      <c r="K777" s="35">
        <f t="shared" si="95"/>
        <v>0</v>
      </c>
      <c r="L777" s="35">
        <f t="shared" si="95"/>
        <v>0</v>
      </c>
      <c r="M777" s="35">
        <f t="shared" si="101"/>
        <v>0</v>
      </c>
      <c r="S777" t="s">
        <v>85</v>
      </c>
      <c r="T777" s="5">
        <f>data_origin!T902</f>
        <v>0</v>
      </c>
      <c r="U777" s="5">
        <f>data_origin!U902</f>
        <v>0</v>
      </c>
      <c r="V777" s="5">
        <f>data_origin!V902</f>
        <v>0</v>
      </c>
      <c r="W777" s="5">
        <f>data_origin!W902</f>
        <v>0</v>
      </c>
      <c r="X777" s="5">
        <f>data_origin!X902</f>
        <v>0</v>
      </c>
      <c r="Y777" s="5">
        <f>data_origin!Y902</f>
        <v>0</v>
      </c>
      <c r="Z777" s="5">
        <f>data_origin!Z902</f>
        <v>0</v>
      </c>
      <c r="AA777" s="5">
        <f>data_origin!AA902</f>
        <v>0</v>
      </c>
      <c r="AB777" s="5">
        <f t="shared" si="102"/>
        <v>0</v>
      </c>
    </row>
    <row r="778" spans="4:28" x14ac:dyDescent="0.25">
      <c r="D778" t="s">
        <v>86</v>
      </c>
      <c r="E778" s="35">
        <f t="shared" si="98"/>
        <v>0</v>
      </c>
      <c r="F778" s="35">
        <f t="shared" si="98"/>
        <v>0</v>
      </c>
      <c r="G778" s="35">
        <f t="shared" si="98"/>
        <v>0</v>
      </c>
      <c r="H778" s="35">
        <f t="shared" si="95"/>
        <v>0</v>
      </c>
      <c r="I778" s="35">
        <f t="shared" si="95"/>
        <v>0</v>
      </c>
      <c r="J778" s="35">
        <f t="shared" si="95"/>
        <v>0</v>
      </c>
      <c r="K778" s="35">
        <f t="shared" si="95"/>
        <v>0</v>
      </c>
      <c r="L778" s="35">
        <f t="shared" si="95"/>
        <v>0</v>
      </c>
      <c r="M778" s="35">
        <f t="shared" si="101"/>
        <v>0</v>
      </c>
      <c r="S778" t="s">
        <v>86</v>
      </c>
      <c r="T778" s="5">
        <f>data_origin!T903</f>
        <v>0</v>
      </c>
      <c r="U778" s="5">
        <f>data_origin!U903</f>
        <v>0</v>
      </c>
      <c r="V778" s="5">
        <f>data_origin!V903</f>
        <v>0</v>
      </c>
      <c r="W778" s="5">
        <f>data_origin!W903</f>
        <v>0</v>
      </c>
      <c r="X778" s="5">
        <f>data_origin!X903</f>
        <v>0</v>
      </c>
      <c r="Y778" s="5">
        <f>data_origin!Y903</f>
        <v>0</v>
      </c>
      <c r="Z778" s="5">
        <f>data_origin!Z903</f>
        <v>0</v>
      </c>
      <c r="AA778" s="5">
        <f>data_origin!AA903</f>
        <v>0</v>
      </c>
      <c r="AB778" s="5">
        <f t="shared" si="102"/>
        <v>0</v>
      </c>
    </row>
    <row r="779" spans="4:28" x14ac:dyDescent="0.25">
      <c r="D779" t="s">
        <v>87</v>
      </c>
      <c r="E779" s="35">
        <f t="shared" si="98"/>
        <v>0</v>
      </c>
      <c r="F779" s="35">
        <f t="shared" si="98"/>
        <v>0</v>
      </c>
      <c r="G779" s="35">
        <f t="shared" si="98"/>
        <v>0</v>
      </c>
      <c r="H779" s="35">
        <f t="shared" si="95"/>
        <v>0</v>
      </c>
      <c r="I779" s="35">
        <f t="shared" si="95"/>
        <v>0</v>
      </c>
      <c r="J779" s="35">
        <f t="shared" si="95"/>
        <v>0</v>
      </c>
      <c r="K779" s="35">
        <f t="shared" si="95"/>
        <v>0</v>
      </c>
      <c r="L779" s="35">
        <f t="shared" si="95"/>
        <v>0</v>
      </c>
      <c r="M779" s="35">
        <f t="shared" si="101"/>
        <v>0</v>
      </c>
      <c r="S779" t="s">
        <v>87</v>
      </c>
      <c r="T779" s="5">
        <f>data_origin!T904</f>
        <v>0</v>
      </c>
      <c r="U779" s="5">
        <f>data_origin!U904</f>
        <v>0</v>
      </c>
      <c r="V779" s="5">
        <f>data_origin!V904</f>
        <v>0</v>
      </c>
      <c r="W779" s="5">
        <f>data_origin!W904</f>
        <v>0</v>
      </c>
      <c r="X779" s="5">
        <f>data_origin!X904</f>
        <v>0</v>
      </c>
      <c r="Y779" s="5">
        <f>data_origin!Y904</f>
        <v>0</v>
      </c>
      <c r="Z779" s="5">
        <f>data_origin!Z904</f>
        <v>0</v>
      </c>
      <c r="AA779" s="5">
        <f>data_origin!AA904</f>
        <v>0</v>
      </c>
      <c r="AB779" s="5">
        <f t="shared" si="102"/>
        <v>0</v>
      </c>
    </row>
    <row r="780" spans="4:28" x14ac:dyDescent="0.25">
      <c r="D780" t="s">
        <v>88</v>
      </c>
      <c r="E780" s="35">
        <f t="shared" si="98"/>
        <v>0</v>
      </c>
      <c r="F780" s="35">
        <f t="shared" si="98"/>
        <v>0</v>
      </c>
      <c r="G780" s="35">
        <f t="shared" si="98"/>
        <v>0</v>
      </c>
      <c r="H780" s="35">
        <f t="shared" si="95"/>
        <v>0</v>
      </c>
      <c r="I780" s="35">
        <f t="shared" si="95"/>
        <v>0</v>
      </c>
      <c r="J780" s="35">
        <f t="shared" si="95"/>
        <v>0</v>
      </c>
      <c r="K780" s="35">
        <f t="shared" si="95"/>
        <v>0</v>
      </c>
      <c r="L780" s="35">
        <f t="shared" si="95"/>
        <v>0</v>
      </c>
      <c r="M780" s="35">
        <f t="shared" si="101"/>
        <v>0</v>
      </c>
      <c r="S780" t="s">
        <v>88</v>
      </c>
      <c r="T780" s="5">
        <f>data_origin!T905</f>
        <v>0</v>
      </c>
      <c r="U780" s="5">
        <f>data_origin!U905</f>
        <v>0</v>
      </c>
      <c r="V780" s="5">
        <f>data_origin!V905</f>
        <v>0</v>
      </c>
      <c r="W780" s="5">
        <f>data_origin!W905</f>
        <v>0</v>
      </c>
      <c r="X780" s="5">
        <f>data_origin!X905</f>
        <v>0</v>
      </c>
      <c r="Y780" s="5">
        <f>data_origin!Y905</f>
        <v>0</v>
      </c>
      <c r="Z780" s="5">
        <f>data_origin!Z905</f>
        <v>0</v>
      </c>
      <c r="AA780" s="5">
        <f>data_origin!AA905</f>
        <v>0</v>
      </c>
      <c r="AB780" s="5">
        <f t="shared" si="102"/>
        <v>0</v>
      </c>
    </row>
    <row r="781" spans="4:28" x14ac:dyDescent="0.25">
      <c r="D781" t="s">
        <v>89</v>
      </c>
      <c r="E781" s="35">
        <f t="shared" si="98"/>
        <v>0</v>
      </c>
      <c r="F781" s="35">
        <f t="shared" si="98"/>
        <v>0</v>
      </c>
      <c r="G781" s="35">
        <f t="shared" si="98"/>
        <v>0</v>
      </c>
      <c r="H781" s="35">
        <f t="shared" si="95"/>
        <v>0</v>
      </c>
      <c r="I781" s="35">
        <f t="shared" si="95"/>
        <v>0</v>
      </c>
      <c r="J781" s="35">
        <f t="shared" si="95"/>
        <v>0</v>
      </c>
      <c r="K781" s="35">
        <f t="shared" si="95"/>
        <v>0</v>
      </c>
      <c r="L781" s="35">
        <f t="shared" si="95"/>
        <v>0</v>
      </c>
      <c r="M781" s="35">
        <f t="shared" si="101"/>
        <v>0</v>
      </c>
      <c r="S781" t="s">
        <v>89</v>
      </c>
      <c r="T781" s="5">
        <f>data_origin!T906</f>
        <v>0</v>
      </c>
      <c r="U781" s="5">
        <f>data_origin!U906</f>
        <v>0</v>
      </c>
      <c r="V781" s="5">
        <f>data_origin!V906</f>
        <v>0</v>
      </c>
      <c r="W781" s="5">
        <f>data_origin!W906</f>
        <v>0</v>
      </c>
      <c r="X781" s="5">
        <f>data_origin!X906</f>
        <v>0</v>
      </c>
      <c r="Y781" s="5">
        <f>data_origin!Y906</f>
        <v>0</v>
      </c>
      <c r="Z781" s="5">
        <f>data_origin!Z906</f>
        <v>0</v>
      </c>
      <c r="AA781" s="5">
        <f>data_origin!AA906</f>
        <v>0</v>
      </c>
      <c r="AB781" s="5">
        <f t="shared" si="102"/>
        <v>0</v>
      </c>
    </row>
    <row r="782" spans="4:28" x14ac:dyDescent="0.25">
      <c r="D782" t="s">
        <v>90</v>
      </c>
      <c r="E782" s="35">
        <f t="shared" si="98"/>
        <v>0</v>
      </c>
      <c r="F782" s="35">
        <f t="shared" si="98"/>
        <v>0</v>
      </c>
      <c r="G782" s="35">
        <f t="shared" si="98"/>
        <v>0</v>
      </c>
      <c r="H782" s="35">
        <f t="shared" si="95"/>
        <v>0</v>
      </c>
      <c r="I782" s="35">
        <f t="shared" si="95"/>
        <v>0</v>
      </c>
      <c r="J782" s="35">
        <f t="shared" si="95"/>
        <v>0</v>
      </c>
      <c r="K782" s="35">
        <f t="shared" si="95"/>
        <v>0</v>
      </c>
      <c r="L782" s="35">
        <f t="shared" si="95"/>
        <v>0</v>
      </c>
      <c r="M782" s="35">
        <f t="shared" si="101"/>
        <v>0</v>
      </c>
      <c r="S782" t="s">
        <v>90</v>
      </c>
      <c r="T782" s="5">
        <f>data_origin!T907</f>
        <v>0</v>
      </c>
      <c r="U782" s="5">
        <f>data_origin!U907</f>
        <v>0</v>
      </c>
      <c r="V782" s="5">
        <f>data_origin!V907</f>
        <v>0</v>
      </c>
      <c r="W782" s="5">
        <f>data_origin!W907</f>
        <v>0</v>
      </c>
      <c r="X782" s="5">
        <f>data_origin!X907</f>
        <v>0</v>
      </c>
      <c r="Y782" s="5">
        <f>data_origin!Y907</f>
        <v>0</v>
      </c>
      <c r="Z782" s="5">
        <f>data_origin!Z907</f>
        <v>0</v>
      </c>
      <c r="AA782" s="5">
        <f>data_origin!AA907</f>
        <v>0</v>
      </c>
      <c r="AB782" s="5">
        <f t="shared" si="102"/>
        <v>0</v>
      </c>
    </row>
    <row r="783" spans="4:28" x14ac:dyDescent="0.25">
      <c r="D783" t="s">
        <v>91</v>
      </c>
      <c r="E783" s="35">
        <f t="shared" si="98"/>
        <v>0</v>
      </c>
      <c r="F783" s="35">
        <f t="shared" si="98"/>
        <v>0</v>
      </c>
      <c r="G783" s="35">
        <f t="shared" si="98"/>
        <v>0</v>
      </c>
      <c r="H783" s="35">
        <f t="shared" si="95"/>
        <v>0</v>
      </c>
      <c r="I783" s="35">
        <f t="shared" si="95"/>
        <v>0</v>
      </c>
      <c r="J783" s="35">
        <f t="shared" si="95"/>
        <v>0</v>
      </c>
      <c r="K783" s="35">
        <f t="shared" si="95"/>
        <v>0</v>
      </c>
      <c r="L783" s="35">
        <f t="shared" si="95"/>
        <v>0</v>
      </c>
      <c r="M783" s="35">
        <f t="shared" si="101"/>
        <v>0</v>
      </c>
      <c r="S783" t="s">
        <v>91</v>
      </c>
      <c r="T783" s="5">
        <f>data_origin!T908</f>
        <v>0</v>
      </c>
      <c r="U783" s="5">
        <f>data_origin!U908</f>
        <v>0</v>
      </c>
      <c r="V783" s="5">
        <f>data_origin!V908</f>
        <v>0</v>
      </c>
      <c r="W783" s="5">
        <f>data_origin!W908</f>
        <v>0</v>
      </c>
      <c r="X783" s="5">
        <f>data_origin!X908</f>
        <v>0</v>
      </c>
      <c r="Y783" s="5">
        <f>data_origin!Y908</f>
        <v>0</v>
      </c>
      <c r="Z783" s="5">
        <f>data_origin!Z908</f>
        <v>0</v>
      </c>
      <c r="AA783" s="5">
        <f>data_origin!AA908</f>
        <v>0</v>
      </c>
      <c r="AB783" s="5">
        <f t="shared" si="102"/>
        <v>0</v>
      </c>
    </row>
    <row r="784" spans="4:28" x14ac:dyDescent="0.25">
      <c r="D784" t="s">
        <v>92</v>
      </c>
      <c r="E784" s="35">
        <f t="shared" si="98"/>
        <v>0</v>
      </c>
      <c r="F784" s="35">
        <f t="shared" si="98"/>
        <v>0</v>
      </c>
      <c r="G784" s="35">
        <f t="shared" si="98"/>
        <v>0</v>
      </c>
      <c r="H784" s="35">
        <f t="shared" si="95"/>
        <v>0</v>
      </c>
      <c r="I784" s="35">
        <f t="shared" si="95"/>
        <v>0</v>
      </c>
      <c r="J784" s="35">
        <f t="shared" si="95"/>
        <v>0</v>
      </c>
      <c r="K784" s="35">
        <f t="shared" si="95"/>
        <v>0</v>
      </c>
      <c r="L784" s="35">
        <f t="shared" si="95"/>
        <v>0</v>
      </c>
      <c r="M784" s="35">
        <f t="shared" si="101"/>
        <v>0</v>
      </c>
      <c r="S784" t="s">
        <v>92</v>
      </c>
      <c r="T784" s="5">
        <f>data_origin!T909</f>
        <v>0</v>
      </c>
      <c r="U784" s="5">
        <f>data_origin!U909</f>
        <v>0</v>
      </c>
      <c r="V784" s="5">
        <f>data_origin!V909</f>
        <v>0</v>
      </c>
      <c r="W784" s="5">
        <f>data_origin!W909</f>
        <v>0</v>
      </c>
      <c r="X784" s="5">
        <f>data_origin!X909</f>
        <v>0</v>
      </c>
      <c r="Y784" s="5">
        <f>data_origin!Y909</f>
        <v>0</v>
      </c>
      <c r="Z784" s="5">
        <f>data_origin!Z909</f>
        <v>0</v>
      </c>
      <c r="AA784" s="5">
        <f>data_origin!AA909</f>
        <v>0</v>
      </c>
      <c r="AB784" s="5">
        <f t="shared" si="102"/>
        <v>0</v>
      </c>
    </row>
    <row r="785" spans="1:28" x14ac:dyDescent="0.25">
      <c r="D785" t="s">
        <v>93</v>
      </c>
      <c r="E785" s="35">
        <f t="shared" si="98"/>
        <v>0</v>
      </c>
      <c r="F785" s="35">
        <f t="shared" si="98"/>
        <v>0</v>
      </c>
      <c r="G785" s="35">
        <f t="shared" si="98"/>
        <v>0</v>
      </c>
      <c r="H785" s="35">
        <f t="shared" si="95"/>
        <v>0</v>
      </c>
      <c r="I785" s="35">
        <f t="shared" si="95"/>
        <v>0</v>
      </c>
      <c r="J785" s="35">
        <f t="shared" si="95"/>
        <v>0</v>
      </c>
      <c r="K785" s="35">
        <f t="shared" si="95"/>
        <v>0</v>
      </c>
      <c r="L785" s="35">
        <f t="shared" si="95"/>
        <v>0</v>
      </c>
      <c r="M785" s="35">
        <f t="shared" si="101"/>
        <v>0</v>
      </c>
      <c r="S785" t="s">
        <v>93</v>
      </c>
      <c r="T785" s="5">
        <f>data_origin!T910</f>
        <v>0</v>
      </c>
      <c r="U785" s="5">
        <f>data_origin!U910</f>
        <v>0</v>
      </c>
      <c r="V785" s="5">
        <f>data_origin!V910</f>
        <v>0</v>
      </c>
      <c r="W785" s="5">
        <f>data_origin!W910</f>
        <v>0</v>
      </c>
      <c r="X785" s="5">
        <f>data_origin!X910</f>
        <v>0</v>
      </c>
      <c r="Y785" s="5">
        <f>data_origin!Y910</f>
        <v>0</v>
      </c>
      <c r="Z785" s="5">
        <f>data_origin!Z910</f>
        <v>0</v>
      </c>
      <c r="AA785" s="5">
        <f>data_origin!AA910</f>
        <v>0</v>
      </c>
      <c r="AB785" s="5">
        <f t="shared" si="102"/>
        <v>0</v>
      </c>
    </row>
    <row r="786" spans="1:28" x14ac:dyDescent="0.25">
      <c r="D786" t="s">
        <v>94</v>
      </c>
      <c r="E786" s="35">
        <f t="shared" si="98"/>
        <v>0</v>
      </c>
      <c r="F786" s="35">
        <f t="shared" si="98"/>
        <v>0</v>
      </c>
      <c r="G786" s="35">
        <f t="shared" si="98"/>
        <v>0</v>
      </c>
      <c r="H786" s="35">
        <f t="shared" si="95"/>
        <v>0</v>
      </c>
      <c r="I786" s="35">
        <f t="shared" si="95"/>
        <v>0</v>
      </c>
      <c r="J786" s="35">
        <f t="shared" si="95"/>
        <v>0</v>
      </c>
      <c r="K786" s="35">
        <f t="shared" si="95"/>
        <v>0</v>
      </c>
      <c r="L786" s="35">
        <f t="shared" si="95"/>
        <v>0</v>
      </c>
      <c r="M786" s="35">
        <f t="shared" si="101"/>
        <v>0</v>
      </c>
      <c r="S786" t="s">
        <v>94</v>
      </c>
      <c r="T786" s="5">
        <f>data_origin!T911</f>
        <v>0</v>
      </c>
      <c r="U786" s="5">
        <f>data_origin!U911</f>
        <v>0</v>
      </c>
      <c r="V786" s="5">
        <f>data_origin!V911</f>
        <v>0</v>
      </c>
      <c r="W786" s="5">
        <f>data_origin!W911</f>
        <v>0</v>
      </c>
      <c r="X786" s="5">
        <f>data_origin!X911</f>
        <v>0</v>
      </c>
      <c r="Y786" s="5">
        <f>data_origin!Y911</f>
        <v>0</v>
      </c>
      <c r="Z786" s="5">
        <f>data_origin!Z911</f>
        <v>0</v>
      </c>
      <c r="AA786" s="5">
        <f>data_origin!AA911</f>
        <v>0</v>
      </c>
      <c r="AB786" s="5">
        <f t="shared" si="102"/>
        <v>0</v>
      </c>
    </row>
    <row r="787" spans="1:28" x14ac:dyDescent="0.25">
      <c r="D787" t="s">
        <v>95</v>
      </c>
      <c r="E787" s="35">
        <f t="shared" si="98"/>
        <v>0</v>
      </c>
      <c r="F787" s="35">
        <f t="shared" si="98"/>
        <v>0</v>
      </c>
      <c r="G787" s="35">
        <f t="shared" si="98"/>
        <v>0</v>
      </c>
      <c r="H787" s="35">
        <f t="shared" si="95"/>
        <v>0</v>
      </c>
      <c r="I787" s="35">
        <f t="shared" si="95"/>
        <v>0</v>
      </c>
      <c r="J787" s="35">
        <f t="shared" si="95"/>
        <v>0</v>
      </c>
      <c r="K787" s="35">
        <f t="shared" si="95"/>
        <v>0</v>
      </c>
      <c r="L787" s="35">
        <f t="shared" si="95"/>
        <v>0</v>
      </c>
      <c r="M787" s="35">
        <f t="shared" si="101"/>
        <v>0</v>
      </c>
      <c r="S787" t="s">
        <v>95</v>
      </c>
      <c r="T787" s="5">
        <f>data_origin!T912</f>
        <v>0</v>
      </c>
      <c r="U787" s="5">
        <f>data_origin!U912</f>
        <v>0</v>
      </c>
      <c r="V787" s="5">
        <f>data_origin!V912</f>
        <v>0</v>
      </c>
      <c r="W787" s="5">
        <f>data_origin!W912</f>
        <v>0</v>
      </c>
      <c r="X787" s="5">
        <f>data_origin!X912</f>
        <v>0</v>
      </c>
      <c r="Y787" s="5">
        <f>data_origin!Y912</f>
        <v>0</v>
      </c>
      <c r="Z787" s="5">
        <f>data_origin!Z912</f>
        <v>0</v>
      </c>
      <c r="AA787" s="5">
        <f>data_origin!AA912</f>
        <v>0</v>
      </c>
      <c r="AB787" s="5">
        <f t="shared" si="102"/>
        <v>0</v>
      </c>
    </row>
    <row r="788" spans="1:28" x14ac:dyDescent="0.25">
      <c r="D788" t="s">
        <v>96</v>
      </c>
      <c r="E788" s="35">
        <f t="shared" si="98"/>
        <v>0</v>
      </c>
      <c r="F788" s="35">
        <f t="shared" si="98"/>
        <v>0</v>
      </c>
      <c r="G788" s="35">
        <f t="shared" si="98"/>
        <v>0</v>
      </c>
      <c r="H788" s="35">
        <f t="shared" si="95"/>
        <v>0</v>
      </c>
      <c r="I788" s="35">
        <f t="shared" si="95"/>
        <v>0</v>
      </c>
      <c r="J788" s="35">
        <f t="shared" ref="J788:L794" si="103">Y788+IFERROR((Y788/SUM(Y$3:Y$992)*AN$630),0)</f>
        <v>0</v>
      </c>
      <c r="K788" s="35">
        <f t="shared" si="103"/>
        <v>0</v>
      </c>
      <c r="L788" s="35">
        <f t="shared" si="103"/>
        <v>0</v>
      </c>
      <c r="M788" s="35">
        <f t="shared" si="101"/>
        <v>0</v>
      </c>
      <c r="S788" t="s">
        <v>96</v>
      </c>
      <c r="T788" s="5">
        <f>data_origin!T913</f>
        <v>0</v>
      </c>
      <c r="U788" s="5">
        <f>data_origin!U913</f>
        <v>0</v>
      </c>
      <c r="V788" s="5">
        <f>data_origin!V913</f>
        <v>0</v>
      </c>
      <c r="W788" s="5">
        <f>data_origin!W913</f>
        <v>0</v>
      </c>
      <c r="X788" s="5">
        <f>data_origin!X913</f>
        <v>0</v>
      </c>
      <c r="Y788" s="5">
        <f>data_origin!Y913</f>
        <v>0</v>
      </c>
      <c r="Z788" s="5">
        <f>data_origin!Z913</f>
        <v>0</v>
      </c>
      <c r="AA788" s="5">
        <f>data_origin!AA913</f>
        <v>0</v>
      </c>
      <c r="AB788" s="5">
        <f t="shared" si="102"/>
        <v>0</v>
      </c>
    </row>
    <row r="789" spans="1:28" x14ac:dyDescent="0.25">
      <c r="D789" t="s">
        <v>97</v>
      </c>
      <c r="E789" s="35">
        <f t="shared" si="98"/>
        <v>0</v>
      </c>
      <c r="F789" s="35">
        <f t="shared" si="98"/>
        <v>0</v>
      </c>
      <c r="G789" s="35">
        <f t="shared" si="98"/>
        <v>0</v>
      </c>
      <c r="H789" s="35">
        <f t="shared" si="98"/>
        <v>0</v>
      </c>
      <c r="I789" s="35">
        <f t="shared" si="98"/>
        <v>0</v>
      </c>
      <c r="J789" s="35">
        <f t="shared" si="103"/>
        <v>0</v>
      </c>
      <c r="K789" s="35">
        <f t="shared" si="103"/>
        <v>0</v>
      </c>
      <c r="L789" s="35">
        <f t="shared" si="103"/>
        <v>0</v>
      </c>
      <c r="M789" s="35">
        <f t="shared" si="101"/>
        <v>0</v>
      </c>
      <c r="S789" t="s">
        <v>97</v>
      </c>
      <c r="T789" s="5">
        <f>data_origin!T914</f>
        <v>0</v>
      </c>
      <c r="U789" s="5">
        <f>data_origin!U914</f>
        <v>0</v>
      </c>
      <c r="V789" s="5">
        <f>data_origin!V914</f>
        <v>0</v>
      </c>
      <c r="W789" s="5">
        <f>data_origin!W914</f>
        <v>0</v>
      </c>
      <c r="X789" s="5">
        <f>data_origin!X914</f>
        <v>0</v>
      </c>
      <c r="Y789" s="5">
        <f>data_origin!Y914</f>
        <v>0</v>
      </c>
      <c r="Z789" s="5">
        <f>data_origin!Z914</f>
        <v>0</v>
      </c>
      <c r="AA789" s="5">
        <f>data_origin!AA914</f>
        <v>0</v>
      </c>
      <c r="AB789" s="5">
        <f t="shared" si="102"/>
        <v>0</v>
      </c>
    </row>
    <row r="790" spans="1:28" x14ac:dyDescent="0.25">
      <c r="D790" t="s">
        <v>98</v>
      </c>
      <c r="E790" s="35">
        <f t="shared" si="98"/>
        <v>0</v>
      </c>
      <c r="F790" s="35">
        <f t="shared" si="98"/>
        <v>0</v>
      </c>
      <c r="G790" s="35">
        <f t="shared" si="98"/>
        <v>0</v>
      </c>
      <c r="H790" s="35">
        <f t="shared" si="98"/>
        <v>0</v>
      </c>
      <c r="I790" s="35">
        <f t="shared" si="98"/>
        <v>0</v>
      </c>
      <c r="J790" s="35">
        <f t="shared" si="103"/>
        <v>0</v>
      </c>
      <c r="K790" s="35">
        <f t="shared" si="103"/>
        <v>0</v>
      </c>
      <c r="L790" s="35">
        <f t="shared" si="103"/>
        <v>0</v>
      </c>
      <c r="M790" s="35">
        <f t="shared" si="101"/>
        <v>0</v>
      </c>
      <c r="S790" t="s">
        <v>98</v>
      </c>
      <c r="T790" s="5">
        <f>data_origin!T915</f>
        <v>0</v>
      </c>
      <c r="U790" s="5">
        <f>data_origin!U915</f>
        <v>0</v>
      </c>
      <c r="V790" s="5">
        <f>data_origin!V915</f>
        <v>0</v>
      </c>
      <c r="W790" s="5">
        <f>data_origin!W915</f>
        <v>0</v>
      </c>
      <c r="X790" s="5">
        <f>data_origin!X915</f>
        <v>0</v>
      </c>
      <c r="Y790" s="5">
        <f>data_origin!Y915</f>
        <v>0</v>
      </c>
      <c r="Z790" s="5">
        <f>data_origin!Z915</f>
        <v>0</v>
      </c>
      <c r="AA790" s="5">
        <f>data_origin!AA915</f>
        <v>0</v>
      </c>
      <c r="AB790" s="5">
        <f t="shared" si="102"/>
        <v>0</v>
      </c>
    </row>
    <row r="791" spans="1:28" x14ac:dyDescent="0.25">
      <c r="D791" t="s">
        <v>119</v>
      </c>
      <c r="E791" s="35">
        <f t="shared" si="98"/>
        <v>0</v>
      </c>
      <c r="F791" s="35">
        <f t="shared" si="98"/>
        <v>0</v>
      </c>
      <c r="G791" s="35">
        <f t="shared" si="98"/>
        <v>0</v>
      </c>
      <c r="H791" s="35">
        <f t="shared" si="98"/>
        <v>0</v>
      </c>
      <c r="I791" s="35">
        <f t="shared" si="98"/>
        <v>0</v>
      </c>
      <c r="J791" s="35">
        <f t="shared" si="103"/>
        <v>0</v>
      </c>
      <c r="K791" s="35">
        <f t="shared" si="103"/>
        <v>0</v>
      </c>
      <c r="L791" s="35">
        <f t="shared" si="103"/>
        <v>0</v>
      </c>
      <c r="M791" s="35">
        <f t="shared" si="101"/>
        <v>0</v>
      </c>
      <c r="S791" t="s">
        <v>119</v>
      </c>
      <c r="T791" s="5">
        <f>data_origin!T916</f>
        <v>0</v>
      </c>
      <c r="U791" s="5">
        <f>data_origin!U916</f>
        <v>0</v>
      </c>
      <c r="V791" s="5">
        <f>data_origin!V916</f>
        <v>0</v>
      </c>
      <c r="W791" s="5">
        <f>data_origin!W916</f>
        <v>0</v>
      </c>
      <c r="X791" s="5">
        <f>data_origin!X916</f>
        <v>0</v>
      </c>
      <c r="Y791" s="5">
        <f>data_origin!Y916</f>
        <v>0</v>
      </c>
      <c r="Z791" s="5">
        <f>data_origin!Z916</f>
        <v>0</v>
      </c>
      <c r="AA791" s="5">
        <f>data_origin!AA916</f>
        <v>0</v>
      </c>
      <c r="AB791" s="5">
        <f t="shared" si="102"/>
        <v>0</v>
      </c>
    </row>
    <row r="792" spans="1:28" x14ac:dyDescent="0.25">
      <c r="D792" t="s">
        <v>99</v>
      </c>
      <c r="E792" s="35">
        <f t="shared" si="98"/>
        <v>0</v>
      </c>
      <c r="F792" s="35">
        <f t="shared" si="98"/>
        <v>0</v>
      </c>
      <c r="G792" s="35">
        <f t="shared" si="98"/>
        <v>0</v>
      </c>
      <c r="H792" s="35">
        <f t="shared" si="98"/>
        <v>0</v>
      </c>
      <c r="I792" s="35">
        <f t="shared" si="98"/>
        <v>0</v>
      </c>
      <c r="J792" s="35">
        <f t="shared" si="103"/>
        <v>0</v>
      </c>
      <c r="K792" s="35">
        <f t="shared" si="103"/>
        <v>0</v>
      </c>
      <c r="L792" s="35">
        <f t="shared" si="103"/>
        <v>0</v>
      </c>
      <c r="M792" s="35">
        <f t="shared" si="101"/>
        <v>0</v>
      </c>
      <c r="S792" t="s">
        <v>99</v>
      </c>
      <c r="T792" s="5">
        <f>data_origin!T917</f>
        <v>0</v>
      </c>
      <c r="U792" s="5">
        <f>data_origin!U917</f>
        <v>0</v>
      </c>
      <c r="V792" s="5">
        <f>data_origin!V917</f>
        <v>0</v>
      </c>
      <c r="W792" s="5">
        <f>data_origin!W917</f>
        <v>0</v>
      </c>
      <c r="X792" s="5">
        <f>data_origin!X917</f>
        <v>0</v>
      </c>
      <c r="Y792" s="5">
        <f>data_origin!Y917</f>
        <v>0</v>
      </c>
      <c r="Z792" s="5">
        <f>data_origin!Z917</f>
        <v>0</v>
      </c>
      <c r="AA792" s="5">
        <f>data_origin!AA917</f>
        <v>0</v>
      </c>
      <c r="AB792" s="5">
        <f t="shared" si="102"/>
        <v>0</v>
      </c>
    </row>
    <row r="793" spans="1:28" x14ac:dyDescent="0.25">
      <c r="D793" t="s">
        <v>100</v>
      </c>
      <c r="E793" s="35">
        <f t="shared" si="98"/>
        <v>0</v>
      </c>
      <c r="F793" s="35">
        <f t="shared" si="98"/>
        <v>0</v>
      </c>
      <c r="G793" s="35">
        <f t="shared" si="98"/>
        <v>0</v>
      </c>
      <c r="H793" s="35">
        <f t="shared" si="98"/>
        <v>0</v>
      </c>
      <c r="I793" s="35">
        <f t="shared" si="98"/>
        <v>0</v>
      </c>
      <c r="J793" s="35">
        <f t="shared" si="103"/>
        <v>0</v>
      </c>
      <c r="K793" s="35">
        <f t="shared" si="103"/>
        <v>0</v>
      </c>
      <c r="L793" s="35">
        <f t="shared" si="103"/>
        <v>0</v>
      </c>
      <c r="M793" s="35">
        <f t="shared" si="101"/>
        <v>0</v>
      </c>
      <c r="S793" t="s">
        <v>100</v>
      </c>
      <c r="T793" s="5">
        <f>data_origin!T918</f>
        <v>0</v>
      </c>
      <c r="U793" s="5">
        <f>data_origin!U918</f>
        <v>0</v>
      </c>
      <c r="V793" s="5">
        <f>data_origin!V918</f>
        <v>0</v>
      </c>
      <c r="W793" s="5">
        <f>data_origin!W918</f>
        <v>0</v>
      </c>
      <c r="X793" s="5">
        <f>data_origin!X918</f>
        <v>0</v>
      </c>
      <c r="Y793" s="5">
        <f>data_origin!Y918</f>
        <v>0</v>
      </c>
      <c r="Z793" s="5">
        <f>data_origin!Z918</f>
        <v>0</v>
      </c>
      <c r="AA793" s="5">
        <f>data_origin!AA918</f>
        <v>0</v>
      </c>
      <c r="AB793" s="5">
        <f t="shared" si="102"/>
        <v>0</v>
      </c>
    </row>
    <row r="794" spans="1:28" x14ac:dyDescent="0.25">
      <c r="D794" t="s">
        <v>101</v>
      </c>
      <c r="E794" s="35">
        <f t="shared" si="98"/>
        <v>0</v>
      </c>
      <c r="F794" s="35">
        <f t="shared" si="98"/>
        <v>0</v>
      </c>
      <c r="G794" s="35">
        <f t="shared" si="98"/>
        <v>0</v>
      </c>
      <c r="H794" s="35">
        <f t="shared" si="98"/>
        <v>0</v>
      </c>
      <c r="I794" s="35">
        <f t="shared" si="98"/>
        <v>0</v>
      </c>
      <c r="J794" s="35">
        <f t="shared" si="103"/>
        <v>0</v>
      </c>
      <c r="K794" s="35">
        <f t="shared" si="103"/>
        <v>0</v>
      </c>
      <c r="L794" s="35">
        <f t="shared" si="103"/>
        <v>0</v>
      </c>
      <c r="M794" s="35">
        <f t="shared" si="101"/>
        <v>0</v>
      </c>
      <c r="S794" t="s">
        <v>101</v>
      </c>
      <c r="T794" s="5">
        <f>data_origin!T919</f>
        <v>0</v>
      </c>
      <c r="U794" s="5">
        <f>data_origin!U919</f>
        <v>0</v>
      </c>
      <c r="V794" s="5">
        <f>data_origin!V919</f>
        <v>0</v>
      </c>
      <c r="W794" s="5">
        <f>data_origin!W919</f>
        <v>0</v>
      </c>
      <c r="X794" s="5">
        <f>data_origin!X919</f>
        <v>0</v>
      </c>
      <c r="Y794" s="5">
        <f>data_origin!Y919</f>
        <v>0</v>
      </c>
      <c r="Z794" s="5">
        <f>data_origin!Z919</f>
        <v>0</v>
      </c>
      <c r="AA794" s="5">
        <f>data_origin!AA919</f>
        <v>0</v>
      </c>
      <c r="AB794" s="5">
        <f t="shared" si="102"/>
        <v>0</v>
      </c>
    </row>
    <row r="795" spans="1:28" x14ac:dyDescent="0.25">
      <c r="A795" s="23" t="s">
        <v>104</v>
      </c>
      <c r="B795" s="23" t="s">
        <v>117</v>
      </c>
      <c r="C795" s="23" t="s">
        <v>109</v>
      </c>
      <c r="D795" t="s">
        <v>70</v>
      </c>
      <c r="E795" s="38">
        <f>T795+AI399+IFERROR((T795/SUM(T$3:T$992)*AI$630),0)+IFERROR((T795/SUM(T$135:T$332,T$465:T$662,T$795:T$992)*AI$732),0)</f>
        <v>0</v>
      </c>
      <c r="F795" s="38">
        <f t="shared" ref="F795:L795" si="104">U795+AJ399+IFERROR((U795/SUM(U$3:U$992)*AJ$630),0)+IFERROR((U795/SUM(U$135:U$332,U$465:U$662,U$795:U$992)*AJ$732),0)</f>
        <v>0</v>
      </c>
      <c r="G795" s="38">
        <f t="shared" si="104"/>
        <v>91.94511824879757</v>
      </c>
      <c r="H795" s="38">
        <f t="shared" si="104"/>
        <v>87.260840357717129</v>
      </c>
      <c r="I795" s="38">
        <f t="shared" si="104"/>
        <v>32.67665941009998</v>
      </c>
      <c r="J795" s="38">
        <f t="shared" si="104"/>
        <v>1.1088536784322076</v>
      </c>
      <c r="K795" s="38">
        <f t="shared" si="104"/>
        <v>0</v>
      </c>
      <c r="L795" s="38">
        <f t="shared" si="104"/>
        <v>0</v>
      </c>
      <c r="M795" s="35">
        <f t="shared" si="101"/>
        <v>212.99147169504687</v>
      </c>
      <c r="P795" t="s">
        <v>104</v>
      </c>
      <c r="Q795" t="s">
        <v>117</v>
      </c>
      <c r="R795" t="s">
        <v>109</v>
      </c>
      <c r="S795" t="s">
        <v>70</v>
      </c>
      <c r="T795" s="5">
        <f>data_origin!T921</f>
        <v>0</v>
      </c>
      <c r="U795" s="5">
        <f>data_origin!U921</f>
        <v>0</v>
      </c>
      <c r="V795" s="5">
        <f>data_origin!V921</f>
        <v>91.229798493791975</v>
      </c>
      <c r="W795" s="5">
        <f>data_origin!W921</f>
        <v>86.185343411107453</v>
      </c>
      <c r="X795" s="5">
        <f>data_origin!X921</f>
        <v>32.1047531149054</v>
      </c>
      <c r="Y795" s="5">
        <f>data_origin!Y921</f>
        <v>1.0863636363636364</v>
      </c>
      <c r="Z795" s="5">
        <f>data_origin!Z921</f>
        <v>0</v>
      </c>
      <c r="AA795" s="5">
        <f>data_origin!AA921</f>
        <v>0</v>
      </c>
      <c r="AB795" s="5">
        <f t="shared" si="102"/>
        <v>210.60625865616848</v>
      </c>
    </row>
    <row r="796" spans="1:28" x14ac:dyDescent="0.25">
      <c r="D796" t="s">
        <v>71</v>
      </c>
      <c r="E796" s="38">
        <f t="shared" ref="E796:L827" si="105">T796+AI400+IFERROR((T796/SUM(T$3:T$992)*AI$630),0)+IFERROR((T796/SUM(T$135:T$332,T$465:T$662,T$795:T$992)*AI$732),0)</f>
        <v>0</v>
      </c>
      <c r="F796" s="38">
        <f t="shared" si="105"/>
        <v>0</v>
      </c>
      <c r="G796" s="38">
        <f t="shared" si="105"/>
        <v>475.42353826207528</v>
      </c>
      <c r="H796" s="38">
        <f t="shared" si="105"/>
        <v>541.6971648180363</v>
      </c>
      <c r="I796" s="38">
        <f t="shared" si="105"/>
        <v>145.35479530699646</v>
      </c>
      <c r="J796" s="38">
        <f t="shared" si="105"/>
        <v>6.6531220705932457</v>
      </c>
      <c r="K796" s="38">
        <f t="shared" si="105"/>
        <v>0</v>
      </c>
      <c r="L796" s="38">
        <f t="shared" si="105"/>
        <v>0</v>
      </c>
      <c r="M796" s="35">
        <f t="shared" si="101"/>
        <v>1169.1286204577013</v>
      </c>
      <c r="S796" t="s">
        <v>71</v>
      </c>
      <c r="T796" s="5">
        <f>data_origin!T922</f>
        <v>0</v>
      </c>
      <c r="U796" s="5">
        <f>data_origin!U922</f>
        <v>0</v>
      </c>
      <c r="V796" s="5">
        <f>data_origin!V922</f>
        <v>471.72481172399756</v>
      </c>
      <c r="W796" s="5">
        <f>data_origin!W922</f>
        <v>535.02070325336842</v>
      </c>
      <c r="X796" s="5">
        <f>data_origin!X922</f>
        <v>142.81079833871712</v>
      </c>
      <c r="Y796" s="5">
        <f>data_origin!Y922</f>
        <v>6.5181818181818185</v>
      </c>
      <c r="Z796" s="5">
        <f>data_origin!Z922</f>
        <v>0</v>
      </c>
      <c r="AA796" s="5">
        <f>data_origin!AA922</f>
        <v>0</v>
      </c>
      <c r="AB796" s="5">
        <f t="shared" si="102"/>
        <v>1156.0744951342649</v>
      </c>
    </row>
    <row r="797" spans="1:28" x14ac:dyDescent="0.25">
      <c r="D797" t="s">
        <v>72</v>
      </c>
      <c r="E797" s="38">
        <f t="shared" si="105"/>
        <v>0</v>
      </c>
      <c r="F797" s="38">
        <f t="shared" si="105"/>
        <v>0</v>
      </c>
      <c r="G797" s="38">
        <f t="shared" si="105"/>
        <v>57.185378423032645</v>
      </c>
      <c r="H797" s="38">
        <f t="shared" si="105"/>
        <v>107.65947836341724</v>
      </c>
      <c r="I797" s="38">
        <f t="shared" si="105"/>
        <v>52.958723871541345</v>
      </c>
      <c r="J797" s="38">
        <f t="shared" si="105"/>
        <v>5.5442683921610385</v>
      </c>
      <c r="K797" s="38">
        <f t="shared" si="105"/>
        <v>0</v>
      </c>
      <c r="L797" s="38">
        <f t="shared" si="105"/>
        <v>0</v>
      </c>
      <c r="M797" s="35">
        <f t="shared" si="101"/>
        <v>223.34784905015226</v>
      </c>
      <c r="S797" t="s">
        <v>72</v>
      </c>
      <c r="T797" s="5">
        <f>data_origin!T923</f>
        <v>0</v>
      </c>
      <c r="U797" s="5">
        <f>data_origin!U923</f>
        <v>0</v>
      </c>
      <c r="V797" s="5">
        <f>data_origin!V923</f>
        <v>56.740484429065745</v>
      </c>
      <c r="W797" s="5">
        <f>data_origin!W923</f>
        <v>106.33256654617153</v>
      </c>
      <c r="X797" s="5">
        <f>data_origin!X923</f>
        <v>52.031841255191509</v>
      </c>
      <c r="Y797" s="5">
        <f>data_origin!Y923</f>
        <v>5.4318181818181817</v>
      </c>
      <c r="Z797" s="5">
        <f>data_origin!Z923</f>
        <v>0</v>
      </c>
      <c r="AA797" s="5">
        <f>data_origin!AA923</f>
        <v>0</v>
      </c>
      <c r="AB797" s="5">
        <f t="shared" si="102"/>
        <v>220.53671041224698</v>
      </c>
    </row>
    <row r="798" spans="1:28" x14ac:dyDescent="0.25">
      <c r="D798" t="s">
        <v>73</v>
      </c>
      <c r="E798" s="38">
        <f t="shared" si="105"/>
        <v>0</v>
      </c>
      <c r="F798" s="38">
        <f t="shared" si="105"/>
        <v>0</v>
      </c>
      <c r="G798" s="38">
        <f t="shared" si="105"/>
        <v>14.576665088224006</v>
      </c>
      <c r="H798" s="38">
        <f t="shared" si="105"/>
        <v>32.864472342516841</v>
      </c>
      <c r="I798" s="38">
        <f t="shared" si="105"/>
        <v>18.028501743503437</v>
      </c>
      <c r="J798" s="38">
        <f t="shared" si="105"/>
        <v>2.2177073568644152</v>
      </c>
      <c r="K798" s="38">
        <f t="shared" si="105"/>
        <v>1.078577699736611</v>
      </c>
      <c r="L798" s="38">
        <f t="shared" si="105"/>
        <v>0</v>
      </c>
      <c r="M798" s="35">
        <f t="shared" si="101"/>
        <v>68.7659242308453</v>
      </c>
      <c r="S798" t="s">
        <v>73</v>
      </c>
      <c r="T798" s="5">
        <f>data_origin!T924</f>
        <v>0</v>
      </c>
      <c r="U798" s="5">
        <f>data_origin!U924</f>
        <v>0</v>
      </c>
      <c r="V798" s="5">
        <f>data_origin!V924</f>
        <v>14.463260736820679</v>
      </c>
      <c r="W798" s="5">
        <f>data_origin!W924</f>
        <v>32.459415050936578</v>
      </c>
      <c r="X798" s="5">
        <f>data_origin!X924</f>
        <v>17.712967235809874</v>
      </c>
      <c r="Y798" s="5">
        <f>data_origin!Y924</f>
        <v>2.1727272727272728</v>
      </c>
      <c r="Z798" s="5">
        <f>data_origin!Z924</f>
        <v>1.0588235294117647</v>
      </c>
      <c r="AA798" s="5">
        <f>data_origin!AA924</f>
        <v>0</v>
      </c>
      <c r="AB798" s="5">
        <f t="shared" si="102"/>
        <v>67.867193825706167</v>
      </c>
    </row>
    <row r="799" spans="1:28" x14ac:dyDescent="0.25">
      <c r="D799" t="s">
        <v>74</v>
      </c>
      <c r="E799" s="38">
        <f t="shared" si="105"/>
        <v>0</v>
      </c>
      <c r="F799" s="38">
        <f t="shared" si="105"/>
        <v>0</v>
      </c>
      <c r="G799" s="38">
        <f t="shared" si="105"/>
        <v>103.15793754743143</v>
      </c>
      <c r="H799" s="38">
        <f t="shared" si="105"/>
        <v>343.37707309595186</v>
      </c>
      <c r="I799" s="38">
        <f t="shared" si="105"/>
        <v>256.90614984492396</v>
      </c>
      <c r="J799" s="38">
        <f t="shared" si="105"/>
        <v>32.156756674534023</v>
      </c>
      <c r="K799" s="38">
        <f t="shared" si="105"/>
        <v>3.235733099209833</v>
      </c>
      <c r="L799" s="38">
        <f t="shared" si="105"/>
        <v>0</v>
      </c>
      <c r="M799" s="35">
        <f t="shared" si="101"/>
        <v>738.83365026205115</v>
      </c>
      <c r="S799" t="s">
        <v>74</v>
      </c>
      <c r="T799" s="5">
        <f>data_origin!T925</f>
        <v>0</v>
      </c>
      <c r="U799" s="5">
        <f>data_origin!U925</f>
        <v>0</v>
      </c>
      <c r="V799" s="5">
        <f>data_origin!V925</f>
        <v>102.35538367596173</v>
      </c>
      <c r="W799" s="5">
        <f>data_origin!W925</f>
        <v>339.14492277357868</v>
      </c>
      <c r="X799" s="5">
        <f>data_origin!X925</f>
        <v>252.40978311029073</v>
      </c>
      <c r="Y799" s="5">
        <f>data_origin!Y925</f>
        <v>31.504545454545454</v>
      </c>
      <c r="Z799" s="5">
        <f>data_origin!Z925</f>
        <v>3.1764705882352939</v>
      </c>
      <c r="AA799" s="5">
        <f>data_origin!AA925</f>
        <v>0</v>
      </c>
      <c r="AB799" s="5">
        <f t="shared" si="102"/>
        <v>728.59110560261183</v>
      </c>
    </row>
    <row r="800" spans="1:28" x14ac:dyDescent="0.25">
      <c r="D800" t="s">
        <v>75</v>
      </c>
      <c r="E800" s="38">
        <f t="shared" si="105"/>
        <v>0</v>
      </c>
      <c r="F800" s="38">
        <f t="shared" si="105"/>
        <v>0</v>
      </c>
      <c r="G800" s="38">
        <f t="shared" si="105"/>
        <v>48.215122984125564</v>
      </c>
      <c r="H800" s="38">
        <f t="shared" si="105"/>
        <v>44.197049012350234</v>
      </c>
      <c r="I800" s="38">
        <f t="shared" si="105"/>
        <v>22.535627179379297</v>
      </c>
      <c r="J800" s="38">
        <f t="shared" si="105"/>
        <v>5.5442683921610385</v>
      </c>
      <c r="K800" s="38">
        <f t="shared" si="105"/>
        <v>0</v>
      </c>
      <c r="L800" s="38">
        <f t="shared" si="105"/>
        <v>0</v>
      </c>
      <c r="M800" s="35">
        <f t="shared" si="101"/>
        <v>120.49206756801614</v>
      </c>
      <c r="S800" t="s">
        <v>75</v>
      </c>
      <c r="T800" s="5">
        <f>data_origin!T926</f>
        <v>0</v>
      </c>
      <c r="U800" s="5">
        <f>data_origin!U926</f>
        <v>0</v>
      </c>
      <c r="V800" s="5">
        <f>data_origin!V926</f>
        <v>47.840016283329945</v>
      </c>
      <c r="W800" s="5">
        <f>data_origin!W926</f>
        <v>43.652316792638842</v>
      </c>
      <c r="X800" s="5">
        <f>data_origin!X926</f>
        <v>22.141209044762345</v>
      </c>
      <c r="Y800" s="5">
        <f>data_origin!Y926</f>
        <v>5.4318181818181817</v>
      </c>
      <c r="Z800" s="5">
        <f>data_origin!Z926</f>
        <v>0</v>
      </c>
      <c r="AA800" s="5">
        <f>data_origin!AA926</f>
        <v>0</v>
      </c>
      <c r="AB800" s="5">
        <f t="shared" si="102"/>
        <v>119.06536030254932</v>
      </c>
    </row>
    <row r="801" spans="4:28" x14ac:dyDescent="0.25">
      <c r="D801" t="s">
        <v>76</v>
      </c>
      <c r="E801" s="38">
        <f t="shared" si="105"/>
        <v>0</v>
      </c>
      <c r="F801" s="38">
        <f t="shared" si="105"/>
        <v>0</v>
      </c>
      <c r="G801" s="38">
        <f t="shared" si="105"/>
        <v>281.44176439570964</v>
      </c>
      <c r="H801" s="38">
        <f t="shared" si="105"/>
        <v>545.09693781898636</v>
      </c>
      <c r="I801" s="38">
        <f t="shared" si="105"/>
        <v>192.67961238369298</v>
      </c>
      <c r="J801" s="38">
        <f t="shared" si="105"/>
        <v>12.197390462754283</v>
      </c>
      <c r="K801" s="38">
        <f t="shared" si="105"/>
        <v>0</v>
      </c>
      <c r="L801" s="38">
        <f t="shared" si="105"/>
        <v>0</v>
      </c>
      <c r="M801" s="35">
        <f t="shared" si="101"/>
        <v>1031.4157050611434</v>
      </c>
      <c r="S801" t="s">
        <v>76</v>
      </c>
      <c r="T801" s="5">
        <f>data_origin!T927</f>
        <v>0</v>
      </c>
      <c r="U801" s="5">
        <f>data_origin!U927</f>
        <v>0</v>
      </c>
      <c r="V801" s="5">
        <f>data_origin!V927</f>
        <v>279.2521880724608</v>
      </c>
      <c r="W801" s="5">
        <f>data_origin!W927</f>
        <v>538.37857377587909</v>
      </c>
      <c r="X801" s="5">
        <f>data_origin!X927</f>
        <v>189.30733733271805</v>
      </c>
      <c r="Y801" s="5">
        <f>data_origin!Y927</f>
        <v>11.95</v>
      </c>
      <c r="Z801" s="5">
        <f>data_origin!Z927</f>
        <v>0</v>
      </c>
      <c r="AA801" s="5">
        <f>data_origin!AA927</f>
        <v>0</v>
      </c>
      <c r="AB801" s="5">
        <f t="shared" si="102"/>
        <v>1018.888099181058</v>
      </c>
    </row>
    <row r="802" spans="4:28" x14ac:dyDescent="0.25">
      <c r="D802" t="s">
        <v>77</v>
      </c>
      <c r="E802" s="38">
        <f t="shared" si="105"/>
        <v>0</v>
      </c>
      <c r="F802" s="38">
        <f t="shared" si="105"/>
        <v>0</v>
      </c>
      <c r="G802" s="38">
        <f t="shared" si="105"/>
        <v>276.95663667625615</v>
      </c>
      <c r="H802" s="38">
        <f t="shared" si="105"/>
        <v>379.64131843941874</v>
      </c>
      <c r="I802" s="38">
        <f t="shared" si="105"/>
        <v>103.66388502514476</v>
      </c>
      <c r="J802" s="38">
        <f t="shared" si="105"/>
        <v>11.088536784322077</v>
      </c>
      <c r="K802" s="38">
        <f t="shared" si="105"/>
        <v>0</v>
      </c>
      <c r="L802" s="38">
        <f t="shared" si="105"/>
        <v>0</v>
      </c>
      <c r="M802" s="35">
        <f t="shared" si="101"/>
        <v>771.35037692514175</v>
      </c>
      <c r="S802" t="s">
        <v>77</v>
      </c>
      <c r="T802" s="5">
        <f>data_origin!T928</f>
        <v>0</v>
      </c>
      <c r="U802" s="5">
        <f>data_origin!U928</f>
        <v>0</v>
      </c>
      <c r="V802" s="5">
        <f>data_origin!V928</f>
        <v>274.80195399959291</v>
      </c>
      <c r="W802" s="5">
        <f>data_origin!W928</f>
        <v>374.96220834702598</v>
      </c>
      <c r="X802" s="5">
        <f>data_origin!X928</f>
        <v>101.84956160590679</v>
      </c>
      <c r="Y802" s="5">
        <f>data_origin!Y928</f>
        <v>10.863636363636363</v>
      </c>
      <c r="Z802" s="5">
        <f>data_origin!Z928</f>
        <v>0</v>
      </c>
      <c r="AA802" s="5">
        <f>data_origin!AA928</f>
        <v>0</v>
      </c>
      <c r="AB802" s="5">
        <f t="shared" si="102"/>
        <v>762.47736031616193</v>
      </c>
    </row>
    <row r="803" spans="4:28" x14ac:dyDescent="0.25">
      <c r="D803" t="s">
        <v>78</v>
      </c>
      <c r="E803" s="38">
        <f t="shared" si="105"/>
        <v>0</v>
      </c>
      <c r="F803" s="38">
        <f t="shared" si="105"/>
        <v>0</v>
      </c>
      <c r="G803" s="38">
        <f t="shared" si="105"/>
        <v>333.0207331694254</v>
      </c>
      <c r="H803" s="38">
        <f t="shared" si="105"/>
        <v>424.97162511875229</v>
      </c>
      <c r="I803" s="38">
        <f t="shared" si="105"/>
        <v>125.07273084555509</v>
      </c>
      <c r="J803" s="38">
        <f t="shared" si="105"/>
        <v>13.306244141186491</v>
      </c>
      <c r="K803" s="38">
        <f t="shared" si="105"/>
        <v>1.078577699736611</v>
      </c>
      <c r="L803" s="38">
        <f t="shared" si="105"/>
        <v>0</v>
      </c>
      <c r="M803" s="35">
        <f t="shared" si="101"/>
        <v>897.44991097465584</v>
      </c>
      <c r="S803" t="s">
        <v>78</v>
      </c>
      <c r="T803" s="5">
        <f>data_origin!T929</f>
        <v>0</v>
      </c>
      <c r="U803" s="5">
        <f>data_origin!U929</f>
        <v>0</v>
      </c>
      <c r="V803" s="5">
        <f>data_origin!V929</f>
        <v>330.42987991044168</v>
      </c>
      <c r="W803" s="5">
        <f>data_origin!W929</f>
        <v>419.73381531383501</v>
      </c>
      <c r="X803" s="5">
        <f>data_origin!X929</f>
        <v>122.883710198431</v>
      </c>
      <c r="Y803" s="5">
        <f>data_origin!Y929</f>
        <v>13.036363636363637</v>
      </c>
      <c r="Z803" s="5">
        <f>data_origin!Z929</f>
        <v>1.0588235294117647</v>
      </c>
      <c r="AA803" s="5">
        <f>data_origin!AA929</f>
        <v>0</v>
      </c>
      <c r="AB803" s="5">
        <f t="shared" si="102"/>
        <v>887.14259258848301</v>
      </c>
    </row>
    <row r="804" spans="4:28" x14ac:dyDescent="0.25">
      <c r="D804" t="s">
        <v>79</v>
      </c>
      <c r="E804" s="38">
        <f t="shared" si="105"/>
        <v>0</v>
      </c>
      <c r="F804" s="38">
        <f t="shared" si="105"/>
        <v>0</v>
      </c>
      <c r="G804" s="38">
        <f t="shared" si="105"/>
        <v>276.95663667625615</v>
      </c>
      <c r="H804" s="38">
        <f t="shared" si="105"/>
        <v>237.98411006650127</v>
      </c>
      <c r="I804" s="38">
        <f t="shared" si="105"/>
        <v>82.25503920473443</v>
      </c>
      <c r="J804" s="38">
        <f t="shared" si="105"/>
        <v>11.088536784322077</v>
      </c>
      <c r="K804" s="38">
        <f t="shared" si="105"/>
        <v>2.157155399473222</v>
      </c>
      <c r="L804" s="38">
        <f t="shared" si="105"/>
        <v>0</v>
      </c>
      <c r="M804" s="35">
        <f t="shared" si="101"/>
        <v>610.44147813128723</v>
      </c>
      <c r="S804" t="s">
        <v>79</v>
      </c>
      <c r="T804" s="5">
        <f>data_origin!T930</f>
        <v>0</v>
      </c>
      <c r="U804" s="5">
        <f>data_origin!U930</f>
        <v>0</v>
      </c>
      <c r="V804" s="5">
        <f>data_origin!V930</f>
        <v>274.80195399959291</v>
      </c>
      <c r="W804" s="5">
        <f>data_origin!W930</f>
        <v>235.05093657574761</v>
      </c>
      <c r="X804" s="5">
        <f>data_origin!X930</f>
        <v>80.815413013382553</v>
      </c>
      <c r="Y804" s="5">
        <f>data_origin!Y930</f>
        <v>10.863636363636363</v>
      </c>
      <c r="Z804" s="5">
        <f>data_origin!Z930</f>
        <v>2.1176470588235294</v>
      </c>
      <c r="AA804" s="5">
        <f>data_origin!AA930</f>
        <v>0</v>
      </c>
      <c r="AB804" s="5">
        <f t="shared" si="102"/>
        <v>603.64958701118303</v>
      </c>
    </row>
    <row r="805" spans="4:28" x14ac:dyDescent="0.25">
      <c r="D805" t="s">
        <v>80</v>
      </c>
      <c r="E805" s="38">
        <f t="shared" si="105"/>
        <v>0</v>
      </c>
      <c r="F805" s="38">
        <f t="shared" si="105"/>
        <v>0</v>
      </c>
      <c r="G805" s="38">
        <f t="shared" si="105"/>
        <v>288.16945597488996</v>
      </c>
      <c r="H805" s="38">
        <f t="shared" si="105"/>
        <v>453.3030667933358</v>
      </c>
      <c r="I805" s="38">
        <f t="shared" si="105"/>
        <v>191.55283102472401</v>
      </c>
      <c r="J805" s="38">
        <f t="shared" si="105"/>
        <v>15.523951498050907</v>
      </c>
      <c r="K805" s="38">
        <f t="shared" si="105"/>
        <v>2.157155399473222</v>
      </c>
      <c r="L805" s="38">
        <f t="shared" si="105"/>
        <v>0</v>
      </c>
      <c r="M805" s="35">
        <f t="shared" si="101"/>
        <v>950.70646069047393</v>
      </c>
      <c r="S805" t="s">
        <v>80</v>
      </c>
      <c r="T805" s="5">
        <f>data_origin!T931</f>
        <v>0</v>
      </c>
      <c r="U805" s="5">
        <f>data_origin!U931</f>
        <v>0</v>
      </c>
      <c r="V805" s="5">
        <f>data_origin!V931</f>
        <v>285.92753918176265</v>
      </c>
      <c r="W805" s="5">
        <f>data_origin!W931</f>
        <v>447.71606966809071</v>
      </c>
      <c r="X805" s="5">
        <f>data_origin!X931</f>
        <v>188.20027688047992</v>
      </c>
      <c r="Y805" s="5">
        <f>data_origin!Y931</f>
        <v>15.209090909090909</v>
      </c>
      <c r="Z805" s="5">
        <f>data_origin!Z931</f>
        <v>2.1176470588235294</v>
      </c>
      <c r="AA805" s="5">
        <f>data_origin!AA931</f>
        <v>0</v>
      </c>
      <c r="AB805" s="5">
        <f t="shared" si="102"/>
        <v>939.17062369824771</v>
      </c>
    </row>
    <row r="806" spans="4:28" x14ac:dyDescent="0.25">
      <c r="D806" t="s">
        <v>81</v>
      </c>
      <c r="E806" s="38">
        <f t="shared" si="105"/>
        <v>0</v>
      </c>
      <c r="F806" s="38">
        <f t="shared" si="105"/>
        <v>0</v>
      </c>
      <c r="G806" s="38">
        <f t="shared" si="105"/>
        <v>49.336404913988943</v>
      </c>
      <c r="H806" s="38">
        <f t="shared" si="105"/>
        <v>79.328036688833762</v>
      </c>
      <c r="I806" s="38">
        <f t="shared" si="105"/>
        <v>28.169533974224116</v>
      </c>
      <c r="J806" s="38">
        <f t="shared" si="105"/>
        <v>4.4354147137288304</v>
      </c>
      <c r="K806" s="38">
        <f t="shared" si="105"/>
        <v>1.078577699736611</v>
      </c>
      <c r="L806" s="38">
        <f t="shared" si="105"/>
        <v>0</v>
      </c>
      <c r="M806" s="35">
        <f t="shared" si="101"/>
        <v>162.34796799051225</v>
      </c>
      <c r="S806" t="s">
        <v>81</v>
      </c>
      <c r="T806" s="5">
        <f>data_origin!T932</f>
        <v>0</v>
      </c>
      <c r="U806" s="5">
        <f>data_origin!U932</f>
        <v>0</v>
      </c>
      <c r="V806" s="5">
        <f>data_origin!V932</f>
        <v>48.952574801546916</v>
      </c>
      <c r="W806" s="5">
        <f>data_origin!W932</f>
        <v>78.350312191915876</v>
      </c>
      <c r="X806" s="5">
        <f>data_origin!X932</f>
        <v>27.676511305952928</v>
      </c>
      <c r="Y806" s="5">
        <f>data_origin!Y932</f>
        <v>4.3454545454545457</v>
      </c>
      <c r="Z806" s="5">
        <f>data_origin!Z932</f>
        <v>1.0588235294117647</v>
      </c>
      <c r="AA806" s="5">
        <f>data_origin!AA932</f>
        <v>0</v>
      </c>
      <c r="AB806" s="5">
        <f t="shared" si="102"/>
        <v>160.38367637428203</v>
      </c>
    </row>
    <row r="807" spans="4:28" x14ac:dyDescent="0.25">
      <c r="D807" t="s">
        <v>82</v>
      </c>
      <c r="E807" s="38">
        <f t="shared" si="105"/>
        <v>0</v>
      </c>
      <c r="F807" s="38">
        <f t="shared" si="105"/>
        <v>0</v>
      </c>
      <c r="G807" s="38">
        <f t="shared" si="105"/>
        <v>163.70716176005422</v>
      </c>
      <c r="H807" s="38">
        <f t="shared" si="105"/>
        <v>185.85425738526769</v>
      </c>
      <c r="I807" s="38">
        <f t="shared" si="105"/>
        <v>87.888945999579263</v>
      </c>
      <c r="J807" s="38">
        <f t="shared" si="105"/>
        <v>5.5442683921610385</v>
      </c>
      <c r="K807" s="38">
        <f t="shared" si="105"/>
        <v>0</v>
      </c>
      <c r="L807" s="38">
        <f t="shared" si="105"/>
        <v>0</v>
      </c>
      <c r="M807" s="35">
        <f t="shared" si="101"/>
        <v>442.99463353706221</v>
      </c>
      <c r="S807" t="s">
        <v>82</v>
      </c>
      <c r="T807" s="5">
        <f>data_origin!T933</f>
        <v>0</v>
      </c>
      <c r="U807" s="5">
        <f>data_origin!U933</f>
        <v>0</v>
      </c>
      <c r="V807" s="5">
        <f>data_origin!V933</f>
        <v>162.43354365967841</v>
      </c>
      <c r="W807" s="5">
        <f>data_origin!W933</f>
        <v>183.56358856391719</v>
      </c>
      <c r="X807" s="5">
        <f>data_origin!X933</f>
        <v>86.350715274573147</v>
      </c>
      <c r="Y807" s="5">
        <f>data_origin!Y933</f>
        <v>5.4318181818181817</v>
      </c>
      <c r="Z807" s="5">
        <f>data_origin!Z933</f>
        <v>0</v>
      </c>
      <c r="AA807" s="5">
        <f>data_origin!AA933</f>
        <v>0</v>
      </c>
      <c r="AB807" s="5">
        <f t="shared" si="102"/>
        <v>437.77966567998692</v>
      </c>
    </row>
    <row r="808" spans="4:28" x14ac:dyDescent="0.25">
      <c r="D808" t="s">
        <v>83</v>
      </c>
      <c r="E808" s="38">
        <f t="shared" si="105"/>
        <v>0</v>
      </c>
      <c r="F808" s="38">
        <f t="shared" si="105"/>
        <v>0</v>
      </c>
      <c r="G808" s="38">
        <f t="shared" si="105"/>
        <v>37.002303685491711</v>
      </c>
      <c r="H808" s="38">
        <f t="shared" si="105"/>
        <v>43.063791345366901</v>
      </c>
      <c r="I808" s="38">
        <f t="shared" si="105"/>
        <v>16.901720384534471</v>
      </c>
      <c r="J808" s="38">
        <f t="shared" si="105"/>
        <v>3.3265610352966228</v>
      </c>
      <c r="K808" s="38">
        <f t="shared" si="105"/>
        <v>0</v>
      </c>
      <c r="L808" s="38">
        <f t="shared" si="105"/>
        <v>0</v>
      </c>
      <c r="M808" s="35">
        <f t="shared" si="101"/>
        <v>100.2943764506897</v>
      </c>
      <c r="S808" t="s">
        <v>83</v>
      </c>
      <c r="T808" s="5">
        <f>data_origin!T934</f>
        <v>0</v>
      </c>
      <c r="U808" s="5">
        <f>data_origin!U934</f>
        <v>0</v>
      </c>
      <c r="V808" s="5">
        <f>data_origin!V934</f>
        <v>36.714431101160187</v>
      </c>
      <c r="W808" s="5">
        <f>data_origin!W934</f>
        <v>42.533026618468618</v>
      </c>
      <c r="X808" s="5">
        <f>data_origin!X934</f>
        <v>16.605906783571758</v>
      </c>
      <c r="Y808" s="5">
        <f>data_origin!Y934</f>
        <v>3.2590909090909093</v>
      </c>
      <c r="Z808" s="5">
        <f>data_origin!Z934</f>
        <v>0</v>
      </c>
      <c r="AA808" s="5">
        <f>data_origin!AA934</f>
        <v>0</v>
      </c>
      <c r="AB808" s="5">
        <f t="shared" si="102"/>
        <v>99.112455412291482</v>
      </c>
    </row>
    <row r="809" spans="4:28" x14ac:dyDescent="0.25">
      <c r="D809" t="s">
        <v>84</v>
      </c>
      <c r="E809" s="38">
        <f t="shared" si="105"/>
        <v>0</v>
      </c>
      <c r="F809" s="38">
        <f t="shared" si="105"/>
        <v>0</v>
      </c>
      <c r="G809" s="38">
        <f t="shared" si="105"/>
        <v>50.457686843852336</v>
      </c>
      <c r="H809" s="38">
        <f t="shared" si="105"/>
        <v>96.326901693583849</v>
      </c>
      <c r="I809" s="38">
        <f t="shared" si="105"/>
        <v>48.451598435665481</v>
      </c>
      <c r="J809" s="38">
        <f t="shared" si="105"/>
        <v>2.2177073568644152</v>
      </c>
      <c r="K809" s="38">
        <f t="shared" si="105"/>
        <v>0</v>
      </c>
      <c r="L809" s="38">
        <f t="shared" si="105"/>
        <v>0</v>
      </c>
      <c r="M809" s="35">
        <f t="shared" si="101"/>
        <v>197.45389432996609</v>
      </c>
      <c r="S809" t="s">
        <v>84</v>
      </c>
      <c r="T809" s="5">
        <f>data_origin!T935</f>
        <v>0</v>
      </c>
      <c r="U809" s="5">
        <f>data_origin!U935</f>
        <v>0</v>
      </c>
      <c r="V809" s="5">
        <f>data_origin!V935</f>
        <v>50.065133319763895</v>
      </c>
      <c r="W809" s="5">
        <f>data_origin!W935</f>
        <v>95.139664804469277</v>
      </c>
      <c r="X809" s="5">
        <f>data_origin!X935</f>
        <v>47.603599446239038</v>
      </c>
      <c r="Y809" s="5">
        <f>data_origin!Y935</f>
        <v>2.1727272727272728</v>
      </c>
      <c r="Z809" s="5">
        <f>data_origin!Z935</f>
        <v>0</v>
      </c>
      <c r="AA809" s="5">
        <f>data_origin!AA935</f>
        <v>0</v>
      </c>
      <c r="AB809" s="5">
        <f t="shared" si="102"/>
        <v>194.9811248431995</v>
      </c>
    </row>
    <row r="810" spans="4:28" x14ac:dyDescent="0.25">
      <c r="D810" t="s">
        <v>85</v>
      </c>
      <c r="E810" s="38">
        <f t="shared" si="105"/>
        <v>0</v>
      </c>
      <c r="F810" s="38">
        <f t="shared" si="105"/>
        <v>0</v>
      </c>
      <c r="G810" s="38">
        <f t="shared" si="105"/>
        <v>197.34561965595577</v>
      </c>
      <c r="H810" s="38">
        <f t="shared" si="105"/>
        <v>223.25176039571787</v>
      </c>
      <c r="I810" s="38">
        <f t="shared" si="105"/>
        <v>86.762164640610294</v>
      </c>
      <c r="J810" s="38">
        <f t="shared" si="105"/>
        <v>5.5442683921610385</v>
      </c>
      <c r="K810" s="38">
        <f t="shared" si="105"/>
        <v>0</v>
      </c>
      <c r="L810" s="38">
        <f t="shared" si="105"/>
        <v>0</v>
      </c>
      <c r="M810" s="35">
        <f t="shared" si="101"/>
        <v>512.90381308444501</v>
      </c>
      <c r="S810" t="s">
        <v>85</v>
      </c>
      <c r="T810" s="5">
        <f>data_origin!T936</f>
        <v>0</v>
      </c>
      <c r="U810" s="5">
        <f>data_origin!U936</f>
        <v>0</v>
      </c>
      <c r="V810" s="5">
        <f>data_origin!V936</f>
        <v>195.81029920618766</v>
      </c>
      <c r="W810" s="5">
        <f>data_origin!W936</f>
        <v>220.50016431153466</v>
      </c>
      <c r="X810" s="5">
        <f>data_origin!X936</f>
        <v>85.243654822335031</v>
      </c>
      <c r="Y810" s="5">
        <f>data_origin!Y936</f>
        <v>5.4318181818181817</v>
      </c>
      <c r="Z810" s="5">
        <f>data_origin!Z936</f>
        <v>0</v>
      </c>
      <c r="AA810" s="5">
        <f>data_origin!AA936</f>
        <v>0</v>
      </c>
      <c r="AB810" s="5">
        <f t="shared" si="102"/>
        <v>506.98593652187554</v>
      </c>
    </row>
    <row r="811" spans="4:28" x14ac:dyDescent="0.25">
      <c r="D811" t="s">
        <v>86</v>
      </c>
      <c r="E811" s="38">
        <f t="shared" si="105"/>
        <v>0</v>
      </c>
      <c r="F811" s="38">
        <f t="shared" si="105"/>
        <v>0</v>
      </c>
      <c r="G811" s="38">
        <f t="shared" si="105"/>
        <v>1544.0052174218813</v>
      </c>
      <c r="H811" s="38">
        <f t="shared" si="105"/>
        <v>1753.016353156243</v>
      </c>
      <c r="I811" s="38">
        <f t="shared" si="105"/>
        <v>521.69976920263082</v>
      </c>
      <c r="J811" s="38">
        <f t="shared" si="105"/>
        <v>62.09580599220363</v>
      </c>
      <c r="K811" s="38">
        <f t="shared" si="105"/>
        <v>4.314310798946444</v>
      </c>
      <c r="L811" s="38">
        <f t="shared" si="105"/>
        <v>0</v>
      </c>
      <c r="M811" s="35">
        <f t="shared" si="101"/>
        <v>3885.1314565719049</v>
      </c>
      <c r="S811" t="s">
        <v>86</v>
      </c>
      <c r="T811" s="5">
        <f>data_origin!T937</f>
        <v>0</v>
      </c>
      <c r="U811" s="5">
        <f>data_origin!U937</f>
        <v>0</v>
      </c>
      <c r="V811" s="5">
        <f>data_origin!V937</f>
        <v>1531.9930795847752</v>
      </c>
      <c r="W811" s="5">
        <f>data_origin!W937</f>
        <v>1730.4226092671706</v>
      </c>
      <c r="X811" s="5">
        <f>data_origin!X937</f>
        <v>512.56898938624829</v>
      </c>
      <c r="Y811" s="5">
        <f>data_origin!Y937</f>
        <v>60.836363636363636</v>
      </c>
      <c r="Z811" s="5">
        <f>data_origin!Z937</f>
        <v>4.2352941176470589</v>
      </c>
      <c r="AA811" s="5">
        <f>data_origin!AA937</f>
        <v>0</v>
      </c>
      <c r="AB811" s="5">
        <f t="shared" si="102"/>
        <v>3840.0563359922044</v>
      </c>
    </row>
    <row r="812" spans="4:28" x14ac:dyDescent="0.25">
      <c r="D812" t="s">
        <v>87</v>
      </c>
      <c r="E812" s="38">
        <f t="shared" si="105"/>
        <v>0</v>
      </c>
      <c r="F812" s="38">
        <f t="shared" si="105"/>
        <v>0</v>
      </c>
      <c r="G812" s="38">
        <f t="shared" si="105"/>
        <v>76.247171230710194</v>
      </c>
      <c r="H812" s="38">
        <f t="shared" si="105"/>
        <v>94.060386359617169</v>
      </c>
      <c r="I812" s="38">
        <f t="shared" si="105"/>
        <v>28.169533974224116</v>
      </c>
      <c r="J812" s="38">
        <f t="shared" si="105"/>
        <v>5.5442683921610385</v>
      </c>
      <c r="K812" s="38">
        <f t="shared" si="105"/>
        <v>0</v>
      </c>
      <c r="L812" s="38">
        <f t="shared" si="105"/>
        <v>0</v>
      </c>
      <c r="M812" s="35">
        <f t="shared" si="101"/>
        <v>204.0213599567125</v>
      </c>
      <c r="S812" t="s">
        <v>87</v>
      </c>
      <c r="T812" s="5">
        <f>data_origin!T938</f>
        <v>0</v>
      </c>
      <c r="U812" s="5">
        <f>data_origin!U938</f>
        <v>0</v>
      </c>
      <c r="V812" s="5">
        <f>data_origin!V938</f>
        <v>75.653979238754332</v>
      </c>
      <c r="W812" s="5">
        <f>data_origin!W938</f>
        <v>92.901084456128814</v>
      </c>
      <c r="X812" s="5">
        <f>data_origin!X938</f>
        <v>27.676511305952928</v>
      </c>
      <c r="Y812" s="5">
        <f>data_origin!Y938</f>
        <v>5.4318181818181817</v>
      </c>
      <c r="Z812" s="5">
        <f>data_origin!Z938</f>
        <v>0</v>
      </c>
      <c r="AA812" s="5">
        <f>data_origin!AA938</f>
        <v>0</v>
      </c>
      <c r="AB812" s="5">
        <f t="shared" si="102"/>
        <v>201.66339318265426</v>
      </c>
    </row>
    <row r="813" spans="4:28" x14ac:dyDescent="0.25">
      <c r="D813" t="s">
        <v>88</v>
      </c>
      <c r="E813" s="38">
        <f t="shared" si="105"/>
        <v>0</v>
      </c>
      <c r="F813" s="38">
        <f t="shared" si="105"/>
        <v>0</v>
      </c>
      <c r="G813" s="38">
        <f t="shared" si="105"/>
        <v>949.72579459428721</v>
      </c>
      <c r="H813" s="38">
        <f t="shared" si="105"/>
        <v>996.13348927835546</v>
      </c>
      <c r="I813" s="38">
        <f t="shared" si="105"/>
        <v>330.14693817790669</v>
      </c>
      <c r="J813" s="38">
        <f t="shared" si="105"/>
        <v>29.939049317669607</v>
      </c>
      <c r="K813" s="38">
        <f t="shared" si="105"/>
        <v>3.235733099209833</v>
      </c>
      <c r="L813" s="38">
        <f t="shared" si="105"/>
        <v>0</v>
      </c>
      <c r="M813" s="35">
        <f t="shared" si="101"/>
        <v>2309.1810044674289</v>
      </c>
      <c r="S813" t="s">
        <v>88</v>
      </c>
      <c r="T813" s="5">
        <f>data_origin!T939</f>
        <v>0</v>
      </c>
      <c r="U813" s="5">
        <f>data_origin!U939</f>
        <v>0</v>
      </c>
      <c r="V813" s="5">
        <f>data_origin!V939</f>
        <v>942.33706492977819</v>
      </c>
      <c r="W813" s="5">
        <f>data_origin!W939</f>
        <v>983.85606309562934</v>
      </c>
      <c r="X813" s="5">
        <f>data_origin!X939</f>
        <v>324.36871250576837</v>
      </c>
      <c r="Y813" s="5">
        <f>data_origin!Y939</f>
        <v>29.331818181818182</v>
      </c>
      <c r="Z813" s="5">
        <f>data_origin!Z939</f>
        <v>3.1764705882352939</v>
      </c>
      <c r="AA813" s="5">
        <f>data_origin!AA939</f>
        <v>0</v>
      </c>
      <c r="AB813" s="5">
        <f t="shared" si="102"/>
        <v>2283.0701293012294</v>
      </c>
    </row>
    <row r="814" spans="4:28" x14ac:dyDescent="0.25">
      <c r="D814" t="s">
        <v>89</v>
      </c>
      <c r="E814" s="38">
        <f t="shared" si="105"/>
        <v>0</v>
      </c>
      <c r="F814" s="38">
        <f t="shared" si="105"/>
        <v>0</v>
      </c>
      <c r="G814" s="38">
        <f t="shared" si="105"/>
        <v>11.212819298633852</v>
      </c>
      <c r="H814" s="38">
        <f t="shared" si="105"/>
        <v>12.465834336816734</v>
      </c>
      <c r="I814" s="38">
        <f t="shared" si="105"/>
        <v>4.5071254358758592</v>
      </c>
      <c r="J814" s="38">
        <f t="shared" si="105"/>
        <v>1.1088536784322076</v>
      </c>
      <c r="K814" s="38">
        <f t="shared" si="105"/>
        <v>0</v>
      </c>
      <c r="L814" s="38">
        <f t="shared" si="105"/>
        <v>0</v>
      </c>
      <c r="M814" s="35">
        <f t="shared" si="101"/>
        <v>29.294632749758655</v>
      </c>
      <c r="S814" t="s">
        <v>89</v>
      </c>
      <c r="T814" s="5">
        <f>data_origin!T940</f>
        <v>0</v>
      </c>
      <c r="U814" s="5">
        <f>data_origin!U940</f>
        <v>0</v>
      </c>
      <c r="V814" s="5">
        <f>data_origin!V940</f>
        <v>11.125585182169754</v>
      </c>
      <c r="W814" s="5">
        <f>data_origin!W940</f>
        <v>12.312191915872495</v>
      </c>
      <c r="X814" s="5">
        <f>data_origin!X940</f>
        <v>4.4282418089524684</v>
      </c>
      <c r="Y814" s="5">
        <f>data_origin!Y940</f>
        <v>1.0863636363636364</v>
      </c>
      <c r="Z814" s="5">
        <f>data_origin!Z940</f>
        <v>0</v>
      </c>
      <c r="AA814" s="5">
        <f>data_origin!AA940</f>
        <v>0</v>
      </c>
      <c r="AB814" s="5">
        <f t="shared" si="102"/>
        <v>28.95238254335835</v>
      </c>
    </row>
    <row r="815" spans="4:28" x14ac:dyDescent="0.25">
      <c r="D815" t="s">
        <v>90</v>
      </c>
      <c r="E815" s="38">
        <f t="shared" si="105"/>
        <v>0</v>
      </c>
      <c r="F815" s="38">
        <f t="shared" si="105"/>
        <v>0</v>
      </c>
      <c r="G815" s="38">
        <f t="shared" si="105"/>
        <v>0</v>
      </c>
      <c r="H815" s="38">
        <f t="shared" si="105"/>
        <v>0</v>
      </c>
      <c r="I815" s="38">
        <f t="shared" si="105"/>
        <v>0</v>
      </c>
      <c r="J815" s="38">
        <f t="shared" si="105"/>
        <v>0</v>
      </c>
      <c r="K815" s="38">
        <f t="shared" si="105"/>
        <v>0</v>
      </c>
      <c r="L815" s="38">
        <f t="shared" si="105"/>
        <v>0</v>
      </c>
      <c r="M815" s="35">
        <f t="shared" si="101"/>
        <v>0</v>
      </c>
      <c r="S815" t="s">
        <v>90</v>
      </c>
      <c r="T815" s="5">
        <f>data_origin!T941</f>
        <v>0</v>
      </c>
      <c r="U815" s="5">
        <f>data_origin!U941</f>
        <v>0</v>
      </c>
      <c r="V815" s="5">
        <f>data_origin!V941</f>
        <v>0</v>
      </c>
      <c r="W815" s="5">
        <f>data_origin!W941</f>
        <v>0</v>
      </c>
      <c r="X815" s="5">
        <f>data_origin!X941</f>
        <v>0</v>
      </c>
      <c r="Y815" s="5">
        <f>data_origin!Y941</f>
        <v>0</v>
      </c>
      <c r="Z815" s="5">
        <f>data_origin!Z941</f>
        <v>0</v>
      </c>
      <c r="AA815" s="5">
        <f>data_origin!AA941</f>
        <v>0</v>
      </c>
      <c r="AB815" s="5">
        <f t="shared" si="102"/>
        <v>0</v>
      </c>
    </row>
    <row r="816" spans="4:28" x14ac:dyDescent="0.25">
      <c r="D816" t="s">
        <v>91</v>
      </c>
      <c r="E816" s="38">
        <f t="shared" si="105"/>
        <v>0</v>
      </c>
      <c r="F816" s="38">
        <f t="shared" si="105"/>
        <v>0</v>
      </c>
      <c r="G816" s="38">
        <f t="shared" si="105"/>
        <v>4.4851277194535397</v>
      </c>
      <c r="H816" s="38">
        <f t="shared" si="105"/>
        <v>9.066061335866717</v>
      </c>
      <c r="I816" s="38">
        <f t="shared" si="105"/>
        <v>2.2535627179379296</v>
      </c>
      <c r="J816" s="38">
        <f t="shared" si="105"/>
        <v>1.1088536784322076</v>
      </c>
      <c r="K816" s="38">
        <f t="shared" si="105"/>
        <v>0</v>
      </c>
      <c r="L816" s="38">
        <f t="shared" si="105"/>
        <v>0</v>
      </c>
      <c r="M816" s="35">
        <f t="shared" si="101"/>
        <v>16.913605451690394</v>
      </c>
      <c r="S816" t="s">
        <v>91</v>
      </c>
      <c r="T816" s="5">
        <f>data_origin!T942</f>
        <v>0</v>
      </c>
      <c r="U816" s="5">
        <f>data_origin!U942</f>
        <v>0</v>
      </c>
      <c r="V816" s="5">
        <f>data_origin!V942</f>
        <v>4.4502340728679011</v>
      </c>
      <c r="W816" s="5">
        <f>data_origin!W942</f>
        <v>8.9543213933618144</v>
      </c>
      <c r="X816" s="5">
        <f>data_origin!X942</f>
        <v>2.2141209044762342</v>
      </c>
      <c r="Y816" s="5">
        <f>data_origin!Y942</f>
        <v>1.0863636363636364</v>
      </c>
      <c r="Z816" s="5">
        <f>data_origin!Z942</f>
        <v>0</v>
      </c>
      <c r="AA816" s="5">
        <f>data_origin!AA942</f>
        <v>0</v>
      </c>
      <c r="AB816" s="5">
        <f t="shared" si="102"/>
        <v>16.705040007069588</v>
      </c>
    </row>
    <row r="817" spans="1:28" x14ac:dyDescent="0.25">
      <c r="D817" t="s">
        <v>92</v>
      </c>
      <c r="E817" s="38">
        <f t="shared" si="105"/>
        <v>0</v>
      </c>
      <c r="F817" s="38">
        <f t="shared" si="105"/>
        <v>0</v>
      </c>
      <c r="G817" s="38">
        <f t="shared" si="105"/>
        <v>0</v>
      </c>
      <c r="H817" s="38">
        <f t="shared" si="105"/>
        <v>0</v>
      </c>
      <c r="I817" s="38">
        <f t="shared" si="105"/>
        <v>0</v>
      </c>
      <c r="J817" s="38">
        <f t="shared" si="105"/>
        <v>0</v>
      </c>
      <c r="K817" s="38">
        <f t="shared" si="105"/>
        <v>0</v>
      </c>
      <c r="L817" s="38">
        <f t="shared" si="105"/>
        <v>0</v>
      </c>
      <c r="M817" s="35">
        <f t="shared" si="101"/>
        <v>0</v>
      </c>
      <c r="S817" t="s">
        <v>92</v>
      </c>
      <c r="T817" s="5">
        <f>data_origin!T943</f>
        <v>0</v>
      </c>
      <c r="U817" s="5">
        <f>data_origin!U943</f>
        <v>0</v>
      </c>
      <c r="V817" s="5">
        <f>data_origin!V943</f>
        <v>0</v>
      </c>
      <c r="W817" s="5">
        <f>data_origin!W943</f>
        <v>0</v>
      </c>
      <c r="X817" s="5">
        <f>data_origin!X943</f>
        <v>0</v>
      </c>
      <c r="Y817" s="5">
        <f>data_origin!Y943</f>
        <v>0</v>
      </c>
      <c r="Z817" s="5">
        <f>data_origin!Z943</f>
        <v>0</v>
      </c>
      <c r="AA817" s="5">
        <f>data_origin!AA943</f>
        <v>0</v>
      </c>
      <c r="AB817" s="5">
        <f t="shared" si="102"/>
        <v>0</v>
      </c>
    </row>
    <row r="818" spans="1:28" x14ac:dyDescent="0.25">
      <c r="D818" t="s">
        <v>93</v>
      </c>
      <c r="E818" s="38">
        <f t="shared" si="105"/>
        <v>0</v>
      </c>
      <c r="F818" s="38">
        <f t="shared" si="105"/>
        <v>0</v>
      </c>
      <c r="G818" s="38">
        <f t="shared" si="105"/>
        <v>5.6064096493169258</v>
      </c>
      <c r="H818" s="38">
        <f t="shared" si="105"/>
        <v>4.5330306679333585</v>
      </c>
      <c r="I818" s="38">
        <f t="shared" si="105"/>
        <v>3.3803440769068942</v>
      </c>
      <c r="J818" s="38">
        <f t="shared" si="105"/>
        <v>0</v>
      </c>
      <c r="K818" s="38">
        <f t="shared" si="105"/>
        <v>0</v>
      </c>
      <c r="L818" s="38">
        <f t="shared" si="105"/>
        <v>0</v>
      </c>
      <c r="M818" s="35">
        <f t="shared" si="101"/>
        <v>13.519784394157178</v>
      </c>
      <c r="S818" t="s">
        <v>93</v>
      </c>
      <c r="T818" s="5">
        <f>data_origin!T944</f>
        <v>0</v>
      </c>
      <c r="U818" s="5">
        <f>data_origin!U944</f>
        <v>0</v>
      </c>
      <c r="V818" s="5">
        <f>data_origin!V944</f>
        <v>5.562792591084877</v>
      </c>
      <c r="W818" s="5">
        <f>data_origin!W944</f>
        <v>4.4771606966809072</v>
      </c>
      <c r="X818" s="5">
        <f>data_origin!X944</f>
        <v>3.3211813567143516</v>
      </c>
      <c r="Y818" s="5">
        <f>data_origin!Y944</f>
        <v>0</v>
      </c>
      <c r="Z818" s="5">
        <f>data_origin!Z944</f>
        <v>0</v>
      </c>
      <c r="AA818" s="5">
        <f>data_origin!AA944</f>
        <v>0</v>
      </c>
      <c r="AB818" s="5">
        <f t="shared" si="102"/>
        <v>13.361134644480135</v>
      </c>
    </row>
    <row r="819" spans="1:28" x14ac:dyDescent="0.25">
      <c r="D819" t="s">
        <v>94</v>
      </c>
      <c r="E819" s="38">
        <f t="shared" si="105"/>
        <v>0</v>
      </c>
      <c r="F819" s="38">
        <f t="shared" si="105"/>
        <v>0</v>
      </c>
      <c r="G819" s="38">
        <f t="shared" si="105"/>
        <v>0</v>
      </c>
      <c r="H819" s="38">
        <f t="shared" si="105"/>
        <v>0</v>
      </c>
      <c r="I819" s="38">
        <f t="shared" si="105"/>
        <v>1.1267813589689648</v>
      </c>
      <c r="J819" s="38">
        <f t="shared" si="105"/>
        <v>0</v>
      </c>
      <c r="K819" s="38">
        <f t="shared" si="105"/>
        <v>0</v>
      </c>
      <c r="L819" s="38">
        <f t="shared" si="105"/>
        <v>0</v>
      </c>
      <c r="M819" s="35">
        <f t="shared" si="101"/>
        <v>1.1267813589689648</v>
      </c>
      <c r="S819" t="s">
        <v>94</v>
      </c>
      <c r="T819" s="5">
        <f>data_origin!T945</f>
        <v>0</v>
      </c>
      <c r="U819" s="5">
        <f>data_origin!U945</f>
        <v>0</v>
      </c>
      <c r="V819" s="5">
        <f>data_origin!V945</f>
        <v>0</v>
      </c>
      <c r="W819" s="5">
        <f>data_origin!W945</f>
        <v>0</v>
      </c>
      <c r="X819" s="5">
        <f>data_origin!X945</f>
        <v>1.1070604522381171</v>
      </c>
      <c r="Y819" s="5">
        <f>data_origin!Y945</f>
        <v>0</v>
      </c>
      <c r="Z819" s="5">
        <f>data_origin!Z945</f>
        <v>0</v>
      </c>
      <c r="AA819" s="5">
        <f>data_origin!AA945</f>
        <v>0</v>
      </c>
      <c r="AB819" s="5">
        <f t="shared" si="102"/>
        <v>1.1070604522381171</v>
      </c>
    </row>
    <row r="820" spans="1:28" x14ac:dyDescent="0.25">
      <c r="D820" t="s">
        <v>95</v>
      </c>
      <c r="E820" s="38">
        <f t="shared" si="105"/>
        <v>0</v>
      </c>
      <c r="F820" s="38">
        <f t="shared" si="105"/>
        <v>0</v>
      </c>
      <c r="G820" s="38">
        <f t="shared" si="105"/>
        <v>0</v>
      </c>
      <c r="H820" s="38">
        <f t="shared" si="105"/>
        <v>1.1332576669833396</v>
      </c>
      <c r="I820" s="38">
        <f t="shared" si="105"/>
        <v>0</v>
      </c>
      <c r="J820" s="38">
        <f t="shared" si="105"/>
        <v>0</v>
      </c>
      <c r="K820" s="38">
        <f t="shared" si="105"/>
        <v>0</v>
      </c>
      <c r="L820" s="38">
        <f t="shared" si="105"/>
        <v>0</v>
      </c>
      <c r="M820" s="35">
        <f t="shared" si="101"/>
        <v>1.1332576669833396</v>
      </c>
      <c r="S820" t="s">
        <v>95</v>
      </c>
      <c r="T820" s="5">
        <f>data_origin!T946</f>
        <v>0</v>
      </c>
      <c r="U820" s="5">
        <f>data_origin!U946</f>
        <v>0</v>
      </c>
      <c r="V820" s="5">
        <f>data_origin!V946</f>
        <v>0</v>
      </c>
      <c r="W820" s="5">
        <f>data_origin!W946</f>
        <v>1.1192901741702268</v>
      </c>
      <c r="X820" s="5">
        <f>data_origin!X946</f>
        <v>0</v>
      </c>
      <c r="Y820" s="5">
        <f>data_origin!Y946</f>
        <v>0</v>
      </c>
      <c r="Z820" s="5">
        <f>data_origin!Z946</f>
        <v>0</v>
      </c>
      <c r="AA820" s="5">
        <f>data_origin!AA946</f>
        <v>0</v>
      </c>
      <c r="AB820" s="5">
        <f t="shared" si="102"/>
        <v>1.1192901741702268</v>
      </c>
    </row>
    <row r="821" spans="1:28" x14ac:dyDescent="0.25">
      <c r="D821" t="s">
        <v>96</v>
      </c>
      <c r="E821" s="38">
        <f t="shared" si="105"/>
        <v>0</v>
      </c>
      <c r="F821" s="38">
        <f t="shared" si="105"/>
        <v>0</v>
      </c>
      <c r="G821" s="38">
        <f t="shared" si="105"/>
        <v>28.032048246584626</v>
      </c>
      <c r="H821" s="38">
        <f t="shared" si="105"/>
        <v>39.664018344416881</v>
      </c>
      <c r="I821" s="38">
        <f t="shared" si="105"/>
        <v>13.521376307627577</v>
      </c>
      <c r="J821" s="38">
        <f t="shared" si="105"/>
        <v>1.1088536784322076</v>
      </c>
      <c r="K821" s="38">
        <f t="shared" si="105"/>
        <v>0</v>
      </c>
      <c r="L821" s="38">
        <f t="shared" si="105"/>
        <v>0</v>
      </c>
      <c r="M821" s="35">
        <f t="shared" si="101"/>
        <v>82.326296577061299</v>
      </c>
      <c r="S821" t="s">
        <v>96</v>
      </c>
      <c r="T821" s="5">
        <f>data_origin!T947</f>
        <v>0</v>
      </c>
      <c r="U821" s="5">
        <f>data_origin!U947</f>
        <v>0</v>
      </c>
      <c r="V821" s="5">
        <f>data_origin!V947</f>
        <v>27.813962955424383</v>
      </c>
      <c r="W821" s="5">
        <f>data_origin!W947</f>
        <v>39.175156095957938</v>
      </c>
      <c r="X821" s="5">
        <f>data_origin!X947</f>
        <v>13.284725426857406</v>
      </c>
      <c r="Y821" s="5">
        <f>data_origin!Y947</f>
        <v>1.0863636363636364</v>
      </c>
      <c r="Z821" s="5">
        <f>data_origin!Z947</f>
        <v>0</v>
      </c>
      <c r="AA821" s="5">
        <f>data_origin!AA947</f>
        <v>0</v>
      </c>
      <c r="AB821" s="5">
        <f t="shared" si="102"/>
        <v>81.360208114603367</v>
      </c>
    </row>
    <row r="822" spans="1:28" x14ac:dyDescent="0.25">
      <c r="D822" t="s">
        <v>97</v>
      </c>
      <c r="E822" s="38">
        <f t="shared" si="105"/>
        <v>0</v>
      </c>
      <c r="F822" s="38">
        <f t="shared" si="105"/>
        <v>0</v>
      </c>
      <c r="G822" s="38">
        <f t="shared" si="105"/>
        <v>1.1212819298633849</v>
      </c>
      <c r="H822" s="38">
        <f t="shared" si="105"/>
        <v>1.1332576669833396</v>
      </c>
      <c r="I822" s="38">
        <f t="shared" si="105"/>
        <v>0</v>
      </c>
      <c r="J822" s="38">
        <f t="shared" si="105"/>
        <v>0</v>
      </c>
      <c r="K822" s="38">
        <f t="shared" si="105"/>
        <v>0</v>
      </c>
      <c r="L822" s="38">
        <f t="shared" si="105"/>
        <v>0</v>
      </c>
      <c r="M822" s="35">
        <f t="shared" si="101"/>
        <v>2.2545395968467243</v>
      </c>
      <c r="S822" t="s">
        <v>97</v>
      </c>
      <c r="T822" s="5">
        <f>data_origin!T948</f>
        <v>0</v>
      </c>
      <c r="U822" s="5">
        <f>data_origin!U948</f>
        <v>0</v>
      </c>
      <c r="V822" s="5">
        <f>data_origin!V948</f>
        <v>1.1125585182169753</v>
      </c>
      <c r="W822" s="5">
        <f>data_origin!W948</f>
        <v>1.1192901741702268</v>
      </c>
      <c r="X822" s="5">
        <f>data_origin!X948</f>
        <v>0</v>
      </c>
      <c r="Y822" s="5">
        <f>data_origin!Y948</f>
        <v>0</v>
      </c>
      <c r="Z822" s="5">
        <f>data_origin!Z948</f>
        <v>0</v>
      </c>
      <c r="AA822" s="5">
        <f>data_origin!AA948</f>
        <v>0</v>
      </c>
      <c r="AB822" s="5">
        <f t="shared" si="102"/>
        <v>2.2318486923872021</v>
      </c>
    </row>
    <row r="823" spans="1:28" x14ac:dyDescent="0.25">
      <c r="D823" t="s">
        <v>98</v>
      </c>
      <c r="E823" s="38">
        <f t="shared" si="105"/>
        <v>0</v>
      </c>
      <c r="F823" s="38">
        <f t="shared" si="105"/>
        <v>0</v>
      </c>
      <c r="G823" s="38">
        <f t="shared" si="105"/>
        <v>2.2425638597267699</v>
      </c>
      <c r="H823" s="38">
        <f t="shared" si="105"/>
        <v>11.332576669833394</v>
      </c>
      <c r="I823" s="38">
        <f t="shared" si="105"/>
        <v>2.2535627179379296</v>
      </c>
      <c r="J823" s="38">
        <f t="shared" si="105"/>
        <v>1.1088536784322076</v>
      </c>
      <c r="K823" s="38">
        <f t="shared" si="105"/>
        <v>0</v>
      </c>
      <c r="L823" s="38">
        <f t="shared" si="105"/>
        <v>0</v>
      </c>
      <c r="M823" s="35">
        <f t="shared" si="101"/>
        <v>16.937556925930302</v>
      </c>
      <c r="S823" t="s">
        <v>98</v>
      </c>
      <c r="T823" s="5">
        <f>data_origin!T949</f>
        <v>0</v>
      </c>
      <c r="U823" s="5">
        <f>data_origin!U949</f>
        <v>0</v>
      </c>
      <c r="V823" s="5">
        <f>data_origin!V949</f>
        <v>2.2251170364339505</v>
      </c>
      <c r="W823" s="5">
        <f>data_origin!W949</f>
        <v>11.192901741702267</v>
      </c>
      <c r="X823" s="5">
        <f>data_origin!X949</f>
        <v>2.2141209044762342</v>
      </c>
      <c r="Y823" s="5">
        <f>data_origin!Y949</f>
        <v>1.0863636363636364</v>
      </c>
      <c r="Z823" s="5">
        <f>data_origin!Z949</f>
        <v>0</v>
      </c>
      <c r="AA823" s="5">
        <f>data_origin!AA949</f>
        <v>0</v>
      </c>
      <c r="AB823" s="5">
        <f t="shared" si="102"/>
        <v>16.718503318976087</v>
      </c>
    </row>
    <row r="824" spans="1:28" x14ac:dyDescent="0.25">
      <c r="D824" t="s">
        <v>119</v>
      </c>
      <c r="E824" s="38">
        <f t="shared" si="105"/>
        <v>0</v>
      </c>
      <c r="F824" s="38">
        <f t="shared" si="105"/>
        <v>0</v>
      </c>
      <c r="G824" s="38">
        <f t="shared" si="105"/>
        <v>10.091537368770467</v>
      </c>
      <c r="H824" s="38">
        <f t="shared" si="105"/>
        <v>5.6662883349166968</v>
      </c>
      <c r="I824" s="38">
        <f t="shared" si="105"/>
        <v>1.1267813589689648</v>
      </c>
      <c r="J824" s="38">
        <f t="shared" si="105"/>
        <v>0</v>
      </c>
      <c r="K824" s="38">
        <f t="shared" si="105"/>
        <v>0</v>
      </c>
      <c r="L824" s="38">
        <f t="shared" si="105"/>
        <v>0</v>
      </c>
      <c r="M824" s="35">
        <f t="shared" si="101"/>
        <v>16.88460706265613</v>
      </c>
      <c r="S824" t="s">
        <v>119</v>
      </c>
      <c r="T824" s="5">
        <f>data_origin!T950</f>
        <v>0</v>
      </c>
      <c r="U824" s="5">
        <f>data_origin!U950</f>
        <v>0</v>
      </c>
      <c r="V824" s="5">
        <f>data_origin!V950</f>
        <v>10.013026663952779</v>
      </c>
      <c r="W824" s="5">
        <f>data_origin!W950</f>
        <v>5.5964508708511334</v>
      </c>
      <c r="X824" s="5">
        <f>data_origin!X950</f>
        <v>1.1070604522381171</v>
      </c>
      <c r="Y824" s="5">
        <f>data_origin!Y950</f>
        <v>0</v>
      </c>
      <c r="Z824" s="5">
        <f>data_origin!Z950</f>
        <v>0</v>
      </c>
      <c r="AA824" s="5">
        <f>data_origin!AA950</f>
        <v>0</v>
      </c>
      <c r="AB824" s="5">
        <f t="shared" si="102"/>
        <v>16.716537987042027</v>
      </c>
    </row>
    <row r="825" spans="1:28" x14ac:dyDescent="0.25">
      <c r="D825" t="s">
        <v>99</v>
      </c>
      <c r="E825" s="38">
        <f t="shared" si="105"/>
        <v>0</v>
      </c>
      <c r="F825" s="38">
        <f t="shared" si="105"/>
        <v>0</v>
      </c>
      <c r="G825" s="38">
        <f t="shared" si="105"/>
        <v>56.064096493169252</v>
      </c>
      <c r="H825" s="38">
        <f t="shared" si="105"/>
        <v>37.397503010450201</v>
      </c>
      <c r="I825" s="38">
        <f t="shared" si="105"/>
        <v>11.267813589689649</v>
      </c>
      <c r="J825" s="38">
        <f t="shared" si="105"/>
        <v>2.2177073568644152</v>
      </c>
      <c r="K825" s="38">
        <f t="shared" si="105"/>
        <v>0</v>
      </c>
      <c r="L825" s="38">
        <f t="shared" si="105"/>
        <v>0</v>
      </c>
      <c r="M825" s="35">
        <f t="shared" si="101"/>
        <v>106.94712045017351</v>
      </c>
      <c r="S825" t="s">
        <v>99</v>
      </c>
      <c r="T825" s="5">
        <f>data_origin!T951</f>
        <v>0</v>
      </c>
      <c r="U825" s="5">
        <f>data_origin!U951</f>
        <v>0</v>
      </c>
      <c r="V825" s="5">
        <f>data_origin!V951</f>
        <v>55.627925910848766</v>
      </c>
      <c r="W825" s="5">
        <f>data_origin!W951</f>
        <v>36.936575747617482</v>
      </c>
      <c r="X825" s="5">
        <f>data_origin!X951</f>
        <v>11.070604522381172</v>
      </c>
      <c r="Y825" s="5">
        <f>data_origin!Y951</f>
        <v>2.1727272727272728</v>
      </c>
      <c r="Z825" s="5">
        <f>data_origin!Z951</f>
        <v>0</v>
      </c>
      <c r="AA825" s="5">
        <f>data_origin!AA951</f>
        <v>0</v>
      </c>
      <c r="AB825" s="5">
        <f t="shared" si="102"/>
        <v>105.80783345357469</v>
      </c>
    </row>
    <row r="826" spans="1:28" x14ac:dyDescent="0.25">
      <c r="D826" t="s">
        <v>100</v>
      </c>
      <c r="E826" s="38">
        <f t="shared" si="105"/>
        <v>0</v>
      </c>
      <c r="F826" s="38">
        <f t="shared" si="105"/>
        <v>0</v>
      </c>
      <c r="G826" s="38">
        <f t="shared" si="105"/>
        <v>1.1212819298633849</v>
      </c>
      <c r="H826" s="38">
        <f t="shared" si="105"/>
        <v>0</v>
      </c>
      <c r="I826" s="38">
        <f t="shared" si="105"/>
        <v>0</v>
      </c>
      <c r="J826" s="38">
        <f t="shared" si="105"/>
        <v>0</v>
      </c>
      <c r="K826" s="38">
        <f t="shared" si="105"/>
        <v>0</v>
      </c>
      <c r="L826" s="38">
        <f t="shared" si="105"/>
        <v>0</v>
      </c>
      <c r="M826" s="35">
        <f t="shared" si="101"/>
        <v>1.1212819298633849</v>
      </c>
      <c r="S826" t="s">
        <v>100</v>
      </c>
      <c r="T826" s="5">
        <f>data_origin!T952</f>
        <v>0</v>
      </c>
      <c r="U826" s="5">
        <f>data_origin!U952</f>
        <v>0</v>
      </c>
      <c r="V826" s="5">
        <f>data_origin!V952</f>
        <v>1.1125585182169753</v>
      </c>
      <c r="W826" s="5">
        <f>data_origin!W952</f>
        <v>0</v>
      </c>
      <c r="X826" s="5">
        <f>data_origin!X952</f>
        <v>0</v>
      </c>
      <c r="Y826" s="5">
        <f>data_origin!Y952</f>
        <v>0</v>
      </c>
      <c r="Z826" s="5">
        <f>data_origin!Z952</f>
        <v>0</v>
      </c>
      <c r="AA826" s="5">
        <f>data_origin!AA952</f>
        <v>0</v>
      </c>
      <c r="AB826" s="5">
        <f t="shared" si="102"/>
        <v>1.1125585182169753</v>
      </c>
    </row>
    <row r="827" spans="1:28" x14ac:dyDescent="0.25">
      <c r="D827" t="s">
        <v>101</v>
      </c>
      <c r="E827" s="38">
        <f t="shared" si="105"/>
        <v>0</v>
      </c>
      <c r="F827" s="38">
        <f t="shared" si="105"/>
        <v>0</v>
      </c>
      <c r="G827" s="38">
        <f t="shared" si="105"/>
        <v>74.004607370983422</v>
      </c>
      <c r="H827" s="38">
        <f t="shared" si="105"/>
        <v>106.52622069643391</v>
      </c>
      <c r="I827" s="38">
        <f t="shared" si="105"/>
        <v>30.423096692162048</v>
      </c>
      <c r="J827" s="38">
        <f t="shared" si="105"/>
        <v>2.2177073568644152</v>
      </c>
      <c r="K827" s="38">
        <f t="shared" si="105"/>
        <v>0</v>
      </c>
      <c r="L827" s="38">
        <f t="shared" ref="L827:L890" si="106">AA827+AP431+IFERROR((AA827/SUM(AA$3:AA$992)*AP$630),0)+IFERROR((AA827/SUM(AA$135:AA$332,AA$465:AA$662,AA$795:AA$992)*AP$732),0)</f>
        <v>0</v>
      </c>
      <c r="M827" s="35">
        <f t="shared" si="101"/>
        <v>213.17163211644379</v>
      </c>
      <c r="S827" t="s">
        <v>101</v>
      </c>
      <c r="T827" s="5">
        <f>data_origin!T953</f>
        <v>0</v>
      </c>
      <c r="U827" s="5">
        <f>data_origin!U953</f>
        <v>0</v>
      </c>
      <c r="V827" s="5">
        <f>data_origin!V953</f>
        <v>73.428862202320374</v>
      </c>
      <c r="W827" s="5">
        <f>data_origin!W953</f>
        <v>105.21327637200132</v>
      </c>
      <c r="X827" s="5">
        <f>data_origin!X953</f>
        <v>29.890632210429164</v>
      </c>
      <c r="Y827" s="5">
        <f>data_origin!Y953</f>
        <v>2.1727272727272728</v>
      </c>
      <c r="Z827" s="5">
        <f>data_origin!Z953</f>
        <v>0</v>
      </c>
      <c r="AA827" s="5">
        <f>data_origin!AA953</f>
        <v>0</v>
      </c>
      <c r="AB827" s="5">
        <f t="shared" si="102"/>
        <v>210.70549805747814</v>
      </c>
    </row>
    <row r="828" spans="1:28" x14ac:dyDescent="0.25">
      <c r="A828" s="23" t="s">
        <v>104</v>
      </c>
      <c r="B828" s="23" t="s">
        <v>117</v>
      </c>
      <c r="C828" s="23" t="s">
        <v>110</v>
      </c>
      <c r="D828" t="s">
        <v>70</v>
      </c>
      <c r="E828" s="38">
        <f t="shared" ref="E828:K864" si="107">T828+AI432+IFERROR((T828/SUM(T$3:T$992)*AI$630),0)+IFERROR((T828/SUM(T$135:T$332,T$465:T$662,T$795:T$992)*AI$732),0)</f>
        <v>0</v>
      </c>
      <c r="F828" s="38">
        <f t="shared" si="107"/>
        <v>0</v>
      </c>
      <c r="G828" s="38">
        <f t="shared" si="107"/>
        <v>0</v>
      </c>
      <c r="H828" s="38">
        <f t="shared" si="107"/>
        <v>0</v>
      </c>
      <c r="I828" s="38">
        <f t="shared" si="107"/>
        <v>0</v>
      </c>
      <c r="J828" s="38">
        <f t="shared" si="107"/>
        <v>0</v>
      </c>
      <c r="K828" s="38">
        <f t="shared" si="107"/>
        <v>0</v>
      </c>
      <c r="L828" s="38">
        <f t="shared" si="106"/>
        <v>0</v>
      </c>
      <c r="M828" s="35">
        <f t="shared" si="101"/>
        <v>0</v>
      </c>
      <c r="P828" t="s">
        <v>104</v>
      </c>
      <c r="Q828" t="s">
        <v>117</v>
      </c>
      <c r="R828" t="s">
        <v>110</v>
      </c>
      <c r="S828" t="s">
        <v>70</v>
      </c>
      <c r="T828" s="5">
        <f>data_origin!T955</f>
        <v>0</v>
      </c>
      <c r="U828" s="5">
        <f>data_origin!U955</f>
        <v>0</v>
      </c>
      <c r="V828" s="5">
        <f>data_origin!V955</f>
        <v>0</v>
      </c>
      <c r="W828" s="5">
        <f>data_origin!W955</f>
        <v>0</v>
      </c>
      <c r="X828" s="5">
        <f>data_origin!X955</f>
        <v>0</v>
      </c>
      <c r="Y828" s="5">
        <f>data_origin!Y955</f>
        <v>0</v>
      </c>
      <c r="Z828" s="5">
        <f>data_origin!Z955</f>
        <v>0</v>
      </c>
      <c r="AA828" s="5">
        <f>data_origin!AA955</f>
        <v>0</v>
      </c>
      <c r="AB828" s="5">
        <f t="shared" si="102"/>
        <v>0</v>
      </c>
    </row>
    <row r="829" spans="1:28" x14ac:dyDescent="0.25">
      <c r="D829" t="s">
        <v>71</v>
      </c>
      <c r="E829" s="38">
        <f t="shared" si="107"/>
        <v>0</v>
      </c>
      <c r="F829" s="38">
        <f t="shared" si="107"/>
        <v>0</v>
      </c>
      <c r="G829" s="38">
        <f t="shared" si="107"/>
        <v>0</v>
      </c>
      <c r="H829" s="38">
        <f t="shared" si="107"/>
        <v>0</v>
      </c>
      <c r="I829" s="38">
        <f t="shared" si="107"/>
        <v>0</v>
      </c>
      <c r="J829" s="38">
        <f t="shared" si="107"/>
        <v>0</v>
      </c>
      <c r="K829" s="38">
        <f t="shared" si="107"/>
        <v>0</v>
      </c>
      <c r="L829" s="38">
        <f t="shared" si="106"/>
        <v>0</v>
      </c>
      <c r="M829" s="35">
        <f t="shared" si="101"/>
        <v>0</v>
      </c>
      <c r="S829" t="s">
        <v>71</v>
      </c>
      <c r="T829" s="5">
        <f>data_origin!T956</f>
        <v>0</v>
      </c>
      <c r="U829" s="5">
        <f>data_origin!U956</f>
        <v>0</v>
      </c>
      <c r="V829" s="5">
        <f>data_origin!V956</f>
        <v>0</v>
      </c>
      <c r="W829" s="5">
        <f>data_origin!W956</f>
        <v>0</v>
      </c>
      <c r="X829" s="5">
        <f>data_origin!X956</f>
        <v>0</v>
      </c>
      <c r="Y829" s="5">
        <f>data_origin!Y956</f>
        <v>0</v>
      </c>
      <c r="Z829" s="5">
        <f>data_origin!Z956</f>
        <v>0</v>
      </c>
      <c r="AA829" s="5">
        <f>data_origin!AA956</f>
        <v>0</v>
      </c>
      <c r="AB829" s="5">
        <f t="shared" si="102"/>
        <v>0</v>
      </c>
    </row>
    <row r="830" spans="1:28" x14ac:dyDescent="0.25">
      <c r="D830" t="s">
        <v>72</v>
      </c>
      <c r="E830" s="38">
        <f t="shared" si="107"/>
        <v>0</v>
      </c>
      <c r="F830" s="38">
        <f t="shared" si="107"/>
        <v>0</v>
      </c>
      <c r="G830" s="38">
        <f t="shared" si="107"/>
        <v>0</v>
      </c>
      <c r="H830" s="38">
        <f t="shared" si="107"/>
        <v>0</v>
      </c>
      <c r="I830" s="38">
        <f t="shared" si="107"/>
        <v>0</v>
      </c>
      <c r="J830" s="38">
        <f t="shared" si="107"/>
        <v>0</v>
      </c>
      <c r="K830" s="38">
        <f t="shared" si="107"/>
        <v>0</v>
      </c>
      <c r="L830" s="38">
        <f t="shared" si="106"/>
        <v>0</v>
      </c>
      <c r="M830" s="35">
        <f t="shared" si="101"/>
        <v>0</v>
      </c>
      <c r="S830" t="s">
        <v>72</v>
      </c>
      <c r="T830" s="5">
        <f>data_origin!T957</f>
        <v>0</v>
      </c>
      <c r="U830" s="5">
        <f>data_origin!U957</f>
        <v>0</v>
      </c>
      <c r="V830" s="5">
        <f>data_origin!V957</f>
        <v>0</v>
      </c>
      <c r="W830" s="5">
        <f>data_origin!W957</f>
        <v>0</v>
      </c>
      <c r="X830" s="5">
        <f>data_origin!X957</f>
        <v>0</v>
      </c>
      <c r="Y830" s="5">
        <f>data_origin!Y957</f>
        <v>0</v>
      </c>
      <c r="Z830" s="5">
        <f>data_origin!Z957</f>
        <v>0</v>
      </c>
      <c r="AA830" s="5">
        <f>data_origin!AA957</f>
        <v>0</v>
      </c>
      <c r="AB830" s="5">
        <f t="shared" si="102"/>
        <v>0</v>
      </c>
    </row>
    <row r="831" spans="1:28" x14ac:dyDescent="0.25">
      <c r="D831" t="s">
        <v>73</v>
      </c>
      <c r="E831" s="38">
        <f t="shared" si="107"/>
        <v>0</v>
      </c>
      <c r="F831" s="38">
        <f t="shared" si="107"/>
        <v>0</v>
      </c>
      <c r="G831" s="38">
        <f t="shared" si="107"/>
        <v>0</v>
      </c>
      <c r="H831" s="38">
        <f t="shared" si="107"/>
        <v>0</v>
      </c>
      <c r="I831" s="38">
        <f t="shared" si="107"/>
        <v>0</v>
      </c>
      <c r="J831" s="38">
        <f t="shared" si="107"/>
        <v>0</v>
      </c>
      <c r="K831" s="38">
        <f t="shared" si="107"/>
        <v>0</v>
      </c>
      <c r="L831" s="38">
        <f t="shared" si="106"/>
        <v>0</v>
      </c>
      <c r="M831" s="35">
        <f t="shared" si="101"/>
        <v>0</v>
      </c>
      <c r="S831" t="s">
        <v>73</v>
      </c>
      <c r="T831" s="5">
        <f>data_origin!T958</f>
        <v>0</v>
      </c>
      <c r="U831" s="5">
        <f>data_origin!U958</f>
        <v>0</v>
      </c>
      <c r="V831" s="5">
        <f>data_origin!V958</f>
        <v>0</v>
      </c>
      <c r="W831" s="5">
        <f>data_origin!W958</f>
        <v>0</v>
      </c>
      <c r="X831" s="5">
        <f>data_origin!X958</f>
        <v>0</v>
      </c>
      <c r="Y831" s="5">
        <f>data_origin!Y958</f>
        <v>0</v>
      </c>
      <c r="Z831" s="5">
        <f>data_origin!Z958</f>
        <v>0</v>
      </c>
      <c r="AA831" s="5">
        <f>data_origin!AA958</f>
        <v>0</v>
      </c>
      <c r="AB831" s="5">
        <f t="shared" si="102"/>
        <v>0</v>
      </c>
    </row>
    <row r="832" spans="1:28" x14ac:dyDescent="0.25">
      <c r="D832" t="s">
        <v>74</v>
      </c>
      <c r="E832" s="38">
        <f t="shared" si="107"/>
        <v>0</v>
      </c>
      <c r="F832" s="38">
        <f t="shared" si="107"/>
        <v>0</v>
      </c>
      <c r="G832" s="38">
        <f t="shared" si="107"/>
        <v>0</v>
      </c>
      <c r="H832" s="38">
        <f t="shared" si="107"/>
        <v>0</v>
      </c>
      <c r="I832" s="38">
        <f t="shared" si="107"/>
        <v>0</v>
      </c>
      <c r="J832" s="38">
        <f t="shared" si="107"/>
        <v>0</v>
      </c>
      <c r="K832" s="38">
        <f t="shared" si="107"/>
        <v>0</v>
      </c>
      <c r="L832" s="38">
        <f t="shared" si="106"/>
        <v>0</v>
      </c>
      <c r="M832" s="35">
        <f t="shared" si="101"/>
        <v>0</v>
      </c>
      <c r="S832" t="s">
        <v>74</v>
      </c>
      <c r="T832" s="5">
        <f>data_origin!T959</f>
        <v>0</v>
      </c>
      <c r="U832" s="5">
        <f>data_origin!U959</f>
        <v>0</v>
      </c>
      <c r="V832" s="5">
        <f>data_origin!V959</f>
        <v>0</v>
      </c>
      <c r="W832" s="5">
        <f>data_origin!W959</f>
        <v>0</v>
      </c>
      <c r="X832" s="5">
        <f>data_origin!X959</f>
        <v>0</v>
      </c>
      <c r="Y832" s="5">
        <f>data_origin!Y959</f>
        <v>0</v>
      </c>
      <c r="Z832" s="5">
        <f>data_origin!Z959</f>
        <v>0</v>
      </c>
      <c r="AA832" s="5">
        <f>data_origin!AA959</f>
        <v>0</v>
      </c>
      <c r="AB832" s="5">
        <f t="shared" si="102"/>
        <v>0</v>
      </c>
    </row>
    <row r="833" spans="4:28" x14ac:dyDescent="0.25">
      <c r="D833" t="s">
        <v>75</v>
      </c>
      <c r="E833" s="38">
        <f t="shared" si="107"/>
        <v>0</v>
      </c>
      <c r="F833" s="38">
        <f t="shared" si="107"/>
        <v>0</v>
      </c>
      <c r="G833" s="38">
        <f t="shared" si="107"/>
        <v>0</v>
      </c>
      <c r="H833" s="38">
        <f t="shared" si="107"/>
        <v>0</v>
      </c>
      <c r="I833" s="38">
        <f t="shared" si="107"/>
        <v>0</v>
      </c>
      <c r="J833" s="38">
        <f t="shared" si="107"/>
        <v>0</v>
      </c>
      <c r="K833" s="38">
        <f t="shared" si="107"/>
        <v>0</v>
      </c>
      <c r="L833" s="38">
        <f t="shared" si="106"/>
        <v>0</v>
      </c>
      <c r="M833" s="35">
        <f t="shared" si="101"/>
        <v>0</v>
      </c>
      <c r="S833" t="s">
        <v>75</v>
      </c>
      <c r="T833" s="5">
        <f>data_origin!T960</f>
        <v>0</v>
      </c>
      <c r="U833" s="5">
        <f>data_origin!U960</f>
        <v>0</v>
      </c>
      <c r="V833" s="5">
        <f>data_origin!V960</f>
        <v>0</v>
      </c>
      <c r="W833" s="5">
        <f>data_origin!W960</f>
        <v>0</v>
      </c>
      <c r="X833" s="5">
        <f>data_origin!X960</f>
        <v>0</v>
      </c>
      <c r="Y833" s="5">
        <f>data_origin!Y960</f>
        <v>0</v>
      </c>
      <c r="Z833" s="5">
        <f>data_origin!Z960</f>
        <v>0</v>
      </c>
      <c r="AA833" s="5">
        <f>data_origin!AA960</f>
        <v>0</v>
      </c>
      <c r="AB833" s="5">
        <f t="shared" si="102"/>
        <v>0</v>
      </c>
    </row>
    <row r="834" spans="4:28" x14ac:dyDescent="0.25">
      <c r="D834" t="s">
        <v>76</v>
      </c>
      <c r="E834" s="38">
        <f t="shared" si="107"/>
        <v>0</v>
      </c>
      <c r="F834" s="38">
        <f t="shared" si="107"/>
        <v>0</v>
      </c>
      <c r="G834" s="38">
        <f t="shared" si="107"/>
        <v>1.6956521739130435</v>
      </c>
      <c r="H834" s="38">
        <f t="shared" si="107"/>
        <v>0</v>
      </c>
      <c r="I834" s="38">
        <f t="shared" si="107"/>
        <v>0</v>
      </c>
      <c r="J834" s="38">
        <f t="shared" si="107"/>
        <v>0</v>
      </c>
      <c r="K834" s="38">
        <f t="shared" si="107"/>
        <v>0</v>
      </c>
      <c r="L834" s="38">
        <f t="shared" si="106"/>
        <v>0</v>
      </c>
      <c r="M834" s="35">
        <f t="shared" si="101"/>
        <v>1.6956521739130435</v>
      </c>
      <c r="S834" t="s">
        <v>76</v>
      </c>
      <c r="T834" s="5">
        <f>data_origin!T961</f>
        <v>0</v>
      </c>
      <c r="U834" s="5">
        <f>data_origin!U961</f>
        <v>0</v>
      </c>
      <c r="V834" s="5">
        <f>data_origin!V961</f>
        <v>0</v>
      </c>
      <c r="W834" s="5">
        <f>data_origin!W961</f>
        <v>0</v>
      </c>
      <c r="X834" s="5">
        <f>data_origin!X961</f>
        <v>0</v>
      </c>
      <c r="Y834" s="5">
        <f>data_origin!Y961</f>
        <v>0</v>
      </c>
      <c r="Z834" s="5">
        <f>data_origin!Z961</f>
        <v>0</v>
      </c>
      <c r="AA834" s="5">
        <f>data_origin!AA961</f>
        <v>0</v>
      </c>
      <c r="AB834" s="5">
        <f t="shared" si="102"/>
        <v>0</v>
      </c>
    </row>
    <row r="835" spans="4:28" x14ac:dyDescent="0.25">
      <c r="D835" t="s">
        <v>77</v>
      </c>
      <c r="E835" s="38">
        <f t="shared" si="107"/>
        <v>0</v>
      </c>
      <c r="F835" s="38">
        <f t="shared" si="107"/>
        <v>0</v>
      </c>
      <c r="G835" s="38">
        <f t="shared" si="107"/>
        <v>0</v>
      </c>
      <c r="H835" s="38">
        <f t="shared" si="107"/>
        <v>0</v>
      </c>
      <c r="I835" s="38">
        <f t="shared" si="107"/>
        <v>0</v>
      </c>
      <c r="J835" s="38">
        <f t="shared" si="107"/>
        <v>0</v>
      </c>
      <c r="K835" s="38">
        <f t="shared" si="107"/>
        <v>0</v>
      </c>
      <c r="L835" s="38">
        <f t="shared" si="106"/>
        <v>0</v>
      </c>
      <c r="M835" s="35">
        <f t="shared" ref="M835:M898" si="108">SUM(E835:L835)</f>
        <v>0</v>
      </c>
      <c r="S835" t="s">
        <v>77</v>
      </c>
      <c r="T835" s="5">
        <f>data_origin!T962</f>
        <v>0</v>
      </c>
      <c r="U835" s="5">
        <f>data_origin!U962</f>
        <v>0</v>
      </c>
      <c r="V835" s="5">
        <f>data_origin!V962</f>
        <v>0</v>
      </c>
      <c r="W835" s="5">
        <f>data_origin!W962</f>
        <v>0</v>
      </c>
      <c r="X835" s="5">
        <f>data_origin!X962</f>
        <v>0</v>
      </c>
      <c r="Y835" s="5">
        <f>data_origin!Y962</f>
        <v>0</v>
      </c>
      <c r="Z835" s="5">
        <f>data_origin!Z962</f>
        <v>0</v>
      </c>
      <c r="AA835" s="5">
        <f>data_origin!AA962</f>
        <v>0</v>
      </c>
      <c r="AB835" s="5">
        <f t="shared" si="102"/>
        <v>0</v>
      </c>
    </row>
    <row r="836" spans="4:28" x14ac:dyDescent="0.25">
      <c r="D836" t="s">
        <v>78</v>
      </c>
      <c r="E836" s="38">
        <f t="shared" si="107"/>
        <v>0</v>
      </c>
      <c r="F836" s="38">
        <f t="shared" si="107"/>
        <v>0</v>
      </c>
      <c r="G836" s="38">
        <f t="shared" si="107"/>
        <v>0</v>
      </c>
      <c r="H836" s="38">
        <f t="shared" si="107"/>
        <v>0</v>
      </c>
      <c r="I836" s="38">
        <f t="shared" si="107"/>
        <v>0</v>
      </c>
      <c r="J836" s="38">
        <f t="shared" si="107"/>
        <v>0</v>
      </c>
      <c r="K836" s="38">
        <f t="shared" si="107"/>
        <v>0</v>
      </c>
      <c r="L836" s="38">
        <f t="shared" si="106"/>
        <v>0</v>
      </c>
      <c r="M836" s="35">
        <f t="shared" si="108"/>
        <v>0</v>
      </c>
      <c r="S836" t="s">
        <v>78</v>
      </c>
      <c r="T836" s="5">
        <f>data_origin!T963</f>
        <v>0</v>
      </c>
      <c r="U836" s="5">
        <f>data_origin!U963</f>
        <v>0</v>
      </c>
      <c r="V836" s="5">
        <f>data_origin!V963</f>
        <v>0</v>
      </c>
      <c r="W836" s="5">
        <f>data_origin!W963</f>
        <v>0</v>
      </c>
      <c r="X836" s="5">
        <f>data_origin!X963</f>
        <v>0</v>
      </c>
      <c r="Y836" s="5">
        <f>data_origin!Y963</f>
        <v>0</v>
      </c>
      <c r="Z836" s="5">
        <f>data_origin!Z963</f>
        <v>0</v>
      </c>
      <c r="AA836" s="5">
        <f>data_origin!AA963</f>
        <v>0</v>
      </c>
      <c r="AB836" s="5">
        <f t="shared" si="102"/>
        <v>0</v>
      </c>
    </row>
    <row r="837" spans="4:28" x14ac:dyDescent="0.25">
      <c r="D837" t="s">
        <v>79</v>
      </c>
      <c r="E837" s="38">
        <f t="shared" si="107"/>
        <v>0</v>
      </c>
      <c r="F837" s="38">
        <f t="shared" si="107"/>
        <v>0</v>
      </c>
      <c r="G837" s="38">
        <f t="shared" si="107"/>
        <v>0</v>
      </c>
      <c r="H837" s="38">
        <f t="shared" si="107"/>
        <v>0</v>
      </c>
      <c r="I837" s="38">
        <f t="shared" si="107"/>
        <v>0</v>
      </c>
      <c r="J837" s="38">
        <f t="shared" si="107"/>
        <v>0</v>
      </c>
      <c r="K837" s="38">
        <f t="shared" si="107"/>
        <v>0</v>
      </c>
      <c r="L837" s="38">
        <f t="shared" si="106"/>
        <v>0</v>
      </c>
      <c r="M837" s="35">
        <f t="shared" si="108"/>
        <v>0</v>
      </c>
      <c r="S837" t="s">
        <v>79</v>
      </c>
      <c r="T837" s="5">
        <f>data_origin!T964</f>
        <v>0</v>
      </c>
      <c r="U837" s="5">
        <f>data_origin!U964</f>
        <v>0</v>
      </c>
      <c r="V837" s="5">
        <f>data_origin!V964</f>
        <v>0</v>
      </c>
      <c r="W837" s="5">
        <f>data_origin!W964</f>
        <v>0</v>
      </c>
      <c r="X837" s="5">
        <f>data_origin!X964</f>
        <v>0</v>
      </c>
      <c r="Y837" s="5">
        <f>data_origin!Y964</f>
        <v>0</v>
      </c>
      <c r="Z837" s="5">
        <f>data_origin!Z964</f>
        <v>0</v>
      </c>
      <c r="AA837" s="5">
        <f>data_origin!AA964</f>
        <v>0</v>
      </c>
      <c r="AB837" s="5">
        <f t="shared" ref="AB837:AB900" si="109">SUM(T837:AA837)</f>
        <v>0</v>
      </c>
    </row>
    <row r="838" spans="4:28" x14ac:dyDescent="0.25">
      <c r="D838" t="s">
        <v>80</v>
      </c>
      <c r="E838" s="38">
        <f t="shared" si="107"/>
        <v>0</v>
      </c>
      <c r="F838" s="38">
        <f t="shared" si="107"/>
        <v>0</v>
      </c>
      <c r="G838" s="38">
        <f t="shared" si="107"/>
        <v>0</v>
      </c>
      <c r="H838" s="38">
        <f t="shared" si="107"/>
        <v>0</v>
      </c>
      <c r="I838" s="38">
        <f t="shared" si="107"/>
        <v>0</v>
      </c>
      <c r="J838" s="38">
        <f t="shared" si="107"/>
        <v>0</v>
      </c>
      <c r="K838" s="38">
        <f t="shared" si="107"/>
        <v>0</v>
      </c>
      <c r="L838" s="38">
        <f t="shared" si="106"/>
        <v>0</v>
      </c>
      <c r="M838" s="35">
        <f t="shared" si="108"/>
        <v>0</v>
      </c>
      <c r="S838" t="s">
        <v>80</v>
      </c>
      <c r="T838" s="5">
        <f>data_origin!T965</f>
        <v>0</v>
      </c>
      <c r="U838" s="5">
        <f>data_origin!U965</f>
        <v>0</v>
      </c>
      <c r="V838" s="5">
        <f>data_origin!V965</f>
        <v>0</v>
      </c>
      <c r="W838" s="5">
        <f>data_origin!W965</f>
        <v>0</v>
      </c>
      <c r="X838" s="5">
        <f>data_origin!X965</f>
        <v>0</v>
      </c>
      <c r="Y838" s="5">
        <f>data_origin!Y965</f>
        <v>0</v>
      </c>
      <c r="Z838" s="5">
        <f>data_origin!Z965</f>
        <v>0</v>
      </c>
      <c r="AA838" s="5">
        <f>data_origin!AA965</f>
        <v>0</v>
      </c>
      <c r="AB838" s="5">
        <f t="shared" si="109"/>
        <v>0</v>
      </c>
    </row>
    <row r="839" spans="4:28" x14ac:dyDescent="0.25">
      <c r="D839" t="s">
        <v>81</v>
      </c>
      <c r="E839" s="38">
        <f t="shared" si="107"/>
        <v>0</v>
      </c>
      <c r="F839" s="38">
        <f t="shared" si="107"/>
        <v>0</v>
      </c>
      <c r="G839" s="38">
        <f t="shared" si="107"/>
        <v>0</v>
      </c>
      <c r="H839" s="38">
        <f t="shared" si="107"/>
        <v>1.8275862068965516</v>
      </c>
      <c r="I839" s="38">
        <f t="shared" si="107"/>
        <v>0</v>
      </c>
      <c r="J839" s="38">
        <f t="shared" si="107"/>
        <v>0</v>
      </c>
      <c r="K839" s="38">
        <f t="shared" si="107"/>
        <v>0</v>
      </c>
      <c r="L839" s="38">
        <f t="shared" si="106"/>
        <v>0</v>
      </c>
      <c r="M839" s="35">
        <f t="shared" si="108"/>
        <v>1.8275862068965516</v>
      </c>
      <c r="S839" t="s">
        <v>81</v>
      </c>
      <c r="T839" s="5">
        <f>data_origin!T966</f>
        <v>0</v>
      </c>
      <c r="U839" s="5">
        <f>data_origin!U966</f>
        <v>0</v>
      </c>
      <c r="V839" s="5">
        <f>data_origin!V966</f>
        <v>0</v>
      </c>
      <c r="W839" s="5">
        <f>data_origin!W966</f>
        <v>0</v>
      </c>
      <c r="X839" s="5">
        <f>data_origin!X966</f>
        <v>0</v>
      </c>
      <c r="Y839" s="5">
        <f>data_origin!Y966</f>
        <v>0</v>
      </c>
      <c r="Z839" s="5">
        <f>data_origin!Z966</f>
        <v>0</v>
      </c>
      <c r="AA839" s="5">
        <f>data_origin!AA966</f>
        <v>0</v>
      </c>
      <c r="AB839" s="5">
        <f t="shared" si="109"/>
        <v>0</v>
      </c>
    </row>
    <row r="840" spans="4:28" x14ac:dyDescent="0.25">
      <c r="D840" t="s">
        <v>82</v>
      </c>
      <c r="E840" s="38">
        <f t="shared" si="107"/>
        <v>0</v>
      </c>
      <c r="F840" s="38">
        <f t="shared" si="107"/>
        <v>0</v>
      </c>
      <c r="G840" s="38">
        <f t="shared" si="107"/>
        <v>0</v>
      </c>
      <c r="H840" s="38">
        <f t="shared" si="107"/>
        <v>0</v>
      </c>
      <c r="I840" s="38">
        <f t="shared" si="107"/>
        <v>0</v>
      </c>
      <c r="J840" s="38">
        <f t="shared" si="107"/>
        <v>0</v>
      </c>
      <c r="K840" s="38">
        <f t="shared" si="107"/>
        <v>0</v>
      </c>
      <c r="L840" s="38">
        <f t="shared" si="106"/>
        <v>0</v>
      </c>
      <c r="M840" s="35">
        <f t="shared" si="108"/>
        <v>0</v>
      </c>
      <c r="S840" t="s">
        <v>82</v>
      </c>
      <c r="T840" s="5">
        <f>data_origin!T967</f>
        <v>0</v>
      </c>
      <c r="U840" s="5">
        <f>data_origin!U967</f>
        <v>0</v>
      </c>
      <c r="V840" s="5">
        <f>data_origin!V967</f>
        <v>0</v>
      </c>
      <c r="W840" s="5">
        <f>data_origin!W967</f>
        <v>0</v>
      </c>
      <c r="X840" s="5">
        <f>data_origin!X967</f>
        <v>0</v>
      </c>
      <c r="Y840" s="5">
        <f>data_origin!Y967</f>
        <v>0</v>
      </c>
      <c r="Z840" s="5">
        <f>data_origin!Z967</f>
        <v>0</v>
      </c>
      <c r="AA840" s="5">
        <f>data_origin!AA967</f>
        <v>0</v>
      </c>
      <c r="AB840" s="5">
        <f t="shared" si="109"/>
        <v>0</v>
      </c>
    </row>
    <row r="841" spans="4:28" x14ac:dyDescent="0.25">
      <c r="D841" t="s">
        <v>83</v>
      </c>
      <c r="E841" s="38">
        <f t="shared" si="107"/>
        <v>0</v>
      </c>
      <c r="F841" s="38">
        <f t="shared" si="107"/>
        <v>0</v>
      </c>
      <c r="G841" s="38">
        <f t="shared" si="107"/>
        <v>0</v>
      </c>
      <c r="H841" s="38">
        <f t="shared" si="107"/>
        <v>0</v>
      </c>
      <c r="I841" s="38">
        <f t="shared" si="107"/>
        <v>0</v>
      </c>
      <c r="J841" s="38">
        <f t="shared" si="107"/>
        <v>0</v>
      </c>
      <c r="K841" s="38">
        <f t="shared" si="107"/>
        <v>0</v>
      </c>
      <c r="L841" s="38">
        <f t="shared" si="106"/>
        <v>0</v>
      </c>
      <c r="M841" s="35">
        <f t="shared" si="108"/>
        <v>0</v>
      </c>
      <c r="S841" t="s">
        <v>83</v>
      </c>
      <c r="T841" s="5">
        <f>data_origin!T968</f>
        <v>0</v>
      </c>
      <c r="U841" s="5">
        <f>data_origin!U968</f>
        <v>0</v>
      </c>
      <c r="V841" s="5">
        <f>data_origin!V968</f>
        <v>0</v>
      </c>
      <c r="W841" s="5">
        <f>data_origin!W968</f>
        <v>0</v>
      </c>
      <c r="X841" s="5">
        <f>data_origin!X968</f>
        <v>0</v>
      </c>
      <c r="Y841" s="5">
        <f>data_origin!Y968</f>
        <v>0</v>
      </c>
      <c r="Z841" s="5">
        <f>data_origin!Z968</f>
        <v>0</v>
      </c>
      <c r="AA841" s="5">
        <f>data_origin!AA968</f>
        <v>0</v>
      </c>
      <c r="AB841" s="5">
        <f t="shared" si="109"/>
        <v>0</v>
      </c>
    </row>
    <row r="842" spans="4:28" x14ac:dyDescent="0.25">
      <c r="D842" t="s">
        <v>84</v>
      </c>
      <c r="E842" s="38">
        <f t="shared" si="107"/>
        <v>0</v>
      </c>
      <c r="F842" s="38">
        <f t="shared" si="107"/>
        <v>0</v>
      </c>
      <c r="G842" s="38">
        <f t="shared" si="107"/>
        <v>0</v>
      </c>
      <c r="H842" s="38">
        <f t="shared" si="107"/>
        <v>0</v>
      </c>
      <c r="I842" s="38">
        <f t="shared" si="107"/>
        <v>0</v>
      </c>
      <c r="J842" s="38">
        <f t="shared" si="107"/>
        <v>0</v>
      </c>
      <c r="K842" s="38">
        <f t="shared" si="107"/>
        <v>0</v>
      </c>
      <c r="L842" s="38">
        <f t="shared" si="106"/>
        <v>0</v>
      </c>
      <c r="M842" s="35">
        <f t="shared" si="108"/>
        <v>0</v>
      </c>
      <c r="S842" t="s">
        <v>84</v>
      </c>
      <c r="T842" s="5">
        <f>data_origin!T969</f>
        <v>0</v>
      </c>
      <c r="U842" s="5">
        <f>data_origin!U969</f>
        <v>0</v>
      </c>
      <c r="V842" s="5">
        <f>data_origin!V969</f>
        <v>0</v>
      </c>
      <c r="W842" s="5">
        <f>data_origin!W969</f>
        <v>0</v>
      </c>
      <c r="X842" s="5">
        <f>data_origin!X969</f>
        <v>0</v>
      </c>
      <c r="Y842" s="5">
        <f>data_origin!Y969</f>
        <v>0</v>
      </c>
      <c r="Z842" s="5">
        <f>data_origin!Z969</f>
        <v>0</v>
      </c>
      <c r="AA842" s="5">
        <f>data_origin!AA969</f>
        <v>0</v>
      </c>
      <c r="AB842" s="5">
        <f t="shared" si="109"/>
        <v>0</v>
      </c>
    </row>
    <row r="843" spans="4:28" x14ac:dyDescent="0.25">
      <c r="D843" t="s">
        <v>85</v>
      </c>
      <c r="E843" s="38">
        <f t="shared" si="107"/>
        <v>0</v>
      </c>
      <c r="F843" s="38">
        <f t="shared" si="107"/>
        <v>0</v>
      </c>
      <c r="G843" s="38">
        <f t="shared" si="107"/>
        <v>0</v>
      </c>
      <c r="H843" s="38">
        <f t="shared" si="107"/>
        <v>0</v>
      </c>
      <c r="I843" s="38">
        <f t="shared" si="107"/>
        <v>2.3466261637431911</v>
      </c>
      <c r="J843" s="38">
        <f t="shared" si="107"/>
        <v>0</v>
      </c>
      <c r="K843" s="38">
        <f t="shared" si="107"/>
        <v>0</v>
      </c>
      <c r="L843" s="38">
        <f t="shared" si="106"/>
        <v>0</v>
      </c>
      <c r="M843" s="35">
        <f t="shared" si="108"/>
        <v>2.3466261637431911</v>
      </c>
      <c r="S843" t="s">
        <v>85</v>
      </c>
      <c r="T843" s="5">
        <f>data_origin!T970</f>
        <v>0</v>
      </c>
      <c r="U843" s="5">
        <f>data_origin!U970</f>
        <v>0</v>
      </c>
      <c r="V843" s="5">
        <f>data_origin!V970</f>
        <v>0</v>
      </c>
      <c r="W843" s="5">
        <f>data_origin!W970</f>
        <v>0</v>
      </c>
      <c r="X843" s="5">
        <f>data_origin!X970</f>
        <v>2.3055555555555554</v>
      </c>
      <c r="Y843" s="5">
        <f>data_origin!Y970</f>
        <v>0</v>
      </c>
      <c r="Z843" s="5">
        <f>data_origin!Z970</f>
        <v>0</v>
      </c>
      <c r="AA843" s="5">
        <f>data_origin!AA970</f>
        <v>0</v>
      </c>
      <c r="AB843" s="5">
        <f t="shared" si="109"/>
        <v>2.3055555555555554</v>
      </c>
    </row>
    <row r="844" spans="4:28" x14ac:dyDescent="0.25">
      <c r="D844" t="s">
        <v>86</v>
      </c>
      <c r="E844" s="38">
        <f t="shared" si="107"/>
        <v>0</v>
      </c>
      <c r="F844" s="38">
        <f t="shared" si="107"/>
        <v>0</v>
      </c>
      <c r="G844" s="38">
        <f t="shared" si="107"/>
        <v>0</v>
      </c>
      <c r="H844" s="38">
        <f t="shared" si="107"/>
        <v>0</v>
      </c>
      <c r="I844" s="38">
        <f t="shared" si="107"/>
        <v>1.1851851851851851</v>
      </c>
      <c r="J844" s="38">
        <f t="shared" si="107"/>
        <v>0</v>
      </c>
      <c r="K844" s="38">
        <f t="shared" si="107"/>
        <v>0</v>
      </c>
      <c r="L844" s="38">
        <f t="shared" si="106"/>
        <v>0</v>
      </c>
      <c r="M844" s="35">
        <f t="shared" si="108"/>
        <v>1.1851851851851851</v>
      </c>
      <c r="S844" t="s">
        <v>86</v>
      </c>
      <c r="T844" s="5">
        <f>data_origin!T971</f>
        <v>0</v>
      </c>
      <c r="U844" s="5">
        <f>data_origin!U971</f>
        <v>0</v>
      </c>
      <c r="V844" s="5">
        <f>data_origin!V971</f>
        <v>0</v>
      </c>
      <c r="W844" s="5">
        <f>data_origin!W971</f>
        <v>0</v>
      </c>
      <c r="X844" s="5">
        <f>data_origin!X971</f>
        <v>0</v>
      </c>
      <c r="Y844" s="5">
        <f>data_origin!Y971</f>
        <v>0</v>
      </c>
      <c r="Z844" s="5">
        <f>data_origin!Z971</f>
        <v>0</v>
      </c>
      <c r="AA844" s="5">
        <f>data_origin!AA971</f>
        <v>0</v>
      </c>
      <c r="AB844" s="5">
        <f t="shared" si="109"/>
        <v>0</v>
      </c>
    </row>
    <row r="845" spans="4:28" x14ac:dyDescent="0.25">
      <c r="D845" t="s">
        <v>87</v>
      </c>
      <c r="E845" s="38">
        <f t="shared" si="107"/>
        <v>0</v>
      </c>
      <c r="F845" s="38">
        <f t="shared" si="107"/>
        <v>0</v>
      </c>
      <c r="G845" s="38">
        <f t="shared" si="107"/>
        <v>2.456612087625019</v>
      </c>
      <c r="H845" s="38">
        <f t="shared" si="107"/>
        <v>5.0357502413629733</v>
      </c>
      <c r="I845" s="38">
        <f t="shared" si="107"/>
        <v>0</v>
      </c>
      <c r="J845" s="38">
        <f t="shared" si="107"/>
        <v>0</v>
      </c>
      <c r="K845" s="38">
        <f t="shared" si="107"/>
        <v>0</v>
      </c>
      <c r="L845" s="38">
        <f t="shared" si="106"/>
        <v>0</v>
      </c>
      <c r="M845" s="35">
        <f t="shared" si="108"/>
        <v>7.4923623289879924</v>
      </c>
      <c r="S845" t="s">
        <v>87</v>
      </c>
      <c r="T845" s="5">
        <f>data_origin!T972</f>
        <v>0</v>
      </c>
      <c r="U845" s="5">
        <f>data_origin!U972</f>
        <v>0</v>
      </c>
      <c r="V845" s="5">
        <f>data_origin!V972</f>
        <v>2.4375</v>
      </c>
      <c r="W845" s="5">
        <f>data_origin!W972</f>
        <v>4.973684210526315</v>
      </c>
      <c r="X845" s="5">
        <f>data_origin!X972</f>
        <v>0</v>
      </c>
      <c r="Y845" s="5">
        <f>data_origin!Y972</f>
        <v>0</v>
      </c>
      <c r="Z845" s="5">
        <f>data_origin!Z972</f>
        <v>0</v>
      </c>
      <c r="AA845" s="5">
        <f>data_origin!AA972</f>
        <v>0</v>
      </c>
      <c r="AB845" s="5">
        <f t="shared" si="109"/>
        <v>7.411184210526315</v>
      </c>
    </row>
    <row r="846" spans="4:28" x14ac:dyDescent="0.25">
      <c r="D846" t="s">
        <v>88</v>
      </c>
      <c r="E846" s="38">
        <f t="shared" si="107"/>
        <v>0</v>
      </c>
      <c r="F846" s="38">
        <f t="shared" si="107"/>
        <v>0</v>
      </c>
      <c r="G846" s="38">
        <f t="shared" si="107"/>
        <v>0</v>
      </c>
      <c r="H846" s="38">
        <f t="shared" si="107"/>
        <v>2.5178751206814867</v>
      </c>
      <c r="I846" s="38">
        <f t="shared" si="107"/>
        <v>3.5318113489283762</v>
      </c>
      <c r="J846" s="38">
        <f t="shared" si="107"/>
        <v>1.9393340484713923</v>
      </c>
      <c r="K846" s="38">
        <f t="shared" si="107"/>
        <v>0</v>
      </c>
      <c r="L846" s="38">
        <f t="shared" si="106"/>
        <v>0</v>
      </c>
      <c r="M846" s="35">
        <f t="shared" si="108"/>
        <v>7.9890205180812561</v>
      </c>
      <c r="S846" t="s">
        <v>88</v>
      </c>
      <c r="T846" s="5">
        <f>data_origin!T973</f>
        <v>0</v>
      </c>
      <c r="U846" s="5">
        <f>data_origin!U973</f>
        <v>0</v>
      </c>
      <c r="V846" s="5">
        <f>data_origin!V973</f>
        <v>0</v>
      </c>
      <c r="W846" s="5">
        <f>data_origin!W973</f>
        <v>2.4868421052631575</v>
      </c>
      <c r="X846" s="5">
        <f>data_origin!X973</f>
        <v>2.3055555555555554</v>
      </c>
      <c r="Y846" s="5">
        <f>data_origin!Y973</f>
        <v>1.9</v>
      </c>
      <c r="Z846" s="5">
        <f>data_origin!Z973</f>
        <v>0</v>
      </c>
      <c r="AA846" s="5">
        <f>data_origin!AA973</f>
        <v>0</v>
      </c>
      <c r="AB846" s="5">
        <f t="shared" si="109"/>
        <v>6.6923976608187132</v>
      </c>
    </row>
    <row r="847" spans="4:28" x14ac:dyDescent="0.25">
      <c r="D847" t="s">
        <v>89</v>
      </c>
      <c r="E847" s="38">
        <f t="shared" si="107"/>
        <v>0</v>
      </c>
      <c r="F847" s="38">
        <f t="shared" si="107"/>
        <v>0</v>
      </c>
      <c r="G847" s="38">
        <f t="shared" si="107"/>
        <v>4.9132241752500381</v>
      </c>
      <c r="H847" s="38">
        <f t="shared" si="107"/>
        <v>7.5536253620444613</v>
      </c>
      <c r="I847" s="38">
        <f t="shared" si="107"/>
        <v>8.2250636764147576</v>
      </c>
      <c r="J847" s="38">
        <f t="shared" si="107"/>
        <v>0</v>
      </c>
      <c r="K847" s="38">
        <f t="shared" si="107"/>
        <v>0</v>
      </c>
      <c r="L847" s="38">
        <f t="shared" si="106"/>
        <v>0</v>
      </c>
      <c r="M847" s="35">
        <f t="shared" si="108"/>
        <v>20.691913213709256</v>
      </c>
      <c r="S847" t="s">
        <v>89</v>
      </c>
      <c r="T847" s="5">
        <f>data_origin!T974</f>
        <v>0</v>
      </c>
      <c r="U847" s="5">
        <f>data_origin!U974</f>
        <v>0</v>
      </c>
      <c r="V847" s="5">
        <f>data_origin!V974</f>
        <v>4.875</v>
      </c>
      <c r="W847" s="5">
        <f>data_origin!W974</f>
        <v>7.4605263157894735</v>
      </c>
      <c r="X847" s="5">
        <f>data_origin!X974</f>
        <v>6.9166666666666661</v>
      </c>
      <c r="Y847" s="5">
        <f>data_origin!Y974</f>
        <v>0</v>
      </c>
      <c r="Z847" s="5">
        <f>data_origin!Z974</f>
        <v>0</v>
      </c>
      <c r="AA847" s="5">
        <f>data_origin!AA974</f>
        <v>0</v>
      </c>
      <c r="AB847" s="5">
        <f t="shared" si="109"/>
        <v>19.252192982456137</v>
      </c>
    </row>
    <row r="848" spans="4:28" x14ac:dyDescent="0.25">
      <c r="D848" t="s">
        <v>90</v>
      </c>
      <c r="E848" s="38">
        <f t="shared" si="107"/>
        <v>0</v>
      </c>
      <c r="F848" s="38">
        <f t="shared" si="107"/>
        <v>0</v>
      </c>
      <c r="G848" s="38">
        <f t="shared" si="107"/>
        <v>0</v>
      </c>
      <c r="H848" s="38">
        <f t="shared" si="107"/>
        <v>0</v>
      </c>
      <c r="I848" s="38">
        <f t="shared" si="107"/>
        <v>0</v>
      </c>
      <c r="J848" s="38">
        <f t="shared" si="107"/>
        <v>0</v>
      </c>
      <c r="K848" s="38">
        <f t="shared" si="107"/>
        <v>0</v>
      </c>
      <c r="L848" s="38">
        <f t="shared" si="106"/>
        <v>0</v>
      </c>
      <c r="M848" s="35">
        <f t="shared" si="108"/>
        <v>0</v>
      </c>
      <c r="S848" t="s">
        <v>90</v>
      </c>
      <c r="T848" s="5">
        <f>data_origin!T975</f>
        <v>0</v>
      </c>
      <c r="U848" s="5">
        <f>data_origin!U975</f>
        <v>0</v>
      </c>
      <c r="V848" s="5">
        <f>data_origin!V975</f>
        <v>0</v>
      </c>
      <c r="W848" s="5">
        <f>data_origin!W975</f>
        <v>0</v>
      </c>
      <c r="X848" s="5">
        <f>data_origin!X975</f>
        <v>0</v>
      </c>
      <c r="Y848" s="5">
        <f>data_origin!Y975</f>
        <v>0</v>
      </c>
      <c r="Z848" s="5">
        <f>data_origin!Z975</f>
        <v>0</v>
      </c>
      <c r="AA848" s="5">
        <f>data_origin!AA975</f>
        <v>0</v>
      </c>
      <c r="AB848" s="5">
        <f t="shared" si="109"/>
        <v>0</v>
      </c>
    </row>
    <row r="849" spans="1:28" x14ac:dyDescent="0.25">
      <c r="D849" t="s">
        <v>91</v>
      </c>
      <c r="E849" s="38">
        <f t="shared" si="107"/>
        <v>0</v>
      </c>
      <c r="F849" s="38">
        <f t="shared" si="107"/>
        <v>0</v>
      </c>
      <c r="G849" s="38">
        <f t="shared" si="107"/>
        <v>0</v>
      </c>
      <c r="H849" s="38">
        <f t="shared" si="107"/>
        <v>0</v>
      </c>
      <c r="I849" s="38">
        <f t="shared" si="107"/>
        <v>0</v>
      </c>
      <c r="J849" s="38">
        <f t="shared" si="107"/>
        <v>0</v>
      </c>
      <c r="K849" s="38">
        <f t="shared" si="107"/>
        <v>0</v>
      </c>
      <c r="L849" s="38">
        <f t="shared" si="106"/>
        <v>0</v>
      </c>
      <c r="M849" s="35">
        <f t="shared" si="108"/>
        <v>0</v>
      </c>
      <c r="S849" t="s">
        <v>91</v>
      </c>
      <c r="T849" s="5">
        <f>data_origin!T976</f>
        <v>0</v>
      </c>
      <c r="U849" s="5">
        <f>data_origin!U976</f>
        <v>0</v>
      </c>
      <c r="V849" s="5">
        <f>data_origin!V976</f>
        <v>0</v>
      </c>
      <c r="W849" s="5">
        <f>data_origin!W976</f>
        <v>0</v>
      </c>
      <c r="X849" s="5">
        <f>data_origin!X976</f>
        <v>0</v>
      </c>
      <c r="Y849" s="5">
        <f>data_origin!Y976</f>
        <v>0</v>
      </c>
      <c r="Z849" s="5">
        <f>data_origin!Z976</f>
        <v>0</v>
      </c>
      <c r="AA849" s="5">
        <f>data_origin!AA976</f>
        <v>0</v>
      </c>
      <c r="AB849" s="5">
        <f t="shared" si="109"/>
        <v>0</v>
      </c>
    </row>
    <row r="850" spans="1:28" x14ac:dyDescent="0.25">
      <c r="D850" t="s">
        <v>92</v>
      </c>
      <c r="E850" s="38">
        <f t="shared" si="107"/>
        <v>0</v>
      </c>
      <c r="F850" s="38">
        <f t="shared" si="107"/>
        <v>0</v>
      </c>
      <c r="G850" s="38">
        <f t="shared" si="107"/>
        <v>0</v>
      </c>
      <c r="H850" s="38">
        <f t="shared" si="107"/>
        <v>0</v>
      </c>
      <c r="I850" s="38">
        <f t="shared" si="107"/>
        <v>0</v>
      </c>
      <c r="J850" s="38">
        <f t="shared" si="107"/>
        <v>0</v>
      </c>
      <c r="K850" s="38">
        <f t="shared" si="107"/>
        <v>0</v>
      </c>
      <c r="L850" s="38">
        <f t="shared" si="106"/>
        <v>0</v>
      </c>
      <c r="M850" s="35">
        <f t="shared" si="108"/>
        <v>0</v>
      </c>
      <c r="S850" t="s">
        <v>92</v>
      </c>
      <c r="T850" s="5">
        <f>data_origin!T977</f>
        <v>0</v>
      </c>
      <c r="U850" s="5">
        <f>data_origin!U977</f>
        <v>0</v>
      </c>
      <c r="V850" s="5">
        <f>data_origin!V977</f>
        <v>0</v>
      </c>
      <c r="W850" s="5">
        <f>data_origin!W977</f>
        <v>0</v>
      </c>
      <c r="X850" s="5">
        <f>data_origin!X977</f>
        <v>0</v>
      </c>
      <c r="Y850" s="5">
        <f>data_origin!Y977</f>
        <v>0</v>
      </c>
      <c r="Z850" s="5">
        <f>data_origin!Z977</f>
        <v>0</v>
      </c>
      <c r="AA850" s="5">
        <f>data_origin!AA977</f>
        <v>0</v>
      </c>
      <c r="AB850" s="5">
        <f t="shared" si="109"/>
        <v>0</v>
      </c>
    </row>
    <row r="851" spans="1:28" x14ac:dyDescent="0.25">
      <c r="D851" t="s">
        <v>93</v>
      </c>
      <c r="E851" s="38">
        <f t="shared" si="107"/>
        <v>0</v>
      </c>
      <c r="F851" s="38">
        <f t="shared" si="107"/>
        <v>0</v>
      </c>
      <c r="G851" s="38">
        <f t="shared" si="107"/>
        <v>0</v>
      </c>
      <c r="H851" s="38">
        <f t="shared" si="107"/>
        <v>0</v>
      </c>
      <c r="I851" s="38">
        <f t="shared" si="107"/>
        <v>0</v>
      </c>
      <c r="J851" s="38">
        <f t="shared" si="107"/>
        <v>0</v>
      </c>
      <c r="K851" s="38">
        <f t="shared" si="107"/>
        <v>0</v>
      </c>
      <c r="L851" s="38">
        <f t="shared" si="106"/>
        <v>0</v>
      </c>
      <c r="M851" s="35">
        <f t="shared" si="108"/>
        <v>0</v>
      </c>
      <c r="S851" t="s">
        <v>93</v>
      </c>
      <c r="T851" s="5">
        <f>data_origin!T978</f>
        <v>0</v>
      </c>
      <c r="U851" s="5">
        <f>data_origin!U978</f>
        <v>0</v>
      </c>
      <c r="V851" s="5">
        <f>data_origin!V978</f>
        <v>0</v>
      </c>
      <c r="W851" s="5">
        <f>data_origin!W978</f>
        <v>0</v>
      </c>
      <c r="X851" s="5">
        <f>data_origin!X978</f>
        <v>0</v>
      </c>
      <c r="Y851" s="5">
        <f>data_origin!Y978</f>
        <v>0</v>
      </c>
      <c r="Z851" s="5">
        <f>data_origin!Z978</f>
        <v>0</v>
      </c>
      <c r="AA851" s="5">
        <f>data_origin!AA978</f>
        <v>0</v>
      </c>
      <c r="AB851" s="5">
        <f t="shared" si="109"/>
        <v>0</v>
      </c>
    </row>
    <row r="852" spans="1:28" x14ac:dyDescent="0.25">
      <c r="D852" t="s">
        <v>94</v>
      </c>
      <c r="E852" s="38">
        <f t="shared" si="107"/>
        <v>0</v>
      </c>
      <c r="F852" s="38">
        <f t="shared" si="107"/>
        <v>0</v>
      </c>
      <c r="G852" s="38">
        <f t="shared" si="107"/>
        <v>0</v>
      </c>
      <c r="H852" s="38">
        <f t="shared" si="107"/>
        <v>0</v>
      </c>
      <c r="I852" s="38">
        <f t="shared" si="107"/>
        <v>0</v>
      </c>
      <c r="J852" s="38">
        <f t="shared" si="107"/>
        <v>0</v>
      </c>
      <c r="K852" s="38">
        <f t="shared" si="107"/>
        <v>0</v>
      </c>
      <c r="L852" s="38">
        <f t="shared" si="106"/>
        <v>0</v>
      </c>
      <c r="M852" s="35">
        <f t="shared" si="108"/>
        <v>0</v>
      </c>
      <c r="S852" t="s">
        <v>94</v>
      </c>
      <c r="T852" s="5">
        <f>data_origin!T979</f>
        <v>0</v>
      </c>
      <c r="U852" s="5">
        <f>data_origin!U979</f>
        <v>0</v>
      </c>
      <c r="V852" s="5">
        <f>data_origin!V979</f>
        <v>0</v>
      </c>
      <c r="W852" s="5">
        <f>data_origin!W979</f>
        <v>0</v>
      </c>
      <c r="X852" s="5">
        <f>data_origin!X979</f>
        <v>0</v>
      </c>
      <c r="Y852" s="5">
        <f>data_origin!Y979</f>
        <v>0</v>
      </c>
      <c r="Z852" s="5">
        <f>data_origin!Z979</f>
        <v>0</v>
      </c>
      <c r="AA852" s="5">
        <f>data_origin!AA979</f>
        <v>0</v>
      </c>
      <c r="AB852" s="5">
        <f t="shared" si="109"/>
        <v>0</v>
      </c>
    </row>
    <row r="853" spans="1:28" x14ac:dyDescent="0.25">
      <c r="D853" t="s">
        <v>95</v>
      </c>
      <c r="E853" s="38">
        <f t="shared" si="107"/>
        <v>0</v>
      </c>
      <c r="F853" s="38">
        <f t="shared" si="107"/>
        <v>0</v>
      </c>
      <c r="G853" s="38">
        <f t="shared" si="107"/>
        <v>0</v>
      </c>
      <c r="H853" s="38">
        <f t="shared" si="107"/>
        <v>0</v>
      </c>
      <c r="I853" s="38">
        <f t="shared" si="107"/>
        <v>0</v>
      </c>
      <c r="J853" s="38">
        <f t="shared" si="107"/>
        <v>0</v>
      </c>
      <c r="K853" s="38">
        <f t="shared" si="107"/>
        <v>0</v>
      </c>
      <c r="L853" s="38">
        <f t="shared" si="106"/>
        <v>0</v>
      </c>
      <c r="M853" s="35">
        <f t="shared" si="108"/>
        <v>0</v>
      </c>
      <c r="S853" t="s">
        <v>95</v>
      </c>
      <c r="T853" s="5">
        <f>data_origin!T980</f>
        <v>0</v>
      </c>
      <c r="U853" s="5">
        <f>data_origin!U980</f>
        <v>0</v>
      </c>
      <c r="V853" s="5">
        <f>data_origin!V980</f>
        <v>0</v>
      </c>
      <c r="W853" s="5">
        <f>data_origin!W980</f>
        <v>0</v>
      </c>
      <c r="X853" s="5">
        <f>data_origin!X980</f>
        <v>0</v>
      </c>
      <c r="Y853" s="5">
        <f>data_origin!Y980</f>
        <v>0</v>
      </c>
      <c r="Z853" s="5">
        <f>data_origin!Z980</f>
        <v>0</v>
      </c>
      <c r="AA853" s="5">
        <f>data_origin!AA980</f>
        <v>0</v>
      </c>
      <c r="AB853" s="5">
        <f t="shared" si="109"/>
        <v>0</v>
      </c>
    </row>
    <row r="854" spans="1:28" x14ac:dyDescent="0.25">
      <c r="D854" t="s">
        <v>96</v>
      </c>
      <c r="E854" s="38">
        <f t="shared" si="107"/>
        <v>0</v>
      </c>
      <c r="F854" s="38">
        <f t="shared" si="107"/>
        <v>0</v>
      </c>
      <c r="G854" s="38">
        <f t="shared" si="107"/>
        <v>0</v>
      </c>
      <c r="H854" s="38">
        <f t="shared" si="107"/>
        <v>0</v>
      </c>
      <c r="I854" s="38">
        <f t="shared" si="107"/>
        <v>0</v>
      </c>
      <c r="J854" s="38">
        <f t="shared" si="107"/>
        <v>0</v>
      </c>
      <c r="K854" s="38">
        <f t="shared" si="107"/>
        <v>0</v>
      </c>
      <c r="L854" s="38">
        <f t="shared" si="106"/>
        <v>0</v>
      </c>
      <c r="M854" s="35">
        <f t="shared" si="108"/>
        <v>0</v>
      </c>
      <c r="S854" t="s">
        <v>96</v>
      </c>
      <c r="T854" s="5">
        <f>data_origin!T981</f>
        <v>0</v>
      </c>
      <c r="U854" s="5">
        <f>data_origin!U981</f>
        <v>0</v>
      </c>
      <c r="V854" s="5">
        <f>data_origin!V981</f>
        <v>0</v>
      </c>
      <c r="W854" s="5">
        <f>data_origin!W981</f>
        <v>0</v>
      </c>
      <c r="X854" s="5">
        <f>data_origin!X981</f>
        <v>0</v>
      </c>
      <c r="Y854" s="5">
        <f>data_origin!Y981</f>
        <v>0</v>
      </c>
      <c r="Z854" s="5">
        <f>data_origin!Z981</f>
        <v>0</v>
      </c>
      <c r="AA854" s="5">
        <f>data_origin!AA981</f>
        <v>0</v>
      </c>
      <c r="AB854" s="5">
        <f t="shared" si="109"/>
        <v>0</v>
      </c>
    </row>
    <row r="855" spans="1:28" x14ac:dyDescent="0.25">
      <c r="D855" t="s">
        <v>97</v>
      </c>
      <c r="E855" s="38">
        <f t="shared" si="107"/>
        <v>0</v>
      </c>
      <c r="F855" s="38">
        <f t="shared" si="107"/>
        <v>0</v>
      </c>
      <c r="G855" s="38">
        <f t="shared" si="107"/>
        <v>7.3698362628750562</v>
      </c>
      <c r="H855" s="38">
        <f t="shared" si="107"/>
        <v>10.071500482725947</v>
      </c>
      <c r="I855" s="38">
        <f t="shared" si="107"/>
        <v>0</v>
      </c>
      <c r="J855" s="38">
        <f t="shared" si="107"/>
        <v>0</v>
      </c>
      <c r="K855" s="38">
        <f t="shared" si="107"/>
        <v>0</v>
      </c>
      <c r="L855" s="38">
        <f t="shared" si="106"/>
        <v>0</v>
      </c>
      <c r="M855" s="35">
        <f t="shared" si="108"/>
        <v>17.441336745601003</v>
      </c>
      <c r="S855" t="s">
        <v>97</v>
      </c>
      <c r="T855" s="5">
        <f>data_origin!T982</f>
        <v>0</v>
      </c>
      <c r="U855" s="5">
        <f>data_origin!U982</f>
        <v>0</v>
      </c>
      <c r="V855" s="5">
        <f>data_origin!V982</f>
        <v>7.3125</v>
      </c>
      <c r="W855" s="5">
        <f>data_origin!W982</f>
        <v>9.9473684210526301</v>
      </c>
      <c r="X855" s="5">
        <f>data_origin!X982</f>
        <v>0</v>
      </c>
      <c r="Y855" s="5">
        <f>data_origin!Y982</f>
        <v>0</v>
      </c>
      <c r="Z855" s="5">
        <f>data_origin!Z982</f>
        <v>0</v>
      </c>
      <c r="AA855" s="5">
        <f>data_origin!AA982</f>
        <v>0</v>
      </c>
      <c r="AB855" s="5">
        <f t="shared" si="109"/>
        <v>17.25986842105263</v>
      </c>
    </row>
    <row r="856" spans="1:28" x14ac:dyDescent="0.25">
      <c r="D856" t="s">
        <v>98</v>
      </c>
      <c r="E856" s="38">
        <f t="shared" si="107"/>
        <v>0</v>
      </c>
      <c r="F856" s="38">
        <f t="shared" si="107"/>
        <v>0</v>
      </c>
      <c r="G856" s="38">
        <f t="shared" si="107"/>
        <v>0</v>
      </c>
      <c r="H856" s="38">
        <f t="shared" si="107"/>
        <v>0</v>
      </c>
      <c r="I856" s="38">
        <f t="shared" si="107"/>
        <v>4.6932523274863822</v>
      </c>
      <c r="J856" s="38">
        <f t="shared" si="107"/>
        <v>0</v>
      </c>
      <c r="K856" s="38">
        <f t="shared" si="107"/>
        <v>0</v>
      </c>
      <c r="L856" s="38">
        <f t="shared" si="106"/>
        <v>0</v>
      </c>
      <c r="M856" s="35">
        <f t="shared" si="108"/>
        <v>4.6932523274863822</v>
      </c>
      <c r="S856" t="s">
        <v>98</v>
      </c>
      <c r="T856" s="5">
        <f>data_origin!T983</f>
        <v>0</v>
      </c>
      <c r="U856" s="5">
        <f>data_origin!U983</f>
        <v>0</v>
      </c>
      <c r="V856" s="5">
        <f>data_origin!V983</f>
        <v>0</v>
      </c>
      <c r="W856" s="5">
        <f>data_origin!W983</f>
        <v>0</v>
      </c>
      <c r="X856" s="5">
        <f>data_origin!X983</f>
        <v>4.6111111111111107</v>
      </c>
      <c r="Y856" s="5">
        <f>data_origin!Y983</f>
        <v>0</v>
      </c>
      <c r="Z856" s="5">
        <f>data_origin!Z983</f>
        <v>0</v>
      </c>
      <c r="AA856" s="5">
        <f>data_origin!AA983</f>
        <v>0</v>
      </c>
      <c r="AB856" s="5">
        <f t="shared" si="109"/>
        <v>4.6111111111111107</v>
      </c>
    </row>
    <row r="857" spans="1:28" x14ac:dyDescent="0.25">
      <c r="D857" t="s">
        <v>119</v>
      </c>
      <c r="E857" s="38">
        <f t="shared" si="107"/>
        <v>0</v>
      </c>
      <c r="F857" s="38">
        <f t="shared" si="107"/>
        <v>0</v>
      </c>
      <c r="G857" s="38">
        <f t="shared" si="107"/>
        <v>0</v>
      </c>
      <c r="H857" s="38">
        <f t="shared" si="107"/>
        <v>0</v>
      </c>
      <c r="I857" s="38">
        <f t="shared" si="107"/>
        <v>0</v>
      </c>
      <c r="J857" s="38">
        <f t="shared" si="107"/>
        <v>0</v>
      </c>
      <c r="K857" s="38">
        <f t="shared" si="107"/>
        <v>0</v>
      </c>
      <c r="L857" s="38">
        <f t="shared" si="106"/>
        <v>0</v>
      </c>
      <c r="M857" s="35">
        <f t="shared" si="108"/>
        <v>0</v>
      </c>
      <c r="S857" t="s">
        <v>119</v>
      </c>
      <c r="T857" s="5">
        <f>data_origin!T984</f>
        <v>0</v>
      </c>
      <c r="U857" s="5">
        <f>data_origin!U984</f>
        <v>0</v>
      </c>
      <c r="V857" s="5">
        <f>data_origin!V984</f>
        <v>0</v>
      </c>
      <c r="W857" s="5">
        <f>data_origin!W984</f>
        <v>0</v>
      </c>
      <c r="X857" s="5">
        <f>data_origin!X984</f>
        <v>0</v>
      </c>
      <c r="Y857" s="5">
        <f>data_origin!Y984</f>
        <v>0</v>
      </c>
      <c r="Z857" s="5">
        <f>data_origin!Z984</f>
        <v>0</v>
      </c>
      <c r="AA857" s="5">
        <f>data_origin!AA984</f>
        <v>0</v>
      </c>
      <c r="AB857" s="5">
        <f t="shared" si="109"/>
        <v>0</v>
      </c>
    </row>
    <row r="858" spans="1:28" x14ac:dyDescent="0.25">
      <c r="D858" t="s">
        <v>99</v>
      </c>
      <c r="E858" s="38">
        <f t="shared" si="107"/>
        <v>0</v>
      </c>
      <c r="F858" s="38">
        <f t="shared" si="107"/>
        <v>0</v>
      </c>
      <c r="G858" s="38">
        <f t="shared" si="107"/>
        <v>0</v>
      </c>
      <c r="H858" s="38">
        <f t="shared" si="107"/>
        <v>0</v>
      </c>
      <c r="I858" s="38">
        <f t="shared" si="107"/>
        <v>0</v>
      </c>
      <c r="J858" s="38">
        <f t="shared" si="107"/>
        <v>0</v>
      </c>
      <c r="K858" s="38">
        <f t="shared" si="107"/>
        <v>0</v>
      </c>
      <c r="L858" s="38">
        <f t="shared" si="106"/>
        <v>0</v>
      </c>
      <c r="M858" s="35">
        <f t="shared" si="108"/>
        <v>0</v>
      </c>
      <c r="S858" t="s">
        <v>99</v>
      </c>
      <c r="T858" s="5">
        <f>data_origin!T985</f>
        <v>0</v>
      </c>
      <c r="U858" s="5">
        <f>data_origin!U985</f>
        <v>0</v>
      </c>
      <c r="V858" s="5">
        <f>data_origin!V985</f>
        <v>0</v>
      </c>
      <c r="W858" s="5">
        <f>data_origin!W985</f>
        <v>0</v>
      </c>
      <c r="X858" s="5">
        <f>data_origin!X985</f>
        <v>0</v>
      </c>
      <c r="Y858" s="5">
        <f>data_origin!Y985</f>
        <v>0</v>
      </c>
      <c r="Z858" s="5">
        <f>data_origin!Z985</f>
        <v>0</v>
      </c>
      <c r="AA858" s="5">
        <f>data_origin!AA985</f>
        <v>0</v>
      </c>
      <c r="AB858" s="5">
        <f t="shared" si="109"/>
        <v>0</v>
      </c>
    </row>
    <row r="859" spans="1:28" x14ac:dyDescent="0.25">
      <c r="D859" t="s">
        <v>100</v>
      </c>
      <c r="E859" s="38">
        <f t="shared" si="107"/>
        <v>0</v>
      </c>
      <c r="F859" s="38">
        <f t="shared" si="107"/>
        <v>0</v>
      </c>
      <c r="G859" s="38">
        <f t="shared" si="107"/>
        <v>138.7864033324247</v>
      </c>
      <c r="H859" s="38">
        <f t="shared" si="107"/>
        <v>217.35217175808162</v>
      </c>
      <c r="I859" s="38">
        <f t="shared" si="107"/>
        <v>96.496603192997</v>
      </c>
      <c r="J859" s="38">
        <f t="shared" si="107"/>
        <v>23.454006436242533</v>
      </c>
      <c r="K859" s="38">
        <f t="shared" si="107"/>
        <v>3.0559701492537314</v>
      </c>
      <c r="L859" s="38">
        <f t="shared" si="106"/>
        <v>1.0769230769230769</v>
      </c>
      <c r="M859" s="35">
        <f t="shared" si="108"/>
        <v>480.22207794592265</v>
      </c>
      <c r="S859" t="s">
        <v>100</v>
      </c>
      <c r="T859" s="5">
        <f>data_origin!T986</f>
        <v>0</v>
      </c>
      <c r="U859" s="5">
        <f>data_origin!U986</f>
        <v>0</v>
      </c>
      <c r="V859" s="5">
        <f>data_origin!V986</f>
        <v>102.375</v>
      </c>
      <c r="W859" s="5">
        <f>data_origin!W986</f>
        <v>164.13157894736844</v>
      </c>
      <c r="X859" s="5">
        <f>data_origin!X986</f>
        <v>66.861111111111114</v>
      </c>
      <c r="Y859" s="5">
        <f>data_origin!Y986</f>
        <v>17.100000000000001</v>
      </c>
      <c r="Z859" s="5">
        <f>data_origin!Z986</f>
        <v>3</v>
      </c>
      <c r="AA859" s="5">
        <f>data_origin!AA986</f>
        <v>1</v>
      </c>
      <c r="AB859" s="5">
        <f t="shared" si="109"/>
        <v>354.46769005847955</v>
      </c>
    </row>
    <row r="860" spans="1:28" x14ac:dyDescent="0.25">
      <c r="D860" t="s">
        <v>101</v>
      </c>
      <c r="E860" s="38">
        <f t="shared" si="107"/>
        <v>0</v>
      </c>
      <c r="F860" s="38">
        <f t="shared" si="107"/>
        <v>0</v>
      </c>
      <c r="G860" s="38">
        <f t="shared" si="107"/>
        <v>1.6956521739130435</v>
      </c>
      <c r="H860" s="38">
        <f t="shared" si="107"/>
        <v>0</v>
      </c>
      <c r="I860" s="38">
        <f t="shared" si="107"/>
        <v>0</v>
      </c>
      <c r="J860" s="38">
        <f t="shared" si="107"/>
        <v>0</v>
      </c>
      <c r="K860" s="38">
        <f t="shared" si="107"/>
        <v>0</v>
      </c>
      <c r="L860" s="38">
        <f t="shared" si="106"/>
        <v>0</v>
      </c>
      <c r="M860" s="35">
        <f t="shared" si="108"/>
        <v>1.6956521739130435</v>
      </c>
      <c r="S860" t="s">
        <v>101</v>
      </c>
      <c r="T860" s="5">
        <f>data_origin!T987</f>
        <v>0</v>
      </c>
      <c r="U860" s="5">
        <f>data_origin!U987</f>
        <v>0</v>
      </c>
      <c r="V860" s="5">
        <f>data_origin!V987</f>
        <v>0</v>
      </c>
      <c r="W860" s="5">
        <f>data_origin!W987</f>
        <v>0</v>
      </c>
      <c r="X860" s="5">
        <f>data_origin!X987</f>
        <v>0</v>
      </c>
      <c r="Y860" s="5">
        <f>data_origin!Y987</f>
        <v>0</v>
      </c>
      <c r="Z860" s="5">
        <f>data_origin!Z987</f>
        <v>0</v>
      </c>
      <c r="AA860" s="5">
        <f>data_origin!AA987</f>
        <v>0</v>
      </c>
      <c r="AB860" s="5">
        <f t="shared" si="109"/>
        <v>0</v>
      </c>
    </row>
    <row r="861" spans="1:28" x14ac:dyDescent="0.25">
      <c r="A861" s="23" t="s">
        <v>104</v>
      </c>
      <c r="B861" s="23" t="s">
        <v>117</v>
      </c>
      <c r="C861" s="23" t="s">
        <v>111</v>
      </c>
      <c r="D861" t="s">
        <v>70</v>
      </c>
      <c r="E861" s="38">
        <f t="shared" si="107"/>
        <v>0</v>
      </c>
      <c r="F861" s="38">
        <f t="shared" si="107"/>
        <v>0</v>
      </c>
      <c r="G861" s="38">
        <f t="shared" si="107"/>
        <v>3.5594646970682025</v>
      </c>
      <c r="H861" s="38">
        <f t="shared" si="107"/>
        <v>16.074391838888094</v>
      </c>
      <c r="I861" s="38">
        <f t="shared" si="107"/>
        <v>6.2140208369001684</v>
      </c>
      <c r="J861" s="38">
        <f t="shared" si="107"/>
        <v>2.4912052005341705</v>
      </c>
      <c r="K861" s="38">
        <f t="shared" si="107"/>
        <v>1.2638888888888888</v>
      </c>
      <c r="L861" s="38">
        <f t="shared" si="106"/>
        <v>0</v>
      </c>
      <c r="M861" s="35">
        <f t="shared" si="108"/>
        <v>29.602971462279527</v>
      </c>
      <c r="P861" t="s">
        <v>104</v>
      </c>
      <c r="Q861" t="s">
        <v>117</v>
      </c>
      <c r="R861" t="s">
        <v>111</v>
      </c>
      <c r="S861" t="s">
        <v>70</v>
      </c>
      <c r="T861" s="5">
        <f>data_origin!T989</f>
        <v>0</v>
      </c>
      <c r="U861" s="5">
        <f>data_origin!U989</f>
        <v>0</v>
      </c>
      <c r="V861" s="5">
        <f>data_origin!V989</f>
        <v>3.531772575250836</v>
      </c>
      <c r="W861" s="5">
        <f>data_origin!W989</f>
        <v>15.87627365356623</v>
      </c>
      <c r="X861" s="5">
        <f>data_origin!X989</f>
        <v>6.1052631578947363</v>
      </c>
      <c r="Y861" s="5">
        <f>data_origin!Y989</f>
        <v>2.4406779661016951</v>
      </c>
      <c r="Z861" s="5">
        <f>data_origin!Z989</f>
        <v>1.2407407407407407</v>
      </c>
      <c r="AA861" s="5">
        <f>data_origin!AA989</f>
        <v>0</v>
      </c>
      <c r="AB861" s="5">
        <f t="shared" si="109"/>
        <v>29.194728093554239</v>
      </c>
    </row>
    <row r="862" spans="1:28" x14ac:dyDescent="0.25">
      <c r="D862" t="s">
        <v>71</v>
      </c>
      <c r="E862" s="38">
        <f t="shared" si="107"/>
        <v>0</v>
      </c>
      <c r="F862" s="38">
        <f t="shared" si="107"/>
        <v>0</v>
      </c>
      <c r="G862" s="38">
        <f t="shared" si="107"/>
        <v>32.035182273613827</v>
      </c>
      <c r="H862" s="38">
        <f t="shared" si="107"/>
        <v>64.297567355552374</v>
      </c>
      <c r="I862" s="38">
        <f t="shared" si="107"/>
        <v>24.856083347600674</v>
      </c>
      <c r="J862" s="38">
        <f t="shared" si="107"/>
        <v>6.2280130013354267</v>
      </c>
      <c r="K862" s="38">
        <f t="shared" si="107"/>
        <v>5.0555555555555554</v>
      </c>
      <c r="L862" s="38">
        <f t="shared" si="106"/>
        <v>0</v>
      </c>
      <c r="M862" s="35">
        <f t="shared" si="108"/>
        <v>132.47240153365786</v>
      </c>
      <c r="S862" t="s">
        <v>71</v>
      </c>
      <c r="T862" s="5">
        <f>data_origin!T990</f>
        <v>0</v>
      </c>
      <c r="U862" s="5">
        <f>data_origin!U990</f>
        <v>0</v>
      </c>
      <c r="V862" s="5">
        <f>data_origin!V990</f>
        <v>31.785953177257525</v>
      </c>
      <c r="W862" s="5">
        <f>data_origin!W990</f>
        <v>63.50509461426492</v>
      </c>
      <c r="X862" s="5">
        <f>data_origin!X990</f>
        <v>24.421052631578945</v>
      </c>
      <c r="Y862" s="5">
        <f>data_origin!Y990</f>
        <v>6.101694915254237</v>
      </c>
      <c r="Z862" s="5">
        <f>data_origin!Z990</f>
        <v>4.9629629629629628</v>
      </c>
      <c r="AA862" s="5">
        <f>data_origin!AA990</f>
        <v>0</v>
      </c>
      <c r="AB862" s="5">
        <f t="shared" si="109"/>
        <v>130.77675830131861</v>
      </c>
    </row>
    <row r="863" spans="1:28" x14ac:dyDescent="0.25">
      <c r="D863" t="s">
        <v>72</v>
      </c>
      <c r="E863" s="38">
        <f t="shared" si="107"/>
        <v>0</v>
      </c>
      <c r="F863" s="38">
        <f t="shared" si="107"/>
        <v>0</v>
      </c>
      <c r="G863" s="38">
        <f t="shared" si="107"/>
        <v>17.797323485341014</v>
      </c>
      <c r="H863" s="38">
        <f t="shared" si="107"/>
        <v>68.007042395295784</v>
      </c>
      <c r="I863" s="38">
        <f t="shared" si="107"/>
        <v>75.811054210182078</v>
      </c>
      <c r="J863" s="38">
        <f t="shared" si="107"/>
        <v>23.666449405074616</v>
      </c>
      <c r="K863" s="38">
        <f t="shared" si="107"/>
        <v>7.5833333333333339</v>
      </c>
      <c r="L863" s="38">
        <f t="shared" si="106"/>
        <v>0</v>
      </c>
      <c r="M863" s="35">
        <f t="shared" si="108"/>
        <v>192.86520282922683</v>
      </c>
      <c r="S863" t="s">
        <v>72</v>
      </c>
      <c r="T863" s="5">
        <f>data_origin!T991</f>
        <v>0</v>
      </c>
      <c r="U863" s="5">
        <f>data_origin!U991</f>
        <v>0</v>
      </c>
      <c r="V863" s="5">
        <f>data_origin!V991</f>
        <v>17.658862876254179</v>
      </c>
      <c r="W863" s="5">
        <f>data_origin!W991</f>
        <v>67.168850072780202</v>
      </c>
      <c r="X863" s="5">
        <f>data_origin!X991</f>
        <v>74.484210526315792</v>
      </c>
      <c r="Y863" s="5">
        <f>data_origin!Y991</f>
        <v>23.1864406779661</v>
      </c>
      <c r="Z863" s="5">
        <f>data_origin!Z991</f>
        <v>7.4444444444444446</v>
      </c>
      <c r="AA863" s="5">
        <f>data_origin!AA991</f>
        <v>0</v>
      </c>
      <c r="AB863" s="5">
        <f t="shared" si="109"/>
        <v>189.94280859776072</v>
      </c>
    </row>
    <row r="864" spans="1:28" x14ac:dyDescent="0.25">
      <c r="D864" t="s">
        <v>73</v>
      </c>
      <c r="E864" s="38">
        <f t="shared" si="107"/>
        <v>0</v>
      </c>
      <c r="F864" s="38">
        <f t="shared" si="107"/>
        <v>0</v>
      </c>
      <c r="G864" s="38">
        <f t="shared" si="107"/>
        <v>2.3729764647121359</v>
      </c>
      <c r="H864" s="38">
        <f t="shared" ref="H864:L920" si="110">W864+AL468+IFERROR((W864/SUM(W$3:W$992)*AL$630),0)+IFERROR((W864/SUM(W$135:W$332,W$465:W$662,W$795:W$992)*AL$732),0)</f>
        <v>16.074391838888094</v>
      </c>
      <c r="I864" s="38">
        <f t="shared" si="110"/>
        <v>17.399258343320472</v>
      </c>
      <c r="J864" s="38">
        <f t="shared" si="110"/>
        <v>1.2456026002670852</v>
      </c>
      <c r="K864" s="38">
        <f t="shared" si="110"/>
        <v>0</v>
      </c>
      <c r="L864" s="38">
        <f t="shared" si="106"/>
        <v>0</v>
      </c>
      <c r="M864" s="35">
        <f t="shared" si="108"/>
        <v>37.092229247187781</v>
      </c>
      <c r="S864" t="s">
        <v>73</v>
      </c>
      <c r="T864" s="5">
        <f>data_origin!T992</f>
        <v>0</v>
      </c>
      <c r="U864" s="5">
        <f>data_origin!U992</f>
        <v>0</v>
      </c>
      <c r="V864" s="5">
        <f>data_origin!V992</f>
        <v>2.3545150501672243</v>
      </c>
      <c r="W864" s="5">
        <f>data_origin!W992</f>
        <v>15.87627365356623</v>
      </c>
      <c r="X864" s="5">
        <f>data_origin!X992</f>
        <v>17.094736842105263</v>
      </c>
      <c r="Y864" s="5">
        <f>data_origin!Y992</f>
        <v>1.2203389830508475</v>
      </c>
      <c r="Z864" s="5">
        <f>data_origin!Z992</f>
        <v>0</v>
      </c>
      <c r="AA864" s="5">
        <f>data_origin!AA992</f>
        <v>0</v>
      </c>
      <c r="AB864" s="5">
        <f t="shared" si="109"/>
        <v>36.54586452888956</v>
      </c>
    </row>
    <row r="865" spans="4:28" x14ac:dyDescent="0.25">
      <c r="D865" t="s">
        <v>74</v>
      </c>
      <c r="E865" s="38">
        <f t="shared" ref="E865:I928" si="111">T865+AI469+IFERROR((T865/SUM(T$3:T$992)*AI$630),0)+IFERROR((T865/SUM(T$135:T$332,T$465:T$662,T$795:T$992)*AI$732),0)</f>
        <v>0</v>
      </c>
      <c r="F865" s="38">
        <f t="shared" si="111"/>
        <v>0</v>
      </c>
      <c r="G865" s="38">
        <f t="shared" si="111"/>
        <v>4.7459529294242717</v>
      </c>
      <c r="H865" s="38">
        <f t="shared" si="110"/>
        <v>43.277208797006402</v>
      </c>
      <c r="I865" s="38">
        <f t="shared" si="110"/>
        <v>74.568250042802021</v>
      </c>
      <c r="J865" s="38">
        <f t="shared" si="110"/>
        <v>17.438436403739196</v>
      </c>
      <c r="K865" s="38">
        <f t="shared" si="110"/>
        <v>2.5277777777777777</v>
      </c>
      <c r="L865" s="38">
        <f t="shared" si="106"/>
        <v>0</v>
      </c>
      <c r="M865" s="35">
        <f t="shared" si="108"/>
        <v>142.55762595074967</v>
      </c>
      <c r="S865" t="s">
        <v>74</v>
      </c>
      <c r="T865" s="5">
        <f>data_origin!T993</f>
        <v>0</v>
      </c>
      <c r="U865" s="5">
        <f>data_origin!U993</f>
        <v>0</v>
      </c>
      <c r="V865" s="5">
        <f>data_origin!V993</f>
        <v>4.7090301003344486</v>
      </c>
      <c r="W865" s="5">
        <f>data_origin!W993</f>
        <v>42.743813682678308</v>
      </c>
      <c r="X865" s="5">
        <f>data_origin!X993</f>
        <v>73.263157894736835</v>
      </c>
      <c r="Y865" s="5">
        <f>data_origin!Y993</f>
        <v>17.084745762711865</v>
      </c>
      <c r="Z865" s="5">
        <f>data_origin!Z993</f>
        <v>2.4814814814814814</v>
      </c>
      <c r="AA865" s="5">
        <f>data_origin!AA993</f>
        <v>0</v>
      </c>
      <c r="AB865" s="5">
        <f t="shared" si="109"/>
        <v>140.28222892194296</v>
      </c>
    </row>
    <row r="866" spans="4:28" x14ac:dyDescent="0.25">
      <c r="D866" t="s">
        <v>75</v>
      </c>
      <c r="E866" s="38">
        <f t="shared" si="111"/>
        <v>0</v>
      </c>
      <c r="F866" s="38">
        <f t="shared" si="111"/>
        <v>0</v>
      </c>
      <c r="G866" s="38">
        <f t="shared" si="111"/>
        <v>4.7459529294242717</v>
      </c>
      <c r="H866" s="38">
        <f t="shared" si="110"/>
        <v>12.364916799144687</v>
      </c>
      <c r="I866" s="38">
        <f t="shared" si="110"/>
        <v>11.185237506420306</v>
      </c>
      <c r="J866" s="38">
        <f t="shared" si="110"/>
        <v>2.4912052005341705</v>
      </c>
      <c r="K866" s="38">
        <f t="shared" si="110"/>
        <v>0</v>
      </c>
      <c r="L866" s="38">
        <f t="shared" si="106"/>
        <v>0</v>
      </c>
      <c r="M866" s="35">
        <f t="shared" si="108"/>
        <v>30.787312435523436</v>
      </c>
      <c r="S866" t="s">
        <v>75</v>
      </c>
      <c r="T866" s="5">
        <f>data_origin!T994</f>
        <v>0</v>
      </c>
      <c r="U866" s="5">
        <f>data_origin!U994</f>
        <v>0</v>
      </c>
      <c r="V866" s="5">
        <f>data_origin!V994</f>
        <v>4.7090301003344486</v>
      </c>
      <c r="W866" s="5">
        <f>data_origin!W994</f>
        <v>12.212518195050947</v>
      </c>
      <c r="X866" s="5">
        <f>data_origin!X994</f>
        <v>10.989473684210527</v>
      </c>
      <c r="Y866" s="5">
        <f>data_origin!Y994</f>
        <v>2.4406779661016951</v>
      </c>
      <c r="Z866" s="5">
        <f>data_origin!Z994</f>
        <v>0</v>
      </c>
      <c r="AA866" s="5">
        <f>data_origin!AA994</f>
        <v>0</v>
      </c>
      <c r="AB866" s="5">
        <f t="shared" si="109"/>
        <v>30.351699945697618</v>
      </c>
    </row>
    <row r="867" spans="4:28" x14ac:dyDescent="0.25">
      <c r="D867" t="s">
        <v>76</v>
      </c>
      <c r="E867" s="38">
        <f t="shared" si="111"/>
        <v>0</v>
      </c>
      <c r="F867" s="38">
        <f t="shared" si="111"/>
        <v>0</v>
      </c>
      <c r="G867" s="38">
        <f t="shared" si="111"/>
        <v>16.610835252984945</v>
      </c>
      <c r="H867" s="38">
        <f t="shared" si="110"/>
        <v>60.588092315808964</v>
      </c>
      <c r="I867" s="38">
        <f t="shared" si="110"/>
        <v>22.370475012840611</v>
      </c>
      <c r="J867" s="38">
        <f t="shared" si="110"/>
        <v>4.982410401068341</v>
      </c>
      <c r="K867" s="38">
        <f t="shared" si="110"/>
        <v>0</v>
      </c>
      <c r="L867" s="38">
        <f t="shared" si="106"/>
        <v>0</v>
      </c>
      <c r="M867" s="35">
        <f t="shared" si="108"/>
        <v>104.55181298270286</v>
      </c>
      <c r="S867" t="s">
        <v>76</v>
      </c>
      <c r="T867" s="5">
        <f>data_origin!T995</f>
        <v>0</v>
      </c>
      <c r="U867" s="5">
        <f>data_origin!U995</f>
        <v>0</v>
      </c>
      <c r="V867" s="5">
        <f>data_origin!V995</f>
        <v>16.481605351170568</v>
      </c>
      <c r="W867" s="5">
        <f>data_origin!W995</f>
        <v>59.841339155749637</v>
      </c>
      <c r="X867" s="5">
        <f>data_origin!X995</f>
        <v>21.978947368421053</v>
      </c>
      <c r="Y867" s="5">
        <f>data_origin!Y995</f>
        <v>4.8813559322033901</v>
      </c>
      <c r="Z867" s="5">
        <f>data_origin!Z995</f>
        <v>0</v>
      </c>
      <c r="AA867" s="5">
        <f>data_origin!AA995</f>
        <v>0</v>
      </c>
      <c r="AB867" s="5">
        <f t="shared" si="109"/>
        <v>103.18324780754465</v>
      </c>
    </row>
    <row r="868" spans="4:28" x14ac:dyDescent="0.25">
      <c r="D868" t="s">
        <v>77</v>
      </c>
      <c r="E868" s="38">
        <f t="shared" si="111"/>
        <v>0</v>
      </c>
      <c r="F868" s="38">
        <f t="shared" si="111"/>
        <v>0</v>
      </c>
      <c r="G868" s="38">
        <f t="shared" si="111"/>
        <v>48.646017526598783</v>
      </c>
      <c r="H868" s="38">
        <f t="shared" si="110"/>
        <v>181.76427694742691</v>
      </c>
      <c r="I868" s="38">
        <f t="shared" si="110"/>
        <v>65.868620871141786</v>
      </c>
      <c r="J868" s="38">
        <f t="shared" si="110"/>
        <v>11.210423402403766</v>
      </c>
      <c r="K868" s="38">
        <f t="shared" si="110"/>
        <v>1.2638888888888888</v>
      </c>
      <c r="L868" s="38">
        <f t="shared" si="106"/>
        <v>0</v>
      </c>
      <c r="M868" s="35">
        <f t="shared" si="108"/>
        <v>308.75322763646017</v>
      </c>
      <c r="S868" t="s">
        <v>77</v>
      </c>
      <c r="T868" s="5">
        <f>data_origin!T996</f>
        <v>0</v>
      </c>
      <c r="U868" s="5">
        <f>data_origin!U996</f>
        <v>0</v>
      </c>
      <c r="V868" s="5">
        <f>data_origin!V996</f>
        <v>48.267558528428097</v>
      </c>
      <c r="W868" s="5">
        <f>data_origin!W996</f>
        <v>179.52401746724891</v>
      </c>
      <c r="X868" s="5">
        <f>data_origin!X996</f>
        <v>64.715789473684211</v>
      </c>
      <c r="Y868" s="5">
        <f>data_origin!Y996</f>
        <v>10.983050847457626</v>
      </c>
      <c r="Z868" s="5">
        <f>data_origin!Z996</f>
        <v>1.2407407407407407</v>
      </c>
      <c r="AA868" s="5">
        <f>data_origin!AA996</f>
        <v>0</v>
      </c>
      <c r="AB868" s="5">
        <f t="shared" si="109"/>
        <v>304.73115705755959</v>
      </c>
    </row>
    <row r="869" spans="4:28" x14ac:dyDescent="0.25">
      <c r="D869" t="s">
        <v>78</v>
      </c>
      <c r="E869" s="38">
        <f t="shared" si="111"/>
        <v>0</v>
      </c>
      <c r="F869" s="38">
        <f t="shared" si="111"/>
        <v>0</v>
      </c>
      <c r="G869" s="38">
        <f t="shared" si="111"/>
        <v>66.443341011939779</v>
      </c>
      <c r="H869" s="38">
        <f t="shared" si="110"/>
        <v>97.682842713243033</v>
      </c>
      <c r="I869" s="38">
        <f t="shared" si="110"/>
        <v>22.370475012840611</v>
      </c>
      <c r="J869" s="38">
        <f t="shared" si="110"/>
        <v>1.2456026002670852</v>
      </c>
      <c r="K869" s="38">
        <f t="shared" si="110"/>
        <v>1.2638888888888888</v>
      </c>
      <c r="L869" s="38">
        <f t="shared" si="106"/>
        <v>0</v>
      </c>
      <c r="M869" s="35">
        <f t="shared" si="108"/>
        <v>189.0061502271794</v>
      </c>
      <c r="S869" t="s">
        <v>78</v>
      </c>
      <c r="T869" s="5">
        <f>data_origin!T997</f>
        <v>0</v>
      </c>
      <c r="U869" s="5">
        <f>data_origin!U997</f>
        <v>0</v>
      </c>
      <c r="V869" s="5">
        <f>data_origin!V997</f>
        <v>65.926421404682273</v>
      </c>
      <c r="W869" s="5">
        <f>data_origin!W997</f>
        <v>96.478893740902478</v>
      </c>
      <c r="X869" s="5">
        <f>data_origin!X997</f>
        <v>21.978947368421053</v>
      </c>
      <c r="Y869" s="5">
        <f>data_origin!Y997</f>
        <v>1.2203389830508475</v>
      </c>
      <c r="Z869" s="5">
        <f>data_origin!Z997</f>
        <v>1.2407407407407407</v>
      </c>
      <c r="AA869" s="5">
        <f>data_origin!AA997</f>
        <v>0</v>
      </c>
      <c r="AB869" s="5">
        <f t="shared" si="109"/>
        <v>186.84534223779738</v>
      </c>
    </row>
    <row r="870" spans="4:28" x14ac:dyDescent="0.25">
      <c r="D870" t="s">
        <v>79</v>
      </c>
      <c r="E870" s="38">
        <f t="shared" si="111"/>
        <v>0</v>
      </c>
      <c r="F870" s="38">
        <f t="shared" si="111"/>
        <v>0</v>
      </c>
      <c r="G870" s="38">
        <f t="shared" si="111"/>
        <v>11.864882323560677</v>
      </c>
      <c r="H870" s="38">
        <f t="shared" si="110"/>
        <v>29.675800317947246</v>
      </c>
      <c r="I870" s="38">
        <f t="shared" si="110"/>
        <v>50.954970862581391</v>
      </c>
      <c r="J870" s="38">
        <f t="shared" si="110"/>
        <v>19.929641604273364</v>
      </c>
      <c r="K870" s="38">
        <f t="shared" si="110"/>
        <v>11.375</v>
      </c>
      <c r="L870" s="38">
        <f t="shared" si="106"/>
        <v>2.5846153846153843</v>
      </c>
      <c r="M870" s="35">
        <f t="shared" si="108"/>
        <v>126.38491049297808</v>
      </c>
      <c r="S870" t="s">
        <v>79</v>
      </c>
      <c r="T870" s="5">
        <f>data_origin!T998</f>
        <v>0</v>
      </c>
      <c r="U870" s="5">
        <f>data_origin!U998</f>
        <v>0</v>
      </c>
      <c r="V870" s="5">
        <f>data_origin!V998</f>
        <v>11.77257525083612</v>
      </c>
      <c r="W870" s="5">
        <f>data_origin!W998</f>
        <v>29.310043668122269</v>
      </c>
      <c r="X870" s="5">
        <f>data_origin!X998</f>
        <v>50.063157894736847</v>
      </c>
      <c r="Y870" s="5">
        <f>data_origin!Y998</f>
        <v>19.525423728813561</v>
      </c>
      <c r="Z870" s="5">
        <f>data_origin!Z998</f>
        <v>11.166666666666666</v>
      </c>
      <c r="AA870" s="5">
        <f>data_origin!AA998</f>
        <v>2.4</v>
      </c>
      <c r="AB870" s="5">
        <f t="shared" si="109"/>
        <v>124.23786720917548</v>
      </c>
    </row>
    <row r="871" spans="4:28" x14ac:dyDescent="0.25">
      <c r="D871" t="s">
        <v>80</v>
      </c>
      <c r="E871" s="38">
        <f t="shared" si="111"/>
        <v>0</v>
      </c>
      <c r="F871" s="38">
        <f t="shared" si="111"/>
        <v>0</v>
      </c>
      <c r="G871" s="38">
        <f t="shared" si="111"/>
        <v>43.900064597174499</v>
      </c>
      <c r="H871" s="38">
        <f t="shared" si="110"/>
        <v>80.371959194440464</v>
      </c>
      <c r="I871" s="38">
        <f t="shared" si="110"/>
        <v>52.197775029961427</v>
      </c>
      <c r="J871" s="38">
        <f t="shared" si="110"/>
        <v>12.456026002670853</v>
      </c>
      <c r="K871" s="38">
        <f t="shared" si="110"/>
        <v>1.2638888888888888</v>
      </c>
      <c r="L871" s="38">
        <f t="shared" si="106"/>
        <v>2.5846153846153843</v>
      </c>
      <c r="M871" s="35">
        <f t="shared" si="108"/>
        <v>192.77432909775152</v>
      </c>
      <c r="S871" t="s">
        <v>80</v>
      </c>
      <c r="T871" s="5">
        <f>data_origin!T999</f>
        <v>0</v>
      </c>
      <c r="U871" s="5">
        <f>data_origin!U999</f>
        <v>0</v>
      </c>
      <c r="V871" s="5">
        <f>data_origin!V999</f>
        <v>43.558528428093645</v>
      </c>
      <c r="W871" s="5">
        <f>data_origin!W999</f>
        <v>79.381368267831149</v>
      </c>
      <c r="X871" s="5">
        <f>data_origin!X999</f>
        <v>51.284210526315789</v>
      </c>
      <c r="Y871" s="5">
        <f>data_origin!Y999</f>
        <v>12.203389830508474</v>
      </c>
      <c r="Z871" s="5">
        <f>data_origin!Z999</f>
        <v>1.2407407407407407</v>
      </c>
      <c r="AA871" s="5">
        <f>data_origin!AA999</f>
        <v>2.4</v>
      </c>
      <c r="AB871" s="5">
        <f t="shared" si="109"/>
        <v>190.06823779348983</v>
      </c>
    </row>
    <row r="872" spans="4:28" x14ac:dyDescent="0.25">
      <c r="D872" t="s">
        <v>81</v>
      </c>
      <c r="E872" s="38">
        <f t="shared" si="111"/>
        <v>0</v>
      </c>
      <c r="F872" s="38">
        <f t="shared" si="111"/>
        <v>0</v>
      </c>
      <c r="G872" s="38">
        <f t="shared" si="111"/>
        <v>26.102741111833488</v>
      </c>
      <c r="H872" s="38">
        <f t="shared" si="110"/>
        <v>44.513700476920874</v>
      </c>
      <c r="I872" s="38">
        <f t="shared" si="110"/>
        <v>17.399258343320472</v>
      </c>
      <c r="J872" s="38">
        <f t="shared" si="110"/>
        <v>2.4912052005341705</v>
      </c>
      <c r="K872" s="38">
        <f t="shared" si="110"/>
        <v>1.2638888888888888</v>
      </c>
      <c r="L872" s="38">
        <f t="shared" si="106"/>
        <v>0</v>
      </c>
      <c r="M872" s="35">
        <f t="shared" si="108"/>
        <v>91.770794021497878</v>
      </c>
      <c r="S872" t="s">
        <v>81</v>
      </c>
      <c r="T872" s="5">
        <f>data_origin!T1000</f>
        <v>0</v>
      </c>
      <c r="U872" s="5">
        <f>data_origin!U1000</f>
        <v>0</v>
      </c>
      <c r="V872" s="5">
        <f>data_origin!V1000</f>
        <v>25.899665551839465</v>
      </c>
      <c r="W872" s="5">
        <f>data_origin!W1000</f>
        <v>43.965065502183407</v>
      </c>
      <c r="X872" s="5">
        <f>data_origin!X1000</f>
        <v>17.094736842105263</v>
      </c>
      <c r="Y872" s="5">
        <f>data_origin!Y1000</f>
        <v>2.4406779661016951</v>
      </c>
      <c r="Z872" s="5">
        <f>data_origin!Z1000</f>
        <v>1.2407407407407407</v>
      </c>
      <c r="AA872" s="5">
        <f>data_origin!AA1000</f>
        <v>0</v>
      </c>
      <c r="AB872" s="5">
        <f t="shared" si="109"/>
        <v>90.640886602970568</v>
      </c>
    </row>
    <row r="873" spans="4:28" x14ac:dyDescent="0.25">
      <c r="D873" t="s">
        <v>82</v>
      </c>
      <c r="E873" s="38">
        <f t="shared" si="111"/>
        <v>0</v>
      </c>
      <c r="F873" s="38">
        <f t="shared" si="111"/>
        <v>0</v>
      </c>
      <c r="G873" s="38">
        <f t="shared" si="111"/>
        <v>32.035182273613827</v>
      </c>
      <c r="H873" s="38">
        <f t="shared" si="110"/>
        <v>71.716517435039179</v>
      </c>
      <c r="I873" s="38">
        <f t="shared" si="110"/>
        <v>49.712166695201347</v>
      </c>
      <c r="J873" s="38">
        <f t="shared" si="110"/>
        <v>6.2280130013354267</v>
      </c>
      <c r="K873" s="38">
        <f t="shared" si="110"/>
        <v>1.2638888888888888</v>
      </c>
      <c r="L873" s="38">
        <f t="shared" si="106"/>
        <v>0</v>
      </c>
      <c r="M873" s="35">
        <f t="shared" si="108"/>
        <v>160.95576829407867</v>
      </c>
      <c r="S873" t="s">
        <v>82</v>
      </c>
      <c r="T873" s="5">
        <f>data_origin!T1001</f>
        <v>0</v>
      </c>
      <c r="U873" s="5">
        <f>data_origin!U1001</f>
        <v>0</v>
      </c>
      <c r="V873" s="5">
        <f>data_origin!V1001</f>
        <v>31.785953177257525</v>
      </c>
      <c r="W873" s="5">
        <f>data_origin!W1001</f>
        <v>70.832605531295485</v>
      </c>
      <c r="X873" s="5">
        <f>data_origin!X1001</f>
        <v>48.84210526315789</v>
      </c>
      <c r="Y873" s="5">
        <f>data_origin!Y1001</f>
        <v>6.101694915254237</v>
      </c>
      <c r="Z873" s="5">
        <f>data_origin!Z1001</f>
        <v>1.2407407407407407</v>
      </c>
      <c r="AA873" s="5">
        <f>data_origin!AA1001</f>
        <v>0</v>
      </c>
      <c r="AB873" s="5">
        <f t="shared" si="109"/>
        <v>158.80309962770588</v>
      </c>
    </row>
    <row r="874" spans="4:28" x14ac:dyDescent="0.25">
      <c r="D874" t="s">
        <v>83</v>
      </c>
      <c r="E874" s="38">
        <f t="shared" si="111"/>
        <v>0</v>
      </c>
      <c r="F874" s="38">
        <f t="shared" si="111"/>
        <v>0</v>
      </c>
      <c r="G874" s="38">
        <f t="shared" si="111"/>
        <v>15.424347020628881</v>
      </c>
      <c r="H874" s="38">
        <f t="shared" si="110"/>
        <v>25.966325278203843</v>
      </c>
      <c r="I874" s="38">
        <f t="shared" si="110"/>
        <v>8.6996291716602361</v>
      </c>
      <c r="J874" s="38">
        <f t="shared" si="110"/>
        <v>0</v>
      </c>
      <c r="K874" s="38">
        <f t="shared" si="110"/>
        <v>0</v>
      </c>
      <c r="L874" s="38">
        <f t="shared" si="106"/>
        <v>0</v>
      </c>
      <c r="M874" s="35">
        <f t="shared" si="108"/>
        <v>50.09030147049296</v>
      </c>
      <c r="S874" t="s">
        <v>83</v>
      </c>
      <c r="T874" s="5">
        <f>data_origin!T1002</f>
        <v>0</v>
      </c>
      <c r="U874" s="5">
        <f>data_origin!U1002</f>
        <v>0</v>
      </c>
      <c r="V874" s="5">
        <f>data_origin!V1002</f>
        <v>15.304347826086957</v>
      </c>
      <c r="W874" s="5">
        <f>data_origin!W1002</f>
        <v>25.646288209606986</v>
      </c>
      <c r="X874" s="5">
        <f>data_origin!X1002</f>
        <v>8.5473684210526315</v>
      </c>
      <c r="Y874" s="5">
        <f>data_origin!Y1002</f>
        <v>0</v>
      </c>
      <c r="Z874" s="5">
        <f>data_origin!Z1002</f>
        <v>0</v>
      </c>
      <c r="AA874" s="5">
        <f>data_origin!AA1002</f>
        <v>0</v>
      </c>
      <c r="AB874" s="5">
        <f t="shared" si="109"/>
        <v>49.498004456746578</v>
      </c>
    </row>
    <row r="875" spans="4:28" x14ac:dyDescent="0.25">
      <c r="D875" t="s">
        <v>84</v>
      </c>
      <c r="E875" s="38">
        <f t="shared" si="111"/>
        <v>0</v>
      </c>
      <c r="F875" s="38">
        <f t="shared" si="111"/>
        <v>0</v>
      </c>
      <c r="G875" s="38">
        <f t="shared" si="111"/>
        <v>30.848694041257762</v>
      </c>
      <c r="H875" s="38">
        <f t="shared" si="110"/>
        <v>32.148783677776187</v>
      </c>
      <c r="I875" s="38">
        <f t="shared" si="110"/>
        <v>14.913650008560404</v>
      </c>
      <c r="J875" s="38">
        <f t="shared" si="110"/>
        <v>4.982410401068341</v>
      </c>
      <c r="K875" s="38">
        <f t="shared" si="110"/>
        <v>1.2638888888888888</v>
      </c>
      <c r="L875" s="38">
        <f t="shared" si="106"/>
        <v>0</v>
      </c>
      <c r="M875" s="35">
        <f t="shared" si="108"/>
        <v>84.157427017551584</v>
      </c>
      <c r="S875" t="s">
        <v>84</v>
      </c>
      <c r="T875" s="5">
        <f>data_origin!T1003</f>
        <v>0</v>
      </c>
      <c r="U875" s="5">
        <f>data_origin!U1003</f>
        <v>0</v>
      </c>
      <c r="V875" s="5">
        <f>data_origin!V1003</f>
        <v>30.608695652173914</v>
      </c>
      <c r="W875" s="5">
        <f>data_origin!W1003</f>
        <v>31.75254730713246</v>
      </c>
      <c r="X875" s="5">
        <f>data_origin!X1003</f>
        <v>14.652631578947368</v>
      </c>
      <c r="Y875" s="5">
        <f>data_origin!Y1003</f>
        <v>4.8813559322033901</v>
      </c>
      <c r="Z875" s="5">
        <f>data_origin!Z1003</f>
        <v>1.2407407407407407</v>
      </c>
      <c r="AA875" s="5">
        <f>data_origin!AA1003</f>
        <v>0</v>
      </c>
      <c r="AB875" s="5">
        <f t="shared" si="109"/>
        <v>83.135971211197884</v>
      </c>
    </row>
    <row r="876" spans="4:28" x14ac:dyDescent="0.25">
      <c r="D876" t="s">
        <v>85</v>
      </c>
      <c r="E876" s="38">
        <f t="shared" si="111"/>
        <v>0</v>
      </c>
      <c r="F876" s="38">
        <f t="shared" si="111"/>
        <v>0</v>
      </c>
      <c r="G876" s="38">
        <f t="shared" si="111"/>
        <v>87.800129194348997</v>
      </c>
      <c r="H876" s="38">
        <f t="shared" si="110"/>
        <v>179.29129358759795</v>
      </c>
      <c r="I876" s="38">
        <f t="shared" si="110"/>
        <v>38.526929188781047</v>
      </c>
      <c r="J876" s="38">
        <f t="shared" si="110"/>
        <v>3.7368078008012557</v>
      </c>
      <c r="K876" s="38">
        <f t="shared" si="110"/>
        <v>2.5277777777777777</v>
      </c>
      <c r="L876" s="38">
        <f t="shared" si="106"/>
        <v>1.2923076923076922</v>
      </c>
      <c r="M876" s="35">
        <f t="shared" si="108"/>
        <v>313.17524524161473</v>
      </c>
      <c r="S876" t="s">
        <v>85</v>
      </c>
      <c r="T876" s="5">
        <f>data_origin!T1004</f>
        <v>0</v>
      </c>
      <c r="U876" s="5">
        <f>data_origin!U1004</f>
        <v>0</v>
      </c>
      <c r="V876" s="5">
        <f>data_origin!V1004</f>
        <v>87.11705685618729</v>
      </c>
      <c r="W876" s="5">
        <f>data_origin!W1004</f>
        <v>177.08151382823871</v>
      </c>
      <c r="X876" s="5">
        <f>data_origin!X1004</f>
        <v>37.852631578947367</v>
      </c>
      <c r="Y876" s="5">
        <f>data_origin!Y1004</f>
        <v>3.6610169491525424</v>
      </c>
      <c r="Z876" s="5">
        <f>data_origin!Z1004</f>
        <v>2.4814814814814814</v>
      </c>
      <c r="AA876" s="5">
        <f>data_origin!AA1004</f>
        <v>1.2</v>
      </c>
      <c r="AB876" s="5">
        <f t="shared" si="109"/>
        <v>309.39370069400735</v>
      </c>
    </row>
    <row r="877" spans="4:28" x14ac:dyDescent="0.25">
      <c r="D877" t="s">
        <v>86</v>
      </c>
      <c r="E877" s="38">
        <f t="shared" si="111"/>
        <v>0</v>
      </c>
      <c r="F877" s="38">
        <f t="shared" si="111"/>
        <v>0</v>
      </c>
      <c r="G877" s="38">
        <f t="shared" si="111"/>
        <v>119.83531146796282</v>
      </c>
      <c r="H877" s="38">
        <f t="shared" si="110"/>
        <v>311.59590333844613</v>
      </c>
      <c r="I877" s="38">
        <f t="shared" si="110"/>
        <v>172.50697509844468</v>
      </c>
      <c r="J877" s="38">
        <f t="shared" si="110"/>
        <v>56.05211701201884</v>
      </c>
      <c r="K877" s="38">
        <f t="shared" si="110"/>
        <v>15.166666666666668</v>
      </c>
      <c r="L877" s="38">
        <f t="shared" si="106"/>
        <v>5.1692307692307686</v>
      </c>
      <c r="M877" s="35">
        <f t="shared" si="108"/>
        <v>680.32620435276988</v>
      </c>
      <c r="S877" t="s">
        <v>86</v>
      </c>
      <c r="T877" s="5">
        <f>data_origin!T1005</f>
        <v>0</v>
      </c>
      <c r="U877" s="5">
        <f>data_origin!U1005</f>
        <v>0</v>
      </c>
      <c r="V877" s="5">
        <f>data_origin!V1005</f>
        <v>118.90301003344482</v>
      </c>
      <c r="W877" s="5">
        <f>data_origin!W1005</f>
        <v>307.75545851528386</v>
      </c>
      <c r="X877" s="5">
        <f>data_origin!X1005</f>
        <v>168.50526315789475</v>
      </c>
      <c r="Y877" s="5">
        <f>data_origin!Y1005</f>
        <v>54.915254237288138</v>
      </c>
      <c r="Z877" s="5">
        <f>data_origin!Z1005</f>
        <v>14.888888888888889</v>
      </c>
      <c r="AA877" s="5">
        <f>data_origin!AA1005</f>
        <v>4.8</v>
      </c>
      <c r="AB877" s="5">
        <f t="shared" si="109"/>
        <v>669.76787483280054</v>
      </c>
    </row>
    <row r="878" spans="4:28" x14ac:dyDescent="0.25">
      <c r="D878" t="s">
        <v>87</v>
      </c>
      <c r="E878" s="38">
        <f t="shared" si="111"/>
        <v>0</v>
      </c>
      <c r="F878" s="38">
        <f t="shared" si="111"/>
        <v>0</v>
      </c>
      <c r="G878" s="38">
        <f t="shared" si="111"/>
        <v>2.3729764647121359</v>
      </c>
      <c r="H878" s="38">
        <f t="shared" si="110"/>
        <v>21.020358558545968</v>
      </c>
      <c r="I878" s="38">
        <f t="shared" si="110"/>
        <v>8.6996291716602361</v>
      </c>
      <c r="J878" s="38">
        <f t="shared" si="110"/>
        <v>0</v>
      </c>
      <c r="K878" s="38">
        <f t="shared" si="110"/>
        <v>0</v>
      </c>
      <c r="L878" s="38">
        <f t="shared" si="106"/>
        <v>0</v>
      </c>
      <c r="M878" s="35">
        <f t="shared" si="108"/>
        <v>32.092964194918338</v>
      </c>
      <c r="S878" t="s">
        <v>87</v>
      </c>
      <c r="T878" s="5">
        <f>data_origin!T1006</f>
        <v>0</v>
      </c>
      <c r="U878" s="5">
        <f>data_origin!U1006</f>
        <v>0</v>
      </c>
      <c r="V878" s="5">
        <f>data_origin!V1006</f>
        <v>2.3545150501672243</v>
      </c>
      <c r="W878" s="5">
        <f>data_origin!W1006</f>
        <v>20.761280931586608</v>
      </c>
      <c r="X878" s="5">
        <f>data_origin!X1006</f>
        <v>8.5473684210526315</v>
      </c>
      <c r="Y878" s="5">
        <f>data_origin!Y1006</f>
        <v>0</v>
      </c>
      <c r="Z878" s="5">
        <f>data_origin!Z1006</f>
        <v>0</v>
      </c>
      <c r="AA878" s="5">
        <f>data_origin!AA1006</f>
        <v>0</v>
      </c>
      <c r="AB878" s="5">
        <f t="shared" si="109"/>
        <v>31.663164402806466</v>
      </c>
    </row>
    <row r="879" spans="4:28" x14ac:dyDescent="0.25">
      <c r="D879" t="s">
        <v>88</v>
      </c>
      <c r="E879" s="38">
        <f t="shared" si="111"/>
        <v>0</v>
      </c>
      <c r="F879" s="38">
        <f t="shared" si="111"/>
        <v>0</v>
      </c>
      <c r="G879" s="38">
        <f t="shared" si="111"/>
        <v>107.97042914440216</v>
      </c>
      <c r="H879" s="38">
        <f t="shared" si="110"/>
        <v>251.00781102263713</v>
      </c>
      <c r="I879" s="38">
        <f t="shared" si="110"/>
        <v>187.66342927438512</v>
      </c>
      <c r="J879" s="38">
        <f t="shared" si="110"/>
        <v>37.36807800801256</v>
      </c>
      <c r="K879" s="38">
        <f t="shared" si="110"/>
        <v>13.902777777777779</v>
      </c>
      <c r="L879" s="38">
        <f t="shared" si="106"/>
        <v>7.7538461538461538</v>
      </c>
      <c r="M879" s="35">
        <f t="shared" si="108"/>
        <v>605.66637138106103</v>
      </c>
      <c r="S879" t="s">
        <v>88</v>
      </c>
      <c r="T879" s="5">
        <f>data_origin!T1007</f>
        <v>0</v>
      </c>
      <c r="U879" s="5">
        <f>data_origin!U1007</f>
        <v>0</v>
      </c>
      <c r="V879" s="5">
        <f>data_origin!V1007</f>
        <v>107.13043478260869</v>
      </c>
      <c r="W879" s="5">
        <f>data_origin!W1007</f>
        <v>247.9141193595342</v>
      </c>
      <c r="X879" s="5">
        <f>data_origin!X1007</f>
        <v>184.37894736842105</v>
      </c>
      <c r="Y879" s="5">
        <f>data_origin!Y1007</f>
        <v>36.610169491525426</v>
      </c>
      <c r="Z879" s="5">
        <f>data_origin!Z1007</f>
        <v>13.648148148148149</v>
      </c>
      <c r="AA879" s="5">
        <f>data_origin!AA1007</f>
        <v>7.2</v>
      </c>
      <c r="AB879" s="5">
        <f t="shared" si="109"/>
        <v>596.88181915023756</v>
      </c>
    </row>
    <row r="880" spans="4:28" x14ac:dyDescent="0.25">
      <c r="D880" t="s">
        <v>89</v>
      </c>
      <c r="E880" s="38">
        <f t="shared" si="111"/>
        <v>0</v>
      </c>
      <c r="F880" s="38">
        <f t="shared" si="111"/>
        <v>0</v>
      </c>
      <c r="G880" s="38">
        <f t="shared" si="111"/>
        <v>4.7459529294242717</v>
      </c>
      <c r="H880" s="38">
        <f t="shared" si="110"/>
        <v>6.1824583995723437</v>
      </c>
      <c r="I880" s="38">
        <f t="shared" si="110"/>
        <v>3.7284125021401011</v>
      </c>
      <c r="J880" s="38">
        <f t="shared" si="110"/>
        <v>1.2456026002670852</v>
      </c>
      <c r="K880" s="38">
        <f t="shared" si="110"/>
        <v>0</v>
      </c>
      <c r="L880" s="38">
        <f t="shared" si="106"/>
        <v>0</v>
      </c>
      <c r="M880" s="35">
        <f t="shared" si="108"/>
        <v>15.902426431403802</v>
      </c>
      <c r="S880" t="s">
        <v>89</v>
      </c>
      <c r="T880" s="5">
        <f>data_origin!T1008</f>
        <v>0</v>
      </c>
      <c r="U880" s="5">
        <f>data_origin!U1008</f>
        <v>0</v>
      </c>
      <c r="V880" s="5">
        <f>data_origin!V1008</f>
        <v>4.7090301003344486</v>
      </c>
      <c r="W880" s="5">
        <f>data_origin!W1008</f>
        <v>6.1062590975254736</v>
      </c>
      <c r="X880" s="5">
        <f>data_origin!X1008</f>
        <v>3.6631578947368419</v>
      </c>
      <c r="Y880" s="5">
        <f>data_origin!Y1008</f>
        <v>1.2203389830508475</v>
      </c>
      <c r="Z880" s="5">
        <f>data_origin!Z1008</f>
        <v>0</v>
      </c>
      <c r="AA880" s="5">
        <f>data_origin!AA1008</f>
        <v>0</v>
      </c>
      <c r="AB880" s="5">
        <f t="shared" si="109"/>
        <v>15.698786075647611</v>
      </c>
    </row>
    <row r="881" spans="1:28" x14ac:dyDescent="0.25">
      <c r="D881" t="s">
        <v>90</v>
      </c>
      <c r="E881" s="38">
        <f t="shared" si="111"/>
        <v>0</v>
      </c>
      <c r="F881" s="38">
        <f t="shared" si="111"/>
        <v>0</v>
      </c>
      <c r="G881" s="38">
        <f t="shared" si="111"/>
        <v>0</v>
      </c>
      <c r="H881" s="38">
        <f t="shared" si="110"/>
        <v>0</v>
      </c>
      <c r="I881" s="38">
        <f t="shared" si="110"/>
        <v>0</v>
      </c>
      <c r="J881" s="38">
        <f t="shared" si="110"/>
        <v>0</v>
      </c>
      <c r="K881" s="38">
        <f t="shared" si="110"/>
        <v>0</v>
      </c>
      <c r="L881" s="38">
        <f t="shared" si="106"/>
        <v>0</v>
      </c>
      <c r="M881" s="35">
        <f t="shared" si="108"/>
        <v>0</v>
      </c>
      <c r="S881" t="s">
        <v>90</v>
      </c>
      <c r="T881" s="5">
        <f>data_origin!T1009</f>
        <v>0</v>
      </c>
      <c r="U881" s="5">
        <f>data_origin!U1009</f>
        <v>0</v>
      </c>
      <c r="V881" s="5">
        <f>data_origin!V1009</f>
        <v>0</v>
      </c>
      <c r="W881" s="5">
        <f>data_origin!W1009</f>
        <v>0</v>
      </c>
      <c r="X881" s="5">
        <f>data_origin!X1009</f>
        <v>0</v>
      </c>
      <c r="Y881" s="5">
        <f>data_origin!Y1009</f>
        <v>0</v>
      </c>
      <c r="Z881" s="5">
        <f>data_origin!Z1009</f>
        <v>0</v>
      </c>
      <c r="AA881" s="5">
        <f>data_origin!AA1009</f>
        <v>0</v>
      </c>
      <c r="AB881" s="5">
        <f t="shared" si="109"/>
        <v>0</v>
      </c>
    </row>
    <row r="882" spans="1:28" x14ac:dyDescent="0.25">
      <c r="D882" t="s">
        <v>91</v>
      </c>
      <c r="E882" s="38">
        <f t="shared" si="111"/>
        <v>0</v>
      </c>
      <c r="F882" s="38">
        <f t="shared" si="111"/>
        <v>0</v>
      </c>
      <c r="G882" s="38">
        <f t="shared" si="111"/>
        <v>0</v>
      </c>
      <c r="H882" s="38">
        <f t="shared" si="110"/>
        <v>1.2364916799144687</v>
      </c>
      <c r="I882" s="38">
        <f t="shared" si="110"/>
        <v>0</v>
      </c>
      <c r="J882" s="38">
        <f t="shared" si="110"/>
        <v>0</v>
      </c>
      <c r="K882" s="38">
        <f t="shared" si="110"/>
        <v>0</v>
      </c>
      <c r="L882" s="38">
        <f t="shared" si="106"/>
        <v>0</v>
      </c>
      <c r="M882" s="35">
        <f t="shared" si="108"/>
        <v>1.2364916799144687</v>
      </c>
      <c r="S882" t="s">
        <v>91</v>
      </c>
      <c r="T882" s="5">
        <f>data_origin!T1010</f>
        <v>0</v>
      </c>
      <c r="U882" s="5">
        <f>data_origin!U1010</f>
        <v>0</v>
      </c>
      <c r="V882" s="5">
        <f>data_origin!V1010</f>
        <v>0</v>
      </c>
      <c r="W882" s="5">
        <f>data_origin!W1010</f>
        <v>1.2212518195050945</v>
      </c>
      <c r="X882" s="5">
        <f>data_origin!X1010</f>
        <v>0</v>
      </c>
      <c r="Y882" s="5">
        <f>data_origin!Y1010</f>
        <v>0</v>
      </c>
      <c r="Z882" s="5">
        <f>data_origin!Z1010</f>
        <v>0</v>
      </c>
      <c r="AA882" s="5">
        <f>data_origin!AA1010</f>
        <v>0</v>
      </c>
      <c r="AB882" s="5">
        <f t="shared" si="109"/>
        <v>1.2212518195050945</v>
      </c>
    </row>
    <row r="883" spans="1:28" x14ac:dyDescent="0.25">
      <c r="D883" t="s">
        <v>92</v>
      </c>
      <c r="E883" s="38">
        <f t="shared" si="111"/>
        <v>0</v>
      </c>
      <c r="F883" s="38">
        <f t="shared" si="111"/>
        <v>0</v>
      </c>
      <c r="G883" s="38">
        <f t="shared" si="111"/>
        <v>0</v>
      </c>
      <c r="H883" s="38">
        <f t="shared" si="110"/>
        <v>0</v>
      </c>
      <c r="I883" s="38">
        <f t="shared" si="110"/>
        <v>0</v>
      </c>
      <c r="J883" s="38">
        <f t="shared" si="110"/>
        <v>0</v>
      </c>
      <c r="K883" s="38">
        <f t="shared" si="110"/>
        <v>0</v>
      </c>
      <c r="L883" s="38">
        <f t="shared" si="106"/>
        <v>0</v>
      </c>
      <c r="M883" s="35">
        <f t="shared" si="108"/>
        <v>0</v>
      </c>
      <c r="S883" t="s">
        <v>92</v>
      </c>
      <c r="T883" s="5">
        <f>data_origin!T1011</f>
        <v>0</v>
      </c>
      <c r="U883" s="5">
        <f>data_origin!U1011</f>
        <v>0</v>
      </c>
      <c r="V883" s="5">
        <f>data_origin!V1011</f>
        <v>0</v>
      </c>
      <c r="W883" s="5">
        <f>data_origin!W1011</f>
        <v>0</v>
      </c>
      <c r="X883" s="5">
        <f>data_origin!X1011</f>
        <v>0</v>
      </c>
      <c r="Y883" s="5">
        <f>data_origin!Y1011</f>
        <v>0</v>
      </c>
      <c r="Z883" s="5">
        <f>data_origin!Z1011</f>
        <v>0</v>
      </c>
      <c r="AA883" s="5">
        <f>data_origin!AA1011</f>
        <v>0</v>
      </c>
      <c r="AB883" s="5">
        <f t="shared" si="109"/>
        <v>0</v>
      </c>
    </row>
    <row r="884" spans="1:28" x14ac:dyDescent="0.25">
      <c r="D884" t="s">
        <v>93</v>
      </c>
      <c r="E884" s="38">
        <f t="shared" si="111"/>
        <v>0</v>
      </c>
      <c r="F884" s="38">
        <f t="shared" si="111"/>
        <v>0</v>
      </c>
      <c r="G884" s="38">
        <f t="shared" si="111"/>
        <v>0</v>
      </c>
      <c r="H884" s="38">
        <f t="shared" si="110"/>
        <v>0</v>
      </c>
      <c r="I884" s="38">
        <f t="shared" si="110"/>
        <v>0</v>
      </c>
      <c r="J884" s="38">
        <f t="shared" si="110"/>
        <v>0</v>
      </c>
      <c r="K884" s="38">
        <f t="shared" si="110"/>
        <v>0</v>
      </c>
      <c r="L884" s="38">
        <f t="shared" si="106"/>
        <v>0</v>
      </c>
      <c r="M884" s="35">
        <f t="shared" si="108"/>
        <v>0</v>
      </c>
      <c r="S884" t="s">
        <v>93</v>
      </c>
      <c r="T884" s="5">
        <f>data_origin!T1012</f>
        <v>0</v>
      </c>
      <c r="U884" s="5">
        <f>data_origin!U1012</f>
        <v>0</v>
      </c>
      <c r="V884" s="5">
        <f>data_origin!V1012</f>
        <v>0</v>
      </c>
      <c r="W884" s="5">
        <f>data_origin!W1012</f>
        <v>0</v>
      </c>
      <c r="X884" s="5">
        <f>data_origin!X1012</f>
        <v>0</v>
      </c>
      <c r="Y884" s="5">
        <f>data_origin!Y1012</f>
        <v>0</v>
      </c>
      <c r="Z884" s="5">
        <f>data_origin!Z1012</f>
        <v>0</v>
      </c>
      <c r="AA884" s="5">
        <f>data_origin!AA1012</f>
        <v>0</v>
      </c>
      <c r="AB884" s="5">
        <f t="shared" si="109"/>
        <v>0</v>
      </c>
    </row>
    <row r="885" spans="1:28" x14ac:dyDescent="0.25">
      <c r="D885" t="s">
        <v>94</v>
      </c>
      <c r="E885" s="38">
        <f t="shared" si="111"/>
        <v>0</v>
      </c>
      <c r="F885" s="38">
        <f t="shared" si="111"/>
        <v>0</v>
      </c>
      <c r="G885" s="38">
        <f t="shared" si="111"/>
        <v>0</v>
      </c>
      <c r="H885" s="38">
        <f t="shared" si="110"/>
        <v>0</v>
      </c>
      <c r="I885" s="38">
        <f t="shared" si="110"/>
        <v>0</v>
      </c>
      <c r="J885" s="38">
        <f t="shared" si="110"/>
        <v>0</v>
      </c>
      <c r="K885" s="38">
        <f t="shared" si="110"/>
        <v>0</v>
      </c>
      <c r="L885" s="38">
        <f t="shared" si="106"/>
        <v>0</v>
      </c>
      <c r="M885" s="35">
        <f t="shared" si="108"/>
        <v>0</v>
      </c>
      <c r="S885" t="s">
        <v>94</v>
      </c>
      <c r="T885" s="5">
        <f>data_origin!T1013</f>
        <v>0</v>
      </c>
      <c r="U885" s="5">
        <f>data_origin!U1013</f>
        <v>0</v>
      </c>
      <c r="V885" s="5">
        <f>data_origin!V1013</f>
        <v>0</v>
      </c>
      <c r="W885" s="5">
        <f>data_origin!W1013</f>
        <v>0</v>
      </c>
      <c r="X885" s="5">
        <f>data_origin!X1013</f>
        <v>0</v>
      </c>
      <c r="Y885" s="5">
        <f>data_origin!Y1013</f>
        <v>0</v>
      </c>
      <c r="Z885" s="5">
        <f>data_origin!Z1013</f>
        <v>0</v>
      </c>
      <c r="AA885" s="5">
        <f>data_origin!AA1013</f>
        <v>0</v>
      </c>
      <c r="AB885" s="5">
        <f t="shared" si="109"/>
        <v>0</v>
      </c>
    </row>
    <row r="886" spans="1:28" x14ac:dyDescent="0.25">
      <c r="D886" t="s">
        <v>95</v>
      </c>
      <c r="E886" s="38">
        <f t="shared" si="111"/>
        <v>0</v>
      </c>
      <c r="F886" s="38">
        <f t="shared" si="111"/>
        <v>0</v>
      </c>
      <c r="G886" s="38">
        <f t="shared" si="111"/>
        <v>0</v>
      </c>
      <c r="H886" s="38">
        <f t="shared" si="110"/>
        <v>0</v>
      </c>
      <c r="I886" s="38">
        <f t="shared" si="110"/>
        <v>0</v>
      </c>
      <c r="J886" s="38">
        <f t="shared" si="110"/>
        <v>0</v>
      </c>
      <c r="K886" s="38">
        <f t="shared" si="110"/>
        <v>0</v>
      </c>
      <c r="L886" s="38">
        <f t="shared" si="106"/>
        <v>0</v>
      </c>
      <c r="M886" s="35">
        <f t="shared" si="108"/>
        <v>0</v>
      </c>
      <c r="S886" t="s">
        <v>95</v>
      </c>
      <c r="T886" s="5">
        <f>data_origin!T1014</f>
        <v>0</v>
      </c>
      <c r="U886" s="5">
        <f>data_origin!U1014</f>
        <v>0</v>
      </c>
      <c r="V886" s="5">
        <f>data_origin!V1014</f>
        <v>0</v>
      </c>
      <c r="W886" s="5">
        <f>data_origin!W1014</f>
        <v>0</v>
      </c>
      <c r="X886" s="5">
        <f>data_origin!X1014</f>
        <v>0</v>
      </c>
      <c r="Y886" s="5">
        <f>data_origin!Y1014</f>
        <v>0</v>
      </c>
      <c r="Z886" s="5">
        <f>data_origin!Z1014</f>
        <v>0</v>
      </c>
      <c r="AA886" s="5">
        <f>data_origin!AA1014</f>
        <v>0</v>
      </c>
      <c r="AB886" s="5">
        <f t="shared" si="109"/>
        <v>0</v>
      </c>
    </row>
    <row r="887" spans="1:28" x14ac:dyDescent="0.25">
      <c r="D887" t="s">
        <v>96</v>
      </c>
      <c r="E887" s="38">
        <f t="shared" si="111"/>
        <v>0</v>
      </c>
      <c r="F887" s="38">
        <f t="shared" si="111"/>
        <v>0</v>
      </c>
      <c r="G887" s="38">
        <f t="shared" si="111"/>
        <v>0</v>
      </c>
      <c r="H887" s="38">
        <f t="shared" si="110"/>
        <v>4.9459667196578749</v>
      </c>
      <c r="I887" s="38">
        <f t="shared" si="110"/>
        <v>1.2428041673800339</v>
      </c>
      <c r="J887" s="38">
        <f t="shared" si="110"/>
        <v>1.2456026002670852</v>
      </c>
      <c r="K887" s="38">
        <f t="shared" si="110"/>
        <v>0</v>
      </c>
      <c r="L887" s="38">
        <f t="shared" si="106"/>
        <v>0</v>
      </c>
      <c r="M887" s="35">
        <f t="shared" si="108"/>
        <v>7.4343734873049936</v>
      </c>
      <c r="S887" t="s">
        <v>96</v>
      </c>
      <c r="T887" s="5">
        <f>data_origin!T1015</f>
        <v>0</v>
      </c>
      <c r="U887" s="5">
        <f>data_origin!U1015</f>
        <v>0</v>
      </c>
      <c r="V887" s="5">
        <f>data_origin!V1015</f>
        <v>0</v>
      </c>
      <c r="W887" s="5">
        <f>data_origin!W1015</f>
        <v>4.8850072780203782</v>
      </c>
      <c r="X887" s="5">
        <f>data_origin!X1015</f>
        <v>1.2210526315789474</v>
      </c>
      <c r="Y887" s="5">
        <f>data_origin!Y1015</f>
        <v>1.2203389830508475</v>
      </c>
      <c r="Z887" s="5">
        <f>data_origin!Z1015</f>
        <v>0</v>
      </c>
      <c r="AA887" s="5">
        <f>data_origin!AA1015</f>
        <v>0</v>
      </c>
      <c r="AB887" s="5">
        <f t="shared" si="109"/>
        <v>7.3263988926501735</v>
      </c>
    </row>
    <row r="888" spans="1:28" x14ac:dyDescent="0.25">
      <c r="D888" t="s">
        <v>97</v>
      </c>
      <c r="E888" s="38">
        <f t="shared" si="111"/>
        <v>0</v>
      </c>
      <c r="F888" s="38">
        <f t="shared" si="111"/>
        <v>0</v>
      </c>
      <c r="G888" s="38">
        <f t="shared" si="111"/>
        <v>0</v>
      </c>
      <c r="H888" s="38">
        <f t="shared" si="110"/>
        <v>0</v>
      </c>
      <c r="I888" s="38">
        <f t="shared" si="110"/>
        <v>0</v>
      </c>
      <c r="J888" s="38">
        <f t="shared" si="110"/>
        <v>0</v>
      </c>
      <c r="K888" s="38">
        <f t="shared" si="110"/>
        <v>0</v>
      </c>
      <c r="L888" s="38">
        <f t="shared" si="106"/>
        <v>0</v>
      </c>
      <c r="M888" s="35">
        <f t="shared" si="108"/>
        <v>0</v>
      </c>
      <c r="S888" t="s">
        <v>97</v>
      </c>
      <c r="T888" s="5">
        <f>data_origin!T1016</f>
        <v>0</v>
      </c>
      <c r="U888" s="5">
        <f>data_origin!U1016</f>
        <v>0</v>
      </c>
      <c r="V888" s="5">
        <f>data_origin!V1016</f>
        <v>0</v>
      </c>
      <c r="W888" s="5">
        <f>data_origin!W1016</f>
        <v>0</v>
      </c>
      <c r="X888" s="5">
        <f>data_origin!X1016</f>
        <v>0</v>
      </c>
      <c r="Y888" s="5">
        <f>data_origin!Y1016</f>
        <v>0</v>
      </c>
      <c r="Z888" s="5">
        <f>data_origin!Z1016</f>
        <v>0</v>
      </c>
      <c r="AA888" s="5">
        <f>data_origin!AA1016</f>
        <v>0</v>
      </c>
      <c r="AB888" s="5">
        <f t="shared" si="109"/>
        <v>0</v>
      </c>
    </row>
    <row r="889" spans="1:28" x14ac:dyDescent="0.25">
      <c r="D889" t="s">
        <v>98</v>
      </c>
      <c r="E889" s="38">
        <f t="shared" si="111"/>
        <v>0</v>
      </c>
      <c r="F889" s="38">
        <f t="shared" si="111"/>
        <v>0</v>
      </c>
      <c r="G889" s="38">
        <f t="shared" si="111"/>
        <v>0</v>
      </c>
      <c r="H889" s="38">
        <f t="shared" si="110"/>
        <v>0</v>
      </c>
      <c r="I889" s="38">
        <f t="shared" si="110"/>
        <v>0</v>
      </c>
      <c r="J889" s="38">
        <f t="shared" si="110"/>
        <v>0</v>
      </c>
      <c r="K889" s="38">
        <f t="shared" si="110"/>
        <v>0</v>
      </c>
      <c r="L889" s="38">
        <f t="shared" si="106"/>
        <v>0</v>
      </c>
      <c r="M889" s="35">
        <f t="shared" si="108"/>
        <v>0</v>
      </c>
      <c r="S889" t="s">
        <v>98</v>
      </c>
      <c r="T889" s="5">
        <f>data_origin!T1017</f>
        <v>0</v>
      </c>
      <c r="U889" s="5">
        <f>data_origin!U1017</f>
        <v>0</v>
      </c>
      <c r="V889" s="5">
        <f>data_origin!V1017</f>
        <v>0</v>
      </c>
      <c r="W889" s="5">
        <f>data_origin!W1017</f>
        <v>0</v>
      </c>
      <c r="X889" s="5">
        <f>data_origin!X1017</f>
        <v>0</v>
      </c>
      <c r="Y889" s="5">
        <f>data_origin!Y1017</f>
        <v>0</v>
      </c>
      <c r="Z889" s="5">
        <f>data_origin!Z1017</f>
        <v>0</v>
      </c>
      <c r="AA889" s="5">
        <f>data_origin!AA1017</f>
        <v>0</v>
      </c>
      <c r="AB889" s="5">
        <f t="shared" si="109"/>
        <v>0</v>
      </c>
    </row>
    <row r="890" spans="1:28" x14ac:dyDescent="0.25">
      <c r="D890" t="s">
        <v>119</v>
      </c>
      <c r="E890" s="38">
        <f t="shared" si="111"/>
        <v>0</v>
      </c>
      <c r="F890" s="38">
        <f t="shared" si="111"/>
        <v>0</v>
      </c>
      <c r="G890" s="38">
        <f t="shared" si="111"/>
        <v>0</v>
      </c>
      <c r="H890" s="38">
        <f t="shared" si="110"/>
        <v>0</v>
      </c>
      <c r="I890" s="38">
        <f t="shared" si="110"/>
        <v>1.2428041673800339</v>
      </c>
      <c r="J890" s="38">
        <f t="shared" si="110"/>
        <v>0</v>
      </c>
      <c r="K890" s="38">
        <f t="shared" si="110"/>
        <v>0</v>
      </c>
      <c r="L890" s="38">
        <f t="shared" si="106"/>
        <v>0</v>
      </c>
      <c r="M890" s="35">
        <f t="shared" si="108"/>
        <v>1.2428041673800339</v>
      </c>
      <c r="S890" t="s">
        <v>119</v>
      </c>
      <c r="T890" s="5">
        <f>data_origin!T1018</f>
        <v>0</v>
      </c>
      <c r="U890" s="5">
        <f>data_origin!U1018</f>
        <v>0</v>
      </c>
      <c r="V890" s="5">
        <f>data_origin!V1018</f>
        <v>0</v>
      </c>
      <c r="W890" s="5">
        <f>data_origin!W1018</f>
        <v>0</v>
      </c>
      <c r="X890" s="5">
        <f>data_origin!X1018</f>
        <v>1.2210526315789474</v>
      </c>
      <c r="Y890" s="5">
        <f>data_origin!Y1018</f>
        <v>0</v>
      </c>
      <c r="Z890" s="5">
        <f>data_origin!Z1018</f>
        <v>0</v>
      </c>
      <c r="AA890" s="5">
        <f>data_origin!AA1018</f>
        <v>0</v>
      </c>
      <c r="AB890" s="5">
        <f t="shared" si="109"/>
        <v>1.2210526315789474</v>
      </c>
    </row>
    <row r="891" spans="1:28" x14ac:dyDescent="0.25">
      <c r="D891" t="s">
        <v>99</v>
      </c>
      <c r="E891" s="38">
        <f t="shared" si="111"/>
        <v>0</v>
      </c>
      <c r="F891" s="38">
        <f t="shared" si="111"/>
        <v>0</v>
      </c>
      <c r="G891" s="38">
        <f t="shared" si="111"/>
        <v>5.9324411617803383</v>
      </c>
      <c r="H891" s="38">
        <f t="shared" si="110"/>
        <v>16.074391838888094</v>
      </c>
      <c r="I891" s="38">
        <f t="shared" si="110"/>
        <v>3.7284125021401011</v>
      </c>
      <c r="J891" s="38">
        <f t="shared" si="110"/>
        <v>0</v>
      </c>
      <c r="K891" s="38">
        <f t="shared" si="110"/>
        <v>1.2638888888888888</v>
      </c>
      <c r="L891" s="38">
        <f t="shared" si="110"/>
        <v>0</v>
      </c>
      <c r="M891" s="35">
        <f t="shared" si="108"/>
        <v>26.999134391697424</v>
      </c>
      <c r="S891" t="s">
        <v>99</v>
      </c>
      <c r="T891" s="5">
        <f>data_origin!T1019</f>
        <v>0</v>
      </c>
      <c r="U891" s="5">
        <f>data_origin!U1019</f>
        <v>0</v>
      </c>
      <c r="V891" s="5">
        <f>data_origin!V1019</f>
        <v>5.8862876254180598</v>
      </c>
      <c r="W891" s="5">
        <f>data_origin!W1019</f>
        <v>15.87627365356623</v>
      </c>
      <c r="X891" s="5">
        <f>data_origin!X1019</f>
        <v>3.6631578947368419</v>
      </c>
      <c r="Y891" s="5">
        <f>data_origin!Y1019</f>
        <v>0</v>
      </c>
      <c r="Z891" s="5">
        <f>data_origin!Z1019</f>
        <v>1.2407407407407407</v>
      </c>
      <c r="AA891" s="5">
        <f>data_origin!AA1019</f>
        <v>0</v>
      </c>
      <c r="AB891" s="5">
        <f t="shared" si="109"/>
        <v>26.666459914461871</v>
      </c>
    </row>
    <row r="892" spans="1:28" x14ac:dyDescent="0.25">
      <c r="D892" t="s">
        <v>100</v>
      </c>
      <c r="E892" s="38">
        <f t="shared" si="111"/>
        <v>0</v>
      </c>
      <c r="F892" s="38">
        <f t="shared" si="111"/>
        <v>0</v>
      </c>
      <c r="G892" s="38">
        <f t="shared" si="111"/>
        <v>0</v>
      </c>
      <c r="H892" s="38">
        <f t="shared" si="110"/>
        <v>0</v>
      </c>
      <c r="I892" s="38">
        <f t="shared" si="110"/>
        <v>1.2428041673800339</v>
      </c>
      <c r="J892" s="38">
        <f t="shared" si="110"/>
        <v>0</v>
      </c>
      <c r="K892" s="38">
        <f t="shared" si="110"/>
        <v>0</v>
      </c>
      <c r="L892" s="38">
        <f t="shared" si="110"/>
        <v>0</v>
      </c>
      <c r="M892" s="35">
        <f t="shared" si="108"/>
        <v>1.2428041673800339</v>
      </c>
      <c r="S892" t="s">
        <v>100</v>
      </c>
      <c r="T892" s="5">
        <f>data_origin!T1020</f>
        <v>0</v>
      </c>
      <c r="U892" s="5">
        <f>data_origin!U1020</f>
        <v>0</v>
      </c>
      <c r="V892" s="5">
        <f>data_origin!V1020</f>
        <v>0</v>
      </c>
      <c r="W892" s="5">
        <f>data_origin!W1020</f>
        <v>0</v>
      </c>
      <c r="X892" s="5">
        <f>data_origin!X1020</f>
        <v>1.2210526315789474</v>
      </c>
      <c r="Y892" s="5">
        <f>data_origin!Y1020</f>
        <v>0</v>
      </c>
      <c r="Z892" s="5">
        <f>data_origin!Z1020</f>
        <v>0</v>
      </c>
      <c r="AA892" s="5">
        <f>data_origin!AA1020</f>
        <v>0</v>
      </c>
      <c r="AB892" s="5">
        <f t="shared" si="109"/>
        <v>1.2210526315789474</v>
      </c>
    </row>
    <row r="893" spans="1:28" x14ac:dyDescent="0.25">
      <c r="D893" t="s">
        <v>101</v>
      </c>
      <c r="E893" s="38">
        <f t="shared" si="111"/>
        <v>0</v>
      </c>
      <c r="F893" s="38">
        <f t="shared" si="111"/>
        <v>0</v>
      </c>
      <c r="G893" s="38">
        <f t="shared" si="111"/>
        <v>23.729764647121353</v>
      </c>
      <c r="H893" s="38">
        <f t="shared" si="110"/>
        <v>63.061075675637909</v>
      </c>
      <c r="I893" s="38">
        <f t="shared" si="110"/>
        <v>12.428041673800337</v>
      </c>
      <c r="J893" s="38">
        <f t="shared" si="110"/>
        <v>3.7368078008012557</v>
      </c>
      <c r="K893" s="38">
        <f t="shared" si="110"/>
        <v>0</v>
      </c>
      <c r="L893" s="38">
        <f t="shared" si="110"/>
        <v>0</v>
      </c>
      <c r="M893" s="35">
        <f t="shared" si="108"/>
        <v>102.95568979736086</v>
      </c>
      <c r="S893" t="s">
        <v>101</v>
      </c>
      <c r="T893" s="5">
        <f>data_origin!T1021</f>
        <v>0</v>
      </c>
      <c r="U893" s="5">
        <f>data_origin!U1021</f>
        <v>0</v>
      </c>
      <c r="V893" s="5">
        <f>data_origin!V1021</f>
        <v>23.545150501672239</v>
      </c>
      <c r="W893" s="5">
        <f>data_origin!W1021</f>
        <v>62.283842794759828</v>
      </c>
      <c r="X893" s="5">
        <f>data_origin!X1021</f>
        <v>12.210526315789473</v>
      </c>
      <c r="Y893" s="5">
        <f>data_origin!Y1021</f>
        <v>3.6610169491525424</v>
      </c>
      <c r="Z893" s="5">
        <f>data_origin!Z1021</f>
        <v>0</v>
      </c>
      <c r="AA893" s="5">
        <f>data_origin!AA1021</f>
        <v>0</v>
      </c>
      <c r="AB893" s="5">
        <f t="shared" si="109"/>
        <v>101.70053656137408</v>
      </c>
    </row>
    <row r="894" spans="1:28" x14ac:dyDescent="0.25">
      <c r="A894" s="23" t="s">
        <v>104</v>
      </c>
      <c r="B894" s="23" t="s">
        <v>117</v>
      </c>
      <c r="C894" s="23" t="s">
        <v>112</v>
      </c>
      <c r="D894" t="s">
        <v>70</v>
      </c>
      <c r="E894" s="38">
        <f t="shared" si="111"/>
        <v>0</v>
      </c>
      <c r="F894" s="38">
        <f t="shared" si="111"/>
        <v>0</v>
      </c>
      <c r="G894" s="38">
        <f t="shared" si="111"/>
        <v>0</v>
      </c>
      <c r="H894" s="38">
        <f t="shared" si="110"/>
        <v>0</v>
      </c>
      <c r="I894" s="38">
        <f t="shared" si="110"/>
        <v>0</v>
      </c>
      <c r="J894" s="38">
        <f t="shared" si="110"/>
        <v>0</v>
      </c>
      <c r="K894" s="38">
        <f t="shared" si="110"/>
        <v>0</v>
      </c>
      <c r="L894" s="38">
        <f t="shared" si="110"/>
        <v>0</v>
      </c>
      <c r="M894" s="35">
        <f t="shared" si="108"/>
        <v>0</v>
      </c>
      <c r="P894" t="s">
        <v>104</v>
      </c>
      <c r="Q894" t="s">
        <v>117</v>
      </c>
      <c r="R894" t="s">
        <v>112</v>
      </c>
      <c r="S894" t="s">
        <v>70</v>
      </c>
      <c r="T894" s="5">
        <f>data_origin!T1023</f>
        <v>0</v>
      </c>
      <c r="U894" s="5">
        <f>data_origin!U1023</f>
        <v>0</v>
      </c>
      <c r="V894" s="5">
        <f>data_origin!V1023</f>
        <v>0</v>
      </c>
      <c r="W894" s="5">
        <f>data_origin!W1023</f>
        <v>0</v>
      </c>
      <c r="X894" s="5">
        <f>data_origin!X1023</f>
        <v>0</v>
      </c>
      <c r="Y894" s="5">
        <f>data_origin!Y1023</f>
        <v>0</v>
      </c>
      <c r="Z894" s="5">
        <f>data_origin!Z1023</f>
        <v>0</v>
      </c>
      <c r="AA894" s="5">
        <f>data_origin!AA1023</f>
        <v>0</v>
      </c>
      <c r="AB894" s="5">
        <f t="shared" si="109"/>
        <v>0</v>
      </c>
    </row>
    <row r="895" spans="1:28" x14ac:dyDescent="0.25">
      <c r="D895" t="s">
        <v>71</v>
      </c>
      <c r="E895" s="38">
        <f t="shared" si="111"/>
        <v>0</v>
      </c>
      <c r="F895" s="38">
        <f t="shared" si="111"/>
        <v>0</v>
      </c>
      <c r="G895" s="38">
        <f t="shared" si="111"/>
        <v>0</v>
      </c>
      <c r="H895" s="38">
        <f t="shared" si="110"/>
        <v>0</v>
      </c>
      <c r="I895" s="38">
        <f t="shared" si="110"/>
        <v>0</v>
      </c>
      <c r="J895" s="38">
        <f t="shared" si="110"/>
        <v>0</v>
      </c>
      <c r="K895" s="38">
        <f t="shared" si="110"/>
        <v>0</v>
      </c>
      <c r="L895" s="38">
        <f t="shared" si="110"/>
        <v>0</v>
      </c>
      <c r="M895" s="35">
        <f t="shared" si="108"/>
        <v>0</v>
      </c>
      <c r="S895" t="s">
        <v>71</v>
      </c>
      <c r="T895" s="5">
        <f>data_origin!T1024</f>
        <v>0</v>
      </c>
      <c r="U895" s="5">
        <f>data_origin!U1024</f>
        <v>0</v>
      </c>
      <c r="V895" s="5">
        <f>data_origin!V1024</f>
        <v>0</v>
      </c>
      <c r="W895" s="5">
        <f>data_origin!W1024</f>
        <v>0</v>
      </c>
      <c r="X895" s="5">
        <f>data_origin!X1024</f>
        <v>0</v>
      </c>
      <c r="Y895" s="5">
        <f>data_origin!Y1024</f>
        <v>0</v>
      </c>
      <c r="Z895" s="5">
        <f>data_origin!Z1024</f>
        <v>0</v>
      </c>
      <c r="AA895" s="5">
        <f>data_origin!AA1024</f>
        <v>0</v>
      </c>
      <c r="AB895" s="5">
        <f t="shared" si="109"/>
        <v>0</v>
      </c>
    </row>
    <row r="896" spans="1:28" x14ac:dyDescent="0.25">
      <c r="D896" t="s">
        <v>72</v>
      </c>
      <c r="E896" s="38">
        <f t="shared" si="111"/>
        <v>0</v>
      </c>
      <c r="F896" s="38">
        <f t="shared" si="111"/>
        <v>0</v>
      </c>
      <c r="G896" s="38">
        <f t="shared" si="111"/>
        <v>0</v>
      </c>
      <c r="H896" s="38">
        <f t="shared" si="110"/>
        <v>0</v>
      </c>
      <c r="I896" s="38">
        <f t="shared" si="110"/>
        <v>0</v>
      </c>
      <c r="J896" s="38">
        <f t="shared" si="110"/>
        <v>0</v>
      </c>
      <c r="K896" s="38">
        <f t="shared" si="110"/>
        <v>0</v>
      </c>
      <c r="L896" s="38">
        <f t="shared" si="110"/>
        <v>0</v>
      </c>
      <c r="M896" s="35">
        <f t="shared" si="108"/>
        <v>0</v>
      </c>
      <c r="S896" t="s">
        <v>72</v>
      </c>
      <c r="T896" s="5">
        <f>data_origin!T1025</f>
        <v>0</v>
      </c>
      <c r="U896" s="5">
        <f>data_origin!U1025</f>
        <v>0</v>
      </c>
      <c r="V896" s="5">
        <f>data_origin!V1025</f>
        <v>0</v>
      </c>
      <c r="W896" s="5">
        <f>data_origin!W1025</f>
        <v>0</v>
      </c>
      <c r="X896" s="5">
        <f>data_origin!X1025</f>
        <v>0</v>
      </c>
      <c r="Y896" s="5">
        <f>data_origin!Y1025</f>
        <v>0</v>
      </c>
      <c r="Z896" s="5">
        <f>data_origin!Z1025</f>
        <v>0</v>
      </c>
      <c r="AA896" s="5">
        <f>data_origin!AA1025</f>
        <v>0</v>
      </c>
      <c r="AB896" s="5">
        <f t="shared" si="109"/>
        <v>0</v>
      </c>
    </row>
    <row r="897" spans="4:28" x14ac:dyDescent="0.25">
      <c r="D897" t="s">
        <v>73</v>
      </c>
      <c r="E897" s="38">
        <f t="shared" si="111"/>
        <v>0</v>
      </c>
      <c r="F897" s="38">
        <f t="shared" si="111"/>
        <v>0</v>
      </c>
      <c r="G897" s="38">
        <f t="shared" si="111"/>
        <v>0</v>
      </c>
      <c r="H897" s="38">
        <f t="shared" si="110"/>
        <v>0</v>
      </c>
      <c r="I897" s="38">
        <f t="shared" si="110"/>
        <v>0</v>
      </c>
      <c r="J897" s="38">
        <f t="shared" si="110"/>
        <v>0</v>
      </c>
      <c r="K897" s="38">
        <f t="shared" si="110"/>
        <v>0</v>
      </c>
      <c r="L897" s="38">
        <f t="shared" si="110"/>
        <v>0</v>
      </c>
      <c r="M897" s="35">
        <f t="shared" si="108"/>
        <v>0</v>
      </c>
      <c r="S897" t="s">
        <v>73</v>
      </c>
      <c r="T897" s="5">
        <f>data_origin!T1026</f>
        <v>0</v>
      </c>
      <c r="U897" s="5">
        <f>data_origin!U1026</f>
        <v>0</v>
      </c>
      <c r="V897" s="5">
        <f>data_origin!V1026</f>
        <v>0</v>
      </c>
      <c r="W897" s="5">
        <f>data_origin!W1026</f>
        <v>0</v>
      </c>
      <c r="X897" s="5">
        <f>data_origin!X1026</f>
        <v>0</v>
      </c>
      <c r="Y897" s="5">
        <f>data_origin!Y1026</f>
        <v>0</v>
      </c>
      <c r="Z897" s="5">
        <f>data_origin!Z1026</f>
        <v>0</v>
      </c>
      <c r="AA897" s="5">
        <f>data_origin!AA1026</f>
        <v>0</v>
      </c>
      <c r="AB897" s="5">
        <f t="shared" si="109"/>
        <v>0</v>
      </c>
    </row>
    <row r="898" spans="4:28" x14ac:dyDescent="0.25">
      <c r="D898" t="s">
        <v>74</v>
      </c>
      <c r="E898" s="38">
        <f t="shared" si="111"/>
        <v>0</v>
      </c>
      <c r="F898" s="38">
        <f t="shared" si="111"/>
        <v>0</v>
      </c>
      <c r="G898" s="38">
        <f t="shared" si="111"/>
        <v>0</v>
      </c>
      <c r="H898" s="38">
        <f t="shared" si="110"/>
        <v>0</v>
      </c>
      <c r="I898" s="38">
        <f t="shared" si="110"/>
        <v>0</v>
      </c>
      <c r="J898" s="38">
        <f t="shared" si="110"/>
        <v>0</v>
      </c>
      <c r="K898" s="38">
        <f t="shared" si="110"/>
        <v>0</v>
      </c>
      <c r="L898" s="38">
        <f t="shared" si="110"/>
        <v>0</v>
      </c>
      <c r="M898" s="35">
        <f t="shared" si="108"/>
        <v>0</v>
      </c>
      <c r="S898" t="s">
        <v>74</v>
      </c>
      <c r="T898" s="5">
        <f>data_origin!T1027</f>
        <v>0</v>
      </c>
      <c r="U898" s="5">
        <f>data_origin!U1027</f>
        <v>0</v>
      </c>
      <c r="V898" s="5">
        <f>data_origin!V1027</f>
        <v>0</v>
      </c>
      <c r="W898" s="5">
        <f>data_origin!W1027</f>
        <v>0</v>
      </c>
      <c r="X898" s="5">
        <f>data_origin!X1027</f>
        <v>0</v>
      </c>
      <c r="Y898" s="5">
        <f>data_origin!Y1027</f>
        <v>0</v>
      </c>
      <c r="Z898" s="5">
        <f>data_origin!Z1027</f>
        <v>0</v>
      </c>
      <c r="AA898" s="5">
        <f>data_origin!AA1027</f>
        <v>0</v>
      </c>
      <c r="AB898" s="5">
        <f t="shared" si="109"/>
        <v>0</v>
      </c>
    </row>
    <row r="899" spans="4:28" x14ac:dyDescent="0.25">
      <c r="D899" t="s">
        <v>75</v>
      </c>
      <c r="E899" s="38">
        <f t="shared" si="111"/>
        <v>0</v>
      </c>
      <c r="F899" s="38">
        <f t="shared" si="111"/>
        <v>0</v>
      </c>
      <c r="G899" s="38">
        <f t="shared" si="111"/>
        <v>0</v>
      </c>
      <c r="H899" s="38">
        <f t="shared" si="110"/>
        <v>0</v>
      </c>
      <c r="I899" s="38">
        <f t="shared" si="110"/>
        <v>0</v>
      </c>
      <c r="J899" s="38">
        <f t="shared" si="110"/>
        <v>0</v>
      </c>
      <c r="K899" s="38">
        <f t="shared" si="110"/>
        <v>0</v>
      </c>
      <c r="L899" s="38">
        <f t="shared" si="110"/>
        <v>0</v>
      </c>
      <c r="M899" s="35">
        <f t="shared" ref="M899:M962" si="112">SUM(E899:L899)</f>
        <v>0</v>
      </c>
      <c r="S899" t="s">
        <v>75</v>
      </c>
      <c r="T899" s="5">
        <f>data_origin!T1028</f>
        <v>0</v>
      </c>
      <c r="U899" s="5">
        <f>data_origin!U1028</f>
        <v>0</v>
      </c>
      <c r="V899" s="5">
        <f>data_origin!V1028</f>
        <v>0</v>
      </c>
      <c r="W899" s="5">
        <f>data_origin!W1028</f>
        <v>0</v>
      </c>
      <c r="X899" s="5">
        <f>data_origin!X1028</f>
        <v>0</v>
      </c>
      <c r="Y899" s="5">
        <f>data_origin!Y1028</f>
        <v>0</v>
      </c>
      <c r="Z899" s="5">
        <f>data_origin!Z1028</f>
        <v>0</v>
      </c>
      <c r="AA899" s="5">
        <f>data_origin!AA1028</f>
        <v>0</v>
      </c>
      <c r="AB899" s="5">
        <f t="shared" si="109"/>
        <v>0</v>
      </c>
    </row>
    <row r="900" spans="4:28" x14ac:dyDescent="0.25">
      <c r="D900" t="s">
        <v>76</v>
      </c>
      <c r="E900" s="38">
        <f t="shared" si="111"/>
        <v>0</v>
      </c>
      <c r="F900" s="38">
        <f t="shared" si="111"/>
        <v>0</v>
      </c>
      <c r="G900" s="38">
        <f t="shared" si="111"/>
        <v>0</v>
      </c>
      <c r="H900" s="38">
        <f t="shared" si="110"/>
        <v>0</v>
      </c>
      <c r="I900" s="38">
        <f t="shared" si="110"/>
        <v>0</v>
      </c>
      <c r="J900" s="38">
        <f t="shared" si="110"/>
        <v>0</v>
      </c>
      <c r="K900" s="38">
        <f t="shared" si="110"/>
        <v>0</v>
      </c>
      <c r="L900" s="38">
        <f t="shared" si="110"/>
        <v>0</v>
      </c>
      <c r="M900" s="35">
        <f t="shared" si="112"/>
        <v>0</v>
      </c>
      <c r="S900" t="s">
        <v>76</v>
      </c>
      <c r="T900" s="5">
        <f>data_origin!T1029</f>
        <v>0</v>
      </c>
      <c r="U900" s="5">
        <f>data_origin!U1029</f>
        <v>0</v>
      </c>
      <c r="V900" s="5">
        <f>data_origin!V1029</f>
        <v>0</v>
      </c>
      <c r="W900" s="5">
        <f>data_origin!W1029</f>
        <v>0</v>
      </c>
      <c r="X900" s="5">
        <f>data_origin!X1029</f>
        <v>0</v>
      </c>
      <c r="Y900" s="5">
        <f>data_origin!Y1029</f>
        <v>0</v>
      </c>
      <c r="Z900" s="5">
        <f>data_origin!Z1029</f>
        <v>0</v>
      </c>
      <c r="AA900" s="5">
        <f>data_origin!AA1029</f>
        <v>0</v>
      </c>
      <c r="AB900" s="5">
        <f t="shared" si="109"/>
        <v>0</v>
      </c>
    </row>
    <row r="901" spans="4:28" x14ac:dyDescent="0.25">
      <c r="D901" t="s">
        <v>77</v>
      </c>
      <c r="E901" s="38">
        <f t="shared" si="111"/>
        <v>0</v>
      </c>
      <c r="F901" s="38">
        <f t="shared" si="111"/>
        <v>0</v>
      </c>
      <c r="G901" s="38">
        <f t="shared" si="111"/>
        <v>0</v>
      </c>
      <c r="H901" s="38">
        <f t="shared" si="110"/>
        <v>0</v>
      </c>
      <c r="I901" s="38">
        <f t="shared" si="110"/>
        <v>0</v>
      </c>
      <c r="J901" s="38">
        <f t="shared" si="110"/>
        <v>0</v>
      </c>
      <c r="K901" s="38">
        <f t="shared" si="110"/>
        <v>0</v>
      </c>
      <c r="L901" s="38">
        <f t="shared" si="110"/>
        <v>0</v>
      </c>
      <c r="M901" s="35">
        <f t="shared" si="112"/>
        <v>0</v>
      </c>
      <c r="S901" t="s">
        <v>77</v>
      </c>
      <c r="T901" s="5">
        <f>data_origin!T1030</f>
        <v>0</v>
      </c>
      <c r="U901" s="5">
        <f>data_origin!U1030</f>
        <v>0</v>
      </c>
      <c r="V901" s="5">
        <f>data_origin!V1030</f>
        <v>0</v>
      </c>
      <c r="W901" s="5">
        <f>data_origin!W1030</f>
        <v>0</v>
      </c>
      <c r="X901" s="5">
        <f>data_origin!X1030</f>
        <v>0</v>
      </c>
      <c r="Y901" s="5">
        <f>data_origin!Y1030</f>
        <v>0</v>
      </c>
      <c r="Z901" s="5">
        <f>data_origin!Z1030</f>
        <v>0</v>
      </c>
      <c r="AA901" s="5">
        <f>data_origin!AA1030</f>
        <v>0</v>
      </c>
      <c r="AB901" s="5">
        <f t="shared" ref="AB901:AB964" si="113">SUM(T901:AA901)</f>
        <v>0</v>
      </c>
    </row>
    <row r="902" spans="4:28" x14ac:dyDescent="0.25">
      <c r="D902" t="s">
        <v>78</v>
      </c>
      <c r="E902" s="38">
        <f t="shared" si="111"/>
        <v>0</v>
      </c>
      <c r="F902" s="38">
        <f t="shared" si="111"/>
        <v>0</v>
      </c>
      <c r="G902" s="38">
        <f t="shared" si="111"/>
        <v>0</v>
      </c>
      <c r="H902" s="38">
        <f t="shared" si="110"/>
        <v>0</v>
      </c>
      <c r="I902" s="38">
        <f t="shared" si="110"/>
        <v>0</v>
      </c>
      <c r="J902" s="38">
        <f t="shared" si="110"/>
        <v>0</v>
      </c>
      <c r="K902" s="38">
        <f t="shared" si="110"/>
        <v>0</v>
      </c>
      <c r="L902" s="38">
        <f t="shared" si="110"/>
        <v>0</v>
      </c>
      <c r="M902" s="35">
        <f t="shared" si="112"/>
        <v>0</v>
      </c>
      <c r="S902" t="s">
        <v>78</v>
      </c>
      <c r="T902" s="5">
        <f>data_origin!T1031</f>
        <v>0</v>
      </c>
      <c r="U902" s="5">
        <f>data_origin!U1031</f>
        <v>0</v>
      </c>
      <c r="V902" s="5">
        <f>data_origin!V1031</f>
        <v>0</v>
      </c>
      <c r="W902" s="5">
        <f>data_origin!W1031</f>
        <v>0</v>
      </c>
      <c r="X902" s="5">
        <f>data_origin!X1031</f>
        <v>0</v>
      </c>
      <c r="Y902" s="5">
        <f>data_origin!Y1031</f>
        <v>0</v>
      </c>
      <c r="Z902" s="5">
        <f>data_origin!Z1031</f>
        <v>0</v>
      </c>
      <c r="AA902" s="5">
        <f>data_origin!AA1031</f>
        <v>0</v>
      </c>
      <c r="AB902" s="5">
        <f t="shared" si="113"/>
        <v>0</v>
      </c>
    </row>
    <row r="903" spans="4:28" x14ac:dyDescent="0.25">
      <c r="D903" t="s">
        <v>79</v>
      </c>
      <c r="E903" s="38">
        <f t="shared" si="111"/>
        <v>0</v>
      </c>
      <c r="F903" s="38">
        <f t="shared" si="111"/>
        <v>0</v>
      </c>
      <c r="G903" s="38">
        <f t="shared" si="111"/>
        <v>0</v>
      </c>
      <c r="H903" s="38">
        <f t="shared" si="110"/>
        <v>0</v>
      </c>
      <c r="I903" s="38">
        <f t="shared" si="110"/>
        <v>0</v>
      </c>
      <c r="J903" s="38">
        <f t="shared" si="110"/>
        <v>0</v>
      </c>
      <c r="K903" s="38">
        <f t="shared" si="110"/>
        <v>0</v>
      </c>
      <c r="L903" s="38">
        <f t="shared" si="110"/>
        <v>0</v>
      </c>
      <c r="M903" s="35">
        <f t="shared" si="112"/>
        <v>0</v>
      </c>
      <c r="S903" t="s">
        <v>79</v>
      </c>
      <c r="T903" s="5">
        <f>data_origin!T1032</f>
        <v>0</v>
      </c>
      <c r="U903" s="5">
        <f>data_origin!U1032</f>
        <v>0</v>
      </c>
      <c r="V903" s="5">
        <f>data_origin!V1032</f>
        <v>0</v>
      </c>
      <c r="W903" s="5">
        <f>data_origin!W1032</f>
        <v>0</v>
      </c>
      <c r="X903" s="5">
        <f>data_origin!X1032</f>
        <v>0</v>
      </c>
      <c r="Y903" s="5">
        <f>data_origin!Y1032</f>
        <v>0</v>
      </c>
      <c r="Z903" s="5">
        <f>data_origin!Z1032</f>
        <v>0</v>
      </c>
      <c r="AA903" s="5">
        <f>data_origin!AA1032</f>
        <v>0</v>
      </c>
      <c r="AB903" s="5">
        <f t="shared" si="113"/>
        <v>0</v>
      </c>
    </row>
    <row r="904" spans="4:28" x14ac:dyDescent="0.25">
      <c r="D904" t="s">
        <v>80</v>
      </c>
      <c r="E904" s="38">
        <f t="shared" si="111"/>
        <v>0</v>
      </c>
      <c r="F904" s="38">
        <f t="shared" si="111"/>
        <v>0</v>
      </c>
      <c r="G904" s="38">
        <f t="shared" si="111"/>
        <v>0</v>
      </c>
      <c r="H904" s="38">
        <f t="shared" si="110"/>
        <v>0</v>
      </c>
      <c r="I904" s="38">
        <f t="shared" si="110"/>
        <v>0</v>
      </c>
      <c r="J904" s="38">
        <f t="shared" si="110"/>
        <v>0</v>
      </c>
      <c r="K904" s="38">
        <f t="shared" si="110"/>
        <v>0</v>
      </c>
      <c r="L904" s="38">
        <f t="shared" si="110"/>
        <v>0</v>
      </c>
      <c r="M904" s="35">
        <f t="shared" si="112"/>
        <v>0</v>
      </c>
      <c r="S904" t="s">
        <v>80</v>
      </c>
      <c r="T904" s="5">
        <f>data_origin!T1033</f>
        <v>0</v>
      </c>
      <c r="U904" s="5">
        <f>data_origin!U1033</f>
        <v>0</v>
      </c>
      <c r="V904" s="5">
        <f>data_origin!V1033</f>
        <v>0</v>
      </c>
      <c r="W904" s="5">
        <f>data_origin!W1033</f>
        <v>0</v>
      </c>
      <c r="X904" s="5">
        <f>data_origin!X1033</f>
        <v>0</v>
      </c>
      <c r="Y904" s="5">
        <f>data_origin!Y1033</f>
        <v>0</v>
      </c>
      <c r="Z904" s="5">
        <f>data_origin!Z1033</f>
        <v>0</v>
      </c>
      <c r="AA904" s="5">
        <f>data_origin!AA1033</f>
        <v>0</v>
      </c>
      <c r="AB904" s="5">
        <f t="shared" si="113"/>
        <v>0</v>
      </c>
    </row>
    <row r="905" spans="4:28" x14ac:dyDescent="0.25">
      <c r="D905" t="s">
        <v>81</v>
      </c>
      <c r="E905" s="38">
        <f t="shared" si="111"/>
        <v>0</v>
      </c>
      <c r="F905" s="38">
        <f t="shared" si="111"/>
        <v>0</v>
      </c>
      <c r="G905" s="38">
        <f t="shared" si="111"/>
        <v>0</v>
      </c>
      <c r="H905" s="38">
        <f t="shared" si="110"/>
        <v>0</v>
      </c>
      <c r="I905" s="38">
        <f t="shared" si="110"/>
        <v>0</v>
      </c>
      <c r="J905" s="38">
        <f t="shared" si="110"/>
        <v>0</v>
      </c>
      <c r="K905" s="38">
        <f t="shared" si="110"/>
        <v>0</v>
      </c>
      <c r="L905" s="38">
        <f t="shared" si="110"/>
        <v>0</v>
      </c>
      <c r="M905" s="35">
        <f t="shared" si="112"/>
        <v>0</v>
      </c>
      <c r="S905" t="s">
        <v>81</v>
      </c>
      <c r="T905" s="5">
        <f>data_origin!T1034</f>
        <v>0</v>
      </c>
      <c r="U905" s="5">
        <f>data_origin!U1034</f>
        <v>0</v>
      </c>
      <c r="V905" s="5">
        <f>data_origin!V1034</f>
        <v>0</v>
      </c>
      <c r="W905" s="5">
        <f>data_origin!W1034</f>
        <v>0</v>
      </c>
      <c r="X905" s="5">
        <f>data_origin!X1034</f>
        <v>0</v>
      </c>
      <c r="Y905" s="5">
        <f>data_origin!Y1034</f>
        <v>0</v>
      </c>
      <c r="Z905" s="5">
        <f>data_origin!Z1034</f>
        <v>0</v>
      </c>
      <c r="AA905" s="5">
        <f>data_origin!AA1034</f>
        <v>0</v>
      </c>
      <c r="AB905" s="5">
        <f t="shared" si="113"/>
        <v>0</v>
      </c>
    </row>
    <row r="906" spans="4:28" x14ac:dyDescent="0.25">
      <c r="D906" t="s">
        <v>82</v>
      </c>
      <c r="E906" s="38">
        <f t="shared" si="111"/>
        <v>0</v>
      </c>
      <c r="F906" s="38">
        <f t="shared" si="111"/>
        <v>0</v>
      </c>
      <c r="G906" s="38">
        <f t="shared" si="111"/>
        <v>0</v>
      </c>
      <c r="H906" s="38">
        <f t="shared" si="110"/>
        <v>0</v>
      </c>
      <c r="I906" s="38">
        <f t="shared" si="110"/>
        <v>0</v>
      </c>
      <c r="J906" s="38">
        <f t="shared" si="110"/>
        <v>0</v>
      </c>
      <c r="K906" s="38">
        <f t="shared" si="110"/>
        <v>0</v>
      </c>
      <c r="L906" s="38">
        <f t="shared" si="110"/>
        <v>0</v>
      </c>
      <c r="M906" s="35">
        <f t="shared" si="112"/>
        <v>0</v>
      </c>
      <c r="S906" t="s">
        <v>82</v>
      </c>
      <c r="T906" s="5">
        <f>data_origin!T1035</f>
        <v>0</v>
      </c>
      <c r="U906" s="5">
        <f>data_origin!U1035</f>
        <v>0</v>
      </c>
      <c r="V906" s="5">
        <f>data_origin!V1035</f>
        <v>0</v>
      </c>
      <c r="W906" s="5">
        <f>data_origin!W1035</f>
        <v>0</v>
      </c>
      <c r="X906" s="5">
        <f>data_origin!X1035</f>
        <v>0</v>
      </c>
      <c r="Y906" s="5">
        <f>data_origin!Y1035</f>
        <v>0</v>
      </c>
      <c r="Z906" s="5">
        <f>data_origin!Z1035</f>
        <v>0</v>
      </c>
      <c r="AA906" s="5">
        <f>data_origin!AA1035</f>
        <v>0</v>
      </c>
      <c r="AB906" s="5">
        <f t="shared" si="113"/>
        <v>0</v>
      </c>
    </row>
    <row r="907" spans="4:28" x14ac:dyDescent="0.25">
      <c r="D907" t="s">
        <v>83</v>
      </c>
      <c r="E907" s="38">
        <f t="shared" si="111"/>
        <v>0</v>
      </c>
      <c r="F907" s="38">
        <f t="shared" si="111"/>
        <v>0</v>
      </c>
      <c r="G907" s="38">
        <f t="shared" si="111"/>
        <v>0</v>
      </c>
      <c r="H907" s="38">
        <f t="shared" si="110"/>
        <v>0</v>
      </c>
      <c r="I907" s="38">
        <f t="shared" si="110"/>
        <v>0</v>
      </c>
      <c r="J907" s="38">
        <f t="shared" si="110"/>
        <v>0</v>
      </c>
      <c r="K907" s="38">
        <f t="shared" si="110"/>
        <v>0</v>
      </c>
      <c r="L907" s="38">
        <f t="shared" si="110"/>
        <v>0</v>
      </c>
      <c r="M907" s="35">
        <f t="shared" si="112"/>
        <v>0</v>
      </c>
      <c r="S907" t="s">
        <v>83</v>
      </c>
      <c r="T907" s="5">
        <f>data_origin!T1036</f>
        <v>0</v>
      </c>
      <c r="U907" s="5">
        <f>data_origin!U1036</f>
        <v>0</v>
      </c>
      <c r="V907" s="5">
        <f>data_origin!V1036</f>
        <v>0</v>
      </c>
      <c r="W907" s="5">
        <f>data_origin!W1036</f>
        <v>0</v>
      </c>
      <c r="X907" s="5">
        <f>data_origin!X1036</f>
        <v>0</v>
      </c>
      <c r="Y907" s="5">
        <f>data_origin!Y1036</f>
        <v>0</v>
      </c>
      <c r="Z907" s="5">
        <f>data_origin!Z1036</f>
        <v>0</v>
      </c>
      <c r="AA907" s="5">
        <f>data_origin!AA1036</f>
        <v>0</v>
      </c>
      <c r="AB907" s="5">
        <f t="shared" si="113"/>
        <v>0</v>
      </c>
    </row>
    <row r="908" spans="4:28" x14ac:dyDescent="0.25">
      <c r="D908" t="s">
        <v>84</v>
      </c>
      <c r="E908" s="38">
        <f t="shared" si="111"/>
        <v>0</v>
      </c>
      <c r="F908" s="38">
        <f t="shared" si="111"/>
        <v>0</v>
      </c>
      <c r="G908" s="38">
        <f t="shared" si="111"/>
        <v>0</v>
      </c>
      <c r="H908" s="38">
        <f t="shared" si="110"/>
        <v>0</v>
      </c>
      <c r="I908" s="38">
        <f t="shared" si="110"/>
        <v>0</v>
      </c>
      <c r="J908" s="38">
        <f t="shared" si="110"/>
        <v>0</v>
      </c>
      <c r="K908" s="38">
        <f t="shared" si="110"/>
        <v>0</v>
      </c>
      <c r="L908" s="38">
        <f t="shared" si="110"/>
        <v>0</v>
      </c>
      <c r="M908" s="35">
        <f t="shared" si="112"/>
        <v>0</v>
      </c>
      <c r="S908" t="s">
        <v>84</v>
      </c>
      <c r="T908" s="5">
        <f>data_origin!T1037</f>
        <v>0</v>
      </c>
      <c r="U908" s="5">
        <f>data_origin!U1037</f>
        <v>0</v>
      </c>
      <c r="V908" s="5">
        <f>data_origin!V1037</f>
        <v>0</v>
      </c>
      <c r="W908" s="5">
        <f>data_origin!W1037</f>
        <v>0</v>
      </c>
      <c r="X908" s="5">
        <f>data_origin!X1037</f>
        <v>0</v>
      </c>
      <c r="Y908" s="5">
        <f>data_origin!Y1037</f>
        <v>0</v>
      </c>
      <c r="Z908" s="5">
        <f>data_origin!Z1037</f>
        <v>0</v>
      </c>
      <c r="AA908" s="5">
        <f>data_origin!AA1037</f>
        <v>0</v>
      </c>
      <c r="AB908" s="5">
        <f t="shared" si="113"/>
        <v>0</v>
      </c>
    </row>
    <row r="909" spans="4:28" x14ac:dyDescent="0.25">
      <c r="D909" t="s">
        <v>85</v>
      </c>
      <c r="E909" s="38">
        <f t="shared" si="111"/>
        <v>0</v>
      </c>
      <c r="F909" s="38">
        <f t="shared" si="111"/>
        <v>0</v>
      </c>
      <c r="G909" s="38">
        <f t="shared" si="111"/>
        <v>0</v>
      </c>
      <c r="H909" s="38">
        <f t="shared" si="110"/>
        <v>0</v>
      </c>
      <c r="I909" s="38">
        <f t="shared" si="110"/>
        <v>0</v>
      </c>
      <c r="J909" s="38">
        <f t="shared" si="110"/>
        <v>0</v>
      </c>
      <c r="K909" s="38">
        <f t="shared" si="110"/>
        <v>0</v>
      </c>
      <c r="L909" s="38">
        <f t="shared" si="110"/>
        <v>0</v>
      </c>
      <c r="M909" s="35">
        <f t="shared" si="112"/>
        <v>0</v>
      </c>
      <c r="S909" t="s">
        <v>85</v>
      </c>
      <c r="T909" s="5">
        <f>data_origin!T1038</f>
        <v>0</v>
      </c>
      <c r="U909" s="5">
        <f>data_origin!U1038</f>
        <v>0</v>
      </c>
      <c r="V909" s="5">
        <f>data_origin!V1038</f>
        <v>0</v>
      </c>
      <c r="W909" s="5">
        <f>data_origin!W1038</f>
        <v>0</v>
      </c>
      <c r="X909" s="5">
        <f>data_origin!X1038</f>
        <v>0</v>
      </c>
      <c r="Y909" s="5">
        <f>data_origin!Y1038</f>
        <v>0</v>
      </c>
      <c r="Z909" s="5">
        <f>data_origin!Z1038</f>
        <v>0</v>
      </c>
      <c r="AA909" s="5">
        <f>data_origin!AA1038</f>
        <v>0</v>
      </c>
      <c r="AB909" s="5">
        <f t="shared" si="113"/>
        <v>0</v>
      </c>
    </row>
    <row r="910" spans="4:28" x14ac:dyDescent="0.25">
      <c r="D910" t="s">
        <v>86</v>
      </c>
      <c r="E910" s="38">
        <f t="shared" si="111"/>
        <v>0</v>
      </c>
      <c r="F910" s="38">
        <f t="shared" si="111"/>
        <v>0</v>
      </c>
      <c r="G910" s="38">
        <f t="shared" si="111"/>
        <v>0</v>
      </c>
      <c r="H910" s="38">
        <f t="shared" si="110"/>
        <v>0</v>
      </c>
      <c r="I910" s="38">
        <f t="shared" si="110"/>
        <v>0</v>
      </c>
      <c r="J910" s="38">
        <f t="shared" si="110"/>
        <v>0</v>
      </c>
      <c r="K910" s="38">
        <f t="shared" si="110"/>
        <v>0</v>
      </c>
      <c r="L910" s="38">
        <f t="shared" si="110"/>
        <v>0</v>
      </c>
      <c r="M910" s="35">
        <f t="shared" si="112"/>
        <v>0</v>
      </c>
      <c r="S910" t="s">
        <v>86</v>
      </c>
      <c r="T910" s="5">
        <f>data_origin!T1039</f>
        <v>0</v>
      </c>
      <c r="U910" s="5">
        <f>data_origin!U1039</f>
        <v>0</v>
      </c>
      <c r="V910" s="5">
        <f>data_origin!V1039</f>
        <v>0</v>
      </c>
      <c r="W910" s="5">
        <f>data_origin!W1039</f>
        <v>0</v>
      </c>
      <c r="X910" s="5">
        <f>data_origin!X1039</f>
        <v>0</v>
      </c>
      <c r="Y910" s="5">
        <f>data_origin!Y1039</f>
        <v>0</v>
      </c>
      <c r="Z910" s="5">
        <f>data_origin!Z1039</f>
        <v>0</v>
      </c>
      <c r="AA910" s="5">
        <f>data_origin!AA1039</f>
        <v>0</v>
      </c>
      <c r="AB910" s="5">
        <f t="shared" si="113"/>
        <v>0</v>
      </c>
    </row>
    <row r="911" spans="4:28" x14ac:dyDescent="0.25">
      <c r="D911" t="s">
        <v>87</v>
      </c>
      <c r="E911" s="38">
        <f t="shared" si="111"/>
        <v>0</v>
      </c>
      <c r="F911" s="38">
        <f t="shared" si="111"/>
        <v>0</v>
      </c>
      <c r="G911" s="38">
        <f t="shared" si="111"/>
        <v>0</v>
      </c>
      <c r="H911" s="38">
        <f t="shared" si="110"/>
        <v>1</v>
      </c>
      <c r="I911" s="38">
        <f t="shared" si="110"/>
        <v>0</v>
      </c>
      <c r="J911" s="38">
        <f t="shared" si="110"/>
        <v>0</v>
      </c>
      <c r="K911" s="38">
        <f t="shared" si="110"/>
        <v>0</v>
      </c>
      <c r="L911" s="38">
        <f t="shared" si="110"/>
        <v>0</v>
      </c>
      <c r="M911" s="35">
        <f t="shared" si="112"/>
        <v>1</v>
      </c>
      <c r="S911" t="s">
        <v>87</v>
      </c>
      <c r="T911" s="5">
        <f>data_origin!T1040</f>
        <v>0</v>
      </c>
      <c r="U911" s="5">
        <f>data_origin!U1040</f>
        <v>0</v>
      </c>
      <c r="V911" s="5">
        <f>data_origin!V1040</f>
        <v>0</v>
      </c>
      <c r="W911" s="5">
        <f>data_origin!W1040</f>
        <v>0</v>
      </c>
      <c r="X911" s="5">
        <f>data_origin!X1040</f>
        <v>0</v>
      </c>
      <c r="Y911" s="5">
        <f>data_origin!Y1040</f>
        <v>0</v>
      </c>
      <c r="Z911" s="5">
        <f>data_origin!Z1040</f>
        <v>0</v>
      </c>
      <c r="AA911" s="5">
        <f>data_origin!AA1040</f>
        <v>0</v>
      </c>
      <c r="AB911" s="5">
        <f t="shared" si="113"/>
        <v>0</v>
      </c>
    </row>
    <row r="912" spans="4:28" x14ac:dyDescent="0.25">
      <c r="D912" t="s">
        <v>88</v>
      </c>
      <c r="E912" s="38">
        <f t="shared" si="111"/>
        <v>0</v>
      </c>
      <c r="F912" s="38">
        <f t="shared" si="111"/>
        <v>0</v>
      </c>
      <c r="G912" s="38">
        <f t="shared" si="111"/>
        <v>0</v>
      </c>
      <c r="H912" s="38">
        <f t="shared" si="110"/>
        <v>1.0124788845068413</v>
      </c>
      <c r="I912" s="38">
        <f t="shared" si="110"/>
        <v>0</v>
      </c>
      <c r="J912" s="38">
        <f t="shared" si="110"/>
        <v>0</v>
      </c>
      <c r="K912" s="38">
        <f t="shared" si="110"/>
        <v>0</v>
      </c>
      <c r="L912" s="38">
        <f t="shared" si="110"/>
        <v>0</v>
      </c>
      <c r="M912" s="35">
        <f t="shared" si="112"/>
        <v>1.0124788845068413</v>
      </c>
      <c r="S912" t="s">
        <v>88</v>
      </c>
      <c r="T912" s="5">
        <f>data_origin!T1041</f>
        <v>0</v>
      </c>
      <c r="U912" s="5">
        <f>data_origin!U1041</f>
        <v>0</v>
      </c>
      <c r="V912" s="5">
        <f>data_origin!V1041</f>
        <v>0</v>
      </c>
      <c r="W912" s="5">
        <f>data_origin!W1041</f>
        <v>1</v>
      </c>
      <c r="X912" s="5">
        <f>data_origin!X1041</f>
        <v>0</v>
      </c>
      <c r="Y912" s="5">
        <f>data_origin!Y1041</f>
        <v>0</v>
      </c>
      <c r="Z912" s="5">
        <f>data_origin!Z1041</f>
        <v>0</v>
      </c>
      <c r="AA912" s="5">
        <f>data_origin!AA1041</f>
        <v>0</v>
      </c>
      <c r="AB912" s="5">
        <f t="shared" si="113"/>
        <v>1</v>
      </c>
    </row>
    <row r="913" spans="1:28" x14ac:dyDescent="0.25">
      <c r="D913" t="s">
        <v>89</v>
      </c>
      <c r="E913" s="38">
        <f t="shared" si="111"/>
        <v>0</v>
      </c>
      <c r="F913" s="38">
        <f t="shared" si="111"/>
        <v>0</v>
      </c>
      <c r="G913" s="38">
        <f t="shared" si="111"/>
        <v>0</v>
      </c>
      <c r="H913" s="38">
        <f t="shared" si="110"/>
        <v>0</v>
      </c>
      <c r="I913" s="38">
        <f t="shared" si="110"/>
        <v>0</v>
      </c>
      <c r="J913" s="38">
        <f t="shared" si="110"/>
        <v>0</v>
      </c>
      <c r="K913" s="38">
        <f t="shared" si="110"/>
        <v>0</v>
      </c>
      <c r="L913" s="38">
        <f t="shared" si="110"/>
        <v>0</v>
      </c>
      <c r="M913" s="35">
        <f t="shared" si="112"/>
        <v>0</v>
      </c>
      <c r="S913" t="s">
        <v>89</v>
      </c>
      <c r="T913" s="5">
        <f>data_origin!T1042</f>
        <v>0</v>
      </c>
      <c r="U913" s="5">
        <f>data_origin!U1042</f>
        <v>0</v>
      </c>
      <c r="V913" s="5">
        <f>data_origin!V1042</f>
        <v>0</v>
      </c>
      <c r="W913" s="5">
        <f>data_origin!W1042</f>
        <v>0</v>
      </c>
      <c r="X913" s="5">
        <f>data_origin!X1042</f>
        <v>0</v>
      </c>
      <c r="Y913" s="5">
        <f>data_origin!Y1042</f>
        <v>0</v>
      </c>
      <c r="Z913" s="5">
        <f>data_origin!Z1042</f>
        <v>0</v>
      </c>
      <c r="AA913" s="5">
        <f>data_origin!AA1042</f>
        <v>0</v>
      </c>
      <c r="AB913" s="5">
        <f t="shared" si="113"/>
        <v>0</v>
      </c>
    </row>
    <row r="914" spans="1:28" x14ac:dyDescent="0.25">
      <c r="D914" t="s">
        <v>90</v>
      </c>
      <c r="E914" s="38">
        <f t="shared" si="111"/>
        <v>0</v>
      </c>
      <c r="F914" s="38">
        <f t="shared" si="111"/>
        <v>0</v>
      </c>
      <c r="G914" s="38">
        <f t="shared" si="111"/>
        <v>0</v>
      </c>
      <c r="H914" s="38">
        <f t="shared" si="110"/>
        <v>0</v>
      </c>
      <c r="I914" s="38">
        <f t="shared" si="110"/>
        <v>0</v>
      </c>
      <c r="J914" s="38">
        <f t="shared" si="110"/>
        <v>0</v>
      </c>
      <c r="K914" s="38">
        <f t="shared" si="110"/>
        <v>0</v>
      </c>
      <c r="L914" s="38">
        <f t="shared" si="110"/>
        <v>0</v>
      </c>
      <c r="M914" s="35">
        <f t="shared" si="112"/>
        <v>0</v>
      </c>
      <c r="S914" t="s">
        <v>90</v>
      </c>
      <c r="T914" s="5">
        <f>data_origin!T1043</f>
        <v>0</v>
      </c>
      <c r="U914" s="5">
        <f>data_origin!U1043</f>
        <v>0</v>
      </c>
      <c r="V914" s="5">
        <f>data_origin!V1043</f>
        <v>0</v>
      </c>
      <c r="W914" s="5">
        <f>data_origin!W1043</f>
        <v>0</v>
      </c>
      <c r="X914" s="5">
        <f>data_origin!X1043</f>
        <v>0</v>
      </c>
      <c r="Y914" s="5">
        <f>data_origin!Y1043</f>
        <v>0</v>
      </c>
      <c r="Z914" s="5">
        <f>data_origin!Z1043</f>
        <v>0</v>
      </c>
      <c r="AA914" s="5">
        <f>data_origin!AA1043</f>
        <v>0</v>
      </c>
      <c r="AB914" s="5">
        <f t="shared" si="113"/>
        <v>0</v>
      </c>
    </row>
    <row r="915" spans="1:28" x14ac:dyDescent="0.25">
      <c r="D915" t="s">
        <v>91</v>
      </c>
      <c r="E915" s="38">
        <f t="shared" si="111"/>
        <v>0</v>
      </c>
      <c r="F915" s="38">
        <f t="shared" si="111"/>
        <v>0</v>
      </c>
      <c r="G915" s="38">
        <f t="shared" si="111"/>
        <v>0</v>
      </c>
      <c r="H915" s="38">
        <f t="shared" si="110"/>
        <v>0</v>
      </c>
      <c r="I915" s="38">
        <f t="shared" si="110"/>
        <v>0</v>
      </c>
      <c r="J915" s="38">
        <f t="shared" si="110"/>
        <v>0</v>
      </c>
      <c r="K915" s="38">
        <f t="shared" si="110"/>
        <v>0</v>
      </c>
      <c r="L915" s="38">
        <f t="shared" si="110"/>
        <v>0</v>
      </c>
      <c r="M915" s="35">
        <f t="shared" si="112"/>
        <v>0</v>
      </c>
      <c r="S915" t="s">
        <v>91</v>
      </c>
      <c r="T915" s="5">
        <f>data_origin!T1044</f>
        <v>0</v>
      </c>
      <c r="U915" s="5">
        <f>data_origin!U1044</f>
        <v>0</v>
      </c>
      <c r="V915" s="5">
        <f>data_origin!V1044</f>
        <v>0</v>
      </c>
      <c r="W915" s="5">
        <f>data_origin!W1044</f>
        <v>0</v>
      </c>
      <c r="X915" s="5">
        <f>data_origin!X1044</f>
        <v>0</v>
      </c>
      <c r="Y915" s="5">
        <f>data_origin!Y1044</f>
        <v>0</v>
      </c>
      <c r="Z915" s="5">
        <f>data_origin!Z1044</f>
        <v>0</v>
      </c>
      <c r="AA915" s="5">
        <f>data_origin!AA1044</f>
        <v>0</v>
      </c>
      <c r="AB915" s="5">
        <f t="shared" si="113"/>
        <v>0</v>
      </c>
    </row>
    <row r="916" spans="1:28" x14ac:dyDescent="0.25">
      <c r="D916" t="s">
        <v>92</v>
      </c>
      <c r="E916" s="38">
        <f t="shared" si="111"/>
        <v>0</v>
      </c>
      <c r="F916" s="38">
        <f t="shared" si="111"/>
        <v>0</v>
      </c>
      <c r="G916" s="38">
        <f t="shared" si="111"/>
        <v>0</v>
      </c>
      <c r="H916" s="38">
        <f t="shared" si="110"/>
        <v>0</v>
      </c>
      <c r="I916" s="38">
        <f t="shared" si="110"/>
        <v>0</v>
      </c>
      <c r="J916" s="38">
        <f t="shared" si="110"/>
        <v>0</v>
      </c>
      <c r="K916" s="38">
        <f t="shared" si="110"/>
        <v>0</v>
      </c>
      <c r="L916" s="38">
        <f t="shared" si="110"/>
        <v>0</v>
      </c>
      <c r="M916" s="35">
        <f t="shared" si="112"/>
        <v>0</v>
      </c>
      <c r="S916" t="s">
        <v>92</v>
      </c>
      <c r="T916" s="5">
        <f>data_origin!T1045</f>
        <v>0</v>
      </c>
      <c r="U916" s="5">
        <f>data_origin!U1045</f>
        <v>0</v>
      </c>
      <c r="V916" s="5">
        <f>data_origin!V1045</f>
        <v>0</v>
      </c>
      <c r="W916" s="5">
        <f>data_origin!W1045</f>
        <v>0</v>
      </c>
      <c r="X916" s="5">
        <f>data_origin!X1045</f>
        <v>0</v>
      </c>
      <c r="Y916" s="5">
        <f>data_origin!Y1045</f>
        <v>0</v>
      </c>
      <c r="Z916" s="5">
        <f>data_origin!Z1045</f>
        <v>0</v>
      </c>
      <c r="AA916" s="5">
        <f>data_origin!AA1045</f>
        <v>0</v>
      </c>
      <c r="AB916" s="5">
        <f t="shared" si="113"/>
        <v>0</v>
      </c>
    </row>
    <row r="917" spans="1:28" x14ac:dyDescent="0.25">
      <c r="D917" t="s">
        <v>93</v>
      </c>
      <c r="E917" s="38">
        <f t="shared" si="111"/>
        <v>0</v>
      </c>
      <c r="F917" s="38">
        <f t="shared" si="111"/>
        <v>0</v>
      </c>
      <c r="G917" s="38">
        <f t="shared" si="111"/>
        <v>0</v>
      </c>
      <c r="H917" s="38">
        <f t="shared" si="110"/>
        <v>0</v>
      </c>
      <c r="I917" s="38">
        <f t="shared" si="110"/>
        <v>0</v>
      </c>
      <c r="J917" s="38">
        <f t="shared" si="110"/>
        <v>0</v>
      </c>
      <c r="K917" s="38">
        <f t="shared" si="110"/>
        <v>0</v>
      </c>
      <c r="L917" s="38">
        <f t="shared" si="110"/>
        <v>0</v>
      </c>
      <c r="M917" s="35">
        <f t="shared" si="112"/>
        <v>0</v>
      </c>
      <c r="S917" t="s">
        <v>93</v>
      </c>
      <c r="T917" s="5">
        <f>data_origin!T1046</f>
        <v>0</v>
      </c>
      <c r="U917" s="5">
        <f>data_origin!U1046</f>
        <v>0</v>
      </c>
      <c r="V917" s="5">
        <f>data_origin!V1046</f>
        <v>0</v>
      </c>
      <c r="W917" s="5">
        <f>data_origin!W1046</f>
        <v>0</v>
      </c>
      <c r="X917" s="5">
        <f>data_origin!X1046</f>
        <v>0</v>
      </c>
      <c r="Y917" s="5">
        <f>data_origin!Y1046</f>
        <v>0</v>
      </c>
      <c r="Z917" s="5">
        <f>data_origin!Z1046</f>
        <v>0</v>
      </c>
      <c r="AA917" s="5">
        <f>data_origin!AA1046</f>
        <v>0</v>
      </c>
      <c r="AB917" s="5">
        <f t="shared" si="113"/>
        <v>0</v>
      </c>
    </row>
    <row r="918" spans="1:28" x14ac:dyDescent="0.25">
      <c r="D918" t="s">
        <v>94</v>
      </c>
      <c r="E918" s="38">
        <f t="shared" si="111"/>
        <v>0</v>
      </c>
      <c r="F918" s="38">
        <f t="shared" si="111"/>
        <v>0</v>
      </c>
      <c r="G918" s="38">
        <f t="shared" si="111"/>
        <v>0</v>
      </c>
      <c r="H918" s="38">
        <f t="shared" si="110"/>
        <v>0</v>
      </c>
      <c r="I918" s="38">
        <f t="shared" si="110"/>
        <v>0</v>
      </c>
      <c r="J918" s="38">
        <f t="shared" si="110"/>
        <v>0</v>
      </c>
      <c r="K918" s="38">
        <f t="shared" si="110"/>
        <v>0</v>
      </c>
      <c r="L918" s="38">
        <f t="shared" si="110"/>
        <v>0</v>
      </c>
      <c r="M918" s="35">
        <f t="shared" si="112"/>
        <v>0</v>
      </c>
      <c r="S918" t="s">
        <v>94</v>
      </c>
      <c r="T918" s="5">
        <f>data_origin!T1047</f>
        <v>0</v>
      </c>
      <c r="U918" s="5">
        <f>data_origin!U1047</f>
        <v>0</v>
      </c>
      <c r="V918" s="5">
        <f>data_origin!V1047</f>
        <v>0</v>
      </c>
      <c r="W918" s="5">
        <f>data_origin!W1047</f>
        <v>0</v>
      </c>
      <c r="X918" s="5">
        <f>data_origin!X1047</f>
        <v>0</v>
      </c>
      <c r="Y918" s="5">
        <f>data_origin!Y1047</f>
        <v>0</v>
      </c>
      <c r="Z918" s="5">
        <f>data_origin!Z1047</f>
        <v>0</v>
      </c>
      <c r="AA918" s="5">
        <f>data_origin!AA1047</f>
        <v>0</v>
      </c>
      <c r="AB918" s="5">
        <f t="shared" si="113"/>
        <v>0</v>
      </c>
    </row>
    <row r="919" spans="1:28" x14ac:dyDescent="0.25">
      <c r="D919" t="s">
        <v>95</v>
      </c>
      <c r="E919" s="38">
        <f t="shared" si="111"/>
        <v>0</v>
      </c>
      <c r="F919" s="38">
        <f t="shared" si="111"/>
        <v>0</v>
      </c>
      <c r="G919" s="38">
        <f t="shared" si="111"/>
        <v>0</v>
      </c>
      <c r="H919" s="38">
        <f t="shared" si="110"/>
        <v>0</v>
      </c>
      <c r="I919" s="38">
        <f t="shared" si="110"/>
        <v>0</v>
      </c>
      <c r="J919" s="38">
        <f t="shared" si="110"/>
        <v>0</v>
      </c>
      <c r="K919" s="38">
        <f t="shared" si="110"/>
        <v>0</v>
      </c>
      <c r="L919" s="38">
        <f t="shared" si="110"/>
        <v>0</v>
      </c>
      <c r="M919" s="35">
        <f t="shared" si="112"/>
        <v>0</v>
      </c>
      <c r="S919" t="s">
        <v>95</v>
      </c>
      <c r="T919" s="5">
        <f>data_origin!T1048</f>
        <v>0</v>
      </c>
      <c r="U919" s="5">
        <f>data_origin!U1048</f>
        <v>0</v>
      </c>
      <c r="V919" s="5">
        <f>data_origin!V1048</f>
        <v>0</v>
      </c>
      <c r="W919" s="5">
        <f>data_origin!W1048</f>
        <v>0</v>
      </c>
      <c r="X919" s="5">
        <f>data_origin!X1048</f>
        <v>0</v>
      </c>
      <c r="Y919" s="5">
        <f>data_origin!Y1048</f>
        <v>0</v>
      </c>
      <c r="Z919" s="5">
        <f>data_origin!Z1048</f>
        <v>0</v>
      </c>
      <c r="AA919" s="5">
        <f>data_origin!AA1048</f>
        <v>0</v>
      </c>
      <c r="AB919" s="5">
        <f t="shared" si="113"/>
        <v>0</v>
      </c>
    </row>
    <row r="920" spans="1:28" x14ac:dyDescent="0.25">
      <c r="D920" t="s">
        <v>96</v>
      </c>
      <c r="E920" s="38">
        <f t="shared" si="111"/>
        <v>0</v>
      </c>
      <c r="F920" s="38">
        <f t="shared" si="111"/>
        <v>0</v>
      </c>
      <c r="G920" s="38">
        <f t="shared" si="111"/>
        <v>0</v>
      </c>
      <c r="H920" s="38">
        <f t="shared" si="110"/>
        <v>0</v>
      </c>
      <c r="I920" s="38">
        <f t="shared" si="110"/>
        <v>0</v>
      </c>
      <c r="J920" s="38">
        <f t="shared" ref="J920:L983" si="114">Y920+AN524+IFERROR((Y920/SUM(Y$3:Y$992)*AN$630),0)+IFERROR((Y920/SUM(Y$135:Y$332,Y$465:Y$662,Y$795:Y$992)*AN$732),0)</f>
        <v>0</v>
      </c>
      <c r="K920" s="38">
        <f t="shared" si="114"/>
        <v>0</v>
      </c>
      <c r="L920" s="38">
        <f t="shared" si="114"/>
        <v>0</v>
      </c>
      <c r="M920" s="35">
        <f t="shared" si="112"/>
        <v>0</v>
      </c>
      <c r="S920" t="s">
        <v>96</v>
      </c>
      <c r="T920" s="5">
        <f>data_origin!T1049</f>
        <v>0</v>
      </c>
      <c r="U920" s="5">
        <f>data_origin!U1049</f>
        <v>0</v>
      </c>
      <c r="V920" s="5">
        <f>data_origin!V1049</f>
        <v>0</v>
      </c>
      <c r="W920" s="5">
        <f>data_origin!W1049</f>
        <v>0</v>
      </c>
      <c r="X920" s="5">
        <f>data_origin!X1049</f>
        <v>0</v>
      </c>
      <c r="Y920" s="5">
        <f>data_origin!Y1049</f>
        <v>0</v>
      </c>
      <c r="Z920" s="5">
        <f>data_origin!Z1049</f>
        <v>0</v>
      </c>
      <c r="AA920" s="5">
        <f>data_origin!AA1049</f>
        <v>0</v>
      </c>
      <c r="AB920" s="5">
        <f t="shared" si="113"/>
        <v>0</v>
      </c>
    </row>
    <row r="921" spans="1:28" x14ac:dyDescent="0.25">
      <c r="D921" t="s">
        <v>97</v>
      </c>
      <c r="E921" s="38">
        <f t="shared" si="111"/>
        <v>0</v>
      </c>
      <c r="F921" s="38">
        <f t="shared" si="111"/>
        <v>0</v>
      </c>
      <c r="G921" s="38">
        <f t="shared" si="111"/>
        <v>2.0156817129230924</v>
      </c>
      <c r="H921" s="38">
        <f t="shared" si="111"/>
        <v>1.0124788845068413</v>
      </c>
      <c r="I921" s="38">
        <f t="shared" si="111"/>
        <v>2.2391902670898891</v>
      </c>
      <c r="J921" s="38">
        <f t="shared" si="114"/>
        <v>0</v>
      </c>
      <c r="K921" s="38">
        <f t="shared" si="114"/>
        <v>0</v>
      </c>
      <c r="L921" s="38">
        <f t="shared" si="114"/>
        <v>0</v>
      </c>
      <c r="M921" s="35">
        <f t="shared" si="112"/>
        <v>5.2673508645198233</v>
      </c>
      <c r="S921" t="s">
        <v>97</v>
      </c>
      <c r="T921" s="5">
        <f>data_origin!T1050</f>
        <v>0</v>
      </c>
      <c r="U921" s="5">
        <f>data_origin!U1050</f>
        <v>0</v>
      </c>
      <c r="V921" s="5">
        <f>data_origin!V1050</f>
        <v>2</v>
      </c>
      <c r="W921" s="5">
        <f>data_origin!W1050</f>
        <v>1</v>
      </c>
      <c r="X921" s="5">
        <f>data_origin!X1050</f>
        <v>2.2000000000000002</v>
      </c>
      <c r="Y921" s="5">
        <f>data_origin!Y1050</f>
        <v>0</v>
      </c>
      <c r="Z921" s="5">
        <f>data_origin!Z1050</f>
        <v>0</v>
      </c>
      <c r="AA921" s="5">
        <f>data_origin!AA1050</f>
        <v>0</v>
      </c>
      <c r="AB921" s="5">
        <f t="shared" si="113"/>
        <v>5.2</v>
      </c>
    </row>
    <row r="922" spans="1:28" x14ac:dyDescent="0.25">
      <c r="D922" t="s">
        <v>98</v>
      </c>
      <c r="E922" s="38">
        <f t="shared" si="111"/>
        <v>0</v>
      </c>
      <c r="F922" s="38">
        <f t="shared" si="111"/>
        <v>0</v>
      </c>
      <c r="G922" s="38">
        <f t="shared" si="111"/>
        <v>8.0627268516923696</v>
      </c>
      <c r="H922" s="38">
        <f t="shared" si="111"/>
        <v>12.149746614082098</v>
      </c>
      <c r="I922" s="38">
        <f t="shared" si="111"/>
        <v>6.7175708012696651</v>
      </c>
      <c r="J922" s="38">
        <f t="shared" si="114"/>
        <v>0</v>
      </c>
      <c r="K922" s="38">
        <f t="shared" si="114"/>
        <v>0</v>
      </c>
      <c r="L922" s="38">
        <f t="shared" si="114"/>
        <v>0</v>
      </c>
      <c r="M922" s="35">
        <f t="shared" si="112"/>
        <v>26.930044267044131</v>
      </c>
      <c r="S922" t="s">
        <v>98</v>
      </c>
      <c r="T922" s="5">
        <f>data_origin!T1051</f>
        <v>0</v>
      </c>
      <c r="U922" s="5">
        <f>data_origin!U1051</f>
        <v>0</v>
      </c>
      <c r="V922" s="5">
        <f>data_origin!V1051</f>
        <v>8</v>
      </c>
      <c r="W922" s="5">
        <f>data_origin!W1051</f>
        <v>12</v>
      </c>
      <c r="X922" s="5">
        <f>data_origin!X1051</f>
        <v>6.6</v>
      </c>
      <c r="Y922" s="5">
        <f>data_origin!Y1051</f>
        <v>0</v>
      </c>
      <c r="Z922" s="5">
        <f>data_origin!Z1051</f>
        <v>0</v>
      </c>
      <c r="AA922" s="5">
        <f>data_origin!AA1051</f>
        <v>0</v>
      </c>
      <c r="AB922" s="5">
        <f t="shared" si="113"/>
        <v>26.6</v>
      </c>
    </row>
    <row r="923" spans="1:28" x14ac:dyDescent="0.25">
      <c r="D923" t="s">
        <v>119</v>
      </c>
      <c r="E923" s="38">
        <f t="shared" si="111"/>
        <v>0</v>
      </c>
      <c r="F923" s="38">
        <f t="shared" si="111"/>
        <v>0</v>
      </c>
      <c r="G923" s="38">
        <f t="shared" si="111"/>
        <v>1.0078408564615462</v>
      </c>
      <c r="H923" s="38">
        <f t="shared" si="111"/>
        <v>0</v>
      </c>
      <c r="I923" s="38">
        <f t="shared" si="111"/>
        <v>2.2391902670898891</v>
      </c>
      <c r="J923" s="38">
        <f t="shared" si="114"/>
        <v>2.0414042615488341</v>
      </c>
      <c r="K923" s="38">
        <f t="shared" si="114"/>
        <v>0</v>
      </c>
      <c r="L923" s="38">
        <f t="shared" si="114"/>
        <v>0</v>
      </c>
      <c r="M923" s="35">
        <f t="shared" si="112"/>
        <v>5.2884353851002697</v>
      </c>
      <c r="S923" t="s">
        <v>119</v>
      </c>
      <c r="T923" s="5">
        <f>data_origin!T1052</f>
        <v>0</v>
      </c>
      <c r="U923" s="5">
        <f>data_origin!U1052</f>
        <v>0</v>
      </c>
      <c r="V923" s="5">
        <f>data_origin!V1052</f>
        <v>1</v>
      </c>
      <c r="W923" s="5">
        <f>data_origin!W1052</f>
        <v>0</v>
      </c>
      <c r="X923" s="5">
        <f>data_origin!X1052</f>
        <v>2.2000000000000002</v>
      </c>
      <c r="Y923" s="5">
        <f>data_origin!Y1052</f>
        <v>2</v>
      </c>
      <c r="Z923" s="5">
        <f>data_origin!Z1052</f>
        <v>0</v>
      </c>
      <c r="AA923" s="5">
        <f>data_origin!AA1052</f>
        <v>0</v>
      </c>
      <c r="AB923" s="5">
        <f t="shared" si="113"/>
        <v>5.2</v>
      </c>
    </row>
    <row r="924" spans="1:28" x14ac:dyDescent="0.25">
      <c r="D924" t="s">
        <v>99</v>
      </c>
      <c r="E924" s="38">
        <f t="shared" si="111"/>
        <v>0</v>
      </c>
      <c r="F924" s="38">
        <f t="shared" si="111"/>
        <v>0</v>
      </c>
      <c r="G924" s="38">
        <f t="shared" si="111"/>
        <v>0</v>
      </c>
      <c r="H924" s="38">
        <f t="shared" si="111"/>
        <v>0</v>
      </c>
      <c r="I924" s="38">
        <f t="shared" si="111"/>
        <v>0</v>
      </c>
      <c r="J924" s="38">
        <f t="shared" si="114"/>
        <v>0</v>
      </c>
      <c r="K924" s="38">
        <f t="shared" si="114"/>
        <v>0</v>
      </c>
      <c r="L924" s="38">
        <f t="shared" si="114"/>
        <v>0</v>
      </c>
      <c r="M924" s="35">
        <f t="shared" si="112"/>
        <v>0</v>
      </c>
      <c r="S924" t="s">
        <v>99</v>
      </c>
      <c r="T924" s="5">
        <f>data_origin!T1053</f>
        <v>0</v>
      </c>
      <c r="U924" s="5">
        <f>data_origin!U1053</f>
        <v>0</v>
      </c>
      <c r="V924" s="5">
        <f>data_origin!V1053</f>
        <v>0</v>
      </c>
      <c r="W924" s="5">
        <f>data_origin!W1053</f>
        <v>0</v>
      </c>
      <c r="X924" s="5">
        <f>data_origin!X1053</f>
        <v>0</v>
      </c>
      <c r="Y924" s="5">
        <f>data_origin!Y1053</f>
        <v>0</v>
      </c>
      <c r="Z924" s="5">
        <f>data_origin!Z1053</f>
        <v>0</v>
      </c>
      <c r="AA924" s="5">
        <f>data_origin!AA1053</f>
        <v>0</v>
      </c>
      <c r="AB924" s="5">
        <f t="shared" si="113"/>
        <v>0</v>
      </c>
    </row>
    <row r="925" spans="1:28" x14ac:dyDescent="0.25">
      <c r="D925" t="s">
        <v>100</v>
      </c>
      <c r="E925" s="38">
        <f t="shared" si="111"/>
        <v>0</v>
      </c>
      <c r="F925" s="38">
        <f t="shared" si="111"/>
        <v>0</v>
      </c>
      <c r="G925" s="38">
        <f t="shared" si="111"/>
        <v>0</v>
      </c>
      <c r="H925" s="38">
        <f t="shared" si="111"/>
        <v>0</v>
      </c>
      <c r="I925" s="38">
        <f t="shared" si="111"/>
        <v>0</v>
      </c>
      <c r="J925" s="38">
        <f t="shared" si="114"/>
        <v>0</v>
      </c>
      <c r="K925" s="38">
        <f t="shared" si="114"/>
        <v>0</v>
      </c>
      <c r="L925" s="38">
        <f t="shared" si="114"/>
        <v>0</v>
      </c>
      <c r="M925" s="35">
        <f t="shared" si="112"/>
        <v>0</v>
      </c>
      <c r="S925" t="s">
        <v>100</v>
      </c>
      <c r="T925" s="5">
        <f>data_origin!T1054</f>
        <v>0</v>
      </c>
      <c r="U925" s="5">
        <f>data_origin!U1054</f>
        <v>0</v>
      </c>
      <c r="V925" s="5">
        <f>data_origin!V1054</f>
        <v>0</v>
      </c>
      <c r="W925" s="5">
        <f>data_origin!W1054</f>
        <v>0</v>
      </c>
      <c r="X925" s="5">
        <f>data_origin!X1054</f>
        <v>0</v>
      </c>
      <c r="Y925" s="5">
        <f>data_origin!Y1054</f>
        <v>0</v>
      </c>
      <c r="Z925" s="5">
        <f>data_origin!Z1054</f>
        <v>0</v>
      </c>
      <c r="AA925" s="5">
        <f>data_origin!AA1054</f>
        <v>0</v>
      </c>
      <c r="AB925" s="5">
        <f t="shared" si="113"/>
        <v>0</v>
      </c>
    </row>
    <row r="926" spans="1:28" x14ac:dyDescent="0.25">
      <c r="D926" t="s">
        <v>101</v>
      </c>
      <c r="E926" s="38">
        <f t="shared" si="111"/>
        <v>0</v>
      </c>
      <c r="F926" s="38">
        <f t="shared" si="111"/>
        <v>0</v>
      </c>
      <c r="G926" s="38">
        <f t="shared" si="111"/>
        <v>0</v>
      </c>
      <c r="H926" s="38">
        <f t="shared" si="111"/>
        <v>0</v>
      </c>
      <c r="I926" s="38">
        <f t="shared" si="111"/>
        <v>0</v>
      </c>
      <c r="J926" s="38">
        <f t="shared" si="114"/>
        <v>0</v>
      </c>
      <c r="K926" s="38">
        <f t="shared" si="114"/>
        <v>0</v>
      </c>
      <c r="L926" s="38">
        <f t="shared" si="114"/>
        <v>0</v>
      </c>
      <c r="M926" s="35">
        <f t="shared" si="112"/>
        <v>0</v>
      </c>
      <c r="S926" t="s">
        <v>101</v>
      </c>
      <c r="T926" s="5">
        <f>data_origin!T1055</f>
        <v>0</v>
      </c>
      <c r="U926" s="5">
        <f>data_origin!U1055</f>
        <v>0</v>
      </c>
      <c r="V926" s="5">
        <f>data_origin!V1055</f>
        <v>0</v>
      </c>
      <c r="W926" s="5">
        <f>data_origin!W1055</f>
        <v>0</v>
      </c>
      <c r="X926" s="5">
        <f>data_origin!X1055</f>
        <v>0</v>
      </c>
      <c r="Y926" s="5">
        <f>data_origin!Y1055</f>
        <v>0</v>
      </c>
      <c r="Z926" s="5">
        <f>data_origin!Z1055</f>
        <v>0</v>
      </c>
      <c r="AA926" s="5">
        <f>data_origin!AA1055</f>
        <v>0</v>
      </c>
      <c r="AB926" s="5">
        <f t="shared" si="113"/>
        <v>0</v>
      </c>
    </row>
    <row r="927" spans="1:28" x14ac:dyDescent="0.25">
      <c r="A927" s="23" t="s">
        <v>104</v>
      </c>
      <c r="B927" s="23" t="s">
        <v>117</v>
      </c>
      <c r="C927" s="23" t="s">
        <v>113</v>
      </c>
      <c r="D927" t="s">
        <v>70</v>
      </c>
      <c r="E927" s="38">
        <f t="shared" si="111"/>
        <v>0</v>
      </c>
      <c r="F927" s="38">
        <f t="shared" si="111"/>
        <v>0</v>
      </c>
      <c r="G927" s="38">
        <f t="shared" si="111"/>
        <v>9.1384294331002799E-2</v>
      </c>
      <c r="H927" s="38">
        <f t="shared" si="111"/>
        <v>0</v>
      </c>
      <c r="I927" s="38">
        <f t="shared" si="111"/>
        <v>0</v>
      </c>
      <c r="J927" s="38">
        <f t="shared" si="114"/>
        <v>0</v>
      </c>
      <c r="K927" s="38">
        <f t="shared" si="114"/>
        <v>0</v>
      </c>
      <c r="L927" s="38">
        <f t="shared" si="114"/>
        <v>0</v>
      </c>
      <c r="M927" s="35">
        <f t="shared" si="112"/>
        <v>9.1384294331002799E-2</v>
      </c>
      <c r="P927" t="s">
        <v>104</v>
      </c>
      <c r="Q927" t="s">
        <v>117</v>
      </c>
      <c r="R927" t="s">
        <v>113</v>
      </c>
      <c r="S927" t="s">
        <v>70</v>
      </c>
      <c r="T927" s="5">
        <f>data_origin!T1057</f>
        <v>0</v>
      </c>
      <c r="U927" s="5">
        <f>data_origin!U1057</f>
        <v>0</v>
      </c>
      <c r="V927" s="5">
        <f>data_origin!V1057</f>
        <v>6.0606060606060608E-2</v>
      </c>
      <c r="W927" s="5">
        <f>data_origin!W1057</f>
        <v>0</v>
      </c>
      <c r="X927" s="5">
        <f>data_origin!X1057</f>
        <v>0</v>
      </c>
      <c r="Y927" s="5">
        <f>data_origin!Y1057</f>
        <v>0</v>
      </c>
      <c r="Z927" s="5">
        <f>data_origin!Z1057</f>
        <v>0</v>
      </c>
      <c r="AA927" s="5">
        <f>data_origin!AA1057</f>
        <v>0</v>
      </c>
      <c r="AB927" s="5">
        <f t="shared" si="113"/>
        <v>6.0606060606060608E-2</v>
      </c>
    </row>
    <row r="928" spans="1:28" x14ac:dyDescent="0.25">
      <c r="D928" t="s">
        <v>71</v>
      </c>
      <c r="E928" s="38">
        <f t="shared" si="111"/>
        <v>0</v>
      </c>
      <c r="F928" s="38">
        <f t="shared" si="111"/>
        <v>0</v>
      </c>
      <c r="G928" s="38">
        <f t="shared" si="111"/>
        <v>9.1384294331002799E-2</v>
      </c>
      <c r="H928" s="38">
        <f t="shared" si="111"/>
        <v>0</v>
      </c>
      <c r="I928" s="38">
        <f t="shared" si="111"/>
        <v>0</v>
      </c>
      <c r="J928" s="38">
        <f t="shared" si="114"/>
        <v>0</v>
      </c>
      <c r="K928" s="38">
        <f t="shared" si="114"/>
        <v>0</v>
      </c>
      <c r="L928" s="38">
        <f t="shared" si="114"/>
        <v>0</v>
      </c>
      <c r="M928" s="35">
        <f t="shared" si="112"/>
        <v>9.1384294331002799E-2</v>
      </c>
      <c r="S928" t="s">
        <v>71</v>
      </c>
      <c r="T928" s="5">
        <f>data_origin!T1058</f>
        <v>0</v>
      </c>
      <c r="U928" s="5">
        <f>data_origin!U1058</f>
        <v>0</v>
      </c>
      <c r="V928" s="5">
        <f>data_origin!V1058</f>
        <v>6.0606060606060608E-2</v>
      </c>
      <c r="W928" s="5">
        <f>data_origin!W1058</f>
        <v>0</v>
      </c>
      <c r="X928" s="5">
        <f>data_origin!X1058</f>
        <v>0</v>
      </c>
      <c r="Y928" s="5">
        <f>data_origin!Y1058</f>
        <v>0</v>
      </c>
      <c r="Z928" s="5">
        <f>data_origin!Z1058</f>
        <v>0</v>
      </c>
      <c r="AA928" s="5">
        <f>data_origin!AA1058</f>
        <v>0</v>
      </c>
      <c r="AB928" s="5">
        <f t="shared" si="113"/>
        <v>6.0606060606060608E-2</v>
      </c>
    </row>
    <row r="929" spans="4:28" x14ac:dyDescent="0.25">
      <c r="D929" t="s">
        <v>72</v>
      </c>
      <c r="E929" s="38">
        <f t="shared" ref="E929:I979" si="115">T929+AI533+IFERROR((T929/SUM(T$3:T$992)*AI$630),0)+IFERROR((T929/SUM(T$135:T$332,T$465:T$662,T$795:T$992)*AI$732),0)</f>
        <v>0</v>
      </c>
      <c r="F929" s="38">
        <f t="shared" si="115"/>
        <v>0</v>
      </c>
      <c r="G929" s="38">
        <f t="shared" si="115"/>
        <v>9.1384294331002799E-2</v>
      </c>
      <c r="H929" s="38">
        <f t="shared" si="115"/>
        <v>0</v>
      </c>
      <c r="I929" s="38">
        <f t="shared" si="115"/>
        <v>0</v>
      </c>
      <c r="J929" s="38">
        <f t="shared" si="114"/>
        <v>0</v>
      </c>
      <c r="K929" s="38">
        <f t="shared" si="114"/>
        <v>0</v>
      </c>
      <c r="L929" s="38">
        <f t="shared" si="114"/>
        <v>0</v>
      </c>
      <c r="M929" s="35">
        <f t="shared" si="112"/>
        <v>9.1384294331002799E-2</v>
      </c>
      <c r="S929" t="s">
        <v>72</v>
      </c>
      <c r="T929" s="5">
        <f>data_origin!T1059</f>
        <v>0</v>
      </c>
      <c r="U929" s="5">
        <f>data_origin!U1059</f>
        <v>0</v>
      </c>
      <c r="V929" s="5">
        <f>data_origin!V1059</f>
        <v>6.0606060606060608E-2</v>
      </c>
      <c r="W929" s="5">
        <f>data_origin!W1059</f>
        <v>0</v>
      </c>
      <c r="X929" s="5">
        <f>data_origin!X1059</f>
        <v>0</v>
      </c>
      <c r="Y929" s="5">
        <f>data_origin!Y1059</f>
        <v>0</v>
      </c>
      <c r="Z929" s="5">
        <f>data_origin!Z1059</f>
        <v>0</v>
      </c>
      <c r="AA929" s="5">
        <f>data_origin!AA1059</f>
        <v>0</v>
      </c>
      <c r="AB929" s="5">
        <f t="shared" si="113"/>
        <v>6.0606060606060608E-2</v>
      </c>
    </row>
    <row r="930" spans="4:28" x14ac:dyDescent="0.25">
      <c r="D930" t="s">
        <v>73</v>
      </c>
      <c r="E930" s="38">
        <f t="shared" si="115"/>
        <v>0</v>
      </c>
      <c r="F930" s="38">
        <f t="shared" si="115"/>
        <v>0</v>
      </c>
      <c r="G930" s="38">
        <f t="shared" si="115"/>
        <v>9.1384294331002799E-2</v>
      </c>
      <c r="H930" s="38">
        <f t="shared" si="115"/>
        <v>0</v>
      </c>
      <c r="I930" s="38">
        <f t="shared" si="115"/>
        <v>0</v>
      </c>
      <c r="J930" s="38">
        <f t="shared" si="114"/>
        <v>0</v>
      </c>
      <c r="K930" s="38">
        <f t="shared" si="114"/>
        <v>0</v>
      </c>
      <c r="L930" s="38">
        <f t="shared" si="114"/>
        <v>0</v>
      </c>
      <c r="M930" s="35">
        <f t="shared" si="112"/>
        <v>9.1384294331002799E-2</v>
      </c>
      <c r="S930" t="s">
        <v>73</v>
      </c>
      <c r="T930" s="5">
        <f>data_origin!T1060</f>
        <v>0</v>
      </c>
      <c r="U930" s="5">
        <f>data_origin!U1060</f>
        <v>0</v>
      </c>
      <c r="V930" s="5">
        <f>data_origin!V1060</f>
        <v>6.0606060606060608E-2</v>
      </c>
      <c r="W930" s="5">
        <f>data_origin!W1060</f>
        <v>0</v>
      </c>
      <c r="X930" s="5">
        <f>data_origin!X1060</f>
        <v>0</v>
      </c>
      <c r="Y930" s="5">
        <f>data_origin!Y1060</f>
        <v>0</v>
      </c>
      <c r="Z930" s="5">
        <f>data_origin!Z1060</f>
        <v>0</v>
      </c>
      <c r="AA930" s="5">
        <f>data_origin!AA1060</f>
        <v>0</v>
      </c>
      <c r="AB930" s="5">
        <f t="shared" si="113"/>
        <v>6.0606060606060608E-2</v>
      </c>
    </row>
    <row r="931" spans="4:28" x14ac:dyDescent="0.25">
      <c r="D931" t="s">
        <v>74</v>
      </c>
      <c r="E931" s="38">
        <f t="shared" si="115"/>
        <v>0</v>
      </c>
      <c r="F931" s="38">
        <f t="shared" si="115"/>
        <v>0</v>
      </c>
      <c r="G931" s="38">
        <f t="shared" si="115"/>
        <v>9.1384294331002799E-2</v>
      </c>
      <c r="H931" s="38">
        <f t="shared" si="115"/>
        <v>0</v>
      </c>
      <c r="I931" s="38">
        <f t="shared" si="115"/>
        <v>0</v>
      </c>
      <c r="J931" s="38">
        <f t="shared" si="114"/>
        <v>0</v>
      </c>
      <c r="K931" s="38">
        <f t="shared" si="114"/>
        <v>0</v>
      </c>
      <c r="L931" s="38">
        <f t="shared" si="114"/>
        <v>0</v>
      </c>
      <c r="M931" s="35">
        <f t="shared" si="112"/>
        <v>9.1384294331002799E-2</v>
      </c>
      <c r="S931" t="s">
        <v>74</v>
      </c>
      <c r="T931" s="5">
        <f>data_origin!T1061</f>
        <v>0</v>
      </c>
      <c r="U931" s="5">
        <f>data_origin!U1061</f>
        <v>0</v>
      </c>
      <c r="V931" s="5">
        <f>data_origin!V1061</f>
        <v>6.0606060606060608E-2</v>
      </c>
      <c r="W931" s="5">
        <f>data_origin!W1061</f>
        <v>0</v>
      </c>
      <c r="X931" s="5">
        <f>data_origin!X1061</f>
        <v>0</v>
      </c>
      <c r="Y931" s="5">
        <f>data_origin!Y1061</f>
        <v>0</v>
      </c>
      <c r="Z931" s="5">
        <f>data_origin!Z1061</f>
        <v>0</v>
      </c>
      <c r="AA931" s="5">
        <f>data_origin!AA1061</f>
        <v>0</v>
      </c>
      <c r="AB931" s="5">
        <f t="shared" si="113"/>
        <v>6.0606060606060608E-2</v>
      </c>
    </row>
    <row r="932" spans="4:28" x14ac:dyDescent="0.25">
      <c r="D932" t="s">
        <v>75</v>
      </c>
      <c r="E932" s="38">
        <f t="shared" si="115"/>
        <v>0</v>
      </c>
      <c r="F932" s="38">
        <f t="shared" si="115"/>
        <v>0</v>
      </c>
      <c r="G932" s="38">
        <f t="shared" si="115"/>
        <v>9.1384294331002799E-2</v>
      </c>
      <c r="H932" s="38">
        <f t="shared" si="115"/>
        <v>0</v>
      </c>
      <c r="I932" s="38">
        <f t="shared" si="115"/>
        <v>0</v>
      </c>
      <c r="J932" s="38">
        <f t="shared" si="114"/>
        <v>0</v>
      </c>
      <c r="K932" s="38">
        <f t="shared" si="114"/>
        <v>0</v>
      </c>
      <c r="L932" s="38">
        <f t="shared" si="114"/>
        <v>0</v>
      </c>
      <c r="M932" s="35">
        <f t="shared" si="112"/>
        <v>9.1384294331002799E-2</v>
      </c>
      <c r="S932" t="s">
        <v>75</v>
      </c>
      <c r="T932" s="5">
        <f>data_origin!T1062</f>
        <v>0</v>
      </c>
      <c r="U932" s="5">
        <f>data_origin!U1062</f>
        <v>0</v>
      </c>
      <c r="V932" s="5">
        <f>data_origin!V1062</f>
        <v>6.0606060606060608E-2</v>
      </c>
      <c r="W932" s="5">
        <f>data_origin!W1062</f>
        <v>0</v>
      </c>
      <c r="X932" s="5">
        <f>data_origin!X1062</f>
        <v>0</v>
      </c>
      <c r="Y932" s="5">
        <f>data_origin!Y1062</f>
        <v>0</v>
      </c>
      <c r="Z932" s="5">
        <f>data_origin!Z1062</f>
        <v>0</v>
      </c>
      <c r="AA932" s="5">
        <f>data_origin!AA1062</f>
        <v>0</v>
      </c>
      <c r="AB932" s="5">
        <f t="shared" si="113"/>
        <v>6.0606060606060608E-2</v>
      </c>
    </row>
    <row r="933" spans="4:28" x14ac:dyDescent="0.25">
      <c r="D933" t="s">
        <v>76</v>
      </c>
      <c r="E933" s="38">
        <f t="shared" si="115"/>
        <v>0</v>
      </c>
      <c r="F933" s="38">
        <f t="shared" si="115"/>
        <v>0</v>
      </c>
      <c r="G933" s="38">
        <f t="shared" si="115"/>
        <v>9.1384294331002799E-2</v>
      </c>
      <c r="H933" s="38">
        <f t="shared" si="115"/>
        <v>0</v>
      </c>
      <c r="I933" s="38">
        <f t="shared" si="115"/>
        <v>0</v>
      </c>
      <c r="J933" s="38">
        <f t="shared" si="114"/>
        <v>0</v>
      </c>
      <c r="K933" s="38">
        <f t="shared" si="114"/>
        <v>0</v>
      </c>
      <c r="L933" s="38">
        <f t="shared" si="114"/>
        <v>0</v>
      </c>
      <c r="M933" s="35">
        <f t="shared" si="112"/>
        <v>9.1384294331002799E-2</v>
      </c>
      <c r="S933" t="s">
        <v>76</v>
      </c>
      <c r="T933" s="5">
        <f>data_origin!T1063</f>
        <v>0</v>
      </c>
      <c r="U933" s="5">
        <f>data_origin!U1063</f>
        <v>0</v>
      </c>
      <c r="V933" s="5">
        <f>data_origin!V1063</f>
        <v>6.0606060606060608E-2</v>
      </c>
      <c r="W933" s="5">
        <f>data_origin!W1063</f>
        <v>0</v>
      </c>
      <c r="X933" s="5">
        <f>data_origin!X1063</f>
        <v>0</v>
      </c>
      <c r="Y933" s="5">
        <f>data_origin!Y1063</f>
        <v>0</v>
      </c>
      <c r="Z933" s="5">
        <f>data_origin!Z1063</f>
        <v>0</v>
      </c>
      <c r="AA933" s="5">
        <f>data_origin!AA1063</f>
        <v>0</v>
      </c>
      <c r="AB933" s="5">
        <f t="shared" si="113"/>
        <v>6.0606060606060608E-2</v>
      </c>
    </row>
    <row r="934" spans="4:28" x14ac:dyDescent="0.25">
      <c r="D934" t="s">
        <v>77</v>
      </c>
      <c r="E934" s="38">
        <f t="shared" si="115"/>
        <v>0</v>
      </c>
      <c r="F934" s="38">
        <f t="shared" si="115"/>
        <v>0</v>
      </c>
      <c r="G934" s="38">
        <f t="shared" si="115"/>
        <v>9.1384294331002799E-2</v>
      </c>
      <c r="H934" s="38">
        <f t="shared" si="115"/>
        <v>0</v>
      </c>
      <c r="I934" s="38">
        <f t="shared" si="115"/>
        <v>0</v>
      </c>
      <c r="J934" s="38">
        <f t="shared" si="114"/>
        <v>0</v>
      </c>
      <c r="K934" s="38">
        <f t="shared" si="114"/>
        <v>0</v>
      </c>
      <c r="L934" s="38">
        <f t="shared" si="114"/>
        <v>0</v>
      </c>
      <c r="M934" s="35">
        <f t="shared" si="112"/>
        <v>9.1384294331002799E-2</v>
      </c>
      <c r="S934" t="s">
        <v>77</v>
      </c>
      <c r="T934" s="5">
        <f>data_origin!T1064</f>
        <v>0</v>
      </c>
      <c r="U934" s="5">
        <f>data_origin!U1064</f>
        <v>0</v>
      </c>
      <c r="V934" s="5">
        <f>data_origin!V1064</f>
        <v>6.0606060606060608E-2</v>
      </c>
      <c r="W934" s="5">
        <f>data_origin!W1064</f>
        <v>0</v>
      </c>
      <c r="X934" s="5">
        <f>data_origin!X1064</f>
        <v>0</v>
      </c>
      <c r="Y934" s="5">
        <f>data_origin!Y1064</f>
        <v>0</v>
      </c>
      <c r="Z934" s="5">
        <f>data_origin!Z1064</f>
        <v>0</v>
      </c>
      <c r="AA934" s="5">
        <f>data_origin!AA1064</f>
        <v>0</v>
      </c>
      <c r="AB934" s="5">
        <f t="shared" si="113"/>
        <v>6.0606060606060608E-2</v>
      </c>
    </row>
    <row r="935" spans="4:28" x14ac:dyDescent="0.25">
      <c r="D935" t="s">
        <v>78</v>
      </c>
      <c r="E935" s="38">
        <f t="shared" si="115"/>
        <v>0</v>
      </c>
      <c r="F935" s="38">
        <f t="shared" si="115"/>
        <v>0</v>
      </c>
      <c r="G935" s="38">
        <f t="shared" si="115"/>
        <v>9.1384294331002799E-2</v>
      </c>
      <c r="H935" s="38">
        <f t="shared" si="115"/>
        <v>0</v>
      </c>
      <c r="I935" s="38">
        <f t="shared" si="115"/>
        <v>0</v>
      </c>
      <c r="J935" s="38">
        <f t="shared" si="114"/>
        <v>0</v>
      </c>
      <c r="K935" s="38">
        <f t="shared" si="114"/>
        <v>0</v>
      </c>
      <c r="L935" s="38">
        <f t="shared" si="114"/>
        <v>0</v>
      </c>
      <c r="M935" s="35">
        <f t="shared" si="112"/>
        <v>9.1384294331002799E-2</v>
      </c>
      <c r="S935" t="s">
        <v>78</v>
      </c>
      <c r="T935" s="5">
        <f>data_origin!T1065</f>
        <v>0</v>
      </c>
      <c r="U935" s="5">
        <f>data_origin!U1065</f>
        <v>0</v>
      </c>
      <c r="V935" s="5">
        <f>data_origin!V1065</f>
        <v>6.0606060606060608E-2</v>
      </c>
      <c r="W935" s="5">
        <f>data_origin!W1065</f>
        <v>0</v>
      </c>
      <c r="X935" s="5">
        <f>data_origin!X1065</f>
        <v>0</v>
      </c>
      <c r="Y935" s="5">
        <f>data_origin!Y1065</f>
        <v>0</v>
      </c>
      <c r="Z935" s="5">
        <f>data_origin!Z1065</f>
        <v>0</v>
      </c>
      <c r="AA935" s="5">
        <f>data_origin!AA1065</f>
        <v>0</v>
      </c>
      <c r="AB935" s="5">
        <f t="shared" si="113"/>
        <v>6.0606060606060608E-2</v>
      </c>
    </row>
    <row r="936" spans="4:28" x14ac:dyDescent="0.25">
      <c r="D936" t="s">
        <v>79</v>
      </c>
      <c r="E936" s="38">
        <f t="shared" si="115"/>
        <v>0</v>
      </c>
      <c r="F936" s="38">
        <f t="shared" si="115"/>
        <v>0</v>
      </c>
      <c r="G936" s="38">
        <f t="shared" si="115"/>
        <v>9.1384294331002799E-2</v>
      </c>
      <c r="H936" s="38">
        <f t="shared" si="115"/>
        <v>0</v>
      </c>
      <c r="I936" s="38">
        <f t="shared" si="115"/>
        <v>0</v>
      </c>
      <c r="J936" s="38">
        <f t="shared" si="114"/>
        <v>0</v>
      </c>
      <c r="K936" s="38">
        <f t="shared" si="114"/>
        <v>0</v>
      </c>
      <c r="L936" s="38">
        <f t="shared" si="114"/>
        <v>0</v>
      </c>
      <c r="M936" s="35">
        <f t="shared" si="112"/>
        <v>9.1384294331002799E-2</v>
      </c>
      <c r="S936" t="s">
        <v>79</v>
      </c>
      <c r="T936" s="5">
        <f>data_origin!T1066</f>
        <v>0</v>
      </c>
      <c r="U936" s="5">
        <f>data_origin!U1066</f>
        <v>0</v>
      </c>
      <c r="V936" s="5">
        <f>data_origin!V1066</f>
        <v>6.0606060606060608E-2</v>
      </c>
      <c r="W936" s="5">
        <f>data_origin!W1066</f>
        <v>0</v>
      </c>
      <c r="X936" s="5">
        <f>data_origin!X1066</f>
        <v>0</v>
      </c>
      <c r="Y936" s="5">
        <f>data_origin!Y1066</f>
        <v>0</v>
      </c>
      <c r="Z936" s="5">
        <f>data_origin!Z1066</f>
        <v>0</v>
      </c>
      <c r="AA936" s="5">
        <f>data_origin!AA1066</f>
        <v>0</v>
      </c>
      <c r="AB936" s="5">
        <f t="shared" si="113"/>
        <v>6.0606060606060608E-2</v>
      </c>
    </row>
    <row r="937" spans="4:28" x14ac:dyDescent="0.25">
      <c r="D937" t="s">
        <v>80</v>
      </c>
      <c r="E937" s="38">
        <f t="shared" si="115"/>
        <v>0</v>
      </c>
      <c r="F937" s="38">
        <f t="shared" si="115"/>
        <v>0</v>
      </c>
      <c r="G937" s="38">
        <f t="shared" si="115"/>
        <v>9.1384294331002799E-2</v>
      </c>
      <c r="H937" s="38">
        <f t="shared" si="115"/>
        <v>0</v>
      </c>
      <c r="I937" s="38">
        <f t="shared" si="115"/>
        <v>0</v>
      </c>
      <c r="J937" s="38">
        <f t="shared" si="114"/>
        <v>0</v>
      </c>
      <c r="K937" s="38">
        <f t="shared" si="114"/>
        <v>0</v>
      </c>
      <c r="L937" s="38">
        <f t="shared" si="114"/>
        <v>0</v>
      </c>
      <c r="M937" s="35">
        <f t="shared" si="112"/>
        <v>9.1384294331002799E-2</v>
      </c>
      <c r="S937" t="s">
        <v>80</v>
      </c>
      <c r="T937" s="5">
        <f>data_origin!T1067</f>
        <v>0</v>
      </c>
      <c r="U937" s="5">
        <f>data_origin!U1067</f>
        <v>0</v>
      </c>
      <c r="V937" s="5">
        <f>data_origin!V1067</f>
        <v>6.0606060606060608E-2</v>
      </c>
      <c r="W937" s="5">
        <f>data_origin!W1067</f>
        <v>0</v>
      </c>
      <c r="X937" s="5">
        <f>data_origin!X1067</f>
        <v>0</v>
      </c>
      <c r="Y937" s="5">
        <f>data_origin!Y1067</f>
        <v>0</v>
      </c>
      <c r="Z937" s="5">
        <f>data_origin!Z1067</f>
        <v>0</v>
      </c>
      <c r="AA937" s="5">
        <f>data_origin!AA1067</f>
        <v>0</v>
      </c>
      <c r="AB937" s="5">
        <f t="shared" si="113"/>
        <v>6.0606060606060608E-2</v>
      </c>
    </row>
    <row r="938" spans="4:28" x14ac:dyDescent="0.25">
      <c r="D938" t="s">
        <v>81</v>
      </c>
      <c r="E938" s="38">
        <f t="shared" si="115"/>
        <v>0</v>
      </c>
      <c r="F938" s="38">
        <f t="shared" si="115"/>
        <v>0</v>
      </c>
      <c r="G938" s="38">
        <f t="shared" si="115"/>
        <v>9.1384294331002799E-2</v>
      </c>
      <c r="H938" s="38">
        <f t="shared" si="115"/>
        <v>0</v>
      </c>
      <c r="I938" s="38">
        <f t="shared" si="115"/>
        <v>0</v>
      </c>
      <c r="J938" s="38">
        <f t="shared" si="114"/>
        <v>0</v>
      </c>
      <c r="K938" s="38">
        <f t="shared" si="114"/>
        <v>0</v>
      </c>
      <c r="L938" s="38">
        <f t="shared" si="114"/>
        <v>0</v>
      </c>
      <c r="M938" s="35">
        <f t="shared" si="112"/>
        <v>9.1384294331002799E-2</v>
      </c>
      <c r="S938" t="s">
        <v>81</v>
      </c>
      <c r="T938" s="5">
        <f>data_origin!T1068</f>
        <v>0</v>
      </c>
      <c r="U938" s="5">
        <f>data_origin!U1068</f>
        <v>0</v>
      </c>
      <c r="V938" s="5">
        <f>data_origin!V1068</f>
        <v>6.0606060606060608E-2</v>
      </c>
      <c r="W938" s="5">
        <f>data_origin!W1068</f>
        <v>0</v>
      </c>
      <c r="X938" s="5">
        <f>data_origin!X1068</f>
        <v>0</v>
      </c>
      <c r="Y938" s="5">
        <f>data_origin!Y1068</f>
        <v>0</v>
      </c>
      <c r="Z938" s="5">
        <f>data_origin!Z1068</f>
        <v>0</v>
      </c>
      <c r="AA938" s="5">
        <f>data_origin!AA1068</f>
        <v>0</v>
      </c>
      <c r="AB938" s="5">
        <f t="shared" si="113"/>
        <v>6.0606060606060608E-2</v>
      </c>
    </row>
    <row r="939" spans="4:28" x14ac:dyDescent="0.25">
      <c r="D939" t="s">
        <v>82</v>
      </c>
      <c r="E939" s="38">
        <f t="shared" si="115"/>
        <v>0</v>
      </c>
      <c r="F939" s="38">
        <f t="shared" si="115"/>
        <v>0</v>
      </c>
      <c r="G939" s="38">
        <f t="shared" si="115"/>
        <v>9.1384294331002799E-2</v>
      </c>
      <c r="H939" s="38">
        <f t="shared" si="115"/>
        <v>0</v>
      </c>
      <c r="I939" s="38">
        <f t="shared" si="115"/>
        <v>0</v>
      </c>
      <c r="J939" s="38">
        <f t="shared" si="114"/>
        <v>0</v>
      </c>
      <c r="K939" s="38">
        <f t="shared" si="114"/>
        <v>0</v>
      </c>
      <c r="L939" s="38">
        <f t="shared" si="114"/>
        <v>0</v>
      </c>
      <c r="M939" s="35">
        <f t="shared" si="112"/>
        <v>9.1384294331002799E-2</v>
      </c>
      <c r="S939" t="s">
        <v>82</v>
      </c>
      <c r="T939" s="5">
        <f>data_origin!T1069</f>
        <v>0</v>
      </c>
      <c r="U939" s="5">
        <f>data_origin!U1069</f>
        <v>0</v>
      </c>
      <c r="V939" s="5">
        <f>data_origin!V1069</f>
        <v>6.0606060606060608E-2</v>
      </c>
      <c r="W939" s="5">
        <f>data_origin!W1069</f>
        <v>0</v>
      </c>
      <c r="X939" s="5">
        <f>data_origin!X1069</f>
        <v>0</v>
      </c>
      <c r="Y939" s="5">
        <f>data_origin!Y1069</f>
        <v>0</v>
      </c>
      <c r="Z939" s="5">
        <f>data_origin!Z1069</f>
        <v>0</v>
      </c>
      <c r="AA939" s="5">
        <f>data_origin!AA1069</f>
        <v>0</v>
      </c>
      <c r="AB939" s="5">
        <f t="shared" si="113"/>
        <v>6.0606060606060608E-2</v>
      </c>
    </row>
    <row r="940" spans="4:28" x14ac:dyDescent="0.25">
      <c r="D940" t="s">
        <v>83</v>
      </c>
      <c r="E940" s="38">
        <f t="shared" si="115"/>
        <v>0</v>
      </c>
      <c r="F940" s="38">
        <f t="shared" si="115"/>
        <v>0</v>
      </c>
      <c r="G940" s="38">
        <f t="shared" si="115"/>
        <v>9.1384294331002799E-2</v>
      </c>
      <c r="H940" s="38">
        <f t="shared" si="115"/>
        <v>0</v>
      </c>
      <c r="I940" s="38">
        <f t="shared" si="115"/>
        <v>0</v>
      </c>
      <c r="J940" s="38">
        <f t="shared" si="114"/>
        <v>0</v>
      </c>
      <c r="K940" s="38">
        <f t="shared" si="114"/>
        <v>0</v>
      </c>
      <c r="L940" s="38">
        <f t="shared" si="114"/>
        <v>0</v>
      </c>
      <c r="M940" s="35">
        <f t="shared" si="112"/>
        <v>9.1384294331002799E-2</v>
      </c>
      <c r="S940" t="s">
        <v>83</v>
      </c>
      <c r="T940" s="5">
        <f>data_origin!T1070</f>
        <v>0</v>
      </c>
      <c r="U940" s="5">
        <f>data_origin!U1070</f>
        <v>0</v>
      </c>
      <c r="V940" s="5">
        <f>data_origin!V1070</f>
        <v>6.0606060606060608E-2</v>
      </c>
      <c r="W940" s="5">
        <f>data_origin!W1070</f>
        <v>0</v>
      </c>
      <c r="X940" s="5">
        <f>data_origin!X1070</f>
        <v>0</v>
      </c>
      <c r="Y940" s="5">
        <f>data_origin!Y1070</f>
        <v>0</v>
      </c>
      <c r="Z940" s="5">
        <f>data_origin!Z1070</f>
        <v>0</v>
      </c>
      <c r="AA940" s="5">
        <f>data_origin!AA1070</f>
        <v>0</v>
      </c>
      <c r="AB940" s="5">
        <f t="shared" si="113"/>
        <v>6.0606060606060608E-2</v>
      </c>
    </row>
    <row r="941" spans="4:28" x14ac:dyDescent="0.25">
      <c r="D941" t="s">
        <v>84</v>
      </c>
      <c r="E941" s="38">
        <f t="shared" si="115"/>
        <v>0</v>
      </c>
      <c r="F941" s="38">
        <f t="shared" si="115"/>
        <v>0</v>
      </c>
      <c r="G941" s="38">
        <f t="shared" si="115"/>
        <v>9.1384294331002799E-2</v>
      </c>
      <c r="H941" s="38">
        <f t="shared" si="115"/>
        <v>0</v>
      </c>
      <c r="I941" s="38">
        <f t="shared" si="115"/>
        <v>0</v>
      </c>
      <c r="J941" s="38">
        <f t="shared" si="114"/>
        <v>0</v>
      </c>
      <c r="K941" s="38">
        <f t="shared" si="114"/>
        <v>0</v>
      </c>
      <c r="L941" s="38">
        <f t="shared" si="114"/>
        <v>0</v>
      </c>
      <c r="M941" s="35">
        <f t="shared" si="112"/>
        <v>9.1384294331002799E-2</v>
      </c>
      <c r="S941" t="s">
        <v>84</v>
      </c>
      <c r="T941" s="5">
        <f>data_origin!T1071</f>
        <v>0</v>
      </c>
      <c r="U941" s="5">
        <f>data_origin!U1071</f>
        <v>0</v>
      </c>
      <c r="V941" s="5">
        <f>data_origin!V1071</f>
        <v>6.0606060606060608E-2</v>
      </c>
      <c r="W941" s="5">
        <f>data_origin!W1071</f>
        <v>0</v>
      </c>
      <c r="X941" s="5">
        <f>data_origin!X1071</f>
        <v>0</v>
      </c>
      <c r="Y941" s="5">
        <f>data_origin!Y1071</f>
        <v>0</v>
      </c>
      <c r="Z941" s="5">
        <f>data_origin!Z1071</f>
        <v>0</v>
      </c>
      <c r="AA941" s="5">
        <f>data_origin!AA1071</f>
        <v>0</v>
      </c>
      <c r="AB941" s="5">
        <f t="shared" si="113"/>
        <v>6.0606060606060608E-2</v>
      </c>
    </row>
    <row r="942" spans="4:28" x14ac:dyDescent="0.25">
      <c r="D942" t="s">
        <v>85</v>
      </c>
      <c r="E942" s="38">
        <f t="shared" si="115"/>
        <v>0</v>
      </c>
      <c r="F942" s="38">
        <f t="shared" si="115"/>
        <v>0</v>
      </c>
      <c r="G942" s="38">
        <f t="shared" si="115"/>
        <v>9.1384294331002799E-2</v>
      </c>
      <c r="H942" s="38">
        <f t="shared" si="115"/>
        <v>0</v>
      </c>
      <c r="I942" s="38">
        <f t="shared" si="115"/>
        <v>0</v>
      </c>
      <c r="J942" s="38">
        <f t="shared" si="114"/>
        <v>0</v>
      </c>
      <c r="K942" s="38">
        <f t="shared" si="114"/>
        <v>0</v>
      </c>
      <c r="L942" s="38">
        <f t="shared" si="114"/>
        <v>0</v>
      </c>
      <c r="M942" s="35">
        <f t="shared" si="112"/>
        <v>9.1384294331002799E-2</v>
      </c>
      <c r="S942" t="s">
        <v>85</v>
      </c>
      <c r="T942" s="5">
        <f>data_origin!T1072</f>
        <v>0</v>
      </c>
      <c r="U942" s="5">
        <f>data_origin!U1072</f>
        <v>0</v>
      </c>
      <c r="V942" s="5">
        <f>data_origin!V1072</f>
        <v>6.0606060606060608E-2</v>
      </c>
      <c r="W942" s="5">
        <f>data_origin!W1072</f>
        <v>0</v>
      </c>
      <c r="X942" s="5">
        <f>data_origin!X1072</f>
        <v>0</v>
      </c>
      <c r="Y942" s="5">
        <f>data_origin!Y1072</f>
        <v>0</v>
      </c>
      <c r="Z942" s="5">
        <f>data_origin!Z1072</f>
        <v>0</v>
      </c>
      <c r="AA942" s="5">
        <f>data_origin!AA1072</f>
        <v>0</v>
      </c>
      <c r="AB942" s="5">
        <f t="shared" si="113"/>
        <v>6.0606060606060608E-2</v>
      </c>
    </row>
    <row r="943" spans="4:28" x14ac:dyDescent="0.25">
      <c r="D943" t="s">
        <v>86</v>
      </c>
      <c r="E943" s="38">
        <f t="shared" si="115"/>
        <v>0</v>
      </c>
      <c r="F943" s="38">
        <f t="shared" si="115"/>
        <v>0</v>
      </c>
      <c r="G943" s="38">
        <f t="shared" si="115"/>
        <v>9.1384294331002799E-2</v>
      </c>
      <c r="H943" s="38">
        <f t="shared" si="115"/>
        <v>0</v>
      </c>
      <c r="I943" s="38">
        <f t="shared" si="115"/>
        <v>0</v>
      </c>
      <c r="J943" s="38">
        <f t="shared" si="114"/>
        <v>0</v>
      </c>
      <c r="K943" s="38">
        <f t="shared" si="114"/>
        <v>0</v>
      </c>
      <c r="L943" s="38">
        <f t="shared" si="114"/>
        <v>0</v>
      </c>
      <c r="M943" s="35">
        <f t="shared" si="112"/>
        <v>9.1384294331002799E-2</v>
      </c>
      <c r="S943" t="s">
        <v>86</v>
      </c>
      <c r="T943" s="5">
        <f>data_origin!T1073</f>
        <v>0</v>
      </c>
      <c r="U943" s="5">
        <f>data_origin!U1073</f>
        <v>0</v>
      </c>
      <c r="V943" s="5">
        <f>data_origin!V1073</f>
        <v>6.0606060606060608E-2</v>
      </c>
      <c r="W943" s="5">
        <f>data_origin!W1073</f>
        <v>0</v>
      </c>
      <c r="X943" s="5">
        <f>data_origin!X1073</f>
        <v>0</v>
      </c>
      <c r="Y943" s="5">
        <f>data_origin!Y1073</f>
        <v>0</v>
      </c>
      <c r="Z943" s="5">
        <f>data_origin!Z1073</f>
        <v>0</v>
      </c>
      <c r="AA943" s="5">
        <f>data_origin!AA1073</f>
        <v>0</v>
      </c>
      <c r="AB943" s="5">
        <f t="shared" si="113"/>
        <v>6.0606060606060608E-2</v>
      </c>
    </row>
    <row r="944" spans="4:28" x14ac:dyDescent="0.25">
      <c r="D944" t="s">
        <v>87</v>
      </c>
      <c r="E944" s="38">
        <f t="shared" si="115"/>
        <v>0</v>
      </c>
      <c r="F944" s="38">
        <f t="shared" si="115"/>
        <v>0</v>
      </c>
      <c r="G944" s="38">
        <f t="shared" si="115"/>
        <v>9.1384294331002799E-2</v>
      </c>
      <c r="H944" s="38">
        <f t="shared" si="115"/>
        <v>0</v>
      </c>
      <c r="I944" s="38">
        <f t="shared" si="115"/>
        <v>0</v>
      </c>
      <c r="J944" s="38">
        <f t="shared" si="114"/>
        <v>0</v>
      </c>
      <c r="K944" s="38">
        <f t="shared" si="114"/>
        <v>0</v>
      </c>
      <c r="L944" s="38">
        <f t="shared" si="114"/>
        <v>0</v>
      </c>
      <c r="M944" s="35">
        <f t="shared" si="112"/>
        <v>9.1384294331002799E-2</v>
      </c>
      <c r="S944" t="s">
        <v>87</v>
      </c>
      <c r="T944" s="5">
        <f>data_origin!T1074</f>
        <v>0</v>
      </c>
      <c r="U944" s="5">
        <f>data_origin!U1074</f>
        <v>0</v>
      </c>
      <c r="V944" s="5">
        <f>data_origin!V1074</f>
        <v>6.0606060606060608E-2</v>
      </c>
      <c r="W944" s="5">
        <f>data_origin!W1074</f>
        <v>0</v>
      </c>
      <c r="X944" s="5">
        <f>data_origin!X1074</f>
        <v>0</v>
      </c>
      <c r="Y944" s="5">
        <f>data_origin!Y1074</f>
        <v>0</v>
      </c>
      <c r="Z944" s="5">
        <f>data_origin!Z1074</f>
        <v>0</v>
      </c>
      <c r="AA944" s="5">
        <f>data_origin!AA1074</f>
        <v>0</v>
      </c>
      <c r="AB944" s="5">
        <f t="shared" si="113"/>
        <v>6.0606060606060608E-2</v>
      </c>
    </row>
    <row r="945" spans="1:28" x14ac:dyDescent="0.25">
      <c r="D945" t="s">
        <v>88</v>
      </c>
      <c r="E945" s="38">
        <f t="shared" si="115"/>
        <v>0</v>
      </c>
      <c r="F945" s="38">
        <f t="shared" si="115"/>
        <v>0</v>
      </c>
      <c r="G945" s="38">
        <f t="shared" si="115"/>
        <v>9.1384294331002799E-2</v>
      </c>
      <c r="H945" s="38">
        <f t="shared" si="115"/>
        <v>4.0499155380273653</v>
      </c>
      <c r="I945" s="38">
        <f t="shared" si="115"/>
        <v>0</v>
      </c>
      <c r="J945" s="38">
        <f t="shared" si="114"/>
        <v>0</v>
      </c>
      <c r="K945" s="38">
        <f t="shared" si="114"/>
        <v>0</v>
      </c>
      <c r="L945" s="38">
        <f t="shared" si="114"/>
        <v>0</v>
      </c>
      <c r="M945" s="35">
        <f t="shared" si="112"/>
        <v>4.1412998323583681</v>
      </c>
      <c r="S945" t="s">
        <v>88</v>
      </c>
      <c r="T945" s="5">
        <f>data_origin!T1075</f>
        <v>0</v>
      </c>
      <c r="U945" s="5">
        <f>data_origin!U1075</f>
        <v>0</v>
      </c>
      <c r="V945" s="5">
        <f>data_origin!V1075</f>
        <v>6.0606060606060608E-2</v>
      </c>
      <c r="W945" s="5">
        <f>data_origin!W1075</f>
        <v>4</v>
      </c>
      <c r="X945" s="5">
        <f>data_origin!X1075</f>
        <v>0</v>
      </c>
      <c r="Y945" s="5">
        <f>data_origin!Y1075</f>
        <v>0</v>
      </c>
      <c r="Z945" s="5">
        <f>data_origin!Z1075</f>
        <v>0</v>
      </c>
      <c r="AA945" s="5">
        <f>data_origin!AA1075</f>
        <v>0</v>
      </c>
      <c r="AB945" s="5">
        <f t="shared" si="113"/>
        <v>4.0606060606060606</v>
      </c>
    </row>
    <row r="946" spans="1:28" x14ac:dyDescent="0.25">
      <c r="D946" t="s">
        <v>89</v>
      </c>
      <c r="E946" s="38">
        <f t="shared" si="115"/>
        <v>0</v>
      </c>
      <c r="F946" s="38">
        <f t="shared" si="115"/>
        <v>0</v>
      </c>
      <c r="G946" s="38">
        <f t="shared" si="115"/>
        <v>9.1384294331002799E-2</v>
      </c>
      <c r="H946" s="38">
        <f t="shared" si="115"/>
        <v>0</v>
      </c>
      <c r="I946" s="38">
        <f t="shared" si="115"/>
        <v>0</v>
      </c>
      <c r="J946" s="38">
        <f t="shared" si="114"/>
        <v>0</v>
      </c>
      <c r="K946" s="38">
        <f t="shared" si="114"/>
        <v>0</v>
      </c>
      <c r="L946" s="38">
        <f t="shared" si="114"/>
        <v>0</v>
      </c>
      <c r="M946" s="35">
        <f t="shared" si="112"/>
        <v>9.1384294331002799E-2</v>
      </c>
      <c r="S946" t="s">
        <v>89</v>
      </c>
      <c r="T946" s="5">
        <f>data_origin!T1076</f>
        <v>0</v>
      </c>
      <c r="U946" s="5">
        <f>data_origin!U1076</f>
        <v>0</v>
      </c>
      <c r="V946" s="5">
        <f>data_origin!V1076</f>
        <v>6.0606060606060608E-2</v>
      </c>
      <c r="W946" s="5">
        <f>data_origin!W1076</f>
        <v>0</v>
      </c>
      <c r="X946" s="5">
        <f>data_origin!X1076</f>
        <v>0</v>
      </c>
      <c r="Y946" s="5">
        <f>data_origin!Y1076</f>
        <v>0</v>
      </c>
      <c r="Z946" s="5">
        <f>data_origin!Z1076</f>
        <v>0</v>
      </c>
      <c r="AA946" s="5">
        <f>data_origin!AA1076</f>
        <v>0</v>
      </c>
      <c r="AB946" s="5">
        <f t="shared" si="113"/>
        <v>6.0606060606060608E-2</v>
      </c>
    </row>
    <row r="947" spans="1:28" x14ac:dyDescent="0.25">
      <c r="D947" t="s">
        <v>90</v>
      </c>
      <c r="E947" s="38">
        <f t="shared" si="115"/>
        <v>0</v>
      </c>
      <c r="F947" s="38">
        <f t="shared" si="115"/>
        <v>0</v>
      </c>
      <c r="G947" s="38">
        <f t="shared" si="115"/>
        <v>9.1384294331002799E-2</v>
      </c>
      <c r="H947" s="38">
        <f t="shared" si="115"/>
        <v>0</v>
      </c>
      <c r="I947" s="38">
        <f t="shared" si="115"/>
        <v>0</v>
      </c>
      <c r="J947" s="38">
        <f t="shared" si="114"/>
        <v>0</v>
      </c>
      <c r="K947" s="38">
        <f t="shared" si="114"/>
        <v>0</v>
      </c>
      <c r="L947" s="38">
        <f t="shared" si="114"/>
        <v>0</v>
      </c>
      <c r="M947" s="35">
        <f t="shared" si="112"/>
        <v>9.1384294331002799E-2</v>
      </c>
      <c r="S947" t="s">
        <v>90</v>
      </c>
      <c r="T947" s="5">
        <f>data_origin!T1077</f>
        <v>0</v>
      </c>
      <c r="U947" s="5">
        <f>data_origin!U1077</f>
        <v>0</v>
      </c>
      <c r="V947" s="5">
        <f>data_origin!V1077</f>
        <v>6.0606060606060608E-2</v>
      </c>
      <c r="W947" s="5">
        <f>data_origin!W1077</f>
        <v>0</v>
      </c>
      <c r="X947" s="5">
        <f>data_origin!X1077</f>
        <v>0</v>
      </c>
      <c r="Y947" s="5">
        <f>data_origin!Y1077</f>
        <v>0</v>
      </c>
      <c r="Z947" s="5">
        <f>data_origin!Z1077</f>
        <v>0</v>
      </c>
      <c r="AA947" s="5">
        <f>data_origin!AA1077</f>
        <v>0</v>
      </c>
      <c r="AB947" s="5">
        <f t="shared" si="113"/>
        <v>6.0606060606060608E-2</v>
      </c>
    </row>
    <row r="948" spans="1:28" x14ac:dyDescent="0.25">
      <c r="D948" t="s">
        <v>91</v>
      </c>
      <c r="E948" s="38">
        <f t="shared" si="115"/>
        <v>0</v>
      </c>
      <c r="F948" s="38">
        <f t="shared" si="115"/>
        <v>0</v>
      </c>
      <c r="G948" s="38">
        <f t="shared" si="115"/>
        <v>9.1384294331002799E-2</v>
      </c>
      <c r="H948" s="38">
        <f t="shared" si="115"/>
        <v>0</v>
      </c>
      <c r="I948" s="38">
        <f t="shared" si="115"/>
        <v>0</v>
      </c>
      <c r="J948" s="38">
        <f t="shared" si="114"/>
        <v>0</v>
      </c>
      <c r="K948" s="38">
        <f t="shared" si="114"/>
        <v>0</v>
      </c>
      <c r="L948" s="38">
        <f t="shared" si="114"/>
        <v>0</v>
      </c>
      <c r="M948" s="35">
        <f t="shared" si="112"/>
        <v>9.1384294331002799E-2</v>
      </c>
      <c r="S948" t="s">
        <v>91</v>
      </c>
      <c r="T948" s="5">
        <f>data_origin!T1078</f>
        <v>0</v>
      </c>
      <c r="U948" s="5">
        <f>data_origin!U1078</f>
        <v>0</v>
      </c>
      <c r="V948" s="5">
        <f>data_origin!V1078</f>
        <v>6.0606060606060608E-2</v>
      </c>
      <c r="W948" s="5">
        <f>data_origin!W1078</f>
        <v>0</v>
      </c>
      <c r="X948" s="5">
        <f>data_origin!X1078</f>
        <v>0</v>
      </c>
      <c r="Y948" s="5">
        <f>data_origin!Y1078</f>
        <v>0</v>
      </c>
      <c r="Z948" s="5">
        <f>data_origin!Z1078</f>
        <v>0</v>
      </c>
      <c r="AA948" s="5">
        <f>data_origin!AA1078</f>
        <v>0</v>
      </c>
      <c r="AB948" s="5">
        <f t="shared" si="113"/>
        <v>6.0606060606060608E-2</v>
      </c>
    </row>
    <row r="949" spans="1:28" x14ac:dyDescent="0.25">
      <c r="D949" t="s">
        <v>92</v>
      </c>
      <c r="E949" s="38">
        <f t="shared" si="115"/>
        <v>0</v>
      </c>
      <c r="F949" s="38">
        <f t="shared" si="115"/>
        <v>0</v>
      </c>
      <c r="G949" s="38">
        <f t="shared" si="115"/>
        <v>9.1384294331002799E-2</v>
      </c>
      <c r="H949" s="38">
        <f t="shared" si="115"/>
        <v>0</v>
      </c>
      <c r="I949" s="38">
        <f t="shared" si="115"/>
        <v>0</v>
      </c>
      <c r="J949" s="38">
        <f t="shared" si="114"/>
        <v>0</v>
      </c>
      <c r="K949" s="38">
        <f t="shared" si="114"/>
        <v>0</v>
      </c>
      <c r="L949" s="38">
        <f t="shared" si="114"/>
        <v>0</v>
      </c>
      <c r="M949" s="35">
        <f t="shared" si="112"/>
        <v>9.1384294331002799E-2</v>
      </c>
      <c r="S949" t="s">
        <v>92</v>
      </c>
      <c r="T949" s="5">
        <f>data_origin!T1079</f>
        <v>0</v>
      </c>
      <c r="U949" s="5">
        <f>data_origin!U1079</f>
        <v>0</v>
      </c>
      <c r="V949" s="5">
        <f>data_origin!V1079</f>
        <v>6.0606060606060608E-2</v>
      </c>
      <c r="W949" s="5">
        <f>data_origin!W1079</f>
        <v>0</v>
      </c>
      <c r="X949" s="5">
        <f>data_origin!X1079</f>
        <v>0</v>
      </c>
      <c r="Y949" s="5">
        <f>data_origin!Y1079</f>
        <v>0</v>
      </c>
      <c r="Z949" s="5">
        <f>data_origin!Z1079</f>
        <v>0</v>
      </c>
      <c r="AA949" s="5">
        <f>data_origin!AA1079</f>
        <v>0</v>
      </c>
      <c r="AB949" s="5">
        <f t="shared" si="113"/>
        <v>6.0606060606060608E-2</v>
      </c>
    </row>
    <row r="950" spans="1:28" x14ac:dyDescent="0.25">
      <c r="D950" t="s">
        <v>93</v>
      </c>
      <c r="E950" s="38">
        <f t="shared" si="115"/>
        <v>0</v>
      </c>
      <c r="F950" s="38">
        <f t="shared" si="115"/>
        <v>0</v>
      </c>
      <c r="G950" s="38">
        <f t="shared" si="115"/>
        <v>9.1384294331002799E-2</v>
      </c>
      <c r="H950" s="38">
        <f t="shared" si="115"/>
        <v>0</v>
      </c>
      <c r="I950" s="38">
        <f t="shared" si="115"/>
        <v>0</v>
      </c>
      <c r="J950" s="38">
        <f t="shared" si="114"/>
        <v>0</v>
      </c>
      <c r="K950" s="38">
        <f t="shared" si="114"/>
        <v>0</v>
      </c>
      <c r="L950" s="38">
        <f t="shared" si="114"/>
        <v>0</v>
      </c>
      <c r="M950" s="35">
        <f t="shared" si="112"/>
        <v>9.1384294331002799E-2</v>
      </c>
      <c r="S950" t="s">
        <v>93</v>
      </c>
      <c r="T950" s="5">
        <f>data_origin!T1080</f>
        <v>0</v>
      </c>
      <c r="U950" s="5">
        <f>data_origin!U1080</f>
        <v>0</v>
      </c>
      <c r="V950" s="5">
        <f>data_origin!V1080</f>
        <v>6.0606060606060608E-2</v>
      </c>
      <c r="W950" s="5">
        <f>data_origin!W1080</f>
        <v>0</v>
      </c>
      <c r="X950" s="5">
        <f>data_origin!X1080</f>
        <v>0</v>
      </c>
      <c r="Y950" s="5">
        <f>data_origin!Y1080</f>
        <v>0</v>
      </c>
      <c r="Z950" s="5">
        <f>data_origin!Z1080</f>
        <v>0</v>
      </c>
      <c r="AA950" s="5">
        <f>data_origin!AA1080</f>
        <v>0</v>
      </c>
      <c r="AB950" s="5">
        <f t="shared" si="113"/>
        <v>6.0606060606060608E-2</v>
      </c>
    </row>
    <row r="951" spans="1:28" x14ac:dyDescent="0.25">
      <c r="D951" t="s">
        <v>94</v>
      </c>
      <c r="E951" s="38">
        <f t="shared" si="115"/>
        <v>0</v>
      </c>
      <c r="F951" s="38">
        <f t="shared" si="115"/>
        <v>0</v>
      </c>
      <c r="G951" s="38">
        <f t="shared" si="115"/>
        <v>9.1384294331002799E-2</v>
      </c>
      <c r="H951" s="38">
        <f t="shared" si="115"/>
        <v>0</v>
      </c>
      <c r="I951" s="38">
        <f t="shared" si="115"/>
        <v>0</v>
      </c>
      <c r="J951" s="38">
        <f t="shared" si="114"/>
        <v>0</v>
      </c>
      <c r="K951" s="38">
        <f t="shared" si="114"/>
        <v>0</v>
      </c>
      <c r="L951" s="38">
        <f t="shared" si="114"/>
        <v>0</v>
      </c>
      <c r="M951" s="35">
        <f t="shared" si="112"/>
        <v>9.1384294331002799E-2</v>
      </c>
      <c r="S951" t="s">
        <v>94</v>
      </c>
      <c r="T951" s="5">
        <f>data_origin!T1081</f>
        <v>0</v>
      </c>
      <c r="U951" s="5">
        <f>data_origin!U1081</f>
        <v>0</v>
      </c>
      <c r="V951" s="5">
        <f>data_origin!V1081</f>
        <v>6.0606060606060608E-2</v>
      </c>
      <c r="W951" s="5">
        <f>data_origin!W1081</f>
        <v>0</v>
      </c>
      <c r="X951" s="5">
        <f>data_origin!X1081</f>
        <v>0</v>
      </c>
      <c r="Y951" s="5">
        <f>data_origin!Y1081</f>
        <v>0</v>
      </c>
      <c r="Z951" s="5">
        <f>data_origin!Z1081</f>
        <v>0</v>
      </c>
      <c r="AA951" s="5">
        <f>data_origin!AA1081</f>
        <v>0</v>
      </c>
      <c r="AB951" s="5">
        <f t="shared" si="113"/>
        <v>6.0606060606060608E-2</v>
      </c>
    </row>
    <row r="952" spans="1:28" x14ac:dyDescent="0.25">
      <c r="D952" t="s">
        <v>95</v>
      </c>
      <c r="E952" s="38">
        <f t="shared" si="115"/>
        <v>0</v>
      </c>
      <c r="F952" s="38">
        <f t="shared" si="115"/>
        <v>0</v>
      </c>
      <c r="G952" s="38">
        <f t="shared" si="115"/>
        <v>9.1384294331002799E-2</v>
      </c>
      <c r="H952" s="38">
        <f t="shared" si="115"/>
        <v>0</v>
      </c>
      <c r="I952" s="38">
        <f t="shared" si="115"/>
        <v>0</v>
      </c>
      <c r="J952" s="38">
        <f t="shared" si="114"/>
        <v>0</v>
      </c>
      <c r="K952" s="38">
        <f t="shared" si="114"/>
        <v>0</v>
      </c>
      <c r="L952" s="38">
        <f t="shared" si="114"/>
        <v>0</v>
      </c>
      <c r="M952" s="35">
        <f t="shared" si="112"/>
        <v>9.1384294331002799E-2</v>
      </c>
      <c r="S952" t="s">
        <v>95</v>
      </c>
      <c r="T952" s="5">
        <f>data_origin!T1082</f>
        <v>0</v>
      </c>
      <c r="U952" s="5">
        <f>data_origin!U1082</f>
        <v>0</v>
      </c>
      <c r="V952" s="5">
        <f>data_origin!V1082</f>
        <v>6.0606060606060608E-2</v>
      </c>
      <c r="W952" s="5">
        <f>data_origin!W1082</f>
        <v>0</v>
      </c>
      <c r="X952" s="5">
        <f>data_origin!X1082</f>
        <v>0</v>
      </c>
      <c r="Y952" s="5">
        <f>data_origin!Y1082</f>
        <v>0</v>
      </c>
      <c r="Z952" s="5">
        <f>data_origin!Z1082</f>
        <v>0</v>
      </c>
      <c r="AA952" s="5">
        <f>data_origin!AA1082</f>
        <v>0</v>
      </c>
      <c r="AB952" s="5">
        <f t="shared" si="113"/>
        <v>6.0606060606060608E-2</v>
      </c>
    </row>
    <row r="953" spans="1:28" x14ac:dyDescent="0.25">
      <c r="D953" t="s">
        <v>96</v>
      </c>
      <c r="E953" s="38">
        <f t="shared" si="115"/>
        <v>0</v>
      </c>
      <c r="F953" s="38">
        <f t="shared" si="115"/>
        <v>0</v>
      </c>
      <c r="G953" s="38">
        <f t="shared" si="115"/>
        <v>9.1384294331002799E-2</v>
      </c>
      <c r="H953" s="38">
        <f t="shared" si="115"/>
        <v>0</v>
      </c>
      <c r="I953" s="38">
        <f t="shared" si="115"/>
        <v>0</v>
      </c>
      <c r="J953" s="38">
        <f t="shared" si="114"/>
        <v>0</v>
      </c>
      <c r="K953" s="38">
        <f t="shared" si="114"/>
        <v>0</v>
      </c>
      <c r="L953" s="38">
        <f t="shared" si="114"/>
        <v>0</v>
      </c>
      <c r="M953" s="35">
        <f t="shared" si="112"/>
        <v>9.1384294331002799E-2</v>
      </c>
      <c r="S953" t="s">
        <v>96</v>
      </c>
      <c r="T953" s="5">
        <f>data_origin!T1083</f>
        <v>0</v>
      </c>
      <c r="U953" s="5">
        <f>data_origin!U1083</f>
        <v>0</v>
      </c>
      <c r="V953" s="5">
        <f>data_origin!V1083</f>
        <v>6.0606060606060608E-2</v>
      </c>
      <c r="W953" s="5">
        <f>data_origin!W1083</f>
        <v>0</v>
      </c>
      <c r="X953" s="5">
        <f>data_origin!X1083</f>
        <v>0</v>
      </c>
      <c r="Y953" s="5">
        <f>data_origin!Y1083</f>
        <v>0</v>
      </c>
      <c r="Z953" s="5">
        <f>data_origin!Z1083</f>
        <v>0</v>
      </c>
      <c r="AA953" s="5">
        <f>data_origin!AA1083</f>
        <v>0</v>
      </c>
      <c r="AB953" s="5">
        <f t="shared" si="113"/>
        <v>6.0606060606060608E-2</v>
      </c>
    </row>
    <row r="954" spans="1:28" x14ac:dyDescent="0.25">
      <c r="D954" t="s">
        <v>97</v>
      </c>
      <c r="E954" s="38">
        <f t="shared" si="115"/>
        <v>0</v>
      </c>
      <c r="F954" s="38">
        <f t="shared" si="115"/>
        <v>0</v>
      </c>
      <c r="G954" s="38">
        <f t="shared" si="115"/>
        <v>9.1384294331002799E-2</v>
      </c>
      <c r="H954" s="38">
        <f t="shared" si="115"/>
        <v>0</v>
      </c>
      <c r="I954" s="38">
        <f t="shared" si="115"/>
        <v>0</v>
      </c>
      <c r="J954" s="38">
        <f t="shared" si="114"/>
        <v>0</v>
      </c>
      <c r="K954" s="38">
        <f t="shared" si="114"/>
        <v>0</v>
      </c>
      <c r="L954" s="38">
        <f t="shared" si="114"/>
        <v>0</v>
      </c>
      <c r="M954" s="35">
        <f t="shared" si="112"/>
        <v>9.1384294331002799E-2</v>
      </c>
      <c r="S954" t="s">
        <v>97</v>
      </c>
      <c r="T954" s="5">
        <f>data_origin!T1084</f>
        <v>0</v>
      </c>
      <c r="U954" s="5">
        <f>data_origin!U1084</f>
        <v>0</v>
      </c>
      <c r="V954" s="5">
        <f>data_origin!V1084</f>
        <v>6.0606060606060608E-2</v>
      </c>
      <c r="W954" s="5">
        <f>data_origin!W1084</f>
        <v>0</v>
      </c>
      <c r="X954" s="5">
        <f>data_origin!X1084</f>
        <v>0</v>
      </c>
      <c r="Y954" s="5">
        <f>data_origin!Y1084</f>
        <v>0</v>
      </c>
      <c r="Z954" s="5">
        <f>data_origin!Z1084</f>
        <v>0</v>
      </c>
      <c r="AA954" s="5">
        <f>data_origin!AA1084</f>
        <v>0</v>
      </c>
      <c r="AB954" s="5">
        <f t="shared" si="113"/>
        <v>6.0606060606060608E-2</v>
      </c>
    </row>
    <row r="955" spans="1:28" x14ac:dyDescent="0.25">
      <c r="D955" t="s">
        <v>98</v>
      </c>
      <c r="E955" s="38">
        <f t="shared" si="115"/>
        <v>0</v>
      </c>
      <c r="F955" s="38">
        <f t="shared" si="115"/>
        <v>0</v>
      </c>
      <c r="G955" s="38">
        <f t="shared" si="115"/>
        <v>9.1384294331002799E-2</v>
      </c>
      <c r="H955" s="38">
        <f t="shared" si="115"/>
        <v>0</v>
      </c>
      <c r="I955" s="38">
        <f t="shared" si="115"/>
        <v>0</v>
      </c>
      <c r="J955" s="38">
        <f t="shared" si="114"/>
        <v>0</v>
      </c>
      <c r="K955" s="38">
        <f t="shared" si="114"/>
        <v>0</v>
      </c>
      <c r="L955" s="38">
        <f t="shared" si="114"/>
        <v>0</v>
      </c>
      <c r="M955" s="35">
        <f t="shared" si="112"/>
        <v>9.1384294331002799E-2</v>
      </c>
      <c r="S955" t="s">
        <v>98</v>
      </c>
      <c r="T955" s="5">
        <f>data_origin!T1085</f>
        <v>0</v>
      </c>
      <c r="U955" s="5">
        <f>data_origin!U1085</f>
        <v>0</v>
      </c>
      <c r="V955" s="5">
        <f>data_origin!V1085</f>
        <v>6.0606060606060608E-2</v>
      </c>
      <c r="W955" s="5">
        <f>data_origin!W1085</f>
        <v>0</v>
      </c>
      <c r="X955" s="5">
        <f>data_origin!X1085</f>
        <v>0</v>
      </c>
      <c r="Y955" s="5">
        <f>data_origin!Y1085</f>
        <v>0</v>
      </c>
      <c r="Z955" s="5">
        <f>data_origin!Z1085</f>
        <v>0</v>
      </c>
      <c r="AA955" s="5">
        <f>data_origin!AA1085</f>
        <v>0</v>
      </c>
      <c r="AB955" s="5">
        <f t="shared" si="113"/>
        <v>6.0606060606060608E-2</v>
      </c>
    </row>
    <row r="956" spans="1:28" x14ac:dyDescent="0.25">
      <c r="D956" t="s">
        <v>119</v>
      </c>
      <c r="E956" s="38">
        <f t="shared" si="115"/>
        <v>0</v>
      </c>
      <c r="F956" s="38">
        <f t="shared" si="115"/>
        <v>0</v>
      </c>
      <c r="G956" s="38">
        <f t="shared" si="115"/>
        <v>9.1384294331002799E-2</v>
      </c>
      <c r="H956" s="38">
        <f t="shared" si="115"/>
        <v>0</v>
      </c>
      <c r="I956" s="38">
        <f t="shared" si="115"/>
        <v>0</v>
      </c>
      <c r="J956" s="38">
        <f t="shared" si="114"/>
        <v>0</v>
      </c>
      <c r="K956" s="38">
        <f t="shared" si="114"/>
        <v>0</v>
      </c>
      <c r="L956" s="38">
        <f t="shared" si="114"/>
        <v>0</v>
      </c>
      <c r="M956" s="35">
        <f t="shared" si="112"/>
        <v>9.1384294331002799E-2</v>
      </c>
      <c r="S956" t="s">
        <v>119</v>
      </c>
      <c r="T956" s="5">
        <f>data_origin!T1086</f>
        <v>0</v>
      </c>
      <c r="U956" s="5">
        <f>data_origin!U1086</f>
        <v>0</v>
      </c>
      <c r="V956" s="5">
        <f>data_origin!V1086</f>
        <v>6.0606060606060608E-2</v>
      </c>
      <c r="W956" s="5">
        <f>data_origin!W1086</f>
        <v>0</v>
      </c>
      <c r="X956" s="5">
        <f>data_origin!X1086</f>
        <v>0</v>
      </c>
      <c r="Y956" s="5">
        <f>data_origin!Y1086</f>
        <v>0</v>
      </c>
      <c r="Z956" s="5">
        <f>data_origin!Z1086</f>
        <v>0</v>
      </c>
      <c r="AA956" s="5">
        <f>data_origin!AA1086</f>
        <v>0</v>
      </c>
      <c r="AB956" s="5">
        <f t="shared" si="113"/>
        <v>6.0606060606060608E-2</v>
      </c>
    </row>
    <row r="957" spans="1:28" x14ac:dyDescent="0.25">
      <c r="D957" t="s">
        <v>99</v>
      </c>
      <c r="E957" s="38">
        <f t="shared" si="115"/>
        <v>0</v>
      </c>
      <c r="F957" s="38">
        <f t="shared" si="115"/>
        <v>0</v>
      </c>
      <c r="G957" s="38">
        <f t="shared" si="115"/>
        <v>9.1384294331002799E-2</v>
      </c>
      <c r="H957" s="38">
        <f t="shared" si="115"/>
        <v>0</v>
      </c>
      <c r="I957" s="38">
        <f t="shared" si="115"/>
        <v>0</v>
      </c>
      <c r="J957" s="38">
        <f t="shared" si="114"/>
        <v>0</v>
      </c>
      <c r="K957" s="38">
        <f t="shared" si="114"/>
        <v>0</v>
      </c>
      <c r="L957" s="38">
        <f t="shared" si="114"/>
        <v>0</v>
      </c>
      <c r="M957" s="35">
        <f t="shared" si="112"/>
        <v>9.1384294331002799E-2</v>
      </c>
      <c r="S957" t="s">
        <v>99</v>
      </c>
      <c r="T957" s="5">
        <f>data_origin!T1087</f>
        <v>0</v>
      </c>
      <c r="U957" s="5">
        <f>data_origin!U1087</f>
        <v>0</v>
      </c>
      <c r="V957" s="5">
        <f>data_origin!V1087</f>
        <v>6.0606060606060608E-2</v>
      </c>
      <c r="W957" s="5">
        <f>data_origin!W1087</f>
        <v>0</v>
      </c>
      <c r="X957" s="5">
        <f>data_origin!X1087</f>
        <v>0</v>
      </c>
      <c r="Y957" s="5">
        <f>data_origin!Y1087</f>
        <v>0</v>
      </c>
      <c r="Z957" s="5">
        <f>data_origin!Z1087</f>
        <v>0</v>
      </c>
      <c r="AA957" s="5">
        <f>data_origin!AA1087</f>
        <v>0</v>
      </c>
      <c r="AB957" s="5">
        <f t="shared" si="113"/>
        <v>6.0606060606060608E-2</v>
      </c>
    </row>
    <row r="958" spans="1:28" x14ac:dyDescent="0.25">
      <c r="D958" t="s">
        <v>100</v>
      </c>
      <c r="E958" s="38">
        <f t="shared" si="115"/>
        <v>0</v>
      </c>
      <c r="F958" s="38">
        <f t="shared" si="115"/>
        <v>0</v>
      </c>
      <c r="G958" s="38">
        <f t="shared" si="115"/>
        <v>9.1384294331002799E-2</v>
      </c>
      <c r="H958" s="38">
        <f t="shared" si="115"/>
        <v>0</v>
      </c>
      <c r="I958" s="38">
        <f t="shared" si="115"/>
        <v>0</v>
      </c>
      <c r="J958" s="38">
        <f t="shared" si="114"/>
        <v>0</v>
      </c>
      <c r="K958" s="38">
        <f t="shared" si="114"/>
        <v>0</v>
      </c>
      <c r="L958" s="38">
        <f t="shared" si="114"/>
        <v>0</v>
      </c>
      <c r="M958" s="35">
        <f t="shared" si="112"/>
        <v>9.1384294331002799E-2</v>
      </c>
      <c r="S958" t="s">
        <v>100</v>
      </c>
      <c r="T958" s="5">
        <f>data_origin!T1088</f>
        <v>0</v>
      </c>
      <c r="U958" s="5">
        <f>data_origin!U1088</f>
        <v>0</v>
      </c>
      <c r="V958" s="5">
        <f>data_origin!V1088</f>
        <v>6.0606060606060608E-2</v>
      </c>
      <c r="W958" s="5">
        <f>data_origin!W1088</f>
        <v>0</v>
      </c>
      <c r="X958" s="5">
        <f>data_origin!X1088</f>
        <v>0</v>
      </c>
      <c r="Y958" s="5">
        <f>data_origin!Y1088</f>
        <v>0</v>
      </c>
      <c r="Z958" s="5">
        <f>data_origin!Z1088</f>
        <v>0</v>
      </c>
      <c r="AA958" s="5">
        <f>data_origin!AA1088</f>
        <v>0</v>
      </c>
      <c r="AB958" s="5">
        <f t="shared" si="113"/>
        <v>6.0606060606060608E-2</v>
      </c>
    </row>
    <row r="959" spans="1:28" x14ac:dyDescent="0.25">
      <c r="D959" t="s">
        <v>101</v>
      </c>
      <c r="E959" s="38">
        <f t="shared" si="115"/>
        <v>0</v>
      </c>
      <c r="F959" s="38">
        <f t="shared" si="115"/>
        <v>0</v>
      </c>
      <c r="G959" s="38">
        <f t="shared" si="115"/>
        <v>9.1384294331002799E-2</v>
      </c>
      <c r="H959" s="38">
        <f t="shared" si="115"/>
        <v>0</v>
      </c>
      <c r="I959" s="38">
        <f t="shared" si="115"/>
        <v>0</v>
      </c>
      <c r="J959" s="38">
        <f t="shared" si="114"/>
        <v>0</v>
      </c>
      <c r="K959" s="38">
        <f t="shared" si="114"/>
        <v>0</v>
      </c>
      <c r="L959" s="38">
        <f t="shared" si="114"/>
        <v>0</v>
      </c>
      <c r="M959" s="35">
        <f t="shared" si="112"/>
        <v>9.1384294331002799E-2</v>
      </c>
      <c r="S959" t="s">
        <v>101</v>
      </c>
      <c r="T959" s="5">
        <f>data_origin!T1089</f>
        <v>0</v>
      </c>
      <c r="U959" s="5">
        <f>data_origin!U1089</f>
        <v>0</v>
      </c>
      <c r="V959" s="5">
        <f>data_origin!V1089</f>
        <v>6.0606060606060608E-2</v>
      </c>
      <c r="W959" s="5">
        <f>data_origin!W1089</f>
        <v>0</v>
      </c>
      <c r="X959" s="5">
        <f>data_origin!X1089</f>
        <v>0</v>
      </c>
      <c r="Y959" s="5">
        <f>data_origin!Y1089</f>
        <v>0</v>
      </c>
      <c r="Z959" s="5">
        <f>data_origin!Z1089</f>
        <v>0</v>
      </c>
      <c r="AA959" s="5">
        <f>data_origin!AA1089</f>
        <v>0</v>
      </c>
      <c r="AB959" s="5">
        <f t="shared" si="113"/>
        <v>6.0606060606060608E-2</v>
      </c>
    </row>
    <row r="960" spans="1:28" x14ac:dyDescent="0.25">
      <c r="A960" s="23" t="s">
        <v>104</v>
      </c>
      <c r="B960" s="23" t="s">
        <v>117</v>
      </c>
      <c r="C960" s="23" t="s">
        <v>114</v>
      </c>
      <c r="D960" t="s">
        <v>70</v>
      </c>
      <c r="E960" s="38">
        <f t="shared" si="115"/>
        <v>0</v>
      </c>
      <c r="F960" s="38">
        <f t="shared" si="115"/>
        <v>0</v>
      </c>
      <c r="G960" s="38">
        <f t="shared" si="115"/>
        <v>15.693361585410525</v>
      </c>
      <c r="H960" s="38">
        <f t="shared" si="115"/>
        <v>9.4484261022311049</v>
      </c>
      <c r="I960" s="38">
        <f t="shared" si="115"/>
        <v>6.9891335697225161</v>
      </c>
      <c r="J960" s="38">
        <f t="shared" si="114"/>
        <v>0</v>
      </c>
      <c r="K960" s="38">
        <f t="shared" si="114"/>
        <v>0</v>
      </c>
      <c r="L960" s="38">
        <f t="shared" si="114"/>
        <v>0</v>
      </c>
      <c r="M960" s="35">
        <f t="shared" si="112"/>
        <v>32.13092125736415</v>
      </c>
      <c r="P960" t="s">
        <v>104</v>
      </c>
      <c r="Q960" t="s">
        <v>117</v>
      </c>
      <c r="R960" t="s">
        <v>114</v>
      </c>
      <c r="S960" t="s">
        <v>70</v>
      </c>
      <c r="T960" s="5">
        <f>data_origin!T1091</f>
        <v>0</v>
      </c>
      <c r="U960" s="5">
        <f>data_origin!U1091</f>
        <v>0</v>
      </c>
      <c r="V960" s="5">
        <f>data_origin!V1091</f>
        <v>14.455021834061135</v>
      </c>
      <c r="W960" s="5">
        <f>data_origin!W1091</f>
        <v>9.3319734829168794</v>
      </c>
      <c r="X960" s="5">
        <f>data_origin!X1091</f>
        <v>6.8668098818474759</v>
      </c>
      <c r="Y960" s="5">
        <f>data_origin!Y1091</f>
        <v>0</v>
      </c>
      <c r="Z960" s="5">
        <f>data_origin!Z1091</f>
        <v>0</v>
      </c>
      <c r="AA960" s="5">
        <f>data_origin!AA1091</f>
        <v>0</v>
      </c>
      <c r="AB960" s="40">
        <f t="shared" si="113"/>
        <v>30.653805198825491</v>
      </c>
    </row>
    <row r="961" spans="4:28" x14ac:dyDescent="0.25">
      <c r="D961" t="s">
        <v>71</v>
      </c>
      <c r="E961" s="38">
        <f t="shared" si="115"/>
        <v>0</v>
      </c>
      <c r="F961" s="38">
        <f t="shared" si="115"/>
        <v>0</v>
      </c>
      <c r="G961" s="38">
        <f t="shared" si="115"/>
        <v>90.647583198109928</v>
      </c>
      <c r="H961" s="38">
        <f t="shared" si="115"/>
        <v>124.71922454945059</v>
      </c>
      <c r="I961" s="38">
        <f t="shared" si="115"/>
        <v>20.967400709167549</v>
      </c>
      <c r="J961" s="38">
        <f t="shared" si="114"/>
        <v>0</v>
      </c>
      <c r="K961" s="38">
        <f t="shared" si="114"/>
        <v>0</v>
      </c>
      <c r="L961" s="38">
        <f t="shared" si="114"/>
        <v>0</v>
      </c>
      <c r="M961" s="35">
        <f t="shared" si="112"/>
        <v>236.33420845672808</v>
      </c>
      <c r="S961" t="s">
        <v>71</v>
      </c>
      <c r="T961" s="5">
        <f>data_origin!T1092</f>
        <v>0</v>
      </c>
      <c r="U961" s="5">
        <f>data_origin!U1092</f>
        <v>0</v>
      </c>
      <c r="V961" s="5">
        <f>data_origin!V1092</f>
        <v>89.942358078602624</v>
      </c>
      <c r="W961" s="5">
        <f>data_origin!W1092</f>
        <v>123.1820499745028</v>
      </c>
      <c r="X961" s="5">
        <f>data_origin!X1092</f>
        <v>20.600429645542427</v>
      </c>
      <c r="Y961" s="5">
        <f>data_origin!Y1092</f>
        <v>0</v>
      </c>
      <c r="Z961" s="5">
        <f>data_origin!Z1092</f>
        <v>0</v>
      </c>
      <c r="AA961" s="5">
        <f>data_origin!AA1092</f>
        <v>0</v>
      </c>
      <c r="AB961" s="5">
        <f t="shared" si="113"/>
        <v>233.72483769864783</v>
      </c>
    </row>
    <row r="962" spans="4:28" x14ac:dyDescent="0.25">
      <c r="D962" t="s">
        <v>72</v>
      </c>
      <c r="E962" s="38">
        <f t="shared" si="115"/>
        <v>0</v>
      </c>
      <c r="F962" s="38">
        <f t="shared" si="115"/>
        <v>0</v>
      </c>
      <c r="G962" s="38">
        <f t="shared" si="115"/>
        <v>11.330947899763741</v>
      </c>
      <c r="H962" s="38">
        <f t="shared" si="115"/>
        <v>26.455593086247095</v>
      </c>
      <c r="I962" s="38">
        <f t="shared" si="115"/>
        <v>27.956534278890064</v>
      </c>
      <c r="J962" s="38">
        <f t="shared" si="114"/>
        <v>3.1359729938924525</v>
      </c>
      <c r="K962" s="38">
        <f t="shared" si="114"/>
        <v>0</v>
      </c>
      <c r="L962" s="38">
        <f t="shared" si="114"/>
        <v>0</v>
      </c>
      <c r="M962" s="35">
        <f t="shared" si="112"/>
        <v>68.879048258793347</v>
      </c>
      <c r="S962" t="s">
        <v>72</v>
      </c>
      <c r="T962" s="5">
        <f>data_origin!T1093</f>
        <v>0</v>
      </c>
      <c r="U962" s="5">
        <f>data_origin!U1093</f>
        <v>0</v>
      </c>
      <c r="V962" s="5">
        <f>data_origin!V1093</f>
        <v>11.242794759825328</v>
      </c>
      <c r="W962" s="5">
        <f>data_origin!W1093</f>
        <v>26.129525752167261</v>
      </c>
      <c r="X962" s="5">
        <f>data_origin!X1093</f>
        <v>27.467239527389903</v>
      </c>
      <c r="Y962" s="5">
        <f>data_origin!Y1093</f>
        <v>3.0723684210526314</v>
      </c>
      <c r="Z962" s="5">
        <f>data_origin!Z1093</f>
        <v>0</v>
      </c>
      <c r="AA962" s="5">
        <f>data_origin!AA1093</f>
        <v>0</v>
      </c>
      <c r="AB962" s="5">
        <f t="shared" si="113"/>
        <v>67.911928460435121</v>
      </c>
    </row>
    <row r="963" spans="4:28" x14ac:dyDescent="0.25">
      <c r="D963" t="s">
        <v>73</v>
      </c>
      <c r="E963" s="38">
        <f t="shared" si="115"/>
        <v>0</v>
      </c>
      <c r="F963" s="38">
        <f t="shared" si="115"/>
        <v>0</v>
      </c>
      <c r="G963" s="38">
        <f t="shared" si="115"/>
        <v>8.0935342141169571</v>
      </c>
      <c r="H963" s="38">
        <f t="shared" si="115"/>
        <v>20.786537424908431</v>
      </c>
      <c r="I963" s="38">
        <f t="shared" si="115"/>
        <v>11.648555949537526</v>
      </c>
      <c r="J963" s="38">
        <f t="shared" si="114"/>
        <v>9.4079189816773567</v>
      </c>
      <c r="K963" s="38">
        <f t="shared" si="114"/>
        <v>3.1343283582089554</v>
      </c>
      <c r="L963" s="38">
        <f t="shared" si="114"/>
        <v>0</v>
      </c>
      <c r="M963" s="35">
        <f t="shared" ref="M963:M1026" si="116">SUM(E963:L963)</f>
        <v>53.070874928449221</v>
      </c>
      <c r="S963" t="s">
        <v>73</v>
      </c>
      <c r="T963" s="5">
        <f>data_origin!T1094</f>
        <v>0</v>
      </c>
      <c r="U963" s="5">
        <f>data_origin!U1094</f>
        <v>0</v>
      </c>
      <c r="V963" s="5">
        <f>data_origin!V1094</f>
        <v>8.0305676855895189</v>
      </c>
      <c r="W963" s="5">
        <f>data_origin!W1094</f>
        <v>20.530341662417133</v>
      </c>
      <c r="X963" s="5">
        <f>data_origin!X1094</f>
        <v>11.444683136412459</v>
      </c>
      <c r="Y963" s="5">
        <f>data_origin!Y1094</f>
        <v>9.2171052631578938</v>
      </c>
      <c r="Z963" s="5">
        <f>data_origin!Z1094</f>
        <v>3.0769230769230771</v>
      </c>
      <c r="AA963" s="5">
        <f>data_origin!AA1094</f>
        <v>0</v>
      </c>
      <c r="AB963" s="5">
        <f t="shared" si="113"/>
        <v>52.299620824500082</v>
      </c>
    </row>
    <row r="964" spans="4:28" x14ac:dyDescent="0.25">
      <c r="D964" t="s">
        <v>74</v>
      </c>
      <c r="E964" s="38">
        <f t="shared" si="115"/>
        <v>0</v>
      </c>
      <c r="F964" s="38">
        <f t="shared" si="115"/>
        <v>0</v>
      </c>
      <c r="G964" s="38">
        <f t="shared" si="115"/>
        <v>14.568361585410525</v>
      </c>
      <c r="H964" s="38">
        <f t="shared" si="115"/>
        <v>20.786537424908431</v>
      </c>
      <c r="I964" s="38">
        <f t="shared" si="115"/>
        <v>16.307978329352537</v>
      </c>
      <c r="J964" s="38">
        <f t="shared" si="114"/>
        <v>15.679864969462262</v>
      </c>
      <c r="K964" s="38">
        <f t="shared" si="114"/>
        <v>0</v>
      </c>
      <c r="L964" s="38">
        <f t="shared" si="114"/>
        <v>0</v>
      </c>
      <c r="M964" s="35">
        <f t="shared" si="116"/>
        <v>67.342742309133754</v>
      </c>
      <c r="S964" t="s">
        <v>74</v>
      </c>
      <c r="T964" s="5">
        <f>data_origin!T1095</f>
        <v>0</v>
      </c>
      <c r="U964" s="5">
        <f>data_origin!U1095</f>
        <v>0</v>
      </c>
      <c r="V964" s="5">
        <f>data_origin!V1095</f>
        <v>14.455021834061135</v>
      </c>
      <c r="W964" s="5">
        <f>data_origin!W1095</f>
        <v>20.530341662417133</v>
      </c>
      <c r="X964" s="5">
        <f>data_origin!X1095</f>
        <v>16.022556390977442</v>
      </c>
      <c r="Y964" s="5">
        <f>data_origin!Y1095</f>
        <v>15.361842105263158</v>
      </c>
      <c r="Z964" s="5">
        <f>data_origin!Z1095</f>
        <v>0</v>
      </c>
      <c r="AA964" s="5">
        <f>data_origin!AA1095</f>
        <v>0</v>
      </c>
      <c r="AB964" s="5">
        <f t="shared" si="113"/>
        <v>66.369761992718878</v>
      </c>
    </row>
    <row r="965" spans="4:28" x14ac:dyDescent="0.25">
      <c r="D965" t="s">
        <v>75</v>
      </c>
      <c r="E965" s="38">
        <f t="shared" si="115"/>
        <v>0</v>
      </c>
      <c r="F965" s="38">
        <f t="shared" si="115"/>
        <v>0</v>
      </c>
      <c r="G965" s="38">
        <f t="shared" si="115"/>
        <v>3.2374136856467834</v>
      </c>
      <c r="H965" s="38">
        <f t="shared" si="115"/>
        <v>9.4484261022311049</v>
      </c>
      <c r="I965" s="38">
        <f t="shared" si="115"/>
        <v>6.9891335697225161</v>
      </c>
      <c r="J965" s="38">
        <f t="shared" si="114"/>
        <v>3.1359729938924525</v>
      </c>
      <c r="K965" s="38">
        <f t="shared" si="114"/>
        <v>0</v>
      </c>
      <c r="L965" s="38">
        <f t="shared" si="114"/>
        <v>0</v>
      </c>
      <c r="M965" s="35">
        <f t="shared" si="116"/>
        <v>22.810946351492856</v>
      </c>
      <c r="S965" t="s">
        <v>75</v>
      </c>
      <c r="T965" s="5">
        <f>data_origin!T1096</f>
        <v>0</v>
      </c>
      <c r="U965" s="5">
        <f>data_origin!U1096</f>
        <v>0</v>
      </c>
      <c r="V965" s="5">
        <f>data_origin!V1096</f>
        <v>3.2122270742358081</v>
      </c>
      <c r="W965" s="5">
        <f>data_origin!W1096</f>
        <v>9.3319734829168794</v>
      </c>
      <c r="X965" s="5">
        <f>data_origin!X1096</f>
        <v>6.8668098818474759</v>
      </c>
      <c r="Y965" s="5">
        <f>data_origin!Y1096</f>
        <v>3.0723684210526314</v>
      </c>
      <c r="Z965" s="5">
        <f>data_origin!Z1096</f>
        <v>0</v>
      </c>
      <c r="AA965" s="5">
        <f>data_origin!AA1096</f>
        <v>0</v>
      </c>
      <c r="AB965" s="5">
        <f t="shared" ref="AB965:AB992" si="117">SUM(T965:AA965)</f>
        <v>22.483378860052795</v>
      </c>
    </row>
    <row r="966" spans="4:28" x14ac:dyDescent="0.25">
      <c r="D966" t="s">
        <v>76</v>
      </c>
      <c r="E966" s="38">
        <f t="shared" si="115"/>
        <v>0</v>
      </c>
      <c r="F966" s="38">
        <f t="shared" si="115"/>
        <v>0</v>
      </c>
      <c r="G966" s="38">
        <f t="shared" si="115"/>
        <v>21.043188956704093</v>
      </c>
      <c r="H966" s="38">
        <f t="shared" si="115"/>
        <v>43.46276007026308</v>
      </c>
      <c r="I966" s="38">
        <f t="shared" si="115"/>
        <v>19.887689519260039</v>
      </c>
      <c r="J966" s="38">
        <f t="shared" si="114"/>
        <v>3.1359729938924525</v>
      </c>
      <c r="K966" s="38">
        <f t="shared" si="114"/>
        <v>0</v>
      </c>
      <c r="L966" s="38">
        <f t="shared" si="114"/>
        <v>0</v>
      </c>
      <c r="M966" s="35">
        <f t="shared" si="116"/>
        <v>87.52961154011966</v>
      </c>
      <c r="S966" t="s">
        <v>76</v>
      </c>
      <c r="T966" s="5">
        <f>data_origin!T1097</f>
        <v>0</v>
      </c>
      <c r="U966" s="5">
        <f>data_origin!U1097</f>
        <v>0</v>
      </c>
      <c r="V966" s="5">
        <f>data_origin!V1097</f>
        <v>20.879475982532753</v>
      </c>
      <c r="W966" s="5">
        <f>data_origin!W1097</f>
        <v>42.927078021417643</v>
      </c>
      <c r="X966" s="5">
        <f>data_origin!X1097</f>
        <v>18.311493018259934</v>
      </c>
      <c r="Y966" s="5">
        <f>data_origin!Y1097</f>
        <v>3.0723684210526314</v>
      </c>
      <c r="Z966" s="5">
        <f>data_origin!Z1097</f>
        <v>0</v>
      </c>
      <c r="AA966" s="5">
        <f>data_origin!AA1097</f>
        <v>0</v>
      </c>
      <c r="AB966" s="5">
        <f t="shared" si="117"/>
        <v>85.190415443262964</v>
      </c>
    </row>
    <row r="967" spans="4:28" x14ac:dyDescent="0.25">
      <c r="D967" t="s">
        <v>77</v>
      </c>
      <c r="E967" s="38">
        <f t="shared" si="115"/>
        <v>0</v>
      </c>
      <c r="F967" s="38">
        <f t="shared" si="115"/>
        <v>0</v>
      </c>
      <c r="G967" s="38">
        <f t="shared" si="115"/>
        <v>35.611550542114614</v>
      </c>
      <c r="H967" s="38">
        <f t="shared" si="115"/>
        <v>49.131815731601748</v>
      </c>
      <c r="I967" s="38">
        <f t="shared" si="115"/>
        <v>34.945667848612587</v>
      </c>
      <c r="J967" s="38">
        <f t="shared" si="114"/>
        <v>0</v>
      </c>
      <c r="K967" s="38">
        <f t="shared" si="114"/>
        <v>3.1343283582089554</v>
      </c>
      <c r="L967" s="38">
        <f t="shared" si="114"/>
        <v>0</v>
      </c>
      <c r="M967" s="35">
        <f t="shared" si="116"/>
        <v>122.82336248053791</v>
      </c>
      <c r="S967" t="s">
        <v>77</v>
      </c>
      <c r="T967" s="5">
        <f>data_origin!T1098</f>
        <v>0</v>
      </c>
      <c r="U967" s="5">
        <f>data_origin!U1098</f>
        <v>0</v>
      </c>
      <c r="V967" s="5">
        <f>data_origin!V1098</f>
        <v>35.334497816593888</v>
      </c>
      <c r="W967" s="5">
        <f>data_origin!W1098</f>
        <v>48.526262111167767</v>
      </c>
      <c r="X967" s="5">
        <f>data_origin!X1098</f>
        <v>34.33404940923738</v>
      </c>
      <c r="Y967" s="5">
        <f>data_origin!Y1098</f>
        <v>0</v>
      </c>
      <c r="Z967" s="5">
        <f>data_origin!Z1098</f>
        <v>3.0769230769230771</v>
      </c>
      <c r="AA967" s="5">
        <f>data_origin!AA1098</f>
        <v>0</v>
      </c>
      <c r="AB967" s="5">
        <f t="shared" si="117"/>
        <v>121.27173241392211</v>
      </c>
    </row>
    <row r="968" spans="4:28" x14ac:dyDescent="0.25">
      <c r="D968" t="s">
        <v>78</v>
      </c>
      <c r="E968" s="38">
        <f t="shared" si="115"/>
        <v>0</v>
      </c>
      <c r="F968" s="38">
        <f t="shared" si="115"/>
        <v>0</v>
      </c>
      <c r="G968" s="38">
        <f t="shared" si="115"/>
        <v>196.98852798163037</v>
      </c>
      <c r="H968" s="38">
        <f t="shared" si="115"/>
        <v>362.8195623256745</v>
      </c>
      <c r="I968" s="38">
        <f t="shared" si="115"/>
        <v>195.86602876232294</v>
      </c>
      <c r="J968" s="38">
        <f t="shared" si="114"/>
        <v>31.359729938924524</v>
      </c>
      <c r="K968" s="38">
        <f t="shared" si="114"/>
        <v>3.1343283582089554</v>
      </c>
      <c r="L968" s="38">
        <f t="shared" si="114"/>
        <v>0</v>
      </c>
      <c r="M968" s="35">
        <f t="shared" si="116"/>
        <v>790.16817736676114</v>
      </c>
      <c r="S968" t="s">
        <v>78</v>
      </c>
      <c r="T968" s="5">
        <f>data_origin!T1099</f>
        <v>0</v>
      </c>
      <c r="U968" s="5">
        <f>data_origin!U1099</f>
        <v>0</v>
      </c>
      <c r="V968" s="5">
        <f>data_origin!V1099</f>
        <v>194.33973799126636</v>
      </c>
      <c r="W968" s="5">
        <f>data_origin!W1099</f>
        <v>358.34778174400816</v>
      </c>
      <c r="X968" s="5">
        <f>data_origin!X1099</f>
        <v>189.98174006444683</v>
      </c>
      <c r="Y968" s="5">
        <f>data_origin!Y1099</f>
        <v>30.723684210526315</v>
      </c>
      <c r="Z968" s="5">
        <f>data_origin!Z1099</f>
        <v>3.0769230769230771</v>
      </c>
      <c r="AA968" s="5">
        <f>data_origin!AA1099</f>
        <v>0</v>
      </c>
      <c r="AB968" s="5">
        <f t="shared" si="117"/>
        <v>776.46986708717077</v>
      </c>
    </row>
    <row r="969" spans="4:28" x14ac:dyDescent="0.25">
      <c r="D969" t="s">
        <v>79</v>
      </c>
      <c r="E969" s="38">
        <f t="shared" si="115"/>
        <v>0</v>
      </c>
      <c r="F969" s="38">
        <f t="shared" si="115"/>
        <v>0</v>
      </c>
      <c r="G969" s="38">
        <f t="shared" si="115"/>
        <v>42.086377913408185</v>
      </c>
      <c r="H969" s="38">
        <f t="shared" si="115"/>
        <v>45.352445290709312</v>
      </c>
      <c r="I969" s="38">
        <f t="shared" si="115"/>
        <v>46.594223798150104</v>
      </c>
      <c r="J969" s="38">
        <f t="shared" si="114"/>
        <v>3.1359729938924525</v>
      </c>
      <c r="K969" s="38">
        <f t="shared" si="114"/>
        <v>6.2686567164179108</v>
      </c>
      <c r="L969" s="38">
        <f t="shared" si="114"/>
        <v>0</v>
      </c>
      <c r="M969" s="35">
        <f t="shared" si="116"/>
        <v>143.437676712578</v>
      </c>
      <c r="S969" t="s">
        <v>79</v>
      </c>
      <c r="T969" s="5">
        <f>data_origin!T1100</f>
        <v>0</v>
      </c>
      <c r="U969" s="5">
        <f>data_origin!U1100</f>
        <v>0</v>
      </c>
      <c r="V969" s="5">
        <f>data_origin!V1100</f>
        <v>41.758951965065506</v>
      </c>
      <c r="W969" s="5">
        <f>data_origin!W1100</f>
        <v>44.79347271800102</v>
      </c>
      <c r="X969" s="5">
        <f>data_origin!X1100</f>
        <v>45.778732545649838</v>
      </c>
      <c r="Y969" s="5">
        <f>data_origin!Y1100</f>
        <v>3.0723684210526314</v>
      </c>
      <c r="Z969" s="5">
        <f>data_origin!Z1100</f>
        <v>6.1538461538461542</v>
      </c>
      <c r="AA969" s="5">
        <f>data_origin!AA1100</f>
        <v>0</v>
      </c>
      <c r="AB969" s="5">
        <f t="shared" si="117"/>
        <v>141.55737180361515</v>
      </c>
    </row>
    <row r="970" spans="4:28" x14ac:dyDescent="0.25">
      <c r="D970" t="s">
        <v>80</v>
      </c>
      <c r="E970" s="38">
        <f t="shared" si="115"/>
        <v>0</v>
      </c>
      <c r="F970" s="38">
        <f t="shared" si="115"/>
        <v>0</v>
      </c>
      <c r="G970" s="38">
        <f t="shared" si="115"/>
        <v>58.273446341642099</v>
      </c>
      <c r="H970" s="38">
        <f t="shared" si="115"/>
        <v>91.954890581418624</v>
      </c>
      <c r="I970" s="38">
        <f t="shared" si="115"/>
        <v>60.572490937595141</v>
      </c>
      <c r="J970" s="38">
        <f t="shared" si="114"/>
        <v>9.4079189816773567</v>
      </c>
      <c r="K970" s="38">
        <f t="shared" si="114"/>
        <v>0</v>
      </c>
      <c r="L970" s="38">
        <f t="shared" si="114"/>
        <v>0</v>
      </c>
      <c r="M970" s="35">
        <f t="shared" si="116"/>
        <v>220.20874684233326</v>
      </c>
      <c r="S970" t="s">
        <v>80</v>
      </c>
      <c r="T970" s="5">
        <f>data_origin!T1101</f>
        <v>0</v>
      </c>
      <c r="U970" s="5">
        <f>data_origin!U1101</f>
        <v>0</v>
      </c>
      <c r="V970" s="5">
        <f>data_origin!V1101</f>
        <v>57.820087336244541</v>
      </c>
      <c r="W970" s="5">
        <f>data_origin!W1101</f>
        <v>89.58694543600204</v>
      </c>
      <c r="X970" s="5">
        <f>data_origin!X1101</f>
        <v>59.512352309344791</v>
      </c>
      <c r="Y970" s="5">
        <f>data_origin!Y1101</f>
        <v>9.2171052631578938</v>
      </c>
      <c r="Z970" s="5">
        <f>data_origin!Z1101</f>
        <v>0</v>
      </c>
      <c r="AA970" s="5">
        <f>data_origin!AA1101</f>
        <v>0</v>
      </c>
      <c r="AB970" s="5">
        <f t="shared" si="117"/>
        <v>216.13649034474926</v>
      </c>
    </row>
    <row r="971" spans="4:28" x14ac:dyDescent="0.25">
      <c r="D971" t="s">
        <v>81</v>
      </c>
      <c r="E971" s="38">
        <f t="shared" si="115"/>
        <v>0</v>
      </c>
      <c r="F971" s="38">
        <f t="shared" si="115"/>
        <v>0</v>
      </c>
      <c r="G971" s="38">
        <f t="shared" si="115"/>
        <v>14.568361585410525</v>
      </c>
      <c r="H971" s="38">
        <f t="shared" si="115"/>
        <v>20.786537424908431</v>
      </c>
      <c r="I971" s="38">
        <f t="shared" si="115"/>
        <v>6.9891335697225161</v>
      </c>
      <c r="J971" s="38">
        <f t="shared" si="114"/>
        <v>3.1359729938924525</v>
      </c>
      <c r="K971" s="38">
        <f t="shared" si="114"/>
        <v>0</v>
      </c>
      <c r="L971" s="38">
        <f t="shared" si="114"/>
        <v>0</v>
      </c>
      <c r="M971" s="35">
        <f t="shared" si="116"/>
        <v>45.48000557393393</v>
      </c>
      <c r="S971" t="s">
        <v>81</v>
      </c>
      <c r="T971" s="5">
        <f>data_origin!T1102</f>
        <v>0</v>
      </c>
      <c r="U971" s="5">
        <f>data_origin!U1102</f>
        <v>0</v>
      </c>
      <c r="V971" s="5">
        <f>data_origin!V1102</f>
        <v>14.455021834061135</v>
      </c>
      <c r="W971" s="5">
        <f>data_origin!W1102</f>
        <v>20.530341662417133</v>
      </c>
      <c r="X971" s="5">
        <f>data_origin!X1102</f>
        <v>6.8668098818474759</v>
      </c>
      <c r="Y971" s="5">
        <f>data_origin!Y1102</f>
        <v>3.0723684210526314</v>
      </c>
      <c r="Z971" s="5">
        <f>data_origin!Z1102</f>
        <v>0</v>
      </c>
      <c r="AA971" s="5">
        <f>data_origin!AA1102</f>
        <v>0</v>
      </c>
      <c r="AB971" s="5">
        <f t="shared" si="117"/>
        <v>44.924541799378375</v>
      </c>
    </row>
    <row r="972" spans="4:28" x14ac:dyDescent="0.25">
      <c r="D972" t="s">
        <v>82</v>
      </c>
      <c r="E972" s="38">
        <f t="shared" si="115"/>
        <v>0</v>
      </c>
      <c r="F972" s="38">
        <f t="shared" si="115"/>
        <v>0</v>
      </c>
      <c r="G972" s="38">
        <f t="shared" si="115"/>
        <v>51.798618970348535</v>
      </c>
      <c r="H972" s="38">
        <f t="shared" si="115"/>
        <v>94.48426102231106</v>
      </c>
      <c r="I972" s="38">
        <f t="shared" si="115"/>
        <v>102.50729235593023</v>
      </c>
      <c r="J972" s="38">
        <f t="shared" si="114"/>
        <v>18.815837963354713</v>
      </c>
      <c r="K972" s="38">
        <f t="shared" si="114"/>
        <v>0</v>
      </c>
      <c r="L972" s="38">
        <f t="shared" si="114"/>
        <v>0</v>
      </c>
      <c r="M972" s="35">
        <f t="shared" si="116"/>
        <v>267.60601031194454</v>
      </c>
      <c r="S972" t="s">
        <v>82</v>
      </c>
      <c r="T972" s="5">
        <f>data_origin!T1103</f>
        <v>0</v>
      </c>
      <c r="U972" s="5">
        <f>data_origin!U1103</f>
        <v>0</v>
      </c>
      <c r="V972" s="5">
        <f>data_origin!V1103</f>
        <v>51.39563318777293</v>
      </c>
      <c r="W972" s="5">
        <f>data_origin!W1103</f>
        <v>93.319734829168794</v>
      </c>
      <c r="X972" s="5">
        <f>data_origin!X1103</f>
        <v>100.71321160042964</v>
      </c>
      <c r="Y972" s="5">
        <f>data_origin!Y1103</f>
        <v>18.434210526315788</v>
      </c>
      <c r="Z972" s="5">
        <f>data_origin!Z1103</f>
        <v>0</v>
      </c>
      <c r="AA972" s="5">
        <f>data_origin!AA1103</f>
        <v>0</v>
      </c>
      <c r="AB972" s="5">
        <f t="shared" si="117"/>
        <v>263.86279014368716</v>
      </c>
    </row>
    <row r="973" spans="4:28" x14ac:dyDescent="0.25">
      <c r="D973" t="s">
        <v>83</v>
      </c>
      <c r="E973" s="38">
        <f t="shared" si="115"/>
        <v>0</v>
      </c>
      <c r="F973" s="38">
        <f t="shared" si="115"/>
        <v>0</v>
      </c>
      <c r="G973" s="38">
        <f t="shared" si="115"/>
        <v>14.568361585410525</v>
      </c>
      <c r="H973" s="38">
        <f t="shared" si="115"/>
        <v>24.565907865800874</v>
      </c>
      <c r="I973" s="38">
        <f t="shared" si="115"/>
        <v>11.648555949537526</v>
      </c>
      <c r="J973" s="38">
        <f t="shared" si="114"/>
        <v>0</v>
      </c>
      <c r="K973" s="38">
        <f t="shared" si="114"/>
        <v>0</v>
      </c>
      <c r="L973" s="38">
        <f t="shared" si="114"/>
        <v>0</v>
      </c>
      <c r="M973" s="35">
        <f t="shared" si="116"/>
        <v>50.782825400748919</v>
      </c>
      <c r="S973" t="s">
        <v>83</v>
      </c>
      <c r="T973" s="5">
        <f>data_origin!T1104</f>
        <v>0</v>
      </c>
      <c r="U973" s="5">
        <f>data_origin!U1104</f>
        <v>0</v>
      </c>
      <c r="V973" s="5">
        <f>data_origin!V1104</f>
        <v>14.455021834061135</v>
      </c>
      <c r="W973" s="5">
        <f>data_origin!W1104</f>
        <v>24.263131055583884</v>
      </c>
      <c r="X973" s="5">
        <f>data_origin!X1104</f>
        <v>11.444683136412459</v>
      </c>
      <c r="Y973" s="5">
        <f>data_origin!Y1104</f>
        <v>0</v>
      </c>
      <c r="Z973" s="5">
        <f>data_origin!Z1104</f>
        <v>0</v>
      </c>
      <c r="AA973" s="5">
        <f>data_origin!AA1104</f>
        <v>0</v>
      </c>
      <c r="AB973" s="5">
        <f t="shared" si="117"/>
        <v>50.162836026057477</v>
      </c>
    </row>
    <row r="974" spans="4:28" x14ac:dyDescent="0.25">
      <c r="D974" t="s">
        <v>84</v>
      </c>
      <c r="E974" s="38">
        <f t="shared" si="115"/>
        <v>0</v>
      </c>
      <c r="F974" s="38">
        <f t="shared" si="115"/>
        <v>0</v>
      </c>
      <c r="G974" s="38">
        <f t="shared" si="115"/>
        <v>22.661895799527482</v>
      </c>
      <c r="H974" s="38">
        <f t="shared" si="115"/>
        <v>41.573074849816862</v>
      </c>
      <c r="I974" s="38">
        <f t="shared" si="115"/>
        <v>13.978267139445032</v>
      </c>
      <c r="J974" s="38">
        <f t="shared" si="114"/>
        <v>0</v>
      </c>
      <c r="K974" s="38">
        <f t="shared" si="114"/>
        <v>3.1343283582089554</v>
      </c>
      <c r="L974" s="38">
        <f t="shared" si="114"/>
        <v>0</v>
      </c>
      <c r="M974" s="35">
        <f t="shared" si="116"/>
        <v>81.347566146998346</v>
      </c>
      <c r="S974" t="s">
        <v>84</v>
      </c>
      <c r="T974" s="5">
        <f>data_origin!T1105</f>
        <v>0</v>
      </c>
      <c r="U974" s="5">
        <f>data_origin!U1105</f>
        <v>0</v>
      </c>
      <c r="V974" s="5">
        <f>data_origin!V1105</f>
        <v>22.485589519650656</v>
      </c>
      <c r="W974" s="5">
        <f>data_origin!W1105</f>
        <v>41.060683324834265</v>
      </c>
      <c r="X974" s="5">
        <f>data_origin!X1105</f>
        <v>13.733619763694952</v>
      </c>
      <c r="Y974" s="5">
        <f>data_origin!Y1105</f>
        <v>0</v>
      </c>
      <c r="Z974" s="5">
        <f>data_origin!Z1105</f>
        <v>3.0769230769230771</v>
      </c>
      <c r="AA974" s="5">
        <f>data_origin!AA1105</f>
        <v>0</v>
      </c>
      <c r="AB974" s="5">
        <f t="shared" si="117"/>
        <v>80.356815685102944</v>
      </c>
    </row>
    <row r="975" spans="4:28" x14ac:dyDescent="0.25">
      <c r="D975" t="s">
        <v>85</v>
      </c>
      <c r="E975" s="38">
        <f t="shared" si="115"/>
        <v>0</v>
      </c>
      <c r="F975" s="38">
        <f t="shared" si="115"/>
        <v>0</v>
      </c>
      <c r="G975" s="38">
        <f t="shared" si="115"/>
        <v>50.179912127525135</v>
      </c>
      <c r="H975" s="38">
        <f t="shared" si="115"/>
        <v>88.815205360972385</v>
      </c>
      <c r="I975" s="38">
        <f t="shared" si="115"/>
        <v>23.297111899075052</v>
      </c>
      <c r="J975" s="38">
        <f t="shared" si="114"/>
        <v>6.2719459877849051</v>
      </c>
      <c r="K975" s="38">
        <f t="shared" si="114"/>
        <v>3.1343283582089554</v>
      </c>
      <c r="L975" s="38">
        <f t="shared" si="114"/>
        <v>0</v>
      </c>
      <c r="M975" s="35">
        <f t="shared" si="116"/>
        <v>171.69850373356644</v>
      </c>
      <c r="S975" t="s">
        <v>85</v>
      </c>
      <c r="T975" s="5">
        <f>data_origin!T1106</f>
        <v>0</v>
      </c>
      <c r="U975" s="5">
        <f>data_origin!U1106</f>
        <v>0</v>
      </c>
      <c r="V975" s="5">
        <f>data_origin!V1106</f>
        <v>49.789519650655023</v>
      </c>
      <c r="W975" s="5">
        <f>data_origin!W1106</f>
        <v>87.720550739418655</v>
      </c>
      <c r="X975" s="5">
        <f>data_origin!X1106</f>
        <v>22.889366272824919</v>
      </c>
      <c r="Y975" s="5">
        <f>data_origin!Y1106</f>
        <v>6.1447368421052628</v>
      </c>
      <c r="Z975" s="5">
        <f>data_origin!Z1106</f>
        <v>3.0769230769230771</v>
      </c>
      <c r="AA975" s="5">
        <f>data_origin!AA1106</f>
        <v>0</v>
      </c>
      <c r="AB975" s="5">
        <f t="shared" si="117"/>
        <v>169.62109658192693</v>
      </c>
    </row>
    <row r="976" spans="4:28" x14ac:dyDescent="0.25">
      <c r="D976" t="s">
        <v>86</v>
      </c>
      <c r="E976" s="38">
        <f t="shared" si="115"/>
        <v>0</v>
      </c>
      <c r="F976" s="38">
        <f t="shared" si="115"/>
        <v>0</v>
      </c>
      <c r="G976" s="38">
        <f t="shared" si="115"/>
        <v>137.09637479716488</v>
      </c>
      <c r="H976" s="38">
        <f t="shared" si="115"/>
        <v>154.95418807659013</v>
      </c>
      <c r="I976" s="38">
        <f t="shared" si="115"/>
        <v>76.880469266947671</v>
      </c>
      <c r="J976" s="38">
        <f t="shared" si="114"/>
        <v>15.679864969462262</v>
      </c>
      <c r="K976" s="38">
        <f t="shared" si="114"/>
        <v>0</v>
      </c>
      <c r="L976" s="38">
        <f t="shared" si="114"/>
        <v>0</v>
      </c>
      <c r="M976" s="35">
        <f t="shared" si="116"/>
        <v>384.6108971101649</v>
      </c>
      <c r="S976" t="s">
        <v>86</v>
      </c>
      <c r="T976" s="5">
        <f>data_origin!T1107</f>
        <v>0</v>
      </c>
      <c r="U976" s="5">
        <f>data_origin!U1107</f>
        <v>0</v>
      </c>
      <c r="V976" s="5">
        <f>data_origin!V1107</f>
        <v>134.91353711790393</v>
      </c>
      <c r="W976" s="5">
        <f>data_origin!W1107</f>
        <v>153.04436511983681</v>
      </c>
      <c r="X976" s="5">
        <f>data_origin!X1107</f>
        <v>75.534908700322234</v>
      </c>
      <c r="Y976" s="5">
        <f>data_origin!Y1107</f>
        <v>15.361842105263158</v>
      </c>
      <c r="Z976" s="5">
        <f>data_origin!Z1107</f>
        <v>0</v>
      </c>
      <c r="AA976" s="5">
        <f>data_origin!AA1107</f>
        <v>0</v>
      </c>
      <c r="AB976" s="5">
        <f t="shared" si="117"/>
        <v>378.85465304332621</v>
      </c>
    </row>
    <row r="977" spans="4:28" x14ac:dyDescent="0.25">
      <c r="D977" t="s">
        <v>87</v>
      </c>
      <c r="E977" s="38">
        <f t="shared" si="115"/>
        <v>0</v>
      </c>
      <c r="F977" s="38">
        <f t="shared" si="115"/>
        <v>0</v>
      </c>
      <c r="G977" s="38">
        <f t="shared" si="115"/>
        <v>43.705084756231571</v>
      </c>
      <c r="H977" s="38">
        <f t="shared" si="115"/>
        <v>100.15331668364972</v>
      </c>
      <c r="I977" s="38">
        <f t="shared" si="115"/>
        <v>41.934801418335098</v>
      </c>
      <c r="J977" s="38">
        <f t="shared" si="114"/>
        <v>9.4079189816773567</v>
      </c>
      <c r="K977" s="38">
        <f t="shared" si="114"/>
        <v>3.1343283582089554</v>
      </c>
      <c r="L977" s="38">
        <f t="shared" si="114"/>
        <v>0</v>
      </c>
      <c r="M977" s="35">
        <f t="shared" si="116"/>
        <v>198.33545019810271</v>
      </c>
      <c r="S977" t="s">
        <v>87</v>
      </c>
      <c r="T977" s="5">
        <f>data_origin!T1108</f>
        <v>0</v>
      </c>
      <c r="U977" s="5">
        <f>data_origin!U1108</f>
        <v>0</v>
      </c>
      <c r="V977" s="5">
        <f>data_origin!V1108</f>
        <v>43.365065502183405</v>
      </c>
      <c r="W977" s="5">
        <f>data_origin!W1108</f>
        <v>98.918918918918919</v>
      </c>
      <c r="X977" s="5">
        <f>data_origin!X1108</f>
        <v>41.200859291084853</v>
      </c>
      <c r="Y977" s="5">
        <f>data_origin!Y1108</f>
        <v>9.2171052631578938</v>
      </c>
      <c r="Z977" s="5">
        <f>data_origin!Z1108</f>
        <v>3.0769230769230771</v>
      </c>
      <c r="AA977" s="5">
        <f>data_origin!AA1108</f>
        <v>0</v>
      </c>
      <c r="AB977" s="5">
        <f t="shared" si="117"/>
        <v>195.77887205226813</v>
      </c>
    </row>
    <row r="978" spans="4:28" x14ac:dyDescent="0.25">
      <c r="D978" t="s">
        <v>88</v>
      </c>
      <c r="E978" s="38">
        <f t="shared" si="115"/>
        <v>0</v>
      </c>
      <c r="F978" s="38">
        <f t="shared" si="115"/>
        <v>0</v>
      </c>
      <c r="G978" s="38">
        <f t="shared" si="115"/>
        <v>480.89351863290051</v>
      </c>
      <c r="H978" s="38">
        <f t="shared" si="115"/>
        <v>1158.9873549130873</v>
      </c>
      <c r="I978" s="38">
        <f t="shared" si="115"/>
        <v>624.36259889521159</v>
      </c>
      <c r="J978" s="38">
        <f t="shared" si="114"/>
        <v>147.3907307129453</v>
      </c>
      <c r="K978" s="38">
        <f t="shared" si="114"/>
        <v>15.671641791044777</v>
      </c>
      <c r="L978" s="38">
        <f t="shared" si="114"/>
        <v>0</v>
      </c>
      <c r="M978" s="35">
        <f t="shared" si="116"/>
        <v>2427.3058449451896</v>
      </c>
      <c r="S978" t="s">
        <v>88</v>
      </c>
      <c r="T978" s="5">
        <f>data_origin!T1109</f>
        <v>0</v>
      </c>
      <c r="U978" s="5">
        <f>data_origin!U1109</f>
        <v>0</v>
      </c>
      <c r="V978" s="5">
        <f>data_origin!V1109</f>
        <v>473.80349344978163</v>
      </c>
      <c r="W978" s="5">
        <f>data_origin!W1109</f>
        <v>1142.233554309026</v>
      </c>
      <c r="X978" s="5">
        <f>data_origin!X1109</f>
        <v>613.43501611170791</v>
      </c>
      <c r="Y978" s="5">
        <f>data_origin!Y1109</f>
        <v>144.4013157894737</v>
      </c>
      <c r="Z978" s="5">
        <f>data_origin!Z1109</f>
        <v>15.384615384615385</v>
      </c>
      <c r="AA978" s="5">
        <f>data_origin!AA1109</f>
        <v>0</v>
      </c>
      <c r="AB978" s="5">
        <f t="shared" si="117"/>
        <v>2389.2579950446047</v>
      </c>
    </row>
    <row r="979" spans="4:28" x14ac:dyDescent="0.25">
      <c r="D979" t="s">
        <v>89</v>
      </c>
      <c r="E979" s="38">
        <f t="shared" si="115"/>
        <v>0</v>
      </c>
      <c r="F979" s="38">
        <f t="shared" si="115"/>
        <v>0</v>
      </c>
      <c r="G979" s="38">
        <f t="shared" si="115"/>
        <v>48.561205284701749</v>
      </c>
      <c r="H979" s="38">
        <f t="shared" si="115"/>
        <v>103.93268712454217</v>
      </c>
      <c r="I979" s="38">
        <f t="shared" si="115"/>
        <v>51.253646177965116</v>
      </c>
      <c r="J979" s="38">
        <f t="shared" si="114"/>
        <v>21.951810957247162</v>
      </c>
      <c r="K979" s="38">
        <f t="shared" si="114"/>
        <v>3.1343283582089554</v>
      </c>
      <c r="L979" s="38">
        <f t="shared" si="114"/>
        <v>0</v>
      </c>
      <c r="M979" s="35">
        <f t="shared" si="116"/>
        <v>228.83367790266516</v>
      </c>
      <c r="S979" t="s">
        <v>89</v>
      </c>
      <c r="T979" s="5">
        <f>data_origin!T1110</f>
        <v>0</v>
      </c>
      <c r="U979" s="5">
        <f>data_origin!U1110</f>
        <v>0</v>
      </c>
      <c r="V979" s="5">
        <f>data_origin!V1110</f>
        <v>48.183406113537117</v>
      </c>
      <c r="W979" s="5">
        <f>data_origin!W1110</f>
        <v>102.65170831208567</v>
      </c>
      <c r="X979" s="5">
        <f>data_origin!X1110</f>
        <v>50.356605800214822</v>
      </c>
      <c r="Y979" s="5">
        <f>data_origin!Y1110</f>
        <v>21.506578947368418</v>
      </c>
      <c r="Z979" s="5">
        <f>data_origin!Z1110</f>
        <v>3.0769230769230771</v>
      </c>
      <c r="AA979" s="5">
        <f>data_origin!AA1110</f>
        <v>0</v>
      </c>
      <c r="AB979" s="5">
        <f t="shared" si="117"/>
        <v>225.7752222501291</v>
      </c>
    </row>
    <row r="980" spans="4:28" x14ac:dyDescent="0.25">
      <c r="D980" t="s">
        <v>90</v>
      </c>
      <c r="E980" s="38">
        <f t="shared" ref="E980:L992" si="118">T980+AI584+IFERROR((T980/SUM(T$3:T$992)*AI$630),0)+IFERROR((T980/SUM(T$135:T$332,T$465:T$662,T$795:T$992)*AI$732),0)</f>
        <v>0</v>
      </c>
      <c r="F980" s="38">
        <f t="shared" si="118"/>
        <v>0</v>
      </c>
      <c r="G980" s="38">
        <f t="shared" si="118"/>
        <v>1.6187068428233917</v>
      </c>
      <c r="H980" s="38">
        <f t="shared" si="118"/>
        <v>1.8896852204462213</v>
      </c>
      <c r="I980" s="38">
        <f t="shared" si="118"/>
        <v>4.6594223798150098</v>
      </c>
      <c r="J980" s="38">
        <f t="shared" si="114"/>
        <v>3.1359729938924525</v>
      </c>
      <c r="K980" s="38">
        <f t="shared" si="114"/>
        <v>0</v>
      </c>
      <c r="L980" s="38">
        <f t="shared" si="114"/>
        <v>0</v>
      </c>
      <c r="M980" s="35">
        <f t="shared" si="116"/>
        <v>11.303787436977075</v>
      </c>
      <c r="S980" t="s">
        <v>90</v>
      </c>
      <c r="T980" s="5">
        <f>data_origin!T1111</f>
        <v>0</v>
      </c>
      <c r="U980" s="5">
        <f>data_origin!U1111</f>
        <v>0</v>
      </c>
      <c r="V980" s="5">
        <f>data_origin!V1111</f>
        <v>1.6061135371179041</v>
      </c>
      <c r="W980" s="5">
        <f>data_origin!W1111</f>
        <v>1.866394696583376</v>
      </c>
      <c r="X980" s="5">
        <f>data_origin!X1111</f>
        <v>4.5778732545649836</v>
      </c>
      <c r="Y980" s="5">
        <f>data_origin!Y1111</f>
        <v>3.0723684210526314</v>
      </c>
      <c r="Z980" s="5">
        <f>data_origin!Z1111</f>
        <v>0</v>
      </c>
      <c r="AA980" s="5">
        <f>data_origin!AA1111</f>
        <v>0</v>
      </c>
      <c r="AB980" s="5">
        <f t="shared" si="117"/>
        <v>11.122749909318896</v>
      </c>
    </row>
    <row r="981" spans="4:28" x14ac:dyDescent="0.25">
      <c r="D981" t="s">
        <v>91</v>
      </c>
      <c r="E981" s="38">
        <f t="shared" si="118"/>
        <v>0</v>
      </c>
      <c r="F981" s="38">
        <f t="shared" si="118"/>
        <v>0</v>
      </c>
      <c r="G981" s="38">
        <f t="shared" si="118"/>
        <v>12.949654742587134</v>
      </c>
      <c r="H981" s="38">
        <f t="shared" si="118"/>
        <v>34.014333968031984</v>
      </c>
      <c r="I981" s="38">
        <f t="shared" si="118"/>
        <v>19.887689519260039</v>
      </c>
      <c r="J981" s="38">
        <f t="shared" si="114"/>
        <v>3.1359729938924525</v>
      </c>
      <c r="K981" s="38">
        <f t="shared" si="114"/>
        <v>0</v>
      </c>
      <c r="L981" s="38">
        <f t="shared" si="114"/>
        <v>0</v>
      </c>
      <c r="M981" s="35">
        <f t="shared" si="116"/>
        <v>69.987651223771607</v>
      </c>
      <c r="S981" t="s">
        <v>91</v>
      </c>
      <c r="T981" s="5">
        <f>data_origin!T1112</f>
        <v>0</v>
      </c>
      <c r="U981" s="5">
        <f>data_origin!U1112</f>
        <v>0</v>
      </c>
      <c r="V981" s="5">
        <f>data_origin!V1112</f>
        <v>12.848908296943232</v>
      </c>
      <c r="W981" s="5">
        <f>data_origin!W1112</f>
        <v>33.595104538500763</v>
      </c>
      <c r="X981" s="5">
        <f>data_origin!X1112</f>
        <v>18.311493018259934</v>
      </c>
      <c r="Y981" s="5">
        <f>data_origin!Y1112</f>
        <v>3.0723684210526314</v>
      </c>
      <c r="Z981" s="5">
        <f>data_origin!Z1112</f>
        <v>0</v>
      </c>
      <c r="AA981" s="5">
        <f>data_origin!AA1112</f>
        <v>0</v>
      </c>
      <c r="AB981" s="5">
        <f t="shared" si="117"/>
        <v>67.827874274756567</v>
      </c>
    </row>
    <row r="982" spans="4:28" x14ac:dyDescent="0.25">
      <c r="D982" t="s">
        <v>92</v>
      </c>
      <c r="E982" s="38">
        <f t="shared" si="118"/>
        <v>0</v>
      </c>
      <c r="F982" s="38">
        <f t="shared" si="118"/>
        <v>0</v>
      </c>
      <c r="G982" s="38">
        <f t="shared" si="118"/>
        <v>0</v>
      </c>
      <c r="H982" s="38">
        <f t="shared" si="118"/>
        <v>0</v>
      </c>
      <c r="I982" s="38">
        <f t="shared" si="118"/>
        <v>0</v>
      </c>
      <c r="J982" s="38">
        <f t="shared" si="114"/>
        <v>0</v>
      </c>
      <c r="K982" s="38">
        <f t="shared" si="114"/>
        <v>0</v>
      </c>
      <c r="L982" s="38">
        <f t="shared" si="114"/>
        <v>0</v>
      </c>
      <c r="M982" s="35">
        <f t="shared" si="116"/>
        <v>0</v>
      </c>
      <c r="S982" t="s">
        <v>92</v>
      </c>
      <c r="T982" s="5">
        <f>data_origin!T1113</f>
        <v>0</v>
      </c>
      <c r="U982" s="5">
        <f>data_origin!U1113</f>
        <v>0</v>
      </c>
      <c r="V982" s="5">
        <f>data_origin!V1113</f>
        <v>0</v>
      </c>
      <c r="W982" s="5">
        <f>data_origin!W1113</f>
        <v>0</v>
      </c>
      <c r="X982" s="5">
        <f>data_origin!X1113</f>
        <v>0</v>
      </c>
      <c r="Y982" s="5">
        <f>data_origin!Y1113</f>
        <v>0</v>
      </c>
      <c r="Z982" s="5">
        <f>data_origin!Z1113</f>
        <v>0</v>
      </c>
      <c r="AA982" s="5">
        <f>data_origin!AA1113</f>
        <v>0</v>
      </c>
      <c r="AB982" s="5">
        <f t="shared" si="117"/>
        <v>0</v>
      </c>
    </row>
    <row r="983" spans="4:28" x14ac:dyDescent="0.25">
      <c r="D983" t="s">
        <v>93</v>
      </c>
      <c r="E983" s="38">
        <f t="shared" si="118"/>
        <v>0</v>
      </c>
      <c r="F983" s="38">
        <f t="shared" si="118"/>
        <v>0</v>
      </c>
      <c r="G983" s="38">
        <f t="shared" si="118"/>
        <v>0</v>
      </c>
      <c r="H983" s="38">
        <f t="shared" si="118"/>
        <v>1.8896852204462213</v>
      </c>
      <c r="I983" s="38">
        <f t="shared" si="118"/>
        <v>4.6594223798150098</v>
      </c>
      <c r="J983" s="38">
        <f t="shared" si="114"/>
        <v>0</v>
      </c>
      <c r="K983" s="38">
        <f t="shared" si="114"/>
        <v>0</v>
      </c>
      <c r="L983" s="38">
        <f t="shared" si="114"/>
        <v>0</v>
      </c>
      <c r="M983" s="35">
        <f t="shared" si="116"/>
        <v>6.5491076002612312</v>
      </c>
      <c r="S983" t="s">
        <v>93</v>
      </c>
      <c r="T983" s="5">
        <f>data_origin!T1114</f>
        <v>0</v>
      </c>
      <c r="U983" s="5">
        <f>data_origin!U1114</f>
        <v>0</v>
      </c>
      <c r="V983" s="5">
        <f>data_origin!V1114</f>
        <v>0</v>
      </c>
      <c r="W983" s="5">
        <f>data_origin!W1114</f>
        <v>1.866394696583376</v>
      </c>
      <c r="X983" s="5">
        <f>data_origin!X1114</f>
        <v>4.5778732545649836</v>
      </c>
      <c r="Y983" s="5">
        <f>data_origin!Y1114</f>
        <v>0</v>
      </c>
      <c r="Z983" s="5">
        <f>data_origin!Z1114</f>
        <v>0</v>
      </c>
      <c r="AA983" s="5">
        <f>data_origin!AA1114</f>
        <v>0</v>
      </c>
      <c r="AB983" s="5">
        <f t="shared" si="117"/>
        <v>6.44426795114836</v>
      </c>
    </row>
    <row r="984" spans="4:28" x14ac:dyDescent="0.25">
      <c r="D984" t="s">
        <v>94</v>
      </c>
      <c r="E984" s="38">
        <f t="shared" si="118"/>
        <v>0</v>
      </c>
      <c r="F984" s="38">
        <f t="shared" si="118"/>
        <v>0</v>
      </c>
      <c r="G984" s="38">
        <f t="shared" si="118"/>
        <v>0</v>
      </c>
      <c r="H984" s="38">
        <f t="shared" si="118"/>
        <v>0</v>
      </c>
      <c r="I984" s="38">
        <f t="shared" si="118"/>
        <v>0</v>
      </c>
      <c r="J984" s="38">
        <f t="shared" si="118"/>
        <v>0</v>
      </c>
      <c r="K984" s="38">
        <f t="shared" si="118"/>
        <v>0</v>
      </c>
      <c r="L984" s="38">
        <f t="shared" si="118"/>
        <v>0</v>
      </c>
      <c r="M984" s="35">
        <f t="shared" si="116"/>
        <v>0</v>
      </c>
      <c r="S984" t="s">
        <v>94</v>
      </c>
      <c r="T984" s="5">
        <f>data_origin!T1115</f>
        <v>0</v>
      </c>
      <c r="U984" s="5">
        <f>data_origin!U1115</f>
        <v>0</v>
      </c>
      <c r="V984" s="5">
        <f>data_origin!V1115</f>
        <v>0</v>
      </c>
      <c r="W984" s="5">
        <f>data_origin!W1115</f>
        <v>0</v>
      </c>
      <c r="X984" s="5">
        <f>data_origin!X1115</f>
        <v>0</v>
      </c>
      <c r="Y984" s="5">
        <f>data_origin!Y1115</f>
        <v>0</v>
      </c>
      <c r="Z984" s="5">
        <f>data_origin!Z1115</f>
        <v>0</v>
      </c>
      <c r="AA984" s="5">
        <f>data_origin!AA1115</f>
        <v>0</v>
      </c>
      <c r="AB984" s="5">
        <f t="shared" si="117"/>
        <v>0</v>
      </c>
    </row>
    <row r="985" spans="4:28" x14ac:dyDescent="0.25">
      <c r="D985" t="s">
        <v>95</v>
      </c>
      <c r="E985" s="38">
        <f t="shared" si="118"/>
        <v>0</v>
      </c>
      <c r="F985" s="38">
        <f t="shared" si="118"/>
        <v>0</v>
      </c>
      <c r="G985" s="38">
        <f t="shared" si="118"/>
        <v>0</v>
      </c>
      <c r="H985" s="38">
        <f t="shared" si="118"/>
        <v>0</v>
      </c>
      <c r="I985" s="38">
        <f t="shared" si="118"/>
        <v>0</v>
      </c>
      <c r="J985" s="38">
        <f t="shared" si="118"/>
        <v>0</v>
      </c>
      <c r="K985" s="38">
        <f t="shared" si="118"/>
        <v>0</v>
      </c>
      <c r="L985" s="38">
        <f t="shared" si="118"/>
        <v>0</v>
      </c>
      <c r="M985" s="35">
        <f t="shared" si="116"/>
        <v>0</v>
      </c>
      <c r="S985" t="s">
        <v>95</v>
      </c>
      <c r="T985" s="5">
        <f>data_origin!T1116</f>
        <v>0</v>
      </c>
      <c r="U985" s="5">
        <f>data_origin!U1116</f>
        <v>0</v>
      </c>
      <c r="V985" s="5">
        <f>data_origin!V1116</f>
        <v>0</v>
      </c>
      <c r="W985" s="5">
        <f>data_origin!W1116</f>
        <v>0</v>
      </c>
      <c r="X985" s="5">
        <f>data_origin!X1116</f>
        <v>0</v>
      </c>
      <c r="Y985" s="5">
        <f>data_origin!Y1116</f>
        <v>0</v>
      </c>
      <c r="Z985" s="5">
        <f>data_origin!Z1116</f>
        <v>0</v>
      </c>
      <c r="AA985" s="5">
        <f>data_origin!AA1116</f>
        <v>0</v>
      </c>
      <c r="AB985" s="5">
        <f t="shared" si="117"/>
        <v>0</v>
      </c>
    </row>
    <row r="986" spans="4:28" x14ac:dyDescent="0.25">
      <c r="D986" t="s">
        <v>96</v>
      </c>
      <c r="E986" s="38">
        <f t="shared" si="118"/>
        <v>0</v>
      </c>
      <c r="F986" s="38">
        <f t="shared" si="118"/>
        <v>0</v>
      </c>
      <c r="G986" s="38">
        <f t="shared" si="118"/>
        <v>4.8561205284701749</v>
      </c>
      <c r="H986" s="38">
        <f t="shared" si="118"/>
        <v>17.007166984015992</v>
      </c>
      <c r="I986" s="38">
        <f t="shared" si="118"/>
        <v>13.978267139445032</v>
      </c>
      <c r="J986" s="38">
        <f t="shared" si="118"/>
        <v>0</v>
      </c>
      <c r="K986" s="38">
        <f t="shared" si="118"/>
        <v>0</v>
      </c>
      <c r="L986" s="38">
        <f t="shared" si="118"/>
        <v>0</v>
      </c>
      <c r="M986" s="35">
        <f t="shared" si="116"/>
        <v>35.841554651931197</v>
      </c>
      <c r="S986" t="s">
        <v>96</v>
      </c>
      <c r="T986" s="5">
        <f>data_origin!T1117</f>
        <v>0</v>
      </c>
      <c r="U986" s="5">
        <f>data_origin!U1117</f>
        <v>0</v>
      </c>
      <c r="V986" s="5">
        <f>data_origin!V1117</f>
        <v>4.8183406113537117</v>
      </c>
      <c r="W986" s="5">
        <f>data_origin!W1117</f>
        <v>16.797552269250382</v>
      </c>
      <c r="X986" s="5">
        <f>data_origin!X1117</f>
        <v>13.733619763694952</v>
      </c>
      <c r="Y986" s="5">
        <f>data_origin!Y1117</f>
        <v>0</v>
      </c>
      <c r="Z986" s="5">
        <f>data_origin!Z1117</f>
        <v>0</v>
      </c>
      <c r="AA986" s="5">
        <f>data_origin!AA1117</f>
        <v>0</v>
      </c>
      <c r="AB986" s="5">
        <f t="shared" si="117"/>
        <v>35.349512644299047</v>
      </c>
    </row>
    <row r="987" spans="4:28" x14ac:dyDescent="0.25">
      <c r="D987" t="s">
        <v>97</v>
      </c>
      <c r="E987" s="38">
        <f t="shared" si="118"/>
        <v>0</v>
      </c>
      <c r="F987" s="38">
        <f t="shared" si="118"/>
        <v>0</v>
      </c>
      <c r="G987" s="38">
        <f t="shared" si="118"/>
        <v>17.805775271057307</v>
      </c>
      <c r="H987" s="38">
        <f t="shared" si="118"/>
        <v>18.89685220446221</v>
      </c>
      <c r="I987" s="38">
        <f t="shared" si="118"/>
        <v>4.6594223798150098</v>
      </c>
      <c r="J987" s="38">
        <f t="shared" si="118"/>
        <v>0</v>
      </c>
      <c r="K987" s="38">
        <f t="shared" si="118"/>
        <v>0</v>
      </c>
      <c r="L987" s="38">
        <f t="shared" si="118"/>
        <v>0</v>
      </c>
      <c r="M987" s="35">
        <f t="shared" si="116"/>
        <v>41.362049855334533</v>
      </c>
      <c r="S987" t="s">
        <v>97</v>
      </c>
      <c r="T987" s="5">
        <f>data_origin!T1118</f>
        <v>0</v>
      </c>
      <c r="U987" s="5">
        <f>data_origin!U1118</f>
        <v>0</v>
      </c>
      <c r="V987" s="5">
        <f>data_origin!V1118</f>
        <v>17.667248908296944</v>
      </c>
      <c r="W987" s="5">
        <f>data_origin!W1118</f>
        <v>18.663946965833759</v>
      </c>
      <c r="X987" s="5">
        <f>data_origin!X1118</f>
        <v>4.5778732545649836</v>
      </c>
      <c r="Y987" s="5">
        <f>data_origin!Y1118</f>
        <v>0</v>
      </c>
      <c r="Z987" s="5">
        <f>data_origin!Z1118</f>
        <v>0</v>
      </c>
      <c r="AA987" s="5">
        <f>data_origin!AA1118</f>
        <v>0</v>
      </c>
      <c r="AB987" s="5">
        <f t="shared" si="117"/>
        <v>40.909069128695684</v>
      </c>
    </row>
    <row r="988" spans="4:28" x14ac:dyDescent="0.25">
      <c r="D988" t="s">
        <v>98</v>
      </c>
      <c r="E988" s="38">
        <f t="shared" si="118"/>
        <v>0</v>
      </c>
      <c r="F988" s="38">
        <f t="shared" si="118"/>
        <v>0</v>
      </c>
      <c r="G988" s="38">
        <f t="shared" si="118"/>
        <v>25.899309485174268</v>
      </c>
      <c r="H988" s="38">
        <f t="shared" si="118"/>
        <v>96.373946242757285</v>
      </c>
      <c r="I988" s="38">
        <f t="shared" si="118"/>
        <v>48.92393498805761</v>
      </c>
      <c r="J988" s="38">
        <f t="shared" si="118"/>
        <v>12.54389197556981</v>
      </c>
      <c r="K988" s="38">
        <f t="shared" si="118"/>
        <v>0</v>
      </c>
      <c r="L988" s="38">
        <f t="shared" si="118"/>
        <v>4.3076923076923075</v>
      </c>
      <c r="M988" s="35">
        <f t="shared" si="116"/>
        <v>188.04877499925129</v>
      </c>
      <c r="S988" t="s">
        <v>98</v>
      </c>
      <c r="T988" s="5">
        <f>data_origin!T1119</f>
        <v>0</v>
      </c>
      <c r="U988" s="5">
        <f>data_origin!U1119</f>
        <v>0</v>
      </c>
      <c r="V988" s="5">
        <f>data_origin!V1119</f>
        <v>25.697816593886465</v>
      </c>
      <c r="W988" s="5">
        <f>data_origin!W1119</f>
        <v>95.186129525752165</v>
      </c>
      <c r="X988" s="5">
        <f>data_origin!X1119</f>
        <v>48.067669172932327</v>
      </c>
      <c r="Y988" s="5">
        <f>data_origin!Y1119</f>
        <v>12.289473684210526</v>
      </c>
      <c r="Z988" s="5">
        <f>data_origin!Z1119</f>
        <v>0</v>
      </c>
      <c r="AA988" s="5">
        <f>data_origin!AA1119</f>
        <v>4</v>
      </c>
      <c r="AB988" s="5">
        <f t="shared" si="117"/>
        <v>185.2410889767815</v>
      </c>
    </row>
    <row r="989" spans="4:28" x14ac:dyDescent="0.25">
      <c r="D989" t="s">
        <v>119</v>
      </c>
      <c r="E989" s="38">
        <f t="shared" si="118"/>
        <v>0</v>
      </c>
      <c r="F989" s="38">
        <f t="shared" si="118"/>
        <v>0</v>
      </c>
      <c r="G989" s="38">
        <f t="shared" si="118"/>
        <v>9.7122410569403499</v>
      </c>
      <c r="H989" s="38">
        <f t="shared" si="118"/>
        <v>17.007166984015992</v>
      </c>
      <c r="I989" s="38">
        <f t="shared" si="118"/>
        <v>18.637689519260039</v>
      </c>
      <c r="J989" s="38">
        <f t="shared" si="118"/>
        <v>3.1359729938924525</v>
      </c>
      <c r="K989" s="38">
        <f t="shared" si="118"/>
        <v>0</v>
      </c>
      <c r="L989" s="38">
        <f t="shared" si="118"/>
        <v>0</v>
      </c>
      <c r="M989" s="35">
        <f t="shared" si="116"/>
        <v>48.493070554108833</v>
      </c>
      <c r="S989" t="s">
        <v>119</v>
      </c>
      <c r="T989" s="5">
        <f>data_origin!T1120</f>
        <v>0</v>
      </c>
      <c r="U989" s="5">
        <f>data_origin!U1120</f>
        <v>0</v>
      </c>
      <c r="V989" s="5">
        <f>data_origin!V1120</f>
        <v>9.6366812227074234</v>
      </c>
      <c r="W989" s="5">
        <f>data_origin!W1120</f>
        <v>16.797552269250382</v>
      </c>
      <c r="X989" s="5">
        <f>data_origin!X1120</f>
        <v>18.311493018259934</v>
      </c>
      <c r="Y989" s="5">
        <f>data_origin!Y1120</f>
        <v>3.0723684210526314</v>
      </c>
      <c r="Z989" s="5">
        <f>data_origin!Z1120</f>
        <v>0</v>
      </c>
      <c r="AA989" s="5">
        <f>data_origin!AA1120</f>
        <v>0</v>
      </c>
      <c r="AB989" s="5">
        <f t="shared" si="117"/>
        <v>47.818094931270366</v>
      </c>
    </row>
    <row r="990" spans="4:28" x14ac:dyDescent="0.25">
      <c r="D990" t="s">
        <v>99</v>
      </c>
      <c r="E990" s="38">
        <f t="shared" si="118"/>
        <v>0</v>
      </c>
      <c r="F990" s="38">
        <f t="shared" si="118"/>
        <v>0</v>
      </c>
      <c r="G990" s="38">
        <f t="shared" si="118"/>
        <v>80.441635298346185</v>
      </c>
      <c r="H990" s="38">
        <f t="shared" si="118"/>
        <v>103.29300190409593</v>
      </c>
      <c r="I990" s="38">
        <f t="shared" si="118"/>
        <v>60.572490937595141</v>
      </c>
      <c r="J990" s="38">
        <f t="shared" si="118"/>
        <v>9.4079189816773567</v>
      </c>
      <c r="K990" s="38">
        <f t="shared" si="118"/>
        <v>0</v>
      </c>
      <c r="L990" s="38">
        <f t="shared" si="118"/>
        <v>0</v>
      </c>
      <c r="M990" s="35">
        <f t="shared" si="116"/>
        <v>253.71504712171463</v>
      </c>
      <c r="S990" t="s">
        <v>99</v>
      </c>
      <c r="T990" s="5">
        <f>data_origin!T1121</f>
        <v>0</v>
      </c>
      <c r="U990" s="5">
        <f>data_origin!U1121</f>
        <v>0</v>
      </c>
      <c r="V990" s="5">
        <f>data_origin!V1121</f>
        <v>78.699563318777294</v>
      </c>
      <c r="W990" s="5">
        <f>data_origin!W1121</f>
        <v>100.78531361550229</v>
      </c>
      <c r="X990" s="5">
        <f>data_origin!X1121</f>
        <v>59.512352309344791</v>
      </c>
      <c r="Y990" s="5">
        <f>data_origin!Y1121</f>
        <v>9.2171052631578938</v>
      </c>
      <c r="Z990" s="5">
        <f>data_origin!Z1121</f>
        <v>0</v>
      </c>
      <c r="AA990" s="5">
        <f>data_origin!AA1121</f>
        <v>0</v>
      </c>
      <c r="AB990" s="5">
        <f t="shared" si="117"/>
        <v>248.21433450678225</v>
      </c>
    </row>
    <row r="991" spans="4:28" x14ac:dyDescent="0.25">
      <c r="D991" t="s">
        <v>100</v>
      </c>
      <c r="E991" s="38">
        <f t="shared" si="118"/>
        <v>0</v>
      </c>
      <c r="F991" s="38">
        <f t="shared" si="118"/>
        <v>0</v>
      </c>
      <c r="G991" s="38">
        <f t="shared" si="118"/>
        <v>297.842059079504</v>
      </c>
      <c r="H991" s="38">
        <f t="shared" si="118"/>
        <v>721.85975421045657</v>
      </c>
      <c r="I991" s="38">
        <f t="shared" si="118"/>
        <v>526.51472891909623</v>
      </c>
      <c r="J991" s="38">
        <f t="shared" si="118"/>
        <v>134.84683873737546</v>
      </c>
      <c r="K991" s="38">
        <f t="shared" si="118"/>
        <v>37.611940298507463</v>
      </c>
      <c r="L991" s="38">
        <f t="shared" si="118"/>
        <v>4.3076923076923075</v>
      </c>
      <c r="M991" s="35">
        <f t="shared" si="116"/>
        <v>1722.9830135526322</v>
      </c>
      <c r="S991" t="s">
        <v>100</v>
      </c>
      <c r="T991" s="5">
        <f>data_origin!T1122</f>
        <v>0</v>
      </c>
      <c r="U991" s="5">
        <f>data_origin!U1122</f>
        <v>0</v>
      </c>
      <c r="V991" s="5">
        <f>data_origin!V1122</f>
        <v>295.5248908296943</v>
      </c>
      <c r="W991" s="5">
        <f>data_origin!W1122</f>
        <v>712.96277409484958</v>
      </c>
      <c r="X991" s="5">
        <f>data_origin!X1122</f>
        <v>517.29967776584317</v>
      </c>
      <c r="Y991" s="5">
        <f>data_origin!Y1122</f>
        <v>132.11184210526315</v>
      </c>
      <c r="Z991" s="5">
        <f>data_origin!Z1122</f>
        <v>36.92307692307692</v>
      </c>
      <c r="AA991" s="5">
        <f>data_origin!AA1122</f>
        <v>4</v>
      </c>
      <c r="AB991" s="5">
        <f t="shared" si="117"/>
        <v>1698.8222617187271</v>
      </c>
    </row>
    <row r="992" spans="4:28" x14ac:dyDescent="0.25">
      <c r="D992" t="s">
        <v>101</v>
      </c>
      <c r="E992" s="38">
        <f t="shared" si="118"/>
        <v>0</v>
      </c>
      <c r="F992" s="38">
        <f t="shared" si="118"/>
        <v>0</v>
      </c>
      <c r="G992" s="38">
        <f t="shared" si="118"/>
        <v>49.686205284701749</v>
      </c>
      <c r="H992" s="38">
        <f t="shared" si="118"/>
        <v>105.82237234498838</v>
      </c>
      <c r="I992" s="38">
        <f t="shared" si="118"/>
        <v>69.891335697225173</v>
      </c>
      <c r="J992" s="38">
        <f t="shared" si="118"/>
        <v>9.4079189816773567</v>
      </c>
      <c r="K992" s="38">
        <f t="shared" si="118"/>
        <v>0</v>
      </c>
      <c r="L992" s="38">
        <f t="shared" si="118"/>
        <v>0</v>
      </c>
      <c r="M992" s="35">
        <f t="shared" si="116"/>
        <v>234.80783230859268</v>
      </c>
      <c r="S992" t="s">
        <v>101</v>
      </c>
      <c r="T992" s="5">
        <f>data_origin!T1123</f>
        <v>0</v>
      </c>
      <c r="U992" s="5">
        <f>data_origin!U1123</f>
        <v>0</v>
      </c>
      <c r="V992" s="5">
        <f>data_origin!V1123</f>
        <v>48.183406113537117</v>
      </c>
      <c r="W992" s="5">
        <f>data_origin!W1123</f>
        <v>104.51810300866904</v>
      </c>
      <c r="X992" s="5">
        <f>data_origin!X1123</f>
        <v>68.66809881847476</v>
      </c>
      <c r="Y992" s="5">
        <f>data_origin!Y1123</f>
        <v>9.2171052631578938</v>
      </c>
      <c r="Z992" s="5">
        <f>data_origin!Z1123</f>
        <v>0</v>
      </c>
      <c r="AA992" s="5">
        <f>data_origin!AA1123</f>
        <v>0</v>
      </c>
      <c r="AB992" s="5">
        <f t="shared" si="117"/>
        <v>230.58671320383883</v>
      </c>
    </row>
    <row r="993" spans="1:28" x14ac:dyDescent="0.25">
      <c r="A993" s="24" t="s">
        <v>115</v>
      </c>
      <c r="B993" s="24" t="s">
        <v>103</v>
      </c>
      <c r="C993" s="24" t="s">
        <v>105</v>
      </c>
      <c r="D993" t="s">
        <v>70</v>
      </c>
      <c r="E993" s="35">
        <f>T993+IFERROR((T993/SUM(T$993:T$1982)*AW$630),0)</f>
        <v>0</v>
      </c>
      <c r="F993" s="35">
        <f t="shared" ref="F993:L993" si="119">U993+IFERROR((U993/SUM(U$993:U$1982)*AX$630),0)</f>
        <v>0</v>
      </c>
      <c r="G993" s="35">
        <f t="shared" si="119"/>
        <v>0</v>
      </c>
      <c r="H993" s="35">
        <f t="shared" si="119"/>
        <v>0</v>
      </c>
      <c r="I993" s="35">
        <f t="shared" si="119"/>
        <v>0</v>
      </c>
      <c r="J993" s="35">
        <f t="shared" si="119"/>
        <v>0</v>
      </c>
      <c r="K993" s="35">
        <f t="shared" si="119"/>
        <v>0</v>
      </c>
      <c r="L993" s="35">
        <f t="shared" si="119"/>
        <v>0</v>
      </c>
      <c r="M993" s="35">
        <f t="shared" si="116"/>
        <v>0</v>
      </c>
      <c r="P993" t="s">
        <v>115</v>
      </c>
      <c r="Q993" t="s">
        <v>103</v>
      </c>
      <c r="R993" t="s">
        <v>105</v>
      </c>
      <c r="S993" t="s">
        <v>70</v>
      </c>
      <c r="T993" s="5">
        <f>data_origin!T1159</f>
        <v>0</v>
      </c>
      <c r="U993" s="5">
        <f>data_origin!U1159</f>
        <v>0</v>
      </c>
      <c r="V993" s="5">
        <f>data_origin!V1159</f>
        <v>0</v>
      </c>
      <c r="W993" s="5">
        <f>data_origin!W1159</f>
        <v>0</v>
      </c>
      <c r="X993" s="5">
        <f>data_origin!X1159</f>
        <v>0</v>
      </c>
      <c r="Y993" s="5">
        <f>data_origin!Y1159</f>
        <v>0</v>
      </c>
      <c r="Z993" s="5">
        <f>data_origin!Z1159</f>
        <v>0</v>
      </c>
      <c r="AA993" s="5">
        <f>data_origin!AA1159</f>
        <v>0</v>
      </c>
      <c r="AB993" s="5">
        <f t="shared" ref="AB993:AB1052" si="120">SUM(T993:AA993)</f>
        <v>0</v>
      </c>
    </row>
    <row r="994" spans="1:28" x14ac:dyDescent="0.25">
      <c r="D994" t="s">
        <v>71</v>
      </c>
      <c r="E994" s="35">
        <f t="shared" ref="E994:L1025" si="121">T994+IFERROR((T994/SUM(T$993:T$1982)*AW$630),0)</f>
        <v>0</v>
      </c>
      <c r="F994" s="35">
        <f t="shared" si="121"/>
        <v>0</v>
      </c>
      <c r="G994" s="35">
        <f t="shared" si="121"/>
        <v>0</v>
      </c>
      <c r="H994" s="35">
        <f t="shared" si="121"/>
        <v>0</v>
      </c>
      <c r="I994" s="35">
        <f t="shared" si="121"/>
        <v>0</v>
      </c>
      <c r="J994" s="35">
        <f t="shared" si="121"/>
        <v>0</v>
      </c>
      <c r="K994" s="35">
        <f t="shared" si="121"/>
        <v>0</v>
      </c>
      <c r="L994" s="35">
        <f t="shared" si="121"/>
        <v>0</v>
      </c>
      <c r="M994" s="35">
        <f t="shared" si="116"/>
        <v>0</v>
      </c>
      <c r="S994" t="s">
        <v>71</v>
      </c>
      <c r="T994" s="5">
        <f>data_origin!T1160</f>
        <v>0</v>
      </c>
      <c r="U994" s="5">
        <f>data_origin!U1160</f>
        <v>0</v>
      </c>
      <c r="V994" s="5">
        <f>data_origin!V1160</f>
        <v>0</v>
      </c>
      <c r="W994" s="5">
        <f>data_origin!W1160</f>
        <v>0</v>
      </c>
      <c r="X994" s="5">
        <f>data_origin!X1160</f>
        <v>0</v>
      </c>
      <c r="Y994" s="5">
        <f>data_origin!Y1160</f>
        <v>0</v>
      </c>
      <c r="Z994" s="5">
        <f>data_origin!Z1160</f>
        <v>0</v>
      </c>
      <c r="AA994" s="5">
        <f>data_origin!AA1160</f>
        <v>0</v>
      </c>
      <c r="AB994" s="5">
        <f t="shared" si="120"/>
        <v>0</v>
      </c>
    </row>
    <row r="995" spans="1:28" x14ac:dyDescent="0.25">
      <c r="D995" t="s">
        <v>72</v>
      </c>
      <c r="E995" s="35">
        <f t="shared" si="121"/>
        <v>0</v>
      </c>
      <c r="F995" s="35">
        <f t="shared" si="121"/>
        <v>0</v>
      </c>
      <c r="G995" s="35">
        <f t="shared" si="121"/>
        <v>0</v>
      </c>
      <c r="H995" s="35">
        <f t="shared" si="121"/>
        <v>0</v>
      </c>
      <c r="I995" s="35">
        <f t="shared" si="121"/>
        <v>0</v>
      </c>
      <c r="J995" s="35">
        <f t="shared" si="121"/>
        <v>0</v>
      </c>
      <c r="K995" s="35">
        <f t="shared" si="121"/>
        <v>0</v>
      </c>
      <c r="L995" s="35">
        <f t="shared" si="121"/>
        <v>0</v>
      </c>
      <c r="M995" s="35">
        <f t="shared" si="116"/>
        <v>0</v>
      </c>
      <c r="S995" t="s">
        <v>72</v>
      </c>
      <c r="T995" s="5">
        <f>data_origin!T1161</f>
        <v>0</v>
      </c>
      <c r="U995" s="5">
        <f>data_origin!U1161</f>
        <v>0</v>
      </c>
      <c r="V995" s="5">
        <f>data_origin!V1161</f>
        <v>0</v>
      </c>
      <c r="W995" s="5">
        <f>data_origin!W1161</f>
        <v>0</v>
      </c>
      <c r="X995" s="5">
        <f>data_origin!X1161</f>
        <v>0</v>
      </c>
      <c r="Y995" s="5">
        <f>data_origin!Y1161</f>
        <v>0</v>
      </c>
      <c r="Z995" s="5">
        <f>data_origin!Z1161</f>
        <v>0</v>
      </c>
      <c r="AA995" s="5">
        <f>data_origin!AA1161</f>
        <v>0</v>
      </c>
      <c r="AB995" s="5">
        <f t="shared" si="120"/>
        <v>0</v>
      </c>
    </row>
    <row r="996" spans="1:28" x14ac:dyDescent="0.25">
      <c r="D996" t="s">
        <v>73</v>
      </c>
      <c r="E996" s="35">
        <f t="shared" si="121"/>
        <v>0</v>
      </c>
      <c r="F996" s="35">
        <f t="shared" si="121"/>
        <v>0</v>
      </c>
      <c r="G996" s="35">
        <f t="shared" si="121"/>
        <v>0</v>
      </c>
      <c r="H996" s="35">
        <f t="shared" si="121"/>
        <v>0</v>
      </c>
      <c r="I996" s="35">
        <f t="shared" si="121"/>
        <v>0</v>
      </c>
      <c r="J996" s="35">
        <f t="shared" si="121"/>
        <v>0</v>
      </c>
      <c r="K996" s="35">
        <f t="shared" si="121"/>
        <v>0</v>
      </c>
      <c r="L996" s="35">
        <f t="shared" si="121"/>
        <v>0</v>
      </c>
      <c r="M996" s="35">
        <f t="shared" si="116"/>
        <v>0</v>
      </c>
      <c r="S996" t="s">
        <v>73</v>
      </c>
      <c r="T996" s="5">
        <f>data_origin!T1162</f>
        <v>0</v>
      </c>
      <c r="U996" s="5">
        <f>data_origin!U1162</f>
        <v>0</v>
      </c>
      <c r="V996" s="5">
        <f>data_origin!V1162</f>
        <v>0</v>
      </c>
      <c r="W996" s="5">
        <f>data_origin!W1162</f>
        <v>0</v>
      </c>
      <c r="X996" s="5">
        <f>data_origin!X1162</f>
        <v>0</v>
      </c>
      <c r="Y996" s="5">
        <f>data_origin!Y1162</f>
        <v>0</v>
      </c>
      <c r="Z996" s="5">
        <f>data_origin!Z1162</f>
        <v>0</v>
      </c>
      <c r="AA996" s="5">
        <f>data_origin!AA1162</f>
        <v>0</v>
      </c>
      <c r="AB996" s="5">
        <f t="shared" si="120"/>
        <v>0</v>
      </c>
    </row>
    <row r="997" spans="1:28" x14ac:dyDescent="0.25">
      <c r="D997" t="s">
        <v>74</v>
      </c>
      <c r="E997" s="35">
        <f t="shared" si="121"/>
        <v>0</v>
      </c>
      <c r="F997" s="35">
        <f t="shared" si="121"/>
        <v>0</v>
      </c>
      <c r="G997" s="35">
        <f t="shared" si="121"/>
        <v>0</v>
      </c>
      <c r="H997" s="35">
        <f t="shared" si="121"/>
        <v>0</v>
      </c>
      <c r="I997" s="35">
        <f t="shared" si="121"/>
        <v>0</v>
      </c>
      <c r="J997" s="35">
        <f t="shared" si="121"/>
        <v>0</v>
      </c>
      <c r="K997" s="35">
        <f t="shared" si="121"/>
        <v>0</v>
      </c>
      <c r="L997" s="35">
        <f t="shared" si="121"/>
        <v>0</v>
      </c>
      <c r="M997" s="35">
        <f t="shared" si="116"/>
        <v>0</v>
      </c>
      <c r="S997" t="s">
        <v>74</v>
      </c>
      <c r="T997" s="5">
        <f>data_origin!T1163</f>
        <v>0</v>
      </c>
      <c r="U997" s="5">
        <f>data_origin!U1163</f>
        <v>0</v>
      </c>
      <c r="V997" s="5">
        <f>data_origin!V1163</f>
        <v>0</v>
      </c>
      <c r="W997" s="5">
        <f>data_origin!W1163</f>
        <v>0</v>
      </c>
      <c r="X997" s="5">
        <f>data_origin!X1163</f>
        <v>0</v>
      </c>
      <c r="Y997" s="5">
        <f>data_origin!Y1163</f>
        <v>0</v>
      </c>
      <c r="Z997" s="5">
        <f>data_origin!Z1163</f>
        <v>0</v>
      </c>
      <c r="AA997" s="5">
        <f>data_origin!AA1163</f>
        <v>0</v>
      </c>
      <c r="AB997" s="5">
        <f t="shared" si="120"/>
        <v>0</v>
      </c>
    </row>
    <row r="998" spans="1:28" x14ac:dyDescent="0.25">
      <c r="D998" t="s">
        <v>75</v>
      </c>
      <c r="E998" s="35">
        <f t="shared" si="121"/>
        <v>0</v>
      </c>
      <c r="F998" s="35">
        <f t="shared" si="121"/>
        <v>0</v>
      </c>
      <c r="G998" s="35">
        <f t="shared" si="121"/>
        <v>0</v>
      </c>
      <c r="H998" s="35">
        <f t="shared" si="121"/>
        <v>0</v>
      </c>
      <c r="I998" s="35">
        <f t="shared" si="121"/>
        <v>0</v>
      </c>
      <c r="J998" s="35">
        <f t="shared" si="121"/>
        <v>0</v>
      </c>
      <c r="K998" s="35">
        <f t="shared" si="121"/>
        <v>0</v>
      </c>
      <c r="L998" s="35">
        <f t="shared" si="121"/>
        <v>0</v>
      </c>
      <c r="M998" s="35">
        <f t="shared" si="116"/>
        <v>0</v>
      </c>
      <c r="S998" t="s">
        <v>75</v>
      </c>
      <c r="T998" s="5">
        <f>data_origin!T1164</f>
        <v>0</v>
      </c>
      <c r="U998" s="5">
        <f>data_origin!U1164</f>
        <v>0</v>
      </c>
      <c r="V998" s="5">
        <f>data_origin!V1164</f>
        <v>0</v>
      </c>
      <c r="W998" s="5">
        <f>data_origin!W1164</f>
        <v>0</v>
      </c>
      <c r="X998" s="5">
        <f>data_origin!X1164</f>
        <v>0</v>
      </c>
      <c r="Y998" s="5">
        <f>data_origin!Y1164</f>
        <v>0</v>
      </c>
      <c r="Z998" s="5">
        <f>data_origin!Z1164</f>
        <v>0</v>
      </c>
      <c r="AA998" s="5">
        <f>data_origin!AA1164</f>
        <v>0</v>
      </c>
      <c r="AB998" s="5">
        <f t="shared" si="120"/>
        <v>0</v>
      </c>
    </row>
    <row r="999" spans="1:28" x14ac:dyDescent="0.25">
      <c r="D999" t="s">
        <v>76</v>
      </c>
      <c r="E999" s="35">
        <f t="shared" si="121"/>
        <v>0</v>
      </c>
      <c r="F999" s="35">
        <f t="shared" si="121"/>
        <v>0</v>
      </c>
      <c r="G999" s="35">
        <f t="shared" si="121"/>
        <v>0</v>
      </c>
      <c r="H999" s="35">
        <f t="shared" si="121"/>
        <v>0</v>
      </c>
      <c r="I999" s="35">
        <f t="shared" si="121"/>
        <v>0</v>
      </c>
      <c r="J999" s="35">
        <f t="shared" si="121"/>
        <v>0</v>
      </c>
      <c r="K999" s="35">
        <f t="shared" si="121"/>
        <v>0</v>
      </c>
      <c r="L999" s="35">
        <f t="shared" si="121"/>
        <v>0</v>
      </c>
      <c r="M999" s="35">
        <f t="shared" si="116"/>
        <v>0</v>
      </c>
      <c r="S999" t="s">
        <v>76</v>
      </c>
      <c r="T999" s="5">
        <f>data_origin!T1165</f>
        <v>0</v>
      </c>
      <c r="U999" s="5">
        <f>data_origin!U1165</f>
        <v>0</v>
      </c>
      <c r="V999" s="5">
        <f>data_origin!V1165</f>
        <v>0</v>
      </c>
      <c r="W999" s="5">
        <f>data_origin!W1165</f>
        <v>0</v>
      </c>
      <c r="X999" s="5">
        <f>data_origin!X1165</f>
        <v>0</v>
      </c>
      <c r="Y999" s="5">
        <f>data_origin!Y1165</f>
        <v>0</v>
      </c>
      <c r="Z999" s="5">
        <f>data_origin!Z1165</f>
        <v>0</v>
      </c>
      <c r="AA999" s="5">
        <f>data_origin!AA1165</f>
        <v>0</v>
      </c>
      <c r="AB999" s="5">
        <f t="shared" si="120"/>
        <v>0</v>
      </c>
    </row>
    <row r="1000" spans="1:28" x14ac:dyDescent="0.25">
      <c r="D1000" t="s">
        <v>77</v>
      </c>
      <c r="E1000" s="35">
        <f t="shared" si="121"/>
        <v>0</v>
      </c>
      <c r="F1000" s="35">
        <f t="shared" si="121"/>
        <v>0</v>
      </c>
      <c r="G1000" s="35">
        <f t="shared" si="121"/>
        <v>0</v>
      </c>
      <c r="H1000" s="35">
        <f t="shared" si="121"/>
        <v>0</v>
      </c>
      <c r="I1000" s="35">
        <f t="shared" si="121"/>
        <v>0</v>
      </c>
      <c r="J1000" s="35">
        <f t="shared" si="121"/>
        <v>0</v>
      </c>
      <c r="K1000" s="35">
        <f t="shared" si="121"/>
        <v>0</v>
      </c>
      <c r="L1000" s="35">
        <f t="shared" si="121"/>
        <v>0</v>
      </c>
      <c r="M1000" s="35">
        <f t="shared" si="116"/>
        <v>0</v>
      </c>
      <c r="S1000" t="s">
        <v>77</v>
      </c>
      <c r="T1000" s="5">
        <f>data_origin!T1166</f>
        <v>0</v>
      </c>
      <c r="U1000" s="5">
        <f>data_origin!U1166</f>
        <v>0</v>
      </c>
      <c r="V1000" s="5">
        <f>data_origin!V1166</f>
        <v>0</v>
      </c>
      <c r="W1000" s="5">
        <f>data_origin!W1166</f>
        <v>0</v>
      </c>
      <c r="X1000" s="5">
        <f>data_origin!X1166</f>
        <v>0</v>
      </c>
      <c r="Y1000" s="5">
        <f>data_origin!Y1166</f>
        <v>0</v>
      </c>
      <c r="Z1000" s="5">
        <f>data_origin!Z1166</f>
        <v>0</v>
      </c>
      <c r="AA1000" s="5">
        <f>data_origin!AA1166</f>
        <v>0</v>
      </c>
      <c r="AB1000" s="5">
        <f t="shared" si="120"/>
        <v>0</v>
      </c>
    </row>
    <row r="1001" spans="1:28" x14ac:dyDescent="0.25">
      <c r="D1001" t="s">
        <v>78</v>
      </c>
      <c r="E1001" s="35">
        <f t="shared" si="121"/>
        <v>0</v>
      </c>
      <c r="F1001" s="35">
        <f t="shared" si="121"/>
        <v>0</v>
      </c>
      <c r="G1001" s="35">
        <f t="shared" si="121"/>
        <v>0</v>
      </c>
      <c r="H1001" s="35">
        <f t="shared" si="121"/>
        <v>0</v>
      </c>
      <c r="I1001" s="35">
        <f t="shared" si="121"/>
        <v>0</v>
      </c>
      <c r="J1001" s="35">
        <f t="shared" si="121"/>
        <v>0</v>
      </c>
      <c r="K1001" s="35">
        <f t="shared" si="121"/>
        <v>0</v>
      </c>
      <c r="L1001" s="35">
        <f t="shared" si="121"/>
        <v>0</v>
      </c>
      <c r="M1001" s="35">
        <f t="shared" si="116"/>
        <v>0</v>
      </c>
      <c r="S1001" t="s">
        <v>78</v>
      </c>
      <c r="T1001" s="5">
        <f>data_origin!T1167</f>
        <v>0</v>
      </c>
      <c r="U1001" s="5">
        <f>data_origin!U1167</f>
        <v>0</v>
      </c>
      <c r="V1001" s="5">
        <f>data_origin!V1167</f>
        <v>0</v>
      </c>
      <c r="W1001" s="5">
        <f>data_origin!W1167</f>
        <v>0</v>
      </c>
      <c r="X1001" s="5">
        <f>data_origin!X1167</f>
        <v>0</v>
      </c>
      <c r="Y1001" s="5">
        <f>data_origin!Y1167</f>
        <v>0</v>
      </c>
      <c r="Z1001" s="5">
        <f>data_origin!Z1167</f>
        <v>0</v>
      </c>
      <c r="AA1001" s="5">
        <f>data_origin!AA1167</f>
        <v>0</v>
      </c>
      <c r="AB1001" s="5">
        <f t="shared" si="120"/>
        <v>0</v>
      </c>
    </row>
    <row r="1002" spans="1:28" x14ac:dyDescent="0.25">
      <c r="D1002" t="s">
        <v>79</v>
      </c>
      <c r="E1002" s="35">
        <f t="shared" si="121"/>
        <v>0</v>
      </c>
      <c r="F1002" s="35">
        <f t="shared" si="121"/>
        <v>0</v>
      </c>
      <c r="G1002" s="35">
        <f t="shared" si="121"/>
        <v>0</v>
      </c>
      <c r="H1002" s="35">
        <f t="shared" si="121"/>
        <v>0</v>
      </c>
      <c r="I1002" s="35">
        <f t="shared" si="121"/>
        <v>0</v>
      </c>
      <c r="J1002" s="35">
        <f t="shared" si="121"/>
        <v>0</v>
      </c>
      <c r="K1002" s="35">
        <f t="shared" si="121"/>
        <v>0</v>
      </c>
      <c r="L1002" s="35">
        <f t="shared" si="121"/>
        <v>0</v>
      </c>
      <c r="M1002" s="35">
        <f t="shared" si="116"/>
        <v>0</v>
      </c>
      <c r="S1002" t="s">
        <v>79</v>
      </c>
      <c r="T1002" s="5">
        <f>data_origin!T1168</f>
        <v>0</v>
      </c>
      <c r="U1002" s="5">
        <f>data_origin!U1168</f>
        <v>0</v>
      </c>
      <c r="V1002" s="5">
        <f>data_origin!V1168</f>
        <v>0</v>
      </c>
      <c r="W1002" s="5">
        <f>data_origin!W1168</f>
        <v>0</v>
      </c>
      <c r="X1002" s="5">
        <f>data_origin!X1168</f>
        <v>0</v>
      </c>
      <c r="Y1002" s="5">
        <f>data_origin!Y1168</f>
        <v>0</v>
      </c>
      <c r="Z1002" s="5">
        <f>data_origin!Z1168</f>
        <v>0</v>
      </c>
      <c r="AA1002" s="5">
        <f>data_origin!AA1168</f>
        <v>0</v>
      </c>
      <c r="AB1002" s="5">
        <f t="shared" si="120"/>
        <v>0</v>
      </c>
    </row>
    <row r="1003" spans="1:28" x14ac:dyDescent="0.25">
      <c r="D1003" t="s">
        <v>80</v>
      </c>
      <c r="E1003" s="35">
        <f t="shared" si="121"/>
        <v>0</v>
      </c>
      <c r="F1003" s="35">
        <f t="shared" si="121"/>
        <v>0</v>
      </c>
      <c r="G1003" s="35">
        <f t="shared" si="121"/>
        <v>0</v>
      </c>
      <c r="H1003" s="35">
        <f t="shared" si="121"/>
        <v>0</v>
      </c>
      <c r="I1003" s="35">
        <f t="shared" si="121"/>
        <v>0</v>
      </c>
      <c r="J1003" s="35">
        <f t="shared" si="121"/>
        <v>0</v>
      </c>
      <c r="K1003" s="35">
        <f t="shared" si="121"/>
        <v>0</v>
      </c>
      <c r="L1003" s="35">
        <f t="shared" si="121"/>
        <v>0</v>
      </c>
      <c r="M1003" s="35">
        <f t="shared" si="116"/>
        <v>0</v>
      </c>
      <c r="S1003" t="s">
        <v>80</v>
      </c>
      <c r="T1003" s="5">
        <f>data_origin!T1169</f>
        <v>0</v>
      </c>
      <c r="U1003" s="5">
        <f>data_origin!U1169</f>
        <v>0</v>
      </c>
      <c r="V1003" s="5">
        <f>data_origin!V1169</f>
        <v>0</v>
      </c>
      <c r="W1003" s="5">
        <f>data_origin!W1169</f>
        <v>0</v>
      </c>
      <c r="X1003" s="5">
        <f>data_origin!X1169</f>
        <v>0</v>
      </c>
      <c r="Y1003" s="5">
        <f>data_origin!Y1169</f>
        <v>0</v>
      </c>
      <c r="Z1003" s="5">
        <f>data_origin!Z1169</f>
        <v>0</v>
      </c>
      <c r="AA1003" s="5">
        <f>data_origin!AA1169</f>
        <v>0</v>
      </c>
      <c r="AB1003" s="5">
        <f t="shared" si="120"/>
        <v>0</v>
      </c>
    </row>
    <row r="1004" spans="1:28" x14ac:dyDescent="0.25">
      <c r="D1004" t="s">
        <v>81</v>
      </c>
      <c r="E1004" s="35">
        <f t="shared" si="121"/>
        <v>0</v>
      </c>
      <c r="F1004" s="35">
        <f t="shared" si="121"/>
        <v>0</v>
      </c>
      <c r="G1004" s="35">
        <f t="shared" si="121"/>
        <v>0</v>
      </c>
      <c r="H1004" s="35">
        <f t="shared" si="121"/>
        <v>0</v>
      </c>
      <c r="I1004" s="35">
        <f t="shared" si="121"/>
        <v>0</v>
      </c>
      <c r="J1004" s="35">
        <f t="shared" si="121"/>
        <v>0</v>
      </c>
      <c r="K1004" s="35">
        <f t="shared" si="121"/>
        <v>0</v>
      </c>
      <c r="L1004" s="35">
        <f t="shared" si="121"/>
        <v>0</v>
      </c>
      <c r="M1004" s="35">
        <f t="shared" si="116"/>
        <v>0</v>
      </c>
      <c r="S1004" t="s">
        <v>81</v>
      </c>
      <c r="T1004" s="5">
        <f>data_origin!T1170</f>
        <v>0</v>
      </c>
      <c r="U1004" s="5">
        <f>data_origin!U1170</f>
        <v>0</v>
      </c>
      <c r="V1004" s="5">
        <f>data_origin!V1170</f>
        <v>0</v>
      </c>
      <c r="W1004" s="5">
        <f>data_origin!W1170</f>
        <v>0</v>
      </c>
      <c r="X1004" s="5">
        <f>data_origin!X1170</f>
        <v>0</v>
      </c>
      <c r="Y1004" s="5">
        <f>data_origin!Y1170</f>
        <v>0</v>
      </c>
      <c r="Z1004" s="5">
        <f>data_origin!Z1170</f>
        <v>0</v>
      </c>
      <c r="AA1004" s="5">
        <f>data_origin!AA1170</f>
        <v>0</v>
      </c>
      <c r="AB1004" s="5">
        <f t="shared" si="120"/>
        <v>0</v>
      </c>
    </row>
    <row r="1005" spans="1:28" x14ac:dyDescent="0.25">
      <c r="D1005" t="s">
        <v>82</v>
      </c>
      <c r="E1005" s="35">
        <f t="shared" si="121"/>
        <v>0</v>
      </c>
      <c r="F1005" s="35">
        <f t="shared" si="121"/>
        <v>0</v>
      </c>
      <c r="G1005" s="35">
        <f t="shared" si="121"/>
        <v>0</v>
      </c>
      <c r="H1005" s="35">
        <f t="shared" si="121"/>
        <v>0</v>
      </c>
      <c r="I1005" s="35">
        <f t="shared" si="121"/>
        <v>1.1217513682564504</v>
      </c>
      <c r="J1005" s="35">
        <f t="shared" si="121"/>
        <v>0</v>
      </c>
      <c r="K1005" s="35">
        <f t="shared" si="121"/>
        <v>0</v>
      </c>
      <c r="L1005" s="35">
        <f t="shared" si="121"/>
        <v>0</v>
      </c>
      <c r="M1005" s="35">
        <f t="shared" si="116"/>
        <v>1.1217513682564504</v>
      </c>
      <c r="S1005" t="s">
        <v>82</v>
      </c>
      <c r="T1005" s="5">
        <f>data_origin!T1171</f>
        <v>0</v>
      </c>
      <c r="U1005" s="5">
        <f>data_origin!U1171</f>
        <v>0</v>
      </c>
      <c r="V1005" s="5">
        <f>data_origin!V1171</f>
        <v>0</v>
      </c>
      <c r="W1005" s="5">
        <f>data_origin!W1171</f>
        <v>0</v>
      </c>
      <c r="X1005" s="5">
        <f>data_origin!X1171</f>
        <v>1.1200000000000001</v>
      </c>
      <c r="Y1005" s="5">
        <f>data_origin!Y1171</f>
        <v>0</v>
      </c>
      <c r="Z1005" s="5">
        <f>data_origin!Z1171</f>
        <v>0</v>
      </c>
      <c r="AA1005" s="5">
        <f>data_origin!AA1171</f>
        <v>0</v>
      </c>
      <c r="AB1005" s="5">
        <f t="shared" si="120"/>
        <v>1.1200000000000001</v>
      </c>
    </row>
    <row r="1006" spans="1:28" x14ac:dyDescent="0.25">
      <c r="D1006" t="s">
        <v>83</v>
      </c>
      <c r="E1006" s="35">
        <f t="shared" si="121"/>
        <v>0</v>
      </c>
      <c r="F1006" s="35">
        <f t="shared" si="121"/>
        <v>0</v>
      </c>
      <c r="G1006" s="35">
        <f t="shared" si="121"/>
        <v>0</v>
      </c>
      <c r="H1006" s="35">
        <f t="shared" si="121"/>
        <v>0</v>
      </c>
      <c r="I1006" s="35">
        <f t="shared" si="121"/>
        <v>0</v>
      </c>
      <c r="J1006" s="35">
        <f t="shared" si="121"/>
        <v>0</v>
      </c>
      <c r="K1006" s="35">
        <f t="shared" si="121"/>
        <v>0</v>
      </c>
      <c r="L1006" s="35">
        <f t="shared" si="121"/>
        <v>0</v>
      </c>
      <c r="M1006" s="35">
        <f t="shared" si="116"/>
        <v>0</v>
      </c>
      <c r="S1006" t="s">
        <v>83</v>
      </c>
      <c r="T1006" s="5">
        <f>data_origin!T1172</f>
        <v>0</v>
      </c>
      <c r="U1006" s="5">
        <f>data_origin!U1172</f>
        <v>0</v>
      </c>
      <c r="V1006" s="5">
        <f>data_origin!V1172</f>
        <v>0</v>
      </c>
      <c r="W1006" s="5">
        <f>data_origin!W1172</f>
        <v>0</v>
      </c>
      <c r="X1006" s="5">
        <f>data_origin!X1172</f>
        <v>0</v>
      </c>
      <c r="Y1006" s="5">
        <f>data_origin!Y1172</f>
        <v>0</v>
      </c>
      <c r="Z1006" s="5">
        <f>data_origin!Z1172</f>
        <v>0</v>
      </c>
      <c r="AA1006" s="5">
        <f>data_origin!AA1172</f>
        <v>0</v>
      </c>
      <c r="AB1006" s="5">
        <f t="shared" si="120"/>
        <v>0</v>
      </c>
    </row>
    <row r="1007" spans="1:28" x14ac:dyDescent="0.25">
      <c r="D1007" t="s">
        <v>84</v>
      </c>
      <c r="E1007" s="35">
        <f t="shared" si="121"/>
        <v>0</v>
      </c>
      <c r="F1007" s="35">
        <f t="shared" si="121"/>
        <v>0</v>
      </c>
      <c r="G1007" s="35">
        <f t="shared" si="121"/>
        <v>0</v>
      </c>
      <c r="H1007" s="35">
        <f t="shared" si="121"/>
        <v>0</v>
      </c>
      <c r="I1007" s="35">
        <f t="shared" si="121"/>
        <v>0</v>
      </c>
      <c r="J1007" s="35">
        <f t="shared" si="121"/>
        <v>0</v>
      </c>
      <c r="K1007" s="35">
        <f t="shared" si="121"/>
        <v>0</v>
      </c>
      <c r="L1007" s="35">
        <f t="shared" si="121"/>
        <v>0</v>
      </c>
      <c r="M1007" s="35">
        <f t="shared" si="116"/>
        <v>0</v>
      </c>
      <c r="S1007" t="s">
        <v>84</v>
      </c>
      <c r="T1007" s="5">
        <f>data_origin!T1173</f>
        <v>0</v>
      </c>
      <c r="U1007" s="5">
        <f>data_origin!U1173</f>
        <v>0</v>
      </c>
      <c r="V1007" s="5">
        <f>data_origin!V1173</f>
        <v>0</v>
      </c>
      <c r="W1007" s="5">
        <f>data_origin!W1173</f>
        <v>0</v>
      </c>
      <c r="X1007" s="5">
        <f>data_origin!X1173</f>
        <v>0</v>
      </c>
      <c r="Y1007" s="5">
        <f>data_origin!Y1173</f>
        <v>0</v>
      </c>
      <c r="Z1007" s="5">
        <f>data_origin!Z1173</f>
        <v>0</v>
      </c>
      <c r="AA1007" s="5">
        <f>data_origin!AA1173</f>
        <v>0</v>
      </c>
      <c r="AB1007" s="5">
        <f t="shared" si="120"/>
        <v>0</v>
      </c>
    </row>
    <row r="1008" spans="1:28" x14ac:dyDescent="0.25">
      <c r="D1008" t="s">
        <v>85</v>
      </c>
      <c r="E1008" s="35">
        <f t="shared" si="121"/>
        <v>0</v>
      </c>
      <c r="F1008" s="35">
        <f t="shared" si="121"/>
        <v>0</v>
      </c>
      <c r="G1008" s="35">
        <f t="shared" si="121"/>
        <v>0</v>
      </c>
      <c r="H1008" s="35">
        <f t="shared" si="121"/>
        <v>0</v>
      </c>
      <c r="I1008" s="35">
        <f t="shared" si="121"/>
        <v>0</v>
      </c>
      <c r="J1008" s="35">
        <f t="shared" si="121"/>
        <v>0</v>
      </c>
      <c r="K1008" s="35">
        <f t="shared" si="121"/>
        <v>0</v>
      </c>
      <c r="L1008" s="35">
        <f t="shared" si="121"/>
        <v>0</v>
      </c>
      <c r="M1008" s="35">
        <f t="shared" si="116"/>
        <v>0</v>
      </c>
      <c r="S1008" t="s">
        <v>85</v>
      </c>
      <c r="T1008" s="5">
        <f>data_origin!T1174</f>
        <v>0</v>
      </c>
      <c r="U1008" s="5">
        <f>data_origin!U1174</f>
        <v>0</v>
      </c>
      <c r="V1008" s="5">
        <f>data_origin!V1174</f>
        <v>0</v>
      </c>
      <c r="W1008" s="5">
        <f>data_origin!W1174</f>
        <v>0</v>
      </c>
      <c r="X1008" s="5">
        <f>data_origin!X1174</f>
        <v>0</v>
      </c>
      <c r="Y1008" s="5">
        <f>data_origin!Y1174</f>
        <v>0</v>
      </c>
      <c r="Z1008" s="5">
        <f>data_origin!Z1174</f>
        <v>0</v>
      </c>
      <c r="AA1008" s="5">
        <f>data_origin!AA1174</f>
        <v>0</v>
      </c>
      <c r="AB1008" s="5">
        <f t="shared" si="120"/>
        <v>0</v>
      </c>
    </row>
    <row r="1009" spans="4:28" x14ac:dyDescent="0.25">
      <c r="D1009" t="s">
        <v>86</v>
      </c>
      <c r="E1009" s="35">
        <f t="shared" si="121"/>
        <v>0</v>
      </c>
      <c r="F1009" s="35">
        <f t="shared" si="121"/>
        <v>0</v>
      </c>
      <c r="G1009" s="35">
        <f t="shared" si="121"/>
        <v>0</v>
      </c>
      <c r="H1009" s="35">
        <f t="shared" si="121"/>
        <v>0</v>
      </c>
      <c r="I1009" s="35">
        <f t="shared" si="121"/>
        <v>0</v>
      </c>
      <c r="J1009" s="35">
        <f t="shared" si="121"/>
        <v>0</v>
      </c>
      <c r="K1009" s="35">
        <f t="shared" si="121"/>
        <v>0</v>
      </c>
      <c r="L1009" s="35">
        <f t="shared" si="121"/>
        <v>0</v>
      </c>
      <c r="M1009" s="35">
        <f t="shared" si="116"/>
        <v>0</v>
      </c>
      <c r="S1009" t="s">
        <v>86</v>
      </c>
      <c r="T1009" s="5">
        <f>data_origin!T1175</f>
        <v>0</v>
      </c>
      <c r="U1009" s="5">
        <f>data_origin!U1175</f>
        <v>0</v>
      </c>
      <c r="V1009" s="5">
        <f>data_origin!V1175</f>
        <v>0</v>
      </c>
      <c r="W1009" s="5">
        <f>data_origin!W1175</f>
        <v>0</v>
      </c>
      <c r="X1009" s="5">
        <f>data_origin!X1175</f>
        <v>0</v>
      </c>
      <c r="Y1009" s="5">
        <f>data_origin!Y1175</f>
        <v>0</v>
      </c>
      <c r="Z1009" s="5">
        <f>data_origin!Z1175</f>
        <v>0</v>
      </c>
      <c r="AA1009" s="5">
        <f>data_origin!AA1175</f>
        <v>0</v>
      </c>
      <c r="AB1009" s="5">
        <f t="shared" si="120"/>
        <v>0</v>
      </c>
    </row>
    <row r="1010" spans="4:28" x14ac:dyDescent="0.25">
      <c r="D1010" t="s">
        <v>87</v>
      </c>
      <c r="E1010" s="35">
        <f t="shared" si="121"/>
        <v>0</v>
      </c>
      <c r="F1010" s="35">
        <f t="shared" si="121"/>
        <v>0</v>
      </c>
      <c r="G1010" s="35">
        <f t="shared" si="121"/>
        <v>2.131719025122925</v>
      </c>
      <c r="H1010" s="35">
        <f t="shared" si="121"/>
        <v>0</v>
      </c>
      <c r="I1010" s="35">
        <f t="shared" si="121"/>
        <v>0</v>
      </c>
      <c r="J1010" s="35">
        <f t="shared" si="121"/>
        <v>0</v>
      </c>
      <c r="K1010" s="35">
        <f t="shared" si="121"/>
        <v>0</v>
      </c>
      <c r="L1010" s="35">
        <f t="shared" si="121"/>
        <v>0</v>
      </c>
      <c r="M1010" s="35">
        <f t="shared" si="116"/>
        <v>2.131719025122925</v>
      </c>
      <c r="S1010" t="s">
        <v>87</v>
      </c>
      <c r="T1010" s="5">
        <f>data_origin!T1176</f>
        <v>0</v>
      </c>
      <c r="U1010" s="5">
        <f>data_origin!U1176</f>
        <v>0</v>
      </c>
      <c r="V1010" s="5">
        <f>data_origin!V1176</f>
        <v>2.1276595744680851</v>
      </c>
      <c r="W1010" s="5">
        <f>data_origin!W1176</f>
        <v>0</v>
      </c>
      <c r="X1010" s="5">
        <f>data_origin!X1176</f>
        <v>0</v>
      </c>
      <c r="Y1010" s="5">
        <f>data_origin!Y1176</f>
        <v>0</v>
      </c>
      <c r="Z1010" s="5">
        <f>data_origin!Z1176</f>
        <v>0</v>
      </c>
      <c r="AA1010" s="5">
        <f>data_origin!AA1176</f>
        <v>0</v>
      </c>
      <c r="AB1010" s="5">
        <f t="shared" si="120"/>
        <v>2.1276595744680851</v>
      </c>
    </row>
    <row r="1011" spans="4:28" x14ac:dyDescent="0.25">
      <c r="D1011" t="s">
        <v>88</v>
      </c>
      <c r="E1011" s="35">
        <f t="shared" si="121"/>
        <v>0</v>
      </c>
      <c r="F1011" s="35">
        <f t="shared" si="121"/>
        <v>0</v>
      </c>
      <c r="G1011" s="35">
        <f t="shared" si="121"/>
        <v>3.1975785376843877</v>
      </c>
      <c r="H1011" s="35">
        <f t="shared" si="121"/>
        <v>4.2507960757882124</v>
      </c>
      <c r="I1011" s="35">
        <f t="shared" si="121"/>
        <v>0</v>
      </c>
      <c r="J1011" s="35">
        <f t="shared" si="121"/>
        <v>0</v>
      </c>
      <c r="K1011" s="35">
        <f t="shared" si="121"/>
        <v>0</v>
      </c>
      <c r="L1011" s="35">
        <f t="shared" si="121"/>
        <v>0</v>
      </c>
      <c r="M1011" s="35">
        <f t="shared" si="116"/>
        <v>7.4483746134726001</v>
      </c>
      <c r="S1011" t="s">
        <v>88</v>
      </c>
      <c r="T1011" s="5">
        <f>data_origin!T1177</f>
        <v>0</v>
      </c>
      <c r="U1011" s="5">
        <f>data_origin!U1177</f>
        <v>0</v>
      </c>
      <c r="V1011" s="5">
        <f>data_origin!V1177</f>
        <v>3.1914893617021276</v>
      </c>
      <c r="W1011" s="5">
        <f>data_origin!W1177</f>
        <v>4.24</v>
      </c>
      <c r="X1011" s="5">
        <f>data_origin!X1177</f>
        <v>0</v>
      </c>
      <c r="Y1011" s="5">
        <f>data_origin!Y1177</f>
        <v>0</v>
      </c>
      <c r="Z1011" s="5">
        <f>data_origin!Z1177</f>
        <v>0</v>
      </c>
      <c r="AA1011" s="5">
        <f>data_origin!AA1177</f>
        <v>0</v>
      </c>
      <c r="AB1011" s="5">
        <f t="shared" si="120"/>
        <v>7.4314893617021278</v>
      </c>
    </row>
    <row r="1012" spans="4:28" x14ac:dyDescent="0.25">
      <c r="D1012" t="s">
        <v>89</v>
      </c>
      <c r="E1012" s="35">
        <f t="shared" si="121"/>
        <v>0</v>
      </c>
      <c r="F1012" s="35">
        <f t="shared" si="121"/>
        <v>0</v>
      </c>
      <c r="G1012" s="35">
        <f t="shared" si="121"/>
        <v>0</v>
      </c>
      <c r="H1012" s="35">
        <f t="shared" si="121"/>
        <v>1.0626990189470531</v>
      </c>
      <c r="I1012" s="35">
        <f t="shared" si="121"/>
        <v>0</v>
      </c>
      <c r="J1012" s="35">
        <f t="shared" si="121"/>
        <v>0</v>
      </c>
      <c r="K1012" s="35">
        <f t="shared" si="121"/>
        <v>0</v>
      </c>
      <c r="L1012" s="35">
        <f t="shared" si="121"/>
        <v>0</v>
      </c>
      <c r="M1012" s="35">
        <f t="shared" si="116"/>
        <v>1.0626990189470531</v>
      </c>
      <c r="S1012" t="s">
        <v>89</v>
      </c>
      <c r="T1012" s="5">
        <f>data_origin!T1178</f>
        <v>0</v>
      </c>
      <c r="U1012" s="5">
        <f>data_origin!U1178</f>
        <v>0</v>
      </c>
      <c r="V1012" s="5">
        <f>data_origin!V1178</f>
        <v>0</v>
      </c>
      <c r="W1012" s="5">
        <f>data_origin!W1178</f>
        <v>1.06</v>
      </c>
      <c r="X1012" s="5">
        <f>data_origin!X1178</f>
        <v>0</v>
      </c>
      <c r="Y1012" s="5">
        <f>data_origin!Y1178</f>
        <v>0</v>
      </c>
      <c r="Z1012" s="5">
        <f>data_origin!Z1178</f>
        <v>0</v>
      </c>
      <c r="AA1012" s="5">
        <f>data_origin!AA1178</f>
        <v>0</v>
      </c>
      <c r="AB1012" s="5">
        <f t="shared" si="120"/>
        <v>1.06</v>
      </c>
    </row>
    <row r="1013" spans="4:28" x14ac:dyDescent="0.25">
      <c r="D1013" t="s">
        <v>90</v>
      </c>
      <c r="E1013" s="35">
        <f t="shared" si="121"/>
        <v>0</v>
      </c>
      <c r="F1013" s="35">
        <f t="shared" si="121"/>
        <v>0</v>
      </c>
      <c r="G1013" s="35">
        <f t="shared" si="121"/>
        <v>0</v>
      </c>
      <c r="H1013" s="35">
        <f t="shared" si="121"/>
        <v>0</v>
      </c>
      <c r="I1013" s="35">
        <f t="shared" si="121"/>
        <v>0</v>
      </c>
      <c r="J1013" s="35">
        <f t="shared" si="121"/>
        <v>0</v>
      </c>
      <c r="K1013" s="35">
        <f t="shared" si="121"/>
        <v>0</v>
      </c>
      <c r="L1013" s="35">
        <f t="shared" si="121"/>
        <v>0</v>
      </c>
      <c r="M1013" s="35">
        <f t="shared" si="116"/>
        <v>0</v>
      </c>
      <c r="S1013" t="s">
        <v>90</v>
      </c>
      <c r="T1013" s="5">
        <f>data_origin!T1179</f>
        <v>0</v>
      </c>
      <c r="U1013" s="5">
        <f>data_origin!U1179</f>
        <v>0</v>
      </c>
      <c r="V1013" s="5">
        <f>data_origin!V1179</f>
        <v>0</v>
      </c>
      <c r="W1013" s="5">
        <f>data_origin!W1179</f>
        <v>0</v>
      </c>
      <c r="X1013" s="5">
        <f>data_origin!X1179</f>
        <v>0</v>
      </c>
      <c r="Y1013" s="5">
        <f>data_origin!Y1179</f>
        <v>0</v>
      </c>
      <c r="Z1013" s="5">
        <f>data_origin!Z1179</f>
        <v>0</v>
      </c>
      <c r="AA1013" s="5">
        <f>data_origin!AA1179</f>
        <v>0</v>
      </c>
      <c r="AB1013" s="5">
        <f t="shared" si="120"/>
        <v>0</v>
      </c>
    </row>
    <row r="1014" spans="4:28" x14ac:dyDescent="0.25">
      <c r="D1014" t="s">
        <v>91</v>
      </c>
      <c r="E1014" s="35">
        <f t="shared" si="121"/>
        <v>0</v>
      </c>
      <c r="F1014" s="35">
        <f t="shared" si="121"/>
        <v>0</v>
      </c>
      <c r="G1014" s="35">
        <f t="shared" si="121"/>
        <v>0</v>
      </c>
      <c r="H1014" s="35">
        <f t="shared" si="121"/>
        <v>0</v>
      </c>
      <c r="I1014" s="35">
        <f t="shared" si="121"/>
        <v>0</v>
      </c>
      <c r="J1014" s="35">
        <f t="shared" si="121"/>
        <v>0</v>
      </c>
      <c r="K1014" s="35">
        <f t="shared" si="121"/>
        <v>0</v>
      </c>
      <c r="L1014" s="35">
        <f t="shared" si="121"/>
        <v>0</v>
      </c>
      <c r="M1014" s="35">
        <f t="shared" si="116"/>
        <v>0</v>
      </c>
      <c r="S1014" t="s">
        <v>91</v>
      </c>
      <c r="T1014" s="5">
        <f>data_origin!T1180</f>
        <v>0</v>
      </c>
      <c r="U1014" s="5">
        <f>data_origin!U1180</f>
        <v>0</v>
      </c>
      <c r="V1014" s="5">
        <f>data_origin!V1180</f>
        <v>0</v>
      </c>
      <c r="W1014" s="5">
        <f>data_origin!W1180</f>
        <v>0</v>
      </c>
      <c r="X1014" s="5">
        <f>data_origin!X1180</f>
        <v>0</v>
      </c>
      <c r="Y1014" s="5">
        <f>data_origin!Y1180</f>
        <v>0</v>
      </c>
      <c r="Z1014" s="5">
        <f>data_origin!Z1180</f>
        <v>0</v>
      </c>
      <c r="AA1014" s="5">
        <f>data_origin!AA1180</f>
        <v>0</v>
      </c>
      <c r="AB1014" s="5">
        <f t="shared" si="120"/>
        <v>0</v>
      </c>
    </row>
    <row r="1015" spans="4:28" x14ac:dyDescent="0.25">
      <c r="D1015" t="s">
        <v>92</v>
      </c>
      <c r="E1015" s="35">
        <f t="shared" si="121"/>
        <v>0</v>
      </c>
      <c r="F1015" s="35">
        <f t="shared" si="121"/>
        <v>0</v>
      </c>
      <c r="G1015" s="35">
        <f t="shared" si="121"/>
        <v>0</v>
      </c>
      <c r="H1015" s="35">
        <f t="shared" si="121"/>
        <v>0</v>
      </c>
      <c r="I1015" s="35">
        <f t="shared" si="121"/>
        <v>0</v>
      </c>
      <c r="J1015" s="35">
        <f t="shared" si="121"/>
        <v>0</v>
      </c>
      <c r="K1015" s="35">
        <f t="shared" si="121"/>
        <v>0</v>
      </c>
      <c r="L1015" s="35">
        <f t="shared" si="121"/>
        <v>0</v>
      </c>
      <c r="M1015" s="35">
        <f t="shared" si="116"/>
        <v>0</v>
      </c>
      <c r="S1015" t="s">
        <v>92</v>
      </c>
      <c r="T1015" s="5">
        <f>data_origin!T1181</f>
        <v>0</v>
      </c>
      <c r="U1015" s="5">
        <f>data_origin!U1181</f>
        <v>0</v>
      </c>
      <c r="V1015" s="5">
        <f>data_origin!V1181</f>
        <v>0</v>
      </c>
      <c r="W1015" s="5">
        <f>data_origin!W1181</f>
        <v>0</v>
      </c>
      <c r="X1015" s="5">
        <f>data_origin!X1181</f>
        <v>0</v>
      </c>
      <c r="Y1015" s="5">
        <f>data_origin!Y1181</f>
        <v>0</v>
      </c>
      <c r="Z1015" s="5">
        <f>data_origin!Z1181</f>
        <v>0</v>
      </c>
      <c r="AA1015" s="5">
        <f>data_origin!AA1181</f>
        <v>0</v>
      </c>
      <c r="AB1015" s="5">
        <f t="shared" si="120"/>
        <v>0</v>
      </c>
    </row>
    <row r="1016" spans="4:28" x14ac:dyDescent="0.25">
      <c r="D1016" t="s">
        <v>93</v>
      </c>
      <c r="E1016" s="35">
        <f t="shared" si="121"/>
        <v>0</v>
      </c>
      <c r="F1016" s="35">
        <f t="shared" si="121"/>
        <v>0</v>
      </c>
      <c r="G1016" s="35">
        <f t="shared" si="121"/>
        <v>0</v>
      </c>
      <c r="H1016" s="35">
        <f t="shared" si="121"/>
        <v>0</v>
      </c>
      <c r="I1016" s="35">
        <f t="shared" si="121"/>
        <v>0</v>
      </c>
      <c r="J1016" s="35">
        <f t="shared" si="121"/>
        <v>0</v>
      </c>
      <c r="K1016" s="35">
        <f t="shared" si="121"/>
        <v>0</v>
      </c>
      <c r="L1016" s="35">
        <f t="shared" si="121"/>
        <v>0</v>
      </c>
      <c r="M1016" s="35">
        <f t="shared" si="116"/>
        <v>0</v>
      </c>
      <c r="S1016" t="s">
        <v>93</v>
      </c>
      <c r="T1016" s="5">
        <f>data_origin!T1182</f>
        <v>0</v>
      </c>
      <c r="U1016" s="5">
        <f>data_origin!U1182</f>
        <v>0</v>
      </c>
      <c r="V1016" s="5">
        <f>data_origin!V1182</f>
        <v>0</v>
      </c>
      <c r="W1016" s="5">
        <f>data_origin!W1182</f>
        <v>0</v>
      </c>
      <c r="X1016" s="5">
        <f>data_origin!X1182</f>
        <v>0</v>
      </c>
      <c r="Y1016" s="5">
        <f>data_origin!Y1182</f>
        <v>0</v>
      </c>
      <c r="Z1016" s="5">
        <f>data_origin!Z1182</f>
        <v>0</v>
      </c>
      <c r="AA1016" s="5">
        <f>data_origin!AA1182</f>
        <v>0</v>
      </c>
      <c r="AB1016" s="5">
        <f t="shared" si="120"/>
        <v>0</v>
      </c>
    </row>
    <row r="1017" spans="4:28" x14ac:dyDescent="0.25">
      <c r="D1017" t="s">
        <v>94</v>
      </c>
      <c r="E1017" s="35">
        <f t="shared" si="121"/>
        <v>0</v>
      </c>
      <c r="F1017" s="35">
        <f t="shared" si="121"/>
        <v>0</v>
      </c>
      <c r="G1017" s="35">
        <f t="shared" si="121"/>
        <v>0</v>
      </c>
      <c r="H1017" s="35">
        <f t="shared" si="121"/>
        <v>0</v>
      </c>
      <c r="I1017" s="35">
        <f t="shared" si="121"/>
        <v>0</v>
      </c>
      <c r="J1017" s="35">
        <f t="shared" si="121"/>
        <v>0</v>
      </c>
      <c r="K1017" s="35">
        <f t="shared" si="121"/>
        <v>0</v>
      </c>
      <c r="L1017" s="35">
        <f t="shared" si="121"/>
        <v>0</v>
      </c>
      <c r="M1017" s="35">
        <f t="shared" si="116"/>
        <v>0</v>
      </c>
      <c r="S1017" t="s">
        <v>94</v>
      </c>
      <c r="T1017" s="5">
        <f>data_origin!T1183</f>
        <v>0</v>
      </c>
      <c r="U1017" s="5">
        <f>data_origin!U1183</f>
        <v>0</v>
      </c>
      <c r="V1017" s="5">
        <f>data_origin!V1183</f>
        <v>0</v>
      </c>
      <c r="W1017" s="5">
        <f>data_origin!W1183</f>
        <v>0</v>
      </c>
      <c r="X1017" s="5">
        <f>data_origin!X1183</f>
        <v>0</v>
      </c>
      <c r="Y1017" s="5">
        <f>data_origin!Y1183</f>
        <v>0</v>
      </c>
      <c r="Z1017" s="5">
        <f>data_origin!Z1183</f>
        <v>0</v>
      </c>
      <c r="AA1017" s="5">
        <f>data_origin!AA1183</f>
        <v>0</v>
      </c>
      <c r="AB1017" s="5">
        <f t="shared" si="120"/>
        <v>0</v>
      </c>
    </row>
    <row r="1018" spans="4:28" x14ac:dyDescent="0.25">
      <c r="D1018" t="s">
        <v>95</v>
      </c>
      <c r="E1018" s="35">
        <f t="shared" si="121"/>
        <v>0</v>
      </c>
      <c r="F1018" s="35">
        <f t="shared" si="121"/>
        <v>0</v>
      </c>
      <c r="G1018" s="35">
        <f t="shared" si="121"/>
        <v>0</v>
      </c>
      <c r="H1018" s="35">
        <f t="shared" si="121"/>
        <v>0</v>
      </c>
      <c r="I1018" s="35">
        <f t="shared" si="121"/>
        <v>0</v>
      </c>
      <c r="J1018" s="35">
        <f t="shared" si="121"/>
        <v>0</v>
      </c>
      <c r="K1018" s="35">
        <f t="shared" si="121"/>
        <v>0</v>
      </c>
      <c r="L1018" s="35">
        <f t="shared" si="121"/>
        <v>0</v>
      </c>
      <c r="M1018" s="35">
        <f t="shared" si="116"/>
        <v>0</v>
      </c>
      <c r="S1018" t="s">
        <v>95</v>
      </c>
      <c r="T1018" s="5">
        <f>data_origin!T1184</f>
        <v>0</v>
      </c>
      <c r="U1018" s="5">
        <f>data_origin!U1184</f>
        <v>0</v>
      </c>
      <c r="V1018" s="5">
        <f>data_origin!V1184</f>
        <v>0</v>
      </c>
      <c r="W1018" s="5">
        <f>data_origin!W1184</f>
        <v>0</v>
      </c>
      <c r="X1018" s="5">
        <f>data_origin!X1184</f>
        <v>0</v>
      </c>
      <c r="Y1018" s="5">
        <f>data_origin!Y1184</f>
        <v>0</v>
      </c>
      <c r="Z1018" s="5">
        <f>data_origin!Z1184</f>
        <v>0</v>
      </c>
      <c r="AA1018" s="5">
        <f>data_origin!AA1184</f>
        <v>0</v>
      </c>
      <c r="AB1018" s="5">
        <f t="shared" si="120"/>
        <v>0</v>
      </c>
    </row>
    <row r="1019" spans="4:28" x14ac:dyDescent="0.25">
      <c r="D1019" t="s">
        <v>96</v>
      </c>
      <c r="E1019" s="35">
        <f t="shared" si="121"/>
        <v>0</v>
      </c>
      <c r="F1019" s="35">
        <f t="shared" si="121"/>
        <v>0</v>
      </c>
      <c r="G1019" s="35">
        <f t="shared" si="121"/>
        <v>0</v>
      </c>
      <c r="H1019" s="35">
        <f t="shared" si="121"/>
        <v>0</v>
      </c>
      <c r="I1019" s="35">
        <f t="shared" si="121"/>
        <v>0</v>
      </c>
      <c r="J1019" s="35">
        <f t="shared" si="121"/>
        <v>0</v>
      </c>
      <c r="K1019" s="35">
        <f t="shared" si="121"/>
        <v>0</v>
      </c>
      <c r="L1019" s="35">
        <f t="shared" si="121"/>
        <v>0</v>
      </c>
      <c r="M1019" s="35">
        <f t="shared" si="116"/>
        <v>0</v>
      </c>
      <c r="S1019" t="s">
        <v>96</v>
      </c>
      <c r="T1019" s="5">
        <f>data_origin!T1185</f>
        <v>0</v>
      </c>
      <c r="U1019" s="5">
        <f>data_origin!U1185</f>
        <v>0</v>
      </c>
      <c r="V1019" s="5">
        <f>data_origin!V1185</f>
        <v>0</v>
      </c>
      <c r="W1019" s="5">
        <f>data_origin!W1185</f>
        <v>0</v>
      </c>
      <c r="X1019" s="5">
        <f>data_origin!X1185</f>
        <v>0</v>
      </c>
      <c r="Y1019" s="5">
        <f>data_origin!Y1185</f>
        <v>0</v>
      </c>
      <c r="Z1019" s="5">
        <f>data_origin!Z1185</f>
        <v>0</v>
      </c>
      <c r="AA1019" s="5">
        <f>data_origin!AA1185</f>
        <v>0</v>
      </c>
      <c r="AB1019" s="5">
        <f t="shared" si="120"/>
        <v>0</v>
      </c>
    </row>
    <row r="1020" spans="4:28" x14ac:dyDescent="0.25">
      <c r="D1020" t="s">
        <v>97</v>
      </c>
      <c r="E1020" s="35">
        <f t="shared" si="121"/>
        <v>0</v>
      </c>
      <c r="F1020" s="35">
        <f t="shared" si="121"/>
        <v>0</v>
      </c>
      <c r="G1020" s="35">
        <f t="shared" si="121"/>
        <v>0</v>
      </c>
      <c r="H1020" s="35">
        <f t="shared" si="121"/>
        <v>0</v>
      </c>
      <c r="I1020" s="35">
        <f t="shared" si="121"/>
        <v>0</v>
      </c>
      <c r="J1020" s="35">
        <f t="shared" si="121"/>
        <v>0</v>
      </c>
      <c r="K1020" s="35">
        <f t="shared" si="121"/>
        <v>0</v>
      </c>
      <c r="L1020" s="35">
        <f t="shared" si="121"/>
        <v>0</v>
      </c>
      <c r="M1020" s="35">
        <f t="shared" si="116"/>
        <v>0</v>
      </c>
      <c r="S1020" t="s">
        <v>97</v>
      </c>
      <c r="T1020" s="5">
        <f>data_origin!T1186</f>
        <v>0</v>
      </c>
      <c r="U1020" s="5">
        <f>data_origin!U1186</f>
        <v>0</v>
      </c>
      <c r="V1020" s="5">
        <f>data_origin!V1186</f>
        <v>0</v>
      </c>
      <c r="W1020" s="5">
        <f>data_origin!W1186</f>
        <v>0</v>
      </c>
      <c r="X1020" s="5">
        <f>data_origin!X1186</f>
        <v>0</v>
      </c>
      <c r="Y1020" s="5">
        <f>data_origin!Y1186</f>
        <v>0</v>
      </c>
      <c r="Z1020" s="5">
        <f>data_origin!Z1186</f>
        <v>0</v>
      </c>
      <c r="AA1020" s="5">
        <f>data_origin!AA1186</f>
        <v>0</v>
      </c>
      <c r="AB1020" s="5">
        <f t="shared" si="120"/>
        <v>0</v>
      </c>
    </row>
    <row r="1021" spans="4:28" x14ac:dyDescent="0.25">
      <c r="D1021" t="s">
        <v>98</v>
      </c>
      <c r="E1021" s="35">
        <f t="shared" si="121"/>
        <v>0</v>
      </c>
      <c r="F1021" s="35">
        <f t="shared" si="121"/>
        <v>0</v>
      </c>
      <c r="G1021" s="35">
        <f t="shared" si="121"/>
        <v>1.0658595125614625</v>
      </c>
      <c r="H1021" s="35">
        <f t="shared" si="121"/>
        <v>1.0626990189470531</v>
      </c>
      <c r="I1021" s="35">
        <f t="shared" si="121"/>
        <v>0</v>
      </c>
      <c r="J1021" s="35">
        <f t="shared" si="121"/>
        <v>0</v>
      </c>
      <c r="K1021" s="35">
        <f t="shared" si="121"/>
        <v>0</v>
      </c>
      <c r="L1021" s="35">
        <f t="shared" si="121"/>
        <v>0</v>
      </c>
      <c r="M1021" s="35">
        <f t="shared" si="116"/>
        <v>2.1285585315085154</v>
      </c>
      <c r="S1021" t="s">
        <v>98</v>
      </c>
      <c r="T1021" s="5">
        <f>data_origin!T1187</f>
        <v>0</v>
      </c>
      <c r="U1021" s="5">
        <f>data_origin!U1187</f>
        <v>0</v>
      </c>
      <c r="V1021" s="5">
        <f>data_origin!V1187</f>
        <v>1.0638297872340425</v>
      </c>
      <c r="W1021" s="5">
        <f>data_origin!W1187</f>
        <v>1.06</v>
      </c>
      <c r="X1021" s="5">
        <f>data_origin!X1187</f>
        <v>0</v>
      </c>
      <c r="Y1021" s="5">
        <f>data_origin!Y1187</f>
        <v>0</v>
      </c>
      <c r="Z1021" s="5">
        <f>data_origin!Z1187</f>
        <v>0</v>
      </c>
      <c r="AA1021" s="5">
        <f>data_origin!AA1187</f>
        <v>0</v>
      </c>
      <c r="AB1021" s="5">
        <f t="shared" si="120"/>
        <v>2.1238297872340426</v>
      </c>
    </row>
    <row r="1022" spans="4:28" x14ac:dyDescent="0.25">
      <c r="D1022" t="s">
        <v>119</v>
      </c>
      <c r="E1022" s="35">
        <f t="shared" si="121"/>
        <v>0</v>
      </c>
      <c r="F1022" s="35">
        <f t="shared" si="121"/>
        <v>0</v>
      </c>
      <c r="G1022" s="35">
        <f t="shared" si="121"/>
        <v>0</v>
      </c>
      <c r="H1022" s="35">
        <f t="shared" si="121"/>
        <v>0</v>
      </c>
      <c r="I1022" s="35">
        <f t="shared" si="121"/>
        <v>0</v>
      </c>
      <c r="J1022" s="35">
        <f t="shared" si="121"/>
        <v>0</v>
      </c>
      <c r="K1022" s="35">
        <f t="shared" si="121"/>
        <v>0</v>
      </c>
      <c r="L1022" s="35">
        <f t="shared" si="121"/>
        <v>0</v>
      </c>
      <c r="M1022" s="35">
        <f t="shared" si="116"/>
        <v>0</v>
      </c>
      <c r="S1022" t="s">
        <v>119</v>
      </c>
      <c r="T1022" s="5">
        <f>data_origin!T1188</f>
        <v>0</v>
      </c>
      <c r="U1022" s="5">
        <f>data_origin!U1188</f>
        <v>0</v>
      </c>
      <c r="V1022" s="5">
        <f>data_origin!V1188</f>
        <v>0</v>
      </c>
      <c r="W1022" s="5">
        <f>data_origin!W1188</f>
        <v>0</v>
      </c>
      <c r="X1022" s="5">
        <f>data_origin!X1188</f>
        <v>0</v>
      </c>
      <c r="Y1022" s="5">
        <f>data_origin!Y1188</f>
        <v>0</v>
      </c>
      <c r="Z1022" s="5">
        <f>data_origin!Z1188</f>
        <v>0</v>
      </c>
      <c r="AA1022" s="5">
        <f>data_origin!AA1188</f>
        <v>0</v>
      </c>
      <c r="AB1022" s="5">
        <f t="shared" si="120"/>
        <v>0</v>
      </c>
    </row>
    <row r="1023" spans="4:28" x14ac:dyDescent="0.25">
      <c r="D1023" t="s">
        <v>99</v>
      </c>
      <c r="E1023" s="35">
        <f t="shared" si="121"/>
        <v>0</v>
      </c>
      <c r="F1023" s="35">
        <f t="shared" si="121"/>
        <v>0</v>
      </c>
      <c r="G1023" s="35">
        <f t="shared" si="121"/>
        <v>0</v>
      </c>
      <c r="H1023" s="35">
        <f t="shared" si="121"/>
        <v>0</v>
      </c>
      <c r="I1023" s="35">
        <f t="shared" si="121"/>
        <v>0</v>
      </c>
      <c r="J1023" s="35">
        <f t="shared" si="121"/>
        <v>0</v>
      </c>
      <c r="K1023" s="35">
        <f t="shared" si="121"/>
        <v>0</v>
      </c>
      <c r="L1023" s="35">
        <f t="shared" si="121"/>
        <v>0</v>
      </c>
      <c r="M1023" s="35">
        <f t="shared" si="116"/>
        <v>0</v>
      </c>
      <c r="S1023" t="s">
        <v>99</v>
      </c>
      <c r="T1023" s="5">
        <f>data_origin!T1189</f>
        <v>0</v>
      </c>
      <c r="U1023" s="5">
        <f>data_origin!U1189</f>
        <v>0</v>
      </c>
      <c r="V1023" s="5">
        <f>data_origin!V1189</f>
        <v>0</v>
      </c>
      <c r="W1023" s="5">
        <f>data_origin!W1189</f>
        <v>0</v>
      </c>
      <c r="X1023" s="5">
        <f>data_origin!X1189</f>
        <v>0</v>
      </c>
      <c r="Y1023" s="5">
        <f>data_origin!Y1189</f>
        <v>0</v>
      </c>
      <c r="Z1023" s="5">
        <f>data_origin!Z1189</f>
        <v>0</v>
      </c>
      <c r="AA1023" s="5">
        <f>data_origin!AA1189</f>
        <v>0</v>
      </c>
      <c r="AB1023" s="5">
        <f t="shared" si="120"/>
        <v>0</v>
      </c>
    </row>
    <row r="1024" spans="4:28" x14ac:dyDescent="0.25">
      <c r="D1024" t="s">
        <v>100</v>
      </c>
      <c r="E1024" s="35">
        <f t="shared" si="121"/>
        <v>0</v>
      </c>
      <c r="F1024" s="35">
        <f t="shared" si="121"/>
        <v>0</v>
      </c>
      <c r="G1024" s="35">
        <f t="shared" si="121"/>
        <v>92.729777592847242</v>
      </c>
      <c r="H1024" s="35">
        <f t="shared" si="121"/>
        <v>97.768309743128881</v>
      </c>
      <c r="I1024" s="35">
        <f t="shared" si="121"/>
        <v>26.922032838154806</v>
      </c>
      <c r="J1024" s="35">
        <f t="shared" si="121"/>
        <v>0</v>
      </c>
      <c r="K1024" s="35">
        <f t="shared" si="121"/>
        <v>0</v>
      </c>
      <c r="L1024" s="35">
        <f t="shared" si="121"/>
        <v>0</v>
      </c>
      <c r="M1024" s="35">
        <f t="shared" si="116"/>
        <v>217.42012017413094</v>
      </c>
      <c r="S1024" t="s">
        <v>100</v>
      </c>
      <c r="T1024" s="5">
        <f>data_origin!T1190</f>
        <v>0</v>
      </c>
      <c r="U1024" s="5">
        <f>data_origin!U1190</f>
        <v>0</v>
      </c>
      <c r="V1024" s="5">
        <f>data_origin!V1190</f>
        <v>92.553191489361694</v>
      </c>
      <c r="W1024" s="5">
        <f>data_origin!W1190</f>
        <v>97.52</v>
      </c>
      <c r="X1024" s="5">
        <f>data_origin!X1190</f>
        <v>26.88</v>
      </c>
      <c r="Y1024" s="5">
        <f>data_origin!Y1190</f>
        <v>0</v>
      </c>
      <c r="Z1024" s="5">
        <f>data_origin!Z1190</f>
        <v>0</v>
      </c>
      <c r="AA1024" s="5">
        <f>data_origin!AA1190</f>
        <v>0</v>
      </c>
      <c r="AB1024" s="5">
        <f t="shared" si="120"/>
        <v>216.9531914893617</v>
      </c>
    </row>
    <row r="1025" spans="1:28" x14ac:dyDescent="0.25">
      <c r="D1025" t="s">
        <v>101</v>
      </c>
      <c r="E1025" s="35">
        <f t="shared" si="121"/>
        <v>0</v>
      </c>
      <c r="F1025" s="35">
        <f t="shared" si="121"/>
        <v>0</v>
      </c>
      <c r="G1025" s="35">
        <f t="shared" si="121"/>
        <v>1.0658595125614625</v>
      </c>
      <c r="H1025" s="35">
        <f t="shared" si="121"/>
        <v>2.1253980378941062</v>
      </c>
      <c r="I1025" s="35">
        <f t="shared" si="121"/>
        <v>0</v>
      </c>
      <c r="J1025" s="35">
        <f t="shared" si="121"/>
        <v>0</v>
      </c>
      <c r="K1025" s="35">
        <f t="shared" si="121"/>
        <v>0</v>
      </c>
      <c r="L1025" s="35">
        <f t="shared" ref="L1025:L1088" si="122">AA1025+IFERROR((AA1025/SUM(AA$993:AA$1982)*BD$630),0)</f>
        <v>0</v>
      </c>
      <c r="M1025" s="35">
        <f t="shared" si="116"/>
        <v>3.1912575504555685</v>
      </c>
      <c r="S1025" t="s">
        <v>101</v>
      </c>
      <c r="T1025" s="5">
        <f>data_origin!T1191</f>
        <v>0</v>
      </c>
      <c r="U1025" s="5">
        <f>data_origin!U1191</f>
        <v>0</v>
      </c>
      <c r="V1025" s="5">
        <f>data_origin!V1191</f>
        <v>1.0638297872340425</v>
      </c>
      <c r="W1025" s="5">
        <f>data_origin!W1191</f>
        <v>2.12</v>
      </c>
      <c r="X1025" s="5">
        <f>data_origin!X1191</f>
        <v>0</v>
      </c>
      <c r="Y1025" s="5">
        <f>data_origin!Y1191</f>
        <v>0</v>
      </c>
      <c r="Z1025" s="5">
        <f>data_origin!Z1191</f>
        <v>0</v>
      </c>
      <c r="AA1025" s="5">
        <f>data_origin!AA1191</f>
        <v>0</v>
      </c>
      <c r="AB1025" s="5">
        <f t="shared" si="120"/>
        <v>3.1838297872340426</v>
      </c>
    </row>
    <row r="1026" spans="1:28" x14ac:dyDescent="0.25">
      <c r="A1026" s="24" t="s">
        <v>115</v>
      </c>
      <c r="B1026" s="24" t="s">
        <v>103</v>
      </c>
      <c r="C1026" s="24" t="s">
        <v>106</v>
      </c>
      <c r="D1026" t="s">
        <v>70</v>
      </c>
      <c r="E1026" s="35">
        <f t="shared" ref="E1026:K1062" si="123">T1026+IFERROR((T1026/SUM(T$993:T$1982)*AW$630),0)</f>
        <v>0</v>
      </c>
      <c r="F1026" s="35">
        <f t="shared" si="123"/>
        <v>0</v>
      </c>
      <c r="G1026" s="35">
        <f t="shared" si="123"/>
        <v>1.2813875255752067</v>
      </c>
      <c r="H1026" s="35">
        <f t="shared" si="123"/>
        <v>5.10586393266653</v>
      </c>
      <c r="I1026" s="35">
        <f t="shared" si="123"/>
        <v>2.3984815439693841</v>
      </c>
      <c r="J1026" s="35">
        <f t="shared" si="123"/>
        <v>6.0662177328843998E-2</v>
      </c>
      <c r="K1026" s="35">
        <f t="shared" si="123"/>
        <v>0</v>
      </c>
      <c r="L1026" s="35">
        <f t="shared" si="122"/>
        <v>0</v>
      </c>
      <c r="M1026" s="35">
        <f t="shared" si="116"/>
        <v>8.8463951795399645</v>
      </c>
      <c r="P1026" t="s">
        <v>115</v>
      </c>
      <c r="Q1026" t="s">
        <v>103</v>
      </c>
      <c r="R1026" t="s">
        <v>106</v>
      </c>
      <c r="S1026" t="s">
        <v>70</v>
      </c>
      <c r="T1026" s="5">
        <f>data_origin!T1193</f>
        <v>0</v>
      </c>
      <c r="U1026" s="5">
        <f>data_origin!U1193</f>
        <v>0</v>
      </c>
      <c r="V1026" s="5">
        <f>data_origin!V1193</f>
        <v>1.2789473684210526</v>
      </c>
      <c r="W1026" s="5">
        <f>data_origin!W1193</f>
        <v>5.0928961748633883</v>
      </c>
      <c r="X1026" s="5">
        <f>data_origin!X1193</f>
        <v>2.3947368421052633</v>
      </c>
      <c r="Y1026" s="5">
        <f>data_origin!Y1193</f>
        <v>6.0606060606060608E-2</v>
      </c>
      <c r="Z1026" s="5">
        <f>data_origin!Z1193</f>
        <v>0</v>
      </c>
      <c r="AA1026" s="5">
        <f>data_origin!AA1193</f>
        <v>0</v>
      </c>
      <c r="AB1026" s="5">
        <f t="shared" si="120"/>
        <v>8.8271864459957641</v>
      </c>
    </row>
    <row r="1027" spans="1:28" x14ac:dyDescent="0.25">
      <c r="D1027" t="s">
        <v>71</v>
      </c>
      <c r="E1027" s="35">
        <f t="shared" si="123"/>
        <v>0</v>
      </c>
      <c r="F1027" s="35">
        <f t="shared" si="123"/>
        <v>0</v>
      </c>
      <c r="G1027" s="35">
        <f t="shared" si="123"/>
        <v>34.597463190530583</v>
      </c>
      <c r="H1027" s="35">
        <f t="shared" si="123"/>
        <v>25.52931966333265</v>
      </c>
      <c r="I1027" s="35">
        <f t="shared" si="123"/>
        <v>10.793166947862229</v>
      </c>
      <c r="J1027" s="35">
        <f t="shared" si="123"/>
        <v>6.0662177328843998E-2</v>
      </c>
      <c r="K1027" s="35">
        <f t="shared" si="123"/>
        <v>0</v>
      </c>
      <c r="L1027" s="35">
        <f t="shared" si="122"/>
        <v>0</v>
      </c>
      <c r="M1027" s="35">
        <f t="shared" ref="M1027:M1090" si="124">SUM(E1027:L1027)</f>
        <v>70.980611979054316</v>
      </c>
      <c r="S1027" t="s">
        <v>71</v>
      </c>
      <c r="T1027" s="5">
        <f>data_origin!T1194</f>
        <v>0</v>
      </c>
      <c r="U1027" s="5">
        <f>data_origin!U1194</f>
        <v>0</v>
      </c>
      <c r="V1027" s="5">
        <f>data_origin!V1194</f>
        <v>34.531578947368423</v>
      </c>
      <c r="W1027" s="5">
        <f>data_origin!W1194</f>
        <v>25.464480874316941</v>
      </c>
      <c r="X1027" s="5">
        <f>data_origin!X1194</f>
        <v>10.776315789473685</v>
      </c>
      <c r="Y1027" s="5">
        <f>data_origin!Y1194</f>
        <v>6.0606060606060608E-2</v>
      </c>
      <c r="Z1027" s="5">
        <f>data_origin!Z1194</f>
        <v>0</v>
      </c>
      <c r="AA1027" s="5">
        <f>data_origin!AA1194</f>
        <v>0</v>
      </c>
      <c r="AB1027" s="5">
        <f t="shared" si="120"/>
        <v>70.832981671765111</v>
      </c>
    </row>
    <row r="1028" spans="1:28" x14ac:dyDescent="0.25">
      <c r="D1028" t="s">
        <v>72</v>
      </c>
      <c r="E1028" s="35">
        <f t="shared" si="123"/>
        <v>0</v>
      </c>
      <c r="F1028" s="35">
        <f t="shared" si="123"/>
        <v>0</v>
      </c>
      <c r="G1028" s="35">
        <f t="shared" si="123"/>
        <v>1.2813875255752067</v>
      </c>
      <c r="H1028" s="35">
        <f t="shared" si="123"/>
        <v>0</v>
      </c>
      <c r="I1028" s="35">
        <f t="shared" si="123"/>
        <v>0</v>
      </c>
      <c r="J1028" s="35">
        <f t="shared" si="123"/>
        <v>6.0662177328843998E-2</v>
      </c>
      <c r="K1028" s="35">
        <f t="shared" si="123"/>
        <v>0</v>
      </c>
      <c r="L1028" s="35">
        <f t="shared" si="122"/>
        <v>0</v>
      </c>
      <c r="M1028" s="35">
        <f t="shared" si="124"/>
        <v>1.3420497029040508</v>
      </c>
      <c r="S1028" t="s">
        <v>72</v>
      </c>
      <c r="T1028" s="5">
        <f>data_origin!T1195</f>
        <v>0</v>
      </c>
      <c r="U1028" s="5">
        <f>data_origin!U1195</f>
        <v>0</v>
      </c>
      <c r="V1028" s="5">
        <f>data_origin!V1195</f>
        <v>1.2789473684210526</v>
      </c>
      <c r="W1028" s="5">
        <f>data_origin!W1195</f>
        <v>0</v>
      </c>
      <c r="X1028" s="5">
        <f>data_origin!X1195</f>
        <v>0</v>
      </c>
      <c r="Y1028" s="5">
        <f>data_origin!Y1195</f>
        <v>6.0606060606060608E-2</v>
      </c>
      <c r="Z1028" s="5">
        <f>data_origin!Z1195</f>
        <v>0</v>
      </c>
      <c r="AA1028" s="5">
        <f>data_origin!AA1195</f>
        <v>0</v>
      </c>
      <c r="AB1028" s="5">
        <f t="shared" si="120"/>
        <v>1.3395534290271132</v>
      </c>
    </row>
    <row r="1029" spans="1:28" x14ac:dyDescent="0.25">
      <c r="D1029" t="s">
        <v>73</v>
      </c>
      <c r="E1029" s="35">
        <f t="shared" si="123"/>
        <v>0</v>
      </c>
      <c r="F1029" s="35">
        <f t="shared" si="123"/>
        <v>0</v>
      </c>
      <c r="G1029" s="35">
        <f t="shared" si="123"/>
        <v>5.125550102300827</v>
      </c>
      <c r="H1029" s="35">
        <f t="shared" si="123"/>
        <v>0</v>
      </c>
      <c r="I1029" s="35">
        <f t="shared" si="123"/>
        <v>0</v>
      </c>
      <c r="J1029" s="35">
        <f t="shared" si="123"/>
        <v>6.0662177328843998E-2</v>
      </c>
      <c r="K1029" s="35">
        <f t="shared" si="123"/>
        <v>0</v>
      </c>
      <c r="L1029" s="35">
        <f t="shared" si="122"/>
        <v>0</v>
      </c>
      <c r="M1029" s="35">
        <f t="shared" si="124"/>
        <v>5.1862122796296708</v>
      </c>
      <c r="S1029" t="s">
        <v>73</v>
      </c>
      <c r="T1029" s="5">
        <f>data_origin!T1196</f>
        <v>0</v>
      </c>
      <c r="U1029" s="5">
        <f>data_origin!U1196</f>
        <v>0</v>
      </c>
      <c r="V1029" s="5">
        <f>data_origin!V1196</f>
        <v>5.1157894736842104</v>
      </c>
      <c r="W1029" s="5">
        <f>data_origin!W1196</f>
        <v>0</v>
      </c>
      <c r="X1029" s="5">
        <f>data_origin!X1196</f>
        <v>0</v>
      </c>
      <c r="Y1029" s="5">
        <f>data_origin!Y1196</f>
        <v>6.0606060606060608E-2</v>
      </c>
      <c r="Z1029" s="5">
        <f>data_origin!Z1196</f>
        <v>0</v>
      </c>
      <c r="AA1029" s="5">
        <f>data_origin!AA1196</f>
        <v>0</v>
      </c>
      <c r="AB1029" s="5">
        <f t="shared" si="120"/>
        <v>5.176395534290271</v>
      </c>
    </row>
    <row r="1030" spans="1:28" x14ac:dyDescent="0.25">
      <c r="D1030" t="s">
        <v>74</v>
      </c>
      <c r="E1030" s="35">
        <f t="shared" si="123"/>
        <v>0</v>
      </c>
      <c r="F1030" s="35">
        <f t="shared" si="123"/>
        <v>0</v>
      </c>
      <c r="G1030" s="35">
        <f t="shared" si="123"/>
        <v>6.4069376278760339</v>
      </c>
      <c r="H1030" s="35">
        <f t="shared" si="123"/>
        <v>8.9352618821664276</v>
      </c>
      <c r="I1030" s="35">
        <f t="shared" si="123"/>
        <v>3.5977223159540759</v>
      </c>
      <c r="J1030" s="35">
        <f t="shared" si="123"/>
        <v>6.0662177328843998E-2</v>
      </c>
      <c r="K1030" s="35">
        <f t="shared" si="123"/>
        <v>0</v>
      </c>
      <c r="L1030" s="35">
        <f t="shared" si="122"/>
        <v>0</v>
      </c>
      <c r="M1030" s="35">
        <f t="shared" si="124"/>
        <v>19.000584003325383</v>
      </c>
      <c r="S1030" t="s">
        <v>74</v>
      </c>
      <c r="T1030" s="5">
        <f>data_origin!T1197</f>
        <v>0</v>
      </c>
      <c r="U1030" s="5">
        <f>data_origin!U1197</f>
        <v>0</v>
      </c>
      <c r="V1030" s="5">
        <f>data_origin!V1197</f>
        <v>6.3947368421052628</v>
      </c>
      <c r="W1030" s="5">
        <f>data_origin!W1197</f>
        <v>8.9125683060109289</v>
      </c>
      <c r="X1030" s="5">
        <f>data_origin!X1197</f>
        <v>3.5921052631578947</v>
      </c>
      <c r="Y1030" s="5">
        <f>data_origin!Y1197</f>
        <v>6.0606060606060608E-2</v>
      </c>
      <c r="Z1030" s="5">
        <f>data_origin!Z1197</f>
        <v>0</v>
      </c>
      <c r="AA1030" s="5">
        <f>data_origin!AA1197</f>
        <v>0</v>
      </c>
      <c r="AB1030" s="5">
        <f t="shared" si="120"/>
        <v>18.960016471880149</v>
      </c>
    </row>
    <row r="1031" spans="1:28" x14ac:dyDescent="0.25">
      <c r="D1031" t="s">
        <v>75</v>
      </c>
      <c r="E1031" s="35">
        <f t="shared" si="123"/>
        <v>0</v>
      </c>
      <c r="F1031" s="35">
        <f t="shared" si="123"/>
        <v>0</v>
      </c>
      <c r="G1031" s="35">
        <f t="shared" si="123"/>
        <v>0</v>
      </c>
      <c r="H1031" s="35">
        <f t="shared" si="123"/>
        <v>1.2764659831666325</v>
      </c>
      <c r="I1031" s="35">
        <f t="shared" si="123"/>
        <v>0</v>
      </c>
      <c r="J1031" s="35">
        <f t="shared" si="123"/>
        <v>6.0662177328843998E-2</v>
      </c>
      <c r="K1031" s="35">
        <f t="shared" si="123"/>
        <v>0</v>
      </c>
      <c r="L1031" s="35">
        <f t="shared" si="122"/>
        <v>0</v>
      </c>
      <c r="M1031" s="35">
        <f t="shared" si="124"/>
        <v>1.3371281604954766</v>
      </c>
      <c r="S1031" t="s">
        <v>75</v>
      </c>
      <c r="T1031" s="5">
        <f>data_origin!T1198</f>
        <v>0</v>
      </c>
      <c r="U1031" s="5">
        <f>data_origin!U1198</f>
        <v>0</v>
      </c>
      <c r="V1031" s="5">
        <f>data_origin!V1198</f>
        <v>0</v>
      </c>
      <c r="W1031" s="5">
        <f>data_origin!W1198</f>
        <v>1.2732240437158471</v>
      </c>
      <c r="X1031" s="5">
        <f>data_origin!X1198</f>
        <v>0</v>
      </c>
      <c r="Y1031" s="5">
        <f>data_origin!Y1198</f>
        <v>6.0606060606060608E-2</v>
      </c>
      <c r="Z1031" s="5">
        <f>data_origin!Z1198</f>
        <v>0</v>
      </c>
      <c r="AA1031" s="5">
        <f>data_origin!AA1198</f>
        <v>0</v>
      </c>
      <c r="AB1031" s="5">
        <f t="shared" si="120"/>
        <v>1.3338301043219076</v>
      </c>
    </row>
    <row r="1032" spans="1:28" x14ac:dyDescent="0.25">
      <c r="D1032" t="s">
        <v>76</v>
      </c>
      <c r="E1032" s="35">
        <f t="shared" si="123"/>
        <v>0</v>
      </c>
      <c r="F1032" s="35">
        <f t="shared" si="123"/>
        <v>0</v>
      </c>
      <c r="G1032" s="35">
        <f t="shared" si="123"/>
        <v>2.5627750511504135</v>
      </c>
      <c r="H1032" s="35">
        <f t="shared" si="123"/>
        <v>1.2764659831666325</v>
      </c>
      <c r="I1032" s="35">
        <f t="shared" si="123"/>
        <v>0</v>
      </c>
      <c r="J1032" s="35">
        <f t="shared" si="123"/>
        <v>6.0662177328843998E-2</v>
      </c>
      <c r="K1032" s="35">
        <f t="shared" si="123"/>
        <v>0</v>
      </c>
      <c r="L1032" s="35">
        <f t="shared" si="122"/>
        <v>0</v>
      </c>
      <c r="M1032" s="35">
        <f t="shared" si="124"/>
        <v>3.8999032116458898</v>
      </c>
      <c r="S1032" t="s">
        <v>76</v>
      </c>
      <c r="T1032" s="5">
        <f>data_origin!T1199</f>
        <v>0</v>
      </c>
      <c r="U1032" s="5">
        <f>data_origin!U1199</f>
        <v>0</v>
      </c>
      <c r="V1032" s="5">
        <f>data_origin!V1199</f>
        <v>2.5578947368421052</v>
      </c>
      <c r="W1032" s="5">
        <f>data_origin!W1199</f>
        <v>1.2732240437158471</v>
      </c>
      <c r="X1032" s="5">
        <f>data_origin!X1199</f>
        <v>0</v>
      </c>
      <c r="Y1032" s="5">
        <f>data_origin!Y1199</f>
        <v>6.0606060606060608E-2</v>
      </c>
      <c r="Z1032" s="5">
        <f>data_origin!Z1199</f>
        <v>0</v>
      </c>
      <c r="AA1032" s="5">
        <f>data_origin!AA1199</f>
        <v>0</v>
      </c>
      <c r="AB1032" s="5">
        <f t="shared" si="120"/>
        <v>3.8917248411640131</v>
      </c>
    </row>
    <row r="1033" spans="1:28" x14ac:dyDescent="0.25">
      <c r="D1033" t="s">
        <v>77</v>
      </c>
      <c r="E1033" s="35">
        <f t="shared" si="123"/>
        <v>0</v>
      </c>
      <c r="F1033" s="35">
        <f t="shared" si="123"/>
        <v>0</v>
      </c>
      <c r="G1033" s="35">
        <f t="shared" si="123"/>
        <v>7.6883251534512409</v>
      </c>
      <c r="H1033" s="35">
        <f t="shared" si="123"/>
        <v>12.764659831666325</v>
      </c>
      <c r="I1033" s="35">
        <f t="shared" si="123"/>
        <v>2.3984815439693841</v>
      </c>
      <c r="J1033" s="35">
        <f t="shared" si="123"/>
        <v>6.0662177328843998E-2</v>
      </c>
      <c r="K1033" s="35">
        <f t="shared" si="123"/>
        <v>0</v>
      </c>
      <c r="L1033" s="35">
        <f t="shared" si="122"/>
        <v>0</v>
      </c>
      <c r="M1033" s="35">
        <f t="shared" si="124"/>
        <v>22.912128706415796</v>
      </c>
      <c r="S1033" t="s">
        <v>77</v>
      </c>
      <c r="T1033" s="5">
        <f>data_origin!T1200</f>
        <v>0</v>
      </c>
      <c r="U1033" s="5">
        <f>data_origin!U1200</f>
        <v>0</v>
      </c>
      <c r="V1033" s="5">
        <f>data_origin!V1200</f>
        <v>7.6736842105263161</v>
      </c>
      <c r="W1033" s="5">
        <f>data_origin!W1200</f>
        <v>12.73224043715847</v>
      </c>
      <c r="X1033" s="5">
        <f>data_origin!X1200</f>
        <v>2.3947368421052633</v>
      </c>
      <c r="Y1033" s="5">
        <f>data_origin!Y1200</f>
        <v>6.0606060606060608E-2</v>
      </c>
      <c r="Z1033" s="5">
        <f>data_origin!Z1200</f>
        <v>0</v>
      </c>
      <c r="AA1033" s="5">
        <f>data_origin!AA1200</f>
        <v>0</v>
      </c>
      <c r="AB1033" s="5">
        <f t="shared" si="120"/>
        <v>22.861267550396111</v>
      </c>
    </row>
    <row r="1034" spans="1:28" x14ac:dyDescent="0.25">
      <c r="D1034" t="s">
        <v>78</v>
      </c>
      <c r="E1034" s="35">
        <f t="shared" si="123"/>
        <v>0</v>
      </c>
      <c r="F1034" s="35">
        <f t="shared" si="123"/>
        <v>0</v>
      </c>
      <c r="G1034" s="35">
        <f t="shared" si="123"/>
        <v>5.125550102300827</v>
      </c>
      <c r="H1034" s="35">
        <f t="shared" si="123"/>
        <v>8.9352618821664276</v>
      </c>
      <c r="I1034" s="35">
        <f t="shared" si="123"/>
        <v>3.5977223159540759</v>
      </c>
      <c r="J1034" s="35">
        <f t="shared" si="123"/>
        <v>6.0662177328843998E-2</v>
      </c>
      <c r="K1034" s="35">
        <f t="shared" si="123"/>
        <v>0</v>
      </c>
      <c r="L1034" s="35">
        <f t="shared" si="122"/>
        <v>0</v>
      </c>
      <c r="M1034" s="35">
        <f t="shared" si="124"/>
        <v>17.719196477750174</v>
      </c>
      <c r="S1034" t="s">
        <v>78</v>
      </c>
      <c r="T1034" s="5">
        <f>data_origin!T1201</f>
        <v>0</v>
      </c>
      <c r="U1034" s="5">
        <f>data_origin!U1201</f>
        <v>0</v>
      </c>
      <c r="V1034" s="5">
        <f>data_origin!V1201</f>
        <v>5.1157894736842104</v>
      </c>
      <c r="W1034" s="5">
        <f>data_origin!W1201</f>
        <v>8.9125683060109289</v>
      </c>
      <c r="X1034" s="5">
        <f>data_origin!X1201</f>
        <v>3.5921052631578947</v>
      </c>
      <c r="Y1034" s="5">
        <f>data_origin!Y1201</f>
        <v>6.0606060606060608E-2</v>
      </c>
      <c r="Z1034" s="5">
        <f>data_origin!Z1201</f>
        <v>0</v>
      </c>
      <c r="AA1034" s="5">
        <f>data_origin!AA1201</f>
        <v>0</v>
      </c>
      <c r="AB1034" s="5">
        <f t="shared" si="120"/>
        <v>17.681069103459095</v>
      </c>
    </row>
    <row r="1035" spans="1:28" x14ac:dyDescent="0.25">
      <c r="D1035" t="s">
        <v>79</v>
      </c>
      <c r="E1035" s="35">
        <f t="shared" si="123"/>
        <v>0</v>
      </c>
      <c r="F1035" s="35">
        <f t="shared" si="123"/>
        <v>0</v>
      </c>
      <c r="G1035" s="35">
        <f t="shared" si="123"/>
        <v>0</v>
      </c>
      <c r="H1035" s="35">
        <f t="shared" si="123"/>
        <v>0</v>
      </c>
      <c r="I1035" s="35">
        <f t="shared" si="123"/>
        <v>0</v>
      </c>
      <c r="J1035" s="35">
        <f t="shared" si="123"/>
        <v>6.0662177328843998E-2</v>
      </c>
      <c r="K1035" s="35">
        <f t="shared" si="123"/>
        <v>0</v>
      </c>
      <c r="L1035" s="35">
        <f t="shared" si="122"/>
        <v>0</v>
      </c>
      <c r="M1035" s="35">
        <f t="shared" si="124"/>
        <v>6.0662177328843998E-2</v>
      </c>
      <c r="S1035" t="s">
        <v>79</v>
      </c>
      <c r="T1035" s="5">
        <f>data_origin!T1202</f>
        <v>0</v>
      </c>
      <c r="U1035" s="5">
        <f>data_origin!U1202</f>
        <v>0</v>
      </c>
      <c r="V1035" s="5">
        <f>data_origin!V1202</f>
        <v>0</v>
      </c>
      <c r="W1035" s="5">
        <f>data_origin!W1202</f>
        <v>0</v>
      </c>
      <c r="X1035" s="5">
        <f>data_origin!X1202</f>
        <v>0</v>
      </c>
      <c r="Y1035" s="5">
        <f>data_origin!Y1202</f>
        <v>6.0606060606060608E-2</v>
      </c>
      <c r="Z1035" s="5">
        <f>data_origin!Z1202</f>
        <v>0</v>
      </c>
      <c r="AA1035" s="5">
        <f>data_origin!AA1202</f>
        <v>0</v>
      </c>
      <c r="AB1035" s="5">
        <f t="shared" si="120"/>
        <v>6.0606060606060608E-2</v>
      </c>
    </row>
    <row r="1036" spans="1:28" x14ac:dyDescent="0.25">
      <c r="D1036" t="s">
        <v>80</v>
      </c>
      <c r="E1036" s="35">
        <f t="shared" si="123"/>
        <v>0</v>
      </c>
      <c r="F1036" s="35">
        <f t="shared" si="123"/>
        <v>0</v>
      </c>
      <c r="G1036" s="35">
        <f t="shared" si="123"/>
        <v>1.2813875255752067</v>
      </c>
      <c r="H1036" s="35">
        <f t="shared" si="123"/>
        <v>0</v>
      </c>
      <c r="I1036" s="35">
        <f t="shared" si="123"/>
        <v>1.199240771984692</v>
      </c>
      <c r="J1036" s="35">
        <f t="shared" si="123"/>
        <v>6.0662177328843998E-2</v>
      </c>
      <c r="K1036" s="35">
        <f t="shared" si="123"/>
        <v>0</v>
      </c>
      <c r="L1036" s="35">
        <f t="shared" si="122"/>
        <v>0</v>
      </c>
      <c r="M1036" s="35">
        <f t="shared" si="124"/>
        <v>2.5412904748887426</v>
      </c>
      <c r="S1036" t="s">
        <v>80</v>
      </c>
      <c r="T1036" s="5">
        <f>data_origin!T1203</f>
        <v>0</v>
      </c>
      <c r="U1036" s="5">
        <f>data_origin!U1203</f>
        <v>0</v>
      </c>
      <c r="V1036" s="5">
        <f>data_origin!V1203</f>
        <v>1.2789473684210526</v>
      </c>
      <c r="W1036" s="5">
        <f>data_origin!W1203</f>
        <v>0</v>
      </c>
      <c r="X1036" s="5">
        <f>data_origin!X1203</f>
        <v>1.1973684210526316</v>
      </c>
      <c r="Y1036" s="5">
        <f>data_origin!Y1203</f>
        <v>6.0606060606060608E-2</v>
      </c>
      <c r="Z1036" s="5">
        <f>data_origin!Z1203</f>
        <v>0</v>
      </c>
      <c r="AA1036" s="5">
        <f>data_origin!AA1203</f>
        <v>0</v>
      </c>
      <c r="AB1036" s="5">
        <f t="shared" si="120"/>
        <v>2.5369218500797448</v>
      </c>
    </row>
    <row r="1037" spans="1:28" x14ac:dyDescent="0.25">
      <c r="D1037" t="s">
        <v>81</v>
      </c>
      <c r="E1037" s="35">
        <f t="shared" si="123"/>
        <v>0</v>
      </c>
      <c r="F1037" s="35">
        <f t="shared" si="123"/>
        <v>0</v>
      </c>
      <c r="G1037" s="35">
        <f t="shared" si="123"/>
        <v>1.2813875255752067</v>
      </c>
      <c r="H1037" s="35">
        <f t="shared" si="123"/>
        <v>0</v>
      </c>
      <c r="I1037" s="35">
        <f t="shared" si="123"/>
        <v>0</v>
      </c>
      <c r="J1037" s="35">
        <f t="shared" si="123"/>
        <v>6.0662177328843998E-2</v>
      </c>
      <c r="K1037" s="35">
        <f t="shared" si="123"/>
        <v>0</v>
      </c>
      <c r="L1037" s="35">
        <f t="shared" si="122"/>
        <v>0</v>
      </c>
      <c r="M1037" s="35">
        <f t="shared" si="124"/>
        <v>1.3420497029040508</v>
      </c>
      <c r="S1037" t="s">
        <v>81</v>
      </c>
      <c r="T1037" s="5">
        <f>data_origin!T1204</f>
        <v>0</v>
      </c>
      <c r="U1037" s="5">
        <f>data_origin!U1204</f>
        <v>0</v>
      </c>
      <c r="V1037" s="5">
        <f>data_origin!V1204</f>
        <v>1.2789473684210526</v>
      </c>
      <c r="W1037" s="5">
        <f>data_origin!W1204</f>
        <v>0</v>
      </c>
      <c r="X1037" s="5">
        <f>data_origin!X1204</f>
        <v>0</v>
      </c>
      <c r="Y1037" s="5">
        <f>data_origin!Y1204</f>
        <v>6.0606060606060608E-2</v>
      </c>
      <c r="Z1037" s="5">
        <f>data_origin!Z1204</f>
        <v>0</v>
      </c>
      <c r="AA1037" s="5">
        <f>data_origin!AA1204</f>
        <v>0</v>
      </c>
      <c r="AB1037" s="5">
        <f t="shared" si="120"/>
        <v>1.3395534290271132</v>
      </c>
    </row>
    <row r="1038" spans="1:28" x14ac:dyDescent="0.25">
      <c r="D1038" t="s">
        <v>82</v>
      </c>
      <c r="E1038" s="35">
        <f t="shared" si="123"/>
        <v>0</v>
      </c>
      <c r="F1038" s="35">
        <f t="shared" si="123"/>
        <v>0</v>
      </c>
      <c r="G1038" s="35">
        <f t="shared" si="123"/>
        <v>0</v>
      </c>
      <c r="H1038" s="35">
        <f t="shared" si="123"/>
        <v>1.2764659831666325</v>
      </c>
      <c r="I1038" s="35">
        <f t="shared" si="123"/>
        <v>0</v>
      </c>
      <c r="J1038" s="35">
        <f t="shared" si="123"/>
        <v>6.0662177328843998E-2</v>
      </c>
      <c r="K1038" s="35">
        <f t="shared" si="123"/>
        <v>0</v>
      </c>
      <c r="L1038" s="35">
        <f t="shared" si="122"/>
        <v>0</v>
      </c>
      <c r="M1038" s="35">
        <f t="shared" si="124"/>
        <v>1.3371281604954766</v>
      </c>
      <c r="S1038" t="s">
        <v>82</v>
      </c>
      <c r="T1038" s="5">
        <f>data_origin!T1205</f>
        <v>0</v>
      </c>
      <c r="U1038" s="5">
        <f>data_origin!U1205</f>
        <v>0</v>
      </c>
      <c r="V1038" s="5">
        <f>data_origin!V1205</f>
        <v>0</v>
      </c>
      <c r="W1038" s="5">
        <f>data_origin!W1205</f>
        <v>1.2732240437158471</v>
      </c>
      <c r="X1038" s="5">
        <f>data_origin!X1205</f>
        <v>0</v>
      </c>
      <c r="Y1038" s="5">
        <f>data_origin!Y1205</f>
        <v>6.0606060606060608E-2</v>
      </c>
      <c r="Z1038" s="5">
        <f>data_origin!Z1205</f>
        <v>0</v>
      </c>
      <c r="AA1038" s="5">
        <f>data_origin!AA1205</f>
        <v>0</v>
      </c>
      <c r="AB1038" s="5">
        <f t="shared" si="120"/>
        <v>1.3338301043219076</v>
      </c>
    </row>
    <row r="1039" spans="1:28" x14ac:dyDescent="0.25">
      <c r="D1039" t="s">
        <v>83</v>
      </c>
      <c r="E1039" s="35">
        <f t="shared" si="123"/>
        <v>0</v>
      </c>
      <c r="F1039" s="35">
        <f t="shared" si="123"/>
        <v>0</v>
      </c>
      <c r="G1039" s="35">
        <f t="shared" si="123"/>
        <v>1.2813875255752067</v>
      </c>
      <c r="H1039" s="35">
        <f t="shared" si="123"/>
        <v>0</v>
      </c>
      <c r="I1039" s="35">
        <f t="shared" si="123"/>
        <v>3.5977223159540759</v>
      </c>
      <c r="J1039" s="35">
        <f t="shared" si="123"/>
        <v>6.0662177328843998E-2</v>
      </c>
      <c r="K1039" s="35">
        <f t="shared" si="123"/>
        <v>0</v>
      </c>
      <c r="L1039" s="35">
        <f t="shared" si="122"/>
        <v>0</v>
      </c>
      <c r="M1039" s="35">
        <f t="shared" si="124"/>
        <v>4.9397720188581262</v>
      </c>
      <c r="S1039" t="s">
        <v>83</v>
      </c>
      <c r="T1039" s="5">
        <f>data_origin!T1206</f>
        <v>0</v>
      </c>
      <c r="U1039" s="5">
        <f>data_origin!U1206</f>
        <v>0</v>
      </c>
      <c r="V1039" s="5">
        <f>data_origin!V1206</f>
        <v>1.2789473684210526</v>
      </c>
      <c r="W1039" s="5">
        <f>data_origin!W1206</f>
        <v>0</v>
      </c>
      <c r="X1039" s="5">
        <f>data_origin!X1206</f>
        <v>3.5921052631578947</v>
      </c>
      <c r="Y1039" s="5">
        <f>data_origin!Y1206</f>
        <v>6.0606060606060608E-2</v>
      </c>
      <c r="Z1039" s="5">
        <f>data_origin!Z1206</f>
        <v>0</v>
      </c>
      <c r="AA1039" s="5">
        <f>data_origin!AA1206</f>
        <v>0</v>
      </c>
      <c r="AB1039" s="5">
        <f t="shared" si="120"/>
        <v>4.9316586921850076</v>
      </c>
    </row>
    <row r="1040" spans="1:28" x14ac:dyDescent="0.25">
      <c r="D1040" t="s">
        <v>84</v>
      </c>
      <c r="E1040" s="35">
        <f t="shared" si="123"/>
        <v>0</v>
      </c>
      <c r="F1040" s="35">
        <f t="shared" si="123"/>
        <v>0</v>
      </c>
      <c r="G1040" s="35">
        <f t="shared" si="123"/>
        <v>0</v>
      </c>
      <c r="H1040" s="35">
        <f t="shared" si="123"/>
        <v>1.2764659831666325</v>
      </c>
      <c r="I1040" s="35">
        <f t="shared" si="123"/>
        <v>0</v>
      </c>
      <c r="J1040" s="35">
        <f t="shared" si="123"/>
        <v>6.0662177328843998E-2</v>
      </c>
      <c r="K1040" s="35">
        <f t="shared" si="123"/>
        <v>0</v>
      </c>
      <c r="L1040" s="35">
        <f t="shared" si="122"/>
        <v>0</v>
      </c>
      <c r="M1040" s="35">
        <f t="shared" si="124"/>
        <v>1.3371281604954766</v>
      </c>
      <c r="S1040" t="s">
        <v>84</v>
      </c>
      <c r="T1040" s="5">
        <f>data_origin!T1207</f>
        <v>0</v>
      </c>
      <c r="U1040" s="5">
        <f>data_origin!U1207</f>
        <v>0</v>
      </c>
      <c r="V1040" s="5">
        <f>data_origin!V1207</f>
        <v>0</v>
      </c>
      <c r="W1040" s="5">
        <f>data_origin!W1207</f>
        <v>1.2732240437158471</v>
      </c>
      <c r="X1040" s="5">
        <f>data_origin!X1207</f>
        <v>0</v>
      </c>
      <c r="Y1040" s="5">
        <f>data_origin!Y1207</f>
        <v>6.0606060606060608E-2</v>
      </c>
      <c r="Z1040" s="5">
        <f>data_origin!Z1207</f>
        <v>0</v>
      </c>
      <c r="AA1040" s="5">
        <f>data_origin!AA1207</f>
        <v>0</v>
      </c>
      <c r="AB1040" s="5">
        <f t="shared" si="120"/>
        <v>1.3338301043219076</v>
      </c>
    </row>
    <row r="1041" spans="4:28" x14ac:dyDescent="0.25">
      <c r="D1041" t="s">
        <v>85</v>
      </c>
      <c r="E1041" s="35">
        <f t="shared" si="123"/>
        <v>0</v>
      </c>
      <c r="F1041" s="35">
        <f t="shared" si="123"/>
        <v>0</v>
      </c>
      <c r="G1041" s="35">
        <f t="shared" si="123"/>
        <v>2.5627750511504135</v>
      </c>
      <c r="H1041" s="35">
        <f t="shared" si="123"/>
        <v>1.2764659831666325</v>
      </c>
      <c r="I1041" s="35">
        <f t="shared" si="123"/>
        <v>1.199240771984692</v>
      </c>
      <c r="J1041" s="35">
        <f t="shared" si="123"/>
        <v>6.0662177328843998E-2</v>
      </c>
      <c r="K1041" s="35">
        <f t="shared" si="123"/>
        <v>0</v>
      </c>
      <c r="L1041" s="35">
        <f t="shared" si="122"/>
        <v>0</v>
      </c>
      <c r="M1041" s="35">
        <f t="shared" si="124"/>
        <v>5.0991439836305821</v>
      </c>
      <c r="S1041" t="s">
        <v>85</v>
      </c>
      <c r="T1041" s="5">
        <f>data_origin!T1208</f>
        <v>0</v>
      </c>
      <c r="U1041" s="5">
        <f>data_origin!U1208</f>
        <v>0</v>
      </c>
      <c r="V1041" s="5">
        <f>data_origin!V1208</f>
        <v>2.5578947368421052</v>
      </c>
      <c r="W1041" s="5">
        <f>data_origin!W1208</f>
        <v>1.2732240437158471</v>
      </c>
      <c r="X1041" s="5">
        <f>data_origin!X1208</f>
        <v>1.1973684210526316</v>
      </c>
      <c r="Y1041" s="5">
        <f>data_origin!Y1208</f>
        <v>6.0606060606060608E-2</v>
      </c>
      <c r="Z1041" s="5">
        <f>data_origin!Z1208</f>
        <v>0</v>
      </c>
      <c r="AA1041" s="5">
        <f>data_origin!AA1208</f>
        <v>0</v>
      </c>
      <c r="AB1041" s="5">
        <f t="shared" si="120"/>
        <v>5.0890932622166449</v>
      </c>
    </row>
    <row r="1042" spans="4:28" x14ac:dyDescent="0.25">
      <c r="D1042" t="s">
        <v>86</v>
      </c>
      <c r="E1042" s="35">
        <f t="shared" si="123"/>
        <v>0</v>
      </c>
      <c r="F1042" s="35">
        <f t="shared" si="123"/>
        <v>0</v>
      </c>
      <c r="G1042" s="35">
        <f t="shared" si="123"/>
        <v>71.757701432211576</v>
      </c>
      <c r="H1042" s="35">
        <f t="shared" si="123"/>
        <v>74.035027023664682</v>
      </c>
      <c r="I1042" s="35">
        <f t="shared" si="123"/>
        <v>22.785574667709149</v>
      </c>
      <c r="J1042" s="35">
        <f t="shared" si="123"/>
        <v>6.0662177328843998E-2</v>
      </c>
      <c r="K1042" s="35">
        <f t="shared" si="123"/>
        <v>0</v>
      </c>
      <c r="L1042" s="35">
        <f t="shared" si="122"/>
        <v>0</v>
      </c>
      <c r="M1042" s="35">
        <f t="shared" si="124"/>
        <v>168.63896530091426</v>
      </c>
      <c r="S1042" t="s">
        <v>86</v>
      </c>
      <c r="T1042" s="5">
        <f>data_origin!T1209</f>
        <v>0</v>
      </c>
      <c r="U1042" s="5">
        <f>data_origin!U1209</f>
        <v>0</v>
      </c>
      <c r="V1042" s="5">
        <f>data_origin!V1209</f>
        <v>71.621052631578948</v>
      </c>
      <c r="W1042" s="5">
        <f>data_origin!W1209</f>
        <v>73.84699453551913</v>
      </c>
      <c r="X1042" s="5">
        <f>data_origin!X1209</f>
        <v>22.75</v>
      </c>
      <c r="Y1042" s="5">
        <f>data_origin!Y1209</f>
        <v>6.0606060606060608E-2</v>
      </c>
      <c r="Z1042" s="5">
        <f>data_origin!Z1209</f>
        <v>0</v>
      </c>
      <c r="AA1042" s="5">
        <f>data_origin!AA1209</f>
        <v>0</v>
      </c>
      <c r="AB1042" s="5">
        <f t="shared" si="120"/>
        <v>168.27865322770413</v>
      </c>
    </row>
    <row r="1043" spans="4:28" x14ac:dyDescent="0.25">
      <c r="D1043" t="s">
        <v>87</v>
      </c>
      <c r="E1043" s="35">
        <f t="shared" si="123"/>
        <v>0</v>
      </c>
      <c r="F1043" s="35">
        <f t="shared" si="123"/>
        <v>0</v>
      </c>
      <c r="G1043" s="35">
        <f t="shared" si="123"/>
        <v>24.346362985928931</v>
      </c>
      <c r="H1043" s="35">
        <f t="shared" si="123"/>
        <v>12.764659831666325</v>
      </c>
      <c r="I1043" s="35">
        <f t="shared" si="123"/>
        <v>8.3946854038928436</v>
      </c>
      <c r="J1043" s="35">
        <f t="shared" si="123"/>
        <v>6.0662177328843998E-2</v>
      </c>
      <c r="K1043" s="35">
        <f t="shared" si="123"/>
        <v>0</v>
      </c>
      <c r="L1043" s="35">
        <f t="shared" si="122"/>
        <v>0</v>
      </c>
      <c r="M1043" s="35">
        <f t="shared" si="124"/>
        <v>45.566370398816943</v>
      </c>
      <c r="S1043" t="s">
        <v>87</v>
      </c>
      <c r="T1043" s="5">
        <f>data_origin!T1210</f>
        <v>0</v>
      </c>
      <c r="U1043" s="5">
        <f>data_origin!U1210</f>
        <v>0</v>
      </c>
      <c r="V1043" s="5">
        <f>data_origin!V1210</f>
        <v>24.3</v>
      </c>
      <c r="W1043" s="5">
        <f>data_origin!W1210</f>
        <v>12.73224043715847</v>
      </c>
      <c r="X1043" s="5">
        <f>data_origin!X1210</f>
        <v>8.3815789473684212</v>
      </c>
      <c r="Y1043" s="5">
        <f>data_origin!Y1210</f>
        <v>6.0606060606060608E-2</v>
      </c>
      <c r="Z1043" s="5">
        <f>data_origin!Z1210</f>
        <v>0</v>
      </c>
      <c r="AA1043" s="5">
        <f>data_origin!AA1210</f>
        <v>0</v>
      </c>
      <c r="AB1043" s="5">
        <f t="shared" si="120"/>
        <v>45.474425445132951</v>
      </c>
    </row>
    <row r="1044" spans="4:28" x14ac:dyDescent="0.25">
      <c r="D1044" t="s">
        <v>88</v>
      </c>
      <c r="E1044" s="35">
        <f t="shared" si="123"/>
        <v>0</v>
      </c>
      <c r="F1044" s="35">
        <f t="shared" si="123"/>
        <v>0</v>
      </c>
      <c r="G1044" s="35">
        <f t="shared" si="123"/>
        <v>49.974113497433066</v>
      </c>
      <c r="H1044" s="35">
        <f t="shared" si="123"/>
        <v>44.676309410832133</v>
      </c>
      <c r="I1044" s="35">
        <f t="shared" si="123"/>
        <v>25.184056211678531</v>
      </c>
      <c r="J1044" s="35">
        <f t="shared" si="123"/>
        <v>6.0662177328843998E-2</v>
      </c>
      <c r="K1044" s="35">
        <f t="shared" si="123"/>
        <v>0</v>
      </c>
      <c r="L1044" s="35">
        <f t="shared" si="122"/>
        <v>0</v>
      </c>
      <c r="M1044" s="35">
        <f t="shared" si="124"/>
        <v>119.89514129727257</v>
      </c>
      <c r="S1044" t="s">
        <v>88</v>
      </c>
      <c r="T1044" s="5">
        <f>data_origin!T1211</f>
        <v>0</v>
      </c>
      <c r="U1044" s="5">
        <f>data_origin!U1211</f>
        <v>0</v>
      </c>
      <c r="V1044" s="5">
        <f>data_origin!V1211</f>
        <v>49.878947368421052</v>
      </c>
      <c r="W1044" s="5">
        <f>data_origin!W1211</f>
        <v>44.562841530054641</v>
      </c>
      <c r="X1044" s="5">
        <f>data_origin!X1211</f>
        <v>25.144736842105264</v>
      </c>
      <c r="Y1044" s="5">
        <f>data_origin!Y1211</f>
        <v>6.0606060606060608E-2</v>
      </c>
      <c r="Z1044" s="5">
        <f>data_origin!Z1211</f>
        <v>0</v>
      </c>
      <c r="AA1044" s="5">
        <f>data_origin!AA1211</f>
        <v>0</v>
      </c>
      <c r="AB1044" s="5">
        <f t="shared" si="120"/>
        <v>119.64713180118702</v>
      </c>
    </row>
    <row r="1045" spans="4:28" x14ac:dyDescent="0.25">
      <c r="D1045" t="s">
        <v>89</v>
      </c>
      <c r="E1045" s="35">
        <f t="shared" si="123"/>
        <v>0</v>
      </c>
      <c r="F1045" s="35">
        <f t="shared" si="123"/>
        <v>0</v>
      </c>
      <c r="G1045" s="35">
        <f t="shared" si="123"/>
        <v>10.251100204601654</v>
      </c>
      <c r="H1045" s="35">
        <f t="shared" si="123"/>
        <v>15.31759179799959</v>
      </c>
      <c r="I1045" s="35">
        <f t="shared" si="123"/>
        <v>0</v>
      </c>
      <c r="J1045" s="35">
        <f t="shared" si="123"/>
        <v>6.0662177328843998E-2</v>
      </c>
      <c r="K1045" s="35">
        <f t="shared" si="123"/>
        <v>0</v>
      </c>
      <c r="L1045" s="35">
        <f t="shared" si="122"/>
        <v>0</v>
      </c>
      <c r="M1045" s="35">
        <f t="shared" si="124"/>
        <v>25.62935417993009</v>
      </c>
      <c r="S1045" t="s">
        <v>89</v>
      </c>
      <c r="T1045" s="5">
        <f>data_origin!T1212</f>
        <v>0</v>
      </c>
      <c r="U1045" s="5">
        <f>data_origin!U1212</f>
        <v>0</v>
      </c>
      <c r="V1045" s="5">
        <f>data_origin!V1212</f>
        <v>10.231578947368421</v>
      </c>
      <c r="W1045" s="5">
        <f>data_origin!W1212</f>
        <v>15.278688524590164</v>
      </c>
      <c r="X1045" s="5">
        <f>data_origin!X1212</f>
        <v>0</v>
      </c>
      <c r="Y1045" s="5">
        <f>data_origin!Y1212</f>
        <v>6.0606060606060608E-2</v>
      </c>
      <c r="Z1045" s="5">
        <f>data_origin!Z1212</f>
        <v>0</v>
      </c>
      <c r="AA1045" s="5">
        <f>data_origin!AA1212</f>
        <v>0</v>
      </c>
      <c r="AB1045" s="5">
        <f t="shared" si="120"/>
        <v>25.570873532564647</v>
      </c>
    </row>
    <row r="1046" spans="4:28" x14ac:dyDescent="0.25">
      <c r="D1046" t="s">
        <v>90</v>
      </c>
      <c r="E1046" s="35">
        <f t="shared" si="123"/>
        <v>0</v>
      </c>
      <c r="F1046" s="35">
        <f t="shared" si="123"/>
        <v>0</v>
      </c>
      <c r="G1046" s="35">
        <f t="shared" si="123"/>
        <v>0</v>
      </c>
      <c r="H1046" s="35">
        <f t="shared" si="123"/>
        <v>0</v>
      </c>
      <c r="I1046" s="35">
        <f t="shared" si="123"/>
        <v>0</v>
      </c>
      <c r="J1046" s="35">
        <f t="shared" si="123"/>
        <v>6.0662177328843998E-2</v>
      </c>
      <c r="K1046" s="35">
        <f t="shared" si="123"/>
        <v>0</v>
      </c>
      <c r="L1046" s="35">
        <f t="shared" si="122"/>
        <v>0</v>
      </c>
      <c r="M1046" s="35">
        <f t="shared" si="124"/>
        <v>6.0662177328843998E-2</v>
      </c>
      <c r="S1046" t="s">
        <v>90</v>
      </c>
      <c r="T1046" s="5">
        <f>data_origin!T1213</f>
        <v>0</v>
      </c>
      <c r="U1046" s="5">
        <f>data_origin!U1213</f>
        <v>0</v>
      </c>
      <c r="V1046" s="5">
        <f>data_origin!V1213</f>
        <v>0</v>
      </c>
      <c r="W1046" s="5">
        <f>data_origin!W1213</f>
        <v>0</v>
      </c>
      <c r="X1046" s="5">
        <f>data_origin!X1213</f>
        <v>0</v>
      </c>
      <c r="Y1046" s="5">
        <f>data_origin!Y1213</f>
        <v>6.0606060606060608E-2</v>
      </c>
      <c r="Z1046" s="5">
        <f>data_origin!Z1213</f>
        <v>0</v>
      </c>
      <c r="AA1046" s="5">
        <f>data_origin!AA1213</f>
        <v>0</v>
      </c>
      <c r="AB1046" s="5">
        <f t="shared" si="120"/>
        <v>6.0606060606060608E-2</v>
      </c>
    </row>
    <row r="1047" spans="4:28" x14ac:dyDescent="0.25">
      <c r="D1047" t="s">
        <v>91</v>
      </c>
      <c r="E1047" s="35">
        <f t="shared" si="123"/>
        <v>0</v>
      </c>
      <c r="F1047" s="35">
        <f t="shared" si="123"/>
        <v>0</v>
      </c>
      <c r="G1047" s="35">
        <f t="shared" si="123"/>
        <v>0</v>
      </c>
      <c r="H1047" s="35">
        <f t="shared" si="123"/>
        <v>1.2764659831666325</v>
      </c>
      <c r="I1047" s="35">
        <f t="shared" si="123"/>
        <v>1.199240771984692</v>
      </c>
      <c r="J1047" s="35">
        <f t="shared" si="123"/>
        <v>6.0662177328843998E-2</v>
      </c>
      <c r="K1047" s="35">
        <f t="shared" si="123"/>
        <v>0</v>
      </c>
      <c r="L1047" s="35">
        <f t="shared" si="122"/>
        <v>0</v>
      </c>
      <c r="M1047" s="35">
        <f t="shared" si="124"/>
        <v>2.5363689324801681</v>
      </c>
      <c r="S1047" t="s">
        <v>91</v>
      </c>
      <c r="T1047" s="5">
        <f>data_origin!T1214</f>
        <v>0</v>
      </c>
      <c r="U1047" s="5">
        <f>data_origin!U1214</f>
        <v>0</v>
      </c>
      <c r="V1047" s="5">
        <f>data_origin!V1214</f>
        <v>0</v>
      </c>
      <c r="W1047" s="5">
        <f>data_origin!W1214</f>
        <v>1.2732240437158471</v>
      </c>
      <c r="X1047" s="5">
        <f>data_origin!X1214</f>
        <v>1.1973684210526316</v>
      </c>
      <c r="Y1047" s="5">
        <f>data_origin!Y1214</f>
        <v>6.0606060606060608E-2</v>
      </c>
      <c r="Z1047" s="5">
        <f>data_origin!Z1214</f>
        <v>0</v>
      </c>
      <c r="AA1047" s="5">
        <f>data_origin!AA1214</f>
        <v>0</v>
      </c>
      <c r="AB1047" s="5">
        <f t="shared" si="120"/>
        <v>2.5311985253745393</v>
      </c>
    </row>
    <row r="1048" spans="4:28" x14ac:dyDescent="0.25">
      <c r="D1048" t="s">
        <v>92</v>
      </c>
      <c r="E1048" s="35">
        <f t="shared" si="123"/>
        <v>0</v>
      </c>
      <c r="F1048" s="35">
        <f t="shared" si="123"/>
        <v>0</v>
      </c>
      <c r="G1048" s="35">
        <f t="shared" si="123"/>
        <v>0</v>
      </c>
      <c r="H1048" s="35">
        <f t="shared" si="123"/>
        <v>0</v>
      </c>
      <c r="I1048" s="35">
        <f t="shared" si="123"/>
        <v>0</v>
      </c>
      <c r="J1048" s="35">
        <f t="shared" si="123"/>
        <v>6.0662177328843998E-2</v>
      </c>
      <c r="K1048" s="35">
        <f t="shared" si="123"/>
        <v>0</v>
      </c>
      <c r="L1048" s="35">
        <f t="shared" si="122"/>
        <v>0</v>
      </c>
      <c r="M1048" s="35">
        <f t="shared" si="124"/>
        <v>6.0662177328843998E-2</v>
      </c>
      <c r="S1048" t="s">
        <v>92</v>
      </c>
      <c r="T1048" s="5">
        <f>data_origin!T1215</f>
        <v>0</v>
      </c>
      <c r="U1048" s="5">
        <f>data_origin!U1215</f>
        <v>0</v>
      </c>
      <c r="V1048" s="5">
        <f>data_origin!V1215</f>
        <v>0</v>
      </c>
      <c r="W1048" s="5">
        <f>data_origin!W1215</f>
        <v>0</v>
      </c>
      <c r="X1048" s="5">
        <f>data_origin!X1215</f>
        <v>0</v>
      </c>
      <c r="Y1048" s="5">
        <f>data_origin!Y1215</f>
        <v>6.0606060606060608E-2</v>
      </c>
      <c r="Z1048" s="5">
        <f>data_origin!Z1215</f>
        <v>0</v>
      </c>
      <c r="AA1048" s="5">
        <f>data_origin!AA1215</f>
        <v>0</v>
      </c>
      <c r="AB1048" s="5">
        <f t="shared" si="120"/>
        <v>6.0606060606060608E-2</v>
      </c>
    </row>
    <row r="1049" spans="4:28" x14ac:dyDescent="0.25">
      <c r="D1049" t="s">
        <v>93</v>
      </c>
      <c r="E1049" s="35">
        <f t="shared" si="123"/>
        <v>0</v>
      </c>
      <c r="F1049" s="35">
        <f t="shared" si="123"/>
        <v>0</v>
      </c>
      <c r="G1049" s="35">
        <f t="shared" si="123"/>
        <v>0</v>
      </c>
      <c r="H1049" s="35">
        <f t="shared" si="123"/>
        <v>0</v>
      </c>
      <c r="I1049" s="35">
        <f t="shared" si="123"/>
        <v>0</v>
      </c>
      <c r="J1049" s="35">
        <f t="shared" si="123"/>
        <v>6.0662177328843998E-2</v>
      </c>
      <c r="K1049" s="35">
        <f t="shared" si="123"/>
        <v>0</v>
      </c>
      <c r="L1049" s="35">
        <f t="shared" si="122"/>
        <v>0</v>
      </c>
      <c r="M1049" s="35">
        <f t="shared" si="124"/>
        <v>6.0662177328843998E-2</v>
      </c>
      <c r="S1049" t="s">
        <v>93</v>
      </c>
      <c r="T1049" s="5">
        <f>data_origin!T1216</f>
        <v>0</v>
      </c>
      <c r="U1049" s="5">
        <f>data_origin!U1216</f>
        <v>0</v>
      </c>
      <c r="V1049" s="5">
        <f>data_origin!V1216</f>
        <v>0</v>
      </c>
      <c r="W1049" s="5">
        <f>data_origin!W1216</f>
        <v>0</v>
      </c>
      <c r="X1049" s="5">
        <f>data_origin!X1216</f>
        <v>0</v>
      </c>
      <c r="Y1049" s="5">
        <f>data_origin!Y1216</f>
        <v>6.0606060606060608E-2</v>
      </c>
      <c r="Z1049" s="5">
        <f>data_origin!Z1216</f>
        <v>0</v>
      </c>
      <c r="AA1049" s="5">
        <f>data_origin!AA1216</f>
        <v>0</v>
      </c>
      <c r="AB1049" s="5">
        <f t="shared" si="120"/>
        <v>6.0606060606060608E-2</v>
      </c>
    </row>
    <row r="1050" spans="4:28" x14ac:dyDescent="0.25">
      <c r="D1050" t="s">
        <v>94</v>
      </c>
      <c r="E1050" s="35">
        <f t="shared" si="123"/>
        <v>0</v>
      </c>
      <c r="F1050" s="35">
        <f t="shared" si="123"/>
        <v>0</v>
      </c>
      <c r="G1050" s="35">
        <f t="shared" si="123"/>
        <v>0</v>
      </c>
      <c r="H1050" s="35">
        <f t="shared" si="123"/>
        <v>0</v>
      </c>
      <c r="I1050" s="35">
        <f t="shared" si="123"/>
        <v>0</v>
      </c>
      <c r="J1050" s="35">
        <f t="shared" si="123"/>
        <v>6.0662177328843998E-2</v>
      </c>
      <c r="K1050" s="35">
        <f t="shared" si="123"/>
        <v>0</v>
      </c>
      <c r="L1050" s="35">
        <f t="shared" si="122"/>
        <v>0</v>
      </c>
      <c r="M1050" s="35">
        <f t="shared" si="124"/>
        <v>6.0662177328843998E-2</v>
      </c>
      <c r="S1050" t="s">
        <v>94</v>
      </c>
      <c r="T1050" s="5">
        <f>data_origin!T1217</f>
        <v>0</v>
      </c>
      <c r="U1050" s="5">
        <f>data_origin!U1217</f>
        <v>0</v>
      </c>
      <c r="V1050" s="5">
        <f>data_origin!V1217</f>
        <v>0</v>
      </c>
      <c r="W1050" s="5">
        <f>data_origin!W1217</f>
        <v>0</v>
      </c>
      <c r="X1050" s="5">
        <f>data_origin!X1217</f>
        <v>0</v>
      </c>
      <c r="Y1050" s="5">
        <f>data_origin!Y1217</f>
        <v>6.0606060606060608E-2</v>
      </c>
      <c r="Z1050" s="5">
        <f>data_origin!Z1217</f>
        <v>0</v>
      </c>
      <c r="AA1050" s="5">
        <f>data_origin!AA1217</f>
        <v>0</v>
      </c>
      <c r="AB1050" s="5">
        <f t="shared" si="120"/>
        <v>6.0606060606060608E-2</v>
      </c>
    </row>
    <row r="1051" spans="4:28" x14ac:dyDescent="0.25">
      <c r="D1051" t="s">
        <v>95</v>
      </c>
      <c r="E1051" s="35">
        <f t="shared" si="123"/>
        <v>0</v>
      </c>
      <c r="F1051" s="35">
        <f t="shared" si="123"/>
        <v>0</v>
      </c>
      <c r="G1051" s="35">
        <f t="shared" si="123"/>
        <v>0</v>
      </c>
      <c r="H1051" s="35">
        <f t="shared" si="123"/>
        <v>0</v>
      </c>
      <c r="I1051" s="35">
        <f t="shared" si="123"/>
        <v>0</v>
      </c>
      <c r="J1051" s="35">
        <f t="shared" si="123"/>
        <v>6.0662177328843998E-2</v>
      </c>
      <c r="K1051" s="35">
        <f t="shared" si="123"/>
        <v>0</v>
      </c>
      <c r="L1051" s="35">
        <f t="shared" si="122"/>
        <v>0</v>
      </c>
      <c r="M1051" s="35">
        <f t="shared" si="124"/>
        <v>6.0662177328843998E-2</v>
      </c>
      <c r="S1051" t="s">
        <v>95</v>
      </c>
      <c r="T1051" s="5">
        <f>data_origin!T1218</f>
        <v>0</v>
      </c>
      <c r="U1051" s="5">
        <f>data_origin!U1218</f>
        <v>0</v>
      </c>
      <c r="V1051" s="5">
        <f>data_origin!V1218</f>
        <v>0</v>
      </c>
      <c r="W1051" s="5">
        <f>data_origin!W1218</f>
        <v>0</v>
      </c>
      <c r="X1051" s="5">
        <f>data_origin!X1218</f>
        <v>0</v>
      </c>
      <c r="Y1051" s="5">
        <f>data_origin!Y1218</f>
        <v>6.0606060606060608E-2</v>
      </c>
      <c r="Z1051" s="5">
        <f>data_origin!Z1218</f>
        <v>0</v>
      </c>
      <c r="AA1051" s="5">
        <f>data_origin!AA1218</f>
        <v>0</v>
      </c>
      <c r="AB1051" s="5">
        <f t="shared" si="120"/>
        <v>6.0606060606060608E-2</v>
      </c>
    </row>
    <row r="1052" spans="4:28" x14ac:dyDescent="0.25">
      <c r="D1052" t="s">
        <v>96</v>
      </c>
      <c r="E1052" s="35">
        <f t="shared" si="123"/>
        <v>0</v>
      </c>
      <c r="F1052" s="35">
        <f t="shared" si="123"/>
        <v>0</v>
      </c>
      <c r="G1052" s="35">
        <f t="shared" si="123"/>
        <v>0</v>
      </c>
      <c r="H1052" s="35">
        <f t="shared" si="123"/>
        <v>0</v>
      </c>
      <c r="I1052" s="35">
        <f t="shared" si="123"/>
        <v>0</v>
      </c>
      <c r="J1052" s="35">
        <f t="shared" si="123"/>
        <v>6.0662177328843998E-2</v>
      </c>
      <c r="K1052" s="35">
        <f t="shared" si="123"/>
        <v>0</v>
      </c>
      <c r="L1052" s="35">
        <f t="shared" si="122"/>
        <v>0</v>
      </c>
      <c r="M1052" s="35">
        <f t="shared" si="124"/>
        <v>6.0662177328843998E-2</v>
      </c>
      <c r="S1052" t="s">
        <v>96</v>
      </c>
      <c r="T1052" s="5">
        <f>data_origin!T1219</f>
        <v>0</v>
      </c>
      <c r="U1052" s="5">
        <f>data_origin!U1219</f>
        <v>0</v>
      </c>
      <c r="V1052" s="5">
        <f>data_origin!V1219</f>
        <v>0</v>
      </c>
      <c r="W1052" s="5">
        <f>data_origin!W1219</f>
        <v>0</v>
      </c>
      <c r="X1052" s="5">
        <f>data_origin!X1219</f>
        <v>0</v>
      </c>
      <c r="Y1052" s="5">
        <f>data_origin!Y1219</f>
        <v>6.0606060606060608E-2</v>
      </c>
      <c r="Z1052" s="5">
        <f>data_origin!Z1219</f>
        <v>0</v>
      </c>
      <c r="AA1052" s="5">
        <f>data_origin!AA1219</f>
        <v>0</v>
      </c>
      <c r="AB1052" s="5">
        <f t="shared" si="120"/>
        <v>6.0606060606060608E-2</v>
      </c>
    </row>
    <row r="1053" spans="4:28" x14ac:dyDescent="0.25">
      <c r="D1053" t="s">
        <v>97</v>
      </c>
      <c r="E1053" s="35">
        <f t="shared" si="123"/>
        <v>0</v>
      </c>
      <c r="F1053" s="35">
        <f t="shared" si="123"/>
        <v>0</v>
      </c>
      <c r="G1053" s="35">
        <f t="shared" si="123"/>
        <v>2.5627750511504135</v>
      </c>
      <c r="H1053" s="35">
        <f t="shared" si="123"/>
        <v>0</v>
      </c>
      <c r="I1053" s="35">
        <f t="shared" si="123"/>
        <v>0</v>
      </c>
      <c r="J1053" s="35">
        <f t="shared" si="123"/>
        <v>6.0662177328843998E-2</v>
      </c>
      <c r="K1053" s="35">
        <f t="shared" si="123"/>
        <v>0</v>
      </c>
      <c r="L1053" s="35">
        <f t="shared" si="122"/>
        <v>0</v>
      </c>
      <c r="M1053" s="35">
        <f t="shared" si="124"/>
        <v>2.6234372284792573</v>
      </c>
      <c r="S1053" t="s">
        <v>97</v>
      </c>
      <c r="T1053" s="5">
        <f>data_origin!T1220</f>
        <v>0</v>
      </c>
      <c r="U1053" s="5">
        <f>data_origin!U1220</f>
        <v>0</v>
      </c>
      <c r="V1053" s="5">
        <f>data_origin!V1220</f>
        <v>2.5578947368421052</v>
      </c>
      <c r="W1053" s="5">
        <f>data_origin!W1220</f>
        <v>0</v>
      </c>
      <c r="X1053" s="5">
        <f>data_origin!X1220</f>
        <v>0</v>
      </c>
      <c r="Y1053" s="5">
        <f>data_origin!Y1220</f>
        <v>6.0606060606060608E-2</v>
      </c>
      <c r="Z1053" s="5">
        <f>data_origin!Z1220</f>
        <v>0</v>
      </c>
      <c r="AA1053" s="5">
        <f>data_origin!AA1220</f>
        <v>0</v>
      </c>
      <c r="AB1053" s="5">
        <f t="shared" ref="AB1053:AB1116" si="125">SUM(T1053:AA1053)</f>
        <v>2.6185007974481658</v>
      </c>
    </row>
    <row r="1054" spans="4:28" x14ac:dyDescent="0.25">
      <c r="D1054" t="s">
        <v>98</v>
      </c>
      <c r="E1054" s="35">
        <f t="shared" si="123"/>
        <v>0</v>
      </c>
      <c r="F1054" s="35">
        <f t="shared" si="123"/>
        <v>0</v>
      </c>
      <c r="G1054" s="35">
        <f t="shared" si="123"/>
        <v>2.5627750511504135</v>
      </c>
      <c r="H1054" s="35">
        <f t="shared" si="123"/>
        <v>2.552931966333265</v>
      </c>
      <c r="I1054" s="35">
        <f t="shared" si="123"/>
        <v>0</v>
      </c>
      <c r="J1054" s="35">
        <f t="shared" si="123"/>
        <v>6.0662177328843998E-2</v>
      </c>
      <c r="K1054" s="35">
        <f t="shared" si="123"/>
        <v>0</v>
      </c>
      <c r="L1054" s="35">
        <f t="shared" si="122"/>
        <v>0</v>
      </c>
      <c r="M1054" s="35">
        <f t="shared" si="124"/>
        <v>5.1763691948125228</v>
      </c>
      <c r="S1054" t="s">
        <v>98</v>
      </c>
      <c r="T1054" s="5">
        <f>data_origin!T1221</f>
        <v>0</v>
      </c>
      <c r="U1054" s="5">
        <f>data_origin!U1221</f>
        <v>0</v>
      </c>
      <c r="V1054" s="5">
        <f>data_origin!V1221</f>
        <v>2.5578947368421052</v>
      </c>
      <c r="W1054" s="5">
        <f>data_origin!W1221</f>
        <v>2.5464480874316942</v>
      </c>
      <c r="X1054" s="5">
        <f>data_origin!X1221</f>
        <v>0</v>
      </c>
      <c r="Y1054" s="5">
        <f>data_origin!Y1221</f>
        <v>6.0606060606060608E-2</v>
      </c>
      <c r="Z1054" s="5">
        <f>data_origin!Z1221</f>
        <v>0</v>
      </c>
      <c r="AA1054" s="5">
        <f>data_origin!AA1221</f>
        <v>0</v>
      </c>
      <c r="AB1054" s="5">
        <f t="shared" si="125"/>
        <v>5.1649488848798599</v>
      </c>
    </row>
    <row r="1055" spans="4:28" x14ac:dyDescent="0.25">
      <c r="D1055" t="s">
        <v>119</v>
      </c>
      <c r="E1055" s="35">
        <f t="shared" si="123"/>
        <v>0</v>
      </c>
      <c r="F1055" s="35">
        <f t="shared" si="123"/>
        <v>0</v>
      </c>
      <c r="G1055" s="35">
        <f t="shared" si="123"/>
        <v>0</v>
      </c>
      <c r="H1055" s="35">
        <f t="shared" si="123"/>
        <v>1.2764659831666325</v>
      </c>
      <c r="I1055" s="35">
        <f t="shared" si="123"/>
        <v>1.199240771984692</v>
      </c>
      <c r="J1055" s="35">
        <f t="shared" si="123"/>
        <v>6.0662177328843998E-2</v>
      </c>
      <c r="K1055" s="35">
        <f t="shared" si="123"/>
        <v>0</v>
      </c>
      <c r="L1055" s="35">
        <f t="shared" si="122"/>
        <v>0</v>
      </c>
      <c r="M1055" s="35">
        <f t="shared" si="124"/>
        <v>2.5363689324801681</v>
      </c>
      <c r="S1055" t="s">
        <v>119</v>
      </c>
      <c r="T1055" s="5">
        <f>data_origin!T1222</f>
        <v>0</v>
      </c>
      <c r="U1055" s="5">
        <f>data_origin!U1222</f>
        <v>0</v>
      </c>
      <c r="V1055" s="5">
        <f>data_origin!V1222</f>
        <v>0</v>
      </c>
      <c r="W1055" s="5">
        <f>data_origin!W1222</f>
        <v>1.2732240437158471</v>
      </c>
      <c r="X1055" s="5">
        <f>data_origin!X1222</f>
        <v>1.1973684210526316</v>
      </c>
      <c r="Y1055" s="5">
        <f>data_origin!Y1222</f>
        <v>6.0606060606060608E-2</v>
      </c>
      <c r="Z1055" s="5">
        <f>data_origin!Z1222</f>
        <v>0</v>
      </c>
      <c r="AA1055" s="5">
        <f>data_origin!AA1222</f>
        <v>0</v>
      </c>
      <c r="AB1055" s="5">
        <f t="shared" si="125"/>
        <v>2.5311985253745393</v>
      </c>
    </row>
    <row r="1056" spans="4:28" x14ac:dyDescent="0.25">
      <c r="D1056" t="s">
        <v>99</v>
      </c>
      <c r="E1056" s="35">
        <f t="shared" si="123"/>
        <v>0</v>
      </c>
      <c r="F1056" s="35">
        <f t="shared" si="123"/>
        <v>0</v>
      </c>
      <c r="G1056" s="35">
        <f t="shared" si="123"/>
        <v>6.4069376278760339</v>
      </c>
      <c r="H1056" s="35">
        <f t="shared" si="123"/>
        <v>0</v>
      </c>
      <c r="I1056" s="35">
        <f t="shared" si="123"/>
        <v>1.199240771984692</v>
      </c>
      <c r="J1056" s="35">
        <f t="shared" si="123"/>
        <v>6.0662177328843998E-2</v>
      </c>
      <c r="K1056" s="35">
        <f t="shared" si="123"/>
        <v>0</v>
      </c>
      <c r="L1056" s="35">
        <f t="shared" si="122"/>
        <v>0</v>
      </c>
      <c r="M1056" s="35">
        <f t="shared" si="124"/>
        <v>7.6668405771895696</v>
      </c>
      <c r="S1056" t="s">
        <v>99</v>
      </c>
      <c r="T1056" s="5">
        <f>data_origin!T1223</f>
        <v>0</v>
      </c>
      <c r="U1056" s="5">
        <f>data_origin!U1223</f>
        <v>0</v>
      </c>
      <c r="V1056" s="5">
        <f>data_origin!V1223</f>
        <v>6.3947368421052628</v>
      </c>
      <c r="W1056" s="5">
        <f>data_origin!W1223</f>
        <v>0</v>
      </c>
      <c r="X1056" s="5">
        <f>data_origin!X1223</f>
        <v>1.1973684210526316</v>
      </c>
      <c r="Y1056" s="5">
        <f>data_origin!Y1223</f>
        <v>6.0606060606060608E-2</v>
      </c>
      <c r="Z1056" s="5">
        <f>data_origin!Z1223</f>
        <v>0</v>
      </c>
      <c r="AA1056" s="5">
        <f>data_origin!AA1223</f>
        <v>0</v>
      </c>
      <c r="AB1056" s="5">
        <f t="shared" si="125"/>
        <v>7.6527113237639552</v>
      </c>
    </row>
    <row r="1057" spans="1:28" x14ac:dyDescent="0.25">
      <c r="D1057" t="s">
        <v>100</v>
      </c>
      <c r="E1057" s="35">
        <f t="shared" si="123"/>
        <v>0</v>
      </c>
      <c r="F1057" s="35">
        <f t="shared" si="123"/>
        <v>0</v>
      </c>
      <c r="G1057" s="35">
        <f t="shared" si="123"/>
        <v>1.2813875255752067</v>
      </c>
      <c r="H1057" s="35">
        <f t="shared" si="123"/>
        <v>1.2764659831666325</v>
      </c>
      <c r="I1057" s="35">
        <f t="shared" si="123"/>
        <v>0</v>
      </c>
      <c r="J1057" s="35">
        <f t="shared" si="123"/>
        <v>6.0662177328843998E-2</v>
      </c>
      <c r="K1057" s="35">
        <f t="shared" si="123"/>
        <v>0</v>
      </c>
      <c r="L1057" s="35">
        <f t="shared" si="122"/>
        <v>0</v>
      </c>
      <c r="M1057" s="35">
        <f t="shared" si="124"/>
        <v>2.6185156860706833</v>
      </c>
      <c r="S1057" t="s">
        <v>100</v>
      </c>
      <c r="T1057" s="5">
        <f>data_origin!T1224</f>
        <v>0</v>
      </c>
      <c r="U1057" s="5">
        <f>data_origin!U1224</f>
        <v>0</v>
      </c>
      <c r="V1057" s="5">
        <f>data_origin!V1224</f>
        <v>1.2789473684210526</v>
      </c>
      <c r="W1057" s="5">
        <f>data_origin!W1224</f>
        <v>1.2732240437158471</v>
      </c>
      <c r="X1057" s="5">
        <f>data_origin!X1224</f>
        <v>0</v>
      </c>
      <c r="Y1057" s="5">
        <f>data_origin!Y1224</f>
        <v>6.0606060606060608E-2</v>
      </c>
      <c r="Z1057" s="5">
        <f>data_origin!Z1224</f>
        <v>0</v>
      </c>
      <c r="AA1057" s="5">
        <f>data_origin!AA1224</f>
        <v>0</v>
      </c>
      <c r="AB1057" s="5">
        <f t="shared" si="125"/>
        <v>2.6127774727429602</v>
      </c>
    </row>
    <row r="1058" spans="1:28" x14ac:dyDescent="0.25">
      <c r="D1058" t="s">
        <v>101</v>
      </c>
      <c r="E1058" s="35">
        <f t="shared" si="123"/>
        <v>0</v>
      </c>
      <c r="F1058" s="35">
        <f t="shared" si="123"/>
        <v>0</v>
      </c>
      <c r="G1058" s="35">
        <f t="shared" si="123"/>
        <v>3.8441625767256205</v>
      </c>
      <c r="H1058" s="35">
        <f t="shared" si="123"/>
        <v>12.764659831666325</v>
      </c>
      <c r="I1058" s="35">
        <f t="shared" si="123"/>
        <v>2.3984815439693841</v>
      </c>
      <c r="J1058" s="35">
        <f t="shared" si="123"/>
        <v>6.0662177328843998E-2</v>
      </c>
      <c r="K1058" s="35">
        <f t="shared" si="123"/>
        <v>0</v>
      </c>
      <c r="L1058" s="35">
        <f t="shared" si="122"/>
        <v>0</v>
      </c>
      <c r="M1058" s="35">
        <f t="shared" si="124"/>
        <v>19.067966129690173</v>
      </c>
      <c r="S1058" t="s">
        <v>101</v>
      </c>
      <c r="T1058" s="5">
        <f>data_origin!T1225</f>
        <v>0</v>
      </c>
      <c r="U1058" s="5">
        <f>data_origin!U1225</f>
        <v>0</v>
      </c>
      <c r="V1058" s="5">
        <f>data_origin!V1225</f>
        <v>3.8368421052631581</v>
      </c>
      <c r="W1058" s="5">
        <f>data_origin!W1225</f>
        <v>12.73224043715847</v>
      </c>
      <c r="X1058" s="5">
        <f>data_origin!X1225</f>
        <v>2.3947368421052633</v>
      </c>
      <c r="Y1058" s="5">
        <f>data_origin!Y1225</f>
        <v>6.0606060606060608E-2</v>
      </c>
      <c r="Z1058" s="5">
        <f>data_origin!Z1225</f>
        <v>0</v>
      </c>
      <c r="AA1058" s="5">
        <f>data_origin!AA1225</f>
        <v>0</v>
      </c>
      <c r="AB1058" s="5">
        <f t="shared" si="125"/>
        <v>19.024425445132955</v>
      </c>
    </row>
    <row r="1059" spans="1:28" x14ac:dyDescent="0.25">
      <c r="A1059" s="24" t="s">
        <v>115</v>
      </c>
      <c r="B1059" s="24" t="s">
        <v>103</v>
      </c>
      <c r="C1059" s="24" t="s">
        <v>107</v>
      </c>
      <c r="D1059" t="s">
        <v>70</v>
      </c>
      <c r="E1059" s="35">
        <f t="shared" si="123"/>
        <v>0</v>
      </c>
      <c r="F1059" s="35">
        <f t="shared" si="123"/>
        <v>0</v>
      </c>
      <c r="G1059" s="35">
        <f t="shared" si="123"/>
        <v>0</v>
      </c>
      <c r="H1059" s="35">
        <f t="shared" si="123"/>
        <v>0</v>
      </c>
      <c r="I1059" s="35">
        <f t="shared" si="123"/>
        <v>0</v>
      </c>
      <c r="J1059" s="35">
        <f t="shared" si="123"/>
        <v>0</v>
      </c>
      <c r="K1059" s="35">
        <f t="shared" si="123"/>
        <v>0</v>
      </c>
      <c r="L1059" s="35">
        <f t="shared" si="122"/>
        <v>0</v>
      </c>
      <c r="M1059" s="35">
        <f t="shared" si="124"/>
        <v>0</v>
      </c>
      <c r="P1059" t="s">
        <v>115</v>
      </c>
      <c r="Q1059" t="s">
        <v>103</v>
      </c>
      <c r="R1059" t="s">
        <v>107</v>
      </c>
      <c r="S1059" t="s">
        <v>70</v>
      </c>
      <c r="T1059" s="5">
        <f>data_origin!T1227</f>
        <v>0</v>
      </c>
      <c r="U1059" s="5">
        <f>data_origin!U1227</f>
        <v>0</v>
      </c>
      <c r="V1059" s="5">
        <f>data_origin!V1227</f>
        <v>0</v>
      </c>
      <c r="W1059" s="5">
        <f>data_origin!W1227</f>
        <v>0</v>
      </c>
      <c r="X1059" s="5">
        <f>data_origin!X1227</f>
        <v>0</v>
      </c>
      <c r="Y1059" s="5">
        <f>data_origin!Y1227</f>
        <v>0</v>
      </c>
      <c r="Z1059" s="5">
        <f>data_origin!Z1227</f>
        <v>0</v>
      </c>
      <c r="AA1059" s="5">
        <f>data_origin!AA1227</f>
        <v>0</v>
      </c>
      <c r="AB1059" s="5">
        <f t="shared" si="125"/>
        <v>0</v>
      </c>
    </row>
    <row r="1060" spans="1:28" x14ac:dyDescent="0.25">
      <c r="D1060" t="s">
        <v>71</v>
      </c>
      <c r="E1060" s="35">
        <f t="shared" si="123"/>
        <v>0</v>
      </c>
      <c r="F1060" s="35">
        <f t="shared" si="123"/>
        <v>0</v>
      </c>
      <c r="G1060" s="35">
        <f t="shared" si="123"/>
        <v>0</v>
      </c>
      <c r="H1060" s="35">
        <f t="shared" si="123"/>
        <v>0</v>
      </c>
      <c r="I1060" s="35">
        <f t="shared" si="123"/>
        <v>0</v>
      </c>
      <c r="J1060" s="35">
        <f t="shared" si="123"/>
        <v>0</v>
      </c>
      <c r="K1060" s="35">
        <f t="shared" si="123"/>
        <v>0</v>
      </c>
      <c r="L1060" s="35">
        <f t="shared" si="122"/>
        <v>0</v>
      </c>
      <c r="M1060" s="35">
        <f t="shared" si="124"/>
        <v>0</v>
      </c>
      <c r="S1060" t="s">
        <v>71</v>
      </c>
      <c r="T1060" s="5">
        <f>data_origin!T1228</f>
        <v>0</v>
      </c>
      <c r="U1060" s="5">
        <f>data_origin!U1228</f>
        <v>0</v>
      </c>
      <c r="V1060" s="5">
        <f>data_origin!V1228</f>
        <v>0</v>
      </c>
      <c r="W1060" s="5">
        <f>data_origin!W1228</f>
        <v>0</v>
      </c>
      <c r="X1060" s="5">
        <f>data_origin!X1228</f>
        <v>0</v>
      </c>
      <c r="Y1060" s="5">
        <f>data_origin!Y1228</f>
        <v>0</v>
      </c>
      <c r="Z1060" s="5">
        <f>data_origin!Z1228</f>
        <v>0</v>
      </c>
      <c r="AA1060" s="5">
        <f>data_origin!AA1228</f>
        <v>0</v>
      </c>
      <c r="AB1060" s="5">
        <f t="shared" si="125"/>
        <v>0</v>
      </c>
    </row>
    <row r="1061" spans="1:28" x14ac:dyDescent="0.25">
      <c r="D1061" t="s">
        <v>72</v>
      </c>
      <c r="E1061" s="35">
        <f t="shared" si="123"/>
        <v>0</v>
      </c>
      <c r="F1061" s="35">
        <f t="shared" si="123"/>
        <v>0</v>
      </c>
      <c r="G1061" s="35">
        <f t="shared" si="123"/>
        <v>0</v>
      </c>
      <c r="H1061" s="35">
        <f t="shared" si="123"/>
        <v>0</v>
      </c>
      <c r="I1061" s="35">
        <f t="shared" si="123"/>
        <v>0</v>
      </c>
      <c r="J1061" s="35">
        <f t="shared" si="123"/>
        <v>0</v>
      </c>
      <c r="K1061" s="35">
        <f t="shared" si="123"/>
        <v>0</v>
      </c>
      <c r="L1061" s="35">
        <f t="shared" si="122"/>
        <v>0</v>
      </c>
      <c r="M1061" s="35">
        <f t="shared" si="124"/>
        <v>0</v>
      </c>
      <c r="S1061" t="s">
        <v>72</v>
      </c>
      <c r="T1061" s="5">
        <f>data_origin!T1229</f>
        <v>0</v>
      </c>
      <c r="U1061" s="5">
        <f>data_origin!U1229</f>
        <v>0</v>
      </c>
      <c r="V1061" s="5">
        <f>data_origin!V1229</f>
        <v>0</v>
      </c>
      <c r="W1061" s="5">
        <f>data_origin!W1229</f>
        <v>0</v>
      </c>
      <c r="X1061" s="5">
        <f>data_origin!X1229</f>
        <v>0</v>
      </c>
      <c r="Y1061" s="5">
        <f>data_origin!Y1229</f>
        <v>0</v>
      </c>
      <c r="Z1061" s="5">
        <f>data_origin!Z1229</f>
        <v>0</v>
      </c>
      <c r="AA1061" s="5">
        <f>data_origin!AA1229</f>
        <v>0</v>
      </c>
      <c r="AB1061" s="5">
        <f t="shared" si="125"/>
        <v>0</v>
      </c>
    </row>
    <row r="1062" spans="1:28" x14ac:dyDescent="0.25">
      <c r="D1062" t="s">
        <v>73</v>
      </c>
      <c r="E1062" s="35">
        <f t="shared" si="123"/>
        <v>0</v>
      </c>
      <c r="F1062" s="35">
        <f t="shared" si="123"/>
        <v>0</v>
      </c>
      <c r="G1062" s="35">
        <f t="shared" si="123"/>
        <v>0</v>
      </c>
      <c r="H1062" s="35">
        <f t="shared" ref="H1062:L1118" si="126">W1062+IFERROR((W1062/SUM(W$993:W$1982)*AZ$630),0)</f>
        <v>0</v>
      </c>
      <c r="I1062" s="35">
        <f t="shared" si="126"/>
        <v>0</v>
      </c>
      <c r="J1062" s="35">
        <f t="shared" si="126"/>
        <v>0</v>
      </c>
      <c r="K1062" s="35">
        <f t="shared" si="126"/>
        <v>0</v>
      </c>
      <c r="L1062" s="35">
        <f t="shared" si="122"/>
        <v>0</v>
      </c>
      <c r="M1062" s="35">
        <f t="shared" si="124"/>
        <v>0</v>
      </c>
      <c r="S1062" t="s">
        <v>73</v>
      </c>
      <c r="T1062" s="5">
        <f>data_origin!T1230</f>
        <v>0</v>
      </c>
      <c r="U1062" s="5">
        <f>data_origin!U1230</f>
        <v>0</v>
      </c>
      <c r="V1062" s="5">
        <f>data_origin!V1230</f>
        <v>0</v>
      </c>
      <c r="W1062" s="5">
        <f>data_origin!W1230</f>
        <v>0</v>
      </c>
      <c r="X1062" s="5">
        <f>data_origin!X1230</f>
        <v>0</v>
      </c>
      <c r="Y1062" s="5">
        <f>data_origin!Y1230</f>
        <v>0</v>
      </c>
      <c r="Z1062" s="5">
        <f>data_origin!Z1230</f>
        <v>0</v>
      </c>
      <c r="AA1062" s="5">
        <f>data_origin!AA1230</f>
        <v>0</v>
      </c>
      <c r="AB1062" s="5">
        <f t="shared" si="125"/>
        <v>0</v>
      </c>
    </row>
    <row r="1063" spans="1:28" x14ac:dyDescent="0.25">
      <c r="D1063" t="s">
        <v>74</v>
      </c>
      <c r="E1063" s="35">
        <f t="shared" ref="E1063:I1124" si="127">T1063+IFERROR((T1063/SUM(T$993:T$1982)*AW$630),0)</f>
        <v>0</v>
      </c>
      <c r="F1063" s="35">
        <f t="shared" si="127"/>
        <v>0</v>
      </c>
      <c r="G1063" s="35">
        <f t="shared" si="127"/>
        <v>0</v>
      </c>
      <c r="H1063" s="35">
        <f t="shared" si="126"/>
        <v>0</v>
      </c>
      <c r="I1063" s="35">
        <f t="shared" si="126"/>
        <v>0</v>
      </c>
      <c r="J1063" s="35">
        <f t="shared" si="126"/>
        <v>0</v>
      </c>
      <c r="K1063" s="35">
        <f t="shared" si="126"/>
        <v>0</v>
      </c>
      <c r="L1063" s="35">
        <f t="shared" si="122"/>
        <v>0</v>
      </c>
      <c r="M1063" s="35">
        <f t="shared" si="124"/>
        <v>0</v>
      </c>
      <c r="S1063" t="s">
        <v>74</v>
      </c>
      <c r="T1063" s="5">
        <f>data_origin!T1231</f>
        <v>0</v>
      </c>
      <c r="U1063" s="5">
        <f>data_origin!U1231</f>
        <v>0</v>
      </c>
      <c r="V1063" s="5">
        <f>data_origin!V1231</f>
        <v>0</v>
      </c>
      <c r="W1063" s="5">
        <f>data_origin!W1231</f>
        <v>0</v>
      </c>
      <c r="X1063" s="5">
        <f>data_origin!X1231</f>
        <v>0</v>
      </c>
      <c r="Y1063" s="5">
        <f>data_origin!Y1231</f>
        <v>0</v>
      </c>
      <c r="Z1063" s="5">
        <f>data_origin!Z1231</f>
        <v>0</v>
      </c>
      <c r="AA1063" s="5">
        <f>data_origin!AA1231</f>
        <v>0</v>
      </c>
      <c r="AB1063" s="5">
        <f t="shared" si="125"/>
        <v>0</v>
      </c>
    </row>
    <row r="1064" spans="1:28" x14ac:dyDescent="0.25">
      <c r="D1064" t="s">
        <v>75</v>
      </c>
      <c r="E1064" s="35">
        <f t="shared" si="127"/>
        <v>0</v>
      </c>
      <c r="F1064" s="35">
        <f t="shared" si="127"/>
        <v>0</v>
      </c>
      <c r="G1064" s="35">
        <f t="shared" si="127"/>
        <v>0</v>
      </c>
      <c r="H1064" s="35">
        <f t="shared" si="126"/>
        <v>0</v>
      </c>
      <c r="I1064" s="35">
        <f t="shared" si="126"/>
        <v>0</v>
      </c>
      <c r="J1064" s="35">
        <f t="shared" si="126"/>
        <v>0</v>
      </c>
      <c r="K1064" s="35">
        <f t="shared" si="126"/>
        <v>0</v>
      </c>
      <c r="L1064" s="35">
        <f t="shared" si="122"/>
        <v>0</v>
      </c>
      <c r="M1064" s="35">
        <f t="shared" si="124"/>
        <v>0</v>
      </c>
      <c r="S1064" t="s">
        <v>75</v>
      </c>
      <c r="T1064" s="5">
        <f>data_origin!T1232</f>
        <v>0</v>
      </c>
      <c r="U1064" s="5">
        <f>data_origin!U1232</f>
        <v>0</v>
      </c>
      <c r="V1064" s="5">
        <f>data_origin!V1232</f>
        <v>0</v>
      </c>
      <c r="W1064" s="5">
        <f>data_origin!W1232</f>
        <v>0</v>
      </c>
      <c r="X1064" s="5">
        <f>data_origin!X1232</f>
        <v>0</v>
      </c>
      <c r="Y1064" s="5">
        <f>data_origin!Y1232</f>
        <v>0</v>
      </c>
      <c r="Z1064" s="5">
        <f>data_origin!Z1232</f>
        <v>0</v>
      </c>
      <c r="AA1064" s="5">
        <f>data_origin!AA1232</f>
        <v>0</v>
      </c>
      <c r="AB1064" s="5">
        <f t="shared" si="125"/>
        <v>0</v>
      </c>
    </row>
    <row r="1065" spans="1:28" x14ac:dyDescent="0.25">
      <c r="D1065" t="s">
        <v>76</v>
      </c>
      <c r="E1065" s="35">
        <f t="shared" si="127"/>
        <v>0</v>
      </c>
      <c r="F1065" s="35">
        <f t="shared" si="127"/>
        <v>0</v>
      </c>
      <c r="G1065" s="35">
        <f t="shared" si="127"/>
        <v>0</v>
      </c>
      <c r="H1065" s="35">
        <f t="shared" si="126"/>
        <v>0</v>
      </c>
      <c r="I1065" s="35">
        <f t="shared" si="126"/>
        <v>0</v>
      </c>
      <c r="J1065" s="35">
        <f t="shared" si="126"/>
        <v>0</v>
      </c>
      <c r="K1065" s="35">
        <f t="shared" si="126"/>
        <v>0</v>
      </c>
      <c r="L1065" s="35">
        <f t="shared" si="122"/>
        <v>0</v>
      </c>
      <c r="M1065" s="35">
        <f t="shared" si="124"/>
        <v>0</v>
      </c>
      <c r="S1065" t="s">
        <v>76</v>
      </c>
      <c r="T1065" s="5">
        <f>data_origin!T1233</f>
        <v>0</v>
      </c>
      <c r="U1065" s="5">
        <f>data_origin!U1233</f>
        <v>0</v>
      </c>
      <c r="V1065" s="5">
        <f>data_origin!V1233</f>
        <v>0</v>
      </c>
      <c r="W1065" s="5">
        <f>data_origin!W1233</f>
        <v>0</v>
      </c>
      <c r="X1065" s="5">
        <f>data_origin!X1233</f>
        <v>0</v>
      </c>
      <c r="Y1065" s="5">
        <f>data_origin!Y1233</f>
        <v>0</v>
      </c>
      <c r="Z1065" s="5">
        <f>data_origin!Z1233</f>
        <v>0</v>
      </c>
      <c r="AA1065" s="5">
        <f>data_origin!AA1233</f>
        <v>0</v>
      </c>
      <c r="AB1065" s="5">
        <f t="shared" si="125"/>
        <v>0</v>
      </c>
    </row>
    <row r="1066" spans="1:28" x14ac:dyDescent="0.25">
      <c r="D1066" t="s">
        <v>77</v>
      </c>
      <c r="E1066" s="35">
        <f t="shared" si="127"/>
        <v>0</v>
      </c>
      <c r="F1066" s="35">
        <f t="shared" si="127"/>
        <v>0</v>
      </c>
      <c r="G1066" s="35">
        <f t="shared" si="127"/>
        <v>0</v>
      </c>
      <c r="H1066" s="35">
        <f t="shared" si="126"/>
        <v>0</v>
      </c>
      <c r="I1066" s="35">
        <f t="shared" si="126"/>
        <v>0</v>
      </c>
      <c r="J1066" s="35">
        <f t="shared" si="126"/>
        <v>0</v>
      </c>
      <c r="K1066" s="35">
        <f t="shared" si="126"/>
        <v>0</v>
      </c>
      <c r="L1066" s="35">
        <f t="shared" si="122"/>
        <v>0</v>
      </c>
      <c r="M1066" s="35">
        <f t="shared" si="124"/>
        <v>0</v>
      </c>
      <c r="S1066" t="s">
        <v>77</v>
      </c>
      <c r="T1066" s="5">
        <f>data_origin!T1234</f>
        <v>0</v>
      </c>
      <c r="U1066" s="5">
        <f>data_origin!U1234</f>
        <v>0</v>
      </c>
      <c r="V1066" s="5">
        <f>data_origin!V1234</f>
        <v>0</v>
      </c>
      <c r="W1066" s="5">
        <f>data_origin!W1234</f>
        <v>0</v>
      </c>
      <c r="X1066" s="5">
        <f>data_origin!X1234</f>
        <v>0</v>
      </c>
      <c r="Y1066" s="5">
        <f>data_origin!Y1234</f>
        <v>0</v>
      </c>
      <c r="Z1066" s="5">
        <f>data_origin!Z1234</f>
        <v>0</v>
      </c>
      <c r="AA1066" s="5">
        <f>data_origin!AA1234</f>
        <v>0</v>
      </c>
      <c r="AB1066" s="5">
        <f t="shared" si="125"/>
        <v>0</v>
      </c>
    </row>
    <row r="1067" spans="1:28" x14ac:dyDescent="0.25">
      <c r="D1067" t="s">
        <v>78</v>
      </c>
      <c r="E1067" s="35">
        <f t="shared" si="127"/>
        <v>0</v>
      </c>
      <c r="F1067" s="35">
        <f t="shared" si="127"/>
        <v>0</v>
      </c>
      <c r="G1067" s="35">
        <f t="shared" si="127"/>
        <v>0</v>
      </c>
      <c r="H1067" s="35">
        <f t="shared" si="126"/>
        <v>0</v>
      </c>
      <c r="I1067" s="35">
        <f t="shared" si="126"/>
        <v>0</v>
      </c>
      <c r="J1067" s="35">
        <f t="shared" si="126"/>
        <v>0</v>
      </c>
      <c r="K1067" s="35">
        <f t="shared" si="126"/>
        <v>0</v>
      </c>
      <c r="L1067" s="35">
        <f t="shared" si="122"/>
        <v>0</v>
      </c>
      <c r="M1067" s="35">
        <f t="shared" si="124"/>
        <v>0</v>
      </c>
      <c r="S1067" t="s">
        <v>78</v>
      </c>
      <c r="T1067" s="5">
        <f>data_origin!T1235</f>
        <v>0</v>
      </c>
      <c r="U1067" s="5">
        <f>data_origin!U1235</f>
        <v>0</v>
      </c>
      <c r="V1067" s="5">
        <f>data_origin!V1235</f>
        <v>0</v>
      </c>
      <c r="W1067" s="5">
        <f>data_origin!W1235</f>
        <v>0</v>
      </c>
      <c r="X1067" s="5">
        <f>data_origin!X1235</f>
        <v>0</v>
      </c>
      <c r="Y1067" s="5">
        <f>data_origin!Y1235</f>
        <v>0</v>
      </c>
      <c r="Z1067" s="5">
        <f>data_origin!Z1235</f>
        <v>0</v>
      </c>
      <c r="AA1067" s="5">
        <f>data_origin!AA1235</f>
        <v>0</v>
      </c>
      <c r="AB1067" s="5">
        <f t="shared" si="125"/>
        <v>0</v>
      </c>
    </row>
    <row r="1068" spans="1:28" x14ac:dyDescent="0.25">
      <c r="D1068" t="s">
        <v>79</v>
      </c>
      <c r="E1068" s="35">
        <f t="shared" si="127"/>
        <v>0</v>
      </c>
      <c r="F1068" s="35">
        <f t="shared" si="127"/>
        <v>0</v>
      </c>
      <c r="G1068" s="35">
        <f t="shared" si="127"/>
        <v>0</v>
      </c>
      <c r="H1068" s="35">
        <f t="shared" si="126"/>
        <v>0</v>
      </c>
      <c r="I1068" s="35">
        <f t="shared" si="126"/>
        <v>0</v>
      </c>
      <c r="J1068" s="35">
        <f t="shared" si="126"/>
        <v>0</v>
      </c>
      <c r="K1068" s="35">
        <f t="shared" si="126"/>
        <v>0</v>
      </c>
      <c r="L1068" s="35">
        <f t="shared" si="122"/>
        <v>0</v>
      </c>
      <c r="M1068" s="35">
        <f t="shared" si="124"/>
        <v>0</v>
      </c>
      <c r="S1068" t="s">
        <v>79</v>
      </c>
      <c r="T1068" s="5">
        <f>data_origin!T1236</f>
        <v>0</v>
      </c>
      <c r="U1068" s="5">
        <f>data_origin!U1236</f>
        <v>0</v>
      </c>
      <c r="V1068" s="5">
        <f>data_origin!V1236</f>
        <v>0</v>
      </c>
      <c r="W1068" s="5">
        <f>data_origin!W1236</f>
        <v>0</v>
      </c>
      <c r="X1068" s="5">
        <f>data_origin!X1236</f>
        <v>0</v>
      </c>
      <c r="Y1068" s="5">
        <f>data_origin!Y1236</f>
        <v>0</v>
      </c>
      <c r="Z1068" s="5">
        <f>data_origin!Z1236</f>
        <v>0</v>
      </c>
      <c r="AA1068" s="5">
        <f>data_origin!AA1236</f>
        <v>0</v>
      </c>
      <c r="AB1068" s="5">
        <f t="shared" si="125"/>
        <v>0</v>
      </c>
    </row>
    <row r="1069" spans="1:28" x14ac:dyDescent="0.25">
      <c r="D1069" t="s">
        <v>80</v>
      </c>
      <c r="E1069" s="35">
        <f t="shared" si="127"/>
        <v>0</v>
      </c>
      <c r="F1069" s="35">
        <f t="shared" si="127"/>
        <v>0</v>
      </c>
      <c r="G1069" s="35">
        <f t="shared" si="127"/>
        <v>0</v>
      </c>
      <c r="H1069" s="35">
        <f t="shared" si="126"/>
        <v>0</v>
      </c>
      <c r="I1069" s="35">
        <f t="shared" si="126"/>
        <v>0</v>
      </c>
      <c r="J1069" s="35">
        <f t="shared" si="126"/>
        <v>0</v>
      </c>
      <c r="K1069" s="35">
        <f t="shared" si="126"/>
        <v>0</v>
      </c>
      <c r="L1069" s="35">
        <f t="shared" si="122"/>
        <v>0</v>
      </c>
      <c r="M1069" s="35">
        <f t="shared" si="124"/>
        <v>0</v>
      </c>
      <c r="S1069" t="s">
        <v>80</v>
      </c>
      <c r="T1069" s="5">
        <f>data_origin!T1237</f>
        <v>0</v>
      </c>
      <c r="U1069" s="5">
        <f>data_origin!U1237</f>
        <v>0</v>
      </c>
      <c r="V1069" s="5">
        <f>data_origin!V1237</f>
        <v>0</v>
      </c>
      <c r="W1069" s="5">
        <f>data_origin!W1237</f>
        <v>0</v>
      </c>
      <c r="X1069" s="5">
        <f>data_origin!X1237</f>
        <v>0</v>
      </c>
      <c r="Y1069" s="5">
        <f>data_origin!Y1237</f>
        <v>0</v>
      </c>
      <c r="Z1069" s="5">
        <f>data_origin!Z1237</f>
        <v>0</v>
      </c>
      <c r="AA1069" s="5">
        <f>data_origin!AA1237</f>
        <v>0</v>
      </c>
      <c r="AB1069" s="5">
        <f t="shared" si="125"/>
        <v>0</v>
      </c>
    </row>
    <row r="1070" spans="1:28" x14ac:dyDescent="0.25">
      <c r="D1070" t="s">
        <v>81</v>
      </c>
      <c r="E1070" s="35">
        <f t="shared" si="127"/>
        <v>0</v>
      </c>
      <c r="F1070" s="35">
        <f t="shared" si="127"/>
        <v>0</v>
      </c>
      <c r="G1070" s="35">
        <f t="shared" si="127"/>
        <v>0</v>
      </c>
      <c r="H1070" s="35">
        <f t="shared" si="126"/>
        <v>0</v>
      </c>
      <c r="I1070" s="35">
        <f t="shared" si="126"/>
        <v>0</v>
      </c>
      <c r="J1070" s="35">
        <f t="shared" si="126"/>
        <v>0</v>
      </c>
      <c r="K1070" s="35">
        <f t="shared" si="126"/>
        <v>0</v>
      </c>
      <c r="L1070" s="35">
        <f t="shared" si="122"/>
        <v>0</v>
      </c>
      <c r="M1070" s="35">
        <f t="shared" si="124"/>
        <v>0</v>
      </c>
      <c r="S1070" t="s">
        <v>81</v>
      </c>
      <c r="T1070" s="5">
        <f>data_origin!T1238</f>
        <v>0</v>
      </c>
      <c r="U1070" s="5">
        <f>data_origin!U1238</f>
        <v>0</v>
      </c>
      <c r="V1070" s="5">
        <f>data_origin!V1238</f>
        <v>0</v>
      </c>
      <c r="W1070" s="5">
        <f>data_origin!W1238</f>
        <v>0</v>
      </c>
      <c r="X1070" s="5">
        <f>data_origin!X1238</f>
        <v>0</v>
      </c>
      <c r="Y1070" s="5">
        <f>data_origin!Y1238</f>
        <v>0</v>
      </c>
      <c r="Z1070" s="5">
        <f>data_origin!Z1238</f>
        <v>0</v>
      </c>
      <c r="AA1070" s="5">
        <f>data_origin!AA1238</f>
        <v>0</v>
      </c>
      <c r="AB1070" s="5">
        <f t="shared" si="125"/>
        <v>0</v>
      </c>
    </row>
    <row r="1071" spans="1:28" x14ac:dyDescent="0.25">
      <c r="D1071" t="s">
        <v>82</v>
      </c>
      <c r="E1071" s="35">
        <f t="shared" si="127"/>
        <v>0</v>
      </c>
      <c r="F1071" s="35">
        <f t="shared" si="127"/>
        <v>0</v>
      </c>
      <c r="G1071" s="35">
        <f t="shared" si="127"/>
        <v>0</v>
      </c>
      <c r="H1071" s="35">
        <f t="shared" si="126"/>
        <v>0</v>
      </c>
      <c r="I1071" s="35">
        <f t="shared" si="126"/>
        <v>0</v>
      </c>
      <c r="J1071" s="35">
        <f t="shared" si="126"/>
        <v>0</v>
      </c>
      <c r="K1071" s="35">
        <f t="shared" si="126"/>
        <v>0</v>
      </c>
      <c r="L1071" s="35">
        <f t="shared" si="122"/>
        <v>0</v>
      </c>
      <c r="M1071" s="35">
        <f t="shared" si="124"/>
        <v>0</v>
      </c>
      <c r="S1071" t="s">
        <v>82</v>
      </c>
      <c r="T1071" s="5">
        <f>data_origin!T1239</f>
        <v>0</v>
      </c>
      <c r="U1071" s="5">
        <f>data_origin!U1239</f>
        <v>0</v>
      </c>
      <c r="V1071" s="5">
        <f>data_origin!V1239</f>
        <v>0</v>
      </c>
      <c r="W1071" s="5">
        <f>data_origin!W1239</f>
        <v>0</v>
      </c>
      <c r="X1071" s="5">
        <f>data_origin!X1239</f>
        <v>0</v>
      </c>
      <c r="Y1071" s="5">
        <f>data_origin!Y1239</f>
        <v>0</v>
      </c>
      <c r="Z1071" s="5">
        <f>data_origin!Z1239</f>
        <v>0</v>
      </c>
      <c r="AA1071" s="5">
        <f>data_origin!AA1239</f>
        <v>0</v>
      </c>
      <c r="AB1071" s="5">
        <f t="shared" si="125"/>
        <v>0</v>
      </c>
    </row>
    <row r="1072" spans="1:28" x14ac:dyDescent="0.25">
      <c r="D1072" t="s">
        <v>83</v>
      </c>
      <c r="E1072" s="35">
        <f t="shared" si="127"/>
        <v>0</v>
      </c>
      <c r="F1072" s="35">
        <f t="shared" si="127"/>
        <v>0</v>
      </c>
      <c r="G1072" s="35">
        <f t="shared" si="127"/>
        <v>0</v>
      </c>
      <c r="H1072" s="35">
        <f t="shared" si="126"/>
        <v>0</v>
      </c>
      <c r="I1072" s="35">
        <f t="shared" si="126"/>
        <v>0</v>
      </c>
      <c r="J1072" s="35">
        <f t="shared" si="126"/>
        <v>0</v>
      </c>
      <c r="K1072" s="35">
        <f t="shared" si="126"/>
        <v>0</v>
      </c>
      <c r="L1072" s="35">
        <f t="shared" si="122"/>
        <v>0</v>
      </c>
      <c r="M1072" s="35">
        <f t="shared" si="124"/>
        <v>0</v>
      </c>
      <c r="S1072" t="s">
        <v>83</v>
      </c>
      <c r="T1072" s="5">
        <f>data_origin!T1240</f>
        <v>0</v>
      </c>
      <c r="U1072" s="5">
        <f>data_origin!U1240</f>
        <v>0</v>
      </c>
      <c r="V1072" s="5">
        <f>data_origin!V1240</f>
        <v>0</v>
      </c>
      <c r="W1072" s="5">
        <f>data_origin!W1240</f>
        <v>0</v>
      </c>
      <c r="X1072" s="5">
        <f>data_origin!X1240</f>
        <v>0</v>
      </c>
      <c r="Y1072" s="5">
        <f>data_origin!Y1240</f>
        <v>0</v>
      </c>
      <c r="Z1072" s="5">
        <f>data_origin!Z1240</f>
        <v>0</v>
      </c>
      <c r="AA1072" s="5">
        <f>data_origin!AA1240</f>
        <v>0</v>
      </c>
      <c r="AB1072" s="5">
        <f t="shared" si="125"/>
        <v>0</v>
      </c>
    </row>
    <row r="1073" spans="4:28" x14ac:dyDescent="0.25">
      <c r="D1073" t="s">
        <v>84</v>
      </c>
      <c r="E1073" s="35">
        <f t="shared" si="127"/>
        <v>0</v>
      </c>
      <c r="F1073" s="35">
        <f t="shared" si="127"/>
        <v>0</v>
      </c>
      <c r="G1073" s="35">
        <f t="shared" si="127"/>
        <v>0</v>
      </c>
      <c r="H1073" s="35">
        <f t="shared" si="126"/>
        <v>0</v>
      </c>
      <c r="I1073" s="35">
        <f t="shared" si="126"/>
        <v>0</v>
      </c>
      <c r="J1073" s="35">
        <f t="shared" si="126"/>
        <v>0</v>
      </c>
      <c r="K1073" s="35">
        <f t="shared" si="126"/>
        <v>0</v>
      </c>
      <c r="L1073" s="35">
        <f t="shared" si="122"/>
        <v>0</v>
      </c>
      <c r="M1073" s="35">
        <f t="shared" si="124"/>
        <v>0</v>
      </c>
      <c r="S1073" t="s">
        <v>84</v>
      </c>
      <c r="T1073" s="5">
        <f>data_origin!T1241</f>
        <v>0</v>
      </c>
      <c r="U1073" s="5">
        <f>data_origin!U1241</f>
        <v>0</v>
      </c>
      <c r="V1073" s="5">
        <f>data_origin!V1241</f>
        <v>0</v>
      </c>
      <c r="W1073" s="5">
        <f>data_origin!W1241</f>
        <v>0</v>
      </c>
      <c r="X1073" s="5">
        <f>data_origin!X1241</f>
        <v>0</v>
      </c>
      <c r="Y1073" s="5">
        <f>data_origin!Y1241</f>
        <v>0</v>
      </c>
      <c r="Z1073" s="5">
        <f>data_origin!Z1241</f>
        <v>0</v>
      </c>
      <c r="AA1073" s="5">
        <f>data_origin!AA1241</f>
        <v>0</v>
      </c>
      <c r="AB1073" s="5">
        <f t="shared" si="125"/>
        <v>0</v>
      </c>
    </row>
    <row r="1074" spans="4:28" x14ac:dyDescent="0.25">
      <c r="D1074" t="s">
        <v>85</v>
      </c>
      <c r="E1074" s="35">
        <f t="shared" si="127"/>
        <v>0</v>
      </c>
      <c r="F1074" s="35">
        <f t="shared" si="127"/>
        <v>0</v>
      </c>
      <c r="G1074" s="35">
        <f t="shared" si="127"/>
        <v>0</v>
      </c>
      <c r="H1074" s="35">
        <f t="shared" si="126"/>
        <v>0</v>
      </c>
      <c r="I1074" s="35">
        <f t="shared" si="126"/>
        <v>0</v>
      </c>
      <c r="J1074" s="35">
        <f t="shared" si="126"/>
        <v>0</v>
      </c>
      <c r="K1074" s="35">
        <f t="shared" si="126"/>
        <v>0</v>
      </c>
      <c r="L1074" s="35">
        <f t="shared" si="122"/>
        <v>0</v>
      </c>
      <c r="M1074" s="35">
        <f t="shared" si="124"/>
        <v>0</v>
      </c>
      <c r="S1074" t="s">
        <v>85</v>
      </c>
      <c r="T1074" s="5">
        <f>data_origin!T1242</f>
        <v>0</v>
      </c>
      <c r="U1074" s="5">
        <f>data_origin!U1242</f>
        <v>0</v>
      </c>
      <c r="V1074" s="5">
        <f>data_origin!V1242</f>
        <v>0</v>
      </c>
      <c r="W1074" s="5">
        <f>data_origin!W1242</f>
        <v>0</v>
      </c>
      <c r="X1074" s="5">
        <f>data_origin!X1242</f>
        <v>0</v>
      </c>
      <c r="Y1074" s="5">
        <f>data_origin!Y1242</f>
        <v>0</v>
      </c>
      <c r="Z1074" s="5">
        <f>data_origin!Z1242</f>
        <v>0</v>
      </c>
      <c r="AA1074" s="5">
        <f>data_origin!AA1242</f>
        <v>0</v>
      </c>
      <c r="AB1074" s="5">
        <f t="shared" si="125"/>
        <v>0</v>
      </c>
    </row>
    <row r="1075" spans="4:28" x14ac:dyDescent="0.25">
      <c r="D1075" t="s">
        <v>86</v>
      </c>
      <c r="E1075" s="35">
        <f t="shared" si="127"/>
        <v>0</v>
      </c>
      <c r="F1075" s="35">
        <f t="shared" si="127"/>
        <v>0</v>
      </c>
      <c r="G1075" s="35">
        <f t="shared" si="127"/>
        <v>0</v>
      </c>
      <c r="H1075" s="35">
        <f t="shared" si="126"/>
        <v>0</v>
      </c>
      <c r="I1075" s="35">
        <f t="shared" si="126"/>
        <v>0</v>
      </c>
      <c r="J1075" s="35">
        <f t="shared" si="126"/>
        <v>0</v>
      </c>
      <c r="K1075" s="35">
        <f t="shared" si="126"/>
        <v>0</v>
      </c>
      <c r="L1075" s="35">
        <f t="shared" si="122"/>
        <v>0</v>
      </c>
      <c r="M1075" s="35">
        <f t="shared" si="124"/>
        <v>0</v>
      </c>
      <c r="S1075" t="s">
        <v>86</v>
      </c>
      <c r="T1075" s="5">
        <f>data_origin!T1243</f>
        <v>0</v>
      </c>
      <c r="U1075" s="5">
        <f>data_origin!U1243</f>
        <v>0</v>
      </c>
      <c r="V1075" s="5">
        <f>data_origin!V1243</f>
        <v>0</v>
      </c>
      <c r="W1075" s="5">
        <f>data_origin!W1243</f>
        <v>0</v>
      </c>
      <c r="X1075" s="5">
        <f>data_origin!X1243</f>
        <v>0</v>
      </c>
      <c r="Y1075" s="5">
        <f>data_origin!Y1243</f>
        <v>0</v>
      </c>
      <c r="Z1075" s="5">
        <f>data_origin!Z1243</f>
        <v>0</v>
      </c>
      <c r="AA1075" s="5">
        <f>data_origin!AA1243</f>
        <v>0</v>
      </c>
      <c r="AB1075" s="5">
        <f t="shared" si="125"/>
        <v>0</v>
      </c>
    </row>
    <row r="1076" spans="4:28" x14ac:dyDescent="0.25">
      <c r="D1076" t="s">
        <v>87</v>
      </c>
      <c r="E1076" s="35">
        <f t="shared" si="127"/>
        <v>0</v>
      </c>
      <c r="F1076" s="35">
        <f t="shared" si="127"/>
        <v>0</v>
      </c>
      <c r="G1076" s="35">
        <f t="shared" si="127"/>
        <v>0</v>
      </c>
      <c r="H1076" s="35">
        <f t="shared" si="126"/>
        <v>0</v>
      </c>
      <c r="I1076" s="35">
        <f t="shared" si="126"/>
        <v>0</v>
      </c>
      <c r="J1076" s="35">
        <f t="shared" si="126"/>
        <v>0</v>
      </c>
      <c r="K1076" s="35">
        <f t="shared" si="126"/>
        <v>0</v>
      </c>
      <c r="L1076" s="35">
        <f t="shared" si="122"/>
        <v>0</v>
      </c>
      <c r="M1076" s="35">
        <f t="shared" si="124"/>
        <v>0</v>
      </c>
      <c r="S1076" t="s">
        <v>87</v>
      </c>
      <c r="T1076" s="5">
        <f>data_origin!T1244</f>
        <v>0</v>
      </c>
      <c r="U1076" s="5">
        <f>data_origin!U1244</f>
        <v>0</v>
      </c>
      <c r="V1076" s="5">
        <f>data_origin!V1244</f>
        <v>0</v>
      </c>
      <c r="W1076" s="5">
        <f>data_origin!W1244</f>
        <v>0</v>
      </c>
      <c r="X1076" s="5">
        <f>data_origin!X1244</f>
        <v>0</v>
      </c>
      <c r="Y1076" s="5">
        <f>data_origin!Y1244</f>
        <v>0</v>
      </c>
      <c r="Z1076" s="5">
        <f>data_origin!Z1244</f>
        <v>0</v>
      </c>
      <c r="AA1076" s="5">
        <f>data_origin!AA1244</f>
        <v>0</v>
      </c>
      <c r="AB1076" s="5">
        <f t="shared" si="125"/>
        <v>0</v>
      </c>
    </row>
    <row r="1077" spans="4:28" x14ac:dyDescent="0.25">
      <c r="D1077" t="s">
        <v>88</v>
      </c>
      <c r="E1077" s="35">
        <f t="shared" si="127"/>
        <v>0</v>
      </c>
      <c r="F1077" s="35">
        <f t="shared" si="127"/>
        <v>0</v>
      </c>
      <c r="G1077" s="35">
        <f t="shared" si="127"/>
        <v>0</v>
      </c>
      <c r="H1077" s="35">
        <f t="shared" si="126"/>
        <v>0</v>
      </c>
      <c r="I1077" s="35">
        <f t="shared" si="126"/>
        <v>0</v>
      </c>
      <c r="J1077" s="35">
        <f t="shared" si="126"/>
        <v>0</v>
      </c>
      <c r="K1077" s="35">
        <f t="shared" si="126"/>
        <v>0</v>
      </c>
      <c r="L1077" s="35">
        <f t="shared" si="122"/>
        <v>0</v>
      </c>
      <c r="M1077" s="35">
        <f t="shared" si="124"/>
        <v>0</v>
      </c>
      <c r="S1077" t="s">
        <v>88</v>
      </c>
      <c r="T1077" s="5">
        <f>data_origin!T1245</f>
        <v>0</v>
      </c>
      <c r="U1077" s="5">
        <f>data_origin!U1245</f>
        <v>0</v>
      </c>
      <c r="V1077" s="5">
        <f>data_origin!V1245</f>
        <v>0</v>
      </c>
      <c r="W1077" s="5">
        <f>data_origin!W1245</f>
        <v>0</v>
      </c>
      <c r="X1077" s="5">
        <f>data_origin!X1245</f>
        <v>0</v>
      </c>
      <c r="Y1077" s="5">
        <f>data_origin!Y1245</f>
        <v>0</v>
      </c>
      <c r="Z1077" s="5">
        <f>data_origin!Z1245</f>
        <v>0</v>
      </c>
      <c r="AA1077" s="5">
        <f>data_origin!AA1245</f>
        <v>0</v>
      </c>
      <c r="AB1077" s="5">
        <f t="shared" si="125"/>
        <v>0</v>
      </c>
    </row>
    <row r="1078" spans="4:28" x14ac:dyDescent="0.25">
      <c r="D1078" t="s">
        <v>89</v>
      </c>
      <c r="E1078" s="35">
        <f t="shared" si="127"/>
        <v>0</v>
      </c>
      <c r="F1078" s="35">
        <f t="shared" si="127"/>
        <v>0</v>
      </c>
      <c r="G1078" s="35">
        <f t="shared" si="127"/>
        <v>0</v>
      </c>
      <c r="H1078" s="35">
        <f t="shared" si="126"/>
        <v>0</v>
      </c>
      <c r="I1078" s="35">
        <f t="shared" si="126"/>
        <v>0</v>
      </c>
      <c r="J1078" s="35">
        <f t="shared" si="126"/>
        <v>0</v>
      </c>
      <c r="K1078" s="35">
        <f t="shared" si="126"/>
        <v>0</v>
      </c>
      <c r="L1078" s="35">
        <f t="shared" si="122"/>
        <v>0</v>
      </c>
      <c r="M1078" s="35">
        <f t="shared" si="124"/>
        <v>0</v>
      </c>
      <c r="S1078" t="s">
        <v>89</v>
      </c>
      <c r="T1078" s="5">
        <f>data_origin!T1246</f>
        <v>0</v>
      </c>
      <c r="U1078" s="5">
        <f>data_origin!U1246</f>
        <v>0</v>
      </c>
      <c r="V1078" s="5">
        <f>data_origin!V1246</f>
        <v>0</v>
      </c>
      <c r="W1078" s="5">
        <f>data_origin!W1246</f>
        <v>0</v>
      </c>
      <c r="X1078" s="5">
        <f>data_origin!X1246</f>
        <v>0</v>
      </c>
      <c r="Y1078" s="5">
        <f>data_origin!Y1246</f>
        <v>0</v>
      </c>
      <c r="Z1078" s="5">
        <f>data_origin!Z1246</f>
        <v>0</v>
      </c>
      <c r="AA1078" s="5">
        <f>data_origin!AA1246</f>
        <v>0</v>
      </c>
      <c r="AB1078" s="5">
        <f t="shared" si="125"/>
        <v>0</v>
      </c>
    </row>
    <row r="1079" spans="4:28" x14ac:dyDescent="0.25">
      <c r="D1079" t="s">
        <v>90</v>
      </c>
      <c r="E1079" s="35">
        <f t="shared" si="127"/>
        <v>0</v>
      </c>
      <c r="F1079" s="35">
        <f t="shared" si="127"/>
        <v>0</v>
      </c>
      <c r="G1079" s="35">
        <f t="shared" si="127"/>
        <v>0</v>
      </c>
      <c r="H1079" s="35">
        <f t="shared" si="126"/>
        <v>0</v>
      </c>
      <c r="I1079" s="35">
        <f t="shared" si="126"/>
        <v>0</v>
      </c>
      <c r="J1079" s="35">
        <f t="shared" si="126"/>
        <v>0</v>
      </c>
      <c r="K1079" s="35">
        <f t="shared" si="126"/>
        <v>0</v>
      </c>
      <c r="L1079" s="35">
        <f t="shared" si="122"/>
        <v>0</v>
      </c>
      <c r="M1079" s="35">
        <f t="shared" si="124"/>
        <v>0</v>
      </c>
      <c r="S1079" t="s">
        <v>90</v>
      </c>
      <c r="T1079" s="5">
        <f>data_origin!T1247</f>
        <v>0</v>
      </c>
      <c r="U1079" s="5">
        <f>data_origin!U1247</f>
        <v>0</v>
      </c>
      <c r="V1079" s="5">
        <f>data_origin!V1247</f>
        <v>0</v>
      </c>
      <c r="W1079" s="5">
        <f>data_origin!W1247</f>
        <v>0</v>
      </c>
      <c r="X1079" s="5">
        <f>data_origin!X1247</f>
        <v>0</v>
      </c>
      <c r="Y1079" s="5">
        <f>data_origin!Y1247</f>
        <v>0</v>
      </c>
      <c r="Z1079" s="5">
        <f>data_origin!Z1247</f>
        <v>0</v>
      </c>
      <c r="AA1079" s="5">
        <f>data_origin!AA1247</f>
        <v>0</v>
      </c>
      <c r="AB1079" s="5">
        <f t="shared" si="125"/>
        <v>0</v>
      </c>
    </row>
    <row r="1080" spans="4:28" x14ac:dyDescent="0.25">
      <c r="D1080" t="s">
        <v>91</v>
      </c>
      <c r="E1080" s="35">
        <f t="shared" si="127"/>
        <v>0</v>
      </c>
      <c r="F1080" s="35">
        <f t="shared" si="127"/>
        <v>0</v>
      </c>
      <c r="G1080" s="35">
        <f t="shared" si="127"/>
        <v>0</v>
      </c>
      <c r="H1080" s="35">
        <f t="shared" si="126"/>
        <v>0</v>
      </c>
      <c r="I1080" s="35">
        <f t="shared" si="126"/>
        <v>0</v>
      </c>
      <c r="J1080" s="35">
        <f t="shared" si="126"/>
        <v>0</v>
      </c>
      <c r="K1080" s="35">
        <f t="shared" si="126"/>
        <v>0</v>
      </c>
      <c r="L1080" s="35">
        <f t="shared" si="122"/>
        <v>0</v>
      </c>
      <c r="M1080" s="35">
        <f t="shared" si="124"/>
        <v>0</v>
      </c>
      <c r="S1080" t="s">
        <v>91</v>
      </c>
      <c r="T1080" s="5">
        <f>data_origin!T1248</f>
        <v>0</v>
      </c>
      <c r="U1080" s="5">
        <f>data_origin!U1248</f>
        <v>0</v>
      </c>
      <c r="V1080" s="5">
        <f>data_origin!V1248</f>
        <v>0</v>
      </c>
      <c r="W1080" s="5">
        <f>data_origin!W1248</f>
        <v>0</v>
      </c>
      <c r="X1080" s="5">
        <f>data_origin!X1248</f>
        <v>0</v>
      </c>
      <c r="Y1080" s="5">
        <f>data_origin!Y1248</f>
        <v>0</v>
      </c>
      <c r="Z1080" s="5">
        <f>data_origin!Z1248</f>
        <v>0</v>
      </c>
      <c r="AA1080" s="5">
        <f>data_origin!AA1248</f>
        <v>0</v>
      </c>
      <c r="AB1080" s="5">
        <f t="shared" si="125"/>
        <v>0</v>
      </c>
    </row>
    <row r="1081" spans="4:28" x14ac:dyDescent="0.25">
      <c r="D1081" t="s">
        <v>92</v>
      </c>
      <c r="E1081" s="35">
        <f t="shared" si="127"/>
        <v>0</v>
      </c>
      <c r="F1081" s="35">
        <f t="shared" si="127"/>
        <v>0</v>
      </c>
      <c r="G1081" s="35">
        <f t="shared" si="127"/>
        <v>0</v>
      </c>
      <c r="H1081" s="35">
        <f t="shared" si="126"/>
        <v>0</v>
      </c>
      <c r="I1081" s="35">
        <f t="shared" si="126"/>
        <v>0</v>
      </c>
      <c r="J1081" s="35">
        <f t="shared" si="126"/>
        <v>0</v>
      </c>
      <c r="K1081" s="35">
        <f t="shared" si="126"/>
        <v>0</v>
      </c>
      <c r="L1081" s="35">
        <f t="shared" si="122"/>
        <v>0</v>
      </c>
      <c r="M1081" s="35">
        <f t="shared" si="124"/>
        <v>0</v>
      </c>
      <c r="S1081" t="s">
        <v>92</v>
      </c>
      <c r="T1081" s="5">
        <f>data_origin!T1249</f>
        <v>0</v>
      </c>
      <c r="U1081" s="5">
        <f>data_origin!U1249</f>
        <v>0</v>
      </c>
      <c r="V1081" s="5">
        <f>data_origin!V1249</f>
        <v>0</v>
      </c>
      <c r="W1081" s="5">
        <f>data_origin!W1249</f>
        <v>0</v>
      </c>
      <c r="X1081" s="5">
        <f>data_origin!X1249</f>
        <v>0</v>
      </c>
      <c r="Y1081" s="5">
        <f>data_origin!Y1249</f>
        <v>0</v>
      </c>
      <c r="Z1081" s="5">
        <f>data_origin!Z1249</f>
        <v>0</v>
      </c>
      <c r="AA1081" s="5">
        <f>data_origin!AA1249</f>
        <v>0</v>
      </c>
      <c r="AB1081" s="5">
        <f t="shared" si="125"/>
        <v>0</v>
      </c>
    </row>
    <row r="1082" spans="4:28" x14ac:dyDescent="0.25">
      <c r="D1082" t="s">
        <v>93</v>
      </c>
      <c r="E1082" s="35">
        <f t="shared" si="127"/>
        <v>0</v>
      </c>
      <c r="F1082" s="35">
        <f t="shared" si="127"/>
        <v>0</v>
      </c>
      <c r="G1082" s="35">
        <f t="shared" si="127"/>
        <v>0</v>
      </c>
      <c r="H1082" s="35">
        <f t="shared" si="126"/>
        <v>0</v>
      </c>
      <c r="I1082" s="35">
        <f t="shared" si="126"/>
        <v>0</v>
      </c>
      <c r="J1082" s="35">
        <f t="shared" si="126"/>
        <v>0</v>
      </c>
      <c r="K1082" s="35">
        <f t="shared" si="126"/>
        <v>0</v>
      </c>
      <c r="L1082" s="35">
        <f t="shared" si="122"/>
        <v>0</v>
      </c>
      <c r="M1082" s="35">
        <f t="shared" si="124"/>
        <v>0</v>
      </c>
      <c r="S1082" t="s">
        <v>93</v>
      </c>
      <c r="T1082" s="5">
        <f>data_origin!T1250</f>
        <v>0</v>
      </c>
      <c r="U1082" s="5">
        <f>data_origin!U1250</f>
        <v>0</v>
      </c>
      <c r="V1082" s="5">
        <f>data_origin!V1250</f>
        <v>0</v>
      </c>
      <c r="W1082" s="5">
        <f>data_origin!W1250</f>
        <v>0</v>
      </c>
      <c r="X1082" s="5">
        <f>data_origin!X1250</f>
        <v>0</v>
      </c>
      <c r="Y1082" s="5">
        <f>data_origin!Y1250</f>
        <v>0</v>
      </c>
      <c r="Z1082" s="5">
        <f>data_origin!Z1250</f>
        <v>0</v>
      </c>
      <c r="AA1082" s="5">
        <f>data_origin!AA1250</f>
        <v>0</v>
      </c>
      <c r="AB1082" s="5">
        <f t="shared" si="125"/>
        <v>0</v>
      </c>
    </row>
    <row r="1083" spans="4:28" x14ac:dyDescent="0.25">
      <c r="D1083" t="s">
        <v>94</v>
      </c>
      <c r="E1083" s="35">
        <f t="shared" si="127"/>
        <v>0</v>
      </c>
      <c r="F1083" s="35">
        <f t="shared" si="127"/>
        <v>0</v>
      </c>
      <c r="G1083" s="35">
        <f t="shared" si="127"/>
        <v>0</v>
      </c>
      <c r="H1083" s="35">
        <f t="shared" si="126"/>
        <v>0</v>
      </c>
      <c r="I1083" s="35">
        <f t="shared" si="126"/>
        <v>0</v>
      </c>
      <c r="J1083" s="35">
        <f t="shared" si="126"/>
        <v>0</v>
      </c>
      <c r="K1083" s="35">
        <f t="shared" si="126"/>
        <v>0</v>
      </c>
      <c r="L1083" s="35">
        <f t="shared" si="122"/>
        <v>0</v>
      </c>
      <c r="M1083" s="35">
        <f t="shared" si="124"/>
        <v>0</v>
      </c>
      <c r="S1083" t="s">
        <v>94</v>
      </c>
      <c r="T1083" s="5">
        <f>data_origin!T1251</f>
        <v>0</v>
      </c>
      <c r="U1083" s="5">
        <f>data_origin!U1251</f>
        <v>0</v>
      </c>
      <c r="V1083" s="5">
        <f>data_origin!V1251</f>
        <v>0</v>
      </c>
      <c r="W1083" s="5">
        <f>data_origin!W1251</f>
        <v>0</v>
      </c>
      <c r="X1083" s="5">
        <f>data_origin!X1251</f>
        <v>0</v>
      </c>
      <c r="Y1083" s="5">
        <f>data_origin!Y1251</f>
        <v>0</v>
      </c>
      <c r="Z1083" s="5">
        <f>data_origin!Z1251</f>
        <v>0</v>
      </c>
      <c r="AA1083" s="5">
        <f>data_origin!AA1251</f>
        <v>0</v>
      </c>
      <c r="AB1083" s="5">
        <f t="shared" si="125"/>
        <v>0</v>
      </c>
    </row>
    <row r="1084" spans="4:28" x14ac:dyDescent="0.25">
      <c r="D1084" t="s">
        <v>95</v>
      </c>
      <c r="E1084" s="35">
        <f t="shared" si="127"/>
        <v>0</v>
      </c>
      <c r="F1084" s="35">
        <f t="shared" si="127"/>
        <v>0</v>
      </c>
      <c r="G1084" s="35">
        <f t="shared" si="127"/>
        <v>0</v>
      </c>
      <c r="H1084" s="35">
        <f t="shared" si="126"/>
        <v>0</v>
      </c>
      <c r="I1084" s="35">
        <f t="shared" si="126"/>
        <v>0</v>
      </c>
      <c r="J1084" s="35">
        <f t="shared" si="126"/>
        <v>0</v>
      </c>
      <c r="K1084" s="35">
        <f t="shared" si="126"/>
        <v>0</v>
      </c>
      <c r="L1084" s="35">
        <f t="shared" si="122"/>
        <v>0</v>
      </c>
      <c r="M1084" s="35">
        <f t="shared" si="124"/>
        <v>0</v>
      </c>
      <c r="S1084" t="s">
        <v>95</v>
      </c>
      <c r="T1084" s="5">
        <f>data_origin!T1252</f>
        <v>0</v>
      </c>
      <c r="U1084" s="5">
        <f>data_origin!U1252</f>
        <v>0</v>
      </c>
      <c r="V1084" s="5">
        <f>data_origin!V1252</f>
        <v>0</v>
      </c>
      <c r="W1084" s="5">
        <f>data_origin!W1252</f>
        <v>0</v>
      </c>
      <c r="X1084" s="5">
        <f>data_origin!X1252</f>
        <v>0</v>
      </c>
      <c r="Y1084" s="5">
        <f>data_origin!Y1252</f>
        <v>0</v>
      </c>
      <c r="Z1084" s="5">
        <f>data_origin!Z1252</f>
        <v>0</v>
      </c>
      <c r="AA1084" s="5">
        <f>data_origin!AA1252</f>
        <v>0</v>
      </c>
      <c r="AB1084" s="5">
        <f t="shared" si="125"/>
        <v>0</v>
      </c>
    </row>
    <row r="1085" spans="4:28" x14ac:dyDescent="0.25">
      <c r="D1085" t="s">
        <v>96</v>
      </c>
      <c r="E1085" s="35">
        <f t="shared" si="127"/>
        <v>0</v>
      </c>
      <c r="F1085" s="35">
        <f t="shared" si="127"/>
        <v>0</v>
      </c>
      <c r="G1085" s="35">
        <f t="shared" si="127"/>
        <v>0</v>
      </c>
      <c r="H1085" s="35">
        <f t="shared" si="126"/>
        <v>0</v>
      </c>
      <c r="I1085" s="35">
        <f t="shared" si="126"/>
        <v>0</v>
      </c>
      <c r="J1085" s="35">
        <f t="shared" si="126"/>
        <v>0</v>
      </c>
      <c r="K1085" s="35">
        <f t="shared" si="126"/>
        <v>0</v>
      </c>
      <c r="L1085" s="35">
        <f t="shared" si="122"/>
        <v>0</v>
      </c>
      <c r="M1085" s="35">
        <f t="shared" si="124"/>
        <v>0</v>
      </c>
      <c r="S1085" t="s">
        <v>96</v>
      </c>
      <c r="T1085" s="5">
        <f>data_origin!T1253</f>
        <v>0</v>
      </c>
      <c r="U1085" s="5">
        <f>data_origin!U1253</f>
        <v>0</v>
      </c>
      <c r="V1085" s="5">
        <f>data_origin!V1253</f>
        <v>0</v>
      </c>
      <c r="W1085" s="5">
        <f>data_origin!W1253</f>
        <v>0</v>
      </c>
      <c r="X1085" s="5">
        <f>data_origin!X1253</f>
        <v>0</v>
      </c>
      <c r="Y1085" s="5">
        <f>data_origin!Y1253</f>
        <v>0</v>
      </c>
      <c r="Z1085" s="5">
        <f>data_origin!Z1253</f>
        <v>0</v>
      </c>
      <c r="AA1085" s="5">
        <f>data_origin!AA1253</f>
        <v>0</v>
      </c>
      <c r="AB1085" s="5">
        <f t="shared" si="125"/>
        <v>0</v>
      </c>
    </row>
    <row r="1086" spans="4:28" x14ac:dyDescent="0.25">
      <c r="D1086" t="s">
        <v>97</v>
      </c>
      <c r="E1086" s="35">
        <f t="shared" si="127"/>
        <v>0</v>
      </c>
      <c r="F1086" s="35">
        <f t="shared" si="127"/>
        <v>0</v>
      </c>
      <c r="G1086" s="35">
        <f t="shared" si="127"/>
        <v>0</v>
      </c>
      <c r="H1086" s="35">
        <f t="shared" si="126"/>
        <v>0</v>
      </c>
      <c r="I1086" s="35">
        <f t="shared" si="126"/>
        <v>0</v>
      </c>
      <c r="J1086" s="35">
        <f t="shared" si="126"/>
        <v>0</v>
      </c>
      <c r="K1086" s="35">
        <f t="shared" si="126"/>
        <v>0</v>
      </c>
      <c r="L1086" s="35">
        <f t="shared" si="122"/>
        <v>0</v>
      </c>
      <c r="M1086" s="35">
        <f t="shared" si="124"/>
        <v>0</v>
      </c>
      <c r="S1086" t="s">
        <v>97</v>
      </c>
      <c r="T1086" s="5">
        <f>data_origin!T1254</f>
        <v>0</v>
      </c>
      <c r="U1086" s="5">
        <f>data_origin!U1254</f>
        <v>0</v>
      </c>
      <c r="V1086" s="5">
        <f>data_origin!V1254</f>
        <v>0</v>
      </c>
      <c r="W1086" s="5">
        <f>data_origin!W1254</f>
        <v>0</v>
      </c>
      <c r="X1086" s="5">
        <f>data_origin!X1254</f>
        <v>0</v>
      </c>
      <c r="Y1086" s="5">
        <f>data_origin!Y1254</f>
        <v>0</v>
      </c>
      <c r="Z1086" s="5">
        <f>data_origin!Z1254</f>
        <v>0</v>
      </c>
      <c r="AA1086" s="5">
        <f>data_origin!AA1254</f>
        <v>0</v>
      </c>
      <c r="AB1086" s="5">
        <f t="shared" si="125"/>
        <v>0</v>
      </c>
    </row>
    <row r="1087" spans="4:28" x14ac:dyDescent="0.25">
      <c r="D1087" t="s">
        <v>98</v>
      </c>
      <c r="E1087" s="35">
        <f t="shared" si="127"/>
        <v>0</v>
      </c>
      <c r="F1087" s="35">
        <f t="shared" si="127"/>
        <v>0</v>
      </c>
      <c r="G1087" s="35">
        <f t="shared" si="127"/>
        <v>0</v>
      </c>
      <c r="H1087" s="35">
        <f t="shared" si="126"/>
        <v>0</v>
      </c>
      <c r="I1087" s="35">
        <f t="shared" si="126"/>
        <v>0</v>
      </c>
      <c r="J1087" s="35">
        <f t="shared" si="126"/>
        <v>0</v>
      </c>
      <c r="K1087" s="35">
        <f t="shared" si="126"/>
        <v>0</v>
      </c>
      <c r="L1087" s="35">
        <f t="shared" si="122"/>
        <v>0</v>
      </c>
      <c r="M1087" s="35">
        <f t="shared" si="124"/>
        <v>0</v>
      </c>
      <c r="S1087" t="s">
        <v>98</v>
      </c>
      <c r="T1087" s="5">
        <f>data_origin!T1255</f>
        <v>0</v>
      </c>
      <c r="U1087" s="5">
        <f>data_origin!U1255</f>
        <v>0</v>
      </c>
      <c r="V1087" s="5">
        <f>data_origin!V1255</f>
        <v>0</v>
      </c>
      <c r="W1087" s="5">
        <f>data_origin!W1255</f>
        <v>0</v>
      </c>
      <c r="X1087" s="5">
        <f>data_origin!X1255</f>
        <v>0</v>
      </c>
      <c r="Y1087" s="5">
        <f>data_origin!Y1255</f>
        <v>0</v>
      </c>
      <c r="Z1087" s="5">
        <f>data_origin!Z1255</f>
        <v>0</v>
      </c>
      <c r="AA1087" s="5">
        <f>data_origin!AA1255</f>
        <v>0</v>
      </c>
      <c r="AB1087" s="5">
        <f t="shared" si="125"/>
        <v>0</v>
      </c>
    </row>
    <row r="1088" spans="4:28" x14ac:dyDescent="0.25">
      <c r="D1088" t="s">
        <v>119</v>
      </c>
      <c r="E1088" s="35">
        <f t="shared" si="127"/>
        <v>0</v>
      </c>
      <c r="F1088" s="35">
        <f t="shared" si="127"/>
        <v>0</v>
      </c>
      <c r="G1088" s="35">
        <f t="shared" si="127"/>
        <v>0</v>
      </c>
      <c r="H1088" s="35">
        <f t="shared" si="126"/>
        <v>0</v>
      </c>
      <c r="I1088" s="35">
        <f t="shared" si="126"/>
        <v>0</v>
      </c>
      <c r="J1088" s="35">
        <f t="shared" si="126"/>
        <v>0</v>
      </c>
      <c r="K1088" s="35">
        <f t="shared" si="126"/>
        <v>0</v>
      </c>
      <c r="L1088" s="35">
        <f t="shared" si="122"/>
        <v>0</v>
      </c>
      <c r="M1088" s="35">
        <f t="shared" si="124"/>
        <v>0</v>
      </c>
      <c r="S1088" t="s">
        <v>119</v>
      </c>
      <c r="T1088" s="5">
        <f>data_origin!T1256</f>
        <v>0</v>
      </c>
      <c r="U1088" s="5">
        <f>data_origin!U1256</f>
        <v>0</v>
      </c>
      <c r="V1088" s="5">
        <f>data_origin!V1256</f>
        <v>0</v>
      </c>
      <c r="W1088" s="5">
        <f>data_origin!W1256</f>
        <v>0</v>
      </c>
      <c r="X1088" s="5">
        <f>data_origin!X1256</f>
        <v>0</v>
      </c>
      <c r="Y1088" s="5">
        <f>data_origin!Y1256</f>
        <v>0</v>
      </c>
      <c r="Z1088" s="5">
        <f>data_origin!Z1256</f>
        <v>0</v>
      </c>
      <c r="AA1088" s="5">
        <f>data_origin!AA1256</f>
        <v>0</v>
      </c>
      <c r="AB1088" s="5">
        <f t="shared" si="125"/>
        <v>0</v>
      </c>
    </row>
    <row r="1089" spans="1:28" x14ac:dyDescent="0.25">
      <c r="D1089" t="s">
        <v>99</v>
      </c>
      <c r="E1089" s="35">
        <f t="shared" si="127"/>
        <v>0</v>
      </c>
      <c r="F1089" s="35">
        <f t="shared" si="127"/>
        <v>0</v>
      </c>
      <c r="G1089" s="35">
        <f t="shared" si="127"/>
        <v>0</v>
      </c>
      <c r="H1089" s="35">
        <f t="shared" si="126"/>
        <v>0</v>
      </c>
      <c r="I1089" s="35">
        <f t="shared" si="126"/>
        <v>0</v>
      </c>
      <c r="J1089" s="35">
        <f t="shared" si="126"/>
        <v>0</v>
      </c>
      <c r="K1089" s="35">
        <f t="shared" si="126"/>
        <v>0</v>
      </c>
      <c r="L1089" s="35">
        <f t="shared" si="126"/>
        <v>0</v>
      </c>
      <c r="M1089" s="35">
        <f t="shared" si="124"/>
        <v>0</v>
      </c>
      <c r="S1089" t="s">
        <v>99</v>
      </c>
      <c r="T1089" s="5">
        <f>data_origin!T1257</f>
        <v>0</v>
      </c>
      <c r="U1089" s="5">
        <f>data_origin!U1257</f>
        <v>0</v>
      </c>
      <c r="V1089" s="5">
        <f>data_origin!V1257</f>
        <v>0</v>
      </c>
      <c r="W1089" s="5">
        <f>data_origin!W1257</f>
        <v>0</v>
      </c>
      <c r="X1089" s="5">
        <f>data_origin!X1257</f>
        <v>0</v>
      </c>
      <c r="Y1089" s="5">
        <f>data_origin!Y1257</f>
        <v>0</v>
      </c>
      <c r="Z1089" s="5">
        <f>data_origin!Z1257</f>
        <v>0</v>
      </c>
      <c r="AA1089" s="5">
        <f>data_origin!AA1257</f>
        <v>0</v>
      </c>
      <c r="AB1089" s="5">
        <f t="shared" si="125"/>
        <v>0</v>
      </c>
    </row>
    <row r="1090" spans="1:28" x14ac:dyDescent="0.25">
      <c r="D1090" t="s">
        <v>100</v>
      </c>
      <c r="E1090" s="35">
        <f t="shared" si="127"/>
        <v>0</v>
      </c>
      <c r="F1090" s="35">
        <f t="shared" si="127"/>
        <v>0</v>
      </c>
      <c r="G1090" s="35">
        <f t="shared" si="127"/>
        <v>0</v>
      </c>
      <c r="H1090" s="35">
        <f t="shared" si="126"/>
        <v>0</v>
      </c>
      <c r="I1090" s="35">
        <f t="shared" si="126"/>
        <v>0</v>
      </c>
      <c r="J1090" s="35">
        <f t="shared" si="126"/>
        <v>0</v>
      </c>
      <c r="K1090" s="35">
        <f t="shared" si="126"/>
        <v>0</v>
      </c>
      <c r="L1090" s="35">
        <f t="shared" si="126"/>
        <v>0</v>
      </c>
      <c r="M1090" s="35">
        <f t="shared" si="124"/>
        <v>0</v>
      </c>
      <c r="S1090" t="s">
        <v>100</v>
      </c>
      <c r="T1090" s="5">
        <f>data_origin!T1258</f>
        <v>0</v>
      </c>
      <c r="U1090" s="5">
        <f>data_origin!U1258</f>
        <v>0</v>
      </c>
      <c r="V1090" s="5">
        <f>data_origin!V1258</f>
        <v>0</v>
      </c>
      <c r="W1090" s="5">
        <f>data_origin!W1258</f>
        <v>0</v>
      </c>
      <c r="X1090" s="5">
        <f>data_origin!X1258</f>
        <v>0</v>
      </c>
      <c r="Y1090" s="5">
        <f>data_origin!Y1258</f>
        <v>0</v>
      </c>
      <c r="Z1090" s="5">
        <f>data_origin!Z1258</f>
        <v>0</v>
      </c>
      <c r="AA1090" s="5">
        <f>data_origin!AA1258</f>
        <v>0</v>
      </c>
      <c r="AB1090" s="5">
        <f t="shared" si="125"/>
        <v>0</v>
      </c>
    </row>
    <row r="1091" spans="1:28" x14ac:dyDescent="0.25">
      <c r="D1091" t="s">
        <v>101</v>
      </c>
      <c r="E1091" s="35">
        <f t="shared" si="127"/>
        <v>0</v>
      </c>
      <c r="F1091" s="35">
        <f t="shared" si="127"/>
        <v>0</v>
      </c>
      <c r="G1091" s="35">
        <f t="shared" si="127"/>
        <v>0</v>
      </c>
      <c r="H1091" s="35">
        <f t="shared" si="126"/>
        <v>0</v>
      </c>
      <c r="I1091" s="35">
        <f t="shared" si="126"/>
        <v>0</v>
      </c>
      <c r="J1091" s="35">
        <f t="shared" si="126"/>
        <v>0</v>
      </c>
      <c r="K1091" s="35">
        <f t="shared" si="126"/>
        <v>0</v>
      </c>
      <c r="L1091" s="35">
        <f t="shared" si="126"/>
        <v>0</v>
      </c>
      <c r="M1091" s="35">
        <f t="shared" ref="M1091:M1154" si="128">SUM(E1091:L1091)</f>
        <v>0</v>
      </c>
      <c r="S1091" t="s">
        <v>101</v>
      </c>
      <c r="T1091" s="5">
        <f>data_origin!T1259</f>
        <v>0</v>
      </c>
      <c r="U1091" s="5">
        <f>data_origin!U1259</f>
        <v>0</v>
      </c>
      <c r="V1091" s="5">
        <f>data_origin!V1259</f>
        <v>0</v>
      </c>
      <c r="W1091" s="5">
        <f>data_origin!W1259</f>
        <v>0</v>
      </c>
      <c r="X1091" s="5">
        <f>data_origin!X1259</f>
        <v>0</v>
      </c>
      <c r="Y1091" s="5">
        <f>data_origin!Y1259</f>
        <v>0</v>
      </c>
      <c r="Z1091" s="5">
        <f>data_origin!Z1259</f>
        <v>0</v>
      </c>
      <c r="AA1091" s="5">
        <f>data_origin!AA1259</f>
        <v>0</v>
      </c>
      <c r="AB1091" s="5">
        <f t="shared" si="125"/>
        <v>0</v>
      </c>
    </row>
    <row r="1092" spans="1:28" x14ac:dyDescent="0.25">
      <c r="A1092" s="24" t="s">
        <v>115</v>
      </c>
      <c r="B1092" s="24" t="s">
        <v>103</v>
      </c>
      <c r="C1092" s="24" t="s">
        <v>108</v>
      </c>
      <c r="D1092" t="s">
        <v>70</v>
      </c>
      <c r="E1092" s="35">
        <f t="shared" si="127"/>
        <v>0</v>
      </c>
      <c r="F1092" s="35">
        <f t="shared" si="127"/>
        <v>0</v>
      </c>
      <c r="G1092" s="35">
        <f t="shared" si="127"/>
        <v>0</v>
      </c>
      <c r="H1092" s="35">
        <f t="shared" si="126"/>
        <v>0</v>
      </c>
      <c r="I1092" s="35">
        <f t="shared" si="126"/>
        <v>0</v>
      </c>
      <c r="J1092" s="35">
        <f t="shared" si="126"/>
        <v>0</v>
      </c>
      <c r="K1092" s="35">
        <f t="shared" si="126"/>
        <v>0</v>
      </c>
      <c r="L1092" s="35">
        <f t="shared" si="126"/>
        <v>0</v>
      </c>
      <c r="M1092" s="35">
        <f t="shared" si="128"/>
        <v>0</v>
      </c>
      <c r="P1092" t="s">
        <v>115</v>
      </c>
      <c r="Q1092" t="s">
        <v>103</v>
      </c>
      <c r="R1092" t="s">
        <v>108</v>
      </c>
      <c r="S1092" t="s">
        <v>70</v>
      </c>
      <c r="T1092" s="5">
        <f>data_origin!T1261</f>
        <v>0</v>
      </c>
      <c r="U1092" s="5">
        <f>data_origin!U1261</f>
        <v>0</v>
      </c>
      <c r="V1092" s="5">
        <f>data_origin!V1261</f>
        <v>0</v>
      </c>
      <c r="W1092" s="5">
        <f>data_origin!W1261</f>
        <v>0</v>
      </c>
      <c r="X1092" s="5">
        <f>data_origin!X1261</f>
        <v>0</v>
      </c>
      <c r="Y1092" s="5">
        <f>data_origin!Y1261</f>
        <v>0</v>
      </c>
      <c r="Z1092" s="5">
        <f>data_origin!Z1261</f>
        <v>0</v>
      </c>
      <c r="AA1092" s="5">
        <f>data_origin!AA1261</f>
        <v>0</v>
      </c>
      <c r="AB1092" s="5">
        <f t="shared" si="125"/>
        <v>0</v>
      </c>
    </row>
    <row r="1093" spans="1:28" x14ac:dyDescent="0.25">
      <c r="D1093" t="s">
        <v>71</v>
      </c>
      <c r="E1093" s="35">
        <f t="shared" si="127"/>
        <v>0</v>
      </c>
      <c r="F1093" s="35">
        <f t="shared" si="127"/>
        <v>0</v>
      </c>
      <c r="G1093" s="35">
        <f t="shared" si="127"/>
        <v>0</v>
      </c>
      <c r="H1093" s="35">
        <f t="shared" si="126"/>
        <v>0</v>
      </c>
      <c r="I1093" s="35">
        <f t="shared" si="126"/>
        <v>0</v>
      </c>
      <c r="J1093" s="35">
        <f t="shared" si="126"/>
        <v>0</v>
      </c>
      <c r="K1093" s="35">
        <f t="shared" si="126"/>
        <v>0</v>
      </c>
      <c r="L1093" s="35">
        <f t="shared" si="126"/>
        <v>0</v>
      </c>
      <c r="M1093" s="35">
        <f t="shared" si="128"/>
        <v>0</v>
      </c>
      <c r="S1093" t="s">
        <v>71</v>
      </c>
      <c r="T1093" s="5">
        <f>data_origin!T1262</f>
        <v>0</v>
      </c>
      <c r="U1093" s="5">
        <f>data_origin!U1262</f>
        <v>0</v>
      </c>
      <c r="V1093" s="5">
        <f>data_origin!V1262</f>
        <v>0</v>
      </c>
      <c r="W1093" s="5">
        <f>data_origin!W1262</f>
        <v>0</v>
      </c>
      <c r="X1093" s="5">
        <f>data_origin!X1262</f>
        <v>0</v>
      </c>
      <c r="Y1093" s="5">
        <f>data_origin!Y1262</f>
        <v>0</v>
      </c>
      <c r="Z1093" s="5">
        <f>data_origin!Z1262</f>
        <v>0</v>
      </c>
      <c r="AA1093" s="5">
        <f>data_origin!AA1262</f>
        <v>0</v>
      </c>
      <c r="AB1093" s="5">
        <f t="shared" si="125"/>
        <v>0</v>
      </c>
    </row>
    <row r="1094" spans="1:28" x14ac:dyDescent="0.25">
      <c r="D1094" t="s">
        <v>72</v>
      </c>
      <c r="E1094" s="35">
        <f t="shared" si="127"/>
        <v>0</v>
      </c>
      <c r="F1094" s="35">
        <f t="shared" si="127"/>
        <v>0</v>
      </c>
      <c r="G1094" s="35">
        <f t="shared" si="127"/>
        <v>0</v>
      </c>
      <c r="H1094" s="35">
        <f t="shared" si="126"/>
        <v>0</v>
      </c>
      <c r="I1094" s="35">
        <f t="shared" si="126"/>
        <v>0</v>
      </c>
      <c r="J1094" s="35">
        <f t="shared" si="126"/>
        <v>0</v>
      </c>
      <c r="K1094" s="35">
        <f t="shared" si="126"/>
        <v>0</v>
      </c>
      <c r="L1094" s="35">
        <f t="shared" si="126"/>
        <v>0</v>
      </c>
      <c r="M1094" s="35">
        <f t="shared" si="128"/>
        <v>0</v>
      </c>
      <c r="S1094" t="s">
        <v>72</v>
      </c>
      <c r="T1094" s="5">
        <f>data_origin!T1263</f>
        <v>0</v>
      </c>
      <c r="U1094" s="5">
        <f>data_origin!U1263</f>
        <v>0</v>
      </c>
      <c r="V1094" s="5">
        <f>data_origin!V1263</f>
        <v>0</v>
      </c>
      <c r="W1094" s="5">
        <f>data_origin!W1263</f>
        <v>0</v>
      </c>
      <c r="X1094" s="5">
        <f>data_origin!X1263</f>
        <v>0</v>
      </c>
      <c r="Y1094" s="5">
        <f>data_origin!Y1263</f>
        <v>0</v>
      </c>
      <c r="Z1094" s="5">
        <f>data_origin!Z1263</f>
        <v>0</v>
      </c>
      <c r="AA1094" s="5">
        <f>data_origin!AA1263</f>
        <v>0</v>
      </c>
      <c r="AB1094" s="5">
        <f t="shared" si="125"/>
        <v>0</v>
      </c>
    </row>
    <row r="1095" spans="1:28" x14ac:dyDescent="0.25">
      <c r="D1095" t="s">
        <v>73</v>
      </c>
      <c r="E1095" s="35">
        <f t="shared" si="127"/>
        <v>0</v>
      </c>
      <c r="F1095" s="35">
        <f t="shared" si="127"/>
        <v>0</v>
      </c>
      <c r="G1095" s="35">
        <f t="shared" si="127"/>
        <v>0</v>
      </c>
      <c r="H1095" s="35">
        <f t="shared" si="126"/>
        <v>0</v>
      </c>
      <c r="I1095" s="35">
        <f t="shared" si="126"/>
        <v>0</v>
      </c>
      <c r="J1095" s="35">
        <f t="shared" si="126"/>
        <v>0</v>
      </c>
      <c r="K1095" s="35">
        <f t="shared" si="126"/>
        <v>0</v>
      </c>
      <c r="L1095" s="35">
        <f t="shared" si="126"/>
        <v>0</v>
      </c>
      <c r="M1095" s="35">
        <f t="shared" si="128"/>
        <v>0</v>
      </c>
      <c r="S1095" t="s">
        <v>73</v>
      </c>
      <c r="T1095" s="5">
        <f>data_origin!T1264</f>
        <v>0</v>
      </c>
      <c r="U1095" s="5">
        <f>data_origin!U1264</f>
        <v>0</v>
      </c>
      <c r="V1095" s="5">
        <f>data_origin!V1264</f>
        <v>0</v>
      </c>
      <c r="W1095" s="5">
        <f>data_origin!W1264</f>
        <v>0</v>
      </c>
      <c r="X1095" s="5">
        <f>data_origin!X1264</f>
        <v>0</v>
      </c>
      <c r="Y1095" s="5">
        <f>data_origin!Y1264</f>
        <v>0</v>
      </c>
      <c r="Z1095" s="5">
        <f>data_origin!Z1264</f>
        <v>0</v>
      </c>
      <c r="AA1095" s="5">
        <f>data_origin!AA1264</f>
        <v>0</v>
      </c>
      <c r="AB1095" s="5">
        <f t="shared" si="125"/>
        <v>0</v>
      </c>
    </row>
    <row r="1096" spans="1:28" x14ac:dyDescent="0.25">
      <c r="D1096" t="s">
        <v>74</v>
      </c>
      <c r="E1096" s="35">
        <f t="shared" si="127"/>
        <v>0</v>
      </c>
      <c r="F1096" s="35">
        <f t="shared" si="127"/>
        <v>0</v>
      </c>
      <c r="G1096" s="35">
        <f t="shared" si="127"/>
        <v>0</v>
      </c>
      <c r="H1096" s="35">
        <f t="shared" si="126"/>
        <v>0</v>
      </c>
      <c r="I1096" s="35">
        <f t="shared" si="126"/>
        <v>0</v>
      </c>
      <c r="J1096" s="35">
        <f t="shared" si="126"/>
        <v>0</v>
      </c>
      <c r="K1096" s="35">
        <f t="shared" si="126"/>
        <v>0</v>
      </c>
      <c r="L1096" s="35">
        <f t="shared" si="126"/>
        <v>0</v>
      </c>
      <c r="M1096" s="35">
        <f t="shared" si="128"/>
        <v>0</v>
      </c>
      <c r="S1096" t="s">
        <v>74</v>
      </c>
      <c r="T1096" s="5">
        <f>data_origin!T1265</f>
        <v>0</v>
      </c>
      <c r="U1096" s="5">
        <f>data_origin!U1265</f>
        <v>0</v>
      </c>
      <c r="V1096" s="5">
        <f>data_origin!V1265</f>
        <v>0</v>
      </c>
      <c r="W1096" s="5">
        <f>data_origin!W1265</f>
        <v>0</v>
      </c>
      <c r="X1096" s="5">
        <f>data_origin!X1265</f>
        <v>0</v>
      </c>
      <c r="Y1096" s="5">
        <f>data_origin!Y1265</f>
        <v>0</v>
      </c>
      <c r="Z1096" s="5">
        <f>data_origin!Z1265</f>
        <v>0</v>
      </c>
      <c r="AA1096" s="5">
        <f>data_origin!AA1265</f>
        <v>0</v>
      </c>
      <c r="AB1096" s="5">
        <f t="shared" si="125"/>
        <v>0</v>
      </c>
    </row>
    <row r="1097" spans="1:28" x14ac:dyDescent="0.25">
      <c r="D1097" t="s">
        <v>75</v>
      </c>
      <c r="E1097" s="35">
        <f t="shared" si="127"/>
        <v>0</v>
      </c>
      <c r="F1097" s="35">
        <f t="shared" si="127"/>
        <v>0</v>
      </c>
      <c r="G1097" s="35">
        <f t="shared" si="127"/>
        <v>0</v>
      </c>
      <c r="H1097" s="35">
        <f t="shared" si="126"/>
        <v>0</v>
      </c>
      <c r="I1097" s="35">
        <f t="shared" si="126"/>
        <v>0</v>
      </c>
      <c r="J1097" s="35">
        <f t="shared" si="126"/>
        <v>0</v>
      </c>
      <c r="K1097" s="35">
        <f t="shared" si="126"/>
        <v>0</v>
      </c>
      <c r="L1097" s="35">
        <f t="shared" si="126"/>
        <v>0</v>
      </c>
      <c r="M1097" s="35">
        <f t="shared" si="128"/>
        <v>0</v>
      </c>
      <c r="S1097" t="s">
        <v>75</v>
      </c>
      <c r="T1097" s="5">
        <f>data_origin!T1266</f>
        <v>0</v>
      </c>
      <c r="U1097" s="5">
        <f>data_origin!U1266</f>
        <v>0</v>
      </c>
      <c r="V1097" s="5">
        <f>data_origin!V1266</f>
        <v>0</v>
      </c>
      <c r="W1097" s="5">
        <f>data_origin!W1266</f>
        <v>0</v>
      </c>
      <c r="X1097" s="5">
        <f>data_origin!X1266</f>
        <v>0</v>
      </c>
      <c r="Y1097" s="5">
        <f>data_origin!Y1266</f>
        <v>0</v>
      </c>
      <c r="Z1097" s="5">
        <f>data_origin!Z1266</f>
        <v>0</v>
      </c>
      <c r="AA1097" s="5">
        <f>data_origin!AA1266</f>
        <v>0</v>
      </c>
      <c r="AB1097" s="5">
        <f t="shared" si="125"/>
        <v>0</v>
      </c>
    </row>
    <row r="1098" spans="1:28" x14ac:dyDescent="0.25">
      <c r="D1098" t="s">
        <v>76</v>
      </c>
      <c r="E1098" s="35">
        <f t="shared" si="127"/>
        <v>0</v>
      </c>
      <c r="F1098" s="35">
        <f t="shared" si="127"/>
        <v>0</v>
      </c>
      <c r="G1098" s="35">
        <f t="shared" si="127"/>
        <v>0</v>
      </c>
      <c r="H1098" s="35">
        <f t="shared" si="126"/>
        <v>0</v>
      </c>
      <c r="I1098" s="35">
        <f t="shared" si="126"/>
        <v>0</v>
      </c>
      <c r="J1098" s="35">
        <f t="shared" si="126"/>
        <v>0</v>
      </c>
      <c r="K1098" s="35">
        <f t="shared" si="126"/>
        <v>0</v>
      </c>
      <c r="L1098" s="35">
        <f t="shared" si="126"/>
        <v>0</v>
      </c>
      <c r="M1098" s="35">
        <f t="shared" si="128"/>
        <v>0</v>
      </c>
      <c r="S1098" t="s">
        <v>76</v>
      </c>
      <c r="T1098" s="5">
        <f>data_origin!T1267</f>
        <v>0</v>
      </c>
      <c r="U1098" s="5">
        <f>data_origin!U1267</f>
        <v>0</v>
      </c>
      <c r="V1098" s="5">
        <f>data_origin!V1267</f>
        <v>0</v>
      </c>
      <c r="W1098" s="5">
        <f>data_origin!W1267</f>
        <v>0</v>
      </c>
      <c r="X1098" s="5">
        <f>data_origin!X1267</f>
        <v>0</v>
      </c>
      <c r="Y1098" s="5">
        <f>data_origin!Y1267</f>
        <v>0</v>
      </c>
      <c r="Z1098" s="5">
        <f>data_origin!Z1267</f>
        <v>0</v>
      </c>
      <c r="AA1098" s="5">
        <f>data_origin!AA1267</f>
        <v>0</v>
      </c>
      <c r="AB1098" s="5">
        <f t="shared" si="125"/>
        <v>0</v>
      </c>
    </row>
    <row r="1099" spans="1:28" x14ac:dyDescent="0.25">
      <c r="D1099" t="s">
        <v>77</v>
      </c>
      <c r="E1099" s="35">
        <f t="shared" si="127"/>
        <v>0</v>
      </c>
      <c r="F1099" s="35">
        <f t="shared" si="127"/>
        <v>0</v>
      </c>
      <c r="G1099" s="35">
        <f t="shared" si="127"/>
        <v>0</v>
      </c>
      <c r="H1099" s="35">
        <f t="shared" si="126"/>
        <v>0</v>
      </c>
      <c r="I1099" s="35">
        <f t="shared" si="126"/>
        <v>0</v>
      </c>
      <c r="J1099" s="35">
        <f t="shared" si="126"/>
        <v>0</v>
      </c>
      <c r="K1099" s="35">
        <f t="shared" si="126"/>
        <v>0</v>
      </c>
      <c r="L1099" s="35">
        <f t="shared" si="126"/>
        <v>0</v>
      </c>
      <c r="M1099" s="35">
        <f t="shared" si="128"/>
        <v>0</v>
      </c>
      <c r="S1099" t="s">
        <v>77</v>
      </c>
      <c r="T1099" s="5">
        <f>data_origin!T1268</f>
        <v>0</v>
      </c>
      <c r="U1099" s="5">
        <f>data_origin!U1268</f>
        <v>0</v>
      </c>
      <c r="V1099" s="5">
        <f>data_origin!V1268</f>
        <v>0</v>
      </c>
      <c r="W1099" s="5">
        <f>data_origin!W1268</f>
        <v>0</v>
      </c>
      <c r="X1099" s="5">
        <f>data_origin!X1268</f>
        <v>0</v>
      </c>
      <c r="Y1099" s="5">
        <f>data_origin!Y1268</f>
        <v>0</v>
      </c>
      <c r="Z1099" s="5">
        <f>data_origin!Z1268</f>
        <v>0</v>
      </c>
      <c r="AA1099" s="5">
        <f>data_origin!AA1268</f>
        <v>0</v>
      </c>
      <c r="AB1099" s="5">
        <f t="shared" si="125"/>
        <v>0</v>
      </c>
    </row>
    <row r="1100" spans="1:28" x14ac:dyDescent="0.25">
      <c r="D1100" t="s">
        <v>78</v>
      </c>
      <c r="E1100" s="35">
        <f t="shared" si="127"/>
        <v>0</v>
      </c>
      <c r="F1100" s="35">
        <f t="shared" si="127"/>
        <v>0</v>
      </c>
      <c r="G1100" s="35">
        <f t="shared" si="127"/>
        <v>0</v>
      </c>
      <c r="H1100" s="35">
        <f t="shared" si="126"/>
        <v>0</v>
      </c>
      <c r="I1100" s="35">
        <f t="shared" si="126"/>
        <v>0</v>
      </c>
      <c r="J1100" s="35">
        <f t="shared" si="126"/>
        <v>0</v>
      </c>
      <c r="K1100" s="35">
        <f t="shared" si="126"/>
        <v>0</v>
      </c>
      <c r="L1100" s="35">
        <f t="shared" si="126"/>
        <v>0</v>
      </c>
      <c r="M1100" s="35">
        <f t="shared" si="128"/>
        <v>0</v>
      </c>
      <c r="S1100" t="s">
        <v>78</v>
      </c>
      <c r="T1100" s="5">
        <f>data_origin!T1269</f>
        <v>0</v>
      </c>
      <c r="U1100" s="5">
        <f>data_origin!U1269</f>
        <v>0</v>
      </c>
      <c r="V1100" s="5">
        <f>data_origin!V1269</f>
        <v>0</v>
      </c>
      <c r="W1100" s="5">
        <f>data_origin!W1269</f>
        <v>0</v>
      </c>
      <c r="X1100" s="5">
        <f>data_origin!X1269</f>
        <v>0</v>
      </c>
      <c r="Y1100" s="5">
        <f>data_origin!Y1269</f>
        <v>0</v>
      </c>
      <c r="Z1100" s="5">
        <f>data_origin!Z1269</f>
        <v>0</v>
      </c>
      <c r="AA1100" s="5">
        <f>data_origin!AA1269</f>
        <v>0</v>
      </c>
      <c r="AB1100" s="5">
        <f t="shared" si="125"/>
        <v>0</v>
      </c>
    </row>
    <row r="1101" spans="1:28" x14ac:dyDescent="0.25">
      <c r="D1101" t="s">
        <v>79</v>
      </c>
      <c r="E1101" s="35">
        <f t="shared" si="127"/>
        <v>0</v>
      </c>
      <c r="F1101" s="35">
        <f t="shared" si="127"/>
        <v>0</v>
      </c>
      <c r="G1101" s="35">
        <f t="shared" si="127"/>
        <v>0</v>
      </c>
      <c r="H1101" s="35">
        <f t="shared" si="126"/>
        <v>0</v>
      </c>
      <c r="I1101" s="35">
        <f t="shared" si="126"/>
        <v>0</v>
      </c>
      <c r="J1101" s="35">
        <f t="shared" si="126"/>
        <v>0</v>
      </c>
      <c r="K1101" s="35">
        <f t="shared" si="126"/>
        <v>0</v>
      </c>
      <c r="L1101" s="35">
        <f t="shared" si="126"/>
        <v>0</v>
      </c>
      <c r="M1101" s="35">
        <f t="shared" si="128"/>
        <v>0</v>
      </c>
      <c r="S1101" t="s">
        <v>79</v>
      </c>
      <c r="T1101" s="5">
        <f>data_origin!T1270</f>
        <v>0</v>
      </c>
      <c r="U1101" s="5">
        <f>data_origin!U1270</f>
        <v>0</v>
      </c>
      <c r="V1101" s="5">
        <f>data_origin!V1270</f>
        <v>0</v>
      </c>
      <c r="W1101" s="5">
        <f>data_origin!W1270</f>
        <v>0</v>
      </c>
      <c r="X1101" s="5">
        <f>data_origin!X1270</f>
        <v>0</v>
      </c>
      <c r="Y1101" s="5">
        <f>data_origin!Y1270</f>
        <v>0</v>
      </c>
      <c r="Z1101" s="5">
        <f>data_origin!Z1270</f>
        <v>0</v>
      </c>
      <c r="AA1101" s="5">
        <f>data_origin!AA1270</f>
        <v>0</v>
      </c>
      <c r="AB1101" s="5">
        <f t="shared" si="125"/>
        <v>0</v>
      </c>
    </row>
    <row r="1102" spans="1:28" x14ac:dyDescent="0.25">
      <c r="D1102" t="s">
        <v>80</v>
      </c>
      <c r="E1102" s="35">
        <f t="shared" si="127"/>
        <v>0</v>
      </c>
      <c r="F1102" s="35">
        <f t="shared" si="127"/>
        <v>0</v>
      </c>
      <c r="G1102" s="35">
        <f t="shared" si="127"/>
        <v>0</v>
      </c>
      <c r="H1102" s="35">
        <f t="shared" si="126"/>
        <v>0</v>
      </c>
      <c r="I1102" s="35">
        <f t="shared" si="126"/>
        <v>0</v>
      </c>
      <c r="J1102" s="35">
        <f t="shared" si="126"/>
        <v>0</v>
      </c>
      <c r="K1102" s="35">
        <f t="shared" si="126"/>
        <v>0</v>
      </c>
      <c r="L1102" s="35">
        <f t="shared" si="126"/>
        <v>0</v>
      </c>
      <c r="M1102" s="35">
        <f t="shared" si="128"/>
        <v>0</v>
      </c>
      <c r="S1102" t="s">
        <v>80</v>
      </c>
      <c r="T1102" s="5">
        <f>data_origin!T1271</f>
        <v>0</v>
      </c>
      <c r="U1102" s="5">
        <f>data_origin!U1271</f>
        <v>0</v>
      </c>
      <c r="V1102" s="5">
        <f>data_origin!V1271</f>
        <v>0</v>
      </c>
      <c r="W1102" s="5">
        <f>data_origin!W1271</f>
        <v>0</v>
      </c>
      <c r="X1102" s="5">
        <f>data_origin!X1271</f>
        <v>0</v>
      </c>
      <c r="Y1102" s="5">
        <f>data_origin!Y1271</f>
        <v>0</v>
      </c>
      <c r="Z1102" s="5">
        <f>data_origin!Z1271</f>
        <v>0</v>
      </c>
      <c r="AA1102" s="5">
        <f>data_origin!AA1271</f>
        <v>0</v>
      </c>
      <c r="AB1102" s="5">
        <f t="shared" si="125"/>
        <v>0</v>
      </c>
    </row>
    <row r="1103" spans="1:28" x14ac:dyDescent="0.25">
      <c r="D1103" t="s">
        <v>81</v>
      </c>
      <c r="E1103" s="35">
        <f t="shared" si="127"/>
        <v>0</v>
      </c>
      <c r="F1103" s="35">
        <f t="shared" si="127"/>
        <v>0</v>
      </c>
      <c r="G1103" s="35">
        <f t="shared" si="127"/>
        <v>0</v>
      </c>
      <c r="H1103" s="35">
        <f t="shared" si="126"/>
        <v>0</v>
      </c>
      <c r="I1103" s="35">
        <f t="shared" si="126"/>
        <v>0</v>
      </c>
      <c r="J1103" s="35">
        <f t="shared" si="126"/>
        <v>0</v>
      </c>
      <c r="K1103" s="35">
        <f t="shared" si="126"/>
        <v>0</v>
      </c>
      <c r="L1103" s="35">
        <f t="shared" si="126"/>
        <v>0</v>
      </c>
      <c r="M1103" s="35">
        <f t="shared" si="128"/>
        <v>0</v>
      </c>
      <c r="S1103" t="s">
        <v>81</v>
      </c>
      <c r="T1103" s="5">
        <f>data_origin!T1272</f>
        <v>0</v>
      </c>
      <c r="U1103" s="5">
        <f>data_origin!U1272</f>
        <v>0</v>
      </c>
      <c r="V1103" s="5">
        <f>data_origin!V1272</f>
        <v>0</v>
      </c>
      <c r="W1103" s="5">
        <f>data_origin!W1272</f>
        <v>0</v>
      </c>
      <c r="X1103" s="5">
        <f>data_origin!X1272</f>
        <v>0</v>
      </c>
      <c r="Y1103" s="5">
        <f>data_origin!Y1272</f>
        <v>0</v>
      </c>
      <c r="Z1103" s="5">
        <f>data_origin!Z1272</f>
        <v>0</v>
      </c>
      <c r="AA1103" s="5">
        <f>data_origin!AA1272</f>
        <v>0</v>
      </c>
      <c r="AB1103" s="5">
        <f t="shared" si="125"/>
        <v>0</v>
      </c>
    </row>
    <row r="1104" spans="1:28" x14ac:dyDescent="0.25">
      <c r="D1104" t="s">
        <v>82</v>
      </c>
      <c r="E1104" s="35">
        <f t="shared" si="127"/>
        <v>0</v>
      </c>
      <c r="F1104" s="35">
        <f t="shared" si="127"/>
        <v>0</v>
      </c>
      <c r="G1104" s="35">
        <f t="shared" si="127"/>
        <v>0</v>
      </c>
      <c r="H1104" s="35">
        <f t="shared" si="126"/>
        <v>0</v>
      </c>
      <c r="I1104" s="35">
        <f t="shared" si="126"/>
        <v>0</v>
      </c>
      <c r="J1104" s="35">
        <f t="shared" si="126"/>
        <v>0</v>
      </c>
      <c r="K1104" s="35">
        <f t="shared" si="126"/>
        <v>0</v>
      </c>
      <c r="L1104" s="35">
        <f t="shared" si="126"/>
        <v>0</v>
      </c>
      <c r="M1104" s="35">
        <f t="shared" si="128"/>
        <v>0</v>
      </c>
      <c r="S1104" t="s">
        <v>82</v>
      </c>
      <c r="T1104" s="5">
        <f>data_origin!T1273</f>
        <v>0</v>
      </c>
      <c r="U1104" s="5">
        <f>data_origin!U1273</f>
        <v>0</v>
      </c>
      <c r="V1104" s="5">
        <f>data_origin!V1273</f>
        <v>0</v>
      </c>
      <c r="W1104" s="5">
        <f>data_origin!W1273</f>
        <v>0</v>
      </c>
      <c r="X1104" s="5">
        <f>data_origin!X1273</f>
        <v>0</v>
      </c>
      <c r="Y1104" s="5">
        <f>data_origin!Y1273</f>
        <v>0</v>
      </c>
      <c r="Z1104" s="5">
        <f>data_origin!Z1273</f>
        <v>0</v>
      </c>
      <c r="AA1104" s="5">
        <f>data_origin!AA1273</f>
        <v>0</v>
      </c>
      <c r="AB1104" s="5">
        <f t="shared" si="125"/>
        <v>0</v>
      </c>
    </row>
    <row r="1105" spans="4:28" x14ac:dyDescent="0.25">
      <c r="D1105" t="s">
        <v>83</v>
      </c>
      <c r="E1105" s="35">
        <f t="shared" si="127"/>
        <v>0</v>
      </c>
      <c r="F1105" s="35">
        <f t="shared" si="127"/>
        <v>0</v>
      </c>
      <c r="G1105" s="35">
        <f t="shared" si="127"/>
        <v>0</v>
      </c>
      <c r="H1105" s="35">
        <f t="shared" si="126"/>
        <v>0</v>
      </c>
      <c r="I1105" s="35">
        <f t="shared" si="126"/>
        <v>0</v>
      </c>
      <c r="J1105" s="35">
        <f t="shared" si="126"/>
        <v>0</v>
      </c>
      <c r="K1105" s="35">
        <f t="shared" si="126"/>
        <v>0</v>
      </c>
      <c r="L1105" s="35">
        <f t="shared" si="126"/>
        <v>0</v>
      </c>
      <c r="M1105" s="35">
        <f t="shared" si="128"/>
        <v>0</v>
      </c>
      <c r="S1105" t="s">
        <v>83</v>
      </c>
      <c r="T1105" s="5">
        <f>data_origin!T1274</f>
        <v>0</v>
      </c>
      <c r="U1105" s="5">
        <f>data_origin!U1274</f>
        <v>0</v>
      </c>
      <c r="V1105" s="5">
        <f>data_origin!V1274</f>
        <v>0</v>
      </c>
      <c r="W1105" s="5">
        <f>data_origin!W1274</f>
        <v>0</v>
      </c>
      <c r="X1105" s="5">
        <f>data_origin!X1274</f>
        <v>0</v>
      </c>
      <c r="Y1105" s="5">
        <f>data_origin!Y1274</f>
        <v>0</v>
      </c>
      <c r="Z1105" s="5">
        <f>data_origin!Z1274</f>
        <v>0</v>
      </c>
      <c r="AA1105" s="5">
        <f>data_origin!AA1274</f>
        <v>0</v>
      </c>
      <c r="AB1105" s="5">
        <f t="shared" si="125"/>
        <v>0</v>
      </c>
    </row>
    <row r="1106" spans="4:28" x14ac:dyDescent="0.25">
      <c r="D1106" t="s">
        <v>84</v>
      </c>
      <c r="E1106" s="35">
        <f t="shared" si="127"/>
        <v>0</v>
      </c>
      <c r="F1106" s="35">
        <f t="shared" si="127"/>
        <v>0</v>
      </c>
      <c r="G1106" s="35">
        <f t="shared" si="127"/>
        <v>0</v>
      </c>
      <c r="H1106" s="35">
        <f t="shared" si="126"/>
        <v>0</v>
      </c>
      <c r="I1106" s="35">
        <f t="shared" si="126"/>
        <v>0</v>
      </c>
      <c r="J1106" s="35">
        <f t="shared" si="126"/>
        <v>0</v>
      </c>
      <c r="K1106" s="35">
        <f t="shared" si="126"/>
        <v>0</v>
      </c>
      <c r="L1106" s="35">
        <f t="shared" si="126"/>
        <v>0</v>
      </c>
      <c r="M1106" s="35">
        <f t="shared" si="128"/>
        <v>0</v>
      </c>
      <c r="S1106" t="s">
        <v>84</v>
      </c>
      <c r="T1106" s="5">
        <f>data_origin!T1275</f>
        <v>0</v>
      </c>
      <c r="U1106" s="5">
        <f>data_origin!U1275</f>
        <v>0</v>
      </c>
      <c r="V1106" s="5">
        <f>data_origin!V1275</f>
        <v>0</v>
      </c>
      <c r="W1106" s="5">
        <f>data_origin!W1275</f>
        <v>0</v>
      </c>
      <c r="X1106" s="5">
        <f>data_origin!X1275</f>
        <v>0</v>
      </c>
      <c r="Y1106" s="5">
        <f>data_origin!Y1275</f>
        <v>0</v>
      </c>
      <c r="Z1106" s="5">
        <f>data_origin!Z1275</f>
        <v>0</v>
      </c>
      <c r="AA1106" s="5">
        <f>data_origin!AA1275</f>
        <v>0</v>
      </c>
      <c r="AB1106" s="5">
        <f t="shared" si="125"/>
        <v>0</v>
      </c>
    </row>
    <row r="1107" spans="4:28" x14ac:dyDescent="0.25">
      <c r="D1107" t="s">
        <v>85</v>
      </c>
      <c r="E1107" s="35">
        <f t="shared" si="127"/>
        <v>0</v>
      </c>
      <c r="F1107" s="35">
        <f t="shared" si="127"/>
        <v>0</v>
      </c>
      <c r="G1107" s="35">
        <f t="shared" si="127"/>
        <v>0</v>
      </c>
      <c r="H1107" s="35">
        <f t="shared" si="126"/>
        <v>0</v>
      </c>
      <c r="I1107" s="35">
        <f t="shared" si="126"/>
        <v>0</v>
      </c>
      <c r="J1107" s="35">
        <f t="shared" si="126"/>
        <v>0</v>
      </c>
      <c r="K1107" s="35">
        <f t="shared" si="126"/>
        <v>0</v>
      </c>
      <c r="L1107" s="35">
        <f t="shared" si="126"/>
        <v>0</v>
      </c>
      <c r="M1107" s="35">
        <f t="shared" si="128"/>
        <v>0</v>
      </c>
      <c r="S1107" t="s">
        <v>85</v>
      </c>
      <c r="T1107" s="5">
        <f>data_origin!T1276</f>
        <v>0</v>
      </c>
      <c r="U1107" s="5">
        <f>data_origin!U1276</f>
        <v>0</v>
      </c>
      <c r="V1107" s="5">
        <f>data_origin!V1276</f>
        <v>0</v>
      </c>
      <c r="W1107" s="5">
        <f>data_origin!W1276</f>
        <v>0</v>
      </c>
      <c r="X1107" s="5">
        <f>data_origin!X1276</f>
        <v>0</v>
      </c>
      <c r="Y1107" s="5">
        <f>data_origin!Y1276</f>
        <v>0</v>
      </c>
      <c r="Z1107" s="5">
        <f>data_origin!Z1276</f>
        <v>0</v>
      </c>
      <c r="AA1107" s="5">
        <f>data_origin!AA1276</f>
        <v>0</v>
      </c>
      <c r="AB1107" s="5">
        <f t="shared" si="125"/>
        <v>0</v>
      </c>
    </row>
    <row r="1108" spans="4:28" x14ac:dyDescent="0.25">
      <c r="D1108" t="s">
        <v>86</v>
      </c>
      <c r="E1108" s="35">
        <f t="shared" si="127"/>
        <v>0</v>
      </c>
      <c r="F1108" s="35">
        <f t="shared" si="127"/>
        <v>0</v>
      </c>
      <c r="G1108" s="35">
        <f t="shared" si="127"/>
        <v>0</v>
      </c>
      <c r="H1108" s="35">
        <f t="shared" si="126"/>
        <v>0</v>
      </c>
      <c r="I1108" s="35">
        <f t="shared" si="126"/>
        <v>0</v>
      </c>
      <c r="J1108" s="35">
        <f t="shared" si="126"/>
        <v>0</v>
      </c>
      <c r="K1108" s="35">
        <f t="shared" si="126"/>
        <v>0</v>
      </c>
      <c r="L1108" s="35">
        <f t="shared" si="126"/>
        <v>0</v>
      </c>
      <c r="M1108" s="35">
        <f t="shared" si="128"/>
        <v>0</v>
      </c>
      <c r="S1108" t="s">
        <v>86</v>
      </c>
      <c r="T1108" s="5">
        <f>data_origin!T1277</f>
        <v>0</v>
      </c>
      <c r="U1108" s="5">
        <f>data_origin!U1277</f>
        <v>0</v>
      </c>
      <c r="V1108" s="5">
        <f>data_origin!V1277</f>
        <v>0</v>
      </c>
      <c r="W1108" s="5">
        <f>data_origin!W1277</f>
        <v>0</v>
      </c>
      <c r="X1108" s="5">
        <f>data_origin!X1277</f>
        <v>0</v>
      </c>
      <c r="Y1108" s="5">
        <f>data_origin!Y1277</f>
        <v>0</v>
      </c>
      <c r="Z1108" s="5">
        <f>data_origin!Z1277</f>
        <v>0</v>
      </c>
      <c r="AA1108" s="5">
        <f>data_origin!AA1277</f>
        <v>0</v>
      </c>
      <c r="AB1108" s="5">
        <f t="shared" si="125"/>
        <v>0</v>
      </c>
    </row>
    <row r="1109" spans="4:28" x14ac:dyDescent="0.25">
      <c r="D1109" t="s">
        <v>87</v>
      </c>
      <c r="E1109" s="35">
        <f t="shared" si="127"/>
        <v>0</v>
      </c>
      <c r="F1109" s="35">
        <f t="shared" si="127"/>
        <v>0</v>
      </c>
      <c r="G1109" s="35">
        <f t="shared" si="127"/>
        <v>0</v>
      </c>
      <c r="H1109" s="35">
        <f t="shared" si="126"/>
        <v>0</v>
      </c>
      <c r="I1109" s="35">
        <f t="shared" si="126"/>
        <v>0</v>
      </c>
      <c r="J1109" s="35">
        <f t="shared" si="126"/>
        <v>0</v>
      </c>
      <c r="K1109" s="35">
        <f t="shared" si="126"/>
        <v>0</v>
      </c>
      <c r="L1109" s="35">
        <f t="shared" si="126"/>
        <v>0</v>
      </c>
      <c r="M1109" s="35">
        <f t="shared" si="128"/>
        <v>0</v>
      </c>
      <c r="S1109" t="s">
        <v>87</v>
      </c>
      <c r="T1109" s="5">
        <f>data_origin!T1278</f>
        <v>0</v>
      </c>
      <c r="U1109" s="5">
        <f>data_origin!U1278</f>
        <v>0</v>
      </c>
      <c r="V1109" s="5">
        <f>data_origin!V1278</f>
        <v>0</v>
      </c>
      <c r="W1109" s="5">
        <f>data_origin!W1278</f>
        <v>0</v>
      </c>
      <c r="X1109" s="5">
        <f>data_origin!X1278</f>
        <v>0</v>
      </c>
      <c r="Y1109" s="5">
        <f>data_origin!Y1278</f>
        <v>0</v>
      </c>
      <c r="Z1109" s="5">
        <f>data_origin!Z1278</f>
        <v>0</v>
      </c>
      <c r="AA1109" s="5">
        <f>data_origin!AA1278</f>
        <v>0</v>
      </c>
      <c r="AB1109" s="5">
        <f t="shared" si="125"/>
        <v>0</v>
      </c>
    </row>
    <row r="1110" spans="4:28" x14ac:dyDescent="0.25">
      <c r="D1110" t="s">
        <v>88</v>
      </c>
      <c r="E1110" s="35">
        <f t="shared" si="127"/>
        <v>0</v>
      </c>
      <c r="F1110" s="35">
        <f t="shared" si="127"/>
        <v>0</v>
      </c>
      <c r="G1110" s="35">
        <f t="shared" si="127"/>
        <v>0</v>
      </c>
      <c r="H1110" s="35">
        <f t="shared" si="126"/>
        <v>0</v>
      </c>
      <c r="I1110" s="35">
        <f t="shared" si="126"/>
        <v>0</v>
      </c>
      <c r="J1110" s="35">
        <f t="shared" si="126"/>
        <v>0</v>
      </c>
      <c r="K1110" s="35">
        <f t="shared" si="126"/>
        <v>0</v>
      </c>
      <c r="L1110" s="35">
        <f t="shared" si="126"/>
        <v>0</v>
      </c>
      <c r="M1110" s="35">
        <f t="shared" si="128"/>
        <v>0</v>
      </c>
      <c r="S1110" t="s">
        <v>88</v>
      </c>
      <c r="T1110" s="5">
        <f>data_origin!T1279</f>
        <v>0</v>
      </c>
      <c r="U1110" s="5">
        <f>data_origin!U1279</f>
        <v>0</v>
      </c>
      <c r="V1110" s="5">
        <f>data_origin!V1279</f>
        <v>0</v>
      </c>
      <c r="W1110" s="5">
        <f>data_origin!W1279</f>
        <v>0</v>
      </c>
      <c r="X1110" s="5">
        <f>data_origin!X1279</f>
        <v>0</v>
      </c>
      <c r="Y1110" s="5">
        <f>data_origin!Y1279</f>
        <v>0</v>
      </c>
      <c r="Z1110" s="5">
        <f>data_origin!Z1279</f>
        <v>0</v>
      </c>
      <c r="AA1110" s="5">
        <f>data_origin!AA1279</f>
        <v>0</v>
      </c>
      <c r="AB1110" s="5">
        <f t="shared" si="125"/>
        <v>0</v>
      </c>
    </row>
    <row r="1111" spans="4:28" x14ac:dyDescent="0.25">
      <c r="D1111" t="s">
        <v>89</v>
      </c>
      <c r="E1111" s="35">
        <f t="shared" si="127"/>
        <v>0</v>
      </c>
      <c r="F1111" s="35">
        <f t="shared" si="127"/>
        <v>0</v>
      </c>
      <c r="G1111" s="35">
        <f t="shared" si="127"/>
        <v>0</v>
      </c>
      <c r="H1111" s="35">
        <f t="shared" si="126"/>
        <v>0</v>
      </c>
      <c r="I1111" s="35">
        <f t="shared" si="126"/>
        <v>0</v>
      </c>
      <c r="J1111" s="35">
        <f t="shared" si="126"/>
        <v>0</v>
      </c>
      <c r="K1111" s="35">
        <f t="shared" si="126"/>
        <v>0</v>
      </c>
      <c r="L1111" s="35">
        <f t="shared" si="126"/>
        <v>0</v>
      </c>
      <c r="M1111" s="35">
        <f t="shared" si="128"/>
        <v>0</v>
      </c>
      <c r="S1111" t="s">
        <v>89</v>
      </c>
      <c r="T1111" s="5">
        <f>data_origin!T1280</f>
        <v>0</v>
      </c>
      <c r="U1111" s="5">
        <f>data_origin!U1280</f>
        <v>0</v>
      </c>
      <c r="V1111" s="5">
        <f>data_origin!V1280</f>
        <v>0</v>
      </c>
      <c r="W1111" s="5">
        <f>data_origin!W1280</f>
        <v>0</v>
      </c>
      <c r="X1111" s="5">
        <f>data_origin!X1280</f>
        <v>0</v>
      </c>
      <c r="Y1111" s="5">
        <f>data_origin!Y1280</f>
        <v>0</v>
      </c>
      <c r="Z1111" s="5">
        <f>data_origin!Z1280</f>
        <v>0</v>
      </c>
      <c r="AA1111" s="5">
        <f>data_origin!AA1280</f>
        <v>0</v>
      </c>
      <c r="AB1111" s="5">
        <f t="shared" si="125"/>
        <v>0</v>
      </c>
    </row>
    <row r="1112" spans="4:28" x14ac:dyDescent="0.25">
      <c r="D1112" t="s">
        <v>90</v>
      </c>
      <c r="E1112" s="35">
        <f t="shared" si="127"/>
        <v>0</v>
      </c>
      <c r="F1112" s="35">
        <f t="shared" si="127"/>
        <v>0</v>
      </c>
      <c r="G1112" s="35">
        <f t="shared" si="127"/>
        <v>0</v>
      </c>
      <c r="H1112" s="35">
        <f t="shared" si="126"/>
        <v>0</v>
      </c>
      <c r="I1112" s="35">
        <f t="shared" si="126"/>
        <v>0</v>
      </c>
      <c r="J1112" s="35">
        <f t="shared" si="126"/>
        <v>0</v>
      </c>
      <c r="K1112" s="35">
        <f t="shared" si="126"/>
        <v>0</v>
      </c>
      <c r="L1112" s="35">
        <f t="shared" si="126"/>
        <v>0</v>
      </c>
      <c r="M1112" s="35">
        <f t="shared" si="128"/>
        <v>0</v>
      </c>
      <c r="S1112" t="s">
        <v>90</v>
      </c>
      <c r="T1112" s="5">
        <f>data_origin!T1281</f>
        <v>0</v>
      </c>
      <c r="U1112" s="5">
        <f>data_origin!U1281</f>
        <v>0</v>
      </c>
      <c r="V1112" s="5">
        <f>data_origin!V1281</f>
        <v>0</v>
      </c>
      <c r="W1112" s="5">
        <f>data_origin!W1281</f>
        <v>0</v>
      </c>
      <c r="X1112" s="5">
        <f>data_origin!X1281</f>
        <v>0</v>
      </c>
      <c r="Y1112" s="5">
        <f>data_origin!Y1281</f>
        <v>0</v>
      </c>
      <c r="Z1112" s="5">
        <f>data_origin!Z1281</f>
        <v>0</v>
      </c>
      <c r="AA1112" s="5">
        <f>data_origin!AA1281</f>
        <v>0</v>
      </c>
      <c r="AB1112" s="5">
        <f t="shared" si="125"/>
        <v>0</v>
      </c>
    </row>
    <row r="1113" spans="4:28" x14ac:dyDescent="0.25">
      <c r="D1113" t="s">
        <v>91</v>
      </c>
      <c r="E1113" s="35">
        <f t="shared" si="127"/>
        <v>0</v>
      </c>
      <c r="F1113" s="35">
        <f t="shared" si="127"/>
        <v>0</v>
      </c>
      <c r="G1113" s="35">
        <f t="shared" si="127"/>
        <v>0</v>
      </c>
      <c r="H1113" s="35">
        <f t="shared" si="126"/>
        <v>0</v>
      </c>
      <c r="I1113" s="35">
        <f t="shared" si="126"/>
        <v>0</v>
      </c>
      <c r="J1113" s="35">
        <f t="shared" si="126"/>
        <v>0</v>
      </c>
      <c r="K1113" s="35">
        <f t="shared" si="126"/>
        <v>0</v>
      </c>
      <c r="L1113" s="35">
        <f t="shared" si="126"/>
        <v>0</v>
      </c>
      <c r="M1113" s="35">
        <f t="shared" si="128"/>
        <v>0</v>
      </c>
      <c r="S1113" t="s">
        <v>91</v>
      </c>
      <c r="T1113" s="5">
        <f>data_origin!T1282</f>
        <v>0</v>
      </c>
      <c r="U1113" s="5">
        <f>data_origin!U1282</f>
        <v>0</v>
      </c>
      <c r="V1113" s="5">
        <f>data_origin!V1282</f>
        <v>0</v>
      </c>
      <c r="W1113" s="5">
        <f>data_origin!W1282</f>
        <v>0</v>
      </c>
      <c r="X1113" s="5">
        <f>data_origin!X1282</f>
        <v>0</v>
      </c>
      <c r="Y1113" s="5">
        <f>data_origin!Y1282</f>
        <v>0</v>
      </c>
      <c r="Z1113" s="5">
        <f>data_origin!Z1282</f>
        <v>0</v>
      </c>
      <c r="AA1113" s="5">
        <f>data_origin!AA1282</f>
        <v>0</v>
      </c>
      <c r="AB1113" s="5">
        <f t="shared" si="125"/>
        <v>0</v>
      </c>
    </row>
    <row r="1114" spans="4:28" x14ac:dyDescent="0.25">
      <c r="D1114" t="s">
        <v>92</v>
      </c>
      <c r="E1114" s="35">
        <f t="shared" si="127"/>
        <v>0</v>
      </c>
      <c r="F1114" s="35">
        <f t="shared" si="127"/>
        <v>0</v>
      </c>
      <c r="G1114" s="35">
        <f t="shared" si="127"/>
        <v>0</v>
      </c>
      <c r="H1114" s="35">
        <f t="shared" si="126"/>
        <v>0</v>
      </c>
      <c r="I1114" s="35">
        <f t="shared" si="126"/>
        <v>0</v>
      </c>
      <c r="J1114" s="35">
        <f t="shared" si="126"/>
        <v>0</v>
      </c>
      <c r="K1114" s="35">
        <f t="shared" si="126"/>
        <v>0</v>
      </c>
      <c r="L1114" s="35">
        <f t="shared" si="126"/>
        <v>0</v>
      </c>
      <c r="M1114" s="35">
        <f t="shared" si="128"/>
        <v>0</v>
      </c>
      <c r="S1114" t="s">
        <v>92</v>
      </c>
      <c r="T1114" s="5">
        <f>data_origin!T1283</f>
        <v>0</v>
      </c>
      <c r="U1114" s="5">
        <f>data_origin!U1283</f>
        <v>0</v>
      </c>
      <c r="V1114" s="5">
        <f>data_origin!V1283</f>
        <v>0</v>
      </c>
      <c r="W1114" s="5">
        <f>data_origin!W1283</f>
        <v>0</v>
      </c>
      <c r="X1114" s="5">
        <f>data_origin!X1283</f>
        <v>0</v>
      </c>
      <c r="Y1114" s="5">
        <f>data_origin!Y1283</f>
        <v>0</v>
      </c>
      <c r="Z1114" s="5">
        <f>data_origin!Z1283</f>
        <v>0</v>
      </c>
      <c r="AA1114" s="5">
        <f>data_origin!AA1283</f>
        <v>0</v>
      </c>
      <c r="AB1114" s="5">
        <f t="shared" si="125"/>
        <v>0</v>
      </c>
    </row>
    <row r="1115" spans="4:28" x14ac:dyDescent="0.25">
      <c r="D1115" t="s">
        <v>93</v>
      </c>
      <c r="E1115" s="35">
        <f t="shared" si="127"/>
        <v>0</v>
      </c>
      <c r="F1115" s="35">
        <f t="shared" si="127"/>
        <v>0</v>
      </c>
      <c r="G1115" s="35">
        <f t="shared" si="127"/>
        <v>0</v>
      </c>
      <c r="H1115" s="35">
        <f t="shared" si="126"/>
        <v>0</v>
      </c>
      <c r="I1115" s="35">
        <f t="shared" si="126"/>
        <v>0</v>
      </c>
      <c r="J1115" s="35">
        <f t="shared" si="126"/>
        <v>0</v>
      </c>
      <c r="K1115" s="35">
        <f t="shared" si="126"/>
        <v>0</v>
      </c>
      <c r="L1115" s="35">
        <f t="shared" si="126"/>
        <v>0</v>
      </c>
      <c r="M1115" s="35">
        <f t="shared" si="128"/>
        <v>0</v>
      </c>
      <c r="S1115" t="s">
        <v>93</v>
      </c>
      <c r="T1115" s="5">
        <f>data_origin!T1284</f>
        <v>0</v>
      </c>
      <c r="U1115" s="5">
        <f>data_origin!U1284</f>
        <v>0</v>
      </c>
      <c r="V1115" s="5">
        <f>data_origin!V1284</f>
        <v>0</v>
      </c>
      <c r="W1115" s="5">
        <f>data_origin!W1284</f>
        <v>0</v>
      </c>
      <c r="X1115" s="5">
        <f>data_origin!X1284</f>
        <v>0</v>
      </c>
      <c r="Y1115" s="5">
        <f>data_origin!Y1284</f>
        <v>0</v>
      </c>
      <c r="Z1115" s="5">
        <f>data_origin!Z1284</f>
        <v>0</v>
      </c>
      <c r="AA1115" s="5">
        <f>data_origin!AA1284</f>
        <v>0</v>
      </c>
      <c r="AB1115" s="5">
        <f t="shared" si="125"/>
        <v>0</v>
      </c>
    </row>
    <row r="1116" spans="4:28" x14ac:dyDescent="0.25">
      <c r="D1116" t="s">
        <v>94</v>
      </c>
      <c r="E1116" s="35">
        <f t="shared" si="127"/>
        <v>0</v>
      </c>
      <c r="F1116" s="35">
        <f t="shared" si="127"/>
        <v>0</v>
      </c>
      <c r="G1116" s="35">
        <f t="shared" si="127"/>
        <v>0</v>
      </c>
      <c r="H1116" s="35">
        <f t="shared" si="126"/>
        <v>0</v>
      </c>
      <c r="I1116" s="35">
        <f t="shared" si="126"/>
        <v>0</v>
      </c>
      <c r="J1116" s="35">
        <f t="shared" si="126"/>
        <v>0</v>
      </c>
      <c r="K1116" s="35">
        <f t="shared" si="126"/>
        <v>0</v>
      </c>
      <c r="L1116" s="35">
        <f t="shared" si="126"/>
        <v>0</v>
      </c>
      <c r="M1116" s="35">
        <f t="shared" si="128"/>
        <v>0</v>
      </c>
      <c r="S1116" t="s">
        <v>94</v>
      </c>
      <c r="T1116" s="5">
        <f>data_origin!T1285</f>
        <v>0</v>
      </c>
      <c r="U1116" s="5">
        <f>data_origin!U1285</f>
        <v>0</v>
      </c>
      <c r="V1116" s="5">
        <f>data_origin!V1285</f>
        <v>0</v>
      </c>
      <c r="W1116" s="5">
        <f>data_origin!W1285</f>
        <v>0</v>
      </c>
      <c r="X1116" s="5">
        <f>data_origin!X1285</f>
        <v>0</v>
      </c>
      <c r="Y1116" s="5">
        <f>data_origin!Y1285</f>
        <v>0</v>
      </c>
      <c r="Z1116" s="5">
        <f>data_origin!Z1285</f>
        <v>0</v>
      </c>
      <c r="AA1116" s="5">
        <f>data_origin!AA1285</f>
        <v>0</v>
      </c>
      <c r="AB1116" s="5">
        <f t="shared" si="125"/>
        <v>0</v>
      </c>
    </row>
    <row r="1117" spans="4:28" x14ac:dyDescent="0.25">
      <c r="D1117" t="s">
        <v>95</v>
      </c>
      <c r="E1117" s="35">
        <f t="shared" si="127"/>
        <v>0</v>
      </c>
      <c r="F1117" s="35">
        <f t="shared" si="127"/>
        <v>0</v>
      </c>
      <c r="G1117" s="35">
        <f t="shared" si="127"/>
        <v>0</v>
      </c>
      <c r="H1117" s="35">
        <f t="shared" si="126"/>
        <v>0</v>
      </c>
      <c r="I1117" s="35">
        <f t="shared" si="126"/>
        <v>0</v>
      </c>
      <c r="J1117" s="35">
        <f t="shared" si="126"/>
        <v>0</v>
      </c>
      <c r="K1117" s="35">
        <f t="shared" si="126"/>
        <v>0</v>
      </c>
      <c r="L1117" s="35">
        <f t="shared" si="126"/>
        <v>0</v>
      </c>
      <c r="M1117" s="35">
        <f t="shared" si="128"/>
        <v>0</v>
      </c>
      <c r="S1117" t="s">
        <v>95</v>
      </c>
      <c r="T1117" s="5">
        <f>data_origin!T1286</f>
        <v>0</v>
      </c>
      <c r="U1117" s="5">
        <f>data_origin!U1286</f>
        <v>0</v>
      </c>
      <c r="V1117" s="5">
        <f>data_origin!V1286</f>
        <v>0</v>
      </c>
      <c r="W1117" s="5">
        <f>data_origin!W1286</f>
        <v>0</v>
      </c>
      <c r="X1117" s="5">
        <f>data_origin!X1286</f>
        <v>0</v>
      </c>
      <c r="Y1117" s="5">
        <f>data_origin!Y1286</f>
        <v>0</v>
      </c>
      <c r="Z1117" s="5">
        <f>data_origin!Z1286</f>
        <v>0</v>
      </c>
      <c r="AA1117" s="5">
        <f>data_origin!AA1286</f>
        <v>0</v>
      </c>
      <c r="AB1117" s="5">
        <f t="shared" ref="AB1117:AB1180" si="129">SUM(T1117:AA1117)</f>
        <v>0</v>
      </c>
    </row>
    <row r="1118" spans="4:28" x14ac:dyDescent="0.25">
      <c r="D1118" t="s">
        <v>96</v>
      </c>
      <c r="E1118" s="35">
        <f t="shared" si="127"/>
        <v>0</v>
      </c>
      <c r="F1118" s="35">
        <f t="shared" si="127"/>
        <v>0</v>
      </c>
      <c r="G1118" s="35">
        <f t="shared" si="127"/>
        <v>0</v>
      </c>
      <c r="H1118" s="35">
        <f t="shared" si="126"/>
        <v>0</v>
      </c>
      <c r="I1118" s="35">
        <f t="shared" si="126"/>
        <v>0</v>
      </c>
      <c r="J1118" s="35">
        <f t="shared" ref="J1118:L1124" si="130">Y1118+IFERROR((Y1118/SUM(Y$993:Y$1982)*BB$630),0)</f>
        <v>0</v>
      </c>
      <c r="K1118" s="35">
        <f t="shared" si="130"/>
        <v>0</v>
      </c>
      <c r="L1118" s="35">
        <f t="shared" si="130"/>
        <v>0</v>
      </c>
      <c r="M1118" s="35">
        <f t="shared" si="128"/>
        <v>0</v>
      </c>
      <c r="S1118" t="s">
        <v>96</v>
      </c>
      <c r="T1118" s="5">
        <f>data_origin!T1287</f>
        <v>0</v>
      </c>
      <c r="U1118" s="5">
        <f>data_origin!U1287</f>
        <v>0</v>
      </c>
      <c r="V1118" s="5">
        <f>data_origin!V1287</f>
        <v>0</v>
      </c>
      <c r="W1118" s="5">
        <f>data_origin!W1287</f>
        <v>0</v>
      </c>
      <c r="X1118" s="5">
        <f>data_origin!X1287</f>
        <v>0</v>
      </c>
      <c r="Y1118" s="5">
        <f>data_origin!Y1287</f>
        <v>0</v>
      </c>
      <c r="Z1118" s="5">
        <f>data_origin!Z1287</f>
        <v>0</v>
      </c>
      <c r="AA1118" s="5">
        <f>data_origin!AA1287</f>
        <v>0</v>
      </c>
      <c r="AB1118" s="5">
        <f t="shared" si="129"/>
        <v>0</v>
      </c>
    </row>
    <row r="1119" spans="4:28" x14ac:dyDescent="0.25">
      <c r="D1119" t="s">
        <v>97</v>
      </c>
      <c r="E1119" s="35">
        <f t="shared" si="127"/>
        <v>0</v>
      </c>
      <c r="F1119" s="35">
        <f t="shared" si="127"/>
        <v>0</v>
      </c>
      <c r="G1119" s="35">
        <f t="shared" si="127"/>
        <v>0</v>
      </c>
      <c r="H1119" s="35">
        <f t="shared" si="127"/>
        <v>0</v>
      </c>
      <c r="I1119" s="35">
        <f t="shared" si="127"/>
        <v>0</v>
      </c>
      <c r="J1119" s="35">
        <f t="shared" si="130"/>
        <v>0</v>
      </c>
      <c r="K1119" s="35">
        <f t="shared" si="130"/>
        <v>0</v>
      </c>
      <c r="L1119" s="35">
        <f t="shared" si="130"/>
        <v>0</v>
      </c>
      <c r="M1119" s="35">
        <f t="shared" si="128"/>
        <v>0</v>
      </c>
      <c r="S1119" t="s">
        <v>97</v>
      </c>
      <c r="T1119" s="5">
        <f>data_origin!T1288</f>
        <v>0</v>
      </c>
      <c r="U1119" s="5">
        <f>data_origin!U1288</f>
        <v>0</v>
      </c>
      <c r="V1119" s="5">
        <f>data_origin!V1288</f>
        <v>0</v>
      </c>
      <c r="W1119" s="5">
        <f>data_origin!W1288</f>
        <v>0</v>
      </c>
      <c r="X1119" s="5">
        <f>data_origin!X1288</f>
        <v>0</v>
      </c>
      <c r="Y1119" s="5">
        <f>data_origin!Y1288</f>
        <v>0</v>
      </c>
      <c r="Z1119" s="5">
        <f>data_origin!Z1288</f>
        <v>0</v>
      </c>
      <c r="AA1119" s="5">
        <f>data_origin!AA1288</f>
        <v>0</v>
      </c>
      <c r="AB1119" s="5">
        <f t="shared" si="129"/>
        <v>0</v>
      </c>
    </row>
    <row r="1120" spans="4:28" x14ac:dyDescent="0.25">
      <c r="D1120" t="s">
        <v>98</v>
      </c>
      <c r="E1120" s="35">
        <f t="shared" si="127"/>
        <v>0</v>
      </c>
      <c r="F1120" s="35">
        <f t="shared" si="127"/>
        <v>0</v>
      </c>
      <c r="G1120" s="35">
        <f t="shared" si="127"/>
        <v>0</v>
      </c>
      <c r="H1120" s="35">
        <f t="shared" si="127"/>
        <v>0</v>
      </c>
      <c r="I1120" s="35">
        <f t="shared" si="127"/>
        <v>0</v>
      </c>
      <c r="J1120" s="35">
        <f t="shared" si="130"/>
        <v>0</v>
      </c>
      <c r="K1120" s="35">
        <f t="shared" si="130"/>
        <v>0</v>
      </c>
      <c r="L1120" s="35">
        <f t="shared" si="130"/>
        <v>0</v>
      </c>
      <c r="M1120" s="35">
        <f t="shared" si="128"/>
        <v>0</v>
      </c>
      <c r="S1120" t="s">
        <v>98</v>
      </c>
      <c r="T1120" s="5">
        <f>data_origin!T1289</f>
        <v>0</v>
      </c>
      <c r="U1120" s="5">
        <f>data_origin!U1289</f>
        <v>0</v>
      </c>
      <c r="V1120" s="5">
        <f>data_origin!V1289</f>
        <v>0</v>
      </c>
      <c r="W1120" s="5">
        <f>data_origin!W1289</f>
        <v>0</v>
      </c>
      <c r="X1120" s="5">
        <f>data_origin!X1289</f>
        <v>0</v>
      </c>
      <c r="Y1120" s="5">
        <f>data_origin!Y1289</f>
        <v>0</v>
      </c>
      <c r="Z1120" s="5">
        <f>data_origin!Z1289</f>
        <v>0</v>
      </c>
      <c r="AA1120" s="5">
        <f>data_origin!AA1289</f>
        <v>0</v>
      </c>
      <c r="AB1120" s="5">
        <f t="shared" si="129"/>
        <v>0</v>
      </c>
    </row>
    <row r="1121" spans="1:28" x14ac:dyDescent="0.25">
      <c r="D1121" t="s">
        <v>119</v>
      </c>
      <c r="E1121" s="35">
        <f t="shared" si="127"/>
        <v>0</v>
      </c>
      <c r="F1121" s="35">
        <f t="shared" si="127"/>
        <v>0</v>
      </c>
      <c r="G1121" s="35">
        <f t="shared" si="127"/>
        <v>0</v>
      </c>
      <c r="H1121" s="35">
        <f t="shared" si="127"/>
        <v>0</v>
      </c>
      <c r="I1121" s="35">
        <f t="shared" si="127"/>
        <v>0</v>
      </c>
      <c r="J1121" s="35">
        <f t="shared" si="130"/>
        <v>0</v>
      </c>
      <c r="K1121" s="35">
        <f t="shared" si="130"/>
        <v>0</v>
      </c>
      <c r="L1121" s="35">
        <f t="shared" si="130"/>
        <v>0</v>
      </c>
      <c r="M1121" s="35">
        <f t="shared" si="128"/>
        <v>0</v>
      </c>
      <c r="S1121" t="s">
        <v>119</v>
      </c>
      <c r="T1121" s="5">
        <f>data_origin!T1290</f>
        <v>0</v>
      </c>
      <c r="U1121" s="5">
        <f>data_origin!U1290</f>
        <v>0</v>
      </c>
      <c r="V1121" s="5">
        <f>data_origin!V1290</f>
        <v>0</v>
      </c>
      <c r="W1121" s="5">
        <f>data_origin!W1290</f>
        <v>0</v>
      </c>
      <c r="X1121" s="5">
        <f>data_origin!X1290</f>
        <v>0</v>
      </c>
      <c r="Y1121" s="5">
        <f>data_origin!Y1290</f>
        <v>0</v>
      </c>
      <c r="Z1121" s="5">
        <f>data_origin!Z1290</f>
        <v>0</v>
      </c>
      <c r="AA1121" s="5">
        <f>data_origin!AA1290</f>
        <v>0</v>
      </c>
      <c r="AB1121" s="5">
        <f t="shared" si="129"/>
        <v>0</v>
      </c>
    </row>
    <row r="1122" spans="1:28" x14ac:dyDescent="0.25">
      <c r="D1122" t="s">
        <v>99</v>
      </c>
      <c r="E1122" s="35">
        <f t="shared" si="127"/>
        <v>0</v>
      </c>
      <c r="F1122" s="35">
        <f t="shared" si="127"/>
        <v>0</v>
      </c>
      <c r="G1122" s="35">
        <f t="shared" si="127"/>
        <v>0</v>
      </c>
      <c r="H1122" s="35">
        <f t="shared" si="127"/>
        <v>0</v>
      </c>
      <c r="I1122" s="35">
        <f t="shared" si="127"/>
        <v>0</v>
      </c>
      <c r="J1122" s="35">
        <f t="shared" si="130"/>
        <v>0</v>
      </c>
      <c r="K1122" s="35">
        <f t="shared" si="130"/>
        <v>0</v>
      </c>
      <c r="L1122" s="35">
        <f t="shared" si="130"/>
        <v>0</v>
      </c>
      <c r="M1122" s="35">
        <f t="shared" si="128"/>
        <v>0</v>
      </c>
      <c r="S1122" t="s">
        <v>99</v>
      </c>
      <c r="T1122" s="5">
        <f>data_origin!T1291</f>
        <v>0</v>
      </c>
      <c r="U1122" s="5">
        <f>data_origin!U1291</f>
        <v>0</v>
      </c>
      <c r="V1122" s="5">
        <f>data_origin!V1291</f>
        <v>0</v>
      </c>
      <c r="W1122" s="5">
        <f>data_origin!W1291</f>
        <v>0</v>
      </c>
      <c r="X1122" s="5">
        <f>data_origin!X1291</f>
        <v>0</v>
      </c>
      <c r="Y1122" s="5">
        <f>data_origin!Y1291</f>
        <v>0</v>
      </c>
      <c r="Z1122" s="5">
        <f>data_origin!Z1291</f>
        <v>0</v>
      </c>
      <c r="AA1122" s="5">
        <f>data_origin!AA1291</f>
        <v>0</v>
      </c>
      <c r="AB1122" s="5">
        <f t="shared" si="129"/>
        <v>0</v>
      </c>
    </row>
    <row r="1123" spans="1:28" x14ac:dyDescent="0.25">
      <c r="D1123" t="s">
        <v>100</v>
      </c>
      <c r="E1123" s="35">
        <f t="shared" si="127"/>
        <v>0</v>
      </c>
      <c r="F1123" s="35">
        <f t="shared" si="127"/>
        <v>0</v>
      </c>
      <c r="G1123" s="35">
        <f t="shared" si="127"/>
        <v>0</v>
      </c>
      <c r="H1123" s="35">
        <f t="shared" si="127"/>
        <v>0</v>
      </c>
      <c r="I1123" s="35">
        <f t="shared" si="127"/>
        <v>0</v>
      </c>
      <c r="J1123" s="35">
        <f t="shared" si="130"/>
        <v>0</v>
      </c>
      <c r="K1123" s="35">
        <f t="shared" si="130"/>
        <v>0</v>
      </c>
      <c r="L1123" s="35">
        <f t="shared" si="130"/>
        <v>0</v>
      </c>
      <c r="M1123" s="35">
        <f t="shared" si="128"/>
        <v>0</v>
      </c>
      <c r="S1123" t="s">
        <v>100</v>
      </c>
      <c r="T1123" s="5">
        <f>data_origin!T1292</f>
        <v>0</v>
      </c>
      <c r="U1123" s="5">
        <f>data_origin!U1292</f>
        <v>0</v>
      </c>
      <c r="V1123" s="5">
        <f>data_origin!V1292</f>
        <v>0</v>
      </c>
      <c r="W1123" s="5">
        <f>data_origin!W1292</f>
        <v>0</v>
      </c>
      <c r="X1123" s="5">
        <f>data_origin!X1292</f>
        <v>0</v>
      </c>
      <c r="Y1123" s="5">
        <f>data_origin!Y1292</f>
        <v>0</v>
      </c>
      <c r="Z1123" s="5">
        <f>data_origin!Z1292</f>
        <v>0</v>
      </c>
      <c r="AA1123" s="5">
        <f>data_origin!AA1292</f>
        <v>0</v>
      </c>
      <c r="AB1123" s="5">
        <f t="shared" si="129"/>
        <v>0</v>
      </c>
    </row>
    <row r="1124" spans="1:28" x14ac:dyDescent="0.25">
      <c r="D1124" t="s">
        <v>101</v>
      </c>
      <c r="E1124" s="35">
        <f t="shared" si="127"/>
        <v>0</v>
      </c>
      <c r="F1124" s="35">
        <f t="shared" si="127"/>
        <v>0</v>
      </c>
      <c r="G1124" s="35">
        <f t="shared" si="127"/>
        <v>0</v>
      </c>
      <c r="H1124" s="35">
        <f t="shared" si="127"/>
        <v>0</v>
      </c>
      <c r="I1124" s="35">
        <f t="shared" si="127"/>
        <v>0</v>
      </c>
      <c r="J1124" s="35">
        <f t="shared" si="130"/>
        <v>0</v>
      </c>
      <c r="K1124" s="35">
        <f t="shared" si="130"/>
        <v>0</v>
      </c>
      <c r="L1124" s="35">
        <f t="shared" si="130"/>
        <v>0</v>
      </c>
      <c r="M1124" s="35">
        <f t="shared" si="128"/>
        <v>0</v>
      </c>
      <c r="S1124" t="s">
        <v>101</v>
      </c>
      <c r="T1124" s="5">
        <f>data_origin!T1293</f>
        <v>0</v>
      </c>
      <c r="U1124" s="5">
        <f>data_origin!U1293</f>
        <v>0</v>
      </c>
      <c r="V1124" s="5">
        <f>data_origin!V1293</f>
        <v>0</v>
      </c>
      <c r="W1124" s="5">
        <f>data_origin!W1293</f>
        <v>0</v>
      </c>
      <c r="X1124" s="5">
        <f>data_origin!X1293</f>
        <v>0</v>
      </c>
      <c r="Y1124" s="5">
        <f>data_origin!Y1293</f>
        <v>0</v>
      </c>
      <c r="Z1124" s="5">
        <f>data_origin!Z1293</f>
        <v>0</v>
      </c>
      <c r="AA1124" s="5">
        <f>data_origin!AA1293</f>
        <v>0</v>
      </c>
      <c r="AB1124" s="5">
        <f t="shared" si="129"/>
        <v>0</v>
      </c>
    </row>
    <row r="1125" spans="1:28" x14ac:dyDescent="0.25">
      <c r="A1125" s="24" t="s">
        <v>115</v>
      </c>
      <c r="B1125" s="24" t="s">
        <v>103</v>
      </c>
      <c r="C1125" s="24" t="s">
        <v>109</v>
      </c>
      <c r="D1125" t="s">
        <v>70</v>
      </c>
      <c r="E1125" s="38">
        <f>T1125+AW3+IFERROR((T1125/SUM(T$993:T$1982)*AW$630),0)+IFERROR((T1125/SUM(T$1125:T$1322,T$1455:T$1652,T$1785:T$1982)*AW$732),0)</f>
        <v>0</v>
      </c>
      <c r="F1125" s="38">
        <f t="shared" ref="F1125:L1125" si="131">U1125+AX3+IFERROR((U1125/SUM(U$993:U$1982)*AX$630),0)+IFERROR((U1125/SUM(U$1125:U$1322,U$1455:U$1652,U$1785:U$1982)*AX$732),0)</f>
        <v>0</v>
      </c>
      <c r="G1125" s="38">
        <f t="shared" si="131"/>
        <v>19.811129449732473</v>
      </c>
      <c r="H1125" s="38">
        <f t="shared" si="131"/>
        <v>20.972743418474721</v>
      </c>
      <c r="I1125" s="38">
        <f t="shared" si="131"/>
        <v>11.906475138067311</v>
      </c>
      <c r="J1125" s="38">
        <f t="shared" si="131"/>
        <v>0</v>
      </c>
      <c r="K1125" s="38">
        <f t="shared" si="131"/>
        <v>0</v>
      </c>
      <c r="L1125" s="38">
        <f t="shared" si="131"/>
        <v>0</v>
      </c>
      <c r="M1125" s="35">
        <f t="shared" si="128"/>
        <v>52.690348006274505</v>
      </c>
      <c r="P1125" t="s">
        <v>115</v>
      </c>
      <c r="Q1125" t="s">
        <v>103</v>
      </c>
      <c r="R1125" t="s">
        <v>109</v>
      </c>
      <c r="S1125" t="s">
        <v>70</v>
      </c>
      <c r="T1125" s="5">
        <f>data_origin!T1295</f>
        <v>0</v>
      </c>
      <c r="U1125" s="5">
        <f>data_origin!U1295</f>
        <v>0</v>
      </c>
      <c r="V1125" s="5">
        <f>data_origin!V1295</f>
        <v>19.539078156312627</v>
      </c>
      <c r="W1125" s="5">
        <f>data_origin!W1295</f>
        <v>20.6112</v>
      </c>
      <c r="X1125" s="5">
        <f>data_origin!X1295</f>
        <v>11.702594810379242</v>
      </c>
      <c r="Y1125" s="5">
        <f>data_origin!Y1295</f>
        <v>0</v>
      </c>
      <c r="Z1125" s="5">
        <f>data_origin!Z1295</f>
        <v>0</v>
      </c>
      <c r="AA1125" s="5">
        <f>data_origin!AA1295</f>
        <v>0</v>
      </c>
      <c r="AB1125" s="5">
        <f t="shared" si="129"/>
        <v>51.852872966691862</v>
      </c>
    </row>
    <row r="1126" spans="1:28" x14ac:dyDescent="0.25">
      <c r="D1126" t="s">
        <v>71</v>
      </c>
      <c r="E1126" s="38">
        <f t="shared" ref="E1126:L1157" si="132">T1126+AW4+IFERROR((T1126/SUM(T$993:T$1982)*AW$630),0)+IFERROR((T1126/SUM(T$1125:T$1322,T$1455:T$1652,T$1785:T$1982)*AW$732),0)</f>
        <v>0</v>
      </c>
      <c r="F1126" s="38">
        <f t="shared" si="132"/>
        <v>0</v>
      </c>
      <c r="G1126" s="38">
        <f t="shared" si="132"/>
        <v>90.250700826559026</v>
      </c>
      <c r="H1126" s="38">
        <f t="shared" si="132"/>
        <v>71.748859063202985</v>
      </c>
      <c r="I1126" s="38">
        <f t="shared" si="132"/>
        <v>27.060170768334793</v>
      </c>
      <c r="J1126" s="38">
        <f t="shared" si="132"/>
        <v>1.0877284812229977</v>
      </c>
      <c r="K1126" s="38">
        <f t="shared" si="132"/>
        <v>0</v>
      </c>
      <c r="L1126" s="38">
        <f t="shared" si="132"/>
        <v>0</v>
      </c>
      <c r="M1126" s="35">
        <f t="shared" si="128"/>
        <v>190.14745913931978</v>
      </c>
      <c r="S1126" t="s">
        <v>71</v>
      </c>
      <c r="T1126" s="5">
        <f>data_origin!T1296</f>
        <v>0</v>
      </c>
      <c r="U1126" s="5">
        <f>data_origin!U1296</f>
        <v>0</v>
      </c>
      <c r="V1126" s="5">
        <f>data_origin!V1296</f>
        <v>89.011356045424179</v>
      </c>
      <c r="W1126" s="5">
        <f>data_origin!W1296</f>
        <v>70.512</v>
      </c>
      <c r="X1126" s="5">
        <f>data_origin!X1296</f>
        <v>26.596806387225548</v>
      </c>
      <c r="Y1126" s="5">
        <f>data_origin!Y1296</f>
        <v>1.0677966101694916</v>
      </c>
      <c r="Z1126" s="5">
        <f>data_origin!Z1296</f>
        <v>0</v>
      </c>
      <c r="AA1126" s="5">
        <f>data_origin!AA1296</f>
        <v>0</v>
      </c>
      <c r="AB1126" s="5">
        <f t="shared" si="129"/>
        <v>187.18795904281922</v>
      </c>
    </row>
    <row r="1127" spans="1:28" x14ac:dyDescent="0.25">
      <c r="D1127" t="s">
        <v>72</v>
      </c>
      <c r="E1127" s="38">
        <f t="shared" si="132"/>
        <v>0</v>
      </c>
      <c r="F1127" s="38">
        <f t="shared" si="132"/>
        <v>0</v>
      </c>
      <c r="G1127" s="38">
        <f t="shared" si="132"/>
        <v>30.817312477361622</v>
      </c>
      <c r="H1127" s="38">
        <f t="shared" si="132"/>
        <v>39.737829635004722</v>
      </c>
      <c r="I1127" s="38">
        <f t="shared" si="132"/>
        <v>30.30739126053497</v>
      </c>
      <c r="J1127" s="38">
        <f t="shared" si="132"/>
        <v>3.2631854436689931</v>
      </c>
      <c r="K1127" s="38">
        <f t="shared" si="132"/>
        <v>0</v>
      </c>
      <c r="L1127" s="38">
        <f t="shared" si="132"/>
        <v>0</v>
      </c>
      <c r="M1127" s="35">
        <f t="shared" si="128"/>
        <v>104.1257188165703</v>
      </c>
      <c r="S1127" t="s">
        <v>72</v>
      </c>
      <c r="T1127" s="5">
        <f>data_origin!T1297</f>
        <v>0</v>
      </c>
      <c r="U1127" s="5">
        <f>data_origin!U1297</f>
        <v>0</v>
      </c>
      <c r="V1127" s="5">
        <f>data_origin!V1297</f>
        <v>30.394121576486306</v>
      </c>
      <c r="W1127" s="5">
        <f>data_origin!W1297</f>
        <v>39.052799999999998</v>
      </c>
      <c r="X1127" s="5">
        <f>data_origin!X1297</f>
        <v>29.788423153692616</v>
      </c>
      <c r="Y1127" s="5">
        <f>data_origin!Y1297</f>
        <v>3.2033898305084745</v>
      </c>
      <c r="Z1127" s="5">
        <f>data_origin!Z1297</f>
        <v>0</v>
      </c>
      <c r="AA1127" s="5">
        <f>data_origin!AA1297</f>
        <v>0</v>
      </c>
      <c r="AB1127" s="5">
        <f t="shared" si="129"/>
        <v>102.43873456068739</v>
      </c>
    </row>
    <row r="1128" spans="1:28" x14ac:dyDescent="0.25">
      <c r="D1128" t="s">
        <v>73</v>
      </c>
      <c r="E1128" s="38">
        <f t="shared" si="132"/>
        <v>0</v>
      </c>
      <c r="F1128" s="38">
        <f t="shared" si="132"/>
        <v>0</v>
      </c>
      <c r="G1128" s="38">
        <f t="shared" si="132"/>
        <v>11.006183027629151</v>
      </c>
      <c r="H1128" s="38">
        <f t="shared" si="132"/>
        <v>9.9344574087511806</v>
      </c>
      <c r="I1128" s="38">
        <f t="shared" si="132"/>
        <v>7.5768478151337426</v>
      </c>
      <c r="J1128" s="38">
        <f t="shared" si="132"/>
        <v>0</v>
      </c>
      <c r="K1128" s="38">
        <f t="shared" si="132"/>
        <v>0</v>
      </c>
      <c r="L1128" s="38">
        <f t="shared" si="132"/>
        <v>0</v>
      </c>
      <c r="M1128" s="35">
        <f t="shared" si="128"/>
        <v>28.517488251514074</v>
      </c>
      <c r="S1128" t="s">
        <v>73</v>
      </c>
      <c r="T1128" s="5">
        <f>data_origin!T1298</f>
        <v>0</v>
      </c>
      <c r="U1128" s="5">
        <f>data_origin!U1298</f>
        <v>0</v>
      </c>
      <c r="V1128" s="5">
        <f>data_origin!V1298</f>
        <v>10.855043420173681</v>
      </c>
      <c r="W1128" s="5">
        <f>data_origin!W1298</f>
        <v>9.7631999999999994</v>
      </c>
      <c r="X1128" s="5">
        <f>data_origin!X1298</f>
        <v>7.447105788423154</v>
      </c>
      <c r="Y1128" s="5">
        <f>data_origin!Y1298</f>
        <v>0</v>
      </c>
      <c r="Z1128" s="5">
        <f>data_origin!Z1298</f>
        <v>0</v>
      </c>
      <c r="AA1128" s="5">
        <f>data_origin!AA1298</f>
        <v>0</v>
      </c>
      <c r="AB1128" s="5">
        <f t="shared" si="129"/>
        <v>28.065349208596835</v>
      </c>
    </row>
    <row r="1129" spans="1:28" x14ac:dyDescent="0.25">
      <c r="D1129" t="s">
        <v>74</v>
      </c>
      <c r="E1129" s="38">
        <f t="shared" si="132"/>
        <v>0</v>
      </c>
      <c r="F1129" s="38">
        <f t="shared" si="132"/>
        <v>0</v>
      </c>
      <c r="G1129" s="38">
        <f t="shared" si="132"/>
        <v>22.012366055258301</v>
      </c>
      <c r="H1129" s="38">
        <f t="shared" si="132"/>
        <v>68.437373260285909</v>
      </c>
      <c r="I1129" s="38">
        <f t="shared" si="132"/>
        <v>45.461086890802449</v>
      </c>
      <c r="J1129" s="38">
        <f t="shared" si="132"/>
        <v>6.5263708873379862</v>
      </c>
      <c r="K1129" s="38">
        <f t="shared" si="132"/>
        <v>0</v>
      </c>
      <c r="L1129" s="38">
        <f t="shared" si="132"/>
        <v>0</v>
      </c>
      <c r="M1129" s="35">
        <f t="shared" si="128"/>
        <v>142.43719709368463</v>
      </c>
      <c r="S1129" t="s">
        <v>74</v>
      </c>
      <c r="T1129" s="5">
        <f>data_origin!T1299</f>
        <v>0</v>
      </c>
      <c r="U1129" s="5">
        <f>data_origin!U1299</f>
        <v>0</v>
      </c>
      <c r="V1129" s="5">
        <f>data_origin!V1299</f>
        <v>21.710086840347362</v>
      </c>
      <c r="W1129" s="5">
        <f>data_origin!W1299</f>
        <v>67.257599999999996</v>
      </c>
      <c r="X1129" s="5">
        <f>data_origin!X1299</f>
        <v>44.682634730538922</v>
      </c>
      <c r="Y1129" s="5">
        <f>data_origin!Y1299</f>
        <v>6.406779661016949</v>
      </c>
      <c r="Z1129" s="5">
        <f>data_origin!Z1299</f>
        <v>0</v>
      </c>
      <c r="AA1129" s="5">
        <f>data_origin!AA1299</f>
        <v>0</v>
      </c>
      <c r="AB1129" s="5">
        <f t="shared" si="129"/>
        <v>140.0571012319032</v>
      </c>
    </row>
    <row r="1130" spans="1:28" x14ac:dyDescent="0.25">
      <c r="D1130" t="s">
        <v>75</v>
      </c>
      <c r="E1130" s="38">
        <f t="shared" si="132"/>
        <v>0</v>
      </c>
      <c r="F1130" s="38">
        <f t="shared" si="132"/>
        <v>0</v>
      </c>
      <c r="G1130" s="38">
        <f t="shared" si="132"/>
        <v>34.119167385650364</v>
      </c>
      <c r="H1130" s="38">
        <f t="shared" si="132"/>
        <v>38.63400103403238</v>
      </c>
      <c r="I1130" s="38">
        <f t="shared" si="132"/>
        <v>18.40091612246766</v>
      </c>
      <c r="J1130" s="38">
        <f t="shared" si="132"/>
        <v>1.0877284812229977</v>
      </c>
      <c r="K1130" s="38">
        <f t="shared" si="132"/>
        <v>0</v>
      </c>
      <c r="L1130" s="38">
        <f t="shared" si="132"/>
        <v>0</v>
      </c>
      <c r="M1130" s="35">
        <f t="shared" si="128"/>
        <v>92.241813023373396</v>
      </c>
      <c r="S1130" t="s">
        <v>75</v>
      </c>
      <c r="T1130" s="5">
        <f>data_origin!T1300</f>
        <v>0</v>
      </c>
      <c r="U1130" s="5">
        <f>data_origin!U1300</f>
        <v>0</v>
      </c>
      <c r="V1130" s="5">
        <f>data_origin!V1300</f>
        <v>33.65063460253841</v>
      </c>
      <c r="W1130" s="5">
        <f>data_origin!W1300</f>
        <v>37.968000000000004</v>
      </c>
      <c r="X1130" s="5">
        <f>data_origin!X1300</f>
        <v>18.085828343313374</v>
      </c>
      <c r="Y1130" s="5">
        <f>data_origin!Y1300</f>
        <v>1.0677966101694916</v>
      </c>
      <c r="Z1130" s="5">
        <f>data_origin!Z1300</f>
        <v>0</v>
      </c>
      <c r="AA1130" s="5">
        <f>data_origin!AA1300</f>
        <v>0</v>
      </c>
      <c r="AB1130" s="5">
        <f t="shared" si="129"/>
        <v>90.772259556021282</v>
      </c>
    </row>
    <row r="1131" spans="1:28" x14ac:dyDescent="0.25">
      <c r="D1131" t="s">
        <v>76</v>
      </c>
      <c r="E1131" s="38">
        <f t="shared" si="132"/>
        <v>0</v>
      </c>
      <c r="F1131" s="38">
        <f t="shared" si="132"/>
        <v>0</v>
      </c>
      <c r="G1131" s="38">
        <f t="shared" si="132"/>
        <v>64.936479863011996</v>
      </c>
      <c r="H1131" s="38">
        <f t="shared" si="132"/>
        <v>114.79817450112476</v>
      </c>
      <c r="I1131" s="38">
        <f t="shared" si="132"/>
        <v>45.461086890802449</v>
      </c>
      <c r="J1131" s="38">
        <f t="shared" si="132"/>
        <v>7.6140993685609839</v>
      </c>
      <c r="K1131" s="38">
        <f t="shared" si="132"/>
        <v>0</v>
      </c>
      <c r="L1131" s="38">
        <f t="shared" si="132"/>
        <v>0</v>
      </c>
      <c r="M1131" s="35">
        <f t="shared" si="128"/>
        <v>232.80984062350018</v>
      </c>
      <c r="S1131" t="s">
        <v>76</v>
      </c>
      <c r="T1131" s="5">
        <f>data_origin!T1301</f>
        <v>0</v>
      </c>
      <c r="U1131" s="5">
        <f>data_origin!U1301</f>
        <v>0</v>
      </c>
      <c r="V1131" s="5">
        <f>data_origin!V1301</f>
        <v>64.044756179024716</v>
      </c>
      <c r="W1131" s="5">
        <f>data_origin!W1301</f>
        <v>112.8192</v>
      </c>
      <c r="X1131" s="5">
        <f>data_origin!X1301</f>
        <v>44.682634730538922</v>
      </c>
      <c r="Y1131" s="5">
        <f>data_origin!Y1301</f>
        <v>7.4745762711864403</v>
      </c>
      <c r="Z1131" s="5">
        <f>data_origin!Z1301</f>
        <v>0</v>
      </c>
      <c r="AA1131" s="5">
        <f>data_origin!AA1301</f>
        <v>0</v>
      </c>
      <c r="AB1131" s="5">
        <f t="shared" si="129"/>
        <v>229.02116718075007</v>
      </c>
    </row>
    <row r="1132" spans="1:28" x14ac:dyDescent="0.25">
      <c r="D1132" t="s">
        <v>77</v>
      </c>
      <c r="E1132" s="38">
        <f t="shared" si="132"/>
        <v>0</v>
      </c>
      <c r="F1132" s="38">
        <f t="shared" si="132"/>
        <v>0</v>
      </c>
      <c r="G1132" s="38">
        <f t="shared" si="132"/>
        <v>125.47048651497231</v>
      </c>
      <c r="H1132" s="38">
        <f t="shared" si="132"/>
        <v>167.78194734779777</v>
      </c>
      <c r="I1132" s="38">
        <f t="shared" si="132"/>
        <v>99.581428427472048</v>
      </c>
      <c r="J1132" s="38">
        <f t="shared" si="132"/>
        <v>8.7018278497839816</v>
      </c>
      <c r="K1132" s="38">
        <f t="shared" si="132"/>
        <v>1.0214285714285714</v>
      </c>
      <c r="L1132" s="38">
        <f t="shared" si="132"/>
        <v>0</v>
      </c>
      <c r="M1132" s="35">
        <f t="shared" si="128"/>
        <v>402.55711871145462</v>
      </c>
      <c r="S1132" t="s">
        <v>77</v>
      </c>
      <c r="T1132" s="5">
        <f>data_origin!T1302</f>
        <v>0</v>
      </c>
      <c r="U1132" s="5">
        <f>data_origin!U1302</f>
        <v>0</v>
      </c>
      <c r="V1132" s="5">
        <f>data_origin!V1302</f>
        <v>123.74749498997996</v>
      </c>
      <c r="W1132" s="5">
        <f>data_origin!W1302</f>
        <v>164.8896</v>
      </c>
      <c r="X1132" s="5">
        <f>data_origin!X1302</f>
        <v>97.876247504990019</v>
      </c>
      <c r="Y1132" s="5">
        <f>data_origin!Y1302</f>
        <v>8.5423728813559325</v>
      </c>
      <c r="Z1132" s="5">
        <f>data_origin!Z1302</f>
        <v>1</v>
      </c>
      <c r="AA1132" s="5">
        <f>data_origin!AA1302</f>
        <v>0</v>
      </c>
      <c r="AB1132" s="5">
        <f t="shared" si="129"/>
        <v>396.05571537632596</v>
      </c>
    </row>
    <row r="1133" spans="1:28" x14ac:dyDescent="0.25">
      <c r="D1133" t="s">
        <v>78</v>
      </c>
      <c r="E1133" s="38">
        <f t="shared" si="132"/>
        <v>0</v>
      </c>
      <c r="F1133" s="38">
        <f t="shared" si="132"/>
        <v>0</v>
      </c>
      <c r="G1133" s="38">
        <f t="shared" si="132"/>
        <v>55.030915138145751</v>
      </c>
      <c r="H1133" s="38">
        <f t="shared" si="132"/>
        <v>76.164173467092397</v>
      </c>
      <c r="I1133" s="38">
        <f t="shared" si="132"/>
        <v>47.625900552269243</v>
      </c>
      <c r="J1133" s="38">
        <f t="shared" si="132"/>
        <v>2.1754569624459954</v>
      </c>
      <c r="K1133" s="38">
        <f t="shared" si="132"/>
        <v>0</v>
      </c>
      <c r="L1133" s="38">
        <f t="shared" si="132"/>
        <v>0</v>
      </c>
      <c r="M1133" s="35">
        <f t="shared" si="128"/>
        <v>180.99644611995336</v>
      </c>
      <c r="S1133" t="s">
        <v>78</v>
      </c>
      <c r="T1133" s="5">
        <f>data_origin!T1303</f>
        <v>0</v>
      </c>
      <c r="U1133" s="5">
        <f>data_origin!U1303</f>
        <v>0</v>
      </c>
      <c r="V1133" s="5">
        <f>data_origin!V1303</f>
        <v>54.275217100868403</v>
      </c>
      <c r="W1133" s="5">
        <f>data_origin!W1303</f>
        <v>74.851200000000006</v>
      </c>
      <c r="X1133" s="5">
        <f>data_origin!X1303</f>
        <v>46.810379241516969</v>
      </c>
      <c r="Y1133" s="5">
        <f>data_origin!Y1303</f>
        <v>2.1355932203389831</v>
      </c>
      <c r="Z1133" s="5">
        <f>data_origin!Z1303</f>
        <v>0</v>
      </c>
      <c r="AA1133" s="5">
        <f>data_origin!AA1303</f>
        <v>0</v>
      </c>
      <c r="AB1133" s="5">
        <f t="shared" si="129"/>
        <v>178.07238956272437</v>
      </c>
    </row>
    <row r="1134" spans="1:28" x14ac:dyDescent="0.25">
      <c r="D1134" t="s">
        <v>79</v>
      </c>
      <c r="E1134" s="38">
        <f t="shared" si="132"/>
        <v>0</v>
      </c>
      <c r="F1134" s="38">
        <f t="shared" si="132"/>
        <v>0</v>
      </c>
      <c r="G1134" s="38">
        <f t="shared" si="132"/>
        <v>105.65935706523985</v>
      </c>
      <c r="H1134" s="38">
        <f t="shared" si="132"/>
        <v>93.825431082650042</v>
      </c>
      <c r="I1134" s="38">
        <f t="shared" si="132"/>
        <v>58.449968859603153</v>
      </c>
      <c r="J1134" s="38">
        <f t="shared" si="132"/>
        <v>4.3509139248919908</v>
      </c>
      <c r="K1134" s="38">
        <f t="shared" si="132"/>
        <v>1.0214285714285714</v>
      </c>
      <c r="L1134" s="38">
        <f t="shared" si="132"/>
        <v>0</v>
      </c>
      <c r="M1134" s="35">
        <f t="shared" si="128"/>
        <v>263.30709950381356</v>
      </c>
      <c r="S1134" t="s">
        <v>79</v>
      </c>
      <c r="T1134" s="5">
        <f>data_origin!T1304</f>
        <v>0</v>
      </c>
      <c r="U1134" s="5">
        <f>data_origin!U1304</f>
        <v>0</v>
      </c>
      <c r="V1134" s="5">
        <f>data_origin!V1304</f>
        <v>104.20841683366733</v>
      </c>
      <c r="W1134" s="5">
        <f>data_origin!W1304</f>
        <v>92.207999999999998</v>
      </c>
      <c r="X1134" s="5">
        <f>data_origin!X1304</f>
        <v>57.449101796407184</v>
      </c>
      <c r="Y1134" s="5">
        <f>data_origin!Y1304</f>
        <v>4.2711864406779663</v>
      </c>
      <c r="Z1134" s="5">
        <f>data_origin!Z1304</f>
        <v>1</v>
      </c>
      <c r="AA1134" s="5">
        <f>data_origin!AA1304</f>
        <v>0</v>
      </c>
      <c r="AB1134" s="5">
        <f t="shared" si="129"/>
        <v>259.13670507075244</v>
      </c>
    </row>
    <row r="1135" spans="1:28" x14ac:dyDescent="0.25">
      <c r="D1135" t="s">
        <v>80</v>
      </c>
      <c r="E1135" s="38">
        <f t="shared" si="132"/>
        <v>0</v>
      </c>
      <c r="F1135" s="38">
        <f t="shared" si="132"/>
        <v>0</v>
      </c>
      <c r="G1135" s="38">
        <f t="shared" si="132"/>
        <v>143.08037935917895</v>
      </c>
      <c r="H1135" s="38">
        <f t="shared" si="132"/>
        <v>174.40491895363189</v>
      </c>
      <c r="I1135" s="38">
        <f t="shared" si="132"/>
        <v>109.32308990407257</v>
      </c>
      <c r="J1135" s="38">
        <f t="shared" si="132"/>
        <v>7.6140993685609839</v>
      </c>
      <c r="K1135" s="38">
        <f t="shared" si="132"/>
        <v>0</v>
      </c>
      <c r="L1135" s="38">
        <f t="shared" si="132"/>
        <v>0</v>
      </c>
      <c r="M1135" s="35">
        <f t="shared" si="128"/>
        <v>434.4224875854444</v>
      </c>
      <c r="S1135" t="s">
        <v>80</v>
      </c>
      <c r="T1135" s="5">
        <f>data_origin!T1305</f>
        <v>0</v>
      </c>
      <c r="U1135" s="5">
        <f>data_origin!U1305</f>
        <v>0</v>
      </c>
      <c r="V1135" s="5">
        <f>data_origin!V1305</f>
        <v>141.11556446225785</v>
      </c>
      <c r="W1135" s="5">
        <f>data_origin!W1305</f>
        <v>171.39840000000001</v>
      </c>
      <c r="X1135" s="5">
        <f>data_origin!X1305</f>
        <v>107.45109780439122</v>
      </c>
      <c r="Y1135" s="5">
        <f>data_origin!Y1305</f>
        <v>7.4745762711864403</v>
      </c>
      <c r="Z1135" s="5">
        <f>data_origin!Z1305</f>
        <v>0</v>
      </c>
      <c r="AA1135" s="5">
        <f>data_origin!AA1305</f>
        <v>0</v>
      </c>
      <c r="AB1135" s="5">
        <f t="shared" si="129"/>
        <v>427.43963853783549</v>
      </c>
    </row>
    <row r="1136" spans="1:28" x14ac:dyDescent="0.25">
      <c r="D1136" t="s">
        <v>81</v>
      </c>
      <c r="E1136" s="38">
        <f t="shared" si="132"/>
        <v>0</v>
      </c>
      <c r="F1136" s="38">
        <f t="shared" si="132"/>
        <v>0</v>
      </c>
      <c r="G1136" s="38">
        <f t="shared" si="132"/>
        <v>15.408656238680811</v>
      </c>
      <c r="H1136" s="38">
        <f t="shared" si="132"/>
        <v>45.25697263986649</v>
      </c>
      <c r="I1136" s="38">
        <f t="shared" si="132"/>
        <v>14.071288799534093</v>
      </c>
      <c r="J1136" s="38">
        <f t="shared" si="132"/>
        <v>1.0877284812229977</v>
      </c>
      <c r="K1136" s="38">
        <f t="shared" si="132"/>
        <v>0</v>
      </c>
      <c r="L1136" s="38">
        <f t="shared" si="132"/>
        <v>0</v>
      </c>
      <c r="M1136" s="35">
        <f t="shared" si="128"/>
        <v>75.824646159304393</v>
      </c>
      <c r="S1136" t="s">
        <v>81</v>
      </c>
      <c r="T1136" s="5">
        <f>data_origin!T1306</f>
        <v>0</v>
      </c>
      <c r="U1136" s="5">
        <f>data_origin!U1306</f>
        <v>0</v>
      </c>
      <c r="V1136" s="5">
        <f>data_origin!V1306</f>
        <v>15.197060788243153</v>
      </c>
      <c r="W1136" s="5">
        <f>data_origin!W1306</f>
        <v>44.476799999999997</v>
      </c>
      <c r="X1136" s="5">
        <f>data_origin!X1306</f>
        <v>13.830339321357286</v>
      </c>
      <c r="Y1136" s="5">
        <f>data_origin!Y1306</f>
        <v>1.0677966101694916</v>
      </c>
      <c r="Z1136" s="5">
        <f>data_origin!Z1306</f>
        <v>0</v>
      </c>
      <c r="AA1136" s="5">
        <f>data_origin!AA1306</f>
        <v>0</v>
      </c>
      <c r="AB1136" s="5">
        <f t="shared" si="129"/>
        <v>74.571996719769928</v>
      </c>
    </row>
    <row r="1137" spans="4:28" x14ac:dyDescent="0.25">
      <c r="D1137" t="s">
        <v>82</v>
      </c>
      <c r="E1137" s="38">
        <f t="shared" si="132"/>
        <v>0</v>
      </c>
      <c r="F1137" s="38">
        <f t="shared" si="132"/>
        <v>0</v>
      </c>
      <c r="G1137" s="38">
        <f t="shared" si="132"/>
        <v>52.829678532619923</v>
      </c>
      <c r="H1137" s="38">
        <f t="shared" si="132"/>
        <v>71.748859063202985</v>
      </c>
      <c r="I1137" s="38">
        <f t="shared" si="132"/>
        <v>51.955527875202804</v>
      </c>
      <c r="J1137" s="38">
        <f t="shared" si="132"/>
        <v>2.1754569624459954</v>
      </c>
      <c r="K1137" s="38">
        <f t="shared" si="132"/>
        <v>0</v>
      </c>
      <c r="L1137" s="38">
        <f t="shared" si="132"/>
        <v>0</v>
      </c>
      <c r="M1137" s="35">
        <f t="shared" si="128"/>
        <v>178.7095224334717</v>
      </c>
      <c r="S1137" t="s">
        <v>82</v>
      </c>
      <c r="T1137" s="5">
        <f>data_origin!T1307</f>
        <v>0</v>
      </c>
      <c r="U1137" s="5">
        <f>data_origin!U1307</f>
        <v>0</v>
      </c>
      <c r="V1137" s="5">
        <f>data_origin!V1307</f>
        <v>52.104208416833664</v>
      </c>
      <c r="W1137" s="5">
        <f>data_origin!W1307</f>
        <v>70.512</v>
      </c>
      <c r="X1137" s="5">
        <f>data_origin!X1307</f>
        <v>51.065868263473057</v>
      </c>
      <c r="Y1137" s="5">
        <f>data_origin!Y1307</f>
        <v>2.1355932203389831</v>
      </c>
      <c r="Z1137" s="5">
        <f>data_origin!Z1307</f>
        <v>0</v>
      </c>
      <c r="AA1137" s="5">
        <f>data_origin!AA1307</f>
        <v>0</v>
      </c>
      <c r="AB1137" s="5">
        <f t="shared" si="129"/>
        <v>175.81766990064571</v>
      </c>
    </row>
    <row r="1138" spans="4:28" x14ac:dyDescent="0.25">
      <c r="D1138" t="s">
        <v>83</v>
      </c>
      <c r="E1138" s="38">
        <f t="shared" si="132"/>
        <v>0</v>
      </c>
      <c r="F1138" s="38">
        <f t="shared" si="132"/>
        <v>0</v>
      </c>
      <c r="G1138" s="38">
        <f t="shared" si="132"/>
        <v>12.106801330392065</v>
      </c>
      <c r="H1138" s="38">
        <f t="shared" si="132"/>
        <v>16.557429014585303</v>
      </c>
      <c r="I1138" s="38">
        <f t="shared" si="132"/>
        <v>6.4944409844003506</v>
      </c>
      <c r="J1138" s="38">
        <f t="shared" si="132"/>
        <v>0</v>
      </c>
      <c r="K1138" s="38">
        <f t="shared" si="132"/>
        <v>0</v>
      </c>
      <c r="L1138" s="38">
        <f t="shared" si="132"/>
        <v>0</v>
      </c>
      <c r="M1138" s="35">
        <f t="shared" si="128"/>
        <v>35.158671329377718</v>
      </c>
      <c r="S1138" t="s">
        <v>83</v>
      </c>
      <c r="T1138" s="5">
        <f>data_origin!T1308</f>
        <v>0</v>
      </c>
      <c r="U1138" s="5">
        <f>data_origin!U1308</f>
        <v>0</v>
      </c>
      <c r="V1138" s="5">
        <f>data_origin!V1308</f>
        <v>11.940547762191049</v>
      </c>
      <c r="W1138" s="5">
        <f>data_origin!W1308</f>
        <v>16.271999999999998</v>
      </c>
      <c r="X1138" s="5">
        <f>data_origin!X1308</f>
        <v>6.3832335329341321</v>
      </c>
      <c r="Y1138" s="5">
        <f>data_origin!Y1308</f>
        <v>0</v>
      </c>
      <c r="Z1138" s="5">
        <f>data_origin!Z1308</f>
        <v>0</v>
      </c>
      <c r="AA1138" s="5">
        <f>data_origin!AA1308</f>
        <v>0</v>
      </c>
      <c r="AB1138" s="5">
        <f t="shared" si="129"/>
        <v>34.595781295125178</v>
      </c>
    </row>
    <row r="1139" spans="4:28" x14ac:dyDescent="0.25">
      <c r="D1139" t="s">
        <v>84</v>
      </c>
      <c r="E1139" s="38">
        <f t="shared" si="132"/>
        <v>0</v>
      </c>
      <c r="F1139" s="38">
        <f t="shared" si="132"/>
        <v>0</v>
      </c>
      <c r="G1139" s="38">
        <f t="shared" si="132"/>
        <v>14.308037935917895</v>
      </c>
      <c r="H1139" s="38">
        <f t="shared" si="132"/>
        <v>18.765086216530012</v>
      </c>
      <c r="I1139" s="38">
        <f t="shared" si="132"/>
        <v>6.4944409844003506</v>
      </c>
      <c r="J1139" s="38">
        <f t="shared" si="132"/>
        <v>1.0877284812229977</v>
      </c>
      <c r="K1139" s="38">
        <f t="shared" si="132"/>
        <v>0</v>
      </c>
      <c r="L1139" s="38">
        <f t="shared" si="132"/>
        <v>0</v>
      </c>
      <c r="M1139" s="35">
        <f t="shared" si="128"/>
        <v>40.655293618071248</v>
      </c>
      <c r="S1139" t="s">
        <v>84</v>
      </c>
      <c r="T1139" s="5">
        <f>data_origin!T1309</f>
        <v>0</v>
      </c>
      <c r="U1139" s="5">
        <f>data_origin!U1309</f>
        <v>0</v>
      </c>
      <c r="V1139" s="5">
        <f>data_origin!V1309</f>
        <v>14.111556446225785</v>
      </c>
      <c r="W1139" s="5">
        <f>data_origin!W1309</f>
        <v>18.441600000000001</v>
      </c>
      <c r="X1139" s="5">
        <f>data_origin!X1309</f>
        <v>6.3832335329341321</v>
      </c>
      <c r="Y1139" s="5">
        <f>data_origin!Y1309</f>
        <v>1.0677966101694916</v>
      </c>
      <c r="Z1139" s="5">
        <f>data_origin!Z1309</f>
        <v>0</v>
      </c>
      <c r="AA1139" s="5">
        <f>data_origin!AA1309</f>
        <v>0</v>
      </c>
      <c r="AB1139" s="5">
        <f t="shared" si="129"/>
        <v>40.004186589329414</v>
      </c>
    </row>
    <row r="1140" spans="4:28" x14ac:dyDescent="0.25">
      <c r="D1140" t="s">
        <v>85</v>
      </c>
      <c r="E1140" s="38">
        <f t="shared" si="132"/>
        <v>0</v>
      </c>
      <c r="F1140" s="38">
        <f t="shared" si="132"/>
        <v>0</v>
      </c>
      <c r="G1140" s="38">
        <f t="shared" si="132"/>
        <v>27.515457569072876</v>
      </c>
      <c r="H1140" s="38">
        <f t="shared" si="132"/>
        <v>26.491886423336485</v>
      </c>
      <c r="I1140" s="38">
        <f t="shared" si="132"/>
        <v>16.236102461000879</v>
      </c>
      <c r="J1140" s="38">
        <f t="shared" si="132"/>
        <v>1.0877284812229977</v>
      </c>
      <c r="K1140" s="38">
        <f t="shared" si="132"/>
        <v>0</v>
      </c>
      <c r="L1140" s="38">
        <f t="shared" si="132"/>
        <v>0</v>
      </c>
      <c r="M1140" s="35">
        <f t="shared" si="128"/>
        <v>71.331174934633239</v>
      </c>
      <c r="S1140" t="s">
        <v>85</v>
      </c>
      <c r="T1140" s="5">
        <f>data_origin!T1310</f>
        <v>0</v>
      </c>
      <c r="U1140" s="5">
        <f>data_origin!U1310</f>
        <v>0</v>
      </c>
      <c r="V1140" s="5">
        <f>data_origin!V1310</f>
        <v>27.137608550434202</v>
      </c>
      <c r="W1140" s="5">
        <f>data_origin!W1310</f>
        <v>26.0352</v>
      </c>
      <c r="X1140" s="5">
        <f>data_origin!X1310</f>
        <v>15.95808383233533</v>
      </c>
      <c r="Y1140" s="5">
        <f>data_origin!Y1310</f>
        <v>1.0677966101694916</v>
      </c>
      <c r="Z1140" s="5">
        <f>data_origin!Z1310</f>
        <v>0</v>
      </c>
      <c r="AA1140" s="5">
        <f>data_origin!AA1310</f>
        <v>0</v>
      </c>
      <c r="AB1140" s="5">
        <f t="shared" si="129"/>
        <v>70.198688992939026</v>
      </c>
    </row>
    <row r="1141" spans="4:28" x14ac:dyDescent="0.25">
      <c r="D1141" t="s">
        <v>86</v>
      </c>
      <c r="E1141" s="38">
        <f t="shared" si="132"/>
        <v>0</v>
      </c>
      <c r="F1141" s="38">
        <f t="shared" si="132"/>
        <v>0</v>
      </c>
      <c r="G1141" s="38">
        <f t="shared" si="132"/>
        <v>648.26418032735694</v>
      </c>
      <c r="H1141" s="38">
        <f t="shared" si="132"/>
        <v>806.89870731079043</v>
      </c>
      <c r="I1141" s="38">
        <f t="shared" si="132"/>
        <v>376.67757709522033</v>
      </c>
      <c r="J1141" s="38">
        <f t="shared" si="132"/>
        <v>14.140470255898968</v>
      </c>
      <c r="K1141" s="38">
        <f t="shared" si="132"/>
        <v>1.0214285714285714</v>
      </c>
      <c r="L1141" s="38">
        <f t="shared" si="132"/>
        <v>0</v>
      </c>
      <c r="M1141" s="35">
        <f t="shared" si="128"/>
        <v>1847.0023635606951</v>
      </c>
      <c r="S1141" t="s">
        <v>86</v>
      </c>
      <c r="T1141" s="5">
        <f>data_origin!T1311</f>
        <v>0</v>
      </c>
      <c r="U1141" s="5">
        <f>data_origin!U1311</f>
        <v>0</v>
      </c>
      <c r="V1141" s="5">
        <f>data_origin!V1311</f>
        <v>639.36205744822973</v>
      </c>
      <c r="W1141" s="5">
        <f>data_origin!W1311</f>
        <v>792.98879999999997</v>
      </c>
      <c r="X1141" s="5">
        <f>data_origin!X1311</f>
        <v>370.22754491017963</v>
      </c>
      <c r="Y1141" s="5">
        <f>data_origin!Y1311</f>
        <v>13.881355932203389</v>
      </c>
      <c r="Z1141" s="5">
        <f>data_origin!Z1311</f>
        <v>1</v>
      </c>
      <c r="AA1141" s="5">
        <f>data_origin!AA1311</f>
        <v>0</v>
      </c>
      <c r="AB1141" s="5">
        <f t="shared" si="129"/>
        <v>1817.4597582906129</v>
      </c>
    </row>
    <row r="1142" spans="4:28" x14ac:dyDescent="0.25">
      <c r="D1142" t="s">
        <v>87</v>
      </c>
      <c r="E1142" s="38">
        <f t="shared" si="132"/>
        <v>0</v>
      </c>
      <c r="F1142" s="38">
        <f t="shared" si="132"/>
        <v>0</v>
      </c>
      <c r="G1142" s="38">
        <f t="shared" si="132"/>
        <v>26.414839266309961</v>
      </c>
      <c r="H1142" s="38">
        <f t="shared" si="132"/>
        <v>22.076572019447074</v>
      </c>
      <c r="I1142" s="38">
        <f t="shared" si="132"/>
        <v>15.153695630267485</v>
      </c>
      <c r="J1142" s="38">
        <f t="shared" si="132"/>
        <v>0</v>
      </c>
      <c r="K1142" s="38">
        <f t="shared" si="132"/>
        <v>0</v>
      </c>
      <c r="L1142" s="38">
        <f t="shared" si="132"/>
        <v>0</v>
      </c>
      <c r="M1142" s="35">
        <f t="shared" si="128"/>
        <v>63.645106916024524</v>
      </c>
      <c r="S1142" t="s">
        <v>87</v>
      </c>
      <c r="T1142" s="5">
        <f>data_origin!T1312</f>
        <v>0</v>
      </c>
      <c r="U1142" s="5">
        <f>data_origin!U1312</f>
        <v>0</v>
      </c>
      <c r="V1142" s="5">
        <f>data_origin!V1312</f>
        <v>26.052104208416832</v>
      </c>
      <c r="W1142" s="5">
        <f>data_origin!W1312</f>
        <v>21.696000000000002</v>
      </c>
      <c r="X1142" s="5">
        <f>data_origin!X1312</f>
        <v>14.894211576846308</v>
      </c>
      <c r="Y1142" s="5">
        <f>data_origin!Y1312</f>
        <v>0</v>
      </c>
      <c r="Z1142" s="5">
        <f>data_origin!Z1312</f>
        <v>0</v>
      </c>
      <c r="AA1142" s="5">
        <f>data_origin!AA1312</f>
        <v>0</v>
      </c>
      <c r="AB1142" s="5">
        <f t="shared" si="129"/>
        <v>62.642315785263143</v>
      </c>
    </row>
    <row r="1143" spans="4:28" x14ac:dyDescent="0.25">
      <c r="D1143" t="s">
        <v>88</v>
      </c>
      <c r="E1143" s="38">
        <f t="shared" si="132"/>
        <v>0</v>
      </c>
      <c r="F1143" s="38">
        <f t="shared" si="132"/>
        <v>0</v>
      </c>
      <c r="G1143" s="38">
        <f t="shared" si="132"/>
        <v>112.26306688181732</v>
      </c>
      <c r="H1143" s="38">
        <f t="shared" si="132"/>
        <v>122.52497470793125</v>
      </c>
      <c r="I1143" s="38">
        <f t="shared" si="132"/>
        <v>71.438850828403858</v>
      </c>
      <c r="J1143" s="38">
        <f t="shared" si="132"/>
        <v>2.1754569624459954</v>
      </c>
      <c r="K1143" s="38">
        <f t="shared" si="132"/>
        <v>0</v>
      </c>
      <c r="L1143" s="38">
        <f t="shared" si="132"/>
        <v>0</v>
      </c>
      <c r="M1143" s="35">
        <f t="shared" si="128"/>
        <v>308.40234938059842</v>
      </c>
      <c r="S1143" t="s">
        <v>88</v>
      </c>
      <c r="T1143" s="5">
        <f>data_origin!T1313</f>
        <v>0</v>
      </c>
      <c r="U1143" s="5">
        <f>data_origin!U1313</f>
        <v>0</v>
      </c>
      <c r="V1143" s="5">
        <f>data_origin!V1313</f>
        <v>110.72144288577154</v>
      </c>
      <c r="W1143" s="5">
        <f>data_origin!W1313</f>
        <v>120.4128</v>
      </c>
      <c r="X1143" s="5">
        <f>data_origin!X1313</f>
        <v>70.215568862275447</v>
      </c>
      <c r="Y1143" s="5">
        <f>data_origin!Y1313</f>
        <v>2.1355932203389831</v>
      </c>
      <c r="Z1143" s="5">
        <f>data_origin!Z1313</f>
        <v>0</v>
      </c>
      <c r="AA1143" s="5">
        <f>data_origin!AA1313</f>
        <v>0</v>
      </c>
      <c r="AB1143" s="5">
        <f t="shared" si="129"/>
        <v>303.48540496838598</v>
      </c>
    </row>
    <row r="1144" spans="4:28" x14ac:dyDescent="0.25">
      <c r="D1144" t="s">
        <v>89</v>
      </c>
      <c r="E1144" s="38">
        <f t="shared" si="132"/>
        <v>0</v>
      </c>
      <c r="F1144" s="38">
        <f t="shared" si="132"/>
        <v>0</v>
      </c>
      <c r="G1144" s="38">
        <f t="shared" si="132"/>
        <v>0</v>
      </c>
      <c r="H1144" s="38">
        <f t="shared" si="132"/>
        <v>3.3114858029170606</v>
      </c>
      <c r="I1144" s="38">
        <f t="shared" si="132"/>
        <v>1.0824068307333916</v>
      </c>
      <c r="J1144" s="38">
        <f t="shared" si="132"/>
        <v>0</v>
      </c>
      <c r="K1144" s="38">
        <f t="shared" si="132"/>
        <v>0</v>
      </c>
      <c r="L1144" s="38">
        <f t="shared" si="132"/>
        <v>0</v>
      </c>
      <c r="M1144" s="35">
        <f t="shared" si="128"/>
        <v>4.3938926336504522</v>
      </c>
      <c r="S1144" t="s">
        <v>89</v>
      </c>
      <c r="T1144" s="5">
        <f>data_origin!T1314</f>
        <v>0</v>
      </c>
      <c r="U1144" s="5">
        <f>data_origin!U1314</f>
        <v>0</v>
      </c>
      <c r="V1144" s="5">
        <f>data_origin!V1314</f>
        <v>0</v>
      </c>
      <c r="W1144" s="5">
        <f>data_origin!W1314</f>
        <v>3.2544</v>
      </c>
      <c r="X1144" s="5">
        <f>data_origin!X1314</f>
        <v>1.0638722554890219</v>
      </c>
      <c r="Y1144" s="5">
        <f>data_origin!Y1314</f>
        <v>0</v>
      </c>
      <c r="Z1144" s="5">
        <f>data_origin!Z1314</f>
        <v>0</v>
      </c>
      <c r="AA1144" s="5">
        <f>data_origin!AA1314</f>
        <v>0</v>
      </c>
      <c r="AB1144" s="5">
        <f t="shared" si="129"/>
        <v>4.3182722554890223</v>
      </c>
    </row>
    <row r="1145" spans="4:28" x14ac:dyDescent="0.25">
      <c r="D1145" t="s">
        <v>90</v>
      </c>
      <c r="E1145" s="38">
        <f t="shared" si="132"/>
        <v>0</v>
      </c>
      <c r="F1145" s="38">
        <f t="shared" si="132"/>
        <v>0</v>
      </c>
      <c r="G1145" s="38">
        <f t="shared" si="132"/>
        <v>0</v>
      </c>
      <c r="H1145" s="38">
        <f t="shared" si="132"/>
        <v>0</v>
      </c>
      <c r="I1145" s="38">
        <f t="shared" si="132"/>
        <v>0</v>
      </c>
      <c r="J1145" s="38">
        <f t="shared" si="132"/>
        <v>0</v>
      </c>
      <c r="K1145" s="38">
        <f t="shared" si="132"/>
        <v>0</v>
      </c>
      <c r="L1145" s="38">
        <f t="shared" si="132"/>
        <v>0</v>
      </c>
      <c r="M1145" s="35">
        <f t="shared" si="128"/>
        <v>0</v>
      </c>
      <c r="S1145" t="s">
        <v>90</v>
      </c>
      <c r="T1145" s="5">
        <f>data_origin!T1315</f>
        <v>0</v>
      </c>
      <c r="U1145" s="5">
        <f>data_origin!U1315</f>
        <v>0</v>
      </c>
      <c r="V1145" s="5">
        <f>data_origin!V1315</f>
        <v>0</v>
      </c>
      <c r="W1145" s="5">
        <f>data_origin!W1315</f>
        <v>0</v>
      </c>
      <c r="X1145" s="5">
        <f>data_origin!X1315</f>
        <v>0</v>
      </c>
      <c r="Y1145" s="5">
        <f>data_origin!Y1315</f>
        <v>0</v>
      </c>
      <c r="Z1145" s="5">
        <f>data_origin!Z1315</f>
        <v>0</v>
      </c>
      <c r="AA1145" s="5">
        <f>data_origin!AA1315</f>
        <v>0</v>
      </c>
      <c r="AB1145" s="5">
        <f t="shared" si="129"/>
        <v>0</v>
      </c>
    </row>
    <row r="1146" spans="4:28" x14ac:dyDescent="0.25">
      <c r="D1146" t="s">
        <v>91</v>
      </c>
      <c r="E1146" s="38">
        <f t="shared" si="132"/>
        <v>0</v>
      </c>
      <c r="F1146" s="38">
        <f t="shared" si="132"/>
        <v>0</v>
      </c>
      <c r="G1146" s="38">
        <f t="shared" si="132"/>
        <v>0</v>
      </c>
      <c r="H1146" s="38">
        <f t="shared" si="132"/>
        <v>2.2076572019447074</v>
      </c>
      <c r="I1146" s="38">
        <f t="shared" si="132"/>
        <v>3.2472204922001753</v>
      </c>
      <c r="J1146" s="38">
        <f t="shared" si="132"/>
        <v>0</v>
      </c>
      <c r="K1146" s="38">
        <f t="shared" si="132"/>
        <v>0</v>
      </c>
      <c r="L1146" s="38">
        <f t="shared" si="132"/>
        <v>0</v>
      </c>
      <c r="M1146" s="35">
        <f t="shared" si="128"/>
        <v>5.4548776941448827</v>
      </c>
      <c r="S1146" t="s">
        <v>91</v>
      </c>
      <c r="T1146" s="5">
        <f>data_origin!T1316</f>
        <v>0</v>
      </c>
      <c r="U1146" s="5">
        <f>data_origin!U1316</f>
        <v>0</v>
      </c>
      <c r="V1146" s="5">
        <f>data_origin!V1316</f>
        <v>0</v>
      </c>
      <c r="W1146" s="5">
        <f>data_origin!W1316</f>
        <v>2.1696</v>
      </c>
      <c r="X1146" s="5">
        <f>data_origin!X1316</f>
        <v>3.191616766467066</v>
      </c>
      <c r="Y1146" s="5">
        <f>data_origin!Y1316</f>
        <v>0</v>
      </c>
      <c r="Z1146" s="5">
        <f>data_origin!Z1316</f>
        <v>0</v>
      </c>
      <c r="AA1146" s="5">
        <f>data_origin!AA1316</f>
        <v>0</v>
      </c>
      <c r="AB1146" s="5">
        <f t="shared" si="129"/>
        <v>5.3612167664670665</v>
      </c>
    </row>
    <row r="1147" spans="4:28" x14ac:dyDescent="0.25">
      <c r="D1147" t="s">
        <v>92</v>
      </c>
      <c r="E1147" s="38">
        <f t="shared" si="132"/>
        <v>0</v>
      </c>
      <c r="F1147" s="38">
        <f t="shared" si="132"/>
        <v>0</v>
      </c>
      <c r="G1147" s="38">
        <f t="shared" si="132"/>
        <v>0</v>
      </c>
      <c r="H1147" s="38">
        <f t="shared" si="132"/>
        <v>0</v>
      </c>
      <c r="I1147" s="38">
        <f t="shared" si="132"/>
        <v>0</v>
      </c>
      <c r="J1147" s="38">
        <f t="shared" si="132"/>
        <v>0</v>
      </c>
      <c r="K1147" s="38">
        <f t="shared" si="132"/>
        <v>0</v>
      </c>
      <c r="L1147" s="38">
        <f t="shared" si="132"/>
        <v>0</v>
      </c>
      <c r="M1147" s="35">
        <f t="shared" si="128"/>
        <v>0</v>
      </c>
      <c r="S1147" t="s">
        <v>92</v>
      </c>
      <c r="T1147" s="5">
        <f>data_origin!T1317</f>
        <v>0</v>
      </c>
      <c r="U1147" s="5">
        <f>data_origin!U1317</f>
        <v>0</v>
      </c>
      <c r="V1147" s="5">
        <f>data_origin!V1317</f>
        <v>0</v>
      </c>
      <c r="W1147" s="5">
        <f>data_origin!W1317</f>
        <v>0</v>
      </c>
      <c r="X1147" s="5">
        <f>data_origin!X1317</f>
        <v>0</v>
      </c>
      <c r="Y1147" s="5">
        <f>data_origin!Y1317</f>
        <v>0</v>
      </c>
      <c r="Z1147" s="5">
        <f>data_origin!Z1317</f>
        <v>0</v>
      </c>
      <c r="AA1147" s="5">
        <f>data_origin!AA1317</f>
        <v>0</v>
      </c>
      <c r="AB1147" s="5">
        <f t="shared" si="129"/>
        <v>0</v>
      </c>
    </row>
    <row r="1148" spans="4:28" x14ac:dyDescent="0.25">
      <c r="D1148" t="s">
        <v>93</v>
      </c>
      <c r="E1148" s="38">
        <f t="shared" si="132"/>
        <v>0</v>
      </c>
      <c r="F1148" s="38">
        <f t="shared" si="132"/>
        <v>0</v>
      </c>
      <c r="G1148" s="38">
        <f t="shared" si="132"/>
        <v>1.1006183027629148</v>
      </c>
      <c r="H1148" s="38">
        <f t="shared" si="132"/>
        <v>1.1038286009723537</v>
      </c>
      <c r="I1148" s="38">
        <f t="shared" si="132"/>
        <v>4.3296273229335664</v>
      </c>
      <c r="J1148" s="38">
        <f t="shared" si="132"/>
        <v>0</v>
      </c>
      <c r="K1148" s="38">
        <f t="shared" si="132"/>
        <v>0</v>
      </c>
      <c r="L1148" s="38">
        <f t="shared" si="132"/>
        <v>0</v>
      </c>
      <c r="M1148" s="35">
        <f t="shared" si="128"/>
        <v>6.5340742266688352</v>
      </c>
      <c r="S1148" t="s">
        <v>93</v>
      </c>
      <c r="T1148" s="5">
        <f>data_origin!T1318</f>
        <v>0</v>
      </c>
      <c r="U1148" s="5">
        <f>data_origin!U1318</f>
        <v>0</v>
      </c>
      <c r="V1148" s="5">
        <f>data_origin!V1318</f>
        <v>1.085504342017368</v>
      </c>
      <c r="W1148" s="5">
        <f>data_origin!W1318</f>
        <v>1.0848</v>
      </c>
      <c r="X1148" s="5">
        <f>data_origin!X1318</f>
        <v>4.2554890219560875</v>
      </c>
      <c r="Y1148" s="5">
        <f>data_origin!Y1318</f>
        <v>0</v>
      </c>
      <c r="Z1148" s="5">
        <f>data_origin!Z1318</f>
        <v>0</v>
      </c>
      <c r="AA1148" s="5">
        <f>data_origin!AA1318</f>
        <v>0</v>
      </c>
      <c r="AB1148" s="5">
        <f t="shared" si="129"/>
        <v>6.4257933639734555</v>
      </c>
    </row>
    <row r="1149" spans="4:28" x14ac:dyDescent="0.25">
      <c r="D1149" t="s">
        <v>94</v>
      </c>
      <c r="E1149" s="38">
        <f t="shared" si="132"/>
        <v>0</v>
      </c>
      <c r="F1149" s="38">
        <f t="shared" si="132"/>
        <v>0</v>
      </c>
      <c r="G1149" s="38">
        <f t="shared" si="132"/>
        <v>0</v>
      </c>
      <c r="H1149" s="38">
        <f t="shared" si="132"/>
        <v>0</v>
      </c>
      <c r="I1149" s="38">
        <f t="shared" si="132"/>
        <v>0</v>
      </c>
      <c r="J1149" s="38">
        <f t="shared" si="132"/>
        <v>0</v>
      </c>
      <c r="K1149" s="38">
        <f t="shared" si="132"/>
        <v>0</v>
      </c>
      <c r="L1149" s="38">
        <f t="shared" si="132"/>
        <v>0</v>
      </c>
      <c r="M1149" s="35">
        <f t="shared" si="128"/>
        <v>0</v>
      </c>
      <c r="S1149" t="s">
        <v>94</v>
      </c>
      <c r="T1149" s="5">
        <f>data_origin!T1319</f>
        <v>0</v>
      </c>
      <c r="U1149" s="5">
        <f>data_origin!U1319</f>
        <v>0</v>
      </c>
      <c r="V1149" s="5">
        <f>data_origin!V1319</f>
        <v>0</v>
      </c>
      <c r="W1149" s="5">
        <f>data_origin!W1319</f>
        <v>0</v>
      </c>
      <c r="X1149" s="5">
        <f>data_origin!X1319</f>
        <v>0</v>
      </c>
      <c r="Y1149" s="5">
        <f>data_origin!Y1319</f>
        <v>0</v>
      </c>
      <c r="Z1149" s="5">
        <f>data_origin!Z1319</f>
        <v>0</v>
      </c>
      <c r="AA1149" s="5">
        <f>data_origin!AA1319</f>
        <v>0</v>
      </c>
      <c r="AB1149" s="5">
        <f t="shared" si="129"/>
        <v>0</v>
      </c>
    </row>
    <row r="1150" spans="4:28" x14ac:dyDescent="0.25">
      <c r="D1150" t="s">
        <v>95</v>
      </c>
      <c r="E1150" s="38">
        <f t="shared" si="132"/>
        <v>0</v>
      </c>
      <c r="F1150" s="38">
        <f t="shared" si="132"/>
        <v>0</v>
      </c>
      <c r="G1150" s="38">
        <f t="shared" si="132"/>
        <v>1.1006183027629148</v>
      </c>
      <c r="H1150" s="38">
        <f t="shared" si="132"/>
        <v>0</v>
      </c>
      <c r="I1150" s="38">
        <f t="shared" si="132"/>
        <v>0</v>
      </c>
      <c r="J1150" s="38">
        <f t="shared" si="132"/>
        <v>0</v>
      </c>
      <c r="K1150" s="38">
        <f t="shared" si="132"/>
        <v>0</v>
      </c>
      <c r="L1150" s="38">
        <f t="shared" si="132"/>
        <v>0</v>
      </c>
      <c r="M1150" s="35">
        <f t="shared" si="128"/>
        <v>1.1006183027629148</v>
      </c>
      <c r="S1150" t="s">
        <v>95</v>
      </c>
      <c r="T1150" s="5">
        <f>data_origin!T1320</f>
        <v>0</v>
      </c>
      <c r="U1150" s="5">
        <f>data_origin!U1320</f>
        <v>0</v>
      </c>
      <c r="V1150" s="5">
        <f>data_origin!V1320</f>
        <v>1.085504342017368</v>
      </c>
      <c r="W1150" s="5">
        <f>data_origin!W1320</f>
        <v>0</v>
      </c>
      <c r="X1150" s="5">
        <f>data_origin!X1320</f>
        <v>0</v>
      </c>
      <c r="Y1150" s="5">
        <f>data_origin!Y1320</f>
        <v>0</v>
      </c>
      <c r="Z1150" s="5">
        <f>data_origin!Z1320</f>
        <v>0</v>
      </c>
      <c r="AA1150" s="5">
        <f>data_origin!AA1320</f>
        <v>0</v>
      </c>
      <c r="AB1150" s="5">
        <f t="shared" si="129"/>
        <v>1.085504342017368</v>
      </c>
    </row>
    <row r="1151" spans="4:28" x14ac:dyDescent="0.25">
      <c r="D1151" t="s">
        <v>96</v>
      </c>
      <c r="E1151" s="38">
        <f t="shared" si="132"/>
        <v>0</v>
      </c>
      <c r="F1151" s="38">
        <f t="shared" si="132"/>
        <v>0</v>
      </c>
      <c r="G1151" s="38">
        <f t="shared" si="132"/>
        <v>2.2012366055258297</v>
      </c>
      <c r="H1151" s="38">
        <f t="shared" si="132"/>
        <v>2.2076572019447074</v>
      </c>
      <c r="I1151" s="38">
        <f t="shared" si="132"/>
        <v>1.0824068307333916</v>
      </c>
      <c r="J1151" s="38">
        <f t="shared" si="132"/>
        <v>0</v>
      </c>
      <c r="K1151" s="38">
        <f t="shared" si="132"/>
        <v>0</v>
      </c>
      <c r="L1151" s="38">
        <f t="shared" si="132"/>
        <v>0</v>
      </c>
      <c r="M1151" s="35">
        <f t="shared" si="128"/>
        <v>5.4913006382039296</v>
      </c>
      <c r="S1151" t="s">
        <v>96</v>
      </c>
      <c r="T1151" s="5">
        <f>data_origin!T1321</f>
        <v>0</v>
      </c>
      <c r="U1151" s="5">
        <f>data_origin!U1321</f>
        <v>0</v>
      </c>
      <c r="V1151" s="5">
        <f>data_origin!V1321</f>
        <v>2.171008684034736</v>
      </c>
      <c r="W1151" s="5">
        <f>data_origin!W1321</f>
        <v>2.1696</v>
      </c>
      <c r="X1151" s="5">
        <f>data_origin!X1321</f>
        <v>1.0638722554890219</v>
      </c>
      <c r="Y1151" s="5">
        <f>data_origin!Y1321</f>
        <v>0</v>
      </c>
      <c r="Z1151" s="5">
        <f>data_origin!Z1321</f>
        <v>0</v>
      </c>
      <c r="AA1151" s="5">
        <f>data_origin!AA1321</f>
        <v>0</v>
      </c>
      <c r="AB1151" s="5">
        <f t="shared" si="129"/>
        <v>5.4044809395237579</v>
      </c>
    </row>
    <row r="1152" spans="4:28" x14ac:dyDescent="0.25">
      <c r="D1152" t="s">
        <v>97</v>
      </c>
      <c r="E1152" s="38">
        <f t="shared" si="132"/>
        <v>0</v>
      </c>
      <c r="F1152" s="38">
        <f t="shared" si="132"/>
        <v>0</v>
      </c>
      <c r="G1152" s="38">
        <f t="shared" si="132"/>
        <v>0</v>
      </c>
      <c r="H1152" s="38">
        <f t="shared" si="132"/>
        <v>0</v>
      </c>
      <c r="I1152" s="38">
        <f t="shared" si="132"/>
        <v>0</v>
      </c>
      <c r="J1152" s="38">
        <f t="shared" si="132"/>
        <v>0</v>
      </c>
      <c r="K1152" s="38">
        <f t="shared" si="132"/>
        <v>0</v>
      </c>
      <c r="L1152" s="38">
        <f t="shared" si="132"/>
        <v>0</v>
      </c>
      <c r="M1152" s="35">
        <f t="shared" si="128"/>
        <v>0</v>
      </c>
      <c r="S1152" t="s">
        <v>97</v>
      </c>
      <c r="T1152" s="5">
        <f>data_origin!T1322</f>
        <v>0</v>
      </c>
      <c r="U1152" s="5">
        <f>data_origin!U1322</f>
        <v>0</v>
      </c>
      <c r="V1152" s="5">
        <f>data_origin!V1322</f>
        <v>0</v>
      </c>
      <c r="W1152" s="5">
        <f>data_origin!W1322</f>
        <v>0</v>
      </c>
      <c r="X1152" s="5">
        <f>data_origin!X1322</f>
        <v>0</v>
      </c>
      <c r="Y1152" s="5">
        <f>data_origin!Y1322</f>
        <v>0</v>
      </c>
      <c r="Z1152" s="5">
        <f>data_origin!Z1322</f>
        <v>0</v>
      </c>
      <c r="AA1152" s="5">
        <f>data_origin!AA1322</f>
        <v>0</v>
      </c>
      <c r="AB1152" s="5">
        <f t="shared" si="129"/>
        <v>0</v>
      </c>
    </row>
    <row r="1153" spans="1:28" x14ac:dyDescent="0.25">
      <c r="D1153" t="s">
        <v>98</v>
      </c>
      <c r="E1153" s="38">
        <f t="shared" si="132"/>
        <v>0</v>
      </c>
      <c r="F1153" s="38">
        <f t="shared" si="132"/>
        <v>0</v>
      </c>
      <c r="G1153" s="38">
        <f t="shared" si="132"/>
        <v>0</v>
      </c>
      <c r="H1153" s="38">
        <f t="shared" si="132"/>
        <v>1.1038286009723537</v>
      </c>
      <c r="I1153" s="38">
        <f t="shared" si="132"/>
        <v>1.0824068307333916</v>
      </c>
      <c r="J1153" s="38">
        <f t="shared" si="132"/>
        <v>0</v>
      </c>
      <c r="K1153" s="38">
        <f t="shared" si="132"/>
        <v>0</v>
      </c>
      <c r="L1153" s="38">
        <f t="shared" si="132"/>
        <v>0</v>
      </c>
      <c r="M1153" s="35">
        <f t="shared" si="128"/>
        <v>2.1862354317057453</v>
      </c>
      <c r="S1153" t="s">
        <v>98</v>
      </c>
      <c r="T1153" s="5">
        <f>data_origin!T1323</f>
        <v>0</v>
      </c>
      <c r="U1153" s="5">
        <f>data_origin!U1323</f>
        <v>0</v>
      </c>
      <c r="V1153" s="5">
        <f>data_origin!V1323</f>
        <v>0</v>
      </c>
      <c r="W1153" s="5">
        <f>data_origin!W1323</f>
        <v>1.0848</v>
      </c>
      <c r="X1153" s="5">
        <f>data_origin!X1323</f>
        <v>1.0638722554890219</v>
      </c>
      <c r="Y1153" s="5">
        <f>data_origin!Y1323</f>
        <v>0</v>
      </c>
      <c r="Z1153" s="5">
        <f>data_origin!Z1323</f>
        <v>0</v>
      </c>
      <c r="AA1153" s="5">
        <f>data_origin!AA1323</f>
        <v>0</v>
      </c>
      <c r="AB1153" s="5">
        <f t="shared" si="129"/>
        <v>2.1486722554890219</v>
      </c>
    </row>
    <row r="1154" spans="1:28" x14ac:dyDescent="0.25">
      <c r="D1154" t="s">
        <v>119</v>
      </c>
      <c r="E1154" s="38">
        <f t="shared" si="132"/>
        <v>0</v>
      </c>
      <c r="F1154" s="38">
        <f t="shared" si="132"/>
        <v>0</v>
      </c>
      <c r="G1154" s="38">
        <f t="shared" si="132"/>
        <v>0</v>
      </c>
      <c r="H1154" s="38">
        <f t="shared" si="132"/>
        <v>1.1038286009723537</v>
      </c>
      <c r="I1154" s="38">
        <f t="shared" si="132"/>
        <v>0</v>
      </c>
      <c r="J1154" s="38">
        <f t="shared" si="132"/>
        <v>0</v>
      </c>
      <c r="K1154" s="38">
        <f t="shared" si="132"/>
        <v>0</v>
      </c>
      <c r="L1154" s="38">
        <f t="shared" si="132"/>
        <v>0</v>
      </c>
      <c r="M1154" s="35">
        <f t="shared" si="128"/>
        <v>1.1038286009723537</v>
      </c>
      <c r="S1154" t="s">
        <v>119</v>
      </c>
      <c r="T1154" s="5">
        <f>data_origin!T1324</f>
        <v>0</v>
      </c>
      <c r="U1154" s="5">
        <f>data_origin!U1324</f>
        <v>0</v>
      </c>
      <c r="V1154" s="5">
        <f>data_origin!V1324</f>
        <v>0</v>
      </c>
      <c r="W1154" s="5">
        <f>data_origin!W1324</f>
        <v>1.0848</v>
      </c>
      <c r="X1154" s="5">
        <f>data_origin!X1324</f>
        <v>0</v>
      </c>
      <c r="Y1154" s="5">
        <f>data_origin!Y1324</f>
        <v>0</v>
      </c>
      <c r="Z1154" s="5">
        <f>data_origin!Z1324</f>
        <v>0</v>
      </c>
      <c r="AA1154" s="5">
        <f>data_origin!AA1324</f>
        <v>0</v>
      </c>
      <c r="AB1154" s="5">
        <f t="shared" si="129"/>
        <v>1.0848</v>
      </c>
    </row>
    <row r="1155" spans="1:28" x14ac:dyDescent="0.25">
      <c r="D1155" t="s">
        <v>99</v>
      </c>
      <c r="E1155" s="38">
        <f t="shared" si="132"/>
        <v>0</v>
      </c>
      <c r="F1155" s="38">
        <f t="shared" si="132"/>
        <v>0</v>
      </c>
      <c r="G1155" s="38">
        <f t="shared" si="132"/>
        <v>8.8049464221033187</v>
      </c>
      <c r="H1155" s="38">
        <f t="shared" si="132"/>
        <v>9.9344574087511806</v>
      </c>
      <c r="I1155" s="38">
        <f t="shared" si="132"/>
        <v>4.3296273229335664</v>
      </c>
      <c r="J1155" s="38">
        <f t="shared" si="132"/>
        <v>0</v>
      </c>
      <c r="K1155" s="38">
        <f t="shared" si="132"/>
        <v>0</v>
      </c>
      <c r="L1155" s="38">
        <f t="shared" si="132"/>
        <v>0</v>
      </c>
      <c r="M1155" s="35">
        <f t="shared" ref="M1155:M1218" si="133">SUM(E1155:L1155)</f>
        <v>23.069031153788067</v>
      </c>
      <c r="S1155" t="s">
        <v>99</v>
      </c>
      <c r="T1155" s="5">
        <f>data_origin!T1325</f>
        <v>0</v>
      </c>
      <c r="U1155" s="5">
        <f>data_origin!U1325</f>
        <v>0</v>
      </c>
      <c r="V1155" s="5">
        <f>data_origin!V1325</f>
        <v>8.6840347361389441</v>
      </c>
      <c r="W1155" s="5">
        <f>data_origin!W1325</f>
        <v>9.7631999999999994</v>
      </c>
      <c r="X1155" s="5">
        <f>data_origin!X1325</f>
        <v>4.2554890219560875</v>
      </c>
      <c r="Y1155" s="5">
        <f>data_origin!Y1325</f>
        <v>0</v>
      </c>
      <c r="Z1155" s="5">
        <f>data_origin!Z1325</f>
        <v>0</v>
      </c>
      <c r="AA1155" s="5">
        <f>data_origin!AA1325</f>
        <v>0</v>
      </c>
      <c r="AB1155" s="5">
        <f t="shared" si="129"/>
        <v>22.702723758095033</v>
      </c>
    </row>
    <row r="1156" spans="1:28" x14ac:dyDescent="0.25">
      <c r="D1156" t="s">
        <v>100</v>
      </c>
      <c r="E1156" s="38">
        <f t="shared" si="132"/>
        <v>0</v>
      </c>
      <c r="F1156" s="38">
        <f t="shared" si="132"/>
        <v>0</v>
      </c>
      <c r="G1156" s="38">
        <f t="shared" si="132"/>
        <v>0</v>
      </c>
      <c r="H1156" s="38">
        <f t="shared" si="132"/>
        <v>0</v>
      </c>
      <c r="I1156" s="38">
        <f t="shared" si="132"/>
        <v>0</v>
      </c>
      <c r="J1156" s="38">
        <f t="shared" si="132"/>
        <v>0</v>
      </c>
      <c r="K1156" s="38">
        <f t="shared" si="132"/>
        <v>0</v>
      </c>
      <c r="L1156" s="38">
        <f t="shared" si="132"/>
        <v>0</v>
      </c>
      <c r="M1156" s="35">
        <f t="shared" si="133"/>
        <v>0</v>
      </c>
      <c r="S1156" t="s">
        <v>100</v>
      </c>
      <c r="T1156" s="5">
        <f>data_origin!T1326</f>
        <v>0</v>
      </c>
      <c r="U1156" s="5">
        <f>data_origin!U1326</f>
        <v>0</v>
      </c>
      <c r="V1156" s="5">
        <f>data_origin!V1326</f>
        <v>0</v>
      </c>
      <c r="W1156" s="5">
        <f>data_origin!W1326</f>
        <v>0</v>
      </c>
      <c r="X1156" s="5">
        <f>data_origin!X1326</f>
        <v>0</v>
      </c>
      <c r="Y1156" s="5">
        <f>data_origin!Y1326</f>
        <v>0</v>
      </c>
      <c r="Z1156" s="5">
        <f>data_origin!Z1326</f>
        <v>0</v>
      </c>
      <c r="AA1156" s="5">
        <f>data_origin!AA1326</f>
        <v>0</v>
      </c>
      <c r="AB1156" s="5">
        <f t="shared" si="129"/>
        <v>0</v>
      </c>
    </row>
    <row r="1157" spans="1:28" x14ac:dyDescent="0.25">
      <c r="D1157" t="s">
        <v>101</v>
      </c>
      <c r="E1157" s="38">
        <f t="shared" si="132"/>
        <v>0</v>
      </c>
      <c r="F1157" s="38">
        <f t="shared" si="132"/>
        <v>0</v>
      </c>
      <c r="G1157" s="38">
        <f t="shared" si="132"/>
        <v>23.112984358021219</v>
      </c>
      <c r="H1157" s="38">
        <f t="shared" si="132"/>
        <v>41.945486836949442</v>
      </c>
      <c r="I1157" s="38">
        <f t="shared" si="132"/>
        <v>9.7416614766005249</v>
      </c>
      <c r="J1157" s="38">
        <f t="shared" si="132"/>
        <v>0</v>
      </c>
      <c r="K1157" s="38">
        <f t="shared" si="132"/>
        <v>0</v>
      </c>
      <c r="L1157" s="38">
        <f t="shared" ref="L1157:L1220" si="134">AA1157+BD35+IFERROR((AA1157/SUM(AA$993:AA$1982)*BD$630),0)+IFERROR((AA1157/SUM(AA$1125:AA$1322,AA$1455:AA$1652,AA$1785:AA$1982)*BD$732),0)</f>
        <v>0</v>
      </c>
      <c r="M1157" s="35">
        <f t="shared" si="133"/>
        <v>74.800132671571191</v>
      </c>
      <c r="S1157" t="s">
        <v>101</v>
      </c>
      <c r="T1157" s="5">
        <f>data_origin!T1327</f>
        <v>0</v>
      </c>
      <c r="U1157" s="5">
        <f>data_origin!U1327</f>
        <v>0</v>
      </c>
      <c r="V1157" s="5">
        <f>data_origin!V1327</f>
        <v>22.795591182364731</v>
      </c>
      <c r="W1157" s="5">
        <f>data_origin!W1327</f>
        <v>41.2224</v>
      </c>
      <c r="X1157" s="5">
        <f>data_origin!X1327</f>
        <v>9.5748502994011968</v>
      </c>
      <c r="Y1157" s="5">
        <f>data_origin!Y1327</f>
        <v>0</v>
      </c>
      <c r="Z1157" s="5">
        <f>data_origin!Z1327</f>
        <v>0</v>
      </c>
      <c r="AA1157" s="5">
        <f>data_origin!AA1327</f>
        <v>0</v>
      </c>
      <c r="AB1157" s="5">
        <f t="shared" si="129"/>
        <v>73.59284148176593</v>
      </c>
    </row>
    <row r="1158" spans="1:28" x14ac:dyDescent="0.25">
      <c r="A1158" s="24" t="s">
        <v>115</v>
      </c>
      <c r="B1158" s="24" t="s">
        <v>103</v>
      </c>
      <c r="C1158" s="24" t="s">
        <v>110</v>
      </c>
      <c r="D1158" t="s">
        <v>70</v>
      </c>
      <c r="E1158" s="38">
        <f t="shared" ref="E1158:K1194" si="135">T1158+AW36+IFERROR((T1158/SUM(T$993:T$1982)*AW$630),0)+IFERROR((T1158/SUM(T$1125:T$1322,T$1455:T$1652,T$1785:T$1982)*AW$732),0)</f>
        <v>0</v>
      </c>
      <c r="F1158" s="38">
        <f t="shared" si="135"/>
        <v>0</v>
      </c>
      <c r="G1158" s="38">
        <f t="shared" si="135"/>
        <v>0</v>
      </c>
      <c r="H1158" s="38">
        <f t="shared" si="135"/>
        <v>0</v>
      </c>
      <c r="I1158" s="38">
        <f t="shared" si="135"/>
        <v>0</v>
      </c>
      <c r="J1158" s="38">
        <f t="shared" si="135"/>
        <v>0</v>
      </c>
      <c r="K1158" s="38">
        <f t="shared" si="135"/>
        <v>0</v>
      </c>
      <c r="L1158" s="38">
        <f t="shared" si="134"/>
        <v>0</v>
      </c>
      <c r="M1158" s="35">
        <f t="shared" si="133"/>
        <v>0</v>
      </c>
      <c r="P1158" t="s">
        <v>115</v>
      </c>
      <c r="Q1158" t="s">
        <v>103</v>
      </c>
      <c r="R1158" t="s">
        <v>110</v>
      </c>
      <c r="S1158" t="s">
        <v>70</v>
      </c>
      <c r="T1158" s="5">
        <f>data_origin!T1329</f>
        <v>0</v>
      </c>
      <c r="U1158" s="5">
        <f>data_origin!U1329</f>
        <v>0</v>
      </c>
      <c r="V1158" s="5">
        <f>data_origin!V1329</f>
        <v>0</v>
      </c>
      <c r="W1158" s="5">
        <f>data_origin!W1329</f>
        <v>0</v>
      </c>
      <c r="X1158" s="5">
        <f>data_origin!X1329</f>
        <v>0</v>
      </c>
      <c r="Y1158" s="5">
        <f>data_origin!Y1329</f>
        <v>0</v>
      </c>
      <c r="Z1158" s="5">
        <f>data_origin!Z1329</f>
        <v>0</v>
      </c>
      <c r="AA1158" s="5">
        <f>data_origin!AA1329</f>
        <v>0</v>
      </c>
      <c r="AB1158" s="5">
        <f t="shared" si="129"/>
        <v>0</v>
      </c>
    </row>
    <row r="1159" spans="1:28" x14ac:dyDescent="0.25">
      <c r="D1159" t="s">
        <v>71</v>
      </c>
      <c r="E1159" s="38">
        <f t="shared" si="135"/>
        <v>0</v>
      </c>
      <c r="F1159" s="38">
        <f t="shared" si="135"/>
        <v>0</v>
      </c>
      <c r="G1159" s="38">
        <f t="shared" si="135"/>
        <v>0</v>
      </c>
      <c r="H1159" s="38">
        <f t="shared" si="135"/>
        <v>0</v>
      </c>
      <c r="I1159" s="38">
        <f t="shared" si="135"/>
        <v>0</v>
      </c>
      <c r="J1159" s="38">
        <f t="shared" si="135"/>
        <v>0</v>
      </c>
      <c r="K1159" s="38">
        <f t="shared" si="135"/>
        <v>0</v>
      </c>
      <c r="L1159" s="38">
        <f t="shared" si="134"/>
        <v>0</v>
      </c>
      <c r="M1159" s="35">
        <f t="shared" si="133"/>
        <v>0</v>
      </c>
      <c r="S1159" t="s">
        <v>71</v>
      </c>
      <c r="T1159" s="5">
        <f>data_origin!T1330</f>
        <v>0</v>
      </c>
      <c r="U1159" s="5">
        <f>data_origin!U1330</f>
        <v>0</v>
      </c>
      <c r="V1159" s="5">
        <f>data_origin!V1330</f>
        <v>0</v>
      </c>
      <c r="W1159" s="5">
        <f>data_origin!W1330</f>
        <v>0</v>
      </c>
      <c r="X1159" s="5">
        <f>data_origin!X1330</f>
        <v>0</v>
      </c>
      <c r="Y1159" s="5">
        <f>data_origin!Y1330</f>
        <v>0</v>
      </c>
      <c r="Z1159" s="5">
        <f>data_origin!Z1330</f>
        <v>0</v>
      </c>
      <c r="AA1159" s="5">
        <f>data_origin!AA1330</f>
        <v>0</v>
      </c>
      <c r="AB1159" s="5">
        <f t="shared" si="129"/>
        <v>0</v>
      </c>
    </row>
    <row r="1160" spans="1:28" x14ac:dyDescent="0.25">
      <c r="D1160" t="s">
        <v>72</v>
      </c>
      <c r="E1160" s="38">
        <f t="shared" si="135"/>
        <v>0</v>
      </c>
      <c r="F1160" s="38">
        <f t="shared" si="135"/>
        <v>0</v>
      </c>
      <c r="G1160" s="38">
        <f t="shared" si="135"/>
        <v>0</v>
      </c>
      <c r="H1160" s="38">
        <f t="shared" si="135"/>
        <v>0</v>
      </c>
      <c r="I1160" s="38">
        <f t="shared" si="135"/>
        <v>0</v>
      </c>
      <c r="J1160" s="38">
        <f t="shared" si="135"/>
        <v>0</v>
      </c>
      <c r="K1160" s="38">
        <f t="shared" si="135"/>
        <v>0</v>
      </c>
      <c r="L1160" s="38">
        <f t="shared" si="134"/>
        <v>0</v>
      </c>
      <c r="M1160" s="35">
        <f t="shared" si="133"/>
        <v>0</v>
      </c>
      <c r="S1160" t="s">
        <v>72</v>
      </c>
      <c r="T1160" s="5">
        <f>data_origin!T1331</f>
        <v>0</v>
      </c>
      <c r="U1160" s="5">
        <f>data_origin!U1331</f>
        <v>0</v>
      </c>
      <c r="V1160" s="5">
        <f>data_origin!V1331</f>
        <v>0</v>
      </c>
      <c r="W1160" s="5">
        <f>data_origin!W1331</f>
        <v>0</v>
      </c>
      <c r="X1160" s="5">
        <f>data_origin!X1331</f>
        <v>0</v>
      </c>
      <c r="Y1160" s="5">
        <f>data_origin!Y1331</f>
        <v>0</v>
      </c>
      <c r="Z1160" s="5">
        <f>data_origin!Z1331</f>
        <v>0</v>
      </c>
      <c r="AA1160" s="5">
        <f>data_origin!AA1331</f>
        <v>0</v>
      </c>
      <c r="AB1160" s="5">
        <f t="shared" si="129"/>
        <v>0</v>
      </c>
    </row>
    <row r="1161" spans="1:28" x14ac:dyDescent="0.25">
      <c r="D1161" t="s">
        <v>73</v>
      </c>
      <c r="E1161" s="38">
        <f t="shared" si="135"/>
        <v>0</v>
      </c>
      <c r="F1161" s="38">
        <f t="shared" si="135"/>
        <v>0</v>
      </c>
      <c r="G1161" s="38">
        <f t="shared" si="135"/>
        <v>0</v>
      </c>
      <c r="H1161" s="38">
        <f t="shared" si="135"/>
        <v>0</v>
      </c>
      <c r="I1161" s="38">
        <f t="shared" si="135"/>
        <v>0</v>
      </c>
      <c r="J1161" s="38">
        <f t="shared" si="135"/>
        <v>0</v>
      </c>
      <c r="K1161" s="38">
        <f t="shared" si="135"/>
        <v>0</v>
      </c>
      <c r="L1161" s="38">
        <f t="shared" si="134"/>
        <v>0</v>
      </c>
      <c r="M1161" s="35">
        <f t="shared" si="133"/>
        <v>0</v>
      </c>
      <c r="S1161" t="s">
        <v>73</v>
      </c>
      <c r="T1161" s="5">
        <f>data_origin!T1332</f>
        <v>0</v>
      </c>
      <c r="U1161" s="5">
        <f>data_origin!U1332</f>
        <v>0</v>
      </c>
      <c r="V1161" s="5">
        <f>data_origin!V1332</f>
        <v>0</v>
      </c>
      <c r="W1161" s="5">
        <f>data_origin!W1332</f>
        <v>0</v>
      </c>
      <c r="X1161" s="5">
        <f>data_origin!X1332</f>
        <v>0</v>
      </c>
      <c r="Y1161" s="5">
        <f>data_origin!Y1332</f>
        <v>0</v>
      </c>
      <c r="Z1161" s="5">
        <f>data_origin!Z1332</f>
        <v>0</v>
      </c>
      <c r="AA1161" s="5">
        <f>data_origin!AA1332</f>
        <v>0</v>
      </c>
      <c r="AB1161" s="5">
        <f t="shared" si="129"/>
        <v>0</v>
      </c>
    </row>
    <row r="1162" spans="1:28" x14ac:dyDescent="0.25">
      <c r="D1162" t="s">
        <v>74</v>
      </c>
      <c r="E1162" s="38">
        <f t="shared" si="135"/>
        <v>0</v>
      </c>
      <c r="F1162" s="38">
        <f t="shared" si="135"/>
        <v>0</v>
      </c>
      <c r="G1162" s="38">
        <f t="shared" si="135"/>
        <v>0</v>
      </c>
      <c r="H1162" s="38">
        <f t="shared" si="135"/>
        <v>0</v>
      </c>
      <c r="I1162" s="38">
        <f t="shared" si="135"/>
        <v>0</v>
      </c>
      <c r="J1162" s="38">
        <f t="shared" si="135"/>
        <v>0</v>
      </c>
      <c r="K1162" s="38">
        <f t="shared" si="135"/>
        <v>0</v>
      </c>
      <c r="L1162" s="38">
        <f t="shared" si="134"/>
        <v>0</v>
      </c>
      <c r="M1162" s="35">
        <f t="shared" si="133"/>
        <v>0</v>
      </c>
      <c r="S1162" t="s">
        <v>74</v>
      </c>
      <c r="T1162" s="5">
        <f>data_origin!T1333</f>
        <v>0</v>
      </c>
      <c r="U1162" s="5">
        <f>data_origin!U1333</f>
        <v>0</v>
      </c>
      <c r="V1162" s="5">
        <f>data_origin!V1333</f>
        <v>0</v>
      </c>
      <c r="W1162" s="5">
        <f>data_origin!W1333</f>
        <v>0</v>
      </c>
      <c r="X1162" s="5">
        <f>data_origin!X1333</f>
        <v>0</v>
      </c>
      <c r="Y1162" s="5">
        <f>data_origin!Y1333</f>
        <v>0</v>
      </c>
      <c r="Z1162" s="5">
        <f>data_origin!Z1333</f>
        <v>0</v>
      </c>
      <c r="AA1162" s="5">
        <f>data_origin!AA1333</f>
        <v>0</v>
      </c>
      <c r="AB1162" s="5">
        <f t="shared" si="129"/>
        <v>0</v>
      </c>
    </row>
    <row r="1163" spans="1:28" x14ac:dyDescent="0.25">
      <c r="D1163" t="s">
        <v>75</v>
      </c>
      <c r="E1163" s="38">
        <f t="shared" si="135"/>
        <v>0</v>
      </c>
      <c r="F1163" s="38">
        <f t="shared" si="135"/>
        <v>0</v>
      </c>
      <c r="G1163" s="38">
        <f t="shared" si="135"/>
        <v>0</v>
      </c>
      <c r="H1163" s="38">
        <f t="shared" si="135"/>
        <v>0</v>
      </c>
      <c r="I1163" s="38">
        <f t="shared" si="135"/>
        <v>0</v>
      </c>
      <c r="J1163" s="38">
        <f t="shared" si="135"/>
        <v>0</v>
      </c>
      <c r="K1163" s="38">
        <f t="shared" si="135"/>
        <v>0</v>
      </c>
      <c r="L1163" s="38">
        <f t="shared" si="134"/>
        <v>0</v>
      </c>
      <c r="M1163" s="35">
        <f t="shared" si="133"/>
        <v>0</v>
      </c>
      <c r="S1163" t="s">
        <v>75</v>
      </c>
      <c r="T1163" s="5">
        <f>data_origin!T1334</f>
        <v>0</v>
      </c>
      <c r="U1163" s="5">
        <f>data_origin!U1334</f>
        <v>0</v>
      </c>
      <c r="V1163" s="5">
        <f>data_origin!V1334</f>
        <v>0</v>
      </c>
      <c r="W1163" s="5">
        <f>data_origin!W1334</f>
        <v>0</v>
      </c>
      <c r="X1163" s="5">
        <f>data_origin!X1334</f>
        <v>0</v>
      </c>
      <c r="Y1163" s="5">
        <f>data_origin!Y1334</f>
        <v>0</v>
      </c>
      <c r="Z1163" s="5">
        <f>data_origin!Z1334</f>
        <v>0</v>
      </c>
      <c r="AA1163" s="5">
        <f>data_origin!AA1334</f>
        <v>0</v>
      </c>
      <c r="AB1163" s="5">
        <f t="shared" si="129"/>
        <v>0</v>
      </c>
    </row>
    <row r="1164" spans="1:28" x14ac:dyDescent="0.25">
      <c r="D1164" t="s">
        <v>76</v>
      </c>
      <c r="E1164" s="38">
        <f t="shared" si="135"/>
        <v>0</v>
      </c>
      <c r="F1164" s="38">
        <f t="shared" si="135"/>
        <v>0</v>
      </c>
      <c r="G1164" s="38">
        <f t="shared" si="135"/>
        <v>0</v>
      </c>
      <c r="H1164" s="38">
        <f t="shared" si="135"/>
        <v>0</v>
      </c>
      <c r="I1164" s="38">
        <f t="shared" si="135"/>
        <v>0</v>
      </c>
      <c r="J1164" s="38">
        <f t="shared" si="135"/>
        <v>0</v>
      </c>
      <c r="K1164" s="38">
        <f t="shared" si="135"/>
        <v>0</v>
      </c>
      <c r="L1164" s="38">
        <f t="shared" si="134"/>
        <v>0</v>
      </c>
      <c r="M1164" s="35">
        <f t="shared" si="133"/>
        <v>0</v>
      </c>
      <c r="S1164" t="s">
        <v>76</v>
      </c>
      <c r="T1164" s="5">
        <f>data_origin!T1335</f>
        <v>0</v>
      </c>
      <c r="U1164" s="5">
        <f>data_origin!U1335</f>
        <v>0</v>
      </c>
      <c r="V1164" s="5">
        <f>data_origin!V1335</f>
        <v>0</v>
      </c>
      <c r="W1164" s="5">
        <f>data_origin!W1335</f>
        <v>0</v>
      </c>
      <c r="X1164" s="5">
        <f>data_origin!X1335</f>
        <v>0</v>
      </c>
      <c r="Y1164" s="5">
        <f>data_origin!Y1335</f>
        <v>0</v>
      </c>
      <c r="Z1164" s="5">
        <f>data_origin!Z1335</f>
        <v>0</v>
      </c>
      <c r="AA1164" s="5">
        <f>data_origin!AA1335</f>
        <v>0</v>
      </c>
      <c r="AB1164" s="5">
        <f t="shared" si="129"/>
        <v>0</v>
      </c>
    </row>
    <row r="1165" spans="1:28" x14ac:dyDescent="0.25">
      <c r="D1165" t="s">
        <v>77</v>
      </c>
      <c r="E1165" s="38">
        <f t="shared" si="135"/>
        <v>0</v>
      </c>
      <c r="F1165" s="38">
        <f t="shared" si="135"/>
        <v>0</v>
      </c>
      <c r="G1165" s="38">
        <f t="shared" si="135"/>
        <v>0</v>
      </c>
      <c r="H1165" s="38">
        <f t="shared" si="135"/>
        <v>0</v>
      </c>
      <c r="I1165" s="38">
        <f t="shared" si="135"/>
        <v>0</v>
      </c>
      <c r="J1165" s="38">
        <f t="shared" si="135"/>
        <v>0</v>
      </c>
      <c r="K1165" s="38">
        <f t="shared" si="135"/>
        <v>0</v>
      </c>
      <c r="L1165" s="38">
        <f t="shared" si="134"/>
        <v>0</v>
      </c>
      <c r="M1165" s="35">
        <f t="shared" si="133"/>
        <v>0</v>
      </c>
      <c r="S1165" t="s">
        <v>77</v>
      </c>
      <c r="T1165" s="5">
        <f>data_origin!T1336</f>
        <v>0</v>
      </c>
      <c r="U1165" s="5">
        <f>data_origin!U1336</f>
        <v>0</v>
      </c>
      <c r="V1165" s="5">
        <f>data_origin!V1336</f>
        <v>0</v>
      </c>
      <c r="W1165" s="5">
        <f>data_origin!W1336</f>
        <v>0</v>
      </c>
      <c r="X1165" s="5">
        <f>data_origin!X1336</f>
        <v>0</v>
      </c>
      <c r="Y1165" s="5">
        <f>data_origin!Y1336</f>
        <v>0</v>
      </c>
      <c r="Z1165" s="5">
        <f>data_origin!Z1336</f>
        <v>0</v>
      </c>
      <c r="AA1165" s="5">
        <f>data_origin!AA1336</f>
        <v>0</v>
      </c>
      <c r="AB1165" s="5">
        <f t="shared" si="129"/>
        <v>0</v>
      </c>
    </row>
    <row r="1166" spans="1:28" x14ac:dyDescent="0.25">
      <c r="D1166" t="s">
        <v>78</v>
      </c>
      <c r="E1166" s="38">
        <f t="shared" si="135"/>
        <v>0</v>
      </c>
      <c r="F1166" s="38">
        <f t="shared" si="135"/>
        <v>0</v>
      </c>
      <c r="G1166" s="38">
        <f t="shared" si="135"/>
        <v>0</v>
      </c>
      <c r="H1166" s="38">
        <f t="shared" si="135"/>
        <v>0</v>
      </c>
      <c r="I1166" s="38">
        <f t="shared" si="135"/>
        <v>0</v>
      </c>
      <c r="J1166" s="38">
        <f t="shared" si="135"/>
        <v>0</v>
      </c>
      <c r="K1166" s="38">
        <f t="shared" si="135"/>
        <v>0</v>
      </c>
      <c r="L1166" s="38">
        <f t="shared" si="134"/>
        <v>0</v>
      </c>
      <c r="M1166" s="35">
        <f t="shared" si="133"/>
        <v>0</v>
      </c>
      <c r="S1166" t="s">
        <v>78</v>
      </c>
      <c r="T1166" s="5">
        <f>data_origin!T1337</f>
        <v>0</v>
      </c>
      <c r="U1166" s="5">
        <f>data_origin!U1337</f>
        <v>0</v>
      </c>
      <c r="V1166" s="5">
        <f>data_origin!V1337</f>
        <v>0</v>
      </c>
      <c r="W1166" s="5">
        <f>data_origin!W1337</f>
        <v>0</v>
      </c>
      <c r="X1166" s="5">
        <f>data_origin!X1337</f>
        <v>0</v>
      </c>
      <c r="Y1166" s="5">
        <f>data_origin!Y1337</f>
        <v>0</v>
      </c>
      <c r="Z1166" s="5">
        <f>data_origin!Z1337</f>
        <v>0</v>
      </c>
      <c r="AA1166" s="5">
        <f>data_origin!AA1337</f>
        <v>0</v>
      </c>
      <c r="AB1166" s="5">
        <f t="shared" si="129"/>
        <v>0</v>
      </c>
    </row>
    <row r="1167" spans="1:28" x14ac:dyDescent="0.25">
      <c r="D1167" t="s">
        <v>79</v>
      </c>
      <c r="E1167" s="38">
        <f t="shared" si="135"/>
        <v>0</v>
      </c>
      <c r="F1167" s="38">
        <f t="shared" si="135"/>
        <v>0</v>
      </c>
      <c r="G1167" s="38">
        <f t="shared" si="135"/>
        <v>0</v>
      </c>
      <c r="H1167" s="38">
        <f t="shared" si="135"/>
        <v>0</v>
      </c>
      <c r="I1167" s="38">
        <f t="shared" si="135"/>
        <v>0</v>
      </c>
      <c r="J1167" s="38">
        <f t="shared" si="135"/>
        <v>0</v>
      </c>
      <c r="K1167" s="38">
        <f t="shared" si="135"/>
        <v>0</v>
      </c>
      <c r="L1167" s="38">
        <f t="shared" si="134"/>
        <v>0</v>
      </c>
      <c r="M1167" s="35">
        <f t="shared" si="133"/>
        <v>0</v>
      </c>
      <c r="S1167" t="s">
        <v>79</v>
      </c>
      <c r="T1167" s="5">
        <f>data_origin!T1338</f>
        <v>0</v>
      </c>
      <c r="U1167" s="5">
        <f>data_origin!U1338</f>
        <v>0</v>
      </c>
      <c r="V1167" s="5">
        <f>data_origin!V1338</f>
        <v>0</v>
      </c>
      <c r="W1167" s="5">
        <f>data_origin!W1338</f>
        <v>0</v>
      </c>
      <c r="X1167" s="5">
        <f>data_origin!X1338</f>
        <v>0</v>
      </c>
      <c r="Y1167" s="5">
        <f>data_origin!Y1338</f>
        <v>0</v>
      </c>
      <c r="Z1167" s="5">
        <f>data_origin!Z1338</f>
        <v>0</v>
      </c>
      <c r="AA1167" s="5">
        <f>data_origin!AA1338</f>
        <v>0</v>
      </c>
      <c r="AB1167" s="5">
        <f t="shared" si="129"/>
        <v>0</v>
      </c>
    </row>
    <row r="1168" spans="1:28" x14ac:dyDescent="0.25">
      <c r="D1168" t="s">
        <v>80</v>
      </c>
      <c r="E1168" s="38">
        <f t="shared" si="135"/>
        <v>0</v>
      </c>
      <c r="F1168" s="38">
        <f t="shared" si="135"/>
        <v>0</v>
      </c>
      <c r="G1168" s="38">
        <f t="shared" si="135"/>
        <v>0</v>
      </c>
      <c r="H1168" s="38">
        <f t="shared" si="135"/>
        <v>0</v>
      </c>
      <c r="I1168" s="38">
        <f t="shared" si="135"/>
        <v>0</v>
      </c>
      <c r="J1168" s="38">
        <f t="shared" si="135"/>
        <v>0</v>
      </c>
      <c r="K1168" s="38">
        <f t="shared" si="135"/>
        <v>0</v>
      </c>
      <c r="L1168" s="38">
        <f t="shared" si="134"/>
        <v>0</v>
      </c>
      <c r="M1168" s="35">
        <f t="shared" si="133"/>
        <v>0</v>
      </c>
      <c r="S1168" t="s">
        <v>80</v>
      </c>
      <c r="T1168" s="5">
        <f>data_origin!T1339</f>
        <v>0</v>
      </c>
      <c r="U1168" s="5">
        <f>data_origin!U1339</f>
        <v>0</v>
      </c>
      <c r="V1168" s="5">
        <f>data_origin!V1339</f>
        <v>0</v>
      </c>
      <c r="W1168" s="5">
        <f>data_origin!W1339</f>
        <v>0</v>
      </c>
      <c r="X1168" s="5">
        <f>data_origin!X1339</f>
        <v>0</v>
      </c>
      <c r="Y1168" s="5">
        <f>data_origin!Y1339</f>
        <v>0</v>
      </c>
      <c r="Z1168" s="5">
        <f>data_origin!Z1339</f>
        <v>0</v>
      </c>
      <c r="AA1168" s="5">
        <f>data_origin!AA1339</f>
        <v>0</v>
      </c>
      <c r="AB1168" s="5">
        <f t="shared" si="129"/>
        <v>0</v>
      </c>
    </row>
    <row r="1169" spans="4:28" x14ac:dyDescent="0.25">
      <c r="D1169" t="s">
        <v>81</v>
      </c>
      <c r="E1169" s="38">
        <f t="shared" si="135"/>
        <v>0</v>
      </c>
      <c r="F1169" s="38">
        <f t="shared" si="135"/>
        <v>0</v>
      </c>
      <c r="G1169" s="38">
        <f t="shared" si="135"/>
        <v>0</v>
      </c>
      <c r="H1169" s="38">
        <f t="shared" si="135"/>
        <v>0</v>
      </c>
      <c r="I1169" s="38">
        <f t="shared" si="135"/>
        <v>0</v>
      </c>
      <c r="J1169" s="38">
        <f t="shared" si="135"/>
        <v>0</v>
      </c>
      <c r="K1169" s="38">
        <f t="shared" si="135"/>
        <v>0</v>
      </c>
      <c r="L1169" s="38">
        <f t="shared" si="134"/>
        <v>0</v>
      </c>
      <c r="M1169" s="35">
        <f t="shared" si="133"/>
        <v>0</v>
      </c>
      <c r="S1169" t="s">
        <v>81</v>
      </c>
      <c r="T1169" s="5">
        <f>data_origin!T1340</f>
        <v>0</v>
      </c>
      <c r="U1169" s="5">
        <f>data_origin!U1340</f>
        <v>0</v>
      </c>
      <c r="V1169" s="5">
        <f>data_origin!V1340</f>
        <v>0</v>
      </c>
      <c r="W1169" s="5">
        <f>data_origin!W1340</f>
        <v>0</v>
      </c>
      <c r="X1169" s="5">
        <f>data_origin!X1340</f>
        <v>0</v>
      </c>
      <c r="Y1169" s="5">
        <f>data_origin!Y1340</f>
        <v>0</v>
      </c>
      <c r="Z1169" s="5">
        <f>data_origin!Z1340</f>
        <v>0</v>
      </c>
      <c r="AA1169" s="5">
        <f>data_origin!AA1340</f>
        <v>0</v>
      </c>
      <c r="AB1169" s="5">
        <f t="shared" si="129"/>
        <v>0</v>
      </c>
    </row>
    <row r="1170" spans="4:28" x14ac:dyDescent="0.25">
      <c r="D1170" t="s">
        <v>82</v>
      </c>
      <c r="E1170" s="38">
        <f t="shared" si="135"/>
        <v>0</v>
      </c>
      <c r="F1170" s="38">
        <f t="shared" si="135"/>
        <v>0</v>
      </c>
      <c r="G1170" s="38">
        <f t="shared" si="135"/>
        <v>0</v>
      </c>
      <c r="H1170" s="38">
        <f t="shared" si="135"/>
        <v>0</v>
      </c>
      <c r="I1170" s="38">
        <f t="shared" si="135"/>
        <v>0</v>
      </c>
      <c r="J1170" s="38">
        <f t="shared" si="135"/>
        <v>0</v>
      </c>
      <c r="K1170" s="38">
        <f t="shared" si="135"/>
        <v>0</v>
      </c>
      <c r="L1170" s="38">
        <f t="shared" si="134"/>
        <v>0</v>
      </c>
      <c r="M1170" s="35">
        <f t="shared" si="133"/>
        <v>0</v>
      </c>
      <c r="S1170" t="s">
        <v>82</v>
      </c>
      <c r="T1170" s="5">
        <f>data_origin!T1341</f>
        <v>0</v>
      </c>
      <c r="U1170" s="5">
        <f>data_origin!U1341</f>
        <v>0</v>
      </c>
      <c r="V1170" s="5">
        <f>data_origin!V1341</f>
        <v>0</v>
      </c>
      <c r="W1170" s="5">
        <f>data_origin!W1341</f>
        <v>0</v>
      </c>
      <c r="X1170" s="5">
        <f>data_origin!X1341</f>
        <v>0</v>
      </c>
      <c r="Y1170" s="5">
        <f>data_origin!Y1341</f>
        <v>0</v>
      </c>
      <c r="Z1170" s="5">
        <f>data_origin!Z1341</f>
        <v>0</v>
      </c>
      <c r="AA1170" s="5">
        <f>data_origin!AA1341</f>
        <v>0</v>
      </c>
      <c r="AB1170" s="5">
        <f t="shared" si="129"/>
        <v>0</v>
      </c>
    </row>
    <row r="1171" spans="4:28" x14ac:dyDescent="0.25">
      <c r="D1171" t="s">
        <v>83</v>
      </c>
      <c r="E1171" s="38">
        <f t="shared" si="135"/>
        <v>0</v>
      </c>
      <c r="F1171" s="38">
        <f t="shared" si="135"/>
        <v>0</v>
      </c>
      <c r="G1171" s="38">
        <f t="shared" si="135"/>
        <v>0</v>
      </c>
      <c r="H1171" s="38">
        <f t="shared" si="135"/>
        <v>0</v>
      </c>
      <c r="I1171" s="38">
        <f t="shared" si="135"/>
        <v>0</v>
      </c>
      <c r="J1171" s="38">
        <f t="shared" si="135"/>
        <v>0</v>
      </c>
      <c r="K1171" s="38">
        <f t="shared" si="135"/>
        <v>0</v>
      </c>
      <c r="L1171" s="38">
        <f t="shared" si="134"/>
        <v>0</v>
      </c>
      <c r="M1171" s="35">
        <f t="shared" si="133"/>
        <v>0</v>
      </c>
      <c r="S1171" t="s">
        <v>83</v>
      </c>
      <c r="T1171" s="5">
        <f>data_origin!T1342</f>
        <v>0</v>
      </c>
      <c r="U1171" s="5">
        <f>data_origin!U1342</f>
        <v>0</v>
      </c>
      <c r="V1171" s="5">
        <f>data_origin!V1342</f>
        <v>0</v>
      </c>
      <c r="W1171" s="5">
        <f>data_origin!W1342</f>
        <v>0</v>
      </c>
      <c r="X1171" s="5">
        <f>data_origin!X1342</f>
        <v>0</v>
      </c>
      <c r="Y1171" s="5">
        <f>data_origin!Y1342</f>
        <v>0</v>
      </c>
      <c r="Z1171" s="5">
        <f>data_origin!Z1342</f>
        <v>0</v>
      </c>
      <c r="AA1171" s="5">
        <f>data_origin!AA1342</f>
        <v>0</v>
      </c>
      <c r="AB1171" s="5">
        <f t="shared" si="129"/>
        <v>0</v>
      </c>
    </row>
    <row r="1172" spans="4:28" x14ac:dyDescent="0.25">
      <c r="D1172" t="s">
        <v>84</v>
      </c>
      <c r="E1172" s="38">
        <f t="shared" si="135"/>
        <v>0</v>
      </c>
      <c r="F1172" s="38">
        <f t="shared" si="135"/>
        <v>0</v>
      </c>
      <c r="G1172" s="38">
        <f t="shared" si="135"/>
        <v>0</v>
      </c>
      <c r="H1172" s="38">
        <f t="shared" si="135"/>
        <v>0</v>
      </c>
      <c r="I1172" s="38">
        <f t="shared" si="135"/>
        <v>0</v>
      </c>
      <c r="J1172" s="38">
        <f t="shared" si="135"/>
        <v>0</v>
      </c>
      <c r="K1172" s="38">
        <f t="shared" si="135"/>
        <v>0</v>
      </c>
      <c r="L1172" s="38">
        <f t="shared" si="134"/>
        <v>0</v>
      </c>
      <c r="M1172" s="35">
        <f t="shared" si="133"/>
        <v>0</v>
      </c>
      <c r="S1172" t="s">
        <v>84</v>
      </c>
      <c r="T1172" s="5">
        <f>data_origin!T1343</f>
        <v>0</v>
      </c>
      <c r="U1172" s="5">
        <f>data_origin!U1343</f>
        <v>0</v>
      </c>
      <c r="V1172" s="5">
        <f>data_origin!V1343</f>
        <v>0</v>
      </c>
      <c r="W1172" s="5">
        <f>data_origin!W1343</f>
        <v>0</v>
      </c>
      <c r="X1172" s="5">
        <f>data_origin!X1343</f>
        <v>0</v>
      </c>
      <c r="Y1172" s="5">
        <f>data_origin!Y1343</f>
        <v>0</v>
      </c>
      <c r="Z1172" s="5">
        <f>data_origin!Z1343</f>
        <v>0</v>
      </c>
      <c r="AA1172" s="5">
        <f>data_origin!AA1343</f>
        <v>0</v>
      </c>
      <c r="AB1172" s="5">
        <f t="shared" si="129"/>
        <v>0</v>
      </c>
    </row>
    <row r="1173" spans="4:28" x14ac:dyDescent="0.25">
      <c r="D1173" t="s">
        <v>85</v>
      </c>
      <c r="E1173" s="38">
        <f t="shared" si="135"/>
        <v>0</v>
      </c>
      <c r="F1173" s="38">
        <f t="shared" si="135"/>
        <v>0</v>
      </c>
      <c r="G1173" s="38">
        <f t="shared" si="135"/>
        <v>1.76</v>
      </c>
      <c r="H1173" s="38">
        <f t="shared" si="135"/>
        <v>0</v>
      </c>
      <c r="I1173" s="38">
        <f t="shared" si="135"/>
        <v>0</v>
      </c>
      <c r="J1173" s="38">
        <f t="shared" si="135"/>
        <v>0</v>
      </c>
      <c r="K1173" s="38">
        <f t="shared" si="135"/>
        <v>0</v>
      </c>
      <c r="L1173" s="38">
        <f t="shared" si="134"/>
        <v>0</v>
      </c>
      <c r="M1173" s="35">
        <f t="shared" si="133"/>
        <v>1.76</v>
      </c>
      <c r="S1173" t="s">
        <v>85</v>
      </c>
      <c r="T1173" s="5">
        <f>data_origin!T1344</f>
        <v>0</v>
      </c>
      <c r="U1173" s="5">
        <f>data_origin!U1344</f>
        <v>0</v>
      </c>
      <c r="V1173" s="5">
        <f>data_origin!V1344</f>
        <v>0</v>
      </c>
      <c r="W1173" s="5">
        <f>data_origin!W1344</f>
        <v>0</v>
      </c>
      <c r="X1173" s="5">
        <f>data_origin!X1344</f>
        <v>0</v>
      </c>
      <c r="Y1173" s="5">
        <f>data_origin!Y1344</f>
        <v>0</v>
      </c>
      <c r="Z1173" s="5">
        <f>data_origin!Z1344</f>
        <v>0</v>
      </c>
      <c r="AA1173" s="5">
        <f>data_origin!AA1344</f>
        <v>0</v>
      </c>
      <c r="AB1173" s="5">
        <f t="shared" si="129"/>
        <v>0</v>
      </c>
    </row>
    <row r="1174" spans="4:28" x14ac:dyDescent="0.25">
      <c r="D1174" t="s">
        <v>86</v>
      </c>
      <c r="E1174" s="38">
        <f t="shared" si="135"/>
        <v>0</v>
      </c>
      <c r="F1174" s="38">
        <f t="shared" si="135"/>
        <v>0</v>
      </c>
      <c r="G1174" s="38">
        <f t="shared" si="135"/>
        <v>0</v>
      </c>
      <c r="H1174" s="38">
        <f t="shared" si="135"/>
        <v>0</v>
      </c>
      <c r="I1174" s="38">
        <f t="shared" si="135"/>
        <v>0</v>
      </c>
      <c r="J1174" s="38">
        <f t="shared" si="135"/>
        <v>0</v>
      </c>
      <c r="K1174" s="38">
        <f t="shared" si="135"/>
        <v>0</v>
      </c>
      <c r="L1174" s="38">
        <f t="shared" si="134"/>
        <v>0</v>
      </c>
      <c r="M1174" s="35">
        <f t="shared" si="133"/>
        <v>0</v>
      </c>
      <c r="S1174" t="s">
        <v>86</v>
      </c>
      <c r="T1174" s="5">
        <f>data_origin!T1345</f>
        <v>0</v>
      </c>
      <c r="U1174" s="5">
        <f>data_origin!U1345</f>
        <v>0</v>
      </c>
      <c r="V1174" s="5">
        <f>data_origin!V1345</f>
        <v>0</v>
      </c>
      <c r="W1174" s="5">
        <f>data_origin!W1345</f>
        <v>0</v>
      </c>
      <c r="X1174" s="5">
        <f>data_origin!X1345</f>
        <v>0</v>
      </c>
      <c r="Y1174" s="5">
        <f>data_origin!Y1345</f>
        <v>0</v>
      </c>
      <c r="Z1174" s="5">
        <f>data_origin!Z1345</f>
        <v>0</v>
      </c>
      <c r="AA1174" s="5">
        <f>data_origin!AA1345</f>
        <v>0</v>
      </c>
      <c r="AB1174" s="5">
        <f t="shared" si="129"/>
        <v>0</v>
      </c>
    </row>
    <row r="1175" spans="4:28" x14ac:dyDescent="0.25">
      <c r="D1175" t="s">
        <v>87</v>
      </c>
      <c r="E1175" s="38">
        <f t="shared" si="135"/>
        <v>0</v>
      </c>
      <c r="F1175" s="38">
        <f t="shared" si="135"/>
        <v>0</v>
      </c>
      <c r="G1175" s="38">
        <f t="shared" si="135"/>
        <v>0</v>
      </c>
      <c r="H1175" s="38">
        <f t="shared" si="135"/>
        <v>0</v>
      </c>
      <c r="I1175" s="38">
        <f t="shared" si="135"/>
        <v>0</v>
      </c>
      <c r="J1175" s="38">
        <f t="shared" si="135"/>
        <v>0</v>
      </c>
      <c r="K1175" s="38">
        <f t="shared" si="135"/>
        <v>0</v>
      </c>
      <c r="L1175" s="38">
        <f t="shared" si="134"/>
        <v>0</v>
      </c>
      <c r="M1175" s="35">
        <f t="shared" si="133"/>
        <v>0</v>
      </c>
      <c r="S1175" t="s">
        <v>87</v>
      </c>
      <c r="T1175" s="5">
        <f>data_origin!T1346</f>
        <v>0</v>
      </c>
      <c r="U1175" s="5">
        <f>data_origin!U1346</f>
        <v>0</v>
      </c>
      <c r="V1175" s="5">
        <f>data_origin!V1346</f>
        <v>0</v>
      </c>
      <c r="W1175" s="5">
        <f>data_origin!W1346</f>
        <v>0</v>
      </c>
      <c r="X1175" s="5">
        <f>data_origin!X1346</f>
        <v>0</v>
      </c>
      <c r="Y1175" s="5">
        <f>data_origin!Y1346</f>
        <v>0</v>
      </c>
      <c r="Z1175" s="5">
        <f>data_origin!Z1346</f>
        <v>0</v>
      </c>
      <c r="AA1175" s="5">
        <f>data_origin!AA1346</f>
        <v>0</v>
      </c>
      <c r="AB1175" s="5">
        <f t="shared" si="129"/>
        <v>0</v>
      </c>
    </row>
    <row r="1176" spans="4:28" x14ac:dyDescent="0.25">
      <c r="D1176" t="s">
        <v>88</v>
      </c>
      <c r="E1176" s="38">
        <f t="shared" si="135"/>
        <v>0</v>
      </c>
      <c r="F1176" s="38">
        <f t="shared" si="135"/>
        <v>0</v>
      </c>
      <c r="G1176" s="38">
        <f t="shared" si="135"/>
        <v>4.193416269640986</v>
      </c>
      <c r="H1176" s="38">
        <f t="shared" si="135"/>
        <v>0</v>
      </c>
      <c r="I1176" s="38">
        <f t="shared" si="135"/>
        <v>0</v>
      </c>
      <c r="J1176" s="38">
        <f t="shared" si="135"/>
        <v>2.2919992997198877</v>
      </c>
      <c r="K1176" s="38">
        <f t="shared" si="135"/>
        <v>0</v>
      </c>
      <c r="L1176" s="38">
        <f t="shared" si="134"/>
        <v>0</v>
      </c>
      <c r="M1176" s="35">
        <f t="shared" si="133"/>
        <v>6.4854155693608737</v>
      </c>
      <c r="S1176" t="s">
        <v>88</v>
      </c>
      <c r="T1176" s="5">
        <f>data_origin!T1347</f>
        <v>0</v>
      </c>
      <c r="U1176" s="5">
        <f>data_origin!U1347</f>
        <v>0</v>
      </c>
      <c r="V1176" s="5">
        <f>data_origin!V1347</f>
        <v>2.4000000000000004</v>
      </c>
      <c r="W1176" s="5">
        <f>data_origin!W1347</f>
        <v>0</v>
      </c>
      <c r="X1176" s="5">
        <f>data_origin!X1347</f>
        <v>0</v>
      </c>
      <c r="Y1176" s="5">
        <f>data_origin!Y1347</f>
        <v>2.25</v>
      </c>
      <c r="Z1176" s="5">
        <f>data_origin!Z1347</f>
        <v>0</v>
      </c>
      <c r="AA1176" s="5">
        <f>data_origin!AA1347</f>
        <v>0</v>
      </c>
      <c r="AB1176" s="5">
        <f t="shared" si="129"/>
        <v>4.6500000000000004</v>
      </c>
    </row>
    <row r="1177" spans="4:28" x14ac:dyDescent="0.25">
      <c r="D1177" t="s">
        <v>89</v>
      </c>
      <c r="E1177" s="38">
        <f t="shared" si="135"/>
        <v>0</v>
      </c>
      <c r="F1177" s="38">
        <f t="shared" si="135"/>
        <v>0</v>
      </c>
      <c r="G1177" s="38">
        <f t="shared" si="135"/>
        <v>0</v>
      </c>
      <c r="H1177" s="38">
        <f t="shared" si="135"/>
        <v>0</v>
      </c>
      <c r="I1177" s="38">
        <f t="shared" si="135"/>
        <v>4.4235730662976529</v>
      </c>
      <c r="J1177" s="38">
        <f t="shared" si="135"/>
        <v>0</v>
      </c>
      <c r="K1177" s="38">
        <f t="shared" si="135"/>
        <v>0</v>
      </c>
      <c r="L1177" s="38">
        <f t="shared" si="134"/>
        <v>0</v>
      </c>
      <c r="M1177" s="35">
        <f t="shared" si="133"/>
        <v>4.4235730662976529</v>
      </c>
      <c r="S1177" t="s">
        <v>89</v>
      </c>
      <c r="T1177" s="5">
        <f>data_origin!T1348</f>
        <v>0</v>
      </c>
      <c r="U1177" s="5">
        <f>data_origin!U1348</f>
        <v>0</v>
      </c>
      <c r="V1177" s="5">
        <f>data_origin!V1348</f>
        <v>0</v>
      </c>
      <c r="W1177" s="5">
        <f>data_origin!W1348</f>
        <v>0</v>
      </c>
      <c r="X1177" s="5">
        <f>data_origin!X1348</f>
        <v>4.3478260869565215</v>
      </c>
      <c r="Y1177" s="5">
        <f>data_origin!Y1348</f>
        <v>0</v>
      </c>
      <c r="Z1177" s="5">
        <f>data_origin!Z1348</f>
        <v>0</v>
      </c>
      <c r="AA1177" s="5">
        <f>data_origin!AA1348</f>
        <v>0</v>
      </c>
      <c r="AB1177" s="5">
        <f t="shared" si="129"/>
        <v>4.3478260869565215</v>
      </c>
    </row>
    <row r="1178" spans="4:28" x14ac:dyDescent="0.25">
      <c r="D1178" t="s">
        <v>90</v>
      </c>
      <c r="E1178" s="38">
        <f t="shared" si="135"/>
        <v>0</v>
      </c>
      <c r="F1178" s="38">
        <f t="shared" si="135"/>
        <v>0</v>
      </c>
      <c r="G1178" s="38">
        <f t="shared" si="135"/>
        <v>0</v>
      </c>
      <c r="H1178" s="38">
        <f t="shared" si="135"/>
        <v>0</v>
      </c>
      <c r="I1178" s="38">
        <f t="shared" si="135"/>
        <v>0</v>
      </c>
      <c r="J1178" s="38">
        <f t="shared" si="135"/>
        <v>0</v>
      </c>
      <c r="K1178" s="38">
        <f t="shared" si="135"/>
        <v>0</v>
      </c>
      <c r="L1178" s="38">
        <f t="shared" si="134"/>
        <v>0</v>
      </c>
      <c r="M1178" s="35">
        <f t="shared" si="133"/>
        <v>0</v>
      </c>
      <c r="S1178" t="s">
        <v>90</v>
      </c>
      <c r="T1178" s="5">
        <f>data_origin!T1349</f>
        <v>0</v>
      </c>
      <c r="U1178" s="5">
        <f>data_origin!U1349</f>
        <v>0</v>
      </c>
      <c r="V1178" s="5">
        <f>data_origin!V1349</f>
        <v>0</v>
      </c>
      <c r="W1178" s="5">
        <f>data_origin!W1349</f>
        <v>0</v>
      </c>
      <c r="X1178" s="5">
        <f>data_origin!X1349</f>
        <v>0</v>
      </c>
      <c r="Y1178" s="5">
        <f>data_origin!Y1349</f>
        <v>0</v>
      </c>
      <c r="Z1178" s="5">
        <f>data_origin!Z1349</f>
        <v>0</v>
      </c>
      <c r="AA1178" s="5">
        <f>data_origin!AA1349</f>
        <v>0</v>
      </c>
      <c r="AB1178" s="5">
        <f t="shared" si="129"/>
        <v>0</v>
      </c>
    </row>
    <row r="1179" spans="4:28" x14ac:dyDescent="0.25">
      <c r="D1179" t="s">
        <v>91</v>
      </c>
      <c r="E1179" s="38">
        <f t="shared" si="135"/>
        <v>0</v>
      </c>
      <c r="F1179" s="38">
        <f t="shared" si="135"/>
        <v>0</v>
      </c>
      <c r="G1179" s="38">
        <f t="shared" si="135"/>
        <v>0</v>
      </c>
      <c r="H1179" s="38">
        <f t="shared" si="135"/>
        <v>0</v>
      </c>
      <c r="I1179" s="38">
        <f t="shared" si="135"/>
        <v>0</v>
      </c>
      <c r="J1179" s="38">
        <f t="shared" si="135"/>
        <v>0</v>
      </c>
      <c r="K1179" s="38">
        <f t="shared" si="135"/>
        <v>0</v>
      </c>
      <c r="L1179" s="38">
        <f t="shared" si="134"/>
        <v>0</v>
      </c>
      <c r="M1179" s="35">
        <f t="shared" si="133"/>
        <v>0</v>
      </c>
      <c r="S1179" t="s">
        <v>91</v>
      </c>
      <c r="T1179" s="5">
        <f>data_origin!T1350</f>
        <v>0</v>
      </c>
      <c r="U1179" s="5">
        <f>data_origin!U1350</f>
        <v>0</v>
      </c>
      <c r="V1179" s="5">
        <f>data_origin!V1350</f>
        <v>0</v>
      </c>
      <c r="W1179" s="5">
        <f>data_origin!W1350</f>
        <v>0</v>
      </c>
      <c r="X1179" s="5">
        <f>data_origin!X1350</f>
        <v>0</v>
      </c>
      <c r="Y1179" s="5">
        <f>data_origin!Y1350</f>
        <v>0</v>
      </c>
      <c r="Z1179" s="5">
        <f>data_origin!Z1350</f>
        <v>0</v>
      </c>
      <c r="AA1179" s="5">
        <f>data_origin!AA1350</f>
        <v>0</v>
      </c>
      <c r="AB1179" s="5">
        <f t="shared" si="129"/>
        <v>0</v>
      </c>
    </row>
    <row r="1180" spans="4:28" x14ac:dyDescent="0.25">
      <c r="D1180" t="s">
        <v>92</v>
      </c>
      <c r="E1180" s="38">
        <f t="shared" si="135"/>
        <v>0</v>
      </c>
      <c r="F1180" s="38">
        <f t="shared" si="135"/>
        <v>0</v>
      </c>
      <c r="G1180" s="38">
        <f t="shared" si="135"/>
        <v>0</v>
      </c>
      <c r="H1180" s="38">
        <f t="shared" si="135"/>
        <v>0</v>
      </c>
      <c r="I1180" s="38">
        <f t="shared" si="135"/>
        <v>0</v>
      </c>
      <c r="J1180" s="38">
        <f t="shared" si="135"/>
        <v>0</v>
      </c>
      <c r="K1180" s="38">
        <f t="shared" si="135"/>
        <v>0</v>
      </c>
      <c r="L1180" s="38">
        <f t="shared" si="134"/>
        <v>0</v>
      </c>
      <c r="M1180" s="35">
        <f t="shared" si="133"/>
        <v>0</v>
      </c>
      <c r="S1180" t="s">
        <v>92</v>
      </c>
      <c r="T1180" s="5">
        <f>data_origin!T1351</f>
        <v>0</v>
      </c>
      <c r="U1180" s="5">
        <f>data_origin!U1351</f>
        <v>0</v>
      </c>
      <c r="V1180" s="5">
        <f>data_origin!V1351</f>
        <v>0</v>
      </c>
      <c r="W1180" s="5">
        <f>data_origin!W1351</f>
        <v>0</v>
      </c>
      <c r="X1180" s="5">
        <f>data_origin!X1351</f>
        <v>0</v>
      </c>
      <c r="Y1180" s="5">
        <f>data_origin!Y1351</f>
        <v>0</v>
      </c>
      <c r="Z1180" s="5">
        <f>data_origin!Z1351</f>
        <v>0</v>
      </c>
      <c r="AA1180" s="5">
        <f>data_origin!AA1351</f>
        <v>0</v>
      </c>
      <c r="AB1180" s="5">
        <f t="shared" si="129"/>
        <v>0</v>
      </c>
    </row>
    <row r="1181" spans="4:28" x14ac:dyDescent="0.25">
      <c r="D1181" t="s">
        <v>93</v>
      </c>
      <c r="E1181" s="38">
        <f t="shared" si="135"/>
        <v>0</v>
      </c>
      <c r="F1181" s="38">
        <f t="shared" si="135"/>
        <v>0</v>
      </c>
      <c r="G1181" s="38">
        <f t="shared" si="135"/>
        <v>0</v>
      </c>
      <c r="H1181" s="38">
        <f t="shared" si="135"/>
        <v>0</v>
      </c>
      <c r="I1181" s="38">
        <f t="shared" si="135"/>
        <v>0</v>
      </c>
      <c r="J1181" s="38">
        <f t="shared" si="135"/>
        <v>0</v>
      </c>
      <c r="K1181" s="38">
        <f t="shared" si="135"/>
        <v>0</v>
      </c>
      <c r="L1181" s="38">
        <f t="shared" si="134"/>
        <v>0</v>
      </c>
      <c r="M1181" s="35">
        <f t="shared" si="133"/>
        <v>0</v>
      </c>
      <c r="S1181" t="s">
        <v>93</v>
      </c>
      <c r="T1181" s="5">
        <f>data_origin!T1352</f>
        <v>0</v>
      </c>
      <c r="U1181" s="5">
        <f>data_origin!U1352</f>
        <v>0</v>
      </c>
      <c r="V1181" s="5">
        <f>data_origin!V1352</f>
        <v>0</v>
      </c>
      <c r="W1181" s="5">
        <f>data_origin!W1352</f>
        <v>0</v>
      </c>
      <c r="X1181" s="5">
        <f>data_origin!X1352</f>
        <v>0</v>
      </c>
      <c r="Y1181" s="5">
        <f>data_origin!Y1352</f>
        <v>0</v>
      </c>
      <c r="Z1181" s="5">
        <f>data_origin!Z1352</f>
        <v>0</v>
      </c>
      <c r="AA1181" s="5">
        <f>data_origin!AA1352</f>
        <v>0</v>
      </c>
      <c r="AB1181" s="5">
        <f t="shared" ref="AB1181:AB1244" si="136">SUM(T1181:AA1181)</f>
        <v>0</v>
      </c>
    </row>
    <row r="1182" spans="4:28" x14ac:dyDescent="0.25">
      <c r="D1182" t="s">
        <v>94</v>
      </c>
      <c r="E1182" s="38">
        <f t="shared" si="135"/>
        <v>0</v>
      </c>
      <c r="F1182" s="38">
        <f t="shared" si="135"/>
        <v>0</v>
      </c>
      <c r="G1182" s="38">
        <f t="shared" si="135"/>
        <v>0</v>
      </c>
      <c r="H1182" s="38">
        <f t="shared" si="135"/>
        <v>0</v>
      </c>
      <c r="I1182" s="38">
        <f t="shared" si="135"/>
        <v>0</v>
      </c>
      <c r="J1182" s="38">
        <f t="shared" si="135"/>
        <v>0</v>
      </c>
      <c r="K1182" s="38">
        <f t="shared" si="135"/>
        <v>0</v>
      </c>
      <c r="L1182" s="38">
        <f t="shared" si="134"/>
        <v>0</v>
      </c>
      <c r="M1182" s="35">
        <f t="shared" si="133"/>
        <v>0</v>
      </c>
      <c r="S1182" t="s">
        <v>94</v>
      </c>
      <c r="T1182" s="5">
        <f>data_origin!T1353</f>
        <v>0</v>
      </c>
      <c r="U1182" s="5">
        <f>data_origin!U1353</f>
        <v>0</v>
      </c>
      <c r="V1182" s="5">
        <f>data_origin!V1353</f>
        <v>0</v>
      </c>
      <c r="W1182" s="5">
        <f>data_origin!W1353</f>
        <v>0</v>
      </c>
      <c r="X1182" s="5">
        <f>data_origin!X1353</f>
        <v>0</v>
      </c>
      <c r="Y1182" s="5">
        <f>data_origin!Y1353</f>
        <v>0</v>
      </c>
      <c r="Z1182" s="5">
        <f>data_origin!Z1353</f>
        <v>0</v>
      </c>
      <c r="AA1182" s="5">
        <f>data_origin!AA1353</f>
        <v>0</v>
      </c>
      <c r="AB1182" s="5">
        <f t="shared" si="136"/>
        <v>0</v>
      </c>
    </row>
    <row r="1183" spans="4:28" x14ac:dyDescent="0.25">
      <c r="D1183" t="s">
        <v>95</v>
      </c>
      <c r="E1183" s="38">
        <f t="shared" si="135"/>
        <v>0</v>
      </c>
      <c r="F1183" s="38">
        <f t="shared" si="135"/>
        <v>0</v>
      </c>
      <c r="G1183" s="38">
        <f t="shared" si="135"/>
        <v>0</v>
      </c>
      <c r="H1183" s="38">
        <f t="shared" si="135"/>
        <v>0</v>
      </c>
      <c r="I1183" s="38">
        <f t="shared" si="135"/>
        <v>0</v>
      </c>
      <c r="J1183" s="38">
        <f t="shared" si="135"/>
        <v>0</v>
      </c>
      <c r="K1183" s="38">
        <f t="shared" si="135"/>
        <v>0</v>
      </c>
      <c r="L1183" s="38">
        <f t="shared" si="134"/>
        <v>0</v>
      </c>
      <c r="M1183" s="35">
        <f t="shared" si="133"/>
        <v>0</v>
      </c>
      <c r="S1183" t="s">
        <v>95</v>
      </c>
      <c r="T1183" s="5">
        <f>data_origin!T1354</f>
        <v>0</v>
      </c>
      <c r="U1183" s="5">
        <f>data_origin!U1354</f>
        <v>0</v>
      </c>
      <c r="V1183" s="5">
        <f>data_origin!V1354</f>
        <v>0</v>
      </c>
      <c r="W1183" s="5">
        <f>data_origin!W1354</f>
        <v>0</v>
      </c>
      <c r="X1183" s="5">
        <f>data_origin!X1354</f>
        <v>0</v>
      </c>
      <c r="Y1183" s="5">
        <f>data_origin!Y1354</f>
        <v>0</v>
      </c>
      <c r="Z1183" s="5">
        <f>data_origin!Z1354</f>
        <v>0</v>
      </c>
      <c r="AA1183" s="5">
        <f>data_origin!AA1354</f>
        <v>0</v>
      </c>
      <c r="AB1183" s="5">
        <f t="shared" si="136"/>
        <v>0</v>
      </c>
    </row>
    <row r="1184" spans="4:28" x14ac:dyDescent="0.25">
      <c r="D1184" t="s">
        <v>96</v>
      </c>
      <c r="E1184" s="38">
        <f t="shared" si="135"/>
        <v>0</v>
      </c>
      <c r="F1184" s="38">
        <f t="shared" si="135"/>
        <v>0</v>
      </c>
      <c r="G1184" s="38">
        <f t="shared" si="135"/>
        <v>0</v>
      </c>
      <c r="H1184" s="38">
        <f t="shared" si="135"/>
        <v>0</v>
      </c>
      <c r="I1184" s="38">
        <f t="shared" si="135"/>
        <v>0</v>
      </c>
      <c r="J1184" s="38">
        <f t="shared" si="135"/>
        <v>0</v>
      </c>
      <c r="K1184" s="38">
        <f t="shared" si="135"/>
        <v>0</v>
      </c>
      <c r="L1184" s="38">
        <f t="shared" si="134"/>
        <v>0</v>
      </c>
      <c r="M1184" s="35">
        <f t="shared" si="133"/>
        <v>0</v>
      </c>
      <c r="S1184" t="s">
        <v>96</v>
      </c>
      <c r="T1184" s="5">
        <f>data_origin!T1355</f>
        <v>0</v>
      </c>
      <c r="U1184" s="5">
        <f>data_origin!U1355</f>
        <v>0</v>
      </c>
      <c r="V1184" s="5">
        <f>data_origin!V1355</f>
        <v>0</v>
      </c>
      <c r="W1184" s="5">
        <f>data_origin!W1355</f>
        <v>0</v>
      </c>
      <c r="X1184" s="5">
        <f>data_origin!X1355</f>
        <v>0</v>
      </c>
      <c r="Y1184" s="5">
        <f>data_origin!Y1355</f>
        <v>0</v>
      </c>
      <c r="Z1184" s="5">
        <f>data_origin!Z1355</f>
        <v>0</v>
      </c>
      <c r="AA1184" s="5">
        <f>data_origin!AA1355</f>
        <v>0</v>
      </c>
      <c r="AB1184" s="5">
        <f t="shared" si="136"/>
        <v>0</v>
      </c>
    </row>
    <row r="1185" spans="1:28" x14ac:dyDescent="0.25">
      <c r="D1185" t="s">
        <v>97</v>
      </c>
      <c r="E1185" s="38">
        <f t="shared" si="135"/>
        <v>0</v>
      </c>
      <c r="F1185" s="38">
        <f t="shared" si="135"/>
        <v>0</v>
      </c>
      <c r="G1185" s="38">
        <f t="shared" si="135"/>
        <v>0</v>
      </c>
      <c r="H1185" s="38">
        <f t="shared" si="135"/>
        <v>0</v>
      </c>
      <c r="I1185" s="38">
        <f t="shared" si="135"/>
        <v>0</v>
      </c>
      <c r="J1185" s="38">
        <f t="shared" si="135"/>
        <v>0</v>
      </c>
      <c r="K1185" s="38">
        <f t="shared" si="135"/>
        <v>0</v>
      </c>
      <c r="L1185" s="38">
        <f t="shared" si="134"/>
        <v>0</v>
      </c>
      <c r="M1185" s="35">
        <f t="shared" si="133"/>
        <v>0</v>
      </c>
      <c r="S1185" t="s">
        <v>97</v>
      </c>
      <c r="T1185" s="5">
        <f>data_origin!T1356</f>
        <v>0</v>
      </c>
      <c r="U1185" s="5">
        <f>data_origin!U1356</f>
        <v>0</v>
      </c>
      <c r="V1185" s="5">
        <f>data_origin!V1356</f>
        <v>0</v>
      </c>
      <c r="W1185" s="5">
        <f>data_origin!W1356</f>
        <v>0</v>
      </c>
      <c r="X1185" s="5">
        <f>data_origin!X1356</f>
        <v>0</v>
      </c>
      <c r="Y1185" s="5">
        <f>data_origin!Y1356</f>
        <v>0</v>
      </c>
      <c r="Z1185" s="5">
        <f>data_origin!Z1356</f>
        <v>0</v>
      </c>
      <c r="AA1185" s="5">
        <f>data_origin!AA1356</f>
        <v>0</v>
      </c>
      <c r="AB1185" s="5">
        <f t="shared" si="136"/>
        <v>0</v>
      </c>
    </row>
    <row r="1186" spans="1:28" x14ac:dyDescent="0.25">
      <c r="D1186" t="s">
        <v>98</v>
      </c>
      <c r="E1186" s="38">
        <f t="shared" si="135"/>
        <v>0</v>
      </c>
      <c r="F1186" s="38">
        <f t="shared" si="135"/>
        <v>0</v>
      </c>
      <c r="G1186" s="38">
        <f t="shared" si="135"/>
        <v>2.4334162696409853</v>
      </c>
      <c r="H1186" s="38">
        <f t="shared" si="135"/>
        <v>0</v>
      </c>
      <c r="I1186" s="38">
        <f t="shared" si="135"/>
        <v>2.2117865331488265</v>
      </c>
      <c r="J1186" s="38">
        <f t="shared" si="135"/>
        <v>0</v>
      </c>
      <c r="K1186" s="38">
        <f t="shared" si="135"/>
        <v>0</v>
      </c>
      <c r="L1186" s="38">
        <f t="shared" si="134"/>
        <v>0</v>
      </c>
      <c r="M1186" s="35">
        <f t="shared" si="133"/>
        <v>4.6452028027898118</v>
      </c>
      <c r="S1186" t="s">
        <v>98</v>
      </c>
      <c r="T1186" s="5">
        <f>data_origin!T1357</f>
        <v>0</v>
      </c>
      <c r="U1186" s="5">
        <f>data_origin!U1357</f>
        <v>0</v>
      </c>
      <c r="V1186" s="5">
        <f>data_origin!V1357</f>
        <v>2.4000000000000004</v>
      </c>
      <c r="W1186" s="5">
        <f>data_origin!W1357</f>
        <v>0</v>
      </c>
      <c r="X1186" s="5">
        <f>data_origin!X1357</f>
        <v>2.1739130434782608</v>
      </c>
      <c r="Y1186" s="5">
        <f>data_origin!Y1357</f>
        <v>0</v>
      </c>
      <c r="Z1186" s="5">
        <f>data_origin!Z1357</f>
        <v>0</v>
      </c>
      <c r="AA1186" s="5">
        <f>data_origin!AA1357</f>
        <v>0</v>
      </c>
      <c r="AB1186" s="5">
        <f t="shared" si="136"/>
        <v>4.5739130434782611</v>
      </c>
    </row>
    <row r="1187" spans="1:28" x14ac:dyDescent="0.25">
      <c r="D1187" t="s">
        <v>119</v>
      </c>
      <c r="E1187" s="38">
        <f t="shared" si="135"/>
        <v>0</v>
      </c>
      <c r="F1187" s="38">
        <f t="shared" si="135"/>
        <v>0</v>
      </c>
      <c r="G1187" s="38">
        <f t="shared" si="135"/>
        <v>0</v>
      </c>
      <c r="H1187" s="38">
        <f t="shared" si="135"/>
        <v>0</v>
      </c>
      <c r="I1187" s="38">
        <f t="shared" si="135"/>
        <v>0</v>
      </c>
      <c r="J1187" s="38">
        <f t="shared" si="135"/>
        <v>0</v>
      </c>
      <c r="K1187" s="38">
        <f t="shared" si="135"/>
        <v>0</v>
      </c>
      <c r="L1187" s="38">
        <f t="shared" si="134"/>
        <v>0</v>
      </c>
      <c r="M1187" s="35">
        <f t="shared" si="133"/>
        <v>0</v>
      </c>
      <c r="S1187" t="s">
        <v>119</v>
      </c>
      <c r="T1187" s="5">
        <f>data_origin!T1358</f>
        <v>0</v>
      </c>
      <c r="U1187" s="5">
        <f>data_origin!U1358</f>
        <v>0</v>
      </c>
      <c r="V1187" s="5">
        <f>data_origin!V1358</f>
        <v>0</v>
      </c>
      <c r="W1187" s="5">
        <f>data_origin!W1358</f>
        <v>0</v>
      </c>
      <c r="X1187" s="5">
        <f>data_origin!X1358</f>
        <v>0</v>
      </c>
      <c r="Y1187" s="5">
        <f>data_origin!Y1358</f>
        <v>0</v>
      </c>
      <c r="Z1187" s="5">
        <f>data_origin!Z1358</f>
        <v>0</v>
      </c>
      <c r="AA1187" s="5">
        <f>data_origin!AA1358</f>
        <v>0</v>
      </c>
      <c r="AB1187" s="5">
        <f t="shared" si="136"/>
        <v>0</v>
      </c>
    </row>
    <row r="1188" spans="1:28" x14ac:dyDescent="0.25">
      <c r="D1188" t="s">
        <v>99</v>
      </c>
      <c r="E1188" s="38">
        <f t="shared" si="135"/>
        <v>0</v>
      </c>
      <c r="F1188" s="38">
        <f t="shared" si="135"/>
        <v>0</v>
      </c>
      <c r="G1188" s="38">
        <f t="shared" si="135"/>
        <v>0</v>
      </c>
      <c r="H1188" s="38">
        <f t="shared" si="135"/>
        <v>0</v>
      </c>
      <c r="I1188" s="38">
        <f t="shared" si="135"/>
        <v>0</v>
      </c>
      <c r="J1188" s="38">
        <f t="shared" si="135"/>
        <v>0</v>
      </c>
      <c r="K1188" s="38">
        <f t="shared" si="135"/>
        <v>0</v>
      </c>
      <c r="L1188" s="38">
        <f t="shared" si="134"/>
        <v>0</v>
      </c>
      <c r="M1188" s="35">
        <f t="shared" si="133"/>
        <v>0</v>
      </c>
      <c r="S1188" t="s">
        <v>99</v>
      </c>
      <c r="T1188" s="5">
        <f>data_origin!T1359</f>
        <v>0</v>
      </c>
      <c r="U1188" s="5">
        <f>data_origin!U1359</f>
        <v>0</v>
      </c>
      <c r="V1188" s="5">
        <f>data_origin!V1359</f>
        <v>0</v>
      </c>
      <c r="W1188" s="5">
        <f>data_origin!W1359</f>
        <v>0</v>
      </c>
      <c r="X1188" s="5">
        <f>data_origin!X1359</f>
        <v>0</v>
      </c>
      <c r="Y1188" s="5">
        <f>data_origin!Y1359</f>
        <v>0</v>
      </c>
      <c r="Z1188" s="5">
        <f>data_origin!Z1359</f>
        <v>0</v>
      </c>
      <c r="AA1188" s="5">
        <f>data_origin!AA1359</f>
        <v>0</v>
      </c>
      <c r="AB1188" s="5">
        <f t="shared" si="136"/>
        <v>0</v>
      </c>
    </row>
    <row r="1189" spans="1:28" x14ac:dyDescent="0.25">
      <c r="D1189" t="s">
        <v>100</v>
      </c>
      <c r="E1189" s="38">
        <f t="shared" si="135"/>
        <v>0</v>
      </c>
      <c r="F1189" s="38">
        <f t="shared" si="135"/>
        <v>0</v>
      </c>
      <c r="G1189" s="38">
        <f t="shared" si="135"/>
        <v>218.11938768379193</v>
      </c>
      <c r="H1189" s="38">
        <f t="shared" si="135"/>
        <v>288.17478524282831</v>
      </c>
      <c r="I1189" s="38">
        <f t="shared" si="135"/>
        <v>119.10682092539955</v>
      </c>
      <c r="J1189" s="38">
        <f t="shared" si="135"/>
        <v>7.875997899159664</v>
      </c>
      <c r="K1189" s="38">
        <f t="shared" si="135"/>
        <v>0</v>
      </c>
      <c r="L1189" s="38">
        <f t="shared" si="134"/>
        <v>0</v>
      </c>
      <c r="M1189" s="35">
        <f t="shared" si="133"/>
        <v>633.27699175117948</v>
      </c>
      <c r="S1189" t="s">
        <v>100</v>
      </c>
      <c r="T1189" s="5">
        <f>data_origin!T1360</f>
        <v>0</v>
      </c>
      <c r="U1189" s="5">
        <f>data_origin!U1360</f>
        <v>0</v>
      </c>
      <c r="V1189" s="5">
        <f>data_origin!V1360</f>
        <v>175.2</v>
      </c>
      <c r="W1189" s="5">
        <f>data_origin!W1360</f>
        <v>238</v>
      </c>
      <c r="X1189" s="5">
        <f>data_origin!X1360</f>
        <v>93.478260869565219</v>
      </c>
      <c r="Y1189" s="5">
        <f>data_origin!Y1360</f>
        <v>6.75</v>
      </c>
      <c r="Z1189" s="5">
        <f>data_origin!Z1360</f>
        <v>0</v>
      </c>
      <c r="AA1189" s="5">
        <f>data_origin!AA1360</f>
        <v>0</v>
      </c>
      <c r="AB1189" s="5">
        <f t="shared" si="136"/>
        <v>513.42826086956518</v>
      </c>
    </row>
    <row r="1190" spans="1:28" x14ac:dyDescent="0.25">
      <c r="D1190" t="s">
        <v>101</v>
      </c>
      <c r="E1190" s="38">
        <f t="shared" si="135"/>
        <v>0</v>
      </c>
      <c r="F1190" s="38">
        <f t="shared" si="135"/>
        <v>0</v>
      </c>
      <c r="G1190" s="38">
        <f t="shared" si="135"/>
        <v>0</v>
      </c>
      <c r="H1190" s="38">
        <f t="shared" si="135"/>
        <v>0</v>
      </c>
      <c r="I1190" s="38">
        <f t="shared" si="135"/>
        <v>0</v>
      </c>
      <c r="J1190" s="38">
        <f t="shared" si="135"/>
        <v>0</v>
      </c>
      <c r="K1190" s="38">
        <f t="shared" si="135"/>
        <v>0</v>
      </c>
      <c r="L1190" s="38">
        <f t="shared" si="134"/>
        <v>0</v>
      </c>
      <c r="M1190" s="35">
        <f t="shared" si="133"/>
        <v>0</v>
      </c>
      <c r="S1190" t="s">
        <v>101</v>
      </c>
      <c r="T1190" s="5">
        <f>data_origin!T1361</f>
        <v>0</v>
      </c>
      <c r="U1190" s="5">
        <f>data_origin!U1361</f>
        <v>0</v>
      </c>
      <c r="V1190" s="5">
        <f>data_origin!V1361</f>
        <v>0</v>
      </c>
      <c r="W1190" s="5">
        <f>data_origin!W1361</f>
        <v>0</v>
      </c>
      <c r="X1190" s="5">
        <f>data_origin!X1361</f>
        <v>0</v>
      </c>
      <c r="Y1190" s="5">
        <f>data_origin!Y1361</f>
        <v>0</v>
      </c>
      <c r="Z1190" s="5">
        <f>data_origin!Z1361</f>
        <v>0</v>
      </c>
      <c r="AA1190" s="5">
        <f>data_origin!AA1361</f>
        <v>0</v>
      </c>
      <c r="AB1190" s="5">
        <f t="shared" si="136"/>
        <v>0</v>
      </c>
    </row>
    <row r="1191" spans="1:28" x14ac:dyDescent="0.25">
      <c r="A1191" s="24" t="s">
        <v>115</v>
      </c>
      <c r="B1191" s="24" t="s">
        <v>103</v>
      </c>
      <c r="C1191" s="24" t="s">
        <v>111</v>
      </c>
      <c r="D1191" t="s">
        <v>70</v>
      </c>
      <c r="E1191" s="38">
        <f t="shared" si="135"/>
        <v>0</v>
      </c>
      <c r="F1191" s="38">
        <f t="shared" si="135"/>
        <v>0</v>
      </c>
      <c r="G1191" s="38">
        <f t="shared" si="135"/>
        <v>0</v>
      </c>
      <c r="H1191" s="38">
        <f t="shared" si="135"/>
        <v>2.3883114915466304</v>
      </c>
      <c r="I1191" s="38">
        <f t="shared" si="135"/>
        <v>1.1540201031753368</v>
      </c>
      <c r="J1191" s="38">
        <f t="shared" si="135"/>
        <v>0</v>
      </c>
      <c r="K1191" s="38">
        <f t="shared" si="135"/>
        <v>0</v>
      </c>
      <c r="L1191" s="38">
        <f t="shared" si="134"/>
        <v>0</v>
      </c>
      <c r="M1191" s="35">
        <f t="shared" si="133"/>
        <v>3.5423315947219671</v>
      </c>
      <c r="P1191" t="s">
        <v>115</v>
      </c>
      <c r="Q1191" t="s">
        <v>103</v>
      </c>
      <c r="R1191" t="s">
        <v>111</v>
      </c>
      <c r="S1191" t="s">
        <v>70</v>
      </c>
      <c r="T1191" s="5">
        <f>data_origin!T1363</f>
        <v>0</v>
      </c>
      <c r="U1191" s="5">
        <f>data_origin!U1363</f>
        <v>0</v>
      </c>
      <c r="V1191" s="5">
        <f>data_origin!V1363</f>
        <v>0</v>
      </c>
      <c r="W1191" s="5">
        <f>data_origin!W1363</f>
        <v>2.3471400394477318</v>
      </c>
      <c r="X1191" s="5">
        <f>data_origin!X1363</f>
        <v>1.1342592592592593</v>
      </c>
      <c r="Y1191" s="5">
        <f>data_origin!Y1363</f>
        <v>0</v>
      </c>
      <c r="Z1191" s="5">
        <f>data_origin!Z1363</f>
        <v>0</v>
      </c>
      <c r="AA1191" s="5">
        <f>data_origin!AA1363</f>
        <v>0</v>
      </c>
      <c r="AB1191" s="5">
        <f t="shared" si="136"/>
        <v>3.4813992987069913</v>
      </c>
    </row>
    <row r="1192" spans="1:28" x14ac:dyDescent="0.25">
      <c r="D1192" t="s">
        <v>71</v>
      </c>
      <c r="E1192" s="38">
        <f t="shared" si="135"/>
        <v>0</v>
      </c>
      <c r="F1192" s="38">
        <f t="shared" si="135"/>
        <v>0</v>
      </c>
      <c r="G1192" s="38">
        <f t="shared" si="135"/>
        <v>19.324188023619588</v>
      </c>
      <c r="H1192" s="38">
        <f t="shared" si="135"/>
        <v>15.524024695053097</v>
      </c>
      <c r="I1192" s="38">
        <f t="shared" si="135"/>
        <v>9.2321608254026941</v>
      </c>
      <c r="J1192" s="38">
        <f t="shared" si="135"/>
        <v>1.1409063180827888</v>
      </c>
      <c r="K1192" s="38">
        <f t="shared" si="135"/>
        <v>0</v>
      </c>
      <c r="L1192" s="38">
        <f t="shared" si="134"/>
        <v>0</v>
      </c>
      <c r="M1192" s="35">
        <f t="shared" si="133"/>
        <v>45.22127986215817</v>
      </c>
      <c r="S1192" t="s">
        <v>71</v>
      </c>
      <c r="T1192" s="5">
        <f>data_origin!T1364</f>
        <v>0</v>
      </c>
      <c r="U1192" s="5">
        <f>data_origin!U1364</f>
        <v>0</v>
      </c>
      <c r="V1192" s="5">
        <f>data_origin!V1364</f>
        <v>19.058823529411764</v>
      </c>
      <c r="W1192" s="5">
        <f>data_origin!W1364</f>
        <v>15.256410256410255</v>
      </c>
      <c r="X1192" s="5">
        <f>data_origin!X1364</f>
        <v>9.0740740740740744</v>
      </c>
      <c r="Y1192" s="5">
        <f>data_origin!Y1364</f>
        <v>1.1200000000000001</v>
      </c>
      <c r="Z1192" s="5">
        <f>data_origin!Z1364</f>
        <v>0</v>
      </c>
      <c r="AA1192" s="5">
        <f>data_origin!AA1364</f>
        <v>0</v>
      </c>
      <c r="AB1192" s="5">
        <f t="shared" si="136"/>
        <v>44.50930785989609</v>
      </c>
    </row>
    <row r="1193" spans="1:28" x14ac:dyDescent="0.25">
      <c r="D1193" t="s">
        <v>72</v>
      </c>
      <c r="E1193" s="38">
        <f t="shared" si="135"/>
        <v>0</v>
      </c>
      <c r="F1193" s="38">
        <f t="shared" si="135"/>
        <v>0</v>
      </c>
      <c r="G1193" s="38">
        <f t="shared" si="135"/>
        <v>16.747629620470306</v>
      </c>
      <c r="H1193" s="38">
        <f t="shared" si="135"/>
        <v>45.377918339385978</v>
      </c>
      <c r="I1193" s="38">
        <f t="shared" si="135"/>
        <v>33.466582992084767</v>
      </c>
      <c r="J1193" s="38">
        <f t="shared" si="135"/>
        <v>4.563625272331155</v>
      </c>
      <c r="K1193" s="38">
        <f t="shared" si="135"/>
        <v>1.0781746031746031</v>
      </c>
      <c r="L1193" s="38">
        <f t="shared" si="134"/>
        <v>0</v>
      </c>
      <c r="M1193" s="35">
        <f t="shared" si="133"/>
        <v>101.2339308274468</v>
      </c>
      <c r="S1193" t="s">
        <v>72</v>
      </c>
      <c r="T1193" s="5">
        <f>data_origin!T1365</f>
        <v>0</v>
      </c>
      <c r="U1193" s="5">
        <f>data_origin!U1365</f>
        <v>0</v>
      </c>
      <c r="V1193" s="5">
        <f>data_origin!V1365</f>
        <v>16.517647058823528</v>
      </c>
      <c r="W1193" s="5">
        <f>data_origin!W1365</f>
        <v>44.595660749506905</v>
      </c>
      <c r="X1193" s="5">
        <f>data_origin!X1365</f>
        <v>32.893518518518519</v>
      </c>
      <c r="Y1193" s="5">
        <f>data_origin!Y1365</f>
        <v>4.4800000000000004</v>
      </c>
      <c r="Z1193" s="5">
        <f>data_origin!Z1365</f>
        <v>1.0555555555555556</v>
      </c>
      <c r="AA1193" s="5">
        <f>data_origin!AA1365</f>
        <v>0</v>
      </c>
      <c r="AB1193" s="5">
        <f t="shared" si="136"/>
        <v>99.542381882404513</v>
      </c>
    </row>
    <row r="1194" spans="1:28" x14ac:dyDescent="0.25">
      <c r="D1194" t="s">
        <v>73</v>
      </c>
      <c r="E1194" s="38">
        <f t="shared" si="135"/>
        <v>0</v>
      </c>
      <c r="F1194" s="38">
        <f t="shared" si="135"/>
        <v>0</v>
      </c>
      <c r="G1194" s="38">
        <f t="shared" si="135"/>
        <v>5.1531168062985566</v>
      </c>
      <c r="H1194" s="38">
        <f t="shared" ref="H1194:L1250" si="137">W1194+AZ72+IFERROR((W1194/SUM(W$993:W$1982)*AZ$630),0)+IFERROR((W1194/SUM(W$1125:W$1322,W$1455:W$1652,W$1785:W$1982)*AZ$732),0)</f>
        <v>4.7766229830932607</v>
      </c>
      <c r="I1194" s="38">
        <f t="shared" si="137"/>
        <v>3.4620603095260103</v>
      </c>
      <c r="J1194" s="38">
        <f t="shared" si="137"/>
        <v>0</v>
      </c>
      <c r="K1194" s="38">
        <f t="shared" si="137"/>
        <v>0</v>
      </c>
      <c r="L1194" s="38">
        <f t="shared" si="134"/>
        <v>0</v>
      </c>
      <c r="M1194" s="35">
        <f t="shared" si="133"/>
        <v>13.391800098917827</v>
      </c>
      <c r="S1194" t="s">
        <v>73</v>
      </c>
      <c r="T1194" s="5">
        <f>data_origin!T1366</f>
        <v>0</v>
      </c>
      <c r="U1194" s="5">
        <f>data_origin!U1366</f>
        <v>0</v>
      </c>
      <c r="V1194" s="5">
        <f>data_origin!V1366</f>
        <v>5.0823529411764703</v>
      </c>
      <c r="W1194" s="5">
        <f>data_origin!W1366</f>
        <v>4.6942800788954635</v>
      </c>
      <c r="X1194" s="5">
        <f>data_origin!X1366</f>
        <v>3.4027777777777777</v>
      </c>
      <c r="Y1194" s="5">
        <f>data_origin!Y1366</f>
        <v>0</v>
      </c>
      <c r="Z1194" s="5">
        <f>data_origin!Z1366</f>
        <v>0</v>
      </c>
      <c r="AA1194" s="5">
        <f>data_origin!AA1366</f>
        <v>0</v>
      </c>
      <c r="AB1194" s="5">
        <f t="shared" si="136"/>
        <v>13.179410797849712</v>
      </c>
    </row>
    <row r="1195" spans="1:28" x14ac:dyDescent="0.25">
      <c r="D1195" t="s">
        <v>74</v>
      </c>
      <c r="E1195" s="38">
        <f t="shared" ref="E1195:I1258" si="138">T1195+AW73+IFERROR((T1195/SUM(T$993:T$1982)*AW$630),0)+IFERROR((T1195/SUM(T$1125:T$1322,T$1455:T$1652,T$1785:T$1982)*AW$732),0)</f>
        <v>0</v>
      </c>
      <c r="F1195" s="38">
        <f t="shared" si="138"/>
        <v>0</v>
      </c>
      <c r="G1195" s="38">
        <f t="shared" si="138"/>
        <v>0</v>
      </c>
      <c r="H1195" s="38">
        <f t="shared" si="137"/>
        <v>9.5532459661865214</v>
      </c>
      <c r="I1195" s="38">
        <f t="shared" si="137"/>
        <v>8.0781407222273565</v>
      </c>
      <c r="J1195" s="38">
        <f t="shared" si="137"/>
        <v>0</v>
      </c>
      <c r="K1195" s="38">
        <f t="shared" si="137"/>
        <v>0</v>
      </c>
      <c r="L1195" s="38">
        <f t="shared" si="134"/>
        <v>0</v>
      </c>
      <c r="M1195" s="35">
        <f t="shared" si="133"/>
        <v>17.631386688413876</v>
      </c>
      <c r="S1195" t="s">
        <v>74</v>
      </c>
      <c r="T1195" s="5">
        <f>data_origin!T1367</f>
        <v>0</v>
      </c>
      <c r="U1195" s="5">
        <f>data_origin!U1367</f>
        <v>0</v>
      </c>
      <c r="V1195" s="5">
        <f>data_origin!V1367</f>
        <v>0</v>
      </c>
      <c r="W1195" s="5">
        <f>data_origin!W1367</f>
        <v>9.388560157790927</v>
      </c>
      <c r="X1195" s="5">
        <f>data_origin!X1367</f>
        <v>7.9398148148148149</v>
      </c>
      <c r="Y1195" s="5">
        <f>data_origin!Y1367</f>
        <v>0</v>
      </c>
      <c r="Z1195" s="5">
        <f>data_origin!Z1367</f>
        <v>0</v>
      </c>
      <c r="AA1195" s="5">
        <f>data_origin!AA1367</f>
        <v>0</v>
      </c>
      <c r="AB1195" s="5">
        <f t="shared" si="136"/>
        <v>17.328374972605744</v>
      </c>
    </row>
    <row r="1196" spans="1:28" x14ac:dyDescent="0.25">
      <c r="D1196" t="s">
        <v>75</v>
      </c>
      <c r="E1196" s="38">
        <f t="shared" si="138"/>
        <v>0</v>
      </c>
      <c r="F1196" s="38">
        <f t="shared" si="138"/>
        <v>0</v>
      </c>
      <c r="G1196" s="38">
        <f t="shared" si="138"/>
        <v>7.7296752094478354</v>
      </c>
      <c r="H1196" s="38">
        <f t="shared" si="137"/>
        <v>3.5824672373199458</v>
      </c>
      <c r="I1196" s="38">
        <f t="shared" si="137"/>
        <v>4.6160804127013471</v>
      </c>
      <c r="J1196" s="38">
        <f t="shared" si="137"/>
        <v>1.1409063180827888</v>
      </c>
      <c r="K1196" s="38">
        <f t="shared" si="137"/>
        <v>2.1563492063492062</v>
      </c>
      <c r="L1196" s="38">
        <f t="shared" si="134"/>
        <v>0</v>
      </c>
      <c r="M1196" s="35">
        <f t="shared" si="133"/>
        <v>19.225478383901123</v>
      </c>
      <c r="S1196" t="s">
        <v>75</v>
      </c>
      <c r="T1196" s="5">
        <f>data_origin!T1368</f>
        <v>0</v>
      </c>
      <c r="U1196" s="5">
        <f>data_origin!U1368</f>
        <v>0</v>
      </c>
      <c r="V1196" s="5">
        <f>data_origin!V1368</f>
        <v>7.6235294117647054</v>
      </c>
      <c r="W1196" s="5">
        <f>data_origin!W1368</f>
        <v>3.5207100591715976</v>
      </c>
      <c r="X1196" s="5">
        <f>data_origin!X1368</f>
        <v>4.5370370370370372</v>
      </c>
      <c r="Y1196" s="5">
        <f>data_origin!Y1368</f>
        <v>1.1200000000000001</v>
      </c>
      <c r="Z1196" s="5">
        <f>data_origin!Z1368</f>
        <v>2.1111111111111112</v>
      </c>
      <c r="AA1196" s="5">
        <f>data_origin!AA1368</f>
        <v>0</v>
      </c>
      <c r="AB1196" s="5">
        <f t="shared" si="136"/>
        <v>18.912387619084452</v>
      </c>
    </row>
    <row r="1197" spans="1:28" x14ac:dyDescent="0.25">
      <c r="D1197" t="s">
        <v>76</v>
      </c>
      <c r="E1197" s="38">
        <f t="shared" si="138"/>
        <v>0</v>
      </c>
      <c r="F1197" s="38">
        <f t="shared" si="138"/>
        <v>0</v>
      </c>
      <c r="G1197" s="38">
        <f t="shared" si="138"/>
        <v>11.594512814171754</v>
      </c>
      <c r="H1197" s="38">
        <f t="shared" si="137"/>
        <v>20.300647678146358</v>
      </c>
      <c r="I1197" s="38">
        <f t="shared" si="137"/>
        <v>19.618341753980726</v>
      </c>
      <c r="J1197" s="38">
        <f t="shared" si="137"/>
        <v>7.9863442265795204</v>
      </c>
      <c r="K1197" s="38">
        <f t="shared" si="137"/>
        <v>1.0781746031746031</v>
      </c>
      <c r="L1197" s="38">
        <f t="shared" si="134"/>
        <v>0</v>
      </c>
      <c r="M1197" s="35">
        <f t="shared" si="133"/>
        <v>60.578021076052963</v>
      </c>
      <c r="S1197" t="s">
        <v>76</v>
      </c>
      <c r="T1197" s="5">
        <f>data_origin!T1369</f>
        <v>0</v>
      </c>
      <c r="U1197" s="5">
        <f>data_origin!U1369</f>
        <v>0</v>
      </c>
      <c r="V1197" s="5">
        <f>data_origin!V1369</f>
        <v>11.435294117647059</v>
      </c>
      <c r="W1197" s="5">
        <f>data_origin!W1369</f>
        <v>19.950690335305719</v>
      </c>
      <c r="X1197" s="5">
        <f>data_origin!X1369</f>
        <v>19.282407407407408</v>
      </c>
      <c r="Y1197" s="5">
        <f>data_origin!Y1369</f>
        <v>7.84</v>
      </c>
      <c r="Z1197" s="5">
        <f>data_origin!Z1369</f>
        <v>1.0555555555555556</v>
      </c>
      <c r="AA1197" s="5">
        <f>data_origin!AA1369</f>
        <v>0</v>
      </c>
      <c r="AB1197" s="5">
        <f t="shared" si="136"/>
        <v>59.563947415915749</v>
      </c>
    </row>
    <row r="1198" spans="1:28" x14ac:dyDescent="0.25">
      <c r="D1198" t="s">
        <v>77</v>
      </c>
      <c r="E1198" s="38">
        <f t="shared" si="138"/>
        <v>0</v>
      </c>
      <c r="F1198" s="38">
        <f t="shared" si="138"/>
        <v>0</v>
      </c>
      <c r="G1198" s="38">
        <f t="shared" si="138"/>
        <v>25.765584031492786</v>
      </c>
      <c r="H1198" s="38">
        <f t="shared" si="137"/>
        <v>102.6973941365051</v>
      </c>
      <c r="I1198" s="38">
        <f t="shared" si="137"/>
        <v>131.55829176198836</v>
      </c>
      <c r="J1198" s="38">
        <f t="shared" si="137"/>
        <v>20.536313725490199</v>
      </c>
      <c r="K1198" s="38">
        <f t="shared" si="137"/>
        <v>3.2345238095238091</v>
      </c>
      <c r="L1198" s="38">
        <f t="shared" si="134"/>
        <v>0</v>
      </c>
      <c r="M1198" s="35">
        <f t="shared" si="133"/>
        <v>283.79210746500024</v>
      </c>
      <c r="S1198" t="s">
        <v>77</v>
      </c>
      <c r="T1198" s="5">
        <f>data_origin!T1370</f>
        <v>0</v>
      </c>
      <c r="U1198" s="5">
        <f>data_origin!U1370</f>
        <v>0</v>
      </c>
      <c r="V1198" s="5">
        <f>data_origin!V1370</f>
        <v>25.411764705882355</v>
      </c>
      <c r="W1198" s="5">
        <f>data_origin!W1370</f>
        <v>100.92702169625247</v>
      </c>
      <c r="X1198" s="5">
        <f>data_origin!X1370</f>
        <v>129.30555555555554</v>
      </c>
      <c r="Y1198" s="5">
        <f>data_origin!Y1370</f>
        <v>20.16</v>
      </c>
      <c r="Z1198" s="5">
        <f>data_origin!Z1370</f>
        <v>3.1666666666666665</v>
      </c>
      <c r="AA1198" s="5">
        <f>data_origin!AA1370</f>
        <v>0</v>
      </c>
      <c r="AB1198" s="5">
        <f t="shared" si="136"/>
        <v>278.97100862435707</v>
      </c>
    </row>
    <row r="1199" spans="1:28" x14ac:dyDescent="0.25">
      <c r="D1199" t="s">
        <v>78</v>
      </c>
      <c r="E1199" s="38">
        <f t="shared" si="138"/>
        <v>0</v>
      </c>
      <c r="F1199" s="38">
        <f t="shared" si="138"/>
        <v>0</v>
      </c>
      <c r="G1199" s="38">
        <f t="shared" si="138"/>
        <v>11.594512814171754</v>
      </c>
      <c r="H1199" s="38">
        <f t="shared" si="137"/>
        <v>15.524024695053097</v>
      </c>
      <c r="I1199" s="38">
        <f t="shared" si="137"/>
        <v>6.9241206190520206</v>
      </c>
      <c r="J1199" s="38">
        <f t="shared" si="137"/>
        <v>2.2818126361655775</v>
      </c>
      <c r="K1199" s="38">
        <f t="shared" si="137"/>
        <v>0</v>
      </c>
      <c r="L1199" s="38">
        <f t="shared" si="134"/>
        <v>0</v>
      </c>
      <c r="M1199" s="35">
        <f t="shared" si="133"/>
        <v>36.324470764442445</v>
      </c>
      <c r="S1199" t="s">
        <v>78</v>
      </c>
      <c r="T1199" s="5">
        <f>data_origin!T1371</f>
        <v>0</v>
      </c>
      <c r="U1199" s="5">
        <f>data_origin!U1371</f>
        <v>0</v>
      </c>
      <c r="V1199" s="5">
        <f>data_origin!V1371</f>
        <v>11.435294117647059</v>
      </c>
      <c r="W1199" s="5">
        <f>data_origin!W1371</f>
        <v>15.256410256410255</v>
      </c>
      <c r="X1199" s="5">
        <f>data_origin!X1371</f>
        <v>6.8055555555555554</v>
      </c>
      <c r="Y1199" s="5">
        <f>data_origin!Y1371</f>
        <v>2.2400000000000002</v>
      </c>
      <c r="Z1199" s="5">
        <f>data_origin!Z1371</f>
        <v>0</v>
      </c>
      <c r="AA1199" s="5">
        <f>data_origin!AA1371</f>
        <v>0</v>
      </c>
      <c r="AB1199" s="5">
        <f t="shared" si="136"/>
        <v>35.737259929612875</v>
      </c>
    </row>
    <row r="1200" spans="1:28" x14ac:dyDescent="0.25">
      <c r="D1200" t="s">
        <v>79</v>
      </c>
      <c r="E1200" s="38">
        <f t="shared" si="138"/>
        <v>0</v>
      </c>
      <c r="F1200" s="38">
        <f t="shared" si="138"/>
        <v>0</v>
      </c>
      <c r="G1200" s="38">
        <f t="shared" si="138"/>
        <v>1.2882792015746392</v>
      </c>
      <c r="H1200" s="38">
        <f t="shared" si="137"/>
        <v>21.49480342391967</v>
      </c>
      <c r="I1200" s="38">
        <f t="shared" si="137"/>
        <v>31.158542785734095</v>
      </c>
      <c r="J1200" s="38">
        <f t="shared" si="137"/>
        <v>13.690875816993463</v>
      </c>
      <c r="K1200" s="38">
        <f t="shared" si="137"/>
        <v>7.5472222222222225</v>
      </c>
      <c r="L1200" s="38">
        <f t="shared" si="134"/>
        <v>0</v>
      </c>
      <c r="M1200" s="35">
        <f t="shared" si="133"/>
        <v>75.179723450444087</v>
      </c>
      <c r="S1200" t="s">
        <v>79</v>
      </c>
      <c r="T1200" s="5">
        <f>data_origin!T1372</f>
        <v>0</v>
      </c>
      <c r="U1200" s="5">
        <f>data_origin!U1372</f>
        <v>0</v>
      </c>
      <c r="V1200" s="5">
        <f>data_origin!V1372</f>
        <v>1.2705882352941176</v>
      </c>
      <c r="W1200" s="5">
        <f>data_origin!W1372</f>
        <v>21.124260355029584</v>
      </c>
      <c r="X1200" s="5">
        <f>data_origin!X1372</f>
        <v>30.625</v>
      </c>
      <c r="Y1200" s="5">
        <f>data_origin!Y1372</f>
        <v>13.44</v>
      </c>
      <c r="Z1200" s="5">
        <f>data_origin!Z1372</f>
        <v>7.3888888888888893</v>
      </c>
      <c r="AA1200" s="5">
        <f>data_origin!AA1372</f>
        <v>0</v>
      </c>
      <c r="AB1200" s="5">
        <f t="shared" si="136"/>
        <v>73.848737479212588</v>
      </c>
    </row>
    <row r="1201" spans="4:28" x14ac:dyDescent="0.25">
      <c r="D1201" t="s">
        <v>80</v>
      </c>
      <c r="E1201" s="38">
        <f t="shared" si="138"/>
        <v>0</v>
      </c>
      <c r="F1201" s="38">
        <f t="shared" si="138"/>
        <v>0</v>
      </c>
      <c r="G1201" s="38">
        <f t="shared" si="138"/>
        <v>21.900746426768869</v>
      </c>
      <c r="H1201" s="38">
        <f t="shared" si="137"/>
        <v>46.572074085159294</v>
      </c>
      <c r="I1201" s="38">
        <f t="shared" si="137"/>
        <v>48.468844333364139</v>
      </c>
      <c r="J1201" s="38">
        <f t="shared" si="137"/>
        <v>10.2681568627451</v>
      </c>
      <c r="K1201" s="38">
        <f t="shared" si="137"/>
        <v>1.0781746031746031</v>
      </c>
      <c r="L1201" s="38">
        <f t="shared" si="134"/>
        <v>0</v>
      </c>
      <c r="M1201" s="35">
        <f t="shared" si="133"/>
        <v>128.28799631121203</v>
      </c>
      <c r="S1201" t="s">
        <v>80</v>
      </c>
      <c r="T1201" s="5">
        <f>data_origin!T1373</f>
        <v>0</v>
      </c>
      <c r="U1201" s="5">
        <f>data_origin!U1373</f>
        <v>0</v>
      </c>
      <c r="V1201" s="5">
        <f>data_origin!V1373</f>
        <v>21.6</v>
      </c>
      <c r="W1201" s="5">
        <f>data_origin!W1373</f>
        <v>45.769230769230774</v>
      </c>
      <c r="X1201" s="5">
        <f>data_origin!X1373</f>
        <v>47.638888888888886</v>
      </c>
      <c r="Y1201" s="5">
        <f>data_origin!Y1373</f>
        <v>10.08</v>
      </c>
      <c r="Z1201" s="5">
        <f>data_origin!Z1373</f>
        <v>1.0555555555555556</v>
      </c>
      <c r="AA1201" s="5">
        <f>data_origin!AA1373</f>
        <v>0</v>
      </c>
      <c r="AB1201" s="5">
        <f t="shared" si="136"/>
        <v>126.14367521367521</v>
      </c>
    </row>
    <row r="1202" spans="4:28" x14ac:dyDescent="0.25">
      <c r="D1202" t="s">
        <v>81</v>
      </c>
      <c r="E1202" s="38">
        <f t="shared" si="138"/>
        <v>0</v>
      </c>
      <c r="F1202" s="38">
        <f t="shared" si="138"/>
        <v>0</v>
      </c>
      <c r="G1202" s="38">
        <f t="shared" si="138"/>
        <v>3.8648376047239177</v>
      </c>
      <c r="H1202" s="38">
        <f t="shared" si="137"/>
        <v>23.883114915466301</v>
      </c>
      <c r="I1202" s="38">
        <f t="shared" si="137"/>
        <v>18.464321650805388</v>
      </c>
      <c r="J1202" s="38">
        <f t="shared" si="137"/>
        <v>2.2818126361655775</v>
      </c>
      <c r="K1202" s="38">
        <f t="shared" si="137"/>
        <v>0</v>
      </c>
      <c r="L1202" s="38">
        <f t="shared" si="134"/>
        <v>0</v>
      </c>
      <c r="M1202" s="35">
        <f t="shared" si="133"/>
        <v>48.494086807161182</v>
      </c>
      <c r="S1202" t="s">
        <v>81</v>
      </c>
      <c r="T1202" s="5">
        <f>data_origin!T1374</f>
        <v>0</v>
      </c>
      <c r="U1202" s="5">
        <f>data_origin!U1374</f>
        <v>0</v>
      </c>
      <c r="V1202" s="5">
        <f>data_origin!V1374</f>
        <v>3.8117647058823527</v>
      </c>
      <c r="W1202" s="5">
        <f>data_origin!W1374</f>
        <v>23.471400394477318</v>
      </c>
      <c r="X1202" s="5">
        <f>data_origin!X1374</f>
        <v>18.148148148148149</v>
      </c>
      <c r="Y1202" s="5">
        <f>data_origin!Y1374</f>
        <v>2.2400000000000002</v>
      </c>
      <c r="Z1202" s="5">
        <f>data_origin!Z1374</f>
        <v>0</v>
      </c>
      <c r="AA1202" s="5">
        <f>data_origin!AA1374</f>
        <v>0</v>
      </c>
      <c r="AB1202" s="5">
        <f t="shared" si="136"/>
        <v>47.671313248507822</v>
      </c>
    </row>
    <row r="1203" spans="4:28" x14ac:dyDescent="0.25">
      <c r="D1203" t="s">
        <v>82</v>
      </c>
      <c r="E1203" s="38">
        <f t="shared" si="138"/>
        <v>0</v>
      </c>
      <c r="F1203" s="38">
        <f t="shared" si="138"/>
        <v>0</v>
      </c>
      <c r="G1203" s="38">
        <f t="shared" si="138"/>
        <v>14.171071217321032</v>
      </c>
      <c r="H1203" s="38">
        <f t="shared" si="137"/>
        <v>28.659737898559566</v>
      </c>
      <c r="I1203" s="38">
        <f t="shared" si="137"/>
        <v>27.696482476208082</v>
      </c>
      <c r="J1203" s="38">
        <f t="shared" si="137"/>
        <v>5.7045315904139429</v>
      </c>
      <c r="K1203" s="38">
        <f t="shared" si="137"/>
        <v>0</v>
      </c>
      <c r="L1203" s="38">
        <f t="shared" si="134"/>
        <v>0</v>
      </c>
      <c r="M1203" s="35">
        <f t="shared" si="133"/>
        <v>76.231823182502637</v>
      </c>
      <c r="S1203" t="s">
        <v>82</v>
      </c>
      <c r="T1203" s="5">
        <f>data_origin!T1375</f>
        <v>0</v>
      </c>
      <c r="U1203" s="5">
        <f>data_origin!U1375</f>
        <v>0</v>
      </c>
      <c r="V1203" s="5">
        <f>data_origin!V1375</f>
        <v>13.976470588235294</v>
      </c>
      <c r="W1203" s="5">
        <f>data_origin!W1375</f>
        <v>28.165680473372781</v>
      </c>
      <c r="X1203" s="5">
        <f>data_origin!X1375</f>
        <v>27.222222222222221</v>
      </c>
      <c r="Y1203" s="5">
        <f>data_origin!Y1375</f>
        <v>5.6</v>
      </c>
      <c r="Z1203" s="5">
        <f>data_origin!Z1375</f>
        <v>0</v>
      </c>
      <c r="AA1203" s="5">
        <f>data_origin!AA1375</f>
        <v>0</v>
      </c>
      <c r="AB1203" s="5">
        <f t="shared" si="136"/>
        <v>74.964373283830298</v>
      </c>
    </row>
    <row r="1204" spans="4:28" x14ac:dyDescent="0.25">
      <c r="D1204" t="s">
        <v>83</v>
      </c>
      <c r="E1204" s="38">
        <f t="shared" si="138"/>
        <v>0</v>
      </c>
      <c r="F1204" s="38">
        <f t="shared" si="138"/>
        <v>0</v>
      </c>
      <c r="G1204" s="38">
        <f t="shared" si="138"/>
        <v>3.8648376047239177</v>
      </c>
      <c r="H1204" s="38">
        <f t="shared" si="137"/>
        <v>15.524024695053097</v>
      </c>
      <c r="I1204" s="38">
        <f t="shared" si="137"/>
        <v>4.6160804127013471</v>
      </c>
      <c r="J1204" s="38">
        <f t="shared" si="137"/>
        <v>1.1409063180827888</v>
      </c>
      <c r="K1204" s="38">
        <f t="shared" si="137"/>
        <v>0</v>
      </c>
      <c r="L1204" s="38">
        <f t="shared" si="134"/>
        <v>0</v>
      </c>
      <c r="M1204" s="35">
        <f t="shared" si="133"/>
        <v>25.145849030561148</v>
      </c>
      <c r="S1204" t="s">
        <v>83</v>
      </c>
      <c r="T1204" s="5">
        <f>data_origin!T1376</f>
        <v>0</v>
      </c>
      <c r="U1204" s="5">
        <f>data_origin!U1376</f>
        <v>0</v>
      </c>
      <c r="V1204" s="5">
        <f>data_origin!V1376</f>
        <v>3.8117647058823527</v>
      </c>
      <c r="W1204" s="5">
        <f>data_origin!W1376</f>
        <v>15.256410256410255</v>
      </c>
      <c r="X1204" s="5">
        <f>data_origin!X1376</f>
        <v>4.5370370370370372</v>
      </c>
      <c r="Y1204" s="5">
        <f>data_origin!Y1376</f>
        <v>1.1200000000000001</v>
      </c>
      <c r="Z1204" s="5">
        <f>data_origin!Z1376</f>
        <v>0</v>
      </c>
      <c r="AA1204" s="5">
        <f>data_origin!AA1376</f>
        <v>0</v>
      </c>
      <c r="AB1204" s="5">
        <f t="shared" si="136"/>
        <v>24.725211999329648</v>
      </c>
    </row>
    <row r="1205" spans="4:28" x14ac:dyDescent="0.25">
      <c r="D1205" t="s">
        <v>84</v>
      </c>
      <c r="E1205" s="38">
        <f t="shared" si="138"/>
        <v>0</v>
      </c>
      <c r="F1205" s="38">
        <f t="shared" si="138"/>
        <v>0</v>
      </c>
      <c r="G1205" s="38">
        <f t="shared" si="138"/>
        <v>6.4413960078731964</v>
      </c>
      <c r="H1205" s="38">
        <f t="shared" si="137"/>
        <v>22.688959169692989</v>
      </c>
      <c r="I1205" s="38">
        <f t="shared" si="137"/>
        <v>8.0781407222273565</v>
      </c>
      <c r="J1205" s="38">
        <f t="shared" si="137"/>
        <v>0</v>
      </c>
      <c r="K1205" s="38">
        <f t="shared" si="137"/>
        <v>0</v>
      </c>
      <c r="L1205" s="38">
        <f t="shared" si="134"/>
        <v>0</v>
      </c>
      <c r="M1205" s="35">
        <f t="shared" si="133"/>
        <v>37.208495899793547</v>
      </c>
      <c r="S1205" t="s">
        <v>84</v>
      </c>
      <c r="T1205" s="5">
        <f>data_origin!T1377</f>
        <v>0</v>
      </c>
      <c r="U1205" s="5">
        <f>data_origin!U1377</f>
        <v>0</v>
      </c>
      <c r="V1205" s="5">
        <f>data_origin!V1377</f>
        <v>6.3529411764705888</v>
      </c>
      <c r="W1205" s="5">
        <f>data_origin!W1377</f>
        <v>22.297830374753453</v>
      </c>
      <c r="X1205" s="5">
        <f>data_origin!X1377</f>
        <v>7.9398148148148149</v>
      </c>
      <c r="Y1205" s="5">
        <f>data_origin!Y1377</f>
        <v>0</v>
      </c>
      <c r="Z1205" s="5">
        <f>data_origin!Z1377</f>
        <v>0</v>
      </c>
      <c r="AA1205" s="5">
        <f>data_origin!AA1377</f>
        <v>0</v>
      </c>
      <c r="AB1205" s="5">
        <f t="shared" si="136"/>
        <v>36.590586366038856</v>
      </c>
    </row>
    <row r="1206" spans="4:28" x14ac:dyDescent="0.25">
      <c r="D1206" t="s">
        <v>85</v>
      </c>
      <c r="E1206" s="38">
        <f t="shared" si="138"/>
        <v>0</v>
      </c>
      <c r="F1206" s="38">
        <f t="shared" si="138"/>
        <v>0</v>
      </c>
      <c r="G1206" s="38">
        <f t="shared" si="138"/>
        <v>19.324188023619588</v>
      </c>
      <c r="H1206" s="38">
        <f t="shared" si="137"/>
        <v>25.077270661239616</v>
      </c>
      <c r="I1206" s="38">
        <f t="shared" si="137"/>
        <v>17.310301547630051</v>
      </c>
      <c r="J1206" s="38">
        <f t="shared" si="137"/>
        <v>1.1409063180827888</v>
      </c>
      <c r="K1206" s="38">
        <f t="shared" si="137"/>
        <v>0</v>
      </c>
      <c r="L1206" s="38">
        <f t="shared" si="134"/>
        <v>0</v>
      </c>
      <c r="M1206" s="35">
        <f t="shared" si="133"/>
        <v>62.852666550572046</v>
      </c>
      <c r="S1206" t="s">
        <v>85</v>
      </c>
      <c r="T1206" s="5">
        <f>data_origin!T1378</f>
        <v>0</v>
      </c>
      <c r="U1206" s="5">
        <f>data_origin!U1378</f>
        <v>0</v>
      </c>
      <c r="V1206" s="5">
        <f>data_origin!V1378</f>
        <v>19.058823529411764</v>
      </c>
      <c r="W1206" s="5">
        <f>data_origin!W1378</f>
        <v>24.644970414201183</v>
      </c>
      <c r="X1206" s="5">
        <f>data_origin!X1378</f>
        <v>17.013888888888889</v>
      </c>
      <c r="Y1206" s="5">
        <f>data_origin!Y1378</f>
        <v>1.1200000000000001</v>
      </c>
      <c r="Z1206" s="5">
        <f>data_origin!Z1378</f>
        <v>0</v>
      </c>
      <c r="AA1206" s="5">
        <f>data_origin!AA1378</f>
        <v>0</v>
      </c>
      <c r="AB1206" s="5">
        <f t="shared" si="136"/>
        <v>61.837682832501834</v>
      </c>
    </row>
    <row r="1207" spans="4:28" x14ac:dyDescent="0.25">
      <c r="D1207" t="s">
        <v>86</v>
      </c>
      <c r="E1207" s="38">
        <f t="shared" si="138"/>
        <v>0</v>
      </c>
      <c r="F1207" s="38">
        <f t="shared" si="138"/>
        <v>0</v>
      </c>
      <c r="G1207" s="38">
        <f t="shared" si="138"/>
        <v>92.756102513374032</v>
      </c>
      <c r="H1207" s="38">
        <f t="shared" si="137"/>
        <v>140.91037800125119</v>
      </c>
      <c r="I1207" s="38">
        <f t="shared" si="137"/>
        <v>84.243467531799581</v>
      </c>
      <c r="J1207" s="38">
        <f t="shared" si="137"/>
        <v>11.409063180827886</v>
      </c>
      <c r="K1207" s="38">
        <f t="shared" si="137"/>
        <v>3.2345238095238091</v>
      </c>
      <c r="L1207" s="38">
        <f t="shared" si="134"/>
        <v>1</v>
      </c>
      <c r="M1207" s="35">
        <f t="shared" si="133"/>
        <v>333.55353503677651</v>
      </c>
      <c r="S1207" t="s">
        <v>86</v>
      </c>
      <c r="T1207" s="5">
        <f>data_origin!T1379</f>
        <v>0</v>
      </c>
      <c r="U1207" s="5">
        <f>data_origin!U1379</f>
        <v>0</v>
      </c>
      <c r="V1207" s="5">
        <f>data_origin!V1379</f>
        <v>91.482352941176472</v>
      </c>
      <c r="W1207" s="5">
        <f>data_origin!W1379</f>
        <v>138.48126232741618</v>
      </c>
      <c r="X1207" s="5">
        <f>data_origin!X1379</f>
        <v>82.800925925925924</v>
      </c>
      <c r="Y1207" s="5">
        <f>data_origin!Y1379</f>
        <v>11.2</v>
      </c>
      <c r="Z1207" s="5">
        <f>data_origin!Z1379</f>
        <v>3.1666666666666665</v>
      </c>
      <c r="AA1207" s="5">
        <f>data_origin!AA1379</f>
        <v>1</v>
      </c>
      <c r="AB1207" s="5">
        <f t="shared" si="136"/>
        <v>328.13120786118526</v>
      </c>
    </row>
    <row r="1208" spans="4:28" x14ac:dyDescent="0.25">
      <c r="D1208" t="s">
        <v>87</v>
      </c>
      <c r="E1208" s="38">
        <f t="shared" si="138"/>
        <v>0</v>
      </c>
      <c r="F1208" s="38">
        <f t="shared" si="138"/>
        <v>0</v>
      </c>
      <c r="G1208" s="38">
        <f t="shared" si="138"/>
        <v>3.8648376047239177</v>
      </c>
      <c r="H1208" s="38">
        <f t="shared" si="137"/>
        <v>7.1649344746398915</v>
      </c>
      <c r="I1208" s="38">
        <f t="shared" si="137"/>
        <v>2.3080402063506735</v>
      </c>
      <c r="J1208" s="38">
        <f t="shared" si="137"/>
        <v>0</v>
      </c>
      <c r="K1208" s="38">
        <f t="shared" si="137"/>
        <v>0</v>
      </c>
      <c r="L1208" s="38">
        <f t="shared" si="134"/>
        <v>0</v>
      </c>
      <c r="M1208" s="35">
        <f t="shared" si="133"/>
        <v>13.337812285714483</v>
      </c>
      <c r="S1208" t="s">
        <v>87</v>
      </c>
      <c r="T1208" s="5">
        <f>data_origin!T1380</f>
        <v>0</v>
      </c>
      <c r="U1208" s="5">
        <f>data_origin!U1380</f>
        <v>0</v>
      </c>
      <c r="V1208" s="5">
        <f>data_origin!V1380</f>
        <v>3.8117647058823527</v>
      </c>
      <c r="W1208" s="5">
        <f>data_origin!W1380</f>
        <v>7.0414201183431953</v>
      </c>
      <c r="X1208" s="5">
        <f>data_origin!X1380</f>
        <v>2.2685185185185186</v>
      </c>
      <c r="Y1208" s="5">
        <f>data_origin!Y1380</f>
        <v>0</v>
      </c>
      <c r="Z1208" s="5">
        <f>data_origin!Z1380</f>
        <v>0</v>
      </c>
      <c r="AA1208" s="5">
        <f>data_origin!AA1380</f>
        <v>0</v>
      </c>
      <c r="AB1208" s="5">
        <f t="shared" si="136"/>
        <v>13.121703342744066</v>
      </c>
    </row>
    <row r="1209" spans="4:28" x14ac:dyDescent="0.25">
      <c r="D1209" t="s">
        <v>88</v>
      </c>
      <c r="E1209" s="38">
        <f t="shared" si="138"/>
        <v>0</v>
      </c>
      <c r="F1209" s="38">
        <f t="shared" si="138"/>
        <v>0</v>
      </c>
      <c r="G1209" s="38">
        <f t="shared" si="138"/>
        <v>36.071817644089897</v>
      </c>
      <c r="H1209" s="38">
        <f t="shared" si="137"/>
        <v>29.853893644332878</v>
      </c>
      <c r="I1209" s="38">
        <f t="shared" si="137"/>
        <v>27.696482476208082</v>
      </c>
      <c r="J1209" s="38">
        <f t="shared" si="137"/>
        <v>2.2818126361655775</v>
      </c>
      <c r="K1209" s="38">
        <f t="shared" si="137"/>
        <v>0</v>
      </c>
      <c r="L1209" s="38">
        <f t="shared" si="134"/>
        <v>0</v>
      </c>
      <c r="M1209" s="35">
        <f t="shared" si="133"/>
        <v>95.904006400796433</v>
      </c>
      <c r="S1209" t="s">
        <v>88</v>
      </c>
      <c r="T1209" s="5">
        <f>data_origin!T1381</f>
        <v>0</v>
      </c>
      <c r="U1209" s="5">
        <f>data_origin!U1381</f>
        <v>0</v>
      </c>
      <c r="V1209" s="5">
        <f>data_origin!V1381</f>
        <v>35.576470588235296</v>
      </c>
      <c r="W1209" s="5">
        <f>data_origin!W1381</f>
        <v>29.339250493096646</v>
      </c>
      <c r="X1209" s="5">
        <f>data_origin!X1381</f>
        <v>27.222222222222221</v>
      </c>
      <c r="Y1209" s="5">
        <f>data_origin!Y1381</f>
        <v>2.2400000000000002</v>
      </c>
      <c r="Z1209" s="5">
        <f>data_origin!Z1381</f>
        <v>0</v>
      </c>
      <c r="AA1209" s="5">
        <f>data_origin!AA1381</f>
        <v>0</v>
      </c>
      <c r="AB1209" s="5">
        <f t="shared" si="136"/>
        <v>94.377943303554147</v>
      </c>
    </row>
    <row r="1210" spans="4:28" x14ac:dyDescent="0.25">
      <c r="D1210" t="s">
        <v>89</v>
      </c>
      <c r="E1210" s="38">
        <f t="shared" si="138"/>
        <v>0</v>
      </c>
      <c r="F1210" s="38">
        <f t="shared" si="138"/>
        <v>0</v>
      </c>
      <c r="G1210" s="38">
        <f t="shared" si="138"/>
        <v>2.5765584031492783</v>
      </c>
      <c r="H1210" s="38">
        <f t="shared" si="137"/>
        <v>1.1941557457733152</v>
      </c>
      <c r="I1210" s="38">
        <f t="shared" si="137"/>
        <v>1.1540201031753368</v>
      </c>
      <c r="J1210" s="38">
        <f t="shared" si="137"/>
        <v>0</v>
      </c>
      <c r="K1210" s="38">
        <f t="shared" si="137"/>
        <v>0</v>
      </c>
      <c r="L1210" s="38">
        <f t="shared" si="134"/>
        <v>0</v>
      </c>
      <c r="M1210" s="35">
        <f t="shared" si="133"/>
        <v>4.92473425209793</v>
      </c>
      <c r="S1210" t="s">
        <v>89</v>
      </c>
      <c r="T1210" s="5">
        <f>data_origin!T1382</f>
        <v>0</v>
      </c>
      <c r="U1210" s="5">
        <f>data_origin!U1382</f>
        <v>0</v>
      </c>
      <c r="V1210" s="5">
        <f>data_origin!V1382</f>
        <v>2.5411764705882351</v>
      </c>
      <c r="W1210" s="5">
        <f>data_origin!W1382</f>
        <v>1.1735700197238659</v>
      </c>
      <c r="X1210" s="5">
        <f>data_origin!X1382</f>
        <v>1.1342592592592593</v>
      </c>
      <c r="Y1210" s="5">
        <f>data_origin!Y1382</f>
        <v>0</v>
      </c>
      <c r="Z1210" s="5">
        <f>data_origin!Z1382</f>
        <v>0</v>
      </c>
      <c r="AA1210" s="5">
        <f>data_origin!AA1382</f>
        <v>0</v>
      </c>
      <c r="AB1210" s="5">
        <f t="shared" si="136"/>
        <v>4.8490057495713605</v>
      </c>
    </row>
    <row r="1211" spans="4:28" x14ac:dyDescent="0.25">
      <c r="D1211" t="s">
        <v>90</v>
      </c>
      <c r="E1211" s="38">
        <f t="shared" si="138"/>
        <v>0</v>
      </c>
      <c r="F1211" s="38">
        <f t="shared" si="138"/>
        <v>0</v>
      </c>
      <c r="G1211" s="38">
        <f t="shared" si="138"/>
        <v>0</v>
      </c>
      <c r="H1211" s="38">
        <f t="shared" si="137"/>
        <v>0</v>
      </c>
      <c r="I1211" s="38">
        <f t="shared" si="137"/>
        <v>0</v>
      </c>
      <c r="J1211" s="38">
        <f t="shared" si="137"/>
        <v>0</v>
      </c>
      <c r="K1211" s="38">
        <f t="shared" si="137"/>
        <v>0</v>
      </c>
      <c r="L1211" s="38">
        <f t="shared" si="134"/>
        <v>0</v>
      </c>
      <c r="M1211" s="35">
        <f t="shared" si="133"/>
        <v>0</v>
      </c>
      <c r="S1211" t="s">
        <v>90</v>
      </c>
      <c r="T1211" s="5">
        <f>data_origin!T1383</f>
        <v>0</v>
      </c>
      <c r="U1211" s="5">
        <f>data_origin!U1383</f>
        <v>0</v>
      </c>
      <c r="V1211" s="5">
        <f>data_origin!V1383</f>
        <v>0</v>
      </c>
      <c r="W1211" s="5">
        <f>data_origin!W1383</f>
        <v>0</v>
      </c>
      <c r="X1211" s="5">
        <f>data_origin!X1383</f>
        <v>0</v>
      </c>
      <c r="Y1211" s="5">
        <f>data_origin!Y1383</f>
        <v>0</v>
      </c>
      <c r="Z1211" s="5">
        <f>data_origin!Z1383</f>
        <v>0</v>
      </c>
      <c r="AA1211" s="5">
        <f>data_origin!AA1383</f>
        <v>0</v>
      </c>
      <c r="AB1211" s="5">
        <f t="shared" si="136"/>
        <v>0</v>
      </c>
    </row>
    <row r="1212" spans="4:28" x14ac:dyDescent="0.25">
      <c r="D1212" t="s">
        <v>91</v>
      </c>
      <c r="E1212" s="38">
        <f t="shared" si="138"/>
        <v>0</v>
      </c>
      <c r="F1212" s="38">
        <f t="shared" si="138"/>
        <v>0</v>
      </c>
      <c r="G1212" s="38">
        <f t="shared" si="138"/>
        <v>0</v>
      </c>
      <c r="H1212" s="38">
        <f t="shared" si="137"/>
        <v>0</v>
      </c>
      <c r="I1212" s="38">
        <f t="shared" si="137"/>
        <v>0</v>
      </c>
      <c r="J1212" s="38">
        <f t="shared" si="137"/>
        <v>0</v>
      </c>
      <c r="K1212" s="38">
        <f t="shared" si="137"/>
        <v>0</v>
      </c>
      <c r="L1212" s="38">
        <f t="shared" si="134"/>
        <v>0</v>
      </c>
      <c r="M1212" s="35">
        <f t="shared" si="133"/>
        <v>0</v>
      </c>
      <c r="S1212" t="s">
        <v>91</v>
      </c>
      <c r="T1212" s="5">
        <f>data_origin!T1384</f>
        <v>0</v>
      </c>
      <c r="U1212" s="5">
        <f>data_origin!U1384</f>
        <v>0</v>
      </c>
      <c r="V1212" s="5">
        <f>data_origin!V1384</f>
        <v>0</v>
      </c>
      <c r="W1212" s="5">
        <f>data_origin!W1384</f>
        <v>0</v>
      </c>
      <c r="X1212" s="5">
        <f>data_origin!X1384</f>
        <v>0</v>
      </c>
      <c r="Y1212" s="5">
        <f>data_origin!Y1384</f>
        <v>0</v>
      </c>
      <c r="Z1212" s="5">
        <f>data_origin!Z1384</f>
        <v>0</v>
      </c>
      <c r="AA1212" s="5">
        <f>data_origin!AA1384</f>
        <v>0</v>
      </c>
      <c r="AB1212" s="5">
        <f t="shared" si="136"/>
        <v>0</v>
      </c>
    </row>
    <row r="1213" spans="4:28" x14ac:dyDescent="0.25">
      <c r="D1213" t="s">
        <v>92</v>
      </c>
      <c r="E1213" s="38">
        <f t="shared" si="138"/>
        <v>0</v>
      </c>
      <c r="F1213" s="38">
        <f t="shared" si="138"/>
        <v>0</v>
      </c>
      <c r="G1213" s="38">
        <f t="shared" si="138"/>
        <v>0</v>
      </c>
      <c r="H1213" s="38">
        <f t="shared" si="137"/>
        <v>0</v>
      </c>
      <c r="I1213" s="38">
        <f t="shared" si="137"/>
        <v>0</v>
      </c>
      <c r="J1213" s="38">
        <f t="shared" si="137"/>
        <v>0</v>
      </c>
      <c r="K1213" s="38">
        <f t="shared" si="137"/>
        <v>0</v>
      </c>
      <c r="L1213" s="38">
        <f t="shared" si="134"/>
        <v>0</v>
      </c>
      <c r="M1213" s="35">
        <f t="shared" si="133"/>
        <v>0</v>
      </c>
      <c r="S1213" t="s">
        <v>92</v>
      </c>
      <c r="T1213" s="5">
        <f>data_origin!T1385</f>
        <v>0</v>
      </c>
      <c r="U1213" s="5">
        <f>data_origin!U1385</f>
        <v>0</v>
      </c>
      <c r="V1213" s="5">
        <f>data_origin!V1385</f>
        <v>0</v>
      </c>
      <c r="W1213" s="5">
        <f>data_origin!W1385</f>
        <v>0</v>
      </c>
      <c r="X1213" s="5">
        <f>data_origin!X1385</f>
        <v>0</v>
      </c>
      <c r="Y1213" s="5">
        <f>data_origin!Y1385</f>
        <v>0</v>
      </c>
      <c r="Z1213" s="5">
        <f>data_origin!Z1385</f>
        <v>0</v>
      </c>
      <c r="AA1213" s="5">
        <f>data_origin!AA1385</f>
        <v>0</v>
      </c>
      <c r="AB1213" s="5">
        <f t="shared" si="136"/>
        <v>0</v>
      </c>
    </row>
    <row r="1214" spans="4:28" x14ac:dyDescent="0.25">
      <c r="D1214" t="s">
        <v>93</v>
      </c>
      <c r="E1214" s="38">
        <f t="shared" si="138"/>
        <v>0</v>
      </c>
      <c r="F1214" s="38">
        <f t="shared" si="138"/>
        <v>0</v>
      </c>
      <c r="G1214" s="38">
        <f t="shared" si="138"/>
        <v>0</v>
      </c>
      <c r="H1214" s="38">
        <f t="shared" si="137"/>
        <v>0</v>
      </c>
      <c r="I1214" s="38">
        <f t="shared" si="137"/>
        <v>0</v>
      </c>
      <c r="J1214" s="38">
        <f t="shared" si="137"/>
        <v>0</v>
      </c>
      <c r="K1214" s="38">
        <f t="shared" si="137"/>
        <v>0</v>
      </c>
      <c r="L1214" s="38">
        <f t="shared" si="134"/>
        <v>0</v>
      </c>
      <c r="M1214" s="35">
        <f t="shared" si="133"/>
        <v>0</v>
      </c>
      <c r="S1214" t="s">
        <v>93</v>
      </c>
      <c r="T1214" s="5">
        <f>data_origin!T1386</f>
        <v>0</v>
      </c>
      <c r="U1214" s="5">
        <f>data_origin!U1386</f>
        <v>0</v>
      </c>
      <c r="V1214" s="5">
        <f>data_origin!V1386</f>
        <v>0</v>
      </c>
      <c r="W1214" s="5">
        <f>data_origin!W1386</f>
        <v>0</v>
      </c>
      <c r="X1214" s="5">
        <f>data_origin!X1386</f>
        <v>0</v>
      </c>
      <c r="Y1214" s="5">
        <f>data_origin!Y1386</f>
        <v>0</v>
      </c>
      <c r="Z1214" s="5">
        <f>data_origin!Z1386</f>
        <v>0</v>
      </c>
      <c r="AA1214" s="5">
        <f>data_origin!AA1386</f>
        <v>0</v>
      </c>
      <c r="AB1214" s="5">
        <f t="shared" si="136"/>
        <v>0</v>
      </c>
    </row>
    <row r="1215" spans="4:28" x14ac:dyDescent="0.25">
      <c r="D1215" t="s">
        <v>94</v>
      </c>
      <c r="E1215" s="38">
        <f t="shared" si="138"/>
        <v>0</v>
      </c>
      <c r="F1215" s="38">
        <f t="shared" si="138"/>
        <v>0</v>
      </c>
      <c r="G1215" s="38">
        <f t="shared" si="138"/>
        <v>0</v>
      </c>
      <c r="H1215" s="38">
        <f t="shared" si="137"/>
        <v>0</v>
      </c>
      <c r="I1215" s="38">
        <f t="shared" si="137"/>
        <v>0</v>
      </c>
      <c r="J1215" s="38">
        <f t="shared" si="137"/>
        <v>0</v>
      </c>
      <c r="K1215" s="38">
        <f t="shared" si="137"/>
        <v>0</v>
      </c>
      <c r="L1215" s="38">
        <f t="shared" si="134"/>
        <v>0</v>
      </c>
      <c r="M1215" s="35">
        <f t="shared" si="133"/>
        <v>0</v>
      </c>
      <c r="S1215" t="s">
        <v>94</v>
      </c>
      <c r="T1215" s="5">
        <f>data_origin!T1387</f>
        <v>0</v>
      </c>
      <c r="U1215" s="5">
        <f>data_origin!U1387</f>
        <v>0</v>
      </c>
      <c r="V1215" s="5">
        <f>data_origin!V1387</f>
        <v>0</v>
      </c>
      <c r="W1215" s="5">
        <f>data_origin!W1387</f>
        <v>0</v>
      </c>
      <c r="X1215" s="5">
        <f>data_origin!X1387</f>
        <v>0</v>
      </c>
      <c r="Y1215" s="5">
        <f>data_origin!Y1387</f>
        <v>0</v>
      </c>
      <c r="Z1215" s="5">
        <f>data_origin!Z1387</f>
        <v>0</v>
      </c>
      <c r="AA1215" s="5">
        <f>data_origin!AA1387</f>
        <v>0</v>
      </c>
      <c r="AB1215" s="5">
        <f t="shared" si="136"/>
        <v>0</v>
      </c>
    </row>
    <row r="1216" spans="4:28" x14ac:dyDescent="0.25">
      <c r="D1216" t="s">
        <v>95</v>
      </c>
      <c r="E1216" s="38">
        <f t="shared" si="138"/>
        <v>0</v>
      </c>
      <c r="F1216" s="38">
        <f t="shared" si="138"/>
        <v>0</v>
      </c>
      <c r="G1216" s="38">
        <f t="shared" si="138"/>
        <v>0</v>
      </c>
      <c r="H1216" s="38">
        <f t="shared" si="137"/>
        <v>0</v>
      </c>
      <c r="I1216" s="38">
        <f t="shared" si="137"/>
        <v>0</v>
      </c>
      <c r="J1216" s="38">
        <f t="shared" si="137"/>
        <v>0</v>
      </c>
      <c r="K1216" s="38">
        <f t="shared" si="137"/>
        <v>0</v>
      </c>
      <c r="L1216" s="38">
        <f t="shared" si="134"/>
        <v>0</v>
      </c>
      <c r="M1216" s="35">
        <f t="shared" si="133"/>
        <v>0</v>
      </c>
      <c r="S1216" t="s">
        <v>95</v>
      </c>
      <c r="T1216" s="5">
        <f>data_origin!T1388</f>
        <v>0</v>
      </c>
      <c r="U1216" s="5">
        <f>data_origin!U1388</f>
        <v>0</v>
      </c>
      <c r="V1216" s="5">
        <f>data_origin!V1388</f>
        <v>0</v>
      </c>
      <c r="W1216" s="5">
        <f>data_origin!W1388</f>
        <v>0</v>
      </c>
      <c r="X1216" s="5">
        <f>data_origin!X1388</f>
        <v>0</v>
      </c>
      <c r="Y1216" s="5">
        <f>data_origin!Y1388</f>
        <v>0</v>
      </c>
      <c r="Z1216" s="5">
        <f>data_origin!Z1388</f>
        <v>0</v>
      </c>
      <c r="AA1216" s="5">
        <f>data_origin!AA1388</f>
        <v>0</v>
      </c>
      <c r="AB1216" s="5">
        <f t="shared" si="136"/>
        <v>0</v>
      </c>
    </row>
    <row r="1217" spans="1:28" x14ac:dyDescent="0.25">
      <c r="D1217" t="s">
        <v>96</v>
      </c>
      <c r="E1217" s="38">
        <f t="shared" si="138"/>
        <v>0</v>
      </c>
      <c r="F1217" s="38">
        <f t="shared" si="138"/>
        <v>0</v>
      </c>
      <c r="G1217" s="38">
        <f t="shared" si="138"/>
        <v>0</v>
      </c>
      <c r="H1217" s="38">
        <f t="shared" si="137"/>
        <v>0</v>
      </c>
      <c r="I1217" s="38">
        <f t="shared" si="137"/>
        <v>0</v>
      </c>
      <c r="J1217" s="38">
        <f t="shared" si="137"/>
        <v>0</v>
      </c>
      <c r="K1217" s="38">
        <f t="shared" si="137"/>
        <v>0</v>
      </c>
      <c r="L1217" s="38">
        <f t="shared" si="134"/>
        <v>0</v>
      </c>
      <c r="M1217" s="35">
        <f t="shared" si="133"/>
        <v>0</v>
      </c>
      <c r="S1217" t="s">
        <v>96</v>
      </c>
      <c r="T1217" s="5">
        <f>data_origin!T1389</f>
        <v>0</v>
      </c>
      <c r="U1217" s="5">
        <f>data_origin!U1389</f>
        <v>0</v>
      </c>
      <c r="V1217" s="5">
        <f>data_origin!V1389</f>
        <v>0</v>
      </c>
      <c r="W1217" s="5">
        <f>data_origin!W1389</f>
        <v>0</v>
      </c>
      <c r="X1217" s="5">
        <f>data_origin!X1389</f>
        <v>0</v>
      </c>
      <c r="Y1217" s="5">
        <f>data_origin!Y1389</f>
        <v>0</v>
      </c>
      <c r="Z1217" s="5">
        <f>data_origin!Z1389</f>
        <v>0</v>
      </c>
      <c r="AA1217" s="5">
        <f>data_origin!AA1389</f>
        <v>0</v>
      </c>
      <c r="AB1217" s="5">
        <f t="shared" si="136"/>
        <v>0</v>
      </c>
    </row>
    <row r="1218" spans="1:28" x14ac:dyDescent="0.25">
      <c r="D1218" t="s">
        <v>97</v>
      </c>
      <c r="E1218" s="38">
        <f t="shared" si="138"/>
        <v>0</v>
      </c>
      <c r="F1218" s="38">
        <f t="shared" si="138"/>
        <v>0</v>
      </c>
      <c r="G1218" s="38">
        <f t="shared" si="138"/>
        <v>0</v>
      </c>
      <c r="H1218" s="38">
        <f t="shared" si="137"/>
        <v>0</v>
      </c>
      <c r="I1218" s="38">
        <f t="shared" si="137"/>
        <v>0</v>
      </c>
      <c r="J1218" s="38">
        <f t="shared" si="137"/>
        <v>0</v>
      </c>
      <c r="K1218" s="38">
        <f t="shared" si="137"/>
        <v>0</v>
      </c>
      <c r="L1218" s="38">
        <f t="shared" si="134"/>
        <v>0</v>
      </c>
      <c r="M1218" s="35">
        <f t="shared" si="133"/>
        <v>0</v>
      </c>
      <c r="S1218" t="s">
        <v>97</v>
      </c>
      <c r="T1218" s="5">
        <f>data_origin!T1390</f>
        <v>0</v>
      </c>
      <c r="U1218" s="5">
        <f>data_origin!U1390</f>
        <v>0</v>
      </c>
      <c r="V1218" s="5">
        <f>data_origin!V1390</f>
        <v>0</v>
      </c>
      <c r="W1218" s="5">
        <f>data_origin!W1390</f>
        <v>0</v>
      </c>
      <c r="X1218" s="5">
        <f>data_origin!X1390</f>
        <v>0</v>
      </c>
      <c r="Y1218" s="5">
        <f>data_origin!Y1390</f>
        <v>0</v>
      </c>
      <c r="Z1218" s="5">
        <f>data_origin!Z1390</f>
        <v>0</v>
      </c>
      <c r="AA1218" s="5">
        <f>data_origin!AA1390</f>
        <v>0</v>
      </c>
      <c r="AB1218" s="5">
        <f t="shared" si="136"/>
        <v>0</v>
      </c>
    </row>
    <row r="1219" spans="1:28" x14ac:dyDescent="0.25">
      <c r="D1219" t="s">
        <v>98</v>
      </c>
      <c r="E1219" s="38">
        <f t="shared" si="138"/>
        <v>0</v>
      </c>
      <c r="F1219" s="38">
        <f t="shared" si="138"/>
        <v>0</v>
      </c>
      <c r="G1219" s="38">
        <f t="shared" si="138"/>
        <v>0</v>
      </c>
      <c r="H1219" s="38">
        <f t="shared" si="137"/>
        <v>3.5824672373199458</v>
      </c>
      <c r="I1219" s="38">
        <f t="shared" si="137"/>
        <v>0</v>
      </c>
      <c r="J1219" s="38">
        <f t="shared" si="137"/>
        <v>0</v>
      </c>
      <c r="K1219" s="38">
        <f t="shared" si="137"/>
        <v>0</v>
      </c>
      <c r="L1219" s="38">
        <f t="shared" si="134"/>
        <v>0</v>
      </c>
      <c r="M1219" s="35">
        <f t="shared" ref="M1219:M1282" si="139">SUM(E1219:L1219)</f>
        <v>3.5824672373199458</v>
      </c>
      <c r="S1219" t="s">
        <v>98</v>
      </c>
      <c r="T1219" s="5">
        <f>data_origin!T1391</f>
        <v>0</v>
      </c>
      <c r="U1219" s="5">
        <f>data_origin!U1391</f>
        <v>0</v>
      </c>
      <c r="V1219" s="5">
        <f>data_origin!V1391</f>
        <v>0</v>
      </c>
      <c r="W1219" s="5">
        <f>data_origin!W1391</f>
        <v>3.5207100591715976</v>
      </c>
      <c r="X1219" s="5">
        <f>data_origin!X1391</f>
        <v>0</v>
      </c>
      <c r="Y1219" s="5">
        <f>data_origin!Y1391</f>
        <v>0</v>
      </c>
      <c r="Z1219" s="5">
        <f>data_origin!Z1391</f>
        <v>0</v>
      </c>
      <c r="AA1219" s="5">
        <f>data_origin!AA1391</f>
        <v>0</v>
      </c>
      <c r="AB1219" s="5">
        <f t="shared" si="136"/>
        <v>3.5207100591715976</v>
      </c>
    </row>
    <row r="1220" spans="1:28" x14ac:dyDescent="0.25">
      <c r="D1220" t="s">
        <v>119</v>
      </c>
      <c r="E1220" s="38">
        <f t="shared" si="138"/>
        <v>0</v>
      </c>
      <c r="F1220" s="38">
        <f t="shared" si="138"/>
        <v>0</v>
      </c>
      <c r="G1220" s="38">
        <f t="shared" si="138"/>
        <v>0</v>
      </c>
      <c r="H1220" s="38">
        <f t="shared" si="137"/>
        <v>0</v>
      </c>
      <c r="I1220" s="38">
        <f t="shared" si="137"/>
        <v>0</v>
      </c>
      <c r="J1220" s="38">
        <f t="shared" si="137"/>
        <v>0</v>
      </c>
      <c r="K1220" s="38">
        <f t="shared" si="137"/>
        <v>0</v>
      </c>
      <c r="L1220" s="38">
        <f t="shared" si="134"/>
        <v>0</v>
      </c>
      <c r="M1220" s="35">
        <f t="shared" si="139"/>
        <v>0</v>
      </c>
      <c r="S1220" t="s">
        <v>119</v>
      </c>
      <c r="T1220" s="5">
        <f>data_origin!T1392</f>
        <v>0</v>
      </c>
      <c r="U1220" s="5">
        <f>data_origin!U1392</f>
        <v>0</v>
      </c>
      <c r="V1220" s="5">
        <f>data_origin!V1392</f>
        <v>0</v>
      </c>
      <c r="W1220" s="5">
        <f>data_origin!W1392</f>
        <v>0</v>
      </c>
      <c r="X1220" s="5">
        <f>data_origin!X1392</f>
        <v>0</v>
      </c>
      <c r="Y1220" s="5">
        <f>data_origin!Y1392</f>
        <v>0</v>
      </c>
      <c r="Z1220" s="5">
        <f>data_origin!Z1392</f>
        <v>0</v>
      </c>
      <c r="AA1220" s="5">
        <f>data_origin!AA1392</f>
        <v>0</v>
      </c>
      <c r="AB1220" s="5">
        <f t="shared" si="136"/>
        <v>0</v>
      </c>
    </row>
    <row r="1221" spans="1:28" x14ac:dyDescent="0.25">
      <c r="D1221" t="s">
        <v>99</v>
      </c>
      <c r="E1221" s="38">
        <f t="shared" si="138"/>
        <v>0</v>
      </c>
      <c r="F1221" s="38">
        <f t="shared" si="138"/>
        <v>0</v>
      </c>
      <c r="G1221" s="38">
        <f t="shared" si="138"/>
        <v>2.5765584031492783</v>
      </c>
      <c r="H1221" s="38">
        <f t="shared" si="137"/>
        <v>2.3883114915466304</v>
      </c>
      <c r="I1221" s="38">
        <f t="shared" si="137"/>
        <v>1.1540201031753368</v>
      </c>
      <c r="J1221" s="38">
        <f t="shared" si="137"/>
        <v>0</v>
      </c>
      <c r="K1221" s="38">
        <f t="shared" si="137"/>
        <v>0</v>
      </c>
      <c r="L1221" s="38">
        <f t="shared" si="137"/>
        <v>0</v>
      </c>
      <c r="M1221" s="35">
        <f t="shared" si="139"/>
        <v>6.1188899978712454</v>
      </c>
      <c r="S1221" t="s">
        <v>99</v>
      </c>
      <c r="T1221" s="5">
        <f>data_origin!T1393</f>
        <v>0</v>
      </c>
      <c r="U1221" s="5">
        <f>data_origin!U1393</f>
        <v>0</v>
      </c>
      <c r="V1221" s="5">
        <f>data_origin!V1393</f>
        <v>2.5411764705882351</v>
      </c>
      <c r="W1221" s="5">
        <f>data_origin!W1393</f>
        <v>2.3471400394477318</v>
      </c>
      <c r="X1221" s="5">
        <f>data_origin!X1393</f>
        <v>1.1342592592592593</v>
      </c>
      <c r="Y1221" s="5">
        <f>data_origin!Y1393</f>
        <v>0</v>
      </c>
      <c r="Z1221" s="5">
        <f>data_origin!Z1393</f>
        <v>0</v>
      </c>
      <c r="AA1221" s="5">
        <f>data_origin!AA1393</f>
        <v>0</v>
      </c>
      <c r="AB1221" s="5">
        <f t="shared" si="136"/>
        <v>6.0225757692952264</v>
      </c>
    </row>
    <row r="1222" spans="1:28" x14ac:dyDescent="0.25">
      <c r="D1222" t="s">
        <v>100</v>
      </c>
      <c r="E1222" s="38">
        <f t="shared" si="138"/>
        <v>0</v>
      </c>
      <c r="F1222" s="38">
        <f t="shared" si="138"/>
        <v>0</v>
      </c>
      <c r="G1222" s="38">
        <f t="shared" si="138"/>
        <v>0</v>
      </c>
      <c r="H1222" s="38">
        <f t="shared" si="137"/>
        <v>3.5824672373199458</v>
      </c>
      <c r="I1222" s="38">
        <f t="shared" si="137"/>
        <v>0</v>
      </c>
      <c r="J1222" s="38">
        <f t="shared" si="137"/>
        <v>0</v>
      </c>
      <c r="K1222" s="38">
        <f t="shared" si="137"/>
        <v>0</v>
      </c>
      <c r="L1222" s="38">
        <f t="shared" si="137"/>
        <v>0</v>
      </c>
      <c r="M1222" s="35">
        <f t="shared" si="139"/>
        <v>3.5824672373199458</v>
      </c>
      <c r="S1222" t="s">
        <v>100</v>
      </c>
      <c r="T1222" s="5">
        <f>data_origin!T1394</f>
        <v>0</v>
      </c>
      <c r="U1222" s="5">
        <f>data_origin!U1394</f>
        <v>0</v>
      </c>
      <c r="V1222" s="5">
        <f>data_origin!V1394</f>
        <v>0</v>
      </c>
      <c r="W1222" s="5">
        <f>data_origin!W1394</f>
        <v>3.5207100591715976</v>
      </c>
      <c r="X1222" s="5">
        <f>data_origin!X1394</f>
        <v>0</v>
      </c>
      <c r="Y1222" s="5">
        <f>data_origin!Y1394</f>
        <v>0</v>
      </c>
      <c r="Z1222" s="5">
        <f>data_origin!Z1394</f>
        <v>0</v>
      </c>
      <c r="AA1222" s="5">
        <f>data_origin!AA1394</f>
        <v>0</v>
      </c>
      <c r="AB1222" s="5">
        <f t="shared" si="136"/>
        <v>3.5207100591715976</v>
      </c>
    </row>
    <row r="1223" spans="1:28" x14ac:dyDescent="0.25">
      <c r="D1223" t="s">
        <v>101</v>
      </c>
      <c r="E1223" s="38">
        <f t="shared" si="138"/>
        <v>0</v>
      </c>
      <c r="F1223" s="38">
        <f t="shared" si="138"/>
        <v>0</v>
      </c>
      <c r="G1223" s="38">
        <f t="shared" si="138"/>
        <v>21.900746426768869</v>
      </c>
      <c r="H1223" s="38">
        <f t="shared" si="137"/>
        <v>13.135713203506466</v>
      </c>
      <c r="I1223" s="38">
        <f t="shared" si="137"/>
        <v>8.0781407222273565</v>
      </c>
      <c r="J1223" s="38">
        <f t="shared" si="137"/>
        <v>0</v>
      </c>
      <c r="K1223" s="38">
        <f t="shared" si="137"/>
        <v>0</v>
      </c>
      <c r="L1223" s="38">
        <f t="shared" si="137"/>
        <v>0</v>
      </c>
      <c r="M1223" s="35">
        <f t="shared" si="139"/>
        <v>43.114600352502691</v>
      </c>
      <c r="S1223" t="s">
        <v>101</v>
      </c>
      <c r="T1223" s="5">
        <f>data_origin!T1395</f>
        <v>0</v>
      </c>
      <c r="U1223" s="5">
        <f>data_origin!U1395</f>
        <v>0</v>
      </c>
      <c r="V1223" s="5">
        <f>data_origin!V1395</f>
        <v>21.6</v>
      </c>
      <c r="W1223" s="5">
        <f>data_origin!W1395</f>
        <v>12.909270216962526</v>
      </c>
      <c r="X1223" s="5">
        <f>data_origin!X1395</f>
        <v>7.9398148148148149</v>
      </c>
      <c r="Y1223" s="5">
        <f>data_origin!Y1395</f>
        <v>0</v>
      </c>
      <c r="Z1223" s="5">
        <f>data_origin!Z1395</f>
        <v>0</v>
      </c>
      <c r="AA1223" s="5">
        <f>data_origin!AA1395</f>
        <v>0</v>
      </c>
      <c r="AB1223" s="5">
        <f t="shared" si="136"/>
        <v>42.449085031777344</v>
      </c>
    </row>
    <row r="1224" spans="1:28" x14ac:dyDescent="0.25">
      <c r="A1224" s="24" t="s">
        <v>115</v>
      </c>
      <c r="B1224" s="24" t="s">
        <v>103</v>
      </c>
      <c r="C1224" s="24" t="s">
        <v>112</v>
      </c>
      <c r="D1224" t="s">
        <v>70</v>
      </c>
      <c r="E1224" s="38">
        <f t="shared" si="138"/>
        <v>0</v>
      </c>
      <c r="F1224" s="38">
        <f t="shared" si="138"/>
        <v>0</v>
      </c>
      <c r="G1224" s="38">
        <f t="shared" si="138"/>
        <v>0</v>
      </c>
      <c r="H1224" s="38">
        <f t="shared" si="137"/>
        <v>0</v>
      </c>
      <c r="I1224" s="38">
        <f t="shared" si="137"/>
        <v>0</v>
      </c>
      <c r="J1224" s="38">
        <f t="shared" si="137"/>
        <v>0</v>
      </c>
      <c r="K1224" s="38">
        <f t="shared" si="137"/>
        <v>0</v>
      </c>
      <c r="L1224" s="38">
        <f t="shared" si="137"/>
        <v>0</v>
      </c>
      <c r="M1224" s="35">
        <f t="shared" si="139"/>
        <v>0</v>
      </c>
      <c r="P1224" t="s">
        <v>115</v>
      </c>
      <c r="Q1224" t="s">
        <v>103</v>
      </c>
      <c r="R1224" t="s">
        <v>112</v>
      </c>
      <c r="S1224" t="s">
        <v>70</v>
      </c>
      <c r="T1224" s="5">
        <f>data_origin!T1397</f>
        <v>0</v>
      </c>
      <c r="U1224" s="5">
        <f>data_origin!U1397</f>
        <v>0</v>
      </c>
      <c r="V1224" s="5">
        <f>data_origin!V1397</f>
        <v>0</v>
      </c>
      <c r="W1224" s="5">
        <f>data_origin!W1397</f>
        <v>0</v>
      </c>
      <c r="X1224" s="5">
        <f>data_origin!X1397</f>
        <v>0</v>
      </c>
      <c r="Y1224" s="5">
        <f>data_origin!Y1397</f>
        <v>0</v>
      </c>
      <c r="Z1224" s="5">
        <f>data_origin!Z1397</f>
        <v>0</v>
      </c>
      <c r="AA1224" s="5">
        <f>data_origin!AA1397</f>
        <v>0</v>
      </c>
      <c r="AB1224" s="5">
        <f t="shared" si="136"/>
        <v>0</v>
      </c>
    </row>
    <row r="1225" spans="1:28" x14ac:dyDescent="0.25">
      <c r="D1225" t="s">
        <v>71</v>
      </c>
      <c r="E1225" s="38">
        <f t="shared" si="138"/>
        <v>0</v>
      </c>
      <c r="F1225" s="38">
        <f t="shared" si="138"/>
        <v>0</v>
      </c>
      <c r="G1225" s="38">
        <f t="shared" si="138"/>
        <v>0</v>
      </c>
      <c r="H1225" s="38">
        <f t="shared" si="137"/>
        <v>0</v>
      </c>
      <c r="I1225" s="38">
        <f t="shared" si="137"/>
        <v>0</v>
      </c>
      <c r="J1225" s="38">
        <f t="shared" si="137"/>
        <v>0</v>
      </c>
      <c r="K1225" s="38">
        <f t="shared" si="137"/>
        <v>0</v>
      </c>
      <c r="L1225" s="38">
        <f t="shared" si="137"/>
        <v>0</v>
      </c>
      <c r="M1225" s="35">
        <f t="shared" si="139"/>
        <v>0</v>
      </c>
      <c r="S1225" t="s">
        <v>71</v>
      </c>
      <c r="T1225" s="5">
        <f>data_origin!T1398</f>
        <v>0</v>
      </c>
      <c r="U1225" s="5">
        <f>data_origin!U1398</f>
        <v>0</v>
      </c>
      <c r="V1225" s="5">
        <f>data_origin!V1398</f>
        <v>0</v>
      </c>
      <c r="W1225" s="5">
        <f>data_origin!W1398</f>
        <v>0</v>
      </c>
      <c r="X1225" s="5">
        <f>data_origin!X1398</f>
        <v>0</v>
      </c>
      <c r="Y1225" s="5">
        <f>data_origin!Y1398</f>
        <v>0</v>
      </c>
      <c r="Z1225" s="5">
        <f>data_origin!Z1398</f>
        <v>0</v>
      </c>
      <c r="AA1225" s="5">
        <f>data_origin!AA1398</f>
        <v>0</v>
      </c>
      <c r="AB1225" s="5">
        <f t="shared" si="136"/>
        <v>0</v>
      </c>
    </row>
    <row r="1226" spans="1:28" x14ac:dyDescent="0.25">
      <c r="D1226" t="s">
        <v>72</v>
      </c>
      <c r="E1226" s="38">
        <f t="shared" si="138"/>
        <v>0</v>
      </c>
      <c r="F1226" s="38">
        <f t="shared" si="138"/>
        <v>0</v>
      </c>
      <c r="G1226" s="38">
        <f t="shared" si="138"/>
        <v>0</v>
      </c>
      <c r="H1226" s="38">
        <f t="shared" si="137"/>
        <v>0</v>
      </c>
      <c r="I1226" s="38">
        <f t="shared" si="137"/>
        <v>0</v>
      </c>
      <c r="J1226" s="38">
        <f t="shared" si="137"/>
        <v>0</v>
      </c>
      <c r="K1226" s="38">
        <f t="shared" si="137"/>
        <v>0</v>
      </c>
      <c r="L1226" s="38">
        <f t="shared" si="137"/>
        <v>0</v>
      </c>
      <c r="M1226" s="35">
        <f t="shared" si="139"/>
        <v>0</v>
      </c>
      <c r="S1226" t="s">
        <v>72</v>
      </c>
      <c r="T1226" s="5">
        <f>data_origin!T1399</f>
        <v>0</v>
      </c>
      <c r="U1226" s="5">
        <f>data_origin!U1399</f>
        <v>0</v>
      </c>
      <c r="V1226" s="5">
        <f>data_origin!V1399</f>
        <v>0</v>
      </c>
      <c r="W1226" s="5">
        <f>data_origin!W1399</f>
        <v>0</v>
      </c>
      <c r="X1226" s="5">
        <f>data_origin!X1399</f>
        <v>0</v>
      </c>
      <c r="Y1226" s="5">
        <f>data_origin!Y1399</f>
        <v>0</v>
      </c>
      <c r="Z1226" s="5">
        <f>data_origin!Z1399</f>
        <v>0</v>
      </c>
      <c r="AA1226" s="5">
        <f>data_origin!AA1399</f>
        <v>0</v>
      </c>
      <c r="AB1226" s="5">
        <f t="shared" si="136"/>
        <v>0</v>
      </c>
    </row>
    <row r="1227" spans="1:28" x14ac:dyDescent="0.25">
      <c r="D1227" t="s">
        <v>73</v>
      </c>
      <c r="E1227" s="38">
        <f t="shared" si="138"/>
        <v>0</v>
      </c>
      <c r="F1227" s="38">
        <f t="shared" si="138"/>
        <v>0</v>
      </c>
      <c r="G1227" s="38">
        <f t="shared" si="138"/>
        <v>0</v>
      </c>
      <c r="H1227" s="38">
        <f t="shared" si="137"/>
        <v>0</v>
      </c>
      <c r="I1227" s="38">
        <f t="shared" si="137"/>
        <v>0</v>
      </c>
      <c r="J1227" s="38">
        <f t="shared" si="137"/>
        <v>0</v>
      </c>
      <c r="K1227" s="38">
        <f t="shared" si="137"/>
        <v>0</v>
      </c>
      <c r="L1227" s="38">
        <f t="shared" si="137"/>
        <v>0</v>
      </c>
      <c r="M1227" s="35">
        <f t="shared" si="139"/>
        <v>0</v>
      </c>
      <c r="S1227" t="s">
        <v>73</v>
      </c>
      <c r="T1227" s="5">
        <f>data_origin!T1400</f>
        <v>0</v>
      </c>
      <c r="U1227" s="5">
        <f>data_origin!U1400</f>
        <v>0</v>
      </c>
      <c r="V1227" s="5">
        <f>data_origin!V1400</f>
        <v>0</v>
      </c>
      <c r="W1227" s="5">
        <f>data_origin!W1400</f>
        <v>0</v>
      </c>
      <c r="X1227" s="5">
        <f>data_origin!X1400</f>
        <v>0</v>
      </c>
      <c r="Y1227" s="5">
        <f>data_origin!Y1400</f>
        <v>0</v>
      </c>
      <c r="Z1227" s="5">
        <f>data_origin!Z1400</f>
        <v>0</v>
      </c>
      <c r="AA1227" s="5">
        <f>data_origin!AA1400</f>
        <v>0</v>
      </c>
      <c r="AB1227" s="5">
        <f t="shared" si="136"/>
        <v>0</v>
      </c>
    </row>
    <row r="1228" spans="1:28" x14ac:dyDescent="0.25">
      <c r="D1228" t="s">
        <v>74</v>
      </c>
      <c r="E1228" s="38">
        <f t="shared" si="138"/>
        <v>0</v>
      </c>
      <c r="F1228" s="38">
        <f t="shared" si="138"/>
        <v>0</v>
      </c>
      <c r="G1228" s="38">
        <f t="shared" si="138"/>
        <v>0</v>
      </c>
      <c r="H1228" s="38">
        <f t="shared" si="137"/>
        <v>0</v>
      </c>
      <c r="I1228" s="38">
        <f t="shared" si="137"/>
        <v>0</v>
      </c>
      <c r="J1228" s="38">
        <f t="shared" si="137"/>
        <v>0</v>
      </c>
      <c r="K1228" s="38">
        <f t="shared" si="137"/>
        <v>0</v>
      </c>
      <c r="L1228" s="38">
        <f t="shared" si="137"/>
        <v>0</v>
      </c>
      <c r="M1228" s="35">
        <f t="shared" si="139"/>
        <v>0</v>
      </c>
      <c r="S1228" t="s">
        <v>74</v>
      </c>
      <c r="T1228" s="5">
        <f>data_origin!T1401</f>
        <v>0</v>
      </c>
      <c r="U1228" s="5">
        <f>data_origin!U1401</f>
        <v>0</v>
      </c>
      <c r="V1228" s="5">
        <f>data_origin!V1401</f>
        <v>0</v>
      </c>
      <c r="W1228" s="5">
        <f>data_origin!W1401</f>
        <v>0</v>
      </c>
      <c r="X1228" s="5">
        <f>data_origin!X1401</f>
        <v>0</v>
      </c>
      <c r="Y1228" s="5">
        <f>data_origin!Y1401</f>
        <v>0</v>
      </c>
      <c r="Z1228" s="5">
        <f>data_origin!Z1401</f>
        <v>0</v>
      </c>
      <c r="AA1228" s="5">
        <f>data_origin!AA1401</f>
        <v>0</v>
      </c>
      <c r="AB1228" s="5">
        <f t="shared" si="136"/>
        <v>0</v>
      </c>
    </row>
    <row r="1229" spans="1:28" x14ac:dyDescent="0.25">
      <c r="D1229" t="s">
        <v>75</v>
      </c>
      <c r="E1229" s="38">
        <f t="shared" si="138"/>
        <v>0</v>
      </c>
      <c r="F1229" s="38">
        <f t="shared" si="138"/>
        <v>0</v>
      </c>
      <c r="G1229" s="38">
        <f t="shared" si="138"/>
        <v>0</v>
      </c>
      <c r="H1229" s="38">
        <f t="shared" si="137"/>
        <v>0</v>
      </c>
      <c r="I1229" s="38">
        <f t="shared" si="137"/>
        <v>0</v>
      </c>
      <c r="J1229" s="38">
        <f t="shared" si="137"/>
        <v>0</v>
      </c>
      <c r="K1229" s="38">
        <f t="shared" si="137"/>
        <v>0</v>
      </c>
      <c r="L1229" s="38">
        <f t="shared" si="137"/>
        <v>0</v>
      </c>
      <c r="M1229" s="35">
        <f t="shared" si="139"/>
        <v>0</v>
      </c>
      <c r="S1229" t="s">
        <v>75</v>
      </c>
      <c r="T1229" s="5">
        <f>data_origin!T1402</f>
        <v>0</v>
      </c>
      <c r="U1229" s="5">
        <f>data_origin!U1402</f>
        <v>0</v>
      </c>
      <c r="V1229" s="5">
        <f>data_origin!V1402</f>
        <v>0</v>
      </c>
      <c r="W1229" s="5">
        <f>data_origin!W1402</f>
        <v>0</v>
      </c>
      <c r="X1229" s="5">
        <f>data_origin!X1402</f>
        <v>0</v>
      </c>
      <c r="Y1229" s="5">
        <f>data_origin!Y1402</f>
        <v>0</v>
      </c>
      <c r="Z1229" s="5">
        <f>data_origin!Z1402</f>
        <v>0</v>
      </c>
      <c r="AA1229" s="5">
        <f>data_origin!AA1402</f>
        <v>0</v>
      </c>
      <c r="AB1229" s="5">
        <f t="shared" si="136"/>
        <v>0</v>
      </c>
    </row>
    <row r="1230" spans="1:28" x14ac:dyDescent="0.25">
      <c r="D1230" t="s">
        <v>76</v>
      </c>
      <c r="E1230" s="38">
        <f t="shared" si="138"/>
        <v>0</v>
      </c>
      <c r="F1230" s="38">
        <f t="shared" si="138"/>
        <v>0</v>
      </c>
      <c r="G1230" s="38">
        <f t="shared" si="138"/>
        <v>0</v>
      </c>
      <c r="H1230" s="38">
        <f t="shared" si="137"/>
        <v>0</v>
      </c>
      <c r="I1230" s="38">
        <f t="shared" si="137"/>
        <v>0</v>
      </c>
      <c r="J1230" s="38">
        <f t="shared" si="137"/>
        <v>0</v>
      </c>
      <c r="K1230" s="38">
        <f t="shared" si="137"/>
        <v>0</v>
      </c>
      <c r="L1230" s="38">
        <f t="shared" si="137"/>
        <v>0</v>
      </c>
      <c r="M1230" s="35">
        <f t="shared" si="139"/>
        <v>0</v>
      </c>
      <c r="S1230" t="s">
        <v>76</v>
      </c>
      <c r="T1230" s="5">
        <f>data_origin!T1403</f>
        <v>0</v>
      </c>
      <c r="U1230" s="5">
        <f>data_origin!U1403</f>
        <v>0</v>
      </c>
      <c r="V1230" s="5">
        <f>data_origin!V1403</f>
        <v>0</v>
      </c>
      <c r="W1230" s="5">
        <f>data_origin!W1403</f>
        <v>0</v>
      </c>
      <c r="X1230" s="5">
        <f>data_origin!X1403</f>
        <v>0</v>
      </c>
      <c r="Y1230" s="5">
        <f>data_origin!Y1403</f>
        <v>0</v>
      </c>
      <c r="Z1230" s="5">
        <f>data_origin!Z1403</f>
        <v>0</v>
      </c>
      <c r="AA1230" s="5">
        <f>data_origin!AA1403</f>
        <v>0</v>
      </c>
      <c r="AB1230" s="5">
        <f t="shared" si="136"/>
        <v>0</v>
      </c>
    </row>
    <row r="1231" spans="1:28" x14ac:dyDescent="0.25">
      <c r="D1231" t="s">
        <v>77</v>
      </c>
      <c r="E1231" s="38">
        <f t="shared" si="138"/>
        <v>0</v>
      </c>
      <c r="F1231" s="38">
        <f t="shared" si="138"/>
        <v>0</v>
      </c>
      <c r="G1231" s="38">
        <f t="shared" si="138"/>
        <v>0</v>
      </c>
      <c r="H1231" s="38">
        <f t="shared" si="137"/>
        <v>0</v>
      </c>
      <c r="I1231" s="38">
        <f t="shared" si="137"/>
        <v>0</v>
      </c>
      <c r="J1231" s="38">
        <f t="shared" si="137"/>
        <v>0</v>
      </c>
      <c r="K1231" s="38">
        <f t="shared" si="137"/>
        <v>0</v>
      </c>
      <c r="L1231" s="38">
        <f t="shared" si="137"/>
        <v>0</v>
      </c>
      <c r="M1231" s="35">
        <f t="shared" si="139"/>
        <v>0</v>
      </c>
      <c r="S1231" t="s">
        <v>77</v>
      </c>
      <c r="T1231" s="5">
        <f>data_origin!T1404</f>
        <v>0</v>
      </c>
      <c r="U1231" s="5">
        <f>data_origin!U1404</f>
        <v>0</v>
      </c>
      <c r="V1231" s="5">
        <f>data_origin!V1404</f>
        <v>0</v>
      </c>
      <c r="W1231" s="5">
        <f>data_origin!W1404</f>
        <v>0</v>
      </c>
      <c r="X1231" s="5">
        <f>data_origin!X1404</f>
        <v>0</v>
      </c>
      <c r="Y1231" s="5">
        <f>data_origin!Y1404</f>
        <v>0</v>
      </c>
      <c r="Z1231" s="5">
        <f>data_origin!Z1404</f>
        <v>0</v>
      </c>
      <c r="AA1231" s="5">
        <f>data_origin!AA1404</f>
        <v>0</v>
      </c>
      <c r="AB1231" s="5">
        <f t="shared" si="136"/>
        <v>0</v>
      </c>
    </row>
    <row r="1232" spans="1:28" x14ac:dyDescent="0.25">
      <c r="D1232" t="s">
        <v>78</v>
      </c>
      <c r="E1232" s="38">
        <f t="shared" si="138"/>
        <v>0</v>
      </c>
      <c r="F1232" s="38">
        <f t="shared" si="138"/>
        <v>0</v>
      </c>
      <c r="G1232" s="38">
        <f t="shared" si="138"/>
        <v>0</v>
      </c>
      <c r="H1232" s="38">
        <f t="shared" si="137"/>
        <v>0</v>
      </c>
      <c r="I1232" s="38">
        <f t="shared" si="137"/>
        <v>0</v>
      </c>
      <c r="J1232" s="38">
        <f t="shared" si="137"/>
        <v>0</v>
      </c>
      <c r="K1232" s="38">
        <f t="shared" si="137"/>
        <v>0</v>
      </c>
      <c r="L1232" s="38">
        <f t="shared" si="137"/>
        <v>0</v>
      </c>
      <c r="M1232" s="35">
        <f t="shared" si="139"/>
        <v>0</v>
      </c>
      <c r="S1232" t="s">
        <v>78</v>
      </c>
      <c r="T1232" s="5">
        <f>data_origin!T1405</f>
        <v>0</v>
      </c>
      <c r="U1232" s="5">
        <f>data_origin!U1405</f>
        <v>0</v>
      </c>
      <c r="V1232" s="5">
        <f>data_origin!V1405</f>
        <v>0</v>
      </c>
      <c r="W1232" s="5">
        <f>data_origin!W1405</f>
        <v>0</v>
      </c>
      <c r="X1232" s="5">
        <f>data_origin!X1405</f>
        <v>0</v>
      </c>
      <c r="Y1232" s="5">
        <f>data_origin!Y1405</f>
        <v>0</v>
      </c>
      <c r="Z1232" s="5">
        <f>data_origin!Z1405</f>
        <v>0</v>
      </c>
      <c r="AA1232" s="5">
        <f>data_origin!AA1405</f>
        <v>0</v>
      </c>
      <c r="AB1232" s="5">
        <f t="shared" si="136"/>
        <v>0</v>
      </c>
    </row>
    <row r="1233" spans="4:28" x14ac:dyDescent="0.25">
      <c r="D1233" t="s">
        <v>79</v>
      </c>
      <c r="E1233" s="38">
        <f t="shared" si="138"/>
        <v>0</v>
      </c>
      <c r="F1233" s="38">
        <f t="shared" si="138"/>
        <v>0</v>
      </c>
      <c r="G1233" s="38">
        <f t="shared" si="138"/>
        <v>0</v>
      </c>
      <c r="H1233" s="38">
        <f t="shared" si="137"/>
        <v>0</v>
      </c>
      <c r="I1233" s="38">
        <f t="shared" si="137"/>
        <v>0</v>
      </c>
      <c r="J1233" s="38">
        <f t="shared" si="137"/>
        <v>0</v>
      </c>
      <c r="K1233" s="38">
        <f t="shared" si="137"/>
        <v>0</v>
      </c>
      <c r="L1233" s="38">
        <f t="shared" si="137"/>
        <v>0</v>
      </c>
      <c r="M1233" s="35">
        <f t="shared" si="139"/>
        <v>0</v>
      </c>
      <c r="S1233" t="s">
        <v>79</v>
      </c>
      <c r="T1233" s="5">
        <f>data_origin!T1406</f>
        <v>0</v>
      </c>
      <c r="U1233" s="5">
        <f>data_origin!U1406</f>
        <v>0</v>
      </c>
      <c r="V1233" s="5">
        <f>data_origin!V1406</f>
        <v>0</v>
      </c>
      <c r="W1233" s="5">
        <f>data_origin!W1406</f>
        <v>0</v>
      </c>
      <c r="X1233" s="5">
        <f>data_origin!X1406</f>
        <v>0</v>
      </c>
      <c r="Y1233" s="5">
        <f>data_origin!Y1406</f>
        <v>0</v>
      </c>
      <c r="Z1233" s="5">
        <f>data_origin!Z1406</f>
        <v>0</v>
      </c>
      <c r="AA1233" s="5">
        <f>data_origin!AA1406</f>
        <v>0</v>
      </c>
      <c r="AB1233" s="5">
        <f t="shared" si="136"/>
        <v>0</v>
      </c>
    </row>
    <row r="1234" spans="4:28" x14ac:dyDescent="0.25">
      <c r="D1234" t="s">
        <v>80</v>
      </c>
      <c r="E1234" s="38">
        <f t="shared" si="138"/>
        <v>0</v>
      </c>
      <c r="F1234" s="38">
        <f t="shared" si="138"/>
        <v>0</v>
      </c>
      <c r="G1234" s="38">
        <f t="shared" si="138"/>
        <v>0</v>
      </c>
      <c r="H1234" s="38">
        <f t="shared" si="137"/>
        <v>0</v>
      </c>
      <c r="I1234" s="38">
        <f t="shared" si="137"/>
        <v>0</v>
      </c>
      <c r="J1234" s="38">
        <f t="shared" si="137"/>
        <v>0</v>
      </c>
      <c r="K1234" s="38">
        <f t="shared" si="137"/>
        <v>0</v>
      </c>
      <c r="L1234" s="38">
        <f t="shared" si="137"/>
        <v>0</v>
      </c>
      <c r="M1234" s="35">
        <f t="shared" si="139"/>
        <v>0</v>
      </c>
      <c r="S1234" t="s">
        <v>80</v>
      </c>
      <c r="T1234" s="5">
        <f>data_origin!T1407</f>
        <v>0</v>
      </c>
      <c r="U1234" s="5">
        <f>data_origin!U1407</f>
        <v>0</v>
      </c>
      <c r="V1234" s="5">
        <f>data_origin!V1407</f>
        <v>0</v>
      </c>
      <c r="W1234" s="5">
        <f>data_origin!W1407</f>
        <v>0</v>
      </c>
      <c r="X1234" s="5">
        <f>data_origin!X1407</f>
        <v>0</v>
      </c>
      <c r="Y1234" s="5">
        <f>data_origin!Y1407</f>
        <v>0</v>
      </c>
      <c r="Z1234" s="5">
        <f>data_origin!Z1407</f>
        <v>0</v>
      </c>
      <c r="AA1234" s="5">
        <f>data_origin!AA1407</f>
        <v>0</v>
      </c>
      <c r="AB1234" s="5">
        <f t="shared" si="136"/>
        <v>0</v>
      </c>
    </row>
    <row r="1235" spans="4:28" x14ac:dyDescent="0.25">
      <c r="D1235" t="s">
        <v>81</v>
      </c>
      <c r="E1235" s="38">
        <f t="shared" si="138"/>
        <v>0</v>
      </c>
      <c r="F1235" s="38">
        <f t="shared" si="138"/>
        <v>0</v>
      </c>
      <c r="G1235" s="38">
        <f t="shared" si="138"/>
        <v>0</v>
      </c>
      <c r="H1235" s="38">
        <f t="shared" si="137"/>
        <v>0</v>
      </c>
      <c r="I1235" s="38">
        <f t="shared" si="137"/>
        <v>0</v>
      </c>
      <c r="J1235" s="38">
        <f t="shared" si="137"/>
        <v>0</v>
      </c>
      <c r="K1235" s="38">
        <f t="shared" si="137"/>
        <v>0</v>
      </c>
      <c r="L1235" s="38">
        <f t="shared" si="137"/>
        <v>0</v>
      </c>
      <c r="M1235" s="35">
        <f t="shared" si="139"/>
        <v>0</v>
      </c>
      <c r="S1235" t="s">
        <v>81</v>
      </c>
      <c r="T1235" s="5">
        <f>data_origin!T1408</f>
        <v>0</v>
      </c>
      <c r="U1235" s="5">
        <f>data_origin!U1408</f>
        <v>0</v>
      </c>
      <c r="V1235" s="5">
        <f>data_origin!V1408</f>
        <v>0</v>
      </c>
      <c r="W1235" s="5">
        <f>data_origin!W1408</f>
        <v>0</v>
      </c>
      <c r="X1235" s="5">
        <f>data_origin!X1408</f>
        <v>0</v>
      </c>
      <c r="Y1235" s="5">
        <f>data_origin!Y1408</f>
        <v>0</v>
      </c>
      <c r="Z1235" s="5">
        <f>data_origin!Z1408</f>
        <v>0</v>
      </c>
      <c r="AA1235" s="5">
        <f>data_origin!AA1408</f>
        <v>0</v>
      </c>
      <c r="AB1235" s="5">
        <f t="shared" si="136"/>
        <v>0</v>
      </c>
    </row>
    <row r="1236" spans="4:28" x14ac:dyDescent="0.25">
      <c r="D1236" t="s">
        <v>82</v>
      </c>
      <c r="E1236" s="38">
        <f t="shared" si="138"/>
        <v>0</v>
      </c>
      <c r="F1236" s="38">
        <f t="shared" si="138"/>
        <v>0</v>
      </c>
      <c r="G1236" s="38">
        <f t="shared" si="138"/>
        <v>0</v>
      </c>
      <c r="H1236" s="38">
        <f t="shared" si="137"/>
        <v>0</v>
      </c>
      <c r="I1236" s="38">
        <f t="shared" si="137"/>
        <v>0</v>
      </c>
      <c r="J1236" s="38">
        <f t="shared" si="137"/>
        <v>0</v>
      </c>
      <c r="K1236" s="38">
        <f t="shared" si="137"/>
        <v>0</v>
      </c>
      <c r="L1236" s="38">
        <f t="shared" si="137"/>
        <v>0</v>
      </c>
      <c r="M1236" s="35">
        <f t="shared" si="139"/>
        <v>0</v>
      </c>
      <c r="S1236" t="s">
        <v>82</v>
      </c>
      <c r="T1236" s="5">
        <f>data_origin!T1409</f>
        <v>0</v>
      </c>
      <c r="U1236" s="5">
        <f>data_origin!U1409</f>
        <v>0</v>
      </c>
      <c r="V1236" s="5">
        <f>data_origin!V1409</f>
        <v>0</v>
      </c>
      <c r="W1236" s="5">
        <f>data_origin!W1409</f>
        <v>0</v>
      </c>
      <c r="X1236" s="5">
        <f>data_origin!X1409</f>
        <v>0</v>
      </c>
      <c r="Y1236" s="5">
        <f>data_origin!Y1409</f>
        <v>0</v>
      </c>
      <c r="Z1236" s="5">
        <f>data_origin!Z1409</f>
        <v>0</v>
      </c>
      <c r="AA1236" s="5">
        <f>data_origin!AA1409</f>
        <v>0</v>
      </c>
      <c r="AB1236" s="5">
        <f t="shared" si="136"/>
        <v>0</v>
      </c>
    </row>
    <row r="1237" spans="4:28" x14ac:dyDescent="0.25">
      <c r="D1237" t="s">
        <v>83</v>
      </c>
      <c r="E1237" s="38">
        <f t="shared" si="138"/>
        <v>0</v>
      </c>
      <c r="F1237" s="38">
        <f t="shared" si="138"/>
        <v>0</v>
      </c>
      <c r="G1237" s="38">
        <f t="shared" si="138"/>
        <v>0</v>
      </c>
      <c r="H1237" s="38">
        <f t="shared" si="137"/>
        <v>0</v>
      </c>
      <c r="I1237" s="38">
        <f t="shared" si="137"/>
        <v>0</v>
      </c>
      <c r="J1237" s="38">
        <f t="shared" si="137"/>
        <v>0</v>
      </c>
      <c r="K1237" s="38">
        <f t="shared" si="137"/>
        <v>0</v>
      </c>
      <c r="L1237" s="38">
        <f t="shared" si="137"/>
        <v>0</v>
      </c>
      <c r="M1237" s="35">
        <f t="shared" si="139"/>
        <v>0</v>
      </c>
      <c r="S1237" t="s">
        <v>83</v>
      </c>
      <c r="T1237" s="5">
        <f>data_origin!T1410</f>
        <v>0</v>
      </c>
      <c r="U1237" s="5">
        <f>data_origin!U1410</f>
        <v>0</v>
      </c>
      <c r="V1237" s="5">
        <f>data_origin!V1410</f>
        <v>0</v>
      </c>
      <c r="W1237" s="5">
        <f>data_origin!W1410</f>
        <v>0</v>
      </c>
      <c r="X1237" s="5">
        <f>data_origin!X1410</f>
        <v>0</v>
      </c>
      <c r="Y1237" s="5">
        <f>data_origin!Y1410</f>
        <v>0</v>
      </c>
      <c r="Z1237" s="5">
        <f>data_origin!Z1410</f>
        <v>0</v>
      </c>
      <c r="AA1237" s="5">
        <f>data_origin!AA1410</f>
        <v>0</v>
      </c>
      <c r="AB1237" s="5">
        <f t="shared" si="136"/>
        <v>0</v>
      </c>
    </row>
    <row r="1238" spans="4:28" x14ac:dyDescent="0.25">
      <c r="D1238" t="s">
        <v>84</v>
      </c>
      <c r="E1238" s="38">
        <f t="shared" si="138"/>
        <v>0</v>
      </c>
      <c r="F1238" s="38">
        <f t="shared" si="138"/>
        <v>0</v>
      </c>
      <c r="G1238" s="38">
        <f t="shared" si="138"/>
        <v>0</v>
      </c>
      <c r="H1238" s="38">
        <f t="shared" si="137"/>
        <v>0</v>
      </c>
      <c r="I1238" s="38">
        <f t="shared" si="137"/>
        <v>0</v>
      </c>
      <c r="J1238" s="38">
        <f t="shared" si="137"/>
        <v>0</v>
      </c>
      <c r="K1238" s="38">
        <f t="shared" si="137"/>
        <v>0</v>
      </c>
      <c r="L1238" s="38">
        <f t="shared" si="137"/>
        <v>0</v>
      </c>
      <c r="M1238" s="35">
        <f t="shared" si="139"/>
        <v>0</v>
      </c>
      <c r="S1238" t="s">
        <v>84</v>
      </c>
      <c r="T1238" s="5">
        <f>data_origin!T1411</f>
        <v>0</v>
      </c>
      <c r="U1238" s="5">
        <f>data_origin!U1411</f>
        <v>0</v>
      </c>
      <c r="V1238" s="5">
        <f>data_origin!V1411</f>
        <v>0</v>
      </c>
      <c r="W1238" s="5">
        <f>data_origin!W1411</f>
        <v>0</v>
      </c>
      <c r="X1238" s="5">
        <f>data_origin!X1411</f>
        <v>0</v>
      </c>
      <c r="Y1238" s="5">
        <f>data_origin!Y1411</f>
        <v>0</v>
      </c>
      <c r="Z1238" s="5">
        <f>data_origin!Z1411</f>
        <v>0</v>
      </c>
      <c r="AA1238" s="5">
        <f>data_origin!AA1411</f>
        <v>0</v>
      </c>
      <c r="AB1238" s="5">
        <f t="shared" si="136"/>
        <v>0</v>
      </c>
    </row>
    <row r="1239" spans="4:28" x14ac:dyDescent="0.25">
      <c r="D1239" t="s">
        <v>85</v>
      </c>
      <c r="E1239" s="38">
        <f t="shared" si="138"/>
        <v>0</v>
      </c>
      <c r="F1239" s="38">
        <f t="shared" si="138"/>
        <v>0</v>
      </c>
      <c r="G1239" s="38">
        <f t="shared" si="138"/>
        <v>0</v>
      </c>
      <c r="H1239" s="38">
        <f t="shared" si="137"/>
        <v>0</v>
      </c>
      <c r="I1239" s="38">
        <f t="shared" si="137"/>
        <v>0</v>
      </c>
      <c r="J1239" s="38">
        <f t="shared" si="137"/>
        <v>0</v>
      </c>
      <c r="K1239" s="38">
        <f t="shared" si="137"/>
        <v>0</v>
      </c>
      <c r="L1239" s="38">
        <f t="shared" si="137"/>
        <v>0</v>
      </c>
      <c r="M1239" s="35">
        <f t="shared" si="139"/>
        <v>0</v>
      </c>
      <c r="S1239" t="s">
        <v>85</v>
      </c>
      <c r="T1239" s="5">
        <f>data_origin!T1412</f>
        <v>0</v>
      </c>
      <c r="U1239" s="5">
        <f>data_origin!U1412</f>
        <v>0</v>
      </c>
      <c r="V1239" s="5">
        <f>data_origin!V1412</f>
        <v>0</v>
      </c>
      <c r="W1239" s="5">
        <f>data_origin!W1412</f>
        <v>0</v>
      </c>
      <c r="X1239" s="5">
        <f>data_origin!X1412</f>
        <v>0</v>
      </c>
      <c r="Y1239" s="5">
        <f>data_origin!Y1412</f>
        <v>0</v>
      </c>
      <c r="Z1239" s="5">
        <f>data_origin!Z1412</f>
        <v>0</v>
      </c>
      <c r="AA1239" s="5">
        <f>data_origin!AA1412</f>
        <v>0</v>
      </c>
      <c r="AB1239" s="5">
        <f t="shared" si="136"/>
        <v>0</v>
      </c>
    </row>
    <row r="1240" spans="4:28" x14ac:dyDescent="0.25">
      <c r="D1240" t="s">
        <v>86</v>
      </c>
      <c r="E1240" s="38">
        <f t="shared" si="138"/>
        <v>0</v>
      </c>
      <c r="F1240" s="38">
        <f t="shared" si="138"/>
        <v>0</v>
      </c>
      <c r="G1240" s="38">
        <f t="shared" si="138"/>
        <v>0</v>
      </c>
      <c r="H1240" s="38">
        <f t="shared" si="137"/>
        <v>0</v>
      </c>
      <c r="I1240" s="38">
        <f t="shared" si="137"/>
        <v>0</v>
      </c>
      <c r="J1240" s="38">
        <f t="shared" si="137"/>
        <v>0</v>
      </c>
      <c r="K1240" s="38">
        <f t="shared" si="137"/>
        <v>0</v>
      </c>
      <c r="L1240" s="38">
        <f t="shared" si="137"/>
        <v>0</v>
      </c>
      <c r="M1240" s="35">
        <f t="shared" si="139"/>
        <v>0</v>
      </c>
      <c r="S1240" t="s">
        <v>86</v>
      </c>
      <c r="T1240" s="5">
        <f>data_origin!T1413</f>
        <v>0</v>
      </c>
      <c r="U1240" s="5">
        <f>data_origin!U1413</f>
        <v>0</v>
      </c>
      <c r="V1240" s="5">
        <f>data_origin!V1413</f>
        <v>0</v>
      </c>
      <c r="W1240" s="5">
        <f>data_origin!W1413</f>
        <v>0</v>
      </c>
      <c r="X1240" s="5">
        <f>data_origin!X1413</f>
        <v>0</v>
      </c>
      <c r="Y1240" s="5">
        <f>data_origin!Y1413</f>
        <v>0</v>
      </c>
      <c r="Z1240" s="5">
        <f>data_origin!Z1413</f>
        <v>0</v>
      </c>
      <c r="AA1240" s="5">
        <f>data_origin!AA1413</f>
        <v>0</v>
      </c>
      <c r="AB1240" s="5">
        <f t="shared" si="136"/>
        <v>0</v>
      </c>
    </row>
    <row r="1241" spans="4:28" x14ac:dyDescent="0.25">
      <c r="D1241" t="s">
        <v>87</v>
      </c>
      <c r="E1241" s="38">
        <f t="shared" si="138"/>
        <v>0</v>
      </c>
      <c r="F1241" s="38">
        <f t="shared" si="138"/>
        <v>0</v>
      </c>
      <c r="G1241" s="38">
        <f t="shared" si="138"/>
        <v>0</v>
      </c>
      <c r="H1241" s="38">
        <f t="shared" si="137"/>
        <v>0</v>
      </c>
      <c r="I1241" s="38">
        <f t="shared" si="137"/>
        <v>0</v>
      </c>
      <c r="J1241" s="38">
        <f t="shared" si="137"/>
        <v>0</v>
      </c>
      <c r="K1241" s="38">
        <f t="shared" si="137"/>
        <v>0</v>
      </c>
      <c r="L1241" s="38">
        <f t="shared" si="137"/>
        <v>0</v>
      </c>
      <c r="M1241" s="35">
        <f t="shared" si="139"/>
        <v>0</v>
      </c>
      <c r="S1241" t="s">
        <v>87</v>
      </c>
      <c r="T1241" s="5">
        <f>data_origin!T1414</f>
        <v>0</v>
      </c>
      <c r="U1241" s="5">
        <f>data_origin!U1414</f>
        <v>0</v>
      </c>
      <c r="V1241" s="5">
        <f>data_origin!V1414</f>
        <v>0</v>
      </c>
      <c r="W1241" s="5">
        <f>data_origin!W1414</f>
        <v>0</v>
      </c>
      <c r="X1241" s="5">
        <f>data_origin!X1414</f>
        <v>0</v>
      </c>
      <c r="Y1241" s="5">
        <f>data_origin!Y1414</f>
        <v>0</v>
      </c>
      <c r="Z1241" s="5">
        <f>data_origin!Z1414</f>
        <v>0</v>
      </c>
      <c r="AA1241" s="5">
        <f>data_origin!AA1414</f>
        <v>0</v>
      </c>
      <c r="AB1241" s="5">
        <f t="shared" si="136"/>
        <v>0</v>
      </c>
    </row>
    <row r="1242" spans="4:28" x14ac:dyDescent="0.25">
      <c r="D1242" t="s">
        <v>88</v>
      </c>
      <c r="E1242" s="38">
        <f t="shared" si="138"/>
        <v>0</v>
      </c>
      <c r="F1242" s="38">
        <f t="shared" si="138"/>
        <v>0</v>
      </c>
      <c r="G1242" s="38">
        <f t="shared" si="138"/>
        <v>0</v>
      </c>
      <c r="H1242" s="38">
        <f t="shared" si="137"/>
        <v>0</v>
      </c>
      <c r="I1242" s="38">
        <f t="shared" si="137"/>
        <v>0</v>
      </c>
      <c r="J1242" s="38">
        <f t="shared" si="137"/>
        <v>0</v>
      </c>
      <c r="K1242" s="38">
        <f t="shared" si="137"/>
        <v>0</v>
      </c>
      <c r="L1242" s="38">
        <f t="shared" si="137"/>
        <v>0</v>
      </c>
      <c r="M1242" s="35">
        <f t="shared" si="139"/>
        <v>0</v>
      </c>
      <c r="S1242" t="s">
        <v>88</v>
      </c>
      <c r="T1242" s="5">
        <f>data_origin!T1415</f>
        <v>0</v>
      </c>
      <c r="U1242" s="5">
        <f>data_origin!U1415</f>
        <v>0</v>
      </c>
      <c r="V1242" s="5">
        <f>data_origin!V1415</f>
        <v>0</v>
      </c>
      <c r="W1242" s="5">
        <f>data_origin!W1415</f>
        <v>0</v>
      </c>
      <c r="X1242" s="5">
        <f>data_origin!X1415</f>
        <v>0</v>
      </c>
      <c r="Y1242" s="5">
        <f>data_origin!Y1415</f>
        <v>0</v>
      </c>
      <c r="Z1242" s="5">
        <f>data_origin!Z1415</f>
        <v>0</v>
      </c>
      <c r="AA1242" s="5">
        <f>data_origin!AA1415</f>
        <v>0</v>
      </c>
      <c r="AB1242" s="5">
        <f t="shared" si="136"/>
        <v>0</v>
      </c>
    </row>
    <row r="1243" spans="4:28" x14ac:dyDescent="0.25">
      <c r="D1243" t="s">
        <v>89</v>
      </c>
      <c r="E1243" s="38">
        <f t="shared" si="138"/>
        <v>0</v>
      </c>
      <c r="F1243" s="38">
        <f t="shared" si="138"/>
        <v>0</v>
      </c>
      <c r="G1243" s="38">
        <f t="shared" si="138"/>
        <v>1</v>
      </c>
      <c r="H1243" s="38">
        <f t="shared" si="137"/>
        <v>0</v>
      </c>
      <c r="I1243" s="38">
        <f t="shared" si="137"/>
        <v>0</v>
      </c>
      <c r="J1243" s="38">
        <f t="shared" si="137"/>
        <v>0</v>
      </c>
      <c r="K1243" s="38">
        <f t="shared" si="137"/>
        <v>0</v>
      </c>
      <c r="L1243" s="38">
        <f t="shared" si="137"/>
        <v>0</v>
      </c>
      <c r="M1243" s="35">
        <f t="shared" si="139"/>
        <v>1</v>
      </c>
      <c r="S1243" t="s">
        <v>89</v>
      </c>
      <c r="T1243" s="5">
        <f>data_origin!T1416</f>
        <v>0</v>
      </c>
      <c r="U1243" s="5">
        <f>data_origin!U1416</f>
        <v>0</v>
      </c>
      <c r="V1243" s="5">
        <f>data_origin!V1416</f>
        <v>0</v>
      </c>
      <c r="W1243" s="5">
        <f>data_origin!W1416</f>
        <v>0</v>
      </c>
      <c r="X1243" s="5">
        <f>data_origin!X1416</f>
        <v>0</v>
      </c>
      <c r="Y1243" s="5">
        <f>data_origin!Y1416</f>
        <v>0</v>
      </c>
      <c r="Z1243" s="5">
        <f>data_origin!Z1416</f>
        <v>0</v>
      </c>
      <c r="AA1243" s="5">
        <f>data_origin!AA1416</f>
        <v>0</v>
      </c>
      <c r="AB1243" s="5">
        <f t="shared" si="136"/>
        <v>0</v>
      </c>
    </row>
    <row r="1244" spans="4:28" x14ac:dyDescent="0.25">
      <c r="D1244" t="s">
        <v>90</v>
      </c>
      <c r="E1244" s="38">
        <f t="shared" si="138"/>
        <v>0</v>
      </c>
      <c r="F1244" s="38">
        <f t="shared" si="138"/>
        <v>0</v>
      </c>
      <c r="G1244" s="38">
        <f t="shared" si="138"/>
        <v>0</v>
      </c>
      <c r="H1244" s="38">
        <f t="shared" si="137"/>
        <v>0</v>
      </c>
      <c r="I1244" s="38">
        <f t="shared" si="137"/>
        <v>0</v>
      </c>
      <c r="J1244" s="38">
        <f t="shared" si="137"/>
        <v>0</v>
      </c>
      <c r="K1244" s="38">
        <f t="shared" si="137"/>
        <v>0</v>
      </c>
      <c r="L1244" s="38">
        <f t="shared" si="137"/>
        <v>0</v>
      </c>
      <c r="M1244" s="35">
        <f t="shared" si="139"/>
        <v>0</v>
      </c>
      <c r="S1244" t="s">
        <v>90</v>
      </c>
      <c r="T1244" s="5">
        <f>data_origin!T1417</f>
        <v>0</v>
      </c>
      <c r="U1244" s="5">
        <f>data_origin!U1417</f>
        <v>0</v>
      </c>
      <c r="V1244" s="5">
        <f>data_origin!V1417</f>
        <v>0</v>
      </c>
      <c r="W1244" s="5">
        <f>data_origin!W1417</f>
        <v>0</v>
      </c>
      <c r="X1244" s="5">
        <f>data_origin!X1417</f>
        <v>0</v>
      </c>
      <c r="Y1244" s="5">
        <f>data_origin!Y1417</f>
        <v>0</v>
      </c>
      <c r="Z1244" s="5">
        <f>data_origin!Z1417</f>
        <v>0</v>
      </c>
      <c r="AA1244" s="5">
        <f>data_origin!AA1417</f>
        <v>0</v>
      </c>
      <c r="AB1244" s="5">
        <f t="shared" si="136"/>
        <v>0</v>
      </c>
    </row>
    <row r="1245" spans="4:28" x14ac:dyDescent="0.25">
      <c r="D1245" t="s">
        <v>91</v>
      </c>
      <c r="E1245" s="38">
        <f t="shared" si="138"/>
        <v>0</v>
      </c>
      <c r="F1245" s="38">
        <f t="shared" si="138"/>
        <v>0</v>
      </c>
      <c r="G1245" s="38">
        <f t="shared" si="138"/>
        <v>0</v>
      </c>
      <c r="H1245" s="38">
        <f t="shared" si="137"/>
        <v>0</v>
      </c>
      <c r="I1245" s="38">
        <f t="shared" si="137"/>
        <v>0</v>
      </c>
      <c r="J1245" s="38">
        <f t="shared" si="137"/>
        <v>0</v>
      </c>
      <c r="K1245" s="38">
        <f t="shared" si="137"/>
        <v>0</v>
      </c>
      <c r="L1245" s="38">
        <f t="shared" si="137"/>
        <v>0</v>
      </c>
      <c r="M1245" s="35">
        <f t="shared" si="139"/>
        <v>0</v>
      </c>
      <c r="S1245" t="s">
        <v>91</v>
      </c>
      <c r="T1245" s="5">
        <f>data_origin!T1418</f>
        <v>0</v>
      </c>
      <c r="U1245" s="5">
        <f>data_origin!U1418</f>
        <v>0</v>
      </c>
      <c r="V1245" s="5">
        <f>data_origin!V1418</f>
        <v>0</v>
      </c>
      <c r="W1245" s="5">
        <f>data_origin!W1418</f>
        <v>0</v>
      </c>
      <c r="X1245" s="5">
        <f>data_origin!X1418</f>
        <v>0</v>
      </c>
      <c r="Y1245" s="5">
        <f>data_origin!Y1418</f>
        <v>0</v>
      </c>
      <c r="Z1245" s="5">
        <f>data_origin!Z1418</f>
        <v>0</v>
      </c>
      <c r="AA1245" s="5">
        <f>data_origin!AA1418</f>
        <v>0</v>
      </c>
      <c r="AB1245" s="5">
        <f t="shared" ref="AB1245:AB1308" si="140">SUM(T1245:AA1245)</f>
        <v>0</v>
      </c>
    </row>
    <row r="1246" spans="4:28" x14ac:dyDescent="0.25">
      <c r="D1246" t="s">
        <v>92</v>
      </c>
      <c r="E1246" s="38">
        <f t="shared" si="138"/>
        <v>0</v>
      </c>
      <c r="F1246" s="38">
        <f t="shared" si="138"/>
        <v>0</v>
      </c>
      <c r="G1246" s="38">
        <f t="shared" si="138"/>
        <v>0</v>
      </c>
      <c r="H1246" s="38">
        <f t="shared" si="137"/>
        <v>0</v>
      </c>
      <c r="I1246" s="38">
        <f t="shared" si="137"/>
        <v>0</v>
      </c>
      <c r="J1246" s="38">
        <f t="shared" si="137"/>
        <v>0</v>
      </c>
      <c r="K1246" s="38">
        <f t="shared" si="137"/>
        <v>0</v>
      </c>
      <c r="L1246" s="38">
        <f t="shared" si="137"/>
        <v>0</v>
      </c>
      <c r="M1246" s="35">
        <f t="shared" si="139"/>
        <v>0</v>
      </c>
      <c r="S1246" t="s">
        <v>92</v>
      </c>
      <c r="T1246" s="5">
        <f>data_origin!T1419</f>
        <v>0</v>
      </c>
      <c r="U1246" s="5">
        <f>data_origin!U1419</f>
        <v>0</v>
      </c>
      <c r="V1246" s="5">
        <f>data_origin!V1419</f>
        <v>0</v>
      </c>
      <c r="W1246" s="5">
        <f>data_origin!W1419</f>
        <v>0</v>
      </c>
      <c r="X1246" s="5">
        <f>data_origin!X1419</f>
        <v>0</v>
      </c>
      <c r="Y1246" s="5">
        <f>data_origin!Y1419</f>
        <v>0</v>
      </c>
      <c r="Z1246" s="5">
        <f>data_origin!Z1419</f>
        <v>0</v>
      </c>
      <c r="AA1246" s="5">
        <f>data_origin!AA1419</f>
        <v>0</v>
      </c>
      <c r="AB1246" s="5">
        <f t="shared" si="140"/>
        <v>0</v>
      </c>
    </row>
    <row r="1247" spans="4:28" x14ac:dyDescent="0.25">
      <c r="D1247" t="s">
        <v>93</v>
      </c>
      <c r="E1247" s="38">
        <f t="shared" si="138"/>
        <v>0</v>
      </c>
      <c r="F1247" s="38">
        <f t="shared" si="138"/>
        <v>0</v>
      </c>
      <c r="G1247" s="38">
        <f t="shared" si="138"/>
        <v>0</v>
      </c>
      <c r="H1247" s="38">
        <f t="shared" si="137"/>
        <v>0</v>
      </c>
      <c r="I1247" s="38">
        <f t="shared" si="137"/>
        <v>0</v>
      </c>
      <c r="J1247" s="38">
        <f t="shared" si="137"/>
        <v>0</v>
      </c>
      <c r="K1247" s="38">
        <f t="shared" si="137"/>
        <v>0</v>
      </c>
      <c r="L1247" s="38">
        <f t="shared" si="137"/>
        <v>0</v>
      </c>
      <c r="M1247" s="35">
        <f t="shared" si="139"/>
        <v>0</v>
      </c>
      <c r="S1247" t="s">
        <v>93</v>
      </c>
      <c r="T1247" s="5">
        <f>data_origin!T1420</f>
        <v>0</v>
      </c>
      <c r="U1247" s="5">
        <f>data_origin!U1420</f>
        <v>0</v>
      </c>
      <c r="V1247" s="5">
        <f>data_origin!V1420</f>
        <v>0</v>
      </c>
      <c r="W1247" s="5">
        <f>data_origin!W1420</f>
        <v>0</v>
      </c>
      <c r="X1247" s="5">
        <f>data_origin!X1420</f>
        <v>0</v>
      </c>
      <c r="Y1247" s="5">
        <f>data_origin!Y1420</f>
        <v>0</v>
      </c>
      <c r="Z1247" s="5">
        <f>data_origin!Z1420</f>
        <v>0</v>
      </c>
      <c r="AA1247" s="5">
        <f>data_origin!AA1420</f>
        <v>0</v>
      </c>
      <c r="AB1247" s="5">
        <f t="shared" si="140"/>
        <v>0</v>
      </c>
    </row>
    <row r="1248" spans="4:28" x14ac:dyDescent="0.25">
      <c r="D1248" t="s">
        <v>94</v>
      </c>
      <c r="E1248" s="38">
        <f t="shared" si="138"/>
        <v>0</v>
      </c>
      <c r="F1248" s="38">
        <f t="shared" si="138"/>
        <v>0</v>
      </c>
      <c r="G1248" s="38">
        <f t="shared" si="138"/>
        <v>0</v>
      </c>
      <c r="H1248" s="38">
        <f t="shared" si="137"/>
        <v>0</v>
      </c>
      <c r="I1248" s="38">
        <f t="shared" si="137"/>
        <v>0</v>
      </c>
      <c r="J1248" s="38">
        <f t="shared" si="137"/>
        <v>0</v>
      </c>
      <c r="K1248" s="38">
        <f t="shared" si="137"/>
        <v>0</v>
      </c>
      <c r="L1248" s="38">
        <f t="shared" si="137"/>
        <v>0</v>
      </c>
      <c r="M1248" s="35">
        <f t="shared" si="139"/>
        <v>0</v>
      </c>
      <c r="S1248" t="s">
        <v>94</v>
      </c>
      <c r="T1248" s="5">
        <f>data_origin!T1421</f>
        <v>0</v>
      </c>
      <c r="U1248" s="5">
        <f>data_origin!U1421</f>
        <v>0</v>
      </c>
      <c r="V1248" s="5">
        <f>data_origin!V1421</f>
        <v>0</v>
      </c>
      <c r="W1248" s="5">
        <f>data_origin!W1421</f>
        <v>0</v>
      </c>
      <c r="X1248" s="5">
        <f>data_origin!X1421</f>
        <v>0</v>
      </c>
      <c r="Y1248" s="5">
        <f>data_origin!Y1421</f>
        <v>0</v>
      </c>
      <c r="Z1248" s="5">
        <f>data_origin!Z1421</f>
        <v>0</v>
      </c>
      <c r="AA1248" s="5">
        <f>data_origin!AA1421</f>
        <v>0</v>
      </c>
      <c r="AB1248" s="5">
        <f t="shared" si="140"/>
        <v>0</v>
      </c>
    </row>
    <row r="1249" spans="1:28" x14ac:dyDescent="0.25">
      <c r="D1249" t="s">
        <v>95</v>
      </c>
      <c r="E1249" s="38">
        <f t="shared" si="138"/>
        <v>0</v>
      </c>
      <c r="F1249" s="38">
        <f t="shared" si="138"/>
        <v>0</v>
      </c>
      <c r="G1249" s="38">
        <f t="shared" si="138"/>
        <v>0</v>
      </c>
      <c r="H1249" s="38">
        <f t="shared" si="137"/>
        <v>0</v>
      </c>
      <c r="I1249" s="38">
        <f t="shared" si="137"/>
        <v>0</v>
      </c>
      <c r="J1249" s="38">
        <f t="shared" si="137"/>
        <v>0</v>
      </c>
      <c r="K1249" s="38">
        <f t="shared" si="137"/>
        <v>0</v>
      </c>
      <c r="L1249" s="38">
        <f t="shared" si="137"/>
        <v>0</v>
      </c>
      <c r="M1249" s="35">
        <f t="shared" si="139"/>
        <v>0</v>
      </c>
      <c r="S1249" t="s">
        <v>95</v>
      </c>
      <c r="T1249" s="5">
        <f>data_origin!T1422</f>
        <v>0</v>
      </c>
      <c r="U1249" s="5">
        <f>data_origin!U1422</f>
        <v>0</v>
      </c>
      <c r="V1249" s="5">
        <f>data_origin!V1422</f>
        <v>0</v>
      </c>
      <c r="W1249" s="5">
        <f>data_origin!W1422</f>
        <v>0</v>
      </c>
      <c r="X1249" s="5">
        <f>data_origin!X1422</f>
        <v>0</v>
      </c>
      <c r="Y1249" s="5">
        <f>data_origin!Y1422</f>
        <v>0</v>
      </c>
      <c r="Z1249" s="5">
        <f>data_origin!Z1422</f>
        <v>0</v>
      </c>
      <c r="AA1249" s="5">
        <f>data_origin!AA1422</f>
        <v>0</v>
      </c>
      <c r="AB1249" s="5">
        <f t="shared" si="140"/>
        <v>0</v>
      </c>
    </row>
    <row r="1250" spans="1:28" x14ac:dyDescent="0.25">
      <c r="D1250" t="s">
        <v>96</v>
      </c>
      <c r="E1250" s="38">
        <f t="shared" si="138"/>
        <v>0</v>
      </c>
      <c r="F1250" s="38">
        <f t="shared" si="138"/>
        <v>0</v>
      </c>
      <c r="G1250" s="38">
        <f t="shared" si="138"/>
        <v>0</v>
      </c>
      <c r="H1250" s="38">
        <f t="shared" si="137"/>
        <v>0</v>
      </c>
      <c r="I1250" s="38">
        <f t="shared" si="137"/>
        <v>0</v>
      </c>
      <c r="J1250" s="38">
        <f t="shared" ref="J1250:L1313" si="141">Y1250+BB128+IFERROR((Y1250/SUM(Y$993:Y$1982)*BB$630),0)+IFERROR((Y1250/SUM(Y$1125:Y$1322,Y$1455:Y$1652,Y$1785:Y$1982)*BB$732),0)</f>
        <v>0</v>
      </c>
      <c r="K1250" s="38">
        <f t="shared" si="141"/>
        <v>0</v>
      </c>
      <c r="L1250" s="38">
        <f t="shared" si="141"/>
        <v>0</v>
      </c>
      <c r="M1250" s="35">
        <f t="shared" si="139"/>
        <v>0</v>
      </c>
      <c r="S1250" t="s">
        <v>96</v>
      </c>
      <c r="T1250" s="5">
        <f>data_origin!T1423</f>
        <v>0</v>
      </c>
      <c r="U1250" s="5">
        <f>data_origin!U1423</f>
        <v>0</v>
      </c>
      <c r="V1250" s="5">
        <f>data_origin!V1423</f>
        <v>0</v>
      </c>
      <c r="W1250" s="5">
        <f>data_origin!W1423</f>
        <v>0</v>
      </c>
      <c r="X1250" s="5">
        <f>data_origin!X1423</f>
        <v>0</v>
      </c>
      <c r="Y1250" s="5">
        <f>data_origin!Y1423</f>
        <v>0</v>
      </c>
      <c r="Z1250" s="5">
        <f>data_origin!Z1423</f>
        <v>0</v>
      </c>
      <c r="AA1250" s="5">
        <f>data_origin!AA1423</f>
        <v>0</v>
      </c>
      <c r="AB1250" s="5">
        <f t="shared" si="140"/>
        <v>0</v>
      </c>
    </row>
    <row r="1251" spans="1:28" x14ac:dyDescent="0.25">
      <c r="D1251" t="s">
        <v>97</v>
      </c>
      <c r="E1251" s="38">
        <f t="shared" si="138"/>
        <v>0</v>
      </c>
      <c r="F1251" s="38">
        <f t="shared" si="138"/>
        <v>0</v>
      </c>
      <c r="G1251" s="38">
        <f t="shared" si="138"/>
        <v>0</v>
      </c>
      <c r="H1251" s="38">
        <f t="shared" si="138"/>
        <v>1.017541114465665</v>
      </c>
      <c r="I1251" s="38">
        <f t="shared" si="138"/>
        <v>0</v>
      </c>
      <c r="J1251" s="38">
        <f t="shared" si="141"/>
        <v>0</v>
      </c>
      <c r="K1251" s="38">
        <f t="shared" si="141"/>
        <v>0</v>
      </c>
      <c r="L1251" s="38">
        <f t="shared" si="141"/>
        <v>0</v>
      </c>
      <c r="M1251" s="35">
        <f t="shared" si="139"/>
        <v>1.017541114465665</v>
      </c>
      <c r="S1251" t="s">
        <v>97</v>
      </c>
      <c r="T1251" s="5">
        <f>data_origin!T1424</f>
        <v>0</v>
      </c>
      <c r="U1251" s="5">
        <f>data_origin!U1424</f>
        <v>0</v>
      </c>
      <c r="V1251" s="5">
        <f>data_origin!V1424</f>
        <v>0</v>
      </c>
      <c r="W1251" s="5">
        <f>data_origin!W1424</f>
        <v>1</v>
      </c>
      <c r="X1251" s="5">
        <f>data_origin!X1424</f>
        <v>0</v>
      </c>
      <c r="Y1251" s="5">
        <f>data_origin!Y1424</f>
        <v>0</v>
      </c>
      <c r="Z1251" s="5">
        <f>data_origin!Z1424</f>
        <v>0</v>
      </c>
      <c r="AA1251" s="5">
        <f>data_origin!AA1424</f>
        <v>0</v>
      </c>
      <c r="AB1251" s="5">
        <f t="shared" si="140"/>
        <v>1</v>
      </c>
    </row>
    <row r="1252" spans="1:28" x14ac:dyDescent="0.25">
      <c r="D1252" t="s">
        <v>98</v>
      </c>
      <c r="E1252" s="38">
        <f t="shared" si="138"/>
        <v>0</v>
      </c>
      <c r="F1252" s="38">
        <f t="shared" si="138"/>
        <v>0</v>
      </c>
      <c r="G1252" s="38">
        <f t="shared" si="138"/>
        <v>1.0139234456837438</v>
      </c>
      <c r="H1252" s="38">
        <f t="shared" si="138"/>
        <v>3.0526233433969958</v>
      </c>
      <c r="I1252" s="38">
        <f t="shared" si="138"/>
        <v>4.5783981236180704</v>
      </c>
      <c r="J1252" s="38">
        <f t="shared" si="141"/>
        <v>0</v>
      </c>
      <c r="K1252" s="38">
        <f t="shared" si="141"/>
        <v>0</v>
      </c>
      <c r="L1252" s="38">
        <f t="shared" si="141"/>
        <v>0</v>
      </c>
      <c r="M1252" s="35">
        <f t="shared" si="139"/>
        <v>8.6449449126988096</v>
      </c>
      <c r="S1252" t="s">
        <v>98</v>
      </c>
      <c r="T1252" s="5">
        <f>data_origin!T1425</f>
        <v>0</v>
      </c>
      <c r="U1252" s="5">
        <f>data_origin!U1425</f>
        <v>0</v>
      </c>
      <c r="V1252" s="5">
        <f>data_origin!V1425</f>
        <v>1</v>
      </c>
      <c r="W1252" s="5">
        <f>data_origin!W1425</f>
        <v>3</v>
      </c>
      <c r="X1252" s="5">
        <f>data_origin!X1425</f>
        <v>4.5</v>
      </c>
      <c r="Y1252" s="5">
        <f>data_origin!Y1425</f>
        <v>0</v>
      </c>
      <c r="Z1252" s="5">
        <f>data_origin!Z1425</f>
        <v>0</v>
      </c>
      <c r="AA1252" s="5">
        <f>data_origin!AA1425</f>
        <v>0</v>
      </c>
      <c r="AB1252" s="5">
        <f t="shared" si="140"/>
        <v>8.5</v>
      </c>
    </row>
    <row r="1253" spans="1:28" x14ac:dyDescent="0.25">
      <c r="D1253" t="s">
        <v>119</v>
      </c>
      <c r="E1253" s="38">
        <f t="shared" si="138"/>
        <v>0</v>
      </c>
      <c r="F1253" s="38">
        <f t="shared" si="138"/>
        <v>0</v>
      </c>
      <c r="G1253" s="38">
        <f t="shared" si="138"/>
        <v>1.0139234456837438</v>
      </c>
      <c r="H1253" s="38">
        <f t="shared" si="138"/>
        <v>1.017541114465665</v>
      </c>
      <c r="I1253" s="38">
        <f t="shared" si="138"/>
        <v>1.5261327078726903</v>
      </c>
      <c r="J1253" s="38">
        <f t="shared" si="141"/>
        <v>0</v>
      </c>
      <c r="K1253" s="38">
        <f t="shared" si="141"/>
        <v>0</v>
      </c>
      <c r="L1253" s="38">
        <f t="shared" si="141"/>
        <v>0</v>
      </c>
      <c r="M1253" s="35">
        <f t="shared" si="139"/>
        <v>3.5575972680220991</v>
      </c>
      <c r="S1253" t="s">
        <v>119</v>
      </c>
      <c r="T1253" s="5">
        <f>data_origin!T1426</f>
        <v>0</v>
      </c>
      <c r="U1253" s="5">
        <f>data_origin!U1426</f>
        <v>0</v>
      </c>
      <c r="V1253" s="5">
        <f>data_origin!V1426</f>
        <v>1</v>
      </c>
      <c r="W1253" s="5">
        <f>data_origin!W1426</f>
        <v>1</v>
      </c>
      <c r="X1253" s="5">
        <f>data_origin!X1426</f>
        <v>1.5</v>
      </c>
      <c r="Y1253" s="5">
        <f>data_origin!Y1426</f>
        <v>0</v>
      </c>
      <c r="Z1253" s="5">
        <f>data_origin!Z1426</f>
        <v>0</v>
      </c>
      <c r="AA1253" s="5">
        <f>data_origin!AA1426</f>
        <v>0</v>
      </c>
      <c r="AB1253" s="5">
        <f t="shared" si="140"/>
        <v>3.5</v>
      </c>
    </row>
    <row r="1254" spans="1:28" x14ac:dyDescent="0.25">
      <c r="D1254" t="s">
        <v>99</v>
      </c>
      <c r="E1254" s="38">
        <f t="shared" si="138"/>
        <v>0</v>
      </c>
      <c r="F1254" s="38">
        <f t="shared" si="138"/>
        <v>0</v>
      </c>
      <c r="G1254" s="38">
        <f t="shared" si="138"/>
        <v>0</v>
      </c>
      <c r="H1254" s="38">
        <f t="shared" si="138"/>
        <v>0</v>
      </c>
      <c r="I1254" s="38">
        <f t="shared" si="138"/>
        <v>0</v>
      </c>
      <c r="J1254" s="38">
        <f t="shared" si="141"/>
        <v>0</v>
      </c>
      <c r="K1254" s="38">
        <f t="shared" si="141"/>
        <v>0</v>
      </c>
      <c r="L1254" s="38">
        <f t="shared" si="141"/>
        <v>0</v>
      </c>
      <c r="M1254" s="35">
        <f t="shared" si="139"/>
        <v>0</v>
      </c>
      <c r="S1254" t="s">
        <v>99</v>
      </c>
      <c r="T1254" s="5">
        <f>data_origin!T1427</f>
        <v>0</v>
      </c>
      <c r="U1254" s="5">
        <f>data_origin!U1427</f>
        <v>0</v>
      </c>
      <c r="V1254" s="5">
        <f>data_origin!V1427</f>
        <v>0</v>
      </c>
      <c r="W1254" s="5">
        <f>data_origin!W1427</f>
        <v>0</v>
      </c>
      <c r="X1254" s="5">
        <f>data_origin!X1427</f>
        <v>0</v>
      </c>
      <c r="Y1254" s="5">
        <f>data_origin!Y1427</f>
        <v>0</v>
      </c>
      <c r="Z1254" s="5">
        <f>data_origin!Z1427</f>
        <v>0</v>
      </c>
      <c r="AA1254" s="5">
        <f>data_origin!AA1427</f>
        <v>0</v>
      </c>
      <c r="AB1254" s="5">
        <f t="shared" si="140"/>
        <v>0</v>
      </c>
    </row>
    <row r="1255" spans="1:28" x14ac:dyDescent="0.25">
      <c r="D1255" t="s">
        <v>100</v>
      </c>
      <c r="E1255" s="38">
        <f t="shared" si="138"/>
        <v>0</v>
      </c>
      <c r="F1255" s="38">
        <f t="shared" si="138"/>
        <v>0</v>
      </c>
      <c r="G1255" s="38">
        <f t="shared" si="138"/>
        <v>0</v>
      </c>
      <c r="H1255" s="38">
        <f t="shared" si="138"/>
        <v>0</v>
      </c>
      <c r="I1255" s="38">
        <f t="shared" si="138"/>
        <v>0</v>
      </c>
      <c r="J1255" s="38">
        <f t="shared" si="141"/>
        <v>0</v>
      </c>
      <c r="K1255" s="38">
        <f t="shared" si="141"/>
        <v>0</v>
      </c>
      <c r="L1255" s="38">
        <f t="shared" si="141"/>
        <v>0</v>
      </c>
      <c r="M1255" s="35">
        <f t="shared" si="139"/>
        <v>0</v>
      </c>
      <c r="S1255" t="s">
        <v>100</v>
      </c>
      <c r="T1255" s="5">
        <f>data_origin!T1428</f>
        <v>0</v>
      </c>
      <c r="U1255" s="5">
        <f>data_origin!U1428</f>
        <v>0</v>
      </c>
      <c r="V1255" s="5">
        <f>data_origin!V1428</f>
        <v>0</v>
      </c>
      <c r="W1255" s="5">
        <f>data_origin!W1428</f>
        <v>0</v>
      </c>
      <c r="X1255" s="5">
        <f>data_origin!X1428</f>
        <v>0</v>
      </c>
      <c r="Y1255" s="5">
        <f>data_origin!Y1428</f>
        <v>0</v>
      </c>
      <c r="Z1255" s="5">
        <f>data_origin!Z1428</f>
        <v>0</v>
      </c>
      <c r="AA1255" s="5">
        <f>data_origin!AA1428</f>
        <v>0</v>
      </c>
      <c r="AB1255" s="5">
        <f t="shared" si="140"/>
        <v>0</v>
      </c>
    </row>
    <row r="1256" spans="1:28" x14ac:dyDescent="0.25">
      <c r="D1256" t="s">
        <v>101</v>
      </c>
      <c r="E1256" s="38">
        <f t="shared" si="138"/>
        <v>0</v>
      </c>
      <c r="F1256" s="38">
        <f t="shared" si="138"/>
        <v>0</v>
      </c>
      <c r="G1256" s="38">
        <f t="shared" si="138"/>
        <v>0</v>
      </c>
      <c r="H1256" s="38">
        <f t="shared" si="138"/>
        <v>0</v>
      </c>
      <c r="I1256" s="38">
        <f t="shared" si="138"/>
        <v>0</v>
      </c>
      <c r="J1256" s="38">
        <f t="shared" si="141"/>
        <v>0</v>
      </c>
      <c r="K1256" s="38">
        <f t="shared" si="141"/>
        <v>0</v>
      </c>
      <c r="L1256" s="38">
        <f t="shared" si="141"/>
        <v>0</v>
      </c>
      <c r="M1256" s="35">
        <f t="shared" si="139"/>
        <v>0</v>
      </c>
      <c r="S1256" t="s">
        <v>101</v>
      </c>
      <c r="T1256" s="5">
        <f>data_origin!T1429</f>
        <v>0</v>
      </c>
      <c r="U1256" s="5">
        <f>data_origin!U1429</f>
        <v>0</v>
      </c>
      <c r="V1256" s="5">
        <f>data_origin!V1429</f>
        <v>0</v>
      </c>
      <c r="W1256" s="5">
        <f>data_origin!W1429</f>
        <v>0</v>
      </c>
      <c r="X1256" s="5">
        <f>data_origin!X1429</f>
        <v>0</v>
      </c>
      <c r="Y1256" s="5">
        <f>data_origin!Y1429</f>
        <v>0</v>
      </c>
      <c r="Z1256" s="5">
        <f>data_origin!Z1429</f>
        <v>0</v>
      </c>
      <c r="AA1256" s="5">
        <f>data_origin!AA1429</f>
        <v>0</v>
      </c>
      <c r="AB1256" s="5">
        <f t="shared" si="140"/>
        <v>0</v>
      </c>
    </row>
    <row r="1257" spans="1:28" x14ac:dyDescent="0.25">
      <c r="A1257" s="24" t="s">
        <v>115</v>
      </c>
      <c r="B1257" s="24" t="s">
        <v>103</v>
      </c>
      <c r="C1257" s="24" t="s">
        <v>113</v>
      </c>
      <c r="D1257" t="s">
        <v>70</v>
      </c>
      <c r="E1257" s="38">
        <f t="shared" si="138"/>
        <v>0</v>
      </c>
      <c r="F1257" s="38">
        <f t="shared" si="138"/>
        <v>0</v>
      </c>
      <c r="G1257" s="38">
        <f t="shared" si="138"/>
        <v>0</v>
      </c>
      <c r="H1257" s="38">
        <f t="shared" si="138"/>
        <v>0</v>
      </c>
      <c r="I1257" s="38">
        <f t="shared" si="138"/>
        <v>0</v>
      </c>
      <c r="J1257" s="38">
        <f t="shared" si="141"/>
        <v>0</v>
      </c>
      <c r="K1257" s="38">
        <f t="shared" si="141"/>
        <v>0</v>
      </c>
      <c r="L1257" s="38">
        <f t="shared" si="141"/>
        <v>0</v>
      </c>
      <c r="M1257" s="35">
        <f t="shared" si="139"/>
        <v>0</v>
      </c>
      <c r="P1257" t="s">
        <v>115</v>
      </c>
      <c r="Q1257" t="s">
        <v>103</v>
      </c>
      <c r="R1257" t="s">
        <v>113</v>
      </c>
      <c r="S1257" t="s">
        <v>70</v>
      </c>
      <c r="T1257" s="5">
        <f>data_origin!T1431</f>
        <v>0</v>
      </c>
      <c r="U1257" s="5">
        <f>data_origin!U1431</f>
        <v>0</v>
      </c>
      <c r="V1257" s="5">
        <f>data_origin!V1431</f>
        <v>0</v>
      </c>
      <c r="W1257" s="5">
        <f>data_origin!W1431</f>
        <v>0</v>
      </c>
      <c r="X1257" s="5">
        <f>data_origin!X1431</f>
        <v>0</v>
      </c>
      <c r="Y1257" s="5">
        <f>data_origin!Y1431</f>
        <v>0</v>
      </c>
      <c r="Z1257" s="5">
        <f>data_origin!Z1431</f>
        <v>0</v>
      </c>
      <c r="AA1257" s="5">
        <f>data_origin!AA1431</f>
        <v>0</v>
      </c>
      <c r="AB1257" s="5">
        <f t="shared" si="140"/>
        <v>0</v>
      </c>
    </row>
    <row r="1258" spans="1:28" x14ac:dyDescent="0.25">
      <c r="D1258" t="s">
        <v>71</v>
      </c>
      <c r="E1258" s="38">
        <f t="shared" si="138"/>
        <v>0</v>
      </c>
      <c r="F1258" s="38">
        <f t="shared" si="138"/>
        <v>0</v>
      </c>
      <c r="G1258" s="38">
        <f t="shared" si="138"/>
        <v>0</v>
      </c>
      <c r="H1258" s="38">
        <f t="shared" si="138"/>
        <v>0</v>
      </c>
      <c r="I1258" s="38">
        <f t="shared" si="138"/>
        <v>0</v>
      </c>
      <c r="J1258" s="38">
        <f t="shared" si="141"/>
        <v>0</v>
      </c>
      <c r="K1258" s="38">
        <f t="shared" si="141"/>
        <v>0</v>
      </c>
      <c r="L1258" s="38">
        <f t="shared" si="141"/>
        <v>0</v>
      </c>
      <c r="M1258" s="35">
        <f t="shared" si="139"/>
        <v>0</v>
      </c>
      <c r="S1258" t="s">
        <v>71</v>
      </c>
      <c r="T1258" s="5">
        <f>data_origin!T1432</f>
        <v>0</v>
      </c>
      <c r="U1258" s="5">
        <f>data_origin!U1432</f>
        <v>0</v>
      </c>
      <c r="V1258" s="5">
        <f>data_origin!V1432</f>
        <v>0</v>
      </c>
      <c r="W1258" s="5">
        <f>data_origin!W1432</f>
        <v>0</v>
      </c>
      <c r="X1258" s="5">
        <f>data_origin!X1432</f>
        <v>0</v>
      </c>
      <c r="Y1258" s="5">
        <f>data_origin!Y1432</f>
        <v>0</v>
      </c>
      <c r="Z1258" s="5">
        <f>data_origin!Z1432</f>
        <v>0</v>
      </c>
      <c r="AA1258" s="5">
        <f>data_origin!AA1432</f>
        <v>0</v>
      </c>
      <c r="AB1258" s="5">
        <f t="shared" si="140"/>
        <v>0</v>
      </c>
    </row>
    <row r="1259" spans="1:28" x14ac:dyDescent="0.25">
      <c r="D1259" t="s">
        <v>72</v>
      </c>
      <c r="E1259" s="38">
        <f t="shared" ref="E1259:I1309" si="142">T1259+AW137+IFERROR((T1259/SUM(T$993:T$1982)*AW$630),0)+IFERROR((T1259/SUM(T$1125:T$1322,T$1455:T$1652,T$1785:T$1982)*AW$732),0)</f>
        <v>0</v>
      </c>
      <c r="F1259" s="38">
        <f t="shared" si="142"/>
        <v>0</v>
      </c>
      <c r="G1259" s="38">
        <f t="shared" si="142"/>
        <v>0</v>
      </c>
      <c r="H1259" s="38">
        <f t="shared" si="142"/>
        <v>0</v>
      </c>
      <c r="I1259" s="38">
        <f t="shared" si="142"/>
        <v>0</v>
      </c>
      <c r="J1259" s="38">
        <f t="shared" si="141"/>
        <v>0</v>
      </c>
      <c r="K1259" s="38">
        <f t="shared" si="141"/>
        <v>0</v>
      </c>
      <c r="L1259" s="38">
        <f t="shared" si="141"/>
        <v>0</v>
      </c>
      <c r="M1259" s="35">
        <f t="shared" si="139"/>
        <v>0</v>
      </c>
      <c r="S1259" t="s">
        <v>72</v>
      </c>
      <c r="T1259" s="5">
        <f>data_origin!T1433</f>
        <v>0</v>
      </c>
      <c r="U1259" s="5">
        <f>data_origin!U1433</f>
        <v>0</v>
      </c>
      <c r="V1259" s="5">
        <f>data_origin!V1433</f>
        <v>0</v>
      </c>
      <c r="W1259" s="5">
        <f>data_origin!W1433</f>
        <v>0</v>
      </c>
      <c r="X1259" s="5">
        <f>data_origin!X1433</f>
        <v>0</v>
      </c>
      <c r="Y1259" s="5">
        <f>data_origin!Y1433</f>
        <v>0</v>
      </c>
      <c r="Z1259" s="5">
        <f>data_origin!Z1433</f>
        <v>0</v>
      </c>
      <c r="AA1259" s="5">
        <f>data_origin!AA1433</f>
        <v>0</v>
      </c>
      <c r="AB1259" s="5">
        <f t="shared" si="140"/>
        <v>0</v>
      </c>
    </row>
    <row r="1260" spans="1:28" x14ac:dyDescent="0.25">
      <c r="D1260" t="s">
        <v>73</v>
      </c>
      <c r="E1260" s="38">
        <f t="shared" si="142"/>
        <v>0</v>
      </c>
      <c r="F1260" s="38">
        <f t="shared" si="142"/>
        <v>0</v>
      </c>
      <c r="G1260" s="38">
        <f t="shared" si="142"/>
        <v>0</v>
      </c>
      <c r="H1260" s="38">
        <f t="shared" si="142"/>
        <v>3.0526233433969958</v>
      </c>
      <c r="I1260" s="38">
        <f t="shared" si="142"/>
        <v>0</v>
      </c>
      <c r="J1260" s="38">
        <f t="shared" si="141"/>
        <v>0</v>
      </c>
      <c r="K1260" s="38">
        <f t="shared" si="141"/>
        <v>0</v>
      </c>
      <c r="L1260" s="38">
        <f t="shared" si="141"/>
        <v>0</v>
      </c>
      <c r="M1260" s="35">
        <f t="shared" si="139"/>
        <v>3.0526233433969958</v>
      </c>
      <c r="S1260" t="s">
        <v>73</v>
      </c>
      <c r="T1260" s="5">
        <f>data_origin!T1434</f>
        <v>0</v>
      </c>
      <c r="U1260" s="5">
        <f>data_origin!U1434</f>
        <v>0</v>
      </c>
      <c r="V1260" s="5">
        <f>data_origin!V1434</f>
        <v>0</v>
      </c>
      <c r="W1260" s="5">
        <f>data_origin!W1434</f>
        <v>3</v>
      </c>
      <c r="X1260" s="5">
        <f>data_origin!X1434</f>
        <v>0</v>
      </c>
      <c r="Y1260" s="5">
        <f>data_origin!Y1434</f>
        <v>0</v>
      </c>
      <c r="Z1260" s="5">
        <f>data_origin!Z1434</f>
        <v>0</v>
      </c>
      <c r="AA1260" s="5">
        <f>data_origin!AA1434</f>
        <v>0</v>
      </c>
      <c r="AB1260" s="5">
        <f t="shared" si="140"/>
        <v>3</v>
      </c>
    </row>
    <row r="1261" spans="1:28" x14ac:dyDescent="0.25">
      <c r="D1261" t="s">
        <v>74</v>
      </c>
      <c r="E1261" s="38">
        <f t="shared" si="142"/>
        <v>0</v>
      </c>
      <c r="F1261" s="38">
        <f t="shared" si="142"/>
        <v>0</v>
      </c>
      <c r="G1261" s="38">
        <f t="shared" si="142"/>
        <v>0</v>
      </c>
      <c r="H1261" s="38">
        <f t="shared" si="142"/>
        <v>0</v>
      </c>
      <c r="I1261" s="38">
        <f t="shared" si="142"/>
        <v>0</v>
      </c>
      <c r="J1261" s="38">
        <f t="shared" si="141"/>
        <v>0</v>
      </c>
      <c r="K1261" s="38">
        <f t="shared" si="141"/>
        <v>0</v>
      </c>
      <c r="L1261" s="38">
        <f t="shared" si="141"/>
        <v>0</v>
      </c>
      <c r="M1261" s="35">
        <f t="shared" si="139"/>
        <v>0</v>
      </c>
      <c r="S1261" t="s">
        <v>74</v>
      </c>
      <c r="T1261" s="5">
        <f>data_origin!T1435</f>
        <v>0</v>
      </c>
      <c r="U1261" s="5">
        <f>data_origin!U1435</f>
        <v>0</v>
      </c>
      <c r="V1261" s="5">
        <f>data_origin!V1435</f>
        <v>0</v>
      </c>
      <c r="W1261" s="5">
        <f>data_origin!W1435</f>
        <v>0</v>
      </c>
      <c r="X1261" s="5">
        <f>data_origin!X1435</f>
        <v>0</v>
      </c>
      <c r="Y1261" s="5">
        <f>data_origin!Y1435</f>
        <v>0</v>
      </c>
      <c r="Z1261" s="5">
        <f>data_origin!Z1435</f>
        <v>0</v>
      </c>
      <c r="AA1261" s="5">
        <f>data_origin!AA1435</f>
        <v>0</v>
      </c>
      <c r="AB1261" s="5">
        <f t="shared" si="140"/>
        <v>0</v>
      </c>
    </row>
    <row r="1262" spans="1:28" x14ac:dyDescent="0.25">
      <c r="D1262" t="s">
        <v>75</v>
      </c>
      <c r="E1262" s="38">
        <f t="shared" si="142"/>
        <v>0</v>
      </c>
      <c r="F1262" s="38">
        <f t="shared" si="142"/>
        <v>0</v>
      </c>
      <c r="G1262" s="38">
        <f t="shared" si="142"/>
        <v>0</v>
      </c>
      <c r="H1262" s="38">
        <f t="shared" si="142"/>
        <v>0</v>
      </c>
      <c r="I1262" s="38">
        <f t="shared" si="142"/>
        <v>0</v>
      </c>
      <c r="J1262" s="38">
        <f t="shared" si="141"/>
        <v>0</v>
      </c>
      <c r="K1262" s="38">
        <f t="shared" si="141"/>
        <v>0</v>
      </c>
      <c r="L1262" s="38">
        <f t="shared" si="141"/>
        <v>0</v>
      </c>
      <c r="M1262" s="35">
        <f t="shared" si="139"/>
        <v>0</v>
      </c>
      <c r="S1262" t="s">
        <v>75</v>
      </c>
      <c r="T1262" s="5">
        <f>data_origin!T1436</f>
        <v>0</v>
      </c>
      <c r="U1262" s="5">
        <f>data_origin!U1436</f>
        <v>0</v>
      </c>
      <c r="V1262" s="5">
        <f>data_origin!V1436</f>
        <v>0</v>
      </c>
      <c r="W1262" s="5">
        <f>data_origin!W1436</f>
        <v>0</v>
      </c>
      <c r="X1262" s="5">
        <f>data_origin!X1436</f>
        <v>0</v>
      </c>
      <c r="Y1262" s="5">
        <f>data_origin!Y1436</f>
        <v>0</v>
      </c>
      <c r="Z1262" s="5">
        <f>data_origin!Z1436</f>
        <v>0</v>
      </c>
      <c r="AA1262" s="5">
        <f>data_origin!AA1436</f>
        <v>0</v>
      </c>
      <c r="AB1262" s="5">
        <f t="shared" si="140"/>
        <v>0</v>
      </c>
    </row>
    <row r="1263" spans="1:28" x14ac:dyDescent="0.25">
      <c r="D1263" t="s">
        <v>76</v>
      </c>
      <c r="E1263" s="38">
        <f t="shared" si="142"/>
        <v>0</v>
      </c>
      <c r="F1263" s="38">
        <f t="shared" si="142"/>
        <v>0</v>
      </c>
      <c r="G1263" s="38">
        <f t="shared" si="142"/>
        <v>0</v>
      </c>
      <c r="H1263" s="38">
        <f t="shared" si="142"/>
        <v>0</v>
      </c>
      <c r="I1263" s="38">
        <f t="shared" si="142"/>
        <v>0</v>
      </c>
      <c r="J1263" s="38">
        <f t="shared" si="141"/>
        <v>0</v>
      </c>
      <c r="K1263" s="38">
        <f t="shared" si="141"/>
        <v>0</v>
      </c>
      <c r="L1263" s="38">
        <f t="shared" si="141"/>
        <v>0</v>
      </c>
      <c r="M1263" s="35">
        <f t="shared" si="139"/>
        <v>0</v>
      </c>
      <c r="S1263" t="s">
        <v>76</v>
      </c>
      <c r="T1263" s="5">
        <f>data_origin!T1437</f>
        <v>0</v>
      </c>
      <c r="U1263" s="5">
        <f>data_origin!U1437</f>
        <v>0</v>
      </c>
      <c r="V1263" s="5">
        <f>data_origin!V1437</f>
        <v>0</v>
      </c>
      <c r="W1263" s="5">
        <f>data_origin!W1437</f>
        <v>0</v>
      </c>
      <c r="X1263" s="5">
        <f>data_origin!X1437</f>
        <v>0</v>
      </c>
      <c r="Y1263" s="5">
        <f>data_origin!Y1437</f>
        <v>0</v>
      </c>
      <c r="Z1263" s="5">
        <f>data_origin!Z1437</f>
        <v>0</v>
      </c>
      <c r="AA1263" s="5">
        <f>data_origin!AA1437</f>
        <v>0</v>
      </c>
      <c r="AB1263" s="5">
        <f t="shared" si="140"/>
        <v>0</v>
      </c>
    </row>
    <row r="1264" spans="1:28" x14ac:dyDescent="0.25">
      <c r="D1264" t="s">
        <v>77</v>
      </c>
      <c r="E1264" s="38">
        <f t="shared" si="142"/>
        <v>0</v>
      </c>
      <c r="F1264" s="38">
        <f t="shared" si="142"/>
        <v>0</v>
      </c>
      <c r="G1264" s="38">
        <f t="shared" si="142"/>
        <v>0</v>
      </c>
      <c r="H1264" s="38">
        <f t="shared" si="142"/>
        <v>0</v>
      </c>
      <c r="I1264" s="38">
        <f t="shared" si="142"/>
        <v>0</v>
      </c>
      <c r="J1264" s="38">
        <f t="shared" si="141"/>
        <v>0</v>
      </c>
      <c r="K1264" s="38">
        <f t="shared" si="141"/>
        <v>0</v>
      </c>
      <c r="L1264" s="38">
        <f t="shared" si="141"/>
        <v>0</v>
      </c>
      <c r="M1264" s="35">
        <f t="shared" si="139"/>
        <v>0</v>
      </c>
      <c r="S1264" t="s">
        <v>77</v>
      </c>
      <c r="T1264" s="5">
        <f>data_origin!T1438</f>
        <v>0</v>
      </c>
      <c r="U1264" s="5">
        <f>data_origin!U1438</f>
        <v>0</v>
      </c>
      <c r="V1264" s="5">
        <f>data_origin!V1438</f>
        <v>0</v>
      </c>
      <c r="W1264" s="5">
        <f>data_origin!W1438</f>
        <v>0</v>
      </c>
      <c r="X1264" s="5">
        <f>data_origin!X1438</f>
        <v>0</v>
      </c>
      <c r="Y1264" s="5">
        <f>data_origin!Y1438</f>
        <v>0</v>
      </c>
      <c r="Z1264" s="5">
        <f>data_origin!Z1438</f>
        <v>0</v>
      </c>
      <c r="AA1264" s="5">
        <f>data_origin!AA1438</f>
        <v>0</v>
      </c>
      <c r="AB1264" s="5">
        <f t="shared" si="140"/>
        <v>0</v>
      </c>
    </row>
    <row r="1265" spans="4:28" x14ac:dyDescent="0.25">
      <c r="D1265" t="s">
        <v>78</v>
      </c>
      <c r="E1265" s="38">
        <f t="shared" si="142"/>
        <v>0</v>
      </c>
      <c r="F1265" s="38">
        <f t="shared" si="142"/>
        <v>0</v>
      </c>
      <c r="G1265" s="38">
        <f t="shared" si="142"/>
        <v>0</v>
      </c>
      <c r="H1265" s="38">
        <f t="shared" si="142"/>
        <v>0</v>
      </c>
      <c r="I1265" s="38">
        <f t="shared" si="142"/>
        <v>0</v>
      </c>
      <c r="J1265" s="38">
        <f t="shared" si="141"/>
        <v>0</v>
      </c>
      <c r="K1265" s="38">
        <f t="shared" si="141"/>
        <v>0</v>
      </c>
      <c r="L1265" s="38">
        <f t="shared" si="141"/>
        <v>0</v>
      </c>
      <c r="M1265" s="35">
        <f t="shared" si="139"/>
        <v>0</v>
      </c>
      <c r="S1265" t="s">
        <v>78</v>
      </c>
      <c r="T1265" s="5">
        <f>data_origin!T1439</f>
        <v>0</v>
      </c>
      <c r="U1265" s="5">
        <f>data_origin!U1439</f>
        <v>0</v>
      </c>
      <c r="V1265" s="5">
        <f>data_origin!V1439</f>
        <v>0</v>
      </c>
      <c r="W1265" s="5">
        <f>data_origin!W1439</f>
        <v>0</v>
      </c>
      <c r="X1265" s="5">
        <f>data_origin!X1439</f>
        <v>0</v>
      </c>
      <c r="Y1265" s="5">
        <f>data_origin!Y1439</f>
        <v>0</v>
      </c>
      <c r="Z1265" s="5">
        <f>data_origin!Z1439</f>
        <v>0</v>
      </c>
      <c r="AA1265" s="5">
        <f>data_origin!AA1439</f>
        <v>0</v>
      </c>
      <c r="AB1265" s="5">
        <f t="shared" si="140"/>
        <v>0</v>
      </c>
    </row>
    <row r="1266" spans="4:28" x14ac:dyDescent="0.25">
      <c r="D1266" t="s">
        <v>79</v>
      </c>
      <c r="E1266" s="38">
        <f t="shared" si="142"/>
        <v>0</v>
      </c>
      <c r="F1266" s="38">
        <f t="shared" si="142"/>
        <v>0</v>
      </c>
      <c r="G1266" s="38">
        <f t="shared" si="142"/>
        <v>0</v>
      </c>
      <c r="H1266" s="38">
        <f t="shared" si="142"/>
        <v>0</v>
      </c>
      <c r="I1266" s="38">
        <f t="shared" si="142"/>
        <v>0</v>
      </c>
      <c r="J1266" s="38">
        <f t="shared" si="141"/>
        <v>0</v>
      </c>
      <c r="K1266" s="38">
        <f t="shared" si="141"/>
        <v>0</v>
      </c>
      <c r="L1266" s="38">
        <f t="shared" si="141"/>
        <v>0</v>
      </c>
      <c r="M1266" s="35">
        <f t="shared" si="139"/>
        <v>0</v>
      </c>
      <c r="S1266" t="s">
        <v>79</v>
      </c>
      <c r="T1266" s="5">
        <f>data_origin!T1440</f>
        <v>0</v>
      </c>
      <c r="U1266" s="5">
        <f>data_origin!U1440</f>
        <v>0</v>
      </c>
      <c r="V1266" s="5">
        <f>data_origin!V1440</f>
        <v>0</v>
      </c>
      <c r="W1266" s="5">
        <f>data_origin!W1440</f>
        <v>0</v>
      </c>
      <c r="X1266" s="5">
        <f>data_origin!X1440</f>
        <v>0</v>
      </c>
      <c r="Y1266" s="5">
        <f>data_origin!Y1440</f>
        <v>0</v>
      </c>
      <c r="Z1266" s="5">
        <f>data_origin!Z1440</f>
        <v>0</v>
      </c>
      <c r="AA1266" s="5">
        <f>data_origin!AA1440</f>
        <v>0</v>
      </c>
      <c r="AB1266" s="5">
        <f t="shared" si="140"/>
        <v>0</v>
      </c>
    </row>
    <row r="1267" spans="4:28" x14ac:dyDescent="0.25">
      <c r="D1267" t="s">
        <v>80</v>
      </c>
      <c r="E1267" s="38">
        <f t="shared" si="142"/>
        <v>0</v>
      </c>
      <c r="F1267" s="38">
        <f t="shared" si="142"/>
        <v>0</v>
      </c>
      <c r="G1267" s="38">
        <f t="shared" si="142"/>
        <v>0</v>
      </c>
      <c r="H1267" s="38">
        <f t="shared" si="142"/>
        <v>0</v>
      </c>
      <c r="I1267" s="38">
        <f t="shared" si="142"/>
        <v>0</v>
      </c>
      <c r="J1267" s="38">
        <f t="shared" si="141"/>
        <v>0</v>
      </c>
      <c r="K1267" s="38">
        <f t="shared" si="141"/>
        <v>0</v>
      </c>
      <c r="L1267" s="38">
        <f t="shared" si="141"/>
        <v>0</v>
      </c>
      <c r="M1267" s="35">
        <f t="shared" si="139"/>
        <v>0</v>
      </c>
      <c r="S1267" t="s">
        <v>80</v>
      </c>
      <c r="T1267" s="5">
        <f>data_origin!T1441</f>
        <v>0</v>
      </c>
      <c r="U1267" s="5">
        <f>data_origin!U1441</f>
        <v>0</v>
      </c>
      <c r="V1267" s="5">
        <f>data_origin!V1441</f>
        <v>0</v>
      </c>
      <c r="W1267" s="5">
        <f>data_origin!W1441</f>
        <v>0</v>
      </c>
      <c r="X1267" s="5">
        <f>data_origin!X1441</f>
        <v>0</v>
      </c>
      <c r="Y1267" s="5">
        <f>data_origin!Y1441</f>
        <v>0</v>
      </c>
      <c r="Z1267" s="5">
        <f>data_origin!Z1441</f>
        <v>0</v>
      </c>
      <c r="AA1267" s="5">
        <f>data_origin!AA1441</f>
        <v>0</v>
      </c>
      <c r="AB1267" s="5">
        <f t="shared" si="140"/>
        <v>0</v>
      </c>
    </row>
    <row r="1268" spans="4:28" x14ac:dyDescent="0.25">
      <c r="D1268" t="s">
        <v>81</v>
      </c>
      <c r="E1268" s="38">
        <f t="shared" si="142"/>
        <v>0</v>
      </c>
      <c r="F1268" s="38">
        <f t="shared" si="142"/>
        <v>0</v>
      </c>
      <c r="G1268" s="38">
        <f t="shared" si="142"/>
        <v>0</v>
      </c>
      <c r="H1268" s="38">
        <f t="shared" si="142"/>
        <v>0</v>
      </c>
      <c r="I1268" s="38">
        <f t="shared" si="142"/>
        <v>0</v>
      </c>
      <c r="J1268" s="38">
        <f t="shared" si="141"/>
        <v>0</v>
      </c>
      <c r="K1268" s="38">
        <f t="shared" si="141"/>
        <v>0</v>
      </c>
      <c r="L1268" s="38">
        <f t="shared" si="141"/>
        <v>0</v>
      </c>
      <c r="M1268" s="35">
        <f t="shared" si="139"/>
        <v>0</v>
      </c>
      <c r="S1268" t="s">
        <v>81</v>
      </c>
      <c r="T1268" s="5">
        <f>data_origin!T1442</f>
        <v>0</v>
      </c>
      <c r="U1268" s="5">
        <f>data_origin!U1442</f>
        <v>0</v>
      </c>
      <c r="V1268" s="5">
        <f>data_origin!V1442</f>
        <v>0</v>
      </c>
      <c r="W1268" s="5">
        <f>data_origin!W1442</f>
        <v>0</v>
      </c>
      <c r="X1268" s="5">
        <f>data_origin!X1442</f>
        <v>0</v>
      </c>
      <c r="Y1268" s="5">
        <f>data_origin!Y1442</f>
        <v>0</v>
      </c>
      <c r="Z1268" s="5">
        <f>data_origin!Z1442</f>
        <v>0</v>
      </c>
      <c r="AA1268" s="5">
        <f>data_origin!AA1442</f>
        <v>0</v>
      </c>
      <c r="AB1268" s="5">
        <f t="shared" si="140"/>
        <v>0</v>
      </c>
    </row>
    <row r="1269" spans="4:28" x14ac:dyDescent="0.25">
      <c r="D1269" t="s">
        <v>82</v>
      </c>
      <c r="E1269" s="38">
        <f t="shared" si="142"/>
        <v>0</v>
      </c>
      <c r="F1269" s="38">
        <f t="shared" si="142"/>
        <v>0</v>
      </c>
      <c r="G1269" s="38">
        <f t="shared" si="142"/>
        <v>0</v>
      </c>
      <c r="H1269" s="38">
        <f t="shared" si="142"/>
        <v>0</v>
      </c>
      <c r="I1269" s="38">
        <f t="shared" si="142"/>
        <v>0</v>
      </c>
      <c r="J1269" s="38">
        <f t="shared" si="141"/>
        <v>0</v>
      </c>
      <c r="K1269" s="38">
        <f t="shared" si="141"/>
        <v>0</v>
      </c>
      <c r="L1269" s="38">
        <f t="shared" si="141"/>
        <v>0</v>
      </c>
      <c r="M1269" s="35">
        <f t="shared" si="139"/>
        <v>0</v>
      </c>
      <c r="S1269" t="s">
        <v>82</v>
      </c>
      <c r="T1269" s="5">
        <f>data_origin!T1443</f>
        <v>0</v>
      </c>
      <c r="U1269" s="5">
        <f>data_origin!U1443</f>
        <v>0</v>
      </c>
      <c r="V1269" s="5">
        <f>data_origin!V1443</f>
        <v>0</v>
      </c>
      <c r="W1269" s="5">
        <f>data_origin!W1443</f>
        <v>0</v>
      </c>
      <c r="X1269" s="5">
        <f>data_origin!X1443</f>
        <v>0</v>
      </c>
      <c r="Y1269" s="5">
        <f>data_origin!Y1443</f>
        <v>0</v>
      </c>
      <c r="Z1269" s="5">
        <f>data_origin!Z1443</f>
        <v>0</v>
      </c>
      <c r="AA1269" s="5">
        <f>data_origin!AA1443</f>
        <v>0</v>
      </c>
      <c r="AB1269" s="5">
        <f t="shared" si="140"/>
        <v>0</v>
      </c>
    </row>
    <row r="1270" spans="4:28" x14ac:dyDescent="0.25">
      <c r="D1270" t="s">
        <v>83</v>
      </c>
      <c r="E1270" s="38">
        <f t="shared" si="142"/>
        <v>0</v>
      </c>
      <c r="F1270" s="38">
        <f t="shared" si="142"/>
        <v>0</v>
      </c>
      <c r="G1270" s="38">
        <f t="shared" si="142"/>
        <v>0</v>
      </c>
      <c r="H1270" s="38">
        <f t="shared" si="142"/>
        <v>0</v>
      </c>
      <c r="I1270" s="38">
        <f t="shared" si="142"/>
        <v>0</v>
      </c>
      <c r="J1270" s="38">
        <f t="shared" si="141"/>
        <v>0</v>
      </c>
      <c r="K1270" s="38">
        <f t="shared" si="141"/>
        <v>0</v>
      </c>
      <c r="L1270" s="38">
        <f t="shared" si="141"/>
        <v>0</v>
      </c>
      <c r="M1270" s="35">
        <f t="shared" si="139"/>
        <v>0</v>
      </c>
      <c r="S1270" t="s">
        <v>83</v>
      </c>
      <c r="T1270" s="5">
        <f>data_origin!T1444</f>
        <v>0</v>
      </c>
      <c r="U1270" s="5">
        <f>data_origin!U1444</f>
        <v>0</v>
      </c>
      <c r="V1270" s="5">
        <f>data_origin!V1444</f>
        <v>0</v>
      </c>
      <c r="W1270" s="5">
        <f>data_origin!W1444</f>
        <v>0</v>
      </c>
      <c r="X1270" s="5">
        <f>data_origin!X1444</f>
        <v>0</v>
      </c>
      <c r="Y1270" s="5">
        <f>data_origin!Y1444</f>
        <v>0</v>
      </c>
      <c r="Z1270" s="5">
        <f>data_origin!Z1444</f>
        <v>0</v>
      </c>
      <c r="AA1270" s="5">
        <f>data_origin!AA1444</f>
        <v>0</v>
      </c>
      <c r="AB1270" s="5">
        <f t="shared" si="140"/>
        <v>0</v>
      </c>
    </row>
    <row r="1271" spans="4:28" x14ac:dyDescent="0.25">
      <c r="D1271" t="s">
        <v>84</v>
      </c>
      <c r="E1271" s="38">
        <f t="shared" si="142"/>
        <v>0</v>
      </c>
      <c r="F1271" s="38">
        <f t="shared" si="142"/>
        <v>0</v>
      </c>
      <c r="G1271" s="38">
        <f t="shared" si="142"/>
        <v>0</v>
      </c>
      <c r="H1271" s="38">
        <f t="shared" si="142"/>
        <v>0</v>
      </c>
      <c r="I1271" s="38">
        <f t="shared" si="142"/>
        <v>0</v>
      </c>
      <c r="J1271" s="38">
        <f t="shared" si="141"/>
        <v>0</v>
      </c>
      <c r="K1271" s="38">
        <f t="shared" si="141"/>
        <v>0</v>
      </c>
      <c r="L1271" s="38">
        <f t="shared" si="141"/>
        <v>0</v>
      </c>
      <c r="M1271" s="35">
        <f t="shared" si="139"/>
        <v>0</v>
      </c>
      <c r="S1271" t="s">
        <v>84</v>
      </c>
      <c r="T1271" s="5">
        <f>data_origin!T1445</f>
        <v>0</v>
      </c>
      <c r="U1271" s="5">
        <f>data_origin!U1445</f>
        <v>0</v>
      </c>
      <c r="V1271" s="5">
        <f>data_origin!V1445</f>
        <v>0</v>
      </c>
      <c r="W1271" s="5">
        <f>data_origin!W1445</f>
        <v>0</v>
      </c>
      <c r="X1271" s="5">
        <f>data_origin!X1445</f>
        <v>0</v>
      </c>
      <c r="Y1271" s="5">
        <f>data_origin!Y1445</f>
        <v>0</v>
      </c>
      <c r="Z1271" s="5">
        <f>data_origin!Z1445</f>
        <v>0</v>
      </c>
      <c r="AA1271" s="5">
        <f>data_origin!AA1445</f>
        <v>0</v>
      </c>
      <c r="AB1271" s="5">
        <f t="shared" si="140"/>
        <v>0</v>
      </c>
    </row>
    <row r="1272" spans="4:28" x14ac:dyDescent="0.25">
      <c r="D1272" t="s">
        <v>85</v>
      </c>
      <c r="E1272" s="38">
        <f t="shared" si="142"/>
        <v>0</v>
      </c>
      <c r="F1272" s="38">
        <f t="shared" si="142"/>
        <v>0</v>
      </c>
      <c r="G1272" s="38">
        <f t="shared" si="142"/>
        <v>0</v>
      </c>
      <c r="H1272" s="38">
        <f t="shared" si="142"/>
        <v>0</v>
      </c>
      <c r="I1272" s="38">
        <f t="shared" si="142"/>
        <v>0</v>
      </c>
      <c r="J1272" s="38">
        <f t="shared" si="141"/>
        <v>0</v>
      </c>
      <c r="K1272" s="38">
        <f t="shared" si="141"/>
        <v>0</v>
      </c>
      <c r="L1272" s="38">
        <f t="shared" si="141"/>
        <v>0</v>
      </c>
      <c r="M1272" s="35">
        <f t="shared" si="139"/>
        <v>0</v>
      </c>
      <c r="S1272" t="s">
        <v>85</v>
      </c>
      <c r="T1272" s="5">
        <f>data_origin!T1446</f>
        <v>0</v>
      </c>
      <c r="U1272" s="5">
        <f>data_origin!U1446</f>
        <v>0</v>
      </c>
      <c r="V1272" s="5">
        <f>data_origin!V1446</f>
        <v>0</v>
      </c>
      <c r="W1272" s="5">
        <f>data_origin!W1446</f>
        <v>0</v>
      </c>
      <c r="X1272" s="5">
        <f>data_origin!X1446</f>
        <v>0</v>
      </c>
      <c r="Y1272" s="5">
        <f>data_origin!Y1446</f>
        <v>0</v>
      </c>
      <c r="Z1272" s="5">
        <f>data_origin!Z1446</f>
        <v>0</v>
      </c>
      <c r="AA1272" s="5">
        <f>data_origin!AA1446</f>
        <v>0</v>
      </c>
      <c r="AB1272" s="5">
        <f t="shared" si="140"/>
        <v>0</v>
      </c>
    </row>
    <row r="1273" spans="4:28" x14ac:dyDescent="0.25">
      <c r="D1273" t="s">
        <v>86</v>
      </c>
      <c r="E1273" s="38">
        <f t="shared" si="142"/>
        <v>0</v>
      </c>
      <c r="F1273" s="38">
        <f t="shared" si="142"/>
        <v>0</v>
      </c>
      <c r="G1273" s="38">
        <f t="shared" si="142"/>
        <v>1.0139234456837438</v>
      </c>
      <c r="H1273" s="38">
        <f t="shared" si="142"/>
        <v>0</v>
      </c>
      <c r="I1273" s="38">
        <f t="shared" si="142"/>
        <v>3.0522654157453806</v>
      </c>
      <c r="J1273" s="38">
        <f t="shared" si="141"/>
        <v>0</v>
      </c>
      <c r="K1273" s="38">
        <f t="shared" si="141"/>
        <v>0</v>
      </c>
      <c r="L1273" s="38">
        <f t="shared" si="141"/>
        <v>0</v>
      </c>
      <c r="M1273" s="35">
        <f t="shared" si="139"/>
        <v>4.0661888614291239</v>
      </c>
      <c r="S1273" t="s">
        <v>86</v>
      </c>
      <c r="T1273" s="5">
        <f>data_origin!T1447</f>
        <v>0</v>
      </c>
      <c r="U1273" s="5">
        <f>data_origin!U1447</f>
        <v>0</v>
      </c>
      <c r="V1273" s="5">
        <f>data_origin!V1447</f>
        <v>1</v>
      </c>
      <c r="W1273" s="5">
        <f>data_origin!W1447</f>
        <v>0</v>
      </c>
      <c r="X1273" s="5">
        <f>data_origin!X1447</f>
        <v>3</v>
      </c>
      <c r="Y1273" s="5">
        <f>data_origin!Y1447</f>
        <v>0</v>
      </c>
      <c r="Z1273" s="5">
        <f>data_origin!Z1447</f>
        <v>0</v>
      </c>
      <c r="AA1273" s="5">
        <f>data_origin!AA1447</f>
        <v>0</v>
      </c>
      <c r="AB1273" s="5">
        <f t="shared" si="140"/>
        <v>4</v>
      </c>
    </row>
    <row r="1274" spans="4:28" x14ac:dyDescent="0.25">
      <c r="D1274" t="s">
        <v>87</v>
      </c>
      <c r="E1274" s="38">
        <f t="shared" si="142"/>
        <v>0</v>
      </c>
      <c r="F1274" s="38">
        <f t="shared" si="142"/>
        <v>0</v>
      </c>
      <c r="G1274" s="38">
        <f t="shared" si="142"/>
        <v>0</v>
      </c>
      <c r="H1274" s="38">
        <f t="shared" si="142"/>
        <v>0</v>
      </c>
      <c r="I1274" s="38">
        <f t="shared" si="142"/>
        <v>0</v>
      </c>
      <c r="J1274" s="38">
        <f t="shared" si="141"/>
        <v>0</v>
      </c>
      <c r="K1274" s="38">
        <f t="shared" si="141"/>
        <v>0</v>
      </c>
      <c r="L1274" s="38">
        <f t="shared" si="141"/>
        <v>0</v>
      </c>
      <c r="M1274" s="35">
        <f t="shared" si="139"/>
        <v>0</v>
      </c>
      <c r="S1274" t="s">
        <v>87</v>
      </c>
      <c r="T1274" s="5">
        <f>data_origin!T1448</f>
        <v>0</v>
      </c>
      <c r="U1274" s="5">
        <f>data_origin!U1448</f>
        <v>0</v>
      </c>
      <c r="V1274" s="5">
        <f>data_origin!V1448</f>
        <v>0</v>
      </c>
      <c r="W1274" s="5">
        <f>data_origin!W1448</f>
        <v>0</v>
      </c>
      <c r="X1274" s="5">
        <f>data_origin!X1448</f>
        <v>0</v>
      </c>
      <c r="Y1274" s="5">
        <f>data_origin!Y1448</f>
        <v>0</v>
      </c>
      <c r="Z1274" s="5">
        <f>data_origin!Z1448</f>
        <v>0</v>
      </c>
      <c r="AA1274" s="5">
        <f>data_origin!AA1448</f>
        <v>0</v>
      </c>
      <c r="AB1274" s="5">
        <f t="shared" si="140"/>
        <v>0</v>
      </c>
    </row>
    <row r="1275" spans="4:28" x14ac:dyDescent="0.25">
      <c r="D1275" t="s">
        <v>88</v>
      </c>
      <c r="E1275" s="38">
        <f t="shared" si="142"/>
        <v>0</v>
      </c>
      <c r="F1275" s="38">
        <f t="shared" si="142"/>
        <v>0</v>
      </c>
      <c r="G1275" s="38">
        <f t="shared" si="142"/>
        <v>0</v>
      </c>
      <c r="H1275" s="38">
        <f t="shared" si="142"/>
        <v>0</v>
      </c>
      <c r="I1275" s="38">
        <f t="shared" si="142"/>
        <v>0</v>
      </c>
      <c r="J1275" s="38">
        <f t="shared" si="141"/>
        <v>0</v>
      </c>
      <c r="K1275" s="38">
        <f t="shared" si="141"/>
        <v>0</v>
      </c>
      <c r="L1275" s="38">
        <f t="shared" si="141"/>
        <v>0</v>
      </c>
      <c r="M1275" s="35">
        <f t="shared" si="139"/>
        <v>0</v>
      </c>
      <c r="S1275" t="s">
        <v>88</v>
      </c>
      <c r="T1275" s="5">
        <f>data_origin!T1449</f>
        <v>0</v>
      </c>
      <c r="U1275" s="5">
        <f>data_origin!U1449</f>
        <v>0</v>
      </c>
      <c r="V1275" s="5">
        <f>data_origin!V1449</f>
        <v>0</v>
      </c>
      <c r="W1275" s="5">
        <f>data_origin!W1449</f>
        <v>0</v>
      </c>
      <c r="X1275" s="5">
        <f>data_origin!X1449</f>
        <v>0</v>
      </c>
      <c r="Y1275" s="5">
        <f>data_origin!Y1449</f>
        <v>0</v>
      </c>
      <c r="Z1275" s="5">
        <f>data_origin!Z1449</f>
        <v>0</v>
      </c>
      <c r="AA1275" s="5">
        <f>data_origin!AA1449</f>
        <v>0</v>
      </c>
      <c r="AB1275" s="5">
        <f t="shared" si="140"/>
        <v>0</v>
      </c>
    </row>
    <row r="1276" spans="4:28" x14ac:dyDescent="0.25">
      <c r="D1276" t="s">
        <v>89</v>
      </c>
      <c r="E1276" s="38">
        <f t="shared" si="142"/>
        <v>0</v>
      </c>
      <c r="F1276" s="38">
        <f t="shared" si="142"/>
        <v>0</v>
      </c>
      <c r="G1276" s="38">
        <f t="shared" si="142"/>
        <v>0</v>
      </c>
      <c r="H1276" s="38">
        <f t="shared" si="142"/>
        <v>0</v>
      </c>
      <c r="I1276" s="38">
        <f t="shared" si="142"/>
        <v>0</v>
      </c>
      <c r="J1276" s="38">
        <f t="shared" si="141"/>
        <v>0</v>
      </c>
      <c r="K1276" s="38">
        <f t="shared" si="141"/>
        <v>0</v>
      </c>
      <c r="L1276" s="38">
        <f t="shared" si="141"/>
        <v>0</v>
      </c>
      <c r="M1276" s="35">
        <f t="shared" si="139"/>
        <v>0</v>
      </c>
      <c r="S1276" t="s">
        <v>89</v>
      </c>
      <c r="T1276" s="5">
        <f>data_origin!T1450</f>
        <v>0</v>
      </c>
      <c r="U1276" s="5">
        <f>data_origin!U1450</f>
        <v>0</v>
      </c>
      <c r="V1276" s="5">
        <f>data_origin!V1450</f>
        <v>0</v>
      </c>
      <c r="W1276" s="5">
        <f>data_origin!W1450</f>
        <v>0</v>
      </c>
      <c r="X1276" s="5">
        <f>data_origin!X1450</f>
        <v>0</v>
      </c>
      <c r="Y1276" s="5">
        <f>data_origin!Y1450</f>
        <v>0</v>
      </c>
      <c r="Z1276" s="5">
        <f>data_origin!Z1450</f>
        <v>0</v>
      </c>
      <c r="AA1276" s="5">
        <f>data_origin!AA1450</f>
        <v>0</v>
      </c>
      <c r="AB1276" s="5">
        <f t="shared" si="140"/>
        <v>0</v>
      </c>
    </row>
    <row r="1277" spans="4:28" x14ac:dyDescent="0.25">
      <c r="D1277" t="s">
        <v>90</v>
      </c>
      <c r="E1277" s="38">
        <f t="shared" si="142"/>
        <v>0</v>
      </c>
      <c r="F1277" s="38">
        <f t="shared" si="142"/>
        <v>0</v>
      </c>
      <c r="G1277" s="38">
        <f t="shared" si="142"/>
        <v>0</v>
      </c>
      <c r="H1277" s="38">
        <f t="shared" si="142"/>
        <v>0</v>
      </c>
      <c r="I1277" s="38">
        <f t="shared" si="142"/>
        <v>0</v>
      </c>
      <c r="J1277" s="38">
        <f t="shared" si="141"/>
        <v>0</v>
      </c>
      <c r="K1277" s="38">
        <f t="shared" si="141"/>
        <v>0</v>
      </c>
      <c r="L1277" s="38">
        <f t="shared" si="141"/>
        <v>0</v>
      </c>
      <c r="M1277" s="35">
        <f t="shared" si="139"/>
        <v>0</v>
      </c>
      <c r="S1277" t="s">
        <v>90</v>
      </c>
      <c r="T1277" s="5">
        <f>data_origin!T1451</f>
        <v>0</v>
      </c>
      <c r="U1277" s="5">
        <f>data_origin!U1451</f>
        <v>0</v>
      </c>
      <c r="V1277" s="5">
        <f>data_origin!V1451</f>
        <v>0</v>
      </c>
      <c r="W1277" s="5">
        <f>data_origin!W1451</f>
        <v>0</v>
      </c>
      <c r="X1277" s="5">
        <f>data_origin!X1451</f>
        <v>0</v>
      </c>
      <c r="Y1277" s="5">
        <f>data_origin!Y1451</f>
        <v>0</v>
      </c>
      <c r="Z1277" s="5">
        <f>data_origin!Z1451</f>
        <v>0</v>
      </c>
      <c r="AA1277" s="5">
        <f>data_origin!AA1451</f>
        <v>0</v>
      </c>
      <c r="AB1277" s="5">
        <f t="shared" si="140"/>
        <v>0</v>
      </c>
    </row>
    <row r="1278" spans="4:28" x14ac:dyDescent="0.25">
      <c r="D1278" t="s">
        <v>91</v>
      </c>
      <c r="E1278" s="38">
        <f t="shared" si="142"/>
        <v>0</v>
      </c>
      <c r="F1278" s="38">
        <f t="shared" si="142"/>
        <v>0</v>
      </c>
      <c r="G1278" s="38">
        <f t="shared" si="142"/>
        <v>0</v>
      </c>
      <c r="H1278" s="38">
        <f t="shared" si="142"/>
        <v>0</v>
      </c>
      <c r="I1278" s="38">
        <f t="shared" si="142"/>
        <v>0</v>
      </c>
      <c r="J1278" s="38">
        <f t="shared" si="141"/>
        <v>0</v>
      </c>
      <c r="K1278" s="38">
        <f t="shared" si="141"/>
        <v>0</v>
      </c>
      <c r="L1278" s="38">
        <f t="shared" si="141"/>
        <v>0</v>
      </c>
      <c r="M1278" s="35">
        <f t="shared" si="139"/>
        <v>0</v>
      </c>
      <c r="S1278" t="s">
        <v>91</v>
      </c>
      <c r="T1278" s="5">
        <f>data_origin!T1452</f>
        <v>0</v>
      </c>
      <c r="U1278" s="5">
        <f>data_origin!U1452</f>
        <v>0</v>
      </c>
      <c r="V1278" s="5">
        <f>data_origin!V1452</f>
        <v>0</v>
      </c>
      <c r="W1278" s="5">
        <f>data_origin!W1452</f>
        <v>0</v>
      </c>
      <c r="X1278" s="5">
        <f>data_origin!X1452</f>
        <v>0</v>
      </c>
      <c r="Y1278" s="5">
        <f>data_origin!Y1452</f>
        <v>0</v>
      </c>
      <c r="Z1278" s="5">
        <f>data_origin!Z1452</f>
        <v>0</v>
      </c>
      <c r="AA1278" s="5">
        <f>data_origin!AA1452</f>
        <v>0</v>
      </c>
      <c r="AB1278" s="5">
        <f t="shared" si="140"/>
        <v>0</v>
      </c>
    </row>
    <row r="1279" spans="4:28" x14ac:dyDescent="0.25">
      <c r="D1279" t="s">
        <v>92</v>
      </c>
      <c r="E1279" s="38">
        <f t="shared" si="142"/>
        <v>0</v>
      </c>
      <c r="F1279" s="38">
        <f t="shared" si="142"/>
        <v>0</v>
      </c>
      <c r="G1279" s="38">
        <f t="shared" si="142"/>
        <v>0</v>
      </c>
      <c r="H1279" s="38">
        <f t="shared" si="142"/>
        <v>0</v>
      </c>
      <c r="I1279" s="38">
        <f t="shared" si="142"/>
        <v>0</v>
      </c>
      <c r="J1279" s="38">
        <f t="shared" si="141"/>
        <v>0</v>
      </c>
      <c r="K1279" s="38">
        <f t="shared" si="141"/>
        <v>0</v>
      </c>
      <c r="L1279" s="38">
        <f t="shared" si="141"/>
        <v>0</v>
      </c>
      <c r="M1279" s="35">
        <f t="shared" si="139"/>
        <v>0</v>
      </c>
      <c r="S1279" t="s">
        <v>92</v>
      </c>
      <c r="T1279" s="5">
        <f>data_origin!T1453</f>
        <v>0</v>
      </c>
      <c r="U1279" s="5">
        <f>data_origin!U1453</f>
        <v>0</v>
      </c>
      <c r="V1279" s="5">
        <f>data_origin!V1453</f>
        <v>0</v>
      </c>
      <c r="W1279" s="5">
        <f>data_origin!W1453</f>
        <v>0</v>
      </c>
      <c r="X1279" s="5">
        <f>data_origin!X1453</f>
        <v>0</v>
      </c>
      <c r="Y1279" s="5">
        <f>data_origin!Y1453</f>
        <v>0</v>
      </c>
      <c r="Z1279" s="5">
        <f>data_origin!Z1453</f>
        <v>0</v>
      </c>
      <c r="AA1279" s="5">
        <f>data_origin!AA1453</f>
        <v>0</v>
      </c>
      <c r="AB1279" s="5">
        <f t="shared" si="140"/>
        <v>0</v>
      </c>
    </row>
    <row r="1280" spans="4:28" x14ac:dyDescent="0.25">
      <c r="D1280" t="s">
        <v>93</v>
      </c>
      <c r="E1280" s="38">
        <f t="shared" si="142"/>
        <v>0</v>
      </c>
      <c r="F1280" s="38">
        <f t="shared" si="142"/>
        <v>0</v>
      </c>
      <c r="G1280" s="38">
        <f t="shared" si="142"/>
        <v>0</v>
      </c>
      <c r="H1280" s="38">
        <f t="shared" si="142"/>
        <v>0</v>
      </c>
      <c r="I1280" s="38">
        <f t="shared" si="142"/>
        <v>0</v>
      </c>
      <c r="J1280" s="38">
        <f t="shared" si="141"/>
        <v>0</v>
      </c>
      <c r="K1280" s="38">
        <f t="shared" si="141"/>
        <v>0</v>
      </c>
      <c r="L1280" s="38">
        <f t="shared" si="141"/>
        <v>0</v>
      </c>
      <c r="M1280" s="35">
        <f t="shared" si="139"/>
        <v>0</v>
      </c>
      <c r="S1280" t="s">
        <v>93</v>
      </c>
      <c r="T1280" s="5">
        <f>data_origin!T1454</f>
        <v>0</v>
      </c>
      <c r="U1280" s="5">
        <f>data_origin!U1454</f>
        <v>0</v>
      </c>
      <c r="V1280" s="5">
        <f>data_origin!V1454</f>
        <v>0</v>
      </c>
      <c r="W1280" s="5">
        <f>data_origin!W1454</f>
        <v>0</v>
      </c>
      <c r="X1280" s="5">
        <f>data_origin!X1454</f>
        <v>0</v>
      </c>
      <c r="Y1280" s="5">
        <f>data_origin!Y1454</f>
        <v>0</v>
      </c>
      <c r="Z1280" s="5">
        <f>data_origin!Z1454</f>
        <v>0</v>
      </c>
      <c r="AA1280" s="5">
        <f>data_origin!AA1454</f>
        <v>0</v>
      </c>
      <c r="AB1280" s="5">
        <f t="shared" si="140"/>
        <v>0</v>
      </c>
    </row>
    <row r="1281" spans="1:28" x14ac:dyDescent="0.25">
      <c r="D1281" t="s">
        <v>94</v>
      </c>
      <c r="E1281" s="38">
        <f t="shared" si="142"/>
        <v>0</v>
      </c>
      <c r="F1281" s="38">
        <f t="shared" si="142"/>
        <v>0</v>
      </c>
      <c r="G1281" s="38">
        <f t="shared" si="142"/>
        <v>0</v>
      </c>
      <c r="H1281" s="38">
        <f t="shared" si="142"/>
        <v>0</v>
      </c>
      <c r="I1281" s="38">
        <f t="shared" si="142"/>
        <v>0</v>
      </c>
      <c r="J1281" s="38">
        <f t="shared" si="141"/>
        <v>0</v>
      </c>
      <c r="K1281" s="38">
        <f t="shared" si="141"/>
        <v>0</v>
      </c>
      <c r="L1281" s="38">
        <f t="shared" si="141"/>
        <v>0</v>
      </c>
      <c r="M1281" s="35">
        <f t="shared" si="139"/>
        <v>0</v>
      </c>
      <c r="S1281" t="s">
        <v>94</v>
      </c>
      <c r="T1281" s="5">
        <f>data_origin!T1455</f>
        <v>0</v>
      </c>
      <c r="U1281" s="5">
        <f>data_origin!U1455</f>
        <v>0</v>
      </c>
      <c r="V1281" s="5">
        <f>data_origin!V1455</f>
        <v>0</v>
      </c>
      <c r="W1281" s="5">
        <f>data_origin!W1455</f>
        <v>0</v>
      </c>
      <c r="X1281" s="5">
        <f>data_origin!X1455</f>
        <v>0</v>
      </c>
      <c r="Y1281" s="5">
        <f>data_origin!Y1455</f>
        <v>0</v>
      </c>
      <c r="Z1281" s="5">
        <f>data_origin!Z1455</f>
        <v>0</v>
      </c>
      <c r="AA1281" s="5">
        <f>data_origin!AA1455</f>
        <v>0</v>
      </c>
      <c r="AB1281" s="5">
        <f t="shared" si="140"/>
        <v>0</v>
      </c>
    </row>
    <row r="1282" spans="1:28" x14ac:dyDescent="0.25">
      <c r="D1282" t="s">
        <v>95</v>
      </c>
      <c r="E1282" s="38">
        <f t="shared" si="142"/>
        <v>0</v>
      </c>
      <c r="F1282" s="38">
        <f t="shared" si="142"/>
        <v>0</v>
      </c>
      <c r="G1282" s="38">
        <f t="shared" si="142"/>
        <v>0</v>
      </c>
      <c r="H1282" s="38">
        <f t="shared" si="142"/>
        <v>0</v>
      </c>
      <c r="I1282" s="38">
        <f t="shared" si="142"/>
        <v>0</v>
      </c>
      <c r="J1282" s="38">
        <f t="shared" si="141"/>
        <v>0</v>
      </c>
      <c r="K1282" s="38">
        <f t="shared" si="141"/>
        <v>0</v>
      </c>
      <c r="L1282" s="38">
        <f t="shared" si="141"/>
        <v>0</v>
      </c>
      <c r="M1282" s="35">
        <f t="shared" si="139"/>
        <v>0</v>
      </c>
      <c r="S1282" t="s">
        <v>95</v>
      </c>
      <c r="T1282" s="5">
        <f>data_origin!T1456</f>
        <v>0</v>
      </c>
      <c r="U1282" s="5">
        <f>data_origin!U1456</f>
        <v>0</v>
      </c>
      <c r="V1282" s="5">
        <f>data_origin!V1456</f>
        <v>0</v>
      </c>
      <c r="W1282" s="5">
        <f>data_origin!W1456</f>
        <v>0</v>
      </c>
      <c r="X1282" s="5">
        <f>data_origin!X1456</f>
        <v>0</v>
      </c>
      <c r="Y1282" s="5">
        <f>data_origin!Y1456</f>
        <v>0</v>
      </c>
      <c r="Z1282" s="5">
        <f>data_origin!Z1456</f>
        <v>0</v>
      </c>
      <c r="AA1282" s="5">
        <f>data_origin!AA1456</f>
        <v>0</v>
      </c>
      <c r="AB1282" s="5">
        <f t="shared" si="140"/>
        <v>0</v>
      </c>
    </row>
    <row r="1283" spans="1:28" x14ac:dyDescent="0.25">
      <c r="D1283" t="s">
        <v>96</v>
      </c>
      <c r="E1283" s="38">
        <f t="shared" si="142"/>
        <v>0</v>
      </c>
      <c r="F1283" s="38">
        <f t="shared" si="142"/>
        <v>0</v>
      </c>
      <c r="G1283" s="38">
        <f t="shared" si="142"/>
        <v>0</v>
      </c>
      <c r="H1283" s="38">
        <f t="shared" si="142"/>
        <v>0</v>
      </c>
      <c r="I1283" s="38">
        <f t="shared" si="142"/>
        <v>0</v>
      </c>
      <c r="J1283" s="38">
        <f t="shared" si="141"/>
        <v>0</v>
      </c>
      <c r="K1283" s="38">
        <f t="shared" si="141"/>
        <v>0</v>
      </c>
      <c r="L1283" s="38">
        <f t="shared" si="141"/>
        <v>0</v>
      </c>
      <c r="M1283" s="35">
        <f t="shared" ref="M1283:M1346" si="143">SUM(E1283:L1283)</f>
        <v>0</v>
      </c>
      <c r="S1283" t="s">
        <v>96</v>
      </c>
      <c r="T1283" s="5">
        <f>data_origin!T1457</f>
        <v>0</v>
      </c>
      <c r="U1283" s="5">
        <f>data_origin!U1457</f>
        <v>0</v>
      </c>
      <c r="V1283" s="5">
        <f>data_origin!V1457</f>
        <v>0</v>
      </c>
      <c r="W1283" s="5">
        <f>data_origin!W1457</f>
        <v>0</v>
      </c>
      <c r="X1283" s="5">
        <f>data_origin!X1457</f>
        <v>0</v>
      </c>
      <c r="Y1283" s="5">
        <f>data_origin!Y1457</f>
        <v>0</v>
      </c>
      <c r="Z1283" s="5">
        <f>data_origin!Z1457</f>
        <v>0</v>
      </c>
      <c r="AA1283" s="5">
        <f>data_origin!AA1457</f>
        <v>0</v>
      </c>
      <c r="AB1283" s="5">
        <f t="shared" si="140"/>
        <v>0</v>
      </c>
    </row>
    <row r="1284" spans="1:28" x14ac:dyDescent="0.25">
      <c r="D1284" t="s">
        <v>97</v>
      </c>
      <c r="E1284" s="38">
        <f t="shared" si="142"/>
        <v>0</v>
      </c>
      <c r="F1284" s="38">
        <f t="shared" si="142"/>
        <v>0</v>
      </c>
      <c r="G1284" s="38">
        <f t="shared" si="142"/>
        <v>0</v>
      </c>
      <c r="H1284" s="38">
        <f t="shared" si="142"/>
        <v>0</v>
      </c>
      <c r="I1284" s="38">
        <f t="shared" si="142"/>
        <v>0</v>
      </c>
      <c r="J1284" s="38">
        <f t="shared" si="141"/>
        <v>0</v>
      </c>
      <c r="K1284" s="38">
        <f t="shared" si="141"/>
        <v>0</v>
      </c>
      <c r="L1284" s="38">
        <f t="shared" si="141"/>
        <v>0</v>
      </c>
      <c r="M1284" s="35">
        <f t="shared" si="143"/>
        <v>0</v>
      </c>
      <c r="S1284" t="s">
        <v>97</v>
      </c>
      <c r="T1284" s="5">
        <f>data_origin!T1458</f>
        <v>0</v>
      </c>
      <c r="U1284" s="5">
        <f>data_origin!U1458</f>
        <v>0</v>
      </c>
      <c r="V1284" s="5">
        <f>data_origin!V1458</f>
        <v>0</v>
      </c>
      <c r="W1284" s="5">
        <f>data_origin!W1458</f>
        <v>0</v>
      </c>
      <c r="X1284" s="5">
        <f>data_origin!X1458</f>
        <v>0</v>
      </c>
      <c r="Y1284" s="5">
        <f>data_origin!Y1458</f>
        <v>0</v>
      </c>
      <c r="Z1284" s="5">
        <f>data_origin!Z1458</f>
        <v>0</v>
      </c>
      <c r="AA1284" s="5">
        <f>data_origin!AA1458</f>
        <v>0</v>
      </c>
      <c r="AB1284" s="5">
        <f t="shared" si="140"/>
        <v>0</v>
      </c>
    </row>
    <row r="1285" spans="1:28" x14ac:dyDescent="0.25">
      <c r="D1285" t="s">
        <v>98</v>
      </c>
      <c r="E1285" s="38">
        <f t="shared" si="142"/>
        <v>0</v>
      </c>
      <c r="F1285" s="38">
        <f t="shared" si="142"/>
        <v>0</v>
      </c>
      <c r="G1285" s="38">
        <f t="shared" si="142"/>
        <v>0</v>
      </c>
      <c r="H1285" s="38">
        <f t="shared" si="142"/>
        <v>0</v>
      </c>
      <c r="I1285" s="38">
        <f t="shared" si="142"/>
        <v>0</v>
      </c>
      <c r="J1285" s="38">
        <f t="shared" si="141"/>
        <v>0</v>
      </c>
      <c r="K1285" s="38">
        <f t="shared" si="141"/>
        <v>0</v>
      </c>
      <c r="L1285" s="38">
        <f t="shared" si="141"/>
        <v>0</v>
      </c>
      <c r="M1285" s="35">
        <f t="shared" si="143"/>
        <v>0</v>
      </c>
      <c r="S1285" t="s">
        <v>98</v>
      </c>
      <c r="T1285" s="5">
        <f>data_origin!T1459</f>
        <v>0</v>
      </c>
      <c r="U1285" s="5">
        <f>data_origin!U1459</f>
        <v>0</v>
      </c>
      <c r="V1285" s="5">
        <f>data_origin!V1459</f>
        <v>0</v>
      </c>
      <c r="W1285" s="5">
        <f>data_origin!W1459</f>
        <v>0</v>
      </c>
      <c r="X1285" s="5">
        <f>data_origin!X1459</f>
        <v>0</v>
      </c>
      <c r="Y1285" s="5">
        <f>data_origin!Y1459</f>
        <v>0</v>
      </c>
      <c r="Z1285" s="5">
        <f>data_origin!Z1459</f>
        <v>0</v>
      </c>
      <c r="AA1285" s="5">
        <f>data_origin!AA1459</f>
        <v>0</v>
      </c>
      <c r="AB1285" s="5">
        <f t="shared" si="140"/>
        <v>0</v>
      </c>
    </row>
    <row r="1286" spans="1:28" x14ac:dyDescent="0.25">
      <c r="D1286" t="s">
        <v>119</v>
      </c>
      <c r="E1286" s="38">
        <f t="shared" si="142"/>
        <v>0</v>
      </c>
      <c r="F1286" s="38">
        <f t="shared" si="142"/>
        <v>0</v>
      </c>
      <c r="G1286" s="38">
        <f t="shared" si="142"/>
        <v>0</v>
      </c>
      <c r="H1286" s="38">
        <f t="shared" si="142"/>
        <v>0</v>
      </c>
      <c r="I1286" s="38">
        <f t="shared" si="142"/>
        <v>0</v>
      </c>
      <c r="J1286" s="38">
        <f t="shared" si="141"/>
        <v>0</v>
      </c>
      <c r="K1286" s="38">
        <f t="shared" si="141"/>
        <v>0</v>
      </c>
      <c r="L1286" s="38">
        <f t="shared" si="141"/>
        <v>0</v>
      </c>
      <c r="M1286" s="35">
        <f t="shared" si="143"/>
        <v>0</v>
      </c>
      <c r="S1286" t="s">
        <v>119</v>
      </c>
      <c r="T1286" s="5">
        <f>data_origin!T1460</f>
        <v>0</v>
      </c>
      <c r="U1286" s="5">
        <f>data_origin!U1460</f>
        <v>0</v>
      </c>
      <c r="V1286" s="5">
        <f>data_origin!V1460</f>
        <v>0</v>
      </c>
      <c r="W1286" s="5">
        <f>data_origin!W1460</f>
        <v>0</v>
      </c>
      <c r="X1286" s="5">
        <f>data_origin!X1460</f>
        <v>0</v>
      </c>
      <c r="Y1286" s="5">
        <f>data_origin!Y1460</f>
        <v>0</v>
      </c>
      <c r="Z1286" s="5">
        <f>data_origin!Z1460</f>
        <v>0</v>
      </c>
      <c r="AA1286" s="5">
        <f>data_origin!AA1460</f>
        <v>0</v>
      </c>
      <c r="AB1286" s="5">
        <f t="shared" si="140"/>
        <v>0</v>
      </c>
    </row>
    <row r="1287" spans="1:28" x14ac:dyDescent="0.25">
      <c r="D1287" t="s">
        <v>99</v>
      </c>
      <c r="E1287" s="38">
        <f t="shared" si="142"/>
        <v>0</v>
      </c>
      <c r="F1287" s="38">
        <f t="shared" si="142"/>
        <v>0</v>
      </c>
      <c r="G1287" s="38">
        <f t="shared" si="142"/>
        <v>0</v>
      </c>
      <c r="H1287" s="38">
        <f t="shared" si="142"/>
        <v>0</v>
      </c>
      <c r="I1287" s="38">
        <f t="shared" si="142"/>
        <v>0</v>
      </c>
      <c r="J1287" s="38">
        <f t="shared" si="141"/>
        <v>0</v>
      </c>
      <c r="K1287" s="38">
        <f t="shared" si="141"/>
        <v>0</v>
      </c>
      <c r="L1287" s="38">
        <f t="shared" si="141"/>
        <v>0</v>
      </c>
      <c r="M1287" s="35">
        <f t="shared" si="143"/>
        <v>0</v>
      </c>
      <c r="S1287" t="s">
        <v>99</v>
      </c>
      <c r="T1287" s="5">
        <f>data_origin!T1461</f>
        <v>0</v>
      </c>
      <c r="U1287" s="5">
        <f>data_origin!U1461</f>
        <v>0</v>
      </c>
      <c r="V1287" s="5">
        <f>data_origin!V1461</f>
        <v>0</v>
      </c>
      <c r="W1287" s="5">
        <f>data_origin!W1461</f>
        <v>0</v>
      </c>
      <c r="X1287" s="5">
        <f>data_origin!X1461</f>
        <v>0</v>
      </c>
      <c r="Y1287" s="5">
        <f>data_origin!Y1461</f>
        <v>0</v>
      </c>
      <c r="Z1287" s="5">
        <f>data_origin!Z1461</f>
        <v>0</v>
      </c>
      <c r="AA1287" s="5">
        <f>data_origin!AA1461</f>
        <v>0</v>
      </c>
      <c r="AB1287" s="5">
        <f t="shared" si="140"/>
        <v>0</v>
      </c>
    </row>
    <row r="1288" spans="1:28" x14ac:dyDescent="0.25">
      <c r="D1288" t="s">
        <v>100</v>
      </c>
      <c r="E1288" s="38">
        <f t="shared" si="142"/>
        <v>0</v>
      </c>
      <c r="F1288" s="38">
        <f t="shared" si="142"/>
        <v>0</v>
      </c>
      <c r="G1288" s="38">
        <f t="shared" si="142"/>
        <v>0</v>
      </c>
      <c r="H1288" s="38">
        <f t="shared" si="142"/>
        <v>0</v>
      </c>
      <c r="I1288" s="38">
        <f t="shared" si="142"/>
        <v>0</v>
      </c>
      <c r="J1288" s="38">
        <f t="shared" si="141"/>
        <v>0</v>
      </c>
      <c r="K1288" s="38">
        <f t="shared" si="141"/>
        <v>0</v>
      </c>
      <c r="L1288" s="38">
        <f t="shared" si="141"/>
        <v>0</v>
      </c>
      <c r="M1288" s="35">
        <f t="shared" si="143"/>
        <v>0</v>
      </c>
      <c r="S1288" t="s">
        <v>100</v>
      </c>
      <c r="T1288" s="5">
        <f>data_origin!T1462</f>
        <v>0</v>
      </c>
      <c r="U1288" s="5">
        <f>data_origin!U1462</f>
        <v>0</v>
      </c>
      <c r="V1288" s="5">
        <f>data_origin!V1462</f>
        <v>0</v>
      </c>
      <c r="W1288" s="5">
        <f>data_origin!W1462</f>
        <v>0</v>
      </c>
      <c r="X1288" s="5">
        <f>data_origin!X1462</f>
        <v>0</v>
      </c>
      <c r="Y1288" s="5">
        <f>data_origin!Y1462</f>
        <v>0</v>
      </c>
      <c r="Z1288" s="5">
        <f>data_origin!Z1462</f>
        <v>0</v>
      </c>
      <c r="AA1288" s="5">
        <f>data_origin!AA1462</f>
        <v>0</v>
      </c>
      <c r="AB1288" s="5">
        <f t="shared" si="140"/>
        <v>0</v>
      </c>
    </row>
    <row r="1289" spans="1:28" x14ac:dyDescent="0.25">
      <c r="D1289" t="s">
        <v>101</v>
      </c>
      <c r="E1289" s="38">
        <f t="shared" si="142"/>
        <v>0</v>
      </c>
      <c r="F1289" s="38">
        <f t="shared" si="142"/>
        <v>0</v>
      </c>
      <c r="G1289" s="38">
        <f t="shared" si="142"/>
        <v>0</v>
      </c>
      <c r="H1289" s="38">
        <f t="shared" si="142"/>
        <v>0</v>
      </c>
      <c r="I1289" s="38">
        <f t="shared" si="142"/>
        <v>0</v>
      </c>
      <c r="J1289" s="38">
        <f t="shared" si="141"/>
        <v>0</v>
      </c>
      <c r="K1289" s="38">
        <f t="shared" si="141"/>
        <v>0</v>
      </c>
      <c r="L1289" s="38">
        <f t="shared" si="141"/>
        <v>0</v>
      </c>
      <c r="M1289" s="35">
        <f t="shared" si="143"/>
        <v>0</v>
      </c>
      <c r="S1289" t="s">
        <v>101</v>
      </c>
      <c r="T1289" s="5">
        <f>data_origin!T1463</f>
        <v>0</v>
      </c>
      <c r="U1289" s="5">
        <f>data_origin!U1463</f>
        <v>0</v>
      </c>
      <c r="V1289" s="5">
        <f>data_origin!V1463</f>
        <v>0</v>
      </c>
      <c r="W1289" s="5">
        <f>data_origin!W1463</f>
        <v>0</v>
      </c>
      <c r="X1289" s="5">
        <f>data_origin!X1463</f>
        <v>0</v>
      </c>
      <c r="Y1289" s="5">
        <f>data_origin!Y1463</f>
        <v>0</v>
      </c>
      <c r="Z1289" s="5">
        <f>data_origin!Z1463</f>
        <v>0</v>
      </c>
      <c r="AA1289" s="5">
        <f>data_origin!AA1463</f>
        <v>0</v>
      </c>
      <c r="AB1289" s="5">
        <f t="shared" si="140"/>
        <v>0</v>
      </c>
    </row>
    <row r="1290" spans="1:28" x14ac:dyDescent="0.25">
      <c r="A1290" s="24" t="s">
        <v>115</v>
      </c>
      <c r="B1290" s="24" t="s">
        <v>103</v>
      </c>
      <c r="C1290" s="24" t="s">
        <v>114</v>
      </c>
      <c r="D1290" t="s">
        <v>70</v>
      </c>
      <c r="E1290" s="38">
        <f t="shared" si="142"/>
        <v>0</v>
      </c>
      <c r="F1290" s="38">
        <f t="shared" si="142"/>
        <v>0</v>
      </c>
      <c r="G1290" s="38">
        <f t="shared" si="142"/>
        <v>0</v>
      </c>
      <c r="H1290" s="38">
        <f t="shared" si="142"/>
        <v>2.010943479865539</v>
      </c>
      <c r="I1290" s="38">
        <f t="shared" si="142"/>
        <v>0</v>
      </c>
      <c r="J1290" s="38">
        <f t="shared" si="141"/>
        <v>0</v>
      </c>
      <c r="K1290" s="38">
        <f t="shared" si="141"/>
        <v>0</v>
      </c>
      <c r="L1290" s="38">
        <f t="shared" si="141"/>
        <v>3.0303030303030304E-2</v>
      </c>
      <c r="M1290" s="35">
        <f t="shared" si="143"/>
        <v>2.0412465101685693</v>
      </c>
      <c r="P1290" t="s">
        <v>115</v>
      </c>
      <c r="Q1290" t="s">
        <v>103</v>
      </c>
      <c r="R1290" t="s">
        <v>114</v>
      </c>
      <c r="S1290" t="s">
        <v>70</v>
      </c>
      <c r="T1290" s="5">
        <f>data_origin!T1465</f>
        <v>0</v>
      </c>
      <c r="U1290" s="5">
        <f>data_origin!U1465</f>
        <v>0</v>
      </c>
      <c r="V1290" s="5">
        <f>data_origin!V1465</f>
        <v>0</v>
      </c>
      <c r="W1290" s="5">
        <f>data_origin!W1465</f>
        <v>1.9762773722627736</v>
      </c>
      <c r="X1290" s="5">
        <f>data_origin!X1465</f>
        <v>0</v>
      </c>
      <c r="Y1290" s="5">
        <f>data_origin!Y1465</f>
        <v>0</v>
      </c>
      <c r="Z1290" s="5">
        <f>data_origin!Z1465</f>
        <v>0</v>
      </c>
      <c r="AA1290" s="5">
        <f>data_origin!AA1465</f>
        <v>3.0303030303030304E-2</v>
      </c>
      <c r="AB1290" s="5">
        <f t="shared" si="140"/>
        <v>2.0065804025658038</v>
      </c>
    </row>
    <row r="1291" spans="1:28" x14ac:dyDescent="0.25">
      <c r="D1291" t="s">
        <v>71</v>
      </c>
      <c r="E1291" s="38">
        <f t="shared" si="142"/>
        <v>0</v>
      </c>
      <c r="F1291" s="38">
        <f t="shared" si="142"/>
        <v>0</v>
      </c>
      <c r="G1291" s="38">
        <f t="shared" si="142"/>
        <v>11.302468546919815</v>
      </c>
      <c r="H1291" s="38">
        <f t="shared" si="142"/>
        <v>8.043773919462156</v>
      </c>
      <c r="I1291" s="38">
        <f t="shared" si="142"/>
        <v>8.4490918865077607</v>
      </c>
      <c r="J1291" s="38">
        <f t="shared" si="141"/>
        <v>0</v>
      </c>
      <c r="K1291" s="38">
        <f t="shared" si="141"/>
        <v>0</v>
      </c>
      <c r="L1291" s="38">
        <f t="shared" si="141"/>
        <v>3.0303030303030304E-2</v>
      </c>
      <c r="M1291" s="35">
        <f t="shared" si="143"/>
        <v>27.825637383192763</v>
      </c>
      <c r="S1291" t="s">
        <v>71</v>
      </c>
      <c r="T1291" s="5">
        <f>data_origin!T1466</f>
        <v>0</v>
      </c>
      <c r="U1291" s="5">
        <f>data_origin!U1466</f>
        <v>0</v>
      </c>
      <c r="V1291" s="5">
        <f>data_origin!V1466</f>
        <v>11.147260273972602</v>
      </c>
      <c r="W1291" s="5">
        <f>data_origin!W1466</f>
        <v>7.9051094890510942</v>
      </c>
      <c r="X1291" s="5">
        <f>data_origin!X1466</f>
        <v>8.3044140030441405</v>
      </c>
      <c r="Y1291" s="5">
        <f>data_origin!Y1466</f>
        <v>0</v>
      </c>
      <c r="Z1291" s="5">
        <f>data_origin!Z1466</f>
        <v>0</v>
      </c>
      <c r="AA1291" s="5">
        <f>data_origin!AA1466</f>
        <v>3.0303030303030304E-2</v>
      </c>
      <c r="AB1291" s="5">
        <f t="shared" si="140"/>
        <v>27.38708679637087</v>
      </c>
    </row>
    <row r="1292" spans="1:28" x14ac:dyDescent="0.25">
      <c r="D1292" t="s">
        <v>72</v>
      </c>
      <c r="E1292" s="38">
        <f t="shared" si="142"/>
        <v>0</v>
      </c>
      <c r="F1292" s="38">
        <f t="shared" si="142"/>
        <v>0</v>
      </c>
      <c r="G1292" s="38">
        <f t="shared" si="142"/>
        <v>5.6512342734599077</v>
      </c>
      <c r="H1292" s="38">
        <f t="shared" si="142"/>
        <v>8.043773919462156</v>
      </c>
      <c r="I1292" s="38">
        <f t="shared" si="142"/>
        <v>8.4490918865077607</v>
      </c>
      <c r="J1292" s="38">
        <f t="shared" si="141"/>
        <v>2.5806214337586884</v>
      </c>
      <c r="K1292" s="38">
        <f t="shared" si="141"/>
        <v>0</v>
      </c>
      <c r="L1292" s="38">
        <f t="shared" si="141"/>
        <v>3.0303030303030304E-2</v>
      </c>
      <c r="M1292" s="35">
        <f t="shared" si="143"/>
        <v>24.755024543491544</v>
      </c>
      <c r="S1292" t="s">
        <v>72</v>
      </c>
      <c r="T1292" s="5">
        <f>data_origin!T1467</f>
        <v>0</v>
      </c>
      <c r="U1292" s="5">
        <f>data_origin!U1467</f>
        <v>0</v>
      </c>
      <c r="V1292" s="5">
        <f>data_origin!V1467</f>
        <v>5.5736301369863011</v>
      </c>
      <c r="W1292" s="5">
        <f>data_origin!W1467</f>
        <v>7.9051094890510942</v>
      </c>
      <c r="X1292" s="5">
        <f>data_origin!X1467</f>
        <v>8.3044140030441405</v>
      </c>
      <c r="Y1292" s="5">
        <f>data_origin!Y1467</f>
        <v>2.5333333333333332</v>
      </c>
      <c r="Z1292" s="5">
        <f>data_origin!Z1467</f>
        <v>0</v>
      </c>
      <c r="AA1292" s="5">
        <f>data_origin!AA1467</f>
        <v>3.0303030303030304E-2</v>
      </c>
      <c r="AB1292" s="5">
        <f t="shared" si="140"/>
        <v>24.346789992717902</v>
      </c>
    </row>
    <row r="1293" spans="1:28" x14ac:dyDescent="0.25">
      <c r="D1293" t="s">
        <v>73</v>
      </c>
      <c r="E1293" s="38">
        <f t="shared" si="142"/>
        <v>0</v>
      </c>
      <c r="F1293" s="38">
        <f t="shared" si="142"/>
        <v>0</v>
      </c>
      <c r="G1293" s="38">
        <f t="shared" si="142"/>
        <v>3.7674895156399386</v>
      </c>
      <c r="H1293" s="38">
        <f t="shared" si="142"/>
        <v>4.021886959731078</v>
      </c>
      <c r="I1293" s="38">
        <f t="shared" si="142"/>
        <v>6.3368189148808201</v>
      </c>
      <c r="J1293" s="38">
        <f t="shared" si="141"/>
        <v>2.5806214337586884</v>
      </c>
      <c r="K1293" s="38">
        <f t="shared" si="141"/>
        <v>0</v>
      </c>
      <c r="L1293" s="38">
        <f t="shared" si="141"/>
        <v>3.0303030303030304E-2</v>
      </c>
      <c r="M1293" s="35">
        <f t="shared" si="143"/>
        <v>16.737119854313555</v>
      </c>
      <c r="S1293" t="s">
        <v>73</v>
      </c>
      <c r="T1293" s="5">
        <f>data_origin!T1468</f>
        <v>0</v>
      </c>
      <c r="U1293" s="5">
        <f>data_origin!U1468</f>
        <v>0</v>
      </c>
      <c r="V1293" s="5">
        <f>data_origin!V1468</f>
        <v>3.7157534246575343</v>
      </c>
      <c r="W1293" s="5">
        <f>data_origin!W1468</f>
        <v>3.9525547445255471</v>
      </c>
      <c r="X1293" s="5">
        <f>data_origin!X1468</f>
        <v>6.2283105022831045</v>
      </c>
      <c r="Y1293" s="5">
        <f>data_origin!Y1468</f>
        <v>2.5333333333333332</v>
      </c>
      <c r="Z1293" s="5">
        <f>data_origin!Z1468</f>
        <v>0</v>
      </c>
      <c r="AA1293" s="5">
        <f>data_origin!AA1468</f>
        <v>3.0303030303030304E-2</v>
      </c>
      <c r="AB1293" s="5">
        <f t="shared" si="140"/>
        <v>16.460255035102549</v>
      </c>
    </row>
    <row r="1294" spans="1:28" x14ac:dyDescent="0.25">
      <c r="D1294" t="s">
        <v>74</v>
      </c>
      <c r="E1294" s="38">
        <f t="shared" si="142"/>
        <v>0</v>
      </c>
      <c r="F1294" s="38">
        <f t="shared" si="142"/>
        <v>0</v>
      </c>
      <c r="G1294" s="38">
        <f t="shared" si="142"/>
        <v>5.6512342734599077</v>
      </c>
      <c r="H1294" s="38">
        <f t="shared" si="142"/>
        <v>4.021886959731078</v>
      </c>
      <c r="I1294" s="38">
        <f t="shared" si="142"/>
        <v>6.3368189148808201</v>
      </c>
      <c r="J1294" s="38">
        <f t="shared" si="141"/>
        <v>0</v>
      </c>
      <c r="K1294" s="38">
        <f t="shared" si="141"/>
        <v>0</v>
      </c>
      <c r="L1294" s="38">
        <f t="shared" si="141"/>
        <v>3.0303030303030304E-2</v>
      </c>
      <c r="M1294" s="35">
        <f t="shared" si="143"/>
        <v>16.040243178374837</v>
      </c>
      <c r="S1294" t="s">
        <v>74</v>
      </c>
      <c r="T1294" s="5">
        <f>data_origin!T1469</f>
        <v>0</v>
      </c>
      <c r="U1294" s="5">
        <f>data_origin!U1469</f>
        <v>0</v>
      </c>
      <c r="V1294" s="5">
        <f>data_origin!V1469</f>
        <v>5.5736301369863011</v>
      </c>
      <c r="W1294" s="5">
        <f>data_origin!W1469</f>
        <v>3.9525547445255471</v>
      </c>
      <c r="X1294" s="5">
        <f>data_origin!X1469</f>
        <v>6.2283105022831045</v>
      </c>
      <c r="Y1294" s="5">
        <f>data_origin!Y1469</f>
        <v>0</v>
      </c>
      <c r="Z1294" s="5">
        <f>data_origin!Z1469</f>
        <v>0</v>
      </c>
      <c r="AA1294" s="5">
        <f>data_origin!AA1469</f>
        <v>3.0303030303030304E-2</v>
      </c>
      <c r="AB1294" s="5">
        <f t="shared" si="140"/>
        <v>15.784798414097985</v>
      </c>
    </row>
    <row r="1295" spans="1:28" x14ac:dyDescent="0.25">
      <c r="D1295" t="s">
        <v>75</v>
      </c>
      <c r="E1295" s="38">
        <f t="shared" si="142"/>
        <v>0</v>
      </c>
      <c r="F1295" s="38">
        <f t="shared" si="142"/>
        <v>0</v>
      </c>
      <c r="G1295" s="38">
        <f t="shared" si="142"/>
        <v>3.7674895156399386</v>
      </c>
      <c r="H1295" s="38">
        <f t="shared" si="142"/>
        <v>6.0328304395966175</v>
      </c>
      <c r="I1295" s="38">
        <f t="shared" si="142"/>
        <v>4.2245459432538803</v>
      </c>
      <c r="J1295" s="38">
        <f t="shared" si="141"/>
        <v>2.5806214337586884</v>
      </c>
      <c r="K1295" s="38">
        <f t="shared" si="141"/>
        <v>0</v>
      </c>
      <c r="L1295" s="38">
        <f t="shared" si="141"/>
        <v>3.0303030303030304E-2</v>
      </c>
      <c r="M1295" s="35">
        <f t="shared" si="143"/>
        <v>16.635790362552157</v>
      </c>
      <c r="S1295" t="s">
        <v>75</v>
      </c>
      <c r="T1295" s="5">
        <f>data_origin!T1470</f>
        <v>0</v>
      </c>
      <c r="U1295" s="5">
        <f>data_origin!U1470</f>
        <v>0</v>
      </c>
      <c r="V1295" s="5">
        <f>data_origin!V1470</f>
        <v>3.7157534246575343</v>
      </c>
      <c r="W1295" s="5">
        <f>data_origin!W1470</f>
        <v>5.9288321167883211</v>
      </c>
      <c r="X1295" s="5">
        <f>data_origin!X1470</f>
        <v>4.1522070015220702</v>
      </c>
      <c r="Y1295" s="5">
        <f>data_origin!Y1470</f>
        <v>2.5333333333333332</v>
      </c>
      <c r="Z1295" s="5">
        <f>data_origin!Z1470</f>
        <v>0</v>
      </c>
      <c r="AA1295" s="5">
        <f>data_origin!AA1470</f>
        <v>3.0303030303030304E-2</v>
      </c>
      <c r="AB1295" s="5">
        <f t="shared" si="140"/>
        <v>16.360428906604291</v>
      </c>
    </row>
    <row r="1296" spans="1:28" x14ac:dyDescent="0.25">
      <c r="D1296" t="s">
        <v>76</v>
      </c>
      <c r="E1296" s="38">
        <f t="shared" si="142"/>
        <v>0</v>
      </c>
      <c r="F1296" s="38">
        <f t="shared" si="142"/>
        <v>0</v>
      </c>
      <c r="G1296" s="38">
        <f t="shared" si="142"/>
        <v>3.1337447578199691</v>
      </c>
      <c r="H1296" s="38">
        <f t="shared" si="142"/>
        <v>10.054717399327695</v>
      </c>
      <c r="I1296" s="38">
        <f t="shared" si="142"/>
        <v>10.5613648581347</v>
      </c>
      <c r="J1296" s="38">
        <f t="shared" si="141"/>
        <v>0</v>
      </c>
      <c r="K1296" s="38">
        <f t="shared" si="141"/>
        <v>0</v>
      </c>
      <c r="L1296" s="38">
        <f t="shared" si="141"/>
        <v>3.0303030303030304E-2</v>
      </c>
      <c r="M1296" s="35">
        <f t="shared" si="143"/>
        <v>23.780130045585395</v>
      </c>
      <c r="S1296" t="s">
        <v>76</v>
      </c>
      <c r="T1296" s="5">
        <f>data_origin!T1471</f>
        <v>0</v>
      </c>
      <c r="U1296" s="5">
        <f>data_origin!U1471</f>
        <v>0</v>
      </c>
      <c r="V1296" s="5">
        <f>data_origin!V1471</f>
        <v>1.8578767123287672</v>
      </c>
      <c r="W1296" s="5">
        <f>data_origin!W1471</f>
        <v>9.8813868613138673</v>
      </c>
      <c r="X1296" s="5">
        <f>data_origin!X1471</f>
        <v>10.380517503805175</v>
      </c>
      <c r="Y1296" s="5">
        <f>data_origin!Y1471</f>
        <v>0</v>
      </c>
      <c r="Z1296" s="5">
        <f>data_origin!Z1471</f>
        <v>0</v>
      </c>
      <c r="AA1296" s="5">
        <f>data_origin!AA1471</f>
        <v>3.0303030303030304E-2</v>
      </c>
      <c r="AB1296" s="5">
        <f t="shared" si="140"/>
        <v>22.150084107750843</v>
      </c>
    </row>
    <row r="1297" spans="4:28" x14ac:dyDescent="0.25">
      <c r="D1297" t="s">
        <v>77</v>
      </c>
      <c r="E1297" s="38">
        <f t="shared" si="142"/>
        <v>0</v>
      </c>
      <c r="F1297" s="38">
        <f t="shared" si="142"/>
        <v>0</v>
      </c>
      <c r="G1297" s="38">
        <f t="shared" si="142"/>
        <v>11.302468546919815</v>
      </c>
      <c r="H1297" s="38">
        <f t="shared" si="142"/>
        <v>20.109434798655389</v>
      </c>
      <c r="I1297" s="38">
        <f t="shared" si="142"/>
        <v>14.785910801388582</v>
      </c>
      <c r="J1297" s="38">
        <f t="shared" si="141"/>
        <v>0</v>
      </c>
      <c r="K1297" s="38">
        <f t="shared" si="141"/>
        <v>0</v>
      </c>
      <c r="L1297" s="38">
        <f t="shared" si="141"/>
        <v>3.0303030303030304E-2</v>
      </c>
      <c r="M1297" s="35">
        <f t="shared" si="143"/>
        <v>46.228117177266817</v>
      </c>
      <c r="S1297" t="s">
        <v>77</v>
      </c>
      <c r="T1297" s="5">
        <f>data_origin!T1472</f>
        <v>0</v>
      </c>
      <c r="U1297" s="5">
        <f>data_origin!U1472</f>
        <v>0</v>
      </c>
      <c r="V1297" s="5">
        <f>data_origin!V1472</f>
        <v>11.147260273972602</v>
      </c>
      <c r="W1297" s="5">
        <f>data_origin!W1472</f>
        <v>19.762773722627735</v>
      </c>
      <c r="X1297" s="5">
        <f>data_origin!X1472</f>
        <v>14.532724505327245</v>
      </c>
      <c r="Y1297" s="5">
        <f>data_origin!Y1472</f>
        <v>0</v>
      </c>
      <c r="Z1297" s="5">
        <f>data_origin!Z1472</f>
        <v>0</v>
      </c>
      <c r="AA1297" s="5">
        <f>data_origin!AA1472</f>
        <v>3.0303030303030304E-2</v>
      </c>
      <c r="AB1297" s="5">
        <f t="shared" si="140"/>
        <v>45.473061532230616</v>
      </c>
    </row>
    <row r="1298" spans="4:28" x14ac:dyDescent="0.25">
      <c r="D1298" t="s">
        <v>78</v>
      </c>
      <c r="E1298" s="38">
        <f t="shared" si="142"/>
        <v>0</v>
      </c>
      <c r="F1298" s="38">
        <f t="shared" si="142"/>
        <v>0</v>
      </c>
      <c r="G1298" s="38">
        <f t="shared" si="142"/>
        <v>56.512342734599081</v>
      </c>
      <c r="H1298" s="38">
        <f t="shared" si="142"/>
        <v>166.90830882883972</v>
      </c>
      <c r="I1298" s="38">
        <f t="shared" si="142"/>
        <v>82.378645893450653</v>
      </c>
      <c r="J1298" s="38">
        <f t="shared" si="141"/>
        <v>7.741864301276066</v>
      </c>
      <c r="K1298" s="38">
        <f t="shared" si="141"/>
        <v>0</v>
      </c>
      <c r="L1298" s="38">
        <f t="shared" si="141"/>
        <v>3.0303030303030304E-2</v>
      </c>
      <c r="M1298" s="35">
        <f t="shared" si="143"/>
        <v>313.57146478846852</v>
      </c>
      <c r="S1298" t="s">
        <v>78</v>
      </c>
      <c r="T1298" s="5">
        <f>data_origin!T1473</f>
        <v>0</v>
      </c>
      <c r="U1298" s="5">
        <f>data_origin!U1473</f>
        <v>0</v>
      </c>
      <c r="V1298" s="5">
        <f>data_origin!V1473</f>
        <v>55.736301369863014</v>
      </c>
      <c r="W1298" s="5">
        <f>data_origin!W1473</f>
        <v>164.03102189781021</v>
      </c>
      <c r="X1298" s="5">
        <f>data_origin!X1473</f>
        <v>80.968036529680361</v>
      </c>
      <c r="Y1298" s="5">
        <f>data_origin!Y1473</f>
        <v>7.6</v>
      </c>
      <c r="Z1298" s="5">
        <f>data_origin!Z1473</f>
        <v>0</v>
      </c>
      <c r="AA1298" s="5">
        <f>data_origin!AA1473</f>
        <v>3.0303030303030304E-2</v>
      </c>
      <c r="AB1298" s="5">
        <f t="shared" si="140"/>
        <v>308.36566282765659</v>
      </c>
    </row>
    <row r="1299" spans="4:28" x14ac:dyDescent="0.25">
      <c r="D1299" t="s">
        <v>79</v>
      </c>
      <c r="E1299" s="38">
        <f t="shared" si="142"/>
        <v>0</v>
      </c>
      <c r="F1299" s="38">
        <f t="shared" si="142"/>
        <v>0</v>
      </c>
      <c r="G1299" s="38">
        <f t="shared" si="142"/>
        <v>8.7849790312798763</v>
      </c>
      <c r="H1299" s="38">
        <f t="shared" si="142"/>
        <v>24.13132175838647</v>
      </c>
      <c r="I1299" s="38">
        <f t="shared" si="142"/>
        <v>16.898183773015521</v>
      </c>
      <c r="J1299" s="38">
        <f t="shared" si="141"/>
        <v>2.5806214337586884</v>
      </c>
      <c r="K1299" s="38">
        <f t="shared" si="141"/>
        <v>2.2471428571428573</v>
      </c>
      <c r="L1299" s="38">
        <f t="shared" si="141"/>
        <v>3.0303030303030304E-2</v>
      </c>
      <c r="M1299" s="35">
        <f t="shared" si="143"/>
        <v>54.672551883886442</v>
      </c>
      <c r="S1299" t="s">
        <v>79</v>
      </c>
      <c r="T1299" s="5">
        <f>data_origin!T1474</f>
        <v>0</v>
      </c>
      <c r="U1299" s="5">
        <f>data_origin!U1474</f>
        <v>0</v>
      </c>
      <c r="V1299" s="5">
        <f>data_origin!V1474</f>
        <v>7.4315068493150687</v>
      </c>
      <c r="W1299" s="5">
        <f>data_origin!W1474</f>
        <v>23.715328467153284</v>
      </c>
      <c r="X1299" s="5">
        <f>data_origin!X1474</f>
        <v>16.608828006088281</v>
      </c>
      <c r="Y1299" s="5">
        <f>data_origin!Y1474</f>
        <v>2.5333333333333332</v>
      </c>
      <c r="Z1299" s="5">
        <f>data_origin!Z1474</f>
        <v>2.2000000000000002</v>
      </c>
      <c r="AA1299" s="5">
        <f>data_origin!AA1474</f>
        <v>3.0303030303030304E-2</v>
      </c>
      <c r="AB1299" s="5">
        <f t="shared" si="140"/>
        <v>52.519299686193001</v>
      </c>
    </row>
    <row r="1300" spans="4:28" x14ac:dyDescent="0.25">
      <c r="D1300" t="s">
        <v>80</v>
      </c>
      <c r="E1300" s="38">
        <f t="shared" si="142"/>
        <v>0</v>
      </c>
      <c r="F1300" s="38">
        <f t="shared" si="142"/>
        <v>0</v>
      </c>
      <c r="G1300" s="38">
        <f t="shared" si="142"/>
        <v>16.953702820379725</v>
      </c>
      <c r="H1300" s="38">
        <f t="shared" si="142"/>
        <v>22.120378278520931</v>
      </c>
      <c r="I1300" s="38">
        <f t="shared" si="142"/>
        <v>10.5613648581347</v>
      </c>
      <c r="J1300" s="38">
        <f t="shared" si="141"/>
        <v>0</v>
      </c>
      <c r="K1300" s="38">
        <f t="shared" si="141"/>
        <v>0</v>
      </c>
      <c r="L1300" s="38">
        <f t="shared" si="141"/>
        <v>3.0303030303030304E-2</v>
      </c>
      <c r="M1300" s="35">
        <f t="shared" si="143"/>
        <v>49.665748987338389</v>
      </c>
      <c r="S1300" t="s">
        <v>80</v>
      </c>
      <c r="T1300" s="5">
        <f>data_origin!T1475</f>
        <v>0</v>
      </c>
      <c r="U1300" s="5">
        <f>data_origin!U1475</f>
        <v>0</v>
      </c>
      <c r="V1300" s="5">
        <f>data_origin!V1475</f>
        <v>16.720890410958905</v>
      </c>
      <c r="W1300" s="5">
        <f>data_origin!W1475</f>
        <v>21.739051094890513</v>
      </c>
      <c r="X1300" s="5">
        <f>data_origin!X1475</f>
        <v>10.380517503805175</v>
      </c>
      <c r="Y1300" s="5">
        <f>data_origin!Y1475</f>
        <v>0</v>
      </c>
      <c r="Z1300" s="5">
        <f>data_origin!Z1475</f>
        <v>0</v>
      </c>
      <c r="AA1300" s="5">
        <f>data_origin!AA1475</f>
        <v>3.0303030303030304E-2</v>
      </c>
      <c r="AB1300" s="5">
        <f t="shared" si="140"/>
        <v>48.870762039957619</v>
      </c>
    </row>
    <row r="1301" spans="4:28" x14ac:dyDescent="0.25">
      <c r="D1301" t="s">
        <v>81</v>
      </c>
      <c r="E1301" s="38">
        <f t="shared" si="142"/>
        <v>0</v>
      </c>
      <c r="F1301" s="38">
        <f t="shared" si="142"/>
        <v>0</v>
      </c>
      <c r="G1301" s="38">
        <f t="shared" si="142"/>
        <v>3.7674895156399386</v>
      </c>
      <c r="H1301" s="38">
        <f t="shared" si="142"/>
        <v>8.043773919462156</v>
      </c>
      <c r="I1301" s="38">
        <f t="shared" si="142"/>
        <v>4.2245459432538803</v>
      </c>
      <c r="J1301" s="38">
        <f t="shared" si="141"/>
        <v>0</v>
      </c>
      <c r="K1301" s="38">
        <f t="shared" si="141"/>
        <v>0</v>
      </c>
      <c r="L1301" s="38">
        <f t="shared" si="141"/>
        <v>3.0303030303030304E-2</v>
      </c>
      <c r="M1301" s="35">
        <f t="shared" si="143"/>
        <v>16.066112408659006</v>
      </c>
      <c r="S1301" t="s">
        <v>81</v>
      </c>
      <c r="T1301" s="5">
        <f>data_origin!T1476</f>
        <v>0</v>
      </c>
      <c r="U1301" s="5">
        <f>data_origin!U1476</f>
        <v>0</v>
      </c>
      <c r="V1301" s="5">
        <f>data_origin!V1476</f>
        <v>3.7157534246575343</v>
      </c>
      <c r="W1301" s="5">
        <f>data_origin!W1476</f>
        <v>7.9051094890510942</v>
      </c>
      <c r="X1301" s="5">
        <f>data_origin!X1476</f>
        <v>4.1522070015220702</v>
      </c>
      <c r="Y1301" s="5">
        <f>data_origin!Y1476</f>
        <v>0</v>
      </c>
      <c r="Z1301" s="5">
        <f>data_origin!Z1476</f>
        <v>0</v>
      </c>
      <c r="AA1301" s="5">
        <f>data_origin!AA1476</f>
        <v>3.0303030303030304E-2</v>
      </c>
      <c r="AB1301" s="5">
        <f t="shared" si="140"/>
        <v>15.803372945533729</v>
      </c>
    </row>
    <row r="1302" spans="4:28" x14ac:dyDescent="0.25">
      <c r="D1302" t="s">
        <v>82</v>
      </c>
      <c r="E1302" s="38">
        <f t="shared" si="142"/>
        <v>0</v>
      </c>
      <c r="F1302" s="38">
        <f t="shared" si="142"/>
        <v>0</v>
      </c>
      <c r="G1302" s="38">
        <f t="shared" si="142"/>
        <v>15.069958062559754</v>
      </c>
      <c r="H1302" s="38">
        <f t="shared" si="142"/>
        <v>54.295473956369555</v>
      </c>
      <c r="I1302" s="38">
        <f t="shared" si="142"/>
        <v>48.582278347419617</v>
      </c>
      <c r="J1302" s="38">
        <f t="shared" si="141"/>
        <v>2.5806214337586884</v>
      </c>
      <c r="K1302" s="38">
        <f t="shared" si="141"/>
        <v>0</v>
      </c>
      <c r="L1302" s="38">
        <f t="shared" si="141"/>
        <v>3.0303030303030304E-2</v>
      </c>
      <c r="M1302" s="35">
        <f t="shared" si="143"/>
        <v>120.55863483041065</v>
      </c>
      <c r="S1302" t="s">
        <v>82</v>
      </c>
      <c r="T1302" s="5">
        <f>data_origin!T1477</f>
        <v>0</v>
      </c>
      <c r="U1302" s="5">
        <f>data_origin!U1477</f>
        <v>0</v>
      </c>
      <c r="V1302" s="5">
        <f>data_origin!V1477</f>
        <v>14.863013698630137</v>
      </c>
      <c r="W1302" s="5">
        <f>data_origin!W1477</f>
        <v>53.35948905109489</v>
      </c>
      <c r="X1302" s="5">
        <f>data_origin!X1477</f>
        <v>47.7503805175038</v>
      </c>
      <c r="Y1302" s="5">
        <f>data_origin!Y1477</f>
        <v>2.5333333333333332</v>
      </c>
      <c r="Z1302" s="5">
        <f>data_origin!Z1477</f>
        <v>0</v>
      </c>
      <c r="AA1302" s="5">
        <f>data_origin!AA1477</f>
        <v>3.0303030303030304E-2</v>
      </c>
      <c r="AB1302" s="5">
        <f t="shared" si="140"/>
        <v>118.53651963086519</v>
      </c>
    </row>
    <row r="1303" spans="4:28" x14ac:dyDescent="0.25">
      <c r="D1303" t="s">
        <v>83</v>
      </c>
      <c r="E1303" s="38">
        <f t="shared" si="142"/>
        <v>0</v>
      </c>
      <c r="F1303" s="38">
        <f t="shared" si="142"/>
        <v>0</v>
      </c>
      <c r="G1303" s="38">
        <f t="shared" si="142"/>
        <v>3.7674895156399386</v>
      </c>
      <c r="H1303" s="38">
        <f t="shared" si="142"/>
        <v>22.120378278520931</v>
      </c>
      <c r="I1303" s="38">
        <f t="shared" si="142"/>
        <v>8.4490918865077607</v>
      </c>
      <c r="J1303" s="38">
        <f t="shared" si="141"/>
        <v>0</v>
      </c>
      <c r="K1303" s="38">
        <f t="shared" si="141"/>
        <v>0</v>
      </c>
      <c r="L1303" s="38">
        <f t="shared" si="141"/>
        <v>3.0303030303030304E-2</v>
      </c>
      <c r="M1303" s="35">
        <f t="shared" si="143"/>
        <v>34.367262710971659</v>
      </c>
      <c r="S1303" t="s">
        <v>83</v>
      </c>
      <c r="T1303" s="5">
        <f>data_origin!T1478</f>
        <v>0</v>
      </c>
      <c r="U1303" s="5">
        <f>data_origin!U1478</f>
        <v>0</v>
      </c>
      <c r="V1303" s="5">
        <f>data_origin!V1478</f>
        <v>3.7157534246575343</v>
      </c>
      <c r="W1303" s="5">
        <f>data_origin!W1478</f>
        <v>21.739051094890513</v>
      </c>
      <c r="X1303" s="5">
        <f>data_origin!X1478</f>
        <v>8.3044140030441405</v>
      </c>
      <c r="Y1303" s="5">
        <f>data_origin!Y1478</f>
        <v>0</v>
      </c>
      <c r="Z1303" s="5">
        <f>data_origin!Z1478</f>
        <v>0</v>
      </c>
      <c r="AA1303" s="5">
        <f>data_origin!AA1478</f>
        <v>3.0303030303030304E-2</v>
      </c>
      <c r="AB1303" s="5">
        <f t="shared" si="140"/>
        <v>33.789521552895224</v>
      </c>
    </row>
    <row r="1304" spans="4:28" x14ac:dyDescent="0.25">
      <c r="D1304" t="s">
        <v>84</v>
      </c>
      <c r="E1304" s="38">
        <f t="shared" si="142"/>
        <v>0</v>
      </c>
      <c r="F1304" s="38">
        <f t="shared" si="142"/>
        <v>0</v>
      </c>
      <c r="G1304" s="38">
        <f t="shared" si="142"/>
        <v>1.8837447578199693</v>
      </c>
      <c r="H1304" s="38">
        <f t="shared" si="142"/>
        <v>8.043773919462156</v>
      </c>
      <c r="I1304" s="38">
        <f t="shared" si="142"/>
        <v>6.3368189148808201</v>
      </c>
      <c r="J1304" s="38">
        <f t="shared" si="141"/>
        <v>0</v>
      </c>
      <c r="K1304" s="38">
        <f t="shared" si="141"/>
        <v>0</v>
      </c>
      <c r="L1304" s="38">
        <f t="shared" si="141"/>
        <v>3.0303030303030304E-2</v>
      </c>
      <c r="M1304" s="35">
        <f t="shared" si="143"/>
        <v>16.294640622465977</v>
      </c>
      <c r="S1304" t="s">
        <v>84</v>
      </c>
      <c r="T1304" s="5">
        <f>data_origin!T1479</f>
        <v>0</v>
      </c>
      <c r="U1304" s="5">
        <f>data_origin!U1479</f>
        <v>0</v>
      </c>
      <c r="V1304" s="5">
        <f>data_origin!V1479</f>
        <v>1.8578767123287672</v>
      </c>
      <c r="W1304" s="5">
        <f>data_origin!W1479</f>
        <v>7.9051094890510942</v>
      </c>
      <c r="X1304" s="5">
        <f>data_origin!X1479</f>
        <v>6.2283105022831045</v>
      </c>
      <c r="Y1304" s="5">
        <f>data_origin!Y1479</f>
        <v>0</v>
      </c>
      <c r="Z1304" s="5">
        <f>data_origin!Z1479</f>
        <v>0</v>
      </c>
      <c r="AA1304" s="5">
        <f>data_origin!AA1479</f>
        <v>3.0303030303030304E-2</v>
      </c>
      <c r="AB1304" s="5">
        <f t="shared" si="140"/>
        <v>16.021599733965996</v>
      </c>
    </row>
    <row r="1305" spans="4:28" x14ac:dyDescent="0.25">
      <c r="D1305" t="s">
        <v>85</v>
      </c>
      <c r="E1305" s="38">
        <f t="shared" si="142"/>
        <v>0</v>
      </c>
      <c r="F1305" s="38">
        <f t="shared" si="142"/>
        <v>0</v>
      </c>
      <c r="G1305" s="38">
        <f t="shared" si="142"/>
        <v>13.186213304739784</v>
      </c>
      <c r="H1305" s="38">
        <f t="shared" si="142"/>
        <v>20.109434798655389</v>
      </c>
      <c r="I1305" s="38">
        <f t="shared" si="142"/>
        <v>4.2245459432538803</v>
      </c>
      <c r="J1305" s="38">
        <f t="shared" si="141"/>
        <v>2.5806214337586884</v>
      </c>
      <c r="K1305" s="38">
        <f t="shared" si="141"/>
        <v>0</v>
      </c>
      <c r="L1305" s="38">
        <f t="shared" si="141"/>
        <v>3.0303030303030304E-2</v>
      </c>
      <c r="M1305" s="35">
        <f t="shared" si="143"/>
        <v>40.13111851071077</v>
      </c>
      <c r="S1305" t="s">
        <v>85</v>
      </c>
      <c r="T1305" s="5">
        <f>data_origin!T1480</f>
        <v>0</v>
      </c>
      <c r="U1305" s="5">
        <f>data_origin!U1480</f>
        <v>0</v>
      </c>
      <c r="V1305" s="5">
        <f>data_origin!V1480</f>
        <v>13.00513698630137</v>
      </c>
      <c r="W1305" s="5">
        <f>data_origin!W1480</f>
        <v>19.762773722627735</v>
      </c>
      <c r="X1305" s="5">
        <f>data_origin!X1480</f>
        <v>4.1522070015220702</v>
      </c>
      <c r="Y1305" s="5">
        <f>data_origin!Y1480</f>
        <v>2.5333333333333332</v>
      </c>
      <c r="Z1305" s="5">
        <f>data_origin!Z1480</f>
        <v>0</v>
      </c>
      <c r="AA1305" s="5">
        <f>data_origin!AA1480</f>
        <v>3.0303030303030304E-2</v>
      </c>
      <c r="AB1305" s="5">
        <f t="shared" si="140"/>
        <v>39.483754074087543</v>
      </c>
    </row>
    <row r="1306" spans="4:28" x14ac:dyDescent="0.25">
      <c r="D1306" t="s">
        <v>86</v>
      </c>
      <c r="E1306" s="38">
        <f t="shared" si="142"/>
        <v>0</v>
      </c>
      <c r="F1306" s="38">
        <f t="shared" si="142"/>
        <v>0</v>
      </c>
      <c r="G1306" s="38">
        <f t="shared" si="142"/>
        <v>35.791150398579418</v>
      </c>
      <c r="H1306" s="38">
        <f t="shared" si="142"/>
        <v>66.36113483556278</v>
      </c>
      <c r="I1306" s="38">
        <f t="shared" si="142"/>
        <v>42.245459432538802</v>
      </c>
      <c r="J1306" s="38">
        <f t="shared" si="141"/>
        <v>2.5806214337586884</v>
      </c>
      <c r="K1306" s="38">
        <f t="shared" si="141"/>
        <v>2.2471428571428573</v>
      </c>
      <c r="L1306" s="38">
        <f t="shared" si="141"/>
        <v>3.0303030303030304E-2</v>
      </c>
      <c r="M1306" s="35">
        <f t="shared" si="143"/>
        <v>149.25581198788558</v>
      </c>
      <c r="S1306" t="s">
        <v>86</v>
      </c>
      <c r="T1306" s="5">
        <f>data_origin!T1481</f>
        <v>0</v>
      </c>
      <c r="U1306" s="5">
        <f>data_origin!U1481</f>
        <v>0</v>
      </c>
      <c r="V1306" s="5">
        <f>data_origin!V1481</f>
        <v>35.299657534246577</v>
      </c>
      <c r="W1306" s="5">
        <f>data_origin!W1481</f>
        <v>65.217153284671525</v>
      </c>
      <c r="X1306" s="5">
        <f>data_origin!X1481</f>
        <v>41.522070015220699</v>
      </c>
      <c r="Y1306" s="5">
        <f>data_origin!Y1481</f>
        <v>2.5333333333333332</v>
      </c>
      <c r="Z1306" s="5">
        <f>data_origin!Z1481</f>
        <v>2.2000000000000002</v>
      </c>
      <c r="AA1306" s="5">
        <f>data_origin!AA1481</f>
        <v>3.0303030303030304E-2</v>
      </c>
      <c r="AB1306" s="5">
        <f t="shared" si="140"/>
        <v>146.80251719777516</v>
      </c>
    </row>
    <row r="1307" spans="4:28" x14ac:dyDescent="0.25">
      <c r="D1307" t="s">
        <v>87</v>
      </c>
      <c r="E1307" s="38">
        <f t="shared" si="142"/>
        <v>0</v>
      </c>
      <c r="F1307" s="38">
        <f t="shared" si="142"/>
        <v>0</v>
      </c>
      <c r="G1307" s="38">
        <f t="shared" si="142"/>
        <v>22.604937093839631</v>
      </c>
      <c r="H1307" s="38">
        <f t="shared" si="142"/>
        <v>70.383021795293871</v>
      </c>
      <c r="I1307" s="38">
        <f t="shared" si="142"/>
        <v>27.45954863115022</v>
      </c>
      <c r="J1307" s="38">
        <f t="shared" si="141"/>
        <v>0</v>
      </c>
      <c r="K1307" s="38">
        <f t="shared" si="141"/>
        <v>0</v>
      </c>
      <c r="L1307" s="38">
        <f t="shared" si="141"/>
        <v>3.0303030303030304E-2</v>
      </c>
      <c r="M1307" s="35">
        <f t="shared" si="143"/>
        <v>120.47781055058675</v>
      </c>
      <c r="S1307" t="s">
        <v>87</v>
      </c>
      <c r="T1307" s="5">
        <f>data_origin!T1482</f>
        <v>0</v>
      </c>
      <c r="U1307" s="5">
        <f>data_origin!U1482</f>
        <v>0</v>
      </c>
      <c r="V1307" s="5">
        <f>data_origin!V1482</f>
        <v>22.294520547945204</v>
      </c>
      <c r="W1307" s="5">
        <f>data_origin!W1482</f>
        <v>69.169708029197082</v>
      </c>
      <c r="X1307" s="5">
        <f>data_origin!X1482</f>
        <v>26.989345509893454</v>
      </c>
      <c r="Y1307" s="5">
        <f>data_origin!Y1482</f>
        <v>0</v>
      </c>
      <c r="Z1307" s="5">
        <f>data_origin!Z1482</f>
        <v>0</v>
      </c>
      <c r="AA1307" s="5">
        <f>data_origin!AA1482</f>
        <v>3.0303030303030304E-2</v>
      </c>
      <c r="AB1307" s="5">
        <f t="shared" si="140"/>
        <v>118.48387711733876</v>
      </c>
    </row>
    <row r="1308" spans="4:28" x14ac:dyDescent="0.25">
      <c r="D1308" t="s">
        <v>88</v>
      </c>
      <c r="E1308" s="38">
        <f t="shared" si="142"/>
        <v>0</v>
      </c>
      <c r="F1308" s="38">
        <f t="shared" si="142"/>
        <v>0</v>
      </c>
      <c r="G1308" s="38">
        <f t="shared" si="142"/>
        <v>298.88167173555519</v>
      </c>
      <c r="H1308" s="38">
        <f t="shared" si="142"/>
        <v>554.00945696302324</v>
      </c>
      <c r="I1308" s="38">
        <f t="shared" si="142"/>
        <v>348.52504031844512</v>
      </c>
      <c r="J1308" s="38">
        <f t="shared" si="141"/>
        <v>36.128700072621648</v>
      </c>
      <c r="K1308" s="38">
        <f t="shared" si="141"/>
        <v>2.2471428571428573</v>
      </c>
      <c r="L1308" s="38">
        <f t="shared" si="141"/>
        <v>3.0303030303030304E-2</v>
      </c>
      <c r="M1308" s="35">
        <f t="shared" si="143"/>
        <v>1239.8223149770909</v>
      </c>
      <c r="S1308" t="s">
        <v>88</v>
      </c>
      <c r="T1308" s="5">
        <f>data_origin!T1483</f>
        <v>0</v>
      </c>
      <c r="U1308" s="5">
        <f>data_origin!U1483</f>
        <v>0</v>
      </c>
      <c r="V1308" s="5">
        <f>data_origin!V1483</f>
        <v>293.54452054794524</v>
      </c>
      <c r="W1308" s="5">
        <f>data_origin!W1483</f>
        <v>543.47627737226276</v>
      </c>
      <c r="X1308" s="5">
        <f>data_origin!X1483</f>
        <v>342.55707762557074</v>
      </c>
      <c r="Y1308" s="5">
        <f>data_origin!Y1483</f>
        <v>35.466666666666669</v>
      </c>
      <c r="Z1308" s="5">
        <f>data_origin!Z1483</f>
        <v>2.2000000000000002</v>
      </c>
      <c r="AA1308" s="5">
        <f>data_origin!AA1483</f>
        <v>3.0303030303030304E-2</v>
      </c>
      <c r="AB1308" s="5">
        <f t="shared" si="140"/>
        <v>1217.2748452427484</v>
      </c>
    </row>
    <row r="1309" spans="4:28" x14ac:dyDescent="0.25">
      <c r="D1309" t="s">
        <v>89</v>
      </c>
      <c r="E1309" s="38">
        <f t="shared" si="142"/>
        <v>0</v>
      </c>
      <c r="F1309" s="38">
        <f t="shared" si="142"/>
        <v>0</v>
      </c>
      <c r="G1309" s="38">
        <f t="shared" si="142"/>
        <v>22.604937093839631</v>
      </c>
      <c r="H1309" s="38">
        <f t="shared" si="142"/>
        <v>46.251700036907401</v>
      </c>
      <c r="I1309" s="38">
        <f t="shared" si="142"/>
        <v>31.684094574404103</v>
      </c>
      <c r="J1309" s="38">
        <f t="shared" si="141"/>
        <v>2.5806214337586884</v>
      </c>
      <c r="K1309" s="38">
        <f t="shared" si="141"/>
        <v>2.2471428571428573</v>
      </c>
      <c r="L1309" s="38">
        <f t="shared" si="141"/>
        <v>3.0303030303030304E-2</v>
      </c>
      <c r="M1309" s="35">
        <f t="shared" si="143"/>
        <v>105.39879902635572</v>
      </c>
      <c r="S1309" t="s">
        <v>89</v>
      </c>
      <c r="T1309" s="5">
        <f>data_origin!T1484</f>
        <v>0</v>
      </c>
      <c r="U1309" s="5">
        <f>data_origin!U1484</f>
        <v>0</v>
      </c>
      <c r="V1309" s="5">
        <f>data_origin!V1484</f>
        <v>22.294520547945204</v>
      </c>
      <c r="W1309" s="5">
        <f>data_origin!W1484</f>
        <v>45.454379562043798</v>
      </c>
      <c r="X1309" s="5">
        <f>data_origin!X1484</f>
        <v>31.141552511415526</v>
      </c>
      <c r="Y1309" s="5">
        <f>data_origin!Y1484</f>
        <v>2.5333333333333332</v>
      </c>
      <c r="Z1309" s="5">
        <f>data_origin!Z1484</f>
        <v>2.2000000000000002</v>
      </c>
      <c r="AA1309" s="5">
        <f>data_origin!AA1484</f>
        <v>3.0303030303030304E-2</v>
      </c>
      <c r="AB1309" s="5">
        <f t="shared" ref="AB1309:AB1329" si="144">SUM(T1309:AA1309)</f>
        <v>103.65408898504089</v>
      </c>
    </row>
    <row r="1310" spans="4:28" x14ac:dyDescent="0.25">
      <c r="D1310" t="s">
        <v>90</v>
      </c>
      <c r="E1310" s="38">
        <f t="shared" ref="E1310:L1322" si="145">T1310+AW188+IFERROR((T1310/SUM(T$993:T$1982)*AW$630),0)+IFERROR((T1310/SUM(T$1125:T$1322,T$1455:T$1652,T$1785:T$1982)*AW$732),0)</f>
        <v>0</v>
      </c>
      <c r="F1310" s="38">
        <f t="shared" si="145"/>
        <v>0</v>
      </c>
      <c r="G1310" s="38">
        <f t="shared" si="145"/>
        <v>0</v>
      </c>
      <c r="H1310" s="38">
        <f t="shared" si="145"/>
        <v>0</v>
      </c>
      <c r="I1310" s="38">
        <f t="shared" si="145"/>
        <v>0</v>
      </c>
      <c r="J1310" s="38">
        <f t="shared" si="141"/>
        <v>2.5806214337586884</v>
      </c>
      <c r="K1310" s="38">
        <f t="shared" si="141"/>
        <v>0</v>
      </c>
      <c r="L1310" s="38">
        <f t="shared" si="141"/>
        <v>3.0303030303030304E-2</v>
      </c>
      <c r="M1310" s="35">
        <f t="shared" si="143"/>
        <v>2.6109244640617186</v>
      </c>
      <c r="S1310" t="s">
        <v>90</v>
      </c>
      <c r="T1310" s="5">
        <f>data_origin!T1485</f>
        <v>0</v>
      </c>
      <c r="U1310" s="5">
        <f>data_origin!U1485</f>
        <v>0</v>
      </c>
      <c r="V1310" s="5">
        <f>data_origin!V1485</f>
        <v>0</v>
      </c>
      <c r="W1310" s="5">
        <f>data_origin!W1485</f>
        <v>0</v>
      </c>
      <c r="X1310" s="5">
        <f>data_origin!X1485</f>
        <v>0</v>
      </c>
      <c r="Y1310" s="5">
        <f>data_origin!Y1485</f>
        <v>2.5333333333333332</v>
      </c>
      <c r="Z1310" s="5">
        <f>data_origin!Z1485</f>
        <v>0</v>
      </c>
      <c r="AA1310" s="5">
        <f>data_origin!AA1485</f>
        <v>3.0303030303030304E-2</v>
      </c>
      <c r="AB1310" s="5">
        <f t="shared" si="144"/>
        <v>2.5636363636363635</v>
      </c>
    </row>
    <row r="1311" spans="4:28" x14ac:dyDescent="0.25">
      <c r="D1311" t="s">
        <v>91</v>
      </c>
      <c r="E1311" s="38">
        <f t="shared" si="145"/>
        <v>0</v>
      </c>
      <c r="F1311" s="38">
        <f t="shared" si="145"/>
        <v>0</v>
      </c>
      <c r="G1311" s="38">
        <f t="shared" si="145"/>
        <v>5.6512342734599077</v>
      </c>
      <c r="H1311" s="38">
        <f t="shared" si="145"/>
        <v>12.065660879193235</v>
      </c>
      <c r="I1311" s="38">
        <f t="shared" si="145"/>
        <v>14.785910801388582</v>
      </c>
      <c r="J1311" s="38">
        <f t="shared" si="141"/>
        <v>0</v>
      </c>
      <c r="K1311" s="38">
        <f t="shared" si="141"/>
        <v>0</v>
      </c>
      <c r="L1311" s="38">
        <f t="shared" si="141"/>
        <v>3.0303030303030304E-2</v>
      </c>
      <c r="M1311" s="35">
        <f t="shared" si="143"/>
        <v>32.533108984344757</v>
      </c>
      <c r="S1311" t="s">
        <v>91</v>
      </c>
      <c r="T1311" s="5">
        <f>data_origin!T1486</f>
        <v>0</v>
      </c>
      <c r="U1311" s="5">
        <f>data_origin!U1486</f>
        <v>0</v>
      </c>
      <c r="V1311" s="5">
        <f>data_origin!V1486</f>
        <v>5.5736301369863011</v>
      </c>
      <c r="W1311" s="5">
        <f>data_origin!W1486</f>
        <v>11.857664233576642</v>
      </c>
      <c r="X1311" s="5">
        <f>data_origin!X1486</f>
        <v>14.532724505327245</v>
      </c>
      <c r="Y1311" s="5">
        <f>data_origin!Y1486</f>
        <v>0</v>
      </c>
      <c r="Z1311" s="5">
        <f>data_origin!Z1486</f>
        <v>0</v>
      </c>
      <c r="AA1311" s="5">
        <f>data_origin!AA1486</f>
        <v>3.0303030303030304E-2</v>
      </c>
      <c r="AB1311" s="5">
        <f t="shared" si="144"/>
        <v>31.994321906193221</v>
      </c>
    </row>
    <row r="1312" spans="4:28" x14ac:dyDescent="0.25">
      <c r="D1312" t="s">
        <v>92</v>
      </c>
      <c r="E1312" s="38">
        <f t="shared" si="145"/>
        <v>0</v>
      </c>
      <c r="F1312" s="38">
        <f t="shared" si="145"/>
        <v>0</v>
      </c>
      <c r="G1312" s="38">
        <f t="shared" si="145"/>
        <v>0</v>
      </c>
      <c r="H1312" s="38">
        <f t="shared" si="145"/>
        <v>0</v>
      </c>
      <c r="I1312" s="38">
        <f t="shared" si="145"/>
        <v>0</v>
      </c>
      <c r="J1312" s="38">
        <f t="shared" si="141"/>
        <v>0</v>
      </c>
      <c r="K1312" s="38">
        <f t="shared" si="141"/>
        <v>0</v>
      </c>
      <c r="L1312" s="38">
        <f t="shared" si="141"/>
        <v>3.0303030303030304E-2</v>
      </c>
      <c r="M1312" s="35">
        <f t="shared" si="143"/>
        <v>3.0303030303030304E-2</v>
      </c>
      <c r="S1312" t="s">
        <v>92</v>
      </c>
      <c r="T1312" s="5">
        <f>data_origin!T1487</f>
        <v>0</v>
      </c>
      <c r="U1312" s="5">
        <f>data_origin!U1487</f>
        <v>0</v>
      </c>
      <c r="V1312" s="5">
        <f>data_origin!V1487</f>
        <v>0</v>
      </c>
      <c r="W1312" s="5">
        <f>data_origin!W1487</f>
        <v>0</v>
      </c>
      <c r="X1312" s="5">
        <f>data_origin!X1487</f>
        <v>0</v>
      </c>
      <c r="Y1312" s="5">
        <f>data_origin!Y1487</f>
        <v>0</v>
      </c>
      <c r="Z1312" s="5">
        <f>data_origin!Z1487</f>
        <v>0</v>
      </c>
      <c r="AA1312" s="5">
        <f>data_origin!AA1487</f>
        <v>3.0303030303030304E-2</v>
      </c>
      <c r="AB1312" s="5">
        <f t="shared" si="144"/>
        <v>3.0303030303030304E-2</v>
      </c>
    </row>
    <row r="1313" spans="1:28" x14ac:dyDescent="0.25">
      <c r="D1313" t="s">
        <v>93</v>
      </c>
      <c r="E1313" s="38">
        <f t="shared" si="145"/>
        <v>0</v>
      </c>
      <c r="F1313" s="38">
        <f t="shared" si="145"/>
        <v>0</v>
      </c>
      <c r="G1313" s="38">
        <f t="shared" si="145"/>
        <v>1.8837447578199693</v>
      </c>
      <c r="H1313" s="38">
        <f t="shared" si="145"/>
        <v>0</v>
      </c>
      <c r="I1313" s="38">
        <f t="shared" si="145"/>
        <v>0</v>
      </c>
      <c r="J1313" s="38">
        <f t="shared" si="141"/>
        <v>0</v>
      </c>
      <c r="K1313" s="38">
        <f t="shared" si="141"/>
        <v>0</v>
      </c>
      <c r="L1313" s="38">
        <f t="shared" si="141"/>
        <v>3.0303030303030304E-2</v>
      </c>
      <c r="M1313" s="35">
        <f t="shared" si="143"/>
        <v>1.9140477881229996</v>
      </c>
      <c r="S1313" t="s">
        <v>93</v>
      </c>
      <c r="T1313" s="5">
        <f>data_origin!T1488</f>
        <v>0</v>
      </c>
      <c r="U1313" s="5">
        <f>data_origin!U1488</f>
        <v>0</v>
      </c>
      <c r="V1313" s="5">
        <f>data_origin!V1488</f>
        <v>1.8578767123287672</v>
      </c>
      <c r="W1313" s="5">
        <f>data_origin!W1488</f>
        <v>0</v>
      </c>
      <c r="X1313" s="5">
        <f>data_origin!X1488</f>
        <v>0</v>
      </c>
      <c r="Y1313" s="5">
        <f>data_origin!Y1488</f>
        <v>0</v>
      </c>
      <c r="Z1313" s="5">
        <f>data_origin!Z1488</f>
        <v>0</v>
      </c>
      <c r="AA1313" s="5">
        <f>data_origin!AA1488</f>
        <v>3.0303030303030304E-2</v>
      </c>
      <c r="AB1313" s="5">
        <f t="shared" si="144"/>
        <v>1.8881797426317974</v>
      </c>
    </row>
    <row r="1314" spans="1:28" x14ac:dyDescent="0.25">
      <c r="D1314" t="s">
        <v>94</v>
      </c>
      <c r="E1314" s="38">
        <f t="shared" si="145"/>
        <v>0</v>
      </c>
      <c r="F1314" s="38">
        <f t="shared" si="145"/>
        <v>0</v>
      </c>
      <c r="G1314" s="38">
        <f t="shared" si="145"/>
        <v>0</v>
      </c>
      <c r="H1314" s="38">
        <f t="shared" si="145"/>
        <v>0</v>
      </c>
      <c r="I1314" s="38">
        <f t="shared" si="145"/>
        <v>0</v>
      </c>
      <c r="J1314" s="38">
        <f t="shared" si="145"/>
        <v>0</v>
      </c>
      <c r="K1314" s="38">
        <f t="shared" si="145"/>
        <v>0</v>
      </c>
      <c r="L1314" s="38">
        <f t="shared" si="145"/>
        <v>3.0303030303030304E-2</v>
      </c>
      <c r="M1314" s="35">
        <f t="shared" si="143"/>
        <v>3.0303030303030304E-2</v>
      </c>
      <c r="S1314" t="s">
        <v>94</v>
      </c>
      <c r="T1314" s="5">
        <f>data_origin!T1489</f>
        <v>0</v>
      </c>
      <c r="U1314" s="5">
        <f>data_origin!U1489</f>
        <v>0</v>
      </c>
      <c r="V1314" s="5">
        <f>data_origin!V1489</f>
        <v>0</v>
      </c>
      <c r="W1314" s="5">
        <f>data_origin!W1489</f>
        <v>0</v>
      </c>
      <c r="X1314" s="5">
        <f>data_origin!X1489</f>
        <v>0</v>
      </c>
      <c r="Y1314" s="5">
        <f>data_origin!Y1489</f>
        <v>0</v>
      </c>
      <c r="Z1314" s="5">
        <f>data_origin!Z1489</f>
        <v>0</v>
      </c>
      <c r="AA1314" s="5">
        <f>data_origin!AA1489</f>
        <v>3.0303030303030304E-2</v>
      </c>
      <c r="AB1314" s="5">
        <f t="shared" si="144"/>
        <v>3.0303030303030304E-2</v>
      </c>
    </row>
    <row r="1315" spans="1:28" x14ac:dyDescent="0.25">
      <c r="D1315" t="s">
        <v>95</v>
      </c>
      <c r="E1315" s="38">
        <f t="shared" si="145"/>
        <v>0</v>
      </c>
      <c r="F1315" s="38">
        <f t="shared" si="145"/>
        <v>0</v>
      </c>
      <c r="G1315" s="38">
        <f t="shared" si="145"/>
        <v>0</v>
      </c>
      <c r="H1315" s="38">
        <f t="shared" si="145"/>
        <v>0</v>
      </c>
      <c r="I1315" s="38">
        <f t="shared" si="145"/>
        <v>0</v>
      </c>
      <c r="J1315" s="38">
        <f t="shared" si="145"/>
        <v>0</v>
      </c>
      <c r="K1315" s="38">
        <f t="shared" si="145"/>
        <v>0</v>
      </c>
      <c r="L1315" s="38">
        <f t="shared" si="145"/>
        <v>3.0303030303030304E-2</v>
      </c>
      <c r="M1315" s="35">
        <f t="shared" si="143"/>
        <v>3.0303030303030304E-2</v>
      </c>
      <c r="S1315" t="s">
        <v>95</v>
      </c>
      <c r="T1315" s="5">
        <f>data_origin!T1490</f>
        <v>0</v>
      </c>
      <c r="U1315" s="5">
        <f>data_origin!U1490</f>
        <v>0</v>
      </c>
      <c r="V1315" s="5">
        <f>data_origin!V1490</f>
        <v>0</v>
      </c>
      <c r="W1315" s="5">
        <f>data_origin!W1490</f>
        <v>0</v>
      </c>
      <c r="X1315" s="5">
        <f>data_origin!X1490</f>
        <v>0</v>
      </c>
      <c r="Y1315" s="5">
        <f>data_origin!Y1490</f>
        <v>0</v>
      </c>
      <c r="Z1315" s="5">
        <f>data_origin!Z1490</f>
        <v>0</v>
      </c>
      <c r="AA1315" s="5">
        <f>data_origin!AA1490</f>
        <v>3.0303030303030304E-2</v>
      </c>
      <c r="AB1315" s="5">
        <f t="shared" si="144"/>
        <v>3.0303030303030304E-2</v>
      </c>
    </row>
    <row r="1316" spans="1:28" x14ac:dyDescent="0.25">
      <c r="D1316" t="s">
        <v>96</v>
      </c>
      <c r="E1316" s="38">
        <f t="shared" si="145"/>
        <v>0</v>
      </c>
      <c r="F1316" s="38">
        <f t="shared" si="145"/>
        <v>0</v>
      </c>
      <c r="G1316" s="38">
        <f t="shared" si="145"/>
        <v>1.8837447578199693</v>
      </c>
      <c r="H1316" s="38">
        <f t="shared" si="145"/>
        <v>0</v>
      </c>
      <c r="I1316" s="38">
        <f t="shared" si="145"/>
        <v>0</v>
      </c>
      <c r="J1316" s="38">
        <f t="shared" si="145"/>
        <v>0</v>
      </c>
      <c r="K1316" s="38">
        <f t="shared" si="145"/>
        <v>0</v>
      </c>
      <c r="L1316" s="38">
        <f t="shared" si="145"/>
        <v>3.0303030303030304E-2</v>
      </c>
      <c r="M1316" s="35">
        <f t="shared" si="143"/>
        <v>1.9140477881229996</v>
      </c>
      <c r="S1316" t="s">
        <v>96</v>
      </c>
      <c r="T1316" s="5">
        <f>data_origin!T1491</f>
        <v>0</v>
      </c>
      <c r="U1316" s="5">
        <f>data_origin!U1491</f>
        <v>0</v>
      </c>
      <c r="V1316" s="5">
        <f>data_origin!V1491</f>
        <v>1.8578767123287672</v>
      </c>
      <c r="W1316" s="5">
        <f>data_origin!W1491</f>
        <v>0</v>
      </c>
      <c r="X1316" s="5">
        <f>data_origin!X1491</f>
        <v>0</v>
      </c>
      <c r="Y1316" s="5">
        <f>data_origin!Y1491</f>
        <v>0</v>
      </c>
      <c r="Z1316" s="5">
        <f>data_origin!Z1491</f>
        <v>0</v>
      </c>
      <c r="AA1316" s="5">
        <f>data_origin!AA1491</f>
        <v>3.0303030303030304E-2</v>
      </c>
      <c r="AB1316" s="5">
        <f t="shared" si="144"/>
        <v>1.8881797426317974</v>
      </c>
    </row>
    <row r="1317" spans="1:28" x14ac:dyDescent="0.25">
      <c r="D1317" t="s">
        <v>97</v>
      </c>
      <c r="E1317" s="38">
        <f t="shared" si="145"/>
        <v>0</v>
      </c>
      <c r="F1317" s="38">
        <f t="shared" si="145"/>
        <v>0</v>
      </c>
      <c r="G1317" s="38">
        <f t="shared" si="145"/>
        <v>13.186213304739784</v>
      </c>
      <c r="H1317" s="38">
        <f t="shared" si="145"/>
        <v>12.065660879193235</v>
      </c>
      <c r="I1317" s="38">
        <f t="shared" si="145"/>
        <v>4.2245459432538803</v>
      </c>
      <c r="J1317" s="38">
        <f t="shared" si="145"/>
        <v>0</v>
      </c>
      <c r="K1317" s="38">
        <f t="shared" si="145"/>
        <v>0</v>
      </c>
      <c r="L1317" s="38">
        <f t="shared" si="145"/>
        <v>3.0303030303030304E-2</v>
      </c>
      <c r="M1317" s="35">
        <f t="shared" si="143"/>
        <v>29.50672315748993</v>
      </c>
      <c r="S1317" t="s">
        <v>97</v>
      </c>
      <c r="T1317" s="5">
        <f>data_origin!T1492</f>
        <v>0</v>
      </c>
      <c r="U1317" s="5">
        <f>data_origin!U1492</f>
        <v>0</v>
      </c>
      <c r="V1317" s="5">
        <f>data_origin!V1492</f>
        <v>13.00513698630137</v>
      </c>
      <c r="W1317" s="5">
        <f>data_origin!W1492</f>
        <v>11.857664233576642</v>
      </c>
      <c r="X1317" s="5">
        <f>data_origin!X1492</f>
        <v>4.1522070015220702</v>
      </c>
      <c r="Y1317" s="5">
        <f>data_origin!Y1492</f>
        <v>0</v>
      </c>
      <c r="Z1317" s="5">
        <f>data_origin!Z1492</f>
        <v>0</v>
      </c>
      <c r="AA1317" s="5">
        <f>data_origin!AA1492</f>
        <v>3.0303030303030304E-2</v>
      </c>
      <c r="AB1317" s="5">
        <f t="shared" si="144"/>
        <v>29.045311251703112</v>
      </c>
    </row>
    <row r="1318" spans="1:28" x14ac:dyDescent="0.25">
      <c r="D1318" t="s">
        <v>98</v>
      </c>
      <c r="E1318" s="38">
        <f t="shared" si="145"/>
        <v>0</v>
      </c>
      <c r="F1318" s="38">
        <f t="shared" si="145"/>
        <v>0</v>
      </c>
      <c r="G1318" s="38">
        <f t="shared" si="145"/>
        <v>24.488681851659599</v>
      </c>
      <c r="H1318" s="38">
        <f t="shared" si="145"/>
        <v>56.306417436235101</v>
      </c>
      <c r="I1318" s="38">
        <f t="shared" si="145"/>
        <v>29.571821602777163</v>
      </c>
      <c r="J1318" s="38">
        <f t="shared" si="145"/>
        <v>2.5806214337586884</v>
      </c>
      <c r="K1318" s="38">
        <f t="shared" si="145"/>
        <v>0</v>
      </c>
      <c r="L1318" s="38">
        <f t="shared" si="145"/>
        <v>3.0303030303030304E-2</v>
      </c>
      <c r="M1318" s="35">
        <f t="shared" si="143"/>
        <v>112.97784535473359</v>
      </c>
      <c r="S1318" t="s">
        <v>98</v>
      </c>
      <c r="T1318" s="5">
        <f>data_origin!T1493</f>
        <v>0</v>
      </c>
      <c r="U1318" s="5">
        <f>data_origin!U1493</f>
        <v>0</v>
      </c>
      <c r="V1318" s="5">
        <f>data_origin!V1493</f>
        <v>24.152397260273972</v>
      </c>
      <c r="W1318" s="5">
        <f>data_origin!W1493</f>
        <v>55.335766423357668</v>
      </c>
      <c r="X1318" s="5">
        <f>data_origin!X1493</f>
        <v>29.06544901065449</v>
      </c>
      <c r="Y1318" s="5">
        <f>data_origin!Y1493</f>
        <v>2.5333333333333332</v>
      </c>
      <c r="Z1318" s="5">
        <f>data_origin!Z1493</f>
        <v>0</v>
      </c>
      <c r="AA1318" s="5">
        <f>data_origin!AA1493</f>
        <v>3.0303030303030304E-2</v>
      </c>
      <c r="AB1318" s="5">
        <f t="shared" si="144"/>
        <v>111.11724905792249</v>
      </c>
    </row>
    <row r="1319" spans="1:28" x14ac:dyDescent="0.25">
      <c r="D1319" t="s">
        <v>119</v>
      </c>
      <c r="E1319" s="38">
        <f t="shared" si="145"/>
        <v>0</v>
      </c>
      <c r="F1319" s="38">
        <f t="shared" si="145"/>
        <v>0</v>
      </c>
      <c r="G1319" s="38">
        <f t="shared" si="145"/>
        <v>7.5349790312798772</v>
      </c>
      <c r="H1319" s="38">
        <f t="shared" si="145"/>
        <v>14.076604359058775</v>
      </c>
      <c r="I1319" s="38">
        <f t="shared" si="145"/>
        <v>2.1122729716269402</v>
      </c>
      <c r="J1319" s="38">
        <f t="shared" si="145"/>
        <v>2.5806214337586884</v>
      </c>
      <c r="K1319" s="38">
        <f t="shared" si="145"/>
        <v>0</v>
      </c>
      <c r="L1319" s="38">
        <f t="shared" si="145"/>
        <v>3.0303030303030304E-2</v>
      </c>
      <c r="M1319" s="35">
        <f t="shared" si="143"/>
        <v>26.334780826027313</v>
      </c>
      <c r="S1319" t="s">
        <v>119</v>
      </c>
      <c r="T1319" s="5">
        <f>data_origin!T1494</f>
        <v>0</v>
      </c>
      <c r="U1319" s="5">
        <f>data_origin!U1494</f>
        <v>0</v>
      </c>
      <c r="V1319" s="5">
        <f>data_origin!V1494</f>
        <v>7.4315068493150687</v>
      </c>
      <c r="W1319" s="5">
        <f>data_origin!W1494</f>
        <v>13.833941605839417</v>
      </c>
      <c r="X1319" s="5">
        <f>data_origin!X1494</f>
        <v>2.0761035007610351</v>
      </c>
      <c r="Y1319" s="5">
        <f>data_origin!Y1494</f>
        <v>2.5333333333333332</v>
      </c>
      <c r="Z1319" s="5">
        <f>data_origin!Z1494</f>
        <v>0</v>
      </c>
      <c r="AA1319" s="5">
        <f>data_origin!AA1494</f>
        <v>3.0303030303030304E-2</v>
      </c>
      <c r="AB1319" s="5">
        <f t="shared" si="144"/>
        <v>25.905188319551883</v>
      </c>
    </row>
    <row r="1320" spans="1:28" x14ac:dyDescent="0.25">
      <c r="D1320" t="s">
        <v>99</v>
      </c>
      <c r="E1320" s="38">
        <f t="shared" si="145"/>
        <v>0</v>
      </c>
      <c r="F1320" s="38">
        <f t="shared" si="145"/>
        <v>0</v>
      </c>
      <c r="G1320" s="38">
        <f t="shared" si="145"/>
        <v>16.319958062559753</v>
      </c>
      <c r="H1320" s="38">
        <f t="shared" si="145"/>
        <v>18.098491318789851</v>
      </c>
      <c r="I1320" s="38">
        <f t="shared" si="145"/>
        <v>10.5613648581347</v>
      </c>
      <c r="J1320" s="38">
        <f t="shared" si="145"/>
        <v>0</v>
      </c>
      <c r="K1320" s="38">
        <f t="shared" si="145"/>
        <v>0</v>
      </c>
      <c r="L1320" s="38">
        <f t="shared" si="145"/>
        <v>3.0303030303030304E-2</v>
      </c>
      <c r="M1320" s="35">
        <f t="shared" si="143"/>
        <v>45.010117269787337</v>
      </c>
      <c r="S1320" t="s">
        <v>99</v>
      </c>
      <c r="T1320" s="5">
        <f>data_origin!T1495</f>
        <v>0</v>
      </c>
      <c r="U1320" s="5">
        <f>data_origin!U1495</f>
        <v>0</v>
      </c>
      <c r="V1320" s="5">
        <f>data_origin!V1495</f>
        <v>14.863013698630137</v>
      </c>
      <c r="W1320" s="5">
        <f>data_origin!W1495</f>
        <v>17.786496350364963</v>
      </c>
      <c r="X1320" s="5">
        <f>data_origin!X1495</f>
        <v>10.380517503805175</v>
      </c>
      <c r="Y1320" s="5">
        <f>data_origin!Y1495</f>
        <v>0</v>
      </c>
      <c r="Z1320" s="5">
        <f>data_origin!Z1495</f>
        <v>0</v>
      </c>
      <c r="AA1320" s="5">
        <f>data_origin!AA1495</f>
        <v>3.0303030303030304E-2</v>
      </c>
      <c r="AB1320" s="5">
        <f t="shared" si="144"/>
        <v>43.060330583103301</v>
      </c>
    </row>
    <row r="1321" spans="1:28" x14ac:dyDescent="0.25">
      <c r="D1321" t="s">
        <v>100</v>
      </c>
      <c r="E1321" s="38">
        <f t="shared" si="145"/>
        <v>0</v>
      </c>
      <c r="F1321" s="38">
        <f t="shared" si="145"/>
        <v>0</v>
      </c>
      <c r="G1321" s="38">
        <f t="shared" si="145"/>
        <v>467.16869993935234</v>
      </c>
      <c r="H1321" s="38">
        <f t="shared" si="145"/>
        <v>937.08871813747567</v>
      </c>
      <c r="I1321" s="38">
        <f t="shared" si="145"/>
        <v>616.78370771506638</v>
      </c>
      <c r="J1321" s="38">
        <f t="shared" si="145"/>
        <v>41.289942940139014</v>
      </c>
      <c r="K1321" s="38">
        <f t="shared" si="145"/>
        <v>2.2471428571428573</v>
      </c>
      <c r="L1321" s="38">
        <f t="shared" si="145"/>
        <v>3.0303030303030304E-2</v>
      </c>
      <c r="M1321" s="35">
        <f t="shared" si="143"/>
        <v>2064.6085146194791</v>
      </c>
      <c r="S1321" t="s">
        <v>100</v>
      </c>
      <c r="T1321" s="5">
        <f>data_origin!T1496</f>
        <v>0</v>
      </c>
      <c r="U1321" s="5">
        <f>data_origin!U1496</f>
        <v>0</v>
      </c>
      <c r="V1321" s="5">
        <f>data_origin!V1496</f>
        <v>460.7534246575342</v>
      </c>
      <c r="W1321" s="5">
        <f>data_origin!W1496</f>
        <v>918.96897810218979</v>
      </c>
      <c r="X1321" s="5">
        <f>data_origin!X1496</f>
        <v>606.22222222222217</v>
      </c>
      <c r="Y1321" s="5">
        <f>data_origin!Y1496</f>
        <v>40.533333333333331</v>
      </c>
      <c r="Z1321" s="5">
        <f>data_origin!Z1496</f>
        <v>2.2000000000000002</v>
      </c>
      <c r="AA1321" s="5">
        <f>data_origin!AA1496</f>
        <v>3.0303030303030304E-2</v>
      </c>
      <c r="AB1321" s="5">
        <f t="shared" si="144"/>
        <v>2028.7082613455825</v>
      </c>
    </row>
    <row r="1322" spans="1:28" x14ac:dyDescent="0.25">
      <c r="D1322" t="s">
        <v>101</v>
      </c>
      <c r="E1322" s="38">
        <f t="shared" si="145"/>
        <v>0</v>
      </c>
      <c r="F1322" s="38">
        <f t="shared" si="145"/>
        <v>0</v>
      </c>
      <c r="G1322" s="38">
        <f t="shared" si="145"/>
        <v>22.604937093839631</v>
      </c>
      <c r="H1322" s="38">
        <f t="shared" si="145"/>
        <v>32.175095677848624</v>
      </c>
      <c r="I1322" s="38">
        <f t="shared" si="145"/>
        <v>19.010456744642461</v>
      </c>
      <c r="J1322" s="38">
        <f t="shared" si="145"/>
        <v>2.5806214337586884</v>
      </c>
      <c r="K1322" s="38">
        <f t="shared" si="145"/>
        <v>0</v>
      </c>
      <c r="L1322" s="38">
        <f t="shared" si="145"/>
        <v>3.0303030303030304E-2</v>
      </c>
      <c r="M1322" s="35">
        <f t="shared" si="143"/>
        <v>76.401413980392448</v>
      </c>
      <c r="S1322" t="s">
        <v>101</v>
      </c>
      <c r="T1322" s="5">
        <f>data_origin!T1497</f>
        <v>0</v>
      </c>
      <c r="U1322" s="5">
        <f>data_origin!U1497</f>
        <v>0</v>
      </c>
      <c r="V1322" s="5">
        <f>data_origin!V1497</f>
        <v>22.294520547945204</v>
      </c>
      <c r="W1322" s="5">
        <f>data_origin!W1497</f>
        <v>31.620437956204377</v>
      </c>
      <c r="X1322" s="5">
        <f>data_origin!X1497</f>
        <v>18.684931506849317</v>
      </c>
      <c r="Y1322" s="5">
        <f>data_origin!Y1497</f>
        <v>2.5333333333333332</v>
      </c>
      <c r="Z1322" s="5">
        <f>data_origin!Z1497</f>
        <v>0</v>
      </c>
      <c r="AA1322" s="5">
        <f>data_origin!AA1497</f>
        <v>3.0303030303030304E-2</v>
      </c>
      <c r="AB1322" s="5">
        <f t="shared" si="144"/>
        <v>75.163526374635268</v>
      </c>
    </row>
    <row r="1323" spans="1:28" x14ac:dyDescent="0.25">
      <c r="A1323" s="24" t="s">
        <v>115</v>
      </c>
      <c r="B1323" s="24" t="s">
        <v>116</v>
      </c>
      <c r="C1323" s="24" t="s">
        <v>105</v>
      </c>
      <c r="D1323" t="s">
        <v>70</v>
      </c>
      <c r="E1323" s="35">
        <f>T1323+IFERROR((T1323/SUM(T$993:T$1982)*AW$630),0)</f>
        <v>0</v>
      </c>
      <c r="F1323" s="35">
        <f t="shared" ref="F1323:F1386" si="146">U1323+IFERROR((U1323/SUM(U$993:U$1982)*AX$630),0)</f>
        <v>0</v>
      </c>
      <c r="G1323" s="35">
        <f t="shared" ref="G1323:L1365" si="147">V1323+IFERROR((V1323/SUM(V$993:V$1982)*AY$630),0)</f>
        <v>0</v>
      </c>
      <c r="H1323" s="35">
        <f t="shared" si="147"/>
        <v>0</v>
      </c>
      <c r="I1323" s="35">
        <f t="shared" si="147"/>
        <v>0</v>
      </c>
      <c r="J1323" s="35">
        <f t="shared" si="147"/>
        <v>0</v>
      </c>
      <c r="K1323" s="35">
        <f t="shared" si="147"/>
        <v>0</v>
      </c>
      <c r="L1323" s="35">
        <f t="shared" si="147"/>
        <v>0</v>
      </c>
      <c r="M1323" s="35">
        <f t="shared" si="143"/>
        <v>0</v>
      </c>
      <c r="P1323" t="s">
        <v>115</v>
      </c>
      <c r="Q1323" t="s">
        <v>116</v>
      </c>
      <c r="R1323" t="s">
        <v>105</v>
      </c>
      <c r="S1323" t="s">
        <v>70</v>
      </c>
      <c r="T1323" s="5">
        <f>data_origin!T1533</f>
        <v>0</v>
      </c>
      <c r="U1323" s="5">
        <f>data_origin!U1533</f>
        <v>0</v>
      </c>
      <c r="V1323" s="5">
        <f>data_origin!V1533</f>
        <v>0</v>
      </c>
      <c r="W1323" s="5">
        <f>data_origin!W1533</f>
        <v>0</v>
      </c>
      <c r="X1323" s="5">
        <f>data_origin!X1533</f>
        <v>0</v>
      </c>
      <c r="Y1323" s="5">
        <f>data_origin!Y1533</f>
        <v>0</v>
      </c>
      <c r="Z1323" s="5">
        <f>data_origin!Z1533</f>
        <v>0</v>
      </c>
      <c r="AA1323" s="5">
        <f>data_origin!AA1533</f>
        <v>0</v>
      </c>
      <c r="AB1323" s="5">
        <f t="shared" si="144"/>
        <v>0</v>
      </c>
    </row>
    <row r="1324" spans="1:28" x14ac:dyDescent="0.25">
      <c r="D1324" t="s">
        <v>71</v>
      </c>
      <c r="E1324" s="35">
        <f t="shared" ref="E1324:F1387" si="148">T1324+IFERROR((T1324/SUM(T$993:T$1982)*AW$630),0)</f>
        <v>0</v>
      </c>
      <c r="F1324" s="35">
        <f t="shared" si="146"/>
        <v>0</v>
      </c>
      <c r="G1324" s="35">
        <f t="shared" si="147"/>
        <v>0</v>
      </c>
      <c r="H1324" s="35">
        <f t="shared" si="147"/>
        <v>0</v>
      </c>
      <c r="I1324" s="35">
        <f t="shared" si="147"/>
        <v>0</v>
      </c>
      <c r="J1324" s="35">
        <f t="shared" si="147"/>
        <v>0</v>
      </c>
      <c r="K1324" s="35">
        <f t="shared" si="147"/>
        <v>0</v>
      </c>
      <c r="L1324" s="35">
        <f t="shared" si="147"/>
        <v>0</v>
      </c>
      <c r="M1324" s="35">
        <f t="shared" si="143"/>
        <v>0</v>
      </c>
      <c r="S1324" t="s">
        <v>71</v>
      </c>
      <c r="T1324" s="5">
        <f>data_origin!T1534</f>
        <v>0</v>
      </c>
      <c r="U1324" s="5">
        <f>data_origin!U1534</f>
        <v>0</v>
      </c>
      <c r="V1324" s="5">
        <f>data_origin!V1534</f>
        <v>0</v>
      </c>
      <c r="W1324" s="5">
        <f>data_origin!W1534</f>
        <v>0</v>
      </c>
      <c r="X1324" s="5">
        <f>data_origin!X1534</f>
        <v>0</v>
      </c>
      <c r="Y1324" s="5">
        <f>data_origin!Y1534</f>
        <v>0</v>
      </c>
      <c r="Z1324" s="5">
        <f>data_origin!Z1534</f>
        <v>0</v>
      </c>
      <c r="AA1324" s="5">
        <f>data_origin!AA1534</f>
        <v>0</v>
      </c>
      <c r="AB1324" s="5">
        <f t="shared" si="144"/>
        <v>0</v>
      </c>
    </row>
    <row r="1325" spans="1:28" x14ac:dyDescent="0.25">
      <c r="D1325" t="s">
        <v>72</v>
      </c>
      <c r="E1325" s="35">
        <f t="shared" si="148"/>
        <v>0</v>
      </c>
      <c r="F1325" s="35">
        <f t="shared" si="146"/>
        <v>0</v>
      </c>
      <c r="G1325" s="35">
        <f t="shared" si="147"/>
        <v>0</v>
      </c>
      <c r="H1325" s="35">
        <f t="shared" si="147"/>
        <v>0</v>
      </c>
      <c r="I1325" s="35">
        <f t="shared" si="147"/>
        <v>0</v>
      </c>
      <c r="J1325" s="35">
        <f t="shared" si="147"/>
        <v>0</v>
      </c>
      <c r="K1325" s="35">
        <f t="shared" si="147"/>
        <v>0</v>
      </c>
      <c r="L1325" s="35">
        <f t="shared" si="147"/>
        <v>0</v>
      </c>
      <c r="M1325" s="35">
        <f t="shared" si="143"/>
        <v>0</v>
      </c>
      <c r="S1325" t="s">
        <v>72</v>
      </c>
      <c r="T1325" s="5">
        <f>data_origin!T1535</f>
        <v>0</v>
      </c>
      <c r="U1325" s="5">
        <f>data_origin!U1535</f>
        <v>0</v>
      </c>
      <c r="V1325" s="5">
        <f>data_origin!V1535</f>
        <v>0</v>
      </c>
      <c r="W1325" s="5">
        <f>data_origin!W1535</f>
        <v>0</v>
      </c>
      <c r="X1325" s="5">
        <f>data_origin!X1535</f>
        <v>0</v>
      </c>
      <c r="Y1325" s="5">
        <f>data_origin!Y1535</f>
        <v>0</v>
      </c>
      <c r="Z1325" s="5">
        <f>data_origin!Z1535</f>
        <v>0</v>
      </c>
      <c r="AA1325" s="5">
        <f>data_origin!AA1535</f>
        <v>0</v>
      </c>
      <c r="AB1325" s="5">
        <f t="shared" si="144"/>
        <v>0</v>
      </c>
    </row>
    <row r="1326" spans="1:28" x14ac:dyDescent="0.25">
      <c r="D1326" t="s">
        <v>73</v>
      </c>
      <c r="E1326" s="35">
        <f t="shared" si="148"/>
        <v>0</v>
      </c>
      <c r="F1326" s="35">
        <f t="shared" si="146"/>
        <v>0</v>
      </c>
      <c r="G1326" s="35">
        <f t="shared" si="147"/>
        <v>0</v>
      </c>
      <c r="H1326" s="35">
        <f t="shared" si="147"/>
        <v>0</v>
      </c>
      <c r="I1326" s="35">
        <f t="shared" si="147"/>
        <v>0</v>
      </c>
      <c r="J1326" s="35">
        <f t="shared" si="147"/>
        <v>0</v>
      </c>
      <c r="K1326" s="35">
        <f t="shared" si="147"/>
        <v>0</v>
      </c>
      <c r="L1326" s="35">
        <f t="shared" si="147"/>
        <v>0</v>
      </c>
      <c r="M1326" s="35">
        <f t="shared" si="143"/>
        <v>0</v>
      </c>
      <c r="S1326" t="s">
        <v>73</v>
      </c>
      <c r="T1326" s="5">
        <f>data_origin!T1536</f>
        <v>0</v>
      </c>
      <c r="U1326" s="5">
        <f>data_origin!U1536</f>
        <v>0</v>
      </c>
      <c r="V1326" s="5">
        <f>data_origin!V1536</f>
        <v>0</v>
      </c>
      <c r="W1326" s="5">
        <f>data_origin!W1536</f>
        <v>0</v>
      </c>
      <c r="X1326" s="5">
        <f>data_origin!X1536</f>
        <v>0</v>
      </c>
      <c r="Y1326" s="5">
        <f>data_origin!Y1536</f>
        <v>0</v>
      </c>
      <c r="Z1326" s="5">
        <f>data_origin!Z1536</f>
        <v>0</v>
      </c>
      <c r="AA1326" s="5">
        <f>data_origin!AA1536</f>
        <v>0</v>
      </c>
      <c r="AB1326" s="5">
        <f t="shared" si="144"/>
        <v>0</v>
      </c>
    </row>
    <row r="1327" spans="1:28" x14ac:dyDescent="0.25">
      <c r="D1327" t="s">
        <v>74</v>
      </c>
      <c r="E1327" s="35">
        <f t="shared" si="148"/>
        <v>0</v>
      </c>
      <c r="F1327" s="35">
        <f t="shared" si="146"/>
        <v>0</v>
      </c>
      <c r="G1327" s="35">
        <f t="shared" si="147"/>
        <v>0</v>
      </c>
      <c r="H1327" s="35">
        <f t="shared" si="147"/>
        <v>0</v>
      </c>
      <c r="I1327" s="35">
        <f t="shared" si="147"/>
        <v>0</v>
      </c>
      <c r="J1327" s="35">
        <f t="shared" si="147"/>
        <v>0</v>
      </c>
      <c r="K1327" s="35">
        <f t="shared" si="147"/>
        <v>0</v>
      </c>
      <c r="L1327" s="35">
        <f t="shared" si="147"/>
        <v>0</v>
      </c>
      <c r="M1327" s="35">
        <f t="shared" si="143"/>
        <v>0</v>
      </c>
      <c r="S1327" t="s">
        <v>74</v>
      </c>
      <c r="T1327" s="5">
        <f>data_origin!T1537</f>
        <v>0</v>
      </c>
      <c r="U1327" s="5">
        <f>data_origin!U1537</f>
        <v>0</v>
      </c>
      <c r="V1327" s="5">
        <f>data_origin!V1537</f>
        <v>0</v>
      </c>
      <c r="W1327" s="5">
        <f>data_origin!W1537</f>
        <v>0</v>
      </c>
      <c r="X1327" s="5">
        <f>data_origin!X1537</f>
        <v>0</v>
      </c>
      <c r="Y1327" s="5">
        <f>data_origin!Y1537</f>
        <v>0</v>
      </c>
      <c r="Z1327" s="5">
        <f>data_origin!Z1537</f>
        <v>0</v>
      </c>
      <c r="AA1327" s="5">
        <f>data_origin!AA1537</f>
        <v>0</v>
      </c>
      <c r="AB1327" s="5">
        <f t="shared" si="144"/>
        <v>0</v>
      </c>
    </row>
    <row r="1328" spans="1:28" x14ac:dyDescent="0.25">
      <c r="D1328" t="s">
        <v>75</v>
      </c>
      <c r="E1328" s="35">
        <f t="shared" si="148"/>
        <v>0</v>
      </c>
      <c r="F1328" s="35">
        <f t="shared" si="146"/>
        <v>0</v>
      </c>
      <c r="G1328" s="35">
        <f t="shared" si="147"/>
        <v>0</v>
      </c>
      <c r="H1328" s="35">
        <f t="shared" si="147"/>
        <v>0</v>
      </c>
      <c r="I1328" s="35">
        <f t="shared" si="147"/>
        <v>0</v>
      </c>
      <c r="J1328" s="35">
        <f t="shared" si="147"/>
        <v>0</v>
      </c>
      <c r="K1328" s="35">
        <f t="shared" si="147"/>
        <v>0</v>
      </c>
      <c r="L1328" s="35">
        <f t="shared" si="147"/>
        <v>0</v>
      </c>
      <c r="M1328" s="35">
        <f t="shared" si="143"/>
        <v>0</v>
      </c>
      <c r="S1328" t="s">
        <v>75</v>
      </c>
      <c r="T1328" s="5">
        <f>data_origin!T1538</f>
        <v>0</v>
      </c>
      <c r="U1328" s="5">
        <f>data_origin!U1538</f>
        <v>0</v>
      </c>
      <c r="V1328" s="5">
        <f>data_origin!V1538</f>
        <v>0</v>
      </c>
      <c r="W1328" s="5">
        <f>data_origin!W1538</f>
        <v>0</v>
      </c>
      <c r="X1328" s="5">
        <f>data_origin!X1538</f>
        <v>0</v>
      </c>
      <c r="Y1328" s="5">
        <f>data_origin!Y1538</f>
        <v>0</v>
      </c>
      <c r="Z1328" s="5">
        <f>data_origin!Z1538</f>
        <v>0</v>
      </c>
      <c r="AA1328" s="5">
        <f>data_origin!AA1538</f>
        <v>0</v>
      </c>
      <c r="AB1328" s="5">
        <f t="shared" si="144"/>
        <v>0</v>
      </c>
    </row>
    <row r="1329" spans="4:28" x14ac:dyDescent="0.25">
      <c r="D1329" t="s">
        <v>76</v>
      </c>
      <c r="E1329" s="35">
        <f t="shared" si="148"/>
        <v>0</v>
      </c>
      <c r="F1329" s="35">
        <f t="shared" si="146"/>
        <v>0</v>
      </c>
      <c r="G1329" s="35">
        <f t="shared" si="147"/>
        <v>0</v>
      </c>
      <c r="H1329" s="35">
        <f t="shared" si="147"/>
        <v>0</v>
      </c>
      <c r="I1329" s="35">
        <f t="shared" si="147"/>
        <v>0</v>
      </c>
      <c r="J1329" s="35">
        <f t="shared" si="147"/>
        <v>0</v>
      </c>
      <c r="K1329" s="35">
        <f t="shared" si="147"/>
        <v>0</v>
      </c>
      <c r="L1329" s="35">
        <f t="shared" si="147"/>
        <v>0</v>
      </c>
      <c r="M1329" s="35">
        <f t="shared" si="143"/>
        <v>0</v>
      </c>
      <c r="S1329" t="s">
        <v>76</v>
      </c>
      <c r="T1329" s="5">
        <f>data_origin!T1539</f>
        <v>0</v>
      </c>
      <c r="U1329" s="5">
        <f>data_origin!U1539</f>
        <v>0</v>
      </c>
      <c r="V1329" s="5">
        <f>data_origin!V1539</f>
        <v>0</v>
      </c>
      <c r="W1329" s="5">
        <f>data_origin!W1539</f>
        <v>0</v>
      </c>
      <c r="X1329" s="5">
        <f>data_origin!X1539</f>
        <v>0</v>
      </c>
      <c r="Y1329" s="5">
        <f>data_origin!Y1539</f>
        <v>0</v>
      </c>
      <c r="Z1329" s="5">
        <f>data_origin!Z1539</f>
        <v>0</v>
      </c>
      <c r="AA1329" s="5">
        <f>data_origin!AA1539</f>
        <v>0</v>
      </c>
      <c r="AB1329" s="5">
        <f t="shared" si="144"/>
        <v>0</v>
      </c>
    </row>
    <row r="1330" spans="4:28" x14ac:dyDescent="0.25">
      <c r="D1330" t="s">
        <v>77</v>
      </c>
      <c r="E1330" s="35">
        <f t="shared" si="148"/>
        <v>0</v>
      </c>
      <c r="F1330" s="35">
        <f t="shared" si="146"/>
        <v>0</v>
      </c>
      <c r="G1330" s="35">
        <f t="shared" si="147"/>
        <v>0</v>
      </c>
      <c r="H1330" s="35">
        <f t="shared" si="147"/>
        <v>0</v>
      </c>
      <c r="I1330" s="35">
        <f t="shared" si="147"/>
        <v>0</v>
      </c>
      <c r="J1330" s="35">
        <f t="shared" si="147"/>
        <v>0</v>
      </c>
      <c r="K1330" s="35">
        <f t="shared" si="147"/>
        <v>0</v>
      </c>
      <c r="L1330" s="35">
        <f t="shared" si="147"/>
        <v>0</v>
      </c>
      <c r="M1330" s="35">
        <f t="shared" si="143"/>
        <v>0</v>
      </c>
      <c r="S1330" t="s">
        <v>77</v>
      </c>
      <c r="T1330" s="5">
        <f>data_origin!T1540</f>
        <v>0</v>
      </c>
      <c r="U1330" s="5">
        <f>data_origin!U1540</f>
        <v>0</v>
      </c>
      <c r="V1330" s="5">
        <f>data_origin!V1540</f>
        <v>0</v>
      </c>
      <c r="W1330" s="5">
        <f>data_origin!W1540</f>
        <v>0</v>
      </c>
      <c r="X1330" s="5">
        <f>data_origin!X1540</f>
        <v>0</v>
      </c>
      <c r="Y1330" s="5">
        <f>data_origin!Y1540</f>
        <v>0</v>
      </c>
      <c r="Z1330" s="5">
        <f>data_origin!Z1540</f>
        <v>0</v>
      </c>
      <c r="AA1330" s="5">
        <f>data_origin!AA1540</f>
        <v>0</v>
      </c>
      <c r="AB1330" s="5">
        <f t="shared" ref="AB1330:AB1393" si="149">SUM(T1330:AA1330)</f>
        <v>0</v>
      </c>
    </row>
    <row r="1331" spans="4:28" x14ac:dyDescent="0.25">
      <c r="D1331" t="s">
        <v>78</v>
      </c>
      <c r="E1331" s="35">
        <f t="shared" si="148"/>
        <v>0</v>
      </c>
      <c r="F1331" s="35">
        <f t="shared" si="146"/>
        <v>0</v>
      </c>
      <c r="G1331" s="35">
        <f t="shared" si="147"/>
        <v>0</v>
      </c>
      <c r="H1331" s="35">
        <f t="shared" si="147"/>
        <v>0</v>
      </c>
      <c r="I1331" s="35">
        <f t="shared" si="147"/>
        <v>0</v>
      </c>
      <c r="J1331" s="35">
        <f t="shared" si="147"/>
        <v>0</v>
      </c>
      <c r="K1331" s="35">
        <f t="shared" si="147"/>
        <v>0</v>
      </c>
      <c r="L1331" s="35">
        <f t="shared" si="147"/>
        <v>0</v>
      </c>
      <c r="M1331" s="35">
        <f t="shared" si="143"/>
        <v>0</v>
      </c>
      <c r="S1331" t="s">
        <v>78</v>
      </c>
      <c r="T1331" s="5">
        <f>data_origin!T1541</f>
        <v>0</v>
      </c>
      <c r="U1331" s="5">
        <f>data_origin!U1541</f>
        <v>0</v>
      </c>
      <c r="V1331" s="5">
        <f>data_origin!V1541</f>
        <v>0</v>
      </c>
      <c r="W1331" s="5">
        <f>data_origin!W1541</f>
        <v>0</v>
      </c>
      <c r="X1331" s="5">
        <f>data_origin!X1541</f>
        <v>0</v>
      </c>
      <c r="Y1331" s="5">
        <f>data_origin!Y1541</f>
        <v>0</v>
      </c>
      <c r="Z1331" s="5">
        <f>data_origin!Z1541</f>
        <v>0</v>
      </c>
      <c r="AA1331" s="5">
        <f>data_origin!AA1541</f>
        <v>0</v>
      </c>
      <c r="AB1331" s="5">
        <f t="shared" si="149"/>
        <v>0</v>
      </c>
    </row>
    <row r="1332" spans="4:28" x14ac:dyDescent="0.25">
      <c r="D1332" t="s">
        <v>79</v>
      </c>
      <c r="E1332" s="35">
        <f t="shared" si="148"/>
        <v>0</v>
      </c>
      <c r="F1332" s="35">
        <f t="shared" si="146"/>
        <v>0</v>
      </c>
      <c r="G1332" s="35">
        <f t="shared" si="147"/>
        <v>0</v>
      </c>
      <c r="H1332" s="35">
        <f t="shared" si="147"/>
        <v>0</v>
      </c>
      <c r="I1332" s="35">
        <f t="shared" si="147"/>
        <v>0</v>
      </c>
      <c r="J1332" s="35">
        <f t="shared" si="147"/>
        <v>0</v>
      </c>
      <c r="K1332" s="35">
        <f t="shared" si="147"/>
        <v>0</v>
      </c>
      <c r="L1332" s="35">
        <f t="shared" si="147"/>
        <v>0</v>
      </c>
      <c r="M1332" s="35">
        <f t="shared" si="143"/>
        <v>0</v>
      </c>
      <c r="S1332" t="s">
        <v>79</v>
      </c>
      <c r="T1332" s="5">
        <f>data_origin!T1542</f>
        <v>0</v>
      </c>
      <c r="U1332" s="5">
        <f>data_origin!U1542</f>
        <v>0</v>
      </c>
      <c r="V1332" s="5">
        <f>data_origin!V1542</f>
        <v>0</v>
      </c>
      <c r="W1332" s="5">
        <f>data_origin!W1542</f>
        <v>0</v>
      </c>
      <c r="X1332" s="5">
        <f>data_origin!X1542</f>
        <v>0</v>
      </c>
      <c r="Y1332" s="5">
        <f>data_origin!Y1542</f>
        <v>0</v>
      </c>
      <c r="Z1332" s="5">
        <f>data_origin!Z1542</f>
        <v>0</v>
      </c>
      <c r="AA1332" s="5">
        <f>data_origin!AA1542</f>
        <v>0</v>
      </c>
      <c r="AB1332" s="5">
        <f t="shared" si="149"/>
        <v>0</v>
      </c>
    </row>
    <row r="1333" spans="4:28" x14ac:dyDescent="0.25">
      <c r="D1333" t="s">
        <v>80</v>
      </c>
      <c r="E1333" s="35">
        <f t="shared" si="148"/>
        <v>0</v>
      </c>
      <c r="F1333" s="35">
        <f t="shared" si="146"/>
        <v>0</v>
      </c>
      <c r="G1333" s="35">
        <f t="shared" si="147"/>
        <v>0</v>
      </c>
      <c r="H1333" s="35">
        <f t="shared" si="147"/>
        <v>0</v>
      </c>
      <c r="I1333" s="35">
        <f t="shared" si="147"/>
        <v>0</v>
      </c>
      <c r="J1333" s="35">
        <f t="shared" si="147"/>
        <v>0</v>
      </c>
      <c r="K1333" s="35">
        <f t="shared" si="147"/>
        <v>0</v>
      </c>
      <c r="L1333" s="35">
        <f t="shared" si="147"/>
        <v>0</v>
      </c>
      <c r="M1333" s="35">
        <f t="shared" si="143"/>
        <v>0</v>
      </c>
      <c r="S1333" t="s">
        <v>80</v>
      </c>
      <c r="T1333" s="5">
        <f>data_origin!T1543</f>
        <v>0</v>
      </c>
      <c r="U1333" s="5">
        <f>data_origin!U1543</f>
        <v>0</v>
      </c>
      <c r="V1333" s="5">
        <f>data_origin!V1543</f>
        <v>0</v>
      </c>
      <c r="W1333" s="5">
        <f>data_origin!W1543</f>
        <v>0</v>
      </c>
      <c r="X1333" s="5">
        <f>data_origin!X1543</f>
        <v>0</v>
      </c>
      <c r="Y1333" s="5">
        <f>data_origin!Y1543</f>
        <v>0</v>
      </c>
      <c r="Z1333" s="5">
        <f>data_origin!Z1543</f>
        <v>0</v>
      </c>
      <c r="AA1333" s="5">
        <f>data_origin!AA1543</f>
        <v>0</v>
      </c>
      <c r="AB1333" s="5">
        <f t="shared" si="149"/>
        <v>0</v>
      </c>
    </row>
    <row r="1334" spans="4:28" x14ac:dyDescent="0.25">
      <c r="D1334" t="s">
        <v>81</v>
      </c>
      <c r="E1334" s="35">
        <f t="shared" si="148"/>
        <v>0</v>
      </c>
      <c r="F1334" s="35">
        <f t="shared" si="146"/>
        <v>0</v>
      </c>
      <c r="G1334" s="35">
        <f t="shared" si="147"/>
        <v>0</v>
      </c>
      <c r="H1334" s="35">
        <f t="shared" si="147"/>
        <v>0</v>
      </c>
      <c r="I1334" s="35">
        <f t="shared" si="147"/>
        <v>0</v>
      </c>
      <c r="J1334" s="35">
        <f t="shared" si="147"/>
        <v>0</v>
      </c>
      <c r="K1334" s="35">
        <f t="shared" si="147"/>
        <v>0</v>
      </c>
      <c r="L1334" s="35">
        <f t="shared" si="147"/>
        <v>0</v>
      </c>
      <c r="M1334" s="35">
        <f t="shared" si="143"/>
        <v>0</v>
      </c>
      <c r="S1334" t="s">
        <v>81</v>
      </c>
      <c r="T1334" s="5">
        <f>data_origin!T1544</f>
        <v>0</v>
      </c>
      <c r="U1334" s="5">
        <f>data_origin!U1544</f>
        <v>0</v>
      </c>
      <c r="V1334" s="5">
        <f>data_origin!V1544</f>
        <v>0</v>
      </c>
      <c r="W1334" s="5">
        <f>data_origin!W1544</f>
        <v>0</v>
      </c>
      <c r="X1334" s="5">
        <f>data_origin!X1544</f>
        <v>0</v>
      </c>
      <c r="Y1334" s="5">
        <f>data_origin!Y1544</f>
        <v>0</v>
      </c>
      <c r="Z1334" s="5">
        <f>data_origin!Z1544</f>
        <v>0</v>
      </c>
      <c r="AA1334" s="5">
        <f>data_origin!AA1544</f>
        <v>0</v>
      </c>
      <c r="AB1334" s="5">
        <f t="shared" si="149"/>
        <v>0</v>
      </c>
    </row>
    <row r="1335" spans="4:28" x14ac:dyDescent="0.25">
      <c r="D1335" t="s">
        <v>82</v>
      </c>
      <c r="E1335" s="35">
        <f t="shared" si="148"/>
        <v>0</v>
      </c>
      <c r="F1335" s="35">
        <f t="shared" si="146"/>
        <v>0</v>
      </c>
      <c r="G1335" s="35">
        <f t="shared" si="147"/>
        <v>0</v>
      </c>
      <c r="H1335" s="35">
        <f t="shared" si="147"/>
        <v>0</v>
      </c>
      <c r="I1335" s="35">
        <f t="shared" si="147"/>
        <v>0</v>
      </c>
      <c r="J1335" s="35">
        <f t="shared" si="147"/>
        <v>0</v>
      </c>
      <c r="K1335" s="35">
        <f t="shared" si="147"/>
        <v>0</v>
      </c>
      <c r="L1335" s="35">
        <f t="shared" si="147"/>
        <v>0</v>
      </c>
      <c r="M1335" s="35">
        <f t="shared" si="143"/>
        <v>0</v>
      </c>
      <c r="S1335" t="s">
        <v>82</v>
      </c>
      <c r="T1335" s="5">
        <f>data_origin!T1545</f>
        <v>0</v>
      </c>
      <c r="U1335" s="5">
        <f>data_origin!U1545</f>
        <v>0</v>
      </c>
      <c r="V1335" s="5">
        <f>data_origin!V1545</f>
        <v>0</v>
      </c>
      <c r="W1335" s="5">
        <f>data_origin!W1545</f>
        <v>0</v>
      </c>
      <c r="X1335" s="5">
        <f>data_origin!X1545</f>
        <v>0</v>
      </c>
      <c r="Y1335" s="5">
        <f>data_origin!Y1545</f>
        <v>0</v>
      </c>
      <c r="Z1335" s="5">
        <f>data_origin!Z1545</f>
        <v>0</v>
      </c>
      <c r="AA1335" s="5">
        <f>data_origin!AA1545</f>
        <v>0</v>
      </c>
      <c r="AB1335" s="5">
        <f t="shared" si="149"/>
        <v>0</v>
      </c>
    </row>
    <row r="1336" spans="4:28" x14ac:dyDescent="0.25">
      <c r="D1336" t="s">
        <v>83</v>
      </c>
      <c r="E1336" s="35">
        <f t="shared" si="148"/>
        <v>0</v>
      </c>
      <c r="F1336" s="35">
        <f t="shared" si="146"/>
        <v>0</v>
      </c>
      <c r="G1336" s="35">
        <f t="shared" si="147"/>
        <v>0</v>
      </c>
      <c r="H1336" s="35">
        <f t="shared" si="147"/>
        <v>0</v>
      </c>
      <c r="I1336" s="35">
        <f t="shared" si="147"/>
        <v>0</v>
      </c>
      <c r="J1336" s="35">
        <f t="shared" si="147"/>
        <v>0</v>
      </c>
      <c r="K1336" s="35">
        <f t="shared" si="147"/>
        <v>0</v>
      </c>
      <c r="L1336" s="35">
        <f t="shared" si="147"/>
        <v>0</v>
      </c>
      <c r="M1336" s="35">
        <f t="shared" si="143"/>
        <v>0</v>
      </c>
      <c r="S1336" t="s">
        <v>83</v>
      </c>
      <c r="T1336" s="5">
        <f>data_origin!T1546</f>
        <v>0</v>
      </c>
      <c r="U1336" s="5">
        <f>data_origin!U1546</f>
        <v>0</v>
      </c>
      <c r="V1336" s="5">
        <f>data_origin!V1546</f>
        <v>0</v>
      </c>
      <c r="W1336" s="5">
        <f>data_origin!W1546</f>
        <v>0</v>
      </c>
      <c r="X1336" s="5">
        <f>data_origin!X1546</f>
        <v>0</v>
      </c>
      <c r="Y1336" s="5">
        <f>data_origin!Y1546</f>
        <v>0</v>
      </c>
      <c r="Z1336" s="5">
        <f>data_origin!Z1546</f>
        <v>0</v>
      </c>
      <c r="AA1336" s="5">
        <f>data_origin!AA1546</f>
        <v>0</v>
      </c>
      <c r="AB1336" s="5">
        <f t="shared" si="149"/>
        <v>0</v>
      </c>
    </row>
    <row r="1337" spans="4:28" x14ac:dyDescent="0.25">
      <c r="D1337" t="s">
        <v>84</v>
      </c>
      <c r="E1337" s="35">
        <f t="shared" si="148"/>
        <v>0</v>
      </c>
      <c r="F1337" s="35">
        <f t="shared" si="146"/>
        <v>0</v>
      </c>
      <c r="G1337" s="35">
        <f t="shared" si="147"/>
        <v>0</v>
      </c>
      <c r="H1337" s="35">
        <f t="shared" si="147"/>
        <v>0</v>
      </c>
      <c r="I1337" s="35">
        <f t="shared" si="147"/>
        <v>0</v>
      </c>
      <c r="J1337" s="35">
        <f t="shared" si="147"/>
        <v>0</v>
      </c>
      <c r="K1337" s="35">
        <f t="shared" si="147"/>
        <v>0</v>
      </c>
      <c r="L1337" s="35">
        <f t="shared" si="147"/>
        <v>0</v>
      </c>
      <c r="M1337" s="35">
        <f t="shared" si="143"/>
        <v>0</v>
      </c>
      <c r="S1337" t="s">
        <v>84</v>
      </c>
      <c r="T1337" s="5">
        <f>data_origin!T1547</f>
        <v>0</v>
      </c>
      <c r="U1337" s="5">
        <f>data_origin!U1547</f>
        <v>0</v>
      </c>
      <c r="V1337" s="5">
        <f>data_origin!V1547</f>
        <v>0</v>
      </c>
      <c r="W1337" s="5">
        <f>data_origin!W1547</f>
        <v>0</v>
      </c>
      <c r="X1337" s="5">
        <f>data_origin!X1547</f>
        <v>0</v>
      </c>
      <c r="Y1337" s="5">
        <f>data_origin!Y1547</f>
        <v>0</v>
      </c>
      <c r="Z1337" s="5">
        <f>data_origin!Z1547</f>
        <v>0</v>
      </c>
      <c r="AA1337" s="5">
        <f>data_origin!AA1547</f>
        <v>0</v>
      </c>
      <c r="AB1337" s="5">
        <f t="shared" si="149"/>
        <v>0</v>
      </c>
    </row>
    <row r="1338" spans="4:28" x14ac:dyDescent="0.25">
      <c r="D1338" t="s">
        <v>85</v>
      </c>
      <c r="E1338" s="35">
        <f t="shared" si="148"/>
        <v>0</v>
      </c>
      <c r="F1338" s="35">
        <f t="shared" si="146"/>
        <v>0</v>
      </c>
      <c r="G1338" s="35">
        <f t="shared" si="147"/>
        <v>0</v>
      </c>
      <c r="H1338" s="35">
        <f t="shared" si="147"/>
        <v>0</v>
      </c>
      <c r="I1338" s="35">
        <f t="shared" si="147"/>
        <v>0</v>
      </c>
      <c r="J1338" s="35">
        <f t="shared" si="147"/>
        <v>0</v>
      </c>
      <c r="K1338" s="35">
        <f t="shared" si="147"/>
        <v>0</v>
      </c>
      <c r="L1338" s="35">
        <f t="shared" si="147"/>
        <v>0</v>
      </c>
      <c r="M1338" s="35">
        <f t="shared" si="143"/>
        <v>0</v>
      </c>
      <c r="S1338" t="s">
        <v>85</v>
      </c>
      <c r="T1338" s="5">
        <f>data_origin!T1548</f>
        <v>0</v>
      </c>
      <c r="U1338" s="5">
        <f>data_origin!U1548</f>
        <v>0</v>
      </c>
      <c r="V1338" s="5">
        <f>data_origin!V1548</f>
        <v>0</v>
      </c>
      <c r="W1338" s="5">
        <f>data_origin!W1548</f>
        <v>0</v>
      </c>
      <c r="X1338" s="5">
        <f>data_origin!X1548</f>
        <v>0</v>
      </c>
      <c r="Y1338" s="5">
        <f>data_origin!Y1548</f>
        <v>0</v>
      </c>
      <c r="Z1338" s="5">
        <f>data_origin!Z1548</f>
        <v>0</v>
      </c>
      <c r="AA1338" s="5">
        <f>data_origin!AA1548</f>
        <v>0</v>
      </c>
      <c r="AB1338" s="5">
        <f t="shared" si="149"/>
        <v>0</v>
      </c>
    </row>
    <row r="1339" spans="4:28" x14ac:dyDescent="0.25">
      <c r="D1339" t="s">
        <v>86</v>
      </c>
      <c r="E1339" s="35">
        <f t="shared" si="148"/>
        <v>0</v>
      </c>
      <c r="F1339" s="35">
        <f t="shared" si="146"/>
        <v>0</v>
      </c>
      <c r="G1339" s="35">
        <f t="shared" si="147"/>
        <v>0</v>
      </c>
      <c r="H1339" s="35">
        <f t="shared" si="147"/>
        <v>0</v>
      </c>
      <c r="I1339" s="35">
        <f t="shared" si="147"/>
        <v>0</v>
      </c>
      <c r="J1339" s="35">
        <f t="shared" si="147"/>
        <v>0</v>
      </c>
      <c r="K1339" s="35">
        <f t="shared" si="147"/>
        <v>0</v>
      </c>
      <c r="L1339" s="35">
        <f t="shared" si="147"/>
        <v>0</v>
      </c>
      <c r="M1339" s="35">
        <f t="shared" si="143"/>
        <v>0</v>
      </c>
      <c r="S1339" t="s">
        <v>86</v>
      </c>
      <c r="T1339" s="5">
        <f>data_origin!T1549</f>
        <v>0</v>
      </c>
      <c r="U1339" s="5">
        <f>data_origin!U1549</f>
        <v>0</v>
      </c>
      <c r="V1339" s="5">
        <f>data_origin!V1549</f>
        <v>0</v>
      </c>
      <c r="W1339" s="5">
        <f>data_origin!W1549</f>
        <v>0</v>
      </c>
      <c r="X1339" s="5">
        <f>data_origin!X1549</f>
        <v>0</v>
      </c>
      <c r="Y1339" s="5">
        <f>data_origin!Y1549</f>
        <v>0</v>
      </c>
      <c r="Z1339" s="5">
        <f>data_origin!Z1549</f>
        <v>0</v>
      </c>
      <c r="AA1339" s="5">
        <f>data_origin!AA1549</f>
        <v>0</v>
      </c>
      <c r="AB1339" s="5">
        <f t="shared" si="149"/>
        <v>0</v>
      </c>
    </row>
    <row r="1340" spans="4:28" x14ac:dyDescent="0.25">
      <c r="D1340" t="s">
        <v>87</v>
      </c>
      <c r="E1340" s="35">
        <f t="shared" si="148"/>
        <v>0</v>
      </c>
      <c r="F1340" s="35">
        <f t="shared" si="146"/>
        <v>0</v>
      </c>
      <c r="G1340" s="35">
        <f t="shared" si="147"/>
        <v>0</v>
      </c>
      <c r="H1340" s="35">
        <f t="shared" si="147"/>
        <v>0</v>
      </c>
      <c r="I1340" s="35">
        <f t="shared" si="147"/>
        <v>0</v>
      </c>
      <c r="J1340" s="35">
        <f t="shared" si="147"/>
        <v>0</v>
      </c>
      <c r="K1340" s="35">
        <f t="shared" si="147"/>
        <v>0</v>
      </c>
      <c r="L1340" s="35">
        <f t="shared" si="147"/>
        <v>0</v>
      </c>
      <c r="M1340" s="35">
        <f t="shared" si="143"/>
        <v>0</v>
      </c>
      <c r="S1340" t="s">
        <v>87</v>
      </c>
      <c r="T1340" s="5">
        <f>data_origin!T1550</f>
        <v>0</v>
      </c>
      <c r="U1340" s="5">
        <f>data_origin!U1550</f>
        <v>0</v>
      </c>
      <c r="V1340" s="5">
        <f>data_origin!V1550</f>
        <v>0</v>
      </c>
      <c r="W1340" s="5">
        <f>data_origin!W1550</f>
        <v>0</v>
      </c>
      <c r="X1340" s="5">
        <f>data_origin!X1550</f>
        <v>0</v>
      </c>
      <c r="Y1340" s="5">
        <f>data_origin!Y1550</f>
        <v>0</v>
      </c>
      <c r="Z1340" s="5">
        <f>data_origin!Z1550</f>
        <v>0</v>
      </c>
      <c r="AA1340" s="5">
        <f>data_origin!AA1550</f>
        <v>0</v>
      </c>
      <c r="AB1340" s="5">
        <f t="shared" si="149"/>
        <v>0</v>
      </c>
    </row>
    <row r="1341" spans="4:28" x14ac:dyDescent="0.25">
      <c r="D1341" t="s">
        <v>88</v>
      </c>
      <c r="E1341" s="35">
        <f t="shared" si="148"/>
        <v>0</v>
      </c>
      <c r="F1341" s="35">
        <f t="shared" si="146"/>
        <v>0</v>
      </c>
      <c r="G1341" s="35">
        <f t="shared" si="147"/>
        <v>0</v>
      </c>
      <c r="H1341" s="35">
        <f t="shared" si="147"/>
        <v>0</v>
      </c>
      <c r="I1341" s="35">
        <f t="shared" si="147"/>
        <v>0</v>
      </c>
      <c r="J1341" s="35">
        <f t="shared" si="147"/>
        <v>1.000925925925926</v>
      </c>
      <c r="K1341" s="35">
        <f t="shared" si="147"/>
        <v>0</v>
      </c>
      <c r="L1341" s="35">
        <f t="shared" si="147"/>
        <v>0</v>
      </c>
      <c r="M1341" s="35">
        <f t="shared" si="143"/>
        <v>1.000925925925926</v>
      </c>
      <c r="S1341" t="s">
        <v>88</v>
      </c>
      <c r="T1341" s="5">
        <f>data_origin!T1551</f>
        <v>0</v>
      </c>
      <c r="U1341" s="5">
        <f>data_origin!U1551</f>
        <v>0</v>
      </c>
      <c r="V1341" s="5">
        <f>data_origin!V1551</f>
        <v>0</v>
      </c>
      <c r="W1341" s="5">
        <f>data_origin!W1551</f>
        <v>0</v>
      </c>
      <c r="X1341" s="5">
        <f>data_origin!X1551</f>
        <v>0</v>
      </c>
      <c r="Y1341" s="5">
        <f>data_origin!Y1551</f>
        <v>1</v>
      </c>
      <c r="Z1341" s="5">
        <f>data_origin!Z1551</f>
        <v>0</v>
      </c>
      <c r="AA1341" s="5">
        <f>data_origin!AA1551</f>
        <v>0</v>
      </c>
      <c r="AB1341" s="5">
        <f t="shared" si="149"/>
        <v>1</v>
      </c>
    </row>
    <row r="1342" spans="4:28" x14ac:dyDescent="0.25">
      <c r="D1342" t="s">
        <v>89</v>
      </c>
      <c r="E1342" s="35">
        <f t="shared" si="148"/>
        <v>0</v>
      </c>
      <c r="F1342" s="35">
        <f t="shared" si="146"/>
        <v>0</v>
      </c>
      <c r="G1342" s="35">
        <f t="shared" si="147"/>
        <v>0</v>
      </c>
      <c r="H1342" s="35">
        <f t="shared" si="147"/>
        <v>0</v>
      </c>
      <c r="I1342" s="35">
        <f t="shared" si="147"/>
        <v>0</v>
      </c>
      <c r="J1342" s="35">
        <f t="shared" si="147"/>
        <v>0</v>
      </c>
      <c r="K1342" s="35">
        <f t="shared" si="147"/>
        <v>0</v>
      </c>
      <c r="L1342" s="35">
        <f t="shared" si="147"/>
        <v>0</v>
      </c>
      <c r="M1342" s="35">
        <f t="shared" si="143"/>
        <v>0</v>
      </c>
      <c r="S1342" t="s">
        <v>89</v>
      </c>
      <c r="T1342" s="5">
        <f>data_origin!T1552</f>
        <v>0</v>
      </c>
      <c r="U1342" s="5">
        <f>data_origin!U1552</f>
        <v>0</v>
      </c>
      <c r="V1342" s="5">
        <f>data_origin!V1552</f>
        <v>0</v>
      </c>
      <c r="W1342" s="5">
        <f>data_origin!W1552</f>
        <v>0</v>
      </c>
      <c r="X1342" s="5">
        <f>data_origin!X1552</f>
        <v>0</v>
      </c>
      <c r="Y1342" s="5">
        <f>data_origin!Y1552</f>
        <v>0</v>
      </c>
      <c r="Z1342" s="5">
        <f>data_origin!Z1552</f>
        <v>0</v>
      </c>
      <c r="AA1342" s="5">
        <f>data_origin!AA1552</f>
        <v>0</v>
      </c>
      <c r="AB1342" s="5">
        <f t="shared" si="149"/>
        <v>0</v>
      </c>
    </row>
    <row r="1343" spans="4:28" x14ac:dyDescent="0.25">
      <c r="D1343" t="s">
        <v>90</v>
      </c>
      <c r="E1343" s="35">
        <f t="shared" si="148"/>
        <v>0</v>
      </c>
      <c r="F1343" s="35">
        <f t="shared" si="146"/>
        <v>0</v>
      </c>
      <c r="G1343" s="35">
        <f t="shared" si="147"/>
        <v>0</v>
      </c>
      <c r="H1343" s="35">
        <f t="shared" si="147"/>
        <v>0</v>
      </c>
      <c r="I1343" s="35">
        <f t="shared" si="147"/>
        <v>0</v>
      </c>
      <c r="J1343" s="35">
        <f t="shared" si="147"/>
        <v>0</v>
      </c>
      <c r="K1343" s="35">
        <f t="shared" si="147"/>
        <v>0</v>
      </c>
      <c r="L1343" s="35">
        <f t="shared" si="147"/>
        <v>0</v>
      </c>
      <c r="M1343" s="35">
        <f t="shared" si="143"/>
        <v>0</v>
      </c>
      <c r="S1343" t="s">
        <v>90</v>
      </c>
      <c r="T1343" s="5">
        <f>data_origin!T1553</f>
        <v>0</v>
      </c>
      <c r="U1343" s="5">
        <f>data_origin!U1553</f>
        <v>0</v>
      </c>
      <c r="V1343" s="5">
        <f>data_origin!V1553</f>
        <v>0</v>
      </c>
      <c r="W1343" s="5">
        <f>data_origin!W1553</f>
        <v>0</v>
      </c>
      <c r="X1343" s="5">
        <f>data_origin!X1553</f>
        <v>0</v>
      </c>
      <c r="Y1343" s="5">
        <f>data_origin!Y1553</f>
        <v>0</v>
      </c>
      <c r="Z1343" s="5">
        <f>data_origin!Z1553</f>
        <v>0</v>
      </c>
      <c r="AA1343" s="5">
        <f>data_origin!AA1553</f>
        <v>0</v>
      </c>
      <c r="AB1343" s="5">
        <f t="shared" si="149"/>
        <v>0</v>
      </c>
    </row>
    <row r="1344" spans="4:28" x14ac:dyDescent="0.25">
      <c r="D1344" t="s">
        <v>91</v>
      </c>
      <c r="E1344" s="35">
        <f t="shared" si="148"/>
        <v>0</v>
      </c>
      <c r="F1344" s="35">
        <f t="shared" si="146"/>
        <v>0</v>
      </c>
      <c r="G1344" s="35">
        <f t="shared" si="147"/>
        <v>0</v>
      </c>
      <c r="H1344" s="35">
        <f t="shared" si="147"/>
        <v>0</v>
      </c>
      <c r="I1344" s="35">
        <f t="shared" si="147"/>
        <v>0</v>
      </c>
      <c r="J1344" s="35">
        <f t="shared" si="147"/>
        <v>0</v>
      </c>
      <c r="K1344" s="35">
        <f t="shared" si="147"/>
        <v>0</v>
      </c>
      <c r="L1344" s="35">
        <f t="shared" si="147"/>
        <v>0</v>
      </c>
      <c r="M1344" s="35">
        <f t="shared" si="143"/>
        <v>0</v>
      </c>
      <c r="S1344" t="s">
        <v>91</v>
      </c>
      <c r="T1344" s="5">
        <f>data_origin!T1554</f>
        <v>0</v>
      </c>
      <c r="U1344" s="5">
        <f>data_origin!U1554</f>
        <v>0</v>
      </c>
      <c r="V1344" s="5">
        <f>data_origin!V1554</f>
        <v>0</v>
      </c>
      <c r="W1344" s="5">
        <f>data_origin!W1554</f>
        <v>0</v>
      </c>
      <c r="X1344" s="5">
        <f>data_origin!X1554</f>
        <v>0</v>
      </c>
      <c r="Y1344" s="5">
        <f>data_origin!Y1554</f>
        <v>0</v>
      </c>
      <c r="Z1344" s="5">
        <f>data_origin!Z1554</f>
        <v>0</v>
      </c>
      <c r="AA1344" s="5">
        <f>data_origin!AA1554</f>
        <v>0</v>
      </c>
      <c r="AB1344" s="5">
        <f t="shared" si="149"/>
        <v>0</v>
      </c>
    </row>
    <row r="1345" spans="1:28" x14ac:dyDescent="0.25">
      <c r="D1345" t="s">
        <v>92</v>
      </c>
      <c r="E1345" s="35">
        <f t="shared" si="148"/>
        <v>0</v>
      </c>
      <c r="F1345" s="35">
        <f t="shared" si="146"/>
        <v>0</v>
      </c>
      <c r="G1345" s="35">
        <f t="shared" si="147"/>
        <v>0</v>
      </c>
      <c r="H1345" s="35">
        <f t="shared" si="147"/>
        <v>0</v>
      </c>
      <c r="I1345" s="35">
        <f t="shared" si="147"/>
        <v>0</v>
      </c>
      <c r="J1345" s="35">
        <f t="shared" si="147"/>
        <v>0</v>
      </c>
      <c r="K1345" s="35">
        <f t="shared" si="147"/>
        <v>0</v>
      </c>
      <c r="L1345" s="35">
        <f t="shared" si="147"/>
        <v>0</v>
      </c>
      <c r="M1345" s="35">
        <f t="shared" si="143"/>
        <v>0</v>
      </c>
      <c r="S1345" t="s">
        <v>92</v>
      </c>
      <c r="T1345" s="5">
        <f>data_origin!T1555</f>
        <v>0</v>
      </c>
      <c r="U1345" s="5">
        <f>data_origin!U1555</f>
        <v>0</v>
      </c>
      <c r="V1345" s="5">
        <f>data_origin!V1555</f>
        <v>0</v>
      </c>
      <c r="W1345" s="5">
        <f>data_origin!W1555</f>
        <v>0</v>
      </c>
      <c r="X1345" s="5">
        <f>data_origin!X1555</f>
        <v>0</v>
      </c>
      <c r="Y1345" s="5">
        <f>data_origin!Y1555</f>
        <v>0</v>
      </c>
      <c r="Z1345" s="5">
        <f>data_origin!Z1555</f>
        <v>0</v>
      </c>
      <c r="AA1345" s="5">
        <f>data_origin!AA1555</f>
        <v>0</v>
      </c>
      <c r="AB1345" s="5">
        <f t="shared" si="149"/>
        <v>0</v>
      </c>
    </row>
    <row r="1346" spans="1:28" x14ac:dyDescent="0.25">
      <c r="D1346" t="s">
        <v>93</v>
      </c>
      <c r="E1346" s="35">
        <f t="shared" si="148"/>
        <v>0</v>
      </c>
      <c r="F1346" s="35">
        <f t="shared" si="146"/>
        <v>0</v>
      </c>
      <c r="G1346" s="35">
        <f t="shared" si="147"/>
        <v>0</v>
      </c>
      <c r="H1346" s="35">
        <f t="shared" si="147"/>
        <v>0</v>
      </c>
      <c r="I1346" s="35">
        <f t="shared" si="147"/>
        <v>0</v>
      </c>
      <c r="J1346" s="35">
        <f t="shared" si="147"/>
        <v>0</v>
      </c>
      <c r="K1346" s="35">
        <f t="shared" si="147"/>
        <v>0</v>
      </c>
      <c r="L1346" s="35">
        <f t="shared" si="147"/>
        <v>0</v>
      </c>
      <c r="M1346" s="35">
        <f t="shared" si="143"/>
        <v>0</v>
      </c>
      <c r="S1346" t="s">
        <v>93</v>
      </c>
      <c r="T1346" s="5">
        <f>data_origin!T1556</f>
        <v>0</v>
      </c>
      <c r="U1346" s="5">
        <f>data_origin!U1556</f>
        <v>0</v>
      </c>
      <c r="V1346" s="5">
        <f>data_origin!V1556</f>
        <v>0</v>
      </c>
      <c r="W1346" s="5">
        <f>data_origin!W1556</f>
        <v>0</v>
      </c>
      <c r="X1346" s="5">
        <f>data_origin!X1556</f>
        <v>0</v>
      </c>
      <c r="Y1346" s="5">
        <f>data_origin!Y1556</f>
        <v>0</v>
      </c>
      <c r="Z1346" s="5">
        <f>data_origin!Z1556</f>
        <v>0</v>
      </c>
      <c r="AA1346" s="5">
        <f>data_origin!AA1556</f>
        <v>0</v>
      </c>
      <c r="AB1346" s="5">
        <f t="shared" si="149"/>
        <v>0</v>
      </c>
    </row>
    <row r="1347" spans="1:28" x14ac:dyDescent="0.25">
      <c r="D1347" t="s">
        <v>94</v>
      </c>
      <c r="E1347" s="35">
        <f t="shared" si="148"/>
        <v>0</v>
      </c>
      <c r="F1347" s="35">
        <f t="shared" si="146"/>
        <v>0</v>
      </c>
      <c r="G1347" s="35">
        <f t="shared" si="147"/>
        <v>0</v>
      </c>
      <c r="H1347" s="35">
        <f t="shared" si="147"/>
        <v>0</v>
      </c>
      <c r="I1347" s="35">
        <f t="shared" si="147"/>
        <v>0</v>
      </c>
      <c r="J1347" s="35">
        <f t="shared" si="147"/>
        <v>0</v>
      </c>
      <c r="K1347" s="35">
        <f t="shared" si="147"/>
        <v>0</v>
      </c>
      <c r="L1347" s="35">
        <f t="shared" si="147"/>
        <v>0</v>
      </c>
      <c r="M1347" s="35">
        <f t="shared" ref="M1347:M1410" si="150">SUM(E1347:L1347)</f>
        <v>0</v>
      </c>
      <c r="S1347" t="s">
        <v>94</v>
      </c>
      <c r="T1347" s="5">
        <f>data_origin!T1557</f>
        <v>0</v>
      </c>
      <c r="U1347" s="5">
        <f>data_origin!U1557</f>
        <v>0</v>
      </c>
      <c r="V1347" s="5">
        <f>data_origin!V1557</f>
        <v>0</v>
      </c>
      <c r="W1347" s="5">
        <f>data_origin!W1557</f>
        <v>0</v>
      </c>
      <c r="X1347" s="5">
        <f>data_origin!X1557</f>
        <v>0</v>
      </c>
      <c r="Y1347" s="5">
        <f>data_origin!Y1557</f>
        <v>0</v>
      </c>
      <c r="Z1347" s="5">
        <f>data_origin!Z1557</f>
        <v>0</v>
      </c>
      <c r="AA1347" s="5">
        <f>data_origin!AA1557</f>
        <v>0</v>
      </c>
      <c r="AB1347" s="5">
        <f t="shared" si="149"/>
        <v>0</v>
      </c>
    </row>
    <row r="1348" spans="1:28" x14ac:dyDescent="0.25">
      <c r="D1348" t="s">
        <v>95</v>
      </c>
      <c r="E1348" s="35">
        <f t="shared" si="148"/>
        <v>0</v>
      </c>
      <c r="F1348" s="35">
        <f t="shared" si="146"/>
        <v>0</v>
      </c>
      <c r="G1348" s="35">
        <f t="shared" si="147"/>
        <v>0</v>
      </c>
      <c r="H1348" s="35">
        <f t="shared" si="147"/>
        <v>0</v>
      </c>
      <c r="I1348" s="35">
        <f t="shared" si="147"/>
        <v>0</v>
      </c>
      <c r="J1348" s="35">
        <f t="shared" si="147"/>
        <v>0</v>
      </c>
      <c r="K1348" s="35">
        <f t="shared" si="147"/>
        <v>0</v>
      </c>
      <c r="L1348" s="35">
        <f t="shared" si="147"/>
        <v>0</v>
      </c>
      <c r="M1348" s="35">
        <f t="shared" si="150"/>
        <v>0</v>
      </c>
      <c r="S1348" t="s">
        <v>95</v>
      </c>
      <c r="T1348" s="5">
        <f>data_origin!T1558</f>
        <v>0</v>
      </c>
      <c r="U1348" s="5">
        <f>data_origin!U1558</f>
        <v>0</v>
      </c>
      <c r="V1348" s="5">
        <f>data_origin!V1558</f>
        <v>0</v>
      </c>
      <c r="W1348" s="5">
        <f>data_origin!W1558</f>
        <v>0</v>
      </c>
      <c r="X1348" s="5">
        <f>data_origin!X1558</f>
        <v>0</v>
      </c>
      <c r="Y1348" s="5">
        <f>data_origin!Y1558</f>
        <v>0</v>
      </c>
      <c r="Z1348" s="5">
        <f>data_origin!Z1558</f>
        <v>0</v>
      </c>
      <c r="AA1348" s="5">
        <f>data_origin!AA1558</f>
        <v>0</v>
      </c>
      <c r="AB1348" s="5">
        <f t="shared" si="149"/>
        <v>0</v>
      </c>
    </row>
    <row r="1349" spans="1:28" x14ac:dyDescent="0.25">
      <c r="D1349" t="s">
        <v>96</v>
      </c>
      <c r="E1349" s="35">
        <f t="shared" si="148"/>
        <v>0</v>
      </c>
      <c r="F1349" s="35">
        <f t="shared" si="146"/>
        <v>0</v>
      </c>
      <c r="G1349" s="35">
        <f t="shared" si="147"/>
        <v>0</v>
      </c>
      <c r="H1349" s="35">
        <f t="shared" si="147"/>
        <v>0</v>
      </c>
      <c r="I1349" s="35">
        <f t="shared" si="147"/>
        <v>0</v>
      </c>
      <c r="J1349" s="35">
        <f t="shared" si="147"/>
        <v>0</v>
      </c>
      <c r="K1349" s="35">
        <f t="shared" si="147"/>
        <v>0</v>
      </c>
      <c r="L1349" s="35">
        <f t="shared" si="147"/>
        <v>0</v>
      </c>
      <c r="M1349" s="35">
        <f t="shared" si="150"/>
        <v>0</v>
      </c>
      <c r="S1349" t="s">
        <v>96</v>
      </c>
      <c r="T1349" s="5">
        <f>data_origin!T1559</f>
        <v>0</v>
      </c>
      <c r="U1349" s="5">
        <f>data_origin!U1559</f>
        <v>0</v>
      </c>
      <c r="V1349" s="5">
        <f>data_origin!V1559</f>
        <v>0</v>
      </c>
      <c r="W1349" s="5">
        <f>data_origin!W1559</f>
        <v>0</v>
      </c>
      <c r="X1349" s="5">
        <f>data_origin!X1559</f>
        <v>0</v>
      </c>
      <c r="Y1349" s="5">
        <f>data_origin!Y1559</f>
        <v>0</v>
      </c>
      <c r="Z1349" s="5">
        <f>data_origin!Z1559</f>
        <v>0</v>
      </c>
      <c r="AA1349" s="5">
        <f>data_origin!AA1559</f>
        <v>0</v>
      </c>
      <c r="AB1349" s="5">
        <f t="shared" si="149"/>
        <v>0</v>
      </c>
    </row>
    <row r="1350" spans="1:28" x14ac:dyDescent="0.25">
      <c r="D1350" t="s">
        <v>97</v>
      </c>
      <c r="E1350" s="35">
        <f t="shared" si="148"/>
        <v>0</v>
      </c>
      <c r="F1350" s="35">
        <f t="shared" si="146"/>
        <v>0</v>
      </c>
      <c r="G1350" s="35">
        <f t="shared" si="147"/>
        <v>0</v>
      </c>
      <c r="H1350" s="35">
        <f t="shared" si="147"/>
        <v>0</v>
      </c>
      <c r="I1350" s="35">
        <f t="shared" si="147"/>
        <v>0</v>
      </c>
      <c r="J1350" s="35">
        <f t="shared" si="147"/>
        <v>0</v>
      </c>
      <c r="K1350" s="35">
        <f t="shared" si="147"/>
        <v>0</v>
      </c>
      <c r="L1350" s="35">
        <f t="shared" si="147"/>
        <v>0</v>
      </c>
      <c r="M1350" s="35">
        <f t="shared" si="150"/>
        <v>0</v>
      </c>
      <c r="S1350" t="s">
        <v>97</v>
      </c>
      <c r="T1350" s="5">
        <f>data_origin!T1560</f>
        <v>0</v>
      </c>
      <c r="U1350" s="5">
        <f>data_origin!U1560</f>
        <v>0</v>
      </c>
      <c r="V1350" s="5">
        <f>data_origin!V1560</f>
        <v>0</v>
      </c>
      <c r="W1350" s="5">
        <f>data_origin!W1560</f>
        <v>0</v>
      </c>
      <c r="X1350" s="5">
        <f>data_origin!X1560</f>
        <v>0</v>
      </c>
      <c r="Y1350" s="5">
        <f>data_origin!Y1560</f>
        <v>0</v>
      </c>
      <c r="Z1350" s="5">
        <f>data_origin!Z1560</f>
        <v>0</v>
      </c>
      <c r="AA1350" s="5">
        <f>data_origin!AA1560</f>
        <v>0</v>
      </c>
      <c r="AB1350" s="5">
        <f t="shared" si="149"/>
        <v>0</v>
      </c>
    </row>
    <row r="1351" spans="1:28" x14ac:dyDescent="0.25">
      <c r="D1351" t="s">
        <v>98</v>
      </c>
      <c r="E1351" s="35">
        <f t="shared" si="148"/>
        <v>0</v>
      </c>
      <c r="F1351" s="35">
        <f t="shared" si="146"/>
        <v>0</v>
      </c>
      <c r="G1351" s="35">
        <f t="shared" si="147"/>
        <v>0</v>
      </c>
      <c r="H1351" s="35">
        <f t="shared" si="147"/>
        <v>0</v>
      </c>
      <c r="I1351" s="35">
        <f t="shared" si="147"/>
        <v>0</v>
      </c>
      <c r="J1351" s="35">
        <f t="shared" si="147"/>
        <v>0</v>
      </c>
      <c r="K1351" s="35">
        <f t="shared" si="147"/>
        <v>0</v>
      </c>
      <c r="L1351" s="35">
        <f t="shared" si="147"/>
        <v>0</v>
      </c>
      <c r="M1351" s="35">
        <f t="shared" si="150"/>
        <v>0</v>
      </c>
      <c r="S1351" t="s">
        <v>98</v>
      </c>
      <c r="T1351" s="5">
        <f>data_origin!T1561</f>
        <v>0</v>
      </c>
      <c r="U1351" s="5">
        <f>data_origin!U1561</f>
        <v>0</v>
      </c>
      <c r="V1351" s="5">
        <f>data_origin!V1561</f>
        <v>0</v>
      </c>
      <c r="W1351" s="5">
        <f>data_origin!W1561</f>
        <v>0</v>
      </c>
      <c r="X1351" s="5">
        <f>data_origin!X1561</f>
        <v>0</v>
      </c>
      <c r="Y1351" s="5">
        <f>data_origin!Y1561</f>
        <v>0</v>
      </c>
      <c r="Z1351" s="5">
        <f>data_origin!Z1561</f>
        <v>0</v>
      </c>
      <c r="AA1351" s="5">
        <f>data_origin!AA1561</f>
        <v>0</v>
      </c>
      <c r="AB1351" s="5">
        <f t="shared" si="149"/>
        <v>0</v>
      </c>
    </row>
    <row r="1352" spans="1:28" x14ac:dyDescent="0.25">
      <c r="D1352" t="s">
        <v>119</v>
      </c>
      <c r="E1352" s="35">
        <f t="shared" si="148"/>
        <v>0</v>
      </c>
      <c r="F1352" s="35">
        <f t="shared" si="146"/>
        <v>0</v>
      </c>
      <c r="G1352" s="35">
        <f t="shared" si="147"/>
        <v>0</v>
      </c>
      <c r="H1352" s="35">
        <f t="shared" si="147"/>
        <v>0</v>
      </c>
      <c r="I1352" s="35">
        <f t="shared" si="147"/>
        <v>0</v>
      </c>
      <c r="J1352" s="35">
        <f t="shared" si="147"/>
        <v>0</v>
      </c>
      <c r="K1352" s="35">
        <f t="shared" si="147"/>
        <v>0</v>
      </c>
      <c r="L1352" s="35">
        <f t="shared" si="147"/>
        <v>0</v>
      </c>
      <c r="M1352" s="35">
        <f t="shared" si="150"/>
        <v>0</v>
      </c>
      <c r="S1352" t="s">
        <v>119</v>
      </c>
      <c r="T1352" s="5">
        <f>data_origin!T1562</f>
        <v>0</v>
      </c>
      <c r="U1352" s="5">
        <f>data_origin!U1562</f>
        <v>0</v>
      </c>
      <c r="V1352" s="5">
        <f>data_origin!V1562</f>
        <v>0</v>
      </c>
      <c r="W1352" s="5">
        <f>data_origin!W1562</f>
        <v>0</v>
      </c>
      <c r="X1352" s="5">
        <f>data_origin!X1562</f>
        <v>0</v>
      </c>
      <c r="Y1352" s="5">
        <f>data_origin!Y1562</f>
        <v>0</v>
      </c>
      <c r="Z1352" s="5">
        <f>data_origin!Z1562</f>
        <v>0</v>
      </c>
      <c r="AA1352" s="5">
        <f>data_origin!AA1562</f>
        <v>0</v>
      </c>
      <c r="AB1352" s="5">
        <f t="shared" si="149"/>
        <v>0</v>
      </c>
    </row>
    <row r="1353" spans="1:28" x14ac:dyDescent="0.25">
      <c r="D1353" t="s">
        <v>99</v>
      </c>
      <c r="E1353" s="35">
        <f t="shared" si="148"/>
        <v>0</v>
      </c>
      <c r="F1353" s="35">
        <f t="shared" si="146"/>
        <v>0</v>
      </c>
      <c r="G1353" s="35">
        <f t="shared" si="147"/>
        <v>0</v>
      </c>
      <c r="H1353" s="35">
        <f t="shared" si="147"/>
        <v>0</v>
      </c>
      <c r="I1353" s="35">
        <f t="shared" si="147"/>
        <v>0</v>
      </c>
      <c r="J1353" s="35">
        <f t="shared" si="147"/>
        <v>0</v>
      </c>
      <c r="K1353" s="35">
        <f t="shared" si="147"/>
        <v>0</v>
      </c>
      <c r="L1353" s="35">
        <f t="shared" si="147"/>
        <v>0</v>
      </c>
      <c r="M1353" s="35">
        <f t="shared" si="150"/>
        <v>0</v>
      </c>
      <c r="S1353" t="s">
        <v>99</v>
      </c>
      <c r="T1353" s="5">
        <f>data_origin!T1563</f>
        <v>0</v>
      </c>
      <c r="U1353" s="5">
        <f>data_origin!U1563</f>
        <v>0</v>
      </c>
      <c r="V1353" s="5">
        <f>data_origin!V1563</f>
        <v>0</v>
      </c>
      <c r="W1353" s="5">
        <f>data_origin!W1563</f>
        <v>0</v>
      </c>
      <c r="X1353" s="5">
        <f>data_origin!X1563</f>
        <v>0</v>
      </c>
      <c r="Y1353" s="5">
        <f>data_origin!Y1563</f>
        <v>0</v>
      </c>
      <c r="Z1353" s="5">
        <f>data_origin!Z1563</f>
        <v>0</v>
      </c>
      <c r="AA1353" s="5">
        <f>data_origin!AA1563</f>
        <v>0</v>
      </c>
      <c r="AB1353" s="5">
        <f t="shared" si="149"/>
        <v>0</v>
      </c>
    </row>
    <row r="1354" spans="1:28" x14ac:dyDescent="0.25">
      <c r="D1354" t="s">
        <v>100</v>
      </c>
      <c r="E1354" s="35">
        <f t="shared" si="148"/>
        <v>0</v>
      </c>
      <c r="F1354" s="35">
        <f t="shared" si="146"/>
        <v>0</v>
      </c>
      <c r="G1354" s="35">
        <f t="shared" si="147"/>
        <v>8.0152635344621981</v>
      </c>
      <c r="H1354" s="35">
        <f t="shared" si="147"/>
        <v>5.0127312214483633</v>
      </c>
      <c r="I1354" s="35">
        <f t="shared" si="147"/>
        <v>5.0078186082877245</v>
      </c>
      <c r="J1354" s="35">
        <f t="shared" si="147"/>
        <v>0</v>
      </c>
      <c r="K1354" s="35">
        <f t="shared" si="147"/>
        <v>0</v>
      </c>
      <c r="L1354" s="35">
        <f t="shared" si="147"/>
        <v>0</v>
      </c>
      <c r="M1354" s="35">
        <f t="shared" si="150"/>
        <v>18.035813364198287</v>
      </c>
      <c r="S1354" t="s">
        <v>100</v>
      </c>
      <c r="T1354" s="5">
        <f>data_origin!T1564</f>
        <v>0</v>
      </c>
      <c r="U1354" s="5">
        <f>data_origin!U1564</f>
        <v>0</v>
      </c>
      <c r="V1354" s="5">
        <f>data_origin!V1564</f>
        <v>8</v>
      </c>
      <c r="W1354" s="5">
        <f>data_origin!W1564</f>
        <v>5</v>
      </c>
      <c r="X1354" s="5">
        <f>data_origin!X1564</f>
        <v>5</v>
      </c>
      <c r="Y1354" s="5">
        <f>data_origin!Y1564</f>
        <v>0</v>
      </c>
      <c r="Z1354" s="5">
        <f>data_origin!Z1564</f>
        <v>0</v>
      </c>
      <c r="AA1354" s="5">
        <f>data_origin!AA1564</f>
        <v>0</v>
      </c>
      <c r="AB1354" s="5">
        <f t="shared" si="149"/>
        <v>18</v>
      </c>
    </row>
    <row r="1355" spans="1:28" x14ac:dyDescent="0.25">
      <c r="D1355" t="s">
        <v>101</v>
      </c>
      <c r="E1355" s="35">
        <f t="shared" si="148"/>
        <v>0</v>
      </c>
      <c r="F1355" s="35">
        <f t="shared" si="146"/>
        <v>0</v>
      </c>
      <c r="G1355" s="35">
        <f t="shared" si="147"/>
        <v>0</v>
      </c>
      <c r="H1355" s="35">
        <f t="shared" si="147"/>
        <v>0</v>
      </c>
      <c r="I1355" s="35">
        <f t="shared" si="147"/>
        <v>0</v>
      </c>
      <c r="J1355" s="35">
        <f t="shared" si="147"/>
        <v>0</v>
      </c>
      <c r="K1355" s="35">
        <f t="shared" si="147"/>
        <v>0</v>
      </c>
      <c r="L1355" s="35">
        <f t="shared" si="147"/>
        <v>0</v>
      </c>
      <c r="M1355" s="35">
        <f t="shared" si="150"/>
        <v>0</v>
      </c>
      <c r="S1355" t="s">
        <v>101</v>
      </c>
      <c r="T1355" s="5">
        <f>data_origin!T1565</f>
        <v>0</v>
      </c>
      <c r="U1355" s="5">
        <f>data_origin!U1565</f>
        <v>0</v>
      </c>
      <c r="V1355" s="5">
        <f>data_origin!V1565</f>
        <v>0</v>
      </c>
      <c r="W1355" s="5">
        <f>data_origin!W1565</f>
        <v>0</v>
      </c>
      <c r="X1355" s="5">
        <f>data_origin!X1565</f>
        <v>0</v>
      </c>
      <c r="Y1355" s="5">
        <f>data_origin!Y1565</f>
        <v>0</v>
      </c>
      <c r="Z1355" s="5">
        <f>data_origin!Z1565</f>
        <v>0</v>
      </c>
      <c r="AA1355" s="5">
        <f>data_origin!AA1565</f>
        <v>0</v>
      </c>
      <c r="AB1355" s="5">
        <f t="shared" si="149"/>
        <v>0</v>
      </c>
    </row>
    <row r="1356" spans="1:28" x14ac:dyDescent="0.25">
      <c r="A1356" s="24" t="s">
        <v>115</v>
      </c>
      <c r="B1356" s="24" t="s">
        <v>116</v>
      </c>
      <c r="C1356" s="24" t="s">
        <v>106</v>
      </c>
      <c r="D1356" t="s">
        <v>70</v>
      </c>
      <c r="E1356" s="35">
        <f t="shared" si="148"/>
        <v>0</v>
      </c>
      <c r="F1356" s="35">
        <f t="shared" si="146"/>
        <v>0</v>
      </c>
      <c r="G1356" s="35">
        <f t="shared" si="147"/>
        <v>0</v>
      </c>
      <c r="H1356" s="35">
        <f t="shared" si="147"/>
        <v>0</v>
      </c>
      <c r="I1356" s="35">
        <f t="shared" si="147"/>
        <v>0</v>
      </c>
      <c r="J1356" s="35">
        <f t="shared" si="147"/>
        <v>0</v>
      </c>
      <c r="K1356" s="35">
        <f t="shared" si="147"/>
        <v>0</v>
      </c>
      <c r="L1356" s="35">
        <f t="shared" si="147"/>
        <v>0</v>
      </c>
      <c r="M1356" s="35">
        <f t="shared" si="150"/>
        <v>0</v>
      </c>
      <c r="P1356" t="s">
        <v>115</v>
      </c>
      <c r="Q1356" t="s">
        <v>116</v>
      </c>
      <c r="R1356" t="s">
        <v>106</v>
      </c>
      <c r="S1356" t="s">
        <v>70</v>
      </c>
      <c r="T1356" s="5">
        <f>data_origin!T1567</f>
        <v>0</v>
      </c>
      <c r="U1356" s="5">
        <f>data_origin!U1567</f>
        <v>0</v>
      </c>
      <c r="V1356" s="5">
        <f>data_origin!V1567</f>
        <v>0</v>
      </c>
      <c r="W1356" s="5">
        <f>data_origin!W1567</f>
        <v>0</v>
      </c>
      <c r="X1356" s="5">
        <f>data_origin!X1567</f>
        <v>0</v>
      </c>
      <c r="Y1356" s="5">
        <f>data_origin!Y1567</f>
        <v>0</v>
      </c>
      <c r="Z1356" s="5">
        <f>data_origin!Z1567</f>
        <v>0</v>
      </c>
      <c r="AA1356" s="5">
        <f>data_origin!AA1567</f>
        <v>0</v>
      </c>
      <c r="AB1356" s="5">
        <f t="shared" si="149"/>
        <v>0</v>
      </c>
    </row>
    <row r="1357" spans="1:28" x14ac:dyDescent="0.25">
      <c r="D1357" t="s">
        <v>71</v>
      </c>
      <c r="E1357" s="35">
        <f t="shared" si="148"/>
        <v>0</v>
      </c>
      <c r="F1357" s="35">
        <f t="shared" si="146"/>
        <v>0</v>
      </c>
      <c r="G1357" s="35">
        <f t="shared" si="147"/>
        <v>2.6717545114873995</v>
      </c>
      <c r="H1357" s="35">
        <f t="shared" si="147"/>
        <v>8.6144714324149643</v>
      </c>
      <c r="I1357" s="35">
        <f t="shared" si="147"/>
        <v>5.30239617348112</v>
      </c>
      <c r="J1357" s="35">
        <f t="shared" si="147"/>
        <v>0</v>
      </c>
      <c r="K1357" s="35">
        <f t="shared" si="147"/>
        <v>0</v>
      </c>
      <c r="L1357" s="35">
        <f t="shared" si="147"/>
        <v>0</v>
      </c>
      <c r="M1357" s="35">
        <f t="shared" si="150"/>
        <v>16.588622117383483</v>
      </c>
      <c r="S1357" t="s">
        <v>71</v>
      </c>
      <c r="T1357" s="5">
        <f>data_origin!T1568</f>
        <v>0</v>
      </c>
      <c r="U1357" s="5">
        <f>data_origin!U1568</f>
        <v>0</v>
      </c>
      <c r="V1357" s="5">
        <f>data_origin!V1568</f>
        <v>2.6666666666666665</v>
      </c>
      <c r="W1357" s="5">
        <f>data_origin!W1568</f>
        <v>8.5925925925925917</v>
      </c>
      <c r="X1357" s="5">
        <f>data_origin!X1568</f>
        <v>5.2941176470588234</v>
      </c>
      <c r="Y1357" s="5">
        <f>data_origin!Y1568</f>
        <v>0</v>
      </c>
      <c r="Z1357" s="5">
        <f>data_origin!Z1568</f>
        <v>0</v>
      </c>
      <c r="AA1357" s="5">
        <f>data_origin!AA1568</f>
        <v>0</v>
      </c>
      <c r="AB1357" s="5">
        <f t="shared" si="149"/>
        <v>16.553376906318082</v>
      </c>
    </row>
    <row r="1358" spans="1:28" x14ac:dyDescent="0.25">
      <c r="D1358" t="s">
        <v>72</v>
      </c>
      <c r="E1358" s="35">
        <f t="shared" si="148"/>
        <v>0</v>
      </c>
      <c r="F1358" s="35">
        <f t="shared" si="146"/>
        <v>0</v>
      </c>
      <c r="G1358" s="35">
        <f t="shared" si="147"/>
        <v>0</v>
      </c>
      <c r="H1358" s="35">
        <f t="shared" si="147"/>
        <v>1.0768089290518705</v>
      </c>
      <c r="I1358" s="35">
        <f t="shared" si="147"/>
        <v>0</v>
      </c>
      <c r="J1358" s="35">
        <f t="shared" si="147"/>
        <v>0</v>
      </c>
      <c r="K1358" s="35">
        <f t="shared" si="147"/>
        <v>0</v>
      </c>
      <c r="L1358" s="35">
        <f t="shared" si="147"/>
        <v>0</v>
      </c>
      <c r="M1358" s="35">
        <f t="shared" si="150"/>
        <v>1.0768089290518705</v>
      </c>
      <c r="S1358" t="s">
        <v>72</v>
      </c>
      <c r="T1358" s="5">
        <f>data_origin!T1569</f>
        <v>0</v>
      </c>
      <c r="U1358" s="5">
        <f>data_origin!U1569</f>
        <v>0</v>
      </c>
      <c r="V1358" s="5">
        <f>data_origin!V1569</f>
        <v>0</v>
      </c>
      <c r="W1358" s="5">
        <f>data_origin!W1569</f>
        <v>1.074074074074074</v>
      </c>
      <c r="X1358" s="5">
        <f>data_origin!X1569</f>
        <v>0</v>
      </c>
      <c r="Y1358" s="5">
        <f>data_origin!Y1569</f>
        <v>0</v>
      </c>
      <c r="Z1358" s="5">
        <f>data_origin!Z1569</f>
        <v>0</v>
      </c>
      <c r="AA1358" s="5">
        <f>data_origin!AA1569</f>
        <v>0</v>
      </c>
      <c r="AB1358" s="5">
        <f t="shared" si="149"/>
        <v>1.074074074074074</v>
      </c>
    </row>
    <row r="1359" spans="1:28" x14ac:dyDescent="0.25">
      <c r="D1359" t="s">
        <v>73</v>
      </c>
      <c r="E1359" s="35">
        <f t="shared" si="148"/>
        <v>0</v>
      </c>
      <c r="F1359" s="35">
        <f t="shared" si="146"/>
        <v>0</v>
      </c>
      <c r="G1359" s="35">
        <f t="shared" si="147"/>
        <v>0</v>
      </c>
      <c r="H1359" s="35">
        <f t="shared" si="147"/>
        <v>0</v>
      </c>
      <c r="I1359" s="35">
        <f t="shared" si="147"/>
        <v>0</v>
      </c>
      <c r="J1359" s="35">
        <f t="shared" si="147"/>
        <v>0</v>
      </c>
      <c r="K1359" s="35">
        <f t="shared" si="147"/>
        <v>0</v>
      </c>
      <c r="L1359" s="35">
        <f t="shared" si="147"/>
        <v>0</v>
      </c>
      <c r="M1359" s="35">
        <f t="shared" si="150"/>
        <v>0</v>
      </c>
      <c r="S1359" t="s">
        <v>73</v>
      </c>
      <c r="T1359" s="5">
        <f>data_origin!T1570</f>
        <v>0</v>
      </c>
      <c r="U1359" s="5">
        <f>data_origin!U1570</f>
        <v>0</v>
      </c>
      <c r="V1359" s="5">
        <f>data_origin!V1570</f>
        <v>0</v>
      </c>
      <c r="W1359" s="5">
        <f>data_origin!W1570</f>
        <v>0</v>
      </c>
      <c r="X1359" s="5">
        <f>data_origin!X1570</f>
        <v>0</v>
      </c>
      <c r="Y1359" s="5">
        <f>data_origin!Y1570</f>
        <v>0</v>
      </c>
      <c r="Z1359" s="5">
        <f>data_origin!Z1570</f>
        <v>0</v>
      </c>
      <c r="AA1359" s="5">
        <f>data_origin!AA1570</f>
        <v>0</v>
      </c>
      <c r="AB1359" s="5">
        <f t="shared" si="149"/>
        <v>0</v>
      </c>
    </row>
    <row r="1360" spans="1:28" x14ac:dyDescent="0.25">
      <c r="D1360" t="s">
        <v>74</v>
      </c>
      <c r="E1360" s="35">
        <f t="shared" si="148"/>
        <v>0</v>
      </c>
      <c r="F1360" s="35">
        <f t="shared" si="146"/>
        <v>0</v>
      </c>
      <c r="G1360" s="35">
        <f t="shared" si="147"/>
        <v>2.6717545114873995</v>
      </c>
      <c r="H1360" s="35">
        <f t="shared" si="147"/>
        <v>0</v>
      </c>
      <c r="I1360" s="35">
        <f t="shared" si="147"/>
        <v>4.2419169387848967</v>
      </c>
      <c r="J1360" s="35">
        <f t="shared" si="147"/>
        <v>0</v>
      </c>
      <c r="K1360" s="35">
        <f t="shared" si="147"/>
        <v>0</v>
      </c>
      <c r="L1360" s="35">
        <f t="shared" si="147"/>
        <v>0</v>
      </c>
      <c r="M1360" s="35">
        <f t="shared" si="150"/>
        <v>6.9136714502722967</v>
      </c>
      <c r="S1360" t="s">
        <v>74</v>
      </c>
      <c r="T1360" s="5">
        <f>data_origin!T1571</f>
        <v>0</v>
      </c>
      <c r="U1360" s="5">
        <f>data_origin!U1571</f>
        <v>0</v>
      </c>
      <c r="V1360" s="5">
        <f>data_origin!V1571</f>
        <v>2.6666666666666665</v>
      </c>
      <c r="W1360" s="5">
        <f>data_origin!W1571</f>
        <v>0</v>
      </c>
      <c r="X1360" s="5">
        <f>data_origin!X1571</f>
        <v>4.2352941176470589</v>
      </c>
      <c r="Y1360" s="5">
        <f>data_origin!Y1571</f>
        <v>0</v>
      </c>
      <c r="Z1360" s="5">
        <f>data_origin!Z1571</f>
        <v>0</v>
      </c>
      <c r="AA1360" s="5">
        <f>data_origin!AA1571</f>
        <v>0</v>
      </c>
      <c r="AB1360" s="5">
        <f t="shared" si="149"/>
        <v>6.9019607843137258</v>
      </c>
    </row>
    <row r="1361" spans="4:28" x14ac:dyDescent="0.25">
      <c r="D1361" t="s">
        <v>75</v>
      </c>
      <c r="E1361" s="35">
        <f t="shared" si="148"/>
        <v>0</v>
      </c>
      <c r="F1361" s="35">
        <f t="shared" si="146"/>
        <v>0</v>
      </c>
      <c r="G1361" s="35">
        <f t="shared" si="147"/>
        <v>1.3358772557436998</v>
      </c>
      <c r="H1361" s="35">
        <f t="shared" si="147"/>
        <v>0</v>
      </c>
      <c r="I1361" s="35">
        <f t="shared" si="147"/>
        <v>0</v>
      </c>
      <c r="J1361" s="35">
        <f t="shared" si="147"/>
        <v>0</v>
      </c>
      <c r="K1361" s="35">
        <f t="shared" si="147"/>
        <v>0</v>
      </c>
      <c r="L1361" s="35">
        <f t="shared" si="147"/>
        <v>0</v>
      </c>
      <c r="M1361" s="35">
        <f t="shared" si="150"/>
        <v>1.3358772557436998</v>
      </c>
      <c r="S1361" t="s">
        <v>75</v>
      </c>
      <c r="T1361" s="5">
        <f>data_origin!T1572</f>
        <v>0</v>
      </c>
      <c r="U1361" s="5">
        <f>data_origin!U1572</f>
        <v>0</v>
      </c>
      <c r="V1361" s="5">
        <f>data_origin!V1572</f>
        <v>1.3333333333333333</v>
      </c>
      <c r="W1361" s="5">
        <f>data_origin!W1572</f>
        <v>0</v>
      </c>
      <c r="X1361" s="5">
        <f>data_origin!X1572</f>
        <v>0</v>
      </c>
      <c r="Y1361" s="5">
        <f>data_origin!Y1572</f>
        <v>0</v>
      </c>
      <c r="Z1361" s="5">
        <f>data_origin!Z1572</f>
        <v>0</v>
      </c>
      <c r="AA1361" s="5">
        <f>data_origin!AA1572</f>
        <v>0</v>
      </c>
      <c r="AB1361" s="5">
        <f t="shared" si="149"/>
        <v>1.3333333333333333</v>
      </c>
    </row>
    <row r="1362" spans="4:28" x14ac:dyDescent="0.25">
      <c r="D1362" t="s">
        <v>76</v>
      </c>
      <c r="E1362" s="35">
        <f t="shared" si="148"/>
        <v>0</v>
      </c>
      <c r="F1362" s="35">
        <f t="shared" si="146"/>
        <v>0</v>
      </c>
      <c r="G1362" s="35">
        <f t="shared" si="147"/>
        <v>0</v>
      </c>
      <c r="H1362" s="35">
        <f t="shared" si="147"/>
        <v>1.0768089290518705</v>
      </c>
      <c r="I1362" s="35">
        <f t="shared" si="147"/>
        <v>3.1814377040886721</v>
      </c>
      <c r="J1362" s="35">
        <f t="shared" si="147"/>
        <v>0</v>
      </c>
      <c r="K1362" s="35">
        <f t="shared" si="147"/>
        <v>0</v>
      </c>
      <c r="L1362" s="35">
        <f t="shared" si="147"/>
        <v>0</v>
      </c>
      <c r="M1362" s="35">
        <f t="shared" si="150"/>
        <v>4.2582466331405424</v>
      </c>
      <c r="S1362" t="s">
        <v>76</v>
      </c>
      <c r="T1362" s="5">
        <f>data_origin!T1573</f>
        <v>0</v>
      </c>
      <c r="U1362" s="5">
        <f>data_origin!U1573</f>
        <v>0</v>
      </c>
      <c r="V1362" s="5">
        <f>data_origin!V1573</f>
        <v>0</v>
      </c>
      <c r="W1362" s="5">
        <f>data_origin!W1573</f>
        <v>1.074074074074074</v>
      </c>
      <c r="X1362" s="5">
        <f>data_origin!X1573</f>
        <v>3.1764705882352939</v>
      </c>
      <c r="Y1362" s="5">
        <f>data_origin!Y1573</f>
        <v>0</v>
      </c>
      <c r="Z1362" s="5">
        <f>data_origin!Z1573</f>
        <v>0</v>
      </c>
      <c r="AA1362" s="5">
        <f>data_origin!AA1573</f>
        <v>0</v>
      </c>
      <c r="AB1362" s="5">
        <f t="shared" si="149"/>
        <v>4.2505446623093679</v>
      </c>
    </row>
    <row r="1363" spans="4:28" x14ac:dyDescent="0.25">
      <c r="D1363" t="s">
        <v>77</v>
      </c>
      <c r="E1363" s="35">
        <f t="shared" si="148"/>
        <v>0</v>
      </c>
      <c r="F1363" s="35">
        <f t="shared" si="146"/>
        <v>0</v>
      </c>
      <c r="G1363" s="35">
        <f t="shared" si="147"/>
        <v>1.3358772557436998</v>
      </c>
      <c r="H1363" s="35">
        <f t="shared" si="147"/>
        <v>1.0768089290518705</v>
      </c>
      <c r="I1363" s="35">
        <f t="shared" si="147"/>
        <v>0</v>
      </c>
      <c r="J1363" s="35">
        <f t="shared" si="147"/>
        <v>0</v>
      </c>
      <c r="K1363" s="35">
        <f t="shared" si="147"/>
        <v>0</v>
      </c>
      <c r="L1363" s="35">
        <f t="shared" si="147"/>
        <v>0</v>
      </c>
      <c r="M1363" s="35">
        <f t="shared" si="150"/>
        <v>2.4126861847955703</v>
      </c>
      <c r="S1363" t="s">
        <v>77</v>
      </c>
      <c r="T1363" s="5">
        <f>data_origin!T1574</f>
        <v>0</v>
      </c>
      <c r="U1363" s="5">
        <f>data_origin!U1574</f>
        <v>0</v>
      </c>
      <c r="V1363" s="5">
        <f>data_origin!V1574</f>
        <v>1.3333333333333333</v>
      </c>
      <c r="W1363" s="5">
        <f>data_origin!W1574</f>
        <v>1.074074074074074</v>
      </c>
      <c r="X1363" s="5">
        <f>data_origin!X1574</f>
        <v>0</v>
      </c>
      <c r="Y1363" s="5">
        <f>data_origin!Y1574</f>
        <v>0</v>
      </c>
      <c r="Z1363" s="5">
        <f>data_origin!Z1574</f>
        <v>0</v>
      </c>
      <c r="AA1363" s="5">
        <f>data_origin!AA1574</f>
        <v>0</v>
      </c>
      <c r="AB1363" s="5">
        <f t="shared" si="149"/>
        <v>2.4074074074074074</v>
      </c>
    </row>
    <row r="1364" spans="4:28" x14ac:dyDescent="0.25">
      <c r="D1364" t="s">
        <v>78</v>
      </c>
      <c r="E1364" s="35">
        <f t="shared" si="148"/>
        <v>0</v>
      </c>
      <c r="F1364" s="35">
        <f t="shared" si="146"/>
        <v>0</v>
      </c>
      <c r="G1364" s="35">
        <f t="shared" si="147"/>
        <v>0</v>
      </c>
      <c r="H1364" s="35">
        <f t="shared" si="147"/>
        <v>0</v>
      </c>
      <c r="I1364" s="35">
        <f t="shared" si="147"/>
        <v>0</v>
      </c>
      <c r="J1364" s="35">
        <f t="shared" si="147"/>
        <v>0</v>
      </c>
      <c r="K1364" s="35">
        <f t="shared" si="147"/>
        <v>0</v>
      </c>
      <c r="L1364" s="35">
        <f t="shared" si="147"/>
        <v>0</v>
      </c>
      <c r="M1364" s="35">
        <f t="shared" si="150"/>
        <v>0</v>
      </c>
      <c r="S1364" t="s">
        <v>78</v>
      </c>
      <c r="T1364" s="5">
        <f>data_origin!T1575</f>
        <v>0</v>
      </c>
      <c r="U1364" s="5">
        <f>data_origin!U1575</f>
        <v>0</v>
      </c>
      <c r="V1364" s="5">
        <f>data_origin!V1575</f>
        <v>0</v>
      </c>
      <c r="W1364" s="5">
        <f>data_origin!W1575</f>
        <v>0</v>
      </c>
      <c r="X1364" s="5">
        <f>data_origin!X1575</f>
        <v>0</v>
      </c>
      <c r="Y1364" s="5">
        <f>data_origin!Y1575</f>
        <v>0</v>
      </c>
      <c r="Z1364" s="5">
        <f>data_origin!Z1575</f>
        <v>0</v>
      </c>
      <c r="AA1364" s="5">
        <f>data_origin!AA1575</f>
        <v>0</v>
      </c>
      <c r="AB1364" s="5">
        <f t="shared" si="149"/>
        <v>0</v>
      </c>
    </row>
    <row r="1365" spans="4:28" x14ac:dyDescent="0.25">
      <c r="D1365" t="s">
        <v>79</v>
      </c>
      <c r="E1365" s="35">
        <f t="shared" si="148"/>
        <v>0</v>
      </c>
      <c r="F1365" s="35">
        <f t="shared" si="146"/>
        <v>0</v>
      </c>
      <c r="G1365" s="35">
        <f t="shared" si="147"/>
        <v>0</v>
      </c>
      <c r="H1365" s="35">
        <f t="shared" si="147"/>
        <v>0</v>
      </c>
      <c r="I1365" s="35">
        <f t="shared" si="147"/>
        <v>1.0604792346962242</v>
      </c>
      <c r="J1365" s="35">
        <f t="shared" ref="J1365:L1428" si="151">Y1365+IFERROR((Y1365/SUM(Y$993:Y$1982)*BB$630),0)</f>
        <v>0</v>
      </c>
      <c r="K1365" s="35">
        <f t="shared" si="151"/>
        <v>0</v>
      </c>
      <c r="L1365" s="35">
        <f t="shared" si="151"/>
        <v>0</v>
      </c>
      <c r="M1365" s="35">
        <f t="shared" si="150"/>
        <v>1.0604792346962242</v>
      </c>
      <c r="S1365" t="s">
        <v>79</v>
      </c>
      <c r="T1365" s="5">
        <f>data_origin!T1576</f>
        <v>0</v>
      </c>
      <c r="U1365" s="5">
        <f>data_origin!U1576</f>
        <v>0</v>
      </c>
      <c r="V1365" s="5">
        <f>data_origin!V1576</f>
        <v>0</v>
      </c>
      <c r="W1365" s="5">
        <f>data_origin!W1576</f>
        <v>0</v>
      </c>
      <c r="X1365" s="5">
        <f>data_origin!X1576</f>
        <v>1.0588235294117647</v>
      </c>
      <c r="Y1365" s="5">
        <f>data_origin!Y1576</f>
        <v>0</v>
      </c>
      <c r="Z1365" s="5">
        <f>data_origin!Z1576</f>
        <v>0</v>
      </c>
      <c r="AA1365" s="5">
        <f>data_origin!AA1576</f>
        <v>0</v>
      </c>
      <c r="AB1365" s="5">
        <f t="shared" si="149"/>
        <v>1.0588235294117647</v>
      </c>
    </row>
    <row r="1366" spans="4:28" x14ac:dyDescent="0.25">
      <c r="D1366" t="s">
        <v>80</v>
      </c>
      <c r="E1366" s="35">
        <f t="shared" si="148"/>
        <v>0</v>
      </c>
      <c r="F1366" s="35">
        <f t="shared" si="146"/>
        <v>0</v>
      </c>
      <c r="G1366" s="35">
        <f t="shared" ref="G1366:L1429" si="152">V1366+IFERROR((V1366/SUM(V$993:V$1982)*AY$630),0)</f>
        <v>0</v>
      </c>
      <c r="H1366" s="35">
        <f t="shared" si="152"/>
        <v>1.0768089290518705</v>
      </c>
      <c r="I1366" s="35">
        <f t="shared" si="152"/>
        <v>0</v>
      </c>
      <c r="J1366" s="35">
        <f t="shared" si="151"/>
        <v>0</v>
      </c>
      <c r="K1366" s="35">
        <f t="shared" si="151"/>
        <v>0</v>
      </c>
      <c r="L1366" s="35">
        <f t="shared" si="151"/>
        <v>0</v>
      </c>
      <c r="M1366" s="35">
        <f t="shared" si="150"/>
        <v>1.0768089290518705</v>
      </c>
      <c r="S1366" t="s">
        <v>80</v>
      </c>
      <c r="T1366" s="5">
        <f>data_origin!T1577</f>
        <v>0</v>
      </c>
      <c r="U1366" s="5">
        <f>data_origin!U1577</f>
        <v>0</v>
      </c>
      <c r="V1366" s="5">
        <f>data_origin!V1577</f>
        <v>0</v>
      </c>
      <c r="W1366" s="5">
        <f>data_origin!W1577</f>
        <v>1.074074074074074</v>
      </c>
      <c r="X1366" s="5">
        <f>data_origin!X1577</f>
        <v>0</v>
      </c>
      <c r="Y1366" s="5">
        <f>data_origin!Y1577</f>
        <v>0</v>
      </c>
      <c r="Z1366" s="5">
        <f>data_origin!Z1577</f>
        <v>0</v>
      </c>
      <c r="AA1366" s="5">
        <f>data_origin!AA1577</f>
        <v>0</v>
      </c>
      <c r="AB1366" s="5">
        <f t="shared" si="149"/>
        <v>1.074074074074074</v>
      </c>
    </row>
    <row r="1367" spans="4:28" x14ac:dyDescent="0.25">
      <c r="D1367" t="s">
        <v>81</v>
      </c>
      <c r="E1367" s="35">
        <f t="shared" si="148"/>
        <v>0</v>
      </c>
      <c r="F1367" s="35">
        <f t="shared" si="146"/>
        <v>0</v>
      </c>
      <c r="G1367" s="35">
        <f t="shared" si="152"/>
        <v>0</v>
      </c>
      <c r="H1367" s="35">
        <f t="shared" si="152"/>
        <v>0</v>
      </c>
      <c r="I1367" s="35">
        <f t="shared" si="152"/>
        <v>0</v>
      </c>
      <c r="J1367" s="35">
        <f t="shared" si="151"/>
        <v>0</v>
      </c>
      <c r="K1367" s="35">
        <f t="shared" si="151"/>
        <v>0</v>
      </c>
      <c r="L1367" s="35">
        <f t="shared" si="151"/>
        <v>0</v>
      </c>
      <c r="M1367" s="35">
        <f t="shared" si="150"/>
        <v>0</v>
      </c>
      <c r="S1367" t="s">
        <v>81</v>
      </c>
      <c r="T1367" s="5">
        <f>data_origin!T1578</f>
        <v>0</v>
      </c>
      <c r="U1367" s="5">
        <f>data_origin!U1578</f>
        <v>0</v>
      </c>
      <c r="V1367" s="5">
        <f>data_origin!V1578</f>
        <v>0</v>
      </c>
      <c r="W1367" s="5">
        <f>data_origin!W1578</f>
        <v>0</v>
      </c>
      <c r="X1367" s="5">
        <f>data_origin!X1578</f>
        <v>0</v>
      </c>
      <c r="Y1367" s="5">
        <f>data_origin!Y1578</f>
        <v>0</v>
      </c>
      <c r="Z1367" s="5">
        <f>data_origin!Z1578</f>
        <v>0</v>
      </c>
      <c r="AA1367" s="5">
        <f>data_origin!AA1578</f>
        <v>0</v>
      </c>
      <c r="AB1367" s="5">
        <f t="shared" si="149"/>
        <v>0</v>
      </c>
    </row>
    <row r="1368" spans="4:28" x14ac:dyDescent="0.25">
      <c r="D1368" t="s">
        <v>82</v>
      </c>
      <c r="E1368" s="35">
        <f t="shared" si="148"/>
        <v>0</v>
      </c>
      <c r="F1368" s="35">
        <f t="shared" si="146"/>
        <v>0</v>
      </c>
      <c r="G1368" s="35">
        <f t="shared" si="152"/>
        <v>0</v>
      </c>
      <c r="H1368" s="35">
        <f t="shared" si="152"/>
        <v>0</v>
      </c>
      <c r="I1368" s="35">
        <f t="shared" si="152"/>
        <v>0</v>
      </c>
      <c r="J1368" s="35">
        <f t="shared" si="151"/>
        <v>0</v>
      </c>
      <c r="K1368" s="35">
        <f t="shared" si="151"/>
        <v>0</v>
      </c>
      <c r="L1368" s="35">
        <f t="shared" si="151"/>
        <v>0</v>
      </c>
      <c r="M1368" s="35">
        <f t="shared" si="150"/>
        <v>0</v>
      </c>
      <c r="S1368" t="s">
        <v>82</v>
      </c>
      <c r="T1368" s="5">
        <f>data_origin!T1579</f>
        <v>0</v>
      </c>
      <c r="U1368" s="5">
        <f>data_origin!U1579</f>
        <v>0</v>
      </c>
      <c r="V1368" s="5">
        <f>data_origin!V1579</f>
        <v>0</v>
      </c>
      <c r="W1368" s="5">
        <f>data_origin!W1579</f>
        <v>0</v>
      </c>
      <c r="X1368" s="5">
        <f>data_origin!X1579</f>
        <v>0</v>
      </c>
      <c r="Y1368" s="5">
        <f>data_origin!Y1579</f>
        <v>0</v>
      </c>
      <c r="Z1368" s="5">
        <f>data_origin!Z1579</f>
        <v>0</v>
      </c>
      <c r="AA1368" s="5">
        <f>data_origin!AA1579</f>
        <v>0</v>
      </c>
      <c r="AB1368" s="5">
        <f t="shared" si="149"/>
        <v>0</v>
      </c>
    </row>
    <row r="1369" spans="4:28" x14ac:dyDescent="0.25">
      <c r="D1369" t="s">
        <v>83</v>
      </c>
      <c r="E1369" s="35">
        <f t="shared" si="148"/>
        <v>0</v>
      </c>
      <c r="F1369" s="35">
        <f t="shared" si="146"/>
        <v>0</v>
      </c>
      <c r="G1369" s="35">
        <f t="shared" si="152"/>
        <v>0</v>
      </c>
      <c r="H1369" s="35">
        <f t="shared" si="152"/>
        <v>0</v>
      </c>
      <c r="I1369" s="35">
        <f t="shared" si="152"/>
        <v>0</v>
      </c>
      <c r="J1369" s="35">
        <f t="shared" si="151"/>
        <v>0</v>
      </c>
      <c r="K1369" s="35">
        <f t="shared" si="151"/>
        <v>0</v>
      </c>
      <c r="L1369" s="35">
        <f t="shared" si="151"/>
        <v>0</v>
      </c>
      <c r="M1369" s="35">
        <f t="shared" si="150"/>
        <v>0</v>
      </c>
      <c r="S1369" t="s">
        <v>83</v>
      </c>
      <c r="T1369" s="5">
        <f>data_origin!T1580</f>
        <v>0</v>
      </c>
      <c r="U1369" s="5">
        <f>data_origin!U1580</f>
        <v>0</v>
      </c>
      <c r="V1369" s="5">
        <f>data_origin!V1580</f>
        <v>0</v>
      </c>
      <c r="W1369" s="5">
        <f>data_origin!W1580</f>
        <v>0</v>
      </c>
      <c r="X1369" s="5">
        <f>data_origin!X1580</f>
        <v>0</v>
      </c>
      <c r="Y1369" s="5">
        <f>data_origin!Y1580</f>
        <v>0</v>
      </c>
      <c r="Z1369" s="5">
        <f>data_origin!Z1580</f>
        <v>0</v>
      </c>
      <c r="AA1369" s="5">
        <f>data_origin!AA1580</f>
        <v>0</v>
      </c>
      <c r="AB1369" s="5">
        <f t="shared" si="149"/>
        <v>0</v>
      </c>
    </row>
    <row r="1370" spans="4:28" x14ac:dyDescent="0.25">
      <c r="D1370" t="s">
        <v>84</v>
      </c>
      <c r="E1370" s="35">
        <f t="shared" si="148"/>
        <v>0</v>
      </c>
      <c r="F1370" s="35">
        <f t="shared" si="146"/>
        <v>0</v>
      </c>
      <c r="G1370" s="35">
        <f t="shared" si="152"/>
        <v>0</v>
      </c>
      <c r="H1370" s="35">
        <f t="shared" si="152"/>
        <v>0</v>
      </c>
      <c r="I1370" s="35">
        <f t="shared" si="152"/>
        <v>0</v>
      </c>
      <c r="J1370" s="35">
        <f t="shared" si="151"/>
        <v>0</v>
      </c>
      <c r="K1370" s="35">
        <f t="shared" si="151"/>
        <v>0</v>
      </c>
      <c r="L1370" s="35">
        <f t="shared" si="151"/>
        <v>0</v>
      </c>
      <c r="M1370" s="35">
        <f t="shared" si="150"/>
        <v>0</v>
      </c>
      <c r="S1370" t="s">
        <v>84</v>
      </c>
      <c r="T1370" s="5">
        <f>data_origin!T1581</f>
        <v>0</v>
      </c>
      <c r="U1370" s="5">
        <f>data_origin!U1581</f>
        <v>0</v>
      </c>
      <c r="V1370" s="5">
        <f>data_origin!V1581</f>
        <v>0</v>
      </c>
      <c r="W1370" s="5">
        <f>data_origin!W1581</f>
        <v>0</v>
      </c>
      <c r="X1370" s="5">
        <f>data_origin!X1581</f>
        <v>0</v>
      </c>
      <c r="Y1370" s="5">
        <f>data_origin!Y1581</f>
        <v>0</v>
      </c>
      <c r="Z1370" s="5">
        <f>data_origin!Z1581</f>
        <v>0</v>
      </c>
      <c r="AA1370" s="5">
        <f>data_origin!AA1581</f>
        <v>0</v>
      </c>
      <c r="AB1370" s="5">
        <f t="shared" si="149"/>
        <v>0</v>
      </c>
    </row>
    <row r="1371" spans="4:28" x14ac:dyDescent="0.25">
      <c r="D1371" t="s">
        <v>85</v>
      </c>
      <c r="E1371" s="35">
        <f t="shared" si="148"/>
        <v>0</v>
      </c>
      <c r="F1371" s="35">
        <f t="shared" si="146"/>
        <v>0</v>
      </c>
      <c r="G1371" s="35">
        <f t="shared" si="152"/>
        <v>0</v>
      </c>
      <c r="H1371" s="35">
        <f t="shared" si="152"/>
        <v>0</v>
      </c>
      <c r="I1371" s="35">
        <f t="shared" si="152"/>
        <v>0</v>
      </c>
      <c r="J1371" s="35">
        <f t="shared" si="151"/>
        <v>0</v>
      </c>
      <c r="K1371" s="35">
        <f t="shared" si="151"/>
        <v>0</v>
      </c>
      <c r="L1371" s="35">
        <f t="shared" si="151"/>
        <v>0</v>
      </c>
      <c r="M1371" s="35">
        <f t="shared" si="150"/>
        <v>0</v>
      </c>
      <c r="S1371" t="s">
        <v>85</v>
      </c>
      <c r="T1371" s="5">
        <f>data_origin!T1582</f>
        <v>0</v>
      </c>
      <c r="U1371" s="5">
        <f>data_origin!U1582</f>
        <v>0</v>
      </c>
      <c r="V1371" s="5">
        <f>data_origin!V1582</f>
        <v>0</v>
      </c>
      <c r="W1371" s="5">
        <f>data_origin!W1582</f>
        <v>0</v>
      </c>
      <c r="X1371" s="5">
        <f>data_origin!X1582</f>
        <v>0</v>
      </c>
      <c r="Y1371" s="5">
        <f>data_origin!Y1582</f>
        <v>0</v>
      </c>
      <c r="Z1371" s="5">
        <f>data_origin!Z1582</f>
        <v>0</v>
      </c>
      <c r="AA1371" s="5">
        <f>data_origin!AA1582</f>
        <v>0</v>
      </c>
      <c r="AB1371" s="5">
        <f t="shared" si="149"/>
        <v>0</v>
      </c>
    </row>
    <row r="1372" spans="4:28" x14ac:dyDescent="0.25">
      <c r="D1372" t="s">
        <v>86</v>
      </c>
      <c r="E1372" s="35">
        <f t="shared" si="148"/>
        <v>0</v>
      </c>
      <c r="F1372" s="35">
        <f t="shared" si="146"/>
        <v>0</v>
      </c>
      <c r="G1372" s="35">
        <f t="shared" si="152"/>
        <v>1.3358772557436998</v>
      </c>
      <c r="H1372" s="35">
        <f t="shared" si="152"/>
        <v>4.3072357162074821</v>
      </c>
      <c r="I1372" s="35">
        <f t="shared" si="152"/>
        <v>1.0604792346962242</v>
      </c>
      <c r="J1372" s="35">
        <f t="shared" si="151"/>
        <v>0</v>
      </c>
      <c r="K1372" s="35">
        <f t="shared" si="151"/>
        <v>0</v>
      </c>
      <c r="L1372" s="35">
        <f t="shared" si="151"/>
        <v>0</v>
      </c>
      <c r="M1372" s="35">
        <f t="shared" si="150"/>
        <v>6.7035922066474063</v>
      </c>
      <c r="S1372" t="s">
        <v>86</v>
      </c>
      <c r="T1372" s="5">
        <f>data_origin!T1583</f>
        <v>0</v>
      </c>
      <c r="U1372" s="5">
        <f>data_origin!U1583</f>
        <v>0</v>
      </c>
      <c r="V1372" s="5">
        <f>data_origin!V1583</f>
        <v>1.3333333333333333</v>
      </c>
      <c r="W1372" s="5">
        <f>data_origin!W1583</f>
        <v>4.2962962962962958</v>
      </c>
      <c r="X1372" s="5">
        <f>data_origin!X1583</f>
        <v>1.0588235294117647</v>
      </c>
      <c r="Y1372" s="5">
        <f>data_origin!Y1583</f>
        <v>0</v>
      </c>
      <c r="Z1372" s="5">
        <f>data_origin!Z1583</f>
        <v>0</v>
      </c>
      <c r="AA1372" s="5">
        <f>data_origin!AA1583</f>
        <v>0</v>
      </c>
      <c r="AB1372" s="5">
        <f t="shared" si="149"/>
        <v>6.6884531590413934</v>
      </c>
    </row>
    <row r="1373" spans="4:28" x14ac:dyDescent="0.25">
      <c r="D1373" t="s">
        <v>87</v>
      </c>
      <c r="E1373" s="35">
        <f t="shared" si="148"/>
        <v>0</v>
      </c>
      <c r="F1373" s="35">
        <f t="shared" si="146"/>
        <v>0</v>
      </c>
      <c r="G1373" s="35">
        <f t="shared" si="152"/>
        <v>4.007631767231099</v>
      </c>
      <c r="H1373" s="35">
        <f t="shared" si="152"/>
        <v>4.3072357162074821</v>
      </c>
      <c r="I1373" s="35">
        <f t="shared" si="152"/>
        <v>0</v>
      </c>
      <c r="J1373" s="35">
        <f t="shared" si="151"/>
        <v>0</v>
      </c>
      <c r="K1373" s="35">
        <f t="shared" si="151"/>
        <v>0</v>
      </c>
      <c r="L1373" s="35">
        <f t="shared" si="151"/>
        <v>0</v>
      </c>
      <c r="M1373" s="35">
        <f t="shared" si="150"/>
        <v>8.3148674834385812</v>
      </c>
      <c r="S1373" t="s">
        <v>87</v>
      </c>
      <c r="T1373" s="5">
        <f>data_origin!T1584</f>
        <v>0</v>
      </c>
      <c r="U1373" s="5">
        <f>data_origin!U1584</f>
        <v>0</v>
      </c>
      <c r="V1373" s="5">
        <f>data_origin!V1584</f>
        <v>4</v>
      </c>
      <c r="W1373" s="5">
        <f>data_origin!W1584</f>
        <v>4.2962962962962958</v>
      </c>
      <c r="X1373" s="5">
        <f>data_origin!X1584</f>
        <v>0</v>
      </c>
      <c r="Y1373" s="5">
        <f>data_origin!Y1584</f>
        <v>0</v>
      </c>
      <c r="Z1373" s="5">
        <f>data_origin!Z1584</f>
        <v>0</v>
      </c>
      <c r="AA1373" s="5">
        <f>data_origin!AA1584</f>
        <v>0</v>
      </c>
      <c r="AB1373" s="5">
        <f t="shared" si="149"/>
        <v>8.2962962962962958</v>
      </c>
    </row>
    <row r="1374" spans="4:28" x14ac:dyDescent="0.25">
      <c r="D1374" t="s">
        <v>88</v>
      </c>
      <c r="E1374" s="35">
        <f t="shared" si="148"/>
        <v>0</v>
      </c>
      <c r="F1374" s="35">
        <f t="shared" si="146"/>
        <v>0</v>
      </c>
      <c r="G1374" s="35">
        <f t="shared" si="152"/>
        <v>1.3358772557436998</v>
      </c>
      <c r="H1374" s="35">
        <f t="shared" si="152"/>
        <v>4.3072357162074821</v>
      </c>
      <c r="I1374" s="35">
        <f t="shared" si="152"/>
        <v>1.0604792346962242</v>
      </c>
      <c r="J1374" s="35">
        <f t="shared" si="151"/>
        <v>0</v>
      </c>
      <c r="K1374" s="35">
        <f t="shared" si="151"/>
        <v>0</v>
      </c>
      <c r="L1374" s="35">
        <f t="shared" si="151"/>
        <v>0</v>
      </c>
      <c r="M1374" s="35">
        <f t="shared" si="150"/>
        <v>6.7035922066474063</v>
      </c>
      <c r="S1374" t="s">
        <v>88</v>
      </c>
      <c r="T1374" s="5">
        <f>data_origin!T1585</f>
        <v>0</v>
      </c>
      <c r="U1374" s="5">
        <f>data_origin!U1585</f>
        <v>0</v>
      </c>
      <c r="V1374" s="5">
        <f>data_origin!V1585</f>
        <v>1.3333333333333333</v>
      </c>
      <c r="W1374" s="5">
        <f>data_origin!W1585</f>
        <v>4.2962962962962958</v>
      </c>
      <c r="X1374" s="5">
        <f>data_origin!X1585</f>
        <v>1.0588235294117647</v>
      </c>
      <c r="Y1374" s="5">
        <f>data_origin!Y1585</f>
        <v>0</v>
      </c>
      <c r="Z1374" s="5">
        <f>data_origin!Z1585</f>
        <v>0</v>
      </c>
      <c r="AA1374" s="5">
        <f>data_origin!AA1585</f>
        <v>0</v>
      </c>
      <c r="AB1374" s="5">
        <f t="shared" si="149"/>
        <v>6.6884531590413934</v>
      </c>
    </row>
    <row r="1375" spans="4:28" x14ac:dyDescent="0.25">
      <c r="D1375" t="s">
        <v>89</v>
      </c>
      <c r="E1375" s="35">
        <f t="shared" si="148"/>
        <v>0</v>
      </c>
      <c r="F1375" s="35">
        <f t="shared" si="146"/>
        <v>0</v>
      </c>
      <c r="G1375" s="35">
        <f t="shared" si="152"/>
        <v>2.6717545114873995</v>
      </c>
      <c r="H1375" s="35">
        <f t="shared" si="152"/>
        <v>0</v>
      </c>
      <c r="I1375" s="35">
        <f t="shared" si="152"/>
        <v>2.1209584693924484</v>
      </c>
      <c r="J1375" s="35">
        <f t="shared" si="151"/>
        <v>0</v>
      </c>
      <c r="K1375" s="35">
        <f t="shared" si="151"/>
        <v>0</v>
      </c>
      <c r="L1375" s="35">
        <f t="shared" si="151"/>
        <v>0</v>
      </c>
      <c r="M1375" s="35">
        <f t="shared" si="150"/>
        <v>4.7927129808798483</v>
      </c>
      <c r="S1375" t="s">
        <v>89</v>
      </c>
      <c r="T1375" s="5">
        <f>data_origin!T1586</f>
        <v>0</v>
      </c>
      <c r="U1375" s="5">
        <f>data_origin!U1586</f>
        <v>0</v>
      </c>
      <c r="V1375" s="5">
        <f>data_origin!V1586</f>
        <v>2.6666666666666665</v>
      </c>
      <c r="W1375" s="5">
        <f>data_origin!W1586</f>
        <v>0</v>
      </c>
      <c r="X1375" s="5">
        <f>data_origin!X1586</f>
        <v>2.1176470588235294</v>
      </c>
      <c r="Y1375" s="5">
        <f>data_origin!Y1586</f>
        <v>0</v>
      </c>
      <c r="Z1375" s="5">
        <f>data_origin!Z1586</f>
        <v>0</v>
      </c>
      <c r="AA1375" s="5">
        <f>data_origin!AA1586</f>
        <v>0</v>
      </c>
      <c r="AB1375" s="5">
        <f t="shared" si="149"/>
        <v>4.784313725490196</v>
      </c>
    </row>
    <row r="1376" spans="4:28" x14ac:dyDescent="0.25">
      <c r="D1376" t="s">
        <v>90</v>
      </c>
      <c r="E1376" s="35">
        <f t="shared" si="148"/>
        <v>0</v>
      </c>
      <c r="F1376" s="35">
        <f t="shared" si="146"/>
        <v>0</v>
      </c>
      <c r="G1376" s="35">
        <f t="shared" si="152"/>
        <v>0</v>
      </c>
      <c r="H1376" s="35">
        <f t="shared" si="152"/>
        <v>0</v>
      </c>
      <c r="I1376" s="35">
        <f t="shared" si="152"/>
        <v>0</v>
      </c>
      <c r="J1376" s="35">
        <f t="shared" si="151"/>
        <v>0</v>
      </c>
      <c r="K1376" s="35">
        <f t="shared" si="151"/>
        <v>0</v>
      </c>
      <c r="L1376" s="35">
        <f t="shared" si="151"/>
        <v>0</v>
      </c>
      <c r="M1376" s="35">
        <f t="shared" si="150"/>
        <v>0</v>
      </c>
      <c r="S1376" t="s">
        <v>90</v>
      </c>
      <c r="T1376" s="5">
        <f>data_origin!T1587</f>
        <v>0</v>
      </c>
      <c r="U1376" s="5">
        <f>data_origin!U1587</f>
        <v>0</v>
      </c>
      <c r="V1376" s="5">
        <f>data_origin!V1587</f>
        <v>0</v>
      </c>
      <c r="W1376" s="5">
        <f>data_origin!W1587</f>
        <v>0</v>
      </c>
      <c r="X1376" s="5">
        <f>data_origin!X1587</f>
        <v>0</v>
      </c>
      <c r="Y1376" s="5">
        <f>data_origin!Y1587</f>
        <v>0</v>
      </c>
      <c r="Z1376" s="5">
        <f>data_origin!Z1587</f>
        <v>0</v>
      </c>
      <c r="AA1376" s="5">
        <f>data_origin!AA1587</f>
        <v>0</v>
      </c>
      <c r="AB1376" s="5">
        <f t="shared" si="149"/>
        <v>0</v>
      </c>
    </row>
    <row r="1377" spans="1:28" x14ac:dyDescent="0.25">
      <c r="D1377" t="s">
        <v>91</v>
      </c>
      <c r="E1377" s="35">
        <f t="shared" si="148"/>
        <v>0</v>
      </c>
      <c r="F1377" s="35">
        <f t="shared" si="146"/>
        <v>0</v>
      </c>
      <c r="G1377" s="35">
        <f t="shared" si="152"/>
        <v>0</v>
      </c>
      <c r="H1377" s="35">
        <f t="shared" si="152"/>
        <v>0</v>
      </c>
      <c r="I1377" s="35">
        <f t="shared" si="152"/>
        <v>0</v>
      </c>
      <c r="J1377" s="35">
        <f t="shared" si="151"/>
        <v>0</v>
      </c>
      <c r="K1377" s="35">
        <f t="shared" si="151"/>
        <v>0</v>
      </c>
      <c r="L1377" s="35">
        <f t="shared" si="151"/>
        <v>0</v>
      </c>
      <c r="M1377" s="35">
        <f t="shared" si="150"/>
        <v>0</v>
      </c>
      <c r="S1377" t="s">
        <v>91</v>
      </c>
      <c r="T1377" s="5">
        <f>data_origin!T1588</f>
        <v>0</v>
      </c>
      <c r="U1377" s="5">
        <f>data_origin!U1588</f>
        <v>0</v>
      </c>
      <c r="V1377" s="5">
        <f>data_origin!V1588</f>
        <v>0</v>
      </c>
      <c r="W1377" s="5">
        <f>data_origin!W1588</f>
        <v>0</v>
      </c>
      <c r="X1377" s="5">
        <f>data_origin!X1588</f>
        <v>0</v>
      </c>
      <c r="Y1377" s="5">
        <f>data_origin!Y1588</f>
        <v>0</v>
      </c>
      <c r="Z1377" s="5">
        <f>data_origin!Z1588</f>
        <v>0</v>
      </c>
      <c r="AA1377" s="5">
        <f>data_origin!AA1588</f>
        <v>0</v>
      </c>
      <c r="AB1377" s="5">
        <f t="shared" si="149"/>
        <v>0</v>
      </c>
    </row>
    <row r="1378" spans="1:28" x14ac:dyDescent="0.25">
      <c r="D1378" t="s">
        <v>92</v>
      </c>
      <c r="E1378" s="35">
        <f t="shared" si="148"/>
        <v>0</v>
      </c>
      <c r="F1378" s="35">
        <f t="shared" si="146"/>
        <v>0</v>
      </c>
      <c r="G1378" s="35">
        <f t="shared" si="152"/>
        <v>0</v>
      </c>
      <c r="H1378" s="35">
        <f t="shared" si="152"/>
        <v>0</v>
      </c>
      <c r="I1378" s="35">
        <f t="shared" si="152"/>
        <v>0</v>
      </c>
      <c r="J1378" s="35">
        <f t="shared" si="151"/>
        <v>0</v>
      </c>
      <c r="K1378" s="35">
        <f t="shared" si="151"/>
        <v>0</v>
      </c>
      <c r="L1378" s="35">
        <f t="shared" si="151"/>
        <v>0</v>
      </c>
      <c r="M1378" s="35">
        <f t="shared" si="150"/>
        <v>0</v>
      </c>
      <c r="S1378" t="s">
        <v>92</v>
      </c>
      <c r="T1378" s="5">
        <f>data_origin!T1589</f>
        <v>0</v>
      </c>
      <c r="U1378" s="5">
        <f>data_origin!U1589</f>
        <v>0</v>
      </c>
      <c r="V1378" s="5">
        <f>data_origin!V1589</f>
        <v>0</v>
      </c>
      <c r="W1378" s="5">
        <f>data_origin!W1589</f>
        <v>0</v>
      </c>
      <c r="X1378" s="5">
        <f>data_origin!X1589</f>
        <v>0</v>
      </c>
      <c r="Y1378" s="5">
        <f>data_origin!Y1589</f>
        <v>0</v>
      </c>
      <c r="Z1378" s="5">
        <f>data_origin!Z1589</f>
        <v>0</v>
      </c>
      <c r="AA1378" s="5">
        <f>data_origin!AA1589</f>
        <v>0</v>
      </c>
      <c r="AB1378" s="5">
        <f t="shared" si="149"/>
        <v>0</v>
      </c>
    </row>
    <row r="1379" spans="1:28" x14ac:dyDescent="0.25">
      <c r="D1379" t="s">
        <v>93</v>
      </c>
      <c r="E1379" s="35">
        <f t="shared" si="148"/>
        <v>0</v>
      </c>
      <c r="F1379" s="35">
        <f t="shared" si="146"/>
        <v>0</v>
      </c>
      <c r="G1379" s="35">
        <f t="shared" si="152"/>
        <v>0</v>
      </c>
      <c r="H1379" s="35">
        <f t="shared" si="152"/>
        <v>0</v>
      </c>
      <c r="I1379" s="35">
        <f t="shared" si="152"/>
        <v>0</v>
      </c>
      <c r="J1379" s="35">
        <f t="shared" si="151"/>
        <v>0</v>
      </c>
      <c r="K1379" s="35">
        <f t="shared" si="151"/>
        <v>0</v>
      </c>
      <c r="L1379" s="35">
        <f t="shared" si="151"/>
        <v>0</v>
      </c>
      <c r="M1379" s="35">
        <f t="shared" si="150"/>
        <v>0</v>
      </c>
      <c r="S1379" t="s">
        <v>93</v>
      </c>
      <c r="T1379" s="5">
        <f>data_origin!T1590</f>
        <v>0</v>
      </c>
      <c r="U1379" s="5">
        <f>data_origin!U1590</f>
        <v>0</v>
      </c>
      <c r="V1379" s="5">
        <f>data_origin!V1590</f>
        <v>0</v>
      </c>
      <c r="W1379" s="5">
        <f>data_origin!W1590</f>
        <v>0</v>
      </c>
      <c r="X1379" s="5">
        <f>data_origin!X1590</f>
        <v>0</v>
      </c>
      <c r="Y1379" s="5">
        <f>data_origin!Y1590</f>
        <v>0</v>
      </c>
      <c r="Z1379" s="5">
        <f>data_origin!Z1590</f>
        <v>0</v>
      </c>
      <c r="AA1379" s="5">
        <f>data_origin!AA1590</f>
        <v>0</v>
      </c>
      <c r="AB1379" s="5">
        <f t="shared" si="149"/>
        <v>0</v>
      </c>
    </row>
    <row r="1380" spans="1:28" x14ac:dyDescent="0.25">
      <c r="D1380" t="s">
        <v>94</v>
      </c>
      <c r="E1380" s="35">
        <f t="shared" si="148"/>
        <v>0</v>
      </c>
      <c r="F1380" s="35">
        <f t="shared" si="146"/>
        <v>0</v>
      </c>
      <c r="G1380" s="35">
        <f t="shared" si="152"/>
        <v>0</v>
      </c>
      <c r="H1380" s="35">
        <f t="shared" si="152"/>
        <v>0</v>
      </c>
      <c r="I1380" s="35">
        <f t="shared" si="152"/>
        <v>0</v>
      </c>
      <c r="J1380" s="35">
        <f t="shared" si="151"/>
        <v>0</v>
      </c>
      <c r="K1380" s="35">
        <f t="shared" si="151"/>
        <v>0</v>
      </c>
      <c r="L1380" s="35">
        <f t="shared" si="151"/>
        <v>0</v>
      </c>
      <c r="M1380" s="35">
        <f t="shared" si="150"/>
        <v>0</v>
      </c>
      <c r="S1380" t="s">
        <v>94</v>
      </c>
      <c r="T1380" s="5">
        <f>data_origin!T1591</f>
        <v>0</v>
      </c>
      <c r="U1380" s="5">
        <f>data_origin!U1591</f>
        <v>0</v>
      </c>
      <c r="V1380" s="5">
        <f>data_origin!V1591</f>
        <v>0</v>
      </c>
      <c r="W1380" s="5">
        <f>data_origin!W1591</f>
        <v>0</v>
      </c>
      <c r="X1380" s="5">
        <f>data_origin!X1591</f>
        <v>0</v>
      </c>
      <c r="Y1380" s="5">
        <f>data_origin!Y1591</f>
        <v>0</v>
      </c>
      <c r="Z1380" s="5">
        <f>data_origin!Z1591</f>
        <v>0</v>
      </c>
      <c r="AA1380" s="5">
        <f>data_origin!AA1591</f>
        <v>0</v>
      </c>
      <c r="AB1380" s="5">
        <f t="shared" si="149"/>
        <v>0</v>
      </c>
    </row>
    <row r="1381" spans="1:28" x14ac:dyDescent="0.25">
      <c r="D1381" t="s">
        <v>95</v>
      </c>
      <c r="E1381" s="35">
        <f t="shared" si="148"/>
        <v>0</v>
      </c>
      <c r="F1381" s="35">
        <f t="shared" si="146"/>
        <v>0</v>
      </c>
      <c r="G1381" s="35">
        <f t="shared" si="152"/>
        <v>0</v>
      </c>
      <c r="H1381" s="35">
        <f t="shared" si="152"/>
        <v>0</v>
      </c>
      <c r="I1381" s="35">
        <f t="shared" si="152"/>
        <v>0</v>
      </c>
      <c r="J1381" s="35">
        <f t="shared" si="151"/>
        <v>0</v>
      </c>
      <c r="K1381" s="35">
        <f t="shared" si="151"/>
        <v>0</v>
      </c>
      <c r="L1381" s="35">
        <f t="shared" si="151"/>
        <v>0</v>
      </c>
      <c r="M1381" s="35">
        <f t="shared" si="150"/>
        <v>0</v>
      </c>
      <c r="S1381" t="s">
        <v>95</v>
      </c>
      <c r="T1381" s="5">
        <f>data_origin!T1592</f>
        <v>0</v>
      </c>
      <c r="U1381" s="5">
        <f>data_origin!U1592</f>
        <v>0</v>
      </c>
      <c r="V1381" s="5">
        <f>data_origin!V1592</f>
        <v>0</v>
      </c>
      <c r="W1381" s="5">
        <f>data_origin!W1592</f>
        <v>0</v>
      </c>
      <c r="X1381" s="5">
        <f>data_origin!X1592</f>
        <v>0</v>
      </c>
      <c r="Y1381" s="5">
        <f>data_origin!Y1592</f>
        <v>0</v>
      </c>
      <c r="Z1381" s="5">
        <f>data_origin!Z1592</f>
        <v>0</v>
      </c>
      <c r="AA1381" s="5">
        <f>data_origin!AA1592</f>
        <v>0</v>
      </c>
      <c r="AB1381" s="5">
        <f t="shared" si="149"/>
        <v>0</v>
      </c>
    </row>
    <row r="1382" spans="1:28" x14ac:dyDescent="0.25">
      <c r="D1382" t="s">
        <v>96</v>
      </c>
      <c r="E1382" s="35">
        <f t="shared" si="148"/>
        <v>0</v>
      </c>
      <c r="F1382" s="35">
        <f t="shared" si="146"/>
        <v>0</v>
      </c>
      <c r="G1382" s="35">
        <f t="shared" si="152"/>
        <v>0</v>
      </c>
      <c r="H1382" s="35">
        <f t="shared" si="152"/>
        <v>0</v>
      </c>
      <c r="I1382" s="35">
        <f t="shared" si="152"/>
        <v>0</v>
      </c>
      <c r="J1382" s="35">
        <f t="shared" si="151"/>
        <v>0</v>
      </c>
      <c r="K1382" s="35">
        <f t="shared" si="151"/>
        <v>0</v>
      </c>
      <c r="L1382" s="35">
        <f t="shared" si="151"/>
        <v>0</v>
      </c>
      <c r="M1382" s="35">
        <f t="shared" si="150"/>
        <v>0</v>
      </c>
      <c r="S1382" t="s">
        <v>96</v>
      </c>
      <c r="T1382" s="5">
        <f>data_origin!T1593</f>
        <v>0</v>
      </c>
      <c r="U1382" s="5">
        <f>data_origin!U1593</f>
        <v>0</v>
      </c>
      <c r="V1382" s="5">
        <f>data_origin!V1593</f>
        <v>0</v>
      </c>
      <c r="W1382" s="5">
        <f>data_origin!W1593</f>
        <v>0</v>
      </c>
      <c r="X1382" s="5">
        <f>data_origin!X1593</f>
        <v>0</v>
      </c>
      <c r="Y1382" s="5">
        <f>data_origin!Y1593</f>
        <v>0</v>
      </c>
      <c r="Z1382" s="5">
        <f>data_origin!Z1593</f>
        <v>0</v>
      </c>
      <c r="AA1382" s="5">
        <f>data_origin!AA1593</f>
        <v>0</v>
      </c>
      <c r="AB1382" s="5">
        <f t="shared" si="149"/>
        <v>0</v>
      </c>
    </row>
    <row r="1383" spans="1:28" x14ac:dyDescent="0.25">
      <c r="D1383" t="s">
        <v>97</v>
      </c>
      <c r="E1383" s="35">
        <f t="shared" si="148"/>
        <v>0</v>
      </c>
      <c r="F1383" s="35">
        <f t="shared" si="146"/>
        <v>0</v>
      </c>
      <c r="G1383" s="35">
        <f t="shared" si="152"/>
        <v>0</v>
      </c>
      <c r="H1383" s="35">
        <f t="shared" si="152"/>
        <v>0</v>
      </c>
      <c r="I1383" s="35">
        <f t="shared" si="152"/>
        <v>0</v>
      </c>
      <c r="J1383" s="35">
        <f t="shared" si="151"/>
        <v>0</v>
      </c>
      <c r="K1383" s="35">
        <f t="shared" si="151"/>
        <v>0</v>
      </c>
      <c r="L1383" s="35">
        <f t="shared" si="151"/>
        <v>0</v>
      </c>
      <c r="M1383" s="35">
        <f t="shared" si="150"/>
        <v>0</v>
      </c>
      <c r="S1383" t="s">
        <v>97</v>
      </c>
      <c r="T1383" s="5">
        <f>data_origin!T1594</f>
        <v>0</v>
      </c>
      <c r="U1383" s="5">
        <f>data_origin!U1594</f>
        <v>0</v>
      </c>
      <c r="V1383" s="5">
        <f>data_origin!V1594</f>
        <v>0</v>
      </c>
      <c r="W1383" s="5">
        <f>data_origin!W1594</f>
        <v>0</v>
      </c>
      <c r="X1383" s="5">
        <f>data_origin!X1594</f>
        <v>0</v>
      </c>
      <c r="Y1383" s="5">
        <f>data_origin!Y1594</f>
        <v>0</v>
      </c>
      <c r="Z1383" s="5">
        <f>data_origin!Z1594</f>
        <v>0</v>
      </c>
      <c r="AA1383" s="5">
        <f>data_origin!AA1594</f>
        <v>0</v>
      </c>
      <c r="AB1383" s="5">
        <f t="shared" si="149"/>
        <v>0</v>
      </c>
    </row>
    <row r="1384" spans="1:28" x14ac:dyDescent="0.25">
      <c r="D1384" t="s">
        <v>98</v>
      </c>
      <c r="E1384" s="35">
        <f t="shared" si="148"/>
        <v>0</v>
      </c>
      <c r="F1384" s="35">
        <f t="shared" si="146"/>
        <v>0</v>
      </c>
      <c r="G1384" s="35">
        <f t="shared" si="152"/>
        <v>0</v>
      </c>
      <c r="H1384" s="35">
        <f t="shared" si="152"/>
        <v>0</v>
      </c>
      <c r="I1384" s="35">
        <f t="shared" si="152"/>
        <v>0</v>
      </c>
      <c r="J1384" s="35">
        <f t="shared" si="151"/>
        <v>0</v>
      </c>
      <c r="K1384" s="35">
        <f t="shared" si="151"/>
        <v>0</v>
      </c>
      <c r="L1384" s="35">
        <f t="shared" si="151"/>
        <v>0</v>
      </c>
      <c r="M1384" s="35">
        <f t="shared" si="150"/>
        <v>0</v>
      </c>
      <c r="S1384" t="s">
        <v>98</v>
      </c>
      <c r="T1384" s="5">
        <f>data_origin!T1595</f>
        <v>0</v>
      </c>
      <c r="U1384" s="5">
        <f>data_origin!U1595</f>
        <v>0</v>
      </c>
      <c r="V1384" s="5">
        <f>data_origin!V1595</f>
        <v>0</v>
      </c>
      <c r="W1384" s="5">
        <f>data_origin!W1595</f>
        <v>0</v>
      </c>
      <c r="X1384" s="5">
        <f>data_origin!X1595</f>
        <v>0</v>
      </c>
      <c r="Y1384" s="5">
        <f>data_origin!Y1595</f>
        <v>0</v>
      </c>
      <c r="Z1384" s="5">
        <f>data_origin!Z1595</f>
        <v>0</v>
      </c>
      <c r="AA1384" s="5">
        <f>data_origin!AA1595</f>
        <v>0</v>
      </c>
      <c r="AB1384" s="5">
        <f t="shared" si="149"/>
        <v>0</v>
      </c>
    </row>
    <row r="1385" spans="1:28" x14ac:dyDescent="0.25">
      <c r="D1385" t="s">
        <v>119</v>
      </c>
      <c r="E1385" s="35">
        <f t="shared" si="148"/>
        <v>0</v>
      </c>
      <c r="F1385" s="35">
        <f t="shared" si="146"/>
        <v>0</v>
      </c>
      <c r="G1385" s="35">
        <f t="shared" si="152"/>
        <v>0</v>
      </c>
      <c r="H1385" s="35">
        <f t="shared" si="152"/>
        <v>1.0768089290518705</v>
      </c>
      <c r="I1385" s="35">
        <f t="shared" si="152"/>
        <v>0</v>
      </c>
      <c r="J1385" s="35">
        <f t="shared" si="151"/>
        <v>0</v>
      </c>
      <c r="K1385" s="35">
        <f t="shared" si="151"/>
        <v>0</v>
      </c>
      <c r="L1385" s="35">
        <f t="shared" si="151"/>
        <v>0</v>
      </c>
      <c r="M1385" s="35">
        <f t="shared" si="150"/>
        <v>1.0768089290518705</v>
      </c>
      <c r="S1385" t="s">
        <v>119</v>
      </c>
      <c r="T1385" s="5">
        <f>data_origin!T1596</f>
        <v>0</v>
      </c>
      <c r="U1385" s="5">
        <f>data_origin!U1596</f>
        <v>0</v>
      </c>
      <c r="V1385" s="5">
        <f>data_origin!V1596</f>
        <v>0</v>
      </c>
      <c r="W1385" s="5">
        <f>data_origin!W1596</f>
        <v>1.074074074074074</v>
      </c>
      <c r="X1385" s="5">
        <f>data_origin!X1596</f>
        <v>0</v>
      </c>
      <c r="Y1385" s="5">
        <f>data_origin!Y1596</f>
        <v>0</v>
      </c>
      <c r="Z1385" s="5">
        <f>data_origin!Z1596</f>
        <v>0</v>
      </c>
      <c r="AA1385" s="5">
        <f>data_origin!AA1596</f>
        <v>0</v>
      </c>
      <c r="AB1385" s="5">
        <f t="shared" si="149"/>
        <v>1.074074074074074</v>
      </c>
    </row>
    <row r="1386" spans="1:28" x14ac:dyDescent="0.25">
      <c r="D1386" t="s">
        <v>99</v>
      </c>
      <c r="E1386" s="35">
        <f t="shared" si="148"/>
        <v>0</v>
      </c>
      <c r="F1386" s="35">
        <f t="shared" si="146"/>
        <v>0</v>
      </c>
      <c r="G1386" s="35">
        <f t="shared" si="152"/>
        <v>1.3358772557436998</v>
      </c>
      <c r="H1386" s="35">
        <f t="shared" si="152"/>
        <v>2.1536178581037411</v>
      </c>
      <c r="I1386" s="35">
        <f t="shared" si="152"/>
        <v>0</v>
      </c>
      <c r="J1386" s="35">
        <f t="shared" si="151"/>
        <v>0</v>
      </c>
      <c r="K1386" s="35">
        <f t="shared" si="151"/>
        <v>0</v>
      </c>
      <c r="L1386" s="35">
        <f t="shared" si="151"/>
        <v>0</v>
      </c>
      <c r="M1386" s="35">
        <f t="shared" si="150"/>
        <v>3.4894951138474406</v>
      </c>
      <c r="S1386" t="s">
        <v>99</v>
      </c>
      <c r="T1386" s="5">
        <f>data_origin!T1597</f>
        <v>0</v>
      </c>
      <c r="U1386" s="5">
        <f>data_origin!U1597</f>
        <v>0</v>
      </c>
      <c r="V1386" s="5">
        <f>data_origin!V1597</f>
        <v>1.3333333333333333</v>
      </c>
      <c r="W1386" s="5">
        <f>data_origin!W1597</f>
        <v>2.1481481481481479</v>
      </c>
      <c r="X1386" s="5">
        <f>data_origin!X1597</f>
        <v>0</v>
      </c>
      <c r="Y1386" s="5">
        <f>data_origin!Y1597</f>
        <v>0</v>
      </c>
      <c r="Z1386" s="5">
        <f>data_origin!Z1597</f>
        <v>0</v>
      </c>
      <c r="AA1386" s="5">
        <f>data_origin!AA1597</f>
        <v>0</v>
      </c>
      <c r="AB1386" s="5">
        <f t="shared" si="149"/>
        <v>3.481481481481481</v>
      </c>
    </row>
    <row r="1387" spans="1:28" x14ac:dyDescent="0.25">
      <c r="D1387" t="s">
        <v>100</v>
      </c>
      <c r="E1387" s="35">
        <f t="shared" si="148"/>
        <v>0</v>
      </c>
      <c r="F1387" s="35">
        <f t="shared" si="148"/>
        <v>0</v>
      </c>
      <c r="G1387" s="35">
        <f t="shared" si="152"/>
        <v>1.3358772557436998</v>
      </c>
      <c r="H1387" s="35">
        <f t="shared" si="152"/>
        <v>0</v>
      </c>
      <c r="I1387" s="35">
        <f t="shared" si="152"/>
        <v>0</v>
      </c>
      <c r="J1387" s="35">
        <f t="shared" si="151"/>
        <v>0</v>
      </c>
      <c r="K1387" s="35">
        <f t="shared" si="151"/>
        <v>0</v>
      </c>
      <c r="L1387" s="35">
        <f t="shared" si="151"/>
        <v>0</v>
      </c>
      <c r="M1387" s="35">
        <f t="shared" si="150"/>
        <v>1.3358772557436998</v>
      </c>
      <c r="S1387" t="s">
        <v>100</v>
      </c>
      <c r="T1387" s="5">
        <f>data_origin!T1598</f>
        <v>0</v>
      </c>
      <c r="U1387" s="5">
        <f>data_origin!U1598</f>
        <v>0</v>
      </c>
      <c r="V1387" s="5">
        <f>data_origin!V1598</f>
        <v>1.3333333333333333</v>
      </c>
      <c r="W1387" s="5">
        <f>data_origin!W1598</f>
        <v>0</v>
      </c>
      <c r="X1387" s="5">
        <f>data_origin!X1598</f>
        <v>0</v>
      </c>
      <c r="Y1387" s="5">
        <f>data_origin!Y1598</f>
        <v>0</v>
      </c>
      <c r="Z1387" s="5">
        <f>data_origin!Z1598</f>
        <v>0</v>
      </c>
      <c r="AA1387" s="5">
        <f>data_origin!AA1598</f>
        <v>0</v>
      </c>
      <c r="AB1387" s="5">
        <f t="shared" si="149"/>
        <v>1.3333333333333333</v>
      </c>
    </row>
    <row r="1388" spans="1:28" x14ac:dyDescent="0.25">
      <c r="D1388" t="s">
        <v>101</v>
      </c>
      <c r="E1388" s="35">
        <f t="shared" ref="E1388:L1451" si="153">T1388+IFERROR((T1388/SUM(T$993:T$1982)*AW$630),0)</f>
        <v>0</v>
      </c>
      <c r="F1388" s="35">
        <f t="shared" si="153"/>
        <v>0</v>
      </c>
      <c r="G1388" s="35">
        <f t="shared" si="152"/>
        <v>0</v>
      </c>
      <c r="H1388" s="35">
        <f t="shared" si="152"/>
        <v>0</v>
      </c>
      <c r="I1388" s="35">
        <f t="shared" si="152"/>
        <v>0</v>
      </c>
      <c r="J1388" s="35">
        <f t="shared" si="151"/>
        <v>0</v>
      </c>
      <c r="K1388" s="35">
        <f t="shared" si="151"/>
        <v>0</v>
      </c>
      <c r="L1388" s="35">
        <f t="shared" si="151"/>
        <v>0</v>
      </c>
      <c r="M1388" s="35">
        <f t="shared" si="150"/>
        <v>0</v>
      </c>
      <c r="S1388" t="s">
        <v>101</v>
      </c>
      <c r="T1388" s="5">
        <f>data_origin!T1599</f>
        <v>0</v>
      </c>
      <c r="U1388" s="5">
        <f>data_origin!U1599</f>
        <v>0</v>
      </c>
      <c r="V1388" s="5">
        <f>data_origin!V1599</f>
        <v>0</v>
      </c>
      <c r="W1388" s="5">
        <f>data_origin!W1599</f>
        <v>0</v>
      </c>
      <c r="X1388" s="5">
        <f>data_origin!X1599</f>
        <v>0</v>
      </c>
      <c r="Y1388" s="5">
        <f>data_origin!Y1599</f>
        <v>0</v>
      </c>
      <c r="Z1388" s="5">
        <f>data_origin!Z1599</f>
        <v>0</v>
      </c>
      <c r="AA1388" s="5">
        <f>data_origin!AA1599</f>
        <v>0</v>
      </c>
      <c r="AB1388" s="5">
        <f t="shared" si="149"/>
        <v>0</v>
      </c>
    </row>
    <row r="1389" spans="1:28" x14ac:dyDescent="0.25">
      <c r="A1389" s="24" t="s">
        <v>115</v>
      </c>
      <c r="B1389" s="24" t="s">
        <v>116</v>
      </c>
      <c r="C1389" s="24" t="s">
        <v>107</v>
      </c>
      <c r="D1389" t="s">
        <v>70</v>
      </c>
      <c r="E1389" s="35">
        <f t="shared" si="153"/>
        <v>0</v>
      </c>
      <c r="F1389" s="35">
        <f t="shared" si="153"/>
        <v>0</v>
      </c>
      <c r="G1389" s="35">
        <f t="shared" si="152"/>
        <v>0</v>
      </c>
      <c r="H1389" s="35">
        <f t="shared" si="152"/>
        <v>0</v>
      </c>
      <c r="I1389" s="35">
        <f t="shared" si="152"/>
        <v>0</v>
      </c>
      <c r="J1389" s="35">
        <f t="shared" si="151"/>
        <v>0</v>
      </c>
      <c r="K1389" s="35">
        <f t="shared" si="151"/>
        <v>0</v>
      </c>
      <c r="L1389" s="35">
        <f t="shared" si="151"/>
        <v>0</v>
      </c>
      <c r="M1389" s="35">
        <f t="shared" si="150"/>
        <v>0</v>
      </c>
      <c r="P1389" t="s">
        <v>115</v>
      </c>
      <c r="Q1389" t="s">
        <v>116</v>
      </c>
      <c r="R1389" t="s">
        <v>107</v>
      </c>
      <c r="S1389" t="s">
        <v>70</v>
      </c>
      <c r="T1389" s="5">
        <f>data_origin!T1601</f>
        <v>0</v>
      </c>
      <c r="U1389" s="5">
        <f>data_origin!U1601</f>
        <v>0</v>
      </c>
      <c r="V1389" s="5">
        <f>data_origin!V1601</f>
        <v>0</v>
      </c>
      <c r="W1389" s="5">
        <f>data_origin!W1601</f>
        <v>0</v>
      </c>
      <c r="X1389" s="5">
        <f>data_origin!X1601</f>
        <v>0</v>
      </c>
      <c r="Y1389" s="5">
        <f>data_origin!Y1601</f>
        <v>0</v>
      </c>
      <c r="Z1389" s="5">
        <f>data_origin!Z1601</f>
        <v>0</v>
      </c>
      <c r="AA1389" s="5">
        <f>data_origin!AA1601</f>
        <v>0</v>
      </c>
      <c r="AB1389" s="5">
        <f t="shared" si="149"/>
        <v>0</v>
      </c>
    </row>
    <row r="1390" spans="1:28" x14ac:dyDescent="0.25">
      <c r="D1390" t="s">
        <v>71</v>
      </c>
      <c r="E1390" s="35">
        <f t="shared" si="153"/>
        <v>0</v>
      </c>
      <c r="F1390" s="35">
        <f t="shared" si="153"/>
        <v>0</v>
      </c>
      <c r="G1390" s="35">
        <f t="shared" si="152"/>
        <v>0</v>
      </c>
      <c r="H1390" s="35">
        <f t="shared" si="152"/>
        <v>0</v>
      </c>
      <c r="I1390" s="35">
        <f t="shared" si="152"/>
        <v>0</v>
      </c>
      <c r="J1390" s="35">
        <f t="shared" si="151"/>
        <v>0</v>
      </c>
      <c r="K1390" s="35">
        <f t="shared" si="151"/>
        <v>0</v>
      </c>
      <c r="L1390" s="35">
        <f t="shared" si="151"/>
        <v>0</v>
      </c>
      <c r="M1390" s="35">
        <f t="shared" si="150"/>
        <v>0</v>
      </c>
      <c r="S1390" t="s">
        <v>71</v>
      </c>
      <c r="T1390" s="5">
        <f>data_origin!T1602</f>
        <v>0</v>
      </c>
      <c r="U1390" s="5">
        <f>data_origin!U1602</f>
        <v>0</v>
      </c>
      <c r="V1390" s="5">
        <f>data_origin!V1602</f>
        <v>0</v>
      </c>
      <c r="W1390" s="5">
        <f>data_origin!W1602</f>
        <v>0</v>
      </c>
      <c r="X1390" s="5">
        <f>data_origin!X1602</f>
        <v>0</v>
      </c>
      <c r="Y1390" s="5">
        <f>data_origin!Y1602</f>
        <v>0</v>
      </c>
      <c r="Z1390" s="5">
        <f>data_origin!Z1602</f>
        <v>0</v>
      </c>
      <c r="AA1390" s="5">
        <f>data_origin!AA1602</f>
        <v>0</v>
      </c>
      <c r="AB1390" s="5">
        <f t="shared" si="149"/>
        <v>0</v>
      </c>
    </row>
    <row r="1391" spans="1:28" x14ac:dyDescent="0.25">
      <c r="D1391" t="s">
        <v>72</v>
      </c>
      <c r="E1391" s="35">
        <f t="shared" si="153"/>
        <v>0</v>
      </c>
      <c r="F1391" s="35">
        <f t="shared" si="153"/>
        <v>0</v>
      </c>
      <c r="G1391" s="35">
        <f t="shared" si="152"/>
        <v>0</v>
      </c>
      <c r="H1391" s="35">
        <f t="shared" si="152"/>
        <v>0</v>
      </c>
      <c r="I1391" s="35">
        <f t="shared" si="152"/>
        <v>0</v>
      </c>
      <c r="J1391" s="35">
        <f t="shared" si="151"/>
        <v>0</v>
      </c>
      <c r="K1391" s="35">
        <f t="shared" si="151"/>
        <v>0</v>
      </c>
      <c r="L1391" s="35">
        <f t="shared" si="151"/>
        <v>0</v>
      </c>
      <c r="M1391" s="35">
        <f t="shared" si="150"/>
        <v>0</v>
      </c>
      <c r="S1391" t="s">
        <v>72</v>
      </c>
      <c r="T1391" s="5">
        <f>data_origin!T1603</f>
        <v>0</v>
      </c>
      <c r="U1391" s="5">
        <f>data_origin!U1603</f>
        <v>0</v>
      </c>
      <c r="V1391" s="5">
        <f>data_origin!V1603</f>
        <v>0</v>
      </c>
      <c r="W1391" s="5">
        <f>data_origin!W1603</f>
        <v>0</v>
      </c>
      <c r="X1391" s="5">
        <f>data_origin!X1603</f>
        <v>0</v>
      </c>
      <c r="Y1391" s="5">
        <f>data_origin!Y1603</f>
        <v>0</v>
      </c>
      <c r="Z1391" s="5">
        <f>data_origin!Z1603</f>
        <v>0</v>
      </c>
      <c r="AA1391" s="5">
        <f>data_origin!AA1603</f>
        <v>0</v>
      </c>
      <c r="AB1391" s="5">
        <f t="shared" si="149"/>
        <v>0</v>
      </c>
    </row>
    <row r="1392" spans="1:28" x14ac:dyDescent="0.25">
      <c r="D1392" t="s">
        <v>73</v>
      </c>
      <c r="E1392" s="35">
        <f t="shared" si="153"/>
        <v>0</v>
      </c>
      <c r="F1392" s="35">
        <f t="shared" si="153"/>
        <v>0</v>
      </c>
      <c r="G1392" s="35">
        <f t="shared" si="152"/>
        <v>0</v>
      </c>
      <c r="H1392" s="35">
        <f t="shared" si="152"/>
        <v>0</v>
      </c>
      <c r="I1392" s="35">
        <f t="shared" si="152"/>
        <v>0</v>
      </c>
      <c r="J1392" s="35">
        <f t="shared" si="151"/>
        <v>0</v>
      </c>
      <c r="K1392" s="35">
        <f t="shared" si="151"/>
        <v>0</v>
      </c>
      <c r="L1392" s="35">
        <f t="shared" si="151"/>
        <v>0</v>
      </c>
      <c r="M1392" s="35">
        <f t="shared" si="150"/>
        <v>0</v>
      </c>
      <c r="S1392" t="s">
        <v>73</v>
      </c>
      <c r="T1392" s="5">
        <f>data_origin!T1604</f>
        <v>0</v>
      </c>
      <c r="U1392" s="5">
        <f>data_origin!U1604</f>
        <v>0</v>
      </c>
      <c r="V1392" s="5">
        <f>data_origin!V1604</f>
        <v>0</v>
      </c>
      <c r="W1392" s="5">
        <f>data_origin!W1604</f>
        <v>0</v>
      </c>
      <c r="X1392" s="5">
        <f>data_origin!X1604</f>
        <v>0</v>
      </c>
      <c r="Y1392" s="5">
        <f>data_origin!Y1604</f>
        <v>0</v>
      </c>
      <c r="Z1392" s="5">
        <f>data_origin!Z1604</f>
        <v>0</v>
      </c>
      <c r="AA1392" s="5">
        <f>data_origin!AA1604</f>
        <v>0</v>
      </c>
      <c r="AB1392" s="5">
        <f t="shared" si="149"/>
        <v>0</v>
      </c>
    </row>
    <row r="1393" spans="4:28" x14ac:dyDescent="0.25">
      <c r="D1393" t="s">
        <v>74</v>
      </c>
      <c r="E1393" s="35">
        <f t="shared" si="153"/>
        <v>0</v>
      </c>
      <c r="F1393" s="35">
        <f t="shared" si="153"/>
        <v>0</v>
      </c>
      <c r="G1393" s="35">
        <f t="shared" si="152"/>
        <v>0</v>
      </c>
      <c r="H1393" s="35">
        <f t="shared" si="152"/>
        <v>0</v>
      </c>
      <c r="I1393" s="35">
        <f t="shared" si="152"/>
        <v>0</v>
      </c>
      <c r="J1393" s="35">
        <f t="shared" si="151"/>
        <v>0</v>
      </c>
      <c r="K1393" s="35">
        <f t="shared" si="151"/>
        <v>0</v>
      </c>
      <c r="L1393" s="35">
        <f t="shared" si="151"/>
        <v>0</v>
      </c>
      <c r="M1393" s="35">
        <f t="shared" si="150"/>
        <v>0</v>
      </c>
      <c r="S1393" t="s">
        <v>74</v>
      </c>
      <c r="T1393" s="5">
        <f>data_origin!T1605</f>
        <v>0</v>
      </c>
      <c r="U1393" s="5">
        <f>data_origin!U1605</f>
        <v>0</v>
      </c>
      <c r="V1393" s="5">
        <f>data_origin!V1605</f>
        <v>0</v>
      </c>
      <c r="W1393" s="5">
        <f>data_origin!W1605</f>
        <v>0</v>
      </c>
      <c r="X1393" s="5">
        <f>data_origin!X1605</f>
        <v>0</v>
      </c>
      <c r="Y1393" s="5">
        <f>data_origin!Y1605</f>
        <v>0</v>
      </c>
      <c r="Z1393" s="5">
        <f>data_origin!Z1605</f>
        <v>0</v>
      </c>
      <c r="AA1393" s="5">
        <f>data_origin!AA1605</f>
        <v>0</v>
      </c>
      <c r="AB1393" s="5">
        <f t="shared" si="149"/>
        <v>0</v>
      </c>
    </row>
    <row r="1394" spans="4:28" x14ac:dyDescent="0.25">
      <c r="D1394" t="s">
        <v>75</v>
      </c>
      <c r="E1394" s="35">
        <f t="shared" si="153"/>
        <v>0</v>
      </c>
      <c r="F1394" s="35">
        <f t="shared" si="153"/>
        <v>0</v>
      </c>
      <c r="G1394" s="35">
        <f t="shared" si="152"/>
        <v>0</v>
      </c>
      <c r="H1394" s="35">
        <f t="shared" si="152"/>
        <v>0</v>
      </c>
      <c r="I1394" s="35">
        <f t="shared" si="152"/>
        <v>0</v>
      </c>
      <c r="J1394" s="35">
        <f t="shared" si="151"/>
        <v>0</v>
      </c>
      <c r="K1394" s="35">
        <f t="shared" si="151"/>
        <v>0</v>
      </c>
      <c r="L1394" s="35">
        <f t="shared" si="151"/>
        <v>0</v>
      </c>
      <c r="M1394" s="35">
        <f t="shared" si="150"/>
        <v>0</v>
      </c>
      <c r="S1394" t="s">
        <v>75</v>
      </c>
      <c r="T1394" s="5">
        <f>data_origin!T1606</f>
        <v>0</v>
      </c>
      <c r="U1394" s="5">
        <f>data_origin!U1606</f>
        <v>0</v>
      </c>
      <c r="V1394" s="5">
        <f>data_origin!V1606</f>
        <v>0</v>
      </c>
      <c r="W1394" s="5">
        <f>data_origin!W1606</f>
        <v>0</v>
      </c>
      <c r="X1394" s="5">
        <f>data_origin!X1606</f>
        <v>0</v>
      </c>
      <c r="Y1394" s="5">
        <f>data_origin!Y1606</f>
        <v>0</v>
      </c>
      <c r="Z1394" s="5">
        <f>data_origin!Z1606</f>
        <v>0</v>
      </c>
      <c r="AA1394" s="5">
        <f>data_origin!AA1606</f>
        <v>0</v>
      </c>
      <c r="AB1394" s="5">
        <f t="shared" ref="AB1394:AB1454" si="154">SUM(T1394:AA1394)</f>
        <v>0</v>
      </c>
    </row>
    <row r="1395" spans="4:28" x14ac:dyDescent="0.25">
      <c r="D1395" t="s">
        <v>76</v>
      </c>
      <c r="E1395" s="35">
        <f t="shared" si="153"/>
        <v>0</v>
      </c>
      <c r="F1395" s="35">
        <f t="shared" si="153"/>
        <v>0</v>
      </c>
      <c r="G1395" s="35">
        <f t="shared" si="152"/>
        <v>0</v>
      </c>
      <c r="H1395" s="35">
        <f t="shared" si="152"/>
        <v>0</v>
      </c>
      <c r="I1395" s="35">
        <f t="shared" si="152"/>
        <v>0</v>
      </c>
      <c r="J1395" s="35">
        <f t="shared" si="151"/>
        <v>0</v>
      </c>
      <c r="K1395" s="35">
        <f t="shared" si="151"/>
        <v>0</v>
      </c>
      <c r="L1395" s="35">
        <f t="shared" si="151"/>
        <v>0</v>
      </c>
      <c r="M1395" s="35">
        <f t="shared" si="150"/>
        <v>0</v>
      </c>
      <c r="S1395" t="s">
        <v>76</v>
      </c>
      <c r="T1395" s="5">
        <f>data_origin!T1607</f>
        <v>0</v>
      </c>
      <c r="U1395" s="5">
        <f>data_origin!U1607</f>
        <v>0</v>
      </c>
      <c r="V1395" s="5">
        <f>data_origin!V1607</f>
        <v>0</v>
      </c>
      <c r="W1395" s="5">
        <f>data_origin!W1607</f>
        <v>0</v>
      </c>
      <c r="X1395" s="5">
        <f>data_origin!X1607</f>
        <v>0</v>
      </c>
      <c r="Y1395" s="5">
        <f>data_origin!Y1607</f>
        <v>0</v>
      </c>
      <c r="Z1395" s="5">
        <f>data_origin!Z1607</f>
        <v>0</v>
      </c>
      <c r="AA1395" s="5">
        <f>data_origin!AA1607</f>
        <v>0</v>
      </c>
      <c r="AB1395" s="5">
        <f t="shared" si="154"/>
        <v>0</v>
      </c>
    </row>
    <row r="1396" spans="4:28" x14ac:dyDescent="0.25">
      <c r="D1396" t="s">
        <v>77</v>
      </c>
      <c r="E1396" s="35">
        <f t="shared" si="153"/>
        <v>0</v>
      </c>
      <c r="F1396" s="35">
        <f t="shared" si="153"/>
        <v>0</v>
      </c>
      <c r="G1396" s="35">
        <f t="shared" si="152"/>
        <v>0</v>
      </c>
      <c r="H1396" s="35">
        <f t="shared" si="152"/>
        <v>0</v>
      </c>
      <c r="I1396" s="35">
        <f t="shared" si="152"/>
        <v>0</v>
      </c>
      <c r="J1396" s="35">
        <f t="shared" si="151"/>
        <v>0</v>
      </c>
      <c r="K1396" s="35">
        <f t="shared" si="151"/>
        <v>0</v>
      </c>
      <c r="L1396" s="35">
        <f t="shared" si="151"/>
        <v>0</v>
      </c>
      <c r="M1396" s="35">
        <f t="shared" si="150"/>
        <v>0</v>
      </c>
      <c r="S1396" t="s">
        <v>77</v>
      </c>
      <c r="T1396" s="5">
        <f>data_origin!T1608</f>
        <v>0</v>
      </c>
      <c r="U1396" s="5">
        <f>data_origin!U1608</f>
        <v>0</v>
      </c>
      <c r="V1396" s="5">
        <f>data_origin!V1608</f>
        <v>0</v>
      </c>
      <c r="W1396" s="5">
        <f>data_origin!W1608</f>
        <v>0</v>
      </c>
      <c r="X1396" s="5">
        <f>data_origin!X1608</f>
        <v>0</v>
      </c>
      <c r="Y1396" s="5">
        <f>data_origin!Y1608</f>
        <v>0</v>
      </c>
      <c r="Z1396" s="5">
        <f>data_origin!Z1608</f>
        <v>0</v>
      </c>
      <c r="AA1396" s="5">
        <f>data_origin!AA1608</f>
        <v>0</v>
      </c>
      <c r="AB1396" s="5">
        <f t="shared" si="154"/>
        <v>0</v>
      </c>
    </row>
    <row r="1397" spans="4:28" x14ac:dyDescent="0.25">
      <c r="D1397" t="s">
        <v>78</v>
      </c>
      <c r="E1397" s="35">
        <f t="shared" si="153"/>
        <v>0</v>
      </c>
      <c r="F1397" s="35">
        <f t="shared" si="153"/>
        <v>0</v>
      </c>
      <c r="G1397" s="35">
        <f t="shared" si="152"/>
        <v>0</v>
      </c>
      <c r="H1397" s="35">
        <f t="shared" si="152"/>
        <v>0</v>
      </c>
      <c r="I1397" s="35">
        <f t="shared" si="152"/>
        <v>0</v>
      </c>
      <c r="J1397" s="35">
        <f t="shared" si="151"/>
        <v>0</v>
      </c>
      <c r="K1397" s="35">
        <f t="shared" si="151"/>
        <v>0</v>
      </c>
      <c r="L1397" s="35">
        <f t="shared" si="151"/>
        <v>0</v>
      </c>
      <c r="M1397" s="35">
        <f t="shared" si="150"/>
        <v>0</v>
      </c>
      <c r="S1397" t="s">
        <v>78</v>
      </c>
      <c r="T1397" s="5">
        <f>data_origin!T1609</f>
        <v>0</v>
      </c>
      <c r="U1397" s="5">
        <f>data_origin!U1609</f>
        <v>0</v>
      </c>
      <c r="V1397" s="5">
        <f>data_origin!V1609</f>
        <v>0</v>
      </c>
      <c r="W1397" s="5">
        <f>data_origin!W1609</f>
        <v>0</v>
      </c>
      <c r="X1397" s="5">
        <f>data_origin!X1609</f>
        <v>0</v>
      </c>
      <c r="Y1397" s="5">
        <f>data_origin!Y1609</f>
        <v>0</v>
      </c>
      <c r="Z1397" s="5">
        <f>data_origin!Z1609</f>
        <v>0</v>
      </c>
      <c r="AA1397" s="5">
        <f>data_origin!AA1609</f>
        <v>0</v>
      </c>
      <c r="AB1397" s="5">
        <f t="shared" si="154"/>
        <v>0</v>
      </c>
    </row>
    <row r="1398" spans="4:28" x14ac:dyDescent="0.25">
      <c r="D1398" t="s">
        <v>79</v>
      </c>
      <c r="E1398" s="35">
        <f t="shared" si="153"/>
        <v>0</v>
      </c>
      <c r="F1398" s="35">
        <f t="shared" si="153"/>
        <v>0</v>
      </c>
      <c r="G1398" s="35">
        <f t="shared" si="152"/>
        <v>0</v>
      </c>
      <c r="H1398" s="35">
        <f t="shared" si="152"/>
        <v>0</v>
      </c>
      <c r="I1398" s="35">
        <f t="shared" si="152"/>
        <v>0</v>
      </c>
      <c r="J1398" s="35">
        <f t="shared" si="151"/>
        <v>0</v>
      </c>
      <c r="K1398" s="35">
        <f t="shared" si="151"/>
        <v>0</v>
      </c>
      <c r="L1398" s="35">
        <f t="shared" si="151"/>
        <v>0</v>
      </c>
      <c r="M1398" s="35">
        <f t="shared" si="150"/>
        <v>0</v>
      </c>
      <c r="S1398" t="s">
        <v>79</v>
      </c>
      <c r="T1398" s="5">
        <f>data_origin!T1610</f>
        <v>0</v>
      </c>
      <c r="U1398" s="5">
        <f>data_origin!U1610</f>
        <v>0</v>
      </c>
      <c r="V1398" s="5">
        <f>data_origin!V1610</f>
        <v>0</v>
      </c>
      <c r="W1398" s="5">
        <f>data_origin!W1610</f>
        <v>0</v>
      </c>
      <c r="X1398" s="5">
        <f>data_origin!X1610</f>
        <v>0</v>
      </c>
      <c r="Y1398" s="5">
        <f>data_origin!Y1610</f>
        <v>0</v>
      </c>
      <c r="Z1398" s="5">
        <f>data_origin!Z1610</f>
        <v>0</v>
      </c>
      <c r="AA1398" s="5">
        <f>data_origin!AA1610</f>
        <v>0</v>
      </c>
      <c r="AB1398" s="5">
        <f t="shared" si="154"/>
        <v>0</v>
      </c>
    </row>
    <row r="1399" spans="4:28" x14ac:dyDescent="0.25">
      <c r="D1399" t="s">
        <v>80</v>
      </c>
      <c r="E1399" s="35">
        <f t="shared" si="153"/>
        <v>0</v>
      </c>
      <c r="F1399" s="35">
        <f t="shared" si="153"/>
        <v>0</v>
      </c>
      <c r="G1399" s="35">
        <f t="shared" si="152"/>
        <v>0</v>
      </c>
      <c r="H1399" s="35">
        <f t="shared" si="152"/>
        <v>0</v>
      </c>
      <c r="I1399" s="35">
        <f t="shared" si="152"/>
        <v>0</v>
      </c>
      <c r="J1399" s="35">
        <f t="shared" si="151"/>
        <v>0</v>
      </c>
      <c r="K1399" s="35">
        <f t="shared" si="151"/>
        <v>0</v>
      </c>
      <c r="L1399" s="35">
        <f t="shared" si="151"/>
        <v>0</v>
      </c>
      <c r="M1399" s="35">
        <f t="shared" si="150"/>
        <v>0</v>
      </c>
      <c r="S1399" t="s">
        <v>80</v>
      </c>
      <c r="T1399" s="5">
        <f>data_origin!T1611</f>
        <v>0</v>
      </c>
      <c r="U1399" s="5">
        <f>data_origin!U1611</f>
        <v>0</v>
      </c>
      <c r="V1399" s="5">
        <f>data_origin!V1611</f>
        <v>0</v>
      </c>
      <c r="W1399" s="5">
        <f>data_origin!W1611</f>
        <v>0</v>
      </c>
      <c r="X1399" s="5">
        <f>data_origin!X1611</f>
        <v>0</v>
      </c>
      <c r="Y1399" s="5">
        <f>data_origin!Y1611</f>
        <v>0</v>
      </c>
      <c r="Z1399" s="5">
        <f>data_origin!Z1611</f>
        <v>0</v>
      </c>
      <c r="AA1399" s="5">
        <f>data_origin!AA1611</f>
        <v>0</v>
      </c>
      <c r="AB1399" s="5">
        <f t="shared" si="154"/>
        <v>0</v>
      </c>
    </row>
    <row r="1400" spans="4:28" x14ac:dyDescent="0.25">
      <c r="D1400" t="s">
        <v>81</v>
      </c>
      <c r="E1400" s="35">
        <f t="shared" si="153"/>
        <v>0</v>
      </c>
      <c r="F1400" s="35">
        <f t="shared" si="153"/>
        <v>0</v>
      </c>
      <c r="G1400" s="35">
        <f t="shared" si="152"/>
        <v>0</v>
      </c>
      <c r="H1400" s="35">
        <f t="shared" si="152"/>
        <v>0</v>
      </c>
      <c r="I1400" s="35">
        <f t="shared" si="152"/>
        <v>0</v>
      </c>
      <c r="J1400" s="35">
        <f t="shared" si="151"/>
        <v>0</v>
      </c>
      <c r="K1400" s="35">
        <f t="shared" si="151"/>
        <v>0</v>
      </c>
      <c r="L1400" s="35">
        <f t="shared" si="151"/>
        <v>0</v>
      </c>
      <c r="M1400" s="35">
        <f t="shared" si="150"/>
        <v>0</v>
      </c>
      <c r="S1400" t="s">
        <v>81</v>
      </c>
      <c r="T1400" s="5">
        <f>data_origin!T1612</f>
        <v>0</v>
      </c>
      <c r="U1400" s="5">
        <f>data_origin!U1612</f>
        <v>0</v>
      </c>
      <c r="V1400" s="5">
        <f>data_origin!V1612</f>
        <v>0</v>
      </c>
      <c r="W1400" s="5">
        <f>data_origin!W1612</f>
        <v>0</v>
      </c>
      <c r="X1400" s="5">
        <f>data_origin!X1612</f>
        <v>0</v>
      </c>
      <c r="Y1400" s="5">
        <f>data_origin!Y1612</f>
        <v>0</v>
      </c>
      <c r="Z1400" s="5">
        <f>data_origin!Z1612</f>
        <v>0</v>
      </c>
      <c r="AA1400" s="5">
        <f>data_origin!AA1612</f>
        <v>0</v>
      </c>
      <c r="AB1400" s="5">
        <f t="shared" si="154"/>
        <v>0</v>
      </c>
    </row>
    <row r="1401" spans="4:28" x14ac:dyDescent="0.25">
      <c r="D1401" t="s">
        <v>82</v>
      </c>
      <c r="E1401" s="35">
        <f t="shared" si="153"/>
        <v>0</v>
      </c>
      <c r="F1401" s="35">
        <f t="shared" si="153"/>
        <v>0</v>
      </c>
      <c r="G1401" s="35">
        <f t="shared" si="152"/>
        <v>0</v>
      </c>
      <c r="H1401" s="35">
        <f t="shared" si="152"/>
        <v>0</v>
      </c>
      <c r="I1401" s="35">
        <f t="shared" si="152"/>
        <v>0</v>
      </c>
      <c r="J1401" s="35">
        <f t="shared" si="151"/>
        <v>0</v>
      </c>
      <c r="K1401" s="35">
        <f t="shared" si="151"/>
        <v>0</v>
      </c>
      <c r="L1401" s="35">
        <f t="shared" si="151"/>
        <v>0</v>
      </c>
      <c r="M1401" s="35">
        <f t="shared" si="150"/>
        <v>0</v>
      </c>
      <c r="S1401" t="s">
        <v>82</v>
      </c>
      <c r="T1401" s="5">
        <f>data_origin!T1613</f>
        <v>0</v>
      </c>
      <c r="U1401" s="5">
        <f>data_origin!U1613</f>
        <v>0</v>
      </c>
      <c r="V1401" s="5">
        <f>data_origin!V1613</f>
        <v>0</v>
      </c>
      <c r="W1401" s="5">
        <f>data_origin!W1613</f>
        <v>0</v>
      </c>
      <c r="X1401" s="5">
        <f>data_origin!X1613</f>
        <v>0</v>
      </c>
      <c r="Y1401" s="5">
        <f>data_origin!Y1613</f>
        <v>0</v>
      </c>
      <c r="Z1401" s="5">
        <f>data_origin!Z1613</f>
        <v>0</v>
      </c>
      <c r="AA1401" s="5">
        <f>data_origin!AA1613</f>
        <v>0</v>
      </c>
      <c r="AB1401" s="5">
        <f t="shared" si="154"/>
        <v>0</v>
      </c>
    </row>
    <row r="1402" spans="4:28" x14ac:dyDescent="0.25">
      <c r="D1402" t="s">
        <v>83</v>
      </c>
      <c r="E1402" s="35">
        <f t="shared" si="153"/>
        <v>0</v>
      </c>
      <c r="F1402" s="35">
        <f t="shared" si="153"/>
        <v>0</v>
      </c>
      <c r="G1402" s="35">
        <f t="shared" si="152"/>
        <v>0</v>
      </c>
      <c r="H1402" s="35">
        <f t="shared" si="152"/>
        <v>0</v>
      </c>
      <c r="I1402" s="35">
        <f t="shared" si="152"/>
        <v>0</v>
      </c>
      <c r="J1402" s="35">
        <f t="shared" si="151"/>
        <v>0</v>
      </c>
      <c r="K1402" s="35">
        <f t="shared" si="151"/>
        <v>0</v>
      </c>
      <c r="L1402" s="35">
        <f t="shared" si="151"/>
        <v>0</v>
      </c>
      <c r="M1402" s="35">
        <f t="shared" si="150"/>
        <v>0</v>
      </c>
      <c r="S1402" t="s">
        <v>83</v>
      </c>
      <c r="T1402" s="5">
        <f>data_origin!T1614</f>
        <v>0</v>
      </c>
      <c r="U1402" s="5">
        <f>data_origin!U1614</f>
        <v>0</v>
      </c>
      <c r="V1402" s="5">
        <f>data_origin!V1614</f>
        <v>0</v>
      </c>
      <c r="W1402" s="5">
        <f>data_origin!W1614</f>
        <v>0</v>
      </c>
      <c r="X1402" s="5">
        <f>data_origin!X1614</f>
        <v>0</v>
      </c>
      <c r="Y1402" s="5">
        <f>data_origin!Y1614</f>
        <v>0</v>
      </c>
      <c r="Z1402" s="5">
        <f>data_origin!Z1614</f>
        <v>0</v>
      </c>
      <c r="AA1402" s="5">
        <f>data_origin!AA1614</f>
        <v>0</v>
      </c>
      <c r="AB1402" s="5">
        <f t="shared" si="154"/>
        <v>0</v>
      </c>
    </row>
    <row r="1403" spans="4:28" x14ac:dyDescent="0.25">
      <c r="D1403" t="s">
        <v>84</v>
      </c>
      <c r="E1403" s="35">
        <f t="shared" si="153"/>
        <v>0</v>
      </c>
      <c r="F1403" s="35">
        <f t="shared" si="153"/>
        <v>0</v>
      </c>
      <c r="G1403" s="35">
        <f t="shared" si="152"/>
        <v>0</v>
      </c>
      <c r="H1403" s="35">
        <f t="shared" si="152"/>
        <v>0</v>
      </c>
      <c r="I1403" s="35">
        <f t="shared" si="152"/>
        <v>0</v>
      </c>
      <c r="J1403" s="35">
        <f t="shared" si="151"/>
        <v>0</v>
      </c>
      <c r="K1403" s="35">
        <f t="shared" si="151"/>
        <v>0</v>
      </c>
      <c r="L1403" s="35">
        <f t="shared" si="151"/>
        <v>0</v>
      </c>
      <c r="M1403" s="35">
        <f t="shared" si="150"/>
        <v>0</v>
      </c>
      <c r="S1403" t="s">
        <v>84</v>
      </c>
      <c r="T1403" s="5">
        <f>data_origin!T1615</f>
        <v>0</v>
      </c>
      <c r="U1403" s="5">
        <f>data_origin!U1615</f>
        <v>0</v>
      </c>
      <c r="V1403" s="5">
        <f>data_origin!V1615</f>
        <v>0</v>
      </c>
      <c r="W1403" s="5">
        <f>data_origin!W1615</f>
        <v>0</v>
      </c>
      <c r="X1403" s="5">
        <f>data_origin!X1615</f>
        <v>0</v>
      </c>
      <c r="Y1403" s="5">
        <f>data_origin!Y1615</f>
        <v>0</v>
      </c>
      <c r="Z1403" s="5">
        <f>data_origin!Z1615</f>
        <v>0</v>
      </c>
      <c r="AA1403" s="5">
        <f>data_origin!AA1615</f>
        <v>0</v>
      </c>
      <c r="AB1403" s="5">
        <f t="shared" si="154"/>
        <v>0</v>
      </c>
    </row>
    <row r="1404" spans="4:28" x14ac:dyDescent="0.25">
      <c r="D1404" t="s">
        <v>85</v>
      </c>
      <c r="E1404" s="35">
        <f t="shared" si="153"/>
        <v>0</v>
      </c>
      <c r="F1404" s="35">
        <f t="shared" si="153"/>
        <v>0</v>
      </c>
      <c r="G1404" s="35">
        <f t="shared" si="152"/>
        <v>0</v>
      </c>
      <c r="H1404" s="35">
        <f t="shared" si="152"/>
        <v>0</v>
      </c>
      <c r="I1404" s="35">
        <f t="shared" si="152"/>
        <v>0</v>
      </c>
      <c r="J1404" s="35">
        <f t="shared" si="151"/>
        <v>0</v>
      </c>
      <c r="K1404" s="35">
        <f t="shared" si="151"/>
        <v>0</v>
      </c>
      <c r="L1404" s="35">
        <f t="shared" si="151"/>
        <v>0</v>
      </c>
      <c r="M1404" s="35">
        <f t="shared" si="150"/>
        <v>0</v>
      </c>
      <c r="S1404" t="s">
        <v>85</v>
      </c>
      <c r="T1404" s="5">
        <f>data_origin!T1616</f>
        <v>0</v>
      </c>
      <c r="U1404" s="5">
        <f>data_origin!U1616</f>
        <v>0</v>
      </c>
      <c r="V1404" s="5">
        <f>data_origin!V1616</f>
        <v>0</v>
      </c>
      <c r="W1404" s="5">
        <f>data_origin!W1616</f>
        <v>0</v>
      </c>
      <c r="X1404" s="5">
        <f>data_origin!X1616</f>
        <v>0</v>
      </c>
      <c r="Y1404" s="5">
        <f>data_origin!Y1616</f>
        <v>0</v>
      </c>
      <c r="Z1404" s="5">
        <f>data_origin!Z1616</f>
        <v>0</v>
      </c>
      <c r="AA1404" s="5">
        <f>data_origin!AA1616</f>
        <v>0</v>
      </c>
      <c r="AB1404" s="5">
        <f t="shared" si="154"/>
        <v>0</v>
      </c>
    </row>
    <row r="1405" spans="4:28" x14ac:dyDescent="0.25">
      <c r="D1405" t="s">
        <v>86</v>
      </c>
      <c r="E1405" s="35">
        <f t="shared" si="153"/>
        <v>0</v>
      </c>
      <c r="F1405" s="35">
        <f t="shared" si="153"/>
        <v>0</v>
      </c>
      <c r="G1405" s="35">
        <f t="shared" si="152"/>
        <v>0</v>
      </c>
      <c r="H1405" s="35">
        <f t="shared" si="152"/>
        <v>0</v>
      </c>
      <c r="I1405" s="35">
        <f t="shared" si="152"/>
        <v>0</v>
      </c>
      <c r="J1405" s="35">
        <f t="shared" si="151"/>
        <v>0</v>
      </c>
      <c r="K1405" s="35">
        <f t="shared" si="151"/>
        <v>0</v>
      </c>
      <c r="L1405" s="35">
        <f t="shared" si="151"/>
        <v>0</v>
      </c>
      <c r="M1405" s="35">
        <f t="shared" si="150"/>
        <v>0</v>
      </c>
      <c r="S1405" t="s">
        <v>86</v>
      </c>
      <c r="T1405" s="5">
        <f>data_origin!T1617</f>
        <v>0</v>
      </c>
      <c r="U1405" s="5">
        <f>data_origin!U1617</f>
        <v>0</v>
      </c>
      <c r="V1405" s="5">
        <f>data_origin!V1617</f>
        <v>0</v>
      </c>
      <c r="W1405" s="5">
        <f>data_origin!W1617</f>
        <v>0</v>
      </c>
      <c r="X1405" s="5">
        <f>data_origin!X1617</f>
        <v>0</v>
      </c>
      <c r="Y1405" s="5">
        <f>data_origin!Y1617</f>
        <v>0</v>
      </c>
      <c r="Z1405" s="5">
        <f>data_origin!Z1617</f>
        <v>0</v>
      </c>
      <c r="AA1405" s="5">
        <f>data_origin!AA1617</f>
        <v>0</v>
      </c>
      <c r="AB1405" s="5">
        <f t="shared" si="154"/>
        <v>0</v>
      </c>
    </row>
    <row r="1406" spans="4:28" x14ac:dyDescent="0.25">
      <c r="D1406" t="s">
        <v>87</v>
      </c>
      <c r="E1406" s="35">
        <f t="shared" si="153"/>
        <v>0</v>
      </c>
      <c r="F1406" s="35">
        <f t="shared" si="153"/>
        <v>0</v>
      </c>
      <c r="G1406" s="35">
        <f t="shared" si="152"/>
        <v>0</v>
      </c>
      <c r="H1406" s="35">
        <f t="shared" si="152"/>
        <v>0</v>
      </c>
      <c r="I1406" s="35">
        <f t="shared" si="152"/>
        <v>0</v>
      </c>
      <c r="J1406" s="35">
        <f t="shared" si="151"/>
        <v>0</v>
      </c>
      <c r="K1406" s="35">
        <f t="shared" si="151"/>
        <v>0</v>
      </c>
      <c r="L1406" s="35">
        <f t="shared" si="151"/>
        <v>0</v>
      </c>
      <c r="M1406" s="35">
        <f t="shared" si="150"/>
        <v>0</v>
      </c>
      <c r="S1406" t="s">
        <v>87</v>
      </c>
      <c r="T1406" s="5">
        <f>data_origin!T1618</f>
        <v>0</v>
      </c>
      <c r="U1406" s="5">
        <f>data_origin!U1618</f>
        <v>0</v>
      </c>
      <c r="V1406" s="5">
        <f>data_origin!V1618</f>
        <v>0</v>
      </c>
      <c r="W1406" s="5">
        <f>data_origin!W1618</f>
        <v>0</v>
      </c>
      <c r="X1406" s="5">
        <f>data_origin!X1618</f>
        <v>0</v>
      </c>
      <c r="Y1406" s="5">
        <f>data_origin!Y1618</f>
        <v>0</v>
      </c>
      <c r="Z1406" s="5">
        <f>data_origin!Z1618</f>
        <v>0</v>
      </c>
      <c r="AA1406" s="5">
        <f>data_origin!AA1618</f>
        <v>0</v>
      </c>
      <c r="AB1406" s="5">
        <f t="shared" si="154"/>
        <v>0</v>
      </c>
    </row>
    <row r="1407" spans="4:28" x14ac:dyDescent="0.25">
      <c r="D1407" t="s">
        <v>88</v>
      </c>
      <c r="E1407" s="35">
        <f t="shared" si="153"/>
        <v>0</v>
      </c>
      <c r="F1407" s="35">
        <f t="shared" si="153"/>
        <v>0</v>
      </c>
      <c r="G1407" s="35">
        <f t="shared" si="152"/>
        <v>0</v>
      </c>
      <c r="H1407" s="35">
        <f t="shared" si="152"/>
        <v>0</v>
      </c>
      <c r="I1407" s="35">
        <f t="shared" si="152"/>
        <v>0</v>
      </c>
      <c r="J1407" s="35">
        <f t="shared" si="151"/>
        <v>0</v>
      </c>
      <c r="K1407" s="35">
        <f t="shared" si="151"/>
        <v>0</v>
      </c>
      <c r="L1407" s="35">
        <f t="shared" si="151"/>
        <v>0</v>
      </c>
      <c r="M1407" s="35">
        <f t="shared" si="150"/>
        <v>0</v>
      </c>
      <c r="S1407" t="s">
        <v>88</v>
      </c>
      <c r="T1407" s="5">
        <f>data_origin!T1619</f>
        <v>0</v>
      </c>
      <c r="U1407" s="5">
        <f>data_origin!U1619</f>
        <v>0</v>
      </c>
      <c r="V1407" s="5">
        <f>data_origin!V1619</f>
        <v>0</v>
      </c>
      <c r="W1407" s="5">
        <f>data_origin!W1619</f>
        <v>0</v>
      </c>
      <c r="X1407" s="5">
        <f>data_origin!X1619</f>
        <v>0</v>
      </c>
      <c r="Y1407" s="5">
        <f>data_origin!Y1619</f>
        <v>0</v>
      </c>
      <c r="Z1407" s="5">
        <f>data_origin!Z1619</f>
        <v>0</v>
      </c>
      <c r="AA1407" s="5">
        <f>data_origin!AA1619</f>
        <v>0</v>
      </c>
      <c r="AB1407" s="5">
        <f t="shared" si="154"/>
        <v>0</v>
      </c>
    </row>
    <row r="1408" spans="4:28" x14ac:dyDescent="0.25">
      <c r="D1408" t="s">
        <v>89</v>
      </c>
      <c r="E1408" s="35">
        <f t="shared" si="153"/>
        <v>0</v>
      </c>
      <c r="F1408" s="35">
        <f t="shared" si="153"/>
        <v>0</v>
      </c>
      <c r="G1408" s="35">
        <f t="shared" si="152"/>
        <v>0</v>
      </c>
      <c r="H1408" s="35">
        <f t="shared" si="152"/>
        <v>0</v>
      </c>
      <c r="I1408" s="35">
        <f t="shared" si="152"/>
        <v>0</v>
      </c>
      <c r="J1408" s="35">
        <f t="shared" si="151"/>
        <v>0</v>
      </c>
      <c r="K1408" s="35">
        <f t="shared" si="151"/>
        <v>0</v>
      </c>
      <c r="L1408" s="35">
        <f t="shared" si="151"/>
        <v>0</v>
      </c>
      <c r="M1408" s="35">
        <f t="shared" si="150"/>
        <v>0</v>
      </c>
      <c r="S1408" t="s">
        <v>89</v>
      </c>
      <c r="T1408" s="5">
        <f>data_origin!T1620</f>
        <v>0</v>
      </c>
      <c r="U1408" s="5">
        <f>data_origin!U1620</f>
        <v>0</v>
      </c>
      <c r="V1408" s="5">
        <f>data_origin!V1620</f>
        <v>0</v>
      </c>
      <c r="W1408" s="5">
        <f>data_origin!W1620</f>
        <v>0</v>
      </c>
      <c r="X1408" s="5">
        <f>data_origin!X1620</f>
        <v>0</v>
      </c>
      <c r="Y1408" s="5">
        <f>data_origin!Y1620</f>
        <v>0</v>
      </c>
      <c r="Z1408" s="5">
        <f>data_origin!Z1620</f>
        <v>0</v>
      </c>
      <c r="AA1408" s="5">
        <f>data_origin!AA1620</f>
        <v>0</v>
      </c>
      <c r="AB1408" s="5">
        <f t="shared" si="154"/>
        <v>0</v>
      </c>
    </row>
    <row r="1409" spans="1:28" x14ac:dyDescent="0.25">
      <c r="D1409" t="s">
        <v>90</v>
      </c>
      <c r="E1409" s="35">
        <f t="shared" si="153"/>
        <v>0</v>
      </c>
      <c r="F1409" s="35">
        <f t="shared" si="153"/>
        <v>0</v>
      </c>
      <c r="G1409" s="35">
        <f t="shared" si="152"/>
        <v>0</v>
      </c>
      <c r="H1409" s="35">
        <f t="shared" si="152"/>
        <v>0</v>
      </c>
      <c r="I1409" s="35">
        <f t="shared" si="152"/>
        <v>0</v>
      </c>
      <c r="J1409" s="35">
        <f t="shared" si="151"/>
        <v>0</v>
      </c>
      <c r="K1409" s="35">
        <f t="shared" si="151"/>
        <v>0</v>
      </c>
      <c r="L1409" s="35">
        <f t="shared" si="151"/>
        <v>0</v>
      </c>
      <c r="M1409" s="35">
        <f t="shared" si="150"/>
        <v>0</v>
      </c>
      <c r="S1409" t="s">
        <v>90</v>
      </c>
      <c r="T1409" s="5">
        <f>data_origin!T1621</f>
        <v>0</v>
      </c>
      <c r="U1409" s="5">
        <f>data_origin!U1621</f>
        <v>0</v>
      </c>
      <c r="V1409" s="5">
        <f>data_origin!V1621</f>
        <v>0</v>
      </c>
      <c r="W1409" s="5">
        <f>data_origin!W1621</f>
        <v>0</v>
      </c>
      <c r="X1409" s="5">
        <f>data_origin!X1621</f>
        <v>0</v>
      </c>
      <c r="Y1409" s="5">
        <f>data_origin!Y1621</f>
        <v>0</v>
      </c>
      <c r="Z1409" s="5">
        <f>data_origin!Z1621</f>
        <v>0</v>
      </c>
      <c r="AA1409" s="5">
        <f>data_origin!AA1621</f>
        <v>0</v>
      </c>
      <c r="AB1409" s="5">
        <f t="shared" si="154"/>
        <v>0</v>
      </c>
    </row>
    <row r="1410" spans="1:28" x14ac:dyDescent="0.25">
      <c r="D1410" t="s">
        <v>91</v>
      </c>
      <c r="E1410" s="35">
        <f t="shared" si="153"/>
        <v>0</v>
      </c>
      <c r="F1410" s="35">
        <f t="shared" si="153"/>
        <v>0</v>
      </c>
      <c r="G1410" s="35">
        <f t="shared" si="152"/>
        <v>0</v>
      </c>
      <c r="H1410" s="35">
        <f t="shared" si="152"/>
        <v>0</v>
      </c>
      <c r="I1410" s="35">
        <f t="shared" si="152"/>
        <v>0</v>
      </c>
      <c r="J1410" s="35">
        <f t="shared" si="151"/>
        <v>0</v>
      </c>
      <c r="K1410" s="35">
        <f t="shared" si="151"/>
        <v>0</v>
      </c>
      <c r="L1410" s="35">
        <f t="shared" si="151"/>
        <v>0</v>
      </c>
      <c r="M1410" s="35">
        <f t="shared" si="150"/>
        <v>0</v>
      </c>
      <c r="S1410" t="s">
        <v>91</v>
      </c>
      <c r="T1410" s="5">
        <f>data_origin!T1622</f>
        <v>0</v>
      </c>
      <c r="U1410" s="5">
        <f>data_origin!U1622</f>
        <v>0</v>
      </c>
      <c r="V1410" s="5">
        <f>data_origin!V1622</f>
        <v>0</v>
      </c>
      <c r="W1410" s="5">
        <f>data_origin!W1622</f>
        <v>0</v>
      </c>
      <c r="X1410" s="5">
        <f>data_origin!X1622</f>
        <v>0</v>
      </c>
      <c r="Y1410" s="5">
        <f>data_origin!Y1622</f>
        <v>0</v>
      </c>
      <c r="Z1410" s="5">
        <f>data_origin!Z1622</f>
        <v>0</v>
      </c>
      <c r="AA1410" s="5">
        <f>data_origin!AA1622</f>
        <v>0</v>
      </c>
      <c r="AB1410" s="5">
        <f t="shared" si="154"/>
        <v>0</v>
      </c>
    </row>
    <row r="1411" spans="1:28" x14ac:dyDescent="0.25">
      <c r="D1411" t="s">
        <v>92</v>
      </c>
      <c r="E1411" s="35">
        <f t="shared" si="153"/>
        <v>0</v>
      </c>
      <c r="F1411" s="35">
        <f t="shared" si="153"/>
        <v>0</v>
      </c>
      <c r="G1411" s="35">
        <f t="shared" si="152"/>
        <v>0</v>
      </c>
      <c r="H1411" s="35">
        <f t="shared" si="152"/>
        <v>0</v>
      </c>
      <c r="I1411" s="35">
        <f t="shared" si="152"/>
        <v>0</v>
      </c>
      <c r="J1411" s="35">
        <f t="shared" si="151"/>
        <v>0</v>
      </c>
      <c r="K1411" s="35">
        <f t="shared" si="151"/>
        <v>0</v>
      </c>
      <c r="L1411" s="35">
        <f t="shared" si="151"/>
        <v>0</v>
      </c>
      <c r="M1411" s="35">
        <f t="shared" ref="M1411:M1474" si="155">SUM(E1411:L1411)</f>
        <v>0</v>
      </c>
      <c r="S1411" t="s">
        <v>92</v>
      </c>
      <c r="T1411" s="5">
        <f>data_origin!T1623</f>
        <v>0</v>
      </c>
      <c r="U1411" s="5">
        <f>data_origin!U1623</f>
        <v>0</v>
      </c>
      <c r="V1411" s="5">
        <f>data_origin!V1623</f>
        <v>0</v>
      </c>
      <c r="W1411" s="5">
        <f>data_origin!W1623</f>
        <v>0</v>
      </c>
      <c r="X1411" s="5">
        <f>data_origin!X1623</f>
        <v>0</v>
      </c>
      <c r="Y1411" s="5">
        <f>data_origin!Y1623</f>
        <v>0</v>
      </c>
      <c r="Z1411" s="5">
        <f>data_origin!Z1623</f>
        <v>0</v>
      </c>
      <c r="AA1411" s="5">
        <f>data_origin!AA1623</f>
        <v>0</v>
      </c>
      <c r="AB1411" s="5">
        <f t="shared" si="154"/>
        <v>0</v>
      </c>
    </row>
    <row r="1412" spans="1:28" x14ac:dyDescent="0.25">
      <c r="D1412" t="s">
        <v>93</v>
      </c>
      <c r="E1412" s="35">
        <f t="shared" si="153"/>
        <v>0</v>
      </c>
      <c r="F1412" s="35">
        <f t="shared" si="153"/>
        <v>0</v>
      </c>
      <c r="G1412" s="35">
        <f t="shared" si="152"/>
        <v>0</v>
      </c>
      <c r="H1412" s="35">
        <f t="shared" si="152"/>
        <v>0</v>
      </c>
      <c r="I1412" s="35">
        <f t="shared" si="152"/>
        <v>0</v>
      </c>
      <c r="J1412" s="35">
        <f t="shared" si="151"/>
        <v>0</v>
      </c>
      <c r="K1412" s="35">
        <f t="shared" si="151"/>
        <v>0</v>
      </c>
      <c r="L1412" s="35">
        <f t="shared" si="151"/>
        <v>0</v>
      </c>
      <c r="M1412" s="35">
        <f t="shared" si="155"/>
        <v>0</v>
      </c>
      <c r="S1412" t="s">
        <v>93</v>
      </c>
      <c r="T1412" s="5">
        <f>data_origin!T1624</f>
        <v>0</v>
      </c>
      <c r="U1412" s="5">
        <f>data_origin!U1624</f>
        <v>0</v>
      </c>
      <c r="V1412" s="5">
        <f>data_origin!V1624</f>
        <v>0</v>
      </c>
      <c r="W1412" s="5">
        <f>data_origin!W1624</f>
        <v>0</v>
      </c>
      <c r="X1412" s="5">
        <f>data_origin!X1624</f>
        <v>0</v>
      </c>
      <c r="Y1412" s="5">
        <f>data_origin!Y1624</f>
        <v>0</v>
      </c>
      <c r="Z1412" s="5">
        <f>data_origin!Z1624</f>
        <v>0</v>
      </c>
      <c r="AA1412" s="5">
        <f>data_origin!AA1624</f>
        <v>0</v>
      </c>
      <c r="AB1412" s="5">
        <f t="shared" si="154"/>
        <v>0</v>
      </c>
    </row>
    <row r="1413" spans="1:28" x14ac:dyDescent="0.25">
      <c r="D1413" t="s">
        <v>94</v>
      </c>
      <c r="E1413" s="35">
        <f t="shared" si="153"/>
        <v>0</v>
      </c>
      <c r="F1413" s="35">
        <f t="shared" si="153"/>
        <v>0</v>
      </c>
      <c r="G1413" s="35">
        <f t="shared" si="152"/>
        <v>0</v>
      </c>
      <c r="H1413" s="35">
        <f t="shared" si="152"/>
        <v>0</v>
      </c>
      <c r="I1413" s="35">
        <f t="shared" si="152"/>
        <v>0</v>
      </c>
      <c r="J1413" s="35">
        <f t="shared" si="151"/>
        <v>0</v>
      </c>
      <c r="K1413" s="35">
        <f t="shared" si="151"/>
        <v>0</v>
      </c>
      <c r="L1413" s="35">
        <f t="shared" si="151"/>
        <v>0</v>
      </c>
      <c r="M1413" s="35">
        <f t="shared" si="155"/>
        <v>0</v>
      </c>
      <c r="S1413" t="s">
        <v>94</v>
      </c>
      <c r="T1413" s="5">
        <f>data_origin!T1625</f>
        <v>0</v>
      </c>
      <c r="U1413" s="5">
        <f>data_origin!U1625</f>
        <v>0</v>
      </c>
      <c r="V1413" s="5">
        <f>data_origin!V1625</f>
        <v>0</v>
      </c>
      <c r="W1413" s="5">
        <f>data_origin!W1625</f>
        <v>0</v>
      </c>
      <c r="X1413" s="5">
        <f>data_origin!X1625</f>
        <v>0</v>
      </c>
      <c r="Y1413" s="5">
        <f>data_origin!Y1625</f>
        <v>0</v>
      </c>
      <c r="Z1413" s="5">
        <f>data_origin!Z1625</f>
        <v>0</v>
      </c>
      <c r="AA1413" s="5">
        <f>data_origin!AA1625</f>
        <v>0</v>
      </c>
      <c r="AB1413" s="5">
        <f t="shared" si="154"/>
        <v>0</v>
      </c>
    </row>
    <row r="1414" spans="1:28" x14ac:dyDescent="0.25">
      <c r="D1414" t="s">
        <v>95</v>
      </c>
      <c r="E1414" s="35">
        <f t="shared" si="153"/>
        <v>0</v>
      </c>
      <c r="F1414" s="35">
        <f t="shared" si="153"/>
        <v>0</v>
      </c>
      <c r="G1414" s="35">
        <f t="shared" si="152"/>
        <v>0</v>
      </c>
      <c r="H1414" s="35">
        <f t="shared" si="152"/>
        <v>0</v>
      </c>
      <c r="I1414" s="35">
        <f t="shared" si="152"/>
        <v>0</v>
      </c>
      <c r="J1414" s="35">
        <f t="shared" si="151"/>
        <v>0</v>
      </c>
      <c r="K1414" s="35">
        <f t="shared" si="151"/>
        <v>0</v>
      </c>
      <c r="L1414" s="35">
        <f t="shared" si="151"/>
        <v>0</v>
      </c>
      <c r="M1414" s="35">
        <f t="shared" si="155"/>
        <v>0</v>
      </c>
      <c r="S1414" t="s">
        <v>95</v>
      </c>
      <c r="T1414" s="5">
        <f>data_origin!T1626</f>
        <v>0</v>
      </c>
      <c r="U1414" s="5">
        <f>data_origin!U1626</f>
        <v>0</v>
      </c>
      <c r="V1414" s="5">
        <f>data_origin!V1626</f>
        <v>0</v>
      </c>
      <c r="W1414" s="5">
        <f>data_origin!W1626</f>
        <v>0</v>
      </c>
      <c r="X1414" s="5">
        <f>data_origin!X1626</f>
        <v>0</v>
      </c>
      <c r="Y1414" s="5">
        <f>data_origin!Y1626</f>
        <v>0</v>
      </c>
      <c r="Z1414" s="5">
        <f>data_origin!Z1626</f>
        <v>0</v>
      </c>
      <c r="AA1414" s="5">
        <f>data_origin!AA1626</f>
        <v>0</v>
      </c>
      <c r="AB1414" s="5">
        <f t="shared" si="154"/>
        <v>0</v>
      </c>
    </row>
    <row r="1415" spans="1:28" x14ac:dyDescent="0.25">
      <c r="D1415" t="s">
        <v>96</v>
      </c>
      <c r="E1415" s="35">
        <f t="shared" si="153"/>
        <v>0</v>
      </c>
      <c r="F1415" s="35">
        <f t="shared" si="153"/>
        <v>0</v>
      </c>
      <c r="G1415" s="35">
        <f t="shared" si="152"/>
        <v>0</v>
      </c>
      <c r="H1415" s="35">
        <f t="shared" si="152"/>
        <v>0</v>
      </c>
      <c r="I1415" s="35">
        <f t="shared" si="152"/>
        <v>0</v>
      </c>
      <c r="J1415" s="35">
        <f t="shared" si="151"/>
        <v>0</v>
      </c>
      <c r="K1415" s="35">
        <f t="shared" si="151"/>
        <v>0</v>
      </c>
      <c r="L1415" s="35">
        <f t="shared" si="151"/>
        <v>0</v>
      </c>
      <c r="M1415" s="35">
        <f t="shared" si="155"/>
        <v>0</v>
      </c>
      <c r="S1415" t="s">
        <v>96</v>
      </c>
      <c r="T1415" s="5">
        <f>data_origin!T1627</f>
        <v>0</v>
      </c>
      <c r="U1415" s="5">
        <f>data_origin!U1627</f>
        <v>0</v>
      </c>
      <c r="V1415" s="5">
        <f>data_origin!V1627</f>
        <v>0</v>
      </c>
      <c r="W1415" s="5">
        <f>data_origin!W1627</f>
        <v>0</v>
      </c>
      <c r="X1415" s="5">
        <f>data_origin!X1627</f>
        <v>0</v>
      </c>
      <c r="Y1415" s="5">
        <f>data_origin!Y1627</f>
        <v>0</v>
      </c>
      <c r="Z1415" s="5">
        <f>data_origin!Z1627</f>
        <v>0</v>
      </c>
      <c r="AA1415" s="5">
        <f>data_origin!AA1627</f>
        <v>0</v>
      </c>
      <c r="AB1415" s="5">
        <f t="shared" si="154"/>
        <v>0</v>
      </c>
    </row>
    <row r="1416" spans="1:28" x14ac:dyDescent="0.25">
      <c r="D1416" t="s">
        <v>97</v>
      </c>
      <c r="E1416" s="35">
        <f t="shared" si="153"/>
        <v>0</v>
      </c>
      <c r="F1416" s="35">
        <f t="shared" si="153"/>
        <v>0</v>
      </c>
      <c r="G1416" s="35">
        <f t="shared" si="152"/>
        <v>0</v>
      </c>
      <c r="H1416" s="35">
        <f t="shared" si="152"/>
        <v>0</v>
      </c>
      <c r="I1416" s="35">
        <f t="shared" si="152"/>
        <v>0</v>
      </c>
      <c r="J1416" s="35">
        <f t="shared" si="151"/>
        <v>0</v>
      </c>
      <c r="K1416" s="35">
        <f t="shared" si="151"/>
        <v>0</v>
      </c>
      <c r="L1416" s="35">
        <f t="shared" si="151"/>
        <v>0</v>
      </c>
      <c r="M1416" s="35">
        <f t="shared" si="155"/>
        <v>0</v>
      </c>
      <c r="S1416" t="s">
        <v>97</v>
      </c>
      <c r="T1416" s="5">
        <f>data_origin!T1628</f>
        <v>0</v>
      </c>
      <c r="U1416" s="5">
        <f>data_origin!U1628</f>
        <v>0</v>
      </c>
      <c r="V1416" s="5">
        <f>data_origin!V1628</f>
        <v>0</v>
      </c>
      <c r="W1416" s="5">
        <f>data_origin!W1628</f>
        <v>0</v>
      </c>
      <c r="X1416" s="5">
        <f>data_origin!X1628</f>
        <v>0</v>
      </c>
      <c r="Y1416" s="5">
        <f>data_origin!Y1628</f>
        <v>0</v>
      </c>
      <c r="Z1416" s="5">
        <f>data_origin!Z1628</f>
        <v>0</v>
      </c>
      <c r="AA1416" s="5">
        <f>data_origin!AA1628</f>
        <v>0</v>
      </c>
      <c r="AB1416" s="5">
        <f t="shared" si="154"/>
        <v>0</v>
      </c>
    </row>
    <row r="1417" spans="1:28" x14ac:dyDescent="0.25">
      <c r="D1417" t="s">
        <v>98</v>
      </c>
      <c r="E1417" s="35">
        <f t="shared" si="153"/>
        <v>0</v>
      </c>
      <c r="F1417" s="35">
        <f t="shared" si="153"/>
        <v>0</v>
      </c>
      <c r="G1417" s="35">
        <f t="shared" si="152"/>
        <v>0</v>
      </c>
      <c r="H1417" s="35">
        <f t="shared" si="152"/>
        <v>0</v>
      </c>
      <c r="I1417" s="35">
        <f t="shared" si="152"/>
        <v>0</v>
      </c>
      <c r="J1417" s="35">
        <f t="shared" si="151"/>
        <v>0</v>
      </c>
      <c r="K1417" s="35">
        <f t="shared" si="151"/>
        <v>0</v>
      </c>
      <c r="L1417" s="35">
        <f t="shared" si="151"/>
        <v>0</v>
      </c>
      <c r="M1417" s="35">
        <f t="shared" si="155"/>
        <v>0</v>
      </c>
      <c r="S1417" t="s">
        <v>98</v>
      </c>
      <c r="T1417" s="5">
        <f>data_origin!T1629</f>
        <v>0</v>
      </c>
      <c r="U1417" s="5">
        <f>data_origin!U1629</f>
        <v>0</v>
      </c>
      <c r="V1417" s="5">
        <f>data_origin!V1629</f>
        <v>0</v>
      </c>
      <c r="W1417" s="5">
        <f>data_origin!W1629</f>
        <v>0</v>
      </c>
      <c r="X1417" s="5">
        <f>data_origin!X1629</f>
        <v>0</v>
      </c>
      <c r="Y1417" s="5">
        <f>data_origin!Y1629</f>
        <v>0</v>
      </c>
      <c r="Z1417" s="5">
        <f>data_origin!Z1629</f>
        <v>0</v>
      </c>
      <c r="AA1417" s="5">
        <f>data_origin!AA1629</f>
        <v>0</v>
      </c>
      <c r="AB1417" s="5">
        <f t="shared" si="154"/>
        <v>0</v>
      </c>
    </row>
    <row r="1418" spans="1:28" x14ac:dyDescent="0.25">
      <c r="D1418" t="s">
        <v>119</v>
      </c>
      <c r="E1418" s="35">
        <f t="shared" si="153"/>
        <v>0</v>
      </c>
      <c r="F1418" s="35">
        <f t="shared" si="153"/>
        <v>0</v>
      </c>
      <c r="G1418" s="35">
        <f t="shared" si="152"/>
        <v>0</v>
      </c>
      <c r="H1418" s="35">
        <f t="shared" si="152"/>
        <v>0</v>
      </c>
      <c r="I1418" s="35">
        <f t="shared" si="152"/>
        <v>0</v>
      </c>
      <c r="J1418" s="35">
        <f t="shared" si="151"/>
        <v>0</v>
      </c>
      <c r="K1418" s="35">
        <f t="shared" si="151"/>
        <v>0</v>
      </c>
      <c r="L1418" s="35">
        <f t="shared" si="151"/>
        <v>0</v>
      </c>
      <c r="M1418" s="35">
        <f t="shared" si="155"/>
        <v>0</v>
      </c>
      <c r="S1418" t="s">
        <v>119</v>
      </c>
      <c r="T1418" s="5">
        <f>data_origin!T1630</f>
        <v>0</v>
      </c>
      <c r="U1418" s="5">
        <f>data_origin!U1630</f>
        <v>0</v>
      </c>
      <c r="V1418" s="5">
        <f>data_origin!V1630</f>
        <v>0</v>
      </c>
      <c r="W1418" s="5">
        <f>data_origin!W1630</f>
        <v>0</v>
      </c>
      <c r="X1418" s="5">
        <f>data_origin!X1630</f>
        <v>0</v>
      </c>
      <c r="Y1418" s="5">
        <f>data_origin!Y1630</f>
        <v>0</v>
      </c>
      <c r="Z1418" s="5">
        <f>data_origin!Z1630</f>
        <v>0</v>
      </c>
      <c r="AA1418" s="5">
        <f>data_origin!AA1630</f>
        <v>0</v>
      </c>
      <c r="AB1418" s="5">
        <f t="shared" si="154"/>
        <v>0</v>
      </c>
    </row>
    <row r="1419" spans="1:28" x14ac:dyDescent="0.25">
      <c r="D1419" t="s">
        <v>99</v>
      </c>
      <c r="E1419" s="35">
        <f t="shared" si="153"/>
        <v>0</v>
      </c>
      <c r="F1419" s="35">
        <f t="shared" si="153"/>
        <v>0</v>
      </c>
      <c r="G1419" s="35">
        <f t="shared" si="152"/>
        <v>0</v>
      </c>
      <c r="H1419" s="35">
        <f t="shared" si="152"/>
        <v>0</v>
      </c>
      <c r="I1419" s="35">
        <f t="shared" si="152"/>
        <v>0</v>
      </c>
      <c r="J1419" s="35">
        <f t="shared" si="151"/>
        <v>0</v>
      </c>
      <c r="K1419" s="35">
        <f t="shared" si="151"/>
        <v>0</v>
      </c>
      <c r="L1419" s="35">
        <f t="shared" si="151"/>
        <v>0</v>
      </c>
      <c r="M1419" s="35">
        <f t="shared" si="155"/>
        <v>0</v>
      </c>
      <c r="S1419" t="s">
        <v>99</v>
      </c>
      <c r="T1419" s="5">
        <f>data_origin!T1631</f>
        <v>0</v>
      </c>
      <c r="U1419" s="5">
        <f>data_origin!U1631</f>
        <v>0</v>
      </c>
      <c r="V1419" s="5">
        <f>data_origin!V1631</f>
        <v>0</v>
      </c>
      <c r="W1419" s="5">
        <f>data_origin!W1631</f>
        <v>0</v>
      </c>
      <c r="X1419" s="5">
        <f>data_origin!X1631</f>
        <v>0</v>
      </c>
      <c r="Y1419" s="5">
        <f>data_origin!Y1631</f>
        <v>0</v>
      </c>
      <c r="Z1419" s="5">
        <f>data_origin!Z1631</f>
        <v>0</v>
      </c>
      <c r="AA1419" s="5">
        <f>data_origin!AA1631</f>
        <v>0</v>
      </c>
      <c r="AB1419" s="5">
        <f t="shared" si="154"/>
        <v>0</v>
      </c>
    </row>
    <row r="1420" spans="1:28" x14ac:dyDescent="0.25">
      <c r="D1420" t="s">
        <v>100</v>
      </c>
      <c r="E1420" s="35">
        <f t="shared" si="153"/>
        <v>0</v>
      </c>
      <c r="F1420" s="35">
        <f t="shared" si="153"/>
        <v>0</v>
      </c>
      <c r="G1420" s="35">
        <f t="shared" si="152"/>
        <v>0</v>
      </c>
      <c r="H1420" s="35">
        <f t="shared" si="152"/>
        <v>0</v>
      </c>
      <c r="I1420" s="35">
        <f t="shared" si="152"/>
        <v>0</v>
      </c>
      <c r="J1420" s="35">
        <f t="shared" si="151"/>
        <v>0</v>
      </c>
      <c r="K1420" s="35">
        <f t="shared" si="151"/>
        <v>0</v>
      </c>
      <c r="L1420" s="35">
        <f t="shared" si="151"/>
        <v>0</v>
      </c>
      <c r="M1420" s="35">
        <f t="shared" si="155"/>
        <v>0</v>
      </c>
      <c r="S1420" t="s">
        <v>100</v>
      </c>
      <c r="T1420" s="5">
        <f>data_origin!T1632</f>
        <v>0</v>
      </c>
      <c r="U1420" s="5">
        <f>data_origin!U1632</f>
        <v>0</v>
      </c>
      <c r="V1420" s="5">
        <f>data_origin!V1632</f>
        <v>0</v>
      </c>
      <c r="W1420" s="5">
        <f>data_origin!W1632</f>
        <v>0</v>
      </c>
      <c r="X1420" s="5">
        <f>data_origin!X1632</f>
        <v>0</v>
      </c>
      <c r="Y1420" s="5">
        <f>data_origin!Y1632</f>
        <v>0</v>
      </c>
      <c r="Z1420" s="5">
        <f>data_origin!Z1632</f>
        <v>0</v>
      </c>
      <c r="AA1420" s="5">
        <f>data_origin!AA1632</f>
        <v>0</v>
      </c>
      <c r="AB1420" s="5">
        <f t="shared" si="154"/>
        <v>0</v>
      </c>
    </row>
    <row r="1421" spans="1:28" x14ac:dyDescent="0.25">
      <c r="D1421" t="s">
        <v>101</v>
      </c>
      <c r="E1421" s="35">
        <f t="shared" si="153"/>
        <v>0</v>
      </c>
      <c r="F1421" s="35">
        <f t="shared" si="153"/>
        <v>0</v>
      </c>
      <c r="G1421" s="35">
        <f t="shared" si="152"/>
        <v>0</v>
      </c>
      <c r="H1421" s="35">
        <f t="shared" si="152"/>
        <v>0</v>
      </c>
      <c r="I1421" s="35">
        <f t="shared" si="152"/>
        <v>0</v>
      </c>
      <c r="J1421" s="35">
        <f t="shared" si="151"/>
        <v>0</v>
      </c>
      <c r="K1421" s="35">
        <f t="shared" si="151"/>
        <v>0</v>
      </c>
      <c r="L1421" s="35">
        <f t="shared" si="151"/>
        <v>0</v>
      </c>
      <c r="M1421" s="35">
        <f t="shared" si="155"/>
        <v>0</v>
      </c>
      <c r="S1421" t="s">
        <v>101</v>
      </c>
      <c r="T1421" s="5">
        <f>data_origin!T1633</f>
        <v>0</v>
      </c>
      <c r="U1421" s="5">
        <f>data_origin!U1633</f>
        <v>0</v>
      </c>
      <c r="V1421" s="5">
        <f>data_origin!V1633</f>
        <v>0</v>
      </c>
      <c r="W1421" s="5">
        <f>data_origin!W1633</f>
        <v>0</v>
      </c>
      <c r="X1421" s="5">
        <f>data_origin!X1633</f>
        <v>0</v>
      </c>
      <c r="Y1421" s="5">
        <f>data_origin!Y1633</f>
        <v>0</v>
      </c>
      <c r="Z1421" s="5">
        <f>data_origin!Z1633</f>
        <v>0</v>
      </c>
      <c r="AA1421" s="5">
        <f>data_origin!AA1633</f>
        <v>0</v>
      </c>
      <c r="AB1421" s="5">
        <f t="shared" si="154"/>
        <v>0</v>
      </c>
    </row>
    <row r="1422" spans="1:28" x14ac:dyDescent="0.25">
      <c r="A1422" s="24" t="s">
        <v>115</v>
      </c>
      <c r="B1422" s="24" t="s">
        <v>116</v>
      </c>
      <c r="C1422" s="24" t="s">
        <v>108</v>
      </c>
      <c r="D1422" t="s">
        <v>70</v>
      </c>
      <c r="E1422" s="35">
        <f t="shared" si="153"/>
        <v>0</v>
      </c>
      <c r="F1422" s="35">
        <f t="shared" si="153"/>
        <v>0</v>
      </c>
      <c r="G1422" s="35">
        <f t="shared" si="152"/>
        <v>0</v>
      </c>
      <c r="H1422" s="35">
        <f t="shared" si="152"/>
        <v>0</v>
      </c>
      <c r="I1422" s="35">
        <f t="shared" si="152"/>
        <v>0</v>
      </c>
      <c r="J1422" s="35">
        <f t="shared" si="151"/>
        <v>0</v>
      </c>
      <c r="K1422" s="35">
        <f t="shared" si="151"/>
        <v>0</v>
      </c>
      <c r="L1422" s="35">
        <f t="shared" si="151"/>
        <v>0</v>
      </c>
      <c r="M1422" s="35">
        <f t="shared" si="155"/>
        <v>0</v>
      </c>
      <c r="P1422" t="s">
        <v>115</v>
      </c>
      <c r="Q1422" t="s">
        <v>116</v>
      </c>
      <c r="R1422" t="s">
        <v>108</v>
      </c>
      <c r="S1422" t="s">
        <v>70</v>
      </c>
      <c r="T1422" s="5">
        <f>data_origin!T1635</f>
        <v>0</v>
      </c>
      <c r="U1422" s="5">
        <f>data_origin!U1635</f>
        <v>0</v>
      </c>
      <c r="V1422" s="5">
        <f>data_origin!V1635</f>
        <v>0</v>
      </c>
      <c r="W1422" s="5">
        <f>data_origin!W1635</f>
        <v>0</v>
      </c>
      <c r="X1422" s="5">
        <f>data_origin!X1635</f>
        <v>0</v>
      </c>
      <c r="Y1422" s="5">
        <f>data_origin!Y1635</f>
        <v>0</v>
      </c>
      <c r="Z1422" s="5">
        <f>data_origin!Z1635</f>
        <v>0</v>
      </c>
      <c r="AA1422" s="5">
        <f>data_origin!AA1635</f>
        <v>0</v>
      </c>
      <c r="AB1422" s="5">
        <f t="shared" si="154"/>
        <v>0</v>
      </c>
    </row>
    <row r="1423" spans="1:28" x14ac:dyDescent="0.25">
      <c r="D1423" t="s">
        <v>71</v>
      </c>
      <c r="E1423" s="35">
        <f t="shared" si="153"/>
        <v>0</v>
      </c>
      <c r="F1423" s="35">
        <f t="shared" si="153"/>
        <v>0</v>
      </c>
      <c r="G1423" s="35">
        <f t="shared" si="152"/>
        <v>0</v>
      </c>
      <c r="H1423" s="35">
        <f t="shared" si="152"/>
        <v>0</v>
      </c>
      <c r="I1423" s="35">
        <f t="shared" si="152"/>
        <v>0</v>
      </c>
      <c r="J1423" s="35">
        <f t="shared" si="151"/>
        <v>0</v>
      </c>
      <c r="K1423" s="35">
        <f t="shared" si="151"/>
        <v>0</v>
      </c>
      <c r="L1423" s="35">
        <f t="shared" si="151"/>
        <v>0</v>
      </c>
      <c r="M1423" s="35">
        <f t="shared" si="155"/>
        <v>0</v>
      </c>
      <c r="S1423" t="s">
        <v>71</v>
      </c>
      <c r="T1423" s="5">
        <f>data_origin!T1636</f>
        <v>0</v>
      </c>
      <c r="U1423" s="5">
        <f>data_origin!U1636</f>
        <v>0</v>
      </c>
      <c r="V1423" s="5">
        <f>data_origin!V1636</f>
        <v>0</v>
      </c>
      <c r="W1423" s="5">
        <f>data_origin!W1636</f>
        <v>0</v>
      </c>
      <c r="X1423" s="5">
        <f>data_origin!X1636</f>
        <v>0</v>
      </c>
      <c r="Y1423" s="5">
        <f>data_origin!Y1636</f>
        <v>0</v>
      </c>
      <c r="Z1423" s="5">
        <f>data_origin!Z1636</f>
        <v>0</v>
      </c>
      <c r="AA1423" s="5">
        <f>data_origin!AA1636</f>
        <v>0</v>
      </c>
      <c r="AB1423" s="5">
        <f t="shared" si="154"/>
        <v>0</v>
      </c>
    </row>
    <row r="1424" spans="1:28" x14ac:dyDescent="0.25">
      <c r="D1424" t="s">
        <v>72</v>
      </c>
      <c r="E1424" s="35">
        <f t="shared" si="153"/>
        <v>0</v>
      </c>
      <c r="F1424" s="35">
        <f t="shared" si="153"/>
        <v>0</v>
      </c>
      <c r="G1424" s="35">
        <f t="shared" si="152"/>
        <v>0</v>
      </c>
      <c r="H1424" s="35">
        <f t="shared" si="152"/>
        <v>0</v>
      </c>
      <c r="I1424" s="35">
        <f t="shared" si="152"/>
        <v>0</v>
      </c>
      <c r="J1424" s="35">
        <f t="shared" si="151"/>
        <v>0</v>
      </c>
      <c r="K1424" s="35">
        <f t="shared" si="151"/>
        <v>0</v>
      </c>
      <c r="L1424" s="35">
        <f t="shared" si="151"/>
        <v>0</v>
      </c>
      <c r="M1424" s="35">
        <f t="shared" si="155"/>
        <v>0</v>
      </c>
      <c r="S1424" t="s">
        <v>72</v>
      </c>
      <c r="T1424" s="5">
        <f>data_origin!T1637</f>
        <v>0</v>
      </c>
      <c r="U1424" s="5">
        <f>data_origin!U1637</f>
        <v>0</v>
      </c>
      <c r="V1424" s="5">
        <f>data_origin!V1637</f>
        <v>0</v>
      </c>
      <c r="W1424" s="5">
        <f>data_origin!W1637</f>
        <v>0</v>
      </c>
      <c r="X1424" s="5">
        <f>data_origin!X1637</f>
        <v>0</v>
      </c>
      <c r="Y1424" s="5">
        <f>data_origin!Y1637</f>
        <v>0</v>
      </c>
      <c r="Z1424" s="5">
        <f>data_origin!Z1637</f>
        <v>0</v>
      </c>
      <c r="AA1424" s="5">
        <f>data_origin!AA1637</f>
        <v>0</v>
      </c>
      <c r="AB1424" s="5">
        <f t="shared" si="154"/>
        <v>0</v>
      </c>
    </row>
    <row r="1425" spans="4:28" x14ac:dyDescent="0.25">
      <c r="D1425" t="s">
        <v>73</v>
      </c>
      <c r="E1425" s="35">
        <f t="shared" si="153"/>
        <v>0</v>
      </c>
      <c r="F1425" s="35">
        <f t="shared" si="153"/>
        <v>0</v>
      </c>
      <c r="G1425" s="35">
        <f t="shared" si="152"/>
        <v>0</v>
      </c>
      <c r="H1425" s="35">
        <f t="shared" si="152"/>
        <v>0</v>
      </c>
      <c r="I1425" s="35">
        <f t="shared" si="152"/>
        <v>0</v>
      </c>
      <c r="J1425" s="35">
        <f t="shared" si="151"/>
        <v>0</v>
      </c>
      <c r="K1425" s="35">
        <f t="shared" si="151"/>
        <v>0</v>
      </c>
      <c r="L1425" s="35">
        <f t="shared" si="151"/>
        <v>0</v>
      </c>
      <c r="M1425" s="35">
        <f t="shared" si="155"/>
        <v>0</v>
      </c>
      <c r="S1425" t="s">
        <v>73</v>
      </c>
      <c r="T1425" s="5">
        <f>data_origin!T1638</f>
        <v>0</v>
      </c>
      <c r="U1425" s="5">
        <f>data_origin!U1638</f>
        <v>0</v>
      </c>
      <c r="V1425" s="5">
        <f>data_origin!V1638</f>
        <v>0</v>
      </c>
      <c r="W1425" s="5">
        <f>data_origin!W1638</f>
        <v>0</v>
      </c>
      <c r="X1425" s="5">
        <f>data_origin!X1638</f>
        <v>0</v>
      </c>
      <c r="Y1425" s="5">
        <f>data_origin!Y1638</f>
        <v>0</v>
      </c>
      <c r="Z1425" s="5">
        <f>data_origin!Z1638</f>
        <v>0</v>
      </c>
      <c r="AA1425" s="5">
        <f>data_origin!AA1638</f>
        <v>0</v>
      </c>
      <c r="AB1425" s="5">
        <f t="shared" si="154"/>
        <v>0</v>
      </c>
    </row>
    <row r="1426" spans="4:28" x14ac:dyDescent="0.25">
      <c r="D1426" t="s">
        <v>74</v>
      </c>
      <c r="E1426" s="35">
        <f t="shared" si="153"/>
        <v>0</v>
      </c>
      <c r="F1426" s="35">
        <f t="shared" si="153"/>
        <v>0</v>
      </c>
      <c r="G1426" s="35">
        <f t="shared" si="152"/>
        <v>0</v>
      </c>
      <c r="H1426" s="35">
        <f t="shared" si="152"/>
        <v>0</v>
      </c>
      <c r="I1426" s="35">
        <f t="shared" si="152"/>
        <v>0</v>
      </c>
      <c r="J1426" s="35">
        <f t="shared" si="151"/>
        <v>0</v>
      </c>
      <c r="K1426" s="35">
        <f t="shared" si="151"/>
        <v>0</v>
      </c>
      <c r="L1426" s="35">
        <f t="shared" si="151"/>
        <v>0</v>
      </c>
      <c r="M1426" s="35">
        <f t="shared" si="155"/>
        <v>0</v>
      </c>
      <c r="S1426" t="s">
        <v>74</v>
      </c>
      <c r="T1426" s="5">
        <f>data_origin!T1639</f>
        <v>0</v>
      </c>
      <c r="U1426" s="5">
        <f>data_origin!U1639</f>
        <v>0</v>
      </c>
      <c r="V1426" s="5">
        <f>data_origin!V1639</f>
        <v>0</v>
      </c>
      <c r="W1426" s="5">
        <f>data_origin!W1639</f>
        <v>0</v>
      </c>
      <c r="X1426" s="5">
        <f>data_origin!X1639</f>
        <v>0</v>
      </c>
      <c r="Y1426" s="5">
        <f>data_origin!Y1639</f>
        <v>0</v>
      </c>
      <c r="Z1426" s="5">
        <f>data_origin!Z1639</f>
        <v>0</v>
      </c>
      <c r="AA1426" s="5">
        <f>data_origin!AA1639</f>
        <v>0</v>
      </c>
      <c r="AB1426" s="5">
        <f t="shared" si="154"/>
        <v>0</v>
      </c>
    </row>
    <row r="1427" spans="4:28" x14ac:dyDescent="0.25">
      <c r="D1427" t="s">
        <v>75</v>
      </c>
      <c r="E1427" s="35">
        <f t="shared" si="153"/>
        <v>0</v>
      </c>
      <c r="F1427" s="35">
        <f t="shared" si="153"/>
        <v>0</v>
      </c>
      <c r="G1427" s="35">
        <f t="shared" si="152"/>
        <v>0</v>
      </c>
      <c r="H1427" s="35">
        <f t="shared" si="152"/>
        <v>0</v>
      </c>
      <c r="I1427" s="35">
        <f t="shared" si="152"/>
        <v>0</v>
      </c>
      <c r="J1427" s="35">
        <f t="shared" si="151"/>
        <v>0</v>
      </c>
      <c r="K1427" s="35">
        <f t="shared" si="151"/>
        <v>0</v>
      </c>
      <c r="L1427" s="35">
        <f t="shared" si="151"/>
        <v>0</v>
      </c>
      <c r="M1427" s="35">
        <f t="shared" si="155"/>
        <v>0</v>
      </c>
      <c r="S1427" t="s">
        <v>75</v>
      </c>
      <c r="T1427" s="5">
        <f>data_origin!T1640</f>
        <v>0</v>
      </c>
      <c r="U1427" s="5">
        <f>data_origin!U1640</f>
        <v>0</v>
      </c>
      <c r="V1427" s="5">
        <f>data_origin!V1640</f>
        <v>0</v>
      </c>
      <c r="W1427" s="5">
        <f>data_origin!W1640</f>
        <v>0</v>
      </c>
      <c r="X1427" s="5">
        <f>data_origin!X1640</f>
        <v>0</v>
      </c>
      <c r="Y1427" s="5">
        <f>data_origin!Y1640</f>
        <v>0</v>
      </c>
      <c r="Z1427" s="5">
        <f>data_origin!Z1640</f>
        <v>0</v>
      </c>
      <c r="AA1427" s="5">
        <f>data_origin!AA1640</f>
        <v>0</v>
      </c>
      <c r="AB1427" s="5">
        <f t="shared" si="154"/>
        <v>0</v>
      </c>
    </row>
    <row r="1428" spans="4:28" x14ac:dyDescent="0.25">
      <c r="D1428" t="s">
        <v>76</v>
      </c>
      <c r="E1428" s="35">
        <f t="shared" si="153"/>
        <v>0</v>
      </c>
      <c r="F1428" s="35">
        <f t="shared" si="153"/>
        <v>0</v>
      </c>
      <c r="G1428" s="35">
        <f t="shared" si="152"/>
        <v>0</v>
      </c>
      <c r="H1428" s="35">
        <f t="shared" si="152"/>
        <v>0</v>
      </c>
      <c r="I1428" s="35">
        <f t="shared" si="152"/>
        <v>0</v>
      </c>
      <c r="J1428" s="35">
        <f t="shared" si="151"/>
        <v>0</v>
      </c>
      <c r="K1428" s="35">
        <f t="shared" si="151"/>
        <v>0</v>
      </c>
      <c r="L1428" s="35">
        <f t="shared" si="151"/>
        <v>0</v>
      </c>
      <c r="M1428" s="35">
        <f t="shared" si="155"/>
        <v>0</v>
      </c>
      <c r="S1428" t="s">
        <v>76</v>
      </c>
      <c r="T1428" s="5">
        <f>data_origin!T1641</f>
        <v>0</v>
      </c>
      <c r="U1428" s="5">
        <f>data_origin!U1641</f>
        <v>0</v>
      </c>
      <c r="V1428" s="5">
        <f>data_origin!V1641</f>
        <v>0</v>
      </c>
      <c r="W1428" s="5">
        <f>data_origin!W1641</f>
        <v>0</v>
      </c>
      <c r="X1428" s="5">
        <f>data_origin!X1641</f>
        <v>0</v>
      </c>
      <c r="Y1428" s="5">
        <f>data_origin!Y1641</f>
        <v>0</v>
      </c>
      <c r="Z1428" s="5">
        <f>data_origin!Z1641</f>
        <v>0</v>
      </c>
      <c r="AA1428" s="5">
        <f>data_origin!AA1641</f>
        <v>0</v>
      </c>
      <c r="AB1428" s="5">
        <f t="shared" si="154"/>
        <v>0</v>
      </c>
    </row>
    <row r="1429" spans="4:28" x14ac:dyDescent="0.25">
      <c r="D1429" t="s">
        <v>77</v>
      </c>
      <c r="E1429" s="35">
        <f t="shared" si="153"/>
        <v>0</v>
      </c>
      <c r="F1429" s="35">
        <f t="shared" si="153"/>
        <v>0</v>
      </c>
      <c r="G1429" s="35">
        <f t="shared" si="152"/>
        <v>0</v>
      </c>
      <c r="H1429" s="35">
        <f t="shared" si="152"/>
        <v>0</v>
      </c>
      <c r="I1429" s="35">
        <f t="shared" si="152"/>
        <v>0</v>
      </c>
      <c r="J1429" s="35">
        <f t="shared" si="152"/>
        <v>0</v>
      </c>
      <c r="K1429" s="35">
        <f t="shared" si="152"/>
        <v>0</v>
      </c>
      <c r="L1429" s="35">
        <f t="shared" si="152"/>
        <v>0</v>
      </c>
      <c r="M1429" s="35">
        <f t="shared" si="155"/>
        <v>0</v>
      </c>
      <c r="S1429" t="s">
        <v>77</v>
      </c>
      <c r="T1429" s="5">
        <f>data_origin!T1642</f>
        <v>0</v>
      </c>
      <c r="U1429" s="5">
        <f>data_origin!U1642</f>
        <v>0</v>
      </c>
      <c r="V1429" s="5">
        <f>data_origin!V1642</f>
        <v>0</v>
      </c>
      <c r="W1429" s="5">
        <f>data_origin!W1642</f>
        <v>0</v>
      </c>
      <c r="X1429" s="5">
        <f>data_origin!X1642</f>
        <v>0</v>
      </c>
      <c r="Y1429" s="5">
        <f>data_origin!Y1642</f>
        <v>0</v>
      </c>
      <c r="Z1429" s="5">
        <f>data_origin!Z1642</f>
        <v>0</v>
      </c>
      <c r="AA1429" s="5">
        <f>data_origin!AA1642</f>
        <v>0</v>
      </c>
      <c r="AB1429" s="5">
        <f t="shared" si="154"/>
        <v>0</v>
      </c>
    </row>
    <row r="1430" spans="4:28" x14ac:dyDescent="0.25">
      <c r="D1430" t="s">
        <v>78</v>
      </c>
      <c r="E1430" s="35">
        <f t="shared" si="153"/>
        <v>0</v>
      </c>
      <c r="F1430" s="35">
        <f t="shared" si="153"/>
        <v>0</v>
      </c>
      <c r="G1430" s="35">
        <f t="shared" si="153"/>
        <v>0</v>
      </c>
      <c r="H1430" s="35">
        <f t="shared" si="153"/>
        <v>0</v>
      </c>
      <c r="I1430" s="35">
        <f t="shared" si="153"/>
        <v>0</v>
      </c>
      <c r="J1430" s="35">
        <f t="shared" si="153"/>
        <v>0</v>
      </c>
      <c r="K1430" s="35">
        <f t="shared" si="153"/>
        <v>0</v>
      </c>
      <c r="L1430" s="35">
        <f t="shared" si="153"/>
        <v>0</v>
      </c>
      <c r="M1430" s="35">
        <f t="shared" si="155"/>
        <v>0</v>
      </c>
      <c r="S1430" t="s">
        <v>78</v>
      </c>
      <c r="T1430" s="5">
        <f>data_origin!T1643</f>
        <v>0</v>
      </c>
      <c r="U1430" s="5">
        <f>data_origin!U1643</f>
        <v>0</v>
      </c>
      <c r="V1430" s="5">
        <f>data_origin!V1643</f>
        <v>0</v>
      </c>
      <c r="W1430" s="5">
        <f>data_origin!W1643</f>
        <v>0</v>
      </c>
      <c r="X1430" s="5">
        <f>data_origin!X1643</f>
        <v>0</v>
      </c>
      <c r="Y1430" s="5">
        <f>data_origin!Y1643</f>
        <v>0</v>
      </c>
      <c r="Z1430" s="5">
        <f>data_origin!Z1643</f>
        <v>0</v>
      </c>
      <c r="AA1430" s="5">
        <f>data_origin!AA1643</f>
        <v>0</v>
      </c>
      <c r="AB1430" s="5">
        <f t="shared" si="154"/>
        <v>0</v>
      </c>
    </row>
    <row r="1431" spans="4:28" x14ac:dyDescent="0.25">
      <c r="D1431" t="s">
        <v>79</v>
      </c>
      <c r="E1431" s="35">
        <f t="shared" si="153"/>
        <v>0</v>
      </c>
      <c r="F1431" s="35">
        <f t="shared" si="153"/>
        <v>0</v>
      </c>
      <c r="G1431" s="35">
        <f t="shared" si="153"/>
        <v>0</v>
      </c>
      <c r="H1431" s="35">
        <f t="shared" si="153"/>
        <v>0</v>
      </c>
      <c r="I1431" s="35">
        <f t="shared" si="153"/>
        <v>0</v>
      </c>
      <c r="J1431" s="35">
        <f t="shared" si="153"/>
        <v>0</v>
      </c>
      <c r="K1431" s="35">
        <f t="shared" si="153"/>
        <v>0</v>
      </c>
      <c r="L1431" s="35">
        <f t="shared" si="153"/>
        <v>0</v>
      </c>
      <c r="M1431" s="35">
        <f t="shared" si="155"/>
        <v>0</v>
      </c>
      <c r="S1431" t="s">
        <v>79</v>
      </c>
      <c r="T1431" s="5">
        <f>data_origin!T1644</f>
        <v>0</v>
      </c>
      <c r="U1431" s="5">
        <f>data_origin!U1644</f>
        <v>0</v>
      </c>
      <c r="V1431" s="5">
        <f>data_origin!V1644</f>
        <v>0</v>
      </c>
      <c r="W1431" s="5">
        <f>data_origin!W1644</f>
        <v>0</v>
      </c>
      <c r="X1431" s="5">
        <f>data_origin!X1644</f>
        <v>0</v>
      </c>
      <c r="Y1431" s="5">
        <f>data_origin!Y1644</f>
        <v>0</v>
      </c>
      <c r="Z1431" s="5">
        <f>data_origin!Z1644</f>
        <v>0</v>
      </c>
      <c r="AA1431" s="5">
        <f>data_origin!AA1644</f>
        <v>0</v>
      </c>
      <c r="AB1431" s="5">
        <f t="shared" si="154"/>
        <v>0</v>
      </c>
    </row>
    <row r="1432" spans="4:28" x14ac:dyDescent="0.25">
      <c r="D1432" t="s">
        <v>80</v>
      </c>
      <c r="E1432" s="35">
        <f t="shared" si="153"/>
        <v>0</v>
      </c>
      <c r="F1432" s="35">
        <f t="shared" si="153"/>
        <v>0</v>
      </c>
      <c r="G1432" s="35">
        <f t="shared" si="153"/>
        <v>0</v>
      </c>
      <c r="H1432" s="35">
        <f t="shared" si="153"/>
        <v>0</v>
      </c>
      <c r="I1432" s="35">
        <f t="shared" si="153"/>
        <v>0</v>
      </c>
      <c r="J1432" s="35">
        <f t="shared" si="153"/>
        <v>0</v>
      </c>
      <c r="K1432" s="35">
        <f t="shared" si="153"/>
        <v>0</v>
      </c>
      <c r="L1432" s="35">
        <f t="shared" si="153"/>
        <v>0</v>
      </c>
      <c r="M1432" s="35">
        <f t="shared" si="155"/>
        <v>0</v>
      </c>
      <c r="S1432" t="s">
        <v>80</v>
      </c>
      <c r="T1432" s="5">
        <f>data_origin!T1645</f>
        <v>0</v>
      </c>
      <c r="U1432" s="5">
        <f>data_origin!U1645</f>
        <v>0</v>
      </c>
      <c r="V1432" s="5">
        <f>data_origin!V1645</f>
        <v>0</v>
      </c>
      <c r="W1432" s="5">
        <f>data_origin!W1645</f>
        <v>0</v>
      </c>
      <c r="X1432" s="5">
        <f>data_origin!X1645</f>
        <v>0</v>
      </c>
      <c r="Y1432" s="5">
        <f>data_origin!Y1645</f>
        <v>0</v>
      </c>
      <c r="Z1432" s="5">
        <f>data_origin!Z1645</f>
        <v>0</v>
      </c>
      <c r="AA1432" s="5">
        <f>data_origin!AA1645</f>
        <v>0</v>
      </c>
      <c r="AB1432" s="5">
        <f t="shared" si="154"/>
        <v>0</v>
      </c>
    </row>
    <row r="1433" spans="4:28" x14ac:dyDescent="0.25">
      <c r="D1433" t="s">
        <v>81</v>
      </c>
      <c r="E1433" s="35">
        <f t="shared" si="153"/>
        <v>0</v>
      </c>
      <c r="F1433" s="35">
        <f t="shared" si="153"/>
        <v>0</v>
      </c>
      <c r="G1433" s="35">
        <f t="shared" si="153"/>
        <v>0</v>
      </c>
      <c r="H1433" s="35">
        <f t="shared" si="153"/>
        <v>0</v>
      </c>
      <c r="I1433" s="35">
        <f t="shared" si="153"/>
        <v>0</v>
      </c>
      <c r="J1433" s="35">
        <f t="shared" si="153"/>
        <v>0</v>
      </c>
      <c r="K1433" s="35">
        <f t="shared" si="153"/>
        <v>0</v>
      </c>
      <c r="L1433" s="35">
        <f t="shared" si="153"/>
        <v>0</v>
      </c>
      <c r="M1433" s="35">
        <f t="shared" si="155"/>
        <v>0</v>
      </c>
      <c r="S1433" t="s">
        <v>81</v>
      </c>
      <c r="T1433" s="5">
        <f>data_origin!T1646</f>
        <v>0</v>
      </c>
      <c r="U1433" s="5">
        <f>data_origin!U1646</f>
        <v>0</v>
      </c>
      <c r="V1433" s="5">
        <f>data_origin!V1646</f>
        <v>0</v>
      </c>
      <c r="W1433" s="5">
        <f>data_origin!W1646</f>
        <v>0</v>
      </c>
      <c r="X1433" s="5">
        <f>data_origin!X1646</f>
        <v>0</v>
      </c>
      <c r="Y1433" s="5">
        <f>data_origin!Y1646</f>
        <v>0</v>
      </c>
      <c r="Z1433" s="5">
        <f>data_origin!Z1646</f>
        <v>0</v>
      </c>
      <c r="AA1433" s="5">
        <f>data_origin!AA1646</f>
        <v>0</v>
      </c>
      <c r="AB1433" s="5">
        <f t="shared" si="154"/>
        <v>0</v>
      </c>
    </row>
    <row r="1434" spans="4:28" x14ac:dyDescent="0.25">
      <c r="D1434" t="s">
        <v>82</v>
      </c>
      <c r="E1434" s="35">
        <f t="shared" si="153"/>
        <v>0</v>
      </c>
      <c r="F1434" s="35">
        <f t="shared" si="153"/>
        <v>0</v>
      </c>
      <c r="G1434" s="35">
        <f t="shared" si="153"/>
        <v>0</v>
      </c>
      <c r="H1434" s="35">
        <f t="shared" si="153"/>
        <v>0</v>
      </c>
      <c r="I1434" s="35">
        <f t="shared" si="153"/>
        <v>0</v>
      </c>
      <c r="J1434" s="35">
        <f t="shared" si="153"/>
        <v>0</v>
      </c>
      <c r="K1434" s="35">
        <f t="shared" si="153"/>
        <v>0</v>
      </c>
      <c r="L1434" s="35">
        <f t="shared" si="153"/>
        <v>0</v>
      </c>
      <c r="M1434" s="35">
        <f t="shared" si="155"/>
        <v>0</v>
      </c>
      <c r="S1434" t="s">
        <v>82</v>
      </c>
      <c r="T1434" s="5">
        <f>data_origin!T1647</f>
        <v>0</v>
      </c>
      <c r="U1434" s="5">
        <f>data_origin!U1647</f>
        <v>0</v>
      </c>
      <c r="V1434" s="5">
        <f>data_origin!V1647</f>
        <v>0</v>
      </c>
      <c r="W1434" s="5">
        <f>data_origin!W1647</f>
        <v>0</v>
      </c>
      <c r="X1434" s="5">
        <f>data_origin!X1647</f>
        <v>0</v>
      </c>
      <c r="Y1434" s="5">
        <f>data_origin!Y1647</f>
        <v>0</v>
      </c>
      <c r="Z1434" s="5">
        <f>data_origin!Z1647</f>
        <v>0</v>
      </c>
      <c r="AA1434" s="5">
        <f>data_origin!AA1647</f>
        <v>0</v>
      </c>
      <c r="AB1434" s="5">
        <f t="shared" si="154"/>
        <v>0</v>
      </c>
    </row>
    <row r="1435" spans="4:28" x14ac:dyDescent="0.25">
      <c r="D1435" t="s">
        <v>83</v>
      </c>
      <c r="E1435" s="35">
        <f t="shared" si="153"/>
        <v>0</v>
      </c>
      <c r="F1435" s="35">
        <f t="shared" si="153"/>
        <v>0</v>
      </c>
      <c r="G1435" s="35">
        <f t="shared" si="153"/>
        <v>0</v>
      </c>
      <c r="H1435" s="35">
        <f t="shared" si="153"/>
        <v>0</v>
      </c>
      <c r="I1435" s="35">
        <f t="shared" si="153"/>
        <v>0</v>
      </c>
      <c r="J1435" s="35">
        <f t="shared" si="153"/>
        <v>0</v>
      </c>
      <c r="K1435" s="35">
        <f t="shared" si="153"/>
        <v>0</v>
      </c>
      <c r="L1435" s="35">
        <f t="shared" si="153"/>
        <v>0</v>
      </c>
      <c r="M1435" s="35">
        <f t="shared" si="155"/>
        <v>0</v>
      </c>
      <c r="S1435" t="s">
        <v>83</v>
      </c>
      <c r="T1435" s="5">
        <f>data_origin!T1648</f>
        <v>0</v>
      </c>
      <c r="U1435" s="5">
        <f>data_origin!U1648</f>
        <v>0</v>
      </c>
      <c r="V1435" s="5">
        <f>data_origin!V1648</f>
        <v>0</v>
      </c>
      <c r="W1435" s="5">
        <f>data_origin!W1648</f>
        <v>0</v>
      </c>
      <c r="X1435" s="5">
        <f>data_origin!X1648</f>
        <v>0</v>
      </c>
      <c r="Y1435" s="5">
        <f>data_origin!Y1648</f>
        <v>0</v>
      </c>
      <c r="Z1435" s="5">
        <f>data_origin!Z1648</f>
        <v>0</v>
      </c>
      <c r="AA1435" s="5">
        <f>data_origin!AA1648</f>
        <v>0</v>
      </c>
      <c r="AB1435" s="5">
        <f t="shared" si="154"/>
        <v>0</v>
      </c>
    </row>
    <row r="1436" spans="4:28" x14ac:dyDescent="0.25">
      <c r="D1436" t="s">
        <v>84</v>
      </c>
      <c r="E1436" s="35">
        <f t="shared" si="153"/>
        <v>0</v>
      </c>
      <c r="F1436" s="35">
        <f t="shared" si="153"/>
        <v>0</v>
      </c>
      <c r="G1436" s="35">
        <f t="shared" si="153"/>
        <v>0</v>
      </c>
      <c r="H1436" s="35">
        <f t="shared" si="153"/>
        <v>0</v>
      </c>
      <c r="I1436" s="35">
        <f t="shared" si="153"/>
        <v>0</v>
      </c>
      <c r="J1436" s="35">
        <f t="shared" si="153"/>
        <v>0</v>
      </c>
      <c r="K1436" s="35">
        <f t="shared" si="153"/>
        <v>0</v>
      </c>
      <c r="L1436" s="35">
        <f t="shared" si="153"/>
        <v>0</v>
      </c>
      <c r="M1436" s="35">
        <f t="shared" si="155"/>
        <v>0</v>
      </c>
      <c r="S1436" t="s">
        <v>84</v>
      </c>
      <c r="T1436" s="5">
        <f>data_origin!T1649</f>
        <v>0</v>
      </c>
      <c r="U1436" s="5">
        <f>data_origin!U1649</f>
        <v>0</v>
      </c>
      <c r="V1436" s="5">
        <f>data_origin!V1649</f>
        <v>0</v>
      </c>
      <c r="W1436" s="5">
        <f>data_origin!W1649</f>
        <v>0</v>
      </c>
      <c r="X1436" s="5">
        <f>data_origin!X1649</f>
        <v>0</v>
      </c>
      <c r="Y1436" s="5">
        <f>data_origin!Y1649</f>
        <v>0</v>
      </c>
      <c r="Z1436" s="5">
        <f>data_origin!Z1649</f>
        <v>0</v>
      </c>
      <c r="AA1436" s="5">
        <f>data_origin!AA1649</f>
        <v>0</v>
      </c>
      <c r="AB1436" s="5">
        <f t="shared" si="154"/>
        <v>0</v>
      </c>
    </row>
    <row r="1437" spans="4:28" x14ac:dyDescent="0.25">
      <c r="D1437" t="s">
        <v>85</v>
      </c>
      <c r="E1437" s="35">
        <f t="shared" si="153"/>
        <v>0</v>
      </c>
      <c r="F1437" s="35">
        <f t="shared" si="153"/>
        <v>0</v>
      </c>
      <c r="G1437" s="35">
        <f t="shared" si="153"/>
        <v>0</v>
      </c>
      <c r="H1437" s="35">
        <f t="shared" si="153"/>
        <v>0</v>
      </c>
      <c r="I1437" s="35">
        <f t="shared" si="153"/>
        <v>0</v>
      </c>
      <c r="J1437" s="35">
        <f t="shared" si="153"/>
        <v>0</v>
      </c>
      <c r="K1437" s="35">
        <f t="shared" si="153"/>
        <v>0</v>
      </c>
      <c r="L1437" s="35">
        <f t="shared" si="153"/>
        <v>0</v>
      </c>
      <c r="M1437" s="35">
        <f t="shared" si="155"/>
        <v>0</v>
      </c>
      <c r="S1437" t="s">
        <v>85</v>
      </c>
      <c r="T1437" s="5">
        <f>data_origin!T1650</f>
        <v>0</v>
      </c>
      <c r="U1437" s="5">
        <f>data_origin!U1650</f>
        <v>0</v>
      </c>
      <c r="V1437" s="5">
        <f>data_origin!V1650</f>
        <v>0</v>
      </c>
      <c r="W1437" s="5">
        <f>data_origin!W1650</f>
        <v>0</v>
      </c>
      <c r="X1437" s="5">
        <f>data_origin!X1650</f>
        <v>0</v>
      </c>
      <c r="Y1437" s="5">
        <f>data_origin!Y1650</f>
        <v>0</v>
      </c>
      <c r="Z1437" s="5">
        <f>data_origin!Z1650</f>
        <v>0</v>
      </c>
      <c r="AA1437" s="5">
        <f>data_origin!AA1650</f>
        <v>0</v>
      </c>
      <c r="AB1437" s="5">
        <f t="shared" si="154"/>
        <v>0</v>
      </c>
    </row>
    <row r="1438" spans="4:28" x14ac:dyDescent="0.25">
      <c r="D1438" t="s">
        <v>86</v>
      </c>
      <c r="E1438" s="35">
        <f t="shared" si="153"/>
        <v>0</v>
      </c>
      <c r="F1438" s="35">
        <f t="shared" si="153"/>
        <v>0</v>
      </c>
      <c r="G1438" s="35">
        <f t="shared" si="153"/>
        <v>0</v>
      </c>
      <c r="H1438" s="35">
        <f t="shared" si="153"/>
        <v>0</v>
      </c>
      <c r="I1438" s="35">
        <f t="shared" si="153"/>
        <v>0</v>
      </c>
      <c r="J1438" s="35">
        <f t="shared" si="153"/>
        <v>0</v>
      </c>
      <c r="K1438" s="35">
        <f t="shared" si="153"/>
        <v>0</v>
      </c>
      <c r="L1438" s="35">
        <f t="shared" si="153"/>
        <v>0</v>
      </c>
      <c r="M1438" s="35">
        <f t="shared" si="155"/>
        <v>0</v>
      </c>
      <c r="S1438" t="s">
        <v>86</v>
      </c>
      <c r="T1438" s="5">
        <f>data_origin!T1651</f>
        <v>0</v>
      </c>
      <c r="U1438" s="5">
        <f>data_origin!U1651</f>
        <v>0</v>
      </c>
      <c r="V1438" s="5">
        <f>data_origin!V1651</f>
        <v>0</v>
      </c>
      <c r="W1438" s="5">
        <f>data_origin!W1651</f>
        <v>0</v>
      </c>
      <c r="X1438" s="5">
        <f>data_origin!X1651</f>
        <v>0</v>
      </c>
      <c r="Y1438" s="5">
        <f>data_origin!Y1651</f>
        <v>0</v>
      </c>
      <c r="Z1438" s="5">
        <f>data_origin!Z1651</f>
        <v>0</v>
      </c>
      <c r="AA1438" s="5">
        <f>data_origin!AA1651</f>
        <v>0</v>
      </c>
      <c r="AB1438" s="5">
        <f t="shared" si="154"/>
        <v>0</v>
      </c>
    </row>
    <row r="1439" spans="4:28" x14ac:dyDescent="0.25">
      <c r="D1439" t="s">
        <v>87</v>
      </c>
      <c r="E1439" s="35">
        <f t="shared" si="153"/>
        <v>0</v>
      </c>
      <c r="F1439" s="35">
        <f t="shared" si="153"/>
        <v>0</v>
      </c>
      <c r="G1439" s="35">
        <f t="shared" si="153"/>
        <v>0</v>
      </c>
      <c r="H1439" s="35">
        <f t="shared" si="153"/>
        <v>0</v>
      </c>
      <c r="I1439" s="35">
        <f t="shared" si="153"/>
        <v>0</v>
      </c>
      <c r="J1439" s="35">
        <f t="shared" si="153"/>
        <v>0</v>
      </c>
      <c r="K1439" s="35">
        <f t="shared" si="153"/>
        <v>0</v>
      </c>
      <c r="L1439" s="35">
        <f t="shared" si="153"/>
        <v>0</v>
      </c>
      <c r="M1439" s="35">
        <f t="shared" si="155"/>
        <v>0</v>
      </c>
      <c r="S1439" t="s">
        <v>87</v>
      </c>
      <c r="T1439" s="5">
        <f>data_origin!T1652</f>
        <v>0</v>
      </c>
      <c r="U1439" s="5">
        <f>data_origin!U1652</f>
        <v>0</v>
      </c>
      <c r="V1439" s="5">
        <f>data_origin!V1652</f>
        <v>0</v>
      </c>
      <c r="W1439" s="5">
        <f>data_origin!W1652</f>
        <v>0</v>
      </c>
      <c r="X1439" s="5">
        <f>data_origin!X1652</f>
        <v>0</v>
      </c>
      <c r="Y1439" s="5">
        <f>data_origin!Y1652</f>
        <v>0</v>
      </c>
      <c r="Z1439" s="5">
        <f>data_origin!Z1652</f>
        <v>0</v>
      </c>
      <c r="AA1439" s="5">
        <f>data_origin!AA1652</f>
        <v>0</v>
      </c>
      <c r="AB1439" s="5">
        <f t="shared" si="154"/>
        <v>0</v>
      </c>
    </row>
    <row r="1440" spans="4:28" x14ac:dyDescent="0.25">
      <c r="D1440" t="s">
        <v>88</v>
      </c>
      <c r="E1440" s="35">
        <f t="shared" si="153"/>
        <v>0</v>
      </c>
      <c r="F1440" s="35">
        <f t="shared" si="153"/>
        <v>0</v>
      </c>
      <c r="G1440" s="35">
        <f t="shared" si="153"/>
        <v>0</v>
      </c>
      <c r="H1440" s="35">
        <f t="shared" si="153"/>
        <v>0</v>
      </c>
      <c r="I1440" s="35">
        <f t="shared" si="153"/>
        <v>0</v>
      </c>
      <c r="J1440" s="35">
        <f t="shared" si="153"/>
        <v>0</v>
      </c>
      <c r="K1440" s="35">
        <f t="shared" si="153"/>
        <v>0</v>
      </c>
      <c r="L1440" s="35">
        <f t="shared" si="153"/>
        <v>0</v>
      </c>
      <c r="M1440" s="35">
        <f t="shared" si="155"/>
        <v>0</v>
      </c>
      <c r="S1440" t="s">
        <v>88</v>
      </c>
      <c r="T1440" s="5">
        <f>data_origin!T1653</f>
        <v>0</v>
      </c>
      <c r="U1440" s="5">
        <f>data_origin!U1653</f>
        <v>0</v>
      </c>
      <c r="V1440" s="5">
        <f>data_origin!V1653</f>
        <v>0</v>
      </c>
      <c r="W1440" s="5">
        <f>data_origin!W1653</f>
        <v>0</v>
      </c>
      <c r="X1440" s="5">
        <f>data_origin!X1653</f>
        <v>0</v>
      </c>
      <c r="Y1440" s="5">
        <f>data_origin!Y1653</f>
        <v>0</v>
      </c>
      <c r="Z1440" s="5">
        <f>data_origin!Z1653</f>
        <v>0</v>
      </c>
      <c r="AA1440" s="5">
        <f>data_origin!AA1653</f>
        <v>0</v>
      </c>
      <c r="AB1440" s="5">
        <f t="shared" si="154"/>
        <v>0</v>
      </c>
    </row>
    <row r="1441" spans="1:28" x14ac:dyDescent="0.25">
      <c r="D1441" t="s">
        <v>89</v>
      </c>
      <c r="E1441" s="35">
        <f t="shared" si="153"/>
        <v>0</v>
      </c>
      <c r="F1441" s="35">
        <f t="shared" si="153"/>
        <v>0</v>
      </c>
      <c r="G1441" s="35">
        <f t="shared" si="153"/>
        <v>0</v>
      </c>
      <c r="H1441" s="35">
        <f t="shared" si="153"/>
        <v>0</v>
      </c>
      <c r="I1441" s="35">
        <f t="shared" si="153"/>
        <v>0</v>
      </c>
      <c r="J1441" s="35">
        <f t="shared" si="153"/>
        <v>0</v>
      </c>
      <c r="K1441" s="35">
        <f t="shared" si="153"/>
        <v>0</v>
      </c>
      <c r="L1441" s="35">
        <f t="shared" si="153"/>
        <v>0</v>
      </c>
      <c r="M1441" s="35">
        <f t="shared" si="155"/>
        <v>0</v>
      </c>
      <c r="S1441" t="s">
        <v>89</v>
      </c>
      <c r="T1441" s="5">
        <f>data_origin!T1654</f>
        <v>0</v>
      </c>
      <c r="U1441" s="5">
        <f>data_origin!U1654</f>
        <v>0</v>
      </c>
      <c r="V1441" s="5">
        <f>data_origin!V1654</f>
        <v>0</v>
      </c>
      <c r="W1441" s="5">
        <f>data_origin!W1654</f>
        <v>0</v>
      </c>
      <c r="X1441" s="5">
        <f>data_origin!X1654</f>
        <v>0</v>
      </c>
      <c r="Y1441" s="5">
        <f>data_origin!Y1654</f>
        <v>0</v>
      </c>
      <c r="Z1441" s="5">
        <f>data_origin!Z1654</f>
        <v>0</v>
      </c>
      <c r="AA1441" s="5">
        <f>data_origin!AA1654</f>
        <v>0</v>
      </c>
      <c r="AB1441" s="5">
        <f t="shared" si="154"/>
        <v>0</v>
      </c>
    </row>
    <row r="1442" spans="1:28" x14ac:dyDescent="0.25">
      <c r="D1442" t="s">
        <v>90</v>
      </c>
      <c r="E1442" s="35">
        <f t="shared" si="153"/>
        <v>0</v>
      </c>
      <c r="F1442" s="35">
        <f t="shared" si="153"/>
        <v>0</v>
      </c>
      <c r="G1442" s="35">
        <f t="shared" si="153"/>
        <v>0</v>
      </c>
      <c r="H1442" s="35">
        <f t="shared" si="153"/>
        <v>0</v>
      </c>
      <c r="I1442" s="35">
        <f t="shared" si="153"/>
        <v>0</v>
      </c>
      <c r="J1442" s="35">
        <f t="shared" si="153"/>
        <v>0</v>
      </c>
      <c r="K1442" s="35">
        <f t="shared" si="153"/>
        <v>0</v>
      </c>
      <c r="L1442" s="35">
        <f t="shared" si="153"/>
        <v>0</v>
      </c>
      <c r="M1442" s="35">
        <f t="shared" si="155"/>
        <v>0</v>
      </c>
      <c r="S1442" t="s">
        <v>90</v>
      </c>
      <c r="T1442" s="5">
        <f>data_origin!T1655</f>
        <v>0</v>
      </c>
      <c r="U1442" s="5">
        <f>data_origin!U1655</f>
        <v>0</v>
      </c>
      <c r="V1442" s="5">
        <f>data_origin!V1655</f>
        <v>0</v>
      </c>
      <c r="W1442" s="5">
        <f>data_origin!W1655</f>
        <v>0</v>
      </c>
      <c r="X1442" s="5">
        <f>data_origin!X1655</f>
        <v>0</v>
      </c>
      <c r="Y1442" s="5">
        <f>data_origin!Y1655</f>
        <v>0</v>
      </c>
      <c r="Z1442" s="5">
        <f>data_origin!Z1655</f>
        <v>0</v>
      </c>
      <c r="AA1442" s="5">
        <f>data_origin!AA1655</f>
        <v>0</v>
      </c>
      <c r="AB1442" s="5">
        <f t="shared" si="154"/>
        <v>0</v>
      </c>
    </row>
    <row r="1443" spans="1:28" x14ac:dyDescent="0.25">
      <c r="D1443" t="s">
        <v>91</v>
      </c>
      <c r="E1443" s="35">
        <f t="shared" si="153"/>
        <v>0</v>
      </c>
      <c r="F1443" s="35">
        <f t="shared" si="153"/>
        <v>0</v>
      </c>
      <c r="G1443" s="35">
        <f t="shared" si="153"/>
        <v>0</v>
      </c>
      <c r="H1443" s="35">
        <f t="shared" si="153"/>
        <v>0</v>
      </c>
      <c r="I1443" s="35">
        <f t="shared" si="153"/>
        <v>0</v>
      </c>
      <c r="J1443" s="35">
        <f t="shared" si="153"/>
        <v>0</v>
      </c>
      <c r="K1443" s="35">
        <f t="shared" si="153"/>
        <v>0</v>
      </c>
      <c r="L1443" s="35">
        <f t="shared" si="153"/>
        <v>0</v>
      </c>
      <c r="M1443" s="35">
        <f t="shared" si="155"/>
        <v>0</v>
      </c>
      <c r="S1443" t="s">
        <v>91</v>
      </c>
      <c r="T1443" s="5">
        <f>data_origin!T1656</f>
        <v>0</v>
      </c>
      <c r="U1443" s="5">
        <f>data_origin!U1656</f>
        <v>0</v>
      </c>
      <c r="V1443" s="5">
        <f>data_origin!V1656</f>
        <v>0</v>
      </c>
      <c r="W1443" s="5">
        <f>data_origin!W1656</f>
        <v>0</v>
      </c>
      <c r="X1443" s="5">
        <f>data_origin!X1656</f>
        <v>0</v>
      </c>
      <c r="Y1443" s="5">
        <f>data_origin!Y1656</f>
        <v>0</v>
      </c>
      <c r="Z1443" s="5">
        <f>data_origin!Z1656</f>
        <v>0</v>
      </c>
      <c r="AA1443" s="5">
        <f>data_origin!AA1656</f>
        <v>0</v>
      </c>
      <c r="AB1443" s="5">
        <f t="shared" si="154"/>
        <v>0</v>
      </c>
    </row>
    <row r="1444" spans="1:28" x14ac:dyDescent="0.25">
      <c r="D1444" t="s">
        <v>92</v>
      </c>
      <c r="E1444" s="35">
        <f t="shared" si="153"/>
        <v>0</v>
      </c>
      <c r="F1444" s="35">
        <f t="shared" si="153"/>
        <v>0</v>
      </c>
      <c r="G1444" s="35">
        <f t="shared" si="153"/>
        <v>0</v>
      </c>
      <c r="H1444" s="35">
        <f t="shared" si="153"/>
        <v>0</v>
      </c>
      <c r="I1444" s="35">
        <f t="shared" si="153"/>
        <v>0</v>
      </c>
      <c r="J1444" s="35">
        <f t="shared" si="153"/>
        <v>0</v>
      </c>
      <c r="K1444" s="35">
        <f t="shared" si="153"/>
        <v>0</v>
      </c>
      <c r="L1444" s="35">
        <f t="shared" si="153"/>
        <v>0</v>
      </c>
      <c r="M1444" s="35">
        <f t="shared" si="155"/>
        <v>0</v>
      </c>
      <c r="S1444" t="s">
        <v>92</v>
      </c>
      <c r="T1444" s="5">
        <f>data_origin!T1657</f>
        <v>0</v>
      </c>
      <c r="U1444" s="5">
        <f>data_origin!U1657</f>
        <v>0</v>
      </c>
      <c r="V1444" s="5">
        <f>data_origin!V1657</f>
        <v>0</v>
      </c>
      <c r="W1444" s="5">
        <f>data_origin!W1657</f>
        <v>0</v>
      </c>
      <c r="X1444" s="5">
        <f>data_origin!X1657</f>
        <v>0</v>
      </c>
      <c r="Y1444" s="5">
        <f>data_origin!Y1657</f>
        <v>0</v>
      </c>
      <c r="Z1444" s="5">
        <f>data_origin!Z1657</f>
        <v>0</v>
      </c>
      <c r="AA1444" s="5">
        <f>data_origin!AA1657</f>
        <v>0</v>
      </c>
      <c r="AB1444" s="5">
        <f t="shared" si="154"/>
        <v>0</v>
      </c>
    </row>
    <row r="1445" spans="1:28" x14ac:dyDescent="0.25">
      <c r="D1445" t="s">
        <v>93</v>
      </c>
      <c r="E1445" s="35">
        <f t="shared" si="153"/>
        <v>0</v>
      </c>
      <c r="F1445" s="35">
        <f t="shared" si="153"/>
        <v>0</v>
      </c>
      <c r="G1445" s="35">
        <f t="shared" si="153"/>
        <v>0</v>
      </c>
      <c r="H1445" s="35">
        <f t="shared" si="153"/>
        <v>0</v>
      </c>
      <c r="I1445" s="35">
        <f t="shared" si="153"/>
        <v>0</v>
      </c>
      <c r="J1445" s="35">
        <f t="shared" si="153"/>
        <v>0</v>
      </c>
      <c r="K1445" s="35">
        <f t="shared" si="153"/>
        <v>0</v>
      </c>
      <c r="L1445" s="35">
        <f t="shared" si="153"/>
        <v>0</v>
      </c>
      <c r="M1445" s="35">
        <f t="shared" si="155"/>
        <v>0</v>
      </c>
      <c r="S1445" t="s">
        <v>93</v>
      </c>
      <c r="T1445" s="5">
        <f>data_origin!T1658</f>
        <v>0</v>
      </c>
      <c r="U1445" s="5">
        <f>data_origin!U1658</f>
        <v>0</v>
      </c>
      <c r="V1445" s="5">
        <f>data_origin!V1658</f>
        <v>0</v>
      </c>
      <c r="W1445" s="5">
        <f>data_origin!W1658</f>
        <v>0</v>
      </c>
      <c r="X1445" s="5">
        <f>data_origin!X1658</f>
        <v>0</v>
      </c>
      <c r="Y1445" s="5">
        <f>data_origin!Y1658</f>
        <v>0</v>
      </c>
      <c r="Z1445" s="5">
        <f>data_origin!Z1658</f>
        <v>0</v>
      </c>
      <c r="AA1445" s="5">
        <f>data_origin!AA1658</f>
        <v>0</v>
      </c>
      <c r="AB1445" s="5">
        <f t="shared" si="154"/>
        <v>0</v>
      </c>
    </row>
    <row r="1446" spans="1:28" x14ac:dyDescent="0.25">
      <c r="D1446" t="s">
        <v>94</v>
      </c>
      <c r="E1446" s="35">
        <f t="shared" si="153"/>
        <v>0</v>
      </c>
      <c r="F1446" s="35">
        <f t="shared" si="153"/>
        <v>0</v>
      </c>
      <c r="G1446" s="35">
        <f t="shared" si="153"/>
        <v>0</v>
      </c>
      <c r="H1446" s="35">
        <f t="shared" si="153"/>
        <v>0</v>
      </c>
      <c r="I1446" s="35">
        <f t="shared" si="153"/>
        <v>0</v>
      </c>
      <c r="J1446" s="35">
        <f t="shared" si="153"/>
        <v>0</v>
      </c>
      <c r="K1446" s="35">
        <f t="shared" si="153"/>
        <v>0</v>
      </c>
      <c r="L1446" s="35">
        <f t="shared" si="153"/>
        <v>0</v>
      </c>
      <c r="M1446" s="35">
        <f t="shared" si="155"/>
        <v>0</v>
      </c>
      <c r="S1446" t="s">
        <v>94</v>
      </c>
      <c r="T1446" s="5">
        <f>data_origin!T1659</f>
        <v>0</v>
      </c>
      <c r="U1446" s="5">
        <f>data_origin!U1659</f>
        <v>0</v>
      </c>
      <c r="V1446" s="5">
        <f>data_origin!V1659</f>
        <v>0</v>
      </c>
      <c r="W1446" s="5">
        <f>data_origin!W1659</f>
        <v>0</v>
      </c>
      <c r="X1446" s="5">
        <f>data_origin!X1659</f>
        <v>0</v>
      </c>
      <c r="Y1446" s="5">
        <f>data_origin!Y1659</f>
        <v>0</v>
      </c>
      <c r="Z1446" s="5">
        <f>data_origin!Z1659</f>
        <v>0</v>
      </c>
      <c r="AA1446" s="5">
        <f>data_origin!AA1659</f>
        <v>0</v>
      </c>
      <c r="AB1446" s="5">
        <f t="shared" si="154"/>
        <v>0</v>
      </c>
    </row>
    <row r="1447" spans="1:28" x14ac:dyDescent="0.25">
      <c r="D1447" t="s">
        <v>95</v>
      </c>
      <c r="E1447" s="35">
        <f t="shared" si="153"/>
        <v>0</v>
      </c>
      <c r="F1447" s="35">
        <f t="shared" si="153"/>
        <v>0</v>
      </c>
      <c r="G1447" s="35">
        <f t="shared" si="153"/>
        <v>0</v>
      </c>
      <c r="H1447" s="35">
        <f t="shared" si="153"/>
        <v>0</v>
      </c>
      <c r="I1447" s="35">
        <f t="shared" si="153"/>
        <v>0</v>
      </c>
      <c r="J1447" s="35">
        <f t="shared" si="153"/>
        <v>0</v>
      </c>
      <c r="K1447" s="35">
        <f t="shared" si="153"/>
        <v>0</v>
      </c>
      <c r="L1447" s="35">
        <f t="shared" si="153"/>
        <v>0</v>
      </c>
      <c r="M1447" s="35">
        <f t="shared" si="155"/>
        <v>0</v>
      </c>
      <c r="S1447" t="s">
        <v>95</v>
      </c>
      <c r="T1447" s="5">
        <f>data_origin!T1660</f>
        <v>0</v>
      </c>
      <c r="U1447" s="5">
        <f>data_origin!U1660</f>
        <v>0</v>
      </c>
      <c r="V1447" s="5">
        <f>data_origin!V1660</f>
        <v>0</v>
      </c>
      <c r="W1447" s="5">
        <f>data_origin!W1660</f>
        <v>0</v>
      </c>
      <c r="X1447" s="5">
        <f>data_origin!X1660</f>
        <v>0</v>
      </c>
      <c r="Y1447" s="5">
        <f>data_origin!Y1660</f>
        <v>0</v>
      </c>
      <c r="Z1447" s="5">
        <f>data_origin!Z1660</f>
        <v>0</v>
      </c>
      <c r="AA1447" s="5">
        <f>data_origin!AA1660</f>
        <v>0</v>
      </c>
      <c r="AB1447" s="5">
        <f t="shared" si="154"/>
        <v>0</v>
      </c>
    </row>
    <row r="1448" spans="1:28" x14ac:dyDescent="0.25">
      <c r="D1448" t="s">
        <v>96</v>
      </c>
      <c r="E1448" s="35">
        <f t="shared" si="153"/>
        <v>0</v>
      </c>
      <c r="F1448" s="35">
        <f t="shared" si="153"/>
        <v>0</v>
      </c>
      <c r="G1448" s="35">
        <f t="shared" si="153"/>
        <v>0</v>
      </c>
      <c r="H1448" s="35">
        <f t="shared" si="153"/>
        <v>0</v>
      </c>
      <c r="I1448" s="35">
        <f t="shared" si="153"/>
        <v>0</v>
      </c>
      <c r="J1448" s="35">
        <f t="shared" si="153"/>
        <v>0</v>
      </c>
      <c r="K1448" s="35">
        <f t="shared" si="153"/>
        <v>0</v>
      </c>
      <c r="L1448" s="35">
        <f t="shared" si="153"/>
        <v>0</v>
      </c>
      <c r="M1448" s="35">
        <f t="shared" si="155"/>
        <v>0</v>
      </c>
      <c r="S1448" t="s">
        <v>96</v>
      </c>
      <c r="T1448" s="5">
        <f>data_origin!T1661</f>
        <v>0</v>
      </c>
      <c r="U1448" s="5">
        <f>data_origin!U1661</f>
        <v>0</v>
      </c>
      <c r="V1448" s="5">
        <f>data_origin!V1661</f>
        <v>0</v>
      </c>
      <c r="W1448" s="5">
        <f>data_origin!W1661</f>
        <v>0</v>
      </c>
      <c r="X1448" s="5">
        <f>data_origin!X1661</f>
        <v>0</v>
      </c>
      <c r="Y1448" s="5">
        <f>data_origin!Y1661</f>
        <v>0</v>
      </c>
      <c r="Z1448" s="5">
        <f>data_origin!Z1661</f>
        <v>0</v>
      </c>
      <c r="AA1448" s="5">
        <f>data_origin!AA1661</f>
        <v>0</v>
      </c>
      <c r="AB1448" s="5">
        <f t="shared" si="154"/>
        <v>0</v>
      </c>
    </row>
    <row r="1449" spans="1:28" x14ac:dyDescent="0.25">
      <c r="D1449" t="s">
        <v>97</v>
      </c>
      <c r="E1449" s="35">
        <f t="shared" si="153"/>
        <v>0</v>
      </c>
      <c r="F1449" s="35">
        <f t="shared" si="153"/>
        <v>0</v>
      </c>
      <c r="G1449" s="35">
        <f t="shared" si="153"/>
        <v>0</v>
      </c>
      <c r="H1449" s="35">
        <f t="shared" si="153"/>
        <v>0</v>
      </c>
      <c r="I1449" s="35">
        <f t="shared" si="153"/>
        <v>0</v>
      </c>
      <c r="J1449" s="35">
        <f t="shared" si="153"/>
        <v>0</v>
      </c>
      <c r="K1449" s="35">
        <f t="shared" si="153"/>
        <v>0</v>
      </c>
      <c r="L1449" s="35">
        <f t="shared" si="153"/>
        <v>0</v>
      </c>
      <c r="M1449" s="35">
        <f t="shared" si="155"/>
        <v>0</v>
      </c>
      <c r="S1449" t="s">
        <v>97</v>
      </c>
      <c r="T1449" s="5">
        <f>data_origin!T1662</f>
        <v>0</v>
      </c>
      <c r="U1449" s="5">
        <f>data_origin!U1662</f>
        <v>0</v>
      </c>
      <c r="V1449" s="5">
        <f>data_origin!V1662</f>
        <v>0</v>
      </c>
      <c r="W1449" s="5">
        <f>data_origin!W1662</f>
        <v>0</v>
      </c>
      <c r="X1449" s="5">
        <f>data_origin!X1662</f>
        <v>0</v>
      </c>
      <c r="Y1449" s="5">
        <f>data_origin!Y1662</f>
        <v>0</v>
      </c>
      <c r="Z1449" s="5">
        <f>data_origin!Z1662</f>
        <v>0</v>
      </c>
      <c r="AA1449" s="5">
        <f>data_origin!AA1662</f>
        <v>0</v>
      </c>
      <c r="AB1449" s="5">
        <f t="shared" si="154"/>
        <v>0</v>
      </c>
    </row>
    <row r="1450" spans="1:28" x14ac:dyDescent="0.25">
      <c r="D1450" t="s">
        <v>98</v>
      </c>
      <c r="E1450" s="35">
        <f t="shared" si="153"/>
        <v>0</v>
      </c>
      <c r="F1450" s="35">
        <f t="shared" si="153"/>
        <v>0</v>
      </c>
      <c r="G1450" s="35">
        <f t="shared" si="153"/>
        <v>0</v>
      </c>
      <c r="H1450" s="35">
        <f t="shared" si="153"/>
        <v>0</v>
      </c>
      <c r="I1450" s="35">
        <f t="shared" si="153"/>
        <v>0</v>
      </c>
      <c r="J1450" s="35">
        <f t="shared" si="153"/>
        <v>0</v>
      </c>
      <c r="K1450" s="35">
        <f t="shared" si="153"/>
        <v>0</v>
      </c>
      <c r="L1450" s="35">
        <f t="shared" si="153"/>
        <v>0</v>
      </c>
      <c r="M1450" s="35">
        <f t="shared" si="155"/>
        <v>0</v>
      </c>
      <c r="S1450" t="s">
        <v>98</v>
      </c>
      <c r="T1450" s="5">
        <f>data_origin!T1663</f>
        <v>0</v>
      </c>
      <c r="U1450" s="5">
        <f>data_origin!U1663</f>
        <v>0</v>
      </c>
      <c r="V1450" s="5">
        <f>data_origin!V1663</f>
        <v>0</v>
      </c>
      <c r="W1450" s="5">
        <f>data_origin!W1663</f>
        <v>0</v>
      </c>
      <c r="X1450" s="5">
        <f>data_origin!X1663</f>
        <v>0</v>
      </c>
      <c r="Y1450" s="5">
        <f>data_origin!Y1663</f>
        <v>0</v>
      </c>
      <c r="Z1450" s="5">
        <f>data_origin!Z1663</f>
        <v>0</v>
      </c>
      <c r="AA1450" s="5">
        <f>data_origin!AA1663</f>
        <v>0</v>
      </c>
      <c r="AB1450" s="5">
        <f t="shared" si="154"/>
        <v>0</v>
      </c>
    </row>
    <row r="1451" spans="1:28" x14ac:dyDescent="0.25">
      <c r="D1451" t="s">
        <v>119</v>
      </c>
      <c r="E1451" s="35">
        <f t="shared" si="153"/>
        <v>0</v>
      </c>
      <c r="F1451" s="35">
        <f t="shared" si="153"/>
        <v>0</v>
      </c>
      <c r="G1451" s="35">
        <f t="shared" si="153"/>
        <v>0</v>
      </c>
      <c r="H1451" s="35">
        <f t="shared" ref="H1451:L1454" si="156">W1451+IFERROR((W1451/SUM(W$993:W$1982)*AZ$630),0)</f>
        <v>0</v>
      </c>
      <c r="I1451" s="35">
        <f t="shared" si="156"/>
        <v>0</v>
      </c>
      <c r="J1451" s="35">
        <f t="shared" si="156"/>
        <v>0</v>
      </c>
      <c r="K1451" s="35">
        <f t="shared" si="156"/>
        <v>0</v>
      </c>
      <c r="L1451" s="35">
        <f t="shared" si="156"/>
        <v>0</v>
      </c>
      <c r="M1451" s="35">
        <f t="shared" si="155"/>
        <v>0</v>
      </c>
      <c r="S1451" t="s">
        <v>119</v>
      </c>
      <c r="T1451" s="5">
        <f>data_origin!T1664</f>
        <v>0</v>
      </c>
      <c r="U1451" s="5">
        <f>data_origin!U1664</f>
        <v>0</v>
      </c>
      <c r="V1451" s="5">
        <f>data_origin!V1664</f>
        <v>0</v>
      </c>
      <c r="W1451" s="5">
        <f>data_origin!W1664</f>
        <v>0</v>
      </c>
      <c r="X1451" s="5">
        <f>data_origin!X1664</f>
        <v>0</v>
      </c>
      <c r="Y1451" s="5">
        <f>data_origin!Y1664</f>
        <v>0</v>
      </c>
      <c r="Z1451" s="5">
        <f>data_origin!Z1664</f>
        <v>0</v>
      </c>
      <c r="AA1451" s="5">
        <f>data_origin!AA1664</f>
        <v>0</v>
      </c>
      <c r="AB1451" s="5">
        <f t="shared" si="154"/>
        <v>0</v>
      </c>
    </row>
    <row r="1452" spans="1:28" x14ac:dyDescent="0.25">
      <c r="D1452" t="s">
        <v>99</v>
      </c>
      <c r="E1452" s="35">
        <f t="shared" ref="E1452:G1454" si="157">T1452+IFERROR((T1452/SUM(T$993:T$1982)*AW$630),0)</f>
        <v>0</v>
      </c>
      <c r="F1452" s="35">
        <f t="shared" si="157"/>
        <v>0</v>
      </c>
      <c r="G1452" s="35">
        <f t="shared" si="157"/>
        <v>0</v>
      </c>
      <c r="H1452" s="35">
        <f t="shared" si="156"/>
        <v>0</v>
      </c>
      <c r="I1452" s="35">
        <f t="shared" si="156"/>
        <v>0</v>
      </c>
      <c r="J1452" s="35">
        <f t="shared" si="156"/>
        <v>0</v>
      </c>
      <c r="K1452" s="35">
        <f t="shared" si="156"/>
        <v>0</v>
      </c>
      <c r="L1452" s="35">
        <f t="shared" si="156"/>
        <v>0</v>
      </c>
      <c r="M1452" s="35">
        <f t="shared" si="155"/>
        <v>0</v>
      </c>
      <c r="S1452" t="s">
        <v>99</v>
      </c>
      <c r="T1452" s="5">
        <f>data_origin!T1665</f>
        <v>0</v>
      </c>
      <c r="U1452" s="5">
        <f>data_origin!U1665</f>
        <v>0</v>
      </c>
      <c r="V1452" s="5">
        <f>data_origin!V1665</f>
        <v>0</v>
      </c>
      <c r="W1452" s="5">
        <f>data_origin!W1665</f>
        <v>0</v>
      </c>
      <c r="X1452" s="5">
        <f>data_origin!X1665</f>
        <v>0</v>
      </c>
      <c r="Y1452" s="5">
        <f>data_origin!Y1665</f>
        <v>0</v>
      </c>
      <c r="Z1452" s="5">
        <f>data_origin!Z1665</f>
        <v>0</v>
      </c>
      <c r="AA1452" s="5">
        <f>data_origin!AA1665</f>
        <v>0</v>
      </c>
      <c r="AB1452" s="5">
        <f t="shared" si="154"/>
        <v>0</v>
      </c>
    </row>
    <row r="1453" spans="1:28" x14ac:dyDescent="0.25">
      <c r="D1453" t="s">
        <v>100</v>
      </c>
      <c r="E1453" s="35">
        <f t="shared" si="157"/>
        <v>0</v>
      </c>
      <c r="F1453" s="35">
        <f t="shared" si="157"/>
        <v>0</v>
      </c>
      <c r="G1453" s="35">
        <f t="shared" si="157"/>
        <v>0</v>
      </c>
      <c r="H1453" s="35">
        <f t="shared" si="156"/>
        <v>0</v>
      </c>
      <c r="I1453" s="35">
        <f t="shared" si="156"/>
        <v>0</v>
      </c>
      <c r="J1453" s="35">
        <f t="shared" si="156"/>
        <v>0</v>
      </c>
      <c r="K1453" s="35">
        <f t="shared" si="156"/>
        <v>0</v>
      </c>
      <c r="L1453" s="35">
        <f t="shared" si="156"/>
        <v>0</v>
      </c>
      <c r="M1453" s="35">
        <f t="shared" si="155"/>
        <v>0</v>
      </c>
      <c r="S1453" t="s">
        <v>100</v>
      </c>
      <c r="T1453" s="5">
        <f>data_origin!T1666</f>
        <v>0</v>
      </c>
      <c r="U1453" s="5">
        <f>data_origin!U1666</f>
        <v>0</v>
      </c>
      <c r="V1453" s="5">
        <f>data_origin!V1666</f>
        <v>0</v>
      </c>
      <c r="W1453" s="5">
        <f>data_origin!W1666</f>
        <v>0</v>
      </c>
      <c r="X1453" s="5">
        <f>data_origin!X1666</f>
        <v>0</v>
      </c>
      <c r="Y1453" s="5">
        <f>data_origin!Y1666</f>
        <v>0</v>
      </c>
      <c r="Z1453" s="5">
        <f>data_origin!Z1666</f>
        <v>0</v>
      </c>
      <c r="AA1453" s="5">
        <f>data_origin!AA1666</f>
        <v>0</v>
      </c>
      <c r="AB1453" s="5">
        <f t="shared" si="154"/>
        <v>0</v>
      </c>
    </row>
    <row r="1454" spans="1:28" x14ac:dyDescent="0.25">
      <c r="D1454" t="s">
        <v>101</v>
      </c>
      <c r="E1454" s="35">
        <f t="shared" si="157"/>
        <v>0</v>
      </c>
      <c r="F1454" s="35">
        <f t="shared" si="157"/>
        <v>0</v>
      </c>
      <c r="G1454" s="35">
        <f t="shared" si="157"/>
        <v>0</v>
      </c>
      <c r="H1454" s="35">
        <f t="shared" si="156"/>
        <v>0</v>
      </c>
      <c r="I1454" s="35">
        <f t="shared" si="156"/>
        <v>0</v>
      </c>
      <c r="J1454" s="35">
        <f t="shared" si="156"/>
        <v>0</v>
      </c>
      <c r="K1454" s="35">
        <f t="shared" si="156"/>
        <v>0</v>
      </c>
      <c r="L1454" s="35">
        <f t="shared" si="156"/>
        <v>0</v>
      </c>
      <c r="M1454" s="35">
        <f t="shared" si="155"/>
        <v>0</v>
      </c>
      <c r="S1454" t="s">
        <v>101</v>
      </c>
      <c r="T1454" s="5">
        <f>data_origin!T1667</f>
        <v>0</v>
      </c>
      <c r="U1454" s="5">
        <f>data_origin!U1667</f>
        <v>0</v>
      </c>
      <c r="V1454" s="5">
        <f>data_origin!V1667</f>
        <v>0</v>
      </c>
      <c r="W1454" s="5">
        <f>data_origin!W1667</f>
        <v>0</v>
      </c>
      <c r="X1454" s="5">
        <f>data_origin!X1667</f>
        <v>0</v>
      </c>
      <c r="Y1454" s="5">
        <f>data_origin!Y1667</f>
        <v>0</v>
      </c>
      <c r="Z1454" s="5">
        <f>data_origin!Z1667</f>
        <v>0</v>
      </c>
      <c r="AA1454" s="5">
        <f>data_origin!AA1667</f>
        <v>0</v>
      </c>
      <c r="AB1454" s="5">
        <f t="shared" si="154"/>
        <v>0</v>
      </c>
    </row>
    <row r="1455" spans="1:28" x14ac:dyDescent="0.25">
      <c r="A1455" s="24" t="s">
        <v>115</v>
      </c>
      <c r="B1455" s="24" t="s">
        <v>116</v>
      </c>
      <c r="C1455" s="24" t="s">
        <v>109</v>
      </c>
      <c r="D1455" t="s">
        <v>70</v>
      </c>
      <c r="E1455" s="38">
        <f>T1455+AW201+IFERROR((T1455/SUM(T$993:T$1982)*AW$630),0)+IFERROR((T1455/SUM(T$1125:T$1322,T$1455:T$1652,T$1785:T$1982)*AW$732),0)</f>
        <v>0</v>
      </c>
      <c r="F1455" s="38">
        <f t="shared" ref="F1455:L1455" si="158">U1455+AX201+IFERROR((U1455/SUM(U$993:U$1982)*AX$630),0)+IFERROR((U1455/SUM(U$1125:U$1322,U$1455:U$1652,U$1785:U$1982)*AX$732),0)</f>
        <v>0</v>
      </c>
      <c r="G1455" s="38">
        <f t="shared" si="158"/>
        <v>3.2028052372480613</v>
      </c>
      <c r="H1455" s="38">
        <f t="shared" si="158"/>
        <v>3.2568881024347127</v>
      </c>
      <c r="I1455" s="38">
        <f t="shared" si="158"/>
        <v>0</v>
      </c>
      <c r="J1455" s="38">
        <f t="shared" si="158"/>
        <v>0</v>
      </c>
      <c r="K1455" s="38">
        <f t="shared" si="158"/>
        <v>0</v>
      </c>
      <c r="L1455" s="38">
        <f t="shared" si="158"/>
        <v>0</v>
      </c>
      <c r="M1455" s="35">
        <f t="shared" si="155"/>
        <v>6.459693339682774</v>
      </c>
      <c r="P1455" t="s">
        <v>115</v>
      </c>
      <c r="Q1455" t="s">
        <v>116</v>
      </c>
      <c r="R1455" t="s">
        <v>109</v>
      </c>
      <c r="S1455" t="s">
        <v>70</v>
      </c>
      <c r="T1455" s="5">
        <f>data_origin!T1669</f>
        <v>0</v>
      </c>
      <c r="U1455" s="5">
        <f>data_origin!U1669</f>
        <v>0</v>
      </c>
      <c r="V1455" s="5">
        <f>data_origin!V1669</f>
        <v>3.1588235294117646</v>
      </c>
      <c r="W1455" s="5">
        <f>data_origin!W1669</f>
        <v>3.2007434944237918</v>
      </c>
      <c r="X1455" s="5">
        <f>data_origin!X1669</f>
        <v>0</v>
      </c>
      <c r="Y1455" s="5">
        <f>data_origin!Y1669</f>
        <v>0</v>
      </c>
      <c r="Z1455" s="5">
        <f>data_origin!Z1669</f>
        <v>0</v>
      </c>
      <c r="AA1455" s="5">
        <f>data_origin!AA1669</f>
        <v>0</v>
      </c>
      <c r="AB1455" s="5">
        <f t="shared" ref="AB1455:AB1518" si="159">SUM(T1455:AA1455)</f>
        <v>6.3595670238355559</v>
      </c>
    </row>
    <row r="1456" spans="1:28" x14ac:dyDescent="0.25">
      <c r="D1456" t="s">
        <v>71</v>
      </c>
      <c r="E1456" s="38">
        <f t="shared" ref="E1456:L1487" si="160">T1456+AW202+IFERROR((T1456/SUM(T$993:T$1982)*AW$630),0)+IFERROR((T1456/SUM(T$1125:T$1322,T$1455:T$1652,T$1785:T$1982)*AW$732),0)</f>
        <v>0</v>
      </c>
      <c r="F1456" s="38">
        <f t="shared" si="160"/>
        <v>0</v>
      </c>
      <c r="G1456" s="38">
        <f t="shared" si="160"/>
        <v>14.946424440490956</v>
      </c>
      <c r="H1456" s="38">
        <f t="shared" si="160"/>
        <v>22.79821671704299</v>
      </c>
      <c r="I1456" s="38">
        <f t="shared" si="160"/>
        <v>11.645354987100617</v>
      </c>
      <c r="J1456" s="38">
        <f t="shared" si="160"/>
        <v>0</v>
      </c>
      <c r="K1456" s="38">
        <f t="shared" si="160"/>
        <v>0</v>
      </c>
      <c r="L1456" s="38">
        <f t="shared" si="160"/>
        <v>0</v>
      </c>
      <c r="M1456" s="35">
        <f t="shared" si="155"/>
        <v>49.389996144634566</v>
      </c>
      <c r="S1456" t="s">
        <v>71</v>
      </c>
      <c r="T1456" s="5">
        <f>data_origin!T1670</f>
        <v>0</v>
      </c>
      <c r="U1456" s="5">
        <f>data_origin!U1670</f>
        <v>0</v>
      </c>
      <c r="V1456" s="5">
        <f>data_origin!V1670</f>
        <v>14.741176470588236</v>
      </c>
      <c r="W1456" s="5">
        <f>data_origin!W1670</f>
        <v>22.405204460966544</v>
      </c>
      <c r="X1456" s="5">
        <f>data_origin!X1670</f>
        <v>11.445945945945946</v>
      </c>
      <c r="Y1456" s="5">
        <f>data_origin!Y1670</f>
        <v>0</v>
      </c>
      <c r="Z1456" s="5">
        <f>data_origin!Z1670</f>
        <v>0</v>
      </c>
      <c r="AA1456" s="5">
        <f>data_origin!AA1670</f>
        <v>0</v>
      </c>
      <c r="AB1456" s="5">
        <f t="shared" si="159"/>
        <v>48.592326877500724</v>
      </c>
    </row>
    <row r="1457" spans="4:28" x14ac:dyDescent="0.25">
      <c r="D1457" t="s">
        <v>72</v>
      </c>
      <c r="E1457" s="38">
        <f t="shared" si="160"/>
        <v>0</v>
      </c>
      <c r="F1457" s="38">
        <f t="shared" si="160"/>
        <v>0</v>
      </c>
      <c r="G1457" s="38">
        <f t="shared" si="160"/>
        <v>2.1352034914987077</v>
      </c>
      <c r="H1457" s="38">
        <f t="shared" si="160"/>
        <v>9.7706643073041377</v>
      </c>
      <c r="I1457" s="38">
        <f t="shared" si="160"/>
        <v>7.410680446336757</v>
      </c>
      <c r="J1457" s="38">
        <f t="shared" si="160"/>
        <v>0</v>
      </c>
      <c r="K1457" s="38">
        <f t="shared" si="160"/>
        <v>0</v>
      </c>
      <c r="L1457" s="38">
        <f t="shared" si="160"/>
        <v>0</v>
      </c>
      <c r="M1457" s="35">
        <f t="shared" si="155"/>
        <v>19.3165482451396</v>
      </c>
      <c r="S1457" t="s">
        <v>72</v>
      </c>
      <c r="T1457" s="5">
        <f>data_origin!T1671</f>
        <v>0</v>
      </c>
      <c r="U1457" s="5">
        <f>data_origin!U1671</f>
        <v>0</v>
      </c>
      <c r="V1457" s="5">
        <f>data_origin!V1671</f>
        <v>2.1058823529411765</v>
      </c>
      <c r="W1457" s="5">
        <f>data_origin!W1671</f>
        <v>9.6022304832713754</v>
      </c>
      <c r="X1457" s="5">
        <f>data_origin!X1671</f>
        <v>7.2837837837837842</v>
      </c>
      <c r="Y1457" s="5">
        <f>data_origin!Y1671</f>
        <v>0</v>
      </c>
      <c r="Z1457" s="5">
        <f>data_origin!Z1671</f>
        <v>0</v>
      </c>
      <c r="AA1457" s="5">
        <f>data_origin!AA1671</f>
        <v>0</v>
      </c>
      <c r="AB1457" s="5">
        <f t="shared" si="159"/>
        <v>18.991896619996336</v>
      </c>
    </row>
    <row r="1458" spans="4:28" x14ac:dyDescent="0.25">
      <c r="D1458" t="s">
        <v>73</v>
      </c>
      <c r="E1458" s="38">
        <f t="shared" si="160"/>
        <v>0</v>
      </c>
      <c r="F1458" s="38">
        <f t="shared" si="160"/>
        <v>0</v>
      </c>
      <c r="G1458" s="38">
        <f t="shared" si="160"/>
        <v>2.1352034914987077</v>
      </c>
      <c r="H1458" s="38">
        <f t="shared" si="160"/>
        <v>3.2568881024347127</v>
      </c>
      <c r="I1458" s="38">
        <f t="shared" si="160"/>
        <v>1.0586686351909653</v>
      </c>
      <c r="J1458" s="38">
        <f t="shared" si="160"/>
        <v>0</v>
      </c>
      <c r="K1458" s="38">
        <f t="shared" si="160"/>
        <v>0</v>
      </c>
      <c r="L1458" s="38">
        <f t="shared" si="160"/>
        <v>0</v>
      </c>
      <c r="M1458" s="35">
        <f t="shared" si="155"/>
        <v>6.450760229124386</v>
      </c>
      <c r="S1458" t="s">
        <v>73</v>
      </c>
      <c r="T1458" s="5">
        <f>data_origin!T1672</f>
        <v>0</v>
      </c>
      <c r="U1458" s="5">
        <f>data_origin!U1672</f>
        <v>0</v>
      </c>
      <c r="V1458" s="5">
        <f>data_origin!V1672</f>
        <v>2.1058823529411765</v>
      </c>
      <c r="W1458" s="5">
        <f>data_origin!W1672</f>
        <v>3.2007434944237918</v>
      </c>
      <c r="X1458" s="5">
        <f>data_origin!X1672</f>
        <v>1.0405405405405406</v>
      </c>
      <c r="Y1458" s="5">
        <f>data_origin!Y1672</f>
        <v>0</v>
      </c>
      <c r="Z1458" s="5">
        <f>data_origin!Z1672</f>
        <v>0</v>
      </c>
      <c r="AA1458" s="5">
        <f>data_origin!AA1672</f>
        <v>0</v>
      </c>
      <c r="AB1458" s="5">
        <f t="shared" si="159"/>
        <v>6.3471663879055082</v>
      </c>
    </row>
    <row r="1459" spans="4:28" x14ac:dyDescent="0.25">
      <c r="D1459" t="s">
        <v>74</v>
      </c>
      <c r="E1459" s="38">
        <f t="shared" si="160"/>
        <v>0</v>
      </c>
      <c r="F1459" s="38">
        <f t="shared" si="160"/>
        <v>0</v>
      </c>
      <c r="G1459" s="38">
        <f t="shared" si="160"/>
        <v>3.2028052372480613</v>
      </c>
      <c r="H1459" s="38">
        <f t="shared" si="160"/>
        <v>5.4281468373911874</v>
      </c>
      <c r="I1459" s="38">
        <f t="shared" si="160"/>
        <v>13.762692257482547</v>
      </c>
      <c r="J1459" s="38">
        <f t="shared" si="160"/>
        <v>0</v>
      </c>
      <c r="K1459" s="38">
        <f t="shared" si="160"/>
        <v>0</v>
      </c>
      <c r="L1459" s="38">
        <f t="shared" si="160"/>
        <v>0</v>
      </c>
      <c r="M1459" s="35">
        <f t="shared" si="155"/>
        <v>22.393644332121795</v>
      </c>
      <c r="S1459" t="s">
        <v>74</v>
      </c>
      <c r="T1459" s="5">
        <f>data_origin!T1673</f>
        <v>0</v>
      </c>
      <c r="U1459" s="5">
        <f>data_origin!U1673</f>
        <v>0</v>
      </c>
      <c r="V1459" s="5">
        <f>data_origin!V1673</f>
        <v>3.1588235294117646</v>
      </c>
      <c r="W1459" s="5">
        <f>data_origin!W1673</f>
        <v>5.3345724907063197</v>
      </c>
      <c r="X1459" s="5">
        <f>data_origin!X1673</f>
        <v>13.527027027027026</v>
      </c>
      <c r="Y1459" s="5">
        <f>data_origin!Y1673</f>
        <v>0</v>
      </c>
      <c r="Z1459" s="5">
        <f>data_origin!Z1673</f>
        <v>0</v>
      </c>
      <c r="AA1459" s="5">
        <f>data_origin!AA1673</f>
        <v>0</v>
      </c>
      <c r="AB1459" s="5">
        <f t="shared" si="159"/>
        <v>22.020423047145108</v>
      </c>
    </row>
    <row r="1460" spans="4:28" x14ac:dyDescent="0.25">
      <c r="D1460" t="s">
        <v>75</v>
      </c>
      <c r="E1460" s="38">
        <f t="shared" si="160"/>
        <v>0</v>
      </c>
      <c r="F1460" s="38">
        <f t="shared" si="160"/>
        <v>0</v>
      </c>
      <c r="G1460" s="38">
        <f t="shared" si="160"/>
        <v>5.338008728746769</v>
      </c>
      <c r="H1460" s="38">
        <f t="shared" si="160"/>
        <v>8.6850349398258988</v>
      </c>
      <c r="I1460" s="38">
        <f t="shared" si="160"/>
        <v>1.0586686351909653</v>
      </c>
      <c r="J1460" s="38">
        <f t="shared" si="160"/>
        <v>0</v>
      </c>
      <c r="K1460" s="38">
        <f t="shared" si="160"/>
        <v>0</v>
      </c>
      <c r="L1460" s="38">
        <f t="shared" si="160"/>
        <v>0</v>
      </c>
      <c r="M1460" s="35">
        <f t="shared" si="155"/>
        <v>15.081712303763634</v>
      </c>
      <c r="S1460" t="s">
        <v>75</v>
      </c>
      <c r="T1460" s="5">
        <f>data_origin!T1674</f>
        <v>0</v>
      </c>
      <c r="U1460" s="5">
        <f>data_origin!U1674</f>
        <v>0</v>
      </c>
      <c r="V1460" s="5">
        <f>data_origin!V1674</f>
        <v>5.2647058823529411</v>
      </c>
      <c r="W1460" s="5">
        <f>data_origin!W1674</f>
        <v>8.5353159851301115</v>
      </c>
      <c r="X1460" s="5">
        <f>data_origin!X1674</f>
        <v>1.0405405405405406</v>
      </c>
      <c r="Y1460" s="5">
        <f>data_origin!Y1674</f>
        <v>0</v>
      </c>
      <c r="Z1460" s="5">
        <f>data_origin!Z1674</f>
        <v>0</v>
      </c>
      <c r="AA1460" s="5">
        <f>data_origin!AA1674</f>
        <v>0</v>
      </c>
      <c r="AB1460" s="5">
        <f t="shared" si="159"/>
        <v>14.840562408023594</v>
      </c>
    </row>
    <row r="1461" spans="4:28" x14ac:dyDescent="0.25">
      <c r="D1461" t="s">
        <v>76</v>
      </c>
      <c r="E1461" s="38">
        <f t="shared" si="160"/>
        <v>0</v>
      </c>
      <c r="F1461" s="38">
        <f t="shared" si="160"/>
        <v>0</v>
      </c>
      <c r="G1461" s="38">
        <f t="shared" si="160"/>
        <v>14.946424440490956</v>
      </c>
      <c r="H1461" s="38">
        <f t="shared" si="160"/>
        <v>24.969475451999461</v>
      </c>
      <c r="I1461" s="38">
        <f t="shared" si="160"/>
        <v>11.645354987100617</v>
      </c>
      <c r="J1461" s="38">
        <f t="shared" si="160"/>
        <v>1.1035552183836497</v>
      </c>
      <c r="K1461" s="38">
        <f t="shared" si="160"/>
        <v>0</v>
      </c>
      <c r="L1461" s="38">
        <f t="shared" si="160"/>
        <v>0</v>
      </c>
      <c r="M1461" s="35">
        <f t="shared" si="155"/>
        <v>52.66481009797468</v>
      </c>
      <c r="S1461" t="s">
        <v>76</v>
      </c>
      <c r="T1461" s="5">
        <f>data_origin!T1675</f>
        <v>0</v>
      </c>
      <c r="U1461" s="5">
        <f>data_origin!U1675</f>
        <v>0</v>
      </c>
      <c r="V1461" s="5">
        <f>data_origin!V1675</f>
        <v>14.741176470588236</v>
      </c>
      <c r="W1461" s="5">
        <f>data_origin!W1675</f>
        <v>24.539033457249069</v>
      </c>
      <c r="X1461" s="5">
        <f>data_origin!X1675</f>
        <v>11.445945945945946</v>
      </c>
      <c r="Y1461" s="5">
        <f>data_origin!Y1675</f>
        <v>1.0833333333333333</v>
      </c>
      <c r="Z1461" s="5">
        <f>data_origin!Z1675</f>
        <v>0</v>
      </c>
      <c r="AA1461" s="5">
        <f>data_origin!AA1675</f>
        <v>0</v>
      </c>
      <c r="AB1461" s="5">
        <f t="shared" si="159"/>
        <v>51.809489207116584</v>
      </c>
    </row>
    <row r="1462" spans="4:28" x14ac:dyDescent="0.25">
      <c r="D1462" t="s">
        <v>77</v>
      </c>
      <c r="E1462" s="38">
        <f t="shared" si="160"/>
        <v>0</v>
      </c>
      <c r="F1462" s="38">
        <f t="shared" si="160"/>
        <v>0</v>
      </c>
      <c r="G1462" s="38">
        <f t="shared" si="160"/>
        <v>16.014026186240308</v>
      </c>
      <c r="H1462" s="38">
        <f t="shared" si="160"/>
        <v>31.483251656868891</v>
      </c>
      <c r="I1462" s="38">
        <f t="shared" si="160"/>
        <v>17.997366798246411</v>
      </c>
      <c r="J1462" s="38">
        <f t="shared" si="160"/>
        <v>2.2071104367672993</v>
      </c>
      <c r="K1462" s="38">
        <f t="shared" si="160"/>
        <v>0</v>
      </c>
      <c r="L1462" s="38">
        <f t="shared" si="160"/>
        <v>0</v>
      </c>
      <c r="M1462" s="35">
        <f t="shared" si="155"/>
        <v>67.701755078122915</v>
      </c>
      <c r="S1462" t="s">
        <v>77</v>
      </c>
      <c r="T1462" s="5">
        <f>data_origin!T1676</f>
        <v>0</v>
      </c>
      <c r="U1462" s="5">
        <f>data_origin!U1676</f>
        <v>0</v>
      </c>
      <c r="V1462" s="5">
        <f>data_origin!V1676</f>
        <v>15.794117647058824</v>
      </c>
      <c r="W1462" s="5">
        <f>data_origin!W1676</f>
        <v>30.940520446096656</v>
      </c>
      <c r="X1462" s="5">
        <f>data_origin!X1676</f>
        <v>17.689189189189189</v>
      </c>
      <c r="Y1462" s="5">
        <f>data_origin!Y1676</f>
        <v>2.1666666666666665</v>
      </c>
      <c r="Z1462" s="5">
        <f>data_origin!Z1676</f>
        <v>0</v>
      </c>
      <c r="AA1462" s="5">
        <f>data_origin!AA1676</f>
        <v>0</v>
      </c>
      <c r="AB1462" s="5">
        <f t="shared" si="159"/>
        <v>66.590493949011346</v>
      </c>
    </row>
    <row r="1463" spans="4:28" x14ac:dyDescent="0.25">
      <c r="D1463" t="s">
        <v>78</v>
      </c>
      <c r="E1463" s="38">
        <f t="shared" si="160"/>
        <v>0</v>
      </c>
      <c r="F1463" s="38">
        <f t="shared" si="160"/>
        <v>0</v>
      </c>
      <c r="G1463" s="38">
        <f t="shared" si="160"/>
        <v>8.5408139659948308</v>
      </c>
      <c r="H1463" s="38">
        <f t="shared" si="160"/>
        <v>11.941923042260614</v>
      </c>
      <c r="I1463" s="38">
        <f t="shared" si="160"/>
        <v>8.4693490815277226</v>
      </c>
      <c r="J1463" s="38">
        <f t="shared" si="160"/>
        <v>0</v>
      </c>
      <c r="K1463" s="38">
        <f t="shared" si="160"/>
        <v>0</v>
      </c>
      <c r="L1463" s="38">
        <f t="shared" si="160"/>
        <v>0</v>
      </c>
      <c r="M1463" s="35">
        <f t="shared" si="155"/>
        <v>28.952086089783165</v>
      </c>
      <c r="S1463" t="s">
        <v>78</v>
      </c>
      <c r="T1463" s="5">
        <f>data_origin!T1677</f>
        <v>0</v>
      </c>
      <c r="U1463" s="5">
        <f>data_origin!U1677</f>
        <v>0</v>
      </c>
      <c r="V1463" s="5">
        <f>data_origin!V1677</f>
        <v>8.4235294117647062</v>
      </c>
      <c r="W1463" s="5">
        <f>data_origin!W1677</f>
        <v>11.736059479553903</v>
      </c>
      <c r="X1463" s="5">
        <f>data_origin!X1677</f>
        <v>8.3243243243243246</v>
      </c>
      <c r="Y1463" s="5">
        <f>data_origin!Y1677</f>
        <v>0</v>
      </c>
      <c r="Z1463" s="5">
        <f>data_origin!Z1677</f>
        <v>0</v>
      </c>
      <c r="AA1463" s="5">
        <f>data_origin!AA1677</f>
        <v>0</v>
      </c>
      <c r="AB1463" s="5">
        <f t="shared" si="159"/>
        <v>28.483913215642936</v>
      </c>
    </row>
    <row r="1464" spans="4:28" x14ac:dyDescent="0.25">
      <c r="D1464" t="s">
        <v>79</v>
      </c>
      <c r="E1464" s="38">
        <f t="shared" si="160"/>
        <v>0</v>
      </c>
      <c r="F1464" s="38">
        <f t="shared" si="160"/>
        <v>0</v>
      </c>
      <c r="G1464" s="38">
        <f t="shared" si="160"/>
        <v>11.743619203242892</v>
      </c>
      <c r="H1464" s="38">
        <f t="shared" si="160"/>
        <v>14.113181777217088</v>
      </c>
      <c r="I1464" s="38">
        <f t="shared" si="160"/>
        <v>11.645354987100617</v>
      </c>
      <c r="J1464" s="38">
        <f t="shared" si="160"/>
        <v>1.1035552183836497</v>
      </c>
      <c r="K1464" s="38">
        <f t="shared" si="160"/>
        <v>0</v>
      </c>
      <c r="L1464" s="38">
        <f t="shared" si="160"/>
        <v>0</v>
      </c>
      <c r="M1464" s="35">
        <f t="shared" si="155"/>
        <v>38.605711185944244</v>
      </c>
      <c r="S1464" t="s">
        <v>79</v>
      </c>
      <c r="T1464" s="5">
        <f>data_origin!T1678</f>
        <v>0</v>
      </c>
      <c r="U1464" s="5">
        <f>data_origin!U1678</f>
        <v>0</v>
      </c>
      <c r="V1464" s="5">
        <f>data_origin!V1678</f>
        <v>11.58235294117647</v>
      </c>
      <c r="W1464" s="5">
        <f>data_origin!W1678</f>
        <v>13.869888475836431</v>
      </c>
      <c r="X1464" s="5">
        <f>data_origin!X1678</f>
        <v>11.445945945945946</v>
      </c>
      <c r="Y1464" s="5">
        <f>data_origin!Y1678</f>
        <v>1.0833333333333333</v>
      </c>
      <c r="Z1464" s="5">
        <f>data_origin!Z1678</f>
        <v>0</v>
      </c>
      <c r="AA1464" s="5">
        <f>data_origin!AA1678</f>
        <v>0</v>
      </c>
      <c r="AB1464" s="5">
        <f t="shared" si="159"/>
        <v>37.981520696292179</v>
      </c>
    </row>
    <row r="1465" spans="4:28" x14ac:dyDescent="0.25">
      <c r="D1465" t="s">
        <v>80</v>
      </c>
      <c r="E1465" s="38">
        <f t="shared" si="160"/>
        <v>0</v>
      </c>
      <c r="F1465" s="38">
        <f t="shared" si="160"/>
        <v>0</v>
      </c>
      <c r="G1465" s="38">
        <f t="shared" si="160"/>
        <v>19.216831423488372</v>
      </c>
      <c r="H1465" s="38">
        <f t="shared" si="160"/>
        <v>31.483251656868891</v>
      </c>
      <c r="I1465" s="38">
        <f t="shared" si="160"/>
        <v>17.997366798246411</v>
      </c>
      <c r="J1465" s="38">
        <f t="shared" si="160"/>
        <v>2.2071104367672993</v>
      </c>
      <c r="K1465" s="38">
        <f t="shared" si="160"/>
        <v>0</v>
      </c>
      <c r="L1465" s="38">
        <f t="shared" si="160"/>
        <v>0</v>
      </c>
      <c r="M1465" s="35">
        <f t="shared" si="155"/>
        <v>70.904560315370958</v>
      </c>
      <c r="S1465" t="s">
        <v>80</v>
      </c>
      <c r="T1465" s="5">
        <f>data_origin!T1679</f>
        <v>0</v>
      </c>
      <c r="U1465" s="5">
        <f>data_origin!U1679</f>
        <v>0</v>
      </c>
      <c r="V1465" s="5">
        <f>data_origin!V1679</f>
        <v>18.952941176470588</v>
      </c>
      <c r="W1465" s="5">
        <f>data_origin!W1679</f>
        <v>30.940520446096656</v>
      </c>
      <c r="X1465" s="5">
        <f>data_origin!X1679</f>
        <v>17.689189189189189</v>
      </c>
      <c r="Y1465" s="5">
        <f>data_origin!Y1679</f>
        <v>2.1666666666666665</v>
      </c>
      <c r="Z1465" s="5">
        <f>data_origin!Z1679</f>
        <v>0</v>
      </c>
      <c r="AA1465" s="5">
        <f>data_origin!AA1679</f>
        <v>0</v>
      </c>
      <c r="AB1465" s="5">
        <f t="shared" si="159"/>
        <v>69.749317478423109</v>
      </c>
    </row>
    <row r="1466" spans="4:28" x14ac:dyDescent="0.25">
      <c r="D1466" t="s">
        <v>81</v>
      </c>
      <c r="E1466" s="38">
        <f t="shared" si="160"/>
        <v>0</v>
      </c>
      <c r="F1466" s="38">
        <f t="shared" si="160"/>
        <v>0</v>
      </c>
      <c r="G1466" s="38">
        <f t="shared" si="160"/>
        <v>2.1352034914987077</v>
      </c>
      <c r="H1466" s="38">
        <f t="shared" si="160"/>
        <v>6.5137762048694254</v>
      </c>
      <c r="I1466" s="38">
        <f t="shared" si="160"/>
        <v>3.1760059055728957</v>
      </c>
      <c r="J1466" s="38">
        <f t="shared" si="160"/>
        <v>0</v>
      </c>
      <c r="K1466" s="38">
        <f t="shared" si="160"/>
        <v>0</v>
      </c>
      <c r="L1466" s="38">
        <f t="shared" si="160"/>
        <v>0</v>
      </c>
      <c r="M1466" s="35">
        <f t="shared" si="155"/>
        <v>11.82498560194103</v>
      </c>
      <c r="S1466" t="s">
        <v>81</v>
      </c>
      <c r="T1466" s="5">
        <f>data_origin!T1680</f>
        <v>0</v>
      </c>
      <c r="U1466" s="5">
        <f>data_origin!U1680</f>
        <v>0</v>
      </c>
      <c r="V1466" s="5">
        <f>data_origin!V1680</f>
        <v>2.1058823529411765</v>
      </c>
      <c r="W1466" s="5">
        <f>data_origin!W1680</f>
        <v>6.4014869888475836</v>
      </c>
      <c r="X1466" s="5">
        <f>data_origin!X1680</f>
        <v>3.1216216216216215</v>
      </c>
      <c r="Y1466" s="5">
        <f>data_origin!Y1680</f>
        <v>0</v>
      </c>
      <c r="Z1466" s="5">
        <f>data_origin!Z1680</f>
        <v>0</v>
      </c>
      <c r="AA1466" s="5">
        <f>data_origin!AA1680</f>
        <v>0</v>
      </c>
      <c r="AB1466" s="5">
        <f t="shared" si="159"/>
        <v>11.628990963410381</v>
      </c>
    </row>
    <row r="1467" spans="4:28" x14ac:dyDescent="0.25">
      <c r="D1467" t="s">
        <v>82</v>
      </c>
      <c r="E1467" s="38">
        <f t="shared" si="160"/>
        <v>0</v>
      </c>
      <c r="F1467" s="38">
        <f t="shared" si="160"/>
        <v>0</v>
      </c>
      <c r="G1467" s="38">
        <f t="shared" si="160"/>
        <v>3.2028052372480613</v>
      </c>
      <c r="H1467" s="38">
        <f t="shared" si="160"/>
        <v>11.941923042260614</v>
      </c>
      <c r="I1467" s="38">
        <f t="shared" si="160"/>
        <v>4.2346745407638613</v>
      </c>
      <c r="J1467" s="38">
        <f t="shared" si="160"/>
        <v>1.1035552183836497</v>
      </c>
      <c r="K1467" s="38">
        <f t="shared" si="160"/>
        <v>0</v>
      </c>
      <c r="L1467" s="38">
        <f t="shared" si="160"/>
        <v>0</v>
      </c>
      <c r="M1467" s="35">
        <f t="shared" si="155"/>
        <v>20.482958038656186</v>
      </c>
      <c r="S1467" t="s">
        <v>82</v>
      </c>
      <c r="T1467" s="5">
        <f>data_origin!T1681</f>
        <v>0</v>
      </c>
      <c r="U1467" s="5">
        <f>data_origin!U1681</f>
        <v>0</v>
      </c>
      <c r="V1467" s="5">
        <f>data_origin!V1681</f>
        <v>3.1588235294117646</v>
      </c>
      <c r="W1467" s="5">
        <f>data_origin!W1681</f>
        <v>11.736059479553903</v>
      </c>
      <c r="X1467" s="5">
        <f>data_origin!X1681</f>
        <v>4.1621621621621623</v>
      </c>
      <c r="Y1467" s="5">
        <f>data_origin!Y1681</f>
        <v>1.0833333333333333</v>
      </c>
      <c r="Z1467" s="5">
        <f>data_origin!Z1681</f>
        <v>0</v>
      </c>
      <c r="AA1467" s="5">
        <f>data_origin!AA1681</f>
        <v>0</v>
      </c>
      <c r="AB1467" s="5">
        <f t="shared" si="159"/>
        <v>20.140378504461161</v>
      </c>
    </row>
    <row r="1468" spans="4:28" x14ac:dyDescent="0.25">
      <c r="D1468" t="s">
        <v>83</v>
      </c>
      <c r="E1468" s="38">
        <f t="shared" si="160"/>
        <v>0</v>
      </c>
      <c r="F1468" s="38">
        <f t="shared" si="160"/>
        <v>0</v>
      </c>
      <c r="G1468" s="38">
        <f t="shared" si="160"/>
        <v>2.1352034914987077</v>
      </c>
      <c r="H1468" s="38">
        <f t="shared" si="160"/>
        <v>1.0856293674782374</v>
      </c>
      <c r="I1468" s="38">
        <f t="shared" si="160"/>
        <v>1.0586686351909653</v>
      </c>
      <c r="J1468" s="38">
        <f t="shared" si="160"/>
        <v>0</v>
      </c>
      <c r="K1468" s="38">
        <f t="shared" si="160"/>
        <v>0</v>
      </c>
      <c r="L1468" s="38">
        <f t="shared" si="160"/>
        <v>0</v>
      </c>
      <c r="M1468" s="35">
        <f t="shared" si="155"/>
        <v>4.2795014941679108</v>
      </c>
      <c r="S1468" t="s">
        <v>83</v>
      </c>
      <c r="T1468" s="5">
        <f>data_origin!T1682</f>
        <v>0</v>
      </c>
      <c r="U1468" s="5">
        <f>data_origin!U1682</f>
        <v>0</v>
      </c>
      <c r="V1468" s="5">
        <f>data_origin!V1682</f>
        <v>2.1058823529411765</v>
      </c>
      <c r="W1468" s="5">
        <f>data_origin!W1682</f>
        <v>1.0669144981412639</v>
      </c>
      <c r="X1468" s="5">
        <f>data_origin!X1682</f>
        <v>1.0405405405405406</v>
      </c>
      <c r="Y1468" s="5">
        <f>data_origin!Y1682</f>
        <v>0</v>
      </c>
      <c r="Z1468" s="5">
        <f>data_origin!Z1682</f>
        <v>0</v>
      </c>
      <c r="AA1468" s="5">
        <f>data_origin!AA1682</f>
        <v>0</v>
      </c>
      <c r="AB1468" s="5">
        <f t="shared" si="159"/>
        <v>4.2133373916229813</v>
      </c>
    </row>
    <row r="1469" spans="4:28" x14ac:dyDescent="0.25">
      <c r="D1469" t="s">
        <v>84</v>
      </c>
      <c r="E1469" s="38">
        <f t="shared" si="160"/>
        <v>0</v>
      </c>
      <c r="F1469" s="38">
        <f t="shared" si="160"/>
        <v>0</v>
      </c>
      <c r="G1469" s="38">
        <f t="shared" si="160"/>
        <v>2.1352034914987077</v>
      </c>
      <c r="H1469" s="38">
        <f t="shared" si="160"/>
        <v>2.1712587349564747</v>
      </c>
      <c r="I1469" s="38">
        <f t="shared" si="160"/>
        <v>2.1173372703819306</v>
      </c>
      <c r="J1469" s="38">
        <f t="shared" si="160"/>
        <v>0</v>
      </c>
      <c r="K1469" s="38">
        <f t="shared" si="160"/>
        <v>0</v>
      </c>
      <c r="L1469" s="38">
        <f t="shared" si="160"/>
        <v>0</v>
      </c>
      <c r="M1469" s="35">
        <f t="shared" si="155"/>
        <v>6.4237994968371126</v>
      </c>
      <c r="S1469" t="s">
        <v>84</v>
      </c>
      <c r="T1469" s="5">
        <f>data_origin!T1683</f>
        <v>0</v>
      </c>
      <c r="U1469" s="5">
        <f>data_origin!U1683</f>
        <v>0</v>
      </c>
      <c r="V1469" s="5">
        <f>data_origin!V1683</f>
        <v>2.1058823529411765</v>
      </c>
      <c r="W1469" s="5">
        <f>data_origin!W1683</f>
        <v>2.1338289962825279</v>
      </c>
      <c r="X1469" s="5">
        <f>data_origin!X1683</f>
        <v>2.0810810810810811</v>
      </c>
      <c r="Y1469" s="5">
        <f>data_origin!Y1683</f>
        <v>0</v>
      </c>
      <c r="Z1469" s="5">
        <f>data_origin!Z1683</f>
        <v>0</v>
      </c>
      <c r="AA1469" s="5">
        <f>data_origin!AA1683</f>
        <v>0</v>
      </c>
      <c r="AB1469" s="5">
        <f t="shared" si="159"/>
        <v>6.3207924303047847</v>
      </c>
    </row>
    <row r="1470" spans="4:28" x14ac:dyDescent="0.25">
      <c r="D1470" t="s">
        <v>85</v>
      </c>
      <c r="E1470" s="38">
        <f t="shared" si="160"/>
        <v>0</v>
      </c>
      <c r="F1470" s="38">
        <f t="shared" si="160"/>
        <v>0</v>
      </c>
      <c r="G1470" s="38">
        <f t="shared" si="160"/>
        <v>3.2028052372480613</v>
      </c>
      <c r="H1470" s="38">
        <f t="shared" si="160"/>
        <v>3.2568881024347127</v>
      </c>
      <c r="I1470" s="38">
        <f t="shared" si="160"/>
        <v>2.1173372703819306</v>
      </c>
      <c r="J1470" s="38">
        <f t="shared" si="160"/>
        <v>0</v>
      </c>
      <c r="K1470" s="38">
        <f t="shared" si="160"/>
        <v>0</v>
      </c>
      <c r="L1470" s="38">
        <f t="shared" si="160"/>
        <v>0</v>
      </c>
      <c r="M1470" s="35">
        <f t="shared" si="155"/>
        <v>8.5770306100647051</v>
      </c>
      <c r="S1470" t="s">
        <v>85</v>
      </c>
      <c r="T1470" s="5">
        <f>data_origin!T1684</f>
        <v>0</v>
      </c>
      <c r="U1470" s="5">
        <f>data_origin!U1684</f>
        <v>0</v>
      </c>
      <c r="V1470" s="5">
        <f>data_origin!V1684</f>
        <v>3.1588235294117646</v>
      </c>
      <c r="W1470" s="5">
        <f>data_origin!W1684</f>
        <v>3.2007434944237918</v>
      </c>
      <c r="X1470" s="5">
        <f>data_origin!X1684</f>
        <v>2.0810810810810811</v>
      </c>
      <c r="Y1470" s="5">
        <f>data_origin!Y1684</f>
        <v>0</v>
      </c>
      <c r="Z1470" s="5">
        <f>data_origin!Z1684</f>
        <v>0</v>
      </c>
      <c r="AA1470" s="5">
        <f>data_origin!AA1684</f>
        <v>0</v>
      </c>
      <c r="AB1470" s="5">
        <f t="shared" si="159"/>
        <v>8.4406481049166366</v>
      </c>
    </row>
    <row r="1471" spans="4:28" x14ac:dyDescent="0.25">
      <c r="D1471" t="s">
        <v>86</v>
      </c>
      <c r="E1471" s="38">
        <f t="shared" si="160"/>
        <v>0</v>
      </c>
      <c r="F1471" s="38">
        <f t="shared" si="160"/>
        <v>0</v>
      </c>
      <c r="G1471" s="38">
        <f t="shared" si="160"/>
        <v>41.636468084224802</v>
      </c>
      <c r="H1471" s="38">
        <f t="shared" si="160"/>
        <v>64.052132681216023</v>
      </c>
      <c r="I1471" s="38">
        <f t="shared" si="160"/>
        <v>28.584053150156063</v>
      </c>
      <c r="J1471" s="38">
        <f t="shared" si="160"/>
        <v>4.4142208735345987</v>
      </c>
      <c r="K1471" s="38">
        <f t="shared" si="160"/>
        <v>0</v>
      </c>
      <c r="L1471" s="38">
        <f t="shared" si="160"/>
        <v>0</v>
      </c>
      <c r="M1471" s="35">
        <f t="shared" si="155"/>
        <v>138.68687478913148</v>
      </c>
      <c r="S1471" t="s">
        <v>86</v>
      </c>
      <c r="T1471" s="5">
        <f>data_origin!T1685</f>
        <v>0</v>
      </c>
      <c r="U1471" s="5">
        <f>data_origin!U1685</f>
        <v>0</v>
      </c>
      <c r="V1471" s="5">
        <f>data_origin!V1685</f>
        <v>41.064705882352939</v>
      </c>
      <c r="W1471" s="5">
        <f>data_origin!W1685</f>
        <v>62.94795539033457</v>
      </c>
      <c r="X1471" s="5">
        <f>data_origin!X1685</f>
        <v>28.094594594594593</v>
      </c>
      <c r="Y1471" s="5">
        <f>data_origin!Y1685</f>
        <v>4.333333333333333</v>
      </c>
      <c r="Z1471" s="5">
        <f>data_origin!Z1685</f>
        <v>0</v>
      </c>
      <c r="AA1471" s="5">
        <f>data_origin!AA1685</f>
        <v>0</v>
      </c>
      <c r="AB1471" s="5">
        <f t="shared" si="159"/>
        <v>136.44058920061545</v>
      </c>
    </row>
    <row r="1472" spans="4:28" x14ac:dyDescent="0.25">
      <c r="D1472" t="s">
        <v>87</v>
      </c>
      <c r="E1472" s="38">
        <f t="shared" si="160"/>
        <v>0</v>
      </c>
      <c r="F1472" s="38">
        <f t="shared" si="160"/>
        <v>0</v>
      </c>
      <c r="G1472" s="38">
        <f t="shared" si="160"/>
        <v>8.5408139659948308</v>
      </c>
      <c r="H1472" s="38">
        <f t="shared" si="160"/>
        <v>5.4281468373911874</v>
      </c>
      <c r="I1472" s="38">
        <f t="shared" si="160"/>
        <v>3.1760059055728957</v>
      </c>
      <c r="J1472" s="38">
        <f t="shared" si="160"/>
        <v>0</v>
      </c>
      <c r="K1472" s="38">
        <f t="shared" si="160"/>
        <v>0</v>
      </c>
      <c r="L1472" s="38">
        <f t="shared" si="160"/>
        <v>0</v>
      </c>
      <c r="M1472" s="35">
        <f t="shared" si="155"/>
        <v>17.144966708958915</v>
      </c>
      <c r="S1472" t="s">
        <v>87</v>
      </c>
      <c r="T1472" s="5">
        <f>data_origin!T1686</f>
        <v>0</v>
      </c>
      <c r="U1472" s="5">
        <f>data_origin!U1686</f>
        <v>0</v>
      </c>
      <c r="V1472" s="5">
        <f>data_origin!V1686</f>
        <v>8.4235294117647062</v>
      </c>
      <c r="W1472" s="5">
        <f>data_origin!W1686</f>
        <v>5.3345724907063197</v>
      </c>
      <c r="X1472" s="5">
        <f>data_origin!X1686</f>
        <v>3.1216216216216215</v>
      </c>
      <c r="Y1472" s="5">
        <f>data_origin!Y1686</f>
        <v>0</v>
      </c>
      <c r="Z1472" s="5">
        <f>data_origin!Z1686</f>
        <v>0</v>
      </c>
      <c r="AA1472" s="5">
        <f>data_origin!AA1686</f>
        <v>0</v>
      </c>
      <c r="AB1472" s="5">
        <f t="shared" si="159"/>
        <v>16.879723524092647</v>
      </c>
    </row>
    <row r="1473" spans="1:28" x14ac:dyDescent="0.25">
      <c r="D1473" t="s">
        <v>88</v>
      </c>
      <c r="E1473" s="38">
        <f t="shared" si="160"/>
        <v>0</v>
      </c>
      <c r="F1473" s="38">
        <f t="shared" si="160"/>
        <v>0</v>
      </c>
      <c r="G1473" s="38">
        <f t="shared" si="160"/>
        <v>8.5408139659948308</v>
      </c>
      <c r="H1473" s="38">
        <f t="shared" si="160"/>
        <v>17.370069879651798</v>
      </c>
      <c r="I1473" s="38">
        <f t="shared" si="160"/>
        <v>4.2346745407638613</v>
      </c>
      <c r="J1473" s="38">
        <f t="shared" si="160"/>
        <v>1.1035552183836497</v>
      </c>
      <c r="K1473" s="38">
        <f t="shared" si="160"/>
        <v>0</v>
      </c>
      <c r="L1473" s="38">
        <f t="shared" si="160"/>
        <v>0</v>
      </c>
      <c r="M1473" s="35">
        <f t="shared" si="155"/>
        <v>31.249113604794143</v>
      </c>
      <c r="S1473" t="s">
        <v>88</v>
      </c>
      <c r="T1473" s="5">
        <f>data_origin!T1687</f>
        <v>0</v>
      </c>
      <c r="U1473" s="5">
        <f>data_origin!U1687</f>
        <v>0</v>
      </c>
      <c r="V1473" s="5">
        <f>data_origin!V1687</f>
        <v>8.4235294117647062</v>
      </c>
      <c r="W1473" s="5">
        <f>data_origin!W1687</f>
        <v>17.070631970260223</v>
      </c>
      <c r="X1473" s="5">
        <f>data_origin!X1687</f>
        <v>4.1621621621621623</v>
      </c>
      <c r="Y1473" s="5">
        <f>data_origin!Y1687</f>
        <v>1.0833333333333333</v>
      </c>
      <c r="Z1473" s="5">
        <f>data_origin!Z1687</f>
        <v>0</v>
      </c>
      <c r="AA1473" s="5">
        <f>data_origin!AA1687</f>
        <v>0</v>
      </c>
      <c r="AB1473" s="5">
        <f t="shared" si="159"/>
        <v>30.739656877520421</v>
      </c>
    </row>
    <row r="1474" spans="1:28" x14ac:dyDescent="0.25">
      <c r="D1474" t="s">
        <v>89</v>
      </c>
      <c r="E1474" s="38">
        <f t="shared" si="160"/>
        <v>0</v>
      </c>
      <c r="F1474" s="38">
        <f t="shared" si="160"/>
        <v>0</v>
      </c>
      <c r="G1474" s="38">
        <f t="shared" si="160"/>
        <v>0</v>
      </c>
      <c r="H1474" s="38">
        <f t="shared" si="160"/>
        <v>1.0856293674782374</v>
      </c>
      <c r="I1474" s="38">
        <f t="shared" si="160"/>
        <v>1.0586686351909653</v>
      </c>
      <c r="J1474" s="38">
        <f t="shared" si="160"/>
        <v>0</v>
      </c>
      <c r="K1474" s="38">
        <f t="shared" si="160"/>
        <v>0</v>
      </c>
      <c r="L1474" s="38">
        <f t="shared" si="160"/>
        <v>0</v>
      </c>
      <c r="M1474" s="35">
        <f t="shared" si="155"/>
        <v>2.1442980026692027</v>
      </c>
      <c r="S1474" t="s">
        <v>89</v>
      </c>
      <c r="T1474" s="5">
        <f>data_origin!T1688</f>
        <v>0</v>
      </c>
      <c r="U1474" s="5">
        <f>data_origin!U1688</f>
        <v>0</v>
      </c>
      <c r="V1474" s="5">
        <f>data_origin!V1688</f>
        <v>0</v>
      </c>
      <c r="W1474" s="5">
        <f>data_origin!W1688</f>
        <v>1.0669144981412639</v>
      </c>
      <c r="X1474" s="5">
        <f>data_origin!X1688</f>
        <v>1.0405405405405406</v>
      </c>
      <c r="Y1474" s="5">
        <f>data_origin!Y1688</f>
        <v>0</v>
      </c>
      <c r="Z1474" s="5">
        <f>data_origin!Z1688</f>
        <v>0</v>
      </c>
      <c r="AA1474" s="5">
        <f>data_origin!AA1688</f>
        <v>0</v>
      </c>
      <c r="AB1474" s="5">
        <f t="shared" si="159"/>
        <v>2.1074550386818043</v>
      </c>
    </row>
    <row r="1475" spans="1:28" x14ac:dyDescent="0.25">
      <c r="D1475" t="s">
        <v>90</v>
      </c>
      <c r="E1475" s="38">
        <f t="shared" si="160"/>
        <v>0</v>
      </c>
      <c r="F1475" s="38">
        <f t="shared" si="160"/>
        <v>0</v>
      </c>
      <c r="G1475" s="38">
        <f t="shared" si="160"/>
        <v>0</v>
      </c>
      <c r="H1475" s="38">
        <f t="shared" si="160"/>
        <v>1.0856293674782374</v>
      </c>
      <c r="I1475" s="38">
        <f t="shared" si="160"/>
        <v>0</v>
      </c>
      <c r="J1475" s="38">
        <f t="shared" si="160"/>
        <v>0</v>
      </c>
      <c r="K1475" s="38">
        <f t="shared" si="160"/>
        <v>0</v>
      </c>
      <c r="L1475" s="38">
        <f t="shared" si="160"/>
        <v>0</v>
      </c>
      <c r="M1475" s="35">
        <f t="shared" ref="M1475:M1538" si="161">SUM(E1475:L1475)</f>
        <v>1.0856293674782374</v>
      </c>
      <c r="S1475" t="s">
        <v>90</v>
      </c>
      <c r="T1475" s="5">
        <f>data_origin!T1689</f>
        <v>0</v>
      </c>
      <c r="U1475" s="5">
        <f>data_origin!U1689</f>
        <v>0</v>
      </c>
      <c r="V1475" s="5">
        <f>data_origin!V1689</f>
        <v>0</v>
      </c>
      <c r="W1475" s="5">
        <f>data_origin!W1689</f>
        <v>1.0669144981412639</v>
      </c>
      <c r="X1475" s="5">
        <f>data_origin!X1689</f>
        <v>0</v>
      </c>
      <c r="Y1475" s="5">
        <f>data_origin!Y1689</f>
        <v>0</v>
      </c>
      <c r="Z1475" s="5">
        <f>data_origin!Z1689</f>
        <v>0</v>
      </c>
      <c r="AA1475" s="5">
        <f>data_origin!AA1689</f>
        <v>0</v>
      </c>
      <c r="AB1475" s="5">
        <f t="shared" si="159"/>
        <v>1.0669144981412639</v>
      </c>
    </row>
    <row r="1476" spans="1:28" x14ac:dyDescent="0.25">
      <c r="D1476" t="s">
        <v>91</v>
      </c>
      <c r="E1476" s="38">
        <f t="shared" si="160"/>
        <v>0</v>
      </c>
      <c r="F1476" s="38">
        <f t="shared" si="160"/>
        <v>0</v>
      </c>
      <c r="G1476" s="38">
        <f t="shared" si="160"/>
        <v>0</v>
      </c>
      <c r="H1476" s="38">
        <f t="shared" si="160"/>
        <v>0</v>
      </c>
      <c r="I1476" s="38">
        <f t="shared" si="160"/>
        <v>0</v>
      </c>
      <c r="J1476" s="38">
        <f t="shared" si="160"/>
        <v>0</v>
      </c>
      <c r="K1476" s="38">
        <f t="shared" si="160"/>
        <v>0</v>
      </c>
      <c r="L1476" s="38">
        <f t="shared" si="160"/>
        <v>0</v>
      </c>
      <c r="M1476" s="35">
        <f t="shared" si="161"/>
        <v>0</v>
      </c>
      <c r="S1476" t="s">
        <v>91</v>
      </c>
      <c r="T1476" s="5">
        <f>data_origin!T1690</f>
        <v>0</v>
      </c>
      <c r="U1476" s="5">
        <f>data_origin!U1690</f>
        <v>0</v>
      </c>
      <c r="V1476" s="5">
        <f>data_origin!V1690</f>
        <v>0</v>
      </c>
      <c r="W1476" s="5">
        <f>data_origin!W1690</f>
        <v>0</v>
      </c>
      <c r="X1476" s="5">
        <f>data_origin!X1690</f>
        <v>0</v>
      </c>
      <c r="Y1476" s="5">
        <f>data_origin!Y1690</f>
        <v>0</v>
      </c>
      <c r="Z1476" s="5">
        <f>data_origin!Z1690</f>
        <v>0</v>
      </c>
      <c r="AA1476" s="5">
        <f>data_origin!AA1690</f>
        <v>0</v>
      </c>
      <c r="AB1476" s="5">
        <f t="shared" si="159"/>
        <v>0</v>
      </c>
    </row>
    <row r="1477" spans="1:28" x14ac:dyDescent="0.25">
      <c r="D1477" t="s">
        <v>92</v>
      </c>
      <c r="E1477" s="38">
        <f t="shared" si="160"/>
        <v>0</v>
      </c>
      <c r="F1477" s="38">
        <f t="shared" si="160"/>
        <v>0</v>
      </c>
      <c r="G1477" s="38">
        <f t="shared" si="160"/>
        <v>0</v>
      </c>
      <c r="H1477" s="38">
        <f t="shared" si="160"/>
        <v>0</v>
      </c>
      <c r="I1477" s="38">
        <f t="shared" si="160"/>
        <v>0</v>
      </c>
      <c r="J1477" s="38">
        <f t="shared" si="160"/>
        <v>0</v>
      </c>
      <c r="K1477" s="38">
        <f t="shared" si="160"/>
        <v>0</v>
      </c>
      <c r="L1477" s="38">
        <f t="shared" si="160"/>
        <v>0</v>
      </c>
      <c r="M1477" s="35">
        <f t="shared" si="161"/>
        <v>0</v>
      </c>
      <c r="S1477" t="s">
        <v>92</v>
      </c>
      <c r="T1477" s="5">
        <f>data_origin!T1691</f>
        <v>0</v>
      </c>
      <c r="U1477" s="5">
        <f>data_origin!U1691</f>
        <v>0</v>
      </c>
      <c r="V1477" s="5">
        <f>data_origin!V1691</f>
        <v>0</v>
      </c>
      <c r="W1477" s="5">
        <f>data_origin!W1691</f>
        <v>0</v>
      </c>
      <c r="X1477" s="5">
        <f>data_origin!X1691</f>
        <v>0</v>
      </c>
      <c r="Y1477" s="5">
        <f>data_origin!Y1691</f>
        <v>0</v>
      </c>
      <c r="Z1477" s="5">
        <f>data_origin!Z1691</f>
        <v>0</v>
      </c>
      <c r="AA1477" s="5">
        <f>data_origin!AA1691</f>
        <v>0</v>
      </c>
      <c r="AB1477" s="5">
        <f t="shared" si="159"/>
        <v>0</v>
      </c>
    </row>
    <row r="1478" spans="1:28" x14ac:dyDescent="0.25">
      <c r="D1478" t="s">
        <v>93</v>
      </c>
      <c r="E1478" s="38">
        <f t="shared" si="160"/>
        <v>0</v>
      </c>
      <c r="F1478" s="38">
        <f t="shared" si="160"/>
        <v>0</v>
      </c>
      <c r="G1478" s="38">
        <f t="shared" si="160"/>
        <v>0</v>
      </c>
      <c r="H1478" s="38">
        <f t="shared" si="160"/>
        <v>0</v>
      </c>
      <c r="I1478" s="38">
        <f t="shared" si="160"/>
        <v>0</v>
      </c>
      <c r="J1478" s="38">
        <f t="shared" si="160"/>
        <v>0</v>
      </c>
      <c r="K1478" s="38">
        <f t="shared" si="160"/>
        <v>0</v>
      </c>
      <c r="L1478" s="38">
        <f t="shared" si="160"/>
        <v>0</v>
      </c>
      <c r="M1478" s="35">
        <f t="shared" si="161"/>
        <v>0</v>
      </c>
      <c r="S1478" t="s">
        <v>93</v>
      </c>
      <c r="T1478" s="5">
        <f>data_origin!T1692</f>
        <v>0</v>
      </c>
      <c r="U1478" s="5">
        <f>data_origin!U1692</f>
        <v>0</v>
      </c>
      <c r="V1478" s="5">
        <f>data_origin!V1692</f>
        <v>0</v>
      </c>
      <c r="W1478" s="5">
        <f>data_origin!W1692</f>
        <v>0</v>
      </c>
      <c r="X1478" s="5">
        <f>data_origin!X1692</f>
        <v>0</v>
      </c>
      <c r="Y1478" s="5">
        <f>data_origin!Y1692</f>
        <v>0</v>
      </c>
      <c r="Z1478" s="5">
        <f>data_origin!Z1692</f>
        <v>0</v>
      </c>
      <c r="AA1478" s="5">
        <f>data_origin!AA1692</f>
        <v>0</v>
      </c>
      <c r="AB1478" s="5">
        <f t="shared" si="159"/>
        <v>0</v>
      </c>
    </row>
    <row r="1479" spans="1:28" x14ac:dyDescent="0.25">
      <c r="D1479" t="s">
        <v>94</v>
      </c>
      <c r="E1479" s="38">
        <f t="shared" si="160"/>
        <v>0</v>
      </c>
      <c r="F1479" s="38">
        <f t="shared" si="160"/>
        <v>0</v>
      </c>
      <c r="G1479" s="38">
        <f t="shared" si="160"/>
        <v>0</v>
      </c>
      <c r="H1479" s="38">
        <f t="shared" si="160"/>
        <v>0</v>
      </c>
      <c r="I1479" s="38">
        <f t="shared" si="160"/>
        <v>0</v>
      </c>
      <c r="J1479" s="38">
        <f t="shared" si="160"/>
        <v>0</v>
      </c>
      <c r="K1479" s="38">
        <f t="shared" si="160"/>
        <v>0</v>
      </c>
      <c r="L1479" s="38">
        <f t="shared" si="160"/>
        <v>0</v>
      </c>
      <c r="M1479" s="35">
        <f t="shared" si="161"/>
        <v>0</v>
      </c>
      <c r="S1479" t="s">
        <v>94</v>
      </c>
      <c r="T1479" s="5">
        <f>data_origin!T1693</f>
        <v>0</v>
      </c>
      <c r="U1479" s="5">
        <f>data_origin!U1693</f>
        <v>0</v>
      </c>
      <c r="V1479" s="5">
        <f>data_origin!V1693</f>
        <v>0</v>
      </c>
      <c r="W1479" s="5">
        <f>data_origin!W1693</f>
        <v>0</v>
      </c>
      <c r="X1479" s="5">
        <f>data_origin!X1693</f>
        <v>0</v>
      </c>
      <c r="Y1479" s="5">
        <f>data_origin!Y1693</f>
        <v>0</v>
      </c>
      <c r="Z1479" s="5">
        <f>data_origin!Z1693</f>
        <v>0</v>
      </c>
      <c r="AA1479" s="5">
        <f>data_origin!AA1693</f>
        <v>0</v>
      </c>
      <c r="AB1479" s="5">
        <f t="shared" si="159"/>
        <v>0</v>
      </c>
    </row>
    <row r="1480" spans="1:28" x14ac:dyDescent="0.25">
      <c r="D1480" t="s">
        <v>95</v>
      </c>
      <c r="E1480" s="38">
        <f t="shared" si="160"/>
        <v>0</v>
      </c>
      <c r="F1480" s="38">
        <f t="shared" si="160"/>
        <v>0</v>
      </c>
      <c r="G1480" s="38">
        <f t="shared" si="160"/>
        <v>0</v>
      </c>
      <c r="H1480" s="38">
        <f t="shared" si="160"/>
        <v>0</v>
      </c>
      <c r="I1480" s="38">
        <f t="shared" si="160"/>
        <v>0</v>
      </c>
      <c r="J1480" s="38">
        <f t="shared" si="160"/>
        <v>0</v>
      </c>
      <c r="K1480" s="38">
        <f t="shared" si="160"/>
        <v>0</v>
      </c>
      <c r="L1480" s="38">
        <f t="shared" si="160"/>
        <v>0</v>
      </c>
      <c r="M1480" s="35">
        <f t="shared" si="161"/>
        <v>0</v>
      </c>
      <c r="S1480" t="s">
        <v>95</v>
      </c>
      <c r="T1480" s="5">
        <f>data_origin!T1694</f>
        <v>0</v>
      </c>
      <c r="U1480" s="5">
        <f>data_origin!U1694</f>
        <v>0</v>
      </c>
      <c r="V1480" s="5">
        <f>data_origin!V1694</f>
        <v>0</v>
      </c>
      <c r="W1480" s="5">
        <f>data_origin!W1694</f>
        <v>0</v>
      </c>
      <c r="X1480" s="5">
        <f>data_origin!X1694</f>
        <v>0</v>
      </c>
      <c r="Y1480" s="5">
        <f>data_origin!Y1694</f>
        <v>0</v>
      </c>
      <c r="Z1480" s="5">
        <f>data_origin!Z1694</f>
        <v>0</v>
      </c>
      <c r="AA1480" s="5">
        <f>data_origin!AA1694</f>
        <v>0</v>
      </c>
      <c r="AB1480" s="5">
        <f t="shared" si="159"/>
        <v>0</v>
      </c>
    </row>
    <row r="1481" spans="1:28" x14ac:dyDescent="0.25">
      <c r="D1481" t="s">
        <v>96</v>
      </c>
      <c r="E1481" s="38">
        <f t="shared" si="160"/>
        <v>0</v>
      </c>
      <c r="F1481" s="38">
        <f t="shared" si="160"/>
        <v>0</v>
      </c>
      <c r="G1481" s="38">
        <f t="shared" si="160"/>
        <v>0</v>
      </c>
      <c r="H1481" s="38">
        <f t="shared" si="160"/>
        <v>0</v>
      </c>
      <c r="I1481" s="38">
        <f t="shared" si="160"/>
        <v>0</v>
      </c>
      <c r="J1481" s="38">
        <f t="shared" si="160"/>
        <v>0</v>
      </c>
      <c r="K1481" s="38">
        <f t="shared" si="160"/>
        <v>0</v>
      </c>
      <c r="L1481" s="38">
        <f t="shared" si="160"/>
        <v>0</v>
      </c>
      <c r="M1481" s="35">
        <f t="shared" si="161"/>
        <v>0</v>
      </c>
      <c r="S1481" t="s">
        <v>96</v>
      </c>
      <c r="T1481" s="5">
        <f>data_origin!T1695</f>
        <v>0</v>
      </c>
      <c r="U1481" s="5">
        <f>data_origin!U1695</f>
        <v>0</v>
      </c>
      <c r="V1481" s="5">
        <f>data_origin!V1695</f>
        <v>0</v>
      </c>
      <c r="W1481" s="5">
        <f>data_origin!W1695</f>
        <v>0</v>
      </c>
      <c r="X1481" s="5">
        <f>data_origin!X1695</f>
        <v>0</v>
      </c>
      <c r="Y1481" s="5">
        <f>data_origin!Y1695</f>
        <v>0</v>
      </c>
      <c r="Z1481" s="5">
        <f>data_origin!Z1695</f>
        <v>0</v>
      </c>
      <c r="AA1481" s="5">
        <f>data_origin!AA1695</f>
        <v>0</v>
      </c>
      <c r="AB1481" s="5">
        <f t="shared" si="159"/>
        <v>0</v>
      </c>
    </row>
    <row r="1482" spans="1:28" x14ac:dyDescent="0.25">
      <c r="D1482" t="s">
        <v>97</v>
      </c>
      <c r="E1482" s="38">
        <f t="shared" si="160"/>
        <v>0</v>
      </c>
      <c r="F1482" s="38">
        <f t="shared" si="160"/>
        <v>0</v>
      </c>
      <c r="G1482" s="38">
        <f t="shared" si="160"/>
        <v>0</v>
      </c>
      <c r="H1482" s="38">
        <f t="shared" si="160"/>
        <v>1.0856293674782374</v>
      </c>
      <c r="I1482" s="38">
        <f t="shared" si="160"/>
        <v>0</v>
      </c>
      <c r="J1482" s="38">
        <f t="shared" si="160"/>
        <v>0</v>
      </c>
      <c r="K1482" s="38">
        <f t="shared" si="160"/>
        <v>0</v>
      </c>
      <c r="L1482" s="38">
        <f t="shared" si="160"/>
        <v>0</v>
      </c>
      <c r="M1482" s="35">
        <f t="shared" si="161"/>
        <v>1.0856293674782374</v>
      </c>
      <c r="S1482" t="s">
        <v>97</v>
      </c>
      <c r="T1482" s="5">
        <f>data_origin!T1696</f>
        <v>0</v>
      </c>
      <c r="U1482" s="5">
        <f>data_origin!U1696</f>
        <v>0</v>
      </c>
      <c r="V1482" s="5">
        <f>data_origin!V1696</f>
        <v>0</v>
      </c>
      <c r="W1482" s="5">
        <f>data_origin!W1696</f>
        <v>1.0669144981412639</v>
      </c>
      <c r="X1482" s="5">
        <f>data_origin!X1696</f>
        <v>0</v>
      </c>
      <c r="Y1482" s="5">
        <f>data_origin!Y1696</f>
        <v>0</v>
      </c>
      <c r="Z1482" s="5">
        <f>data_origin!Z1696</f>
        <v>0</v>
      </c>
      <c r="AA1482" s="5">
        <f>data_origin!AA1696</f>
        <v>0</v>
      </c>
      <c r="AB1482" s="5">
        <f t="shared" si="159"/>
        <v>1.0669144981412639</v>
      </c>
    </row>
    <row r="1483" spans="1:28" x14ac:dyDescent="0.25">
      <c r="D1483" t="s">
        <v>98</v>
      </c>
      <c r="E1483" s="38">
        <f t="shared" si="160"/>
        <v>0</v>
      </c>
      <c r="F1483" s="38">
        <f t="shared" si="160"/>
        <v>0</v>
      </c>
      <c r="G1483" s="38">
        <f t="shared" si="160"/>
        <v>0</v>
      </c>
      <c r="H1483" s="38">
        <f t="shared" si="160"/>
        <v>0</v>
      </c>
      <c r="I1483" s="38">
        <f t="shared" si="160"/>
        <v>0</v>
      </c>
      <c r="J1483" s="38">
        <f t="shared" si="160"/>
        <v>0</v>
      </c>
      <c r="K1483" s="38">
        <f t="shared" si="160"/>
        <v>0</v>
      </c>
      <c r="L1483" s="38">
        <f t="shared" si="160"/>
        <v>0</v>
      </c>
      <c r="M1483" s="35">
        <f t="shared" si="161"/>
        <v>0</v>
      </c>
      <c r="S1483" t="s">
        <v>98</v>
      </c>
      <c r="T1483" s="5">
        <f>data_origin!T1697</f>
        <v>0</v>
      </c>
      <c r="U1483" s="5">
        <f>data_origin!U1697</f>
        <v>0</v>
      </c>
      <c r="V1483" s="5">
        <f>data_origin!V1697</f>
        <v>0</v>
      </c>
      <c r="W1483" s="5">
        <f>data_origin!W1697</f>
        <v>0</v>
      </c>
      <c r="X1483" s="5">
        <f>data_origin!X1697</f>
        <v>0</v>
      </c>
      <c r="Y1483" s="5">
        <f>data_origin!Y1697</f>
        <v>0</v>
      </c>
      <c r="Z1483" s="5">
        <f>data_origin!Z1697</f>
        <v>0</v>
      </c>
      <c r="AA1483" s="5">
        <f>data_origin!AA1697</f>
        <v>0</v>
      </c>
      <c r="AB1483" s="5">
        <f t="shared" si="159"/>
        <v>0</v>
      </c>
    </row>
    <row r="1484" spans="1:28" x14ac:dyDescent="0.25">
      <c r="D1484" t="s">
        <v>119</v>
      </c>
      <c r="E1484" s="38">
        <f t="shared" si="160"/>
        <v>0</v>
      </c>
      <c r="F1484" s="38">
        <f t="shared" si="160"/>
        <v>0</v>
      </c>
      <c r="G1484" s="38">
        <f t="shared" si="160"/>
        <v>0</v>
      </c>
      <c r="H1484" s="38">
        <f t="shared" si="160"/>
        <v>0</v>
      </c>
      <c r="I1484" s="38">
        <f t="shared" si="160"/>
        <v>0</v>
      </c>
      <c r="J1484" s="38">
        <f t="shared" si="160"/>
        <v>0</v>
      </c>
      <c r="K1484" s="38">
        <f t="shared" si="160"/>
        <v>0</v>
      </c>
      <c r="L1484" s="38">
        <f t="shared" si="160"/>
        <v>0</v>
      </c>
      <c r="M1484" s="35">
        <f t="shared" si="161"/>
        <v>0</v>
      </c>
      <c r="S1484" t="s">
        <v>119</v>
      </c>
      <c r="T1484" s="5">
        <f>data_origin!T1698</f>
        <v>0</v>
      </c>
      <c r="U1484" s="5">
        <f>data_origin!U1698</f>
        <v>0</v>
      </c>
      <c r="V1484" s="5">
        <f>data_origin!V1698</f>
        <v>0</v>
      </c>
      <c r="W1484" s="5">
        <f>data_origin!W1698</f>
        <v>0</v>
      </c>
      <c r="X1484" s="5">
        <f>data_origin!X1698</f>
        <v>0</v>
      </c>
      <c r="Y1484" s="5">
        <f>data_origin!Y1698</f>
        <v>0</v>
      </c>
      <c r="Z1484" s="5">
        <f>data_origin!Z1698</f>
        <v>0</v>
      </c>
      <c r="AA1484" s="5">
        <f>data_origin!AA1698</f>
        <v>0</v>
      </c>
      <c r="AB1484" s="5">
        <f t="shared" si="159"/>
        <v>0</v>
      </c>
    </row>
    <row r="1485" spans="1:28" x14ac:dyDescent="0.25">
      <c r="D1485" t="s">
        <v>99</v>
      </c>
      <c r="E1485" s="38">
        <f t="shared" si="160"/>
        <v>0</v>
      </c>
      <c r="F1485" s="38">
        <f t="shared" si="160"/>
        <v>0</v>
      </c>
      <c r="G1485" s="38">
        <f t="shared" si="160"/>
        <v>2.1352034914987077</v>
      </c>
      <c r="H1485" s="38">
        <f t="shared" si="160"/>
        <v>4.3425174699129494</v>
      </c>
      <c r="I1485" s="38">
        <f t="shared" si="160"/>
        <v>2.1173372703819306</v>
      </c>
      <c r="J1485" s="38">
        <f t="shared" si="160"/>
        <v>0</v>
      </c>
      <c r="K1485" s="38">
        <f t="shared" si="160"/>
        <v>0</v>
      </c>
      <c r="L1485" s="38">
        <f t="shared" si="160"/>
        <v>0</v>
      </c>
      <c r="M1485" s="35">
        <f t="shared" si="161"/>
        <v>8.5950582317935886</v>
      </c>
      <c r="S1485" t="s">
        <v>99</v>
      </c>
      <c r="T1485" s="5">
        <f>data_origin!T1699</f>
        <v>0</v>
      </c>
      <c r="U1485" s="5">
        <f>data_origin!U1699</f>
        <v>0</v>
      </c>
      <c r="V1485" s="5">
        <f>data_origin!V1699</f>
        <v>2.1058823529411765</v>
      </c>
      <c r="W1485" s="5">
        <f>data_origin!W1699</f>
        <v>4.2676579925650557</v>
      </c>
      <c r="X1485" s="5">
        <f>data_origin!X1699</f>
        <v>2.0810810810810811</v>
      </c>
      <c r="Y1485" s="5">
        <f>data_origin!Y1699</f>
        <v>0</v>
      </c>
      <c r="Z1485" s="5">
        <f>data_origin!Z1699</f>
        <v>0</v>
      </c>
      <c r="AA1485" s="5">
        <f>data_origin!AA1699</f>
        <v>0</v>
      </c>
      <c r="AB1485" s="5">
        <f t="shared" si="159"/>
        <v>8.4546214265873125</v>
      </c>
    </row>
    <row r="1486" spans="1:28" x14ac:dyDescent="0.25">
      <c r="D1486" t="s">
        <v>100</v>
      </c>
      <c r="E1486" s="38">
        <f t="shared" si="160"/>
        <v>0</v>
      </c>
      <c r="F1486" s="38">
        <f t="shared" si="160"/>
        <v>0</v>
      </c>
      <c r="G1486" s="38">
        <f t="shared" si="160"/>
        <v>0</v>
      </c>
      <c r="H1486" s="38">
        <f t="shared" si="160"/>
        <v>0</v>
      </c>
      <c r="I1486" s="38">
        <f t="shared" si="160"/>
        <v>0</v>
      </c>
      <c r="J1486" s="38">
        <f t="shared" si="160"/>
        <v>0</v>
      </c>
      <c r="K1486" s="38">
        <f t="shared" si="160"/>
        <v>0</v>
      </c>
      <c r="L1486" s="38">
        <f t="shared" si="160"/>
        <v>0</v>
      </c>
      <c r="M1486" s="35">
        <f t="shared" si="161"/>
        <v>0</v>
      </c>
      <c r="S1486" t="s">
        <v>100</v>
      </c>
      <c r="T1486" s="5">
        <f>data_origin!T1700</f>
        <v>0</v>
      </c>
      <c r="U1486" s="5">
        <f>data_origin!U1700</f>
        <v>0</v>
      </c>
      <c r="V1486" s="5">
        <f>data_origin!V1700</f>
        <v>0</v>
      </c>
      <c r="W1486" s="5">
        <f>data_origin!W1700</f>
        <v>0</v>
      </c>
      <c r="X1486" s="5">
        <f>data_origin!X1700</f>
        <v>0</v>
      </c>
      <c r="Y1486" s="5">
        <f>data_origin!Y1700</f>
        <v>0</v>
      </c>
      <c r="Z1486" s="5">
        <f>data_origin!Z1700</f>
        <v>0</v>
      </c>
      <c r="AA1486" s="5">
        <f>data_origin!AA1700</f>
        <v>0</v>
      </c>
      <c r="AB1486" s="5">
        <f t="shared" si="159"/>
        <v>0</v>
      </c>
    </row>
    <row r="1487" spans="1:28" x14ac:dyDescent="0.25">
      <c r="D1487" t="s">
        <v>101</v>
      </c>
      <c r="E1487" s="38">
        <f t="shared" si="160"/>
        <v>0</v>
      </c>
      <c r="F1487" s="38">
        <f t="shared" si="160"/>
        <v>0</v>
      </c>
      <c r="G1487" s="38">
        <f t="shared" si="160"/>
        <v>6.4056104744961226</v>
      </c>
      <c r="H1487" s="38">
        <f t="shared" si="160"/>
        <v>5.4281468373911874</v>
      </c>
      <c r="I1487" s="38">
        <f t="shared" si="160"/>
        <v>2.1173372703819306</v>
      </c>
      <c r="J1487" s="38">
        <f t="shared" si="160"/>
        <v>0</v>
      </c>
      <c r="K1487" s="38">
        <f t="shared" si="160"/>
        <v>0</v>
      </c>
      <c r="L1487" s="38">
        <f t="shared" ref="L1487:L1550" si="162">AA1487+BD233+IFERROR((AA1487/SUM(AA$993:AA$1982)*BD$630),0)+IFERROR((AA1487/SUM(AA$1125:AA$1322,AA$1455:AA$1652,AA$1785:AA$1982)*BD$732),0)</f>
        <v>0</v>
      </c>
      <c r="M1487" s="35">
        <f t="shared" si="161"/>
        <v>13.951094582269242</v>
      </c>
      <c r="S1487" t="s">
        <v>101</v>
      </c>
      <c r="T1487" s="5">
        <f>data_origin!T1701</f>
        <v>0</v>
      </c>
      <c r="U1487" s="5">
        <f>data_origin!U1701</f>
        <v>0</v>
      </c>
      <c r="V1487" s="5">
        <f>data_origin!V1701</f>
        <v>6.3176470588235292</v>
      </c>
      <c r="W1487" s="5">
        <f>data_origin!W1701</f>
        <v>5.3345724907063197</v>
      </c>
      <c r="X1487" s="5">
        <f>data_origin!X1701</f>
        <v>2.0810810810810811</v>
      </c>
      <c r="Y1487" s="5">
        <f>data_origin!Y1701</f>
        <v>0</v>
      </c>
      <c r="Z1487" s="5">
        <f>data_origin!Z1701</f>
        <v>0</v>
      </c>
      <c r="AA1487" s="5">
        <f>data_origin!AA1701</f>
        <v>0</v>
      </c>
      <c r="AB1487" s="5">
        <f t="shared" si="159"/>
        <v>13.73330063061093</v>
      </c>
    </row>
    <row r="1488" spans="1:28" x14ac:dyDescent="0.25">
      <c r="A1488" s="24" t="s">
        <v>115</v>
      </c>
      <c r="B1488" s="24" t="s">
        <v>116</v>
      </c>
      <c r="C1488" s="24" t="s">
        <v>110</v>
      </c>
      <c r="D1488" t="s">
        <v>70</v>
      </c>
      <c r="E1488" s="38">
        <f t="shared" ref="E1488:K1524" si="163">T1488+AW234+IFERROR((T1488/SUM(T$993:T$1982)*AW$630),0)+IFERROR((T1488/SUM(T$1125:T$1322,T$1455:T$1652,T$1785:T$1982)*AW$732),0)</f>
        <v>0</v>
      </c>
      <c r="F1488" s="38">
        <f t="shared" si="163"/>
        <v>0</v>
      </c>
      <c r="G1488" s="38">
        <f t="shared" si="163"/>
        <v>0</v>
      </c>
      <c r="H1488" s="38">
        <f t="shared" si="163"/>
        <v>0</v>
      </c>
      <c r="I1488" s="38">
        <f t="shared" si="163"/>
        <v>0</v>
      </c>
      <c r="J1488" s="38">
        <f t="shared" si="163"/>
        <v>0</v>
      </c>
      <c r="K1488" s="38">
        <f t="shared" si="163"/>
        <v>0</v>
      </c>
      <c r="L1488" s="38">
        <f t="shared" si="162"/>
        <v>0</v>
      </c>
      <c r="M1488" s="35">
        <f t="shared" si="161"/>
        <v>0</v>
      </c>
      <c r="P1488" t="s">
        <v>115</v>
      </c>
      <c r="Q1488" t="s">
        <v>116</v>
      </c>
      <c r="R1488" t="s">
        <v>110</v>
      </c>
      <c r="S1488" t="s">
        <v>70</v>
      </c>
      <c r="T1488" s="5">
        <f>data_origin!T1703</f>
        <v>0</v>
      </c>
      <c r="U1488" s="5">
        <f>data_origin!U1703</f>
        <v>0</v>
      </c>
      <c r="V1488" s="5">
        <f>data_origin!V1703</f>
        <v>0</v>
      </c>
      <c r="W1488" s="5">
        <f>data_origin!W1703</f>
        <v>0</v>
      </c>
      <c r="X1488" s="5">
        <f>data_origin!X1703</f>
        <v>0</v>
      </c>
      <c r="Y1488" s="5">
        <f>data_origin!Y1703</f>
        <v>0</v>
      </c>
      <c r="Z1488" s="5">
        <f>data_origin!Z1703</f>
        <v>0</v>
      </c>
      <c r="AA1488" s="5">
        <f>data_origin!AA1703</f>
        <v>0</v>
      </c>
      <c r="AB1488" s="5">
        <f t="shared" si="159"/>
        <v>0</v>
      </c>
    </row>
    <row r="1489" spans="4:28" x14ac:dyDescent="0.25">
      <c r="D1489" t="s">
        <v>71</v>
      </c>
      <c r="E1489" s="38">
        <f t="shared" si="163"/>
        <v>0</v>
      </c>
      <c r="F1489" s="38">
        <f t="shared" si="163"/>
        <v>0</v>
      </c>
      <c r="G1489" s="38">
        <f t="shared" si="163"/>
        <v>0</v>
      </c>
      <c r="H1489" s="38">
        <f t="shared" si="163"/>
        <v>0</v>
      </c>
      <c r="I1489" s="38">
        <f t="shared" si="163"/>
        <v>0</v>
      </c>
      <c r="J1489" s="38">
        <f t="shared" si="163"/>
        <v>0</v>
      </c>
      <c r="K1489" s="38">
        <f t="shared" si="163"/>
        <v>0</v>
      </c>
      <c r="L1489" s="38">
        <f t="shared" si="162"/>
        <v>0</v>
      </c>
      <c r="M1489" s="35">
        <f t="shared" si="161"/>
        <v>0</v>
      </c>
      <c r="S1489" t="s">
        <v>71</v>
      </c>
      <c r="T1489" s="5">
        <f>data_origin!T1704</f>
        <v>0</v>
      </c>
      <c r="U1489" s="5">
        <f>data_origin!U1704</f>
        <v>0</v>
      </c>
      <c r="V1489" s="5">
        <f>data_origin!V1704</f>
        <v>0</v>
      </c>
      <c r="W1489" s="5">
        <f>data_origin!W1704</f>
        <v>0</v>
      </c>
      <c r="X1489" s="5">
        <f>data_origin!X1704</f>
        <v>0</v>
      </c>
      <c r="Y1489" s="5">
        <f>data_origin!Y1704</f>
        <v>0</v>
      </c>
      <c r="Z1489" s="5">
        <f>data_origin!Z1704</f>
        <v>0</v>
      </c>
      <c r="AA1489" s="5">
        <f>data_origin!AA1704</f>
        <v>0</v>
      </c>
      <c r="AB1489" s="5">
        <f t="shared" si="159"/>
        <v>0</v>
      </c>
    </row>
    <row r="1490" spans="4:28" x14ac:dyDescent="0.25">
      <c r="D1490" t="s">
        <v>72</v>
      </c>
      <c r="E1490" s="38">
        <f t="shared" si="163"/>
        <v>0</v>
      </c>
      <c r="F1490" s="38">
        <f t="shared" si="163"/>
        <v>0</v>
      </c>
      <c r="G1490" s="38">
        <f t="shared" si="163"/>
        <v>0</v>
      </c>
      <c r="H1490" s="38">
        <f t="shared" si="163"/>
        <v>0</v>
      </c>
      <c r="I1490" s="38">
        <f t="shared" si="163"/>
        <v>0</v>
      </c>
      <c r="J1490" s="38">
        <f t="shared" si="163"/>
        <v>0</v>
      </c>
      <c r="K1490" s="38">
        <f t="shared" si="163"/>
        <v>0</v>
      </c>
      <c r="L1490" s="38">
        <f t="shared" si="162"/>
        <v>0</v>
      </c>
      <c r="M1490" s="35">
        <f t="shared" si="161"/>
        <v>0</v>
      </c>
      <c r="S1490" t="s">
        <v>72</v>
      </c>
      <c r="T1490" s="5">
        <f>data_origin!T1705</f>
        <v>0</v>
      </c>
      <c r="U1490" s="5">
        <f>data_origin!U1705</f>
        <v>0</v>
      </c>
      <c r="V1490" s="5">
        <f>data_origin!V1705</f>
        <v>0</v>
      </c>
      <c r="W1490" s="5">
        <f>data_origin!W1705</f>
        <v>0</v>
      </c>
      <c r="X1490" s="5">
        <f>data_origin!X1705</f>
        <v>0</v>
      </c>
      <c r="Y1490" s="5">
        <f>data_origin!Y1705</f>
        <v>0</v>
      </c>
      <c r="Z1490" s="5">
        <f>data_origin!Z1705</f>
        <v>0</v>
      </c>
      <c r="AA1490" s="5">
        <f>data_origin!AA1705</f>
        <v>0</v>
      </c>
      <c r="AB1490" s="5">
        <f t="shared" si="159"/>
        <v>0</v>
      </c>
    </row>
    <row r="1491" spans="4:28" x14ac:dyDescent="0.25">
      <c r="D1491" t="s">
        <v>73</v>
      </c>
      <c r="E1491" s="38">
        <f t="shared" si="163"/>
        <v>0</v>
      </c>
      <c r="F1491" s="38">
        <f t="shared" si="163"/>
        <v>0</v>
      </c>
      <c r="G1491" s="38">
        <f t="shared" si="163"/>
        <v>0</v>
      </c>
      <c r="H1491" s="38">
        <f t="shared" si="163"/>
        <v>0</v>
      </c>
      <c r="I1491" s="38">
        <f t="shared" si="163"/>
        <v>0</v>
      </c>
      <c r="J1491" s="38">
        <f t="shared" si="163"/>
        <v>0</v>
      </c>
      <c r="K1491" s="38">
        <f t="shared" si="163"/>
        <v>0</v>
      </c>
      <c r="L1491" s="38">
        <f t="shared" si="162"/>
        <v>0</v>
      </c>
      <c r="M1491" s="35">
        <f t="shared" si="161"/>
        <v>0</v>
      </c>
      <c r="S1491" t="s">
        <v>73</v>
      </c>
      <c r="T1491" s="5">
        <f>data_origin!T1706</f>
        <v>0</v>
      </c>
      <c r="U1491" s="5">
        <f>data_origin!U1706</f>
        <v>0</v>
      </c>
      <c r="V1491" s="5">
        <f>data_origin!V1706</f>
        <v>0</v>
      </c>
      <c r="W1491" s="5">
        <f>data_origin!W1706</f>
        <v>0</v>
      </c>
      <c r="X1491" s="5">
        <f>data_origin!X1706</f>
        <v>0</v>
      </c>
      <c r="Y1491" s="5">
        <f>data_origin!Y1706</f>
        <v>0</v>
      </c>
      <c r="Z1491" s="5">
        <f>data_origin!Z1706</f>
        <v>0</v>
      </c>
      <c r="AA1491" s="5">
        <f>data_origin!AA1706</f>
        <v>0</v>
      </c>
      <c r="AB1491" s="5">
        <f t="shared" si="159"/>
        <v>0</v>
      </c>
    </row>
    <row r="1492" spans="4:28" x14ac:dyDescent="0.25">
      <c r="D1492" t="s">
        <v>74</v>
      </c>
      <c r="E1492" s="38">
        <f t="shared" si="163"/>
        <v>0</v>
      </c>
      <c r="F1492" s="38">
        <f t="shared" si="163"/>
        <v>0</v>
      </c>
      <c r="G1492" s="38">
        <f t="shared" si="163"/>
        <v>0</v>
      </c>
      <c r="H1492" s="38">
        <f t="shared" si="163"/>
        <v>0</v>
      </c>
      <c r="I1492" s="38">
        <f t="shared" si="163"/>
        <v>0</v>
      </c>
      <c r="J1492" s="38">
        <f t="shared" si="163"/>
        <v>0</v>
      </c>
      <c r="K1492" s="38">
        <f t="shared" si="163"/>
        <v>0</v>
      </c>
      <c r="L1492" s="38">
        <f t="shared" si="162"/>
        <v>0</v>
      </c>
      <c r="M1492" s="35">
        <f t="shared" si="161"/>
        <v>0</v>
      </c>
      <c r="S1492" t="s">
        <v>74</v>
      </c>
      <c r="T1492" s="5">
        <f>data_origin!T1707</f>
        <v>0</v>
      </c>
      <c r="U1492" s="5">
        <f>data_origin!U1707</f>
        <v>0</v>
      </c>
      <c r="V1492" s="5">
        <f>data_origin!V1707</f>
        <v>0</v>
      </c>
      <c r="W1492" s="5">
        <f>data_origin!W1707</f>
        <v>0</v>
      </c>
      <c r="X1492" s="5">
        <f>data_origin!X1707</f>
        <v>0</v>
      </c>
      <c r="Y1492" s="5">
        <f>data_origin!Y1707</f>
        <v>0</v>
      </c>
      <c r="Z1492" s="5">
        <f>data_origin!Z1707</f>
        <v>0</v>
      </c>
      <c r="AA1492" s="5">
        <f>data_origin!AA1707</f>
        <v>0</v>
      </c>
      <c r="AB1492" s="5">
        <f t="shared" si="159"/>
        <v>0</v>
      </c>
    </row>
    <row r="1493" spans="4:28" x14ac:dyDescent="0.25">
      <c r="D1493" t="s">
        <v>75</v>
      </c>
      <c r="E1493" s="38">
        <f t="shared" si="163"/>
        <v>0</v>
      </c>
      <c r="F1493" s="38">
        <f t="shared" si="163"/>
        <v>0</v>
      </c>
      <c r="G1493" s="38">
        <f t="shared" si="163"/>
        <v>0</v>
      </c>
      <c r="H1493" s="38">
        <f t="shared" si="163"/>
        <v>0</v>
      </c>
      <c r="I1493" s="38">
        <f t="shared" si="163"/>
        <v>0</v>
      </c>
      <c r="J1493" s="38">
        <f t="shared" si="163"/>
        <v>0</v>
      </c>
      <c r="K1493" s="38">
        <f t="shared" si="163"/>
        <v>0</v>
      </c>
      <c r="L1493" s="38">
        <f t="shared" si="162"/>
        <v>0</v>
      </c>
      <c r="M1493" s="35">
        <f t="shared" si="161"/>
        <v>0</v>
      </c>
      <c r="S1493" t="s">
        <v>75</v>
      </c>
      <c r="T1493" s="5">
        <f>data_origin!T1708</f>
        <v>0</v>
      </c>
      <c r="U1493" s="5">
        <f>data_origin!U1708</f>
        <v>0</v>
      </c>
      <c r="V1493" s="5">
        <f>data_origin!V1708</f>
        <v>0</v>
      </c>
      <c r="W1493" s="5">
        <f>data_origin!W1708</f>
        <v>0</v>
      </c>
      <c r="X1493" s="5">
        <f>data_origin!X1708</f>
        <v>0</v>
      </c>
      <c r="Y1493" s="5">
        <f>data_origin!Y1708</f>
        <v>0</v>
      </c>
      <c r="Z1493" s="5">
        <f>data_origin!Z1708</f>
        <v>0</v>
      </c>
      <c r="AA1493" s="5">
        <f>data_origin!AA1708</f>
        <v>0</v>
      </c>
      <c r="AB1493" s="5">
        <f t="shared" si="159"/>
        <v>0</v>
      </c>
    </row>
    <row r="1494" spans="4:28" x14ac:dyDescent="0.25">
      <c r="D1494" t="s">
        <v>76</v>
      </c>
      <c r="E1494" s="38">
        <f t="shared" si="163"/>
        <v>0</v>
      </c>
      <c r="F1494" s="38">
        <f t="shared" si="163"/>
        <v>0</v>
      </c>
      <c r="G1494" s="38">
        <f t="shared" si="163"/>
        <v>0</v>
      </c>
      <c r="H1494" s="38">
        <f t="shared" si="163"/>
        <v>0</v>
      </c>
      <c r="I1494" s="38">
        <f t="shared" si="163"/>
        <v>0</v>
      </c>
      <c r="J1494" s="38">
        <f t="shared" si="163"/>
        <v>0</v>
      </c>
      <c r="K1494" s="38">
        <f t="shared" si="163"/>
        <v>0</v>
      </c>
      <c r="L1494" s="38">
        <f t="shared" si="162"/>
        <v>0</v>
      </c>
      <c r="M1494" s="35">
        <f t="shared" si="161"/>
        <v>0</v>
      </c>
      <c r="S1494" t="s">
        <v>76</v>
      </c>
      <c r="T1494" s="5">
        <f>data_origin!T1709</f>
        <v>0</v>
      </c>
      <c r="U1494" s="5">
        <f>data_origin!U1709</f>
        <v>0</v>
      </c>
      <c r="V1494" s="5">
        <f>data_origin!V1709</f>
        <v>0</v>
      </c>
      <c r="W1494" s="5">
        <f>data_origin!W1709</f>
        <v>0</v>
      </c>
      <c r="X1494" s="5">
        <f>data_origin!X1709</f>
        <v>0</v>
      </c>
      <c r="Y1494" s="5">
        <f>data_origin!Y1709</f>
        <v>0</v>
      </c>
      <c r="Z1494" s="5">
        <f>data_origin!Z1709</f>
        <v>0</v>
      </c>
      <c r="AA1494" s="5">
        <f>data_origin!AA1709</f>
        <v>0</v>
      </c>
      <c r="AB1494" s="5">
        <f t="shared" si="159"/>
        <v>0</v>
      </c>
    </row>
    <row r="1495" spans="4:28" x14ac:dyDescent="0.25">
      <c r="D1495" t="s">
        <v>77</v>
      </c>
      <c r="E1495" s="38">
        <f t="shared" si="163"/>
        <v>0</v>
      </c>
      <c r="F1495" s="38">
        <f t="shared" si="163"/>
        <v>0</v>
      </c>
      <c r="G1495" s="38">
        <f t="shared" si="163"/>
        <v>0</v>
      </c>
      <c r="H1495" s="38">
        <f t="shared" si="163"/>
        <v>0</v>
      </c>
      <c r="I1495" s="38">
        <f t="shared" si="163"/>
        <v>0</v>
      </c>
      <c r="J1495" s="38">
        <f t="shared" si="163"/>
        <v>0</v>
      </c>
      <c r="K1495" s="38">
        <f t="shared" si="163"/>
        <v>0</v>
      </c>
      <c r="L1495" s="38">
        <f t="shared" si="162"/>
        <v>0</v>
      </c>
      <c r="M1495" s="35">
        <f t="shared" si="161"/>
        <v>0</v>
      </c>
      <c r="S1495" t="s">
        <v>77</v>
      </c>
      <c r="T1495" s="5">
        <f>data_origin!T1710</f>
        <v>0</v>
      </c>
      <c r="U1495" s="5">
        <f>data_origin!U1710</f>
        <v>0</v>
      </c>
      <c r="V1495" s="5">
        <f>data_origin!V1710</f>
        <v>0</v>
      </c>
      <c r="W1495" s="5">
        <f>data_origin!W1710</f>
        <v>0</v>
      </c>
      <c r="X1495" s="5">
        <f>data_origin!X1710</f>
        <v>0</v>
      </c>
      <c r="Y1495" s="5">
        <f>data_origin!Y1710</f>
        <v>0</v>
      </c>
      <c r="Z1495" s="5">
        <f>data_origin!Z1710</f>
        <v>0</v>
      </c>
      <c r="AA1495" s="5">
        <f>data_origin!AA1710</f>
        <v>0</v>
      </c>
      <c r="AB1495" s="5">
        <f t="shared" si="159"/>
        <v>0</v>
      </c>
    </row>
    <row r="1496" spans="4:28" x14ac:dyDescent="0.25">
      <c r="D1496" t="s">
        <v>78</v>
      </c>
      <c r="E1496" s="38">
        <f t="shared" si="163"/>
        <v>0</v>
      </c>
      <c r="F1496" s="38">
        <f t="shared" si="163"/>
        <v>0</v>
      </c>
      <c r="G1496" s="38">
        <f t="shared" si="163"/>
        <v>0</v>
      </c>
      <c r="H1496" s="38">
        <f t="shared" si="163"/>
        <v>0</v>
      </c>
      <c r="I1496" s="38">
        <f t="shared" si="163"/>
        <v>0</v>
      </c>
      <c r="J1496" s="38">
        <f t="shared" si="163"/>
        <v>0</v>
      </c>
      <c r="K1496" s="38">
        <f t="shared" si="163"/>
        <v>0</v>
      </c>
      <c r="L1496" s="38">
        <f t="shared" si="162"/>
        <v>0</v>
      </c>
      <c r="M1496" s="35">
        <f t="shared" si="161"/>
        <v>0</v>
      </c>
      <c r="S1496" t="s">
        <v>78</v>
      </c>
      <c r="T1496" s="5">
        <f>data_origin!T1711</f>
        <v>0</v>
      </c>
      <c r="U1496" s="5">
        <f>data_origin!U1711</f>
        <v>0</v>
      </c>
      <c r="V1496" s="5">
        <f>data_origin!V1711</f>
        <v>0</v>
      </c>
      <c r="W1496" s="5">
        <f>data_origin!W1711</f>
        <v>0</v>
      </c>
      <c r="X1496" s="5">
        <f>data_origin!X1711</f>
        <v>0</v>
      </c>
      <c r="Y1496" s="5">
        <f>data_origin!Y1711</f>
        <v>0</v>
      </c>
      <c r="Z1496" s="5">
        <f>data_origin!Z1711</f>
        <v>0</v>
      </c>
      <c r="AA1496" s="5">
        <f>data_origin!AA1711</f>
        <v>0</v>
      </c>
      <c r="AB1496" s="5">
        <f t="shared" si="159"/>
        <v>0</v>
      </c>
    </row>
    <row r="1497" spans="4:28" x14ac:dyDescent="0.25">
      <c r="D1497" t="s">
        <v>79</v>
      </c>
      <c r="E1497" s="38">
        <f t="shared" si="163"/>
        <v>0</v>
      </c>
      <c r="F1497" s="38">
        <f t="shared" si="163"/>
        <v>0</v>
      </c>
      <c r="G1497" s="38">
        <f t="shared" si="163"/>
        <v>0</v>
      </c>
      <c r="H1497" s="38">
        <f t="shared" si="163"/>
        <v>0</v>
      </c>
      <c r="I1497" s="38">
        <f t="shared" si="163"/>
        <v>0</v>
      </c>
      <c r="J1497" s="38">
        <f t="shared" si="163"/>
        <v>0</v>
      </c>
      <c r="K1497" s="38">
        <f t="shared" si="163"/>
        <v>0</v>
      </c>
      <c r="L1497" s="38">
        <f t="shared" si="162"/>
        <v>0</v>
      </c>
      <c r="M1497" s="35">
        <f t="shared" si="161"/>
        <v>0</v>
      </c>
      <c r="S1497" t="s">
        <v>79</v>
      </c>
      <c r="T1497" s="5">
        <f>data_origin!T1712</f>
        <v>0</v>
      </c>
      <c r="U1497" s="5">
        <f>data_origin!U1712</f>
        <v>0</v>
      </c>
      <c r="V1497" s="5">
        <f>data_origin!V1712</f>
        <v>0</v>
      </c>
      <c r="W1497" s="5">
        <f>data_origin!W1712</f>
        <v>0</v>
      </c>
      <c r="X1497" s="5">
        <f>data_origin!X1712</f>
        <v>0</v>
      </c>
      <c r="Y1497" s="5">
        <f>data_origin!Y1712</f>
        <v>0</v>
      </c>
      <c r="Z1497" s="5">
        <f>data_origin!Z1712</f>
        <v>0</v>
      </c>
      <c r="AA1497" s="5">
        <f>data_origin!AA1712</f>
        <v>0</v>
      </c>
      <c r="AB1497" s="5">
        <f t="shared" si="159"/>
        <v>0</v>
      </c>
    </row>
    <row r="1498" spans="4:28" x14ac:dyDescent="0.25">
      <c r="D1498" t="s">
        <v>80</v>
      </c>
      <c r="E1498" s="38">
        <f t="shared" si="163"/>
        <v>0</v>
      </c>
      <c r="F1498" s="38">
        <f t="shared" si="163"/>
        <v>0</v>
      </c>
      <c r="G1498" s="38">
        <f t="shared" si="163"/>
        <v>0</v>
      </c>
      <c r="H1498" s="38">
        <f t="shared" si="163"/>
        <v>0</v>
      </c>
      <c r="I1498" s="38">
        <f t="shared" si="163"/>
        <v>0</v>
      </c>
      <c r="J1498" s="38">
        <f t="shared" si="163"/>
        <v>0</v>
      </c>
      <c r="K1498" s="38">
        <f t="shared" si="163"/>
        <v>0</v>
      </c>
      <c r="L1498" s="38">
        <f t="shared" si="162"/>
        <v>0</v>
      </c>
      <c r="M1498" s="35">
        <f t="shared" si="161"/>
        <v>0</v>
      </c>
      <c r="S1498" t="s">
        <v>80</v>
      </c>
      <c r="T1498" s="5">
        <f>data_origin!T1713</f>
        <v>0</v>
      </c>
      <c r="U1498" s="5">
        <f>data_origin!U1713</f>
        <v>0</v>
      </c>
      <c r="V1498" s="5">
        <f>data_origin!V1713</f>
        <v>0</v>
      </c>
      <c r="W1498" s="5">
        <f>data_origin!W1713</f>
        <v>0</v>
      </c>
      <c r="X1498" s="5">
        <f>data_origin!X1713</f>
        <v>0</v>
      </c>
      <c r="Y1498" s="5">
        <f>data_origin!Y1713</f>
        <v>0</v>
      </c>
      <c r="Z1498" s="5">
        <f>data_origin!Z1713</f>
        <v>0</v>
      </c>
      <c r="AA1498" s="5">
        <f>data_origin!AA1713</f>
        <v>0</v>
      </c>
      <c r="AB1498" s="5">
        <f t="shared" si="159"/>
        <v>0</v>
      </c>
    </row>
    <row r="1499" spans="4:28" x14ac:dyDescent="0.25">
      <c r="D1499" t="s">
        <v>81</v>
      </c>
      <c r="E1499" s="38">
        <f t="shared" si="163"/>
        <v>0</v>
      </c>
      <c r="F1499" s="38">
        <f t="shared" si="163"/>
        <v>0</v>
      </c>
      <c r="G1499" s="38">
        <f t="shared" si="163"/>
        <v>0</v>
      </c>
      <c r="H1499" s="38">
        <f t="shared" si="163"/>
        <v>0</v>
      </c>
      <c r="I1499" s="38">
        <f t="shared" si="163"/>
        <v>0</v>
      </c>
      <c r="J1499" s="38">
        <f t="shared" si="163"/>
        <v>0</v>
      </c>
      <c r="K1499" s="38">
        <f t="shared" si="163"/>
        <v>0</v>
      </c>
      <c r="L1499" s="38">
        <f t="shared" si="162"/>
        <v>0</v>
      </c>
      <c r="M1499" s="35">
        <f t="shared" si="161"/>
        <v>0</v>
      </c>
      <c r="S1499" t="s">
        <v>81</v>
      </c>
      <c r="T1499" s="5">
        <f>data_origin!T1714</f>
        <v>0</v>
      </c>
      <c r="U1499" s="5">
        <f>data_origin!U1714</f>
        <v>0</v>
      </c>
      <c r="V1499" s="5">
        <f>data_origin!V1714</f>
        <v>0</v>
      </c>
      <c r="W1499" s="5">
        <f>data_origin!W1714</f>
        <v>0</v>
      </c>
      <c r="X1499" s="5">
        <f>data_origin!X1714</f>
        <v>0</v>
      </c>
      <c r="Y1499" s="5">
        <f>data_origin!Y1714</f>
        <v>0</v>
      </c>
      <c r="Z1499" s="5">
        <f>data_origin!Z1714</f>
        <v>0</v>
      </c>
      <c r="AA1499" s="5">
        <f>data_origin!AA1714</f>
        <v>0</v>
      </c>
      <c r="AB1499" s="5">
        <f t="shared" si="159"/>
        <v>0</v>
      </c>
    </row>
    <row r="1500" spans="4:28" x14ac:dyDescent="0.25">
      <c r="D1500" t="s">
        <v>82</v>
      </c>
      <c r="E1500" s="38">
        <f t="shared" si="163"/>
        <v>0</v>
      </c>
      <c r="F1500" s="38">
        <f t="shared" si="163"/>
        <v>0</v>
      </c>
      <c r="G1500" s="38">
        <f t="shared" si="163"/>
        <v>0</v>
      </c>
      <c r="H1500" s="38">
        <f t="shared" si="163"/>
        <v>0</v>
      </c>
      <c r="I1500" s="38">
        <f t="shared" si="163"/>
        <v>0</v>
      </c>
      <c r="J1500" s="38">
        <f t="shared" si="163"/>
        <v>0</v>
      </c>
      <c r="K1500" s="38">
        <f t="shared" si="163"/>
        <v>0</v>
      </c>
      <c r="L1500" s="38">
        <f t="shared" si="162"/>
        <v>0</v>
      </c>
      <c r="M1500" s="35">
        <f t="shared" si="161"/>
        <v>0</v>
      </c>
      <c r="S1500" t="s">
        <v>82</v>
      </c>
      <c r="T1500" s="5">
        <f>data_origin!T1715</f>
        <v>0</v>
      </c>
      <c r="U1500" s="5">
        <f>data_origin!U1715</f>
        <v>0</v>
      </c>
      <c r="V1500" s="5">
        <f>data_origin!V1715</f>
        <v>0</v>
      </c>
      <c r="W1500" s="5">
        <f>data_origin!W1715</f>
        <v>0</v>
      </c>
      <c r="X1500" s="5">
        <f>data_origin!X1715</f>
        <v>0</v>
      </c>
      <c r="Y1500" s="5">
        <f>data_origin!Y1715</f>
        <v>0</v>
      </c>
      <c r="Z1500" s="5">
        <f>data_origin!Z1715</f>
        <v>0</v>
      </c>
      <c r="AA1500" s="5">
        <f>data_origin!AA1715</f>
        <v>0</v>
      </c>
      <c r="AB1500" s="5">
        <f t="shared" si="159"/>
        <v>0</v>
      </c>
    </row>
    <row r="1501" spans="4:28" x14ac:dyDescent="0.25">
      <c r="D1501" t="s">
        <v>83</v>
      </c>
      <c r="E1501" s="38">
        <f t="shared" si="163"/>
        <v>0</v>
      </c>
      <c r="F1501" s="38">
        <f t="shared" si="163"/>
        <v>0</v>
      </c>
      <c r="G1501" s="38">
        <f t="shared" si="163"/>
        <v>0</v>
      </c>
      <c r="H1501" s="38">
        <f t="shared" si="163"/>
        <v>0</v>
      </c>
      <c r="I1501" s="38">
        <f t="shared" si="163"/>
        <v>0</v>
      </c>
      <c r="J1501" s="38">
        <f t="shared" si="163"/>
        <v>0</v>
      </c>
      <c r="K1501" s="38">
        <f t="shared" si="163"/>
        <v>0</v>
      </c>
      <c r="L1501" s="38">
        <f t="shared" si="162"/>
        <v>0</v>
      </c>
      <c r="M1501" s="35">
        <f t="shared" si="161"/>
        <v>0</v>
      </c>
      <c r="S1501" t="s">
        <v>83</v>
      </c>
      <c r="T1501" s="5">
        <f>data_origin!T1716</f>
        <v>0</v>
      </c>
      <c r="U1501" s="5">
        <f>data_origin!U1716</f>
        <v>0</v>
      </c>
      <c r="V1501" s="5">
        <f>data_origin!V1716</f>
        <v>0</v>
      </c>
      <c r="W1501" s="5">
        <f>data_origin!W1716</f>
        <v>0</v>
      </c>
      <c r="X1501" s="5">
        <f>data_origin!X1716</f>
        <v>0</v>
      </c>
      <c r="Y1501" s="5">
        <f>data_origin!Y1716</f>
        <v>0</v>
      </c>
      <c r="Z1501" s="5">
        <f>data_origin!Z1716</f>
        <v>0</v>
      </c>
      <c r="AA1501" s="5">
        <f>data_origin!AA1716</f>
        <v>0</v>
      </c>
      <c r="AB1501" s="5">
        <f t="shared" si="159"/>
        <v>0</v>
      </c>
    </row>
    <row r="1502" spans="4:28" x14ac:dyDescent="0.25">
      <c r="D1502" t="s">
        <v>84</v>
      </c>
      <c r="E1502" s="38">
        <f t="shared" si="163"/>
        <v>0</v>
      </c>
      <c r="F1502" s="38">
        <f t="shared" si="163"/>
        <v>0</v>
      </c>
      <c r="G1502" s="38">
        <f t="shared" si="163"/>
        <v>0</v>
      </c>
      <c r="H1502" s="38">
        <f t="shared" si="163"/>
        <v>0</v>
      </c>
      <c r="I1502" s="38">
        <f t="shared" si="163"/>
        <v>0</v>
      </c>
      <c r="J1502" s="38">
        <f t="shared" si="163"/>
        <v>0</v>
      </c>
      <c r="K1502" s="38">
        <f t="shared" si="163"/>
        <v>0</v>
      </c>
      <c r="L1502" s="38">
        <f t="shared" si="162"/>
        <v>0</v>
      </c>
      <c r="M1502" s="35">
        <f t="shared" si="161"/>
        <v>0</v>
      </c>
      <c r="S1502" t="s">
        <v>84</v>
      </c>
      <c r="T1502" s="5">
        <f>data_origin!T1717</f>
        <v>0</v>
      </c>
      <c r="U1502" s="5">
        <f>data_origin!U1717</f>
        <v>0</v>
      </c>
      <c r="V1502" s="5">
        <f>data_origin!V1717</f>
        <v>0</v>
      </c>
      <c r="W1502" s="5">
        <f>data_origin!W1717</f>
        <v>0</v>
      </c>
      <c r="X1502" s="5">
        <f>data_origin!X1717</f>
        <v>0</v>
      </c>
      <c r="Y1502" s="5">
        <f>data_origin!Y1717</f>
        <v>0</v>
      </c>
      <c r="Z1502" s="5">
        <f>data_origin!Z1717</f>
        <v>0</v>
      </c>
      <c r="AA1502" s="5">
        <f>data_origin!AA1717</f>
        <v>0</v>
      </c>
      <c r="AB1502" s="5">
        <f t="shared" si="159"/>
        <v>0</v>
      </c>
    </row>
    <row r="1503" spans="4:28" x14ac:dyDescent="0.25">
      <c r="D1503" t="s">
        <v>85</v>
      </c>
      <c r="E1503" s="38">
        <f t="shared" si="163"/>
        <v>0</v>
      </c>
      <c r="F1503" s="38">
        <f t="shared" si="163"/>
        <v>0</v>
      </c>
      <c r="G1503" s="38">
        <f t="shared" si="163"/>
        <v>0</v>
      </c>
      <c r="H1503" s="38">
        <f t="shared" si="163"/>
        <v>0</v>
      </c>
      <c r="I1503" s="38">
        <f t="shared" si="163"/>
        <v>0</v>
      </c>
      <c r="J1503" s="38">
        <f t="shared" si="163"/>
        <v>0</v>
      </c>
      <c r="K1503" s="38">
        <f t="shared" si="163"/>
        <v>0</v>
      </c>
      <c r="L1503" s="38">
        <f t="shared" si="162"/>
        <v>0</v>
      </c>
      <c r="M1503" s="35">
        <f t="shared" si="161"/>
        <v>0</v>
      </c>
      <c r="S1503" t="s">
        <v>85</v>
      </c>
      <c r="T1503" s="5">
        <f>data_origin!T1718</f>
        <v>0</v>
      </c>
      <c r="U1503" s="5">
        <f>data_origin!U1718</f>
        <v>0</v>
      </c>
      <c r="V1503" s="5">
        <f>data_origin!V1718</f>
        <v>0</v>
      </c>
      <c r="W1503" s="5">
        <f>data_origin!W1718</f>
        <v>0</v>
      </c>
      <c r="X1503" s="5">
        <f>data_origin!X1718</f>
        <v>0</v>
      </c>
      <c r="Y1503" s="5">
        <f>data_origin!Y1718</f>
        <v>0</v>
      </c>
      <c r="Z1503" s="5">
        <f>data_origin!Z1718</f>
        <v>0</v>
      </c>
      <c r="AA1503" s="5">
        <f>data_origin!AA1718</f>
        <v>0</v>
      </c>
      <c r="AB1503" s="5">
        <f t="shared" si="159"/>
        <v>0</v>
      </c>
    </row>
    <row r="1504" spans="4:28" x14ac:dyDescent="0.25">
      <c r="D1504" t="s">
        <v>86</v>
      </c>
      <c r="E1504" s="38">
        <f t="shared" si="163"/>
        <v>0</v>
      </c>
      <c r="F1504" s="38">
        <f t="shared" si="163"/>
        <v>0</v>
      </c>
      <c r="G1504" s="38">
        <f t="shared" si="163"/>
        <v>0</v>
      </c>
      <c r="H1504" s="38">
        <f t="shared" si="163"/>
        <v>0</v>
      </c>
      <c r="I1504" s="38">
        <f t="shared" si="163"/>
        <v>0</v>
      </c>
      <c r="J1504" s="38">
        <f t="shared" si="163"/>
        <v>0</v>
      </c>
      <c r="K1504" s="38">
        <f t="shared" si="163"/>
        <v>0</v>
      </c>
      <c r="L1504" s="38">
        <f t="shared" si="162"/>
        <v>0</v>
      </c>
      <c r="M1504" s="35">
        <f t="shared" si="161"/>
        <v>0</v>
      </c>
      <c r="S1504" t="s">
        <v>86</v>
      </c>
      <c r="T1504" s="5">
        <f>data_origin!T1719</f>
        <v>0</v>
      </c>
      <c r="U1504" s="5">
        <f>data_origin!U1719</f>
        <v>0</v>
      </c>
      <c r="V1504" s="5">
        <f>data_origin!V1719</f>
        <v>0</v>
      </c>
      <c r="W1504" s="5">
        <f>data_origin!W1719</f>
        <v>0</v>
      </c>
      <c r="X1504" s="5">
        <f>data_origin!X1719</f>
        <v>0</v>
      </c>
      <c r="Y1504" s="5">
        <f>data_origin!Y1719</f>
        <v>0</v>
      </c>
      <c r="Z1504" s="5">
        <f>data_origin!Z1719</f>
        <v>0</v>
      </c>
      <c r="AA1504" s="5">
        <f>data_origin!AA1719</f>
        <v>0</v>
      </c>
      <c r="AB1504" s="5">
        <f t="shared" si="159"/>
        <v>0</v>
      </c>
    </row>
    <row r="1505" spans="4:28" x14ac:dyDescent="0.25">
      <c r="D1505" t="s">
        <v>87</v>
      </c>
      <c r="E1505" s="38">
        <f t="shared" si="163"/>
        <v>0</v>
      </c>
      <c r="F1505" s="38">
        <f t="shared" si="163"/>
        <v>0</v>
      </c>
      <c r="G1505" s="38">
        <f t="shared" si="163"/>
        <v>0</v>
      </c>
      <c r="H1505" s="38">
        <f t="shared" si="163"/>
        <v>0</v>
      </c>
      <c r="I1505" s="38">
        <f t="shared" si="163"/>
        <v>0</v>
      </c>
      <c r="J1505" s="38">
        <f t="shared" si="163"/>
        <v>0</v>
      </c>
      <c r="K1505" s="38">
        <f t="shared" si="163"/>
        <v>0</v>
      </c>
      <c r="L1505" s="38">
        <f t="shared" si="162"/>
        <v>0</v>
      </c>
      <c r="M1505" s="35">
        <f t="shared" si="161"/>
        <v>0</v>
      </c>
      <c r="S1505" t="s">
        <v>87</v>
      </c>
      <c r="T1505" s="5">
        <f>data_origin!T1720</f>
        <v>0</v>
      </c>
      <c r="U1505" s="5">
        <f>data_origin!U1720</f>
        <v>0</v>
      </c>
      <c r="V1505" s="5">
        <f>data_origin!V1720</f>
        <v>0</v>
      </c>
      <c r="W1505" s="5">
        <f>data_origin!W1720</f>
        <v>0</v>
      </c>
      <c r="X1505" s="5">
        <f>data_origin!X1720</f>
        <v>0</v>
      </c>
      <c r="Y1505" s="5">
        <f>data_origin!Y1720</f>
        <v>0</v>
      </c>
      <c r="Z1505" s="5">
        <f>data_origin!Z1720</f>
        <v>0</v>
      </c>
      <c r="AA1505" s="5">
        <f>data_origin!AA1720</f>
        <v>0</v>
      </c>
      <c r="AB1505" s="5">
        <f t="shared" si="159"/>
        <v>0</v>
      </c>
    </row>
    <row r="1506" spans="4:28" x14ac:dyDescent="0.25">
      <c r="D1506" t="s">
        <v>88</v>
      </c>
      <c r="E1506" s="38">
        <f t="shared" si="163"/>
        <v>0</v>
      </c>
      <c r="F1506" s="38">
        <f t="shared" si="163"/>
        <v>0</v>
      </c>
      <c r="G1506" s="38">
        <f t="shared" si="163"/>
        <v>0</v>
      </c>
      <c r="H1506" s="38">
        <f t="shared" si="163"/>
        <v>0</v>
      </c>
      <c r="I1506" s="38">
        <f t="shared" si="163"/>
        <v>0</v>
      </c>
      <c r="J1506" s="38">
        <f t="shared" si="163"/>
        <v>0</v>
      </c>
      <c r="K1506" s="38">
        <f t="shared" si="163"/>
        <v>0</v>
      </c>
      <c r="L1506" s="38">
        <f t="shared" si="162"/>
        <v>0</v>
      </c>
      <c r="M1506" s="35">
        <f t="shared" si="161"/>
        <v>0</v>
      </c>
      <c r="S1506" t="s">
        <v>88</v>
      </c>
      <c r="T1506" s="5">
        <f>data_origin!T1721</f>
        <v>0</v>
      </c>
      <c r="U1506" s="5">
        <f>data_origin!U1721</f>
        <v>0</v>
      </c>
      <c r="V1506" s="5">
        <f>data_origin!V1721</f>
        <v>0</v>
      </c>
      <c r="W1506" s="5">
        <f>data_origin!W1721</f>
        <v>0</v>
      </c>
      <c r="X1506" s="5">
        <f>data_origin!X1721</f>
        <v>0</v>
      </c>
      <c r="Y1506" s="5">
        <f>data_origin!Y1721</f>
        <v>0</v>
      </c>
      <c r="Z1506" s="5">
        <f>data_origin!Z1721</f>
        <v>0</v>
      </c>
      <c r="AA1506" s="5">
        <f>data_origin!AA1721</f>
        <v>0</v>
      </c>
      <c r="AB1506" s="5">
        <f t="shared" si="159"/>
        <v>0</v>
      </c>
    </row>
    <row r="1507" spans="4:28" x14ac:dyDescent="0.25">
      <c r="D1507" t="s">
        <v>89</v>
      </c>
      <c r="E1507" s="38">
        <f t="shared" si="163"/>
        <v>0</v>
      </c>
      <c r="F1507" s="38">
        <f t="shared" si="163"/>
        <v>0</v>
      </c>
      <c r="G1507" s="38">
        <f t="shared" si="163"/>
        <v>0</v>
      </c>
      <c r="H1507" s="38">
        <f t="shared" si="163"/>
        <v>4.2962847055216971</v>
      </c>
      <c r="I1507" s="38">
        <f t="shared" si="163"/>
        <v>5.0871090262423007</v>
      </c>
      <c r="J1507" s="38">
        <f t="shared" si="163"/>
        <v>2.0373327108621226</v>
      </c>
      <c r="K1507" s="38">
        <f t="shared" si="163"/>
        <v>0</v>
      </c>
      <c r="L1507" s="38">
        <f t="shared" si="162"/>
        <v>0</v>
      </c>
      <c r="M1507" s="35">
        <f t="shared" si="161"/>
        <v>11.420726442626121</v>
      </c>
      <c r="S1507" t="s">
        <v>89</v>
      </c>
      <c r="T1507" s="5">
        <f>data_origin!T1722</f>
        <v>0</v>
      </c>
      <c r="U1507" s="5">
        <f>data_origin!U1722</f>
        <v>0</v>
      </c>
      <c r="V1507" s="5">
        <f>data_origin!V1722</f>
        <v>0</v>
      </c>
      <c r="W1507" s="5">
        <f>data_origin!W1722</f>
        <v>4.2222222222222223</v>
      </c>
      <c r="X1507" s="5">
        <f>data_origin!X1722</f>
        <v>5</v>
      </c>
      <c r="Y1507" s="5">
        <f>data_origin!Y1722</f>
        <v>2</v>
      </c>
      <c r="Z1507" s="5">
        <f>data_origin!Z1722</f>
        <v>0</v>
      </c>
      <c r="AA1507" s="5">
        <f>data_origin!AA1722</f>
        <v>0</v>
      </c>
      <c r="AB1507" s="5">
        <f t="shared" si="159"/>
        <v>11.222222222222221</v>
      </c>
    </row>
    <row r="1508" spans="4:28" x14ac:dyDescent="0.25">
      <c r="D1508" t="s">
        <v>90</v>
      </c>
      <c r="E1508" s="38">
        <f t="shared" si="163"/>
        <v>0</v>
      </c>
      <c r="F1508" s="38">
        <f t="shared" si="163"/>
        <v>0</v>
      </c>
      <c r="G1508" s="38">
        <f t="shared" si="163"/>
        <v>0</v>
      </c>
      <c r="H1508" s="38">
        <f t="shared" si="163"/>
        <v>0</v>
      </c>
      <c r="I1508" s="38">
        <f t="shared" si="163"/>
        <v>0</v>
      </c>
      <c r="J1508" s="38">
        <f t="shared" si="163"/>
        <v>0</v>
      </c>
      <c r="K1508" s="38">
        <f t="shared" si="163"/>
        <v>0</v>
      </c>
      <c r="L1508" s="38">
        <f t="shared" si="162"/>
        <v>0</v>
      </c>
      <c r="M1508" s="35">
        <f t="shared" si="161"/>
        <v>0</v>
      </c>
      <c r="S1508" t="s">
        <v>90</v>
      </c>
      <c r="T1508" s="5">
        <f>data_origin!T1723</f>
        <v>0</v>
      </c>
      <c r="U1508" s="5">
        <f>data_origin!U1723</f>
        <v>0</v>
      </c>
      <c r="V1508" s="5">
        <f>data_origin!V1723</f>
        <v>0</v>
      </c>
      <c r="W1508" s="5">
        <f>data_origin!W1723</f>
        <v>0</v>
      </c>
      <c r="X1508" s="5">
        <f>data_origin!X1723</f>
        <v>0</v>
      </c>
      <c r="Y1508" s="5">
        <f>data_origin!Y1723</f>
        <v>0</v>
      </c>
      <c r="Z1508" s="5">
        <f>data_origin!Z1723</f>
        <v>0</v>
      </c>
      <c r="AA1508" s="5">
        <f>data_origin!AA1723</f>
        <v>0</v>
      </c>
      <c r="AB1508" s="5">
        <f t="shared" si="159"/>
        <v>0</v>
      </c>
    </row>
    <row r="1509" spans="4:28" x14ac:dyDescent="0.25">
      <c r="D1509" t="s">
        <v>91</v>
      </c>
      <c r="E1509" s="38">
        <f t="shared" si="163"/>
        <v>0</v>
      </c>
      <c r="F1509" s="38">
        <f t="shared" si="163"/>
        <v>0</v>
      </c>
      <c r="G1509" s="38">
        <f t="shared" si="163"/>
        <v>0</v>
      </c>
      <c r="H1509" s="38">
        <f t="shared" si="163"/>
        <v>0</v>
      </c>
      <c r="I1509" s="38">
        <f t="shared" si="163"/>
        <v>0</v>
      </c>
      <c r="J1509" s="38">
        <f t="shared" si="163"/>
        <v>0</v>
      </c>
      <c r="K1509" s="38">
        <f t="shared" si="163"/>
        <v>0</v>
      </c>
      <c r="L1509" s="38">
        <f t="shared" si="162"/>
        <v>0</v>
      </c>
      <c r="M1509" s="35">
        <f t="shared" si="161"/>
        <v>0</v>
      </c>
      <c r="S1509" t="s">
        <v>91</v>
      </c>
      <c r="T1509" s="5">
        <f>data_origin!T1724</f>
        <v>0</v>
      </c>
      <c r="U1509" s="5">
        <f>data_origin!U1724</f>
        <v>0</v>
      </c>
      <c r="V1509" s="5">
        <f>data_origin!V1724</f>
        <v>0</v>
      </c>
      <c r="W1509" s="5">
        <f>data_origin!W1724</f>
        <v>0</v>
      </c>
      <c r="X1509" s="5">
        <f>data_origin!X1724</f>
        <v>0</v>
      </c>
      <c r="Y1509" s="5">
        <f>data_origin!Y1724</f>
        <v>0</v>
      </c>
      <c r="Z1509" s="5">
        <f>data_origin!Z1724</f>
        <v>0</v>
      </c>
      <c r="AA1509" s="5">
        <f>data_origin!AA1724</f>
        <v>0</v>
      </c>
      <c r="AB1509" s="5">
        <f t="shared" si="159"/>
        <v>0</v>
      </c>
    </row>
    <row r="1510" spans="4:28" x14ac:dyDescent="0.25">
      <c r="D1510" t="s">
        <v>92</v>
      </c>
      <c r="E1510" s="38">
        <f t="shared" si="163"/>
        <v>0</v>
      </c>
      <c r="F1510" s="38">
        <f t="shared" si="163"/>
        <v>0</v>
      </c>
      <c r="G1510" s="38">
        <f t="shared" si="163"/>
        <v>0</v>
      </c>
      <c r="H1510" s="38">
        <f t="shared" si="163"/>
        <v>0</v>
      </c>
      <c r="I1510" s="38">
        <f t="shared" si="163"/>
        <v>0</v>
      </c>
      <c r="J1510" s="38">
        <f t="shared" si="163"/>
        <v>0</v>
      </c>
      <c r="K1510" s="38">
        <f t="shared" si="163"/>
        <v>0</v>
      </c>
      <c r="L1510" s="38">
        <f t="shared" si="162"/>
        <v>0</v>
      </c>
      <c r="M1510" s="35">
        <f t="shared" si="161"/>
        <v>0</v>
      </c>
      <c r="S1510" t="s">
        <v>92</v>
      </c>
      <c r="T1510" s="5">
        <f>data_origin!T1725</f>
        <v>0</v>
      </c>
      <c r="U1510" s="5">
        <f>data_origin!U1725</f>
        <v>0</v>
      </c>
      <c r="V1510" s="5">
        <f>data_origin!V1725</f>
        <v>0</v>
      </c>
      <c r="W1510" s="5">
        <f>data_origin!W1725</f>
        <v>0</v>
      </c>
      <c r="X1510" s="5">
        <f>data_origin!X1725</f>
        <v>0</v>
      </c>
      <c r="Y1510" s="5">
        <f>data_origin!Y1725</f>
        <v>0</v>
      </c>
      <c r="Z1510" s="5">
        <f>data_origin!Z1725</f>
        <v>0</v>
      </c>
      <c r="AA1510" s="5">
        <f>data_origin!AA1725</f>
        <v>0</v>
      </c>
      <c r="AB1510" s="5">
        <f t="shared" si="159"/>
        <v>0</v>
      </c>
    </row>
    <row r="1511" spans="4:28" x14ac:dyDescent="0.25">
      <c r="D1511" t="s">
        <v>93</v>
      </c>
      <c r="E1511" s="38">
        <f t="shared" si="163"/>
        <v>0</v>
      </c>
      <c r="F1511" s="38">
        <f t="shared" si="163"/>
        <v>0</v>
      </c>
      <c r="G1511" s="38">
        <f t="shared" si="163"/>
        <v>0</v>
      </c>
      <c r="H1511" s="38">
        <f t="shared" si="163"/>
        <v>0</v>
      </c>
      <c r="I1511" s="38">
        <f t="shared" si="163"/>
        <v>0</v>
      </c>
      <c r="J1511" s="38">
        <f t="shared" si="163"/>
        <v>0</v>
      </c>
      <c r="K1511" s="38">
        <f t="shared" si="163"/>
        <v>0</v>
      </c>
      <c r="L1511" s="38">
        <f t="shared" si="162"/>
        <v>0</v>
      </c>
      <c r="M1511" s="35">
        <f t="shared" si="161"/>
        <v>0</v>
      </c>
      <c r="S1511" t="s">
        <v>93</v>
      </c>
      <c r="T1511" s="5">
        <f>data_origin!T1726</f>
        <v>0</v>
      </c>
      <c r="U1511" s="5">
        <f>data_origin!U1726</f>
        <v>0</v>
      </c>
      <c r="V1511" s="5">
        <f>data_origin!V1726</f>
        <v>0</v>
      </c>
      <c r="W1511" s="5">
        <f>data_origin!W1726</f>
        <v>0</v>
      </c>
      <c r="X1511" s="5">
        <f>data_origin!X1726</f>
        <v>0</v>
      </c>
      <c r="Y1511" s="5">
        <f>data_origin!Y1726</f>
        <v>0</v>
      </c>
      <c r="Z1511" s="5">
        <f>data_origin!Z1726</f>
        <v>0</v>
      </c>
      <c r="AA1511" s="5">
        <f>data_origin!AA1726</f>
        <v>0</v>
      </c>
      <c r="AB1511" s="5">
        <f t="shared" si="159"/>
        <v>0</v>
      </c>
    </row>
    <row r="1512" spans="4:28" x14ac:dyDescent="0.25">
      <c r="D1512" t="s">
        <v>94</v>
      </c>
      <c r="E1512" s="38">
        <f t="shared" si="163"/>
        <v>0</v>
      </c>
      <c r="F1512" s="38">
        <f t="shared" si="163"/>
        <v>0</v>
      </c>
      <c r="G1512" s="38">
        <f t="shared" si="163"/>
        <v>0</v>
      </c>
      <c r="H1512" s="38">
        <f t="shared" si="163"/>
        <v>0</v>
      </c>
      <c r="I1512" s="38">
        <f t="shared" si="163"/>
        <v>0</v>
      </c>
      <c r="J1512" s="38">
        <f t="shared" si="163"/>
        <v>0</v>
      </c>
      <c r="K1512" s="38">
        <f t="shared" si="163"/>
        <v>0</v>
      </c>
      <c r="L1512" s="38">
        <f t="shared" si="162"/>
        <v>0</v>
      </c>
      <c r="M1512" s="35">
        <f t="shared" si="161"/>
        <v>0</v>
      </c>
      <c r="S1512" t="s">
        <v>94</v>
      </c>
      <c r="T1512" s="5">
        <f>data_origin!T1727</f>
        <v>0</v>
      </c>
      <c r="U1512" s="5">
        <f>data_origin!U1727</f>
        <v>0</v>
      </c>
      <c r="V1512" s="5">
        <f>data_origin!V1727</f>
        <v>0</v>
      </c>
      <c r="W1512" s="5">
        <f>data_origin!W1727</f>
        <v>0</v>
      </c>
      <c r="X1512" s="5">
        <f>data_origin!X1727</f>
        <v>0</v>
      </c>
      <c r="Y1512" s="5">
        <f>data_origin!Y1727</f>
        <v>0</v>
      </c>
      <c r="Z1512" s="5">
        <f>data_origin!Z1727</f>
        <v>0</v>
      </c>
      <c r="AA1512" s="5">
        <f>data_origin!AA1727</f>
        <v>0</v>
      </c>
      <c r="AB1512" s="5">
        <f t="shared" si="159"/>
        <v>0</v>
      </c>
    </row>
    <row r="1513" spans="4:28" x14ac:dyDescent="0.25">
      <c r="D1513" t="s">
        <v>95</v>
      </c>
      <c r="E1513" s="38">
        <f t="shared" si="163"/>
        <v>0</v>
      </c>
      <c r="F1513" s="38">
        <f t="shared" si="163"/>
        <v>0</v>
      </c>
      <c r="G1513" s="38">
        <f t="shared" si="163"/>
        <v>0</v>
      </c>
      <c r="H1513" s="38">
        <f t="shared" si="163"/>
        <v>0</v>
      </c>
      <c r="I1513" s="38">
        <f t="shared" si="163"/>
        <v>0</v>
      </c>
      <c r="J1513" s="38">
        <f t="shared" si="163"/>
        <v>0</v>
      </c>
      <c r="K1513" s="38">
        <f t="shared" si="163"/>
        <v>0</v>
      </c>
      <c r="L1513" s="38">
        <f t="shared" si="162"/>
        <v>0</v>
      </c>
      <c r="M1513" s="35">
        <f t="shared" si="161"/>
        <v>0</v>
      </c>
      <c r="S1513" t="s">
        <v>95</v>
      </c>
      <c r="T1513" s="5">
        <f>data_origin!T1728</f>
        <v>0</v>
      </c>
      <c r="U1513" s="5">
        <f>data_origin!U1728</f>
        <v>0</v>
      </c>
      <c r="V1513" s="5">
        <f>data_origin!V1728</f>
        <v>0</v>
      </c>
      <c r="W1513" s="5">
        <f>data_origin!W1728</f>
        <v>0</v>
      </c>
      <c r="X1513" s="5">
        <f>data_origin!X1728</f>
        <v>0</v>
      </c>
      <c r="Y1513" s="5">
        <f>data_origin!Y1728</f>
        <v>0</v>
      </c>
      <c r="Z1513" s="5">
        <f>data_origin!Z1728</f>
        <v>0</v>
      </c>
      <c r="AA1513" s="5">
        <f>data_origin!AA1728</f>
        <v>0</v>
      </c>
      <c r="AB1513" s="5">
        <f t="shared" si="159"/>
        <v>0</v>
      </c>
    </row>
    <row r="1514" spans="4:28" x14ac:dyDescent="0.25">
      <c r="D1514" t="s">
        <v>96</v>
      </c>
      <c r="E1514" s="38">
        <f t="shared" si="163"/>
        <v>0</v>
      </c>
      <c r="F1514" s="38">
        <f t="shared" si="163"/>
        <v>0</v>
      </c>
      <c r="G1514" s="38">
        <f t="shared" si="163"/>
        <v>0</v>
      </c>
      <c r="H1514" s="38">
        <f t="shared" si="163"/>
        <v>0</v>
      </c>
      <c r="I1514" s="38">
        <f t="shared" si="163"/>
        <v>0</v>
      </c>
      <c r="J1514" s="38">
        <f t="shared" si="163"/>
        <v>0</v>
      </c>
      <c r="K1514" s="38">
        <f t="shared" si="163"/>
        <v>0</v>
      </c>
      <c r="L1514" s="38">
        <f t="shared" si="162"/>
        <v>0</v>
      </c>
      <c r="M1514" s="35">
        <f t="shared" si="161"/>
        <v>0</v>
      </c>
      <c r="S1514" t="s">
        <v>96</v>
      </c>
      <c r="T1514" s="5">
        <f>data_origin!T1729</f>
        <v>0</v>
      </c>
      <c r="U1514" s="5">
        <f>data_origin!U1729</f>
        <v>0</v>
      </c>
      <c r="V1514" s="5">
        <f>data_origin!V1729</f>
        <v>0</v>
      </c>
      <c r="W1514" s="5">
        <f>data_origin!W1729</f>
        <v>0</v>
      </c>
      <c r="X1514" s="5">
        <f>data_origin!X1729</f>
        <v>0</v>
      </c>
      <c r="Y1514" s="5">
        <f>data_origin!Y1729</f>
        <v>0</v>
      </c>
      <c r="Z1514" s="5">
        <f>data_origin!Z1729</f>
        <v>0</v>
      </c>
      <c r="AA1514" s="5">
        <f>data_origin!AA1729</f>
        <v>0</v>
      </c>
      <c r="AB1514" s="5">
        <f t="shared" si="159"/>
        <v>0</v>
      </c>
    </row>
    <row r="1515" spans="4:28" x14ac:dyDescent="0.25">
      <c r="D1515" t="s">
        <v>97</v>
      </c>
      <c r="E1515" s="38">
        <f t="shared" si="163"/>
        <v>0</v>
      </c>
      <c r="F1515" s="38">
        <f t="shared" si="163"/>
        <v>0</v>
      </c>
      <c r="G1515" s="38">
        <f t="shared" si="163"/>
        <v>0</v>
      </c>
      <c r="H1515" s="38">
        <f t="shared" si="163"/>
        <v>0</v>
      </c>
      <c r="I1515" s="38">
        <f t="shared" si="163"/>
        <v>0</v>
      </c>
      <c r="J1515" s="38">
        <f t="shared" si="163"/>
        <v>0</v>
      </c>
      <c r="K1515" s="38">
        <f t="shared" si="163"/>
        <v>0</v>
      </c>
      <c r="L1515" s="38">
        <f t="shared" si="162"/>
        <v>0</v>
      </c>
      <c r="M1515" s="35">
        <f t="shared" si="161"/>
        <v>0</v>
      </c>
      <c r="S1515" t="s">
        <v>97</v>
      </c>
      <c r="T1515" s="5">
        <f>data_origin!T1730</f>
        <v>0</v>
      </c>
      <c r="U1515" s="5">
        <f>data_origin!U1730</f>
        <v>0</v>
      </c>
      <c r="V1515" s="5">
        <f>data_origin!V1730</f>
        <v>0</v>
      </c>
      <c r="W1515" s="5">
        <f>data_origin!W1730</f>
        <v>0</v>
      </c>
      <c r="X1515" s="5">
        <f>data_origin!X1730</f>
        <v>0</v>
      </c>
      <c r="Y1515" s="5">
        <f>data_origin!Y1730</f>
        <v>0</v>
      </c>
      <c r="Z1515" s="5">
        <f>data_origin!Z1730</f>
        <v>0</v>
      </c>
      <c r="AA1515" s="5">
        <f>data_origin!AA1730</f>
        <v>0</v>
      </c>
      <c r="AB1515" s="5">
        <f t="shared" si="159"/>
        <v>0</v>
      </c>
    </row>
    <row r="1516" spans="4:28" x14ac:dyDescent="0.25">
      <c r="D1516" t="s">
        <v>98</v>
      </c>
      <c r="E1516" s="38">
        <f t="shared" si="163"/>
        <v>0</v>
      </c>
      <c r="F1516" s="38">
        <f t="shared" si="163"/>
        <v>0</v>
      </c>
      <c r="G1516" s="38">
        <f t="shared" si="163"/>
        <v>0</v>
      </c>
      <c r="H1516" s="38">
        <f t="shared" si="163"/>
        <v>0</v>
      </c>
      <c r="I1516" s="38">
        <f t="shared" si="163"/>
        <v>0</v>
      </c>
      <c r="J1516" s="38">
        <f t="shared" si="163"/>
        <v>0</v>
      </c>
      <c r="K1516" s="38">
        <f t="shared" si="163"/>
        <v>0</v>
      </c>
      <c r="L1516" s="38">
        <f t="shared" si="162"/>
        <v>0</v>
      </c>
      <c r="M1516" s="35">
        <f t="shared" si="161"/>
        <v>0</v>
      </c>
      <c r="S1516" t="s">
        <v>98</v>
      </c>
      <c r="T1516" s="5">
        <f>data_origin!T1731</f>
        <v>0</v>
      </c>
      <c r="U1516" s="5">
        <f>data_origin!U1731</f>
        <v>0</v>
      </c>
      <c r="V1516" s="5">
        <f>data_origin!V1731</f>
        <v>0</v>
      </c>
      <c r="W1516" s="5">
        <f>data_origin!W1731</f>
        <v>0</v>
      </c>
      <c r="X1516" s="5">
        <f>data_origin!X1731</f>
        <v>0</v>
      </c>
      <c r="Y1516" s="5">
        <f>data_origin!Y1731</f>
        <v>0</v>
      </c>
      <c r="Z1516" s="5">
        <f>data_origin!Z1731</f>
        <v>0</v>
      </c>
      <c r="AA1516" s="5">
        <f>data_origin!AA1731</f>
        <v>0</v>
      </c>
      <c r="AB1516" s="5">
        <f t="shared" si="159"/>
        <v>0</v>
      </c>
    </row>
    <row r="1517" spans="4:28" x14ac:dyDescent="0.25">
      <c r="D1517" t="s">
        <v>119</v>
      </c>
      <c r="E1517" s="38">
        <f t="shared" si="163"/>
        <v>0</v>
      </c>
      <c r="F1517" s="38">
        <f t="shared" si="163"/>
        <v>0</v>
      </c>
      <c r="G1517" s="38">
        <f t="shared" si="163"/>
        <v>0</v>
      </c>
      <c r="H1517" s="38">
        <f t="shared" si="163"/>
        <v>0</v>
      </c>
      <c r="I1517" s="38">
        <f t="shared" si="163"/>
        <v>0</v>
      </c>
      <c r="J1517" s="38">
        <f t="shared" si="163"/>
        <v>0</v>
      </c>
      <c r="K1517" s="38">
        <f t="shared" si="163"/>
        <v>0</v>
      </c>
      <c r="L1517" s="38">
        <f t="shared" si="162"/>
        <v>0</v>
      </c>
      <c r="M1517" s="35">
        <f t="shared" si="161"/>
        <v>0</v>
      </c>
      <c r="S1517" t="s">
        <v>119</v>
      </c>
      <c r="T1517" s="5">
        <f>data_origin!T1732</f>
        <v>0</v>
      </c>
      <c r="U1517" s="5">
        <f>data_origin!U1732</f>
        <v>0</v>
      </c>
      <c r="V1517" s="5">
        <f>data_origin!V1732</f>
        <v>0</v>
      </c>
      <c r="W1517" s="5">
        <f>data_origin!W1732</f>
        <v>0</v>
      </c>
      <c r="X1517" s="5">
        <f>data_origin!X1732</f>
        <v>0</v>
      </c>
      <c r="Y1517" s="5">
        <f>data_origin!Y1732</f>
        <v>0</v>
      </c>
      <c r="Z1517" s="5">
        <f>data_origin!Z1732</f>
        <v>0</v>
      </c>
      <c r="AA1517" s="5">
        <f>data_origin!AA1732</f>
        <v>0</v>
      </c>
      <c r="AB1517" s="5">
        <f t="shared" si="159"/>
        <v>0</v>
      </c>
    </row>
    <row r="1518" spans="4:28" x14ac:dyDescent="0.25">
      <c r="D1518" t="s">
        <v>99</v>
      </c>
      <c r="E1518" s="38">
        <f t="shared" si="163"/>
        <v>0</v>
      </c>
      <c r="F1518" s="38">
        <f t="shared" si="163"/>
        <v>0</v>
      </c>
      <c r="G1518" s="38">
        <f t="shared" si="163"/>
        <v>0</v>
      </c>
      <c r="H1518" s="38">
        <f t="shared" si="163"/>
        <v>0</v>
      </c>
      <c r="I1518" s="38">
        <f t="shared" si="163"/>
        <v>0</v>
      </c>
      <c r="J1518" s="38">
        <f t="shared" si="163"/>
        <v>0</v>
      </c>
      <c r="K1518" s="38">
        <f t="shared" si="163"/>
        <v>0</v>
      </c>
      <c r="L1518" s="38">
        <f t="shared" si="162"/>
        <v>0</v>
      </c>
      <c r="M1518" s="35">
        <f t="shared" si="161"/>
        <v>0</v>
      </c>
      <c r="S1518" t="s">
        <v>99</v>
      </c>
      <c r="T1518" s="5">
        <f>data_origin!T1733</f>
        <v>0</v>
      </c>
      <c r="U1518" s="5">
        <f>data_origin!U1733</f>
        <v>0</v>
      </c>
      <c r="V1518" s="5">
        <f>data_origin!V1733</f>
        <v>0</v>
      </c>
      <c r="W1518" s="5">
        <f>data_origin!W1733</f>
        <v>0</v>
      </c>
      <c r="X1518" s="5">
        <f>data_origin!X1733</f>
        <v>0</v>
      </c>
      <c r="Y1518" s="5">
        <f>data_origin!Y1733</f>
        <v>0</v>
      </c>
      <c r="Z1518" s="5">
        <f>data_origin!Z1733</f>
        <v>0</v>
      </c>
      <c r="AA1518" s="5">
        <f>data_origin!AA1733</f>
        <v>0</v>
      </c>
      <c r="AB1518" s="5">
        <f t="shared" si="159"/>
        <v>0</v>
      </c>
    </row>
    <row r="1519" spans="4:28" x14ac:dyDescent="0.25">
      <c r="D1519" t="s">
        <v>100</v>
      </c>
      <c r="E1519" s="38">
        <f t="shared" si="163"/>
        <v>0</v>
      </c>
      <c r="F1519" s="38">
        <f t="shared" si="163"/>
        <v>0</v>
      </c>
      <c r="G1519" s="38">
        <f t="shared" si="163"/>
        <v>26.292392359358622</v>
      </c>
      <c r="H1519" s="38">
        <f t="shared" si="163"/>
        <v>22.036996469325942</v>
      </c>
      <c r="I1519" s="38">
        <f t="shared" si="163"/>
        <v>7.0871090262423007</v>
      </c>
      <c r="J1519" s="38">
        <f t="shared" si="163"/>
        <v>0</v>
      </c>
      <c r="K1519" s="38">
        <f t="shared" si="163"/>
        <v>0</v>
      </c>
      <c r="L1519" s="38">
        <f t="shared" si="162"/>
        <v>0</v>
      </c>
      <c r="M1519" s="35">
        <f t="shared" si="161"/>
        <v>55.416497854926867</v>
      </c>
      <c r="S1519" t="s">
        <v>100</v>
      </c>
      <c r="T1519" s="5">
        <f>data_origin!T1734</f>
        <v>0</v>
      </c>
      <c r="U1519" s="5">
        <f>data_origin!U1734</f>
        <v>0</v>
      </c>
      <c r="V1519" s="5">
        <f>data_origin!V1734</f>
        <v>21</v>
      </c>
      <c r="W1519" s="5">
        <f>data_origin!W1734</f>
        <v>14.777777777777779</v>
      </c>
      <c r="X1519" s="5">
        <f>data_origin!X1734</f>
        <v>5</v>
      </c>
      <c r="Y1519" s="5">
        <f>data_origin!Y1734</f>
        <v>0</v>
      </c>
      <c r="Z1519" s="5">
        <f>data_origin!Z1734</f>
        <v>0</v>
      </c>
      <c r="AA1519" s="5">
        <f>data_origin!AA1734</f>
        <v>0</v>
      </c>
      <c r="AB1519" s="5">
        <f t="shared" ref="AB1519:AB1582" si="164">SUM(T1519:AA1519)</f>
        <v>40.777777777777779</v>
      </c>
    </row>
    <row r="1520" spans="4:28" x14ac:dyDescent="0.25">
      <c r="D1520" t="s">
        <v>101</v>
      </c>
      <c r="E1520" s="38">
        <f t="shared" si="163"/>
        <v>0</v>
      </c>
      <c r="F1520" s="38">
        <f t="shared" si="163"/>
        <v>0</v>
      </c>
      <c r="G1520" s="38">
        <f t="shared" si="163"/>
        <v>0</v>
      </c>
      <c r="H1520" s="38">
        <f t="shared" si="163"/>
        <v>0</v>
      </c>
      <c r="I1520" s="38">
        <f t="shared" si="163"/>
        <v>0</v>
      </c>
      <c r="J1520" s="38">
        <f t="shared" si="163"/>
        <v>0</v>
      </c>
      <c r="K1520" s="38">
        <f t="shared" si="163"/>
        <v>0</v>
      </c>
      <c r="L1520" s="38">
        <f t="shared" si="162"/>
        <v>0</v>
      </c>
      <c r="M1520" s="35">
        <f t="shared" si="161"/>
        <v>0</v>
      </c>
      <c r="S1520" t="s">
        <v>101</v>
      </c>
      <c r="T1520" s="5">
        <f>data_origin!T1735</f>
        <v>0</v>
      </c>
      <c r="U1520" s="5">
        <f>data_origin!U1735</f>
        <v>0</v>
      </c>
      <c r="V1520" s="5">
        <f>data_origin!V1735</f>
        <v>0</v>
      </c>
      <c r="W1520" s="5">
        <f>data_origin!W1735</f>
        <v>0</v>
      </c>
      <c r="X1520" s="5">
        <f>data_origin!X1735</f>
        <v>0</v>
      </c>
      <c r="Y1520" s="5">
        <f>data_origin!Y1735</f>
        <v>0</v>
      </c>
      <c r="Z1520" s="5">
        <f>data_origin!Z1735</f>
        <v>0</v>
      </c>
      <c r="AA1520" s="5">
        <f>data_origin!AA1735</f>
        <v>0</v>
      </c>
      <c r="AB1520" s="5">
        <f t="shared" si="164"/>
        <v>0</v>
      </c>
    </row>
    <row r="1521" spans="1:28" x14ac:dyDescent="0.25">
      <c r="A1521" s="24" t="s">
        <v>115</v>
      </c>
      <c r="B1521" s="24" t="s">
        <v>116</v>
      </c>
      <c r="C1521" s="24" t="s">
        <v>111</v>
      </c>
      <c r="D1521" t="s">
        <v>70</v>
      </c>
      <c r="E1521" s="38">
        <f t="shared" si="163"/>
        <v>0</v>
      </c>
      <c r="F1521" s="38">
        <f t="shared" si="163"/>
        <v>0</v>
      </c>
      <c r="G1521" s="38">
        <f t="shared" si="163"/>
        <v>0</v>
      </c>
      <c r="H1521" s="38">
        <f t="shared" si="163"/>
        <v>0</v>
      </c>
      <c r="I1521" s="38">
        <f t="shared" si="163"/>
        <v>0</v>
      </c>
      <c r="J1521" s="38">
        <f t="shared" si="163"/>
        <v>0</v>
      </c>
      <c r="K1521" s="38">
        <f t="shared" si="163"/>
        <v>0</v>
      </c>
      <c r="L1521" s="38">
        <f t="shared" si="162"/>
        <v>0</v>
      </c>
      <c r="M1521" s="35">
        <f t="shared" si="161"/>
        <v>0</v>
      </c>
      <c r="P1521" t="s">
        <v>115</v>
      </c>
      <c r="Q1521" t="s">
        <v>116</v>
      </c>
      <c r="R1521" t="s">
        <v>111</v>
      </c>
      <c r="S1521" t="s">
        <v>70</v>
      </c>
      <c r="T1521" s="5">
        <f>data_origin!T1737</f>
        <v>0</v>
      </c>
      <c r="U1521" s="5">
        <f>data_origin!U1737</f>
        <v>0</v>
      </c>
      <c r="V1521" s="5">
        <f>data_origin!V1737</f>
        <v>0</v>
      </c>
      <c r="W1521" s="5">
        <f>data_origin!W1737</f>
        <v>0</v>
      </c>
      <c r="X1521" s="5">
        <f>data_origin!X1737</f>
        <v>0</v>
      </c>
      <c r="Y1521" s="5">
        <f>data_origin!Y1737</f>
        <v>0</v>
      </c>
      <c r="Z1521" s="5">
        <f>data_origin!Z1737</f>
        <v>0</v>
      </c>
      <c r="AA1521" s="5">
        <f>data_origin!AA1737</f>
        <v>0</v>
      </c>
      <c r="AB1521" s="5">
        <f t="shared" si="164"/>
        <v>0</v>
      </c>
    </row>
    <row r="1522" spans="1:28" x14ac:dyDescent="0.25">
      <c r="D1522" t="s">
        <v>71</v>
      </c>
      <c r="E1522" s="38">
        <f t="shared" si="163"/>
        <v>0</v>
      </c>
      <c r="F1522" s="38">
        <f t="shared" si="163"/>
        <v>0</v>
      </c>
      <c r="G1522" s="38">
        <f t="shared" si="163"/>
        <v>7.0974641197862072</v>
      </c>
      <c r="H1522" s="38">
        <f t="shared" si="163"/>
        <v>0</v>
      </c>
      <c r="I1522" s="38">
        <f t="shared" si="163"/>
        <v>3.3148258816159508</v>
      </c>
      <c r="J1522" s="38">
        <f t="shared" si="163"/>
        <v>0</v>
      </c>
      <c r="K1522" s="38">
        <f t="shared" si="163"/>
        <v>0</v>
      </c>
      <c r="L1522" s="38">
        <f t="shared" si="162"/>
        <v>0</v>
      </c>
      <c r="M1522" s="35">
        <f t="shared" si="161"/>
        <v>10.412290001402159</v>
      </c>
      <c r="S1522" t="s">
        <v>71</v>
      </c>
      <c r="T1522" s="5">
        <f>data_origin!T1738</f>
        <v>0</v>
      </c>
      <c r="U1522" s="5">
        <f>data_origin!U1738</f>
        <v>0</v>
      </c>
      <c r="V1522" s="5">
        <f>data_origin!V1738</f>
        <v>7</v>
      </c>
      <c r="W1522" s="5">
        <f>data_origin!W1738</f>
        <v>0</v>
      </c>
      <c r="X1522" s="5">
        <f>data_origin!X1738</f>
        <v>3.258064516129032</v>
      </c>
      <c r="Y1522" s="5">
        <f>data_origin!Y1738</f>
        <v>0</v>
      </c>
      <c r="Z1522" s="5">
        <f>data_origin!Z1738</f>
        <v>0</v>
      </c>
      <c r="AA1522" s="5">
        <f>data_origin!AA1738</f>
        <v>0</v>
      </c>
      <c r="AB1522" s="5">
        <f t="shared" si="164"/>
        <v>10.258064516129032</v>
      </c>
    </row>
    <row r="1523" spans="1:28" x14ac:dyDescent="0.25">
      <c r="D1523" t="s">
        <v>72</v>
      </c>
      <c r="E1523" s="38">
        <f t="shared" si="163"/>
        <v>0</v>
      </c>
      <c r="F1523" s="38">
        <f t="shared" si="163"/>
        <v>0</v>
      </c>
      <c r="G1523" s="38">
        <f t="shared" si="163"/>
        <v>1.1829106866310346</v>
      </c>
      <c r="H1523" s="38">
        <f t="shared" si="163"/>
        <v>4.7017417013241074</v>
      </c>
      <c r="I1523" s="38">
        <f t="shared" si="163"/>
        <v>5.5247098026932511</v>
      </c>
      <c r="J1523" s="38">
        <f t="shared" si="163"/>
        <v>5.5427434045513637</v>
      </c>
      <c r="K1523" s="38">
        <f t="shared" si="163"/>
        <v>0</v>
      </c>
      <c r="L1523" s="38">
        <f t="shared" si="162"/>
        <v>0</v>
      </c>
      <c r="M1523" s="35">
        <f t="shared" si="161"/>
        <v>16.952105595199757</v>
      </c>
      <c r="S1523" t="s">
        <v>72</v>
      </c>
      <c r="T1523" s="5">
        <f>data_origin!T1739</f>
        <v>0</v>
      </c>
      <c r="U1523" s="5">
        <f>data_origin!U1739</f>
        <v>0</v>
      </c>
      <c r="V1523" s="5">
        <f>data_origin!V1739</f>
        <v>1.1666666666666667</v>
      </c>
      <c r="W1523" s="5">
        <f>data_origin!W1739</f>
        <v>4.6206896551724137</v>
      </c>
      <c r="X1523" s="5">
        <f>data_origin!X1739</f>
        <v>5.43010752688172</v>
      </c>
      <c r="Y1523" s="5">
        <f>data_origin!Y1739</f>
        <v>5.4411764705882355</v>
      </c>
      <c r="Z1523" s="5">
        <f>data_origin!Z1739</f>
        <v>0</v>
      </c>
      <c r="AA1523" s="5">
        <f>data_origin!AA1739</f>
        <v>0</v>
      </c>
      <c r="AB1523" s="5">
        <f t="shared" si="164"/>
        <v>16.658640319309036</v>
      </c>
    </row>
    <row r="1524" spans="1:28" x14ac:dyDescent="0.25">
      <c r="D1524" t="s">
        <v>73</v>
      </c>
      <c r="E1524" s="38">
        <f t="shared" si="163"/>
        <v>0</v>
      </c>
      <c r="F1524" s="38">
        <f t="shared" si="163"/>
        <v>0</v>
      </c>
      <c r="G1524" s="38">
        <f t="shared" si="163"/>
        <v>0</v>
      </c>
      <c r="H1524" s="38">
        <f t="shared" ref="H1524:L1580" si="165">W1524+AZ270+IFERROR((W1524/SUM(W$993:W$1982)*AZ$630),0)+IFERROR((W1524/SUM(W$1125:W$1322,W$1455:W$1652,W$1785:W$1982)*AZ$732),0)</f>
        <v>0</v>
      </c>
      <c r="I1524" s="38">
        <f t="shared" si="165"/>
        <v>0</v>
      </c>
      <c r="J1524" s="38">
        <f t="shared" si="165"/>
        <v>0</v>
      </c>
      <c r="K1524" s="38">
        <f t="shared" si="165"/>
        <v>0</v>
      </c>
      <c r="L1524" s="38">
        <f t="shared" si="162"/>
        <v>0</v>
      </c>
      <c r="M1524" s="35">
        <f t="shared" si="161"/>
        <v>0</v>
      </c>
      <c r="S1524" t="s">
        <v>73</v>
      </c>
      <c r="T1524" s="5">
        <f>data_origin!T1740</f>
        <v>0</v>
      </c>
      <c r="U1524" s="5">
        <f>data_origin!U1740</f>
        <v>0</v>
      </c>
      <c r="V1524" s="5">
        <f>data_origin!V1740</f>
        <v>0</v>
      </c>
      <c r="W1524" s="5">
        <f>data_origin!W1740</f>
        <v>0</v>
      </c>
      <c r="X1524" s="5">
        <f>data_origin!X1740</f>
        <v>0</v>
      </c>
      <c r="Y1524" s="5">
        <f>data_origin!Y1740</f>
        <v>0</v>
      </c>
      <c r="Z1524" s="5">
        <f>data_origin!Z1740</f>
        <v>0</v>
      </c>
      <c r="AA1524" s="5">
        <f>data_origin!AA1740</f>
        <v>0</v>
      </c>
      <c r="AB1524" s="5">
        <f t="shared" si="164"/>
        <v>0</v>
      </c>
    </row>
    <row r="1525" spans="1:28" x14ac:dyDescent="0.25">
      <c r="D1525" t="s">
        <v>74</v>
      </c>
      <c r="E1525" s="38">
        <f t="shared" ref="E1525:I1588" si="166">T1525+AW271+IFERROR((T1525/SUM(T$993:T$1982)*AW$630),0)+IFERROR((T1525/SUM(T$1125:T$1322,T$1455:T$1652,T$1785:T$1982)*AW$732),0)</f>
        <v>0</v>
      </c>
      <c r="F1525" s="38">
        <f t="shared" si="166"/>
        <v>0</v>
      </c>
      <c r="G1525" s="38">
        <f t="shared" si="166"/>
        <v>0</v>
      </c>
      <c r="H1525" s="38">
        <f t="shared" si="165"/>
        <v>1.1754354253310269</v>
      </c>
      <c r="I1525" s="38">
        <f t="shared" si="165"/>
        <v>3.3148258816159508</v>
      </c>
      <c r="J1525" s="38">
        <f t="shared" si="165"/>
        <v>0</v>
      </c>
      <c r="K1525" s="38">
        <f t="shared" si="165"/>
        <v>2.0428571428571427</v>
      </c>
      <c r="L1525" s="38">
        <f t="shared" si="162"/>
        <v>0</v>
      </c>
      <c r="M1525" s="35">
        <f t="shared" si="161"/>
        <v>6.5331184498041202</v>
      </c>
      <c r="S1525" t="s">
        <v>74</v>
      </c>
      <c r="T1525" s="5">
        <f>data_origin!T1741</f>
        <v>0</v>
      </c>
      <c r="U1525" s="5">
        <f>data_origin!U1741</f>
        <v>0</v>
      </c>
      <c r="V1525" s="5">
        <f>data_origin!V1741</f>
        <v>0</v>
      </c>
      <c r="W1525" s="5">
        <f>data_origin!W1741</f>
        <v>1.1551724137931034</v>
      </c>
      <c r="X1525" s="5">
        <f>data_origin!X1741</f>
        <v>3.258064516129032</v>
      </c>
      <c r="Y1525" s="5">
        <f>data_origin!Y1741</f>
        <v>0</v>
      </c>
      <c r="Z1525" s="5">
        <f>data_origin!Z1741</f>
        <v>2</v>
      </c>
      <c r="AA1525" s="5">
        <f>data_origin!AA1741</f>
        <v>0</v>
      </c>
      <c r="AB1525" s="5">
        <f t="shared" si="164"/>
        <v>6.4132369299221352</v>
      </c>
    </row>
    <row r="1526" spans="1:28" x14ac:dyDescent="0.25">
      <c r="D1526" t="s">
        <v>75</v>
      </c>
      <c r="E1526" s="38">
        <f t="shared" si="166"/>
        <v>0</v>
      </c>
      <c r="F1526" s="38">
        <f t="shared" si="166"/>
        <v>0</v>
      </c>
      <c r="G1526" s="38">
        <f t="shared" si="166"/>
        <v>1.1829106866310346</v>
      </c>
      <c r="H1526" s="38">
        <f t="shared" si="165"/>
        <v>0</v>
      </c>
      <c r="I1526" s="38">
        <f t="shared" si="165"/>
        <v>2.2098839210773007</v>
      </c>
      <c r="J1526" s="38">
        <f t="shared" si="165"/>
        <v>0</v>
      </c>
      <c r="K1526" s="38">
        <f t="shared" si="165"/>
        <v>0</v>
      </c>
      <c r="L1526" s="38">
        <f t="shared" si="162"/>
        <v>0</v>
      </c>
      <c r="M1526" s="35">
        <f t="shared" si="161"/>
        <v>3.3927946077083355</v>
      </c>
      <c r="S1526" t="s">
        <v>75</v>
      </c>
      <c r="T1526" s="5">
        <f>data_origin!T1742</f>
        <v>0</v>
      </c>
      <c r="U1526" s="5">
        <f>data_origin!U1742</f>
        <v>0</v>
      </c>
      <c r="V1526" s="5">
        <f>data_origin!V1742</f>
        <v>1.1666666666666667</v>
      </c>
      <c r="W1526" s="5">
        <f>data_origin!W1742</f>
        <v>0</v>
      </c>
      <c r="X1526" s="5">
        <f>data_origin!X1742</f>
        <v>2.172043010752688</v>
      </c>
      <c r="Y1526" s="5">
        <f>data_origin!Y1742</f>
        <v>0</v>
      </c>
      <c r="Z1526" s="5">
        <f>data_origin!Z1742</f>
        <v>0</v>
      </c>
      <c r="AA1526" s="5">
        <f>data_origin!AA1742</f>
        <v>0</v>
      </c>
      <c r="AB1526" s="5">
        <f t="shared" si="164"/>
        <v>3.338709677419355</v>
      </c>
    </row>
    <row r="1527" spans="1:28" x14ac:dyDescent="0.25">
      <c r="D1527" t="s">
        <v>76</v>
      </c>
      <c r="E1527" s="38">
        <f t="shared" si="166"/>
        <v>0</v>
      </c>
      <c r="F1527" s="38">
        <f t="shared" si="166"/>
        <v>0</v>
      </c>
      <c r="G1527" s="38">
        <f t="shared" si="166"/>
        <v>1.1829106866310346</v>
      </c>
      <c r="H1527" s="38">
        <f t="shared" si="165"/>
        <v>2.3508708506620537</v>
      </c>
      <c r="I1527" s="38">
        <f t="shared" si="165"/>
        <v>1.1049419605386503</v>
      </c>
      <c r="J1527" s="38">
        <f t="shared" si="165"/>
        <v>4.4341947236410908</v>
      </c>
      <c r="K1527" s="38">
        <f t="shared" si="165"/>
        <v>0</v>
      </c>
      <c r="L1527" s="38">
        <f t="shared" si="162"/>
        <v>0</v>
      </c>
      <c r="M1527" s="35">
        <f t="shared" si="161"/>
        <v>9.072918221472829</v>
      </c>
      <c r="S1527" t="s">
        <v>76</v>
      </c>
      <c r="T1527" s="5">
        <f>data_origin!T1743</f>
        <v>0</v>
      </c>
      <c r="U1527" s="5">
        <f>data_origin!U1743</f>
        <v>0</v>
      </c>
      <c r="V1527" s="5">
        <f>data_origin!V1743</f>
        <v>1.1666666666666667</v>
      </c>
      <c r="W1527" s="5">
        <f>data_origin!W1743</f>
        <v>2.3103448275862069</v>
      </c>
      <c r="X1527" s="5">
        <f>data_origin!X1743</f>
        <v>1.086021505376344</v>
      </c>
      <c r="Y1527" s="5">
        <f>data_origin!Y1743</f>
        <v>4.3529411764705879</v>
      </c>
      <c r="Z1527" s="5">
        <f>data_origin!Z1743</f>
        <v>0</v>
      </c>
      <c r="AA1527" s="5">
        <f>data_origin!AA1743</f>
        <v>0</v>
      </c>
      <c r="AB1527" s="5">
        <f t="shared" si="164"/>
        <v>8.9159741760998052</v>
      </c>
    </row>
    <row r="1528" spans="1:28" x14ac:dyDescent="0.25">
      <c r="D1528" t="s">
        <v>77</v>
      </c>
      <c r="E1528" s="38">
        <f t="shared" si="166"/>
        <v>0</v>
      </c>
      <c r="F1528" s="38">
        <f t="shared" si="166"/>
        <v>0</v>
      </c>
      <c r="G1528" s="38">
        <f t="shared" si="166"/>
        <v>4.7316427465241384</v>
      </c>
      <c r="H1528" s="38">
        <f t="shared" si="165"/>
        <v>16.456095954634378</v>
      </c>
      <c r="I1528" s="38">
        <f t="shared" si="165"/>
        <v>29.833432934543559</v>
      </c>
      <c r="J1528" s="38">
        <f t="shared" si="165"/>
        <v>7.7598407663719078</v>
      </c>
      <c r="K1528" s="38">
        <f t="shared" si="165"/>
        <v>2.0428571428571427</v>
      </c>
      <c r="L1528" s="38">
        <f t="shared" si="162"/>
        <v>0</v>
      </c>
      <c r="M1528" s="35">
        <f t="shared" si="161"/>
        <v>60.823869544931128</v>
      </c>
      <c r="S1528" t="s">
        <v>77</v>
      </c>
      <c r="T1528" s="5">
        <f>data_origin!T1744</f>
        <v>0</v>
      </c>
      <c r="U1528" s="5">
        <f>data_origin!U1744</f>
        <v>0</v>
      </c>
      <c r="V1528" s="5">
        <f>data_origin!V1744</f>
        <v>4.666666666666667</v>
      </c>
      <c r="W1528" s="5">
        <f>data_origin!W1744</f>
        <v>16.172413793103448</v>
      </c>
      <c r="X1528" s="5">
        <f>data_origin!X1744</f>
        <v>29.322580645161292</v>
      </c>
      <c r="Y1528" s="5">
        <f>data_origin!Y1744</f>
        <v>7.617647058823529</v>
      </c>
      <c r="Z1528" s="5">
        <f>data_origin!Z1744</f>
        <v>2</v>
      </c>
      <c r="AA1528" s="5">
        <f>data_origin!AA1744</f>
        <v>0</v>
      </c>
      <c r="AB1528" s="5">
        <f t="shared" si="164"/>
        <v>59.779308163754941</v>
      </c>
    </row>
    <row r="1529" spans="1:28" x14ac:dyDescent="0.25">
      <c r="D1529" t="s">
        <v>78</v>
      </c>
      <c r="E1529" s="38">
        <f t="shared" si="166"/>
        <v>0</v>
      </c>
      <c r="F1529" s="38">
        <f t="shared" si="166"/>
        <v>0</v>
      </c>
      <c r="G1529" s="38">
        <f t="shared" si="166"/>
        <v>0</v>
      </c>
      <c r="H1529" s="38">
        <f t="shared" si="165"/>
        <v>8.2280479773171891</v>
      </c>
      <c r="I1529" s="38">
        <f t="shared" si="165"/>
        <v>1.1049419605386503</v>
      </c>
      <c r="J1529" s="38">
        <f t="shared" si="165"/>
        <v>1.1085486809102727</v>
      </c>
      <c r="K1529" s="38">
        <f t="shared" si="165"/>
        <v>0</v>
      </c>
      <c r="L1529" s="38">
        <f t="shared" si="162"/>
        <v>0</v>
      </c>
      <c r="M1529" s="35">
        <f t="shared" si="161"/>
        <v>10.441538618766112</v>
      </c>
      <c r="S1529" t="s">
        <v>78</v>
      </c>
      <c r="T1529" s="5">
        <f>data_origin!T1745</f>
        <v>0</v>
      </c>
      <c r="U1529" s="5">
        <f>data_origin!U1745</f>
        <v>0</v>
      </c>
      <c r="V1529" s="5">
        <f>data_origin!V1745</f>
        <v>0</v>
      </c>
      <c r="W1529" s="5">
        <f>data_origin!W1745</f>
        <v>8.0862068965517242</v>
      </c>
      <c r="X1529" s="5">
        <f>data_origin!X1745</f>
        <v>1.086021505376344</v>
      </c>
      <c r="Y1529" s="5">
        <f>data_origin!Y1745</f>
        <v>1.088235294117647</v>
      </c>
      <c r="Z1529" s="5">
        <f>data_origin!Z1745</f>
        <v>0</v>
      </c>
      <c r="AA1529" s="5">
        <f>data_origin!AA1745</f>
        <v>0</v>
      </c>
      <c r="AB1529" s="5">
        <f t="shared" si="164"/>
        <v>10.260463696045715</v>
      </c>
    </row>
    <row r="1530" spans="1:28" x14ac:dyDescent="0.25">
      <c r="D1530" t="s">
        <v>79</v>
      </c>
      <c r="E1530" s="38">
        <f t="shared" si="166"/>
        <v>0</v>
      </c>
      <c r="F1530" s="38">
        <f t="shared" si="166"/>
        <v>0</v>
      </c>
      <c r="G1530" s="38">
        <f t="shared" si="166"/>
        <v>2.3658213732620692</v>
      </c>
      <c r="H1530" s="38">
        <f t="shared" si="165"/>
        <v>2.3508708506620537</v>
      </c>
      <c r="I1530" s="38">
        <f t="shared" si="165"/>
        <v>11.049419605386502</v>
      </c>
      <c r="J1530" s="38">
        <f t="shared" si="165"/>
        <v>7.7598407663719078</v>
      </c>
      <c r="K1530" s="38">
        <f t="shared" si="165"/>
        <v>6.1285714285714281</v>
      </c>
      <c r="L1530" s="38">
        <f t="shared" si="162"/>
        <v>0</v>
      </c>
      <c r="M1530" s="35">
        <f t="shared" si="161"/>
        <v>29.654524024253959</v>
      </c>
      <c r="S1530" t="s">
        <v>79</v>
      </c>
      <c r="T1530" s="5">
        <f>data_origin!T1746</f>
        <v>0</v>
      </c>
      <c r="U1530" s="5">
        <f>data_origin!U1746</f>
        <v>0</v>
      </c>
      <c r="V1530" s="5">
        <f>data_origin!V1746</f>
        <v>2.3333333333333335</v>
      </c>
      <c r="W1530" s="5">
        <f>data_origin!W1746</f>
        <v>2.3103448275862069</v>
      </c>
      <c r="X1530" s="5">
        <f>data_origin!X1746</f>
        <v>10.86021505376344</v>
      </c>
      <c r="Y1530" s="5">
        <f>data_origin!Y1746</f>
        <v>7.617647058823529</v>
      </c>
      <c r="Z1530" s="5">
        <f>data_origin!Z1746</f>
        <v>6</v>
      </c>
      <c r="AA1530" s="5">
        <f>data_origin!AA1746</f>
        <v>0</v>
      </c>
      <c r="AB1530" s="5">
        <f t="shared" si="164"/>
        <v>29.121540273506511</v>
      </c>
    </row>
    <row r="1531" spans="1:28" x14ac:dyDescent="0.25">
      <c r="D1531" t="s">
        <v>80</v>
      </c>
      <c r="E1531" s="38">
        <f t="shared" si="166"/>
        <v>0</v>
      </c>
      <c r="F1531" s="38">
        <f t="shared" si="166"/>
        <v>0</v>
      </c>
      <c r="G1531" s="38">
        <f t="shared" si="166"/>
        <v>0</v>
      </c>
      <c r="H1531" s="38">
        <f t="shared" si="165"/>
        <v>7.0526125519861624</v>
      </c>
      <c r="I1531" s="38">
        <f t="shared" si="165"/>
        <v>11.049419605386502</v>
      </c>
      <c r="J1531" s="38">
        <f t="shared" si="165"/>
        <v>3.3256460427308179</v>
      </c>
      <c r="K1531" s="38">
        <f t="shared" si="165"/>
        <v>2.0428571428571427</v>
      </c>
      <c r="L1531" s="38">
        <f t="shared" si="162"/>
        <v>0</v>
      </c>
      <c r="M1531" s="35">
        <f t="shared" si="161"/>
        <v>23.470535342960623</v>
      </c>
      <c r="S1531" t="s">
        <v>80</v>
      </c>
      <c r="T1531" s="5">
        <f>data_origin!T1747</f>
        <v>0</v>
      </c>
      <c r="U1531" s="5">
        <f>data_origin!U1747</f>
        <v>0</v>
      </c>
      <c r="V1531" s="5">
        <f>data_origin!V1747</f>
        <v>0</v>
      </c>
      <c r="W1531" s="5">
        <f>data_origin!W1747</f>
        <v>6.931034482758621</v>
      </c>
      <c r="X1531" s="5">
        <f>data_origin!X1747</f>
        <v>10.86021505376344</v>
      </c>
      <c r="Y1531" s="5">
        <f>data_origin!Y1747</f>
        <v>3.2647058823529411</v>
      </c>
      <c r="Z1531" s="5">
        <f>data_origin!Z1747</f>
        <v>2</v>
      </c>
      <c r="AA1531" s="5">
        <f>data_origin!AA1747</f>
        <v>0</v>
      </c>
      <c r="AB1531" s="5">
        <f t="shared" si="164"/>
        <v>23.055955418875001</v>
      </c>
    </row>
    <row r="1532" spans="1:28" x14ac:dyDescent="0.25">
      <c r="D1532" t="s">
        <v>81</v>
      </c>
      <c r="E1532" s="38">
        <f t="shared" si="166"/>
        <v>0</v>
      </c>
      <c r="F1532" s="38">
        <f t="shared" si="166"/>
        <v>0</v>
      </c>
      <c r="G1532" s="38">
        <f t="shared" si="166"/>
        <v>4.7316427465241384</v>
      </c>
      <c r="H1532" s="38">
        <f t="shared" si="165"/>
        <v>2.3508708506620537</v>
      </c>
      <c r="I1532" s="38">
        <f t="shared" si="165"/>
        <v>7.7345937237705531</v>
      </c>
      <c r="J1532" s="38">
        <f t="shared" si="165"/>
        <v>1.1085486809102727</v>
      </c>
      <c r="K1532" s="38">
        <f t="shared" si="165"/>
        <v>1.0214285714285714</v>
      </c>
      <c r="L1532" s="38">
        <f t="shared" si="162"/>
        <v>0</v>
      </c>
      <c r="M1532" s="35">
        <f t="shared" si="161"/>
        <v>16.947084573295591</v>
      </c>
      <c r="S1532" t="s">
        <v>81</v>
      </c>
      <c r="T1532" s="5">
        <f>data_origin!T1748</f>
        <v>0</v>
      </c>
      <c r="U1532" s="5">
        <f>data_origin!U1748</f>
        <v>0</v>
      </c>
      <c r="V1532" s="5">
        <f>data_origin!V1748</f>
        <v>4.666666666666667</v>
      </c>
      <c r="W1532" s="5">
        <f>data_origin!W1748</f>
        <v>2.3103448275862069</v>
      </c>
      <c r="X1532" s="5">
        <f>data_origin!X1748</f>
        <v>7.602150537634409</v>
      </c>
      <c r="Y1532" s="5">
        <f>data_origin!Y1748</f>
        <v>1.088235294117647</v>
      </c>
      <c r="Z1532" s="5">
        <f>data_origin!Z1748</f>
        <v>1</v>
      </c>
      <c r="AA1532" s="5">
        <f>data_origin!AA1748</f>
        <v>0</v>
      </c>
      <c r="AB1532" s="5">
        <f t="shared" si="164"/>
        <v>16.667397326004931</v>
      </c>
    </row>
    <row r="1533" spans="1:28" x14ac:dyDescent="0.25">
      <c r="D1533" t="s">
        <v>82</v>
      </c>
      <c r="E1533" s="38">
        <f t="shared" si="166"/>
        <v>0</v>
      </c>
      <c r="F1533" s="38">
        <f t="shared" si="166"/>
        <v>0</v>
      </c>
      <c r="G1533" s="38">
        <f t="shared" si="166"/>
        <v>0</v>
      </c>
      <c r="H1533" s="38">
        <f t="shared" si="165"/>
        <v>1.1754354253310269</v>
      </c>
      <c r="I1533" s="38">
        <f t="shared" si="165"/>
        <v>6.6296517632319016</v>
      </c>
      <c r="J1533" s="38">
        <f t="shared" si="165"/>
        <v>0</v>
      </c>
      <c r="K1533" s="38">
        <f t="shared" si="165"/>
        <v>0</v>
      </c>
      <c r="L1533" s="38">
        <f t="shared" si="162"/>
        <v>0</v>
      </c>
      <c r="M1533" s="35">
        <f t="shared" si="161"/>
        <v>7.8050871885629283</v>
      </c>
      <c r="S1533" t="s">
        <v>82</v>
      </c>
      <c r="T1533" s="5">
        <f>data_origin!T1749</f>
        <v>0</v>
      </c>
      <c r="U1533" s="5">
        <f>data_origin!U1749</f>
        <v>0</v>
      </c>
      <c r="V1533" s="5">
        <f>data_origin!V1749</f>
        <v>0</v>
      </c>
      <c r="W1533" s="5">
        <f>data_origin!W1749</f>
        <v>1.1551724137931034</v>
      </c>
      <c r="X1533" s="5">
        <f>data_origin!X1749</f>
        <v>6.5161290322580641</v>
      </c>
      <c r="Y1533" s="5">
        <f>data_origin!Y1749</f>
        <v>0</v>
      </c>
      <c r="Z1533" s="5">
        <f>data_origin!Z1749</f>
        <v>0</v>
      </c>
      <c r="AA1533" s="5">
        <f>data_origin!AA1749</f>
        <v>0</v>
      </c>
      <c r="AB1533" s="5">
        <f t="shared" si="164"/>
        <v>7.6713014460511673</v>
      </c>
    </row>
    <row r="1534" spans="1:28" x14ac:dyDescent="0.25">
      <c r="D1534" t="s">
        <v>83</v>
      </c>
      <c r="E1534" s="38">
        <f t="shared" si="166"/>
        <v>0</v>
      </c>
      <c r="F1534" s="38">
        <f t="shared" si="166"/>
        <v>0</v>
      </c>
      <c r="G1534" s="38">
        <f t="shared" si="166"/>
        <v>0</v>
      </c>
      <c r="H1534" s="38">
        <f t="shared" si="165"/>
        <v>0</v>
      </c>
      <c r="I1534" s="38">
        <f t="shared" si="165"/>
        <v>1.1049419605386503</v>
      </c>
      <c r="J1534" s="38">
        <f t="shared" si="165"/>
        <v>1.1085486809102727</v>
      </c>
      <c r="K1534" s="38">
        <f t="shared" si="165"/>
        <v>0</v>
      </c>
      <c r="L1534" s="38">
        <f t="shared" si="162"/>
        <v>0</v>
      </c>
      <c r="M1534" s="35">
        <f t="shared" si="161"/>
        <v>2.213490641448923</v>
      </c>
      <c r="S1534" t="s">
        <v>83</v>
      </c>
      <c r="T1534" s="5">
        <f>data_origin!T1750</f>
        <v>0</v>
      </c>
      <c r="U1534" s="5">
        <f>data_origin!U1750</f>
        <v>0</v>
      </c>
      <c r="V1534" s="5">
        <f>data_origin!V1750</f>
        <v>0</v>
      </c>
      <c r="W1534" s="5">
        <f>data_origin!W1750</f>
        <v>0</v>
      </c>
      <c r="X1534" s="5">
        <f>data_origin!X1750</f>
        <v>1.086021505376344</v>
      </c>
      <c r="Y1534" s="5">
        <f>data_origin!Y1750</f>
        <v>1.088235294117647</v>
      </c>
      <c r="Z1534" s="5">
        <f>data_origin!Z1750</f>
        <v>0</v>
      </c>
      <c r="AA1534" s="5">
        <f>data_origin!AA1750</f>
        <v>0</v>
      </c>
      <c r="AB1534" s="5">
        <f t="shared" si="164"/>
        <v>2.1742567994939908</v>
      </c>
    </row>
    <row r="1535" spans="1:28" x14ac:dyDescent="0.25">
      <c r="D1535" t="s">
        <v>84</v>
      </c>
      <c r="E1535" s="38">
        <f t="shared" si="166"/>
        <v>0</v>
      </c>
      <c r="F1535" s="38">
        <f t="shared" si="166"/>
        <v>0</v>
      </c>
      <c r="G1535" s="38">
        <f t="shared" si="166"/>
        <v>0</v>
      </c>
      <c r="H1535" s="38">
        <f t="shared" si="165"/>
        <v>2.3508708506620537</v>
      </c>
      <c r="I1535" s="38">
        <f t="shared" si="165"/>
        <v>1.1049419605386503</v>
      </c>
      <c r="J1535" s="38">
        <f t="shared" si="165"/>
        <v>3.3256460427308179</v>
      </c>
      <c r="K1535" s="38">
        <f t="shared" si="165"/>
        <v>0</v>
      </c>
      <c r="L1535" s="38">
        <f t="shared" si="162"/>
        <v>0</v>
      </c>
      <c r="M1535" s="35">
        <f t="shared" si="161"/>
        <v>6.7814588539315217</v>
      </c>
      <c r="S1535" t="s">
        <v>84</v>
      </c>
      <c r="T1535" s="5">
        <f>data_origin!T1751</f>
        <v>0</v>
      </c>
      <c r="U1535" s="5">
        <f>data_origin!U1751</f>
        <v>0</v>
      </c>
      <c r="V1535" s="5">
        <f>data_origin!V1751</f>
        <v>0</v>
      </c>
      <c r="W1535" s="5">
        <f>data_origin!W1751</f>
        <v>2.3103448275862069</v>
      </c>
      <c r="X1535" s="5">
        <f>data_origin!X1751</f>
        <v>1.086021505376344</v>
      </c>
      <c r="Y1535" s="5">
        <f>data_origin!Y1751</f>
        <v>3.2647058823529411</v>
      </c>
      <c r="Z1535" s="5">
        <f>data_origin!Z1751</f>
        <v>0</v>
      </c>
      <c r="AA1535" s="5">
        <f>data_origin!AA1751</f>
        <v>0</v>
      </c>
      <c r="AB1535" s="5">
        <f t="shared" si="164"/>
        <v>6.6610722153154924</v>
      </c>
    </row>
    <row r="1536" spans="1:28" x14ac:dyDescent="0.25">
      <c r="D1536" t="s">
        <v>85</v>
      </c>
      <c r="E1536" s="38">
        <f t="shared" si="166"/>
        <v>0</v>
      </c>
      <c r="F1536" s="38">
        <f t="shared" si="166"/>
        <v>0</v>
      </c>
      <c r="G1536" s="38">
        <f t="shared" si="166"/>
        <v>2.3658213732620692</v>
      </c>
      <c r="H1536" s="38">
        <f t="shared" si="165"/>
        <v>1.1754354253310269</v>
      </c>
      <c r="I1536" s="38">
        <f t="shared" si="165"/>
        <v>1.1049419605386503</v>
      </c>
      <c r="J1536" s="38">
        <f t="shared" si="165"/>
        <v>0</v>
      </c>
      <c r="K1536" s="38">
        <f t="shared" si="165"/>
        <v>0</v>
      </c>
      <c r="L1536" s="38">
        <f t="shared" si="162"/>
        <v>0</v>
      </c>
      <c r="M1536" s="35">
        <f t="shared" si="161"/>
        <v>4.6461987591317468</v>
      </c>
      <c r="S1536" t="s">
        <v>85</v>
      </c>
      <c r="T1536" s="5">
        <f>data_origin!T1752</f>
        <v>0</v>
      </c>
      <c r="U1536" s="5">
        <f>data_origin!U1752</f>
        <v>0</v>
      </c>
      <c r="V1536" s="5">
        <f>data_origin!V1752</f>
        <v>2.3333333333333335</v>
      </c>
      <c r="W1536" s="5">
        <f>data_origin!W1752</f>
        <v>1.1551724137931034</v>
      </c>
      <c r="X1536" s="5">
        <f>data_origin!X1752</f>
        <v>1.086021505376344</v>
      </c>
      <c r="Y1536" s="5">
        <f>data_origin!Y1752</f>
        <v>0</v>
      </c>
      <c r="Z1536" s="5">
        <f>data_origin!Z1752</f>
        <v>0</v>
      </c>
      <c r="AA1536" s="5">
        <f>data_origin!AA1752</f>
        <v>0</v>
      </c>
      <c r="AB1536" s="5">
        <f t="shared" si="164"/>
        <v>4.5745272525027811</v>
      </c>
    </row>
    <row r="1537" spans="4:28" x14ac:dyDescent="0.25">
      <c r="D1537" t="s">
        <v>86</v>
      </c>
      <c r="E1537" s="38">
        <f t="shared" si="166"/>
        <v>0</v>
      </c>
      <c r="F1537" s="38">
        <f t="shared" si="166"/>
        <v>0</v>
      </c>
      <c r="G1537" s="38">
        <f t="shared" si="166"/>
        <v>8.2803748064172407</v>
      </c>
      <c r="H1537" s="38">
        <f t="shared" si="165"/>
        <v>10.578918827979242</v>
      </c>
      <c r="I1537" s="38">
        <f t="shared" si="165"/>
        <v>14.364245487002453</v>
      </c>
      <c r="J1537" s="38">
        <f t="shared" si="165"/>
        <v>0</v>
      </c>
      <c r="K1537" s="38">
        <f t="shared" si="165"/>
        <v>2.0428571428571427</v>
      </c>
      <c r="L1537" s="38">
        <f t="shared" si="162"/>
        <v>0</v>
      </c>
      <c r="M1537" s="35">
        <f t="shared" si="161"/>
        <v>35.26639626425608</v>
      </c>
      <c r="S1537" t="s">
        <v>86</v>
      </c>
      <c r="T1537" s="5">
        <f>data_origin!T1753</f>
        <v>0</v>
      </c>
      <c r="U1537" s="5">
        <f>data_origin!U1753</f>
        <v>0</v>
      </c>
      <c r="V1537" s="5">
        <f>data_origin!V1753</f>
        <v>8.1666666666666661</v>
      </c>
      <c r="W1537" s="5">
        <f>data_origin!W1753</f>
        <v>10.396551724137931</v>
      </c>
      <c r="X1537" s="5">
        <f>data_origin!X1753</f>
        <v>14.118279569892472</v>
      </c>
      <c r="Y1537" s="5">
        <f>data_origin!Y1753</f>
        <v>0</v>
      </c>
      <c r="Z1537" s="5">
        <f>data_origin!Z1753</f>
        <v>2</v>
      </c>
      <c r="AA1537" s="5">
        <f>data_origin!AA1753</f>
        <v>0</v>
      </c>
      <c r="AB1537" s="5">
        <f t="shared" si="164"/>
        <v>34.681497960697072</v>
      </c>
    </row>
    <row r="1538" spans="4:28" x14ac:dyDescent="0.25">
      <c r="D1538" t="s">
        <v>87</v>
      </c>
      <c r="E1538" s="38">
        <f t="shared" si="166"/>
        <v>0</v>
      </c>
      <c r="F1538" s="38">
        <f t="shared" si="166"/>
        <v>0</v>
      </c>
      <c r="G1538" s="38">
        <f t="shared" si="166"/>
        <v>1.1829106866310346</v>
      </c>
      <c r="H1538" s="38">
        <f t="shared" si="165"/>
        <v>1.1754354253310269</v>
      </c>
      <c r="I1538" s="38">
        <f t="shared" si="165"/>
        <v>1.1049419605386503</v>
      </c>
      <c r="J1538" s="38">
        <f t="shared" si="165"/>
        <v>0</v>
      </c>
      <c r="K1538" s="38">
        <f t="shared" si="165"/>
        <v>0</v>
      </c>
      <c r="L1538" s="38">
        <f t="shared" si="162"/>
        <v>0</v>
      </c>
      <c r="M1538" s="35">
        <f t="shared" si="161"/>
        <v>3.4632880725007116</v>
      </c>
      <c r="S1538" t="s">
        <v>87</v>
      </c>
      <c r="T1538" s="5">
        <f>data_origin!T1754</f>
        <v>0</v>
      </c>
      <c r="U1538" s="5">
        <f>data_origin!U1754</f>
        <v>0</v>
      </c>
      <c r="V1538" s="5">
        <f>data_origin!V1754</f>
        <v>1.1666666666666667</v>
      </c>
      <c r="W1538" s="5">
        <f>data_origin!W1754</f>
        <v>1.1551724137931034</v>
      </c>
      <c r="X1538" s="5">
        <f>data_origin!X1754</f>
        <v>1.086021505376344</v>
      </c>
      <c r="Y1538" s="5">
        <f>data_origin!Y1754</f>
        <v>0</v>
      </c>
      <c r="Z1538" s="5">
        <f>data_origin!Z1754</f>
        <v>0</v>
      </c>
      <c r="AA1538" s="5">
        <f>data_origin!AA1754</f>
        <v>0</v>
      </c>
      <c r="AB1538" s="5">
        <f t="shared" si="164"/>
        <v>3.4078605858361142</v>
      </c>
    </row>
    <row r="1539" spans="4:28" x14ac:dyDescent="0.25">
      <c r="D1539" t="s">
        <v>88</v>
      </c>
      <c r="E1539" s="38">
        <f t="shared" si="166"/>
        <v>0</v>
      </c>
      <c r="F1539" s="38">
        <f t="shared" si="166"/>
        <v>0</v>
      </c>
      <c r="G1539" s="38">
        <f t="shared" si="166"/>
        <v>0</v>
      </c>
      <c r="H1539" s="38">
        <f t="shared" si="165"/>
        <v>3.5263062759930812</v>
      </c>
      <c r="I1539" s="38">
        <f t="shared" si="165"/>
        <v>0</v>
      </c>
      <c r="J1539" s="38">
        <f t="shared" si="165"/>
        <v>2.2170973618205454</v>
      </c>
      <c r="K1539" s="38">
        <f t="shared" si="165"/>
        <v>0</v>
      </c>
      <c r="L1539" s="38">
        <f t="shared" si="162"/>
        <v>0</v>
      </c>
      <c r="M1539" s="35">
        <f t="shared" ref="M1539:M1602" si="167">SUM(E1539:L1539)</f>
        <v>5.7434036378136266</v>
      </c>
      <c r="S1539" t="s">
        <v>88</v>
      </c>
      <c r="T1539" s="5">
        <f>data_origin!T1755</f>
        <v>0</v>
      </c>
      <c r="U1539" s="5">
        <f>data_origin!U1755</f>
        <v>0</v>
      </c>
      <c r="V1539" s="5">
        <f>data_origin!V1755</f>
        <v>0</v>
      </c>
      <c r="W1539" s="5">
        <f>data_origin!W1755</f>
        <v>3.4655172413793105</v>
      </c>
      <c r="X1539" s="5">
        <f>data_origin!X1755</f>
        <v>0</v>
      </c>
      <c r="Y1539" s="5">
        <f>data_origin!Y1755</f>
        <v>2.1764705882352939</v>
      </c>
      <c r="Z1539" s="5">
        <f>data_origin!Z1755</f>
        <v>0</v>
      </c>
      <c r="AA1539" s="5">
        <f>data_origin!AA1755</f>
        <v>0</v>
      </c>
      <c r="AB1539" s="5">
        <f t="shared" si="164"/>
        <v>5.6419878296146049</v>
      </c>
    </row>
    <row r="1540" spans="4:28" x14ac:dyDescent="0.25">
      <c r="D1540" t="s">
        <v>89</v>
      </c>
      <c r="E1540" s="38">
        <f t="shared" si="166"/>
        <v>0</v>
      </c>
      <c r="F1540" s="38">
        <f t="shared" si="166"/>
        <v>0</v>
      </c>
      <c r="G1540" s="38">
        <f t="shared" si="166"/>
        <v>0</v>
      </c>
      <c r="H1540" s="38">
        <f t="shared" si="165"/>
        <v>2.3508708506620537</v>
      </c>
      <c r="I1540" s="38">
        <f t="shared" si="165"/>
        <v>0</v>
      </c>
      <c r="J1540" s="38">
        <f t="shared" si="165"/>
        <v>0</v>
      </c>
      <c r="K1540" s="38">
        <f t="shared" si="165"/>
        <v>0</v>
      </c>
      <c r="L1540" s="38">
        <f t="shared" si="162"/>
        <v>0</v>
      </c>
      <c r="M1540" s="35">
        <f t="shared" si="167"/>
        <v>2.3508708506620537</v>
      </c>
      <c r="S1540" t="s">
        <v>89</v>
      </c>
      <c r="T1540" s="5">
        <f>data_origin!T1756</f>
        <v>0</v>
      </c>
      <c r="U1540" s="5">
        <f>data_origin!U1756</f>
        <v>0</v>
      </c>
      <c r="V1540" s="5">
        <f>data_origin!V1756</f>
        <v>0</v>
      </c>
      <c r="W1540" s="5">
        <f>data_origin!W1756</f>
        <v>2.3103448275862069</v>
      </c>
      <c r="X1540" s="5">
        <f>data_origin!X1756</f>
        <v>0</v>
      </c>
      <c r="Y1540" s="5">
        <f>data_origin!Y1756</f>
        <v>0</v>
      </c>
      <c r="Z1540" s="5">
        <f>data_origin!Z1756</f>
        <v>0</v>
      </c>
      <c r="AA1540" s="5">
        <f>data_origin!AA1756</f>
        <v>0</v>
      </c>
      <c r="AB1540" s="5">
        <f t="shared" si="164"/>
        <v>2.3103448275862069</v>
      </c>
    </row>
    <row r="1541" spans="4:28" x14ac:dyDescent="0.25">
      <c r="D1541" t="s">
        <v>90</v>
      </c>
      <c r="E1541" s="38">
        <f t="shared" si="166"/>
        <v>0</v>
      </c>
      <c r="F1541" s="38">
        <f t="shared" si="166"/>
        <v>0</v>
      </c>
      <c r="G1541" s="38">
        <f t="shared" si="166"/>
        <v>0</v>
      </c>
      <c r="H1541" s="38">
        <f t="shared" si="165"/>
        <v>0</v>
      </c>
      <c r="I1541" s="38">
        <f t="shared" si="165"/>
        <v>0</v>
      </c>
      <c r="J1541" s="38">
        <f t="shared" si="165"/>
        <v>0</v>
      </c>
      <c r="K1541" s="38">
        <f t="shared" si="165"/>
        <v>0</v>
      </c>
      <c r="L1541" s="38">
        <f t="shared" si="162"/>
        <v>0</v>
      </c>
      <c r="M1541" s="35">
        <f t="shared" si="167"/>
        <v>0</v>
      </c>
      <c r="S1541" t="s">
        <v>90</v>
      </c>
      <c r="T1541" s="5">
        <f>data_origin!T1757</f>
        <v>0</v>
      </c>
      <c r="U1541" s="5">
        <f>data_origin!U1757</f>
        <v>0</v>
      </c>
      <c r="V1541" s="5">
        <f>data_origin!V1757</f>
        <v>0</v>
      </c>
      <c r="W1541" s="5">
        <f>data_origin!W1757</f>
        <v>0</v>
      </c>
      <c r="X1541" s="5">
        <f>data_origin!X1757</f>
        <v>0</v>
      </c>
      <c r="Y1541" s="5">
        <f>data_origin!Y1757</f>
        <v>0</v>
      </c>
      <c r="Z1541" s="5">
        <f>data_origin!Z1757</f>
        <v>0</v>
      </c>
      <c r="AA1541" s="5">
        <f>data_origin!AA1757</f>
        <v>0</v>
      </c>
      <c r="AB1541" s="5">
        <f t="shared" si="164"/>
        <v>0</v>
      </c>
    </row>
    <row r="1542" spans="4:28" x14ac:dyDescent="0.25">
      <c r="D1542" t="s">
        <v>91</v>
      </c>
      <c r="E1542" s="38">
        <f t="shared" si="166"/>
        <v>0</v>
      </c>
      <c r="F1542" s="38">
        <f t="shared" si="166"/>
        <v>0</v>
      </c>
      <c r="G1542" s="38">
        <f t="shared" si="166"/>
        <v>0</v>
      </c>
      <c r="H1542" s="38">
        <f t="shared" si="165"/>
        <v>0</v>
      </c>
      <c r="I1542" s="38">
        <f t="shared" si="165"/>
        <v>0</v>
      </c>
      <c r="J1542" s="38">
        <f t="shared" si="165"/>
        <v>0</v>
      </c>
      <c r="K1542" s="38">
        <f t="shared" si="165"/>
        <v>0</v>
      </c>
      <c r="L1542" s="38">
        <f t="shared" si="162"/>
        <v>0</v>
      </c>
      <c r="M1542" s="35">
        <f t="shared" si="167"/>
        <v>0</v>
      </c>
      <c r="S1542" t="s">
        <v>91</v>
      </c>
      <c r="T1542" s="5">
        <f>data_origin!T1758</f>
        <v>0</v>
      </c>
      <c r="U1542" s="5">
        <f>data_origin!U1758</f>
        <v>0</v>
      </c>
      <c r="V1542" s="5">
        <f>data_origin!V1758</f>
        <v>0</v>
      </c>
      <c r="W1542" s="5">
        <f>data_origin!W1758</f>
        <v>0</v>
      </c>
      <c r="X1542" s="5">
        <f>data_origin!X1758</f>
        <v>0</v>
      </c>
      <c r="Y1542" s="5">
        <f>data_origin!Y1758</f>
        <v>0</v>
      </c>
      <c r="Z1542" s="5">
        <f>data_origin!Z1758</f>
        <v>0</v>
      </c>
      <c r="AA1542" s="5">
        <f>data_origin!AA1758</f>
        <v>0</v>
      </c>
      <c r="AB1542" s="5">
        <f t="shared" si="164"/>
        <v>0</v>
      </c>
    </row>
    <row r="1543" spans="4:28" x14ac:dyDescent="0.25">
      <c r="D1543" t="s">
        <v>92</v>
      </c>
      <c r="E1543" s="38">
        <f t="shared" si="166"/>
        <v>0</v>
      </c>
      <c r="F1543" s="38">
        <f t="shared" si="166"/>
        <v>0</v>
      </c>
      <c r="G1543" s="38">
        <f t="shared" si="166"/>
        <v>0</v>
      </c>
      <c r="H1543" s="38">
        <f t="shared" si="165"/>
        <v>0</v>
      </c>
      <c r="I1543" s="38">
        <f t="shared" si="165"/>
        <v>0</v>
      </c>
      <c r="J1543" s="38">
        <f t="shared" si="165"/>
        <v>0</v>
      </c>
      <c r="K1543" s="38">
        <f t="shared" si="165"/>
        <v>0</v>
      </c>
      <c r="L1543" s="38">
        <f t="shared" si="162"/>
        <v>0</v>
      </c>
      <c r="M1543" s="35">
        <f t="shared" si="167"/>
        <v>0</v>
      </c>
      <c r="S1543" t="s">
        <v>92</v>
      </c>
      <c r="T1543" s="5">
        <f>data_origin!T1759</f>
        <v>0</v>
      </c>
      <c r="U1543" s="5">
        <f>data_origin!U1759</f>
        <v>0</v>
      </c>
      <c r="V1543" s="5">
        <f>data_origin!V1759</f>
        <v>0</v>
      </c>
      <c r="W1543" s="5">
        <f>data_origin!W1759</f>
        <v>0</v>
      </c>
      <c r="X1543" s="5">
        <f>data_origin!X1759</f>
        <v>0</v>
      </c>
      <c r="Y1543" s="5">
        <f>data_origin!Y1759</f>
        <v>0</v>
      </c>
      <c r="Z1543" s="5">
        <f>data_origin!Z1759</f>
        <v>0</v>
      </c>
      <c r="AA1543" s="5">
        <f>data_origin!AA1759</f>
        <v>0</v>
      </c>
      <c r="AB1543" s="5">
        <f t="shared" si="164"/>
        <v>0</v>
      </c>
    </row>
    <row r="1544" spans="4:28" x14ac:dyDescent="0.25">
      <c r="D1544" t="s">
        <v>93</v>
      </c>
      <c r="E1544" s="38">
        <f t="shared" si="166"/>
        <v>0</v>
      </c>
      <c r="F1544" s="38">
        <f t="shared" si="166"/>
        <v>0</v>
      </c>
      <c r="G1544" s="38">
        <f t="shared" si="166"/>
        <v>0</v>
      </c>
      <c r="H1544" s="38">
        <f t="shared" si="165"/>
        <v>0</v>
      </c>
      <c r="I1544" s="38">
        <f t="shared" si="165"/>
        <v>0</v>
      </c>
      <c r="J1544" s="38">
        <f t="shared" si="165"/>
        <v>0</v>
      </c>
      <c r="K1544" s="38">
        <f t="shared" si="165"/>
        <v>0</v>
      </c>
      <c r="L1544" s="38">
        <f t="shared" si="162"/>
        <v>0</v>
      </c>
      <c r="M1544" s="35">
        <f t="shared" si="167"/>
        <v>0</v>
      </c>
      <c r="S1544" t="s">
        <v>93</v>
      </c>
      <c r="T1544" s="5">
        <f>data_origin!T1760</f>
        <v>0</v>
      </c>
      <c r="U1544" s="5">
        <f>data_origin!U1760</f>
        <v>0</v>
      </c>
      <c r="V1544" s="5">
        <f>data_origin!V1760</f>
        <v>0</v>
      </c>
      <c r="W1544" s="5">
        <f>data_origin!W1760</f>
        <v>0</v>
      </c>
      <c r="X1544" s="5">
        <f>data_origin!X1760</f>
        <v>0</v>
      </c>
      <c r="Y1544" s="5">
        <f>data_origin!Y1760</f>
        <v>0</v>
      </c>
      <c r="Z1544" s="5">
        <f>data_origin!Z1760</f>
        <v>0</v>
      </c>
      <c r="AA1544" s="5">
        <f>data_origin!AA1760</f>
        <v>0</v>
      </c>
      <c r="AB1544" s="5">
        <f t="shared" si="164"/>
        <v>0</v>
      </c>
    </row>
    <row r="1545" spans="4:28" x14ac:dyDescent="0.25">
      <c r="D1545" t="s">
        <v>94</v>
      </c>
      <c r="E1545" s="38">
        <f t="shared" si="166"/>
        <v>0</v>
      </c>
      <c r="F1545" s="38">
        <f t="shared" si="166"/>
        <v>0</v>
      </c>
      <c r="G1545" s="38">
        <f t="shared" si="166"/>
        <v>0</v>
      </c>
      <c r="H1545" s="38">
        <f t="shared" si="165"/>
        <v>0</v>
      </c>
      <c r="I1545" s="38">
        <f t="shared" si="165"/>
        <v>0</v>
      </c>
      <c r="J1545" s="38">
        <f t="shared" si="165"/>
        <v>0</v>
      </c>
      <c r="K1545" s="38">
        <f t="shared" si="165"/>
        <v>0</v>
      </c>
      <c r="L1545" s="38">
        <f t="shared" si="162"/>
        <v>0</v>
      </c>
      <c r="M1545" s="35">
        <f t="shared" si="167"/>
        <v>0</v>
      </c>
      <c r="S1545" t="s">
        <v>94</v>
      </c>
      <c r="T1545" s="5">
        <f>data_origin!T1761</f>
        <v>0</v>
      </c>
      <c r="U1545" s="5">
        <f>data_origin!U1761</f>
        <v>0</v>
      </c>
      <c r="V1545" s="5">
        <f>data_origin!V1761</f>
        <v>0</v>
      </c>
      <c r="W1545" s="5">
        <f>data_origin!W1761</f>
        <v>0</v>
      </c>
      <c r="X1545" s="5">
        <f>data_origin!X1761</f>
        <v>0</v>
      </c>
      <c r="Y1545" s="5">
        <f>data_origin!Y1761</f>
        <v>0</v>
      </c>
      <c r="Z1545" s="5">
        <f>data_origin!Z1761</f>
        <v>0</v>
      </c>
      <c r="AA1545" s="5">
        <f>data_origin!AA1761</f>
        <v>0</v>
      </c>
      <c r="AB1545" s="5">
        <f t="shared" si="164"/>
        <v>0</v>
      </c>
    </row>
    <row r="1546" spans="4:28" x14ac:dyDescent="0.25">
      <c r="D1546" t="s">
        <v>95</v>
      </c>
      <c r="E1546" s="38">
        <f t="shared" si="166"/>
        <v>0</v>
      </c>
      <c r="F1546" s="38">
        <f t="shared" si="166"/>
        <v>0</v>
      </c>
      <c r="G1546" s="38">
        <f t="shared" si="166"/>
        <v>0</v>
      </c>
      <c r="H1546" s="38">
        <f t="shared" si="165"/>
        <v>0</v>
      </c>
      <c r="I1546" s="38">
        <f t="shared" si="165"/>
        <v>0</v>
      </c>
      <c r="J1546" s="38">
        <f t="shared" si="165"/>
        <v>0</v>
      </c>
      <c r="K1546" s="38">
        <f t="shared" si="165"/>
        <v>0</v>
      </c>
      <c r="L1546" s="38">
        <f t="shared" si="162"/>
        <v>0</v>
      </c>
      <c r="M1546" s="35">
        <f t="shared" si="167"/>
        <v>0</v>
      </c>
      <c r="S1546" t="s">
        <v>95</v>
      </c>
      <c r="T1546" s="5">
        <f>data_origin!T1762</f>
        <v>0</v>
      </c>
      <c r="U1546" s="5">
        <f>data_origin!U1762</f>
        <v>0</v>
      </c>
      <c r="V1546" s="5">
        <f>data_origin!V1762</f>
        <v>0</v>
      </c>
      <c r="W1546" s="5">
        <f>data_origin!W1762</f>
        <v>0</v>
      </c>
      <c r="X1546" s="5">
        <f>data_origin!X1762</f>
        <v>0</v>
      </c>
      <c r="Y1546" s="5">
        <f>data_origin!Y1762</f>
        <v>0</v>
      </c>
      <c r="Z1546" s="5">
        <f>data_origin!Z1762</f>
        <v>0</v>
      </c>
      <c r="AA1546" s="5">
        <f>data_origin!AA1762</f>
        <v>0</v>
      </c>
      <c r="AB1546" s="5">
        <f t="shared" si="164"/>
        <v>0</v>
      </c>
    </row>
    <row r="1547" spans="4:28" x14ac:dyDescent="0.25">
      <c r="D1547" t="s">
        <v>96</v>
      </c>
      <c r="E1547" s="38">
        <f t="shared" si="166"/>
        <v>0</v>
      </c>
      <c r="F1547" s="38">
        <f t="shared" si="166"/>
        <v>0</v>
      </c>
      <c r="G1547" s="38">
        <f t="shared" si="166"/>
        <v>0</v>
      </c>
      <c r="H1547" s="38">
        <f t="shared" si="165"/>
        <v>0</v>
      </c>
      <c r="I1547" s="38">
        <f t="shared" si="165"/>
        <v>0</v>
      </c>
      <c r="J1547" s="38">
        <f t="shared" si="165"/>
        <v>0</v>
      </c>
      <c r="K1547" s="38">
        <f t="shared" si="165"/>
        <v>0</v>
      </c>
      <c r="L1547" s="38">
        <f t="shared" si="162"/>
        <v>0</v>
      </c>
      <c r="M1547" s="35">
        <f t="shared" si="167"/>
        <v>0</v>
      </c>
      <c r="S1547" t="s">
        <v>96</v>
      </c>
      <c r="T1547" s="5">
        <f>data_origin!T1763</f>
        <v>0</v>
      </c>
      <c r="U1547" s="5">
        <f>data_origin!U1763</f>
        <v>0</v>
      </c>
      <c r="V1547" s="5">
        <f>data_origin!V1763</f>
        <v>0</v>
      </c>
      <c r="W1547" s="5">
        <f>data_origin!W1763</f>
        <v>0</v>
      </c>
      <c r="X1547" s="5">
        <f>data_origin!X1763</f>
        <v>0</v>
      </c>
      <c r="Y1547" s="5">
        <f>data_origin!Y1763</f>
        <v>0</v>
      </c>
      <c r="Z1547" s="5">
        <f>data_origin!Z1763</f>
        <v>0</v>
      </c>
      <c r="AA1547" s="5">
        <f>data_origin!AA1763</f>
        <v>0</v>
      </c>
      <c r="AB1547" s="5">
        <f t="shared" si="164"/>
        <v>0</v>
      </c>
    </row>
    <row r="1548" spans="4:28" x14ac:dyDescent="0.25">
      <c r="D1548" t="s">
        <v>97</v>
      </c>
      <c r="E1548" s="38">
        <f t="shared" si="166"/>
        <v>0</v>
      </c>
      <c r="F1548" s="38">
        <f t="shared" si="166"/>
        <v>0</v>
      </c>
      <c r="G1548" s="38">
        <f t="shared" si="166"/>
        <v>0</v>
      </c>
      <c r="H1548" s="38">
        <f t="shared" si="165"/>
        <v>0</v>
      </c>
      <c r="I1548" s="38">
        <f t="shared" si="165"/>
        <v>0</v>
      </c>
      <c r="J1548" s="38">
        <f t="shared" si="165"/>
        <v>0</v>
      </c>
      <c r="K1548" s="38">
        <f t="shared" si="165"/>
        <v>0</v>
      </c>
      <c r="L1548" s="38">
        <f t="shared" si="162"/>
        <v>0</v>
      </c>
      <c r="M1548" s="35">
        <f t="shared" si="167"/>
        <v>0</v>
      </c>
      <c r="S1548" t="s">
        <v>97</v>
      </c>
      <c r="T1548" s="5">
        <f>data_origin!T1764</f>
        <v>0</v>
      </c>
      <c r="U1548" s="5">
        <f>data_origin!U1764</f>
        <v>0</v>
      </c>
      <c r="V1548" s="5">
        <f>data_origin!V1764</f>
        <v>0</v>
      </c>
      <c r="W1548" s="5">
        <f>data_origin!W1764</f>
        <v>0</v>
      </c>
      <c r="X1548" s="5">
        <f>data_origin!X1764</f>
        <v>0</v>
      </c>
      <c r="Y1548" s="5">
        <f>data_origin!Y1764</f>
        <v>0</v>
      </c>
      <c r="Z1548" s="5">
        <f>data_origin!Z1764</f>
        <v>0</v>
      </c>
      <c r="AA1548" s="5">
        <f>data_origin!AA1764</f>
        <v>0</v>
      </c>
      <c r="AB1548" s="5">
        <f t="shared" si="164"/>
        <v>0</v>
      </c>
    </row>
    <row r="1549" spans="4:28" x14ac:dyDescent="0.25">
      <c r="D1549" t="s">
        <v>98</v>
      </c>
      <c r="E1549" s="38">
        <f t="shared" si="166"/>
        <v>0</v>
      </c>
      <c r="F1549" s="38">
        <f t="shared" si="166"/>
        <v>0</v>
      </c>
      <c r="G1549" s="38">
        <f t="shared" si="166"/>
        <v>0</v>
      </c>
      <c r="H1549" s="38">
        <f t="shared" si="165"/>
        <v>0</v>
      </c>
      <c r="I1549" s="38">
        <f t="shared" si="165"/>
        <v>0</v>
      </c>
      <c r="J1549" s="38">
        <f t="shared" si="165"/>
        <v>0</v>
      </c>
      <c r="K1549" s="38">
        <f t="shared" si="165"/>
        <v>0</v>
      </c>
      <c r="L1549" s="38">
        <f t="shared" si="162"/>
        <v>0</v>
      </c>
      <c r="M1549" s="35">
        <f t="shared" si="167"/>
        <v>0</v>
      </c>
      <c r="S1549" t="s">
        <v>98</v>
      </c>
      <c r="T1549" s="5">
        <f>data_origin!T1765</f>
        <v>0</v>
      </c>
      <c r="U1549" s="5">
        <f>data_origin!U1765</f>
        <v>0</v>
      </c>
      <c r="V1549" s="5">
        <f>data_origin!V1765</f>
        <v>0</v>
      </c>
      <c r="W1549" s="5">
        <f>data_origin!W1765</f>
        <v>0</v>
      </c>
      <c r="X1549" s="5">
        <f>data_origin!X1765</f>
        <v>0</v>
      </c>
      <c r="Y1549" s="5">
        <f>data_origin!Y1765</f>
        <v>0</v>
      </c>
      <c r="Z1549" s="5">
        <f>data_origin!Z1765</f>
        <v>0</v>
      </c>
      <c r="AA1549" s="5">
        <f>data_origin!AA1765</f>
        <v>0</v>
      </c>
      <c r="AB1549" s="5">
        <f t="shared" si="164"/>
        <v>0</v>
      </c>
    </row>
    <row r="1550" spans="4:28" x14ac:dyDescent="0.25">
      <c r="D1550" t="s">
        <v>119</v>
      </c>
      <c r="E1550" s="38">
        <f t="shared" si="166"/>
        <v>0</v>
      </c>
      <c r="F1550" s="38">
        <f t="shared" si="166"/>
        <v>0</v>
      </c>
      <c r="G1550" s="38">
        <f t="shared" si="166"/>
        <v>0</v>
      </c>
      <c r="H1550" s="38">
        <f t="shared" si="165"/>
        <v>0</v>
      </c>
      <c r="I1550" s="38">
        <f t="shared" si="165"/>
        <v>0</v>
      </c>
      <c r="J1550" s="38">
        <f t="shared" si="165"/>
        <v>0</v>
      </c>
      <c r="K1550" s="38">
        <f t="shared" si="165"/>
        <v>0</v>
      </c>
      <c r="L1550" s="38">
        <f t="shared" si="162"/>
        <v>0</v>
      </c>
      <c r="M1550" s="35">
        <f t="shared" si="167"/>
        <v>0</v>
      </c>
      <c r="S1550" t="s">
        <v>119</v>
      </c>
      <c r="T1550" s="5">
        <f>data_origin!T1766</f>
        <v>0</v>
      </c>
      <c r="U1550" s="5">
        <f>data_origin!U1766</f>
        <v>0</v>
      </c>
      <c r="V1550" s="5">
        <f>data_origin!V1766</f>
        <v>0</v>
      </c>
      <c r="W1550" s="5">
        <f>data_origin!W1766</f>
        <v>0</v>
      </c>
      <c r="X1550" s="5">
        <f>data_origin!X1766</f>
        <v>0</v>
      </c>
      <c r="Y1550" s="5">
        <f>data_origin!Y1766</f>
        <v>0</v>
      </c>
      <c r="Z1550" s="5">
        <f>data_origin!Z1766</f>
        <v>0</v>
      </c>
      <c r="AA1550" s="5">
        <f>data_origin!AA1766</f>
        <v>0</v>
      </c>
      <c r="AB1550" s="5">
        <f t="shared" si="164"/>
        <v>0</v>
      </c>
    </row>
    <row r="1551" spans="4:28" x14ac:dyDescent="0.25">
      <c r="D1551" t="s">
        <v>99</v>
      </c>
      <c r="E1551" s="38">
        <f t="shared" si="166"/>
        <v>0</v>
      </c>
      <c r="F1551" s="38">
        <f t="shared" si="166"/>
        <v>0</v>
      </c>
      <c r="G1551" s="38">
        <f t="shared" si="166"/>
        <v>1.1829106866310346</v>
      </c>
      <c r="H1551" s="38">
        <f t="shared" si="165"/>
        <v>1.1754354253310269</v>
      </c>
      <c r="I1551" s="38">
        <f t="shared" si="165"/>
        <v>1.1049419605386503</v>
      </c>
      <c r="J1551" s="38">
        <f t="shared" si="165"/>
        <v>0</v>
      </c>
      <c r="K1551" s="38">
        <f t="shared" si="165"/>
        <v>0</v>
      </c>
      <c r="L1551" s="38">
        <f t="shared" si="165"/>
        <v>0</v>
      </c>
      <c r="M1551" s="35">
        <f t="shared" si="167"/>
        <v>3.4632880725007116</v>
      </c>
      <c r="S1551" t="s">
        <v>99</v>
      </c>
      <c r="T1551" s="5">
        <f>data_origin!T1767</f>
        <v>0</v>
      </c>
      <c r="U1551" s="5">
        <f>data_origin!U1767</f>
        <v>0</v>
      </c>
      <c r="V1551" s="5">
        <f>data_origin!V1767</f>
        <v>1.1666666666666667</v>
      </c>
      <c r="W1551" s="5">
        <f>data_origin!W1767</f>
        <v>1.1551724137931034</v>
      </c>
      <c r="X1551" s="5">
        <f>data_origin!X1767</f>
        <v>1.086021505376344</v>
      </c>
      <c r="Y1551" s="5">
        <f>data_origin!Y1767</f>
        <v>0</v>
      </c>
      <c r="Z1551" s="5">
        <f>data_origin!Z1767</f>
        <v>0</v>
      </c>
      <c r="AA1551" s="5">
        <f>data_origin!AA1767</f>
        <v>0</v>
      </c>
      <c r="AB1551" s="5">
        <f t="shared" si="164"/>
        <v>3.4078605858361142</v>
      </c>
    </row>
    <row r="1552" spans="4:28" x14ac:dyDescent="0.25">
      <c r="D1552" t="s">
        <v>100</v>
      </c>
      <c r="E1552" s="38">
        <f t="shared" si="166"/>
        <v>0</v>
      </c>
      <c r="F1552" s="38">
        <f t="shared" si="166"/>
        <v>0</v>
      </c>
      <c r="G1552" s="38">
        <f t="shared" si="166"/>
        <v>0</v>
      </c>
      <c r="H1552" s="38">
        <f t="shared" si="165"/>
        <v>0</v>
      </c>
      <c r="I1552" s="38">
        <f t="shared" si="165"/>
        <v>0</v>
      </c>
      <c r="J1552" s="38">
        <f t="shared" si="165"/>
        <v>0</v>
      </c>
      <c r="K1552" s="38">
        <f t="shared" si="165"/>
        <v>0</v>
      </c>
      <c r="L1552" s="38">
        <f t="shared" si="165"/>
        <v>0</v>
      </c>
      <c r="M1552" s="35">
        <f t="shared" si="167"/>
        <v>0</v>
      </c>
      <c r="S1552" t="s">
        <v>100</v>
      </c>
      <c r="T1552" s="5">
        <f>data_origin!T1768</f>
        <v>0</v>
      </c>
      <c r="U1552" s="5">
        <f>data_origin!U1768</f>
        <v>0</v>
      </c>
      <c r="V1552" s="5">
        <f>data_origin!V1768</f>
        <v>0</v>
      </c>
      <c r="W1552" s="5">
        <f>data_origin!W1768</f>
        <v>0</v>
      </c>
      <c r="X1552" s="5">
        <f>data_origin!X1768</f>
        <v>0</v>
      </c>
      <c r="Y1552" s="5">
        <f>data_origin!Y1768</f>
        <v>0</v>
      </c>
      <c r="Z1552" s="5">
        <f>data_origin!Z1768</f>
        <v>0</v>
      </c>
      <c r="AA1552" s="5">
        <f>data_origin!AA1768</f>
        <v>0</v>
      </c>
      <c r="AB1552" s="5">
        <f t="shared" si="164"/>
        <v>0</v>
      </c>
    </row>
    <row r="1553" spans="1:28" x14ac:dyDescent="0.25">
      <c r="D1553" t="s">
        <v>101</v>
      </c>
      <c r="E1553" s="38">
        <f t="shared" si="166"/>
        <v>0</v>
      </c>
      <c r="F1553" s="38">
        <f t="shared" si="166"/>
        <v>0</v>
      </c>
      <c r="G1553" s="38">
        <f t="shared" si="166"/>
        <v>0</v>
      </c>
      <c r="H1553" s="38">
        <f t="shared" si="165"/>
        <v>0</v>
      </c>
      <c r="I1553" s="38">
        <f t="shared" si="165"/>
        <v>0</v>
      </c>
      <c r="J1553" s="38">
        <f t="shared" si="165"/>
        <v>0</v>
      </c>
      <c r="K1553" s="38">
        <f t="shared" si="165"/>
        <v>0</v>
      </c>
      <c r="L1553" s="38">
        <f t="shared" si="165"/>
        <v>0</v>
      </c>
      <c r="M1553" s="35">
        <f t="shared" si="167"/>
        <v>0</v>
      </c>
      <c r="S1553" t="s">
        <v>101</v>
      </c>
      <c r="T1553" s="5">
        <f>data_origin!T1769</f>
        <v>0</v>
      </c>
      <c r="U1553" s="5">
        <f>data_origin!U1769</f>
        <v>0</v>
      </c>
      <c r="V1553" s="5">
        <f>data_origin!V1769</f>
        <v>0</v>
      </c>
      <c r="W1553" s="5">
        <f>data_origin!W1769</f>
        <v>0</v>
      </c>
      <c r="X1553" s="5">
        <f>data_origin!X1769</f>
        <v>0</v>
      </c>
      <c r="Y1553" s="5">
        <f>data_origin!Y1769</f>
        <v>0</v>
      </c>
      <c r="Z1553" s="5">
        <f>data_origin!Z1769</f>
        <v>0</v>
      </c>
      <c r="AA1553" s="5">
        <f>data_origin!AA1769</f>
        <v>0</v>
      </c>
      <c r="AB1553" s="5">
        <f t="shared" si="164"/>
        <v>0</v>
      </c>
    </row>
    <row r="1554" spans="1:28" x14ac:dyDescent="0.25">
      <c r="A1554" s="24" t="s">
        <v>115</v>
      </c>
      <c r="B1554" s="24" t="s">
        <v>116</v>
      </c>
      <c r="C1554" s="24" t="s">
        <v>112</v>
      </c>
      <c r="D1554" t="s">
        <v>70</v>
      </c>
      <c r="E1554" s="38">
        <f t="shared" si="166"/>
        <v>0</v>
      </c>
      <c r="F1554" s="38">
        <f t="shared" si="166"/>
        <v>0</v>
      </c>
      <c r="G1554" s="38">
        <f t="shared" si="166"/>
        <v>0</v>
      </c>
      <c r="H1554" s="38">
        <f t="shared" si="165"/>
        <v>0</v>
      </c>
      <c r="I1554" s="38">
        <f t="shared" si="165"/>
        <v>0</v>
      </c>
      <c r="J1554" s="38">
        <f t="shared" si="165"/>
        <v>0</v>
      </c>
      <c r="K1554" s="38">
        <f t="shared" si="165"/>
        <v>0</v>
      </c>
      <c r="L1554" s="38">
        <f t="shared" si="165"/>
        <v>0</v>
      </c>
      <c r="M1554" s="35">
        <f t="shared" si="167"/>
        <v>0</v>
      </c>
      <c r="P1554" t="s">
        <v>115</v>
      </c>
      <c r="Q1554" t="s">
        <v>116</v>
      </c>
      <c r="R1554" t="s">
        <v>112</v>
      </c>
      <c r="S1554" t="s">
        <v>70</v>
      </c>
      <c r="T1554" s="5">
        <f>data_origin!T1771</f>
        <v>0</v>
      </c>
      <c r="U1554" s="5">
        <f>data_origin!U1771</f>
        <v>0</v>
      </c>
      <c r="V1554" s="5">
        <f>data_origin!V1771</f>
        <v>0</v>
      </c>
      <c r="W1554" s="5">
        <f>data_origin!W1771</f>
        <v>0</v>
      </c>
      <c r="X1554" s="5">
        <f>data_origin!X1771</f>
        <v>0</v>
      </c>
      <c r="Y1554" s="5">
        <f>data_origin!Y1771</f>
        <v>0</v>
      </c>
      <c r="Z1554" s="5">
        <f>data_origin!Z1771</f>
        <v>0</v>
      </c>
      <c r="AA1554" s="5">
        <f>data_origin!AA1771</f>
        <v>0</v>
      </c>
      <c r="AB1554" s="5">
        <f t="shared" si="164"/>
        <v>0</v>
      </c>
    </row>
    <row r="1555" spans="1:28" x14ac:dyDescent="0.25">
      <c r="D1555" t="s">
        <v>71</v>
      </c>
      <c r="E1555" s="38">
        <f t="shared" si="166"/>
        <v>0</v>
      </c>
      <c r="F1555" s="38">
        <f t="shared" si="166"/>
        <v>0</v>
      </c>
      <c r="G1555" s="38">
        <f t="shared" si="166"/>
        <v>0</v>
      </c>
      <c r="H1555" s="38">
        <f t="shared" si="165"/>
        <v>0</v>
      </c>
      <c r="I1555" s="38">
        <f t="shared" si="165"/>
        <v>0</v>
      </c>
      <c r="J1555" s="38">
        <f t="shared" si="165"/>
        <v>0</v>
      </c>
      <c r="K1555" s="38">
        <f t="shared" si="165"/>
        <v>0</v>
      </c>
      <c r="L1555" s="38">
        <f t="shared" si="165"/>
        <v>0</v>
      </c>
      <c r="M1555" s="35">
        <f t="shared" si="167"/>
        <v>0</v>
      </c>
      <c r="S1555" t="s">
        <v>71</v>
      </c>
      <c r="T1555" s="5">
        <f>data_origin!T1772</f>
        <v>0</v>
      </c>
      <c r="U1555" s="5">
        <f>data_origin!U1772</f>
        <v>0</v>
      </c>
      <c r="V1555" s="5">
        <f>data_origin!V1772</f>
        <v>0</v>
      </c>
      <c r="W1555" s="5">
        <f>data_origin!W1772</f>
        <v>0</v>
      </c>
      <c r="X1555" s="5">
        <f>data_origin!X1772</f>
        <v>0</v>
      </c>
      <c r="Y1555" s="5">
        <f>data_origin!Y1772</f>
        <v>0</v>
      </c>
      <c r="Z1555" s="5">
        <f>data_origin!Z1772</f>
        <v>0</v>
      </c>
      <c r="AA1555" s="5">
        <f>data_origin!AA1772</f>
        <v>0</v>
      </c>
      <c r="AB1555" s="5">
        <f t="shared" si="164"/>
        <v>0</v>
      </c>
    </row>
    <row r="1556" spans="1:28" x14ac:dyDescent="0.25">
      <c r="D1556" t="s">
        <v>72</v>
      </c>
      <c r="E1556" s="38">
        <f t="shared" si="166"/>
        <v>0</v>
      </c>
      <c r="F1556" s="38">
        <f t="shared" si="166"/>
        <v>0</v>
      </c>
      <c r="G1556" s="38">
        <f t="shared" si="166"/>
        <v>0</v>
      </c>
      <c r="H1556" s="38">
        <f t="shared" si="165"/>
        <v>0</v>
      </c>
      <c r="I1556" s="38">
        <f t="shared" si="165"/>
        <v>0</v>
      </c>
      <c r="J1556" s="38">
        <f t="shared" si="165"/>
        <v>0</v>
      </c>
      <c r="K1556" s="38">
        <f t="shared" si="165"/>
        <v>0</v>
      </c>
      <c r="L1556" s="38">
        <f t="shared" si="165"/>
        <v>0</v>
      </c>
      <c r="M1556" s="35">
        <f t="shared" si="167"/>
        <v>0</v>
      </c>
      <c r="S1556" t="s">
        <v>72</v>
      </c>
      <c r="T1556" s="5">
        <f>data_origin!T1773</f>
        <v>0</v>
      </c>
      <c r="U1556" s="5">
        <f>data_origin!U1773</f>
        <v>0</v>
      </c>
      <c r="V1556" s="5">
        <f>data_origin!V1773</f>
        <v>0</v>
      </c>
      <c r="W1556" s="5">
        <f>data_origin!W1773</f>
        <v>0</v>
      </c>
      <c r="X1556" s="5">
        <f>data_origin!X1773</f>
        <v>0</v>
      </c>
      <c r="Y1556" s="5">
        <f>data_origin!Y1773</f>
        <v>0</v>
      </c>
      <c r="Z1556" s="5">
        <f>data_origin!Z1773</f>
        <v>0</v>
      </c>
      <c r="AA1556" s="5">
        <f>data_origin!AA1773</f>
        <v>0</v>
      </c>
      <c r="AB1556" s="5">
        <f t="shared" si="164"/>
        <v>0</v>
      </c>
    </row>
    <row r="1557" spans="1:28" x14ac:dyDescent="0.25">
      <c r="D1557" t="s">
        <v>73</v>
      </c>
      <c r="E1557" s="38">
        <f t="shared" si="166"/>
        <v>0</v>
      </c>
      <c r="F1557" s="38">
        <f t="shared" si="166"/>
        <v>0</v>
      </c>
      <c r="G1557" s="38">
        <f t="shared" si="166"/>
        <v>0</v>
      </c>
      <c r="H1557" s="38">
        <f t="shared" si="165"/>
        <v>0</v>
      </c>
      <c r="I1557" s="38">
        <f t="shared" si="165"/>
        <v>0</v>
      </c>
      <c r="J1557" s="38">
        <f t="shared" si="165"/>
        <v>0</v>
      </c>
      <c r="K1557" s="38">
        <f t="shared" si="165"/>
        <v>0</v>
      </c>
      <c r="L1557" s="38">
        <f t="shared" si="165"/>
        <v>0</v>
      </c>
      <c r="M1557" s="35">
        <f t="shared" si="167"/>
        <v>0</v>
      </c>
      <c r="S1557" t="s">
        <v>73</v>
      </c>
      <c r="T1557" s="5">
        <f>data_origin!T1774</f>
        <v>0</v>
      </c>
      <c r="U1557" s="5">
        <f>data_origin!U1774</f>
        <v>0</v>
      </c>
      <c r="V1557" s="5">
        <f>data_origin!V1774</f>
        <v>0</v>
      </c>
      <c r="W1557" s="5">
        <f>data_origin!W1774</f>
        <v>0</v>
      </c>
      <c r="X1557" s="5">
        <f>data_origin!X1774</f>
        <v>0</v>
      </c>
      <c r="Y1557" s="5">
        <f>data_origin!Y1774</f>
        <v>0</v>
      </c>
      <c r="Z1557" s="5">
        <f>data_origin!Z1774</f>
        <v>0</v>
      </c>
      <c r="AA1557" s="5">
        <f>data_origin!AA1774</f>
        <v>0</v>
      </c>
      <c r="AB1557" s="5">
        <f t="shared" si="164"/>
        <v>0</v>
      </c>
    </row>
    <row r="1558" spans="1:28" x14ac:dyDescent="0.25">
      <c r="D1558" t="s">
        <v>74</v>
      </c>
      <c r="E1558" s="38">
        <f t="shared" si="166"/>
        <v>0</v>
      </c>
      <c r="F1558" s="38">
        <f t="shared" si="166"/>
        <v>0</v>
      </c>
      <c r="G1558" s="38">
        <f t="shared" si="166"/>
        <v>0</v>
      </c>
      <c r="H1558" s="38">
        <f t="shared" si="165"/>
        <v>0</v>
      </c>
      <c r="I1558" s="38">
        <f t="shared" si="165"/>
        <v>0</v>
      </c>
      <c r="J1558" s="38">
        <f t="shared" si="165"/>
        <v>0</v>
      </c>
      <c r="K1558" s="38">
        <f t="shared" si="165"/>
        <v>0</v>
      </c>
      <c r="L1558" s="38">
        <f t="shared" si="165"/>
        <v>0</v>
      </c>
      <c r="M1558" s="35">
        <f t="shared" si="167"/>
        <v>0</v>
      </c>
      <c r="S1558" t="s">
        <v>74</v>
      </c>
      <c r="T1558" s="5">
        <f>data_origin!T1775</f>
        <v>0</v>
      </c>
      <c r="U1558" s="5">
        <f>data_origin!U1775</f>
        <v>0</v>
      </c>
      <c r="V1558" s="5">
        <f>data_origin!V1775</f>
        <v>0</v>
      </c>
      <c r="W1558" s="5">
        <f>data_origin!W1775</f>
        <v>0</v>
      </c>
      <c r="X1558" s="5">
        <f>data_origin!X1775</f>
        <v>0</v>
      </c>
      <c r="Y1558" s="5">
        <f>data_origin!Y1775</f>
        <v>0</v>
      </c>
      <c r="Z1558" s="5">
        <f>data_origin!Z1775</f>
        <v>0</v>
      </c>
      <c r="AA1558" s="5">
        <f>data_origin!AA1775</f>
        <v>0</v>
      </c>
      <c r="AB1558" s="5">
        <f t="shared" si="164"/>
        <v>0</v>
      </c>
    </row>
    <row r="1559" spans="1:28" x14ac:dyDescent="0.25">
      <c r="D1559" t="s">
        <v>75</v>
      </c>
      <c r="E1559" s="38">
        <f t="shared" si="166"/>
        <v>0</v>
      </c>
      <c r="F1559" s="38">
        <f t="shared" si="166"/>
        <v>0</v>
      </c>
      <c r="G1559" s="38">
        <f t="shared" si="166"/>
        <v>0</v>
      </c>
      <c r="H1559" s="38">
        <f t="shared" si="165"/>
        <v>0</v>
      </c>
      <c r="I1559" s="38">
        <f t="shared" si="165"/>
        <v>0</v>
      </c>
      <c r="J1559" s="38">
        <f t="shared" si="165"/>
        <v>0</v>
      </c>
      <c r="K1559" s="38">
        <f t="shared" si="165"/>
        <v>0</v>
      </c>
      <c r="L1559" s="38">
        <f t="shared" si="165"/>
        <v>0</v>
      </c>
      <c r="M1559" s="35">
        <f t="shared" si="167"/>
        <v>0</v>
      </c>
      <c r="S1559" t="s">
        <v>75</v>
      </c>
      <c r="T1559" s="5">
        <f>data_origin!T1776</f>
        <v>0</v>
      </c>
      <c r="U1559" s="5">
        <f>data_origin!U1776</f>
        <v>0</v>
      </c>
      <c r="V1559" s="5">
        <f>data_origin!V1776</f>
        <v>0</v>
      </c>
      <c r="W1559" s="5">
        <f>data_origin!W1776</f>
        <v>0</v>
      </c>
      <c r="X1559" s="5">
        <f>data_origin!X1776</f>
        <v>0</v>
      </c>
      <c r="Y1559" s="5">
        <f>data_origin!Y1776</f>
        <v>0</v>
      </c>
      <c r="Z1559" s="5">
        <f>data_origin!Z1776</f>
        <v>0</v>
      </c>
      <c r="AA1559" s="5">
        <f>data_origin!AA1776</f>
        <v>0</v>
      </c>
      <c r="AB1559" s="5">
        <f t="shared" si="164"/>
        <v>0</v>
      </c>
    </row>
    <row r="1560" spans="1:28" x14ac:dyDescent="0.25">
      <c r="D1560" t="s">
        <v>76</v>
      </c>
      <c r="E1560" s="38">
        <f t="shared" si="166"/>
        <v>0</v>
      </c>
      <c r="F1560" s="38">
        <f t="shared" si="166"/>
        <v>0</v>
      </c>
      <c r="G1560" s="38">
        <f t="shared" si="166"/>
        <v>0</v>
      </c>
      <c r="H1560" s="38">
        <f t="shared" si="165"/>
        <v>0</v>
      </c>
      <c r="I1560" s="38">
        <f t="shared" si="165"/>
        <v>0</v>
      </c>
      <c r="J1560" s="38">
        <f t="shared" si="165"/>
        <v>0</v>
      </c>
      <c r="K1560" s="38">
        <f t="shared" si="165"/>
        <v>0</v>
      </c>
      <c r="L1560" s="38">
        <f t="shared" si="165"/>
        <v>0</v>
      </c>
      <c r="M1560" s="35">
        <f t="shared" si="167"/>
        <v>0</v>
      </c>
      <c r="S1560" t="s">
        <v>76</v>
      </c>
      <c r="T1560" s="5">
        <f>data_origin!T1777</f>
        <v>0</v>
      </c>
      <c r="U1560" s="5">
        <f>data_origin!U1777</f>
        <v>0</v>
      </c>
      <c r="V1560" s="5">
        <f>data_origin!V1777</f>
        <v>0</v>
      </c>
      <c r="W1560" s="5">
        <f>data_origin!W1777</f>
        <v>0</v>
      </c>
      <c r="X1560" s="5">
        <f>data_origin!X1777</f>
        <v>0</v>
      </c>
      <c r="Y1560" s="5">
        <f>data_origin!Y1777</f>
        <v>0</v>
      </c>
      <c r="Z1560" s="5">
        <f>data_origin!Z1777</f>
        <v>0</v>
      </c>
      <c r="AA1560" s="5">
        <f>data_origin!AA1777</f>
        <v>0</v>
      </c>
      <c r="AB1560" s="5">
        <f t="shared" si="164"/>
        <v>0</v>
      </c>
    </row>
    <row r="1561" spans="1:28" x14ac:dyDescent="0.25">
      <c r="D1561" t="s">
        <v>77</v>
      </c>
      <c r="E1561" s="38">
        <f t="shared" si="166"/>
        <v>0</v>
      </c>
      <c r="F1561" s="38">
        <f t="shared" si="166"/>
        <v>0</v>
      </c>
      <c r="G1561" s="38">
        <f t="shared" si="166"/>
        <v>0</v>
      </c>
      <c r="H1561" s="38">
        <f t="shared" si="165"/>
        <v>0</v>
      </c>
      <c r="I1561" s="38">
        <f t="shared" si="165"/>
        <v>0</v>
      </c>
      <c r="J1561" s="38">
        <f t="shared" si="165"/>
        <v>0</v>
      </c>
      <c r="K1561" s="38">
        <f t="shared" si="165"/>
        <v>0</v>
      </c>
      <c r="L1561" s="38">
        <f t="shared" si="165"/>
        <v>0</v>
      </c>
      <c r="M1561" s="35">
        <f t="shared" si="167"/>
        <v>0</v>
      </c>
      <c r="S1561" t="s">
        <v>77</v>
      </c>
      <c r="T1561" s="5">
        <f>data_origin!T1778</f>
        <v>0</v>
      </c>
      <c r="U1561" s="5">
        <f>data_origin!U1778</f>
        <v>0</v>
      </c>
      <c r="V1561" s="5">
        <f>data_origin!V1778</f>
        <v>0</v>
      </c>
      <c r="W1561" s="5">
        <f>data_origin!W1778</f>
        <v>0</v>
      </c>
      <c r="X1561" s="5">
        <f>data_origin!X1778</f>
        <v>0</v>
      </c>
      <c r="Y1561" s="5">
        <f>data_origin!Y1778</f>
        <v>0</v>
      </c>
      <c r="Z1561" s="5">
        <f>data_origin!Z1778</f>
        <v>0</v>
      </c>
      <c r="AA1561" s="5">
        <f>data_origin!AA1778</f>
        <v>0</v>
      </c>
      <c r="AB1561" s="5">
        <f t="shared" si="164"/>
        <v>0</v>
      </c>
    </row>
    <row r="1562" spans="1:28" x14ac:dyDescent="0.25">
      <c r="D1562" t="s">
        <v>78</v>
      </c>
      <c r="E1562" s="38">
        <f t="shared" si="166"/>
        <v>0</v>
      </c>
      <c r="F1562" s="38">
        <f t="shared" si="166"/>
        <v>0</v>
      </c>
      <c r="G1562" s="38">
        <f t="shared" si="166"/>
        <v>0</v>
      </c>
      <c r="H1562" s="38">
        <f t="shared" si="165"/>
        <v>0</v>
      </c>
      <c r="I1562" s="38">
        <f t="shared" si="165"/>
        <v>0</v>
      </c>
      <c r="J1562" s="38">
        <f t="shared" si="165"/>
        <v>0</v>
      </c>
      <c r="K1562" s="38">
        <f t="shared" si="165"/>
        <v>0</v>
      </c>
      <c r="L1562" s="38">
        <f t="shared" si="165"/>
        <v>0</v>
      </c>
      <c r="M1562" s="35">
        <f t="shared" si="167"/>
        <v>0</v>
      </c>
      <c r="S1562" t="s">
        <v>78</v>
      </c>
      <c r="T1562" s="5">
        <f>data_origin!T1779</f>
        <v>0</v>
      </c>
      <c r="U1562" s="5">
        <f>data_origin!U1779</f>
        <v>0</v>
      </c>
      <c r="V1562" s="5">
        <f>data_origin!V1779</f>
        <v>0</v>
      </c>
      <c r="W1562" s="5">
        <f>data_origin!W1779</f>
        <v>0</v>
      </c>
      <c r="X1562" s="5">
        <f>data_origin!X1779</f>
        <v>0</v>
      </c>
      <c r="Y1562" s="5">
        <f>data_origin!Y1779</f>
        <v>0</v>
      </c>
      <c r="Z1562" s="5">
        <f>data_origin!Z1779</f>
        <v>0</v>
      </c>
      <c r="AA1562" s="5">
        <f>data_origin!AA1779</f>
        <v>0</v>
      </c>
      <c r="AB1562" s="5">
        <f t="shared" si="164"/>
        <v>0</v>
      </c>
    </row>
    <row r="1563" spans="1:28" x14ac:dyDescent="0.25">
      <c r="D1563" t="s">
        <v>79</v>
      </c>
      <c r="E1563" s="38">
        <f t="shared" si="166"/>
        <v>0</v>
      </c>
      <c r="F1563" s="38">
        <f t="shared" si="166"/>
        <v>0</v>
      </c>
      <c r="G1563" s="38">
        <f t="shared" si="166"/>
        <v>0</v>
      </c>
      <c r="H1563" s="38">
        <f t="shared" si="165"/>
        <v>0</v>
      </c>
      <c r="I1563" s="38">
        <f t="shared" si="165"/>
        <v>0</v>
      </c>
      <c r="J1563" s="38">
        <f t="shared" si="165"/>
        <v>0</v>
      </c>
      <c r="K1563" s="38">
        <f t="shared" si="165"/>
        <v>0</v>
      </c>
      <c r="L1563" s="38">
        <f t="shared" si="165"/>
        <v>0</v>
      </c>
      <c r="M1563" s="35">
        <f t="shared" si="167"/>
        <v>0</v>
      </c>
      <c r="S1563" t="s">
        <v>79</v>
      </c>
      <c r="T1563" s="5">
        <f>data_origin!T1780</f>
        <v>0</v>
      </c>
      <c r="U1563" s="5">
        <f>data_origin!U1780</f>
        <v>0</v>
      </c>
      <c r="V1563" s="5">
        <f>data_origin!V1780</f>
        <v>0</v>
      </c>
      <c r="W1563" s="5">
        <f>data_origin!W1780</f>
        <v>0</v>
      </c>
      <c r="X1563" s="5">
        <f>data_origin!X1780</f>
        <v>0</v>
      </c>
      <c r="Y1563" s="5">
        <f>data_origin!Y1780</f>
        <v>0</v>
      </c>
      <c r="Z1563" s="5">
        <f>data_origin!Z1780</f>
        <v>0</v>
      </c>
      <c r="AA1563" s="5">
        <f>data_origin!AA1780</f>
        <v>0</v>
      </c>
      <c r="AB1563" s="5">
        <f t="shared" si="164"/>
        <v>0</v>
      </c>
    </row>
    <row r="1564" spans="1:28" x14ac:dyDescent="0.25">
      <c r="D1564" t="s">
        <v>80</v>
      </c>
      <c r="E1564" s="38">
        <f t="shared" si="166"/>
        <v>0</v>
      </c>
      <c r="F1564" s="38">
        <f t="shared" si="166"/>
        <v>0</v>
      </c>
      <c r="G1564" s="38">
        <f t="shared" si="166"/>
        <v>0</v>
      </c>
      <c r="H1564" s="38">
        <f t="shared" si="165"/>
        <v>0</v>
      </c>
      <c r="I1564" s="38">
        <f t="shared" si="165"/>
        <v>0</v>
      </c>
      <c r="J1564" s="38">
        <f t="shared" si="165"/>
        <v>0</v>
      </c>
      <c r="K1564" s="38">
        <f t="shared" si="165"/>
        <v>0</v>
      </c>
      <c r="L1564" s="38">
        <f t="shared" si="165"/>
        <v>0</v>
      </c>
      <c r="M1564" s="35">
        <f t="shared" si="167"/>
        <v>0</v>
      </c>
      <c r="S1564" t="s">
        <v>80</v>
      </c>
      <c r="T1564" s="5">
        <f>data_origin!T1781</f>
        <v>0</v>
      </c>
      <c r="U1564" s="5">
        <f>data_origin!U1781</f>
        <v>0</v>
      </c>
      <c r="V1564" s="5">
        <f>data_origin!V1781</f>
        <v>0</v>
      </c>
      <c r="W1564" s="5">
        <f>data_origin!W1781</f>
        <v>0</v>
      </c>
      <c r="X1564" s="5">
        <f>data_origin!X1781</f>
        <v>0</v>
      </c>
      <c r="Y1564" s="5">
        <f>data_origin!Y1781</f>
        <v>0</v>
      </c>
      <c r="Z1564" s="5">
        <f>data_origin!Z1781</f>
        <v>0</v>
      </c>
      <c r="AA1564" s="5">
        <f>data_origin!AA1781</f>
        <v>0</v>
      </c>
      <c r="AB1564" s="5">
        <f t="shared" si="164"/>
        <v>0</v>
      </c>
    </row>
    <row r="1565" spans="1:28" x14ac:dyDescent="0.25">
      <c r="D1565" t="s">
        <v>81</v>
      </c>
      <c r="E1565" s="38">
        <f t="shared" si="166"/>
        <v>0</v>
      </c>
      <c r="F1565" s="38">
        <f t="shared" si="166"/>
        <v>0</v>
      </c>
      <c r="G1565" s="38">
        <f t="shared" si="166"/>
        <v>0</v>
      </c>
      <c r="H1565" s="38">
        <f t="shared" si="165"/>
        <v>0</v>
      </c>
      <c r="I1565" s="38">
        <f t="shared" si="165"/>
        <v>0</v>
      </c>
      <c r="J1565" s="38">
        <f t="shared" si="165"/>
        <v>0</v>
      </c>
      <c r="K1565" s="38">
        <f t="shared" si="165"/>
        <v>0</v>
      </c>
      <c r="L1565" s="38">
        <f t="shared" si="165"/>
        <v>0</v>
      </c>
      <c r="M1565" s="35">
        <f t="shared" si="167"/>
        <v>0</v>
      </c>
      <c r="S1565" t="s">
        <v>81</v>
      </c>
      <c r="T1565" s="5">
        <f>data_origin!T1782</f>
        <v>0</v>
      </c>
      <c r="U1565" s="5">
        <f>data_origin!U1782</f>
        <v>0</v>
      </c>
      <c r="V1565" s="5">
        <f>data_origin!V1782</f>
        <v>0</v>
      </c>
      <c r="W1565" s="5">
        <f>data_origin!W1782</f>
        <v>0</v>
      </c>
      <c r="X1565" s="5">
        <f>data_origin!X1782</f>
        <v>0</v>
      </c>
      <c r="Y1565" s="5">
        <f>data_origin!Y1782</f>
        <v>0</v>
      </c>
      <c r="Z1565" s="5">
        <f>data_origin!Z1782</f>
        <v>0</v>
      </c>
      <c r="AA1565" s="5">
        <f>data_origin!AA1782</f>
        <v>0</v>
      </c>
      <c r="AB1565" s="5">
        <f t="shared" si="164"/>
        <v>0</v>
      </c>
    </row>
    <row r="1566" spans="1:28" x14ac:dyDescent="0.25">
      <c r="D1566" t="s">
        <v>82</v>
      </c>
      <c r="E1566" s="38">
        <f t="shared" si="166"/>
        <v>0</v>
      </c>
      <c r="F1566" s="38">
        <f t="shared" si="166"/>
        <v>0</v>
      </c>
      <c r="G1566" s="38">
        <f t="shared" si="166"/>
        <v>0</v>
      </c>
      <c r="H1566" s="38">
        <f t="shared" si="165"/>
        <v>0</v>
      </c>
      <c r="I1566" s="38">
        <f t="shared" si="165"/>
        <v>0</v>
      </c>
      <c r="J1566" s="38">
        <f t="shared" si="165"/>
        <v>0</v>
      </c>
      <c r="K1566" s="38">
        <f t="shared" si="165"/>
        <v>0</v>
      </c>
      <c r="L1566" s="38">
        <f t="shared" si="165"/>
        <v>0</v>
      </c>
      <c r="M1566" s="35">
        <f t="shared" si="167"/>
        <v>0</v>
      </c>
      <c r="S1566" t="s">
        <v>82</v>
      </c>
      <c r="T1566" s="5">
        <f>data_origin!T1783</f>
        <v>0</v>
      </c>
      <c r="U1566" s="5">
        <f>data_origin!U1783</f>
        <v>0</v>
      </c>
      <c r="V1566" s="5">
        <f>data_origin!V1783</f>
        <v>0</v>
      </c>
      <c r="W1566" s="5">
        <f>data_origin!W1783</f>
        <v>0</v>
      </c>
      <c r="X1566" s="5">
        <f>data_origin!X1783</f>
        <v>0</v>
      </c>
      <c r="Y1566" s="5">
        <f>data_origin!Y1783</f>
        <v>0</v>
      </c>
      <c r="Z1566" s="5">
        <f>data_origin!Z1783</f>
        <v>0</v>
      </c>
      <c r="AA1566" s="5">
        <f>data_origin!AA1783</f>
        <v>0</v>
      </c>
      <c r="AB1566" s="5">
        <f t="shared" si="164"/>
        <v>0</v>
      </c>
    </row>
    <row r="1567" spans="1:28" x14ac:dyDescent="0.25">
      <c r="D1567" t="s">
        <v>83</v>
      </c>
      <c r="E1567" s="38">
        <f t="shared" si="166"/>
        <v>0</v>
      </c>
      <c r="F1567" s="38">
        <f t="shared" si="166"/>
        <v>0</v>
      </c>
      <c r="G1567" s="38">
        <f t="shared" si="166"/>
        <v>0</v>
      </c>
      <c r="H1567" s="38">
        <f t="shared" si="165"/>
        <v>0</v>
      </c>
      <c r="I1567" s="38">
        <f t="shared" si="165"/>
        <v>0</v>
      </c>
      <c r="J1567" s="38">
        <f t="shared" si="165"/>
        <v>0</v>
      </c>
      <c r="K1567" s="38">
        <f t="shared" si="165"/>
        <v>0</v>
      </c>
      <c r="L1567" s="38">
        <f t="shared" si="165"/>
        <v>0</v>
      </c>
      <c r="M1567" s="35">
        <f t="shared" si="167"/>
        <v>0</v>
      </c>
      <c r="S1567" t="s">
        <v>83</v>
      </c>
      <c r="T1567" s="5">
        <f>data_origin!T1784</f>
        <v>0</v>
      </c>
      <c r="U1567" s="5">
        <f>data_origin!U1784</f>
        <v>0</v>
      </c>
      <c r="V1567" s="5">
        <f>data_origin!V1784</f>
        <v>0</v>
      </c>
      <c r="W1567" s="5">
        <f>data_origin!W1784</f>
        <v>0</v>
      </c>
      <c r="X1567" s="5">
        <f>data_origin!X1784</f>
        <v>0</v>
      </c>
      <c r="Y1567" s="5">
        <f>data_origin!Y1784</f>
        <v>0</v>
      </c>
      <c r="Z1567" s="5">
        <f>data_origin!Z1784</f>
        <v>0</v>
      </c>
      <c r="AA1567" s="5">
        <f>data_origin!AA1784</f>
        <v>0</v>
      </c>
      <c r="AB1567" s="5">
        <f t="shared" si="164"/>
        <v>0</v>
      </c>
    </row>
    <row r="1568" spans="1:28" x14ac:dyDescent="0.25">
      <c r="D1568" t="s">
        <v>84</v>
      </c>
      <c r="E1568" s="38">
        <f t="shared" si="166"/>
        <v>0</v>
      </c>
      <c r="F1568" s="38">
        <f t="shared" si="166"/>
        <v>0</v>
      </c>
      <c r="G1568" s="38">
        <f t="shared" si="166"/>
        <v>0</v>
      </c>
      <c r="H1568" s="38">
        <f t="shared" si="165"/>
        <v>0</v>
      </c>
      <c r="I1568" s="38">
        <f t="shared" si="165"/>
        <v>0</v>
      </c>
      <c r="J1568" s="38">
        <f t="shared" si="165"/>
        <v>0</v>
      </c>
      <c r="K1568" s="38">
        <f t="shared" si="165"/>
        <v>0</v>
      </c>
      <c r="L1568" s="38">
        <f t="shared" si="165"/>
        <v>0</v>
      </c>
      <c r="M1568" s="35">
        <f t="shared" si="167"/>
        <v>0</v>
      </c>
      <c r="S1568" t="s">
        <v>84</v>
      </c>
      <c r="T1568" s="5">
        <f>data_origin!T1785</f>
        <v>0</v>
      </c>
      <c r="U1568" s="5">
        <f>data_origin!U1785</f>
        <v>0</v>
      </c>
      <c r="V1568" s="5">
        <f>data_origin!V1785</f>
        <v>0</v>
      </c>
      <c r="W1568" s="5">
        <f>data_origin!W1785</f>
        <v>0</v>
      </c>
      <c r="X1568" s="5">
        <f>data_origin!X1785</f>
        <v>0</v>
      </c>
      <c r="Y1568" s="5">
        <f>data_origin!Y1785</f>
        <v>0</v>
      </c>
      <c r="Z1568" s="5">
        <f>data_origin!Z1785</f>
        <v>0</v>
      </c>
      <c r="AA1568" s="5">
        <f>data_origin!AA1785</f>
        <v>0</v>
      </c>
      <c r="AB1568" s="5">
        <f t="shared" si="164"/>
        <v>0</v>
      </c>
    </row>
    <row r="1569" spans="4:28" x14ac:dyDescent="0.25">
      <c r="D1569" t="s">
        <v>85</v>
      </c>
      <c r="E1569" s="38">
        <f t="shared" si="166"/>
        <v>0</v>
      </c>
      <c r="F1569" s="38">
        <f t="shared" si="166"/>
        <v>0</v>
      </c>
      <c r="G1569" s="38">
        <f t="shared" si="166"/>
        <v>0</v>
      </c>
      <c r="H1569" s="38">
        <f t="shared" si="165"/>
        <v>0</v>
      </c>
      <c r="I1569" s="38">
        <f t="shared" si="165"/>
        <v>0</v>
      </c>
      <c r="J1569" s="38">
        <f t="shared" si="165"/>
        <v>0</v>
      </c>
      <c r="K1569" s="38">
        <f t="shared" si="165"/>
        <v>0</v>
      </c>
      <c r="L1569" s="38">
        <f t="shared" si="165"/>
        <v>0</v>
      </c>
      <c r="M1569" s="35">
        <f t="shared" si="167"/>
        <v>0</v>
      </c>
      <c r="S1569" t="s">
        <v>85</v>
      </c>
      <c r="T1569" s="5">
        <f>data_origin!T1786</f>
        <v>0</v>
      </c>
      <c r="U1569" s="5">
        <f>data_origin!U1786</f>
        <v>0</v>
      </c>
      <c r="V1569" s="5">
        <f>data_origin!V1786</f>
        <v>0</v>
      </c>
      <c r="W1569" s="5">
        <f>data_origin!W1786</f>
        <v>0</v>
      </c>
      <c r="X1569" s="5">
        <f>data_origin!X1786</f>
        <v>0</v>
      </c>
      <c r="Y1569" s="5">
        <f>data_origin!Y1786</f>
        <v>0</v>
      </c>
      <c r="Z1569" s="5">
        <f>data_origin!Z1786</f>
        <v>0</v>
      </c>
      <c r="AA1569" s="5">
        <f>data_origin!AA1786</f>
        <v>0</v>
      </c>
      <c r="AB1569" s="5">
        <f t="shared" si="164"/>
        <v>0</v>
      </c>
    </row>
    <row r="1570" spans="4:28" x14ac:dyDescent="0.25">
      <c r="D1570" t="s">
        <v>86</v>
      </c>
      <c r="E1570" s="38">
        <f t="shared" si="166"/>
        <v>0</v>
      </c>
      <c r="F1570" s="38">
        <f t="shared" si="166"/>
        <v>0</v>
      </c>
      <c r="G1570" s="38">
        <f t="shared" si="166"/>
        <v>0</v>
      </c>
      <c r="H1570" s="38">
        <f t="shared" si="165"/>
        <v>0</v>
      </c>
      <c r="I1570" s="38">
        <f t="shared" si="165"/>
        <v>0</v>
      </c>
      <c r="J1570" s="38">
        <f t="shared" si="165"/>
        <v>0</v>
      </c>
      <c r="K1570" s="38">
        <f t="shared" si="165"/>
        <v>0</v>
      </c>
      <c r="L1570" s="38">
        <f t="shared" si="165"/>
        <v>0</v>
      </c>
      <c r="M1570" s="35">
        <f t="shared" si="167"/>
        <v>0</v>
      </c>
      <c r="S1570" t="s">
        <v>86</v>
      </c>
      <c r="T1570" s="5">
        <f>data_origin!T1787</f>
        <v>0</v>
      </c>
      <c r="U1570" s="5">
        <f>data_origin!U1787</f>
        <v>0</v>
      </c>
      <c r="V1570" s="5">
        <f>data_origin!V1787</f>
        <v>0</v>
      </c>
      <c r="W1570" s="5">
        <f>data_origin!W1787</f>
        <v>0</v>
      </c>
      <c r="X1570" s="5">
        <f>data_origin!X1787</f>
        <v>0</v>
      </c>
      <c r="Y1570" s="5">
        <f>data_origin!Y1787</f>
        <v>0</v>
      </c>
      <c r="Z1570" s="5">
        <f>data_origin!Z1787</f>
        <v>0</v>
      </c>
      <c r="AA1570" s="5">
        <f>data_origin!AA1787</f>
        <v>0</v>
      </c>
      <c r="AB1570" s="5">
        <f t="shared" si="164"/>
        <v>0</v>
      </c>
    </row>
    <row r="1571" spans="4:28" x14ac:dyDescent="0.25">
      <c r="D1571" t="s">
        <v>87</v>
      </c>
      <c r="E1571" s="38">
        <f t="shared" si="166"/>
        <v>0</v>
      </c>
      <c r="F1571" s="38">
        <f t="shared" si="166"/>
        <v>0</v>
      </c>
      <c r="G1571" s="38">
        <f t="shared" si="166"/>
        <v>0</v>
      </c>
      <c r="H1571" s="38">
        <f t="shared" si="165"/>
        <v>0</v>
      </c>
      <c r="I1571" s="38">
        <f t="shared" si="165"/>
        <v>0</v>
      </c>
      <c r="J1571" s="38">
        <f t="shared" si="165"/>
        <v>0</v>
      </c>
      <c r="K1571" s="38">
        <f t="shared" si="165"/>
        <v>0</v>
      </c>
      <c r="L1571" s="38">
        <f t="shared" si="165"/>
        <v>0</v>
      </c>
      <c r="M1571" s="35">
        <f t="shared" si="167"/>
        <v>0</v>
      </c>
      <c r="S1571" t="s">
        <v>87</v>
      </c>
      <c r="T1571" s="5">
        <f>data_origin!T1788</f>
        <v>0</v>
      </c>
      <c r="U1571" s="5">
        <f>data_origin!U1788</f>
        <v>0</v>
      </c>
      <c r="V1571" s="5">
        <f>data_origin!V1788</f>
        <v>0</v>
      </c>
      <c r="W1571" s="5">
        <f>data_origin!W1788</f>
        <v>0</v>
      </c>
      <c r="X1571" s="5">
        <f>data_origin!X1788</f>
        <v>0</v>
      </c>
      <c r="Y1571" s="5">
        <f>data_origin!Y1788</f>
        <v>0</v>
      </c>
      <c r="Z1571" s="5">
        <f>data_origin!Z1788</f>
        <v>0</v>
      </c>
      <c r="AA1571" s="5">
        <f>data_origin!AA1788</f>
        <v>0</v>
      </c>
      <c r="AB1571" s="5">
        <f t="shared" si="164"/>
        <v>0</v>
      </c>
    </row>
    <row r="1572" spans="4:28" x14ac:dyDescent="0.25">
      <c r="D1572" t="s">
        <v>88</v>
      </c>
      <c r="E1572" s="38">
        <f t="shared" si="166"/>
        <v>0</v>
      </c>
      <c r="F1572" s="38">
        <f t="shared" si="166"/>
        <v>0</v>
      </c>
      <c r="G1572" s="38">
        <f t="shared" si="166"/>
        <v>0</v>
      </c>
      <c r="H1572" s="38">
        <f t="shared" si="165"/>
        <v>0</v>
      </c>
      <c r="I1572" s="38">
        <f t="shared" si="165"/>
        <v>0</v>
      </c>
      <c r="J1572" s="38">
        <f t="shared" si="165"/>
        <v>0</v>
      </c>
      <c r="K1572" s="38">
        <f t="shared" si="165"/>
        <v>0</v>
      </c>
      <c r="L1572" s="38">
        <f t="shared" si="165"/>
        <v>0</v>
      </c>
      <c r="M1572" s="35">
        <f t="shared" si="167"/>
        <v>0</v>
      </c>
      <c r="S1572" t="s">
        <v>88</v>
      </c>
      <c r="T1572" s="5">
        <f>data_origin!T1789</f>
        <v>0</v>
      </c>
      <c r="U1572" s="5">
        <f>data_origin!U1789</f>
        <v>0</v>
      </c>
      <c r="V1572" s="5">
        <f>data_origin!V1789</f>
        <v>0</v>
      </c>
      <c r="W1572" s="5">
        <f>data_origin!W1789</f>
        <v>0</v>
      </c>
      <c r="X1572" s="5">
        <f>data_origin!X1789</f>
        <v>0</v>
      </c>
      <c r="Y1572" s="5">
        <f>data_origin!Y1789</f>
        <v>0</v>
      </c>
      <c r="Z1572" s="5">
        <f>data_origin!Z1789</f>
        <v>0</v>
      </c>
      <c r="AA1572" s="5">
        <f>data_origin!AA1789</f>
        <v>0</v>
      </c>
      <c r="AB1572" s="5">
        <f t="shared" si="164"/>
        <v>0</v>
      </c>
    </row>
    <row r="1573" spans="4:28" x14ac:dyDescent="0.25">
      <c r="D1573" t="s">
        <v>89</v>
      </c>
      <c r="E1573" s="38">
        <f t="shared" si="166"/>
        <v>0</v>
      </c>
      <c r="F1573" s="38">
        <f t="shared" si="166"/>
        <v>0</v>
      </c>
      <c r="G1573" s="38">
        <f t="shared" si="166"/>
        <v>0</v>
      </c>
      <c r="H1573" s="38">
        <f t="shared" si="165"/>
        <v>0</v>
      </c>
      <c r="I1573" s="38">
        <f t="shared" si="165"/>
        <v>0</v>
      </c>
      <c r="J1573" s="38">
        <f t="shared" si="165"/>
        <v>0</v>
      </c>
      <c r="K1573" s="38">
        <f t="shared" si="165"/>
        <v>0</v>
      </c>
      <c r="L1573" s="38">
        <f t="shared" si="165"/>
        <v>0</v>
      </c>
      <c r="M1573" s="35">
        <f t="shared" si="167"/>
        <v>0</v>
      </c>
      <c r="S1573" t="s">
        <v>89</v>
      </c>
      <c r="T1573" s="5">
        <f>data_origin!T1790</f>
        <v>0</v>
      </c>
      <c r="U1573" s="5">
        <f>data_origin!U1790</f>
        <v>0</v>
      </c>
      <c r="V1573" s="5">
        <f>data_origin!V1790</f>
        <v>0</v>
      </c>
      <c r="W1573" s="5">
        <f>data_origin!W1790</f>
        <v>0</v>
      </c>
      <c r="X1573" s="5">
        <f>data_origin!X1790</f>
        <v>0</v>
      </c>
      <c r="Y1573" s="5">
        <f>data_origin!Y1790</f>
        <v>0</v>
      </c>
      <c r="Z1573" s="5">
        <f>data_origin!Z1790</f>
        <v>0</v>
      </c>
      <c r="AA1573" s="5">
        <f>data_origin!AA1790</f>
        <v>0</v>
      </c>
      <c r="AB1573" s="5">
        <f t="shared" si="164"/>
        <v>0</v>
      </c>
    </row>
    <row r="1574" spans="4:28" x14ac:dyDescent="0.25">
      <c r="D1574" t="s">
        <v>90</v>
      </c>
      <c r="E1574" s="38">
        <f t="shared" si="166"/>
        <v>0</v>
      </c>
      <c r="F1574" s="38">
        <f t="shared" si="166"/>
        <v>0</v>
      </c>
      <c r="G1574" s="38">
        <f t="shared" si="166"/>
        <v>0</v>
      </c>
      <c r="H1574" s="38">
        <f t="shared" si="165"/>
        <v>0</v>
      </c>
      <c r="I1574" s="38">
        <f t="shared" si="165"/>
        <v>0</v>
      </c>
      <c r="J1574" s="38">
        <f t="shared" si="165"/>
        <v>0</v>
      </c>
      <c r="K1574" s="38">
        <f t="shared" si="165"/>
        <v>0</v>
      </c>
      <c r="L1574" s="38">
        <f t="shared" si="165"/>
        <v>0</v>
      </c>
      <c r="M1574" s="35">
        <f t="shared" si="167"/>
        <v>0</v>
      </c>
      <c r="S1574" t="s">
        <v>90</v>
      </c>
      <c r="T1574" s="5">
        <f>data_origin!T1791</f>
        <v>0</v>
      </c>
      <c r="U1574" s="5">
        <f>data_origin!U1791</f>
        <v>0</v>
      </c>
      <c r="V1574" s="5">
        <f>data_origin!V1791</f>
        <v>0</v>
      </c>
      <c r="W1574" s="5">
        <f>data_origin!W1791</f>
        <v>0</v>
      </c>
      <c r="X1574" s="5">
        <f>data_origin!X1791</f>
        <v>0</v>
      </c>
      <c r="Y1574" s="5">
        <f>data_origin!Y1791</f>
        <v>0</v>
      </c>
      <c r="Z1574" s="5">
        <f>data_origin!Z1791</f>
        <v>0</v>
      </c>
      <c r="AA1574" s="5">
        <f>data_origin!AA1791</f>
        <v>0</v>
      </c>
      <c r="AB1574" s="5">
        <f t="shared" si="164"/>
        <v>0</v>
      </c>
    </row>
    <row r="1575" spans="4:28" x14ac:dyDescent="0.25">
      <c r="D1575" t="s">
        <v>91</v>
      </c>
      <c r="E1575" s="38">
        <f t="shared" si="166"/>
        <v>0</v>
      </c>
      <c r="F1575" s="38">
        <f t="shared" si="166"/>
        <v>0</v>
      </c>
      <c r="G1575" s="38">
        <f t="shared" si="166"/>
        <v>0</v>
      </c>
      <c r="H1575" s="38">
        <f t="shared" si="165"/>
        <v>0</v>
      </c>
      <c r="I1575" s="38">
        <f t="shared" si="165"/>
        <v>0</v>
      </c>
      <c r="J1575" s="38">
        <f t="shared" si="165"/>
        <v>0</v>
      </c>
      <c r="K1575" s="38">
        <f t="shared" si="165"/>
        <v>0</v>
      </c>
      <c r="L1575" s="38">
        <f t="shared" si="165"/>
        <v>0</v>
      </c>
      <c r="M1575" s="35">
        <f t="shared" si="167"/>
        <v>0</v>
      </c>
      <c r="S1575" t="s">
        <v>91</v>
      </c>
      <c r="T1575" s="5">
        <f>data_origin!T1792</f>
        <v>0</v>
      </c>
      <c r="U1575" s="5">
        <f>data_origin!U1792</f>
        <v>0</v>
      </c>
      <c r="V1575" s="5">
        <f>data_origin!V1792</f>
        <v>0</v>
      </c>
      <c r="W1575" s="5">
        <f>data_origin!W1792</f>
        <v>0</v>
      </c>
      <c r="X1575" s="5">
        <f>data_origin!X1792</f>
        <v>0</v>
      </c>
      <c r="Y1575" s="5">
        <f>data_origin!Y1792</f>
        <v>0</v>
      </c>
      <c r="Z1575" s="5">
        <f>data_origin!Z1792</f>
        <v>0</v>
      </c>
      <c r="AA1575" s="5">
        <f>data_origin!AA1792</f>
        <v>0</v>
      </c>
      <c r="AB1575" s="5">
        <f t="shared" si="164"/>
        <v>0</v>
      </c>
    </row>
    <row r="1576" spans="4:28" x14ac:dyDescent="0.25">
      <c r="D1576" t="s">
        <v>92</v>
      </c>
      <c r="E1576" s="38">
        <f t="shared" si="166"/>
        <v>0</v>
      </c>
      <c r="F1576" s="38">
        <f t="shared" si="166"/>
        <v>0</v>
      </c>
      <c r="G1576" s="38">
        <f t="shared" si="166"/>
        <v>0</v>
      </c>
      <c r="H1576" s="38">
        <f t="shared" si="165"/>
        <v>0</v>
      </c>
      <c r="I1576" s="38">
        <f t="shared" si="165"/>
        <v>0</v>
      </c>
      <c r="J1576" s="38">
        <f t="shared" si="165"/>
        <v>0</v>
      </c>
      <c r="K1576" s="38">
        <f t="shared" si="165"/>
        <v>0</v>
      </c>
      <c r="L1576" s="38">
        <f t="shared" si="165"/>
        <v>0</v>
      </c>
      <c r="M1576" s="35">
        <f t="shared" si="167"/>
        <v>0</v>
      </c>
      <c r="S1576" t="s">
        <v>92</v>
      </c>
      <c r="T1576" s="5">
        <f>data_origin!T1793</f>
        <v>0</v>
      </c>
      <c r="U1576" s="5">
        <f>data_origin!U1793</f>
        <v>0</v>
      </c>
      <c r="V1576" s="5">
        <f>data_origin!V1793</f>
        <v>0</v>
      </c>
      <c r="W1576" s="5">
        <f>data_origin!W1793</f>
        <v>0</v>
      </c>
      <c r="X1576" s="5">
        <f>data_origin!X1793</f>
        <v>0</v>
      </c>
      <c r="Y1576" s="5">
        <f>data_origin!Y1793</f>
        <v>0</v>
      </c>
      <c r="Z1576" s="5">
        <f>data_origin!Z1793</f>
        <v>0</v>
      </c>
      <c r="AA1576" s="5">
        <f>data_origin!AA1793</f>
        <v>0</v>
      </c>
      <c r="AB1576" s="5">
        <f t="shared" si="164"/>
        <v>0</v>
      </c>
    </row>
    <row r="1577" spans="4:28" x14ac:dyDescent="0.25">
      <c r="D1577" t="s">
        <v>93</v>
      </c>
      <c r="E1577" s="38">
        <f t="shared" si="166"/>
        <v>0</v>
      </c>
      <c r="F1577" s="38">
        <f t="shared" si="166"/>
        <v>0</v>
      </c>
      <c r="G1577" s="38">
        <f t="shared" si="166"/>
        <v>0</v>
      </c>
      <c r="H1577" s="38">
        <f t="shared" si="165"/>
        <v>0</v>
      </c>
      <c r="I1577" s="38">
        <f t="shared" si="165"/>
        <v>0</v>
      </c>
      <c r="J1577" s="38">
        <f t="shared" si="165"/>
        <v>0</v>
      </c>
      <c r="K1577" s="38">
        <f t="shared" si="165"/>
        <v>0</v>
      </c>
      <c r="L1577" s="38">
        <f t="shared" si="165"/>
        <v>0</v>
      </c>
      <c r="M1577" s="35">
        <f t="shared" si="167"/>
        <v>0</v>
      </c>
      <c r="S1577" t="s">
        <v>93</v>
      </c>
      <c r="T1577" s="5">
        <f>data_origin!T1794</f>
        <v>0</v>
      </c>
      <c r="U1577" s="5">
        <f>data_origin!U1794</f>
        <v>0</v>
      </c>
      <c r="V1577" s="5">
        <f>data_origin!V1794</f>
        <v>0</v>
      </c>
      <c r="W1577" s="5">
        <f>data_origin!W1794</f>
        <v>0</v>
      </c>
      <c r="X1577" s="5">
        <f>data_origin!X1794</f>
        <v>0</v>
      </c>
      <c r="Y1577" s="5">
        <f>data_origin!Y1794</f>
        <v>0</v>
      </c>
      <c r="Z1577" s="5">
        <f>data_origin!Z1794</f>
        <v>0</v>
      </c>
      <c r="AA1577" s="5">
        <f>data_origin!AA1794</f>
        <v>0</v>
      </c>
      <c r="AB1577" s="5">
        <f t="shared" si="164"/>
        <v>0</v>
      </c>
    </row>
    <row r="1578" spans="4:28" x14ac:dyDescent="0.25">
      <c r="D1578" t="s">
        <v>94</v>
      </c>
      <c r="E1578" s="38">
        <f t="shared" si="166"/>
        <v>0</v>
      </c>
      <c r="F1578" s="38">
        <f t="shared" si="166"/>
        <v>0</v>
      </c>
      <c r="G1578" s="38">
        <f t="shared" si="166"/>
        <v>0</v>
      </c>
      <c r="H1578" s="38">
        <f t="shared" si="165"/>
        <v>0</v>
      </c>
      <c r="I1578" s="38">
        <f t="shared" si="165"/>
        <v>0</v>
      </c>
      <c r="J1578" s="38">
        <f t="shared" si="165"/>
        <v>0</v>
      </c>
      <c r="K1578" s="38">
        <f t="shared" si="165"/>
        <v>0</v>
      </c>
      <c r="L1578" s="38">
        <f t="shared" si="165"/>
        <v>0</v>
      </c>
      <c r="M1578" s="35">
        <f t="shared" si="167"/>
        <v>0</v>
      </c>
      <c r="S1578" t="s">
        <v>94</v>
      </c>
      <c r="T1578" s="5">
        <f>data_origin!T1795</f>
        <v>0</v>
      </c>
      <c r="U1578" s="5">
        <f>data_origin!U1795</f>
        <v>0</v>
      </c>
      <c r="V1578" s="5">
        <f>data_origin!V1795</f>
        <v>0</v>
      </c>
      <c r="W1578" s="5">
        <f>data_origin!W1795</f>
        <v>0</v>
      </c>
      <c r="X1578" s="5">
        <f>data_origin!X1795</f>
        <v>0</v>
      </c>
      <c r="Y1578" s="5">
        <f>data_origin!Y1795</f>
        <v>0</v>
      </c>
      <c r="Z1578" s="5">
        <f>data_origin!Z1795</f>
        <v>0</v>
      </c>
      <c r="AA1578" s="5">
        <f>data_origin!AA1795</f>
        <v>0</v>
      </c>
      <c r="AB1578" s="5">
        <f t="shared" si="164"/>
        <v>0</v>
      </c>
    </row>
    <row r="1579" spans="4:28" x14ac:dyDescent="0.25">
      <c r="D1579" t="s">
        <v>95</v>
      </c>
      <c r="E1579" s="38">
        <f t="shared" si="166"/>
        <v>0</v>
      </c>
      <c r="F1579" s="38">
        <f t="shared" si="166"/>
        <v>0</v>
      </c>
      <c r="G1579" s="38">
        <f t="shared" si="166"/>
        <v>0</v>
      </c>
      <c r="H1579" s="38">
        <f t="shared" si="165"/>
        <v>0</v>
      </c>
      <c r="I1579" s="38">
        <f t="shared" si="165"/>
        <v>0</v>
      </c>
      <c r="J1579" s="38">
        <f t="shared" si="165"/>
        <v>0</v>
      </c>
      <c r="K1579" s="38">
        <f t="shared" si="165"/>
        <v>0</v>
      </c>
      <c r="L1579" s="38">
        <f t="shared" si="165"/>
        <v>0</v>
      </c>
      <c r="M1579" s="35">
        <f t="shared" si="167"/>
        <v>0</v>
      </c>
      <c r="S1579" t="s">
        <v>95</v>
      </c>
      <c r="T1579" s="5">
        <f>data_origin!T1796</f>
        <v>0</v>
      </c>
      <c r="U1579" s="5">
        <f>data_origin!U1796</f>
        <v>0</v>
      </c>
      <c r="V1579" s="5">
        <f>data_origin!V1796</f>
        <v>0</v>
      </c>
      <c r="W1579" s="5">
        <f>data_origin!W1796</f>
        <v>0</v>
      </c>
      <c r="X1579" s="5">
        <f>data_origin!X1796</f>
        <v>0</v>
      </c>
      <c r="Y1579" s="5">
        <f>data_origin!Y1796</f>
        <v>0</v>
      </c>
      <c r="Z1579" s="5">
        <f>data_origin!Z1796</f>
        <v>0</v>
      </c>
      <c r="AA1579" s="5">
        <f>data_origin!AA1796</f>
        <v>0</v>
      </c>
      <c r="AB1579" s="5">
        <f t="shared" si="164"/>
        <v>0</v>
      </c>
    </row>
    <row r="1580" spans="4:28" x14ac:dyDescent="0.25">
      <c r="D1580" t="s">
        <v>96</v>
      </c>
      <c r="E1580" s="38">
        <f t="shared" si="166"/>
        <v>0</v>
      </c>
      <c r="F1580" s="38">
        <f t="shared" si="166"/>
        <v>0</v>
      </c>
      <c r="G1580" s="38">
        <f t="shared" si="166"/>
        <v>0</v>
      </c>
      <c r="H1580" s="38">
        <f t="shared" si="165"/>
        <v>0</v>
      </c>
      <c r="I1580" s="38">
        <f t="shared" si="165"/>
        <v>0</v>
      </c>
      <c r="J1580" s="38">
        <f t="shared" ref="J1580:L1643" si="168">Y1580+BB326+IFERROR((Y1580/SUM(Y$993:Y$1982)*BB$630),0)+IFERROR((Y1580/SUM(Y$1125:Y$1322,Y$1455:Y$1652,Y$1785:Y$1982)*BB$732),0)</f>
        <v>0</v>
      </c>
      <c r="K1580" s="38">
        <f t="shared" si="168"/>
        <v>0</v>
      </c>
      <c r="L1580" s="38">
        <f t="shared" si="168"/>
        <v>0</v>
      </c>
      <c r="M1580" s="35">
        <f t="shared" si="167"/>
        <v>0</v>
      </c>
      <c r="S1580" t="s">
        <v>96</v>
      </c>
      <c r="T1580" s="5">
        <f>data_origin!T1797</f>
        <v>0</v>
      </c>
      <c r="U1580" s="5">
        <f>data_origin!U1797</f>
        <v>0</v>
      </c>
      <c r="V1580" s="5">
        <f>data_origin!V1797</f>
        <v>0</v>
      </c>
      <c r="W1580" s="5">
        <f>data_origin!W1797</f>
        <v>0</v>
      </c>
      <c r="X1580" s="5">
        <f>data_origin!X1797</f>
        <v>0</v>
      </c>
      <c r="Y1580" s="5">
        <f>data_origin!Y1797</f>
        <v>0</v>
      </c>
      <c r="Z1580" s="5">
        <f>data_origin!Z1797</f>
        <v>0</v>
      </c>
      <c r="AA1580" s="5">
        <f>data_origin!AA1797</f>
        <v>0</v>
      </c>
      <c r="AB1580" s="5">
        <f t="shared" si="164"/>
        <v>0</v>
      </c>
    </row>
    <row r="1581" spans="4:28" x14ac:dyDescent="0.25">
      <c r="D1581" t="s">
        <v>97</v>
      </c>
      <c r="E1581" s="38">
        <f t="shared" si="166"/>
        <v>0</v>
      </c>
      <c r="F1581" s="38">
        <f t="shared" si="166"/>
        <v>0</v>
      </c>
      <c r="G1581" s="38">
        <f t="shared" si="166"/>
        <v>0</v>
      </c>
      <c r="H1581" s="38">
        <f t="shared" si="166"/>
        <v>0</v>
      </c>
      <c r="I1581" s="38">
        <f t="shared" si="166"/>
        <v>0</v>
      </c>
      <c r="J1581" s="38">
        <f t="shared" si="168"/>
        <v>0</v>
      </c>
      <c r="K1581" s="38">
        <f t="shared" si="168"/>
        <v>0</v>
      </c>
      <c r="L1581" s="38">
        <f t="shared" si="168"/>
        <v>0</v>
      </c>
      <c r="M1581" s="35">
        <f t="shared" si="167"/>
        <v>0</v>
      </c>
      <c r="S1581" t="s">
        <v>97</v>
      </c>
      <c r="T1581" s="5">
        <f>data_origin!T1798</f>
        <v>0</v>
      </c>
      <c r="U1581" s="5">
        <f>data_origin!U1798</f>
        <v>0</v>
      </c>
      <c r="V1581" s="5">
        <f>data_origin!V1798</f>
        <v>0</v>
      </c>
      <c r="W1581" s="5">
        <f>data_origin!W1798</f>
        <v>0</v>
      </c>
      <c r="X1581" s="5">
        <f>data_origin!X1798</f>
        <v>0</v>
      </c>
      <c r="Y1581" s="5">
        <f>data_origin!Y1798</f>
        <v>0</v>
      </c>
      <c r="Z1581" s="5">
        <f>data_origin!Z1798</f>
        <v>0</v>
      </c>
      <c r="AA1581" s="5">
        <f>data_origin!AA1798</f>
        <v>0</v>
      </c>
      <c r="AB1581" s="5">
        <f t="shared" si="164"/>
        <v>0</v>
      </c>
    </row>
    <row r="1582" spans="4:28" x14ac:dyDescent="0.25">
      <c r="D1582" t="s">
        <v>98</v>
      </c>
      <c r="E1582" s="38">
        <f t="shared" si="166"/>
        <v>0</v>
      </c>
      <c r="F1582" s="38">
        <f t="shared" si="166"/>
        <v>0</v>
      </c>
      <c r="G1582" s="38">
        <f t="shared" si="166"/>
        <v>1.0139234456837438</v>
      </c>
      <c r="H1582" s="38">
        <f t="shared" si="166"/>
        <v>0</v>
      </c>
      <c r="I1582" s="38">
        <f t="shared" si="166"/>
        <v>0</v>
      </c>
      <c r="J1582" s="38">
        <f t="shared" si="168"/>
        <v>0</v>
      </c>
      <c r="K1582" s="38">
        <f t="shared" si="168"/>
        <v>0</v>
      </c>
      <c r="L1582" s="38">
        <f t="shared" si="168"/>
        <v>0</v>
      </c>
      <c r="M1582" s="35">
        <f t="shared" si="167"/>
        <v>1.0139234456837438</v>
      </c>
      <c r="S1582" t="s">
        <v>98</v>
      </c>
      <c r="T1582" s="5">
        <f>data_origin!T1799</f>
        <v>0</v>
      </c>
      <c r="U1582" s="5">
        <f>data_origin!U1799</f>
        <v>0</v>
      </c>
      <c r="V1582" s="5">
        <f>data_origin!V1799</f>
        <v>1</v>
      </c>
      <c r="W1582" s="5">
        <f>data_origin!W1799</f>
        <v>0</v>
      </c>
      <c r="X1582" s="5">
        <f>data_origin!X1799</f>
        <v>0</v>
      </c>
      <c r="Y1582" s="5">
        <f>data_origin!Y1799</f>
        <v>0</v>
      </c>
      <c r="Z1582" s="5">
        <f>data_origin!Z1799</f>
        <v>0</v>
      </c>
      <c r="AA1582" s="5">
        <f>data_origin!AA1799</f>
        <v>0</v>
      </c>
      <c r="AB1582" s="5">
        <f t="shared" si="164"/>
        <v>1</v>
      </c>
    </row>
    <row r="1583" spans="4:28" x14ac:dyDescent="0.25">
      <c r="D1583" t="s">
        <v>119</v>
      </c>
      <c r="E1583" s="38">
        <f t="shared" si="166"/>
        <v>0</v>
      </c>
      <c r="F1583" s="38">
        <f t="shared" si="166"/>
        <v>0</v>
      </c>
      <c r="G1583" s="38">
        <f t="shared" si="166"/>
        <v>0</v>
      </c>
      <c r="H1583" s="38">
        <f t="shared" si="166"/>
        <v>0</v>
      </c>
      <c r="I1583" s="38">
        <f t="shared" si="166"/>
        <v>0</v>
      </c>
      <c r="J1583" s="38">
        <f t="shared" si="168"/>
        <v>0</v>
      </c>
      <c r="K1583" s="38">
        <f t="shared" si="168"/>
        <v>0</v>
      </c>
      <c r="L1583" s="38">
        <f t="shared" si="168"/>
        <v>0</v>
      </c>
      <c r="M1583" s="35">
        <f t="shared" si="167"/>
        <v>0</v>
      </c>
      <c r="S1583" t="s">
        <v>119</v>
      </c>
      <c r="T1583" s="5">
        <f>data_origin!T1800</f>
        <v>0</v>
      </c>
      <c r="U1583" s="5">
        <f>data_origin!U1800</f>
        <v>0</v>
      </c>
      <c r="V1583" s="5">
        <f>data_origin!V1800</f>
        <v>0</v>
      </c>
      <c r="W1583" s="5">
        <f>data_origin!W1800</f>
        <v>0</v>
      </c>
      <c r="X1583" s="5">
        <f>data_origin!X1800</f>
        <v>0</v>
      </c>
      <c r="Y1583" s="5">
        <f>data_origin!Y1800</f>
        <v>0</v>
      </c>
      <c r="Z1583" s="5">
        <f>data_origin!Z1800</f>
        <v>0</v>
      </c>
      <c r="AA1583" s="5">
        <f>data_origin!AA1800</f>
        <v>0</v>
      </c>
      <c r="AB1583" s="5">
        <f t="shared" ref="AB1583:AB1646" si="169">SUM(T1583:AA1583)</f>
        <v>0</v>
      </c>
    </row>
    <row r="1584" spans="4:28" x14ac:dyDescent="0.25">
      <c r="D1584" t="s">
        <v>99</v>
      </c>
      <c r="E1584" s="38">
        <f t="shared" si="166"/>
        <v>0</v>
      </c>
      <c r="F1584" s="38">
        <f t="shared" si="166"/>
        <v>0</v>
      </c>
      <c r="G1584" s="38">
        <f t="shared" si="166"/>
        <v>0</v>
      </c>
      <c r="H1584" s="38">
        <f t="shared" si="166"/>
        <v>0</v>
      </c>
      <c r="I1584" s="38">
        <f t="shared" si="166"/>
        <v>0</v>
      </c>
      <c r="J1584" s="38">
        <f t="shared" si="168"/>
        <v>0</v>
      </c>
      <c r="K1584" s="38">
        <f t="shared" si="168"/>
        <v>0</v>
      </c>
      <c r="L1584" s="38">
        <f t="shared" si="168"/>
        <v>0</v>
      </c>
      <c r="M1584" s="35">
        <f t="shared" si="167"/>
        <v>0</v>
      </c>
      <c r="S1584" t="s">
        <v>99</v>
      </c>
      <c r="T1584" s="5">
        <f>data_origin!T1801</f>
        <v>0</v>
      </c>
      <c r="U1584" s="5">
        <f>data_origin!U1801</f>
        <v>0</v>
      </c>
      <c r="V1584" s="5">
        <f>data_origin!V1801</f>
        <v>0</v>
      </c>
      <c r="W1584" s="5">
        <f>data_origin!W1801</f>
        <v>0</v>
      </c>
      <c r="X1584" s="5">
        <f>data_origin!X1801</f>
        <v>0</v>
      </c>
      <c r="Y1584" s="5">
        <f>data_origin!Y1801</f>
        <v>0</v>
      </c>
      <c r="Z1584" s="5">
        <f>data_origin!Z1801</f>
        <v>0</v>
      </c>
      <c r="AA1584" s="5">
        <f>data_origin!AA1801</f>
        <v>0</v>
      </c>
      <c r="AB1584" s="5">
        <f t="shared" si="169"/>
        <v>0</v>
      </c>
    </row>
    <row r="1585" spans="1:28" x14ac:dyDescent="0.25">
      <c r="D1585" t="s">
        <v>100</v>
      </c>
      <c r="E1585" s="38">
        <f t="shared" si="166"/>
        <v>0</v>
      </c>
      <c r="F1585" s="38">
        <f t="shared" si="166"/>
        <v>0</v>
      </c>
      <c r="G1585" s="38">
        <f t="shared" si="166"/>
        <v>0</v>
      </c>
      <c r="H1585" s="38">
        <f t="shared" si="166"/>
        <v>1.017541114465665</v>
      </c>
      <c r="I1585" s="38">
        <f t="shared" si="166"/>
        <v>0</v>
      </c>
      <c r="J1585" s="38">
        <f t="shared" si="168"/>
        <v>0</v>
      </c>
      <c r="K1585" s="38">
        <f t="shared" si="168"/>
        <v>0</v>
      </c>
      <c r="L1585" s="38">
        <f t="shared" si="168"/>
        <v>0</v>
      </c>
      <c r="M1585" s="35">
        <f t="shared" si="167"/>
        <v>1.017541114465665</v>
      </c>
      <c r="S1585" t="s">
        <v>100</v>
      </c>
      <c r="T1585" s="5">
        <f>data_origin!T1802</f>
        <v>0</v>
      </c>
      <c r="U1585" s="5">
        <f>data_origin!U1802</f>
        <v>0</v>
      </c>
      <c r="V1585" s="5">
        <f>data_origin!V1802</f>
        <v>0</v>
      </c>
      <c r="W1585" s="5">
        <f>data_origin!W1802</f>
        <v>1</v>
      </c>
      <c r="X1585" s="5">
        <f>data_origin!X1802</f>
        <v>0</v>
      </c>
      <c r="Y1585" s="5">
        <f>data_origin!Y1802</f>
        <v>0</v>
      </c>
      <c r="Z1585" s="5">
        <f>data_origin!Z1802</f>
        <v>0</v>
      </c>
      <c r="AA1585" s="5">
        <f>data_origin!AA1802</f>
        <v>0</v>
      </c>
      <c r="AB1585" s="5">
        <f t="shared" si="169"/>
        <v>1</v>
      </c>
    </row>
    <row r="1586" spans="1:28" x14ac:dyDescent="0.25">
      <c r="D1586" t="s">
        <v>101</v>
      </c>
      <c r="E1586" s="38">
        <f t="shared" si="166"/>
        <v>0</v>
      </c>
      <c r="F1586" s="38">
        <f t="shared" si="166"/>
        <v>0</v>
      </c>
      <c r="G1586" s="38">
        <f t="shared" si="166"/>
        <v>0</v>
      </c>
      <c r="H1586" s="38">
        <f t="shared" si="166"/>
        <v>0</v>
      </c>
      <c r="I1586" s="38">
        <f t="shared" si="166"/>
        <v>0</v>
      </c>
      <c r="J1586" s="38">
        <f t="shared" si="168"/>
        <v>0</v>
      </c>
      <c r="K1586" s="38">
        <f t="shared" si="168"/>
        <v>0</v>
      </c>
      <c r="L1586" s="38">
        <f t="shared" si="168"/>
        <v>0</v>
      </c>
      <c r="M1586" s="35">
        <f t="shared" si="167"/>
        <v>0</v>
      </c>
      <c r="S1586" t="s">
        <v>101</v>
      </c>
      <c r="T1586" s="5">
        <f>data_origin!T1803</f>
        <v>0</v>
      </c>
      <c r="U1586" s="5">
        <f>data_origin!U1803</f>
        <v>0</v>
      </c>
      <c r="V1586" s="5">
        <f>data_origin!V1803</f>
        <v>0</v>
      </c>
      <c r="W1586" s="5">
        <f>data_origin!W1803</f>
        <v>0</v>
      </c>
      <c r="X1586" s="5">
        <f>data_origin!X1803</f>
        <v>0</v>
      </c>
      <c r="Y1586" s="5">
        <f>data_origin!Y1803</f>
        <v>0</v>
      </c>
      <c r="Z1586" s="5">
        <f>data_origin!Z1803</f>
        <v>0</v>
      </c>
      <c r="AA1586" s="5">
        <f>data_origin!AA1803</f>
        <v>0</v>
      </c>
      <c r="AB1586" s="5">
        <f t="shared" si="169"/>
        <v>0</v>
      </c>
    </row>
    <row r="1587" spans="1:28" x14ac:dyDescent="0.25">
      <c r="A1587" s="24" t="s">
        <v>115</v>
      </c>
      <c r="B1587" s="24" t="s">
        <v>116</v>
      </c>
      <c r="C1587" s="24" t="s">
        <v>113</v>
      </c>
      <c r="D1587" t="s">
        <v>70</v>
      </c>
      <c r="E1587" s="38">
        <f t="shared" si="166"/>
        <v>0</v>
      </c>
      <c r="F1587" s="38">
        <f t="shared" si="166"/>
        <v>0</v>
      </c>
      <c r="G1587" s="38">
        <f t="shared" si="166"/>
        <v>6.1027983202537696E-2</v>
      </c>
      <c r="H1587" s="38">
        <f t="shared" si="166"/>
        <v>3.083457922623228E-2</v>
      </c>
      <c r="I1587" s="38">
        <f t="shared" si="166"/>
        <v>0</v>
      </c>
      <c r="J1587" s="38">
        <f t="shared" si="168"/>
        <v>0</v>
      </c>
      <c r="K1587" s="38">
        <f t="shared" si="168"/>
        <v>0</v>
      </c>
      <c r="L1587" s="38">
        <f t="shared" si="168"/>
        <v>0</v>
      </c>
      <c r="M1587" s="35">
        <f t="shared" si="167"/>
        <v>9.1862562428769973E-2</v>
      </c>
      <c r="P1587" t="s">
        <v>115</v>
      </c>
      <c r="Q1587" t="s">
        <v>116</v>
      </c>
      <c r="R1587" t="s">
        <v>113</v>
      </c>
      <c r="S1587" t="s">
        <v>70</v>
      </c>
      <c r="T1587" s="5">
        <f>data_origin!T1805</f>
        <v>0</v>
      </c>
      <c r="U1587" s="5">
        <f>data_origin!U1805</f>
        <v>0</v>
      </c>
      <c r="V1587" s="5">
        <f>data_origin!V1805</f>
        <v>3.0303030303030304E-2</v>
      </c>
      <c r="W1587" s="5">
        <f>data_origin!W1805</f>
        <v>3.0303030303030304E-2</v>
      </c>
      <c r="X1587" s="5">
        <f>data_origin!X1805</f>
        <v>0</v>
      </c>
      <c r="Y1587" s="5">
        <f>data_origin!Y1805</f>
        <v>0</v>
      </c>
      <c r="Z1587" s="5">
        <f>data_origin!Z1805</f>
        <v>0</v>
      </c>
      <c r="AA1587" s="5">
        <f>data_origin!AA1805</f>
        <v>0</v>
      </c>
      <c r="AB1587" s="5">
        <f t="shared" si="169"/>
        <v>6.0606060606060608E-2</v>
      </c>
    </row>
    <row r="1588" spans="1:28" x14ac:dyDescent="0.25">
      <c r="D1588" t="s">
        <v>71</v>
      </c>
      <c r="E1588" s="38">
        <f t="shared" si="166"/>
        <v>0</v>
      </c>
      <c r="F1588" s="38">
        <f t="shared" si="166"/>
        <v>0</v>
      </c>
      <c r="G1588" s="38">
        <f t="shared" si="166"/>
        <v>6.1027983202537696E-2</v>
      </c>
      <c r="H1588" s="38">
        <f t="shared" si="166"/>
        <v>3.083457922623228E-2</v>
      </c>
      <c r="I1588" s="38">
        <f t="shared" si="166"/>
        <v>0</v>
      </c>
      <c r="J1588" s="38">
        <f t="shared" si="168"/>
        <v>0</v>
      </c>
      <c r="K1588" s="38">
        <f t="shared" si="168"/>
        <v>0</v>
      </c>
      <c r="L1588" s="38">
        <f t="shared" si="168"/>
        <v>0</v>
      </c>
      <c r="M1588" s="35">
        <f t="shared" si="167"/>
        <v>9.1862562428769973E-2</v>
      </c>
      <c r="S1588" t="s">
        <v>71</v>
      </c>
      <c r="T1588" s="5">
        <f>data_origin!T1806</f>
        <v>0</v>
      </c>
      <c r="U1588" s="5">
        <f>data_origin!U1806</f>
        <v>0</v>
      </c>
      <c r="V1588" s="5">
        <f>data_origin!V1806</f>
        <v>3.0303030303030304E-2</v>
      </c>
      <c r="W1588" s="5">
        <f>data_origin!W1806</f>
        <v>3.0303030303030304E-2</v>
      </c>
      <c r="X1588" s="5">
        <f>data_origin!X1806</f>
        <v>0</v>
      </c>
      <c r="Y1588" s="5">
        <f>data_origin!Y1806</f>
        <v>0</v>
      </c>
      <c r="Z1588" s="5">
        <f>data_origin!Z1806</f>
        <v>0</v>
      </c>
      <c r="AA1588" s="5">
        <f>data_origin!AA1806</f>
        <v>0</v>
      </c>
      <c r="AB1588" s="5">
        <f t="shared" si="169"/>
        <v>6.0606060606060608E-2</v>
      </c>
    </row>
    <row r="1589" spans="1:28" x14ac:dyDescent="0.25">
      <c r="D1589" t="s">
        <v>72</v>
      </c>
      <c r="E1589" s="38">
        <f t="shared" ref="E1589:I1639" si="170">T1589+AW335+IFERROR((T1589/SUM(T$993:T$1982)*AW$630),0)+IFERROR((T1589/SUM(T$1125:T$1322,T$1455:T$1652,T$1785:T$1982)*AW$732),0)</f>
        <v>0</v>
      </c>
      <c r="F1589" s="38">
        <f t="shared" si="170"/>
        <v>0</v>
      </c>
      <c r="G1589" s="38">
        <f t="shared" si="170"/>
        <v>6.1027983202537696E-2</v>
      </c>
      <c r="H1589" s="38">
        <f t="shared" si="170"/>
        <v>3.083457922623228E-2</v>
      </c>
      <c r="I1589" s="38">
        <f t="shared" si="170"/>
        <v>0</v>
      </c>
      <c r="J1589" s="38">
        <f t="shared" si="168"/>
        <v>0</v>
      </c>
      <c r="K1589" s="38">
        <f t="shared" si="168"/>
        <v>0</v>
      </c>
      <c r="L1589" s="38">
        <f t="shared" si="168"/>
        <v>0</v>
      </c>
      <c r="M1589" s="35">
        <f t="shared" si="167"/>
        <v>9.1862562428769973E-2</v>
      </c>
      <c r="S1589" t="s">
        <v>72</v>
      </c>
      <c r="T1589" s="5">
        <f>data_origin!T1807</f>
        <v>0</v>
      </c>
      <c r="U1589" s="5">
        <f>data_origin!U1807</f>
        <v>0</v>
      </c>
      <c r="V1589" s="5">
        <f>data_origin!V1807</f>
        <v>3.0303030303030304E-2</v>
      </c>
      <c r="W1589" s="5">
        <f>data_origin!W1807</f>
        <v>3.0303030303030304E-2</v>
      </c>
      <c r="X1589" s="5">
        <f>data_origin!X1807</f>
        <v>0</v>
      </c>
      <c r="Y1589" s="5">
        <f>data_origin!Y1807</f>
        <v>0</v>
      </c>
      <c r="Z1589" s="5">
        <f>data_origin!Z1807</f>
        <v>0</v>
      </c>
      <c r="AA1589" s="5">
        <f>data_origin!AA1807</f>
        <v>0</v>
      </c>
      <c r="AB1589" s="5">
        <f t="shared" si="169"/>
        <v>6.0606060606060608E-2</v>
      </c>
    </row>
    <row r="1590" spans="1:28" x14ac:dyDescent="0.25">
      <c r="D1590" t="s">
        <v>73</v>
      </c>
      <c r="E1590" s="38">
        <f t="shared" si="170"/>
        <v>0</v>
      </c>
      <c r="F1590" s="38">
        <f t="shared" si="170"/>
        <v>0</v>
      </c>
      <c r="G1590" s="38">
        <f t="shared" si="170"/>
        <v>6.1027983202537696E-2</v>
      </c>
      <c r="H1590" s="38">
        <f t="shared" si="170"/>
        <v>3.083457922623228E-2</v>
      </c>
      <c r="I1590" s="38">
        <f t="shared" si="170"/>
        <v>0</v>
      </c>
      <c r="J1590" s="38">
        <f t="shared" si="168"/>
        <v>0</v>
      </c>
      <c r="K1590" s="38">
        <f t="shared" si="168"/>
        <v>0</v>
      </c>
      <c r="L1590" s="38">
        <f t="shared" si="168"/>
        <v>0</v>
      </c>
      <c r="M1590" s="35">
        <f t="shared" si="167"/>
        <v>9.1862562428769973E-2</v>
      </c>
      <c r="S1590" t="s">
        <v>73</v>
      </c>
      <c r="T1590" s="5">
        <f>data_origin!T1808</f>
        <v>0</v>
      </c>
      <c r="U1590" s="5">
        <f>data_origin!U1808</f>
        <v>0</v>
      </c>
      <c r="V1590" s="5">
        <f>data_origin!V1808</f>
        <v>3.0303030303030304E-2</v>
      </c>
      <c r="W1590" s="5">
        <f>data_origin!W1808</f>
        <v>3.0303030303030304E-2</v>
      </c>
      <c r="X1590" s="5">
        <f>data_origin!X1808</f>
        <v>0</v>
      </c>
      <c r="Y1590" s="5">
        <f>data_origin!Y1808</f>
        <v>0</v>
      </c>
      <c r="Z1590" s="5">
        <f>data_origin!Z1808</f>
        <v>0</v>
      </c>
      <c r="AA1590" s="5">
        <f>data_origin!AA1808</f>
        <v>0</v>
      </c>
      <c r="AB1590" s="5">
        <f t="shared" si="169"/>
        <v>6.0606060606060608E-2</v>
      </c>
    </row>
    <row r="1591" spans="1:28" x14ac:dyDescent="0.25">
      <c r="D1591" t="s">
        <v>74</v>
      </c>
      <c r="E1591" s="38">
        <f t="shared" si="170"/>
        <v>0</v>
      </c>
      <c r="F1591" s="38">
        <f t="shared" si="170"/>
        <v>0</v>
      </c>
      <c r="G1591" s="38">
        <f t="shared" si="170"/>
        <v>6.1027983202537696E-2</v>
      </c>
      <c r="H1591" s="38">
        <f t="shared" si="170"/>
        <v>3.083457922623228E-2</v>
      </c>
      <c r="I1591" s="38">
        <f t="shared" si="170"/>
        <v>0</v>
      </c>
      <c r="J1591" s="38">
        <f t="shared" si="168"/>
        <v>0</v>
      </c>
      <c r="K1591" s="38">
        <f t="shared" si="168"/>
        <v>0</v>
      </c>
      <c r="L1591" s="38">
        <f t="shared" si="168"/>
        <v>0</v>
      </c>
      <c r="M1591" s="35">
        <f t="shared" si="167"/>
        <v>9.1862562428769973E-2</v>
      </c>
      <c r="S1591" t="s">
        <v>74</v>
      </c>
      <c r="T1591" s="5">
        <f>data_origin!T1809</f>
        <v>0</v>
      </c>
      <c r="U1591" s="5">
        <f>data_origin!U1809</f>
        <v>0</v>
      </c>
      <c r="V1591" s="5">
        <f>data_origin!V1809</f>
        <v>3.0303030303030304E-2</v>
      </c>
      <c r="W1591" s="5">
        <f>data_origin!W1809</f>
        <v>3.0303030303030304E-2</v>
      </c>
      <c r="X1591" s="5">
        <f>data_origin!X1809</f>
        <v>0</v>
      </c>
      <c r="Y1591" s="5">
        <f>data_origin!Y1809</f>
        <v>0</v>
      </c>
      <c r="Z1591" s="5">
        <f>data_origin!Z1809</f>
        <v>0</v>
      </c>
      <c r="AA1591" s="5">
        <f>data_origin!AA1809</f>
        <v>0</v>
      </c>
      <c r="AB1591" s="5">
        <f t="shared" si="169"/>
        <v>6.0606060606060608E-2</v>
      </c>
    </row>
    <row r="1592" spans="1:28" x14ac:dyDescent="0.25">
      <c r="D1592" t="s">
        <v>75</v>
      </c>
      <c r="E1592" s="38">
        <f t="shared" si="170"/>
        <v>0</v>
      </c>
      <c r="F1592" s="38">
        <f t="shared" si="170"/>
        <v>0</v>
      </c>
      <c r="G1592" s="38">
        <f t="shared" si="170"/>
        <v>6.1027983202537696E-2</v>
      </c>
      <c r="H1592" s="38">
        <f t="shared" si="170"/>
        <v>3.083457922623228E-2</v>
      </c>
      <c r="I1592" s="38">
        <f t="shared" si="170"/>
        <v>0</v>
      </c>
      <c r="J1592" s="38">
        <f t="shared" si="168"/>
        <v>0</v>
      </c>
      <c r="K1592" s="38">
        <f t="shared" si="168"/>
        <v>0</v>
      </c>
      <c r="L1592" s="38">
        <f t="shared" si="168"/>
        <v>0</v>
      </c>
      <c r="M1592" s="35">
        <f t="shared" si="167"/>
        <v>9.1862562428769973E-2</v>
      </c>
      <c r="S1592" t="s">
        <v>75</v>
      </c>
      <c r="T1592" s="5">
        <f>data_origin!T1810</f>
        <v>0</v>
      </c>
      <c r="U1592" s="5">
        <f>data_origin!U1810</f>
        <v>0</v>
      </c>
      <c r="V1592" s="5">
        <f>data_origin!V1810</f>
        <v>3.0303030303030304E-2</v>
      </c>
      <c r="W1592" s="5">
        <f>data_origin!W1810</f>
        <v>3.0303030303030304E-2</v>
      </c>
      <c r="X1592" s="5">
        <f>data_origin!X1810</f>
        <v>0</v>
      </c>
      <c r="Y1592" s="5">
        <f>data_origin!Y1810</f>
        <v>0</v>
      </c>
      <c r="Z1592" s="5">
        <f>data_origin!Z1810</f>
        <v>0</v>
      </c>
      <c r="AA1592" s="5">
        <f>data_origin!AA1810</f>
        <v>0</v>
      </c>
      <c r="AB1592" s="5">
        <f t="shared" si="169"/>
        <v>6.0606060606060608E-2</v>
      </c>
    </row>
    <row r="1593" spans="1:28" x14ac:dyDescent="0.25">
      <c r="D1593" t="s">
        <v>76</v>
      </c>
      <c r="E1593" s="38">
        <f t="shared" si="170"/>
        <v>0</v>
      </c>
      <c r="F1593" s="38">
        <f t="shared" si="170"/>
        <v>0</v>
      </c>
      <c r="G1593" s="38">
        <f t="shared" si="170"/>
        <v>6.1027983202537696E-2</v>
      </c>
      <c r="H1593" s="38">
        <f t="shared" si="170"/>
        <v>3.083457922623228E-2</v>
      </c>
      <c r="I1593" s="38">
        <f t="shared" si="170"/>
        <v>0</v>
      </c>
      <c r="J1593" s="38">
        <f t="shared" si="168"/>
        <v>0</v>
      </c>
      <c r="K1593" s="38">
        <f t="shared" si="168"/>
        <v>0</v>
      </c>
      <c r="L1593" s="38">
        <f t="shared" si="168"/>
        <v>0</v>
      </c>
      <c r="M1593" s="35">
        <f t="shared" si="167"/>
        <v>9.1862562428769973E-2</v>
      </c>
      <c r="S1593" t="s">
        <v>76</v>
      </c>
      <c r="T1593" s="5">
        <f>data_origin!T1811</f>
        <v>0</v>
      </c>
      <c r="U1593" s="5">
        <f>data_origin!U1811</f>
        <v>0</v>
      </c>
      <c r="V1593" s="5">
        <f>data_origin!V1811</f>
        <v>3.0303030303030304E-2</v>
      </c>
      <c r="W1593" s="5">
        <f>data_origin!W1811</f>
        <v>3.0303030303030304E-2</v>
      </c>
      <c r="X1593" s="5">
        <f>data_origin!X1811</f>
        <v>0</v>
      </c>
      <c r="Y1593" s="5">
        <f>data_origin!Y1811</f>
        <v>0</v>
      </c>
      <c r="Z1593" s="5">
        <f>data_origin!Z1811</f>
        <v>0</v>
      </c>
      <c r="AA1593" s="5">
        <f>data_origin!AA1811</f>
        <v>0</v>
      </c>
      <c r="AB1593" s="5">
        <f t="shared" si="169"/>
        <v>6.0606060606060608E-2</v>
      </c>
    </row>
    <row r="1594" spans="1:28" x14ac:dyDescent="0.25">
      <c r="D1594" t="s">
        <v>77</v>
      </c>
      <c r="E1594" s="38">
        <f t="shared" si="170"/>
        <v>0</v>
      </c>
      <c r="F1594" s="38">
        <f t="shared" si="170"/>
        <v>0</v>
      </c>
      <c r="G1594" s="38">
        <f t="shared" si="170"/>
        <v>6.1027983202537696E-2</v>
      </c>
      <c r="H1594" s="38">
        <f t="shared" si="170"/>
        <v>3.083457922623228E-2</v>
      </c>
      <c r="I1594" s="38">
        <f t="shared" si="170"/>
        <v>0</v>
      </c>
      <c r="J1594" s="38">
        <f t="shared" si="168"/>
        <v>0</v>
      </c>
      <c r="K1594" s="38">
        <f t="shared" si="168"/>
        <v>0</v>
      </c>
      <c r="L1594" s="38">
        <f t="shared" si="168"/>
        <v>0</v>
      </c>
      <c r="M1594" s="35">
        <f t="shared" si="167"/>
        <v>9.1862562428769973E-2</v>
      </c>
      <c r="S1594" t="s">
        <v>77</v>
      </c>
      <c r="T1594" s="5">
        <f>data_origin!T1812</f>
        <v>0</v>
      </c>
      <c r="U1594" s="5">
        <f>data_origin!U1812</f>
        <v>0</v>
      </c>
      <c r="V1594" s="5">
        <f>data_origin!V1812</f>
        <v>3.0303030303030304E-2</v>
      </c>
      <c r="W1594" s="5">
        <f>data_origin!W1812</f>
        <v>3.0303030303030304E-2</v>
      </c>
      <c r="X1594" s="5">
        <f>data_origin!X1812</f>
        <v>0</v>
      </c>
      <c r="Y1594" s="5">
        <f>data_origin!Y1812</f>
        <v>0</v>
      </c>
      <c r="Z1594" s="5">
        <f>data_origin!Z1812</f>
        <v>0</v>
      </c>
      <c r="AA1594" s="5">
        <f>data_origin!AA1812</f>
        <v>0</v>
      </c>
      <c r="AB1594" s="5">
        <f t="shared" si="169"/>
        <v>6.0606060606060608E-2</v>
      </c>
    </row>
    <row r="1595" spans="1:28" x14ac:dyDescent="0.25">
      <c r="D1595" t="s">
        <v>78</v>
      </c>
      <c r="E1595" s="38">
        <f t="shared" si="170"/>
        <v>0</v>
      </c>
      <c r="F1595" s="38">
        <f t="shared" si="170"/>
        <v>0</v>
      </c>
      <c r="G1595" s="38">
        <f t="shared" si="170"/>
        <v>6.1027983202537696E-2</v>
      </c>
      <c r="H1595" s="38">
        <f t="shared" si="170"/>
        <v>3.083457922623228E-2</v>
      </c>
      <c r="I1595" s="38">
        <f t="shared" si="170"/>
        <v>0</v>
      </c>
      <c r="J1595" s="38">
        <f t="shared" si="168"/>
        <v>0</v>
      </c>
      <c r="K1595" s="38">
        <f t="shared" si="168"/>
        <v>0</v>
      </c>
      <c r="L1595" s="38">
        <f t="shared" si="168"/>
        <v>0</v>
      </c>
      <c r="M1595" s="35">
        <f t="shared" si="167"/>
        <v>9.1862562428769973E-2</v>
      </c>
      <c r="S1595" t="s">
        <v>78</v>
      </c>
      <c r="T1595" s="5">
        <f>data_origin!T1813</f>
        <v>0</v>
      </c>
      <c r="U1595" s="5">
        <f>data_origin!U1813</f>
        <v>0</v>
      </c>
      <c r="V1595" s="5">
        <f>data_origin!V1813</f>
        <v>3.0303030303030304E-2</v>
      </c>
      <c r="W1595" s="5">
        <f>data_origin!W1813</f>
        <v>3.0303030303030304E-2</v>
      </c>
      <c r="X1595" s="5">
        <f>data_origin!X1813</f>
        <v>0</v>
      </c>
      <c r="Y1595" s="5">
        <f>data_origin!Y1813</f>
        <v>0</v>
      </c>
      <c r="Z1595" s="5">
        <f>data_origin!Z1813</f>
        <v>0</v>
      </c>
      <c r="AA1595" s="5">
        <f>data_origin!AA1813</f>
        <v>0</v>
      </c>
      <c r="AB1595" s="5">
        <f t="shared" si="169"/>
        <v>6.0606060606060608E-2</v>
      </c>
    </row>
    <row r="1596" spans="1:28" x14ac:dyDescent="0.25">
      <c r="D1596" t="s">
        <v>79</v>
      </c>
      <c r="E1596" s="38">
        <f t="shared" si="170"/>
        <v>0</v>
      </c>
      <c r="F1596" s="38">
        <f t="shared" si="170"/>
        <v>0</v>
      </c>
      <c r="G1596" s="38">
        <f t="shared" si="170"/>
        <v>6.1027983202537696E-2</v>
      </c>
      <c r="H1596" s="38">
        <f t="shared" si="170"/>
        <v>3.083457922623228E-2</v>
      </c>
      <c r="I1596" s="38">
        <f t="shared" si="170"/>
        <v>0</v>
      </c>
      <c r="J1596" s="38">
        <f t="shared" si="168"/>
        <v>0</v>
      </c>
      <c r="K1596" s="38">
        <f t="shared" si="168"/>
        <v>0</v>
      </c>
      <c r="L1596" s="38">
        <f t="shared" si="168"/>
        <v>0</v>
      </c>
      <c r="M1596" s="35">
        <f t="shared" si="167"/>
        <v>9.1862562428769973E-2</v>
      </c>
      <c r="S1596" t="s">
        <v>79</v>
      </c>
      <c r="T1596" s="5">
        <f>data_origin!T1814</f>
        <v>0</v>
      </c>
      <c r="U1596" s="5">
        <f>data_origin!U1814</f>
        <v>0</v>
      </c>
      <c r="V1596" s="5">
        <f>data_origin!V1814</f>
        <v>3.0303030303030304E-2</v>
      </c>
      <c r="W1596" s="5">
        <f>data_origin!W1814</f>
        <v>3.0303030303030304E-2</v>
      </c>
      <c r="X1596" s="5">
        <f>data_origin!X1814</f>
        <v>0</v>
      </c>
      <c r="Y1596" s="5">
        <f>data_origin!Y1814</f>
        <v>0</v>
      </c>
      <c r="Z1596" s="5">
        <f>data_origin!Z1814</f>
        <v>0</v>
      </c>
      <c r="AA1596" s="5">
        <f>data_origin!AA1814</f>
        <v>0</v>
      </c>
      <c r="AB1596" s="5">
        <f t="shared" si="169"/>
        <v>6.0606060606060608E-2</v>
      </c>
    </row>
    <row r="1597" spans="1:28" x14ac:dyDescent="0.25">
      <c r="D1597" t="s">
        <v>80</v>
      </c>
      <c r="E1597" s="38">
        <f t="shared" si="170"/>
        <v>0</v>
      </c>
      <c r="F1597" s="38">
        <f t="shared" si="170"/>
        <v>0</v>
      </c>
      <c r="G1597" s="38">
        <f t="shared" si="170"/>
        <v>6.1027983202537696E-2</v>
      </c>
      <c r="H1597" s="38">
        <f t="shared" si="170"/>
        <v>3.083457922623228E-2</v>
      </c>
      <c r="I1597" s="38">
        <f t="shared" si="170"/>
        <v>0</v>
      </c>
      <c r="J1597" s="38">
        <f t="shared" si="168"/>
        <v>0</v>
      </c>
      <c r="K1597" s="38">
        <f t="shared" si="168"/>
        <v>0</v>
      </c>
      <c r="L1597" s="38">
        <f t="shared" si="168"/>
        <v>0</v>
      </c>
      <c r="M1597" s="35">
        <f t="shared" si="167"/>
        <v>9.1862562428769973E-2</v>
      </c>
      <c r="S1597" t="s">
        <v>80</v>
      </c>
      <c r="T1597" s="5">
        <f>data_origin!T1815</f>
        <v>0</v>
      </c>
      <c r="U1597" s="5">
        <f>data_origin!U1815</f>
        <v>0</v>
      </c>
      <c r="V1597" s="5">
        <f>data_origin!V1815</f>
        <v>3.0303030303030304E-2</v>
      </c>
      <c r="W1597" s="5">
        <f>data_origin!W1815</f>
        <v>3.0303030303030304E-2</v>
      </c>
      <c r="X1597" s="5">
        <f>data_origin!X1815</f>
        <v>0</v>
      </c>
      <c r="Y1597" s="5">
        <f>data_origin!Y1815</f>
        <v>0</v>
      </c>
      <c r="Z1597" s="5">
        <f>data_origin!Z1815</f>
        <v>0</v>
      </c>
      <c r="AA1597" s="5">
        <f>data_origin!AA1815</f>
        <v>0</v>
      </c>
      <c r="AB1597" s="5">
        <f t="shared" si="169"/>
        <v>6.0606060606060608E-2</v>
      </c>
    </row>
    <row r="1598" spans="1:28" x14ac:dyDescent="0.25">
      <c r="D1598" t="s">
        <v>81</v>
      </c>
      <c r="E1598" s="38">
        <f t="shared" si="170"/>
        <v>0</v>
      </c>
      <c r="F1598" s="38">
        <f t="shared" si="170"/>
        <v>0</v>
      </c>
      <c r="G1598" s="38">
        <f t="shared" si="170"/>
        <v>6.1027983202537696E-2</v>
      </c>
      <c r="H1598" s="38">
        <f t="shared" si="170"/>
        <v>3.083457922623228E-2</v>
      </c>
      <c r="I1598" s="38">
        <f t="shared" si="170"/>
        <v>0</v>
      </c>
      <c r="J1598" s="38">
        <f t="shared" si="168"/>
        <v>0</v>
      </c>
      <c r="K1598" s="38">
        <f t="shared" si="168"/>
        <v>0</v>
      </c>
      <c r="L1598" s="38">
        <f t="shared" si="168"/>
        <v>0</v>
      </c>
      <c r="M1598" s="35">
        <f t="shared" si="167"/>
        <v>9.1862562428769973E-2</v>
      </c>
      <c r="S1598" t="s">
        <v>81</v>
      </c>
      <c r="T1598" s="5">
        <f>data_origin!T1816</f>
        <v>0</v>
      </c>
      <c r="U1598" s="5">
        <f>data_origin!U1816</f>
        <v>0</v>
      </c>
      <c r="V1598" s="5">
        <f>data_origin!V1816</f>
        <v>3.0303030303030304E-2</v>
      </c>
      <c r="W1598" s="5">
        <f>data_origin!W1816</f>
        <v>3.0303030303030304E-2</v>
      </c>
      <c r="X1598" s="5">
        <f>data_origin!X1816</f>
        <v>0</v>
      </c>
      <c r="Y1598" s="5">
        <f>data_origin!Y1816</f>
        <v>0</v>
      </c>
      <c r="Z1598" s="5">
        <f>data_origin!Z1816</f>
        <v>0</v>
      </c>
      <c r="AA1598" s="5">
        <f>data_origin!AA1816</f>
        <v>0</v>
      </c>
      <c r="AB1598" s="5">
        <f t="shared" si="169"/>
        <v>6.0606060606060608E-2</v>
      </c>
    </row>
    <row r="1599" spans="1:28" x14ac:dyDescent="0.25">
      <c r="D1599" t="s">
        <v>82</v>
      </c>
      <c r="E1599" s="38">
        <f t="shared" si="170"/>
        <v>0</v>
      </c>
      <c r="F1599" s="38">
        <f t="shared" si="170"/>
        <v>0</v>
      </c>
      <c r="G1599" s="38">
        <f t="shared" si="170"/>
        <v>6.1027983202537696E-2</v>
      </c>
      <c r="H1599" s="38">
        <f t="shared" si="170"/>
        <v>3.083457922623228E-2</v>
      </c>
      <c r="I1599" s="38">
        <f t="shared" si="170"/>
        <v>0</v>
      </c>
      <c r="J1599" s="38">
        <f t="shared" si="168"/>
        <v>0</v>
      </c>
      <c r="K1599" s="38">
        <f t="shared" si="168"/>
        <v>0</v>
      </c>
      <c r="L1599" s="38">
        <f t="shared" si="168"/>
        <v>0</v>
      </c>
      <c r="M1599" s="35">
        <f t="shared" si="167"/>
        <v>9.1862562428769973E-2</v>
      </c>
      <c r="S1599" t="s">
        <v>82</v>
      </c>
      <c r="T1599" s="5">
        <f>data_origin!T1817</f>
        <v>0</v>
      </c>
      <c r="U1599" s="5">
        <f>data_origin!U1817</f>
        <v>0</v>
      </c>
      <c r="V1599" s="5">
        <f>data_origin!V1817</f>
        <v>3.0303030303030304E-2</v>
      </c>
      <c r="W1599" s="5">
        <f>data_origin!W1817</f>
        <v>3.0303030303030304E-2</v>
      </c>
      <c r="X1599" s="5">
        <f>data_origin!X1817</f>
        <v>0</v>
      </c>
      <c r="Y1599" s="5">
        <f>data_origin!Y1817</f>
        <v>0</v>
      </c>
      <c r="Z1599" s="5">
        <f>data_origin!Z1817</f>
        <v>0</v>
      </c>
      <c r="AA1599" s="5">
        <f>data_origin!AA1817</f>
        <v>0</v>
      </c>
      <c r="AB1599" s="5">
        <f t="shared" si="169"/>
        <v>6.0606060606060608E-2</v>
      </c>
    </row>
    <row r="1600" spans="1:28" x14ac:dyDescent="0.25">
      <c r="D1600" t="s">
        <v>83</v>
      </c>
      <c r="E1600" s="38">
        <f t="shared" si="170"/>
        <v>0</v>
      </c>
      <c r="F1600" s="38">
        <f t="shared" si="170"/>
        <v>0</v>
      </c>
      <c r="G1600" s="38">
        <f t="shared" si="170"/>
        <v>6.1027983202537696E-2</v>
      </c>
      <c r="H1600" s="38">
        <f t="shared" si="170"/>
        <v>3.083457922623228E-2</v>
      </c>
      <c r="I1600" s="38">
        <f t="shared" si="170"/>
        <v>0</v>
      </c>
      <c r="J1600" s="38">
        <f t="shared" si="168"/>
        <v>0</v>
      </c>
      <c r="K1600" s="38">
        <f t="shared" si="168"/>
        <v>0</v>
      </c>
      <c r="L1600" s="38">
        <f t="shared" si="168"/>
        <v>0</v>
      </c>
      <c r="M1600" s="35">
        <f t="shared" si="167"/>
        <v>9.1862562428769973E-2</v>
      </c>
      <c r="S1600" t="s">
        <v>83</v>
      </c>
      <c r="T1600" s="5">
        <f>data_origin!T1818</f>
        <v>0</v>
      </c>
      <c r="U1600" s="5">
        <f>data_origin!U1818</f>
        <v>0</v>
      </c>
      <c r="V1600" s="5">
        <f>data_origin!V1818</f>
        <v>3.0303030303030304E-2</v>
      </c>
      <c r="W1600" s="5">
        <f>data_origin!W1818</f>
        <v>3.0303030303030304E-2</v>
      </c>
      <c r="X1600" s="5">
        <f>data_origin!X1818</f>
        <v>0</v>
      </c>
      <c r="Y1600" s="5">
        <f>data_origin!Y1818</f>
        <v>0</v>
      </c>
      <c r="Z1600" s="5">
        <f>data_origin!Z1818</f>
        <v>0</v>
      </c>
      <c r="AA1600" s="5">
        <f>data_origin!AA1818</f>
        <v>0</v>
      </c>
      <c r="AB1600" s="5">
        <f t="shared" si="169"/>
        <v>6.0606060606060608E-2</v>
      </c>
    </row>
    <row r="1601" spans="4:28" x14ac:dyDescent="0.25">
      <c r="D1601" t="s">
        <v>84</v>
      </c>
      <c r="E1601" s="38">
        <f t="shared" si="170"/>
        <v>0</v>
      </c>
      <c r="F1601" s="38">
        <f t="shared" si="170"/>
        <v>0</v>
      </c>
      <c r="G1601" s="38">
        <f t="shared" si="170"/>
        <v>6.1027983202537696E-2</v>
      </c>
      <c r="H1601" s="38">
        <f t="shared" si="170"/>
        <v>3.083457922623228E-2</v>
      </c>
      <c r="I1601" s="38">
        <f t="shared" si="170"/>
        <v>0</v>
      </c>
      <c r="J1601" s="38">
        <f t="shared" si="168"/>
        <v>0</v>
      </c>
      <c r="K1601" s="38">
        <f t="shared" si="168"/>
        <v>0</v>
      </c>
      <c r="L1601" s="38">
        <f t="shared" si="168"/>
        <v>0</v>
      </c>
      <c r="M1601" s="35">
        <f t="shared" si="167"/>
        <v>9.1862562428769973E-2</v>
      </c>
      <c r="S1601" t="s">
        <v>84</v>
      </c>
      <c r="T1601" s="5">
        <f>data_origin!T1819</f>
        <v>0</v>
      </c>
      <c r="U1601" s="5">
        <f>data_origin!U1819</f>
        <v>0</v>
      </c>
      <c r="V1601" s="5">
        <f>data_origin!V1819</f>
        <v>3.0303030303030304E-2</v>
      </c>
      <c r="W1601" s="5">
        <f>data_origin!W1819</f>
        <v>3.0303030303030304E-2</v>
      </c>
      <c r="X1601" s="5">
        <f>data_origin!X1819</f>
        <v>0</v>
      </c>
      <c r="Y1601" s="5">
        <f>data_origin!Y1819</f>
        <v>0</v>
      </c>
      <c r="Z1601" s="5">
        <f>data_origin!Z1819</f>
        <v>0</v>
      </c>
      <c r="AA1601" s="5">
        <f>data_origin!AA1819</f>
        <v>0</v>
      </c>
      <c r="AB1601" s="5">
        <f t="shared" si="169"/>
        <v>6.0606060606060608E-2</v>
      </c>
    </row>
    <row r="1602" spans="4:28" x14ac:dyDescent="0.25">
      <c r="D1602" t="s">
        <v>85</v>
      </c>
      <c r="E1602" s="38">
        <f t="shared" si="170"/>
        <v>0</v>
      </c>
      <c r="F1602" s="38">
        <f t="shared" si="170"/>
        <v>0</v>
      </c>
      <c r="G1602" s="38">
        <f t="shared" si="170"/>
        <v>6.1027983202537696E-2</v>
      </c>
      <c r="H1602" s="38">
        <f t="shared" si="170"/>
        <v>3.083457922623228E-2</v>
      </c>
      <c r="I1602" s="38">
        <f t="shared" si="170"/>
        <v>0</v>
      </c>
      <c r="J1602" s="38">
        <f t="shared" si="168"/>
        <v>0</v>
      </c>
      <c r="K1602" s="38">
        <f t="shared" si="168"/>
        <v>0</v>
      </c>
      <c r="L1602" s="38">
        <f t="shared" si="168"/>
        <v>0</v>
      </c>
      <c r="M1602" s="35">
        <f t="shared" si="167"/>
        <v>9.1862562428769973E-2</v>
      </c>
      <c r="S1602" t="s">
        <v>85</v>
      </c>
      <c r="T1602" s="5">
        <f>data_origin!T1820</f>
        <v>0</v>
      </c>
      <c r="U1602" s="5">
        <f>data_origin!U1820</f>
        <v>0</v>
      </c>
      <c r="V1602" s="5">
        <f>data_origin!V1820</f>
        <v>3.0303030303030304E-2</v>
      </c>
      <c r="W1602" s="5">
        <f>data_origin!W1820</f>
        <v>3.0303030303030304E-2</v>
      </c>
      <c r="X1602" s="5">
        <f>data_origin!X1820</f>
        <v>0</v>
      </c>
      <c r="Y1602" s="5">
        <f>data_origin!Y1820</f>
        <v>0</v>
      </c>
      <c r="Z1602" s="5">
        <f>data_origin!Z1820</f>
        <v>0</v>
      </c>
      <c r="AA1602" s="5">
        <f>data_origin!AA1820</f>
        <v>0</v>
      </c>
      <c r="AB1602" s="5">
        <f t="shared" si="169"/>
        <v>6.0606060606060608E-2</v>
      </c>
    </row>
    <row r="1603" spans="4:28" x14ac:dyDescent="0.25">
      <c r="D1603" t="s">
        <v>86</v>
      </c>
      <c r="E1603" s="38">
        <f t="shared" si="170"/>
        <v>0</v>
      </c>
      <c r="F1603" s="38">
        <f t="shared" si="170"/>
        <v>0</v>
      </c>
      <c r="G1603" s="38">
        <f t="shared" si="170"/>
        <v>6.1027983202537696E-2</v>
      </c>
      <c r="H1603" s="38">
        <f t="shared" si="170"/>
        <v>3.083457922623228E-2</v>
      </c>
      <c r="I1603" s="38">
        <f t="shared" si="170"/>
        <v>0</v>
      </c>
      <c r="J1603" s="38">
        <f t="shared" si="168"/>
        <v>0</v>
      </c>
      <c r="K1603" s="38">
        <f t="shared" si="168"/>
        <v>0</v>
      </c>
      <c r="L1603" s="38">
        <f t="shared" si="168"/>
        <v>0</v>
      </c>
      <c r="M1603" s="35">
        <f t="shared" ref="M1603:M1666" si="171">SUM(E1603:L1603)</f>
        <v>9.1862562428769973E-2</v>
      </c>
      <c r="S1603" t="s">
        <v>86</v>
      </c>
      <c r="T1603" s="5">
        <f>data_origin!T1821</f>
        <v>0</v>
      </c>
      <c r="U1603" s="5">
        <f>data_origin!U1821</f>
        <v>0</v>
      </c>
      <c r="V1603" s="5">
        <f>data_origin!V1821</f>
        <v>3.0303030303030304E-2</v>
      </c>
      <c r="W1603" s="5">
        <f>data_origin!W1821</f>
        <v>3.0303030303030304E-2</v>
      </c>
      <c r="X1603" s="5">
        <f>data_origin!X1821</f>
        <v>0</v>
      </c>
      <c r="Y1603" s="5">
        <f>data_origin!Y1821</f>
        <v>0</v>
      </c>
      <c r="Z1603" s="5">
        <f>data_origin!Z1821</f>
        <v>0</v>
      </c>
      <c r="AA1603" s="5">
        <f>data_origin!AA1821</f>
        <v>0</v>
      </c>
      <c r="AB1603" s="5">
        <f t="shared" si="169"/>
        <v>6.0606060606060608E-2</v>
      </c>
    </row>
    <row r="1604" spans="4:28" x14ac:dyDescent="0.25">
      <c r="D1604" t="s">
        <v>87</v>
      </c>
      <c r="E1604" s="38">
        <f t="shared" si="170"/>
        <v>0</v>
      </c>
      <c r="F1604" s="38">
        <f t="shared" si="170"/>
        <v>0</v>
      </c>
      <c r="G1604" s="38">
        <f t="shared" si="170"/>
        <v>6.1027983202537696E-2</v>
      </c>
      <c r="H1604" s="38">
        <f t="shared" si="170"/>
        <v>3.083457922623228E-2</v>
      </c>
      <c r="I1604" s="38">
        <f t="shared" si="170"/>
        <v>0</v>
      </c>
      <c r="J1604" s="38">
        <f t="shared" si="168"/>
        <v>0</v>
      </c>
      <c r="K1604" s="38">
        <f t="shared" si="168"/>
        <v>0</v>
      </c>
      <c r="L1604" s="38">
        <f t="shared" si="168"/>
        <v>0</v>
      </c>
      <c r="M1604" s="35">
        <f t="shared" si="171"/>
        <v>9.1862562428769973E-2</v>
      </c>
      <c r="S1604" t="s">
        <v>87</v>
      </c>
      <c r="T1604" s="5">
        <f>data_origin!T1822</f>
        <v>0</v>
      </c>
      <c r="U1604" s="5">
        <f>data_origin!U1822</f>
        <v>0</v>
      </c>
      <c r="V1604" s="5">
        <f>data_origin!V1822</f>
        <v>3.0303030303030304E-2</v>
      </c>
      <c r="W1604" s="5">
        <f>data_origin!W1822</f>
        <v>3.0303030303030304E-2</v>
      </c>
      <c r="X1604" s="5">
        <f>data_origin!X1822</f>
        <v>0</v>
      </c>
      <c r="Y1604" s="5">
        <f>data_origin!Y1822</f>
        <v>0</v>
      </c>
      <c r="Z1604" s="5">
        <f>data_origin!Z1822</f>
        <v>0</v>
      </c>
      <c r="AA1604" s="5">
        <f>data_origin!AA1822</f>
        <v>0</v>
      </c>
      <c r="AB1604" s="5">
        <f t="shared" si="169"/>
        <v>6.0606060606060608E-2</v>
      </c>
    </row>
    <row r="1605" spans="4:28" x14ac:dyDescent="0.25">
      <c r="D1605" t="s">
        <v>88</v>
      </c>
      <c r="E1605" s="38">
        <f t="shared" si="170"/>
        <v>0</v>
      </c>
      <c r="F1605" s="38">
        <f t="shared" si="170"/>
        <v>0</v>
      </c>
      <c r="G1605" s="38">
        <f t="shared" si="170"/>
        <v>6.1027983202537696E-2</v>
      </c>
      <c r="H1605" s="38">
        <f t="shared" si="170"/>
        <v>3.083457922623228E-2</v>
      </c>
      <c r="I1605" s="38">
        <f t="shared" si="170"/>
        <v>0</v>
      </c>
      <c r="J1605" s="38">
        <f t="shared" si="168"/>
        <v>0</v>
      </c>
      <c r="K1605" s="38">
        <f t="shared" si="168"/>
        <v>0</v>
      </c>
      <c r="L1605" s="38">
        <f t="shared" si="168"/>
        <v>0</v>
      </c>
      <c r="M1605" s="35">
        <f t="shared" si="171"/>
        <v>9.1862562428769973E-2</v>
      </c>
      <c r="S1605" t="s">
        <v>88</v>
      </c>
      <c r="T1605" s="5">
        <f>data_origin!T1823</f>
        <v>0</v>
      </c>
      <c r="U1605" s="5">
        <f>data_origin!U1823</f>
        <v>0</v>
      </c>
      <c r="V1605" s="5">
        <f>data_origin!V1823</f>
        <v>3.0303030303030304E-2</v>
      </c>
      <c r="W1605" s="5">
        <f>data_origin!W1823</f>
        <v>3.0303030303030304E-2</v>
      </c>
      <c r="X1605" s="5">
        <f>data_origin!X1823</f>
        <v>0</v>
      </c>
      <c r="Y1605" s="5">
        <f>data_origin!Y1823</f>
        <v>0</v>
      </c>
      <c r="Z1605" s="5">
        <f>data_origin!Z1823</f>
        <v>0</v>
      </c>
      <c r="AA1605" s="5">
        <f>data_origin!AA1823</f>
        <v>0</v>
      </c>
      <c r="AB1605" s="5">
        <f t="shared" si="169"/>
        <v>6.0606060606060608E-2</v>
      </c>
    </row>
    <row r="1606" spans="4:28" x14ac:dyDescent="0.25">
      <c r="D1606" t="s">
        <v>89</v>
      </c>
      <c r="E1606" s="38">
        <f t="shared" si="170"/>
        <v>0</v>
      </c>
      <c r="F1606" s="38">
        <f t="shared" si="170"/>
        <v>0</v>
      </c>
      <c r="G1606" s="38">
        <f t="shared" si="170"/>
        <v>6.1027983202537696E-2</v>
      </c>
      <c r="H1606" s="38">
        <f t="shared" si="170"/>
        <v>3.083457922623228E-2</v>
      </c>
      <c r="I1606" s="38">
        <f t="shared" si="170"/>
        <v>0</v>
      </c>
      <c r="J1606" s="38">
        <f t="shared" si="168"/>
        <v>0</v>
      </c>
      <c r="K1606" s="38">
        <f t="shared" si="168"/>
        <v>0</v>
      </c>
      <c r="L1606" s="38">
        <f t="shared" si="168"/>
        <v>0</v>
      </c>
      <c r="M1606" s="35">
        <f t="shared" si="171"/>
        <v>9.1862562428769973E-2</v>
      </c>
      <c r="S1606" t="s">
        <v>89</v>
      </c>
      <c r="T1606" s="5">
        <f>data_origin!T1824</f>
        <v>0</v>
      </c>
      <c r="U1606" s="5">
        <f>data_origin!U1824</f>
        <v>0</v>
      </c>
      <c r="V1606" s="5">
        <f>data_origin!V1824</f>
        <v>3.0303030303030304E-2</v>
      </c>
      <c r="W1606" s="5">
        <f>data_origin!W1824</f>
        <v>3.0303030303030304E-2</v>
      </c>
      <c r="X1606" s="5">
        <f>data_origin!X1824</f>
        <v>0</v>
      </c>
      <c r="Y1606" s="5">
        <f>data_origin!Y1824</f>
        <v>0</v>
      </c>
      <c r="Z1606" s="5">
        <f>data_origin!Z1824</f>
        <v>0</v>
      </c>
      <c r="AA1606" s="5">
        <f>data_origin!AA1824</f>
        <v>0</v>
      </c>
      <c r="AB1606" s="5">
        <f t="shared" si="169"/>
        <v>6.0606060606060608E-2</v>
      </c>
    </row>
    <row r="1607" spans="4:28" x14ac:dyDescent="0.25">
      <c r="D1607" t="s">
        <v>90</v>
      </c>
      <c r="E1607" s="38">
        <f t="shared" si="170"/>
        <v>0</v>
      </c>
      <c r="F1607" s="38">
        <f t="shared" si="170"/>
        <v>0</v>
      </c>
      <c r="G1607" s="38">
        <f t="shared" si="170"/>
        <v>6.1027983202537696E-2</v>
      </c>
      <c r="H1607" s="38">
        <f t="shared" si="170"/>
        <v>3.083457922623228E-2</v>
      </c>
      <c r="I1607" s="38">
        <f t="shared" si="170"/>
        <v>0</v>
      </c>
      <c r="J1607" s="38">
        <f t="shared" si="168"/>
        <v>0</v>
      </c>
      <c r="K1607" s="38">
        <f t="shared" si="168"/>
        <v>0</v>
      </c>
      <c r="L1607" s="38">
        <f t="shared" si="168"/>
        <v>0</v>
      </c>
      <c r="M1607" s="35">
        <f t="shared" si="171"/>
        <v>9.1862562428769973E-2</v>
      </c>
      <c r="S1607" t="s">
        <v>90</v>
      </c>
      <c r="T1607" s="5">
        <f>data_origin!T1825</f>
        <v>0</v>
      </c>
      <c r="U1607" s="5">
        <f>data_origin!U1825</f>
        <v>0</v>
      </c>
      <c r="V1607" s="5">
        <f>data_origin!V1825</f>
        <v>3.0303030303030304E-2</v>
      </c>
      <c r="W1607" s="5">
        <f>data_origin!W1825</f>
        <v>3.0303030303030304E-2</v>
      </c>
      <c r="X1607" s="5">
        <f>data_origin!X1825</f>
        <v>0</v>
      </c>
      <c r="Y1607" s="5">
        <f>data_origin!Y1825</f>
        <v>0</v>
      </c>
      <c r="Z1607" s="5">
        <f>data_origin!Z1825</f>
        <v>0</v>
      </c>
      <c r="AA1607" s="5">
        <f>data_origin!AA1825</f>
        <v>0</v>
      </c>
      <c r="AB1607" s="5">
        <f t="shared" si="169"/>
        <v>6.0606060606060608E-2</v>
      </c>
    </row>
    <row r="1608" spans="4:28" x14ac:dyDescent="0.25">
      <c r="D1608" t="s">
        <v>91</v>
      </c>
      <c r="E1608" s="38">
        <f t="shared" si="170"/>
        <v>0</v>
      </c>
      <c r="F1608" s="38">
        <f t="shared" si="170"/>
        <v>0</v>
      </c>
      <c r="G1608" s="38">
        <f t="shared" si="170"/>
        <v>6.1027983202537696E-2</v>
      </c>
      <c r="H1608" s="38">
        <f t="shared" si="170"/>
        <v>3.083457922623228E-2</v>
      </c>
      <c r="I1608" s="38">
        <f t="shared" si="170"/>
        <v>0</v>
      </c>
      <c r="J1608" s="38">
        <f t="shared" si="168"/>
        <v>0</v>
      </c>
      <c r="K1608" s="38">
        <f t="shared" si="168"/>
        <v>0</v>
      </c>
      <c r="L1608" s="38">
        <f t="shared" si="168"/>
        <v>0</v>
      </c>
      <c r="M1608" s="35">
        <f t="shared" si="171"/>
        <v>9.1862562428769973E-2</v>
      </c>
      <c r="S1608" t="s">
        <v>91</v>
      </c>
      <c r="T1608" s="5">
        <f>data_origin!T1826</f>
        <v>0</v>
      </c>
      <c r="U1608" s="5">
        <f>data_origin!U1826</f>
        <v>0</v>
      </c>
      <c r="V1608" s="5">
        <f>data_origin!V1826</f>
        <v>3.0303030303030304E-2</v>
      </c>
      <c r="W1608" s="5">
        <f>data_origin!W1826</f>
        <v>3.0303030303030304E-2</v>
      </c>
      <c r="X1608" s="5">
        <f>data_origin!X1826</f>
        <v>0</v>
      </c>
      <c r="Y1608" s="5">
        <f>data_origin!Y1826</f>
        <v>0</v>
      </c>
      <c r="Z1608" s="5">
        <f>data_origin!Z1826</f>
        <v>0</v>
      </c>
      <c r="AA1608" s="5">
        <f>data_origin!AA1826</f>
        <v>0</v>
      </c>
      <c r="AB1608" s="5">
        <f t="shared" si="169"/>
        <v>6.0606060606060608E-2</v>
      </c>
    </row>
    <row r="1609" spans="4:28" x14ac:dyDescent="0.25">
      <c r="D1609" t="s">
        <v>92</v>
      </c>
      <c r="E1609" s="38">
        <f t="shared" si="170"/>
        <v>0</v>
      </c>
      <c r="F1609" s="38">
        <f t="shared" si="170"/>
        <v>0</v>
      </c>
      <c r="G1609" s="38">
        <f t="shared" si="170"/>
        <v>6.1027983202537696E-2</v>
      </c>
      <c r="H1609" s="38">
        <f t="shared" si="170"/>
        <v>3.083457922623228E-2</v>
      </c>
      <c r="I1609" s="38">
        <f t="shared" si="170"/>
        <v>0</v>
      </c>
      <c r="J1609" s="38">
        <f t="shared" si="168"/>
        <v>0</v>
      </c>
      <c r="K1609" s="38">
        <f t="shared" si="168"/>
        <v>0</v>
      </c>
      <c r="L1609" s="38">
        <f t="shared" si="168"/>
        <v>0</v>
      </c>
      <c r="M1609" s="35">
        <f t="shared" si="171"/>
        <v>9.1862562428769973E-2</v>
      </c>
      <c r="S1609" t="s">
        <v>92</v>
      </c>
      <c r="T1609" s="5">
        <f>data_origin!T1827</f>
        <v>0</v>
      </c>
      <c r="U1609" s="5">
        <f>data_origin!U1827</f>
        <v>0</v>
      </c>
      <c r="V1609" s="5">
        <f>data_origin!V1827</f>
        <v>3.0303030303030304E-2</v>
      </c>
      <c r="W1609" s="5">
        <f>data_origin!W1827</f>
        <v>3.0303030303030304E-2</v>
      </c>
      <c r="X1609" s="5">
        <f>data_origin!X1827</f>
        <v>0</v>
      </c>
      <c r="Y1609" s="5">
        <f>data_origin!Y1827</f>
        <v>0</v>
      </c>
      <c r="Z1609" s="5">
        <f>data_origin!Z1827</f>
        <v>0</v>
      </c>
      <c r="AA1609" s="5">
        <f>data_origin!AA1827</f>
        <v>0</v>
      </c>
      <c r="AB1609" s="5">
        <f t="shared" si="169"/>
        <v>6.0606060606060608E-2</v>
      </c>
    </row>
    <row r="1610" spans="4:28" x14ac:dyDescent="0.25">
      <c r="D1610" t="s">
        <v>93</v>
      </c>
      <c r="E1610" s="38">
        <f t="shared" si="170"/>
        <v>0</v>
      </c>
      <c r="F1610" s="38">
        <f t="shared" si="170"/>
        <v>0</v>
      </c>
      <c r="G1610" s="38">
        <f t="shared" si="170"/>
        <v>6.1027983202537696E-2</v>
      </c>
      <c r="H1610" s="38">
        <f t="shared" si="170"/>
        <v>3.083457922623228E-2</v>
      </c>
      <c r="I1610" s="38">
        <f t="shared" si="170"/>
        <v>0</v>
      </c>
      <c r="J1610" s="38">
        <f t="shared" si="168"/>
        <v>0</v>
      </c>
      <c r="K1610" s="38">
        <f t="shared" si="168"/>
        <v>0</v>
      </c>
      <c r="L1610" s="38">
        <f t="shared" si="168"/>
        <v>0</v>
      </c>
      <c r="M1610" s="35">
        <f t="shared" si="171"/>
        <v>9.1862562428769973E-2</v>
      </c>
      <c r="S1610" t="s">
        <v>93</v>
      </c>
      <c r="T1610" s="5">
        <f>data_origin!T1828</f>
        <v>0</v>
      </c>
      <c r="U1610" s="5">
        <f>data_origin!U1828</f>
        <v>0</v>
      </c>
      <c r="V1610" s="5">
        <f>data_origin!V1828</f>
        <v>3.0303030303030304E-2</v>
      </c>
      <c r="W1610" s="5">
        <f>data_origin!W1828</f>
        <v>3.0303030303030304E-2</v>
      </c>
      <c r="X1610" s="5">
        <f>data_origin!X1828</f>
        <v>0</v>
      </c>
      <c r="Y1610" s="5">
        <f>data_origin!Y1828</f>
        <v>0</v>
      </c>
      <c r="Z1610" s="5">
        <f>data_origin!Z1828</f>
        <v>0</v>
      </c>
      <c r="AA1610" s="5">
        <f>data_origin!AA1828</f>
        <v>0</v>
      </c>
      <c r="AB1610" s="5">
        <f t="shared" si="169"/>
        <v>6.0606060606060608E-2</v>
      </c>
    </row>
    <row r="1611" spans="4:28" x14ac:dyDescent="0.25">
      <c r="D1611" t="s">
        <v>94</v>
      </c>
      <c r="E1611" s="38">
        <f t="shared" si="170"/>
        <v>0</v>
      </c>
      <c r="F1611" s="38">
        <f t="shared" si="170"/>
        <v>0</v>
      </c>
      <c r="G1611" s="38">
        <f t="shared" si="170"/>
        <v>6.1027983202537696E-2</v>
      </c>
      <c r="H1611" s="38">
        <f t="shared" si="170"/>
        <v>3.083457922623228E-2</v>
      </c>
      <c r="I1611" s="38">
        <f t="shared" si="170"/>
        <v>0</v>
      </c>
      <c r="J1611" s="38">
        <f t="shared" si="168"/>
        <v>0</v>
      </c>
      <c r="K1611" s="38">
        <f t="shared" si="168"/>
        <v>0</v>
      </c>
      <c r="L1611" s="38">
        <f t="shared" si="168"/>
        <v>0</v>
      </c>
      <c r="M1611" s="35">
        <f t="shared" si="171"/>
        <v>9.1862562428769973E-2</v>
      </c>
      <c r="S1611" t="s">
        <v>94</v>
      </c>
      <c r="T1611" s="5">
        <f>data_origin!T1829</f>
        <v>0</v>
      </c>
      <c r="U1611" s="5">
        <f>data_origin!U1829</f>
        <v>0</v>
      </c>
      <c r="V1611" s="5">
        <f>data_origin!V1829</f>
        <v>3.0303030303030304E-2</v>
      </c>
      <c r="W1611" s="5">
        <f>data_origin!W1829</f>
        <v>3.0303030303030304E-2</v>
      </c>
      <c r="X1611" s="5">
        <f>data_origin!X1829</f>
        <v>0</v>
      </c>
      <c r="Y1611" s="5">
        <f>data_origin!Y1829</f>
        <v>0</v>
      </c>
      <c r="Z1611" s="5">
        <f>data_origin!Z1829</f>
        <v>0</v>
      </c>
      <c r="AA1611" s="5">
        <f>data_origin!AA1829</f>
        <v>0</v>
      </c>
      <c r="AB1611" s="5">
        <f t="shared" si="169"/>
        <v>6.0606060606060608E-2</v>
      </c>
    </row>
    <row r="1612" spans="4:28" x14ac:dyDescent="0.25">
      <c r="D1612" t="s">
        <v>95</v>
      </c>
      <c r="E1612" s="38">
        <f t="shared" si="170"/>
        <v>0</v>
      </c>
      <c r="F1612" s="38">
        <f t="shared" si="170"/>
        <v>0</v>
      </c>
      <c r="G1612" s="38">
        <f t="shared" si="170"/>
        <v>6.1027983202537696E-2</v>
      </c>
      <c r="H1612" s="38">
        <f t="shared" si="170"/>
        <v>3.083457922623228E-2</v>
      </c>
      <c r="I1612" s="38">
        <f t="shared" si="170"/>
        <v>0</v>
      </c>
      <c r="J1612" s="38">
        <f t="shared" si="168"/>
        <v>0</v>
      </c>
      <c r="K1612" s="38">
        <f t="shared" si="168"/>
        <v>0</v>
      </c>
      <c r="L1612" s="38">
        <f t="shared" si="168"/>
        <v>0</v>
      </c>
      <c r="M1612" s="35">
        <f t="shared" si="171"/>
        <v>9.1862562428769973E-2</v>
      </c>
      <c r="S1612" t="s">
        <v>95</v>
      </c>
      <c r="T1612" s="5">
        <f>data_origin!T1830</f>
        <v>0</v>
      </c>
      <c r="U1612" s="5">
        <f>data_origin!U1830</f>
        <v>0</v>
      </c>
      <c r="V1612" s="5">
        <f>data_origin!V1830</f>
        <v>3.0303030303030304E-2</v>
      </c>
      <c r="W1612" s="5">
        <f>data_origin!W1830</f>
        <v>3.0303030303030304E-2</v>
      </c>
      <c r="X1612" s="5">
        <f>data_origin!X1830</f>
        <v>0</v>
      </c>
      <c r="Y1612" s="5">
        <f>data_origin!Y1830</f>
        <v>0</v>
      </c>
      <c r="Z1612" s="5">
        <f>data_origin!Z1830</f>
        <v>0</v>
      </c>
      <c r="AA1612" s="5">
        <f>data_origin!AA1830</f>
        <v>0</v>
      </c>
      <c r="AB1612" s="5">
        <f t="shared" si="169"/>
        <v>6.0606060606060608E-2</v>
      </c>
    </row>
    <row r="1613" spans="4:28" x14ac:dyDescent="0.25">
      <c r="D1613" t="s">
        <v>96</v>
      </c>
      <c r="E1613" s="38">
        <f t="shared" si="170"/>
        <v>0</v>
      </c>
      <c r="F1613" s="38">
        <f t="shared" si="170"/>
        <v>0</v>
      </c>
      <c r="G1613" s="38">
        <f t="shared" si="170"/>
        <v>6.1027983202537696E-2</v>
      </c>
      <c r="H1613" s="38">
        <f t="shared" si="170"/>
        <v>3.083457922623228E-2</v>
      </c>
      <c r="I1613" s="38">
        <f t="shared" si="170"/>
        <v>0</v>
      </c>
      <c r="J1613" s="38">
        <f t="shared" si="168"/>
        <v>0</v>
      </c>
      <c r="K1613" s="38">
        <f t="shared" si="168"/>
        <v>0</v>
      </c>
      <c r="L1613" s="38">
        <f t="shared" si="168"/>
        <v>0</v>
      </c>
      <c r="M1613" s="35">
        <f t="shared" si="171"/>
        <v>9.1862562428769973E-2</v>
      </c>
      <c r="S1613" t="s">
        <v>96</v>
      </c>
      <c r="T1613" s="5">
        <f>data_origin!T1831</f>
        <v>0</v>
      </c>
      <c r="U1613" s="5">
        <f>data_origin!U1831</f>
        <v>0</v>
      </c>
      <c r="V1613" s="5">
        <f>data_origin!V1831</f>
        <v>3.0303030303030304E-2</v>
      </c>
      <c r="W1613" s="5">
        <f>data_origin!W1831</f>
        <v>3.0303030303030304E-2</v>
      </c>
      <c r="X1613" s="5">
        <f>data_origin!X1831</f>
        <v>0</v>
      </c>
      <c r="Y1613" s="5">
        <f>data_origin!Y1831</f>
        <v>0</v>
      </c>
      <c r="Z1613" s="5">
        <f>data_origin!Z1831</f>
        <v>0</v>
      </c>
      <c r="AA1613" s="5">
        <f>data_origin!AA1831</f>
        <v>0</v>
      </c>
      <c r="AB1613" s="5">
        <f t="shared" si="169"/>
        <v>6.0606060606060608E-2</v>
      </c>
    </row>
    <row r="1614" spans="4:28" x14ac:dyDescent="0.25">
      <c r="D1614" t="s">
        <v>97</v>
      </c>
      <c r="E1614" s="38">
        <f t="shared" si="170"/>
        <v>0</v>
      </c>
      <c r="F1614" s="38">
        <f t="shared" si="170"/>
        <v>0</v>
      </c>
      <c r="G1614" s="38">
        <f t="shared" si="170"/>
        <v>6.1027983202537696E-2</v>
      </c>
      <c r="H1614" s="38">
        <f t="shared" si="170"/>
        <v>3.083457922623228E-2</v>
      </c>
      <c r="I1614" s="38">
        <f t="shared" si="170"/>
        <v>0</v>
      </c>
      <c r="J1614" s="38">
        <f t="shared" si="168"/>
        <v>0</v>
      </c>
      <c r="K1614" s="38">
        <f t="shared" si="168"/>
        <v>0</v>
      </c>
      <c r="L1614" s="38">
        <f t="shared" si="168"/>
        <v>0</v>
      </c>
      <c r="M1614" s="35">
        <f t="shared" si="171"/>
        <v>9.1862562428769973E-2</v>
      </c>
      <c r="S1614" t="s">
        <v>97</v>
      </c>
      <c r="T1614" s="5">
        <f>data_origin!T1832</f>
        <v>0</v>
      </c>
      <c r="U1614" s="5">
        <f>data_origin!U1832</f>
        <v>0</v>
      </c>
      <c r="V1614" s="5">
        <f>data_origin!V1832</f>
        <v>3.0303030303030304E-2</v>
      </c>
      <c r="W1614" s="5">
        <f>data_origin!W1832</f>
        <v>3.0303030303030304E-2</v>
      </c>
      <c r="X1614" s="5">
        <f>data_origin!X1832</f>
        <v>0</v>
      </c>
      <c r="Y1614" s="5">
        <f>data_origin!Y1832</f>
        <v>0</v>
      </c>
      <c r="Z1614" s="5">
        <f>data_origin!Z1832</f>
        <v>0</v>
      </c>
      <c r="AA1614" s="5">
        <f>data_origin!AA1832</f>
        <v>0</v>
      </c>
      <c r="AB1614" s="5">
        <f t="shared" si="169"/>
        <v>6.0606060606060608E-2</v>
      </c>
    </row>
    <row r="1615" spans="4:28" x14ac:dyDescent="0.25">
      <c r="D1615" t="s">
        <v>98</v>
      </c>
      <c r="E1615" s="38">
        <f t="shared" si="170"/>
        <v>0</v>
      </c>
      <c r="F1615" s="38">
        <f t="shared" si="170"/>
        <v>0</v>
      </c>
      <c r="G1615" s="38">
        <f t="shared" si="170"/>
        <v>6.1027983202537696E-2</v>
      </c>
      <c r="H1615" s="38">
        <f t="shared" si="170"/>
        <v>3.083457922623228E-2</v>
      </c>
      <c r="I1615" s="38">
        <f t="shared" si="170"/>
        <v>0</v>
      </c>
      <c r="J1615" s="38">
        <f t="shared" si="168"/>
        <v>0</v>
      </c>
      <c r="K1615" s="38">
        <f t="shared" si="168"/>
        <v>0</v>
      </c>
      <c r="L1615" s="38">
        <f t="shared" si="168"/>
        <v>0</v>
      </c>
      <c r="M1615" s="35">
        <f t="shared" si="171"/>
        <v>9.1862562428769973E-2</v>
      </c>
      <c r="S1615" t="s">
        <v>98</v>
      </c>
      <c r="T1615" s="5">
        <f>data_origin!T1833</f>
        <v>0</v>
      </c>
      <c r="U1615" s="5">
        <f>data_origin!U1833</f>
        <v>0</v>
      </c>
      <c r="V1615" s="5">
        <f>data_origin!V1833</f>
        <v>3.0303030303030304E-2</v>
      </c>
      <c r="W1615" s="5">
        <f>data_origin!W1833</f>
        <v>3.0303030303030304E-2</v>
      </c>
      <c r="X1615" s="5">
        <f>data_origin!X1833</f>
        <v>0</v>
      </c>
      <c r="Y1615" s="5">
        <f>data_origin!Y1833</f>
        <v>0</v>
      </c>
      <c r="Z1615" s="5">
        <f>data_origin!Z1833</f>
        <v>0</v>
      </c>
      <c r="AA1615" s="5">
        <f>data_origin!AA1833</f>
        <v>0</v>
      </c>
      <c r="AB1615" s="5">
        <f t="shared" si="169"/>
        <v>6.0606060606060608E-2</v>
      </c>
    </row>
    <row r="1616" spans="4:28" x14ac:dyDescent="0.25">
      <c r="D1616" t="s">
        <v>119</v>
      </c>
      <c r="E1616" s="38">
        <f t="shared" si="170"/>
        <v>0</v>
      </c>
      <c r="F1616" s="38">
        <f t="shared" si="170"/>
        <v>0</v>
      </c>
      <c r="G1616" s="38">
        <f t="shared" si="170"/>
        <v>6.1027983202537696E-2</v>
      </c>
      <c r="H1616" s="38">
        <f t="shared" si="170"/>
        <v>3.083457922623228E-2</v>
      </c>
      <c r="I1616" s="38">
        <f t="shared" si="170"/>
        <v>0</v>
      </c>
      <c r="J1616" s="38">
        <f t="shared" si="168"/>
        <v>0</v>
      </c>
      <c r="K1616" s="38">
        <f t="shared" si="168"/>
        <v>0</v>
      </c>
      <c r="L1616" s="38">
        <f t="shared" si="168"/>
        <v>0</v>
      </c>
      <c r="M1616" s="35">
        <f t="shared" si="171"/>
        <v>9.1862562428769973E-2</v>
      </c>
      <c r="S1616" t="s">
        <v>119</v>
      </c>
      <c r="T1616" s="5">
        <f>data_origin!T1834</f>
        <v>0</v>
      </c>
      <c r="U1616" s="5">
        <f>data_origin!U1834</f>
        <v>0</v>
      </c>
      <c r="V1616" s="5">
        <f>data_origin!V1834</f>
        <v>3.0303030303030304E-2</v>
      </c>
      <c r="W1616" s="5">
        <f>data_origin!W1834</f>
        <v>3.0303030303030304E-2</v>
      </c>
      <c r="X1616" s="5">
        <f>data_origin!X1834</f>
        <v>0</v>
      </c>
      <c r="Y1616" s="5">
        <f>data_origin!Y1834</f>
        <v>0</v>
      </c>
      <c r="Z1616" s="5">
        <f>data_origin!Z1834</f>
        <v>0</v>
      </c>
      <c r="AA1616" s="5">
        <f>data_origin!AA1834</f>
        <v>0</v>
      </c>
      <c r="AB1616" s="5">
        <f t="shared" si="169"/>
        <v>6.0606060606060608E-2</v>
      </c>
    </row>
    <row r="1617" spans="1:28" x14ac:dyDescent="0.25">
      <c r="D1617" t="s">
        <v>99</v>
      </c>
      <c r="E1617" s="38">
        <f t="shared" si="170"/>
        <v>0</v>
      </c>
      <c r="F1617" s="38">
        <f t="shared" si="170"/>
        <v>0</v>
      </c>
      <c r="G1617" s="38">
        <f t="shared" si="170"/>
        <v>6.1027983202537696E-2</v>
      </c>
      <c r="H1617" s="38">
        <f t="shared" si="170"/>
        <v>3.083457922623228E-2</v>
      </c>
      <c r="I1617" s="38">
        <f t="shared" si="170"/>
        <v>0</v>
      </c>
      <c r="J1617" s="38">
        <f t="shared" si="168"/>
        <v>0</v>
      </c>
      <c r="K1617" s="38">
        <f t="shared" si="168"/>
        <v>0</v>
      </c>
      <c r="L1617" s="38">
        <f t="shared" si="168"/>
        <v>0</v>
      </c>
      <c r="M1617" s="35">
        <f t="shared" si="171"/>
        <v>9.1862562428769973E-2</v>
      </c>
      <c r="S1617" t="s">
        <v>99</v>
      </c>
      <c r="T1617" s="5">
        <f>data_origin!T1835</f>
        <v>0</v>
      </c>
      <c r="U1617" s="5">
        <f>data_origin!U1835</f>
        <v>0</v>
      </c>
      <c r="V1617" s="5">
        <f>data_origin!V1835</f>
        <v>3.0303030303030304E-2</v>
      </c>
      <c r="W1617" s="5">
        <f>data_origin!W1835</f>
        <v>3.0303030303030304E-2</v>
      </c>
      <c r="X1617" s="5">
        <f>data_origin!X1835</f>
        <v>0</v>
      </c>
      <c r="Y1617" s="5">
        <f>data_origin!Y1835</f>
        <v>0</v>
      </c>
      <c r="Z1617" s="5">
        <f>data_origin!Z1835</f>
        <v>0</v>
      </c>
      <c r="AA1617" s="5">
        <f>data_origin!AA1835</f>
        <v>0</v>
      </c>
      <c r="AB1617" s="5">
        <f t="shared" si="169"/>
        <v>6.0606060606060608E-2</v>
      </c>
    </row>
    <row r="1618" spans="1:28" x14ac:dyDescent="0.25">
      <c r="D1618" t="s">
        <v>100</v>
      </c>
      <c r="E1618" s="38">
        <f t="shared" si="170"/>
        <v>0</v>
      </c>
      <c r="F1618" s="38">
        <f t="shared" si="170"/>
        <v>0</v>
      </c>
      <c r="G1618" s="38">
        <f t="shared" si="170"/>
        <v>6.1027983202537696E-2</v>
      </c>
      <c r="H1618" s="38">
        <f t="shared" si="170"/>
        <v>3.083457922623228E-2</v>
      </c>
      <c r="I1618" s="38">
        <f t="shared" si="170"/>
        <v>0</v>
      </c>
      <c r="J1618" s="38">
        <f t="shared" si="168"/>
        <v>0</v>
      </c>
      <c r="K1618" s="38">
        <f t="shared" si="168"/>
        <v>0</v>
      </c>
      <c r="L1618" s="38">
        <f t="shared" si="168"/>
        <v>0</v>
      </c>
      <c r="M1618" s="35">
        <f t="shared" si="171"/>
        <v>9.1862562428769973E-2</v>
      </c>
      <c r="S1618" t="s">
        <v>100</v>
      </c>
      <c r="T1618" s="5">
        <f>data_origin!T1836</f>
        <v>0</v>
      </c>
      <c r="U1618" s="5">
        <f>data_origin!U1836</f>
        <v>0</v>
      </c>
      <c r="V1618" s="5">
        <f>data_origin!V1836</f>
        <v>3.0303030303030304E-2</v>
      </c>
      <c r="W1618" s="5">
        <f>data_origin!W1836</f>
        <v>3.0303030303030304E-2</v>
      </c>
      <c r="X1618" s="5">
        <f>data_origin!X1836</f>
        <v>0</v>
      </c>
      <c r="Y1618" s="5">
        <f>data_origin!Y1836</f>
        <v>0</v>
      </c>
      <c r="Z1618" s="5">
        <f>data_origin!Z1836</f>
        <v>0</v>
      </c>
      <c r="AA1618" s="5">
        <f>data_origin!AA1836</f>
        <v>0</v>
      </c>
      <c r="AB1618" s="5">
        <f t="shared" si="169"/>
        <v>6.0606060606060608E-2</v>
      </c>
    </row>
    <row r="1619" spans="1:28" x14ac:dyDescent="0.25">
      <c r="D1619" t="s">
        <v>101</v>
      </c>
      <c r="E1619" s="38">
        <f t="shared" si="170"/>
        <v>0</v>
      </c>
      <c r="F1619" s="38">
        <f t="shared" si="170"/>
        <v>0</v>
      </c>
      <c r="G1619" s="38">
        <f t="shared" si="170"/>
        <v>6.1027983202537696E-2</v>
      </c>
      <c r="H1619" s="38">
        <f t="shared" si="170"/>
        <v>3.083457922623228E-2</v>
      </c>
      <c r="I1619" s="38">
        <f t="shared" si="170"/>
        <v>0</v>
      </c>
      <c r="J1619" s="38">
        <f t="shared" si="168"/>
        <v>0</v>
      </c>
      <c r="K1619" s="38">
        <f t="shared" si="168"/>
        <v>0</v>
      </c>
      <c r="L1619" s="38">
        <f t="shared" si="168"/>
        <v>0</v>
      </c>
      <c r="M1619" s="35">
        <f t="shared" si="171"/>
        <v>9.1862562428769973E-2</v>
      </c>
      <c r="S1619" t="s">
        <v>101</v>
      </c>
      <c r="T1619" s="5">
        <f>data_origin!T1837</f>
        <v>0</v>
      </c>
      <c r="U1619" s="5">
        <f>data_origin!U1837</f>
        <v>0</v>
      </c>
      <c r="V1619" s="5">
        <f>data_origin!V1837</f>
        <v>3.0303030303030304E-2</v>
      </c>
      <c r="W1619" s="5">
        <f>data_origin!W1837</f>
        <v>3.0303030303030304E-2</v>
      </c>
      <c r="X1619" s="5">
        <f>data_origin!X1837</f>
        <v>0</v>
      </c>
      <c r="Y1619" s="5">
        <f>data_origin!Y1837</f>
        <v>0</v>
      </c>
      <c r="Z1619" s="5">
        <f>data_origin!Z1837</f>
        <v>0</v>
      </c>
      <c r="AA1619" s="5">
        <f>data_origin!AA1837</f>
        <v>0</v>
      </c>
      <c r="AB1619" s="5">
        <f t="shared" si="169"/>
        <v>6.0606060606060608E-2</v>
      </c>
    </row>
    <row r="1620" spans="1:28" x14ac:dyDescent="0.25">
      <c r="A1620" s="24" t="s">
        <v>115</v>
      </c>
      <c r="B1620" s="24" t="s">
        <v>116</v>
      </c>
      <c r="C1620" s="24" t="s">
        <v>114</v>
      </c>
      <c r="D1620" t="s">
        <v>70</v>
      </c>
      <c r="E1620" s="38">
        <f t="shared" si="170"/>
        <v>0</v>
      </c>
      <c r="F1620" s="38">
        <f t="shared" si="170"/>
        <v>0</v>
      </c>
      <c r="G1620" s="38">
        <f t="shared" si="170"/>
        <v>0</v>
      </c>
      <c r="H1620" s="38">
        <f t="shared" si="170"/>
        <v>5.3057500968566824</v>
      </c>
      <c r="I1620" s="38">
        <f t="shared" si="170"/>
        <v>0</v>
      </c>
      <c r="J1620" s="38">
        <f t="shared" si="168"/>
        <v>0</v>
      </c>
      <c r="K1620" s="38">
        <f t="shared" si="168"/>
        <v>0</v>
      </c>
      <c r="L1620" s="38">
        <f t="shared" si="168"/>
        <v>3.0303030303030304E-2</v>
      </c>
      <c r="M1620" s="35">
        <f t="shared" si="171"/>
        <v>5.3360531271597127</v>
      </c>
      <c r="P1620" t="s">
        <v>115</v>
      </c>
      <c r="Q1620" t="s">
        <v>116</v>
      </c>
      <c r="R1620" t="s">
        <v>114</v>
      </c>
      <c r="S1620" t="s">
        <v>70</v>
      </c>
      <c r="T1620" s="5">
        <f>data_origin!T1839</f>
        <v>0</v>
      </c>
      <c r="U1620" s="5">
        <f>data_origin!U1839</f>
        <v>0</v>
      </c>
      <c r="V1620" s="5">
        <f>data_origin!V1839</f>
        <v>0</v>
      </c>
      <c r="W1620" s="5">
        <f>data_origin!W1839</f>
        <v>5.2142857142857135</v>
      </c>
      <c r="X1620" s="5">
        <f>data_origin!X1839</f>
        <v>0</v>
      </c>
      <c r="Y1620" s="5">
        <f>data_origin!Y1839</f>
        <v>0</v>
      </c>
      <c r="Z1620" s="5">
        <f>data_origin!Z1839</f>
        <v>0</v>
      </c>
      <c r="AA1620" s="5">
        <f>data_origin!AA1839</f>
        <v>3.0303030303030304E-2</v>
      </c>
      <c r="AB1620" s="5">
        <f t="shared" si="169"/>
        <v>5.2445887445887438</v>
      </c>
    </row>
    <row r="1621" spans="1:28" x14ac:dyDescent="0.25">
      <c r="D1621" t="s">
        <v>71</v>
      </c>
      <c r="E1621" s="38">
        <f t="shared" si="170"/>
        <v>0</v>
      </c>
      <c r="F1621" s="38">
        <f t="shared" si="170"/>
        <v>0</v>
      </c>
      <c r="G1621" s="38">
        <f t="shared" si="170"/>
        <v>7.0738845047703061</v>
      </c>
      <c r="H1621" s="38">
        <f t="shared" si="170"/>
        <v>15.917250290570047</v>
      </c>
      <c r="I1621" s="38">
        <f t="shared" si="170"/>
        <v>17.448024690007173</v>
      </c>
      <c r="J1621" s="38">
        <f t="shared" si="168"/>
        <v>0</v>
      </c>
      <c r="K1621" s="38">
        <f t="shared" si="168"/>
        <v>3.4047619047619042</v>
      </c>
      <c r="L1621" s="38">
        <f t="shared" si="168"/>
        <v>3.0303030303030304E-2</v>
      </c>
      <c r="M1621" s="35">
        <f t="shared" si="171"/>
        <v>43.874224420412467</v>
      </c>
      <c r="S1621" t="s">
        <v>71</v>
      </c>
      <c r="T1621" s="5">
        <f>data_origin!T1840</f>
        <v>0</v>
      </c>
      <c r="U1621" s="5">
        <f>data_origin!U1840</f>
        <v>0</v>
      </c>
      <c r="V1621" s="5">
        <f>data_origin!V1840</f>
        <v>6.9767441860465116</v>
      </c>
      <c r="W1621" s="5">
        <f>data_origin!W1840</f>
        <v>15.642857142857142</v>
      </c>
      <c r="X1621" s="5">
        <f>data_origin!X1840</f>
        <v>17.149253731343283</v>
      </c>
      <c r="Y1621" s="5">
        <f>data_origin!Y1840</f>
        <v>0</v>
      </c>
      <c r="Z1621" s="5">
        <f>data_origin!Z1840</f>
        <v>3.333333333333333</v>
      </c>
      <c r="AA1621" s="5">
        <f>data_origin!AA1840</f>
        <v>3.0303030303030304E-2</v>
      </c>
      <c r="AB1621" s="5">
        <f t="shared" si="169"/>
        <v>43.132491423883302</v>
      </c>
    </row>
    <row r="1622" spans="1:28" x14ac:dyDescent="0.25">
      <c r="D1622" t="s">
        <v>72</v>
      </c>
      <c r="E1622" s="38">
        <f t="shared" si="170"/>
        <v>0</v>
      </c>
      <c r="F1622" s="38">
        <f t="shared" si="170"/>
        <v>0</v>
      </c>
      <c r="G1622" s="38">
        <f t="shared" si="170"/>
        <v>3.536942252385153</v>
      </c>
      <c r="H1622" s="38">
        <f t="shared" si="170"/>
        <v>15.917250290570047</v>
      </c>
      <c r="I1622" s="38">
        <f t="shared" si="170"/>
        <v>0</v>
      </c>
      <c r="J1622" s="38">
        <f t="shared" si="168"/>
        <v>11.96932967631497</v>
      </c>
      <c r="K1622" s="38">
        <f t="shared" si="168"/>
        <v>0</v>
      </c>
      <c r="L1622" s="38">
        <f t="shared" si="168"/>
        <v>3.0303030303030304E-2</v>
      </c>
      <c r="M1622" s="35">
        <f t="shared" si="171"/>
        <v>31.453825249573203</v>
      </c>
      <c r="S1622" t="s">
        <v>72</v>
      </c>
      <c r="T1622" s="5">
        <f>data_origin!T1841</f>
        <v>0</v>
      </c>
      <c r="U1622" s="5">
        <f>data_origin!U1841</f>
        <v>0</v>
      </c>
      <c r="V1622" s="5">
        <f>data_origin!V1841</f>
        <v>3.4883720930232558</v>
      </c>
      <c r="W1622" s="5">
        <f>data_origin!W1841</f>
        <v>15.642857142857142</v>
      </c>
      <c r="X1622" s="5">
        <f>data_origin!X1841</f>
        <v>0</v>
      </c>
      <c r="Y1622" s="5">
        <f>data_origin!Y1841</f>
        <v>11.75</v>
      </c>
      <c r="Z1622" s="5">
        <f>data_origin!Z1841</f>
        <v>0</v>
      </c>
      <c r="AA1622" s="5">
        <f>data_origin!AA1841</f>
        <v>3.0303030303030304E-2</v>
      </c>
      <c r="AB1622" s="5">
        <f t="shared" si="169"/>
        <v>30.911532266183428</v>
      </c>
    </row>
    <row r="1623" spans="1:28" x14ac:dyDescent="0.25">
      <c r="D1623" t="s">
        <v>73</v>
      </c>
      <c r="E1623" s="38">
        <f t="shared" si="170"/>
        <v>0</v>
      </c>
      <c r="F1623" s="38">
        <f t="shared" si="170"/>
        <v>0</v>
      </c>
      <c r="G1623" s="38">
        <f t="shared" si="170"/>
        <v>3.536942252385153</v>
      </c>
      <c r="H1623" s="38">
        <f t="shared" si="170"/>
        <v>0</v>
      </c>
      <c r="I1623" s="38">
        <f t="shared" si="170"/>
        <v>0</v>
      </c>
      <c r="J1623" s="38">
        <f t="shared" si="168"/>
        <v>0</v>
      </c>
      <c r="K1623" s="38">
        <f t="shared" si="168"/>
        <v>0</v>
      </c>
      <c r="L1623" s="38">
        <f t="shared" si="168"/>
        <v>3.0303030303030304E-2</v>
      </c>
      <c r="M1623" s="35">
        <f t="shared" si="171"/>
        <v>3.5672452826881833</v>
      </c>
      <c r="S1623" t="s">
        <v>73</v>
      </c>
      <c r="T1623" s="5">
        <f>data_origin!T1842</f>
        <v>0</v>
      </c>
      <c r="U1623" s="5">
        <f>data_origin!U1842</f>
        <v>0</v>
      </c>
      <c r="V1623" s="5">
        <f>data_origin!V1842</f>
        <v>3.4883720930232558</v>
      </c>
      <c r="W1623" s="5">
        <f>data_origin!W1842</f>
        <v>0</v>
      </c>
      <c r="X1623" s="5">
        <f>data_origin!X1842</f>
        <v>0</v>
      </c>
      <c r="Y1623" s="5">
        <f>data_origin!Y1842</f>
        <v>0</v>
      </c>
      <c r="Z1623" s="5">
        <f>data_origin!Z1842</f>
        <v>0</v>
      </c>
      <c r="AA1623" s="5">
        <f>data_origin!AA1842</f>
        <v>3.0303030303030304E-2</v>
      </c>
      <c r="AB1623" s="5">
        <f t="shared" si="169"/>
        <v>3.5186751233262861</v>
      </c>
    </row>
    <row r="1624" spans="1:28" x14ac:dyDescent="0.25">
      <c r="D1624" t="s">
        <v>74</v>
      </c>
      <c r="E1624" s="38">
        <f t="shared" si="170"/>
        <v>0</v>
      </c>
      <c r="F1624" s="38">
        <f t="shared" si="170"/>
        <v>0</v>
      </c>
      <c r="G1624" s="38">
        <f t="shared" si="170"/>
        <v>0</v>
      </c>
      <c r="H1624" s="38">
        <f t="shared" si="170"/>
        <v>0</v>
      </c>
      <c r="I1624" s="38">
        <f t="shared" si="170"/>
        <v>0</v>
      </c>
      <c r="J1624" s="38">
        <f t="shared" si="168"/>
        <v>0</v>
      </c>
      <c r="K1624" s="38">
        <f t="shared" si="168"/>
        <v>0</v>
      </c>
      <c r="L1624" s="38">
        <f t="shared" si="168"/>
        <v>3.0303030303030304E-2</v>
      </c>
      <c r="M1624" s="35">
        <f t="shared" si="171"/>
        <v>3.0303030303030304E-2</v>
      </c>
      <c r="S1624" t="s">
        <v>74</v>
      </c>
      <c r="T1624" s="5">
        <f>data_origin!T1843</f>
        <v>0</v>
      </c>
      <c r="U1624" s="5">
        <f>data_origin!U1843</f>
        <v>0</v>
      </c>
      <c r="V1624" s="5">
        <f>data_origin!V1843</f>
        <v>0</v>
      </c>
      <c r="W1624" s="5">
        <f>data_origin!W1843</f>
        <v>0</v>
      </c>
      <c r="X1624" s="5">
        <f>data_origin!X1843</f>
        <v>0</v>
      </c>
      <c r="Y1624" s="5">
        <f>data_origin!Y1843</f>
        <v>0</v>
      </c>
      <c r="Z1624" s="5">
        <f>data_origin!Z1843</f>
        <v>0</v>
      </c>
      <c r="AA1624" s="5">
        <f>data_origin!AA1843</f>
        <v>3.0303030303030304E-2</v>
      </c>
      <c r="AB1624" s="5">
        <f t="shared" si="169"/>
        <v>3.0303030303030304E-2</v>
      </c>
    </row>
    <row r="1625" spans="1:28" x14ac:dyDescent="0.25">
      <c r="D1625" t="s">
        <v>75</v>
      </c>
      <c r="E1625" s="38">
        <f t="shared" si="170"/>
        <v>0</v>
      </c>
      <c r="F1625" s="38">
        <f t="shared" si="170"/>
        <v>0</v>
      </c>
      <c r="G1625" s="38">
        <f t="shared" si="170"/>
        <v>0</v>
      </c>
      <c r="H1625" s="38">
        <f t="shared" si="170"/>
        <v>5.3057500968566824</v>
      </c>
      <c r="I1625" s="38">
        <f t="shared" si="170"/>
        <v>0</v>
      </c>
      <c r="J1625" s="38">
        <f t="shared" si="168"/>
        <v>0</v>
      </c>
      <c r="K1625" s="38">
        <f t="shared" si="168"/>
        <v>0</v>
      </c>
      <c r="L1625" s="38">
        <f t="shared" si="168"/>
        <v>3.0303030303030304E-2</v>
      </c>
      <c r="M1625" s="35">
        <f t="shared" si="171"/>
        <v>5.3360531271597127</v>
      </c>
      <c r="S1625" t="s">
        <v>75</v>
      </c>
      <c r="T1625" s="5">
        <f>data_origin!T1844</f>
        <v>0</v>
      </c>
      <c r="U1625" s="5">
        <f>data_origin!U1844</f>
        <v>0</v>
      </c>
      <c r="V1625" s="5">
        <f>data_origin!V1844</f>
        <v>0</v>
      </c>
      <c r="W1625" s="5">
        <f>data_origin!W1844</f>
        <v>5.2142857142857135</v>
      </c>
      <c r="X1625" s="5">
        <f>data_origin!X1844</f>
        <v>0</v>
      </c>
      <c r="Y1625" s="5">
        <f>data_origin!Y1844</f>
        <v>0</v>
      </c>
      <c r="Z1625" s="5">
        <f>data_origin!Z1844</f>
        <v>0</v>
      </c>
      <c r="AA1625" s="5">
        <f>data_origin!AA1844</f>
        <v>3.0303030303030304E-2</v>
      </c>
      <c r="AB1625" s="5">
        <f t="shared" si="169"/>
        <v>5.2445887445887438</v>
      </c>
    </row>
    <row r="1626" spans="1:28" x14ac:dyDescent="0.25">
      <c r="D1626" t="s">
        <v>76</v>
      </c>
      <c r="E1626" s="38">
        <f t="shared" si="170"/>
        <v>0</v>
      </c>
      <c r="F1626" s="38">
        <f t="shared" si="170"/>
        <v>0</v>
      </c>
      <c r="G1626" s="38">
        <f t="shared" si="170"/>
        <v>0</v>
      </c>
      <c r="H1626" s="38">
        <f t="shared" si="170"/>
        <v>5.3057500968566824</v>
      </c>
      <c r="I1626" s="38">
        <f t="shared" si="170"/>
        <v>5.8160082300023923</v>
      </c>
      <c r="J1626" s="38">
        <f t="shared" si="168"/>
        <v>5.9846648381574852</v>
      </c>
      <c r="K1626" s="38">
        <f t="shared" si="168"/>
        <v>0</v>
      </c>
      <c r="L1626" s="38">
        <f t="shared" si="168"/>
        <v>3.0303030303030304E-2</v>
      </c>
      <c r="M1626" s="35">
        <f t="shared" si="171"/>
        <v>17.136726195319589</v>
      </c>
      <c r="S1626" t="s">
        <v>76</v>
      </c>
      <c r="T1626" s="5">
        <f>data_origin!T1845</f>
        <v>0</v>
      </c>
      <c r="U1626" s="5">
        <f>data_origin!U1845</f>
        <v>0</v>
      </c>
      <c r="V1626" s="5">
        <f>data_origin!V1845</f>
        <v>0</v>
      </c>
      <c r="W1626" s="5">
        <f>data_origin!W1845</f>
        <v>5.2142857142857135</v>
      </c>
      <c r="X1626" s="5">
        <f>data_origin!X1845</f>
        <v>5.7164179104477615</v>
      </c>
      <c r="Y1626" s="5">
        <f>data_origin!Y1845</f>
        <v>5.875</v>
      </c>
      <c r="Z1626" s="5">
        <f>data_origin!Z1845</f>
        <v>0</v>
      </c>
      <c r="AA1626" s="5">
        <f>data_origin!AA1845</f>
        <v>3.0303030303030304E-2</v>
      </c>
      <c r="AB1626" s="5">
        <f t="shared" si="169"/>
        <v>16.836006655036506</v>
      </c>
    </row>
    <row r="1627" spans="1:28" x14ac:dyDescent="0.25">
      <c r="D1627" t="s">
        <v>77</v>
      </c>
      <c r="E1627" s="38">
        <f t="shared" si="170"/>
        <v>0</v>
      </c>
      <c r="F1627" s="38">
        <f t="shared" si="170"/>
        <v>0</v>
      </c>
      <c r="G1627" s="38">
        <f t="shared" si="170"/>
        <v>0</v>
      </c>
      <c r="H1627" s="38">
        <f t="shared" si="170"/>
        <v>0</v>
      </c>
      <c r="I1627" s="38">
        <f t="shared" si="170"/>
        <v>5.8160082300023923</v>
      </c>
      <c r="J1627" s="38">
        <f t="shared" si="168"/>
        <v>0</v>
      </c>
      <c r="K1627" s="38">
        <f t="shared" si="168"/>
        <v>0</v>
      </c>
      <c r="L1627" s="38">
        <f t="shared" si="168"/>
        <v>3.0303030303030304E-2</v>
      </c>
      <c r="M1627" s="35">
        <f t="shared" si="171"/>
        <v>5.8463112603054226</v>
      </c>
      <c r="S1627" t="s">
        <v>77</v>
      </c>
      <c r="T1627" s="5">
        <f>data_origin!T1846</f>
        <v>0</v>
      </c>
      <c r="U1627" s="5">
        <f>data_origin!U1846</f>
        <v>0</v>
      </c>
      <c r="V1627" s="5">
        <f>data_origin!V1846</f>
        <v>0</v>
      </c>
      <c r="W1627" s="5">
        <f>data_origin!W1846</f>
        <v>0</v>
      </c>
      <c r="X1627" s="5">
        <f>data_origin!X1846</f>
        <v>5.7164179104477615</v>
      </c>
      <c r="Y1627" s="5">
        <f>data_origin!Y1846</f>
        <v>0</v>
      </c>
      <c r="Z1627" s="5">
        <f>data_origin!Z1846</f>
        <v>0</v>
      </c>
      <c r="AA1627" s="5">
        <f>data_origin!AA1846</f>
        <v>3.0303030303030304E-2</v>
      </c>
      <c r="AB1627" s="5">
        <f t="shared" si="169"/>
        <v>5.7467209407507918</v>
      </c>
    </row>
    <row r="1628" spans="1:28" x14ac:dyDescent="0.25">
      <c r="D1628" t="s">
        <v>78</v>
      </c>
      <c r="E1628" s="38">
        <f t="shared" si="170"/>
        <v>0</v>
      </c>
      <c r="F1628" s="38">
        <f t="shared" si="170"/>
        <v>0</v>
      </c>
      <c r="G1628" s="38">
        <f t="shared" si="170"/>
        <v>7.0738845047703061</v>
      </c>
      <c r="H1628" s="38">
        <f t="shared" si="170"/>
        <v>37.140250677996782</v>
      </c>
      <c r="I1628" s="38">
        <f t="shared" si="170"/>
        <v>46.528065840019138</v>
      </c>
      <c r="J1628" s="38">
        <f t="shared" si="168"/>
        <v>0</v>
      </c>
      <c r="K1628" s="38">
        <f t="shared" si="168"/>
        <v>0</v>
      </c>
      <c r="L1628" s="38">
        <f t="shared" si="168"/>
        <v>3.0303030303030304E-2</v>
      </c>
      <c r="M1628" s="35">
        <f t="shared" si="171"/>
        <v>90.77250405308925</v>
      </c>
      <c r="S1628" t="s">
        <v>78</v>
      </c>
      <c r="T1628" s="5">
        <f>data_origin!T1847</f>
        <v>0</v>
      </c>
      <c r="U1628" s="5">
        <f>data_origin!U1847</f>
        <v>0</v>
      </c>
      <c r="V1628" s="5">
        <f>data_origin!V1847</f>
        <v>6.9767441860465116</v>
      </c>
      <c r="W1628" s="5">
        <f>data_origin!W1847</f>
        <v>36.5</v>
      </c>
      <c r="X1628" s="5">
        <f>data_origin!X1847</f>
        <v>45.731343283582092</v>
      </c>
      <c r="Y1628" s="5">
        <f>data_origin!Y1847</f>
        <v>0</v>
      </c>
      <c r="Z1628" s="5">
        <f>data_origin!Z1847</f>
        <v>0</v>
      </c>
      <c r="AA1628" s="5">
        <f>data_origin!AA1847</f>
        <v>3.0303030303030304E-2</v>
      </c>
      <c r="AB1628" s="5">
        <f t="shared" si="169"/>
        <v>89.238390499931626</v>
      </c>
    </row>
    <row r="1629" spans="1:28" x14ac:dyDescent="0.25">
      <c r="D1629" t="s">
        <v>79</v>
      </c>
      <c r="E1629" s="38">
        <f t="shared" si="170"/>
        <v>0</v>
      </c>
      <c r="F1629" s="38">
        <f t="shared" si="170"/>
        <v>0</v>
      </c>
      <c r="G1629" s="38">
        <f t="shared" si="170"/>
        <v>3.536942252385153</v>
      </c>
      <c r="H1629" s="38">
        <f t="shared" si="170"/>
        <v>0</v>
      </c>
      <c r="I1629" s="38">
        <f t="shared" si="170"/>
        <v>11.632016460004785</v>
      </c>
      <c r="J1629" s="38">
        <f t="shared" si="168"/>
        <v>5.9846648381574852</v>
      </c>
      <c r="K1629" s="38">
        <f t="shared" si="168"/>
        <v>3.4047619047619042</v>
      </c>
      <c r="L1629" s="38">
        <f t="shared" si="168"/>
        <v>3.0303030303030304E-2</v>
      </c>
      <c r="M1629" s="35">
        <f t="shared" si="171"/>
        <v>24.588688485612359</v>
      </c>
      <c r="S1629" t="s">
        <v>79</v>
      </c>
      <c r="T1629" s="5">
        <f>data_origin!T1848</f>
        <v>0</v>
      </c>
      <c r="U1629" s="5">
        <f>data_origin!U1848</f>
        <v>0</v>
      </c>
      <c r="V1629" s="5">
        <f>data_origin!V1848</f>
        <v>3.4883720930232558</v>
      </c>
      <c r="W1629" s="5">
        <f>data_origin!W1848</f>
        <v>0</v>
      </c>
      <c r="X1629" s="5">
        <f>data_origin!X1848</f>
        <v>11.432835820895523</v>
      </c>
      <c r="Y1629" s="5">
        <f>data_origin!Y1848</f>
        <v>5.875</v>
      </c>
      <c r="Z1629" s="5">
        <f>data_origin!Z1848</f>
        <v>3.333333333333333</v>
      </c>
      <c r="AA1629" s="5">
        <f>data_origin!AA1848</f>
        <v>3.0303030303030304E-2</v>
      </c>
      <c r="AB1629" s="5">
        <f t="shared" si="169"/>
        <v>24.159844277555141</v>
      </c>
    </row>
    <row r="1630" spans="1:28" x14ac:dyDescent="0.25">
      <c r="D1630" t="s">
        <v>80</v>
      </c>
      <c r="E1630" s="38">
        <f t="shared" si="170"/>
        <v>0</v>
      </c>
      <c r="F1630" s="38">
        <f t="shared" si="170"/>
        <v>0</v>
      </c>
      <c r="G1630" s="38">
        <f t="shared" si="170"/>
        <v>7.0738845047703061</v>
      </c>
      <c r="H1630" s="38">
        <f t="shared" si="170"/>
        <v>10.611500193713365</v>
      </c>
      <c r="I1630" s="38">
        <f t="shared" si="170"/>
        <v>5.8160082300023923</v>
      </c>
      <c r="J1630" s="38">
        <f t="shared" si="168"/>
        <v>0</v>
      </c>
      <c r="K1630" s="38">
        <f t="shared" si="168"/>
        <v>3.4047619047619042</v>
      </c>
      <c r="L1630" s="38">
        <f t="shared" si="168"/>
        <v>3.0303030303030304E-2</v>
      </c>
      <c r="M1630" s="35">
        <f t="shared" si="171"/>
        <v>26.936457863550999</v>
      </c>
      <c r="S1630" t="s">
        <v>80</v>
      </c>
      <c r="T1630" s="5">
        <f>data_origin!T1849</f>
        <v>0</v>
      </c>
      <c r="U1630" s="5">
        <f>data_origin!U1849</f>
        <v>0</v>
      </c>
      <c r="V1630" s="5">
        <f>data_origin!V1849</f>
        <v>6.9767441860465116</v>
      </c>
      <c r="W1630" s="5">
        <f>data_origin!W1849</f>
        <v>10.428571428571427</v>
      </c>
      <c r="X1630" s="5">
        <f>data_origin!X1849</f>
        <v>5.7164179104477615</v>
      </c>
      <c r="Y1630" s="5">
        <f>data_origin!Y1849</f>
        <v>0</v>
      </c>
      <c r="Z1630" s="5">
        <f>data_origin!Z1849</f>
        <v>3.333333333333333</v>
      </c>
      <c r="AA1630" s="5">
        <f>data_origin!AA1849</f>
        <v>3.0303030303030304E-2</v>
      </c>
      <c r="AB1630" s="5">
        <f t="shared" si="169"/>
        <v>26.485369888702063</v>
      </c>
    </row>
    <row r="1631" spans="1:28" x14ac:dyDescent="0.25">
      <c r="D1631" t="s">
        <v>81</v>
      </c>
      <c r="E1631" s="38">
        <f t="shared" si="170"/>
        <v>0</v>
      </c>
      <c r="F1631" s="38">
        <f t="shared" si="170"/>
        <v>0</v>
      </c>
      <c r="G1631" s="38">
        <f t="shared" si="170"/>
        <v>0</v>
      </c>
      <c r="H1631" s="38">
        <f t="shared" si="170"/>
        <v>0</v>
      </c>
      <c r="I1631" s="38">
        <f t="shared" si="170"/>
        <v>5.8160082300023923</v>
      </c>
      <c r="J1631" s="38">
        <f t="shared" si="168"/>
        <v>0</v>
      </c>
      <c r="K1631" s="38">
        <f t="shared" si="168"/>
        <v>0</v>
      </c>
      <c r="L1631" s="38">
        <f t="shared" si="168"/>
        <v>3.0303030303030304E-2</v>
      </c>
      <c r="M1631" s="35">
        <f t="shared" si="171"/>
        <v>5.8463112603054226</v>
      </c>
      <c r="S1631" t="s">
        <v>81</v>
      </c>
      <c r="T1631" s="5">
        <f>data_origin!T1850</f>
        <v>0</v>
      </c>
      <c r="U1631" s="5">
        <f>data_origin!U1850</f>
        <v>0</v>
      </c>
      <c r="V1631" s="5">
        <f>data_origin!V1850</f>
        <v>0</v>
      </c>
      <c r="W1631" s="5">
        <f>data_origin!W1850</f>
        <v>0</v>
      </c>
      <c r="X1631" s="5">
        <f>data_origin!X1850</f>
        <v>5.7164179104477615</v>
      </c>
      <c r="Y1631" s="5">
        <f>data_origin!Y1850</f>
        <v>0</v>
      </c>
      <c r="Z1631" s="5">
        <f>data_origin!Z1850</f>
        <v>0</v>
      </c>
      <c r="AA1631" s="5">
        <f>data_origin!AA1850</f>
        <v>3.0303030303030304E-2</v>
      </c>
      <c r="AB1631" s="5">
        <f t="shared" si="169"/>
        <v>5.7467209407507918</v>
      </c>
    </row>
    <row r="1632" spans="1:28" x14ac:dyDescent="0.25">
      <c r="D1632" t="s">
        <v>82</v>
      </c>
      <c r="E1632" s="38">
        <f t="shared" si="170"/>
        <v>0</v>
      </c>
      <c r="F1632" s="38">
        <f t="shared" si="170"/>
        <v>0</v>
      </c>
      <c r="G1632" s="38">
        <f t="shared" si="170"/>
        <v>0</v>
      </c>
      <c r="H1632" s="38">
        <f t="shared" si="170"/>
        <v>10.611500193713365</v>
      </c>
      <c r="I1632" s="38">
        <f t="shared" si="170"/>
        <v>17.448024690007173</v>
      </c>
      <c r="J1632" s="38">
        <f t="shared" si="168"/>
        <v>0</v>
      </c>
      <c r="K1632" s="38">
        <f t="shared" si="168"/>
        <v>0</v>
      </c>
      <c r="L1632" s="38">
        <f t="shared" si="168"/>
        <v>3.0303030303030304E-2</v>
      </c>
      <c r="M1632" s="35">
        <f t="shared" si="171"/>
        <v>28.089827914023569</v>
      </c>
      <c r="S1632" t="s">
        <v>82</v>
      </c>
      <c r="T1632" s="5">
        <f>data_origin!T1851</f>
        <v>0</v>
      </c>
      <c r="U1632" s="5">
        <f>data_origin!U1851</f>
        <v>0</v>
      </c>
      <c r="V1632" s="5">
        <f>data_origin!V1851</f>
        <v>0</v>
      </c>
      <c r="W1632" s="5">
        <f>data_origin!W1851</f>
        <v>10.428571428571427</v>
      </c>
      <c r="X1632" s="5">
        <f>data_origin!X1851</f>
        <v>17.149253731343283</v>
      </c>
      <c r="Y1632" s="5">
        <f>data_origin!Y1851</f>
        <v>0</v>
      </c>
      <c r="Z1632" s="5">
        <f>data_origin!Z1851</f>
        <v>0</v>
      </c>
      <c r="AA1632" s="5">
        <f>data_origin!AA1851</f>
        <v>3.0303030303030304E-2</v>
      </c>
      <c r="AB1632" s="5">
        <f t="shared" si="169"/>
        <v>27.608128190217741</v>
      </c>
    </row>
    <row r="1633" spans="4:28" x14ac:dyDescent="0.25">
      <c r="D1633" t="s">
        <v>83</v>
      </c>
      <c r="E1633" s="38">
        <f t="shared" si="170"/>
        <v>0</v>
      </c>
      <c r="F1633" s="38">
        <f t="shared" si="170"/>
        <v>0</v>
      </c>
      <c r="G1633" s="38">
        <f t="shared" si="170"/>
        <v>0</v>
      </c>
      <c r="H1633" s="38">
        <f t="shared" si="170"/>
        <v>5.3057500968566824</v>
      </c>
      <c r="I1633" s="38">
        <f t="shared" si="170"/>
        <v>0</v>
      </c>
      <c r="J1633" s="38">
        <f t="shared" si="168"/>
        <v>0</v>
      </c>
      <c r="K1633" s="38">
        <f t="shared" si="168"/>
        <v>0</v>
      </c>
      <c r="L1633" s="38">
        <f t="shared" si="168"/>
        <v>3.0303030303030304E-2</v>
      </c>
      <c r="M1633" s="35">
        <f t="shared" si="171"/>
        <v>5.3360531271597127</v>
      </c>
      <c r="S1633" t="s">
        <v>83</v>
      </c>
      <c r="T1633" s="5">
        <f>data_origin!T1852</f>
        <v>0</v>
      </c>
      <c r="U1633" s="5">
        <f>data_origin!U1852</f>
        <v>0</v>
      </c>
      <c r="V1633" s="5">
        <f>data_origin!V1852</f>
        <v>0</v>
      </c>
      <c r="W1633" s="5">
        <f>data_origin!W1852</f>
        <v>5.2142857142857135</v>
      </c>
      <c r="X1633" s="5">
        <f>data_origin!X1852</f>
        <v>0</v>
      </c>
      <c r="Y1633" s="5">
        <f>data_origin!Y1852</f>
        <v>0</v>
      </c>
      <c r="Z1633" s="5">
        <f>data_origin!Z1852</f>
        <v>0</v>
      </c>
      <c r="AA1633" s="5">
        <f>data_origin!AA1852</f>
        <v>3.0303030303030304E-2</v>
      </c>
      <c r="AB1633" s="5">
        <f t="shared" si="169"/>
        <v>5.2445887445887438</v>
      </c>
    </row>
    <row r="1634" spans="4:28" x14ac:dyDescent="0.25">
      <c r="D1634" t="s">
        <v>84</v>
      </c>
      <c r="E1634" s="38">
        <f t="shared" si="170"/>
        <v>0</v>
      </c>
      <c r="F1634" s="38">
        <f t="shared" si="170"/>
        <v>0</v>
      </c>
      <c r="G1634" s="38">
        <f t="shared" si="170"/>
        <v>0</v>
      </c>
      <c r="H1634" s="38">
        <f t="shared" si="170"/>
        <v>0</v>
      </c>
      <c r="I1634" s="38">
        <f t="shared" si="170"/>
        <v>0</v>
      </c>
      <c r="J1634" s="38">
        <f t="shared" si="168"/>
        <v>11.96932967631497</v>
      </c>
      <c r="K1634" s="38">
        <f t="shared" si="168"/>
        <v>0</v>
      </c>
      <c r="L1634" s="38">
        <f t="shared" si="168"/>
        <v>3.0303030303030304E-2</v>
      </c>
      <c r="M1634" s="35">
        <f t="shared" si="171"/>
        <v>11.999632706618002</v>
      </c>
      <c r="S1634" t="s">
        <v>84</v>
      </c>
      <c r="T1634" s="5">
        <f>data_origin!T1853</f>
        <v>0</v>
      </c>
      <c r="U1634" s="5">
        <f>data_origin!U1853</f>
        <v>0</v>
      </c>
      <c r="V1634" s="5">
        <f>data_origin!V1853</f>
        <v>0</v>
      </c>
      <c r="W1634" s="5">
        <f>data_origin!W1853</f>
        <v>0</v>
      </c>
      <c r="X1634" s="5">
        <f>data_origin!X1853</f>
        <v>0</v>
      </c>
      <c r="Y1634" s="5">
        <f>data_origin!Y1853</f>
        <v>11.75</v>
      </c>
      <c r="Z1634" s="5">
        <f>data_origin!Z1853</f>
        <v>0</v>
      </c>
      <c r="AA1634" s="5">
        <f>data_origin!AA1853</f>
        <v>3.0303030303030304E-2</v>
      </c>
      <c r="AB1634" s="5">
        <f t="shared" si="169"/>
        <v>11.780303030303031</v>
      </c>
    </row>
    <row r="1635" spans="4:28" x14ac:dyDescent="0.25">
      <c r="D1635" t="s">
        <v>85</v>
      </c>
      <c r="E1635" s="38">
        <f t="shared" si="170"/>
        <v>0</v>
      </c>
      <c r="F1635" s="38">
        <f t="shared" si="170"/>
        <v>0</v>
      </c>
      <c r="G1635" s="38">
        <f t="shared" si="170"/>
        <v>0</v>
      </c>
      <c r="H1635" s="38">
        <f t="shared" si="170"/>
        <v>5.3057500968566824</v>
      </c>
      <c r="I1635" s="38">
        <f t="shared" si="170"/>
        <v>0</v>
      </c>
      <c r="J1635" s="38">
        <f t="shared" si="168"/>
        <v>0</v>
      </c>
      <c r="K1635" s="38">
        <f t="shared" si="168"/>
        <v>0</v>
      </c>
      <c r="L1635" s="38">
        <f t="shared" si="168"/>
        <v>3.0303030303030304E-2</v>
      </c>
      <c r="M1635" s="35">
        <f t="shared" si="171"/>
        <v>5.3360531271597127</v>
      </c>
      <c r="S1635" t="s">
        <v>85</v>
      </c>
      <c r="T1635" s="5">
        <f>data_origin!T1854</f>
        <v>0</v>
      </c>
      <c r="U1635" s="5">
        <f>data_origin!U1854</f>
        <v>0</v>
      </c>
      <c r="V1635" s="5">
        <f>data_origin!V1854</f>
        <v>0</v>
      </c>
      <c r="W1635" s="5">
        <f>data_origin!W1854</f>
        <v>5.2142857142857135</v>
      </c>
      <c r="X1635" s="5">
        <f>data_origin!X1854</f>
        <v>0</v>
      </c>
      <c r="Y1635" s="5">
        <f>data_origin!Y1854</f>
        <v>0</v>
      </c>
      <c r="Z1635" s="5">
        <f>data_origin!Z1854</f>
        <v>0</v>
      </c>
      <c r="AA1635" s="5">
        <f>data_origin!AA1854</f>
        <v>3.0303030303030304E-2</v>
      </c>
      <c r="AB1635" s="5">
        <f t="shared" si="169"/>
        <v>5.2445887445887438</v>
      </c>
    </row>
    <row r="1636" spans="4:28" x14ac:dyDescent="0.25">
      <c r="D1636" t="s">
        <v>86</v>
      </c>
      <c r="E1636" s="38">
        <f t="shared" si="170"/>
        <v>0</v>
      </c>
      <c r="F1636" s="38">
        <f t="shared" si="170"/>
        <v>0</v>
      </c>
      <c r="G1636" s="38">
        <f t="shared" si="170"/>
        <v>3.536942252385153</v>
      </c>
      <c r="H1636" s="38">
        <f t="shared" si="170"/>
        <v>21.22300038742673</v>
      </c>
      <c r="I1636" s="38">
        <f t="shared" si="170"/>
        <v>11.632016460004785</v>
      </c>
      <c r="J1636" s="38">
        <f t="shared" si="168"/>
        <v>5.9846648381574852</v>
      </c>
      <c r="K1636" s="38">
        <f t="shared" si="168"/>
        <v>0</v>
      </c>
      <c r="L1636" s="38">
        <f t="shared" si="168"/>
        <v>3.0303030303030304E-2</v>
      </c>
      <c r="M1636" s="35">
        <f t="shared" si="171"/>
        <v>42.406926968277183</v>
      </c>
      <c r="S1636" t="s">
        <v>86</v>
      </c>
      <c r="T1636" s="5">
        <f>data_origin!T1855</f>
        <v>0</v>
      </c>
      <c r="U1636" s="5">
        <f>data_origin!U1855</f>
        <v>0</v>
      </c>
      <c r="V1636" s="5">
        <f>data_origin!V1855</f>
        <v>3.4883720930232558</v>
      </c>
      <c r="W1636" s="5">
        <f>data_origin!W1855</f>
        <v>20.857142857142854</v>
      </c>
      <c r="X1636" s="5">
        <f>data_origin!X1855</f>
        <v>11.432835820895523</v>
      </c>
      <c r="Y1636" s="5">
        <f>data_origin!Y1855</f>
        <v>5.875</v>
      </c>
      <c r="Z1636" s="5">
        <f>data_origin!Z1855</f>
        <v>0</v>
      </c>
      <c r="AA1636" s="5">
        <f>data_origin!AA1855</f>
        <v>3.0303030303030304E-2</v>
      </c>
      <c r="AB1636" s="5">
        <f t="shared" si="169"/>
        <v>41.683653801364663</v>
      </c>
    </row>
    <row r="1637" spans="4:28" x14ac:dyDescent="0.25">
      <c r="D1637" t="s">
        <v>87</v>
      </c>
      <c r="E1637" s="38">
        <f t="shared" si="170"/>
        <v>0</v>
      </c>
      <c r="F1637" s="38">
        <f t="shared" si="170"/>
        <v>0</v>
      </c>
      <c r="G1637" s="38">
        <f t="shared" si="170"/>
        <v>10.61082675715546</v>
      </c>
      <c r="H1637" s="38">
        <f t="shared" si="170"/>
        <v>84.892001549706919</v>
      </c>
      <c r="I1637" s="38">
        <f t="shared" si="170"/>
        <v>29.080041150011958</v>
      </c>
      <c r="J1637" s="38">
        <f t="shared" si="168"/>
        <v>5.9846648381574852</v>
      </c>
      <c r="K1637" s="38">
        <f t="shared" si="168"/>
        <v>0</v>
      </c>
      <c r="L1637" s="38">
        <f t="shared" si="168"/>
        <v>3.0303030303030304E-2</v>
      </c>
      <c r="M1637" s="35">
        <f t="shared" si="171"/>
        <v>130.59783732533484</v>
      </c>
      <c r="S1637" t="s">
        <v>87</v>
      </c>
      <c r="T1637" s="5">
        <f>data_origin!T1856</f>
        <v>0</v>
      </c>
      <c r="U1637" s="5">
        <f>data_origin!U1856</f>
        <v>0</v>
      </c>
      <c r="V1637" s="5">
        <f>data_origin!V1856</f>
        <v>10.465116279069768</v>
      </c>
      <c r="W1637" s="5">
        <f>data_origin!W1856</f>
        <v>83.428571428571416</v>
      </c>
      <c r="X1637" s="5">
        <f>data_origin!X1856</f>
        <v>28.582089552238806</v>
      </c>
      <c r="Y1637" s="5">
        <f>data_origin!Y1856</f>
        <v>5.875</v>
      </c>
      <c r="Z1637" s="5">
        <f>data_origin!Z1856</f>
        <v>0</v>
      </c>
      <c r="AA1637" s="5">
        <f>data_origin!AA1856</f>
        <v>3.0303030303030304E-2</v>
      </c>
      <c r="AB1637" s="5">
        <f t="shared" si="169"/>
        <v>128.38108029018304</v>
      </c>
    </row>
    <row r="1638" spans="4:28" x14ac:dyDescent="0.25">
      <c r="D1638" t="s">
        <v>88</v>
      </c>
      <c r="E1638" s="38">
        <f t="shared" si="170"/>
        <v>0</v>
      </c>
      <c r="F1638" s="38">
        <f t="shared" si="170"/>
        <v>0</v>
      </c>
      <c r="G1638" s="38">
        <f t="shared" si="170"/>
        <v>17.684711261925763</v>
      </c>
      <c r="H1638" s="38">
        <f t="shared" si="170"/>
        <v>37.140250677996782</v>
      </c>
      <c r="I1638" s="38">
        <f t="shared" si="170"/>
        <v>35.896049380014347</v>
      </c>
      <c r="J1638" s="38">
        <f t="shared" si="168"/>
        <v>17.953994514472456</v>
      </c>
      <c r="K1638" s="38">
        <f t="shared" si="168"/>
        <v>0</v>
      </c>
      <c r="L1638" s="38">
        <f t="shared" si="168"/>
        <v>3.0303030303030304E-2</v>
      </c>
      <c r="M1638" s="35">
        <f t="shared" si="171"/>
        <v>108.70530886471238</v>
      </c>
      <c r="S1638" t="s">
        <v>88</v>
      </c>
      <c r="T1638" s="5">
        <f>data_origin!T1857</f>
        <v>0</v>
      </c>
      <c r="U1638" s="5">
        <f>data_origin!U1857</f>
        <v>0</v>
      </c>
      <c r="V1638" s="5">
        <f>data_origin!V1857</f>
        <v>17.441860465116278</v>
      </c>
      <c r="W1638" s="5">
        <f>data_origin!W1857</f>
        <v>36.5</v>
      </c>
      <c r="X1638" s="5">
        <f>data_origin!X1857</f>
        <v>34.298507462686565</v>
      </c>
      <c r="Y1638" s="5">
        <f>data_origin!Y1857</f>
        <v>17.625</v>
      </c>
      <c r="Z1638" s="5">
        <f>data_origin!Z1857</f>
        <v>0</v>
      </c>
      <c r="AA1638" s="5">
        <f>data_origin!AA1857</f>
        <v>3.0303030303030304E-2</v>
      </c>
      <c r="AB1638" s="5">
        <f t="shared" si="169"/>
        <v>105.89567095810588</v>
      </c>
    </row>
    <row r="1639" spans="4:28" x14ac:dyDescent="0.25">
      <c r="D1639" t="s">
        <v>89</v>
      </c>
      <c r="E1639" s="38">
        <f t="shared" si="170"/>
        <v>0</v>
      </c>
      <c r="F1639" s="38">
        <f t="shared" si="170"/>
        <v>0</v>
      </c>
      <c r="G1639" s="38">
        <f t="shared" si="170"/>
        <v>14.147769009540612</v>
      </c>
      <c r="H1639" s="38">
        <f t="shared" si="170"/>
        <v>21.22300038742673</v>
      </c>
      <c r="I1639" s="38">
        <f t="shared" si="170"/>
        <v>11.632016460004785</v>
      </c>
      <c r="J1639" s="38">
        <f t="shared" si="168"/>
        <v>0</v>
      </c>
      <c r="K1639" s="38">
        <f t="shared" si="168"/>
        <v>0</v>
      </c>
      <c r="L1639" s="38">
        <f t="shared" si="168"/>
        <v>3.0303030303030304E-2</v>
      </c>
      <c r="M1639" s="35">
        <f t="shared" si="171"/>
        <v>47.033088887275156</v>
      </c>
      <c r="S1639" t="s">
        <v>89</v>
      </c>
      <c r="T1639" s="5">
        <f>data_origin!T1858</f>
        <v>0</v>
      </c>
      <c r="U1639" s="5">
        <f>data_origin!U1858</f>
        <v>0</v>
      </c>
      <c r="V1639" s="5">
        <f>data_origin!V1858</f>
        <v>13.953488372093023</v>
      </c>
      <c r="W1639" s="5">
        <f>data_origin!W1858</f>
        <v>20.857142857142854</v>
      </c>
      <c r="X1639" s="5">
        <f>data_origin!X1858</f>
        <v>11.432835820895523</v>
      </c>
      <c r="Y1639" s="5">
        <f>data_origin!Y1858</f>
        <v>0</v>
      </c>
      <c r="Z1639" s="5">
        <f>data_origin!Z1858</f>
        <v>0</v>
      </c>
      <c r="AA1639" s="5">
        <f>data_origin!AA1858</f>
        <v>3.0303030303030304E-2</v>
      </c>
      <c r="AB1639" s="5">
        <f t="shared" si="169"/>
        <v>46.273770080434431</v>
      </c>
    </row>
    <row r="1640" spans="4:28" x14ac:dyDescent="0.25">
      <c r="D1640" t="s">
        <v>90</v>
      </c>
      <c r="E1640" s="38">
        <f t="shared" ref="E1640:L1652" si="172">T1640+AW386+IFERROR((T1640/SUM(T$993:T$1982)*AW$630),0)+IFERROR((T1640/SUM(T$1125:T$1322,T$1455:T$1652,T$1785:T$1982)*AW$732),0)</f>
        <v>0</v>
      </c>
      <c r="F1640" s="38">
        <f t="shared" si="172"/>
        <v>0</v>
      </c>
      <c r="G1640" s="38">
        <f t="shared" si="172"/>
        <v>0</v>
      </c>
      <c r="H1640" s="38">
        <f t="shared" si="172"/>
        <v>0</v>
      </c>
      <c r="I1640" s="38">
        <f t="shared" si="172"/>
        <v>0</v>
      </c>
      <c r="J1640" s="38">
        <f t="shared" si="168"/>
        <v>0</v>
      </c>
      <c r="K1640" s="38">
        <f t="shared" si="168"/>
        <v>0</v>
      </c>
      <c r="L1640" s="38">
        <f t="shared" si="168"/>
        <v>3.0303030303030304E-2</v>
      </c>
      <c r="M1640" s="35">
        <f t="shared" si="171"/>
        <v>3.0303030303030304E-2</v>
      </c>
      <c r="S1640" t="s">
        <v>90</v>
      </c>
      <c r="T1640" s="5">
        <f>data_origin!T1859</f>
        <v>0</v>
      </c>
      <c r="U1640" s="5">
        <f>data_origin!U1859</f>
        <v>0</v>
      </c>
      <c r="V1640" s="5">
        <f>data_origin!V1859</f>
        <v>0</v>
      </c>
      <c r="W1640" s="5">
        <f>data_origin!W1859</f>
        <v>0</v>
      </c>
      <c r="X1640" s="5">
        <f>data_origin!X1859</f>
        <v>0</v>
      </c>
      <c r="Y1640" s="5">
        <f>data_origin!Y1859</f>
        <v>0</v>
      </c>
      <c r="Z1640" s="5">
        <f>data_origin!Z1859</f>
        <v>0</v>
      </c>
      <c r="AA1640" s="5">
        <f>data_origin!AA1859</f>
        <v>3.0303030303030304E-2</v>
      </c>
      <c r="AB1640" s="5">
        <f t="shared" si="169"/>
        <v>3.0303030303030304E-2</v>
      </c>
    </row>
    <row r="1641" spans="4:28" x14ac:dyDescent="0.25">
      <c r="D1641" t="s">
        <v>91</v>
      </c>
      <c r="E1641" s="38">
        <f t="shared" si="172"/>
        <v>0</v>
      </c>
      <c r="F1641" s="38">
        <f t="shared" si="172"/>
        <v>0</v>
      </c>
      <c r="G1641" s="38">
        <f t="shared" si="172"/>
        <v>0</v>
      </c>
      <c r="H1641" s="38">
        <f t="shared" si="172"/>
        <v>5.3057500968566824</v>
      </c>
      <c r="I1641" s="38">
        <f t="shared" si="172"/>
        <v>0</v>
      </c>
      <c r="J1641" s="38">
        <f t="shared" si="168"/>
        <v>0</v>
      </c>
      <c r="K1641" s="38">
        <f t="shared" si="168"/>
        <v>0</v>
      </c>
      <c r="L1641" s="38">
        <f t="shared" si="168"/>
        <v>3.0303030303030304E-2</v>
      </c>
      <c r="M1641" s="35">
        <f t="shared" si="171"/>
        <v>5.3360531271597127</v>
      </c>
      <c r="S1641" t="s">
        <v>91</v>
      </c>
      <c r="T1641" s="5">
        <f>data_origin!T1860</f>
        <v>0</v>
      </c>
      <c r="U1641" s="5">
        <f>data_origin!U1860</f>
        <v>0</v>
      </c>
      <c r="V1641" s="5">
        <f>data_origin!V1860</f>
        <v>0</v>
      </c>
      <c r="W1641" s="5">
        <f>data_origin!W1860</f>
        <v>5.2142857142857135</v>
      </c>
      <c r="X1641" s="5">
        <f>data_origin!X1860</f>
        <v>0</v>
      </c>
      <c r="Y1641" s="5">
        <f>data_origin!Y1860</f>
        <v>0</v>
      </c>
      <c r="Z1641" s="5">
        <f>data_origin!Z1860</f>
        <v>0</v>
      </c>
      <c r="AA1641" s="5">
        <f>data_origin!AA1860</f>
        <v>3.0303030303030304E-2</v>
      </c>
      <c r="AB1641" s="5">
        <f t="shared" si="169"/>
        <v>5.2445887445887438</v>
      </c>
    </row>
    <row r="1642" spans="4:28" x14ac:dyDescent="0.25">
      <c r="D1642" t="s">
        <v>92</v>
      </c>
      <c r="E1642" s="38">
        <f t="shared" si="172"/>
        <v>0</v>
      </c>
      <c r="F1642" s="38">
        <f t="shared" si="172"/>
        <v>0</v>
      </c>
      <c r="G1642" s="38">
        <f t="shared" si="172"/>
        <v>0</v>
      </c>
      <c r="H1642" s="38">
        <f t="shared" si="172"/>
        <v>0</v>
      </c>
      <c r="I1642" s="38">
        <f t="shared" si="172"/>
        <v>0</v>
      </c>
      <c r="J1642" s="38">
        <f t="shared" si="168"/>
        <v>0</v>
      </c>
      <c r="K1642" s="38">
        <f t="shared" si="168"/>
        <v>0</v>
      </c>
      <c r="L1642" s="38">
        <f t="shared" si="168"/>
        <v>3.0303030303030304E-2</v>
      </c>
      <c r="M1642" s="35">
        <f t="shared" si="171"/>
        <v>3.0303030303030304E-2</v>
      </c>
      <c r="S1642" t="s">
        <v>92</v>
      </c>
      <c r="T1642" s="5">
        <f>data_origin!T1861</f>
        <v>0</v>
      </c>
      <c r="U1642" s="5">
        <f>data_origin!U1861</f>
        <v>0</v>
      </c>
      <c r="V1642" s="5">
        <f>data_origin!V1861</f>
        <v>0</v>
      </c>
      <c r="W1642" s="5">
        <f>data_origin!W1861</f>
        <v>0</v>
      </c>
      <c r="X1642" s="5">
        <f>data_origin!X1861</f>
        <v>0</v>
      </c>
      <c r="Y1642" s="5">
        <f>data_origin!Y1861</f>
        <v>0</v>
      </c>
      <c r="Z1642" s="5">
        <f>data_origin!Z1861</f>
        <v>0</v>
      </c>
      <c r="AA1642" s="5">
        <f>data_origin!AA1861</f>
        <v>3.0303030303030304E-2</v>
      </c>
      <c r="AB1642" s="5">
        <f t="shared" si="169"/>
        <v>3.0303030303030304E-2</v>
      </c>
    </row>
    <row r="1643" spans="4:28" x14ac:dyDescent="0.25">
      <c r="D1643" t="s">
        <v>93</v>
      </c>
      <c r="E1643" s="38">
        <f t="shared" si="172"/>
        <v>0</v>
      </c>
      <c r="F1643" s="38">
        <f t="shared" si="172"/>
        <v>0</v>
      </c>
      <c r="G1643" s="38">
        <f t="shared" si="172"/>
        <v>0</v>
      </c>
      <c r="H1643" s="38">
        <f t="shared" si="172"/>
        <v>0</v>
      </c>
      <c r="I1643" s="38">
        <f t="shared" si="172"/>
        <v>5.8160082300023923</v>
      </c>
      <c r="J1643" s="38">
        <f t="shared" si="168"/>
        <v>0</v>
      </c>
      <c r="K1643" s="38">
        <f t="shared" si="168"/>
        <v>0</v>
      </c>
      <c r="L1643" s="38">
        <f t="shared" si="168"/>
        <v>3.0303030303030304E-2</v>
      </c>
      <c r="M1643" s="35">
        <f t="shared" si="171"/>
        <v>5.8463112603054226</v>
      </c>
      <c r="S1643" t="s">
        <v>93</v>
      </c>
      <c r="T1643" s="5">
        <f>data_origin!T1862</f>
        <v>0</v>
      </c>
      <c r="U1643" s="5">
        <f>data_origin!U1862</f>
        <v>0</v>
      </c>
      <c r="V1643" s="5">
        <f>data_origin!V1862</f>
        <v>0</v>
      </c>
      <c r="W1643" s="5">
        <f>data_origin!W1862</f>
        <v>0</v>
      </c>
      <c r="X1643" s="5">
        <f>data_origin!X1862</f>
        <v>5.7164179104477615</v>
      </c>
      <c r="Y1643" s="5">
        <f>data_origin!Y1862</f>
        <v>0</v>
      </c>
      <c r="Z1643" s="5">
        <f>data_origin!Z1862</f>
        <v>0</v>
      </c>
      <c r="AA1643" s="5">
        <f>data_origin!AA1862</f>
        <v>3.0303030303030304E-2</v>
      </c>
      <c r="AB1643" s="5">
        <f t="shared" si="169"/>
        <v>5.7467209407507918</v>
      </c>
    </row>
    <row r="1644" spans="4:28" x14ac:dyDescent="0.25">
      <c r="D1644" t="s">
        <v>94</v>
      </c>
      <c r="E1644" s="38">
        <f t="shared" si="172"/>
        <v>0</v>
      </c>
      <c r="F1644" s="38">
        <f t="shared" si="172"/>
        <v>0</v>
      </c>
      <c r="G1644" s="38">
        <f t="shared" si="172"/>
        <v>0</v>
      </c>
      <c r="H1644" s="38">
        <f t="shared" si="172"/>
        <v>0</v>
      </c>
      <c r="I1644" s="38">
        <f t="shared" si="172"/>
        <v>0</v>
      </c>
      <c r="J1644" s="38">
        <f t="shared" si="172"/>
        <v>0</v>
      </c>
      <c r="K1644" s="38">
        <f t="shared" si="172"/>
        <v>0</v>
      </c>
      <c r="L1644" s="38">
        <f t="shared" si="172"/>
        <v>3.0303030303030304E-2</v>
      </c>
      <c r="M1644" s="35">
        <f t="shared" si="171"/>
        <v>3.0303030303030304E-2</v>
      </c>
      <c r="S1644" t="s">
        <v>94</v>
      </c>
      <c r="T1644" s="5">
        <f>data_origin!T1863</f>
        <v>0</v>
      </c>
      <c r="U1644" s="5">
        <f>data_origin!U1863</f>
        <v>0</v>
      </c>
      <c r="V1644" s="5">
        <f>data_origin!V1863</f>
        <v>0</v>
      </c>
      <c r="W1644" s="5">
        <f>data_origin!W1863</f>
        <v>0</v>
      </c>
      <c r="X1644" s="5">
        <f>data_origin!X1863</f>
        <v>0</v>
      </c>
      <c r="Y1644" s="5">
        <f>data_origin!Y1863</f>
        <v>0</v>
      </c>
      <c r="Z1644" s="5">
        <f>data_origin!Z1863</f>
        <v>0</v>
      </c>
      <c r="AA1644" s="5">
        <f>data_origin!AA1863</f>
        <v>3.0303030303030304E-2</v>
      </c>
      <c r="AB1644" s="5">
        <f t="shared" si="169"/>
        <v>3.0303030303030304E-2</v>
      </c>
    </row>
    <row r="1645" spans="4:28" x14ac:dyDescent="0.25">
      <c r="D1645" t="s">
        <v>95</v>
      </c>
      <c r="E1645" s="38">
        <f t="shared" si="172"/>
        <v>0</v>
      </c>
      <c r="F1645" s="38">
        <f t="shared" si="172"/>
        <v>0</v>
      </c>
      <c r="G1645" s="38">
        <f t="shared" si="172"/>
        <v>0</v>
      </c>
      <c r="H1645" s="38">
        <f t="shared" si="172"/>
        <v>0</v>
      </c>
      <c r="I1645" s="38">
        <f t="shared" si="172"/>
        <v>0</v>
      </c>
      <c r="J1645" s="38">
        <f t="shared" si="172"/>
        <v>0</v>
      </c>
      <c r="K1645" s="38">
        <f t="shared" si="172"/>
        <v>0</v>
      </c>
      <c r="L1645" s="38">
        <f t="shared" si="172"/>
        <v>3.0303030303030304E-2</v>
      </c>
      <c r="M1645" s="35">
        <f t="shared" si="171"/>
        <v>3.0303030303030304E-2</v>
      </c>
      <c r="S1645" t="s">
        <v>95</v>
      </c>
      <c r="T1645" s="5">
        <f>data_origin!T1864</f>
        <v>0</v>
      </c>
      <c r="U1645" s="5">
        <f>data_origin!U1864</f>
        <v>0</v>
      </c>
      <c r="V1645" s="5">
        <f>data_origin!V1864</f>
        <v>0</v>
      </c>
      <c r="W1645" s="5">
        <f>data_origin!W1864</f>
        <v>0</v>
      </c>
      <c r="X1645" s="5">
        <f>data_origin!X1864</f>
        <v>0</v>
      </c>
      <c r="Y1645" s="5">
        <f>data_origin!Y1864</f>
        <v>0</v>
      </c>
      <c r="Z1645" s="5">
        <f>data_origin!Z1864</f>
        <v>0</v>
      </c>
      <c r="AA1645" s="5">
        <f>data_origin!AA1864</f>
        <v>3.0303030303030304E-2</v>
      </c>
      <c r="AB1645" s="5">
        <f t="shared" si="169"/>
        <v>3.0303030303030304E-2</v>
      </c>
    </row>
    <row r="1646" spans="4:28" x14ac:dyDescent="0.25">
      <c r="D1646" t="s">
        <v>96</v>
      </c>
      <c r="E1646" s="38">
        <f t="shared" si="172"/>
        <v>0</v>
      </c>
      <c r="F1646" s="38">
        <f t="shared" si="172"/>
        <v>0</v>
      </c>
      <c r="G1646" s="38">
        <f t="shared" si="172"/>
        <v>0</v>
      </c>
      <c r="H1646" s="38">
        <f t="shared" si="172"/>
        <v>0</v>
      </c>
      <c r="I1646" s="38">
        <f t="shared" si="172"/>
        <v>0</v>
      </c>
      <c r="J1646" s="38">
        <f t="shared" si="172"/>
        <v>0</v>
      </c>
      <c r="K1646" s="38">
        <f t="shared" si="172"/>
        <v>0</v>
      </c>
      <c r="L1646" s="38">
        <f t="shared" si="172"/>
        <v>3.0303030303030304E-2</v>
      </c>
      <c r="M1646" s="35">
        <f t="shared" si="171"/>
        <v>3.0303030303030304E-2</v>
      </c>
      <c r="S1646" t="s">
        <v>96</v>
      </c>
      <c r="T1646" s="5">
        <f>data_origin!T1865</f>
        <v>0</v>
      </c>
      <c r="U1646" s="5">
        <f>data_origin!U1865</f>
        <v>0</v>
      </c>
      <c r="V1646" s="5">
        <f>data_origin!V1865</f>
        <v>0</v>
      </c>
      <c r="W1646" s="5">
        <f>data_origin!W1865</f>
        <v>0</v>
      </c>
      <c r="X1646" s="5">
        <f>data_origin!X1865</f>
        <v>0</v>
      </c>
      <c r="Y1646" s="5">
        <f>data_origin!Y1865</f>
        <v>0</v>
      </c>
      <c r="Z1646" s="5">
        <f>data_origin!Z1865</f>
        <v>0</v>
      </c>
      <c r="AA1646" s="5">
        <f>data_origin!AA1865</f>
        <v>3.0303030303030304E-2</v>
      </c>
      <c r="AB1646" s="5">
        <f t="shared" si="169"/>
        <v>3.0303030303030304E-2</v>
      </c>
    </row>
    <row r="1647" spans="4:28" x14ac:dyDescent="0.25">
      <c r="D1647" t="s">
        <v>97</v>
      </c>
      <c r="E1647" s="38">
        <f t="shared" si="172"/>
        <v>0</v>
      </c>
      <c r="F1647" s="38">
        <f t="shared" si="172"/>
        <v>0</v>
      </c>
      <c r="G1647" s="38">
        <f t="shared" si="172"/>
        <v>0</v>
      </c>
      <c r="H1647" s="38">
        <f t="shared" si="172"/>
        <v>5.3057500968566824</v>
      </c>
      <c r="I1647" s="38">
        <f t="shared" si="172"/>
        <v>11.632016460004785</v>
      </c>
      <c r="J1647" s="38">
        <f t="shared" si="172"/>
        <v>0</v>
      </c>
      <c r="K1647" s="38">
        <f t="shared" si="172"/>
        <v>0</v>
      </c>
      <c r="L1647" s="38">
        <f t="shared" si="172"/>
        <v>3.0303030303030304E-2</v>
      </c>
      <c r="M1647" s="35">
        <f t="shared" si="171"/>
        <v>16.9680695871645</v>
      </c>
      <c r="S1647" t="s">
        <v>97</v>
      </c>
      <c r="T1647" s="5">
        <f>data_origin!T1866</f>
        <v>0</v>
      </c>
      <c r="U1647" s="5">
        <f>data_origin!U1866</f>
        <v>0</v>
      </c>
      <c r="V1647" s="5">
        <f>data_origin!V1866</f>
        <v>0</v>
      </c>
      <c r="W1647" s="5">
        <f>data_origin!W1866</f>
        <v>5.2142857142857135</v>
      </c>
      <c r="X1647" s="5">
        <f>data_origin!X1866</f>
        <v>11.432835820895523</v>
      </c>
      <c r="Y1647" s="5">
        <f>data_origin!Y1866</f>
        <v>0</v>
      </c>
      <c r="Z1647" s="5">
        <f>data_origin!Z1866</f>
        <v>0</v>
      </c>
      <c r="AA1647" s="5">
        <f>data_origin!AA1866</f>
        <v>3.0303030303030304E-2</v>
      </c>
      <c r="AB1647" s="5">
        <f t="shared" ref="AB1647:AB1710" si="173">SUM(T1647:AA1647)</f>
        <v>16.677424565484266</v>
      </c>
    </row>
    <row r="1648" spans="4:28" x14ac:dyDescent="0.25">
      <c r="D1648" t="s">
        <v>98</v>
      </c>
      <c r="E1648" s="38">
        <f t="shared" si="172"/>
        <v>0</v>
      </c>
      <c r="F1648" s="38">
        <f t="shared" si="172"/>
        <v>0</v>
      </c>
      <c r="G1648" s="38">
        <f t="shared" si="172"/>
        <v>0</v>
      </c>
      <c r="H1648" s="38">
        <f t="shared" si="172"/>
        <v>10.611500193713365</v>
      </c>
      <c r="I1648" s="38">
        <f t="shared" si="172"/>
        <v>23.264032920009569</v>
      </c>
      <c r="J1648" s="38">
        <f t="shared" si="172"/>
        <v>0</v>
      </c>
      <c r="K1648" s="38">
        <f t="shared" si="172"/>
        <v>0</v>
      </c>
      <c r="L1648" s="38">
        <f t="shared" si="172"/>
        <v>3.0303030303030304E-2</v>
      </c>
      <c r="M1648" s="35">
        <f t="shared" si="171"/>
        <v>33.905836144025969</v>
      </c>
      <c r="S1648" t="s">
        <v>98</v>
      </c>
      <c r="T1648" s="5">
        <f>data_origin!T1867</f>
        <v>0</v>
      </c>
      <c r="U1648" s="5">
        <f>data_origin!U1867</f>
        <v>0</v>
      </c>
      <c r="V1648" s="5">
        <f>data_origin!V1867</f>
        <v>0</v>
      </c>
      <c r="W1648" s="5">
        <f>data_origin!W1867</f>
        <v>10.428571428571427</v>
      </c>
      <c r="X1648" s="5">
        <f>data_origin!X1867</f>
        <v>22.865671641791046</v>
      </c>
      <c r="Y1648" s="5">
        <f>data_origin!Y1867</f>
        <v>0</v>
      </c>
      <c r="Z1648" s="5">
        <f>data_origin!Z1867</f>
        <v>0</v>
      </c>
      <c r="AA1648" s="5">
        <f>data_origin!AA1867</f>
        <v>3.0303030303030304E-2</v>
      </c>
      <c r="AB1648" s="5">
        <f t="shared" si="173"/>
        <v>33.324546100665501</v>
      </c>
    </row>
    <row r="1649" spans="1:28" x14ac:dyDescent="0.25">
      <c r="D1649" t="s">
        <v>119</v>
      </c>
      <c r="E1649" s="38">
        <f t="shared" si="172"/>
        <v>0</v>
      </c>
      <c r="F1649" s="38">
        <f t="shared" si="172"/>
        <v>0</v>
      </c>
      <c r="G1649" s="38">
        <f t="shared" si="172"/>
        <v>0</v>
      </c>
      <c r="H1649" s="38">
        <f t="shared" si="172"/>
        <v>15.917250290570047</v>
      </c>
      <c r="I1649" s="38">
        <f t="shared" si="172"/>
        <v>5.8160082300023923</v>
      </c>
      <c r="J1649" s="38">
        <f t="shared" si="172"/>
        <v>0</v>
      </c>
      <c r="K1649" s="38">
        <f t="shared" si="172"/>
        <v>0</v>
      </c>
      <c r="L1649" s="38">
        <f t="shared" si="172"/>
        <v>3.0303030303030304E-2</v>
      </c>
      <c r="M1649" s="35">
        <f t="shared" si="171"/>
        <v>21.763561550875473</v>
      </c>
      <c r="S1649" t="s">
        <v>119</v>
      </c>
      <c r="T1649" s="5">
        <f>data_origin!T1868</f>
        <v>0</v>
      </c>
      <c r="U1649" s="5">
        <f>data_origin!U1868</f>
        <v>0</v>
      </c>
      <c r="V1649" s="5">
        <f>data_origin!V1868</f>
        <v>0</v>
      </c>
      <c r="W1649" s="5">
        <f>data_origin!W1868</f>
        <v>15.642857142857142</v>
      </c>
      <c r="X1649" s="5">
        <f>data_origin!X1868</f>
        <v>5.7164179104477615</v>
      </c>
      <c r="Y1649" s="5">
        <f>data_origin!Y1868</f>
        <v>0</v>
      </c>
      <c r="Z1649" s="5">
        <f>data_origin!Z1868</f>
        <v>0</v>
      </c>
      <c r="AA1649" s="5">
        <f>data_origin!AA1868</f>
        <v>3.0303030303030304E-2</v>
      </c>
      <c r="AB1649" s="5">
        <f t="shared" si="173"/>
        <v>21.389578083607937</v>
      </c>
    </row>
    <row r="1650" spans="1:28" x14ac:dyDescent="0.25">
      <c r="D1650" t="s">
        <v>99</v>
      </c>
      <c r="E1650" s="38">
        <f t="shared" si="172"/>
        <v>0</v>
      </c>
      <c r="F1650" s="38">
        <f t="shared" si="172"/>
        <v>0</v>
      </c>
      <c r="G1650" s="38">
        <f t="shared" si="172"/>
        <v>3.536942252385153</v>
      </c>
      <c r="H1650" s="38">
        <f t="shared" si="172"/>
        <v>21.22300038742673</v>
      </c>
      <c r="I1650" s="38">
        <f t="shared" si="172"/>
        <v>0</v>
      </c>
      <c r="J1650" s="38">
        <f t="shared" si="172"/>
        <v>0</v>
      </c>
      <c r="K1650" s="38">
        <f t="shared" si="172"/>
        <v>0</v>
      </c>
      <c r="L1650" s="38">
        <f t="shared" si="172"/>
        <v>3.0303030303030304E-2</v>
      </c>
      <c r="M1650" s="35">
        <f t="shared" si="171"/>
        <v>24.790245670114913</v>
      </c>
      <c r="S1650" t="s">
        <v>99</v>
      </c>
      <c r="T1650" s="5">
        <f>data_origin!T1869</f>
        <v>0</v>
      </c>
      <c r="U1650" s="5">
        <f>data_origin!U1869</f>
        <v>0</v>
      </c>
      <c r="V1650" s="5">
        <f>data_origin!V1869</f>
        <v>3.4883720930232558</v>
      </c>
      <c r="W1650" s="5">
        <f>data_origin!W1869</f>
        <v>20.857142857142854</v>
      </c>
      <c r="X1650" s="5">
        <f>data_origin!X1869</f>
        <v>0</v>
      </c>
      <c r="Y1650" s="5">
        <f>data_origin!Y1869</f>
        <v>0</v>
      </c>
      <c r="Z1650" s="5">
        <f>data_origin!Z1869</f>
        <v>0</v>
      </c>
      <c r="AA1650" s="5">
        <f>data_origin!AA1869</f>
        <v>3.0303030303030304E-2</v>
      </c>
      <c r="AB1650" s="5">
        <f t="shared" si="173"/>
        <v>24.37581798046914</v>
      </c>
    </row>
    <row r="1651" spans="1:28" x14ac:dyDescent="0.25">
      <c r="D1651" t="s">
        <v>100</v>
      </c>
      <c r="E1651" s="38">
        <f t="shared" si="172"/>
        <v>0</v>
      </c>
      <c r="F1651" s="38">
        <f t="shared" si="172"/>
        <v>0</v>
      </c>
      <c r="G1651" s="38">
        <f t="shared" si="172"/>
        <v>60.128018290547601</v>
      </c>
      <c r="H1651" s="38">
        <f t="shared" si="172"/>
        <v>159.1725029057005</v>
      </c>
      <c r="I1651" s="38">
        <f t="shared" si="172"/>
        <v>139.58419752005739</v>
      </c>
      <c r="J1651" s="38">
        <f t="shared" si="172"/>
        <v>23.938659352629941</v>
      </c>
      <c r="K1651" s="38">
        <f t="shared" si="172"/>
        <v>0</v>
      </c>
      <c r="L1651" s="38">
        <f t="shared" si="172"/>
        <v>3.0303030303030304E-2</v>
      </c>
      <c r="M1651" s="35">
        <f t="shared" si="171"/>
        <v>382.85368109923843</v>
      </c>
      <c r="S1651" t="s">
        <v>100</v>
      </c>
      <c r="T1651" s="5">
        <f>data_origin!T1870</f>
        <v>0</v>
      </c>
      <c r="U1651" s="5">
        <f>data_origin!U1870</f>
        <v>0</v>
      </c>
      <c r="V1651" s="5">
        <f>data_origin!V1870</f>
        <v>59.302325581395344</v>
      </c>
      <c r="W1651" s="5">
        <f>data_origin!W1870</f>
        <v>156.42857142857144</v>
      </c>
      <c r="X1651" s="5">
        <f>data_origin!X1870</f>
        <v>137.19402985074626</v>
      </c>
      <c r="Y1651" s="5">
        <f>data_origin!Y1870</f>
        <v>23.5</v>
      </c>
      <c r="Z1651" s="5">
        <f>data_origin!Z1870</f>
        <v>0</v>
      </c>
      <c r="AA1651" s="5">
        <f>data_origin!AA1870</f>
        <v>3.0303030303030304E-2</v>
      </c>
      <c r="AB1651" s="5">
        <f t="shared" si="173"/>
        <v>376.45522989101607</v>
      </c>
    </row>
    <row r="1652" spans="1:28" x14ac:dyDescent="0.25">
      <c r="D1652" t="s">
        <v>101</v>
      </c>
      <c r="E1652" s="38">
        <f t="shared" si="172"/>
        <v>0</v>
      </c>
      <c r="F1652" s="38">
        <f t="shared" si="172"/>
        <v>0</v>
      </c>
      <c r="G1652" s="38">
        <f t="shared" si="172"/>
        <v>10.61082675715546</v>
      </c>
      <c r="H1652" s="38">
        <f t="shared" si="172"/>
        <v>21.22300038742673</v>
      </c>
      <c r="I1652" s="38">
        <f t="shared" si="172"/>
        <v>0</v>
      </c>
      <c r="J1652" s="38">
        <f t="shared" si="172"/>
        <v>5.9846648381574852</v>
      </c>
      <c r="K1652" s="38">
        <f t="shared" si="172"/>
        <v>0</v>
      </c>
      <c r="L1652" s="38">
        <f t="shared" si="172"/>
        <v>3.0303030303030304E-2</v>
      </c>
      <c r="M1652" s="35">
        <f t="shared" si="171"/>
        <v>37.848795013042704</v>
      </c>
      <c r="S1652" t="s">
        <v>101</v>
      </c>
      <c r="T1652" s="5">
        <f>data_origin!T1871</f>
        <v>0</v>
      </c>
      <c r="U1652" s="5">
        <f>data_origin!U1871</f>
        <v>0</v>
      </c>
      <c r="V1652" s="5">
        <f>data_origin!V1871</f>
        <v>10.465116279069768</v>
      </c>
      <c r="W1652" s="5">
        <f>data_origin!W1871</f>
        <v>20.857142857142854</v>
      </c>
      <c r="X1652" s="5">
        <f>data_origin!X1871</f>
        <v>0</v>
      </c>
      <c r="Y1652" s="5">
        <f>data_origin!Y1871</f>
        <v>5.875</v>
      </c>
      <c r="Z1652" s="5">
        <f>data_origin!Z1871</f>
        <v>0</v>
      </c>
      <c r="AA1652" s="5">
        <f>data_origin!AA1871</f>
        <v>3.0303030303030304E-2</v>
      </c>
      <c r="AB1652" s="5">
        <f t="shared" si="173"/>
        <v>37.227562166515654</v>
      </c>
    </row>
    <row r="1653" spans="1:28" x14ac:dyDescent="0.25">
      <c r="A1653" s="24" t="s">
        <v>115</v>
      </c>
      <c r="B1653" s="24" t="s">
        <v>117</v>
      </c>
      <c r="C1653" s="24" t="s">
        <v>105</v>
      </c>
      <c r="D1653" t="s">
        <v>70</v>
      </c>
      <c r="E1653" s="35">
        <f>T1653+IFERROR((T1653/SUM(T$993:T$1982)*AW$630),0)</f>
        <v>0</v>
      </c>
      <c r="F1653" s="35">
        <f t="shared" ref="F1653:F1716" si="174">U1653+IFERROR((U1653/SUM(U$993:U$1982)*AX$630),0)</f>
        <v>0</v>
      </c>
      <c r="G1653" s="35">
        <f t="shared" ref="G1653:L1695" si="175">V1653+IFERROR((V1653/SUM(V$993:V$1982)*AY$630),0)</f>
        <v>0</v>
      </c>
      <c r="H1653" s="35">
        <f t="shared" si="175"/>
        <v>0</v>
      </c>
      <c r="I1653" s="35">
        <f t="shared" si="175"/>
        <v>0</v>
      </c>
      <c r="J1653" s="35">
        <f t="shared" si="175"/>
        <v>0</v>
      </c>
      <c r="K1653" s="35">
        <f t="shared" si="175"/>
        <v>0</v>
      </c>
      <c r="L1653" s="35">
        <f t="shared" si="175"/>
        <v>0</v>
      </c>
      <c r="M1653" s="35">
        <f t="shared" si="171"/>
        <v>0</v>
      </c>
      <c r="P1653" t="s">
        <v>115</v>
      </c>
      <c r="Q1653" t="s">
        <v>117</v>
      </c>
      <c r="R1653" t="s">
        <v>105</v>
      </c>
      <c r="S1653" t="s">
        <v>70</v>
      </c>
      <c r="T1653" s="5">
        <f>data_origin!T1907</f>
        <v>0</v>
      </c>
      <c r="U1653" s="5">
        <f>data_origin!U1907</f>
        <v>0</v>
      </c>
      <c r="V1653" s="5">
        <f>data_origin!V1907</f>
        <v>0</v>
      </c>
      <c r="W1653" s="5">
        <f>data_origin!W1907</f>
        <v>0</v>
      </c>
      <c r="X1653" s="5">
        <f>data_origin!X1907</f>
        <v>0</v>
      </c>
      <c r="Y1653" s="5">
        <f>data_origin!Y1907</f>
        <v>0</v>
      </c>
      <c r="Z1653" s="5">
        <f>data_origin!Z1907</f>
        <v>0</v>
      </c>
      <c r="AA1653" s="5">
        <f>data_origin!AA1907</f>
        <v>0</v>
      </c>
      <c r="AB1653" s="5">
        <f t="shared" si="173"/>
        <v>0</v>
      </c>
    </row>
    <row r="1654" spans="1:28" x14ac:dyDescent="0.25">
      <c r="D1654" t="s">
        <v>71</v>
      </c>
      <c r="E1654" s="35">
        <f t="shared" ref="E1654:F1717" si="176">T1654+IFERROR((T1654/SUM(T$993:T$1982)*AW$630),0)</f>
        <v>0</v>
      </c>
      <c r="F1654" s="35">
        <f t="shared" si="174"/>
        <v>0</v>
      </c>
      <c r="G1654" s="35">
        <f t="shared" si="175"/>
        <v>0</v>
      </c>
      <c r="H1654" s="35">
        <f t="shared" si="175"/>
        <v>0</v>
      </c>
      <c r="I1654" s="35">
        <f t="shared" si="175"/>
        <v>0</v>
      </c>
      <c r="J1654" s="35">
        <f t="shared" si="175"/>
        <v>0</v>
      </c>
      <c r="K1654" s="35">
        <f t="shared" si="175"/>
        <v>0</v>
      </c>
      <c r="L1654" s="35">
        <f t="shared" si="175"/>
        <v>0</v>
      </c>
      <c r="M1654" s="35">
        <f t="shared" si="171"/>
        <v>0</v>
      </c>
      <c r="S1654" t="s">
        <v>71</v>
      </c>
      <c r="T1654" s="5">
        <f>data_origin!T1908</f>
        <v>0</v>
      </c>
      <c r="U1654" s="5">
        <f>data_origin!U1908</f>
        <v>0</v>
      </c>
      <c r="V1654" s="5">
        <f>data_origin!V1908</f>
        <v>0</v>
      </c>
      <c r="W1654" s="5">
        <f>data_origin!W1908</f>
        <v>0</v>
      </c>
      <c r="X1654" s="5">
        <f>data_origin!X1908</f>
        <v>0</v>
      </c>
      <c r="Y1654" s="5">
        <f>data_origin!Y1908</f>
        <v>0</v>
      </c>
      <c r="Z1654" s="5">
        <f>data_origin!Z1908</f>
        <v>0</v>
      </c>
      <c r="AA1654" s="5">
        <f>data_origin!AA1908</f>
        <v>0</v>
      </c>
      <c r="AB1654" s="5">
        <f t="shared" si="173"/>
        <v>0</v>
      </c>
    </row>
    <row r="1655" spans="1:28" x14ac:dyDescent="0.25">
      <c r="D1655" t="s">
        <v>72</v>
      </c>
      <c r="E1655" s="35">
        <f t="shared" si="176"/>
        <v>0</v>
      </c>
      <c r="F1655" s="35">
        <f t="shared" si="174"/>
        <v>0</v>
      </c>
      <c r="G1655" s="35">
        <f t="shared" si="175"/>
        <v>0</v>
      </c>
      <c r="H1655" s="35">
        <f t="shared" si="175"/>
        <v>0</v>
      </c>
      <c r="I1655" s="35">
        <f t="shared" si="175"/>
        <v>0</v>
      </c>
      <c r="J1655" s="35">
        <f t="shared" si="175"/>
        <v>0</v>
      </c>
      <c r="K1655" s="35">
        <f t="shared" si="175"/>
        <v>0</v>
      </c>
      <c r="L1655" s="35">
        <f t="shared" si="175"/>
        <v>0</v>
      </c>
      <c r="M1655" s="35">
        <f t="shared" si="171"/>
        <v>0</v>
      </c>
      <c r="S1655" t="s">
        <v>72</v>
      </c>
      <c r="T1655" s="5">
        <f>data_origin!T1909</f>
        <v>0</v>
      </c>
      <c r="U1655" s="5">
        <f>data_origin!U1909</f>
        <v>0</v>
      </c>
      <c r="V1655" s="5">
        <f>data_origin!V1909</f>
        <v>0</v>
      </c>
      <c r="W1655" s="5">
        <f>data_origin!W1909</f>
        <v>0</v>
      </c>
      <c r="X1655" s="5">
        <f>data_origin!X1909</f>
        <v>0</v>
      </c>
      <c r="Y1655" s="5">
        <f>data_origin!Y1909</f>
        <v>0</v>
      </c>
      <c r="Z1655" s="5">
        <f>data_origin!Z1909</f>
        <v>0</v>
      </c>
      <c r="AA1655" s="5">
        <f>data_origin!AA1909</f>
        <v>0</v>
      </c>
      <c r="AB1655" s="5">
        <f t="shared" si="173"/>
        <v>0</v>
      </c>
    </row>
    <row r="1656" spans="1:28" x14ac:dyDescent="0.25">
      <c r="D1656" t="s">
        <v>73</v>
      </c>
      <c r="E1656" s="35">
        <f t="shared" si="176"/>
        <v>0</v>
      </c>
      <c r="F1656" s="35">
        <f t="shared" si="174"/>
        <v>0</v>
      </c>
      <c r="G1656" s="35">
        <f t="shared" si="175"/>
        <v>0</v>
      </c>
      <c r="H1656" s="35">
        <f t="shared" si="175"/>
        <v>0</v>
      </c>
      <c r="I1656" s="35">
        <f t="shared" si="175"/>
        <v>0</v>
      </c>
      <c r="J1656" s="35">
        <f t="shared" si="175"/>
        <v>0</v>
      </c>
      <c r="K1656" s="35">
        <f t="shared" si="175"/>
        <v>0</v>
      </c>
      <c r="L1656" s="35">
        <f t="shared" si="175"/>
        <v>0</v>
      </c>
      <c r="M1656" s="35">
        <f t="shared" si="171"/>
        <v>0</v>
      </c>
      <c r="S1656" t="s">
        <v>73</v>
      </c>
      <c r="T1656" s="5">
        <f>data_origin!T1910</f>
        <v>0</v>
      </c>
      <c r="U1656" s="5">
        <f>data_origin!U1910</f>
        <v>0</v>
      </c>
      <c r="V1656" s="5">
        <f>data_origin!V1910</f>
        <v>0</v>
      </c>
      <c r="W1656" s="5">
        <f>data_origin!W1910</f>
        <v>0</v>
      </c>
      <c r="X1656" s="5">
        <f>data_origin!X1910</f>
        <v>0</v>
      </c>
      <c r="Y1656" s="5">
        <f>data_origin!Y1910</f>
        <v>0</v>
      </c>
      <c r="Z1656" s="5">
        <f>data_origin!Z1910</f>
        <v>0</v>
      </c>
      <c r="AA1656" s="5">
        <f>data_origin!AA1910</f>
        <v>0</v>
      </c>
      <c r="AB1656" s="5">
        <f t="shared" si="173"/>
        <v>0</v>
      </c>
    </row>
    <row r="1657" spans="1:28" x14ac:dyDescent="0.25">
      <c r="D1657" t="s">
        <v>74</v>
      </c>
      <c r="E1657" s="35">
        <f t="shared" si="176"/>
        <v>0</v>
      </c>
      <c r="F1657" s="35">
        <f t="shared" si="174"/>
        <v>0</v>
      </c>
      <c r="G1657" s="35">
        <f t="shared" si="175"/>
        <v>0</v>
      </c>
      <c r="H1657" s="35">
        <f t="shared" si="175"/>
        <v>0</v>
      </c>
      <c r="I1657" s="35">
        <f t="shared" si="175"/>
        <v>0</v>
      </c>
      <c r="J1657" s="35">
        <f t="shared" si="175"/>
        <v>0</v>
      </c>
      <c r="K1657" s="35">
        <f t="shared" si="175"/>
        <v>0</v>
      </c>
      <c r="L1657" s="35">
        <f t="shared" si="175"/>
        <v>0</v>
      </c>
      <c r="M1657" s="35">
        <f t="shared" si="171"/>
        <v>0</v>
      </c>
      <c r="S1657" t="s">
        <v>74</v>
      </c>
      <c r="T1657" s="5">
        <f>data_origin!T1911</f>
        <v>0</v>
      </c>
      <c r="U1657" s="5">
        <f>data_origin!U1911</f>
        <v>0</v>
      </c>
      <c r="V1657" s="5">
        <f>data_origin!V1911</f>
        <v>0</v>
      </c>
      <c r="W1657" s="5">
        <f>data_origin!W1911</f>
        <v>0</v>
      </c>
      <c r="X1657" s="5">
        <f>data_origin!X1911</f>
        <v>0</v>
      </c>
      <c r="Y1657" s="5">
        <f>data_origin!Y1911</f>
        <v>0</v>
      </c>
      <c r="Z1657" s="5">
        <f>data_origin!Z1911</f>
        <v>0</v>
      </c>
      <c r="AA1657" s="5">
        <f>data_origin!AA1911</f>
        <v>0</v>
      </c>
      <c r="AB1657" s="5">
        <f t="shared" si="173"/>
        <v>0</v>
      </c>
    </row>
    <row r="1658" spans="1:28" x14ac:dyDescent="0.25">
      <c r="D1658" t="s">
        <v>75</v>
      </c>
      <c r="E1658" s="35">
        <f t="shared" si="176"/>
        <v>0</v>
      </c>
      <c r="F1658" s="35">
        <f t="shared" si="174"/>
        <v>0</v>
      </c>
      <c r="G1658" s="35">
        <f t="shared" si="175"/>
        <v>0</v>
      </c>
      <c r="H1658" s="35">
        <f t="shared" si="175"/>
        <v>0</v>
      </c>
      <c r="I1658" s="35">
        <f t="shared" si="175"/>
        <v>0</v>
      </c>
      <c r="J1658" s="35">
        <f t="shared" si="175"/>
        <v>0</v>
      </c>
      <c r="K1658" s="35">
        <f t="shared" si="175"/>
        <v>0</v>
      </c>
      <c r="L1658" s="35">
        <f t="shared" si="175"/>
        <v>0</v>
      </c>
      <c r="M1658" s="35">
        <f t="shared" si="171"/>
        <v>0</v>
      </c>
      <c r="S1658" t="s">
        <v>75</v>
      </c>
      <c r="T1658" s="5">
        <f>data_origin!T1912</f>
        <v>0</v>
      </c>
      <c r="U1658" s="5">
        <f>data_origin!U1912</f>
        <v>0</v>
      </c>
      <c r="V1658" s="5">
        <f>data_origin!V1912</f>
        <v>0</v>
      </c>
      <c r="W1658" s="5">
        <f>data_origin!W1912</f>
        <v>0</v>
      </c>
      <c r="X1658" s="5">
        <f>data_origin!X1912</f>
        <v>0</v>
      </c>
      <c r="Y1658" s="5">
        <f>data_origin!Y1912</f>
        <v>0</v>
      </c>
      <c r="Z1658" s="5">
        <f>data_origin!Z1912</f>
        <v>0</v>
      </c>
      <c r="AA1658" s="5">
        <f>data_origin!AA1912</f>
        <v>0</v>
      </c>
      <c r="AB1658" s="5">
        <f t="shared" si="173"/>
        <v>0</v>
      </c>
    </row>
    <row r="1659" spans="1:28" x14ac:dyDescent="0.25">
      <c r="D1659" t="s">
        <v>76</v>
      </c>
      <c r="E1659" s="35">
        <f t="shared" si="176"/>
        <v>0</v>
      </c>
      <c r="F1659" s="35">
        <f t="shared" si="174"/>
        <v>0</v>
      </c>
      <c r="G1659" s="35">
        <f t="shared" si="175"/>
        <v>0</v>
      </c>
      <c r="H1659" s="35">
        <f t="shared" si="175"/>
        <v>0</v>
      </c>
      <c r="I1659" s="35">
        <f t="shared" si="175"/>
        <v>0</v>
      </c>
      <c r="J1659" s="35">
        <f t="shared" si="175"/>
        <v>0</v>
      </c>
      <c r="K1659" s="35">
        <f t="shared" si="175"/>
        <v>0</v>
      </c>
      <c r="L1659" s="35">
        <f t="shared" si="175"/>
        <v>0</v>
      </c>
      <c r="M1659" s="35">
        <f t="shared" si="171"/>
        <v>0</v>
      </c>
      <c r="S1659" t="s">
        <v>76</v>
      </c>
      <c r="T1659" s="5">
        <f>data_origin!T1913</f>
        <v>0</v>
      </c>
      <c r="U1659" s="5">
        <f>data_origin!U1913</f>
        <v>0</v>
      </c>
      <c r="V1659" s="5">
        <f>data_origin!V1913</f>
        <v>0</v>
      </c>
      <c r="W1659" s="5">
        <f>data_origin!W1913</f>
        <v>0</v>
      </c>
      <c r="X1659" s="5">
        <f>data_origin!X1913</f>
        <v>0</v>
      </c>
      <c r="Y1659" s="5">
        <f>data_origin!Y1913</f>
        <v>0</v>
      </c>
      <c r="Z1659" s="5">
        <f>data_origin!Z1913</f>
        <v>0</v>
      </c>
      <c r="AA1659" s="5">
        <f>data_origin!AA1913</f>
        <v>0</v>
      </c>
      <c r="AB1659" s="5">
        <f t="shared" si="173"/>
        <v>0</v>
      </c>
    </row>
    <row r="1660" spans="1:28" x14ac:dyDescent="0.25">
      <c r="D1660" t="s">
        <v>77</v>
      </c>
      <c r="E1660" s="35">
        <f t="shared" si="176"/>
        <v>0</v>
      </c>
      <c r="F1660" s="35">
        <f t="shared" si="174"/>
        <v>0</v>
      </c>
      <c r="G1660" s="35">
        <f t="shared" si="175"/>
        <v>0</v>
      </c>
      <c r="H1660" s="35">
        <f t="shared" si="175"/>
        <v>0</v>
      </c>
      <c r="I1660" s="35">
        <f t="shared" si="175"/>
        <v>0</v>
      </c>
      <c r="J1660" s="35">
        <f t="shared" si="175"/>
        <v>0</v>
      </c>
      <c r="K1660" s="35">
        <f t="shared" si="175"/>
        <v>0</v>
      </c>
      <c r="L1660" s="35">
        <f t="shared" si="175"/>
        <v>0</v>
      </c>
      <c r="M1660" s="35">
        <f t="shared" si="171"/>
        <v>0</v>
      </c>
      <c r="S1660" t="s">
        <v>77</v>
      </c>
      <c r="T1660" s="5">
        <f>data_origin!T1914</f>
        <v>0</v>
      </c>
      <c r="U1660" s="5">
        <f>data_origin!U1914</f>
        <v>0</v>
      </c>
      <c r="V1660" s="5">
        <f>data_origin!V1914</f>
        <v>0</v>
      </c>
      <c r="W1660" s="5">
        <f>data_origin!W1914</f>
        <v>0</v>
      </c>
      <c r="X1660" s="5">
        <f>data_origin!X1914</f>
        <v>0</v>
      </c>
      <c r="Y1660" s="5">
        <f>data_origin!Y1914</f>
        <v>0</v>
      </c>
      <c r="Z1660" s="5">
        <f>data_origin!Z1914</f>
        <v>0</v>
      </c>
      <c r="AA1660" s="5">
        <f>data_origin!AA1914</f>
        <v>0</v>
      </c>
      <c r="AB1660" s="5">
        <f t="shared" si="173"/>
        <v>0</v>
      </c>
    </row>
    <row r="1661" spans="1:28" x14ac:dyDescent="0.25">
      <c r="D1661" t="s">
        <v>78</v>
      </c>
      <c r="E1661" s="35">
        <f t="shared" si="176"/>
        <v>0</v>
      </c>
      <c r="F1661" s="35">
        <f t="shared" si="174"/>
        <v>0</v>
      </c>
      <c r="G1661" s="35">
        <f t="shared" si="175"/>
        <v>0</v>
      </c>
      <c r="H1661" s="35">
        <f t="shared" si="175"/>
        <v>0</v>
      </c>
      <c r="I1661" s="35">
        <f t="shared" si="175"/>
        <v>0</v>
      </c>
      <c r="J1661" s="35">
        <f t="shared" si="175"/>
        <v>0</v>
      </c>
      <c r="K1661" s="35">
        <f t="shared" si="175"/>
        <v>0</v>
      </c>
      <c r="L1661" s="35">
        <f t="shared" si="175"/>
        <v>0</v>
      </c>
      <c r="M1661" s="35">
        <f t="shared" si="171"/>
        <v>0</v>
      </c>
      <c r="S1661" t="s">
        <v>78</v>
      </c>
      <c r="T1661" s="5">
        <f>data_origin!T1915</f>
        <v>0</v>
      </c>
      <c r="U1661" s="5">
        <f>data_origin!U1915</f>
        <v>0</v>
      </c>
      <c r="V1661" s="5">
        <f>data_origin!V1915</f>
        <v>0</v>
      </c>
      <c r="W1661" s="5">
        <f>data_origin!W1915</f>
        <v>0</v>
      </c>
      <c r="X1661" s="5">
        <f>data_origin!X1915</f>
        <v>0</v>
      </c>
      <c r="Y1661" s="5">
        <f>data_origin!Y1915</f>
        <v>0</v>
      </c>
      <c r="Z1661" s="5">
        <f>data_origin!Z1915</f>
        <v>0</v>
      </c>
      <c r="AA1661" s="5">
        <f>data_origin!AA1915</f>
        <v>0</v>
      </c>
      <c r="AB1661" s="5">
        <f t="shared" si="173"/>
        <v>0</v>
      </c>
    </row>
    <row r="1662" spans="1:28" x14ac:dyDescent="0.25">
      <c r="D1662" t="s">
        <v>79</v>
      </c>
      <c r="E1662" s="35">
        <f t="shared" si="176"/>
        <v>0</v>
      </c>
      <c r="F1662" s="35">
        <f t="shared" si="174"/>
        <v>0</v>
      </c>
      <c r="G1662" s="35">
        <f t="shared" si="175"/>
        <v>0</v>
      </c>
      <c r="H1662" s="35">
        <f t="shared" si="175"/>
        <v>0</v>
      </c>
      <c r="I1662" s="35">
        <f t="shared" si="175"/>
        <v>0</v>
      </c>
      <c r="J1662" s="35">
        <f t="shared" si="175"/>
        <v>0</v>
      </c>
      <c r="K1662" s="35">
        <f t="shared" si="175"/>
        <v>0</v>
      </c>
      <c r="L1662" s="35">
        <f t="shared" si="175"/>
        <v>0</v>
      </c>
      <c r="M1662" s="35">
        <f t="shared" si="171"/>
        <v>0</v>
      </c>
      <c r="S1662" t="s">
        <v>79</v>
      </c>
      <c r="T1662" s="5">
        <f>data_origin!T1916</f>
        <v>0</v>
      </c>
      <c r="U1662" s="5">
        <f>data_origin!U1916</f>
        <v>0</v>
      </c>
      <c r="V1662" s="5">
        <f>data_origin!V1916</f>
        <v>0</v>
      </c>
      <c r="W1662" s="5">
        <f>data_origin!W1916</f>
        <v>0</v>
      </c>
      <c r="X1662" s="5">
        <f>data_origin!X1916</f>
        <v>0</v>
      </c>
      <c r="Y1662" s="5">
        <f>data_origin!Y1916</f>
        <v>0</v>
      </c>
      <c r="Z1662" s="5">
        <f>data_origin!Z1916</f>
        <v>0</v>
      </c>
      <c r="AA1662" s="5">
        <f>data_origin!AA1916</f>
        <v>0</v>
      </c>
      <c r="AB1662" s="5">
        <f t="shared" si="173"/>
        <v>0</v>
      </c>
    </row>
    <row r="1663" spans="1:28" x14ac:dyDescent="0.25">
      <c r="D1663" t="s">
        <v>80</v>
      </c>
      <c r="E1663" s="35">
        <f t="shared" si="176"/>
        <v>0</v>
      </c>
      <c r="F1663" s="35">
        <f t="shared" si="174"/>
        <v>0</v>
      </c>
      <c r="G1663" s="35">
        <f t="shared" si="175"/>
        <v>0</v>
      </c>
      <c r="H1663" s="35">
        <f t="shared" si="175"/>
        <v>0</v>
      </c>
      <c r="I1663" s="35">
        <f t="shared" si="175"/>
        <v>0</v>
      </c>
      <c r="J1663" s="35">
        <f t="shared" si="175"/>
        <v>0</v>
      </c>
      <c r="K1663" s="35">
        <f t="shared" si="175"/>
        <v>0</v>
      </c>
      <c r="L1663" s="35">
        <f t="shared" si="175"/>
        <v>0</v>
      </c>
      <c r="M1663" s="35">
        <f t="shared" si="171"/>
        <v>0</v>
      </c>
      <c r="S1663" t="s">
        <v>80</v>
      </c>
      <c r="T1663" s="5">
        <f>data_origin!T1917</f>
        <v>0</v>
      </c>
      <c r="U1663" s="5">
        <f>data_origin!U1917</f>
        <v>0</v>
      </c>
      <c r="V1663" s="5">
        <f>data_origin!V1917</f>
        <v>0</v>
      </c>
      <c r="W1663" s="5">
        <f>data_origin!W1917</f>
        <v>0</v>
      </c>
      <c r="X1663" s="5">
        <f>data_origin!X1917</f>
        <v>0</v>
      </c>
      <c r="Y1663" s="5">
        <f>data_origin!Y1917</f>
        <v>0</v>
      </c>
      <c r="Z1663" s="5">
        <f>data_origin!Z1917</f>
        <v>0</v>
      </c>
      <c r="AA1663" s="5">
        <f>data_origin!AA1917</f>
        <v>0</v>
      </c>
      <c r="AB1663" s="5">
        <f t="shared" si="173"/>
        <v>0</v>
      </c>
    </row>
    <row r="1664" spans="1:28" x14ac:dyDescent="0.25">
      <c r="D1664" t="s">
        <v>81</v>
      </c>
      <c r="E1664" s="35">
        <f t="shared" si="176"/>
        <v>0</v>
      </c>
      <c r="F1664" s="35">
        <f t="shared" si="174"/>
        <v>0</v>
      </c>
      <c r="G1664" s="35">
        <f t="shared" si="175"/>
        <v>0</v>
      </c>
      <c r="H1664" s="35">
        <f t="shared" si="175"/>
        <v>0</v>
      </c>
      <c r="I1664" s="35">
        <f t="shared" si="175"/>
        <v>0</v>
      </c>
      <c r="J1664" s="35">
        <f t="shared" si="175"/>
        <v>0</v>
      </c>
      <c r="K1664" s="35">
        <f t="shared" si="175"/>
        <v>0</v>
      </c>
      <c r="L1664" s="35">
        <f t="shared" si="175"/>
        <v>0</v>
      </c>
      <c r="M1664" s="35">
        <f t="shared" si="171"/>
        <v>0</v>
      </c>
      <c r="S1664" t="s">
        <v>81</v>
      </c>
      <c r="T1664" s="5">
        <f>data_origin!T1918</f>
        <v>0</v>
      </c>
      <c r="U1664" s="5">
        <f>data_origin!U1918</f>
        <v>0</v>
      </c>
      <c r="V1664" s="5">
        <f>data_origin!V1918</f>
        <v>0</v>
      </c>
      <c r="W1664" s="5">
        <f>data_origin!W1918</f>
        <v>0</v>
      </c>
      <c r="X1664" s="5">
        <f>data_origin!X1918</f>
        <v>0</v>
      </c>
      <c r="Y1664" s="5">
        <f>data_origin!Y1918</f>
        <v>0</v>
      </c>
      <c r="Z1664" s="5">
        <f>data_origin!Z1918</f>
        <v>0</v>
      </c>
      <c r="AA1664" s="5">
        <f>data_origin!AA1918</f>
        <v>0</v>
      </c>
      <c r="AB1664" s="5">
        <f t="shared" si="173"/>
        <v>0</v>
      </c>
    </row>
    <row r="1665" spans="4:28" x14ac:dyDescent="0.25">
      <c r="D1665" t="s">
        <v>82</v>
      </c>
      <c r="E1665" s="35">
        <f t="shared" si="176"/>
        <v>0</v>
      </c>
      <c r="F1665" s="35">
        <f t="shared" si="174"/>
        <v>0</v>
      </c>
      <c r="G1665" s="35">
        <f t="shared" si="175"/>
        <v>0</v>
      </c>
      <c r="H1665" s="35">
        <f t="shared" si="175"/>
        <v>0</v>
      </c>
      <c r="I1665" s="35">
        <f t="shared" si="175"/>
        <v>0</v>
      </c>
      <c r="J1665" s="35">
        <f t="shared" si="175"/>
        <v>0</v>
      </c>
      <c r="K1665" s="35">
        <f t="shared" si="175"/>
        <v>0</v>
      </c>
      <c r="L1665" s="35">
        <f t="shared" si="175"/>
        <v>0</v>
      </c>
      <c r="M1665" s="35">
        <f t="shared" si="171"/>
        <v>0</v>
      </c>
      <c r="S1665" t="s">
        <v>82</v>
      </c>
      <c r="T1665" s="5">
        <f>data_origin!T1919</f>
        <v>0</v>
      </c>
      <c r="U1665" s="5">
        <f>data_origin!U1919</f>
        <v>0</v>
      </c>
      <c r="V1665" s="5">
        <f>data_origin!V1919</f>
        <v>0</v>
      </c>
      <c r="W1665" s="5">
        <f>data_origin!W1919</f>
        <v>0</v>
      </c>
      <c r="X1665" s="5">
        <f>data_origin!X1919</f>
        <v>0</v>
      </c>
      <c r="Y1665" s="5">
        <f>data_origin!Y1919</f>
        <v>0</v>
      </c>
      <c r="Z1665" s="5">
        <f>data_origin!Z1919</f>
        <v>0</v>
      </c>
      <c r="AA1665" s="5">
        <f>data_origin!AA1919</f>
        <v>0</v>
      </c>
      <c r="AB1665" s="5">
        <f t="shared" si="173"/>
        <v>0</v>
      </c>
    </row>
    <row r="1666" spans="4:28" x14ac:dyDescent="0.25">
      <c r="D1666" t="s">
        <v>83</v>
      </c>
      <c r="E1666" s="35">
        <f t="shared" si="176"/>
        <v>0</v>
      </c>
      <c r="F1666" s="35">
        <f t="shared" si="174"/>
        <v>0</v>
      </c>
      <c r="G1666" s="35">
        <f t="shared" si="175"/>
        <v>0</v>
      </c>
      <c r="H1666" s="35">
        <f t="shared" si="175"/>
        <v>0</v>
      </c>
      <c r="I1666" s="35">
        <f t="shared" si="175"/>
        <v>0</v>
      </c>
      <c r="J1666" s="35">
        <f t="shared" si="175"/>
        <v>0</v>
      </c>
      <c r="K1666" s="35">
        <f t="shared" si="175"/>
        <v>0</v>
      </c>
      <c r="L1666" s="35">
        <f t="shared" si="175"/>
        <v>0</v>
      </c>
      <c r="M1666" s="35">
        <f t="shared" si="171"/>
        <v>0</v>
      </c>
      <c r="S1666" t="s">
        <v>83</v>
      </c>
      <c r="T1666" s="5">
        <f>data_origin!T1920</f>
        <v>0</v>
      </c>
      <c r="U1666" s="5">
        <f>data_origin!U1920</f>
        <v>0</v>
      </c>
      <c r="V1666" s="5">
        <f>data_origin!V1920</f>
        <v>0</v>
      </c>
      <c r="W1666" s="5">
        <f>data_origin!W1920</f>
        <v>0</v>
      </c>
      <c r="X1666" s="5">
        <f>data_origin!X1920</f>
        <v>0</v>
      </c>
      <c r="Y1666" s="5">
        <f>data_origin!Y1920</f>
        <v>0</v>
      </c>
      <c r="Z1666" s="5">
        <f>data_origin!Z1920</f>
        <v>0</v>
      </c>
      <c r="AA1666" s="5">
        <f>data_origin!AA1920</f>
        <v>0</v>
      </c>
      <c r="AB1666" s="5">
        <f t="shared" si="173"/>
        <v>0</v>
      </c>
    </row>
    <row r="1667" spans="4:28" x14ac:dyDescent="0.25">
      <c r="D1667" t="s">
        <v>84</v>
      </c>
      <c r="E1667" s="35">
        <f t="shared" si="176"/>
        <v>0</v>
      </c>
      <c r="F1667" s="35">
        <f t="shared" si="174"/>
        <v>0</v>
      </c>
      <c r="G1667" s="35">
        <f t="shared" si="175"/>
        <v>0</v>
      </c>
      <c r="H1667" s="35">
        <f t="shared" si="175"/>
        <v>0</v>
      </c>
      <c r="I1667" s="35">
        <f t="shared" si="175"/>
        <v>0</v>
      </c>
      <c r="J1667" s="35">
        <f t="shared" si="175"/>
        <v>0</v>
      </c>
      <c r="K1667" s="35">
        <f t="shared" si="175"/>
        <v>0</v>
      </c>
      <c r="L1667" s="35">
        <f t="shared" si="175"/>
        <v>0</v>
      </c>
      <c r="M1667" s="35">
        <f t="shared" ref="M1667:M1730" si="177">SUM(E1667:L1667)</f>
        <v>0</v>
      </c>
      <c r="S1667" t="s">
        <v>84</v>
      </c>
      <c r="T1667" s="5">
        <f>data_origin!T1921</f>
        <v>0</v>
      </c>
      <c r="U1667" s="5">
        <f>data_origin!U1921</f>
        <v>0</v>
      </c>
      <c r="V1667" s="5">
        <f>data_origin!V1921</f>
        <v>0</v>
      </c>
      <c r="W1667" s="5">
        <f>data_origin!W1921</f>
        <v>0</v>
      </c>
      <c r="X1667" s="5">
        <f>data_origin!X1921</f>
        <v>0</v>
      </c>
      <c r="Y1667" s="5">
        <f>data_origin!Y1921</f>
        <v>0</v>
      </c>
      <c r="Z1667" s="5">
        <f>data_origin!Z1921</f>
        <v>0</v>
      </c>
      <c r="AA1667" s="5">
        <f>data_origin!AA1921</f>
        <v>0</v>
      </c>
      <c r="AB1667" s="5">
        <f t="shared" si="173"/>
        <v>0</v>
      </c>
    </row>
    <row r="1668" spans="4:28" x14ac:dyDescent="0.25">
      <c r="D1668" t="s">
        <v>85</v>
      </c>
      <c r="E1668" s="35">
        <f t="shared" si="176"/>
        <v>0</v>
      </c>
      <c r="F1668" s="35">
        <f t="shared" si="174"/>
        <v>0</v>
      </c>
      <c r="G1668" s="35">
        <f t="shared" si="175"/>
        <v>0</v>
      </c>
      <c r="H1668" s="35">
        <f t="shared" si="175"/>
        <v>0</v>
      </c>
      <c r="I1668" s="35">
        <f t="shared" si="175"/>
        <v>0</v>
      </c>
      <c r="J1668" s="35">
        <f t="shared" si="175"/>
        <v>0</v>
      </c>
      <c r="K1668" s="35">
        <f t="shared" si="175"/>
        <v>0</v>
      </c>
      <c r="L1668" s="35">
        <f t="shared" si="175"/>
        <v>0</v>
      </c>
      <c r="M1668" s="35">
        <f t="shared" si="177"/>
        <v>0</v>
      </c>
      <c r="S1668" t="s">
        <v>85</v>
      </c>
      <c r="T1668" s="5">
        <f>data_origin!T1922</f>
        <v>0</v>
      </c>
      <c r="U1668" s="5">
        <f>data_origin!U1922</f>
        <v>0</v>
      </c>
      <c r="V1668" s="5">
        <f>data_origin!V1922</f>
        <v>0</v>
      </c>
      <c r="W1668" s="5">
        <f>data_origin!W1922</f>
        <v>0</v>
      </c>
      <c r="X1668" s="5">
        <f>data_origin!X1922</f>
        <v>0</v>
      </c>
      <c r="Y1668" s="5">
        <f>data_origin!Y1922</f>
        <v>0</v>
      </c>
      <c r="Z1668" s="5">
        <f>data_origin!Z1922</f>
        <v>0</v>
      </c>
      <c r="AA1668" s="5">
        <f>data_origin!AA1922</f>
        <v>0</v>
      </c>
      <c r="AB1668" s="5">
        <f t="shared" si="173"/>
        <v>0</v>
      </c>
    </row>
    <row r="1669" spans="4:28" x14ac:dyDescent="0.25">
      <c r="D1669" t="s">
        <v>86</v>
      </c>
      <c r="E1669" s="35">
        <f t="shared" si="176"/>
        <v>0</v>
      </c>
      <c r="F1669" s="35">
        <f t="shared" si="174"/>
        <v>0</v>
      </c>
      <c r="G1669" s="35">
        <f t="shared" si="175"/>
        <v>0</v>
      </c>
      <c r="H1669" s="35">
        <f t="shared" si="175"/>
        <v>0</v>
      </c>
      <c r="I1669" s="35">
        <f t="shared" si="175"/>
        <v>0</v>
      </c>
      <c r="J1669" s="35">
        <f t="shared" si="175"/>
        <v>0</v>
      </c>
      <c r="K1669" s="35">
        <f t="shared" si="175"/>
        <v>0</v>
      </c>
      <c r="L1669" s="35">
        <f t="shared" si="175"/>
        <v>0</v>
      </c>
      <c r="M1669" s="35">
        <f t="shared" si="177"/>
        <v>0</v>
      </c>
      <c r="S1669" t="s">
        <v>86</v>
      </c>
      <c r="T1669" s="5">
        <f>data_origin!T1923</f>
        <v>0</v>
      </c>
      <c r="U1669" s="5">
        <f>data_origin!U1923</f>
        <v>0</v>
      </c>
      <c r="V1669" s="5">
        <f>data_origin!V1923</f>
        <v>0</v>
      </c>
      <c r="W1669" s="5">
        <f>data_origin!W1923</f>
        <v>0</v>
      </c>
      <c r="X1669" s="5">
        <f>data_origin!X1923</f>
        <v>0</v>
      </c>
      <c r="Y1669" s="5">
        <f>data_origin!Y1923</f>
        <v>0</v>
      </c>
      <c r="Z1669" s="5">
        <f>data_origin!Z1923</f>
        <v>0</v>
      </c>
      <c r="AA1669" s="5">
        <f>data_origin!AA1923</f>
        <v>0</v>
      </c>
      <c r="AB1669" s="5">
        <f t="shared" si="173"/>
        <v>0</v>
      </c>
    </row>
    <row r="1670" spans="4:28" x14ac:dyDescent="0.25">
      <c r="D1670" t="s">
        <v>87</v>
      </c>
      <c r="E1670" s="35">
        <f t="shared" si="176"/>
        <v>0</v>
      </c>
      <c r="F1670" s="35">
        <f t="shared" si="174"/>
        <v>0</v>
      </c>
      <c r="G1670" s="35">
        <f t="shared" si="175"/>
        <v>0</v>
      </c>
      <c r="H1670" s="35">
        <f t="shared" si="175"/>
        <v>0</v>
      </c>
      <c r="I1670" s="35">
        <f t="shared" si="175"/>
        <v>0</v>
      </c>
      <c r="J1670" s="35">
        <f t="shared" si="175"/>
        <v>0</v>
      </c>
      <c r="K1670" s="35">
        <f t="shared" si="175"/>
        <v>0</v>
      </c>
      <c r="L1670" s="35">
        <f t="shared" si="175"/>
        <v>0</v>
      </c>
      <c r="M1670" s="35">
        <f t="shared" si="177"/>
        <v>0</v>
      </c>
      <c r="S1670" t="s">
        <v>87</v>
      </c>
      <c r="T1670" s="5">
        <f>data_origin!T1924</f>
        <v>0</v>
      </c>
      <c r="U1670" s="5">
        <f>data_origin!U1924</f>
        <v>0</v>
      </c>
      <c r="V1670" s="5">
        <f>data_origin!V1924</f>
        <v>0</v>
      </c>
      <c r="W1670" s="5">
        <f>data_origin!W1924</f>
        <v>0</v>
      </c>
      <c r="X1670" s="5">
        <f>data_origin!X1924</f>
        <v>0</v>
      </c>
      <c r="Y1670" s="5">
        <f>data_origin!Y1924</f>
        <v>0</v>
      </c>
      <c r="Z1670" s="5">
        <f>data_origin!Z1924</f>
        <v>0</v>
      </c>
      <c r="AA1670" s="5">
        <f>data_origin!AA1924</f>
        <v>0</v>
      </c>
      <c r="AB1670" s="5">
        <f t="shared" si="173"/>
        <v>0</v>
      </c>
    </row>
    <row r="1671" spans="4:28" x14ac:dyDescent="0.25">
      <c r="D1671" t="s">
        <v>88</v>
      </c>
      <c r="E1671" s="35">
        <f t="shared" si="176"/>
        <v>0</v>
      </c>
      <c r="F1671" s="35">
        <f t="shared" si="174"/>
        <v>0</v>
      </c>
      <c r="G1671" s="35">
        <f t="shared" si="175"/>
        <v>0</v>
      </c>
      <c r="H1671" s="35">
        <f t="shared" si="175"/>
        <v>1.0025462442896727</v>
      </c>
      <c r="I1671" s="35">
        <f t="shared" si="175"/>
        <v>0</v>
      </c>
      <c r="J1671" s="35">
        <f t="shared" si="175"/>
        <v>0</v>
      </c>
      <c r="K1671" s="35">
        <f t="shared" si="175"/>
        <v>0</v>
      </c>
      <c r="L1671" s="35">
        <f t="shared" si="175"/>
        <v>0</v>
      </c>
      <c r="M1671" s="35">
        <f t="shared" si="177"/>
        <v>1.0025462442896727</v>
      </c>
      <c r="S1671" t="s">
        <v>88</v>
      </c>
      <c r="T1671" s="5">
        <f>data_origin!T1925</f>
        <v>0</v>
      </c>
      <c r="U1671" s="5">
        <f>data_origin!U1925</f>
        <v>0</v>
      </c>
      <c r="V1671" s="5">
        <f>data_origin!V1925</f>
        <v>0</v>
      </c>
      <c r="W1671" s="5">
        <f>data_origin!W1925</f>
        <v>1</v>
      </c>
      <c r="X1671" s="5">
        <f>data_origin!X1925</f>
        <v>0</v>
      </c>
      <c r="Y1671" s="5">
        <f>data_origin!Y1925</f>
        <v>0</v>
      </c>
      <c r="Z1671" s="5">
        <f>data_origin!Z1925</f>
        <v>0</v>
      </c>
      <c r="AA1671" s="5">
        <f>data_origin!AA1925</f>
        <v>0</v>
      </c>
      <c r="AB1671" s="5">
        <f t="shared" si="173"/>
        <v>1</v>
      </c>
    </row>
    <row r="1672" spans="4:28" x14ac:dyDescent="0.25">
      <c r="D1672" t="s">
        <v>89</v>
      </c>
      <c r="E1672" s="35">
        <f t="shared" si="176"/>
        <v>0</v>
      </c>
      <c r="F1672" s="35">
        <f t="shared" si="174"/>
        <v>0</v>
      </c>
      <c r="G1672" s="35">
        <f t="shared" si="175"/>
        <v>0</v>
      </c>
      <c r="H1672" s="35">
        <f t="shared" si="175"/>
        <v>0</v>
      </c>
      <c r="I1672" s="35">
        <f t="shared" si="175"/>
        <v>0</v>
      </c>
      <c r="J1672" s="35">
        <f t="shared" si="175"/>
        <v>0</v>
      </c>
      <c r="K1672" s="35">
        <f t="shared" si="175"/>
        <v>0</v>
      </c>
      <c r="L1672" s="35">
        <f t="shared" si="175"/>
        <v>0</v>
      </c>
      <c r="M1672" s="35">
        <f t="shared" si="177"/>
        <v>0</v>
      </c>
      <c r="S1672" t="s">
        <v>89</v>
      </c>
      <c r="T1672" s="5">
        <f>data_origin!T1926</f>
        <v>0</v>
      </c>
      <c r="U1672" s="5">
        <f>data_origin!U1926</f>
        <v>0</v>
      </c>
      <c r="V1672" s="5">
        <f>data_origin!V1926</f>
        <v>0</v>
      </c>
      <c r="W1672" s="5">
        <f>data_origin!W1926</f>
        <v>0</v>
      </c>
      <c r="X1672" s="5">
        <f>data_origin!X1926</f>
        <v>0</v>
      </c>
      <c r="Y1672" s="5">
        <f>data_origin!Y1926</f>
        <v>0</v>
      </c>
      <c r="Z1672" s="5">
        <f>data_origin!Z1926</f>
        <v>0</v>
      </c>
      <c r="AA1672" s="5">
        <f>data_origin!AA1926</f>
        <v>0</v>
      </c>
      <c r="AB1672" s="5">
        <f t="shared" si="173"/>
        <v>0</v>
      </c>
    </row>
    <row r="1673" spans="4:28" x14ac:dyDescent="0.25">
      <c r="D1673" t="s">
        <v>90</v>
      </c>
      <c r="E1673" s="35">
        <f t="shared" si="176"/>
        <v>0</v>
      </c>
      <c r="F1673" s="35">
        <f t="shared" si="174"/>
        <v>0</v>
      </c>
      <c r="G1673" s="35">
        <f t="shared" si="175"/>
        <v>0</v>
      </c>
      <c r="H1673" s="35">
        <f t="shared" si="175"/>
        <v>0</v>
      </c>
      <c r="I1673" s="35">
        <f t="shared" si="175"/>
        <v>0</v>
      </c>
      <c r="J1673" s="35">
        <f t="shared" si="175"/>
        <v>0</v>
      </c>
      <c r="K1673" s="35">
        <f t="shared" si="175"/>
        <v>0</v>
      </c>
      <c r="L1673" s="35">
        <f t="shared" si="175"/>
        <v>0</v>
      </c>
      <c r="M1673" s="35">
        <f t="shared" si="177"/>
        <v>0</v>
      </c>
      <c r="S1673" t="s">
        <v>90</v>
      </c>
      <c r="T1673" s="5">
        <f>data_origin!T1927</f>
        <v>0</v>
      </c>
      <c r="U1673" s="5">
        <f>data_origin!U1927</f>
        <v>0</v>
      </c>
      <c r="V1673" s="5">
        <f>data_origin!V1927</f>
        <v>0</v>
      </c>
      <c r="W1673" s="5">
        <f>data_origin!W1927</f>
        <v>0</v>
      </c>
      <c r="X1673" s="5">
        <f>data_origin!X1927</f>
        <v>0</v>
      </c>
      <c r="Y1673" s="5">
        <f>data_origin!Y1927</f>
        <v>0</v>
      </c>
      <c r="Z1673" s="5">
        <f>data_origin!Z1927</f>
        <v>0</v>
      </c>
      <c r="AA1673" s="5">
        <f>data_origin!AA1927</f>
        <v>0</v>
      </c>
      <c r="AB1673" s="5">
        <f t="shared" si="173"/>
        <v>0</v>
      </c>
    </row>
    <row r="1674" spans="4:28" x14ac:dyDescent="0.25">
      <c r="D1674" t="s">
        <v>91</v>
      </c>
      <c r="E1674" s="35">
        <f t="shared" si="176"/>
        <v>0</v>
      </c>
      <c r="F1674" s="35">
        <f t="shared" si="174"/>
        <v>0</v>
      </c>
      <c r="G1674" s="35">
        <f t="shared" si="175"/>
        <v>0</v>
      </c>
      <c r="H1674" s="35">
        <f t="shared" si="175"/>
        <v>0</v>
      </c>
      <c r="I1674" s="35">
        <f t="shared" si="175"/>
        <v>0</v>
      </c>
      <c r="J1674" s="35">
        <f t="shared" si="175"/>
        <v>0</v>
      </c>
      <c r="K1674" s="35">
        <f t="shared" si="175"/>
        <v>0</v>
      </c>
      <c r="L1674" s="35">
        <f t="shared" si="175"/>
        <v>0</v>
      </c>
      <c r="M1674" s="35">
        <f t="shared" si="177"/>
        <v>0</v>
      </c>
      <c r="S1674" t="s">
        <v>91</v>
      </c>
      <c r="T1674" s="5">
        <f>data_origin!T1928</f>
        <v>0</v>
      </c>
      <c r="U1674" s="5">
        <f>data_origin!U1928</f>
        <v>0</v>
      </c>
      <c r="V1674" s="5">
        <f>data_origin!V1928</f>
        <v>0</v>
      </c>
      <c r="W1674" s="5">
        <f>data_origin!W1928</f>
        <v>0</v>
      </c>
      <c r="X1674" s="5">
        <f>data_origin!X1928</f>
        <v>0</v>
      </c>
      <c r="Y1674" s="5">
        <f>data_origin!Y1928</f>
        <v>0</v>
      </c>
      <c r="Z1674" s="5">
        <f>data_origin!Z1928</f>
        <v>0</v>
      </c>
      <c r="AA1674" s="5">
        <f>data_origin!AA1928</f>
        <v>0</v>
      </c>
      <c r="AB1674" s="5">
        <f t="shared" si="173"/>
        <v>0</v>
      </c>
    </row>
    <row r="1675" spans="4:28" x14ac:dyDescent="0.25">
      <c r="D1675" t="s">
        <v>92</v>
      </c>
      <c r="E1675" s="35">
        <f t="shared" si="176"/>
        <v>0</v>
      </c>
      <c r="F1675" s="35">
        <f t="shared" si="174"/>
        <v>0</v>
      </c>
      <c r="G1675" s="35">
        <f t="shared" si="175"/>
        <v>0</v>
      </c>
      <c r="H1675" s="35">
        <f t="shared" si="175"/>
        <v>0</v>
      </c>
      <c r="I1675" s="35">
        <f t="shared" si="175"/>
        <v>0</v>
      </c>
      <c r="J1675" s="35">
        <f t="shared" si="175"/>
        <v>0</v>
      </c>
      <c r="K1675" s="35">
        <f t="shared" si="175"/>
        <v>0</v>
      </c>
      <c r="L1675" s="35">
        <f t="shared" si="175"/>
        <v>0</v>
      </c>
      <c r="M1675" s="35">
        <f t="shared" si="177"/>
        <v>0</v>
      </c>
      <c r="S1675" t="s">
        <v>92</v>
      </c>
      <c r="T1675" s="5">
        <f>data_origin!T1929</f>
        <v>0</v>
      </c>
      <c r="U1675" s="5">
        <f>data_origin!U1929</f>
        <v>0</v>
      </c>
      <c r="V1675" s="5">
        <f>data_origin!V1929</f>
        <v>0</v>
      </c>
      <c r="W1675" s="5">
        <f>data_origin!W1929</f>
        <v>0</v>
      </c>
      <c r="X1675" s="5">
        <f>data_origin!X1929</f>
        <v>0</v>
      </c>
      <c r="Y1675" s="5">
        <f>data_origin!Y1929</f>
        <v>0</v>
      </c>
      <c r="Z1675" s="5">
        <f>data_origin!Z1929</f>
        <v>0</v>
      </c>
      <c r="AA1675" s="5">
        <f>data_origin!AA1929</f>
        <v>0</v>
      </c>
      <c r="AB1675" s="5">
        <f t="shared" si="173"/>
        <v>0</v>
      </c>
    </row>
    <row r="1676" spans="4:28" x14ac:dyDescent="0.25">
      <c r="D1676" t="s">
        <v>93</v>
      </c>
      <c r="E1676" s="35">
        <f t="shared" si="176"/>
        <v>0</v>
      </c>
      <c r="F1676" s="35">
        <f t="shared" si="174"/>
        <v>0</v>
      </c>
      <c r="G1676" s="35">
        <f t="shared" si="175"/>
        <v>0</v>
      </c>
      <c r="H1676" s="35">
        <f t="shared" si="175"/>
        <v>0</v>
      </c>
      <c r="I1676" s="35">
        <f t="shared" si="175"/>
        <v>0</v>
      </c>
      <c r="J1676" s="35">
        <f t="shared" si="175"/>
        <v>0</v>
      </c>
      <c r="K1676" s="35">
        <f t="shared" si="175"/>
        <v>0</v>
      </c>
      <c r="L1676" s="35">
        <f t="shared" si="175"/>
        <v>0</v>
      </c>
      <c r="M1676" s="35">
        <f t="shared" si="177"/>
        <v>0</v>
      </c>
      <c r="S1676" t="s">
        <v>93</v>
      </c>
      <c r="T1676" s="5">
        <f>data_origin!T1930</f>
        <v>0</v>
      </c>
      <c r="U1676" s="5">
        <f>data_origin!U1930</f>
        <v>0</v>
      </c>
      <c r="V1676" s="5">
        <f>data_origin!V1930</f>
        <v>0</v>
      </c>
      <c r="W1676" s="5">
        <f>data_origin!W1930</f>
        <v>0</v>
      </c>
      <c r="X1676" s="5">
        <f>data_origin!X1930</f>
        <v>0</v>
      </c>
      <c r="Y1676" s="5">
        <f>data_origin!Y1930</f>
        <v>0</v>
      </c>
      <c r="Z1676" s="5">
        <f>data_origin!Z1930</f>
        <v>0</v>
      </c>
      <c r="AA1676" s="5">
        <f>data_origin!AA1930</f>
        <v>0</v>
      </c>
      <c r="AB1676" s="5">
        <f t="shared" si="173"/>
        <v>0</v>
      </c>
    </row>
    <row r="1677" spans="4:28" x14ac:dyDescent="0.25">
      <c r="D1677" t="s">
        <v>94</v>
      </c>
      <c r="E1677" s="35">
        <f t="shared" si="176"/>
        <v>0</v>
      </c>
      <c r="F1677" s="35">
        <f t="shared" si="174"/>
        <v>0</v>
      </c>
      <c r="G1677" s="35">
        <f t="shared" si="175"/>
        <v>0</v>
      </c>
      <c r="H1677" s="35">
        <f t="shared" si="175"/>
        <v>0</v>
      </c>
      <c r="I1677" s="35">
        <f t="shared" si="175"/>
        <v>0</v>
      </c>
      <c r="J1677" s="35">
        <f t="shared" si="175"/>
        <v>0</v>
      </c>
      <c r="K1677" s="35">
        <f t="shared" si="175"/>
        <v>0</v>
      </c>
      <c r="L1677" s="35">
        <f t="shared" si="175"/>
        <v>0</v>
      </c>
      <c r="M1677" s="35">
        <f t="shared" si="177"/>
        <v>0</v>
      </c>
      <c r="S1677" t="s">
        <v>94</v>
      </c>
      <c r="T1677" s="5">
        <f>data_origin!T1931</f>
        <v>0</v>
      </c>
      <c r="U1677" s="5">
        <f>data_origin!U1931</f>
        <v>0</v>
      </c>
      <c r="V1677" s="5">
        <f>data_origin!V1931</f>
        <v>0</v>
      </c>
      <c r="W1677" s="5">
        <f>data_origin!W1931</f>
        <v>0</v>
      </c>
      <c r="X1677" s="5">
        <f>data_origin!X1931</f>
        <v>0</v>
      </c>
      <c r="Y1677" s="5">
        <f>data_origin!Y1931</f>
        <v>0</v>
      </c>
      <c r="Z1677" s="5">
        <f>data_origin!Z1931</f>
        <v>0</v>
      </c>
      <c r="AA1677" s="5">
        <f>data_origin!AA1931</f>
        <v>0</v>
      </c>
      <c r="AB1677" s="5">
        <f t="shared" si="173"/>
        <v>0</v>
      </c>
    </row>
    <row r="1678" spans="4:28" x14ac:dyDescent="0.25">
      <c r="D1678" t="s">
        <v>95</v>
      </c>
      <c r="E1678" s="35">
        <f t="shared" si="176"/>
        <v>0</v>
      </c>
      <c r="F1678" s="35">
        <f t="shared" si="174"/>
        <v>0</v>
      </c>
      <c r="G1678" s="35">
        <f t="shared" si="175"/>
        <v>0</v>
      </c>
      <c r="H1678" s="35">
        <f t="shared" si="175"/>
        <v>0</v>
      </c>
      <c r="I1678" s="35">
        <f t="shared" si="175"/>
        <v>0</v>
      </c>
      <c r="J1678" s="35">
        <f t="shared" si="175"/>
        <v>0</v>
      </c>
      <c r="K1678" s="35">
        <f t="shared" si="175"/>
        <v>0</v>
      </c>
      <c r="L1678" s="35">
        <f t="shared" si="175"/>
        <v>0</v>
      </c>
      <c r="M1678" s="35">
        <f t="shared" si="177"/>
        <v>0</v>
      </c>
      <c r="S1678" t="s">
        <v>95</v>
      </c>
      <c r="T1678" s="5">
        <f>data_origin!T1932</f>
        <v>0</v>
      </c>
      <c r="U1678" s="5">
        <f>data_origin!U1932</f>
        <v>0</v>
      </c>
      <c r="V1678" s="5">
        <f>data_origin!V1932</f>
        <v>0</v>
      </c>
      <c r="W1678" s="5">
        <f>data_origin!W1932</f>
        <v>0</v>
      </c>
      <c r="X1678" s="5">
        <f>data_origin!X1932</f>
        <v>0</v>
      </c>
      <c r="Y1678" s="5">
        <f>data_origin!Y1932</f>
        <v>0</v>
      </c>
      <c r="Z1678" s="5">
        <f>data_origin!Z1932</f>
        <v>0</v>
      </c>
      <c r="AA1678" s="5">
        <f>data_origin!AA1932</f>
        <v>0</v>
      </c>
      <c r="AB1678" s="5">
        <f t="shared" si="173"/>
        <v>0</v>
      </c>
    </row>
    <row r="1679" spans="4:28" x14ac:dyDescent="0.25">
      <c r="D1679" t="s">
        <v>96</v>
      </c>
      <c r="E1679" s="35">
        <f t="shared" si="176"/>
        <v>0</v>
      </c>
      <c r="F1679" s="35">
        <f t="shared" si="174"/>
        <v>0</v>
      </c>
      <c r="G1679" s="35">
        <f t="shared" si="175"/>
        <v>0</v>
      </c>
      <c r="H1679" s="35">
        <f t="shared" si="175"/>
        <v>0</v>
      </c>
      <c r="I1679" s="35">
        <f t="shared" si="175"/>
        <v>0</v>
      </c>
      <c r="J1679" s="35">
        <f t="shared" si="175"/>
        <v>0</v>
      </c>
      <c r="K1679" s="35">
        <f t="shared" si="175"/>
        <v>0</v>
      </c>
      <c r="L1679" s="35">
        <f t="shared" si="175"/>
        <v>0</v>
      </c>
      <c r="M1679" s="35">
        <f t="shared" si="177"/>
        <v>0</v>
      </c>
      <c r="S1679" t="s">
        <v>96</v>
      </c>
      <c r="T1679" s="5">
        <f>data_origin!T1933</f>
        <v>0</v>
      </c>
      <c r="U1679" s="5">
        <f>data_origin!U1933</f>
        <v>0</v>
      </c>
      <c r="V1679" s="5">
        <f>data_origin!V1933</f>
        <v>0</v>
      </c>
      <c r="W1679" s="5">
        <f>data_origin!W1933</f>
        <v>0</v>
      </c>
      <c r="X1679" s="5">
        <f>data_origin!X1933</f>
        <v>0</v>
      </c>
      <c r="Y1679" s="5">
        <f>data_origin!Y1933</f>
        <v>0</v>
      </c>
      <c r="Z1679" s="5">
        <f>data_origin!Z1933</f>
        <v>0</v>
      </c>
      <c r="AA1679" s="5">
        <f>data_origin!AA1933</f>
        <v>0</v>
      </c>
      <c r="AB1679" s="5">
        <f t="shared" si="173"/>
        <v>0</v>
      </c>
    </row>
    <row r="1680" spans="4:28" x14ac:dyDescent="0.25">
      <c r="D1680" t="s">
        <v>97</v>
      </c>
      <c r="E1680" s="35">
        <f t="shared" si="176"/>
        <v>0</v>
      </c>
      <c r="F1680" s="35">
        <f t="shared" si="174"/>
        <v>0</v>
      </c>
      <c r="G1680" s="35">
        <f t="shared" si="175"/>
        <v>0</v>
      </c>
      <c r="H1680" s="35">
        <f t="shared" si="175"/>
        <v>0</v>
      </c>
      <c r="I1680" s="35">
        <f t="shared" si="175"/>
        <v>0</v>
      </c>
      <c r="J1680" s="35">
        <f t="shared" si="175"/>
        <v>0</v>
      </c>
      <c r="K1680" s="35">
        <f t="shared" si="175"/>
        <v>0</v>
      </c>
      <c r="L1680" s="35">
        <f t="shared" si="175"/>
        <v>0</v>
      </c>
      <c r="M1680" s="35">
        <f t="shared" si="177"/>
        <v>0</v>
      </c>
      <c r="S1680" t="s">
        <v>97</v>
      </c>
      <c r="T1680" s="5">
        <f>data_origin!T1934</f>
        <v>0</v>
      </c>
      <c r="U1680" s="5">
        <f>data_origin!U1934</f>
        <v>0</v>
      </c>
      <c r="V1680" s="5">
        <f>data_origin!V1934</f>
        <v>0</v>
      </c>
      <c r="W1680" s="5">
        <f>data_origin!W1934</f>
        <v>0</v>
      </c>
      <c r="X1680" s="5">
        <f>data_origin!X1934</f>
        <v>0</v>
      </c>
      <c r="Y1680" s="5">
        <f>data_origin!Y1934</f>
        <v>0</v>
      </c>
      <c r="Z1680" s="5">
        <f>data_origin!Z1934</f>
        <v>0</v>
      </c>
      <c r="AA1680" s="5">
        <f>data_origin!AA1934</f>
        <v>0</v>
      </c>
      <c r="AB1680" s="5">
        <f t="shared" si="173"/>
        <v>0</v>
      </c>
    </row>
    <row r="1681" spans="1:28" x14ac:dyDescent="0.25">
      <c r="D1681" t="s">
        <v>98</v>
      </c>
      <c r="E1681" s="35">
        <f t="shared" si="176"/>
        <v>0</v>
      </c>
      <c r="F1681" s="35">
        <f t="shared" si="174"/>
        <v>0</v>
      </c>
      <c r="G1681" s="35">
        <f t="shared" si="175"/>
        <v>0</v>
      </c>
      <c r="H1681" s="35">
        <f t="shared" si="175"/>
        <v>0</v>
      </c>
      <c r="I1681" s="35">
        <f t="shared" si="175"/>
        <v>0</v>
      </c>
      <c r="J1681" s="35">
        <f t="shared" si="175"/>
        <v>1.000925925925926</v>
      </c>
      <c r="K1681" s="35">
        <f t="shared" si="175"/>
        <v>0</v>
      </c>
      <c r="L1681" s="35">
        <f t="shared" si="175"/>
        <v>0</v>
      </c>
      <c r="M1681" s="35">
        <f t="shared" si="177"/>
        <v>1.000925925925926</v>
      </c>
      <c r="S1681" t="s">
        <v>98</v>
      </c>
      <c r="T1681" s="5">
        <f>data_origin!T1935</f>
        <v>0</v>
      </c>
      <c r="U1681" s="5">
        <f>data_origin!U1935</f>
        <v>0</v>
      </c>
      <c r="V1681" s="5">
        <f>data_origin!V1935</f>
        <v>0</v>
      </c>
      <c r="W1681" s="5">
        <f>data_origin!W1935</f>
        <v>0</v>
      </c>
      <c r="X1681" s="5">
        <f>data_origin!X1935</f>
        <v>0</v>
      </c>
      <c r="Y1681" s="5">
        <f>data_origin!Y1935</f>
        <v>1</v>
      </c>
      <c r="Z1681" s="5">
        <f>data_origin!Z1935</f>
        <v>0</v>
      </c>
      <c r="AA1681" s="5">
        <f>data_origin!AA1935</f>
        <v>0</v>
      </c>
      <c r="AB1681" s="5">
        <f t="shared" si="173"/>
        <v>1</v>
      </c>
    </row>
    <row r="1682" spans="1:28" x14ac:dyDescent="0.25">
      <c r="D1682" t="s">
        <v>119</v>
      </c>
      <c r="E1682" s="35">
        <f t="shared" si="176"/>
        <v>0</v>
      </c>
      <c r="F1682" s="35">
        <f t="shared" si="174"/>
        <v>0</v>
      </c>
      <c r="G1682" s="35">
        <f t="shared" si="175"/>
        <v>0</v>
      </c>
      <c r="H1682" s="35">
        <f t="shared" si="175"/>
        <v>0</v>
      </c>
      <c r="I1682" s="35">
        <f t="shared" si="175"/>
        <v>0</v>
      </c>
      <c r="J1682" s="35">
        <f t="shared" si="175"/>
        <v>0</v>
      </c>
      <c r="K1682" s="35">
        <f t="shared" si="175"/>
        <v>0</v>
      </c>
      <c r="L1682" s="35">
        <f t="shared" si="175"/>
        <v>0</v>
      </c>
      <c r="M1682" s="35">
        <f t="shared" si="177"/>
        <v>0</v>
      </c>
      <c r="S1682" t="s">
        <v>119</v>
      </c>
      <c r="T1682" s="5">
        <f>data_origin!T1936</f>
        <v>0</v>
      </c>
      <c r="U1682" s="5">
        <f>data_origin!U1936</f>
        <v>0</v>
      </c>
      <c r="V1682" s="5">
        <f>data_origin!V1936</f>
        <v>0</v>
      </c>
      <c r="W1682" s="5">
        <f>data_origin!W1936</f>
        <v>0</v>
      </c>
      <c r="X1682" s="5">
        <f>data_origin!X1936</f>
        <v>0</v>
      </c>
      <c r="Y1682" s="5">
        <f>data_origin!Y1936</f>
        <v>0</v>
      </c>
      <c r="Z1682" s="5">
        <f>data_origin!Z1936</f>
        <v>0</v>
      </c>
      <c r="AA1682" s="5">
        <f>data_origin!AA1936</f>
        <v>0</v>
      </c>
      <c r="AB1682" s="5">
        <f t="shared" si="173"/>
        <v>0</v>
      </c>
    </row>
    <row r="1683" spans="1:28" x14ac:dyDescent="0.25">
      <c r="D1683" t="s">
        <v>99</v>
      </c>
      <c r="E1683" s="35">
        <f t="shared" si="176"/>
        <v>0</v>
      </c>
      <c r="F1683" s="35">
        <f t="shared" si="174"/>
        <v>0</v>
      </c>
      <c r="G1683" s="35">
        <f t="shared" si="175"/>
        <v>0</v>
      </c>
      <c r="H1683" s="35">
        <f t="shared" si="175"/>
        <v>0</v>
      </c>
      <c r="I1683" s="35">
        <f t="shared" si="175"/>
        <v>0</v>
      </c>
      <c r="J1683" s="35">
        <f t="shared" si="175"/>
        <v>0</v>
      </c>
      <c r="K1683" s="35">
        <f t="shared" si="175"/>
        <v>0</v>
      </c>
      <c r="L1683" s="35">
        <f t="shared" si="175"/>
        <v>0</v>
      </c>
      <c r="M1683" s="35">
        <f t="shared" si="177"/>
        <v>0</v>
      </c>
      <c r="S1683" t="s">
        <v>99</v>
      </c>
      <c r="T1683" s="5">
        <f>data_origin!T1937</f>
        <v>0</v>
      </c>
      <c r="U1683" s="5">
        <f>data_origin!U1937</f>
        <v>0</v>
      </c>
      <c r="V1683" s="5">
        <f>data_origin!V1937</f>
        <v>0</v>
      </c>
      <c r="W1683" s="5">
        <f>data_origin!W1937</f>
        <v>0</v>
      </c>
      <c r="X1683" s="5">
        <f>data_origin!X1937</f>
        <v>0</v>
      </c>
      <c r="Y1683" s="5">
        <f>data_origin!Y1937</f>
        <v>0</v>
      </c>
      <c r="Z1683" s="5">
        <f>data_origin!Z1937</f>
        <v>0</v>
      </c>
      <c r="AA1683" s="5">
        <f>data_origin!AA1937</f>
        <v>0</v>
      </c>
      <c r="AB1683" s="5">
        <f t="shared" si="173"/>
        <v>0</v>
      </c>
    </row>
    <row r="1684" spans="1:28" x14ac:dyDescent="0.25">
      <c r="D1684" t="s">
        <v>100</v>
      </c>
      <c r="E1684" s="35">
        <f t="shared" si="176"/>
        <v>0</v>
      </c>
      <c r="F1684" s="35">
        <f t="shared" si="174"/>
        <v>0</v>
      </c>
      <c r="G1684" s="35">
        <f t="shared" si="175"/>
        <v>8.0152635344621981</v>
      </c>
      <c r="H1684" s="35">
        <f t="shared" si="175"/>
        <v>6.0152774657380368</v>
      </c>
      <c r="I1684" s="35">
        <f t="shared" si="175"/>
        <v>4.0062548866301801</v>
      </c>
      <c r="J1684" s="35">
        <f t="shared" si="175"/>
        <v>1.000925925925926</v>
      </c>
      <c r="K1684" s="35">
        <f t="shared" si="175"/>
        <v>0</v>
      </c>
      <c r="L1684" s="35">
        <f t="shared" si="175"/>
        <v>1</v>
      </c>
      <c r="M1684" s="35">
        <f t="shared" si="177"/>
        <v>20.037721812756342</v>
      </c>
      <c r="S1684" t="s">
        <v>100</v>
      </c>
      <c r="T1684" s="5">
        <f>data_origin!T1938</f>
        <v>0</v>
      </c>
      <c r="U1684" s="5">
        <f>data_origin!U1938</f>
        <v>0</v>
      </c>
      <c r="V1684" s="5">
        <f>data_origin!V1938</f>
        <v>8</v>
      </c>
      <c r="W1684" s="5">
        <f>data_origin!W1938</f>
        <v>6</v>
      </c>
      <c r="X1684" s="5">
        <f>data_origin!X1938</f>
        <v>4</v>
      </c>
      <c r="Y1684" s="5">
        <f>data_origin!Y1938</f>
        <v>1</v>
      </c>
      <c r="Z1684" s="5">
        <f>data_origin!Z1938</f>
        <v>0</v>
      </c>
      <c r="AA1684" s="5">
        <f>data_origin!AA1938</f>
        <v>1</v>
      </c>
      <c r="AB1684" s="5">
        <f t="shared" si="173"/>
        <v>20</v>
      </c>
    </row>
    <row r="1685" spans="1:28" x14ac:dyDescent="0.25">
      <c r="D1685" t="s">
        <v>101</v>
      </c>
      <c r="E1685" s="35">
        <f t="shared" si="176"/>
        <v>0</v>
      </c>
      <c r="F1685" s="35">
        <f t="shared" si="174"/>
        <v>0</v>
      </c>
      <c r="G1685" s="35">
        <f t="shared" si="175"/>
        <v>0</v>
      </c>
      <c r="H1685" s="35">
        <f t="shared" si="175"/>
        <v>0</v>
      </c>
      <c r="I1685" s="35">
        <f t="shared" si="175"/>
        <v>0</v>
      </c>
      <c r="J1685" s="35">
        <f t="shared" si="175"/>
        <v>0</v>
      </c>
      <c r="K1685" s="35">
        <f t="shared" si="175"/>
        <v>0</v>
      </c>
      <c r="L1685" s="35">
        <f t="shared" si="175"/>
        <v>0</v>
      </c>
      <c r="M1685" s="35">
        <f t="shared" si="177"/>
        <v>0</v>
      </c>
      <c r="S1685" t="s">
        <v>101</v>
      </c>
      <c r="T1685" s="5">
        <f>data_origin!T1939</f>
        <v>0</v>
      </c>
      <c r="U1685" s="5">
        <f>data_origin!U1939</f>
        <v>0</v>
      </c>
      <c r="V1685" s="5">
        <f>data_origin!V1939</f>
        <v>0</v>
      </c>
      <c r="W1685" s="5">
        <f>data_origin!W1939</f>
        <v>0</v>
      </c>
      <c r="X1685" s="5">
        <f>data_origin!X1939</f>
        <v>0</v>
      </c>
      <c r="Y1685" s="5">
        <f>data_origin!Y1939</f>
        <v>0</v>
      </c>
      <c r="Z1685" s="5">
        <f>data_origin!Z1939</f>
        <v>0</v>
      </c>
      <c r="AA1685" s="5">
        <f>data_origin!AA1939</f>
        <v>0</v>
      </c>
      <c r="AB1685" s="5">
        <f t="shared" si="173"/>
        <v>0</v>
      </c>
    </row>
    <row r="1686" spans="1:28" x14ac:dyDescent="0.25">
      <c r="A1686" s="24" t="s">
        <v>115</v>
      </c>
      <c r="B1686" s="24" t="s">
        <v>117</v>
      </c>
      <c r="C1686" s="24" t="s">
        <v>106</v>
      </c>
      <c r="D1686" t="s">
        <v>70</v>
      </c>
      <c r="E1686" s="35">
        <f t="shared" si="176"/>
        <v>0</v>
      </c>
      <c r="F1686" s="35">
        <f t="shared" si="174"/>
        <v>0</v>
      </c>
      <c r="G1686" s="35">
        <f t="shared" si="175"/>
        <v>4.4094959416924597</v>
      </c>
      <c r="H1686" s="35">
        <f t="shared" si="175"/>
        <v>3.9838021812563311</v>
      </c>
      <c r="I1686" s="35">
        <f t="shared" si="175"/>
        <v>0</v>
      </c>
      <c r="J1686" s="35">
        <f t="shared" si="175"/>
        <v>0</v>
      </c>
      <c r="K1686" s="35">
        <f t="shared" si="175"/>
        <v>0</v>
      </c>
      <c r="L1686" s="35">
        <f t="shared" si="175"/>
        <v>0</v>
      </c>
      <c r="M1686" s="35">
        <f t="shared" si="177"/>
        <v>8.3932981229487904</v>
      </c>
      <c r="P1686" t="s">
        <v>115</v>
      </c>
      <c r="Q1686" t="s">
        <v>117</v>
      </c>
      <c r="R1686" t="s">
        <v>106</v>
      </c>
      <c r="S1686" t="s">
        <v>70</v>
      </c>
      <c r="T1686" s="5">
        <f>data_origin!T1941</f>
        <v>0</v>
      </c>
      <c r="U1686" s="5">
        <f>data_origin!U1941</f>
        <v>0</v>
      </c>
      <c r="V1686" s="5">
        <f>data_origin!V1941</f>
        <v>4.4010989010989015</v>
      </c>
      <c r="W1686" s="5">
        <f>data_origin!W1941</f>
        <v>3.9736842105263159</v>
      </c>
      <c r="X1686" s="5">
        <f>data_origin!X1941</f>
        <v>0</v>
      </c>
      <c r="Y1686" s="5">
        <f>data_origin!Y1941</f>
        <v>0</v>
      </c>
      <c r="Z1686" s="5">
        <f>data_origin!Z1941</f>
        <v>0</v>
      </c>
      <c r="AA1686" s="5">
        <f>data_origin!AA1941</f>
        <v>0</v>
      </c>
      <c r="AB1686" s="5">
        <f t="shared" si="173"/>
        <v>8.3747831116252165</v>
      </c>
    </row>
    <row r="1687" spans="1:28" x14ac:dyDescent="0.25">
      <c r="D1687" t="s">
        <v>71</v>
      </c>
      <c r="E1687" s="35">
        <f t="shared" si="176"/>
        <v>0</v>
      </c>
      <c r="F1687" s="35">
        <f t="shared" si="174"/>
        <v>0</v>
      </c>
      <c r="G1687" s="35">
        <f t="shared" si="175"/>
        <v>69.082103086515218</v>
      </c>
      <c r="H1687" s="35">
        <f t="shared" si="175"/>
        <v>49.133560235494748</v>
      </c>
      <c r="I1687" s="35">
        <f t="shared" si="175"/>
        <v>12.503392267144191</v>
      </c>
      <c r="J1687" s="35">
        <f t="shared" si="175"/>
        <v>0</v>
      </c>
      <c r="K1687" s="35">
        <f t="shared" si="175"/>
        <v>0</v>
      </c>
      <c r="L1687" s="35">
        <f t="shared" si="175"/>
        <v>0</v>
      </c>
      <c r="M1687" s="35">
        <f t="shared" si="177"/>
        <v>130.71905558915415</v>
      </c>
      <c r="S1687" t="s">
        <v>71</v>
      </c>
      <c r="T1687" s="5">
        <f>data_origin!T1942</f>
        <v>0</v>
      </c>
      <c r="U1687" s="5">
        <f>data_origin!U1942</f>
        <v>0</v>
      </c>
      <c r="V1687" s="5">
        <f>data_origin!V1942</f>
        <v>68.95054945054946</v>
      </c>
      <c r="W1687" s="5">
        <f>data_origin!W1942</f>
        <v>49.008771929824562</v>
      </c>
      <c r="X1687" s="5">
        <f>data_origin!X1942</f>
        <v>12.483870967741936</v>
      </c>
      <c r="Y1687" s="5">
        <f>data_origin!Y1942</f>
        <v>0</v>
      </c>
      <c r="Z1687" s="5">
        <f>data_origin!Z1942</f>
        <v>0</v>
      </c>
      <c r="AA1687" s="5">
        <f>data_origin!AA1942</f>
        <v>0</v>
      </c>
      <c r="AB1687" s="5">
        <f t="shared" si="173"/>
        <v>130.44319234811596</v>
      </c>
    </row>
    <row r="1688" spans="1:28" x14ac:dyDescent="0.25">
      <c r="D1688" t="s">
        <v>72</v>
      </c>
      <c r="E1688" s="35">
        <f t="shared" si="176"/>
        <v>0</v>
      </c>
      <c r="F1688" s="35">
        <f t="shared" si="174"/>
        <v>0</v>
      </c>
      <c r="G1688" s="35">
        <f t="shared" si="175"/>
        <v>0</v>
      </c>
      <c r="H1688" s="35">
        <f t="shared" si="175"/>
        <v>0</v>
      </c>
      <c r="I1688" s="35">
        <f t="shared" si="175"/>
        <v>1.3892658074604658</v>
      </c>
      <c r="J1688" s="35">
        <f t="shared" si="175"/>
        <v>0</v>
      </c>
      <c r="K1688" s="35">
        <f t="shared" si="175"/>
        <v>0</v>
      </c>
      <c r="L1688" s="35">
        <f t="shared" si="175"/>
        <v>0</v>
      </c>
      <c r="M1688" s="35">
        <f t="shared" si="177"/>
        <v>1.3892658074604658</v>
      </c>
      <c r="S1688" t="s">
        <v>72</v>
      </c>
      <c r="T1688" s="5">
        <f>data_origin!T1943</f>
        <v>0</v>
      </c>
      <c r="U1688" s="5">
        <f>data_origin!U1943</f>
        <v>0</v>
      </c>
      <c r="V1688" s="5">
        <f>data_origin!V1943</f>
        <v>0</v>
      </c>
      <c r="W1688" s="5">
        <f>data_origin!W1943</f>
        <v>0</v>
      </c>
      <c r="X1688" s="5">
        <f>data_origin!X1943</f>
        <v>1.3870967741935485</v>
      </c>
      <c r="Y1688" s="5">
        <f>data_origin!Y1943</f>
        <v>0</v>
      </c>
      <c r="Z1688" s="5">
        <f>data_origin!Z1943</f>
        <v>0</v>
      </c>
      <c r="AA1688" s="5">
        <f>data_origin!AA1943</f>
        <v>0</v>
      </c>
      <c r="AB1688" s="5">
        <f t="shared" si="173"/>
        <v>1.3870967741935485</v>
      </c>
    </row>
    <row r="1689" spans="1:28" x14ac:dyDescent="0.25">
      <c r="D1689" t="s">
        <v>73</v>
      </c>
      <c r="E1689" s="35">
        <f t="shared" si="176"/>
        <v>0</v>
      </c>
      <c r="F1689" s="35">
        <f t="shared" si="174"/>
        <v>0</v>
      </c>
      <c r="G1689" s="35">
        <f t="shared" si="175"/>
        <v>1.4698319805641533</v>
      </c>
      <c r="H1689" s="35">
        <f t="shared" si="175"/>
        <v>0</v>
      </c>
      <c r="I1689" s="35">
        <f t="shared" si="175"/>
        <v>0</v>
      </c>
      <c r="J1689" s="35">
        <f t="shared" si="175"/>
        <v>0</v>
      </c>
      <c r="K1689" s="35">
        <f t="shared" si="175"/>
        <v>0</v>
      </c>
      <c r="L1689" s="35">
        <f t="shared" si="175"/>
        <v>0</v>
      </c>
      <c r="M1689" s="35">
        <f t="shared" si="177"/>
        <v>1.4698319805641533</v>
      </c>
      <c r="S1689" t="s">
        <v>73</v>
      </c>
      <c r="T1689" s="5">
        <f>data_origin!T1944</f>
        <v>0</v>
      </c>
      <c r="U1689" s="5">
        <f>data_origin!U1944</f>
        <v>0</v>
      </c>
      <c r="V1689" s="5">
        <f>data_origin!V1944</f>
        <v>1.4670329670329672</v>
      </c>
      <c r="W1689" s="5">
        <f>data_origin!W1944</f>
        <v>0</v>
      </c>
      <c r="X1689" s="5">
        <f>data_origin!X1944</f>
        <v>0</v>
      </c>
      <c r="Y1689" s="5">
        <f>data_origin!Y1944</f>
        <v>0</v>
      </c>
      <c r="Z1689" s="5">
        <f>data_origin!Z1944</f>
        <v>0</v>
      </c>
      <c r="AA1689" s="5">
        <f>data_origin!AA1944</f>
        <v>0</v>
      </c>
      <c r="AB1689" s="5">
        <f t="shared" si="173"/>
        <v>1.4670329670329672</v>
      </c>
    </row>
    <row r="1690" spans="1:28" x14ac:dyDescent="0.25">
      <c r="D1690" t="s">
        <v>74</v>
      </c>
      <c r="E1690" s="35">
        <f t="shared" si="176"/>
        <v>0</v>
      </c>
      <c r="F1690" s="35">
        <f t="shared" si="174"/>
        <v>0</v>
      </c>
      <c r="G1690" s="35">
        <f t="shared" si="175"/>
        <v>7.3491599028207668</v>
      </c>
      <c r="H1690" s="35">
        <f t="shared" si="175"/>
        <v>9.2955384229314397</v>
      </c>
      <c r="I1690" s="35">
        <f t="shared" si="175"/>
        <v>4.1677974223813967</v>
      </c>
      <c r="J1690" s="35">
        <f t="shared" si="175"/>
        <v>0</v>
      </c>
      <c r="K1690" s="35">
        <f t="shared" si="175"/>
        <v>0</v>
      </c>
      <c r="L1690" s="35">
        <f t="shared" si="175"/>
        <v>0</v>
      </c>
      <c r="M1690" s="35">
        <f t="shared" si="177"/>
        <v>20.812495748133603</v>
      </c>
      <c r="S1690" t="s">
        <v>74</v>
      </c>
      <c r="T1690" s="5">
        <f>data_origin!T1945</f>
        <v>0</v>
      </c>
      <c r="U1690" s="5">
        <f>data_origin!U1945</f>
        <v>0</v>
      </c>
      <c r="V1690" s="5">
        <f>data_origin!V1945</f>
        <v>7.3351648351648358</v>
      </c>
      <c r="W1690" s="5">
        <f>data_origin!W1945</f>
        <v>9.2719298245614041</v>
      </c>
      <c r="X1690" s="5">
        <f>data_origin!X1945</f>
        <v>4.161290322580645</v>
      </c>
      <c r="Y1690" s="5">
        <f>data_origin!Y1945</f>
        <v>0</v>
      </c>
      <c r="Z1690" s="5">
        <f>data_origin!Z1945</f>
        <v>0</v>
      </c>
      <c r="AA1690" s="5">
        <f>data_origin!AA1945</f>
        <v>0</v>
      </c>
      <c r="AB1690" s="5">
        <f t="shared" si="173"/>
        <v>20.768384982306884</v>
      </c>
    </row>
    <row r="1691" spans="1:28" x14ac:dyDescent="0.25">
      <c r="D1691" t="s">
        <v>75</v>
      </c>
      <c r="E1691" s="35">
        <f t="shared" si="176"/>
        <v>0</v>
      </c>
      <c r="F1691" s="35">
        <f t="shared" si="174"/>
        <v>0</v>
      </c>
      <c r="G1691" s="35">
        <f t="shared" si="175"/>
        <v>0</v>
      </c>
      <c r="H1691" s="35">
        <f t="shared" si="175"/>
        <v>0</v>
      </c>
      <c r="I1691" s="35">
        <f t="shared" si="175"/>
        <v>0</v>
      </c>
      <c r="J1691" s="35">
        <f t="shared" si="175"/>
        <v>0</v>
      </c>
      <c r="K1691" s="35">
        <f t="shared" si="175"/>
        <v>0</v>
      </c>
      <c r="L1691" s="35">
        <f t="shared" si="175"/>
        <v>0</v>
      </c>
      <c r="M1691" s="35">
        <f t="shared" si="177"/>
        <v>0</v>
      </c>
      <c r="S1691" t="s">
        <v>75</v>
      </c>
      <c r="T1691" s="5">
        <f>data_origin!T1946</f>
        <v>0</v>
      </c>
      <c r="U1691" s="5">
        <f>data_origin!U1946</f>
        <v>0</v>
      </c>
      <c r="V1691" s="5">
        <f>data_origin!V1946</f>
        <v>0</v>
      </c>
      <c r="W1691" s="5">
        <f>data_origin!W1946</f>
        <v>0</v>
      </c>
      <c r="X1691" s="5">
        <f>data_origin!X1946</f>
        <v>0</v>
      </c>
      <c r="Y1691" s="5">
        <f>data_origin!Y1946</f>
        <v>0</v>
      </c>
      <c r="Z1691" s="5">
        <f>data_origin!Z1946</f>
        <v>0</v>
      </c>
      <c r="AA1691" s="5">
        <f>data_origin!AA1946</f>
        <v>0</v>
      </c>
      <c r="AB1691" s="5">
        <f t="shared" si="173"/>
        <v>0</v>
      </c>
    </row>
    <row r="1692" spans="1:28" x14ac:dyDescent="0.25">
      <c r="D1692" t="s">
        <v>76</v>
      </c>
      <c r="E1692" s="35">
        <f t="shared" si="176"/>
        <v>0</v>
      </c>
      <c r="F1692" s="35">
        <f t="shared" si="174"/>
        <v>0</v>
      </c>
      <c r="G1692" s="35">
        <f t="shared" si="175"/>
        <v>7.3491599028207668</v>
      </c>
      <c r="H1692" s="35">
        <f t="shared" si="175"/>
        <v>2.6558681208375541</v>
      </c>
      <c r="I1692" s="35">
        <f t="shared" si="175"/>
        <v>2.7785316149209316</v>
      </c>
      <c r="J1692" s="35">
        <f t="shared" si="175"/>
        <v>0</v>
      </c>
      <c r="K1692" s="35">
        <f t="shared" si="175"/>
        <v>0</v>
      </c>
      <c r="L1692" s="35">
        <f t="shared" si="175"/>
        <v>0</v>
      </c>
      <c r="M1692" s="35">
        <f t="shared" si="177"/>
        <v>12.783559638579252</v>
      </c>
      <c r="S1692" t="s">
        <v>76</v>
      </c>
      <c r="T1692" s="5">
        <f>data_origin!T1947</f>
        <v>0</v>
      </c>
      <c r="U1692" s="5">
        <f>data_origin!U1947</f>
        <v>0</v>
      </c>
      <c r="V1692" s="5">
        <f>data_origin!V1947</f>
        <v>7.3351648351648358</v>
      </c>
      <c r="W1692" s="5">
        <f>data_origin!W1947</f>
        <v>2.6491228070175437</v>
      </c>
      <c r="X1692" s="5">
        <f>data_origin!X1947</f>
        <v>2.774193548387097</v>
      </c>
      <c r="Y1692" s="5">
        <f>data_origin!Y1947</f>
        <v>0</v>
      </c>
      <c r="Z1692" s="5">
        <f>data_origin!Z1947</f>
        <v>0</v>
      </c>
      <c r="AA1692" s="5">
        <f>data_origin!AA1947</f>
        <v>0</v>
      </c>
      <c r="AB1692" s="5">
        <f t="shared" si="173"/>
        <v>12.758481190569476</v>
      </c>
    </row>
    <row r="1693" spans="1:28" x14ac:dyDescent="0.25">
      <c r="D1693" t="s">
        <v>77</v>
      </c>
      <c r="E1693" s="35">
        <f t="shared" si="176"/>
        <v>0</v>
      </c>
      <c r="F1693" s="35">
        <f t="shared" si="174"/>
        <v>0</v>
      </c>
      <c r="G1693" s="35">
        <f t="shared" si="175"/>
        <v>10.288823863949073</v>
      </c>
      <c r="H1693" s="35">
        <f t="shared" si="175"/>
        <v>22.574879027119209</v>
      </c>
      <c r="I1693" s="35">
        <f t="shared" si="175"/>
        <v>5.5570632298418632</v>
      </c>
      <c r="J1693" s="35">
        <f t="shared" si="175"/>
        <v>2.001851851851852</v>
      </c>
      <c r="K1693" s="35">
        <f t="shared" si="175"/>
        <v>0</v>
      </c>
      <c r="L1693" s="35">
        <f t="shared" si="175"/>
        <v>0</v>
      </c>
      <c r="M1693" s="35">
        <f t="shared" si="177"/>
        <v>40.422617972762005</v>
      </c>
      <c r="S1693" t="s">
        <v>77</v>
      </c>
      <c r="T1693" s="5">
        <f>data_origin!T1948</f>
        <v>0</v>
      </c>
      <c r="U1693" s="5">
        <f>data_origin!U1948</f>
        <v>0</v>
      </c>
      <c r="V1693" s="5">
        <f>data_origin!V1948</f>
        <v>10.26923076923077</v>
      </c>
      <c r="W1693" s="5">
        <f>data_origin!W1948</f>
        <v>22.517543859649123</v>
      </c>
      <c r="X1693" s="5">
        <f>data_origin!X1948</f>
        <v>5.5483870967741939</v>
      </c>
      <c r="Y1693" s="5">
        <f>data_origin!Y1948</f>
        <v>2</v>
      </c>
      <c r="Z1693" s="5">
        <f>data_origin!Z1948</f>
        <v>0</v>
      </c>
      <c r="AA1693" s="5">
        <f>data_origin!AA1948</f>
        <v>0</v>
      </c>
      <c r="AB1693" s="5">
        <f t="shared" si="173"/>
        <v>40.335161725654089</v>
      </c>
    </row>
    <row r="1694" spans="1:28" x14ac:dyDescent="0.25">
      <c r="D1694" t="s">
        <v>78</v>
      </c>
      <c r="E1694" s="35">
        <f t="shared" si="176"/>
        <v>0</v>
      </c>
      <c r="F1694" s="35">
        <f t="shared" si="174"/>
        <v>0</v>
      </c>
      <c r="G1694" s="35">
        <f t="shared" si="175"/>
        <v>5.8793279222566133</v>
      </c>
      <c r="H1694" s="35">
        <f t="shared" si="175"/>
        <v>14.607274664606548</v>
      </c>
      <c r="I1694" s="35">
        <f t="shared" si="175"/>
        <v>4.1677974223813967</v>
      </c>
      <c r="J1694" s="35">
        <f t="shared" si="175"/>
        <v>0</v>
      </c>
      <c r="K1694" s="35">
        <f t="shared" si="175"/>
        <v>0</v>
      </c>
      <c r="L1694" s="35">
        <f t="shared" si="175"/>
        <v>0</v>
      </c>
      <c r="M1694" s="35">
        <f t="shared" si="177"/>
        <v>24.654400009244558</v>
      </c>
      <c r="S1694" t="s">
        <v>78</v>
      </c>
      <c r="T1694" s="5">
        <f>data_origin!T1949</f>
        <v>0</v>
      </c>
      <c r="U1694" s="5">
        <f>data_origin!U1949</f>
        <v>0</v>
      </c>
      <c r="V1694" s="5">
        <f>data_origin!V1949</f>
        <v>5.8681318681318686</v>
      </c>
      <c r="W1694" s="5">
        <f>data_origin!W1949</f>
        <v>14.570175438596491</v>
      </c>
      <c r="X1694" s="5">
        <f>data_origin!X1949</f>
        <v>4.161290322580645</v>
      </c>
      <c r="Y1694" s="5">
        <f>data_origin!Y1949</f>
        <v>0</v>
      </c>
      <c r="Z1694" s="5">
        <f>data_origin!Z1949</f>
        <v>0</v>
      </c>
      <c r="AA1694" s="5">
        <f>data_origin!AA1949</f>
        <v>0</v>
      </c>
      <c r="AB1694" s="5">
        <f t="shared" si="173"/>
        <v>24.599597629309006</v>
      </c>
    </row>
    <row r="1695" spans="1:28" x14ac:dyDescent="0.25">
      <c r="D1695" t="s">
        <v>79</v>
      </c>
      <c r="E1695" s="35">
        <f t="shared" si="176"/>
        <v>0</v>
      </c>
      <c r="F1695" s="35">
        <f t="shared" si="174"/>
        <v>0</v>
      </c>
      <c r="G1695" s="35">
        <f t="shared" si="175"/>
        <v>1.4698319805641533</v>
      </c>
      <c r="H1695" s="35">
        <f t="shared" si="175"/>
        <v>0</v>
      </c>
      <c r="I1695" s="35">
        <f t="shared" si="175"/>
        <v>0</v>
      </c>
      <c r="J1695" s="35">
        <f t="shared" ref="J1695:L1758" si="178">Y1695+IFERROR((Y1695/SUM(Y$993:Y$1982)*BB$630),0)</f>
        <v>0</v>
      </c>
      <c r="K1695" s="35">
        <f t="shared" si="178"/>
        <v>0</v>
      </c>
      <c r="L1695" s="35">
        <f t="shared" si="178"/>
        <v>0</v>
      </c>
      <c r="M1695" s="35">
        <f t="shared" si="177"/>
        <v>1.4698319805641533</v>
      </c>
      <c r="S1695" t="s">
        <v>79</v>
      </c>
      <c r="T1695" s="5">
        <f>data_origin!T1950</f>
        <v>0</v>
      </c>
      <c r="U1695" s="5">
        <f>data_origin!U1950</f>
        <v>0</v>
      </c>
      <c r="V1695" s="5">
        <f>data_origin!V1950</f>
        <v>1.4670329670329672</v>
      </c>
      <c r="W1695" s="5">
        <f>data_origin!W1950</f>
        <v>0</v>
      </c>
      <c r="X1695" s="5">
        <f>data_origin!X1950</f>
        <v>0</v>
      </c>
      <c r="Y1695" s="5">
        <f>data_origin!Y1950</f>
        <v>0</v>
      </c>
      <c r="Z1695" s="5">
        <f>data_origin!Z1950</f>
        <v>0</v>
      </c>
      <c r="AA1695" s="5">
        <f>data_origin!AA1950</f>
        <v>0</v>
      </c>
      <c r="AB1695" s="5">
        <f t="shared" si="173"/>
        <v>1.4670329670329672</v>
      </c>
    </row>
    <row r="1696" spans="1:28" x14ac:dyDescent="0.25">
      <c r="D1696" t="s">
        <v>80</v>
      </c>
      <c r="E1696" s="35">
        <f t="shared" si="176"/>
        <v>0</v>
      </c>
      <c r="F1696" s="35">
        <f t="shared" si="174"/>
        <v>0</v>
      </c>
      <c r="G1696" s="35">
        <f t="shared" ref="G1696:L1759" si="179">V1696+IFERROR((V1696/SUM(V$993:V$1982)*AY$630),0)</f>
        <v>0</v>
      </c>
      <c r="H1696" s="35">
        <f t="shared" si="179"/>
        <v>2.6558681208375541</v>
      </c>
      <c r="I1696" s="35">
        <f t="shared" si="179"/>
        <v>0</v>
      </c>
      <c r="J1696" s="35">
        <f t="shared" si="178"/>
        <v>0</v>
      </c>
      <c r="K1696" s="35">
        <f t="shared" si="178"/>
        <v>0</v>
      </c>
      <c r="L1696" s="35">
        <f t="shared" si="178"/>
        <v>0</v>
      </c>
      <c r="M1696" s="35">
        <f t="shared" si="177"/>
        <v>2.6558681208375541</v>
      </c>
      <c r="S1696" t="s">
        <v>80</v>
      </c>
      <c r="T1696" s="5">
        <f>data_origin!T1951</f>
        <v>0</v>
      </c>
      <c r="U1696" s="5">
        <f>data_origin!U1951</f>
        <v>0</v>
      </c>
      <c r="V1696" s="5">
        <f>data_origin!V1951</f>
        <v>0</v>
      </c>
      <c r="W1696" s="5">
        <f>data_origin!W1951</f>
        <v>2.6491228070175437</v>
      </c>
      <c r="X1696" s="5">
        <f>data_origin!X1951</f>
        <v>0</v>
      </c>
      <c r="Y1696" s="5">
        <f>data_origin!Y1951</f>
        <v>0</v>
      </c>
      <c r="Z1696" s="5">
        <f>data_origin!Z1951</f>
        <v>0</v>
      </c>
      <c r="AA1696" s="5">
        <f>data_origin!AA1951</f>
        <v>0</v>
      </c>
      <c r="AB1696" s="5">
        <f t="shared" si="173"/>
        <v>2.6491228070175437</v>
      </c>
    </row>
    <row r="1697" spans="4:28" x14ac:dyDescent="0.25">
      <c r="D1697" t="s">
        <v>81</v>
      </c>
      <c r="E1697" s="35">
        <f t="shared" si="176"/>
        <v>0</v>
      </c>
      <c r="F1697" s="35">
        <f t="shared" si="174"/>
        <v>0</v>
      </c>
      <c r="G1697" s="35">
        <f t="shared" si="179"/>
        <v>0</v>
      </c>
      <c r="H1697" s="35">
        <f t="shared" si="179"/>
        <v>1.327934060418777</v>
      </c>
      <c r="I1697" s="35">
        <f t="shared" si="179"/>
        <v>1.3892658074604658</v>
      </c>
      <c r="J1697" s="35">
        <f t="shared" si="178"/>
        <v>0</v>
      </c>
      <c r="K1697" s="35">
        <f t="shared" si="178"/>
        <v>0</v>
      </c>
      <c r="L1697" s="35">
        <f t="shared" si="178"/>
        <v>0</v>
      </c>
      <c r="M1697" s="35">
        <f t="shared" si="177"/>
        <v>2.7171998678792431</v>
      </c>
      <c r="S1697" t="s">
        <v>81</v>
      </c>
      <c r="T1697" s="5">
        <f>data_origin!T1952</f>
        <v>0</v>
      </c>
      <c r="U1697" s="5">
        <f>data_origin!U1952</f>
        <v>0</v>
      </c>
      <c r="V1697" s="5">
        <f>data_origin!V1952</f>
        <v>0</v>
      </c>
      <c r="W1697" s="5">
        <f>data_origin!W1952</f>
        <v>1.3245614035087718</v>
      </c>
      <c r="X1697" s="5">
        <f>data_origin!X1952</f>
        <v>1.3870967741935485</v>
      </c>
      <c r="Y1697" s="5">
        <f>data_origin!Y1952</f>
        <v>0</v>
      </c>
      <c r="Z1697" s="5">
        <f>data_origin!Z1952</f>
        <v>0</v>
      </c>
      <c r="AA1697" s="5">
        <f>data_origin!AA1952</f>
        <v>0</v>
      </c>
      <c r="AB1697" s="5">
        <f t="shared" si="173"/>
        <v>2.7116581777023203</v>
      </c>
    </row>
    <row r="1698" spans="4:28" x14ac:dyDescent="0.25">
      <c r="D1698" t="s">
        <v>82</v>
      </c>
      <c r="E1698" s="35">
        <f t="shared" si="176"/>
        <v>0</v>
      </c>
      <c r="F1698" s="35">
        <f t="shared" si="174"/>
        <v>0</v>
      </c>
      <c r="G1698" s="35">
        <f t="shared" si="179"/>
        <v>1.4698319805641533</v>
      </c>
      <c r="H1698" s="35">
        <f t="shared" si="179"/>
        <v>0</v>
      </c>
      <c r="I1698" s="35">
        <f t="shared" si="179"/>
        <v>0</v>
      </c>
      <c r="J1698" s="35">
        <f t="shared" si="178"/>
        <v>0</v>
      </c>
      <c r="K1698" s="35">
        <f t="shared" si="178"/>
        <v>0</v>
      </c>
      <c r="L1698" s="35">
        <f t="shared" si="178"/>
        <v>0</v>
      </c>
      <c r="M1698" s="35">
        <f t="shared" si="177"/>
        <v>1.4698319805641533</v>
      </c>
      <c r="S1698" t="s">
        <v>82</v>
      </c>
      <c r="T1698" s="5">
        <f>data_origin!T1953</f>
        <v>0</v>
      </c>
      <c r="U1698" s="5">
        <f>data_origin!U1953</f>
        <v>0</v>
      </c>
      <c r="V1698" s="5">
        <f>data_origin!V1953</f>
        <v>1.4670329670329672</v>
      </c>
      <c r="W1698" s="5">
        <f>data_origin!W1953</f>
        <v>0</v>
      </c>
      <c r="X1698" s="5">
        <f>data_origin!X1953</f>
        <v>0</v>
      </c>
      <c r="Y1698" s="5">
        <f>data_origin!Y1953</f>
        <v>0</v>
      </c>
      <c r="Z1698" s="5">
        <f>data_origin!Z1953</f>
        <v>0</v>
      </c>
      <c r="AA1698" s="5">
        <f>data_origin!AA1953</f>
        <v>0</v>
      </c>
      <c r="AB1698" s="5">
        <f t="shared" si="173"/>
        <v>1.4670329670329672</v>
      </c>
    </row>
    <row r="1699" spans="4:28" x14ac:dyDescent="0.25">
      <c r="D1699" t="s">
        <v>83</v>
      </c>
      <c r="E1699" s="35">
        <f t="shared" si="176"/>
        <v>0</v>
      </c>
      <c r="F1699" s="35">
        <f t="shared" si="174"/>
        <v>0</v>
      </c>
      <c r="G1699" s="35">
        <f t="shared" si="179"/>
        <v>1.4698319805641533</v>
      </c>
      <c r="H1699" s="35">
        <f t="shared" si="179"/>
        <v>2.6558681208375541</v>
      </c>
      <c r="I1699" s="35">
        <f t="shared" si="179"/>
        <v>0</v>
      </c>
      <c r="J1699" s="35">
        <f t="shared" si="178"/>
        <v>0</v>
      </c>
      <c r="K1699" s="35">
        <f t="shared" si="178"/>
        <v>0</v>
      </c>
      <c r="L1699" s="35">
        <f t="shared" si="178"/>
        <v>0</v>
      </c>
      <c r="M1699" s="35">
        <f t="shared" si="177"/>
        <v>4.1257001014017076</v>
      </c>
      <c r="S1699" t="s">
        <v>83</v>
      </c>
      <c r="T1699" s="5">
        <f>data_origin!T1954</f>
        <v>0</v>
      </c>
      <c r="U1699" s="5">
        <f>data_origin!U1954</f>
        <v>0</v>
      </c>
      <c r="V1699" s="5">
        <f>data_origin!V1954</f>
        <v>1.4670329670329672</v>
      </c>
      <c r="W1699" s="5">
        <f>data_origin!W1954</f>
        <v>2.6491228070175437</v>
      </c>
      <c r="X1699" s="5">
        <f>data_origin!X1954</f>
        <v>0</v>
      </c>
      <c r="Y1699" s="5">
        <f>data_origin!Y1954</f>
        <v>0</v>
      </c>
      <c r="Z1699" s="5">
        <f>data_origin!Z1954</f>
        <v>0</v>
      </c>
      <c r="AA1699" s="5">
        <f>data_origin!AA1954</f>
        <v>0</v>
      </c>
      <c r="AB1699" s="5">
        <f t="shared" si="173"/>
        <v>4.1161557740505108</v>
      </c>
    </row>
    <row r="1700" spans="4:28" x14ac:dyDescent="0.25">
      <c r="D1700" t="s">
        <v>84</v>
      </c>
      <c r="E1700" s="35">
        <f t="shared" si="176"/>
        <v>0</v>
      </c>
      <c r="F1700" s="35">
        <f t="shared" si="174"/>
        <v>0</v>
      </c>
      <c r="G1700" s="35">
        <f t="shared" si="179"/>
        <v>0</v>
      </c>
      <c r="H1700" s="35">
        <f t="shared" si="179"/>
        <v>0</v>
      </c>
      <c r="I1700" s="35">
        <f t="shared" si="179"/>
        <v>0</v>
      </c>
      <c r="J1700" s="35">
        <f t="shared" si="178"/>
        <v>0</v>
      </c>
      <c r="K1700" s="35">
        <f t="shared" si="178"/>
        <v>0</v>
      </c>
      <c r="L1700" s="35">
        <f t="shared" si="178"/>
        <v>0</v>
      </c>
      <c r="M1700" s="35">
        <f t="shared" si="177"/>
        <v>0</v>
      </c>
      <c r="S1700" t="s">
        <v>84</v>
      </c>
      <c r="T1700" s="5">
        <f>data_origin!T1955</f>
        <v>0</v>
      </c>
      <c r="U1700" s="5">
        <f>data_origin!U1955</f>
        <v>0</v>
      </c>
      <c r="V1700" s="5">
        <f>data_origin!V1955</f>
        <v>0</v>
      </c>
      <c r="W1700" s="5">
        <f>data_origin!W1955</f>
        <v>0</v>
      </c>
      <c r="X1700" s="5">
        <f>data_origin!X1955</f>
        <v>0</v>
      </c>
      <c r="Y1700" s="5">
        <f>data_origin!Y1955</f>
        <v>0</v>
      </c>
      <c r="Z1700" s="5">
        <f>data_origin!Z1955</f>
        <v>0</v>
      </c>
      <c r="AA1700" s="5">
        <f>data_origin!AA1955</f>
        <v>0</v>
      </c>
      <c r="AB1700" s="5">
        <f t="shared" si="173"/>
        <v>0</v>
      </c>
    </row>
    <row r="1701" spans="4:28" x14ac:dyDescent="0.25">
      <c r="D1701" t="s">
        <v>85</v>
      </c>
      <c r="E1701" s="35">
        <f t="shared" si="176"/>
        <v>0</v>
      </c>
      <c r="F1701" s="35">
        <f t="shared" si="174"/>
        <v>0</v>
      </c>
      <c r="G1701" s="35">
        <f t="shared" si="179"/>
        <v>8.8189918833849195</v>
      </c>
      <c r="H1701" s="35">
        <f t="shared" si="179"/>
        <v>7.9676043625126622</v>
      </c>
      <c r="I1701" s="35">
        <f t="shared" si="179"/>
        <v>1.3892658074604658</v>
      </c>
      <c r="J1701" s="35">
        <f t="shared" si="178"/>
        <v>0</v>
      </c>
      <c r="K1701" s="35">
        <f t="shared" si="178"/>
        <v>0</v>
      </c>
      <c r="L1701" s="35">
        <f t="shared" si="178"/>
        <v>0</v>
      </c>
      <c r="M1701" s="35">
        <f t="shared" si="177"/>
        <v>18.175862053358046</v>
      </c>
      <c r="S1701" t="s">
        <v>85</v>
      </c>
      <c r="T1701" s="5">
        <f>data_origin!T1956</f>
        <v>0</v>
      </c>
      <c r="U1701" s="5">
        <f>data_origin!U1956</f>
        <v>0</v>
      </c>
      <c r="V1701" s="5">
        <f>data_origin!V1956</f>
        <v>8.8021978021978029</v>
      </c>
      <c r="W1701" s="5">
        <f>data_origin!W1956</f>
        <v>7.9473684210526319</v>
      </c>
      <c r="X1701" s="5">
        <f>data_origin!X1956</f>
        <v>1.3870967741935485</v>
      </c>
      <c r="Y1701" s="5">
        <f>data_origin!Y1956</f>
        <v>0</v>
      </c>
      <c r="Z1701" s="5">
        <f>data_origin!Z1956</f>
        <v>0</v>
      </c>
      <c r="AA1701" s="5">
        <f>data_origin!AA1956</f>
        <v>0</v>
      </c>
      <c r="AB1701" s="5">
        <f t="shared" si="173"/>
        <v>18.136662997443981</v>
      </c>
    </row>
    <row r="1702" spans="4:28" x14ac:dyDescent="0.25">
      <c r="D1702" t="s">
        <v>86</v>
      </c>
      <c r="E1702" s="35">
        <f t="shared" si="176"/>
        <v>0</v>
      </c>
      <c r="F1702" s="35">
        <f t="shared" si="174"/>
        <v>0</v>
      </c>
      <c r="G1702" s="35">
        <f t="shared" si="179"/>
        <v>52.91395130030952</v>
      </c>
      <c r="H1702" s="35">
        <f t="shared" si="179"/>
        <v>79.676043625126624</v>
      </c>
      <c r="I1702" s="35">
        <f t="shared" si="179"/>
        <v>16.671189689525587</v>
      </c>
      <c r="J1702" s="35">
        <f t="shared" si="178"/>
        <v>0</v>
      </c>
      <c r="K1702" s="35">
        <f t="shared" si="178"/>
        <v>0</v>
      </c>
      <c r="L1702" s="35">
        <f t="shared" si="178"/>
        <v>0</v>
      </c>
      <c r="M1702" s="35">
        <f t="shared" si="177"/>
        <v>149.26118461496173</v>
      </c>
      <c r="S1702" t="s">
        <v>86</v>
      </c>
      <c r="T1702" s="5">
        <f>data_origin!T1957</f>
        <v>0</v>
      </c>
      <c r="U1702" s="5">
        <f>data_origin!U1957</f>
        <v>0</v>
      </c>
      <c r="V1702" s="5">
        <f>data_origin!V1957</f>
        <v>52.813186813186817</v>
      </c>
      <c r="W1702" s="5">
        <f>data_origin!W1957</f>
        <v>79.473684210526315</v>
      </c>
      <c r="X1702" s="5">
        <f>data_origin!X1957</f>
        <v>16.64516129032258</v>
      </c>
      <c r="Y1702" s="5">
        <f>data_origin!Y1957</f>
        <v>0</v>
      </c>
      <c r="Z1702" s="5">
        <f>data_origin!Z1957</f>
        <v>0</v>
      </c>
      <c r="AA1702" s="5">
        <f>data_origin!AA1957</f>
        <v>0</v>
      </c>
      <c r="AB1702" s="5">
        <f t="shared" si="173"/>
        <v>148.93203231403572</v>
      </c>
    </row>
    <row r="1703" spans="4:28" x14ac:dyDescent="0.25">
      <c r="D1703" t="s">
        <v>87</v>
      </c>
      <c r="E1703" s="35">
        <f t="shared" si="176"/>
        <v>0</v>
      </c>
      <c r="F1703" s="35">
        <f t="shared" si="174"/>
        <v>0</v>
      </c>
      <c r="G1703" s="35">
        <f t="shared" si="179"/>
        <v>14.698319805641534</v>
      </c>
      <c r="H1703" s="35">
        <f t="shared" si="179"/>
        <v>9.2955384229314397</v>
      </c>
      <c r="I1703" s="35">
        <f t="shared" si="179"/>
        <v>1.3892658074604658</v>
      </c>
      <c r="J1703" s="35">
        <f t="shared" si="178"/>
        <v>0</v>
      </c>
      <c r="K1703" s="35">
        <f t="shared" si="178"/>
        <v>0</v>
      </c>
      <c r="L1703" s="35">
        <f t="shared" si="178"/>
        <v>0</v>
      </c>
      <c r="M1703" s="35">
        <f t="shared" si="177"/>
        <v>25.38312403603344</v>
      </c>
      <c r="S1703" t="s">
        <v>87</v>
      </c>
      <c r="T1703" s="5">
        <f>data_origin!T1958</f>
        <v>0</v>
      </c>
      <c r="U1703" s="5">
        <f>data_origin!U1958</f>
        <v>0</v>
      </c>
      <c r="V1703" s="5">
        <f>data_origin!V1958</f>
        <v>14.670329670329672</v>
      </c>
      <c r="W1703" s="5">
        <f>data_origin!W1958</f>
        <v>9.2719298245614041</v>
      </c>
      <c r="X1703" s="5">
        <f>data_origin!X1958</f>
        <v>1.3870967741935485</v>
      </c>
      <c r="Y1703" s="5">
        <f>data_origin!Y1958</f>
        <v>0</v>
      </c>
      <c r="Z1703" s="5">
        <f>data_origin!Z1958</f>
        <v>0</v>
      </c>
      <c r="AA1703" s="5">
        <f>data_origin!AA1958</f>
        <v>0</v>
      </c>
      <c r="AB1703" s="5">
        <f t="shared" si="173"/>
        <v>25.329356269084624</v>
      </c>
    </row>
    <row r="1704" spans="4:28" x14ac:dyDescent="0.25">
      <c r="D1704" t="s">
        <v>88</v>
      </c>
      <c r="E1704" s="35">
        <f t="shared" si="176"/>
        <v>0</v>
      </c>
      <c r="F1704" s="35">
        <f t="shared" si="174"/>
        <v>0</v>
      </c>
      <c r="G1704" s="35">
        <f t="shared" si="179"/>
        <v>57.323447242001969</v>
      </c>
      <c r="H1704" s="35">
        <f t="shared" si="179"/>
        <v>61.084966779263745</v>
      </c>
      <c r="I1704" s="35">
        <f t="shared" si="179"/>
        <v>26.396050341748847</v>
      </c>
      <c r="J1704" s="35">
        <f t="shared" si="178"/>
        <v>2.001851851851852</v>
      </c>
      <c r="K1704" s="35">
        <f t="shared" si="178"/>
        <v>0</v>
      </c>
      <c r="L1704" s="35">
        <f t="shared" si="178"/>
        <v>0</v>
      </c>
      <c r="M1704" s="35">
        <f t="shared" si="177"/>
        <v>146.80631621486643</v>
      </c>
      <c r="S1704" t="s">
        <v>88</v>
      </c>
      <c r="T1704" s="5">
        <f>data_origin!T1959</f>
        <v>0</v>
      </c>
      <c r="U1704" s="5">
        <f>data_origin!U1959</f>
        <v>0</v>
      </c>
      <c r="V1704" s="5">
        <f>data_origin!V1959</f>
        <v>57.214285714285708</v>
      </c>
      <c r="W1704" s="5">
        <f>data_origin!W1959</f>
        <v>60.929824561403507</v>
      </c>
      <c r="X1704" s="5">
        <f>data_origin!X1959</f>
        <v>26.35483870967742</v>
      </c>
      <c r="Y1704" s="5">
        <f>data_origin!Y1959</f>
        <v>2</v>
      </c>
      <c r="Z1704" s="5">
        <f>data_origin!Z1959</f>
        <v>0</v>
      </c>
      <c r="AA1704" s="5">
        <f>data_origin!AA1959</f>
        <v>0</v>
      </c>
      <c r="AB1704" s="5">
        <f t="shared" si="173"/>
        <v>146.49894898536664</v>
      </c>
    </row>
    <row r="1705" spans="4:28" x14ac:dyDescent="0.25">
      <c r="D1705" t="s">
        <v>89</v>
      </c>
      <c r="E1705" s="35">
        <f t="shared" si="176"/>
        <v>0</v>
      </c>
      <c r="F1705" s="35">
        <f t="shared" si="174"/>
        <v>0</v>
      </c>
      <c r="G1705" s="35">
        <f t="shared" si="179"/>
        <v>8.8189918833849195</v>
      </c>
      <c r="H1705" s="35">
        <f t="shared" si="179"/>
        <v>11.951406543768993</v>
      </c>
      <c r="I1705" s="35">
        <f t="shared" si="179"/>
        <v>2.7785316149209316</v>
      </c>
      <c r="J1705" s="35">
        <f t="shared" si="178"/>
        <v>0</v>
      </c>
      <c r="K1705" s="35">
        <f t="shared" si="178"/>
        <v>0</v>
      </c>
      <c r="L1705" s="35">
        <f t="shared" si="178"/>
        <v>0</v>
      </c>
      <c r="M1705" s="35">
        <f t="shared" si="177"/>
        <v>23.548930042074847</v>
      </c>
      <c r="S1705" t="s">
        <v>89</v>
      </c>
      <c r="T1705" s="5">
        <f>data_origin!T1960</f>
        <v>0</v>
      </c>
      <c r="U1705" s="5">
        <f>data_origin!U1960</f>
        <v>0</v>
      </c>
      <c r="V1705" s="5">
        <f>data_origin!V1960</f>
        <v>8.8021978021978029</v>
      </c>
      <c r="W1705" s="5">
        <f>data_origin!W1960</f>
        <v>11.921052631578947</v>
      </c>
      <c r="X1705" s="5">
        <f>data_origin!X1960</f>
        <v>2.774193548387097</v>
      </c>
      <c r="Y1705" s="5">
        <f>data_origin!Y1960</f>
        <v>0</v>
      </c>
      <c r="Z1705" s="5">
        <f>data_origin!Z1960</f>
        <v>0</v>
      </c>
      <c r="AA1705" s="5">
        <f>data_origin!AA1960</f>
        <v>0</v>
      </c>
      <c r="AB1705" s="5">
        <f t="shared" si="173"/>
        <v>23.497443982163844</v>
      </c>
    </row>
    <row r="1706" spans="4:28" x14ac:dyDescent="0.25">
      <c r="D1706" t="s">
        <v>90</v>
      </c>
      <c r="E1706" s="35">
        <f t="shared" si="176"/>
        <v>0</v>
      </c>
      <c r="F1706" s="35">
        <f t="shared" si="174"/>
        <v>0</v>
      </c>
      <c r="G1706" s="35">
        <f t="shared" si="179"/>
        <v>0</v>
      </c>
      <c r="H1706" s="35">
        <f t="shared" si="179"/>
        <v>0</v>
      </c>
      <c r="I1706" s="35">
        <f t="shared" si="179"/>
        <v>0</v>
      </c>
      <c r="J1706" s="35">
        <f t="shared" si="178"/>
        <v>0</v>
      </c>
      <c r="K1706" s="35">
        <f t="shared" si="178"/>
        <v>0</v>
      </c>
      <c r="L1706" s="35">
        <f t="shared" si="178"/>
        <v>0</v>
      </c>
      <c r="M1706" s="35">
        <f t="shared" si="177"/>
        <v>0</v>
      </c>
      <c r="S1706" t="s">
        <v>90</v>
      </c>
      <c r="T1706" s="5">
        <f>data_origin!T1961</f>
        <v>0</v>
      </c>
      <c r="U1706" s="5">
        <f>data_origin!U1961</f>
        <v>0</v>
      </c>
      <c r="V1706" s="5">
        <f>data_origin!V1961</f>
        <v>0</v>
      </c>
      <c r="W1706" s="5">
        <f>data_origin!W1961</f>
        <v>0</v>
      </c>
      <c r="X1706" s="5">
        <f>data_origin!X1961</f>
        <v>0</v>
      </c>
      <c r="Y1706" s="5">
        <f>data_origin!Y1961</f>
        <v>0</v>
      </c>
      <c r="Z1706" s="5">
        <f>data_origin!Z1961</f>
        <v>0</v>
      </c>
      <c r="AA1706" s="5">
        <f>data_origin!AA1961</f>
        <v>0</v>
      </c>
      <c r="AB1706" s="5">
        <f t="shared" si="173"/>
        <v>0</v>
      </c>
    </row>
    <row r="1707" spans="4:28" x14ac:dyDescent="0.25">
      <c r="D1707" t="s">
        <v>91</v>
      </c>
      <c r="E1707" s="35">
        <f t="shared" si="176"/>
        <v>0</v>
      </c>
      <c r="F1707" s="35">
        <f t="shared" si="174"/>
        <v>0</v>
      </c>
      <c r="G1707" s="35">
        <f t="shared" si="179"/>
        <v>0</v>
      </c>
      <c r="H1707" s="35">
        <f t="shared" si="179"/>
        <v>0</v>
      </c>
      <c r="I1707" s="35">
        <f t="shared" si="179"/>
        <v>0</v>
      </c>
      <c r="J1707" s="35">
        <f t="shared" si="178"/>
        <v>0</v>
      </c>
      <c r="K1707" s="35">
        <f t="shared" si="178"/>
        <v>0</v>
      </c>
      <c r="L1707" s="35">
        <f t="shared" si="178"/>
        <v>0</v>
      </c>
      <c r="M1707" s="35">
        <f t="shared" si="177"/>
        <v>0</v>
      </c>
      <c r="S1707" t="s">
        <v>91</v>
      </c>
      <c r="T1707" s="5">
        <f>data_origin!T1962</f>
        <v>0</v>
      </c>
      <c r="U1707" s="5">
        <f>data_origin!U1962</f>
        <v>0</v>
      </c>
      <c r="V1707" s="5">
        <f>data_origin!V1962</f>
        <v>0</v>
      </c>
      <c r="W1707" s="5">
        <f>data_origin!W1962</f>
        <v>0</v>
      </c>
      <c r="X1707" s="5">
        <f>data_origin!X1962</f>
        <v>0</v>
      </c>
      <c r="Y1707" s="5">
        <f>data_origin!Y1962</f>
        <v>0</v>
      </c>
      <c r="Z1707" s="5">
        <f>data_origin!Z1962</f>
        <v>0</v>
      </c>
      <c r="AA1707" s="5">
        <f>data_origin!AA1962</f>
        <v>0</v>
      </c>
      <c r="AB1707" s="5">
        <f t="shared" si="173"/>
        <v>0</v>
      </c>
    </row>
    <row r="1708" spans="4:28" x14ac:dyDescent="0.25">
      <c r="D1708" t="s">
        <v>92</v>
      </c>
      <c r="E1708" s="35">
        <f t="shared" si="176"/>
        <v>0</v>
      </c>
      <c r="F1708" s="35">
        <f t="shared" si="174"/>
        <v>0</v>
      </c>
      <c r="G1708" s="35">
        <f t="shared" si="179"/>
        <v>0</v>
      </c>
      <c r="H1708" s="35">
        <f t="shared" si="179"/>
        <v>1.327934060418777</v>
      </c>
      <c r="I1708" s="35">
        <f t="shared" si="179"/>
        <v>0</v>
      </c>
      <c r="J1708" s="35">
        <f t="shared" si="178"/>
        <v>0</v>
      </c>
      <c r="K1708" s="35">
        <f t="shared" si="178"/>
        <v>0</v>
      </c>
      <c r="L1708" s="35">
        <f t="shared" si="178"/>
        <v>0</v>
      </c>
      <c r="M1708" s="35">
        <f t="shared" si="177"/>
        <v>1.327934060418777</v>
      </c>
      <c r="S1708" t="s">
        <v>92</v>
      </c>
      <c r="T1708" s="5">
        <f>data_origin!T1963</f>
        <v>0</v>
      </c>
      <c r="U1708" s="5">
        <f>data_origin!U1963</f>
        <v>0</v>
      </c>
      <c r="V1708" s="5">
        <f>data_origin!V1963</f>
        <v>0</v>
      </c>
      <c r="W1708" s="5">
        <f>data_origin!W1963</f>
        <v>1.3245614035087718</v>
      </c>
      <c r="X1708" s="5">
        <f>data_origin!X1963</f>
        <v>0</v>
      </c>
      <c r="Y1708" s="5">
        <f>data_origin!Y1963</f>
        <v>0</v>
      </c>
      <c r="Z1708" s="5">
        <f>data_origin!Z1963</f>
        <v>0</v>
      </c>
      <c r="AA1708" s="5">
        <f>data_origin!AA1963</f>
        <v>0</v>
      </c>
      <c r="AB1708" s="5">
        <f t="shared" si="173"/>
        <v>1.3245614035087718</v>
      </c>
    </row>
    <row r="1709" spans="4:28" x14ac:dyDescent="0.25">
      <c r="D1709" t="s">
        <v>93</v>
      </c>
      <c r="E1709" s="35">
        <f t="shared" si="176"/>
        <v>0</v>
      </c>
      <c r="F1709" s="35">
        <f t="shared" si="174"/>
        <v>0</v>
      </c>
      <c r="G1709" s="35">
        <f t="shared" si="179"/>
        <v>0</v>
      </c>
      <c r="H1709" s="35">
        <f t="shared" si="179"/>
        <v>0</v>
      </c>
      <c r="I1709" s="35">
        <f t="shared" si="179"/>
        <v>0</v>
      </c>
      <c r="J1709" s="35">
        <f t="shared" si="178"/>
        <v>0</v>
      </c>
      <c r="K1709" s="35">
        <f t="shared" si="178"/>
        <v>0</v>
      </c>
      <c r="L1709" s="35">
        <f t="shared" si="178"/>
        <v>0</v>
      </c>
      <c r="M1709" s="35">
        <f t="shared" si="177"/>
        <v>0</v>
      </c>
      <c r="S1709" t="s">
        <v>93</v>
      </c>
      <c r="T1709" s="5">
        <f>data_origin!T1964</f>
        <v>0</v>
      </c>
      <c r="U1709" s="5">
        <f>data_origin!U1964</f>
        <v>0</v>
      </c>
      <c r="V1709" s="5">
        <f>data_origin!V1964</f>
        <v>0</v>
      </c>
      <c r="W1709" s="5">
        <f>data_origin!W1964</f>
        <v>0</v>
      </c>
      <c r="X1709" s="5">
        <f>data_origin!X1964</f>
        <v>0</v>
      </c>
      <c r="Y1709" s="5">
        <f>data_origin!Y1964</f>
        <v>0</v>
      </c>
      <c r="Z1709" s="5">
        <f>data_origin!Z1964</f>
        <v>0</v>
      </c>
      <c r="AA1709" s="5">
        <f>data_origin!AA1964</f>
        <v>0</v>
      </c>
      <c r="AB1709" s="5">
        <f t="shared" si="173"/>
        <v>0</v>
      </c>
    </row>
    <row r="1710" spans="4:28" x14ac:dyDescent="0.25">
      <c r="D1710" t="s">
        <v>94</v>
      </c>
      <c r="E1710" s="35">
        <f t="shared" si="176"/>
        <v>0</v>
      </c>
      <c r="F1710" s="35">
        <f t="shared" si="174"/>
        <v>0</v>
      </c>
      <c r="G1710" s="35">
        <f t="shared" si="179"/>
        <v>0</v>
      </c>
      <c r="H1710" s="35">
        <f t="shared" si="179"/>
        <v>0</v>
      </c>
      <c r="I1710" s="35">
        <f t="shared" si="179"/>
        <v>0</v>
      </c>
      <c r="J1710" s="35">
        <f t="shared" si="178"/>
        <v>0</v>
      </c>
      <c r="K1710" s="35">
        <f t="shared" si="178"/>
        <v>0</v>
      </c>
      <c r="L1710" s="35">
        <f t="shared" si="178"/>
        <v>0</v>
      </c>
      <c r="M1710" s="35">
        <f t="shared" si="177"/>
        <v>0</v>
      </c>
      <c r="S1710" t="s">
        <v>94</v>
      </c>
      <c r="T1710" s="5">
        <f>data_origin!T1965</f>
        <v>0</v>
      </c>
      <c r="U1710" s="5">
        <f>data_origin!U1965</f>
        <v>0</v>
      </c>
      <c r="V1710" s="5">
        <f>data_origin!V1965</f>
        <v>0</v>
      </c>
      <c r="W1710" s="5">
        <f>data_origin!W1965</f>
        <v>0</v>
      </c>
      <c r="X1710" s="5">
        <f>data_origin!X1965</f>
        <v>0</v>
      </c>
      <c r="Y1710" s="5">
        <f>data_origin!Y1965</f>
        <v>0</v>
      </c>
      <c r="Z1710" s="5">
        <f>data_origin!Z1965</f>
        <v>0</v>
      </c>
      <c r="AA1710" s="5">
        <f>data_origin!AA1965</f>
        <v>0</v>
      </c>
      <c r="AB1710" s="5">
        <f t="shared" si="173"/>
        <v>0</v>
      </c>
    </row>
    <row r="1711" spans="4:28" x14ac:dyDescent="0.25">
      <c r="D1711" t="s">
        <v>95</v>
      </c>
      <c r="E1711" s="35">
        <f t="shared" si="176"/>
        <v>0</v>
      </c>
      <c r="F1711" s="35">
        <f t="shared" si="174"/>
        <v>0</v>
      </c>
      <c r="G1711" s="35">
        <f t="shared" si="179"/>
        <v>0</v>
      </c>
      <c r="H1711" s="35">
        <f t="shared" si="179"/>
        <v>0</v>
      </c>
      <c r="I1711" s="35">
        <f t="shared" si="179"/>
        <v>0</v>
      </c>
      <c r="J1711" s="35">
        <f t="shared" si="178"/>
        <v>0</v>
      </c>
      <c r="K1711" s="35">
        <f t="shared" si="178"/>
        <v>0</v>
      </c>
      <c r="L1711" s="35">
        <f t="shared" si="178"/>
        <v>0</v>
      </c>
      <c r="M1711" s="35">
        <f t="shared" si="177"/>
        <v>0</v>
      </c>
      <c r="S1711" t="s">
        <v>95</v>
      </c>
      <c r="T1711" s="5">
        <f>data_origin!T1966</f>
        <v>0</v>
      </c>
      <c r="U1711" s="5">
        <f>data_origin!U1966</f>
        <v>0</v>
      </c>
      <c r="V1711" s="5">
        <f>data_origin!V1966</f>
        <v>0</v>
      </c>
      <c r="W1711" s="5">
        <f>data_origin!W1966</f>
        <v>0</v>
      </c>
      <c r="X1711" s="5">
        <f>data_origin!X1966</f>
        <v>0</v>
      </c>
      <c r="Y1711" s="5">
        <f>data_origin!Y1966</f>
        <v>0</v>
      </c>
      <c r="Z1711" s="5">
        <f>data_origin!Z1966</f>
        <v>0</v>
      </c>
      <c r="AA1711" s="5">
        <f>data_origin!AA1966</f>
        <v>0</v>
      </c>
      <c r="AB1711" s="5">
        <f t="shared" ref="AB1711:AB1774" si="180">SUM(T1711:AA1711)</f>
        <v>0</v>
      </c>
    </row>
    <row r="1712" spans="4:28" x14ac:dyDescent="0.25">
      <c r="D1712" t="s">
        <v>96</v>
      </c>
      <c r="E1712" s="35">
        <f t="shared" si="176"/>
        <v>0</v>
      </c>
      <c r="F1712" s="35">
        <f t="shared" si="174"/>
        <v>0</v>
      </c>
      <c r="G1712" s="35">
        <f t="shared" si="179"/>
        <v>1.4698319805641533</v>
      </c>
      <c r="H1712" s="35">
        <f t="shared" si="179"/>
        <v>0</v>
      </c>
      <c r="I1712" s="35">
        <f t="shared" si="179"/>
        <v>1.3892658074604658</v>
      </c>
      <c r="J1712" s="35">
        <f t="shared" si="178"/>
        <v>0</v>
      </c>
      <c r="K1712" s="35">
        <f t="shared" si="178"/>
        <v>0</v>
      </c>
      <c r="L1712" s="35">
        <f t="shared" si="178"/>
        <v>0</v>
      </c>
      <c r="M1712" s="35">
        <f t="shared" si="177"/>
        <v>2.8590977880246191</v>
      </c>
      <c r="S1712" t="s">
        <v>96</v>
      </c>
      <c r="T1712" s="5">
        <f>data_origin!T1967</f>
        <v>0</v>
      </c>
      <c r="U1712" s="5">
        <f>data_origin!U1967</f>
        <v>0</v>
      </c>
      <c r="V1712" s="5">
        <f>data_origin!V1967</f>
        <v>1.4670329670329672</v>
      </c>
      <c r="W1712" s="5">
        <f>data_origin!W1967</f>
        <v>0</v>
      </c>
      <c r="X1712" s="5">
        <f>data_origin!X1967</f>
        <v>1.3870967741935485</v>
      </c>
      <c r="Y1712" s="5">
        <f>data_origin!Y1967</f>
        <v>0</v>
      </c>
      <c r="Z1712" s="5">
        <f>data_origin!Z1967</f>
        <v>0</v>
      </c>
      <c r="AA1712" s="5">
        <f>data_origin!AA1967</f>
        <v>0</v>
      </c>
      <c r="AB1712" s="5">
        <f t="shared" si="180"/>
        <v>2.8541297412265156</v>
      </c>
    </row>
    <row r="1713" spans="1:28" x14ac:dyDescent="0.25">
      <c r="D1713" t="s">
        <v>97</v>
      </c>
      <c r="E1713" s="35">
        <f t="shared" si="176"/>
        <v>0</v>
      </c>
      <c r="F1713" s="35">
        <f t="shared" si="174"/>
        <v>0</v>
      </c>
      <c r="G1713" s="35">
        <f t="shared" si="179"/>
        <v>0</v>
      </c>
      <c r="H1713" s="35">
        <f t="shared" si="179"/>
        <v>0</v>
      </c>
      <c r="I1713" s="35">
        <f t="shared" si="179"/>
        <v>0</v>
      </c>
      <c r="J1713" s="35">
        <f t="shared" si="178"/>
        <v>0</v>
      </c>
      <c r="K1713" s="35">
        <f t="shared" si="178"/>
        <v>0</v>
      </c>
      <c r="L1713" s="35">
        <f t="shared" si="178"/>
        <v>0</v>
      </c>
      <c r="M1713" s="35">
        <f t="shared" si="177"/>
        <v>0</v>
      </c>
      <c r="S1713" t="s">
        <v>97</v>
      </c>
      <c r="T1713" s="5">
        <f>data_origin!T1968</f>
        <v>0</v>
      </c>
      <c r="U1713" s="5">
        <f>data_origin!U1968</f>
        <v>0</v>
      </c>
      <c r="V1713" s="5">
        <f>data_origin!V1968</f>
        <v>0</v>
      </c>
      <c r="W1713" s="5">
        <f>data_origin!W1968</f>
        <v>0</v>
      </c>
      <c r="X1713" s="5">
        <f>data_origin!X1968</f>
        <v>0</v>
      </c>
      <c r="Y1713" s="5">
        <f>data_origin!Y1968</f>
        <v>0</v>
      </c>
      <c r="Z1713" s="5">
        <f>data_origin!Z1968</f>
        <v>0</v>
      </c>
      <c r="AA1713" s="5">
        <f>data_origin!AA1968</f>
        <v>0</v>
      </c>
      <c r="AB1713" s="5">
        <f t="shared" si="180"/>
        <v>0</v>
      </c>
    </row>
    <row r="1714" spans="1:28" x14ac:dyDescent="0.25">
      <c r="D1714" t="s">
        <v>98</v>
      </c>
      <c r="E1714" s="35">
        <f t="shared" si="176"/>
        <v>0</v>
      </c>
      <c r="F1714" s="35">
        <f t="shared" si="174"/>
        <v>0</v>
      </c>
      <c r="G1714" s="35">
        <f t="shared" si="179"/>
        <v>0</v>
      </c>
      <c r="H1714" s="35">
        <f t="shared" si="179"/>
        <v>1.327934060418777</v>
      </c>
      <c r="I1714" s="35">
        <f t="shared" si="179"/>
        <v>0</v>
      </c>
      <c r="J1714" s="35">
        <f t="shared" si="178"/>
        <v>0</v>
      </c>
      <c r="K1714" s="35">
        <f t="shared" si="178"/>
        <v>0</v>
      </c>
      <c r="L1714" s="35">
        <f t="shared" si="178"/>
        <v>0</v>
      </c>
      <c r="M1714" s="35">
        <f t="shared" si="177"/>
        <v>1.327934060418777</v>
      </c>
      <c r="S1714" t="s">
        <v>98</v>
      </c>
      <c r="T1714" s="5">
        <f>data_origin!T1969</f>
        <v>0</v>
      </c>
      <c r="U1714" s="5">
        <f>data_origin!U1969</f>
        <v>0</v>
      </c>
      <c r="V1714" s="5">
        <f>data_origin!V1969</f>
        <v>0</v>
      </c>
      <c r="W1714" s="5">
        <f>data_origin!W1969</f>
        <v>1.3245614035087718</v>
      </c>
      <c r="X1714" s="5">
        <f>data_origin!X1969</f>
        <v>0</v>
      </c>
      <c r="Y1714" s="5">
        <f>data_origin!Y1969</f>
        <v>0</v>
      </c>
      <c r="Z1714" s="5">
        <f>data_origin!Z1969</f>
        <v>0</v>
      </c>
      <c r="AA1714" s="5">
        <f>data_origin!AA1969</f>
        <v>0</v>
      </c>
      <c r="AB1714" s="5">
        <f t="shared" si="180"/>
        <v>1.3245614035087718</v>
      </c>
    </row>
    <row r="1715" spans="1:28" x14ac:dyDescent="0.25">
      <c r="D1715" t="s">
        <v>119</v>
      </c>
      <c r="E1715" s="35">
        <f t="shared" si="176"/>
        <v>0</v>
      </c>
      <c r="F1715" s="35">
        <f t="shared" si="174"/>
        <v>0</v>
      </c>
      <c r="G1715" s="35">
        <f t="shared" si="179"/>
        <v>0</v>
      </c>
      <c r="H1715" s="35">
        <f t="shared" si="179"/>
        <v>0</v>
      </c>
      <c r="I1715" s="35">
        <f t="shared" si="179"/>
        <v>0</v>
      </c>
      <c r="J1715" s="35">
        <f t="shared" si="178"/>
        <v>0</v>
      </c>
      <c r="K1715" s="35">
        <f t="shared" si="178"/>
        <v>0</v>
      </c>
      <c r="L1715" s="35">
        <f t="shared" si="178"/>
        <v>0</v>
      </c>
      <c r="M1715" s="35">
        <f t="shared" si="177"/>
        <v>0</v>
      </c>
      <c r="S1715" t="s">
        <v>119</v>
      </c>
      <c r="T1715" s="5">
        <f>data_origin!T1970</f>
        <v>0</v>
      </c>
      <c r="U1715" s="5">
        <f>data_origin!U1970</f>
        <v>0</v>
      </c>
      <c r="V1715" s="5">
        <f>data_origin!V1970</f>
        <v>0</v>
      </c>
      <c r="W1715" s="5">
        <f>data_origin!W1970</f>
        <v>0</v>
      </c>
      <c r="X1715" s="5">
        <f>data_origin!X1970</f>
        <v>0</v>
      </c>
      <c r="Y1715" s="5">
        <f>data_origin!Y1970</f>
        <v>0</v>
      </c>
      <c r="Z1715" s="5">
        <f>data_origin!Z1970</f>
        <v>0</v>
      </c>
      <c r="AA1715" s="5">
        <f>data_origin!AA1970</f>
        <v>0</v>
      </c>
      <c r="AB1715" s="5">
        <f t="shared" si="180"/>
        <v>0</v>
      </c>
    </row>
    <row r="1716" spans="1:28" x14ac:dyDescent="0.25">
      <c r="D1716" t="s">
        <v>99</v>
      </c>
      <c r="E1716" s="35">
        <f t="shared" si="176"/>
        <v>0</v>
      </c>
      <c r="F1716" s="35">
        <f t="shared" si="174"/>
        <v>0</v>
      </c>
      <c r="G1716" s="35">
        <f t="shared" si="179"/>
        <v>2.9396639611283066</v>
      </c>
      <c r="H1716" s="35">
        <f t="shared" si="179"/>
        <v>6.6396703020938848</v>
      </c>
      <c r="I1716" s="35">
        <f t="shared" si="179"/>
        <v>2.7785316149209316</v>
      </c>
      <c r="J1716" s="35">
        <f t="shared" si="178"/>
        <v>0</v>
      </c>
      <c r="K1716" s="35">
        <f t="shared" si="178"/>
        <v>0</v>
      </c>
      <c r="L1716" s="35">
        <f t="shared" si="178"/>
        <v>0</v>
      </c>
      <c r="M1716" s="35">
        <f t="shared" si="177"/>
        <v>12.357865878143123</v>
      </c>
      <c r="S1716" t="s">
        <v>99</v>
      </c>
      <c r="T1716" s="5">
        <f>data_origin!T1971</f>
        <v>0</v>
      </c>
      <c r="U1716" s="5">
        <f>data_origin!U1971</f>
        <v>0</v>
      </c>
      <c r="V1716" s="5">
        <f>data_origin!V1971</f>
        <v>2.9340659340659343</v>
      </c>
      <c r="W1716" s="5">
        <f>data_origin!W1971</f>
        <v>6.6228070175438596</v>
      </c>
      <c r="X1716" s="5">
        <f>data_origin!X1971</f>
        <v>2.774193548387097</v>
      </c>
      <c r="Y1716" s="5">
        <f>data_origin!Y1971</f>
        <v>0</v>
      </c>
      <c r="Z1716" s="5">
        <f>data_origin!Z1971</f>
        <v>0</v>
      </c>
      <c r="AA1716" s="5">
        <f>data_origin!AA1971</f>
        <v>0</v>
      </c>
      <c r="AB1716" s="5">
        <f t="shared" si="180"/>
        <v>12.33106649999689</v>
      </c>
    </row>
    <row r="1717" spans="1:28" x14ac:dyDescent="0.25">
      <c r="D1717" t="s">
        <v>100</v>
      </c>
      <c r="E1717" s="35">
        <f t="shared" si="176"/>
        <v>0</v>
      </c>
      <c r="F1717" s="35">
        <f t="shared" si="176"/>
        <v>0</v>
      </c>
      <c r="G1717" s="35">
        <f t="shared" si="179"/>
        <v>1.4698319805641533</v>
      </c>
      <c r="H1717" s="35">
        <f t="shared" si="179"/>
        <v>2.6558681208375541</v>
      </c>
      <c r="I1717" s="35">
        <f t="shared" si="179"/>
        <v>0</v>
      </c>
      <c r="J1717" s="35">
        <f t="shared" si="178"/>
        <v>0</v>
      </c>
      <c r="K1717" s="35">
        <f t="shared" si="178"/>
        <v>0</v>
      </c>
      <c r="L1717" s="35">
        <f t="shared" si="178"/>
        <v>0</v>
      </c>
      <c r="M1717" s="35">
        <f t="shared" si="177"/>
        <v>4.1257001014017076</v>
      </c>
      <c r="S1717" t="s">
        <v>100</v>
      </c>
      <c r="T1717" s="5">
        <f>data_origin!T1972</f>
        <v>0</v>
      </c>
      <c r="U1717" s="5">
        <f>data_origin!U1972</f>
        <v>0</v>
      </c>
      <c r="V1717" s="5">
        <f>data_origin!V1972</f>
        <v>1.4670329670329672</v>
      </c>
      <c r="W1717" s="5">
        <f>data_origin!W1972</f>
        <v>2.6491228070175437</v>
      </c>
      <c r="X1717" s="5">
        <f>data_origin!X1972</f>
        <v>0</v>
      </c>
      <c r="Y1717" s="5">
        <f>data_origin!Y1972</f>
        <v>0</v>
      </c>
      <c r="Z1717" s="5">
        <f>data_origin!Z1972</f>
        <v>0</v>
      </c>
      <c r="AA1717" s="5">
        <f>data_origin!AA1972</f>
        <v>0</v>
      </c>
      <c r="AB1717" s="5">
        <f t="shared" si="180"/>
        <v>4.1161557740505108</v>
      </c>
    </row>
    <row r="1718" spans="1:28" x14ac:dyDescent="0.25">
      <c r="D1718" t="s">
        <v>101</v>
      </c>
      <c r="E1718" s="35">
        <f t="shared" ref="E1718:L1781" si="181">T1718+IFERROR((T1718/SUM(T$993:T$1982)*AW$630),0)</f>
        <v>0</v>
      </c>
      <c r="F1718" s="35">
        <f t="shared" si="181"/>
        <v>0</v>
      </c>
      <c r="G1718" s="35">
        <f t="shared" si="179"/>
        <v>8.8189918833849195</v>
      </c>
      <c r="H1718" s="35">
        <f t="shared" si="179"/>
        <v>11.951406543768993</v>
      </c>
      <c r="I1718" s="35">
        <f t="shared" si="179"/>
        <v>1.3892658074604658</v>
      </c>
      <c r="J1718" s="35">
        <f t="shared" si="178"/>
        <v>0</v>
      </c>
      <c r="K1718" s="35">
        <f t="shared" si="178"/>
        <v>0</v>
      </c>
      <c r="L1718" s="35">
        <f t="shared" si="178"/>
        <v>0</v>
      </c>
      <c r="M1718" s="35">
        <f t="shared" si="177"/>
        <v>22.159664234614379</v>
      </c>
      <c r="S1718" t="s">
        <v>101</v>
      </c>
      <c r="T1718" s="5">
        <f>data_origin!T1973</f>
        <v>0</v>
      </c>
      <c r="U1718" s="5">
        <f>data_origin!U1973</f>
        <v>0</v>
      </c>
      <c r="V1718" s="5">
        <f>data_origin!V1973</f>
        <v>8.8021978021978029</v>
      </c>
      <c r="W1718" s="5">
        <f>data_origin!W1973</f>
        <v>11.921052631578947</v>
      </c>
      <c r="X1718" s="5">
        <f>data_origin!X1973</f>
        <v>1.3870967741935485</v>
      </c>
      <c r="Y1718" s="5">
        <f>data_origin!Y1973</f>
        <v>0</v>
      </c>
      <c r="Z1718" s="5">
        <f>data_origin!Z1973</f>
        <v>0</v>
      </c>
      <c r="AA1718" s="5">
        <f>data_origin!AA1973</f>
        <v>0</v>
      </c>
      <c r="AB1718" s="5">
        <f t="shared" si="180"/>
        <v>22.110347207970296</v>
      </c>
    </row>
    <row r="1719" spans="1:28" x14ac:dyDescent="0.25">
      <c r="A1719" s="24" t="s">
        <v>115</v>
      </c>
      <c r="B1719" s="24" t="s">
        <v>117</v>
      </c>
      <c r="C1719" s="24" t="s">
        <v>107</v>
      </c>
      <c r="D1719" t="s">
        <v>70</v>
      </c>
      <c r="E1719" s="35">
        <f t="shared" si="181"/>
        <v>0</v>
      </c>
      <c r="F1719" s="35">
        <f t="shared" si="181"/>
        <v>0</v>
      </c>
      <c r="G1719" s="35">
        <f t="shared" si="179"/>
        <v>0</v>
      </c>
      <c r="H1719" s="35">
        <f t="shared" si="179"/>
        <v>0</v>
      </c>
      <c r="I1719" s="35">
        <f t="shared" si="179"/>
        <v>0</v>
      </c>
      <c r="J1719" s="35">
        <f t="shared" si="178"/>
        <v>0</v>
      </c>
      <c r="K1719" s="35">
        <f t="shared" si="178"/>
        <v>0</v>
      </c>
      <c r="L1719" s="35">
        <f t="shared" si="178"/>
        <v>0</v>
      </c>
      <c r="M1719" s="35">
        <f t="shared" si="177"/>
        <v>0</v>
      </c>
      <c r="P1719" t="s">
        <v>115</v>
      </c>
      <c r="Q1719" t="s">
        <v>117</v>
      </c>
      <c r="R1719" t="s">
        <v>107</v>
      </c>
      <c r="S1719" t="s">
        <v>70</v>
      </c>
      <c r="T1719" s="5">
        <f>data_origin!T1975</f>
        <v>0</v>
      </c>
      <c r="U1719" s="5">
        <f>data_origin!U1975</f>
        <v>0</v>
      </c>
      <c r="V1719" s="5">
        <f>data_origin!V1975</f>
        <v>0</v>
      </c>
      <c r="W1719" s="5">
        <f>data_origin!W1975</f>
        <v>0</v>
      </c>
      <c r="X1719" s="5">
        <f>data_origin!X1975</f>
        <v>0</v>
      </c>
      <c r="Y1719" s="5">
        <f>data_origin!Y1975</f>
        <v>0</v>
      </c>
      <c r="Z1719" s="5">
        <f>data_origin!Z1975</f>
        <v>0</v>
      </c>
      <c r="AA1719" s="5">
        <f>data_origin!AA1975</f>
        <v>0</v>
      </c>
      <c r="AB1719" s="5">
        <f t="shared" si="180"/>
        <v>0</v>
      </c>
    </row>
    <row r="1720" spans="1:28" x14ac:dyDescent="0.25">
      <c r="D1720" t="s">
        <v>71</v>
      </c>
      <c r="E1720" s="35">
        <f t="shared" si="181"/>
        <v>0</v>
      </c>
      <c r="F1720" s="35">
        <f t="shared" si="181"/>
        <v>0</v>
      </c>
      <c r="G1720" s="35">
        <f t="shared" si="179"/>
        <v>0</v>
      </c>
      <c r="H1720" s="35">
        <f t="shared" si="179"/>
        <v>0</v>
      </c>
      <c r="I1720" s="35">
        <f t="shared" si="179"/>
        <v>0</v>
      </c>
      <c r="J1720" s="35">
        <f t="shared" si="178"/>
        <v>0</v>
      </c>
      <c r="K1720" s="35">
        <f t="shared" si="178"/>
        <v>0</v>
      </c>
      <c r="L1720" s="35">
        <f t="shared" si="178"/>
        <v>0</v>
      </c>
      <c r="M1720" s="35">
        <f t="shared" si="177"/>
        <v>0</v>
      </c>
      <c r="S1720" t="s">
        <v>71</v>
      </c>
      <c r="T1720" s="5">
        <f>data_origin!T1976</f>
        <v>0</v>
      </c>
      <c r="U1720" s="5">
        <f>data_origin!U1976</f>
        <v>0</v>
      </c>
      <c r="V1720" s="5">
        <f>data_origin!V1976</f>
        <v>0</v>
      </c>
      <c r="W1720" s="5">
        <f>data_origin!W1976</f>
        <v>0</v>
      </c>
      <c r="X1720" s="5">
        <f>data_origin!X1976</f>
        <v>0</v>
      </c>
      <c r="Y1720" s="5">
        <f>data_origin!Y1976</f>
        <v>0</v>
      </c>
      <c r="Z1720" s="5">
        <f>data_origin!Z1976</f>
        <v>0</v>
      </c>
      <c r="AA1720" s="5">
        <f>data_origin!AA1976</f>
        <v>0</v>
      </c>
      <c r="AB1720" s="5">
        <f t="shared" si="180"/>
        <v>0</v>
      </c>
    </row>
    <row r="1721" spans="1:28" x14ac:dyDescent="0.25">
      <c r="D1721" t="s">
        <v>72</v>
      </c>
      <c r="E1721" s="35">
        <f t="shared" si="181"/>
        <v>0</v>
      </c>
      <c r="F1721" s="35">
        <f t="shared" si="181"/>
        <v>0</v>
      </c>
      <c r="G1721" s="35">
        <f t="shared" si="179"/>
        <v>0</v>
      </c>
      <c r="H1721" s="35">
        <f t="shared" si="179"/>
        <v>0</v>
      </c>
      <c r="I1721" s="35">
        <f t="shared" si="179"/>
        <v>0</v>
      </c>
      <c r="J1721" s="35">
        <f t="shared" si="178"/>
        <v>0</v>
      </c>
      <c r="K1721" s="35">
        <f t="shared" si="178"/>
        <v>0</v>
      </c>
      <c r="L1721" s="35">
        <f t="shared" si="178"/>
        <v>0</v>
      </c>
      <c r="M1721" s="35">
        <f t="shared" si="177"/>
        <v>0</v>
      </c>
      <c r="S1721" t="s">
        <v>72</v>
      </c>
      <c r="T1721" s="5">
        <f>data_origin!T1977</f>
        <v>0</v>
      </c>
      <c r="U1721" s="5">
        <f>data_origin!U1977</f>
        <v>0</v>
      </c>
      <c r="V1721" s="5">
        <f>data_origin!V1977</f>
        <v>0</v>
      </c>
      <c r="W1721" s="5">
        <f>data_origin!W1977</f>
        <v>0</v>
      </c>
      <c r="X1721" s="5">
        <f>data_origin!X1977</f>
        <v>0</v>
      </c>
      <c r="Y1721" s="5">
        <f>data_origin!Y1977</f>
        <v>0</v>
      </c>
      <c r="Z1721" s="5">
        <f>data_origin!Z1977</f>
        <v>0</v>
      </c>
      <c r="AA1721" s="5">
        <f>data_origin!AA1977</f>
        <v>0</v>
      </c>
      <c r="AB1721" s="5">
        <f t="shared" si="180"/>
        <v>0</v>
      </c>
    </row>
    <row r="1722" spans="1:28" x14ac:dyDescent="0.25">
      <c r="D1722" t="s">
        <v>73</v>
      </c>
      <c r="E1722" s="35">
        <f t="shared" si="181"/>
        <v>0</v>
      </c>
      <c r="F1722" s="35">
        <f t="shared" si="181"/>
        <v>0</v>
      </c>
      <c r="G1722" s="35">
        <f t="shared" si="179"/>
        <v>0</v>
      </c>
      <c r="H1722" s="35">
        <f t="shared" si="179"/>
        <v>0</v>
      </c>
      <c r="I1722" s="35">
        <f t="shared" si="179"/>
        <v>0</v>
      </c>
      <c r="J1722" s="35">
        <f t="shared" si="178"/>
        <v>0</v>
      </c>
      <c r="K1722" s="35">
        <f t="shared" si="178"/>
        <v>0</v>
      </c>
      <c r="L1722" s="35">
        <f t="shared" si="178"/>
        <v>0</v>
      </c>
      <c r="M1722" s="35">
        <f t="shared" si="177"/>
        <v>0</v>
      </c>
      <c r="S1722" t="s">
        <v>73</v>
      </c>
      <c r="T1722" s="5">
        <f>data_origin!T1978</f>
        <v>0</v>
      </c>
      <c r="U1722" s="5">
        <f>data_origin!U1978</f>
        <v>0</v>
      </c>
      <c r="V1722" s="5">
        <f>data_origin!V1978</f>
        <v>0</v>
      </c>
      <c r="W1722" s="5">
        <f>data_origin!W1978</f>
        <v>0</v>
      </c>
      <c r="X1722" s="5">
        <f>data_origin!X1978</f>
        <v>0</v>
      </c>
      <c r="Y1722" s="5">
        <f>data_origin!Y1978</f>
        <v>0</v>
      </c>
      <c r="Z1722" s="5">
        <f>data_origin!Z1978</f>
        <v>0</v>
      </c>
      <c r="AA1722" s="5">
        <f>data_origin!AA1978</f>
        <v>0</v>
      </c>
      <c r="AB1722" s="5">
        <f t="shared" si="180"/>
        <v>0</v>
      </c>
    </row>
    <row r="1723" spans="1:28" x14ac:dyDescent="0.25">
      <c r="D1723" t="s">
        <v>74</v>
      </c>
      <c r="E1723" s="35">
        <f t="shared" si="181"/>
        <v>0</v>
      </c>
      <c r="F1723" s="35">
        <f t="shared" si="181"/>
        <v>0</v>
      </c>
      <c r="G1723" s="35">
        <f t="shared" si="179"/>
        <v>0</v>
      </c>
      <c r="H1723" s="35">
        <f t="shared" si="179"/>
        <v>0</v>
      </c>
      <c r="I1723" s="35">
        <f t="shared" si="179"/>
        <v>0</v>
      </c>
      <c r="J1723" s="35">
        <f t="shared" si="178"/>
        <v>0</v>
      </c>
      <c r="K1723" s="35">
        <f t="shared" si="178"/>
        <v>0</v>
      </c>
      <c r="L1723" s="35">
        <f t="shared" si="178"/>
        <v>0</v>
      </c>
      <c r="M1723" s="35">
        <f t="shared" si="177"/>
        <v>0</v>
      </c>
      <c r="S1723" t="s">
        <v>74</v>
      </c>
      <c r="T1723" s="5">
        <f>data_origin!T1979</f>
        <v>0</v>
      </c>
      <c r="U1723" s="5">
        <f>data_origin!U1979</f>
        <v>0</v>
      </c>
      <c r="V1723" s="5">
        <f>data_origin!V1979</f>
        <v>0</v>
      </c>
      <c r="W1723" s="5">
        <f>data_origin!W1979</f>
        <v>0</v>
      </c>
      <c r="X1723" s="5">
        <f>data_origin!X1979</f>
        <v>0</v>
      </c>
      <c r="Y1723" s="5">
        <f>data_origin!Y1979</f>
        <v>0</v>
      </c>
      <c r="Z1723" s="5">
        <f>data_origin!Z1979</f>
        <v>0</v>
      </c>
      <c r="AA1723" s="5">
        <f>data_origin!AA1979</f>
        <v>0</v>
      </c>
      <c r="AB1723" s="5">
        <f t="shared" si="180"/>
        <v>0</v>
      </c>
    </row>
    <row r="1724" spans="1:28" x14ac:dyDescent="0.25">
      <c r="D1724" t="s">
        <v>75</v>
      </c>
      <c r="E1724" s="35">
        <f t="shared" si="181"/>
        <v>0</v>
      </c>
      <c r="F1724" s="35">
        <f t="shared" si="181"/>
        <v>0</v>
      </c>
      <c r="G1724" s="35">
        <f t="shared" si="179"/>
        <v>0</v>
      </c>
      <c r="H1724" s="35">
        <f t="shared" si="179"/>
        <v>0</v>
      </c>
      <c r="I1724" s="35">
        <f t="shared" si="179"/>
        <v>0</v>
      </c>
      <c r="J1724" s="35">
        <f t="shared" si="178"/>
        <v>0</v>
      </c>
      <c r="K1724" s="35">
        <f t="shared" si="178"/>
        <v>0</v>
      </c>
      <c r="L1724" s="35">
        <f t="shared" si="178"/>
        <v>0</v>
      </c>
      <c r="M1724" s="35">
        <f t="shared" si="177"/>
        <v>0</v>
      </c>
      <c r="S1724" t="s">
        <v>75</v>
      </c>
      <c r="T1724" s="5">
        <f>data_origin!T1980</f>
        <v>0</v>
      </c>
      <c r="U1724" s="5">
        <f>data_origin!U1980</f>
        <v>0</v>
      </c>
      <c r="V1724" s="5">
        <f>data_origin!V1980</f>
        <v>0</v>
      </c>
      <c r="W1724" s="5">
        <f>data_origin!W1980</f>
        <v>0</v>
      </c>
      <c r="X1724" s="5">
        <f>data_origin!X1980</f>
        <v>0</v>
      </c>
      <c r="Y1724" s="5">
        <f>data_origin!Y1980</f>
        <v>0</v>
      </c>
      <c r="Z1724" s="5">
        <f>data_origin!Z1980</f>
        <v>0</v>
      </c>
      <c r="AA1724" s="5">
        <f>data_origin!AA1980</f>
        <v>0</v>
      </c>
      <c r="AB1724" s="5">
        <f t="shared" si="180"/>
        <v>0</v>
      </c>
    </row>
    <row r="1725" spans="1:28" x14ac:dyDescent="0.25">
      <c r="D1725" t="s">
        <v>76</v>
      </c>
      <c r="E1725" s="35">
        <f t="shared" si="181"/>
        <v>0</v>
      </c>
      <c r="F1725" s="35">
        <f t="shared" si="181"/>
        <v>0</v>
      </c>
      <c r="G1725" s="35">
        <f t="shared" si="179"/>
        <v>0</v>
      </c>
      <c r="H1725" s="35">
        <f t="shared" si="179"/>
        <v>0</v>
      </c>
      <c r="I1725" s="35">
        <f t="shared" si="179"/>
        <v>0</v>
      </c>
      <c r="J1725" s="35">
        <f t="shared" si="178"/>
        <v>0</v>
      </c>
      <c r="K1725" s="35">
        <f t="shared" si="178"/>
        <v>0</v>
      </c>
      <c r="L1725" s="35">
        <f t="shared" si="178"/>
        <v>0</v>
      </c>
      <c r="M1725" s="35">
        <f t="shared" si="177"/>
        <v>0</v>
      </c>
      <c r="S1725" t="s">
        <v>76</v>
      </c>
      <c r="T1725" s="5">
        <f>data_origin!T1981</f>
        <v>0</v>
      </c>
      <c r="U1725" s="5">
        <f>data_origin!U1981</f>
        <v>0</v>
      </c>
      <c r="V1725" s="5">
        <f>data_origin!V1981</f>
        <v>0</v>
      </c>
      <c r="W1725" s="5">
        <f>data_origin!W1981</f>
        <v>0</v>
      </c>
      <c r="X1725" s="5">
        <f>data_origin!X1981</f>
        <v>0</v>
      </c>
      <c r="Y1725" s="5">
        <f>data_origin!Y1981</f>
        <v>0</v>
      </c>
      <c r="Z1725" s="5">
        <f>data_origin!Z1981</f>
        <v>0</v>
      </c>
      <c r="AA1725" s="5">
        <f>data_origin!AA1981</f>
        <v>0</v>
      </c>
      <c r="AB1725" s="5">
        <f t="shared" si="180"/>
        <v>0</v>
      </c>
    </row>
    <row r="1726" spans="1:28" x14ac:dyDescent="0.25">
      <c r="D1726" t="s">
        <v>77</v>
      </c>
      <c r="E1726" s="35">
        <f t="shared" si="181"/>
        <v>0</v>
      </c>
      <c r="F1726" s="35">
        <f t="shared" si="181"/>
        <v>0</v>
      </c>
      <c r="G1726" s="35">
        <f t="shared" si="179"/>
        <v>0</v>
      </c>
      <c r="H1726" s="35">
        <f t="shared" si="179"/>
        <v>0</v>
      </c>
      <c r="I1726" s="35">
        <f t="shared" si="179"/>
        <v>0</v>
      </c>
      <c r="J1726" s="35">
        <f t="shared" si="178"/>
        <v>0</v>
      </c>
      <c r="K1726" s="35">
        <f t="shared" si="178"/>
        <v>0</v>
      </c>
      <c r="L1726" s="35">
        <f t="shared" si="178"/>
        <v>0</v>
      </c>
      <c r="M1726" s="35">
        <f t="shared" si="177"/>
        <v>0</v>
      </c>
      <c r="S1726" t="s">
        <v>77</v>
      </c>
      <c r="T1726" s="5">
        <f>data_origin!T1982</f>
        <v>0</v>
      </c>
      <c r="U1726" s="5">
        <f>data_origin!U1982</f>
        <v>0</v>
      </c>
      <c r="V1726" s="5">
        <f>data_origin!V1982</f>
        <v>0</v>
      </c>
      <c r="W1726" s="5">
        <f>data_origin!W1982</f>
        <v>0</v>
      </c>
      <c r="X1726" s="5">
        <f>data_origin!X1982</f>
        <v>0</v>
      </c>
      <c r="Y1726" s="5">
        <f>data_origin!Y1982</f>
        <v>0</v>
      </c>
      <c r="Z1726" s="5">
        <f>data_origin!Z1982</f>
        <v>0</v>
      </c>
      <c r="AA1726" s="5">
        <f>data_origin!AA1982</f>
        <v>0</v>
      </c>
      <c r="AB1726" s="5">
        <f t="shared" si="180"/>
        <v>0</v>
      </c>
    </row>
    <row r="1727" spans="1:28" x14ac:dyDescent="0.25">
      <c r="D1727" t="s">
        <v>78</v>
      </c>
      <c r="E1727" s="35">
        <f t="shared" si="181"/>
        <v>0</v>
      </c>
      <c r="F1727" s="35">
        <f t="shared" si="181"/>
        <v>0</v>
      </c>
      <c r="G1727" s="35">
        <f t="shared" si="179"/>
        <v>0</v>
      </c>
      <c r="H1727" s="35">
        <f t="shared" si="179"/>
        <v>0</v>
      </c>
      <c r="I1727" s="35">
        <f t="shared" si="179"/>
        <v>0</v>
      </c>
      <c r="J1727" s="35">
        <f t="shared" si="178"/>
        <v>0</v>
      </c>
      <c r="K1727" s="35">
        <f t="shared" si="178"/>
        <v>0</v>
      </c>
      <c r="L1727" s="35">
        <f t="shared" si="178"/>
        <v>0</v>
      </c>
      <c r="M1727" s="35">
        <f t="shared" si="177"/>
        <v>0</v>
      </c>
      <c r="S1727" t="s">
        <v>78</v>
      </c>
      <c r="T1727" s="5">
        <f>data_origin!T1983</f>
        <v>0</v>
      </c>
      <c r="U1727" s="5">
        <f>data_origin!U1983</f>
        <v>0</v>
      </c>
      <c r="V1727" s="5">
        <f>data_origin!V1983</f>
        <v>0</v>
      </c>
      <c r="W1727" s="5">
        <f>data_origin!W1983</f>
        <v>0</v>
      </c>
      <c r="X1727" s="5">
        <f>data_origin!X1983</f>
        <v>0</v>
      </c>
      <c r="Y1727" s="5">
        <f>data_origin!Y1983</f>
        <v>0</v>
      </c>
      <c r="Z1727" s="5">
        <f>data_origin!Z1983</f>
        <v>0</v>
      </c>
      <c r="AA1727" s="5">
        <f>data_origin!AA1983</f>
        <v>0</v>
      </c>
      <c r="AB1727" s="5">
        <f t="shared" si="180"/>
        <v>0</v>
      </c>
    </row>
    <row r="1728" spans="1:28" x14ac:dyDescent="0.25">
      <c r="D1728" t="s">
        <v>79</v>
      </c>
      <c r="E1728" s="35">
        <f t="shared" si="181"/>
        <v>0</v>
      </c>
      <c r="F1728" s="35">
        <f t="shared" si="181"/>
        <v>0</v>
      </c>
      <c r="G1728" s="35">
        <f t="shared" si="179"/>
        <v>0</v>
      </c>
      <c r="H1728" s="35">
        <f t="shared" si="179"/>
        <v>0</v>
      </c>
      <c r="I1728" s="35">
        <f t="shared" si="179"/>
        <v>0</v>
      </c>
      <c r="J1728" s="35">
        <f t="shared" si="178"/>
        <v>0</v>
      </c>
      <c r="K1728" s="35">
        <f t="shared" si="178"/>
        <v>0</v>
      </c>
      <c r="L1728" s="35">
        <f t="shared" si="178"/>
        <v>0</v>
      </c>
      <c r="M1728" s="35">
        <f t="shared" si="177"/>
        <v>0</v>
      </c>
      <c r="S1728" t="s">
        <v>79</v>
      </c>
      <c r="T1728" s="5">
        <f>data_origin!T1984</f>
        <v>0</v>
      </c>
      <c r="U1728" s="5">
        <f>data_origin!U1984</f>
        <v>0</v>
      </c>
      <c r="V1728" s="5">
        <f>data_origin!V1984</f>
        <v>0</v>
      </c>
      <c r="W1728" s="5">
        <f>data_origin!W1984</f>
        <v>0</v>
      </c>
      <c r="X1728" s="5">
        <f>data_origin!X1984</f>
        <v>0</v>
      </c>
      <c r="Y1728" s="5">
        <f>data_origin!Y1984</f>
        <v>0</v>
      </c>
      <c r="Z1728" s="5">
        <f>data_origin!Z1984</f>
        <v>0</v>
      </c>
      <c r="AA1728" s="5">
        <f>data_origin!AA1984</f>
        <v>0</v>
      </c>
      <c r="AB1728" s="5">
        <f t="shared" si="180"/>
        <v>0</v>
      </c>
    </row>
    <row r="1729" spans="4:28" x14ac:dyDescent="0.25">
      <c r="D1729" t="s">
        <v>80</v>
      </c>
      <c r="E1729" s="35">
        <f t="shared" si="181"/>
        <v>0</v>
      </c>
      <c r="F1729" s="35">
        <f t="shared" si="181"/>
        <v>0</v>
      </c>
      <c r="G1729" s="35">
        <f t="shared" si="179"/>
        <v>0</v>
      </c>
      <c r="H1729" s="35">
        <f t="shared" si="179"/>
        <v>0</v>
      </c>
      <c r="I1729" s="35">
        <f t="shared" si="179"/>
        <v>0</v>
      </c>
      <c r="J1729" s="35">
        <f t="shared" si="178"/>
        <v>0</v>
      </c>
      <c r="K1729" s="35">
        <f t="shared" si="178"/>
        <v>0</v>
      </c>
      <c r="L1729" s="35">
        <f t="shared" si="178"/>
        <v>0</v>
      </c>
      <c r="M1729" s="35">
        <f t="shared" si="177"/>
        <v>0</v>
      </c>
      <c r="S1729" t="s">
        <v>80</v>
      </c>
      <c r="T1729" s="5">
        <f>data_origin!T1985</f>
        <v>0</v>
      </c>
      <c r="U1729" s="5">
        <f>data_origin!U1985</f>
        <v>0</v>
      </c>
      <c r="V1729" s="5">
        <f>data_origin!V1985</f>
        <v>0</v>
      </c>
      <c r="W1729" s="5">
        <f>data_origin!W1985</f>
        <v>0</v>
      </c>
      <c r="X1729" s="5">
        <f>data_origin!X1985</f>
        <v>0</v>
      </c>
      <c r="Y1729" s="5">
        <f>data_origin!Y1985</f>
        <v>0</v>
      </c>
      <c r="Z1729" s="5">
        <f>data_origin!Z1985</f>
        <v>0</v>
      </c>
      <c r="AA1729" s="5">
        <f>data_origin!AA1985</f>
        <v>0</v>
      </c>
      <c r="AB1729" s="5">
        <f t="shared" si="180"/>
        <v>0</v>
      </c>
    </row>
    <row r="1730" spans="4:28" x14ac:dyDescent="0.25">
      <c r="D1730" t="s">
        <v>81</v>
      </c>
      <c r="E1730" s="35">
        <f t="shared" si="181"/>
        <v>0</v>
      </c>
      <c r="F1730" s="35">
        <f t="shared" si="181"/>
        <v>0</v>
      </c>
      <c r="G1730" s="35">
        <f t="shared" si="179"/>
        <v>0</v>
      </c>
      <c r="H1730" s="35">
        <f t="shared" si="179"/>
        <v>0</v>
      </c>
      <c r="I1730" s="35">
        <f t="shared" si="179"/>
        <v>0</v>
      </c>
      <c r="J1730" s="35">
        <f t="shared" si="178"/>
        <v>0</v>
      </c>
      <c r="K1730" s="35">
        <f t="shared" si="178"/>
        <v>0</v>
      </c>
      <c r="L1730" s="35">
        <f t="shared" si="178"/>
        <v>0</v>
      </c>
      <c r="M1730" s="35">
        <f t="shared" si="177"/>
        <v>0</v>
      </c>
      <c r="S1730" t="s">
        <v>81</v>
      </c>
      <c r="T1730" s="5">
        <f>data_origin!T1986</f>
        <v>0</v>
      </c>
      <c r="U1730" s="5">
        <f>data_origin!U1986</f>
        <v>0</v>
      </c>
      <c r="V1730" s="5">
        <f>data_origin!V1986</f>
        <v>0</v>
      </c>
      <c r="W1730" s="5">
        <f>data_origin!W1986</f>
        <v>0</v>
      </c>
      <c r="X1730" s="5">
        <f>data_origin!X1986</f>
        <v>0</v>
      </c>
      <c r="Y1730" s="5">
        <f>data_origin!Y1986</f>
        <v>0</v>
      </c>
      <c r="Z1730" s="5">
        <f>data_origin!Z1986</f>
        <v>0</v>
      </c>
      <c r="AA1730" s="5">
        <f>data_origin!AA1986</f>
        <v>0</v>
      </c>
      <c r="AB1730" s="5">
        <f t="shared" si="180"/>
        <v>0</v>
      </c>
    </row>
    <row r="1731" spans="4:28" x14ac:dyDescent="0.25">
      <c r="D1731" t="s">
        <v>82</v>
      </c>
      <c r="E1731" s="35">
        <f t="shared" si="181"/>
        <v>0</v>
      </c>
      <c r="F1731" s="35">
        <f t="shared" si="181"/>
        <v>0</v>
      </c>
      <c r="G1731" s="35">
        <f t="shared" si="179"/>
        <v>0</v>
      </c>
      <c r="H1731" s="35">
        <f t="shared" si="179"/>
        <v>0</v>
      </c>
      <c r="I1731" s="35">
        <f t="shared" si="179"/>
        <v>0</v>
      </c>
      <c r="J1731" s="35">
        <f t="shared" si="178"/>
        <v>0</v>
      </c>
      <c r="K1731" s="35">
        <f t="shared" si="178"/>
        <v>0</v>
      </c>
      <c r="L1731" s="35">
        <f t="shared" si="178"/>
        <v>0</v>
      </c>
      <c r="M1731" s="35">
        <f t="shared" ref="M1731:M1794" si="182">SUM(E1731:L1731)</f>
        <v>0</v>
      </c>
      <c r="S1731" t="s">
        <v>82</v>
      </c>
      <c r="T1731" s="5">
        <f>data_origin!T1987</f>
        <v>0</v>
      </c>
      <c r="U1731" s="5">
        <f>data_origin!U1987</f>
        <v>0</v>
      </c>
      <c r="V1731" s="5">
        <f>data_origin!V1987</f>
        <v>0</v>
      </c>
      <c r="W1731" s="5">
        <f>data_origin!W1987</f>
        <v>0</v>
      </c>
      <c r="X1731" s="5">
        <f>data_origin!X1987</f>
        <v>0</v>
      </c>
      <c r="Y1731" s="5">
        <f>data_origin!Y1987</f>
        <v>0</v>
      </c>
      <c r="Z1731" s="5">
        <f>data_origin!Z1987</f>
        <v>0</v>
      </c>
      <c r="AA1731" s="5">
        <f>data_origin!AA1987</f>
        <v>0</v>
      </c>
      <c r="AB1731" s="5">
        <f t="shared" si="180"/>
        <v>0</v>
      </c>
    </row>
    <row r="1732" spans="4:28" x14ac:dyDescent="0.25">
      <c r="D1732" t="s">
        <v>83</v>
      </c>
      <c r="E1732" s="35">
        <f t="shared" si="181"/>
        <v>0</v>
      </c>
      <c r="F1732" s="35">
        <f t="shared" si="181"/>
        <v>0</v>
      </c>
      <c r="G1732" s="35">
        <f t="shared" si="179"/>
        <v>0</v>
      </c>
      <c r="H1732" s="35">
        <f t="shared" si="179"/>
        <v>0</v>
      </c>
      <c r="I1732" s="35">
        <f t="shared" si="179"/>
        <v>0</v>
      </c>
      <c r="J1732" s="35">
        <f t="shared" si="178"/>
        <v>0</v>
      </c>
      <c r="K1732" s="35">
        <f t="shared" si="178"/>
        <v>0</v>
      </c>
      <c r="L1732" s="35">
        <f t="shared" si="178"/>
        <v>0</v>
      </c>
      <c r="M1732" s="35">
        <f t="shared" si="182"/>
        <v>0</v>
      </c>
      <c r="S1732" t="s">
        <v>83</v>
      </c>
      <c r="T1732" s="5">
        <f>data_origin!T1988</f>
        <v>0</v>
      </c>
      <c r="U1732" s="5">
        <f>data_origin!U1988</f>
        <v>0</v>
      </c>
      <c r="V1732" s="5">
        <f>data_origin!V1988</f>
        <v>0</v>
      </c>
      <c r="W1732" s="5">
        <f>data_origin!W1988</f>
        <v>0</v>
      </c>
      <c r="X1732" s="5">
        <f>data_origin!X1988</f>
        <v>0</v>
      </c>
      <c r="Y1732" s="5">
        <f>data_origin!Y1988</f>
        <v>0</v>
      </c>
      <c r="Z1732" s="5">
        <f>data_origin!Z1988</f>
        <v>0</v>
      </c>
      <c r="AA1732" s="5">
        <f>data_origin!AA1988</f>
        <v>0</v>
      </c>
      <c r="AB1732" s="5">
        <f t="shared" si="180"/>
        <v>0</v>
      </c>
    </row>
    <row r="1733" spans="4:28" x14ac:dyDescent="0.25">
      <c r="D1733" t="s">
        <v>84</v>
      </c>
      <c r="E1733" s="35">
        <f t="shared" si="181"/>
        <v>0</v>
      </c>
      <c r="F1733" s="35">
        <f t="shared" si="181"/>
        <v>0</v>
      </c>
      <c r="G1733" s="35">
        <f t="shared" si="179"/>
        <v>0</v>
      </c>
      <c r="H1733" s="35">
        <f t="shared" si="179"/>
        <v>0</v>
      </c>
      <c r="I1733" s="35">
        <f t="shared" si="179"/>
        <v>0</v>
      </c>
      <c r="J1733" s="35">
        <f t="shared" si="178"/>
        <v>0</v>
      </c>
      <c r="K1733" s="35">
        <f t="shared" si="178"/>
        <v>0</v>
      </c>
      <c r="L1733" s="35">
        <f t="shared" si="178"/>
        <v>0</v>
      </c>
      <c r="M1733" s="35">
        <f t="shared" si="182"/>
        <v>0</v>
      </c>
      <c r="S1733" t="s">
        <v>84</v>
      </c>
      <c r="T1733" s="5">
        <f>data_origin!T1989</f>
        <v>0</v>
      </c>
      <c r="U1733" s="5">
        <f>data_origin!U1989</f>
        <v>0</v>
      </c>
      <c r="V1733" s="5">
        <f>data_origin!V1989</f>
        <v>0</v>
      </c>
      <c r="W1733" s="5">
        <f>data_origin!W1989</f>
        <v>0</v>
      </c>
      <c r="X1733" s="5">
        <f>data_origin!X1989</f>
        <v>0</v>
      </c>
      <c r="Y1733" s="5">
        <f>data_origin!Y1989</f>
        <v>0</v>
      </c>
      <c r="Z1733" s="5">
        <f>data_origin!Z1989</f>
        <v>0</v>
      </c>
      <c r="AA1733" s="5">
        <f>data_origin!AA1989</f>
        <v>0</v>
      </c>
      <c r="AB1733" s="5">
        <f t="shared" si="180"/>
        <v>0</v>
      </c>
    </row>
    <row r="1734" spans="4:28" x14ac:dyDescent="0.25">
      <c r="D1734" t="s">
        <v>85</v>
      </c>
      <c r="E1734" s="35">
        <f t="shared" si="181"/>
        <v>0</v>
      </c>
      <c r="F1734" s="35">
        <f t="shared" si="181"/>
        <v>0</v>
      </c>
      <c r="G1734" s="35">
        <f t="shared" si="179"/>
        <v>0</v>
      </c>
      <c r="H1734" s="35">
        <f t="shared" si="179"/>
        <v>0</v>
      </c>
      <c r="I1734" s="35">
        <f t="shared" si="179"/>
        <v>0</v>
      </c>
      <c r="J1734" s="35">
        <f t="shared" si="178"/>
        <v>0</v>
      </c>
      <c r="K1734" s="35">
        <f t="shared" si="178"/>
        <v>0</v>
      </c>
      <c r="L1734" s="35">
        <f t="shared" si="178"/>
        <v>0</v>
      </c>
      <c r="M1734" s="35">
        <f t="shared" si="182"/>
        <v>0</v>
      </c>
      <c r="S1734" t="s">
        <v>85</v>
      </c>
      <c r="T1734" s="5">
        <f>data_origin!T1990</f>
        <v>0</v>
      </c>
      <c r="U1734" s="5">
        <f>data_origin!U1990</f>
        <v>0</v>
      </c>
      <c r="V1734" s="5">
        <f>data_origin!V1990</f>
        <v>0</v>
      </c>
      <c r="W1734" s="5">
        <f>data_origin!W1990</f>
        <v>0</v>
      </c>
      <c r="X1734" s="5">
        <f>data_origin!X1990</f>
        <v>0</v>
      </c>
      <c r="Y1734" s="5">
        <f>data_origin!Y1990</f>
        <v>0</v>
      </c>
      <c r="Z1734" s="5">
        <f>data_origin!Z1990</f>
        <v>0</v>
      </c>
      <c r="AA1734" s="5">
        <f>data_origin!AA1990</f>
        <v>0</v>
      </c>
      <c r="AB1734" s="5">
        <f t="shared" si="180"/>
        <v>0</v>
      </c>
    </row>
    <row r="1735" spans="4:28" x14ac:dyDescent="0.25">
      <c r="D1735" t="s">
        <v>86</v>
      </c>
      <c r="E1735" s="35">
        <f t="shared" si="181"/>
        <v>0</v>
      </c>
      <c r="F1735" s="35">
        <f t="shared" si="181"/>
        <v>0</v>
      </c>
      <c r="G1735" s="35">
        <f t="shared" si="179"/>
        <v>0</v>
      </c>
      <c r="H1735" s="35">
        <f t="shared" si="179"/>
        <v>0</v>
      </c>
      <c r="I1735" s="35">
        <f t="shared" si="179"/>
        <v>0</v>
      </c>
      <c r="J1735" s="35">
        <f t="shared" si="178"/>
        <v>0</v>
      </c>
      <c r="K1735" s="35">
        <f t="shared" si="178"/>
        <v>0</v>
      </c>
      <c r="L1735" s="35">
        <f t="shared" si="178"/>
        <v>0</v>
      </c>
      <c r="M1735" s="35">
        <f t="shared" si="182"/>
        <v>0</v>
      </c>
      <c r="S1735" t="s">
        <v>86</v>
      </c>
      <c r="T1735" s="5">
        <f>data_origin!T1991</f>
        <v>0</v>
      </c>
      <c r="U1735" s="5">
        <f>data_origin!U1991</f>
        <v>0</v>
      </c>
      <c r="V1735" s="5">
        <f>data_origin!V1991</f>
        <v>0</v>
      </c>
      <c r="W1735" s="5">
        <f>data_origin!W1991</f>
        <v>0</v>
      </c>
      <c r="X1735" s="5">
        <f>data_origin!X1991</f>
        <v>0</v>
      </c>
      <c r="Y1735" s="5">
        <f>data_origin!Y1991</f>
        <v>0</v>
      </c>
      <c r="Z1735" s="5">
        <f>data_origin!Z1991</f>
        <v>0</v>
      </c>
      <c r="AA1735" s="5">
        <f>data_origin!AA1991</f>
        <v>0</v>
      </c>
      <c r="AB1735" s="5">
        <f t="shared" si="180"/>
        <v>0</v>
      </c>
    </row>
    <row r="1736" spans="4:28" x14ac:dyDescent="0.25">
      <c r="D1736" t="s">
        <v>87</v>
      </c>
      <c r="E1736" s="35">
        <f t="shared" si="181"/>
        <v>0</v>
      </c>
      <c r="F1736" s="35">
        <f t="shared" si="181"/>
        <v>0</v>
      </c>
      <c r="G1736" s="35">
        <f t="shared" si="179"/>
        <v>0</v>
      </c>
      <c r="H1736" s="35">
        <f t="shared" si="179"/>
        <v>0</v>
      </c>
      <c r="I1736" s="35">
        <f t="shared" si="179"/>
        <v>0</v>
      </c>
      <c r="J1736" s="35">
        <f t="shared" si="178"/>
        <v>0</v>
      </c>
      <c r="K1736" s="35">
        <f t="shared" si="178"/>
        <v>0</v>
      </c>
      <c r="L1736" s="35">
        <f t="shared" si="178"/>
        <v>0</v>
      </c>
      <c r="M1736" s="35">
        <f t="shared" si="182"/>
        <v>0</v>
      </c>
      <c r="S1736" t="s">
        <v>87</v>
      </c>
      <c r="T1736" s="5">
        <f>data_origin!T1992</f>
        <v>0</v>
      </c>
      <c r="U1736" s="5">
        <f>data_origin!U1992</f>
        <v>0</v>
      </c>
      <c r="V1736" s="5">
        <f>data_origin!V1992</f>
        <v>0</v>
      </c>
      <c r="W1736" s="5">
        <f>data_origin!W1992</f>
        <v>0</v>
      </c>
      <c r="X1736" s="5">
        <f>data_origin!X1992</f>
        <v>0</v>
      </c>
      <c r="Y1736" s="5">
        <f>data_origin!Y1992</f>
        <v>0</v>
      </c>
      <c r="Z1736" s="5">
        <f>data_origin!Z1992</f>
        <v>0</v>
      </c>
      <c r="AA1736" s="5">
        <f>data_origin!AA1992</f>
        <v>0</v>
      </c>
      <c r="AB1736" s="5">
        <f t="shared" si="180"/>
        <v>0</v>
      </c>
    </row>
    <row r="1737" spans="4:28" x14ac:dyDescent="0.25">
      <c r="D1737" t="s">
        <v>88</v>
      </c>
      <c r="E1737" s="35">
        <f t="shared" si="181"/>
        <v>0</v>
      </c>
      <c r="F1737" s="35">
        <f t="shared" si="181"/>
        <v>0</v>
      </c>
      <c r="G1737" s="35">
        <f t="shared" si="179"/>
        <v>0</v>
      </c>
      <c r="H1737" s="35">
        <f t="shared" si="179"/>
        <v>0</v>
      </c>
      <c r="I1737" s="35">
        <f t="shared" si="179"/>
        <v>0</v>
      </c>
      <c r="J1737" s="35">
        <f t="shared" si="178"/>
        <v>0</v>
      </c>
      <c r="K1737" s="35">
        <f t="shared" si="178"/>
        <v>0</v>
      </c>
      <c r="L1737" s="35">
        <f t="shared" si="178"/>
        <v>0</v>
      </c>
      <c r="M1737" s="35">
        <f t="shared" si="182"/>
        <v>0</v>
      </c>
      <c r="S1737" t="s">
        <v>88</v>
      </c>
      <c r="T1737" s="5">
        <f>data_origin!T1993</f>
        <v>0</v>
      </c>
      <c r="U1737" s="5">
        <f>data_origin!U1993</f>
        <v>0</v>
      </c>
      <c r="V1737" s="5">
        <f>data_origin!V1993</f>
        <v>0</v>
      </c>
      <c r="W1737" s="5">
        <f>data_origin!W1993</f>
        <v>0</v>
      </c>
      <c r="X1737" s="5">
        <f>data_origin!X1993</f>
        <v>0</v>
      </c>
      <c r="Y1737" s="5">
        <f>data_origin!Y1993</f>
        <v>0</v>
      </c>
      <c r="Z1737" s="5">
        <f>data_origin!Z1993</f>
        <v>0</v>
      </c>
      <c r="AA1737" s="5">
        <f>data_origin!AA1993</f>
        <v>0</v>
      </c>
      <c r="AB1737" s="5">
        <f t="shared" si="180"/>
        <v>0</v>
      </c>
    </row>
    <row r="1738" spans="4:28" x14ac:dyDescent="0.25">
      <c r="D1738" t="s">
        <v>89</v>
      </c>
      <c r="E1738" s="35">
        <f t="shared" si="181"/>
        <v>0</v>
      </c>
      <c r="F1738" s="35">
        <f t="shared" si="181"/>
        <v>0</v>
      </c>
      <c r="G1738" s="35">
        <f t="shared" si="179"/>
        <v>0</v>
      </c>
      <c r="H1738" s="35">
        <f t="shared" si="179"/>
        <v>0</v>
      </c>
      <c r="I1738" s="35">
        <f t="shared" si="179"/>
        <v>0</v>
      </c>
      <c r="J1738" s="35">
        <f t="shared" si="178"/>
        <v>0</v>
      </c>
      <c r="K1738" s="35">
        <f t="shared" si="178"/>
        <v>0</v>
      </c>
      <c r="L1738" s="35">
        <f t="shared" si="178"/>
        <v>0</v>
      </c>
      <c r="M1738" s="35">
        <f t="shared" si="182"/>
        <v>0</v>
      </c>
      <c r="S1738" t="s">
        <v>89</v>
      </c>
      <c r="T1738" s="5">
        <f>data_origin!T1994</f>
        <v>0</v>
      </c>
      <c r="U1738" s="5">
        <f>data_origin!U1994</f>
        <v>0</v>
      </c>
      <c r="V1738" s="5">
        <f>data_origin!V1994</f>
        <v>0</v>
      </c>
      <c r="W1738" s="5">
        <f>data_origin!W1994</f>
        <v>0</v>
      </c>
      <c r="X1738" s="5">
        <f>data_origin!X1994</f>
        <v>0</v>
      </c>
      <c r="Y1738" s="5">
        <f>data_origin!Y1994</f>
        <v>0</v>
      </c>
      <c r="Z1738" s="5">
        <f>data_origin!Z1994</f>
        <v>0</v>
      </c>
      <c r="AA1738" s="5">
        <f>data_origin!AA1994</f>
        <v>0</v>
      </c>
      <c r="AB1738" s="5">
        <f t="shared" si="180"/>
        <v>0</v>
      </c>
    </row>
    <row r="1739" spans="4:28" x14ac:dyDescent="0.25">
      <c r="D1739" t="s">
        <v>90</v>
      </c>
      <c r="E1739" s="35">
        <f t="shared" si="181"/>
        <v>0</v>
      </c>
      <c r="F1739" s="35">
        <f t="shared" si="181"/>
        <v>0</v>
      </c>
      <c r="G1739" s="35">
        <f t="shared" si="179"/>
        <v>0</v>
      </c>
      <c r="H1739" s="35">
        <f t="shared" si="179"/>
        <v>0</v>
      </c>
      <c r="I1739" s="35">
        <f t="shared" si="179"/>
        <v>0</v>
      </c>
      <c r="J1739" s="35">
        <f t="shared" si="178"/>
        <v>0</v>
      </c>
      <c r="K1739" s="35">
        <f t="shared" si="178"/>
        <v>0</v>
      </c>
      <c r="L1739" s="35">
        <f t="shared" si="178"/>
        <v>0</v>
      </c>
      <c r="M1739" s="35">
        <f t="shared" si="182"/>
        <v>0</v>
      </c>
      <c r="S1739" t="s">
        <v>90</v>
      </c>
      <c r="T1739" s="5">
        <f>data_origin!T1995</f>
        <v>0</v>
      </c>
      <c r="U1739" s="5">
        <f>data_origin!U1995</f>
        <v>0</v>
      </c>
      <c r="V1739" s="5">
        <f>data_origin!V1995</f>
        <v>0</v>
      </c>
      <c r="W1739" s="5">
        <f>data_origin!W1995</f>
        <v>0</v>
      </c>
      <c r="X1739" s="5">
        <f>data_origin!X1995</f>
        <v>0</v>
      </c>
      <c r="Y1739" s="5">
        <f>data_origin!Y1995</f>
        <v>0</v>
      </c>
      <c r="Z1739" s="5">
        <f>data_origin!Z1995</f>
        <v>0</v>
      </c>
      <c r="AA1739" s="5">
        <f>data_origin!AA1995</f>
        <v>0</v>
      </c>
      <c r="AB1739" s="5">
        <f t="shared" si="180"/>
        <v>0</v>
      </c>
    </row>
    <row r="1740" spans="4:28" x14ac:dyDescent="0.25">
      <c r="D1740" t="s">
        <v>91</v>
      </c>
      <c r="E1740" s="35">
        <f t="shared" si="181"/>
        <v>0</v>
      </c>
      <c r="F1740" s="35">
        <f t="shared" si="181"/>
        <v>0</v>
      </c>
      <c r="G1740" s="35">
        <f t="shared" si="179"/>
        <v>0</v>
      </c>
      <c r="H1740" s="35">
        <f t="shared" si="179"/>
        <v>0</v>
      </c>
      <c r="I1740" s="35">
        <f t="shared" si="179"/>
        <v>0</v>
      </c>
      <c r="J1740" s="35">
        <f t="shared" si="178"/>
        <v>0</v>
      </c>
      <c r="K1740" s="35">
        <f t="shared" si="178"/>
        <v>0</v>
      </c>
      <c r="L1740" s="35">
        <f t="shared" si="178"/>
        <v>0</v>
      </c>
      <c r="M1740" s="35">
        <f t="shared" si="182"/>
        <v>0</v>
      </c>
      <c r="S1740" t="s">
        <v>91</v>
      </c>
      <c r="T1740" s="5">
        <f>data_origin!T1996</f>
        <v>0</v>
      </c>
      <c r="U1740" s="5">
        <f>data_origin!U1996</f>
        <v>0</v>
      </c>
      <c r="V1740" s="5">
        <f>data_origin!V1996</f>
        <v>0</v>
      </c>
      <c r="W1740" s="5">
        <f>data_origin!W1996</f>
        <v>0</v>
      </c>
      <c r="X1740" s="5">
        <f>data_origin!X1996</f>
        <v>0</v>
      </c>
      <c r="Y1740" s="5">
        <f>data_origin!Y1996</f>
        <v>0</v>
      </c>
      <c r="Z1740" s="5">
        <f>data_origin!Z1996</f>
        <v>0</v>
      </c>
      <c r="AA1740" s="5">
        <f>data_origin!AA1996</f>
        <v>0</v>
      </c>
      <c r="AB1740" s="5">
        <f t="shared" si="180"/>
        <v>0</v>
      </c>
    </row>
    <row r="1741" spans="4:28" x14ac:dyDescent="0.25">
      <c r="D1741" t="s">
        <v>92</v>
      </c>
      <c r="E1741" s="35">
        <f t="shared" si="181"/>
        <v>0</v>
      </c>
      <c r="F1741" s="35">
        <f t="shared" si="181"/>
        <v>0</v>
      </c>
      <c r="G1741" s="35">
        <f t="shared" si="179"/>
        <v>0</v>
      </c>
      <c r="H1741" s="35">
        <f t="shared" si="179"/>
        <v>0</v>
      </c>
      <c r="I1741" s="35">
        <f t="shared" si="179"/>
        <v>0</v>
      </c>
      <c r="J1741" s="35">
        <f t="shared" si="178"/>
        <v>0</v>
      </c>
      <c r="K1741" s="35">
        <f t="shared" si="178"/>
        <v>0</v>
      </c>
      <c r="L1741" s="35">
        <f t="shared" si="178"/>
        <v>0</v>
      </c>
      <c r="M1741" s="35">
        <f t="shared" si="182"/>
        <v>0</v>
      </c>
      <c r="S1741" t="s">
        <v>92</v>
      </c>
      <c r="T1741" s="5">
        <f>data_origin!T1997</f>
        <v>0</v>
      </c>
      <c r="U1741" s="5">
        <f>data_origin!U1997</f>
        <v>0</v>
      </c>
      <c r="V1741" s="5">
        <f>data_origin!V1997</f>
        <v>0</v>
      </c>
      <c r="W1741" s="5">
        <f>data_origin!W1997</f>
        <v>0</v>
      </c>
      <c r="X1741" s="5">
        <f>data_origin!X1997</f>
        <v>0</v>
      </c>
      <c r="Y1741" s="5">
        <f>data_origin!Y1997</f>
        <v>0</v>
      </c>
      <c r="Z1741" s="5">
        <f>data_origin!Z1997</f>
        <v>0</v>
      </c>
      <c r="AA1741" s="5">
        <f>data_origin!AA1997</f>
        <v>0</v>
      </c>
      <c r="AB1741" s="5">
        <f t="shared" si="180"/>
        <v>0</v>
      </c>
    </row>
    <row r="1742" spans="4:28" x14ac:dyDescent="0.25">
      <c r="D1742" t="s">
        <v>93</v>
      </c>
      <c r="E1742" s="35">
        <f t="shared" si="181"/>
        <v>0</v>
      </c>
      <c r="F1742" s="35">
        <f t="shared" si="181"/>
        <v>0</v>
      </c>
      <c r="G1742" s="35">
        <f t="shared" si="179"/>
        <v>0</v>
      </c>
      <c r="H1742" s="35">
        <f t="shared" si="179"/>
        <v>0</v>
      </c>
      <c r="I1742" s="35">
        <f t="shared" si="179"/>
        <v>0</v>
      </c>
      <c r="J1742" s="35">
        <f t="shared" si="178"/>
        <v>0</v>
      </c>
      <c r="K1742" s="35">
        <f t="shared" si="178"/>
        <v>0</v>
      </c>
      <c r="L1742" s="35">
        <f t="shared" si="178"/>
        <v>0</v>
      </c>
      <c r="M1742" s="35">
        <f t="shared" si="182"/>
        <v>0</v>
      </c>
      <c r="S1742" t="s">
        <v>93</v>
      </c>
      <c r="T1742" s="5">
        <f>data_origin!T1998</f>
        <v>0</v>
      </c>
      <c r="U1742" s="5">
        <f>data_origin!U1998</f>
        <v>0</v>
      </c>
      <c r="V1742" s="5">
        <f>data_origin!V1998</f>
        <v>0</v>
      </c>
      <c r="W1742" s="5">
        <f>data_origin!W1998</f>
        <v>0</v>
      </c>
      <c r="X1742" s="5">
        <f>data_origin!X1998</f>
        <v>0</v>
      </c>
      <c r="Y1742" s="5">
        <f>data_origin!Y1998</f>
        <v>0</v>
      </c>
      <c r="Z1742" s="5">
        <f>data_origin!Z1998</f>
        <v>0</v>
      </c>
      <c r="AA1742" s="5">
        <f>data_origin!AA1998</f>
        <v>0</v>
      </c>
      <c r="AB1742" s="5">
        <f t="shared" si="180"/>
        <v>0</v>
      </c>
    </row>
    <row r="1743" spans="4:28" x14ac:dyDescent="0.25">
      <c r="D1743" t="s">
        <v>94</v>
      </c>
      <c r="E1743" s="35">
        <f t="shared" si="181"/>
        <v>0</v>
      </c>
      <c r="F1743" s="35">
        <f t="shared" si="181"/>
        <v>0</v>
      </c>
      <c r="G1743" s="35">
        <f t="shared" si="179"/>
        <v>0</v>
      </c>
      <c r="H1743" s="35">
        <f t="shared" si="179"/>
        <v>0</v>
      </c>
      <c r="I1743" s="35">
        <f t="shared" si="179"/>
        <v>0</v>
      </c>
      <c r="J1743" s="35">
        <f t="shared" si="178"/>
        <v>0</v>
      </c>
      <c r="K1743" s="35">
        <f t="shared" si="178"/>
        <v>0</v>
      </c>
      <c r="L1743" s="35">
        <f t="shared" si="178"/>
        <v>0</v>
      </c>
      <c r="M1743" s="35">
        <f t="shared" si="182"/>
        <v>0</v>
      </c>
      <c r="S1743" t="s">
        <v>94</v>
      </c>
      <c r="T1743" s="5">
        <f>data_origin!T1999</f>
        <v>0</v>
      </c>
      <c r="U1743" s="5">
        <f>data_origin!U1999</f>
        <v>0</v>
      </c>
      <c r="V1743" s="5">
        <f>data_origin!V1999</f>
        <v>0</v>
      </c>
      <c r="W1743" s="5">
        <f>data_origin!W1999</f>
        <v>0</v>
      </c>
      <c r="X1743" s="5">
        <f>data_origin!X1999</f>
        <v>0</v>
      </c>
      <c r="Y1743" s="5">
        <f>data_origin!Y1999</f>
        <v>0</v>
      </c>
      <c r="Z1743" s="5">
        <f>data_origin!Z1999</f>
        <v>0</v>
      </c>
      <c r="AA1743" s="5">
        <f>data_origin!AA1999</f>
        <v>0</v>
      </c>
      <c r="AB1743" s="5">
        <f t="shared" si="180"/>
        <v>0</v>
      </c>
    </row>
    <row r="1744" spans="4:28" x14ac:dyDescent="0.25">
      <c r="D1744" t="s">
        <v>95</v>
      </c>
      <c r="E1744" s="35">
        <f t="shared" si="181"/>
        <v>0</v>
      </c>
      <c r="F1744" s="35">
        <f t="shared" si="181"/>
        <v>0</v>
      </c>
      <c r="G1744" s="35">
        <f t="shared" si="179"/>
        <v>0</v>
      </c>
      <c r="H1744" s="35">
        <f t="shared" si="179"/>
        <v>0</v>
      </c>
      <c r="I1744" s="35">
        <f t="shared" si="179"/>
        <v>0</v>
      </c>
      <c r="J1744" s="35">
        <f t="shared" si="178"/>
        <v>0</v>
      </c>
      <c r="K1744" s="35">
        <f t="shared" si="178"/>
        <v>0</v>
      </c>
      <c r="L1744" s="35">
        <f t="shared" si="178"/>
        <v>0</v>
      </c>
      <c r="M1744" s="35">
        <f t="shared" si="182"/>
        <v>0</v>
      </c>
      <c r="S1744" t="s">
        <v>95</v>
      </c>
      <c r="T1744" s="5">
        <f>data_origin!T2000</f>
        <v>0</v>
      </c>
      <c r="U1744" s="5">
        <f>data_origin!U2000</f>
        <v>0</v>
      </c>
      <c r="V1744" s="5">
        <f>data_origin!V2000</f>
        <v>0</v>
      </c>
      <c r="W1744" s="5">
        <f>data_origin!W2000</f>
        <v>0</v>
      </c>
      <c r="X1744" s="5">
        <f>data_origin!X2000</f>
        <v>0</v>
      </c>
      <c r="Y1744" s="5">
        <f>data_origin!Y2000</f>
        <v>0</v>
      </c>
      <c r="Z1744" s="5">
        <f>data_origin!Z2000</f>
        <v>0</v>
      </c>
      <c r="AA1744" s="5">
        <f>data_origin!AA2000</f>
        <v>0</v>
      </c>
      <c r="AB1744" s="5">
        <f t="shared" si="180"/>
        <v>0</v>
      </c>
    </row>
    <row r="1745" spans="1:28" x14ac:dyDescent="0.25">
      <c r="D1745" t="s">
        <v>96</v>
      </c>
      <c r="E1745" s="35">
        <f t="shared" si="181"/>
        <v>0</v>
      </c>
      <c r="F1745" s="35">
        <f t="shared" si="181"/>
        <v>0</v>
      </c>
      <c r="G1745" s="35">
        <f t="shared" si="179"/>
        <v>0</v>
      </c>
      <c r="H1745" s="35">
        <f t="shared" si="179"/>
        <v>0</v>
      </c>
      <c r="I1745" s="35">
        <f t="shared" si="179"/>
        <v>0</v>
      </c>
      <c r="J1745" s="35">
        <f t="shared" si="178"/>
        <v>0</v>
      </c>
      <c r="K1745" s="35">
        <f t="shared" si="178"/>
        <v>0</v>
      </c>
      <c r="L1745" s="35">
        <f t="shared" si="178"/>
        <v>0</v>
      </c>
      <c r="M1745" s="35">
        <f t="shared" si="182"/>
        <v>0</v>
      </c>
      <c r="S1745" t="s">
        <v>96</v>
      </c>
      <c r="T1745" s="5">
        <f>data_origin!T2001</f>
        <v>0</v>
      </c>
      <c r="U1745" s="5">
        <f>data_origin!U2001</f>
        <v>0</v>
      </c>
      <c r="V1745" s="5">
        <f>data_origin!V2001</f>
        <v>0</v>
      </c>
      <c r="W1745" s="5">
        <f>data_origin!W2001</f>
        <v>0</v>
      </c>
      <c r="X1745" s="5">
        <f>data_origin!X2001</f>
        <v>0</v>
      </c>
      <c r="Y1745" s="5">
        <f>data_origin!Y2001</f>
        <v>0</v>
      </c>
      <c r="Z1745" s="5">
        <f>data_origin!Z2001</f>
        <v>0</v>
      </c>
      <c r="AA1745" s="5">
        <f>data_origin!AA2001</f>
        <v>0</v>
      </c>
      <c r="AB1745" s="5">
        <f t="shared" si="180"/>
        <v>0</v>
      </c>
    </row>
    <row r="1746" spans="1:28" x14ac:dyDescent="0.25">
      <c r="D1746" t="s">
        <v>97</v>
      </c>
      <c r="E1746" s="35">
        <f t="shared" si="181"/>
        <v>0</v>
      </c>
      <c r="F1746" s="35">
        <f t="shared" si="181"/>
        <v>0</v>
      </c>
      <c r="G1746" s="35">
        <f t="shared" si="179"/>
        <v>0</v>
      </c>
      <c r="H1746" s="35">
        <f t="shared" si="179"/>
        <v>0</v>
      </c>
      <c r="I1746" s="35">
        <f t="shared" si="179"/>
        <v>0</v>
      </c>
      <c r="J1746" s="35">
        <f t="shared" si="178"/>
        <v>0</v>
      </c>
      <c r="K1746" s="35">
        <f t="shared" si="178"/>
        <v>0</v>
      </c>
      <c r="L1746" s="35">
        <f t="shared" si="178"/>
        <v>0</v>
      </c>
      <c r="M1746" s="35">
        <f t="shared" si="182"/>
        <v>0</v>
      </c>
      <c r="S1746" t="s">
        <v>97</v>
      </c>
      <c r="T1746" s="5">
        <f>data_origin!T2002</f>
        <v>0</v>
      </c>
      <c r="U1746" s="5">
        <f>data_origin!U2002</f>
        <v>0</v>
      </c>
      <c r="V1746" s="5">
        <f>data_origin!V2002</f>
        <v>0</v>
      </c>
      <c r="W1746" s="5">
        <f>data_origin!W2002</f>
        <v>0</v>
      </c>
      <c r="X1746" s="5">
        <f>data_origin!X2002</f>
        <v>0</v>
      </c>
      <c r="Y1746" s="5">
        <f>data_origin!Y2002</f>
        <v>0</v>
      </c>
      <c r="Z1746" s="5">
        <f>data_origin!Z2002</f>
        <v>0</v>
      </c>
      <c r="AA1746" s="5">
        <f>data_origin!AA2002</f>
        <v>0</v>
      </c>
      <c r="AB1746" s="5">
        <f t="shared" si="180"/>
        <v>0</v>
      </c>
    </row>
    <row r="1747" spans="1:28" x14ac:dyDescent="0.25">
      <c r="D1747" t="s">
        <v>98</v>
      </c>
      <c r="E1747" s="35">
        <f t="shared" si="181"/>
        <v>0</v>
      </c>
      <c r="F1747" s="35">
        <f t="shared" si="181"/>
        <v>0</v>
      </c>
      <c r="G1747" s="35">
        <f t="shared" si="179"/>
        <v>0</v>
      </c>
      <c r="H1747" s="35">
        <f t="shared" si="179"/>
        <v>0</v>
      </c>
      <c r="I1747" s="35">
        <f t="shared" si="179"/>
        <v>0</v>
      </c>
      <c r="J1747" s="35">
        <f t="shared" si="178"/>
        <v>0</v>
      </c>
      <c r="K1747" s="35">
        <f t="shared" si="178"/>
        <v>0</v>
      </c>
      <c r="L1747" s="35">
        <f t="shared" si="178"/>
        <v>0</v>
      </c>
      <c r="M1747" s="35">
        <f t="shared" si="182"/>
        <v>0</v>
      </c>
      <c r="S1747" t="s">
        <v>98</v>
      </c>
      <c r="T1747" s="5">
        <f>data_origin!T2003</f>
        <v>0</v>
      </c>
      <c r="U1747" s="5">
        <f>data_origin!U2003</f>
        <v>0</v>
      </c>
      <c r="V1747" s="5">
        <f>data_origin!V2003</f>
        <v>0</v>
      </c>
      <c r="W1747" s="5">
        <f>data_origin!W2003</f>
        <v>0</v>
      </c>
      <c r="X1747" s="5">
        <f>data_origin!X2003</f>
        <v>0</v>
      </c>
      <c r="Y1747" s="5">
        <f>data_origin!Y2003</f>
        <v>0</v>
      </c>
      <c r="Z1747" s="5">
        <f>data_origin!Z2003</f>
        <v>0</v>
      </c>
      <c r="AA1747" s="5">
        <f>data_origin!AA2003</f>
        <v>0</v>
      </c>
      <c r="AB1747" s="5">
        <f t="shared" si="180"/>
        <v>0</v>
      </c>
    </row>
    <row r="1748" spans="1:28" x14ac:dyDescent="0.25">
      <c r="D1748" t="s">
        <v>119</v>
      </c>
      <c r="E1748" s="35">
        <f t="shared" si="181"/>
        <v>0</v>
      </c>
      <c r="F1748" s="35">
        <f t="shared" si="181"/>
        <v>0</v>
      </c>
      <c r="G1748" s="35">
        <f t="shared" si="179"/>
        <v>0</v>
      </c>
      <c r="H1748" s="35">
        <f t="shared" si="179"/>
        <v>0</v>
      </c>
      <c r="I1748" s="35">
        <f t="shared" si="179"/>
        <v>0</v>
      </c>
      <c r="J1748" s="35">
        <f t="shared" si="178"/>
        <v>0</v>
      </c>
      <c r="K1748" s="35">
        <f t="shared" si="178"/>
        <v>0</v>
      </c>
      <c r="L1748" s="35">
        <f t="shared" si="178"/>
        <v>0</v>
      </c>
      <c r="M1748" s="35">
        <f t="shared" si="182"/>
        <v>0</v>
      </c>
      <c r="S1748" t="s">
        <v>119</v>
      </c>
      <c r="T1748" s="5">
        <f>data_origin!T2004</f>
        <v>0</v>
      </c>
      <c r="U1748" s="5">
        <f>data_origin!U2004</f>
        <v>0</v>
      </c>
      <c r="V1748" s="5">
        <f>data_origin!V2004</f>
        <v>0</v>
      </c>
      <c r="W1748" s="5">
        <f>data_origin!W2004</f>
        <v>0</v>
      </c>
      <c r="X1748" s="5">
        <f>data_origin!X2004</f>
        <v>0</v>
      </c>
      <c r="Y1748" s="5">
        <f>data_origin!Y2004</f>
        <v>0</v>
      </c>
      <c r="Z1748" s="5">
        <f>data_origin!Z2004</f>
        <v>0</v>
      </c>
      <c r="AA1748" s="5">
        <f>data_origin!AA2004</f>
        <v>0</v>
      </c>
      <c r="AB1748" s="5">
        <f t="shared" si="180"/>
        <v>0</v>
      </c>
    </row>
    <row r="1749" spans="1:28" x14ac:dyDescent="0.25">
      <c r="D1749" t="s">
        <v>99</v>
      </c>
      <c r="E1749" s="35">
        <f t="shared" si="181"/>
        <v>0</v>
      </c>
      <c r="F1749" s="35">
        <f t="shared" si="181"/>
        <v>0</v>
      </c>
      <c r="G1749" s="35">
        <f t="shared" si="179"/>
        <v>0</v>
      </c>
      <c r="H1749" s="35">
        <f t="shared" si="179"/>
        <v>0</v>
      </c>
      <c r="I1749" s="35">
        <f t="shared" si="179"/>
        <v>0</v>
      </c>
      <c r="J1749" s="35">
        <f t="shared" si="178"/>
        <v>0</v>
      </c>
      <c r="K1749" s="35">
        <f t="shared" si="178"/>
        <v>0</v>
      </c>
      <c r="L1749" s="35">
        <f t="shared" si="178"/>
        <v>0</v>
      </c>
      <c r="M1749" s="35">
        <f t="shared" si="182"/>
        <v>0</v>
      </c>
      <c r="S1749" t="s">
        <v>99</v>
      </c>
      <c r="T1749" s="5">
        <f>data_origin!T2005</f>
        <v>0</v>
      </c>
      <c r="U1749" s="5">
        <f>data_origin!U2005</f>
        <v>0</v>
      </c>
      <c r="V1749" s="5">
        <f>data_origin!V2005</f>
        <v>0</v>
      </c>
      <c r="W1749" s="5">
        <f>data_origin!W2005</f>
        <v>0</v>
      </c>
      <c r="X1749" s="5">
        <f>data_origin!X2005</f>
        <v>0</v>
      </c>
      <c r="Y1749" s="5">
        <f>data_origin!Y2005</f>
        <v>0</v>
      </c>
      <c r="Z1749" s="5">
        <f>data_origin!Z2005</f>
        <v>0</v>
      </c>
      <c r="AA1749" s="5">
        <f>data_origin!AA2005</f>
        <v>0</v>
      </c>
      <c r="AB1749" s="5">
        <f t="shared" si="180"/>
        <v>0</v>
      </c>
    </row>
    <row r="1750" spans="1:28" x14ac:dyDescent="0.25">
      <c r="D1750" t="s">
        <v>100</v>
      </c>
      <c r="E1750" s="35">
        <f t="shared" si="181"/>
        <v>0</v>
      </c>
      <c r="F1750" s="35">
        <f t="shared" si="181"/>
        <v>0</v>
      </c>
      <c r="G1750" s="35">
        <f t="shared" si="179"/>
        <v>0</v>
      </c>
      <c r="H1750" s="35">
        <f t="shared" si="179"/>
        <v>0</v>
      </c>
      <c r="I1750" s="35">
        <f t="shared" si="179"/>
        <v>1.001563721657545</v>
      </c>
      <c r="J1750" s="35">
        <f t="shared" si="178"/>
        <v>0</v>
      </c>
      <c r="K1750" s="35">
        <f t="shared" si="178"/>
        <v>0</v>
      </c>
      <c r="L1750" s="35">
        <f t="shared" si="178"/>
        <v>0</v>
      </c>
      <c r="M1750" s="35">
        <f t="shared" si="182"/>
        <v>1.001563721657545</v>
      </c>
      <c r="S1750" t="s">
        <v>100</v>
      </c>
      <c r="T1750" s="5">
        <f>data_origin!T2006</f>
        <v>0</v>
      </c>
      <c r="U1750" s="5">
        <f>data_origin!U2006</f>
        <v>0</v>
      </c>
      <c r="V1750" s="5">
        <f>data_origin!V2006</f>
        <v>0</v>
      </c>
      <c r="W1750" s="5">
        <f>data_origin!W2006</f>
        <v>0</v>
      </c>
      <c r="X1750" s="5">
        <f>data_origin!X2006</f>
        <v>1</v>
      </c>
      <c r="Y1750" s="5">
        <f>data_origin!Y2006</f>
        <v>0</v>
      </c>
      <c r="Z1750" s="5">
        <f>data_origin!Z2006</f>
        <v>0</v>
      </c>
      <c r="AA1750" s="5">
        <f>data_origin!AA2006</f>
        <v>0</v>
      </c>
      <c r="AB1750" s="5">
        <f t="shared" si="180"/>
        <v>1</v>
      </c>
    </row>
    <row r="1751" spans="1:28" x14ac:dyDescent="0.25">
      <c r="D1751" t="s">
        <v>101</v>
      </c>
      <c r="E1751" s="35">
        <f t="shared" si="181"/>
        <v>0</v>
      </c>
      <c r="F1751" s="35">
        <f t="shared" si="181"/>
        <v>0</v>
      </c>
      <c r="G1751" s="35">
        <f t="shared" si="179"/>
        <v>0</v>
      </c>
      <c r="H1751" s="35">
        <f t="shared" si="179"/>
        <v>0</v>
      </c>
      <c r="I1751" s="35">
        <f t="shared" si="179"/>
        <v>0</v>
      </c>
      <c r="J1751" s="35">
        <f t="shared" si="178"/>
        <v>0</v>
      </c>
      <c r="K1751" s="35">
        <f t="shared" si="178"/>
        <v>0</v>
      </c>
      <c r="L1751" s="35">
        <f t="shared" si="178"/>
        <v>0</v>
      </c>
      <c r="M1751" s="35">
        <f t="shared" si="182"/>
        <v>0</v>
      </c>
      <c r="S1751" t="s">
        <v>101</v>
      </c>
      <c r="T1751" s="5">
        <f>data_origin!T2007</f>
        <v>0</v>
      </c>
      <c r="U1751" s="5">
        <f>data_origin!U2007</f>
        <v>0</v>
      </c>
      <c r="V1751" s="5">
        <f>data_origin!V2007</f>
        <v>0</v>
      </c>
      <c r="W1751" s="5">
        <f>data_origin!W2007</f>
        <v>0</v>
      </c>
      <c r="X1751" s="5">
        <f>data_origin!X2007</f>
        <v>0</v>
      </c>
      <c r="Y1751" s="5">
        <f>data_origin!Y2007</f>
        <v>0</v>
      </c>
      <c r="Z1751" s="5">
        <f>data_origin!Z2007</f>
        <v>0</v>
      </c>
      <c r="AA1751" s="5">
        <f>data_origin!AA2007</f>
        <v>0</v>
      </c>
      <c r="AB1751" s="5">
        <f t="shared" si="180"/>
        <v>0</v>
      </c>
    </row>
    <row r="1752" spans="1:28" x14ac:dyDescent="0.25">
      <c r="A1752" s="24" t="s">
        <v>115</v>
      </c>
      <c r="B1752" s="24" t="s">
        <v>117</v>
      </c>
      <c r="C1752" s="24" t="s">
        <v>108</v>
      </c>
      <c r="D1752" t="s">
        <v>70</v>
      </c>
      <c r="E1752" s="35">
        <f t="shared" si="181"/>
        <v>0</v>
      </c>
      <c r="F1752" s="35">
        <f t="shared" si="181"/>
        <v>0</v>
      </c>
      <c r="G1752" s="35">
        <f t="shared" si="179"/>
        <v>0</v>
      </c>
      <c r="H1752" s="35">
        <f t="shared" si="179"/>
        <v>0</v>
      </c>
      <c r="I1752" s="35">
        <f t="shared" si="179"/>
        <v>0</v>
      </c>
      <c r="J1752" s="35">
        <f t="shared" si="178"/>
        <v>0</v>
      </c>
      <c r="K1752" s="35">
        <f t="shared" si="178"/>
        <v>0</v>
      </c>
      <c r="L1752" s="35">
        <f t="shared" si="178"/>
        <v>0</v>
      </c>
      <c r="M1752" s="35">
        <f t="shared" si="182"/>
        <v>0</v>
      </c>
      <c r="P1752" t="s">
        <v>115</v>
      </c>
      <c r="Q1752" t="s">
        <v>117</v>
      </c>
      <c r="R1752" t="s">
        <v>108</v>
      </c>
      <c r="S1752" t="s">
        <v>70</v>
      </c>
      <c r="T1752" s="5">
        <f>data_origin!T2009</f>
        <v>0</v>
      </c>
      <c r="U1752" s="5">
        <f>data_origin!U2009</f>
        <v>0</v>
      </c>
      <c r="V1752" s="5">
        <f>data_origin!V2009</f>
        <v>0</v>
      </c>
      <c r="W1752" s="5">
        <f>data_origin!W2009</f>
        <v>0</v>
      </c>
      <c r="X1752" s="5">
        <f>data_origin!X2009</f>
        <v>0</v>
      </c>
      <c r="Y1752" s="5">
        <f>data_origin!Y2009</f>
        <v>0</v>
      </c>
      <c r="Z1752" s="5">
        <f>data_origin!Z2009</f>
        <v>0</v>
      </c>
      <c r="AA1752" s="5">
        <f>data_origin!AA2009</f>
        <v>0</v>
      </c>
      <c r="AB1752" s="5">
        <f t="shared" si="180"/>
        <v>0</v>
      </c>
    </row>
    <row r="1753" spans="1:28" x14ac:dyDescent="0.25">
      <c r="D1753" t="s">
        <v>71</v>
      </c>
      <c r="E1753" s="35">
        <f t="shared" si="181"/>
        <v>0</v>
      </c>
      <c r="F1753" s="35">
        <f t="shared" si="181"/>
        <v>0</v>
      </c>
      <c r="G1753" s="35">
        <f t="shared" si="179"/>
        <v>0</v>
      </c>
      <c r="H1753" s="35">
        <f t="shared" si="179"/>
        <v>0</v>
      </c>
      <c r="I1753" s="35">
        <f t="shared" si="179"/>
        <v>0</v>
      </c>
      <c r="J1753" s="35">
        <f t="shared" si="178"/>
        <v>0</v>
      </c>
      <c r="K1753" s="35">
        <f t="shared" si="178"/>
        <v>0</v>
      </c>
      <c r="L1753" s="35">
        <f t="shared" si="178"/>
        <v>0</v>
      </c>
      <c r="M1753" s="35">
        <f t="shared" si="182"/>
        <v>0</v>
      </c>
      <c r="S1753" t="s">
        <v>71</v>
      </c>
      <c r="T1753" s="5">
        <f>data_origin!T2010</f>
        <v>0</v>
      </c>
      <c r="U1753" s="5">
        <f>data_origin!U2010</f>
        <v>0</v>
      </c>
      <c r="V1753" s="5">
        <f>data_origin!V2010</f>
        <v>0</v>
      </c>
      <c r="W1753" s="5">
        <f>data_origin!W2010</f>
        <v>0</v>
      </c>
      <c r="X1753" s="5">
        <f>data_origin!X2010</f>
        <v>0</v>
      </c>
      <c r="Y1753" s="5">
        <f>data_origin!Y2010</f>
        <v>0</v>
      </c>
      <c r="Z1753" s="5">
        <f>data_origin!Z2010</f>
        <v>0</v>
      </c>
      <c r="AA1753" s="5">
        <f>data_origin!AA2010</f>
        <v>0</v>
      </c>
      <c r="AB1753" s="5">
        <f t="shared" si="180"/>
        <v>0</v>
      </c>
    </row>
    <row r="1754" spans="1:28" x14ac:dyDescent="0.25">
      <c r="D1754" t="s">
        <v>72</v>
      </c>
      <c r="E1754" s="35">
        <f t="shared" si="181"/>
        <v>0</v>
      </c>
      <c r="F1754" s="35">
        <f t="shared" si="181"/>
        <v>0</v>
      </c>
      <c r="G1754" s="35">
        <f t="shared" si="179"/>
        <v>0</v>
      </c>
      <c r="H1754" s="35">
        <f t="shared" si="179"/>
        <v>0</v>
      </c>
      <c r="I1754" s="35">
        <f t="shared" si="179"/>
        <v>0</v>
      </c>
      <c r="J1754" s="35">
        <f t="shared" si="178"/>
        <v>0</v>
      </c>
      <c r="K1754" s="35">
        <f t="shared" si="178"/>
        <v>0</v>
      </c>
      <c r="L1754" s="35">
        <f t="shared" si="178"/>
        <v>0</v>
      </c>
      <c r="M1754" s="35">
        <f t="shared" si="182"/>
        <v>0</v>
      </c>
      <c r="S1754" t="s">
        <v>72</v>
      </c>
      <c r="T1754" s="5">
        <f>data_origin!T2011</f>
        <v>0</v>
      </c>
      <c r="U1754" s="5">
        <f>data_origin!U2011</f>
        <v>0</v>
      </c>
      <c r="V1754" s="5">
        <f>data_origin!V2011</f>
        <v>0</v>
      </c>
      <c r="W1754" s="5">
        <f>data_origin!W2011</f>
        <v>0</v>
      </c>
      <c r="X1754" s="5">
        <f>data_origin!X2011</f>
        <v>0</v>
      </c>
      <c r="Y1754" s="5">
        <f>data_origin!Y2011</f>
        <v>0</v>
      </c>
      <c r="Z1754" s="5">
        <f>data_origin!Z2011</f>
        <v>0</v>
      </c>
      <c r="AA1754" s="5">
        <f>data_origin!AA2011</f>
        <v>0</v>
      </c>
      <c r="AB1754" s="5">
        <f t="shared" si="180"/>
        <v>0</v>
      </c>
    </row>
    <row r="1755" spans="1:28" x14ac:dyDescent="0.25">
      <c r="D1755" t="s">
        <v>73</v>
      </c>
      <c r="E1755" s="35">
        <f t="shared" si="181"/>
        <v>0</v>
      </c>
      <c r="F1755" s="35">
        <f t="shared" si="181"/>
        <v>0</v>
      </c>
      <c r="G1755" s="35">
        <f t="shared" si="179"/>
        <v>0</v>
      </c>
      <c r="H1755" s="35">
        <f t="shared" si="179"/>
        <v>0</v>
      </c>
      <c r="I1755" s="35">
        <f t="shared" si="179"/>
        <v>0</v>
      </c>
      <c r="J1755" s="35">
        <f t="shared" si="178"/>
        <v>0</v>
      </c>
      <c r="K1755" s="35">
        <f t="shared" si="178"/>
        <v>0</v>
      </c>
      <c r="L1755" s="35">
        <f t="shared" si="178"/>
        <v>0</v>
      </c>
      <c r="M1755" s="35">
        <f t="shared" si="182"/>
        <v>0</v>
      </c>
      <c r="S1755" t="s">
        <v>73</v>
      </c>
      <c r="T1755" s="5">
        <f>data_origin!T2012</f>
        <v>0</v>
      </c>
      <c r="U1755" s="5">
        <f>data_origin!U2012</f>
        <v>0</v>
      </c>
      <c r="V1755" s="5">
        <f>data_origin!V2012</f>
        <v>0</v>
      </c>
      <c r="W1755" s="5">
        <f>data_origin!W2012</f>
        <v>0</v>
      </c>
      <c r="X1755" s="5">
        <f>data_origin!X2012</f>
        <v>0</v>
      </c>
      <c r="Y1755" s="5">
        <f>data_origin!Y2012</f>
        <v>0</v>
      </c>
      <c r="Z1755" s="5">
        <f>data_origin!Z2012</f>
        <v>0</v>
      </c>
      <c r="AA1755" s="5">
        <f>data_origin!AA2012</f>
        <v>0</v>
      </c>
      <c r="AB1755" s="5">
        <f t="shared" si="180"/>
        <v>0</v>
      </c>
    </row>
    <row r="1756" spans="1:28" x14ac:dyDescent="0.25">
      <c r="D1756" t="s">
        <v>74</v>
      </c>
      <c r="E1756" s="35">
        <f t="shared" si="181"/>
        <v>0</v>
      </c>
      <c r="F1756" s="35">
        <f t="shared" si="181"/>
        <v>0</v>
      </c>
      <c r="G1756" s="35">
        <f t="shared" si="179"/>
        <v>0</v>
      </c>
      <c r="H1756" s="35">
        <f t="shared" si="179"/>
        <v>0</v>
      </c>
      <c r="I1756" s="35">
        <f t="shared" si="179"/>
        <v>0</v>
      </c>
      <c r="J1756" s="35">
        <f t="shared" si="178"/>
        <v>0</v>
      </c>
      <c r="K1756" s="35">
        <f t="shared" si="178"/>
        <v>0</v>
      </c>
      <c r="L1756" s="35">
        <f t="shared" si="178"/>
        <v>0</v>
      </c>
      <c r="M1756" s="35">
        <f t="shared" si="182"/>
        <v>0</v>
      </c>
      <c r="S1756" t="s">
        <v>74</v>
      </c>
      <c r="T1756" s="5">
        <f>data_origin!T2013</f>
        <v>0</v>
      </c>
      <c r="U1756" s="5">
        <f>data_origin!U2013</f>
        <v>0</v>
      </c>
      <c r="V1756" s="5">
        <f>data_origin!V2013</f>
        <v>0</v>
      </c>
      <c r="W1756" s="5">
        <f>data_origin!W2013</f>
        <v>0</v>
      </c>
      <c r="X1756" s="5">
        <f>data_origin!X2013</f>
        <v>0</v>
      </c>
      <c r="Y1756" s="5">
        <f>data_origin!Y2013</f>
        <v>0</v>
      </c>
      <c r="Z1756" s="5">
        <f>data_origin!Z2013</f>
        <v>0</v>
      </c>
      <c r="AA1756" s="5">
        <f>data_origin!AA2013</f>
        <v>0</v>
      </c>
      <c r="AB1756" s="5">
        <f t="shared" si="180"/>
        <v>0</v>
      </c>
    </row>
    <row r="1757" spans="1:28" x14ac:dyDescent="0.25">
      <c r="D1757" t="s">
        <v>75</v>
      </c>
      <c r="E1757" s="35">
        <f t="shared" si="181"/>
        <v>0</v>
      </c>
      <c r="F1757" s="35">
        <f t="shared" si="181"/>
        <v>0</v>
      </c>
      <c r="G1757" s="35">
        <f t="shared" si="179"/>
        <v>0</v>
      </c>
      <c r="H1757" s="35">
        <f t="shared" si="179"/>
        <v>0</v>
      </c>
      <c r="I1757" s="35">
        <f t="shared" si="179"/>
        <v>0</v>
      </c>
      <c r="J1757" s="35">
        <f t="shared" si="178"/>
        <v>0</v>
      </c>
      <c r="K1757" s="35">
        <f t="shared" si="178"/>
        <v>0</v>
      </c>
      <c r="L1757" s="35">
        <f t="shared" si="178"/>
        <v>0</v>
      </c>
      <c r="M1757" s="35">
        <f t="shared" si="182"/>
        <v>0</v>
      </c>
      <c r="S1757" t="s">
        <v>75</v>
      </c>
      <c r="T1757" s="5">
        <f>data_origin!T2014</f>
        <v>0</v>
      </c>
      <c r="U1757" s="5">
        <f>data_origin!U2014</f>
        <v>0</v>
      </c>
      <c r="V1757" s="5">
        <f>data_origin!V2014</f>
        <v>0</v>
      </c>
      <c r="W1757" s="5">
        <f>data_origin!W2014</f>
        <v>0</v>
      </c>
      <c r="X1757" s="5">
        <f>data_origin!X2014</f>
        <v>0</v>
      </c>
      <c r="Y1757" s="5">
        <f>data_origin!Y2014</f>
        <v>0</v>
      </c>
      <c r="Z1757" s="5">
        <f>data_origin!Z2014</f>
        <v>0</v>
      </c>
      <c r="AA1757" s="5">
        <f>data_origin!AA2014</f>
        <v>0</v>
      </c>
      <c r="AB1757" s="5">
        <f t="shared" si="180"/>
        <v>0</v>
      </c>
    </row>
    <row r="1758" spans="1:28" x14ac:dyDescent="0.25">
      <c r="D1758" t="s">
        <v>76</v>
      </c>
      <c r="E1758" s="35">
        <f t="shared" si="181"/>
        <v>0</v>
      </c>
      <c r="F1758" s="35">
        <f t="shared" si="181"/>
        <v>0</v>
      </c>
      <c r="G1758" s="35">
        <f t="shared" si="179"/>
        <v>0</v>
      </c>
      <c r="H1758" s="35">
        <f t="shared" si="179"/>
        <v>0</v>
      </c>
      <c r="I1758" s="35">
        <f t="shared" si="179"/>
        <v>0</v>
      </c>
      <c r="J1758" s="35">
        <f t="shared" si="178"/>
        <v>0</v>
      </c>
      <c r="K1758" s="35">
        <f t="shared" si="178"/>
        <v>0</v>
      </c>
      <c r="L1758" s="35">
        <f t="shared" si="178"/>
        <v>0</v>
      </c>
      <c r="M1758" s="35">
        <f t="shared" si="182"/>
        <v>0</v>
      </c>
      <c r="S1758" t="s">
        <v>76</v>
      </c>
      <c r="T1758" s="5">
        <f>data_origin!T2015</f>
        <v>0</v>
      </c>
      <c r="U1758" s="5">
        <f>data_origin!U2015</f>
        <v>0</v>
      </c>
      <c r="V1758" s="5">
        <f>data_origin!V2015</f>
        <v>0</v>
      </c>
      <c r="W1758" s="5">
        <f>data_origin!W2015</f>
        <v>0</v>
      </c>
      <c r="X1758" s="5">
        <f>data_origin!X2015</f>
        <v>0</v>
      </c>
      <c r="Y1758" s="5">
        <f>data_origin!Y2015</f>
        <v>0</v>
      </c>
      <c r="Z1758" s="5">
        <f>data_origin!Z2015</f>
        <v>0</v>
      </c>
      <c r="AA1758" s="5">
        <f>data_origin!AA2015</f>
        <v>0</v>
      </c>
      <c r="AB1758" s="5">
        <f t="shared" si="180"/>
        <v>0</v>
      </c>
    </row>
    <row r="1759" spans="1:28" x14ac:dyDescent="0.25">
      <c r="D1759" t="s">
        <v>77</v>
      </c>
      <c r="E1759" s="35">
        <f t="shared" si="181"/>
        <v>0</v>
      </c>
      <c r="F1759" s="35">
        <f t="shared" si="181"/>
        <v>0</v>
      </c>
      <c r="G1759" s="35">
        <f t="shared" si="179"/>
        <v>0</v>
      </c>
      <c r="H1759" s="35">
        <f t="shared" si="179"/>
        <v>0</v>
      </c>
      <c r="I1759" s="35">
        <f t="shared" si="179"/>
        <v>0</v>
      </c>
      <c r="J1759" s="35">
        <f t="shared" si="179"/>
        <v>0</v>
      </c>
      <c r="K1759" s="35">
        <f t="shared" si="179"/>
        <v>0</v>
      </c>
      <c r="L1759" s="35">
        <f t="shared" si="179"/>
        <v>0</v>
      </c>
      <c r="M1759" s="35">
        <f t="shared" si="182"/>
        <v>0</v>
      </c>
      <c r="S1759" t="s">
        <v>77</v>
      </c>
      <c r="T1759" s="5">
        <f>data_origin!T2016</f>
        <v>0</v>
      </c>
      <c r="U1759" s="5">
        <f>data_origin!U2016</f>
        <v>0</v>
      </c>
      <c r="V1759" s="5">
        <f>data_origin!V2016</f>
        <v>0</v>
      </c>
      <c r="W1759" s="5">
        <f>data_origin!W2016</f>
        <v>0</v>
      </c>
      <c r="X1759" s="5">
        <f>data_origin!X2016</f>
        <v>0</v>
      </c>
      <c r="Y1759" s="5">
        <f>data_origin!Y2016</f>
        <v>0</v>
      </c>
      <c r="Z1759" s="5">
        <f>data_origin!Z2016</f>
        <v>0</v>
      </c>
      <c r="AA1759" s="5">
        <f>data_origin!AA2016</f>
        <v>0</v>
      </c>
      <c r="AB1759" s="5">
        <f t="shared" si="180"/>
        <v>0</v>
      </c>
    </row>
    <row r="1760" spans="1:28" x14ac:dyDescent="0.25">
      <c r="D1760" t="s">
        <v>78</v>
      </c>
      <c r="E1760" s="35">
        <f t="shared" si="181"/>
        <v>0</v>
      </c>
      <c r="F1760" s="35">
        <f t="shared" si="181"/>
        <v>0</v>
      </c>
      <c r="G1760" s="35">
        <f t="shared" si="181"/>
        <v>0</v>
      </c>
      <c r="H1760" s="35">
        <f t="shared" si="181"/>
        <v>0</v>
      </c>
      <c r="I1760" s="35">
        <f t="shared" si="181"/>
        <v>0</v>
      </c>
      <c r="J1760" s="35">
        <f t="shared" si="181"/>
        <v>0</v>
      </c>
      <c r="K1760" s="35">
        <f t="shared" si="181"/>
        <v>0</v>
      </c>
      <c r="L1760" s="35">
        <f t="shared" si="181"/>
        <v>0</v>
      </c>
      <c r="M1760" s="35">
        <f t="shared" si="182"/>
        <v>0</v>
      </c>
      <c r="S1760" t="s">
        <v>78</v>
      </c>
      <c r="T1760" s="5">
        <f>data_origin!T2017</f>
        <v>0</v>
      </c>
      <c r="U1760" s="5">
        <f>data_origin!U2017</f>
        <v>0</v>
      </c>
      <c r="V1760" s="5">
        <f>data_origin!V2017</f>
        <v>0</v>
      </c>
      <c r="W1760" s="5">
        <f>data_origin!W2017</f>
        <v>0</v>
      </c>
      <c r="X1760" s="5">
        <f>data_origin!X2017</f>
        <v>0</v>
      </c>
      <c r="Y1760" s="5">
        <f>data_origin!Y2017</f>
        <v>0</v>
      </c>
      <c r="Z1760" s="5">
        <f>data_origin!Z2017</f>
        <v>0</v>
      </c>
      <c r="AA1760" s="5">
        <f>data_origin!AA2017</f>
        <v>0</v>
      </c>
      <c r="AB1760" s="5">
        <f t="shared" si="180"/>
        <v>0</v>
      </c>
    </row>
    <row r="1761" spans="4:28" x14ac:dyDescent="0.25">
      <c r="D1761" t="s">
        <v>79</v>
      </c>
      <c r="E1761" s="35">
        <f t="shared" si="181"/>
        <v>0</v>
      </c>
      <c r="F1761" s="35">
        <f t="shared" si="181"/>
        <v>0</v>
      </c>
      <c r="G1761" s="35">
        <f t="shared" si="181"/>
        <v>0</v>
      </c>
      <c r="H1761" s="35">
        <f t="shared" si="181"/>
        <v>0</v>
      </c>
      <c r="I1761" s="35">
        <f t="shared" si="181"/>
        <v>0</v>
      </c>
      <c r="J1761" s="35">
        <f t="shared" si="181"/>
        <v>0</v>
      </c>
      <c r="K1761" s="35">
        <f t="shared" si="181"/>
        <v>0</v>
      </c>
      <c r="L1761" s="35">
        <f t="shared" si="181"/>
        <v>0</v>
      </c>
      <c r="M1761" s="35">
        <f t="shared" si="182"/>
        <v>0</v>
      </c>
      <c r="S1761" t="s">
        <v>79</v>
      </c>
      <c r="T1761" s="5">
        <f>data_origin!T2018</f>
        <v>0</v>
      </c>
      <c r="U1761" s="5">
        <f>data_origin!U2018</f>
        <v>0</v>
      </c>
      <c r="V1761" s="5">
        <f>data_origin!V2018</f>
        <v>0</v>
      </c>
      <c r="W1761" s="5">
        <f>data_origin!W2018</f>
        <v>0</v>
      </c>
      <c r="X1761" s="5">
        <f>data_origin!X2018</f>
        <v>0</v>
      </c>
      <c r="Y1761" s="5">
        <f>data_origin!Y2018</f>
        <v>0</v>
      </c>
      <c r="Z1761" s="5">
        <f>data_origin!Z2018</f>
        <v>0</v>
      </c>
      <c r="AA1761" s="5">
        <f>data_origin!AA2018</f>
        <v>0</v>
      </c>
      <c r="AB1761" s="5">
        <f t="shared" si="180"/>
        <v>0</v>
      </c>
    </row>
    <row r="1762" spans="4:28" x14ac:dyDescent="0.25">
      <c r="D1762" t="s">
        <v>80</v>
      </c>
      <c r="E1762" s="35">
        <f t="shared" si="181"/>
        <v>0</v>
      </c>
      <c r="F1762" s="35">
        <f t="shared" si="181"/>
        <v>0</v>
      </c>
      <c r="G1762" s="35">
        <f t="shared" si="181"/>
        <v>0</v>
      </c>
      <c r="H1762" s="35">
        <f t="shared" si="181"/>
        <v>0</v>
      </c>
      <c r="I1762" s="35">
        <f t="shared" si="181"/>
        <v>0</v>
      </c>
      <c r="J1762" s="35">
        <f t="shared" si="181"/>
        <v>0</v>
      </c>
      <c r="K1762" s="35">
        <f t="shared" si="181"/>
        <v>0</v>
      </c>
      <c r="L1762" s="35">
        <f t="shared" si="181"/>
        <v>0</v>
      </c>
      <c r="M1762" s="35">
        <f t="shared" si="182"/>
        <v>0</v>
      </c>
      <c r="S1762" t="s">
        <v>80</v>
      </c>
      <c r="T1762" s="5">
        <f>data_origin!T2019</f>
        <v>0</v>
      </c>
      <c r="U1762" s="5">
        <f>data_origin!U2019</f>
        <v>0</v>
      </c>
      <c r="V1762" s="5">
        <f>data_origin!V2019</f>
        <v>0</v>
      </c>
      <c r="W1762" s="5">
        <f>data_origin!W2019</f>
        <v>0</v>
      </c>
      <c r="X1762" s="5">
        <f>data_origin!X2019</f>
        <v>0</v>
      </c>
      <c r="Y1762" s="5">
        <f>data_origin!Y2019</f>
        <v>0</v>
      </c>
      <c r="Z1762" s="5">
        <f>data_origin!Z2019</f>
        <v>0</v>
      </c>
      <c r="AA1762" s="5">
        <f>data_origin!AA2019</f>
        <v>0</v>
      </c>
      <c r="AB1762" s="5">
        <f t="shared" si="180"/>
        <v>0</v>
      </c>
    </row>
    <row r="1763" spans="4:28" x14ac:dyDescent="0.25">
      <c r="D1763" t="s">
        <v>81</v>
      </c>
      <c r="E1763" s="35">
        <f t="shared" si="181"/>
        <v>0</v>
      </c>
      <c r="F1763" s="35">
        <f t="shared" si="181"/>
        <v>0</v>
      </c>
      <c r="G1763" s="35">
        <f t="shared" si="181"/>
        <v>0</v>
      </c>
      <c r="H1763" s="35">
        <f t="shared" si="181"/>
        <v>0</v>
      </c>
      <c r="I1763" s="35">
        <f t="shared" si="181"/>
        <v>0</v>
      </c>
      <c r="J1763" s="35">
        <f t="shared" si="181"/>
        <v>0</v>
      </c>
      <c r="K1763" s="35">
        <f t="shared" si="181"/>
        <v>0</v>
      </c>
      <c r="L1763" s="35">
        <f t="shared" si="181"/>
        <v>0</v>
      </c>
      <c r="M1763" s="35">
        <f t="shared" si="182"/>
        <v>0</v>
      </c>
      <c r="S1763" t="s">
        <v>81</v>
      </c>
      <c r="T1763" s="5">
        <f>data_origin!T2020</f>
        <v>0</v>
      </c>
      <c r="U1763" s="5">
        <f>data_origin!U2020</f>
        <v>0</v>
      </c>
      <c r="V1763" s="5">
        <f>data_origin!V2020</f>
        <v>0</v>
      </c>
      <c r="W1763" s="5">
        <f>data_origin!W2020</f>
        <v>0</v>
      </c>
      <c r="X1763" s="5">
        <f>data_origin!X2020</f>
        <v>0</v>
      </c>
      <c r="Y1763" s="5">
        <f>data_origin!Y2020</f>
        <v>0</v>
      </c>
      <c r="Z1763" s="5">
        <f>data_origin!Z2020</f>
        <v>0</v>
      </c>
      <c r="AA1763" s="5">
        <f>data_origin!AA2020</f>
        <v>0</v>
      </c>
      <c r="AB1763" s="5">
        <f t="shared" si="180"/>
        <v>0</v>
      </c>
    </row>
    <row r="1764" spans="4:28" x14ac:dyDescent="0.25">
      <c r="D1764" t="s">
        <v>82</v>
      </c>
      <c r="E1764" s="35">
        <f t="shared" si="181"/>
        <v>0</v>
      </c>
      <c r="F1764" s="35">
        <f t="shared" si="181"/>
        <v>0</v>
      </c>
      <c r="G1764" s="35">
        <f t="shared" si="181"/>
        <v>0</v>
      </c>
      <c r="H1764" s="35">
        <f t="shared" si="181"/>
        <v>0</v>
      </c>
      <c r="I1764" s="35">
        <f t="shared" si="181"/>
        <v>0</v>
      </c>
      <c r="J1764" s="35">
        <f t="shared" si="181"/>
        <v>0</v>
      </c>
      <c r="K1764" s="35">
        <f t="shared" si="181"/>
        <v>0</v>
      </c>
      <c r="L1764" s="35">
        <f t="shared" si="181"/>
        <v>0</v>
      </c>
      <c r="M1764" s="35">
        <f t="shared" si="182"/>
        <v>0</v>
      </c>
      <c r="S1764" t="s">
        <v>82</v>
      </c>
      <c r="T1764" s="5">
        <f>data_origin!T2021</f>
        <v>0</v>
      </c>
      <c r="U1764" s="5">
        <f>data_origin!U2021</f>
        <v>0</v>
      </c>
      <c r="V1764" s="5">
        <f>data_origin!V2021</f>
        <v>0</v>
      </c>
      <c r="W1764" s="5">
        <f>data_origin!W2021</f>
        <v>0</v>
      </c>
      <c r="X1764" s="5">
        <f>data_origin!X2021</f>
        <v>0</v>
      </c>
      <c r="Y1764" s="5">
        <f>data_origin!Y2021</f>
        <v>0</v>
      </c>
      <c r="Z1764" s="5">
        <f>data_origin!Z2021</f>
        <v>0</v>
      </c>
      <c r="AA1764" s="5">
        <f>data_origin!AA2021</f>
        <v>0</v>
      </c>
      <c r="AB1764" s="5">
        <f t="shared" si="180"/>
        <v>0</v>
      </c>
    </row>
    <row r="1765" spans="4:28" x14ac:dyDescent="0.25">
      <c r="D1765" t="s">
        <v>83</v>
      </c>
      <c r="E1765" s="35">
        <f t="shared" si="181"/>
        <v>0</v>
      </c>
      <c r="F1765" s="35">
        <f t="shared" si="181"/>
        <v>0</v>
      </c>
      <c r="G1765" s="35">
        <f t="shared" si="181"/>
        <v>0</v>
      </c>
      <c r="H1765" s="35">
        <f t="shared" si="181"/>
        <v>0</v>
      </c>
      <c r="I1765" s="35">
        <f t="shared" si="181"/>
        <v>0</v>
      </c>
      <c r="J1765" s="35">
        <f t="shared" si="181"/>
        <v>0</v>
      </c>
      <c r="K1765" s="35">
        <f t="shared" si="181"/>
        <v>0</v>
      </c>
      <c r="L1765" s="35">
        <f t="shared" si="181"/>
        <v>0</v>
      </c>
      <c r="M1765" s="35">
        <f t="shared" si="182"/>
        <v>0</v>
      </c>
      <c r="S1765" t="s">
        <v>83</v>
      </c>
      <c r="T1765" s="5">
        <f>data_origin!T2022</f>
        <v>0</v>
      </c>
      <c r="U1765" s="5">
        <f>data_origin!U2022</f>
        <v>0</v>
      </c>
      <c r="V1765" s="5">
        <f>data_origin!V2022</f>
        <v>0</v>
      </c>
      <c r="W1765" s="5">
        <f>data_origin!W2022</f>
        <v>0</v>
      </c>
      <c r="X1765" s="5">
        <f>data_origin!X2022</f>
        <v>0</v>
      </c>
      <c r="Y1765" s="5">
        <f>data_origin!Y2022</f>
        <v>0</v>
      </c>
      <c r="Z1765" s="5">
        <f>data_origin!Z2022</f>
        <v>0</v>
      </c>
      <c r="AA1765" s="5">
        <f>data_origin!AA2022</f>
        <v>0</v>
      </c>
      <c r="AB1765" s="5">
        <f t="shared" si="180"/>
        <v>0</v>
      </c>
    </row>
    <row r="1766" spans="4:28" x14ac:dyDescent="0.25">
      <c r="D1766" t="s">
        <v>84</v>
      </c>
      <c r="E1766" s="35">
        <f t="shared" si="181"/>
        <v>0</v>
      </c>
      <c r="F1766" s="35">
        <f t="shared" si="181"/>
        <v>0</v>
      </c>
      <c r="G1766" s="35">
        <f t="shared" si="181"/>
        <v>0</v>
      </c>
      <c r="H1766" s="35">
        <f t="shared" si="181"/>
        <v>0</v>
      </c>
      <c r="I1766" s="35">
        <f t="shared" si="181"/>
        <v>0</v>
      </c>
      <c r="J1766" s="35">
        <f t="shared" si="181"/>
        <v>0</v>
      </c>
      <c r="K1766" s="35">
        <f t="shared" si="181"/>
        <v>0</v>
      </c>
      <c r="L1766" s="35">
        <f t="shared" si="181"/>
        <v>0</v>
      </c>
      <c r="M1766" s="35">
        <f t="shared" si="182"/>
        <v>0</v>
      </c>
      <c r="S1766" t="s">
        <v>84</v>
      </c>
      <c r="T1766" s="5">
        <f>data_origin!T2023</f>
        <v>0</v>
      </c>
      <c r="U1766" s="5">
        <f>data_origin!U2023</f>
        <v>0</v>
      </c>
      <c r="V1766" s="5">
        <f>data_origin!V2023</f>
        <v>0</v>
      </c>
      <c r="W1766" s="5">
        <f>data_origin!W2023</f>
        <v>0</v>
      </c>
      <c r="X1766" s="5">
        <f>data_origin!X2023</f>
        <v>0</v>
      </c>
      <c r="Y1766" s="5">
        <f>data_origin!Y2023</f>
        <v>0</v>
      </c>
      <c r="Z1766" s="5">
        <f>data_origin!Z2023</f>
        <v>0</v>
      </c>
      <c r="AA1766" s="5">
        <f>data_origin!AA2023</f>
        <v>0</v>
      </c>
      <c r="AB1766" s="5">
        <f t="shared" si="180"/>
        <v>0</v>
      </c>
    </row>
    <row r="1767" spans="4:28" x14ac:dyDescent="0.25">
      <c r="D1767" t="s">
        <v>85</v>
      </c>
      <c r="E1767" s="35">
        <f t="shared" si="181"/>
        <v>0</v>
      </c>
      <c r="F1767" s="35">
        <f t="shared" si="181"/>
        <v>0</v>
      </c>
      <c r="G1767" s="35">
        <f t="shared" si="181"/>
        <v>0</v>
      </c>
      <c r="H1767" s="35">
        <f t="shared" si="181"/>
        <v>0</v>
      </c>
      <c r="I1767" s="35">
        <f t="shared" si="181"/>
        <v>0</v>
      </c>
      <c r="J1767" s="35">
        <f t="shared" si="181"/>
        <v>0</v>
      </c>
      <c r="K1767" s="35">
        <f t="shared" si="181"/>
        <v>0</v>
      </c>
      <c r="L1767" s="35">
        <f t="shared" si="181"/>
        <v>0</v>
      </c>
      <c r="M1767" s="35">
        <f t="shared" si="182"/>
        <v>0</v>
      </c>
      <c r="S1767" t="s">
        <v>85</v>
      </c>
      <c r="T1767" s="5">
        <f>data_origin!T2024</f>
        <v>0</v>
      </c>
      <c r="U1767" s="5">
        <f>data_origin!U2024</f>
        <v>0</v>
      </c>
      <c r="V1767" s="5">
        <f>data_origin!V2024</f>
        <v>0</v>
      </c>
      <c r="W1767" s="5">
        <f>data_origin!W2024</f>
        <v>0</v>
      </c>
      <c r="X1767" s="5">
        <f>data_origin!X2024</f>
        <v>0</v>
      </c>
      <c r="Y1767" s="5">
        <f>data_origin!Y2024</f>
        <v>0</v>
      </c>
      <c r="Z1767" s="5">
        <f>data_origin!Z2024</f>
        <v>0</v>
      </c>
      <c r="AA1767" s="5">
        <f>data_origin!AA2024</f>
        <v>0</v>
      </c>
      <c r="AB1767" s="5">
        <f t="shared" si="180"/>
        <v>0</v>
      </c>
    </row>
    <row r="1768" spans="4:28" x14ac:dyDescent="0.25">
      <c r="D1768" t="s">
        <v>86</v>
      </c>
      <c r="E1768" s="35">
        <f t="shared" si="181"/>
        <v>0</v>
      </c>
      <c r="F1768" s="35">
        <f t="shared" si="181"/>
        <v>0</v>
      </c>
      <c r="G1768" s="35">
        <f t="shared" si="181"/>
        <v>0</v>
      </c>
      <c r="H1768" s="35">
        <f t="shared" si="181"/>
        <v>0</v>
      </c>
      <c r="I1768" s="35">
        <f t="shared" si="181"/>
        <v>0</v>
      </c>
      <c r="J1768" s="35">
        <f t="shared" si="181"/>
        <v>0</v>
      </c>
      <c r="K1768" s="35">
        <f t="shared" si="181"/>
        <v>0</v>
      </c>
      <c r="L1768" s="35">
        <f t="shared" si="181"/>
        <v>0</v>
      </c>
      <c r="M1768" s="35">
        <f t="shared" si="182"/>
        <v>0</v>
      </c>
      <c r="S1768" t="s">
        <v>86</v>
      </c>
      <c r="T1768" s="5">
        <f>data_origin!T2025</f>
        <v>0</v>
      </c>
      <c r="U1768" s="5">
        <f>data_origin!U2025</f>
        <v>0</v>
      </c>
      <c r="V1768" s="5">
        <f>data_origin!V2025</f>
        <v>0</v>
      </c>
      <c r="W1768" s="5">
        <f>data_origin!W2025</f>
        <v>0</v>
      </c>
      <c r="X1768" s="5">
        <f>data_origin!X2025</f>
        <v>0</v>
      </c>
      <c r="Y1768" s="5">
        <f>data_origin!Y2025</f>
        <v>0</v>
      </c>
      <c r="Z1768" s="5">
        <f>data_origin!Z2025</f>
        <v>0</v>
      </c>
      <c r="AA1768" s="5">
        <f>data_origin!AA2025</f>
        <v>0</v>
      </c>
      <c r="AB1768" s="5">
        <f t="shared" si="180"/>
        <v>0</v>
      </c>
    </row>
    <row r="1769" spans="4:28" x14ac:dyDescent="0.25">
      <c r="D1769" t="s">
        <v>87</v>
      </c>
      <c r="E1769" s="35">
        <f t="shared" si="181"/>
        <v>0</v>
      </c>
      <c r="F1769" s="35">
        <f t="shared" si="181"/>
        <v>0</v>
      </c>
      <c r="G1769" s="35">
        <f t="shared" si="181"/>
        <v>0</v>
      </c>
      <c r="H1769" s="35">
        <f t="shared" si="181"/>
        <v>0</v>
      </c>
      <c r="I1769" s="35">
        <f t="shared" si="181"/>
        <v>0</v>
      </c>
      <c r="J1769" s="35">
        <f t="shared" si="181"/>
        <v>0</v>
      </c>
      <c r="K1769" s="35">
        <f t="shared" si="181"/>
        <v>0</v>
      </c>
      <c r="L1769" s="35">
        <f t="shared" si="181"/>
        <v>0</v>
      </c>
      <c r="M1769" s="35">
        <f t="shared" si="182"/>
        <v>0</v>
      </c>
      <c r="S1769" t="s">
        <v>87</v>
      </c>
      <c r="T1769" s="5">
        <f>data_origin!T2026</f>
        <v>0</v>
      </c>
      <c r="U1769" s="5">
        <f>data_origin!U2026</f>
        <v>0</v>
      </c>
      <c r="V1769" s="5">
        <f>data_origin!V2026</f>
        <v>0</v>
      </c>
      <c r="W1769" s="5">
        <f>data_origin!W2026</f>
        <v>0</v>
      </c>
      <c r="X1769" s="5">
        <f>data_origin!X2026</f>
        <v>0</v>
      </c>
      <c r="Y1769" s="5">
        <f>data_origin!Y2026</f>
        <v>0</v>
      </c>
      <c r="Z1769" s="5">
        <f>data_origin!Z2026</f>
        <v>0</v>
      </c>
      <c r="AA1769" s="5">
        <f>data_origin!AA2026</f>
        <v>0</v>
      </c>
      <c r="AB1769" s="5">
        <f t="shared" si="180"/>
        <v>0</v>
      </c>
    </row>
    <row r="1770" spans="4:28" x14ac:dyDescent="0.25">
      <c r="D1770" t="s">
        <v>88</v>
      </c>
      <c r="E1770" s="35">
        <f t="shared" si="181"/>
        <v>0</v>
      </c>
      <c r="F1770" s="35">
        <f t="shared" si="181"/>
        <v>0</v>
      </c>
      <c r="G1770" s="35">
        <f t="shared" si="181"/>
        <v>0</v>
      </c>
      <c r="H1770" s="35">
        <f t="shared" si="181"/>
        <v>0</v>
      </c>
      <c r="I1770" s="35">
        <f t="shared" si="181"/>
        <v>0</v>
      </c>
      <c r="J1770" s="35">
        <f t="shared" si="181"/>
        <v>0</v>
      </c>
      <c r="K1770" s="35">
        <f t="shared" si="181"/>
        <v>0</v>
      </c>
      <c r="L1770" s="35">
        <f t="shared" si="181"/>
        <v>0</v>
      </c>
      <c r="M1770" s="35">
        <f t="shared" si="182"/>
        <v>0</v>
      </c>
      <c r="S1770" t="s">
        <v>88</v>
      </c>
      <c r="T1770" s="5">
        <f>data_origin!T2027</f>
        <v>0</v>
      </c>
      <c r="U1770" s="5">
        <f>data_origin!U2027</f>
        <v>0</v>
      </c>
      <c r="V1770" s="5">
        <f>data_origin!V2027</f>
        <v>0</v>
      </c>
      <c r="W1770" s="5">
        <f>data_origin!W2027</f>
        <v>0</v>
      </c>
      <c r="X1770" s="5">
        <f>data_origin!X2027</f>
        <v>0</v>
      </c>
      <c r="Y1770" s="5">
        <f>data_origin!Y2027</f>
        <v>0</v>
      </c>
      <c r="Z1770" s="5">
        <f>data_origin!Z2027</f>
        <v>0</v>
      </c>
      <c r="AA1770" s="5">
        <f>data_origin!AA2027</f>
        <v>0</v>
      </c>
      <c r="AB1770" s="5">
        <f t="shared" si="180"/>
        <v>0</v>
      </c>
    </row>
    <row r="1771" spans="4:28" x14ac:dyDescent="0.25">
      <c r="D1771" t="s">
        <v>89</v>
      </c>
      <c r="E1771" s="35">
        <f t="shared" si="181"/>
        <v>0</v>
      </c>
      <c r="F1771" s="35">
        <f t="shared" si="181"/>
        <v>0</v>
      </c>
      <c r="G1771" s="35">
        <f t="shared" si="181"/>
        <v>0</v>
      </c>
      <c r="H1771" s="35">
        <f t="shared" si="181"/>
        <v>0</v>
      </c>
      <c r="I1771" s="35">
        <f t="shared" si="181"/>
        <v>0</v>
      </c>
      <c r="J1771" s="35">
        <f t="shared" si="181"/>
        <v>0</v>
      </c>
      <c r="K1771" s="35">
        <f t="shared" si="181"/>
        <v>0</v>
      </c>
      <c r="L1771" s="35">
        <f t="shared" si="181"/>
        <v>0</v>
      </c>
      <c r="M1771" s="35">
        <f t="shared" si="182"/>
        <v>0</v>
      </c>
      <c r="S1771" t="s">
        <v>89</v>
      </c>
      <c r="T1771" s="5">
        <f>data_origin!T2028</f>
        <v>0</v>
      </c>
      <c r="U1771" s="5">
        <f>data_origin!U2028</f>
        <v>0</v>
      </c>
      <c r="V1771" s="5">
        <f>data_origin!V2028</f>
        <v>0</v>
      </c>
      <c r="W1771" s="5">
        <f>data_origin!W2028</f>
        <v>0</v>
      </c>
      <c r="X1771" s="5">
        <f>data_origin!X2028</f>
        <v>0</v>
      </c>
      <c r="Y1771" s="5">
        <f>data_origin!Y2028</f>
        <v>0</v>
      </c>
      <c r="Z1771" s="5">
        <f>data_origin!Z2028</f>
        <v>0</v>
      </c>
      <c r="AA1771" s="5">
        <f>data_origin!AA2028</f>
        <v>0</v>
      </c>
      <c r="AB1771" s="5">
        <f t="shared" si="180"/>
        <v>0</v>
      </c>
    </row>
    <row r="1772" spans="4:28" x14ac:dyDescent="0.25">
      <c r="D1772" t="s">
        <v>90</v>
      </c>
      <c r="E1772" s="35">
        <f t="shared" si="181"/>
        <v>0</v>
      </c>
      <c r="F1772" s="35">
        <f t="shared" si="181"/>
        <v>0</v>
      </c>
      <c r="G1772" s="35">
        <f t="shared" si="181"/>
        <v>0</v>
      </c>
      <c r="H1772" s="35">
        <f t="shared" si="181"/>
        <v>0</v>
      </c>
      <c r="I1772" s="35">
        <f t="shared" si="181"/>
        <v>0</v>
      </c>
      <c r="J1772" s="35">
        <f t="shared" si="181"/>
        <v>0</v>
      </c>
      <c r="K1772" s="35">
        <f t="shared" si="181"/>
        <v>0</v>
      </c>
      <c r="L1772" s="35">
        <f t="shared" si="181"/>
        <v>0</v>
      </c>
      <c r="M1772" s="35">
        <f t="shared" si="182"/>
        <v>0</v>
      </c>
      <c r="S1772" t="s">
        <v>90</v>
      </c>
      <c r="T1772" s="5">
        <f>data_origin!T2029</f>
        <v>0</v>
      </c>
      <c r="U1772" s="5">
        <f>data_origin!U2029</f>
        <v>0</v>
      </c>
      <c r="V1772" s="5">
        <f>data_origin!V2029</f>
        <v>0</v>
      </c>
      <c r="W1772" s="5">
        <f>data_origin!W2029</f>
        <v>0</v>
      </c>
      <c r="X1772" s="5">
        <f>data_origin!X2029</f>
        <v>0</v>
      </c>
      <c r="Y1772" s="5">
        <f>data_origin!Y2029</f>
        <v>0</v>
      </c>
      <c r="Z1772" s="5">
        <f>data_origin!Z2029</f>
        <v>0</v>
      </c>
      <c r="AA1772" s="5">
        <f>data_origin!AA2029</f>
        <v>0</v>
      </c>
      <c r="AB1772" s="5">
        <f t="shared" si="180"/>
        <v>0</v>
      </c>
    </row>
    <row r="1773" spans="4:28" x14ac:dyDescent="0.25">
      <c r="D1773" t="s">
        <v>91</v>
      </c>
      <c r="E1773" s="35">
        <f t="shared" si="181"/>
        <v>0</v>
      </c>
      <c r="F1773" s="35">
        <f t="shared" si="181"/>
        <v>0</v>
      </c>
      <c r="G1773" s="35">
        <f t="shared" si="181"/>
        <v>0</v>
      </c>
      <c r="H1773" s="35">
        <f t="shared" si="181"/>
        <v>0</v>
      </c>
      <c r="I1773" s="35">
        <f t="shared" si="181"/>
        <v>0</v>
      </c>
      <c r="J1773" s="35">
        <f t="shared" si="181"/>
        <v>0</v>
      </c>
      <c r="K1773" s="35">
        <f t="shared" si="181"/>
        <v>0</v>
      </c>
      <c r="L1773" s="35">
        <f t="shared" si="181"/>
        <v>0</v>
      </c>
      <c r="M1773" s="35">
        <f t="shared" si="182"/>
        <v>0</v>
      </c>
      <c r="S1773" t="s">
        <v>91</v>
      </c>
      <c r="T1773" s="5">
        <f>data_origin!T2030</f>
        <v>0</v>
      </c>
      <c r="U1773" s="5">
        <f>data_origin!U2030</f>
        <v>0</v>
      </c>
      <c r="V1773" s="5">
        <f>data_origin!V2030</f>
        <v>0</v>
      </c>
      <c r="W1773" s="5">
        <f>data_origin!W2030</f>
        <v>0</v>
      </c>
      <c r="X1773" s="5">
        <f>data_origin!X2030</f>
        <v>0</v>
      </c>
      <c r="Y1773" s="5">
        <f>data_origin!Y2030</f>
        <v>0</v>
      </c>
      <c r="Z1773" s="5">
        <f>data_origin!Z2030</f>
        <v>0</v>
      </c>
      <c r="AA1773" s="5">
        <f>data_origin!AA2030</f>
        <v>0</v>
      </c>
      <c r="AB1773" s="5">
        <f t="shared" si="180"/>
        <v>0</v>
      </c>
    </row>
    <row r="1774" spans="4:28" x14ac:dyDescent="0.25">
      <c r="D1774" t="s">
        <v>92</v>
      </c>
      <c r="E1774" s="35">
        <f t="shared" si="181"/>
        <v>0</v>
      </c>
      <c r="F1774" s="35">
        <f t="shared" si="181"/>
        <v>0</v>
      </c>
      <c r="G1774" s="35">
        <f t="shared" si="181"/>
        <v>0</v>
      </c>
      <c r="H1774" s="35">
        <f t="shared" si="181"/>
        <v>0</v>
      </c>
      <c r="I1774" s="35">
        <f t="shared" si="181"/>
        <v>0</v>
      </c>
      <c r="J1774" s="35">
        <f t="shared" si="181"/>
        <v>0</v>
      </c>
      <c r="K1774" s="35">
        <f t="shared" si="181"/>
        <v>0</v>
      </c>
      <c r="L1774" s="35">
        <f t="shared" si="181"/>
        <v>0</v>
      </c>
      <c r="M1774" s="35">
        <f t="shared" si="182"/>
        <v>0</v>
      </c>
      <c r="S1774" t="s">
        <v>92</v>
      </c>
      <c r="T1774" s="5">
        <f>data_origin!T2031</f>
        <v>0</v>
      </c>
      <c r="U1774" s="5">
        <f>data_origin!U2031</f>
        <v>0</v>
      </c>
      <c r="V1774" s="5">
        <f>data_origin!V2031</f>
        <v>0</v>
      </c>
      <c r="W1774" s="5">
        <f>data_origin!W2031</f>
        <v>0</v>
      </c>
      <c r="X1774" s="5">
        <f>data_origin!X2031</f>
        <v>0</v>
      </c>
      <c r="Y1774" s="5">
        <f>data_origin!Y2031</f>
        <v>0</v>
      </c>
      <c r="Z1774" s="5">
        <f>data_origin!Z2031</f>
        <v>0</v>
      </c>
      <c r="AA1774" s="5">
        <f>data_origin!AA2031</f>
        <v>0</v>
      </c>
      <c r="AB1774" s="5">
        <f t="shared" si="180"/>
        <v>0</v>
      </c>
    </row>
    <row r="1775" spans="4:28" x14ac:dyDescent="0.25">
      <c r="D1775" t="s">
        <v>93</v>
      </c>
      <c r="E1775" s="35">
        <f t="shared" si="181"/>
        <v>0</v>
      </c>
      <c r="F1775" s="35">
        <f t="shared" si="181"/>
        <v>0</v>
      </c>
      <c r="G1775" s="35">
        <f t="shared" si="181"/>
        <v>0</v>
      </c>
      <c r="H1775" s="35">
        <f t="shared" si="181"/>
        <v>0</v>
      </c>
      <c r="I1775" s="35">
        <f t="shared" si="181"/>
        <v>0</v>
      </c>
      <c r="J1775" s="35">
        <f t="shared" si="181"/>
        <v>0</v>
      </c>
      <c r="K1775" s="35">
        <f t="shared" si="181"/>
        <v>0</v>
      </c>
      <c r="L1775" s="35">
        <f t="shared" si="181"/>
        <v>0</v>
      </c>
      <c r="M1775" s="35">
        <f t="shared" si="182"/>
        <v>0</v>
      </c>
      <c r="S1775" t="s">
        <v>93</v>
      </c>
      <c r="T1775" s="5">
        <f>data_origin!T2032</f>
        <v>0</v>
      </c>
      <c r="U1775" s="5">
        <f>data_origin!U2032</f>
        <v>0</v>
      </c>
      <c r="V1775" s="5">
        <f>data_origin!V2032</f>
        <v>0</v>
      </c>
      <c r="W1775" s="5">
        <f>data_origin!W2032</f>
        <v>0</v>
      </c>
      <c r="X1775" s="5">
        <f>data_origin!X2032</f>
        <v>0</v>
      </c>
      <c r="Y1775" s="5">
        <f>data_origin!Y2032</f>
        <v>0</v>
      </c>
      <c r="Z1775" s="5">
        <f>data_origin!Z2032</f>
        <v>0</v>
      </c>
      <c r="AA1775" s="5">
        <f>data_origin!AA2032</f>
        <v>0</v>
      </c>
      <c r="AB1775" s="5">
        <f t="shared" ref="AB1775:AB1838" si="183">SUM(T1775:AA1775)</f>
        <v>0</v>
      </c>
    </row>
    <row r="1776" spans="4:28" x14ac:dyDescent="0.25">
      <c r="D1776" t="s">
        <v>94</v>
      </c>
      <c r="E1776" s="35">
        <f t="shared" si="181"/>
        <v>0</v>
      </c>
      <c r="F1776" s="35">
        <f t="shared" si="181"/>
        <v>0</v>
      </c>
      <c r="G1776" s="35">
        <f t="shared" si="181"/>
        <v>0</v>
      </c>
      <c r="H1776" s="35">
        <f t="shared" si="181"/>
        <v>0</v>
      </c>
      <c r="I1776" s="35">
        <f t="shared" si="181"/>
        <v>0</v>
      </c>
      <c r="J1776" s="35">
        <f t="shared" si="181"/>
        <v>0</v>
      </c>
      <c r="K1776" s="35">
        <f t="shared" si="181"/>
        <v>0</v>
      </c>
      <c r="L1776" s="35">
        <f t="shared" si="181"/>
        <v>0</v>
      </c>
      <c r="M1776" s="35">
        <f t="shared" si="182"/>
        <v>0</v>
      </c>
      <c r="S1776" t="s">
        <v>94</v>
      </c>
      <c r="T1776" s="5">
        <f>data_origin!T2033</f>
        <v>0</v>
      </c>
      <c r="U1776" s="5">
        <f>data_origin!U2033</f>
        <v>0</v>
      </c>
      <c r="V1776" s="5">
        <f>data_origin!V2033</f>
        <v>0</v>
      </c>
      <c r="W1776" s="5">
        <f>data_origin!W2033</f>
        <v>0</v>
      </c>
      <c r="X1776" s="5">
        <f>data_origin!X2033</f>
        <v>0</v>
      </c>
      <c r="Y1776" s="5">
        <f>data_origin!Y2033</f>
        <v>0</v>
      </c>
      <c r="Z1776" s="5">
        <f>data_origin!Z2033</f>
        <v>0</v>
      </c>
      <c r="AA1776" s="5">
        <f>data_origin!AA2033</f>
        <v>0</v>
      </c>
      <c r="AB1776" s="5">
        <f t="shared" si="183"/>
        <v>0</v>
      </c>
    </row>
    <row r="1777" spans="1:28" x14ac:dyDescent="0.25">
      <c r="D1777" t="s">
        <v>95</v>
      </c>
      <c r="E1777" s="35">
        <f t="shared" si="181"/>
        <v>0</v>
      </c>
      <c r="F1777" s="35">
        <f t="shared" si="181"/>
        <v>0</v>
      </c>
      <c r="G1777" s="35">
        <f t="shared" si="181"/>
        <v>0</v>
      </c>
      <c r="H1777" s="35">
        <f t="shared" si="181"/>
        <v>0</v>
      </c>
      <c r="I1777" s="35">
        <f t="shared" si="181"/>
        <v>0</v>
      </c>
      <c r="J1777" s="35">
        <f t="shared" si="181"/>
        <v>0</v>
      </c>
      <c r="K1777" s="35">
        <f t="shared" si="181"/>
        <v>0</v>
      </c>
      <c r="L1777" s="35">
        <f t="shared" si="181"/>
        <v>0</v>
      </c>
      <c r="M1777" s="35">
        <f t="shared" si="182"/>
        <v>0</v>
      </c>
      <c r="S1777" t="s">
        <v>95</v>
      </c>
      <c r="T1777" s="5">
        <f>data_origin!T2034</f>
        <v>0</v>
      </c>
      <c r="U1777" s="5">
        <f>data_origin!U2034</f>
        <v>0</v>
      </c>
      <c r="V1777" s="5">
        <f>data_origin!V2034</f>
        <v>0</v>
      </c>
      <c r="W1777" s="5">
        <f>data_origin!W2034</f>
        <v>0</v>
      </c>
      <c r="X1777" s="5">
        <f>data_origin!X2034</f>
        <v>0</v>
      </c>
      <c r="Y1777" s="5">
        <f>data_origin!Y2034</f>
        <v>0</v>
      </c>
      <c r="Z1777" s="5">
        <f>data_origin!Z2034</f>
        <v>0</v>
      </c>
      <c r="AA1777" s="5">
        <f>data_origin!AA2034</f>
        <v>0</v>
      </c>
      <c r="AB1777" s="5">
        <f t="shared" si="183"/>
        <v>0</v>
      </c>
    </row>
    <row r="1778" spans="1:28" x14ac:dyDescent="0.25">
      <c r="D1778" t="s">
        <v>96</v>
      </c>
      <c r="E1778" s="35">
        <f t="shared" si="181"/>
        <v>0</v>
      </c>
      <c r="F1778" s="35">
        <f t="shared" si="181"/>
        <v>0</v>
      </c>
      <c r="G1778" s="35">
        <f t="shared" si="181"/>
        <v>0</v>
      </c>
      <c r="H1778" s="35">
        <f t="shared" si="181"/>
        <v>0</v>
      </c>
      <c r="I1778" s="35">
        <f t="shared" si="181"/>
        <v>0</v>
      </c>
      <c r="J1778" s="35">
        <f t="shared" si="181"/>
        <v>0</v>
      </c>
      <c r="K1778" s="35">
        <f t="shared" si="181"/>
        <v>0</v>
      </c>
      <c r="L1778" s="35">
        <f t="shared" si="181"/>
        <v>0</v>
      </c>
      <c r="M1778" s="35">
        <f t="shared" si="182"/>
        <v>0</v>
      </c>
      <c r="S1778" t="s">
        <v>96</v>
      </c>
      <c r="T1778" s="5">
        <f>data_origin!T2035</f>
        <v>0</v>
      </c>
      <c r="U1778" s="5">
        <f>data_origin!U2035</f>
        <v>0</v>
      </c>
      <c r="V1778" s="5">
        <f>data_origin!V2035</f>
        <v>0</v>
      </c>
      <c r="W1778" s="5">
        <f>data_origin!W2035</f>
        <v>0</v>
      </c>
      <c r="X1778" s="5">
        <f>data_origin!X2035</f>
        <v>0</v>
      </c>
      <c r="Y1778" s="5">
        <f>data_origin!Y2035</f>
        <v>0</v>
      </c>
      <c r="Z1778" s="5">
        <f>data_origin!Z2035</f>
        <v>0</v>
      </c>
      <c r="AA1778" s="5">
        <f>data_origin!AA2035</f>
        <v>0</v>
      </c>
      <c r="AB1778" s="5">
        <f t="shared" si="183"/>
        <v>0</v>
      </c>
    </row>
    <row r="1779" spans="1:28" x14ac:dyDescent="0.25">
      <c r="D1779" t="s">
        <v>97</v>
      </c>
      <c r="E1779" s="35">
        <f t="shared" si="181"/>
        <v>0</v>
      </c>
      <c r="F1779" s="35">
        <f t="shared" si="181"/>
        <v>0</v>
      </c>
      <c r="G1779" s="35">
        <f t="shared" si="181"/>
        <v>0</v>
      </c>
      <c r="H1779" s="35">
        <f t="shared" si="181"/>
        <v>0</v>
      </c>
      <c r="I1779" s="35">
        <f t="shared" si="181"/>
        <v>0</v>
      </c>
      <c r="J1779" s="35">
        <f t="shared" si="181"/>
        <v>0</v>
      </c>
      <c r="K1779" s="35">
        <f t="shared" si="181"/>
        <v>0</v>
      </c>
      <c r="L1779" s="35">
        <f t="shared" si="181"/>
        <v>0</v>
      </c>
      <c r="M1779" s="35">
        <f t="shared" si="182"/>
        <v>0</v>
      </c>
      <c r="S1779" t="s">
        <v>97</v>
      </c>
      <c r="T1779" s="5">
        <f>data_origin!T2036</f>
        <v>0</v>
      </c>
      <c r="U1779" s="5">
        <f>data_origin!U2036</f>
        <v>0</v>
      </c>
      <c r="V1779" s="5">
        <f>data_origin!V2036</f>
        <v>0</v>
      </c>
      <c r="W1779" s="5">
        <f>data_origin!W2036</f>
        <v>0</v>
      </c>
      <c r="X1779" s="5">
        <f>data_origin!X2036</f>
        <v>0</v>
      </c>
      <c r="Y1779" s="5">
        <f>data_origin!Y2036</f>
        <v>0</v>
      </c>
      <c r="Z1779" s="5">
        <f>data_origin!Z2036</f>
        <v>0</v>
      </c>
      <c r="AA1779" s="5">
        <f>data_origin!AA2036</f>
        <v>0</v>
      </c>
      <c r="AB1779" s="5">
        <f t="shared" si="183"/>
        <v>0</v>
      </c>
    </row>
    <row r="1780" spans="1:28" x14ac:dyDescent="0.25">
      <c r="D1780" t="s">
        <v>98</v>
      </c>
      <c r="E1780" s="35">
        <f t="shared" si="181"/>
        <v>0</v>
      </c>
      <c r="F1780" s="35">
        <f t="shared" si="181"/>
        <v>0</v>
      </c>
      <c r="G1780" s="35">
        <f t="shared" si="181"/>
        <v>0</v>
      </c>
      <c r="H1780" s="35">
        <f t="shared" si="181"/>
        <v>0</v>
      </c>
      <c r="I1780" s="35">
        <f t="shared" si="181"/>
        <v>0</v>
      </c>
      <c r="J1780" s="35">
        <f t="shared" si="181"/>
        <v>0</v>
      </c>
      <c r="K1780" s="35">
        <f t="shared" si="181"/>
        <v>0</v>
      </c>
      <c r="L1780" s="35">
        <f t="shared" si="181"/>
        <v>0</v>
      </c>
      <c r="M1780" s="35">
        <f t="shared" si="182"/>
        <v>0</v>
      </c>
      <c r="S1780" t="s">
        <v>98</v>
      </c>
      <c r="T1780" s="5">
        <f>data_origin!T2037</f>
        <v>0</v>
      </c>
      <c r="U1780" s="5">
        <f>data_origin!U2037</f>
        <v>0</v>
      </c>
      <c r="V1780" s="5">
        <f>data_origin!V2037</f>
        <v>0</v>
      </c>
      <c r="W1780" s="5">
        <f>data_origin!W2037</f>
        <v>0</v>
      </c>
      <c r="X1780" s="5">
        <f>data_origin!X2037</f>
        <v>0</v>
      </c>
      <c r="Y1780" s="5">
        <f>data_origin!Y2037</f>
        <v>0</v>
      </c>
      <c r="Z1780" s="5">
        <f>data_origin!Z2037</f>
        <v>0</v>
      </c>
      <c r="AA1780" s="5">
        <f>data_origin!AA2037</f>
        <v>0</v>
      </c>
      <c r="AB1780" s="5">
        <f t="shared" si="183"/>
        <v>0</v>
      </c>
    </row>
    <row r="1781" spans="1:28" x14ac:dyDescent="0.25">
      <c r="D1781" t="s">
        <v>119</v>
      </c>
      <c r="E1781" s="35">
        <f t="shared" si="181"/>
        <v>0</v>
      </c>
      <c r="F1781" s="35">
        <f t="shared" si="181"/>
        <v>0</v>
      </c>
      <c r="G1781" s="35">
        <f t="shared" si="181"/>
        <v>0</v>
      </c>
      <c r="H1781" s="35">
        <f t="shared" ref="H1781:L1784" si="184">W1781+IFERROR((W1781/SUM(W$993:W$1982)*AZ$630),0)</f>
        <v>0</v>
      </c>
      <c r="I1781" s="35">
        <f t="shared" si="184"/>
        <v>0</v>
      </c>
      <c r="J1781" s="35">
        <f t="shared" si="184"/>
        <v>0</v>
      </c>
      <c r="K1781" s="35">
        <f t="shared" si="184"/>
        <v>0</v>
      </c>
      <c r="L1781" s="35">
        <f t="shared" si="184"/>
        <v>0</v>
      </c>
      <c r="M1781" s="35">
        <f t="shared" si="182"/>
        <v>0</v>
      </c>
      <c r="S1781" t="s">
        <v>119</v>
      </c>
      <c r="T1781" s="5">
        <f>data_origin!T2038</f>
        <v>0</v>
      </c>
      <c r="U1781" s="5">
        <f>data_origin!U2038</f>
        <v>0</v>
      </c>
      <c r="V1781" s="5">
        <f>data_origin!V2038</f>
        <v>0</v>
      </c>
      <c r="W1781" s="5">
        <f>data_origin!W2038</f>
        <v>0</v>
      </c>
      <c r="X1781" s="5">
        <f>data_origin!X2038</f>
        <v>0</v>
      </c>
      <c r="Y1781" s="5">
        <f>data_origin!Y2038</f>
        <v>0</v>
      </c>
      <c r="Z1781" s="5">
        <f>data_origin!Z2038</f>
        <v>0</v>
      </c>
      <c r="AA1781" s="5">
        <f>data_origin!AA2038</f>
        <v>0</v>
      </c>
      <c r="AB1781" s="5">
        <f t="shared" si="183"/>
        <v>0</v>
      </c>
    </row>
    <row r="1782" spans="1:28" x14ac:dyDescent="0.25">
      <c r="D1782" t="s">
        <v>99</v>
      </c>
      <c r="E1782" s="35">
        <f t="shared" ref="E1782:G1784" si="185">T1782+IFERROR((T1782/SUM(T$993:T$1982)*AW$630),0)</f>
        <v>0</v>
      </c>
      <c r="F1782" s="35">
        <f t="shared" si="185"/>
        <v>0</v>
      </c>
      <c r="G1782" s="35">
        <f t="shared" si="185"/>
        <v>0</v>
      </c>
      <c r="H1782" s="35">
        <f t="shared" si="184"/>
        <v>0</v>
      </c>
      <c r="I1782" s="35">
        <f t="shared" si="184"/>
        <v>0</v>
      </c>
      <c r="J1782" s="35">
        <f t="shared" si="184"/>
        <v>0</v>
      </c>
      <c r="K1782" s="35">
        <f t="shared" si="184"/>
        <v>0</v>
      </c>
      <c r="L1782" s="35">
        <f t="shared" si="184"/>
        <v>0</v>
      </c>
      <c r="M1782" s="35">
        <f t="shared" si="182"/>
        <v>0</v>
      </c>
      <c r="S1782" t="s">
        <v>99</v>
      </c>
      <c r="T1782" s="5">
        <f>data_origin!T2039</f>
        <v>0</v>
      </c>
      <c r="U1782" s="5">
        <f>data_origin!U2039</f>
        <v>0</v>
      </c>
      <c r="V1782" s="5">
        <f>data_origin!V2039</f>
        <v>0</v>
      </c>
      <c r="W1782" s="5">
        <f>data_origin!W2039</f>
        <v>0</v>
      </c>
      <c r="X1782" s="5">
        <f>data_origin!X2039</f>
        <v>0</v>
      </c>
      <c r="Y1782" s="5">
        <f>data_origin!Y2039</f>
        <v>0</v>
      </c>
      <c r="Z1782" s="5">
        <f>data_origin!Z2039</f>
        <v>0</v>
      </c>
      <c r="AA1782" s="5">
        <f>data_origin!AA2039</f>
        <v>0</v>
      </c>
      <c r="AB1782" s="5">
        <f t="shared" si="183"/>
        <v>0</v>
      </c>
    </row>
    <row r="1783" spans="1:28" x14ac:dyDescent="0.25">
      <c r="D1783" t="s">
        <v>100</v>
      </c>
      <c r="E1783" s="35">
        <f t="shared" si="185"/>
        <v>0</v>
      </c>
      <c r="F1783" s="35">
        <f t="shared" si="185"/>
        <v>0</v>
      </c>
      <c r="G1783" s="35">
        <f t="shared" si="185"/>
        <v>0</v>
      </c>
      <c r="H1783" s="35">
        <f t="shared" si="184"/>
        <v>0</v>
      </c>
      <c r="I1783" s="35">
        <f t="shared" si="184"/>
        <v>0</v>
      </c>
      <c r="J1783" s="35">
        <f t="shared" si="184"/>
        <v>0</v>
      </c>
      <c r="K1783" s="35">
        <f t="shared" si="184"/>
        <v>0</v>
      </c>
      <c r="L1783" s="35">
        <f t="shared" si="184"/>
        <v>0</v>
      </c>
      <c r="M1783" s="35">
        <f t="shared" si="182"/>
        <v>0</v>
      </c>
      <c r="S1783" t="s">
        <v>100</v>
      </c>
      <c r="T1783" s="5">
        <f>data_origin!T2040</f>
        <v>0</v>
      </c>
      <c r="U1783" s="5">
        <f>data_origin!U2040</f>
        <v>0</v>
      </c>
      <c r="V1783" s="5">
        <f>data_origin!V2040</f>
        <v>0</v>
      </c>
      <c r="W1783" s="5">
        <f>data_origin!W2040</f>
        <v>0</v>
      </c>
      <c r="X1783" s="5">
        <f>data_origin!X2040</f>
        <v>0</v>
      </c>
      <c r="Y1783" s="5">
        <f>data_origin!Y2040</f>
        <v>0</v>
      </c>
      <c r="Z1783" s="5">
        <f>data_origin!Z2040</f>
        <v>0</v>
      </c>
      <c r="AA1783" s="5">
        <f>data_origin!AA2040</f>
        <v>0</v>
      </c>
      <c r="AB1783" s="5">
        <f t="shared" si="183"/>
        <v>0</v>
      </c>
    </row>
    <row r="1784" spans="1:28" x14ac:dyDescent="0.25">
      <c r="D1784" t="s">
        <v>101</v>
      </c>
      <c r="E1784" s="35">
        <f t="shared" si="185"/>
        <v>0</v>
      </c>
      <c r="F1784" s="35">
        <f t="shared" si="185"/>
        <v>0</v>
      </c>
      <c r="G1784" s="35">
        <f t="shared" si="185"/>
        <v>0</v>
      </c>
      <c r="H1784" s="35">
        <f t="shared" si="184"/>
        <v>0</v>
      </c>
      <c r="I1784" s="35">
        <f t="shared" si="184"/>
        <v>0</v>
      </c>
      <c r="J1784" s="35">
        <f t="shared" si="184"/>
        <v>0</v>
      </c>
      <c r="K1784" s="35">
        <f t="shared" si="184"/>
        <v>0</v>
      </c>
      <c r="L1784" s="35">
        <f t="shared" si="184"/>
        <v>0</v>
      </c>
      <c r="M1784" s="35">
        <f t="shared" si="182"/>
        <v>0</v>
      </c>
      <c r="S1784" t="s">
        <v>101</v>
      </c>
      <c r="T1784" s="5">
        <f>data_origin!T2041</f>
        <v>0</v>
      </c>
      <c r="U1784" s="5">
        <f>data_origin!U2041</f>
        <v>0</v>
      </c>
      <c r="V1784" s="5">
        <f>data_origin!V2041</f>
        <v>0</v>
      </c>
      <c r="W1784" s="5">
        <f>data_origin!W2041</f>
        <v>0</v>
      </c>
      <c r="X1784" s="5">
        <f>data_origin!X2041</f>
        <v>0</v>
      </c>
      <c r="Y1784" s="5">
        <f>data_origin!Y2041</f>
        <v>0</v>
      </c>
      <c r="Z1784" s="5">
        <f>data_origin!Z2041</f>
        <v>0</v>
      </c>
      <c r="AA1784" s="5">
        <f>data_origin!AA2041</f>
        <v>0</v>
      </c>
      <c r="AB1784" s="5">
        <f t="shared" si="183"/>
        <v>0</v>
      </c>
    </row>
    <row r="1785" spans="1:28" x14ac:dyDescent="0.25">
      <c r="A1785" s="24" t="s">
        <v>115</v>
      </c>
      <c r="B1785" s="24" t="s">
        <v>117</v>
      </c>
      <c r="C1785" s="24" t="s">
        <v>109</v>
      </c>
      <c r="D1785" t="s">
        <v>70</v>
      </c>
      <c r="E1785" s="38">
        <f>T1785+AW399+IFERROR((T1785/SUM(T$993:T$1982)*AW$630),0)+IFERROR((T1785/SUM(T$1125:T$1322,T$1455:T$1652,T$1785:T$1982)*AW$732),0)</f>
        <v>0</v>
      </c>
      <c r="F1785" s="38">
        <f t="shared" ref="F1785:L1785" si="186">U1785+AX399+IFERROR((U1785/SUM(U$993:U$1982)*AX$630),0)+IFERROR((U1785/SUM(U$1125:U$1322,U$1455:U$1652,U$1785:U$1982)*AX$732),0)</f>
        <v>0</v>
      </c>
      <c r="G1785" s="38">
        <f t="shared" si="186"/>
        <v>14.375181296582857</v>
      </c>
      <c r="H1785" s="38">
        <f t="shared" si="186"/>
        <v>24.840939229240096</v>
      </c>
      <c r="I1785" s="38">
        <f t="shared" si="186"/>
        <v>8.2291469542154854</v>
      </c>
      <c r="J1785" s="38">
        <f t="shared" si="186"/>
        <v>1.233122430258653</v>
      </c>
      <c r="K1785" s="38">
        <f t="shared" si="186"/>
        <v>0</v>
      </c>
      <c r="L1785" s="38">
        <f t="shared" si="186"/>
        <v>0</v>
      </c>
      <c r="M1785" s="35">
        <f t="shared" si="182"/>
        <v>48.678389910297092</v>
      </c>
      <c r="P1785" t="s">
        <v>115</v>
      </c>
      <c r="Q1785" t="s">
        <v>117</v>
      </c>
      <c r="R1785" t="s">
        <v>109</v>
      </c>
      <c r="S1785" t="s">
        <v>70</v>
      </c>
      <c r="T1785" s="5">
        <f>data_origin!T2043</f>
        <v>0</v>
      </c>
      <c r="U1785" s="5">
        <f>data_origin!U2043</f>
        <v>0</v>
      </c>
      <c r="V1785" s="5">
        <f>data_origin!V2043</f>
        <v>14.177777777777777</v>
      </c>
      <c r="W1785" s="5">
        <f>data_origin!W2043</f>
        <v>24.412713035467526</v>
      </c>
      <c r="X1785" s="5">
        <f>data_origin!X2043</f>
        <v>8.0882352941176467</v>
      </c>
      <c r="Y1785" s="5">
        <f>data_origin!Y2043</f>
        <v>1.2105263157894737</v>
      </c>
      <c r="Z1785" s="5">
        <f>data_origin!Z2043</f>
        <v>0</v>
      </c>
      <c r="AA1785" s="5">
        <f>data_origin!AA2043</f>
        <v>0</v>
      </c>
      <c r="AB1785" s="5">
        <f t="shared" si="183"/>
        <v>47.889252423152421</v>
      </c>
    </row>
    <row r="1786" spans="1:28" x14ac:dyDescent="0.25">
      <c r="D1786" t="s">
        <v>71</v>
      </c>
      <c r="E1786" s="38">
        <f t="shared" ref="E1786:L1817" si="187">T1786+AW400+IFERROR((T1786/SUM(T$993:T$1982)*AW$630),0)+IFERROR((T1786/SUM(T$1125:T$1322,T$1455:T$1652,T$1785:T$1982)*AW$732),0)</f>
        <v>0</v>
      </c>
      <c r="F1786" s="38">
        <f t="shared" si="187"/>
        <v>0</v>
      </c>
      <c r="G1786" s="38">
        <f t="shared" si="187"/>
        <v>148.97915161913144</v>
      </c>
      <c r="H1786" s="38">
        <f t="shared" si="187"/>
        <v>139.10925968374457</v>
      </c>
      <c r="I1786" s="38">
        <f t="shared" si="187"/>
        <v>47.023696881231352</v>
      </c>
      <c r="J1786" s="38">
        <f t="shared" si="187"/>
        <v>7.3987345815519197</v>
      </c>
      <c r="K1786" s="38">
        <f t="shared" si="187"/>
        <v>0</v>
      </c>
      <c r="L1786" s="38">
        <f t="shared" si="187"/>
        <v>0</v>
      </c>
      <c r="M1786" s="35">
        <f t="shared" si="182"/>
        <v>342.51084276565928</v>
      </c>
      <c r="S1786" t="s">
        <v>71</v>
      </c>
      <c r="T1786" s="5">
        <f>data_origin!T2044</f>
        <v>0</v>
      </c>
      <c r="U1786" s="5">
        <f>data_origin!U2044</f>
        <v>0</v>
      </c>
      <c r="V1786" s="5">
        <f>data_origin!V2044</f>
        <v>146.93333333333334</v>
      </c>
      <c r="W1786" s="5">
        <f>data_origin!W2044</f>
        <v>136.71119299861815</v>
      </c>
      <c r="X1786" s="5">
        <f>data_origin!X2044</f>
        <v>46.218487394957982</v>
      </c>
      <c r="Y1786" s="5">
        <f>data_origin!Y2044</f>
        <v>7.2631578947368425</v>
      </c>
      <c r="Z1786" s="5">
        <f>data_origin!Z2044</f>
        <v>0</v>
      </c>
      <c r="AA1786" s="5">
        <f>data_origin!AA2044</f>
        <v>0</v>
      </c>
      <c r="AB1786" s="5">
        <f t="shared" si="183"/>
        <v>337.12617162164634</v>
      </c>
    </row>
    <row r="1787" spans="1:28" x14ac:dyDescent="0.25">
      <c r="D1787" t="s">
        <v>72</v>
      </c>
      <c r="E1787" s="38">
        <f t="shared" si="187"/>
        <v>0</v>
      </c>
      <c r="F1787" s="38">
        <f t="shared" si="187"/>
        <v>0</v>
      </c>
      <c r="G1787" s="38">
        <f t="shared" si="187"/>
        <v>47.046047879725712</v>
      </c>
      <c r="H1787" s="38">
        <f t="shared" si="187"/>
        <v>73.280770726258297</v>
      </c>
      <c r="I1787" s="38">
        <f t="shared" si="187"/>
        <v>29.389810550769592</v>
      </c>
      <c r="J1787" s="38">
        <f t="shared" si="187"/>
        <v>6.1656121512932662</v>
      </c>
      <c r="K1787" s="38">
        <f t="shared" si="187"/>
        <v>0</v>
      </c>
      <c r="L1787" s="38">
        <f t="shared" si="187"/>
        <v>0</v>
      </c>
      <c r="M1787" s="35">
        <f t="shared" si="182"/>
        <v>155.88224130804687</v>
      </c>
      <c r="S1787" t="s">
        <v>72</v>
      </c>
      <c r="T1787" s="5">
        <f>data_origin!T2045</f>
        <v>0</v>
      </c>
      <c r="U1787" s="5">
        <f>data_origin!U2045</f>
        <v>0</v>
      </c>
      <c r="V1787" s="5">
        <f>data_origin!V2045</f>
        <v>46.4</v>
      </c>
      <c r="W1787" s="5">
        <f>data_origin!W2045</f>
        <v>72.017503454629207</v>
      </c>
      <c r="X1787" s="5">
        <f>data_origin!X2045</f>
        <v>28.886554621848738</v>
      </c>
      <c r="Y1787" s="5">
        <f>data_origin!Y2045</f>
        <v>6.0526315789473681</v>
      </c>
      <c r="Z1787" s="5">
        <f>data_origin!Z2045</f>
        <v>0</v>
      </c>
      <c r="AA1787" s="5">
        <f>data_origin!AA2045</f>
        <v>0</v>
      </c>
      <c r="AB1787" s="5">
        <f t="shared" si="183"/>
        <v>153.35668965542533</v>
      </c>
    </row>
    <row r="1788" spans="1:28" x14ac:dyDescent="0.25">
      <c r="D1788" t="s">
        <v>73</v>
      </c>
      <c r="E1788" s="38">
        <f t="shared" si="187"/>
        <v>0</v>
      </c>
      <c r="F1788" s="38">
        <f t="shared" si="187"/>
        <v>0</v>
      </c>
      <c r="G1788" s="38">
        <f t="shared" si="187"/>
        <v>7.841007979954286</v>
      </c>
      <c r="H1788" s="38">
        <f t="shared" si="187"/>
        <v>12.420469614620048</v>
      </c>
      <c r="I1788" s="38">
        <f t="shared" si="187"/>
        <v>3.5267772660923518</v>
      </c>
      <c r="J1788" s="38">
        <f t="shared" si="187"/>
        <v>0</v>
      </c>
      <c r="K1788" s="38">
        <f t="shared" si="187"/>
        <v>0</v>
      </c>
      <c r="L1788" s="38">
        <f t="shared" si="187"/>
        <v>0</v>
      </c>
      <c r="M1788" s="35">
        <f t="shared" si="182"/>
        <v>23.788254860666687</v>
      </c>
      <c r="S1788" t="s">
        <v>73</v>
      </c>
      <c r="T1788" s="5">
        <f>data_origin!T2046</f>
        <v>0</v>
      </c>
      <c r="U1788" s="5">
        <f>data_origin!U2046</f>
        <v>0</v>
      </c>
      <c r="V1788" s="5">
        <f>data_origin!V2046</f>
        <v>7.7333333333333334</v>
      </c>
      <c r="W1788" s="5">
        <f>data_origin!W2046</f>
        <v>12.206356517733763</v>
      </c>
      <c r="X1788" s="5">
        <f>data_origin!X2046</f>
        <v>3.4663865546218489</v>
      </c>
      <c r="Y1788" s="5">
        <f>data_origin!Y2046</f>
        <v>0</v>
      </c>
      <c r="Z1788" s="5">
        <f>data_origin!Z2046</f>
        <v>0</v>
      </c>
      <c r="AA1788" s="5">
        <f>data_origin!AA2046</f>
        <v>0</v>
      </c>
      <c r="AB1788" s="5">
        <f t="shared" si="183"/>
        <v>23.406076405688946</v>
      </c>
    </row>
    <row r="1789" spans="1:28" x14ac:dyDescent="0.25">
      <c r="D1789" t="s">
        <v>74</v>
      </c>
      <c r="E1789" s="38">
        <f t="shared" si="187"/>
        <v>0</v>
      </c>
      <c r="F1789" s="38">
        <f t="shared" si="187"/>
        <v>0</v>
      </c>
      <c r="G1789" s="38">
        <f t="shared" si="187"/>
        <v>22.216189276537143</v>
      </c>
      <c r="H1789" s="38">
        <f t="shared" si="187"/>
        <v>83.217146417954325</v>
      </c>
      <c r="I1789" s="38">
        <f t="shared" si="187"/>
        <v>64.657583211693108</v>
      </c>
      <c r="J1789" s="38">
        <f t="shared" si="187"/>
        <v>6.1656121512932662</v>
      </c>
      <c r="K1789" s="38">
        <f t="shared" si="187"/>
        <v>0</v>
      </c>
      <c r="L1789" s="38">
        <f t="shared" si="187"/>
        <v>0</v>
      </c>
      <c r="M1789" s="35">
        <f t="shared" si="182"/>
        <v>176.25653105747784</v>
      </c>
      <c r="S1789" t="s">
        <v>74</v>
      </c>
      <c r="T1789" s="5">
        <f>data_origin!T2047</f>
        <v>0</v>
      </c>
      <c r="U1789" s="5">
        <f>data_origin!U2047</f>
        <v>0</v>
      </c>
      <c r="V1789" s="5">
        <f>data_origin!V2047</f>
        <v>21.911111111111111</v>
      </c>
      <c r="W1789" s="5">
        <f>data_origin!W2047</f>
        <v>81.782588668816217</v>
      </c>
      <c r="X1789" s="5">
        <f>data_origin!X2047</f>
        <v>63.550420168067227</v>
      </c>
      <c r="Y1789" s="5">
        <f>data_origin!Y2047</f>
        <v>6.0526315789473681</v>
      </c>
      <c r="Z1789" s="5">
        <f>data_origin!Z2047</f>
        <v>0</v>
      </c>
      <c r="AA1789" s="5">
        <f>data_origin!AA2047</f>
        <v>0</v>
      </c>
      <c r="AB1789" s="5">
        <f t="shared" si="183"/>
        <v>173.29675152694193</v>
      </c>
    </row>
    <row r="1790" spans="1:28" x14ac:dyDescent="0.25">
      <c r="D1790" t="s">
        <v>75</v>
      </c>
      <c r="E1790" s="38">
        <f t="shared" si="187"/>
        <v>0</v>
      </c>
      <c r="F1790" s="38">
        <f t="shared" si="187"/>
        <v>0</v>
      </c>
      <c r="G1790" s="38">
        <f t="shared" si="187"/>
        <v>41.818709226422854</v>
      </c>
      <c r="H1790" s="38">
        <f t="shared" si="187"/>
        <v>54.65006630432822</v>
      </c>
      <c r="I1790" s="38">
        <f t="shared" si="187"/>
        <v>21.160663596554109</v>
      </c>
      <c r="J1790" s="38">
        <f t="shared" si="187"/>
        <v>0</v>
      </c>
      <c r="K1790" s="38">
        <f t="shared" si="187"/>
        <v>0</v>
      </c>
      <c r="L1790" s="38">
        <f t="shared" si="187"/>
        <v>0</v>
      </c>
      <c r="M1790" s="35">
        <f t="shared" si="182"/>
        <v>117.62943912730518</v>
      </c>
      <c r="S1790" t="s">
        <v>75</v>
      </c>
      <c r="T1790" s="5">
        <f>data_origin!T2048</f>
        <v>0</v>
      </c>
      <c r="U1790" s="5">
        <f>data_origin!U2048</f>
        <v>0</v>
      </c>
      <c r="V1790" s="5">
        <f>data_origin!V2048</f>
        <v>41.24444444444444</v>
      </c>
      <c r="W1790" s="5">
        <f>data_origin!W2048</f>
        <v>53.707968678028557</v>
      </c>
      <c r="X1790" s="5">
        <f>data_origin!X2048</f>
        <v>20.798319327731093</v>
      </c>
      <c r="Y1790" s="5">
        <f>data_origin!Y2048</f>
        <v>0</v>
      </c>
      <c r="Z1790" s="5">
        <f>data_origin!Z2048</f>
        <v>0</v>
      </c>
      <c r="AA1790" s="5">
        <f>data_origin!AA2048</f>
        <v>0</v>
      </c>
      <c r="AB1790" s="5">
        <f t="shared" si="183"/>
        <v>115.75073245020408</v>
      </c>
    </row>
    <row r="1791" spans="1:28" x14ac:dyDescent="0.25">
      <c r="D1791" t="s">
        <v>76</v>
      </c>
      <c r="E1791" s="38">
        <f t="shared" si="187"/>
        <v>0</v>
      </c>
      <c r="F1791" s="38">
        <f t="shared" si="187"/>
        <v>0</v>
      </c>
      <c r="G1791" s="38">
        <f t="shared" si="187"/>
        <v>113.69461570933713</v>
      </c>
      <c r="H1791" s="38">
        <f t="shared" si="187"/>
        <v>135.38311879935853</v>
      </c>
      <c r="I1791" s="38">
        <f t="shared" si="187"/>
        <v>70.535545321847025</v>
      </c>
      <c r="J1791" s="38">
        <f t="shared" si="187"/>
        <v>4.9324897210346119</v>
      </c>
      <c r="K1791" s="38">
        <f t="shared" si="187"/>
        <v>0</v>
      </c>
      <c r="L1791" s="38">
        <f t="shared" si="187"/>
        <v>0</v>
      </c>
      <c r="M1791" s="35">
        <f t="shared" si="182"/>
        <v>324.54576955157722</v>
      </c>
      <c r="S1791" t="s">
        <v>76</v>
      </c>
      <c r="T1791" s="5">
        <f>data_origin!T2049</f>
        <v>0</v>
      </c>
      <c r="U1791" s="5">
        <f>data_origin!U2049</f>
        <v>0</v>
      </c>
      <c r="V1791" s="5">
        <f>data_origin!V2049</f>
        <v>112.13333333333333</v>
      </c>
      <c r="W1791" s="5">
        <f>data_origin!W2049</f>
        <v>133.04928604329803</v>
      </c>
      <c r="X1791" s="5">
        <f>data_origin!X2049</f>
        <v>69.327731092436977</v>
      </c>
      <c r="Y1791" s="5">
        <f>data_origin!Y2049</f>
        <v>4.8421052631578947</v>
      </c>
      <c r="Z1791" s="5">
        <f>data_origin!Z2049</f>
        <v>0</v>
      </c>
      <c r="AA1791" s="5">
        <f>data_origin!AA2049</f>
        <v>0</v>
      </c>
      <c r="AB1791" s="5">
        <f t="shared" si="183"/>
        <v>319.35245573222625</v>
      </c>
    </row>
    <row r="1792" spans="1:28" x14ac:dyDescent="0.25">
      <c r="D1792" t="s">
        <v>77</v>
      </c>
      <c r="E1792" s="38">
        <f t="shared" si="187"/>
        <v>0</v>
      </c>
      <c r="F1792" s="38">
        <f t="shared" si="187"/>
        <v>0</v>
      </c>
      <c r="G1792" s="38">
        <f t="shared" si="187"/>
        <v>98.012599749428574</v>
      </c>
      <c r="H1792" s="38">
        <f t="shared" si="187"/>
        <v>187.54909118076276</v>
      </c>
      <c r="I1792" s="38">
        <f t="shared" si="187"/>
        <v>90.520616496370351</v>
      </c>
      <c r="J1792" s="38">
        <f t="shared" si="187"/>
        <v>3.6993672907759598</v>
      </c>
      <c r="K1792" s="38">
        <f t="shared" si="187"/>
        <v>0</v>
      </c>
      <c r="L1792" s="38">
        <f t="shared" si="187"/>
        <v>0</v>
      </c>
      <c r="M1792" s="35">
        <f t="shared" si="182"/>
        <v>379.78167471733764</v>
      </c>
      <c r="S1792" t="s">
        <v>77</v>
      </c>
      <c r="T1792" s="5">
        <f>data_origin!T2050</f>
        <v>0</v>
      </c>
      <c r="U1792" s="5">
        <f>data_origin!U2050</f>
        <v>0</v>
      </c>
      <c r="V1792" s="5">
        <f>data_origin!V2050</f>
        <v>96.666666666666657</v>
      </c>
      <c r="W1792" s="5">
        <f>data_origin!W2050</f>
        <v>184.31598341777982</v>
      </c>
      <c r="X1792" s="5">
        <f>data_origin!X2050</f>
        <v>88.970588235294116</v>
      </c>
      <c r="Y1792" s="5">
        <f>data_origin!Y2050</f>
        <v>3.6315789473684212</v>
      </c>
      <c r="Z1792" s="5">
        <f>data_origin!Z2050</f>
        <v>0</v>
      </c>
      <c r="AA1792" s="5">
        <f>data_origin!AA2050</f>
        <v>0</v>
      </c>
      <c r="AB1792" s="5">
        <f t="shared" si="183"/>
        <v>373.58481726710909</v>
      </c>
    </row>
    <row r="1793" spans="4:28" x14ac:dyDescent="0.25">
      <c r="D1793" t="s">
        <v>78</v>
      </c>
      <c r="E1793" s="38">
        <f t="shared" si="187"/>
        <v>0</v>
      </c>
      <c r="F1793" s="38">
        <f t="shared" si="187"/>
        <v>0</v>
      </c>
      <c r="G1793" s="38">
        <f t="shared" si="187"/>
        <v>60.114394512982855</v>
      </c>
      <c r="H1793" s="38">
        <f t="shared" si="187"/>
        <v>95.637616032574385</v>
      </c>
      <c r="I1793" s="38">
        <f t="shared" si="187"/>
        <v>56.428436257477628</v>
      </c>
      <c r="J1793" s="38">
        <f t="shared" si="187"/>
        <v>1.233122430258653</v>
      </c>
      <c r="K1793" s="38">
        <f t="shared" si="187"/>
        <v>0</v>
      </c>
      <c r="L1793" s="38">
        <f t="shared" si="187"/>
        <v>0</v>
      </c>
      <c r="M1793" s="35">
        <f t="shared" si="182"/>
        <v>213.41356923329354</v>
      </c>
      <c r="S1793" t="s">
        <v>78</v>
      </c>
      <c r="T1793" s="5">
        <f>data_origin!T2051</f>
        <v>0</v>
      </c>
      <c r="U1793" s="5">
        <f>data_origin!U2051</f>
        <v>0</v>
      </c>
      <c r="V1793" s="5">
        <f>data_origin!V2051</f>
        <v>59.288888888888891</v>
      </c>
      <c r="W1793" s="5">
        <f>data_origin!W2051</f>
        <v>93.988945186549984</v>
      </c>
      <c r="X1793" s="5">
        <f>data_origin!X2051</f>
        <v>55.462184873949582</v>
      </c>
      <c r="Y1793" s="5">
        <f>data_origin!Y2051</f>
        <v>1.2105263157894737</v>
      </c>
      <c r="Z1793" s="5">
        <f>data_origin!Z2051</f>
        <v>0</v>
      </c>
      <c r="AA1793" s="5">
        <f>data_origin!AA2051</f>
        <v>0</v>
      </c>
      <c r="AB1793" s="5">
        <f t="shared" si="183"/>
        <v>209.95054526517794</v>
      </c>
    </row>
    <row r="1794" spans="4:28" x14ac:dyDescent="0.25">
      <c r="D1794" t="s">
        <v>79</v>
      </c>
      <c r="E1794" s="38">
        <f t="shared" si="187"/>
        <v>0</v>
      </c>
      <c r="F1794" s="38">
        <f t="shared" si="187"/>
        <v>0</v>
      </c>
      <c r="G1794" s="38">
        <f t="shared" si="187"/>
        <v>91.478426432800021</v>
      </c>
      <c r="H1794" s="38">
        <f t="shared" si="187"/>
        <v>60.860301111638243</v>
      </c>
      <c r="I1794" s="38">
        <f t="shared" si="187"/>
        <v>28.214218128738814</v>
      </c>
      <c r="J1794" s="38">
        <f t="shared" si="187"/>
        <v>4.9324897210346119</v>
      </c>
      <c r="K1794" s="38">
        <f t="shared" si="187"/>
        <v>0</v>
      </c>
      <c r="L1794" s="38">
        <f t="shared" si="187"/>
        <v>0</v>
      </c>
      <c r="M1794" s="35">
        <f t="shared" si="182"/>
        <v>185.48543539421169</v>
      </c>
      <c r="S1794" t="s">
        <v>79</v>
      </c>
      <c r="T1794" s="5">
        <f>data_origin!T2052</f>
        <v>0</v>
      </c>
      <c r="U1794" s="5">
        <f>data_origin!U2052</f>
        <v>0</v>
      </c>
      <c r="V1794" s="5">
        <f>data_origin!V2052</f>
        <v>90.222222222222229</v>
      </c>
      <c r="W1794" s="5">
        <f>data_origin!W2052</f>
        <v>59.81114693689544</v>
      </c>
      <c r="X1794" s="5">
        <f>data_origin!X2052</f>
        <v>27.731092436974791</v>
      </c>
      <c r="Y1794" s="5">
        <f>data_origin!Y2052</f>
        <v>4.8421052631578947</v>
      </c>
      <c r="Z1794" s="5">
        <f>data_origin!Z2052</f>
        <v>0</v>
      </c>
      <c r="AA1794" s="5">
        <f>data_origin!AA2052</f>
        <v>0</v>
      </c>
      <c r="AB1794" s="5">
        <f t="shared" si="183"/>
        <v>182.60656685925036</v>
      </c>
    </row>
    <row r="1795" spans="4:28" x14ac:dyDescent="0.25">
      <c r="D1795" t="s">
        <v>80</v>
      </c>
      <c r="E1795" s="38">
        <f t="shared" si="187"/>
        <v>0</v>
      </c>
      <c r="F1795" s="38">
        <f t="shared" si="187"/>
        <v>0</v>
      </c>
      <c r="G1795" s="38">
        <f t="shared" si="187"/>
        <v>126.76296234259429</v>
      </c>
      <c r="H1795" s="38">
        <f t="shared" si="187"/>
        <v>170.16043372029469</v>
      </c>
      <c r="I1795" s="38">
        <f t="shared" si="187"/>
        <v>86.993839230277999</v>
      </c>
      <c r="J1795" s="38">
        <f t="shared" si="187"/>
        <v>9.8649794420692238</v>
      </c>
      <c r="K1795" s="38">
        <f t="shared" si="187"/>
        <v>1.0214285714285714</v>
      </c>
      <c r="L1795" s="38">
        <f t="shared" si="187"/>
        <v>0</v>
      </c>
      <c r="M1795" s="35">
        <f t="shared" ref="M1795:M1858" si="188">SUM(E1795:L1795)</f>
        <v>394.80364330666475</v>
      </c>
      <c r="S1795" t="s">
        <v>80</v>
      </c>
      <c r="T1795" s="5">
        <f>data_origin!T2053</f>
        <v>0</v>
      </c>
      <c r="U1795" s="5">
        <f>data_origin!U2053</f>
        <v>0</v>
      </c>
      <c r="V1795" s="5">
        <f>data_origin!V2053</f>
        <v>125.02222222222223</v>
      </c>
      <c r="W1795" s="5">
        <f>data_origin!W2053</f>
        <v>167.22708429295255</v>
      </c>
      <c r="X1795" s="5">
        <f>data_origin!X2053</f>
        <v>85.504201680672267</v>
      </c>
      <c r="Y1795" s="5">
        <f>data_origin!Y2053</f>
        <v>9.6842105263157894</v>
      </c>
      <c r="Z1795" s="5">
        <f>data_origin!Z2053</f>
        <v>1</v>
      </c>
      <c r="AA1795" s="5">
        <f>data_origin!AA2053</f>
        <v>0</v>
      </c>
      <c r="AB1795" s="5">
        <f t="shared" si="183"/>
        <v>388.43771872216286</v>
      </c>
    </row>
    <row r="1796" spans="4:28" x14ac:dyDescent="0.25">
      <c r="D1796" t="s">
        <v>81</v>
      </c>
      <c r="E1796" s="38">
        <f t="shared" si="187"/>
        <v>0</v>
      </c>
      <c r="F1796" s="38">
        <f t="shared" si="187"/>
        <v>0</v>
      </c>
      <c r="G1796" s="38">
        <f t="shared" si="187"/>
        <v>27.443527929840002</v>
      </c>
      <c r="H1796" s="38">
        <f t="shared" si="187"/>
        <v>38.503455805322155</v>
      </c>
      <c r="I1796" s="38">
        <f t="shared" si="187"/>
        <v>15.282701486400189</v>
      </c>
      <c r="J1796" s="38">
        <f t="shared" si="187"/>
        <v>1.233122430258653</v>
      </c>
      <c r="K1796" s="38">
        <f t="shared" si="187"/>
        <v>0</v>
      </c>
      <c r="L1796" s="38">
        <f t="shared" si="187"/>
        <v>0</v>
      </c>
      <c r="M1796" s="35">
        <f t="shared" si="188"/>
        <v>82.462807651820981</v>
      </c>
      <c r="S1796" t="s">
        <v>81</v>
      </c>
      <c r="T1796" s="5">
        <f>data_origin!T2054</f>
        <v>0</v>
      </c>
      <c r="U1796" s="5">
        <f>data_origin!U2054</f>
        <v>0</v>
      </c>
      <c r="V1796" s="5">
        <f>data_origin!V2054</f>
        <v>27.066666666666666</v>
      </c>
      <c r="W1796" s="5">
        <f>data_origin!W2054</f>
        <v>37.839705204974663</v>
      </c>
      <c r="X1796" s="5">
        <f>data_origin!X2054</f>
        <v>15.021008403361344</v>
      </c>
      <c r="Y1796" s="5">
        <f>data_origin!Y2054</f>
        <v>1.2105263157894737</v>
      </c>
      <c r="Z1796" s="5">
        <f>data_origin!Z2054</f>
        <v>0</v>
      </c>
      <c r="AA1796" s="5">
        <f>data_origin!AA2054</f>
        <v>0</v>
      </c>
      <c r="AB1796" s="5">
        <f t="shared" si="183"/>
        <v>81.137906590792156</v>
      </c>
    </row>
    <row r="1797" spans="4:28" x14ac:dyDescent="0.25">
      <c r="D1797" t="s">
        <v>82</v>
      </c>
      <c r="E1797" s="38">
        <f t="shared" si="187"/>
        <v>0</v>
      </c>
      <c r="F1797" s="38">
        <f t="shared" si="187"/>
        <v>0</v>
      </c>
      <c r="G1797" s="38">
        <f t="shared" si="187"/>
        <v>91.478426432800021</v>
      </c>
      <c r="H1797" s="38">
        <f t="shared" si="187"/>
        <v>91.911475148188359</v>
      </c>
      <c r="I1797" s="38">
        <f t="shared" si="187"/>
        <v>38.794549927015865</v>
      </c>
      <c r="J1797" s="38">
        <f t="shared" si="187"/>
        <v>2.466244860517306</v>
      </c>
      <c r="K1797" s="38">
        <f t="shared" si="187"/>
        <v>1.0214285714285714</v>
      </c>
      <c r="L1797" s="38">
        <f t="shared" si="187"/>
        <v>0</v>
      </c>
      <c r="M1797" s="35">
        <f t="shared" si="188"/>
        <v>225.67212493995012</v>
      </c>
      <c r="S1797" t="s">
        <v>82</v>
      </c>
      <c r="T1797" s="5">
        <f>data_origin!T2055</f>
        <v>0</v>
      </c>
      <c r="U1797" s="5">
        <f>data_origin!U2055</f>
        <v>0</v>
      </c>
      <c r="V1797" s="5">
        <f>data_origin!V2055</f>
        <v>90.222222222222229</v>
      </c>
      <c r="W1797" s="5">
        <f>data_origin!W2055</f>
        <v>90.327038231229849</v>
      </c>
      <c r="X1797" s="5">
        <f>data_origin!X2055</f>
        <v>38.130252100840337</v>
      </c>
      <c r="Y1797" s="5">
        <f>data_origin!Y2055</f>
        <v>2.4210526315789473</v>
      </c>
      <c r="Z1797" s="5">
        <f>data_origin!Z2055</f>
        <v>1</v>
      </c>
      <c r="AA1797" s="5">
        <f>data_origin!AA2055</f>
        <v>0</v>
      </c>
      <c r="AB1797" s="5">
        <f t="shared" si="183"/>
        <v>222.10056518587135</v>
      </c>
    </row>
    <row r="1798" spans="4:28" x14ac:dyDescent="0.25">
      <c r="D1798" t="s">
        <v>83</v>
      </c>
      <c r="E1798" s="38">
        <f t="shared" si="187"/>
        <v>0</v>
      </c>
      <c r="F1798" s="38">
        <f t="shared" si="187"/>
        <v>0</v>
      </c>
      <c r="G1798" s="38">
        <f t="shared" si="187"/>
        <v>11.761511969931428</v>
      </c>
      <c r="H1798" s="38">
        <f t="shared" si="187"/>
        <v>18.630704421930073</v>
      </c>
      <c r="I1798" s="38">
        <f t="shared" si="187"/>
        <v>9.404739376246269</v>
      </c>
      <c r="J1798" s="38">
        <f t="shared" si="187"/>
        <v>0</v>
      </c>
      <c r="K1798" s="38">
        <f t="shared" si="187"/>
        <v>0</v>
      </c>
      <c r="L1798" s="38">
        <f t="shared" si="187"/>
        <v>0</v>
      </c>
      <c r="M1798" s="35">
        <f t="shared" si="188"/>
        <v>39.796955768107772</v>
      </c>
      <c r="S1798" t="s">
        <v>83</v>
      </c>
      <c r="T1798" s="5">
        <f>data_origin!T2056</f>
        <v>0</v>
      </c>
      <c r="U1798" s="5">
        <f>data_origin!U2056</f>
        <v>0</v>
      </c>
      <c r="V1798" s="5">
        <f>data_origin!V2056</f>
        <v>11.6</v>
      </c>
      <c r="W1798" s="5">
        <f>data_origin!W2056</f>
        <v>18.309534776600646</v>
      </c>
      <c r="X1798" s="5">
        <f>data_origin!X2056</f>
        <v>9.2436974789915958</v>
      </c>
      <c r="Y1798" s="5">
        <f>data_origin!Y2056</f>
        <v>0</v>
      </c>
      <c r="Z1798" s="5">
        <f>data_origin!Z2056</f>
        <v>0</v>
      </c>
      <c r="AA1798" s="5">
        <f>data_origin!AA2056</f>
        <v>0</v>
      </c>
      <c r="AB1798" s="5">
        <f t="shared" si="183"/>
        <v>39.153232255592243</v>
      </c>
    </row>
    <row r="1799" spans="4:28" x14ac:dyDescent="0.25">
      <c r="D1799" t="s">
        <v>84</v>
      </c>
      <c r="E1799" s="38">
        <f t="shared" si="187"/>
        <v>0</v>
      </c>
      <c r="F1799" s="38">
        <f t="shared" si="187"/>
        <v>0</v>
      </c>
      <c r="G1799" s="38">
        <f t="shared" si="187"/>
        <v>10.454677306605713</v>
      </c>
      <c r="H1799" s="38">
        <f t="shared" si="187"/>
        <v>24.840939229240096</v>
      </c>
      <c r="I1799" s="38">
        <f t="shared" si="187"/>
        <v>11.755924220307838</v>
      </c>
      <c r="J1799" s="38">
        <f t="shared" si="187"/>
        <v>0</v>
      </c>
      <c r="K1799" s="38">
        <f t="shared" si="187"/>
        <v>0</v>
      </c>
      <c r="L1799" s="38">
        <f t="shared" si="187"/>
        <v>0</v>
      </c>
      <c r="M1799" s="35">
        <f t="shared" si="188"/>
        <v>47.051540756153649</v>
      </c>
      <c r="S1799" t="s">
        <v>84</v>
      </c>
      <c r="T1799" s="5">
        <f>data_origin!T2057</f>
        <v>0</v>
      </c>
      <c r="U1799" s="5">
        <f>data_origin!U2057</f>
        <v>0</v>
      </c>
      <c r="V1799" s="5">
        <f>data_origin!V2057</f>
        <v>10.31111111111111</v>
      </c>
      <c r="W1799" s="5">
        <f>data_origin!W2057</f>
        <v>24.412713035467526</v>
      </c>
      <c r="X1799" s="5">
        <f>data_origin!X2057</f>
        <v>11.554621848739496</v>
      </c>
      <c r="Y1799" s="5">
        <f>data_origin!Y2057</f>
        <v>0</v>
      </c>
      <c r="Z1799" s="5">
        <f>data_origin!Z2057</f>
        <v>0</v>
      </c>
      <c r="AA1799" s="5">
        <f>data_origin!AA2057</f>
        <v>0</v>
      </c>
      <c r="AB1799" s="5">
        <f t="shared" si="183"/>
        <v>46.27844599531813</v>
      </c>
    </row>
    <row r="1800" spans="4:28" x14ac:dyDescent="0.25">
      <c r="D1800" t="s">
        <v>85</v>
      </c>
      <c r="E1800" s="38">
        <f t="shared" si="187"/>
        <v>0</v>
      </c>
      <c r="F1800" s="38">
        <f t="shared" si="187"/>
        <v>0</v>
      </c>
      <c r="G1800" s="38">
        <f t="shared" si="187"/>
        <v>168.58167156901712</v>
      </c>
      <c r="H1800" s="38">
        <f t="shared" si="187"/>
        <v>209.90593648707883</v>
      </c>
      <c r="I1800" s="38">
        <f t="shared" si="187"/>
        <v>65.833175633723883</v>
      </c>
      <c r="J1800" s="38">
        <f t="shared" si="187"/>
        <v>3.6993672907759598</v>
      </c>
      <c r="K1800" s="38">
        <f t="shared" si="187"/>
        <v>0</v>
      </c>
      <c r="L1800" s="38">
        <f t="shared" si="187"/>
        <v>0</v>
      </c>
      <c r="M1800" s="35">
        <f t="shared" si="188"/>
        <v>448.02015098059582</v>
      </c>
      <c r="S1800" t="s">
        <v>85</v>
      </c>
      <c r="T1800" s="5">
        <f>data_origin!T2058</f>
        <v>0</v>
      </c>
      <c r="U1800" s="5">
        <f>data_origin!U2058</f>
        <v>0</v>
      </c>
      <c r="V1800" s="5">
        <f>data_origin!V2058</f>
        <v>166.26666666666665</v>
      </c>
      <c r="W1800" s="5">
        <f>data_origin!W2058</f>
        <v>206.2874251497006</v>
      </c>
      <c r="X1800" s="5">
        <f>data_origin!X2058</f>
        <v>64.705882352941174</v>
      </c>
      <c r="Y1800" s="5">
        <f>data_origin!Y2058</f>
        <v>3.6315789473684212</v>
      </c>
      <c r="Z1800" s="5">
        <f>data_origin!Z2058</f>
        <v>0</v>
      </c>
      <c r="AA1800" s="5">
        <f>data_origin!AA2058</f>
        <v>0</v>
      </c>
      <c r="AB1800" s="5">
        <f t="shared" si="183"/>
        <v>440.89155311667685</v>
      </c>
    </row>
    <row r="1801" spans="4:28" x14ac:dyDescent="0.25">
      <c r="D1801" t="s">
        <v>86</v>
      </c>
      <c r="E1801" s="38">
        <f t="shared" si="187"/>
        <v>0</v>
      </c>
      <c r="F1801" s="38">
        <f t="shared" si="187"/>
        <v>0</v>
      </c>
      <c r="G1801" s="38">
        <f t="shared" si="187"/>
        <v>628.58747305966858</v>
      </c>
      <c r="H1801" s="38">
        <f t="shared" si="187"/>
        <v>688.09401664995085</v>
      </c>
      <c r="I1801" s="38">
        <f t="shared" si="187"/>
        <v>269.21066464504952</v>
      </c>
      <c r="J1801" s="38">
        <f t="shared" si="187"/>
        <v>30.828060756466332</v>
      </c>
      <c r="K1801" s="38">
        <f t="shared" si="187"/>
        <v>1.0214285714285714</v>
      </c>
      <c r="L1801" s="38">
        <f t="shared" si="187"/>
        <v>0</v>
      </c>
      <c r="M1801" s="35">
        <f t="shared" si="188"/>
        <v>1617.7416436825638</v>
      </c>
      <c r="S1801" t="s">
        <v>86</v>
      </c>
      <c r="T1801" s="5">
        <f>data_origin!T2059</f>
        <v>0</v>
      </c>
      <c r="U1801" s="5">
        <f>data_origin!U2059</f>
        <v>0</v>
      </c>
      <c r="V1801" s="5">
        <f>data_origin!V2059</f>
        <v>619.95555555555552</v>
      </c>
      <c r="W1801" s="5">
        <f>data_origin!W2059</f>
        <v>676.23215108245051</v>
      </c>
      <c r="X1801" s="5">
        <f>data_origin!X2059</f>
        <v>264.60084033613447</v>
      </c>
      <c r="Y1801" s="5">
        <f>data_origin!Y2059</f>
        <v>30.263157894736842</v>
      </c>
      <c r="Z1801" s="5">
        <f>data_origin!Z2059</f>
        <v>1</v>
      </c>
      <c r="AA1801" s="5">
        <f>data_origin!AA2059</f>
        <v>0</v>
      </c>
      <c r="AB1801" s="5">
        <f t="shared" si="183"/>
        <v>1592.0517048688776</v>
      </c>
    </row>
    <row r="1802" spans="4:28" x14ac:dyDescent="0.25">
      <c r="D1802" t="s">
        <v>87</v>
      </c>
      <c r="E1802" s="38">
        <f t="shared" si="187"/>
        <v>0</v>
      </c>
      <c r="F1802" s="38">
        <f t="shared" si="187"/>
        <v>0</v>
      </c>
      <c r="G1802" s="38">
        <f t="shared" si="187"/>
        <v>23.523023939862856</v>
      </c>
      <c r="H1802" s="38">
        <f t="shared" si="187"/>
        <v>27.32503315216411</v>
      </c>
      <c r="I1802" s="38">
        <f t="shared" si="187"/>
        <v>11.755924220307838</v>
      </c>
      <c r="J1802" s="38">
        <f t="shared" si="187"/>
        <v>1.233122430258653</v>
      </c>
      <c r="K1802" s="38">
        <f t="shared" si="187"/>
        <v>0</v>
      </c>
      <c r="L1802" s="38">
        <f t="shared" si="187"/>
        <v>0</v>
      </c>
      <c r="M1802" s="35">
        <f t="shared" si="188"/>
        <v>63.837103742593456</v>
      </c>
      <c r="S1802" t="s">
        <v>87</v>
      </c>
      <c r="T1802" s="5">
        <f>data_origin!T2060</f>
        <v>0</v>
      </c>
      <c r="U1802" s="5">
        <f>data_origin!U2060</f>
        <v>0</v>
      </c>
      <c r="V1802" s="5">
        <f>data_origin!V2060</f>
        <v>23.2</v>
      </c>
      <c r="W1802" s="5">
        <f>data_origin!W2060</f>
        <v>26.853984339014279</v>
      </c>
      <c r="X1802" s="5">
        <f>data_origin!X2060</f>
        <v>11.554621848739496</v>
      </c>
      <c r="Y1802" s="5">
        <f>data_origin!Y2060</f>
        <v>1.2105263157894737</v>
      </c>
      <c r="Z1802" s="5">
        <f>data_origin!Z2060</f>
        <v>0</v>
      </c>
      <c r="AA1802" s="5">
        <f>data_origin!AA2060</f>
        <v>0</v>
      </c>
      <c r="AB1802" s="5">
        <f t="shared" si="183"/>
        <v>62.819132503543244</v>
      </c>
    </row>
    <row r="1803" spans="4:28" x14ac:dyDescent="0.25">
      <c r="D1803" t="s">
        <v>88</v>
      </c>
      <c r="E1803" s="38">
        <f t="shared" si="187"/>
        <v>0</v>
      </c>
      <c r="F1803" s="38">
        <f t="shared" si="187"/>
        <v>0</v>
      </c>
      <c r="G1803" s="38">
        <f t="shared" si="187"/>
        <v>313.64031919817143</v>
      </c>
      <c r="H1803" s="38">
        <f t="shared" si="187"/>
        <v>421.05391993561966</v>
      </c>
      <c r="I1803" s="38">
        <f t="shared" si="187"/>
        <v>152.82701486400191</v>
      </c>
      <c r="J1803" s="38">
        <f t="shared" si="187"/>
        <v>4.9324897210346119</v>
      </c>
      <c r="K1803" s="38">
        <f t="shared" si="187"/>
        <v>1.0214285714285714</v>
      </c>
      <c r="L1803" s="38">
        <f t="shared" si="187"/>
        <v>0</v>
      </c>
      <c r="M1803" s="35">
        <f t="shared" si="188"/>
        <v>893.4751722902563</v>
      </c>
      <c r="S1803" t="s">
        <v>88</v>
      </c>
      <c r="T1803" s="5">
        <f>data_origin!T2061</f>
        <v>0</v>
      </c>
      <c r="U1803" s="5">
        <f>data_origin!U2061</f>
        <v>0</v>
      </c>
      <c r="V1803" s="5">
        <f>data_origin!V2061</f>
        <v>309.33333333333331</v>
      </c>
      <c r="W1803" s="5">
        <f>data_origin!W2061</f>
        <v>413.79548595117456</v>
      </c>
      <c r="X1803" s="5">
        <f>data_origin!X2061</f>
        <v>150.21008403361344</v>
      </c>
      <c r="Y1803" s="5">
        <f>data_origin!Y2061</f>
        <v>4.8421052631578947</v>
      </c>
      <c r="Z1803" s="5">
        <f>data_origin!Z2061</f>
        <v>1</v>
      </c>
      <c r="AA1803" s="5">
        <f>data_origin!AA2061</f>
        <v>0</v>
      </c>
      <c r="AB1803" s="5">
        <f t="shared" si="183"/>
        <v>879.18100858127923</v>
      </c>
    </row>
    <row r="1804" spans="4:28" x14ac:dyDescent="0.25">
      <c r="D1804" t="s">
        <v>89</v>
      </c>
      <c r="E1804" s="38">
        <f t="shared" si="187"/>
        <v>0</v>
      </c>
      <c r="F1804" s="38">
        <f t="shared" si="187"/>
        <v>0</v>
      </c>
      <c r="G1804" s="38">
        <f t="shared" si="187"/>
        <v>3.920503989977143</v>
      </c>
      <c r="H1804" s="38">
        <f t="shared" si="187"/>
        <v>0</v>
      </c>
      <c r="I1804" s="38">
        <f t="shared" si="187"/>
        <v>1.1755924220307836</v>
      </c>
      <c r="J1804" s="38">
        <f t="shared" si="187"/>
        <v>0</v>
      </c>
      <c r="K1804" s="38">
        <f t="shared" si="187"/>
        <v>0</v>
      </c>
      <c r="L1804" s="38">
        <f t="shared" si="187"/>
        <v>0</v>
      </c>
      <c r="M1804" s="35">
        <f t="shared" si="188"/>
        <v>5.0960964120079266</v>
      </c>
      <c r="S1804" t="s">
        <v>89</v>
      </c>
      <c r="T1804" s="5">
        <f>data_origin!T2062</f>
        <v>0</v>
      </c>
      <c r="U1804" s="5">
        <f>data_origin!U2062</f>
        <v>0</v>
      </c>
      <c r="V1804" s="5">
        <f>data_origin!V2062</f>
        <v>3.8666666666666667</v>
      </c>
      <c r="W1804" s="5">
        <f>data_origin!W2062</f>
        <v>0</v>
      </c>
      <c r="X1804" s="5">
        <f>data_origin!X2062</f>
        <v>1.1554621848739495</v>
      </c>
      <c r="Y1804" s="5">
        <f>data_origin!Y2062</f>
        <v>0</v>
      </c>
      <c r="Z1804" s="5">
        <f>data_origin!Z2062</f>
        <v>0</v>
      </c>
      <c r="AA1804" s="5">
        <f>data_origin!AA2062</f>
        <v>0</v>
      </c>
      <c r="AB1804" s="5">
        <f t="shared" si="183"/>
        <v>5.0221288515406162</v>
      </c>
    </row>
    <row r="1805" spans="4:28" x14ac:dyDescent="0.25">
      <c r="D1805" t="s">
        <v>90</v>
      </c>
      <c r="E1805" s="38">
        <f t="shared" si="187"/>
        <v>0</v>
      </c>
      <c r="F1805" s="38">
        <f t="shared" si="187"/>
        <v>0</v>
      </c>
      <c r="G1805" s="38">
        <f t="shared" si="187"/>
        <v>0</v>
      </c>
      <c r="H1805" s="38">
        <f t="shared" si="187"/>
        <v>0</v>
      </c>
      <c r="I1805" s="38">
        <f t="shared" si="187"/>
        <v>0</v>
      </c>
      <c r="J1805" s="38">
        <f t="shared" si="187"/>
        <v>0</v>
      </c>
      <c r="K1805" s="38">
        <f t="shared" si="187"/>
        <v>0</v>
      </c>
      <c r="L1805" s="38">
        <f t="shared" si="187"/>
        <v>0</v>
      </c>
      <c r="M1805" s="35">
        <f t="shared" si="188"/>
        <v>0</v>
      </c>
      <c r="S1805" t="s">
        <v>90</v>
      </c>
      <c r="T1805" s="5">
        <f>data_origin!T2063</f>
        <v>0</v>
      </c>
      <c r="U1805" s="5">
        <f>data_origin!U2063</f>
        <v>0</v>
      </c>
      <c r="V1805" s="5">
        <f>data_origin!V2063</f>
        <v>0</v>
      </c>
      <c r="W1805" s="5">
        <f>data_origin!W2063</f>
        <v>0</v>
      </c>
      <c r="X1805" s="5">
        <f>data_origin!X2063</f>
        <v>0</v>
      </c>
      <c r="Y1805" s="5">
        <f>data_origin!Y2063</f>
        <v>0</v>
      </c>
      <c r="Z1805" s="5">
        <f>data_origin!Z2063</f>
        <v>0</v>
      </c>
      <c r="AA1805" s="5">
        <f>data_origin!AA2063</f>
        <v>0</v>
      </c>
      <c r="AB1805" s="5">
        <f t="shared" si="183"/>
        <v>0</v>
      </c>
    </row>
    <row r="1806" spans="4:28" x14ac:dyDescent="0.25">
      <c r="D1806" t="s">
        <v>91</v>
      </c>
      <c r="E1806" s="38">
        <f t="shared" si="187"/>
        <v>0</v>
      </c>
      <c r="F1806" s="38">
        <f t="shared" si="187"/>
        <v>0</v>
      </c>
      <c r="G1806" s="38">
        <f t="shared" si="187"/>
        <v>1.3068346633257142</v>
      </c>
      <c r="H1806" s="38">
        <f t="shared" si="187"/>
        <v>2.4840939229240098</v>
      </c>
      <c r="I1806" s="38">
        <f t="shared" si="187"/>
        <v>1.1755924220307836</v>
      </c>
      <c r="J1806" s="38">
        <f t="shared" si="187"/>
        <v>0</v>
      </c>
      <c r="K1806" s="38">
        <f t="shared" si="187"/>
        <v>0</v>
      </c>
      <c r="L1806" s="38">
        <f t="shared" si="187"/>
        <v>0</v>
      </c>
      <c r="M1806" s="35">
        <f t="shared" si="188"/>
        <v>4.9665210082805071</v>
      </c>
      <c r="S1806" t="s">
        <v>91</v>
      </c>
      <c r="T1806" s="5">
        <f>data_origin!T2064</f>
        <v>0</v>
      </c>
      <c r="U1806" s="5">
        <f>data_origin!U2064</f>
        <v>0</v>
      </c>
      <c r="V1806" s="5">
        <f>data_origin!V2064</f>
        <v>1.2888888888888888</v>
      </c>
      <c r="W1806" s="5">
        <f>data_origin!W2064</f>
        <v>2.4412713035467526</v>
      </c>
      <c r="X1806" s="5">
        <f>data_origin!X2064</f>
        <v>1.1554621848739495</v>
      </c>
      <c r="Y1806" s="5">
        <f>data_origin!Y2064</f>
        <v>0</v>
      </c>
      <c r="Z1806" s="5">
        <f>data_origin!Z2064</f>
        <v>0</v>
      </c>
      <c r="AA1806" s="5">
        <f>data_origin!AA2064</f>
        <v>0</v>
      </c>
      <c r="AB1806" s="5">
        <f t="shared" si="183"/>
        <v>4.8856223773095913</v>
      </c>
    </row>
    <row r="1807" spans="4:28" x14ac:dyDescent="0.25">
      <c r="D1807" t="s">
        <v>92</v>
      </c>
      <c r="E1807" s="38">
        <f t="shared" si="187"/>
        <v>0</v>
      </c>
      <c r="F1807" s="38">
        <f t="shared" si="187"/>
        <v>0</v>
      </c>
      <c r="G1807" s="38">
        <f t="shared" si="187"/>
        <v>1.3068346633257142</v>
      </c>
      <c r="H1807" s="38">
        <f t="shared" si="187"/>
        <v>0</v>
      </c>
      <c r="I1807" s="38">
        <f t="shared" si="187"/>
        <v>0</v>
      </c>
      <c r="J1807" s="38">
        <f t="shared" si="187"/>
        <v>0</v>
      </c>
      <c r="K1807" s="38">
        <f t="shared" si="187"/>
        <v>0</v>
      </c>
      <c r="L1807" s="38">
        <f t="shared" si="187"/>
        <v>0</v>
      </c>
      <c r="M1807" s="35">
        <f t="shared" si="188"/>
        <v>1.3068346633257142</v>
      </c>
      <c r="S1807" t="s">
        <v>92</v>
      </c>
      <c r="T1807" s="5">
        <f>data_origin!T2065</f>
        <v>0</v>
      </c>
      <c r="U1807" s="5">
        <f>data_origin!U2065</f>
        <v>0</v>
      </c>
      <c r="V1807" s="5">
        <f>data_origin!V2065</f>
        <v>1.2888888888888888</v>
      </c>
      <c r="W1807" s="5">
        <f>data_origin!W2065</f>
        <v>0</v>
      </c>
      <c r="X1807" s="5">
        <f>data_origin!X2065</f>
        <v>0</v>
      </c>
      <c r="Y1807" s="5">
        <f>data_origin!Y2065</f>
        <v>0</v>
      </c>
      <c r="Z1807" s="5">
        <f>data_origin!Z2065</f>
        <v>0</v>
      </c>
      <c r="AA1807" s="5">
        <f>data_origin!AA2065</f>
        <v>0</v>
      </c>
      <c r="AB1807" s="5">
        <f t="shared" si="183"/>
        <v>1.2888888888888888</v>
      </c>
    </row>
    <row r="1808" spans="4:28" x14ac:dyDescent="0.25">
      <c r="D1808" t="s">
        <v>93</v>
      </c>
      <c r="E1808" s="38">
        <f t="shared" si="187"/>
        <v>0</v>
      </c>
      <c r="F1808" s="38">
        <f t="shared" si="187"/>
        <v>0</v>
      </c>
      <c r="G1808" s="38">
        <f t="shared" si="187"/>
        <v>0</v>
      </c>
      <c r="H1808" s="38">
        <f t="shared" si="187"/>
        <v>0</v>
      </c>
      <c r="I1808" s="38">
        <f t="shared" si="187"/>
        <v>0</v>
      </c>
      <c r="J1808" s="38">
        <f t="shared" si="187"/>
        <v>0</v>
      </c>
      <c r="K1808" s="38">
        <f t="shared" si="187"/>
        <v>0</v>
      </c>
      <c r="L1808" s="38">
        <f t="shared" si="187"/>
        <v>0</v>
      </c>
      <c r="M1808" s="35">
        <f t="shared" si="188"/>
        <v>0</v>
      </c>
      <c r="S1808" t="s">
        <v>93</v>
      </c>
      <c r="T1808" s="5">
        <f>data_origin!T2066</f>
        <v>0</v>
      </c>
      <c r="U1808" s="5">
        <f>data_origin!U2066</f>
        <v>0</v>
      </c>
      <c r="V1808" s="5">
        <f>data_origin!V2066</f>
        <v>0</v>
      </c>
      <c r="W1808" s="5">
        <f>data_origin!W2066</f>
        <v>0</v>
      </c>
      <c r="X1808" s="5">
        <f>data_origin!X2066</f>
        <v>0</v>
      </c>
      <c r="Y1808" s="5">
        <f>data_origin!Y2066</f>
        <v>0</v>
      </c>
      <c r="Z1808" s="5">
        <f>data_origin!Z2066</f>
        <v>0</v>
      </c>
      <c r="AA1808" s="5">
        <f>data_origin!AA2066</f>
        <v>0</v>
      </c>
      <c r="AB1808" s="5">
        <f t="shared" si="183"/>
        <v>0</v>
      </c>
    </row>
    <row r="1809" spans="1:28" x14ac:dyDescent="0.25">
      <c r="D1809" t="s">
        <v>94</v>
      </c>
      <c r="E1809" s="38">
        <f t="shared" si="187"/>
        <v>0</v>
      </c>
      <c r="F1809" s="38">
        <f t="shared" si="187"/>
        <v>0</v>
      </c>
      <c r="G1809" s="38">
        <f t="shared" si="187"/>
        <v>0</v>
      </c>
      <c r="H1809" s="38">
        <f t="shared" si="187"/>
        <v>0</v>
      </c>
      <c r="I1809" s="38">
        <f t="shared" si="187"/>
        <v>0</v>
      </c>
      <c r="J1809" s="38">
        <f t="shared" si="187"/>
        <v>0</v>
      </c>
      <c r="K1809" s="38">
        <f t="shared" si="187"/>
        <v>0</v>
      </c>
      <c r="L1809" s="38">
        <f t="shared" si="187"/>
        <v>0</v>
      </c>
      <c r="M1809" s="35">
        <f t="shared" si="188"/>
        <v>0</v>
      </c>
      <c r="S1809" t="s">
        <v>94</v>
      </c>
      <c r="T1809" s="5">
        <f>data_origin!T2067</f>
        <v>0</v>
      </c>
      <c r="U1809" s="5">
        <f>data_origin!U2067</f>
        <v>0</v>
      </c>
      <c r="V1809" s="5">
        <f>data_origin!V2067</f>
        <v>0</v>
      </c>
      <c r="W1809" s="5">
        <f>data_origin!W2067</f>
        <v>0</v>
      </c>
      <c r="X1809" s="5">
        <f>data_origin!X2067</f>
        <v>0</v>
      </c>
      <c r="Y1809" s="5">
        <f>data_origin!Y2067</f>
        <v>0</v>
      </c>
      <c r="Z1809" s="5">
        <f>data_origin!Z2067</f>
        <v>0</v>
      </c>
      <c r="AA1809" s="5">
        <f>data_origin!AA2067</f>
        <v>0</v>
      </c>
      <c r="AB1809" s="5">
        <f t="shared" si="183"/>
        <v>0</v>
      </c>
    </row>
    <row r="1810" spans="1:28" x14ac:dyDescent="0.25">
      <c r="D1810" t="s">
        <v>95</v>
      </c>
      <c r="E1810" s="38">
        <f t="shared" si="187"/>
        <v>0</v>
      </c>
      <c r="F1810" s="38">
        <f t="shared" si="187"/>
        <v>0</v>
      </c>
      <c r="G1810" s="38">
        <f t="shared" si="187"/>
        <v>0</v>
      </c>
      <c r="H1810" s="38">
        <f t="shared" si="187"/>
        <v>0</v>
      </c>
      <c r="I1810" s="38">
        <f t="shared" si="187"/>
        <v>0</v>
      </c>
      <c r="J1810" s="38">
        <f t="shared" si="187"/>
        <v>0</v>
      </c>
      <c r="K1810" s="38">
        <f t="shared" si="187"/>
        <v>0</v>
      </c>
      <c r="L1810" s="38">
        <f t="shared" si="187"/>
        <v>0</v>
      </c>
      <c r="M1810" s="35">
        <f t="shared" si="188"/>
        <v>0</v>
      </c>
      <c r="S1810" t="s">
        <v>95</v>
      </c>
      <c r="T1810" s="5">
        <f>data_origin!T2068</f>
        <v>0</v>
      </c>
      <c r="U1810" s="5">
        <f>data_origin!U2068</f>
        <v>0</v>
      </c>
      <c r="V1810" s="5">
        <f>data_origin!V2068</f>
        <v>0</v>
      </c>
      <c r="W1810" s="5">
        <f>data_origin!W2068</f>
        <v>0</v>
      </c>
      <c r="X1810" s="5">
        <f>data_origin!X2068</f>
        <v>0</v>
      </c>
      <c r="Y1810" s="5">
        <f>data_origin!Y2068</f>
        <v>0</v>
      </c>
      <c r="Z1810" s="5">
        <f>data_origin!Z2068</f>
        <v>0</v>
      </c>
      <c r="AA1810" s="5">
        <f>data_origin!AA2068</f>
        <v>0</v>
      </c>
      <c r="AB1810" s="5">
        <f t="shared" si="183"/>
        <v>0</v>
      </c>
    </row>
    <row r="1811" spans="1:28" x14ac:dyDescent="0.25">
      <c r="D1811" t="s">
        <v>96</v>
      </c>
      <c r="E1811" s="38">
        <f t="shared" si="187"/>
        <v>0</v>
      </c>
      <c r="F1811" s="38">
        <f t="shared" si="187"/>
        <v>0</v>
      </c>
      <c r="G1811" s="38">
        <f t="shared" si="187"/>
        <v>19.602519949885714</v>
      </c>
      <c r="H1811" s="38">
        <f t="shared" si="187"/>
        <v>16.146610499006066</v>
      </c>
      <c r="I1811" s="38">
        <f t="shared" si="187"/>
        <v>2.3511848440615672</v>
      </c>
      <c r="J1811" s="38">
        <f t="shared" si="187"/>
        <v>2.466244860517306</v>
      </c>
      <c r="K1811" s="38">
        <f t="shared" si="187"/>
        <v>0</v>
      </c>
      <c r="L1811" s="38">
        <f t="shared" si="187"/>
        <v>0</v>
      </c>
      <c r="M1811" s="35">
        <f t="shared" si="188"/>
        <v>40.566560153470647</v>
      </c>
      <c r="S1811" t="s">
        <v>96</v>
      </c>
      <c r="T1811" s="5">
        <f>data_origin!T2069</f>
        <v>0</v>
      </c>
      <c r="U1811" s="5">
        <f>data_origin!U2069</f>
        <v>0</v>
      </c>
      <c r="V1811" s="5">
        <f>data_origin!V2069</f>
        <v>19.333333333333332</v>
      </c>
      <c r="W1811" s="5">
        <f>data_origin!W2069</f>
        <v>15.868263473053892</v>
      </c>
      <c r="X1811" s="5">
        <f>data_origin!X2069</f>
        <v>2.3109243697478989</v>
      </c>
      <c r="Y1811" s="5">
        <f>data_origin!Y2069</f>
        <v>2.4210526315789473</v>
      </c>
      <c r="Z1811" s="5">
        <f>data_origin!Z2069</f>
        <v>0</v>
      </c>
      <c r="AA1811" s="5">
        <f>data_origin!AA2069</f>
        <v>0</v>
      </c>
      <c r="AB1811" s="5">
        <f t="shared" si="183"/>
        <v>39.933573807714069</v>
      </c>
    </row>
    <row r="1812" spans="1:28" x14ac:dyDescent="0.25">
      <c r="D1812" t="s">
        <v>97</v>
      </c>
      <c r="E1812" s="38">
        <f t="shared" si="187"/>
        <v>0</v>
      </c>
      <c r="F1812" s="38">
        <f t="shared" si="187"/>
        <v>0</v>
      </c>
      <c r="G1812" s="38">
        <f t="shared" si="187"/>
        <v>1.3068346633257142</v>
      </c>
      <c r="H1812" s="38">
        <f t="shared" si="187"/>
        <v>0</v>
      </c>
      <c r="I1812" s="38">
        <f t="shared" si="187"/>
        <v>0</v>
      </c>
      <c r="J1812" s="38">
        <f t="shared" si="187"/>
        <v>0</v>
      </c>
      <c r="K1812" s="38">
        <f t="shared" si="187"/>
        <v>0</v>
      </c>
      <c r="L1812" s="38">
        <f t="shared" si="187"/>
        <v>0</v>
      </c>
      <c r="M1812" s="35">
        <f t="shared" si="188"/>
        <v>1.3068346633257142</v>
      </c>
      <c r="S1812" t="s">
        <v>97</v>
      </c>
      <c r="T1812" s="5">
        <f>data_origin!T2070</f>
        <v>0</v>
      </c>
      <c r="U1812" s="5">
        <f>data_origin!U2070</f>
        <v>0</v>
      </c>
      <c r="V1812" s="5">
        <f>data_origin!V2070</f>
        <v>1.2888888888888888</v>
      </c>
      <c r="W1812" s="5">
        <f>data_origin!W2070</f>
        <v>0</v>
      </c>
      <c r="X1812" s="5">
        <f>data_origin!X2070</f>
        <v>0</v>
      </c>
      <c r="Y1812" s="5">
        <f>data_origin!Y2070</f>
        <v>0</v>
      </c>
      <c r="Z1812" s="5">
        <f>data_origin!Z2070</f>
        <v>0</v>
      </c>
      <c r="AA1812" s="5">
        <f>data_origin!AA2070</f>
        <v>0</v>
      </c>
      <c r="AB1812" s="5">
        <f t="shared" si="183"/>
        <v>1.2888888888888888</v>
      </c>
    </row>
    <row r="1813" spans="1:28" x14ac:dyDescent="0.25">
      <c r="D1813" t="s">
        <v>98</v>
      </c>
      <c r="E1813" s="38">
        <f t="shared" si="187"/>
        <v>0</v>
      </c>
      <c r="F1813" s="38">
        <f t="shared" si="187"/>
        <v>0</v>
      </c>
      <c r="G1813" s="38">
        <f t="shared" si="187"/>
        <v>2.6136693266514284</v>
      </c>
      <c r="H1813" s="38">
        <f t="shared" si="187"/>
        <v>2.4840939229240098</v>
      </c>
      <c r="I1813" s="38">
        <f t="shared" si="187"/>
        <v>0</v>
      </c>
      <c r="J1813" s="38">
        <f t="shared" si="187"/>
        <v>0</v>
      </c>
      <c r="K1813" s="38">
        <f t="shared" si="187"/>
        <v>0</v>
      </c>
      <c r="L1813" s="38">
        <f t="shared" si="187"/>
        <v>0</v>
      </c>
      <c r="M1813" s="35">
        <f t="shared" si="188"/>
        <v>5.0977632495754381</v>
      </c>
      <c r="S1813" t="s">
        <v>98</v>
      </c>
      <c r="T1813" s="5">
        <f>data_origin!T2071</f>
        <v>0</v>
      </c>
      <c r="U1813" s="5">
        <f>data_origin!U2071</f>
        <v>0</v>
      </c>
      <c r="V1813" s="5">
        <f>data_origin!V2071</f>
        <v>2.5777777777777775</v>
      </c>
      <c r="W1813" s="5">
        <f>data_origin!W2071</f>
        <v>2.4412713035467526</v>
      </c>
      <c r="X1813" s="5">
        <f>data_origin!X2071</f>
        <v>0</v>
      </c>
      <c r="Y1813" s="5">
        <f>data_origin!Y2071</f>
        <v>0</v>
      </c>
      <c r="Z1813" s="5">
        <f>data_origin!Z2071</f>
        <v>0</v>
      </c>
      <c r="AA1813" s="5">
        <f>data_origin!AA2071</f>
        <v>0</v>
      </c>
      <c r="AB1813" s="5">
        <f t="shared" si="183"/>
        <v>5.0190490813245301</v>
      </c>
    </row>
    <row r="1814" spans="1:28" x14ac:dyDescent="0.25">
      <c r="D1814" t="s">
        <v>119</v>
      </c>
      <c r="E1814" s="38">
        <f t="shared" si="187"/>
        <v>0</v>
      </c>
      <c r="F1814" s="38">
        <f t="shared" si="187"/>
        <v>0</v>
      </c>
      <c r="G1814" s="38">
        <f t="shared" si="187"/>
        <v>1.3068346633257142</v>
      </c>
      <c r="H1814" s="38">
        <f t="shared" si="187"/>
        <v>0</v>
      </c>
      <c r="I1814" s="38">
        <f t="shared" si="187"/>
        <v>0</v>
      </c>
      <c r="J1814" s="38">
        <f t="shared" si="187"/>
        <v>0</v>
      </c>
      <c r="K1814" s="38">
        <f t="shared" si="187"/>
        <v>0</v>
      </c>
      <c r="L1814" s="38">
        <f t="shared" si="187"/>
        <v>0</v>
      </c>
      <c r="M1814" s="35">
        <f t="shared" si="188"/>
        <v>1.3068346633257142</v>
      </c>
      <c r="S1814" t="s">
        <v>119</v>
      </c>
      <c r="T1814" s="5">
        <f>data_origin!T2072</f>
        <v>0</v>
      </c>
      <c r="U1814" s="5">
        <f>data_origin!U2072</f>
        <v>0</v>
      </c>
      <c r="V1814" s="5">
        <f>data_origin!V2072</f>
        <v>1.2888888888888888</v>
      </c>
      <c r="W1814" s="5">
        <f>data_origin!W2072</f>
        <v>0</v>
      </c>
      <c r="X1814" s="5">
        <f>data_origin!X2072</f>
        <v>0</v>
      </c>
      <c r="Y1814" s="5">
        <f>data_origin!Y2072</f>
        <v>0</v>
      </c>
      <c r="Z1814" s="5">
        <f>data_origin!Z2072</f>
        <v>0</v>
      </c>
      <c r="AA1814" s="5">
        <f>data_origin!AA2072</f>
        <v>0</v>
      </c>
      <c r="AB1814" s="5">
        <f t="shared" si="183"/>
        <v>1.2888888888888888</v>
      </c>
    </row>
    <row r="1815" spans="1:28" x14ac:dyDescent="0.25">
      <c r="D1815" t="s">
        <v>99</v>
      </c>
      <c r="E1815" s="38">
        <f t="shared" si="187"/>
        <v>0</v>
      </c>
      <c r="F1815" s="38">
        <f t="shared" si="187"/>
        <v>0</v>
      </c>
      <c r="G1815" s="38">
        <f t="shared" si="187"/>
        <v>16.988850623234288</v>
      </c>
      <c r="H1815" s="38">
        <f t="shared" si="187"/>
        <v>33.535267959474126</v>
      </c>
      <c r="I1815" s="38">
        <f t="shared" si="187"/>
        <v>7.0535545321847035</v>
      </c>
      <c r="J1815" s="38">
        <f t="shared" si="187"/>
        <v>0</v>
      </c>
      <c r="K1815" s="38">
        <f t="shared" si="187"/>
        <v>0</v>
      </c>
      <c r="L1815" s="38">
        <f t="shared" si="187"/>
        <v>0</v>
      </c>
      <c r="M1815" s="35">
        <f t="shared" si="188"/>
        <v>57.577673114893116</v>
      </c>
      <c r="S1815" t="s">
        <v>99</v>
      </c>
      <c r="T1815" s="5">
        <f>data_origin!T2073</f>
        <v>0</v>
      </c>
      <c r="U1815" s="5">
        <f>data_origin!U2073</f>
        <v>0</v>
      </c>
      <c r="V1815" s="5">
        <f>data_origin!V2073</f>
        <v>16.755555555555556</v>
      </c>
      <c r="W1815" s="5">
        <f>data_origin!W2073</f>
        <v>32.957162597881158</v>
      </c>
      <c r="X1815" s="5">
        <f>data_origin!X2073</f>
        <v>6.9327731092436977</v>
      </c>
      <c r="Y1815" s="5">
        <f>data_origin!Y2073</f>
        <v>0</v>
      </c>
      <c r="Z1815" s="5">
        <f>data_origin!Z2073</f>
        <v>0</v>
      </c>
      <c r="AA1815" s="5">
        <f>data_origin!AA2073</f>
        <v>0</v>
      </c>
      <c r="AB1815" s="5">
        <f t="shared" si="183"/>
        <v>56.645491262680409</v>
      </c>
    </row>
    <row r="1816" spans="1:28" x14ac:dyDescent="0.25">
      <c r="D1816" t="s">
        <v>100</v>
      </c>
      <c r="E1816" s="38">
        <f t="shared" si="187"/>
        <v>0</v>
      </c>
      <c r="F1816" s="38">
        <f t="shared" si="187"/>
        <v>0</v>
      </c>
      <c r="G1816" s="38">
        <f t="shared" si="187"/>
        <v>1.3068346633257142</v>
      </c>
      <c r="H1816" s="38">
        <f t="shared" si="187"/>
        <v>0</v>
      </c>
      <c r="I1816" s="38">
        <f t="shared" si="187"/>
        <v>0</v>
      </c>
      <c r="J1816" s="38">
        <f t="shared" si="187"/>
        <v>0</v>
      </c>
      <c r="K1816" s="38">
        <f t="shared" si="187"/>
        <v>0</v>
      </c>
      <c r="L1816" s="38">
        <f t="shared" si="187"/>
        <v>0</v>
      </c>
      <c r="M1816" s="35">
        <f t="shared" si="188"/>
        <v>1.3068346633257142</v>
      </c>
      <c r="S1816" t="s">
        <v>100</v>
      </c>
      <c r="T1816" s="5">
        <f>data_origin!T2074</f>
        <v>0</v>
      </c>
      <c r="U1816" s="5">
        <f>data_origin!U2074</f>
        <v>0</v>
      </c>
      <c r="V1816" s="5">
        <f>data_origin!V2074</f>
        <v>1.2888888888888888</v>
      </c>
      <c r="W1816" s="5">
        <f>data_origin!W2074</f>
        <v>0</v>
      </c>
      <c r="X1816" s="5">
        <f>data_origin!X2074</f>
        <v>0</v>
      </c>
      <c r="Y1816" s="5">
        <f>data_origin!Y2074</f>
        <v>0</v>
      </c>
      <c r="Z1816" s="5">
        <f>data_origin!Z2074</f>
        <v>0</v>
      </c>
      <c r="AA1816" s="5">
        <f>data_origin!AA2074</f>
        <v>0</v>
      </c>
      <c r="AB1816" s="5">
        <f t="shared" si="183"/>
        <v>1.2888888888888888</v>
      </c>
    </row>
    <row r="1817" spans="1:28" x14ac:dyDescent="0.25">
      <c r="D1817" t="s">
        <v>101</v>
      </c>
      <c r="E1817" s="38">
        <f t="shared" si="187"/>
        <v>0</v>
      </c>
      <c r="F1817" s="38">
        <f t="shared" si="187"/>
        <v>0</v>
      </c>
      <c r="G1817" s="38">
        <f t="shared" si="187"/>
        <v>78.410079799542856</v>
      </c>
      <c r="H1817" s="38">
        <f t="shared" si="187"/>
        <v>84.459193379416348</v>
      </c>
      <c r="I1817" s="38">
        <f t="shared" si="187"/>
        <v>25.863033284677243</v>
      </c>
      <c r="J1817" s="38">
        <f t="shared" si="187"/>
        <v>1.233122430258653</v>
      </c>
      <c r="K1817" s="38">
        <f t="shared" si="187"/>
        <v>0</v>
      </c>
      <c r="L1817" s="38">
        <f t="shared" ref="L1817:L1880" si="189">AA1817+BD431+IFERROR((AA1817/SUM(AA$993:AA$1982)*BD$630),0)+IFERROR((AA1817/SUM(AA$1125:AA$1322,AA$1455:AA$1652,AA$1785:AA$1982)*BD$732),0)</f>
        <v>0</v>
      </c>
      <c r="M1817" s="35">
        <f t="shared" si="188"/>
        <v>189.96542889389508</v>
      </c>
      <c r="S1817" t="s">
        <v>101</v>
      </c>
      <c r="T1817" s="5">
        <f>data_origin!T2075</f>
        <v>0</v>
      </c>
      <c r="U1817" s="5">
        <f>data_origin!U2075</f>
        <v>0</v>
      </c>
      <c r="V1817" s="5">
        <f>data_origin!V2075</f>
        <v>77.333333333333329</v>
      </c>
      <c r="W1817" s="5">
        <f>data_origin!W2075</f>
        <v>83.003224320589595</v>
      </c>
      <c r="X1817" s="5">
        <f>data_origin!X2075</f>
        <v>25.420168067226889</v>
      </c>
      <c r="Y1817" s="5">
        <f>data_origin!Y2075</f>
        <v>1.2105263157894737</v>
      </c>
      <c r="Z1817" s="5">
        <f>data_origin!Z2075</f>
        <v>0</v>
      </c>
      <c r="AA1817" s="5">
        <f>data_origin!AA2075</f>
        <v>0</v>
      </c>
      <c r="AB1817" s="5">
        <f t="shared" si="183"/>
        <v>186.96725203693927</v>
      </c>
    </row>
    <row r="1818" spans="1:28" x14ac:dyDescent="0.25">
      <c r="A1818" s="24" t="s">
        <v>115</v>
      </c>
      <c r="B1818" s="24" t="s">
        <v>117</v>
      </c>
      <c r="C1818" s="24" t="s">
        <v>110</v>
      </c>
      <c r="D1818" t="s">
        <v>70</v>
      </c>
      <c r="E1818" s="38">
        <f t="shared" ref="E1818:K1854" si="190">T1818+AW432+IFERROR((T1818/SUM(T$993:T$1982)*AW$630),0)+IFERROR((T1818/SUM(T$1125:T$1322,T$1455:T$1652,T$1785:T$1982)*AW$732),0)</f>
        <v>0</v>
      </c>
      <c r="F1818" s="38">
        <f t="shared" si="190"/>
        <v>0</v>
      </c>
      <c r="G1818" s="38">
        <f t="shared" si="190"/>
        <v>0</v>
      </c>
      <c r="H1818" s="38">
        <f t="shared" si="190"/>
        <v>0</v>
      </c>
      <c r="I1818" s="38">
        <f t="shared" si="190"/>
        <v>0</v>
      </c>
      <c r="J1818" s="38">
        <f t="shared" si="190"/>
        <v>0</v>
      </c>
      <c r="K1818" s="38">
        <f t="shared" si="190"/>
        <v>3.0952380952380953E-2</v>
      </c>
      <c r="L1818" s="38">
        <f t="shared" si="189"/>
        <v>0</v>
      </c>
      <c r="M1818" s="35">
        <f t="shared" si="188"/>
        <v>3.0952380952380953E-2</v>
      </c>
      <c r="P1818" t="s">
        <v>115</v>
      </c>
      <c r="Q1818" t="s">
        <v>117</v>
      </c>
      <c r="R1818" t="s">
        <v>110</v>
      </c>
      <c r="S1818" t="s">
        <v>70</v>
      </c>
      <c r="T1818" s="5">
        <f>data_origin!T2077</f>
        <v>0</v>
      </c>
      <c r="U1818" s="5">
        <f>data_origin!U2077</f>
        <v>0</v>
      </c>
      <c r="V1818" s="5">
        <f>data_origin!V2077</f>
        <v>0</v>
      </c>
      <c r="W1818" s="5">
        <f>data_origin!W2077</f>
        <v>0</v>
      </c>
      <c r="X1818" s="5">
        <f>data_origin!X2077</f>
        <v>0</v>
      </c>
      <c r="Y1818" s="5">
        <f>data_origin!Y2077</f>
        <v>0</v>
      </c>
      <c r="Z1818" s="5">
        <f>data_origin!Z2077</f>
        <v>3.0303030303030304E-2</v>
      </c>
      <c r="AA1818" s="5">
        <f>data_origin!AA2077</f>
        <v>0</v>
      </c>
      <c r="AB1818" s="5">
        <f t="shared" si="183"/>
        <v>3.0303030303030304E-2</v>
      </c>
    </row>
    <row r="1819" spans="1:28" x14ac:dyDescent="0.25">
      <c r="D1819" t="s">
        <v>71</v>
      </c>
      <c r="E1819" s="38">
        <f t="shared" si="190"/>
        <v>0</v>
      </c>
      <c r="F1819" s="38">
        <f t="shared" si="190"/>
        <v>0</v>
      </c>
      <c r="G1819" s="38">
        <f t="shared" si="190"/>
        <v>0</v>
      </c>
      <c r="H1819" s="38">
        <f t="shared" si="190"/>
        <v>0</v>
      </c>
      <c r="I1819" s="38">
        <f t="shared" si="190"/>
        <v>0</v>
      </c>
      <c r="J1819" s="38">
        <f t="shared" si="190"/>
        <v>0</v>
      </c>
      <c r="K1819" s="38">
        <f t="shared" si="190"/>
        <v>3.0952380952380953E-2</v>
      </c>
      <c r="L1819" s="38">
        <f t="shared" si="189"/>
        <v>0</v>
      </c>
      <c r="M1819" s="35">
        <f t="shared" si="188"/>
        <v>3.0952380952380953E-2</v>
      </c>
      <c r="S1819" t="s">
        <v>71</v>
      </c>
      <c r="T1819" s="5">
        <f>data_origin!T2078</f>
        <v>0</v>
      </c>
      <c r="U1819" s="5">
        <f>data_origin!U2078</f>
        <v>0</v>
      </c>
      <c r="V1819" s="5">
        <f>data_origin!V2078</f>
        <v>0</v>
      </c>
      <c r="W1819" s="5">
        <f>data_origin!W2078</f>
        <v>0</v>
      </c>
      <c r="X1819" s="5">
        <f>data_origin!X2078</f>
        <v>0</v>
      </c>
      <c r="Y1819" s="5">
        <f>data_origin!Y2078</f>
        <v>0</v>
      </c>
      <c r="Z1819" s="5">
        <f>data_origin!Z2078</f>
        <v>3.0303030303030304E-2</v>
      </c>
      <c r="AA1819" s="5">
        <f>data_origin!AA2078</f>
        <v>0</v>
      </c>
      <c r="AB1819" s="5">
        <f t="shared" si="183"/>
        <v>3.0303030303030304E-2</v>
      </c>
    </row>
    <row r="1820" spans="1:28" x14ac:dyDescent="0.25">
      <c r="D1820" t="s">
        <v>72</v>
      </c>
      <c r="E1820" s="38">
        <f t="shared" si="190"/>
        <v>0</v>
      </c>
      <c r="F1820" s="38">
        <f t="shared" si="190"/>
        <v>0</v>
      </c>
      <c r="G1820" s="38">
        <f t="shared" si="190"/>
        <v>0</v>
      </c>
      <c r="H1820" s="38">
        <f t="shared" si="190"/>
        <v>0</v>
      </c>
      <c r="I1820" s="38">
        <f t="shared" si="190"/>
        <v>0</v>
      </c>
      <c r="J1820" s="38">
        <f t="shared" si="190"/>
        <v>0</v>
      </c>
      <c r="K1820" s="38">
        <f t="shared" si="190"/>
        <v>3.0952380952380953E-2</v>
      </c>
      <c r="L1820" s="38">
        <f t="shared" si="189"/>
        <v>0</v>
      </c>
      <c r="M1820" s="35">
        <f t="shared" si="188"/>
        <v>3.0952380952380953E-2</v>
      </c>
      <c r="S1820" t="s">
        <v>72</v>
      </c>
      <c r="T1820" s="5">
        <f>data_origin!T2079</f>
        <v>0</v>
      </c>
      <c r="U1820" s="5">
        <f>data_origin!U2079</f>
        <v>0</v>
      </c>
      <c r="V1820" s="5">
        <f>data_origin!V2079</f>
        <v>0</v>
      </c>
      <c r="W1820" s="5">
        <f>data_origin!W2079</f>
        <v>0</v>
      </c>
      <c r="X1820" s="5">
        <f>data_origin!X2079</f>
        <v>0</v>
      </c>
      <c r="Y1820" s="5">
        <f>data_origin!Y2079</f>
        <v>0</v>
      </c>
      <c r="Z1820" s="5">
        <f>data_origin!Z2079</f>
        <v>3.0303030303030304E-2</v>
      </c>
      <c r="AA1820" s="5">
        <f>data_origin!AA2079</f>
        <v>0</v>
      </c>
      <c r="AB1820" s="5">
        <f t="shared" si="183"/>
        <v>3.0303030303030304E-2</v>
      </c>
    </row>
    <row r="1821" spans="1:28" x14ac:dyDescent="0.25">
      <c r="D1821" t="s">
        <v>73</v>
      </c>
      <c r="E1821" s="38">
        <f t="shared" si="190"/>
        <v>0</v>
      </c>
      <c r="F1821" s="38">
        <f t="shared" si="190"/>
        <v>0</v>
      </c>
      <c r="G1821" s="38">
        <f t="shared" si="190"/>
        <v>0</v>
      </c>
      <c r="H1821" s="38">
        <f t="shared" si="190"/>
        <v>0</v>
      </c>
      <c r="I1821" s="38">
        <f t="shared" si="190"/>
        <v>0</v>
      </c>
      <c r="J1821" s="38">
        <f t="shared" si="190"/>
        <v>0</v>
      </c>
      <c r="K1821" s="38">
        <f t="shared" si="190"/>
        <v>3.0952380952380953E-2</v>
      </c>
      <c r="L1821" s="38">
        <f t="shared" si="189"/>
        <v>0</v>
      </c>
      <c r="M1821" s="35">
        <f t="shared" si="188"/>
        <v>3.0952380952380953E-2</v>
      </c>
      <c r="S1821" t="s">
        <v>73</v>
      </c>
      <c r="T1821" s="5">
        <f>data_origin!T2080</f>
        <v>0</v>
      </c>
      <c r="U1821" s="5">
        <f>data_origin!U2080</f>
        <v>0</v>
      </c>
      <c r="V1821" s="5">
        <f>data_origin!V2080</f>
        <v>0</v>
      </c>
      <c r="W1821" s="5">
        <f>data_origin!W2080</f>
        <v>0</v>
      </c>
      <c r="X1821" s="5">
        <f>data_origin!X2080</f>
        <v>0</v>
      </c>
      <c r="Y1821" s="5">
        <f>data_origin!Y2080</f>
        <v>0</v>
      </c>
      <c r="Z1821" s="5">
        <f>data_origin!Z2080</f>
        <v>3.0303030303030304E-2</v>
      </c>
      <c r="AA1821" s="5">
        <f>data_origin!AA2080</f>
        <v>0</v>
      </c>
      <c r="AB1821" s="5">
        <f t="shared" si="183"/>
        <v>3.0303030303030304E-2</v>
      </c>
    </row>
    <row r="1822" spans="1:28" x14ac:dyDescent="0.25">
      <c r="D1822" t="s">
        <v>74</v>
      </c>
      <c r="E1822" s="38">
        <f t="shared" si="190"/>
        <v>0</v>
      </c>
      <c r="F1822" s="38">
        <f t="shared" si="190"/>
        <v>0</v>
      </c>
      <c r="G1822" s="38">
        <f t="shared" si="190"/>
        <v>0</v>
      </c>
      <c r="H1822" s="38">
        <f t="shared" si="190"/>
        <v>0</v>
      </c>
      <c r="I1822" s="38">
        <f t="shared" si="190"/>
        <v>0</v>
      </c>
      <c r="J1822" s="38">
        <f t="shared" si="190"/>
        <v>0</v>
      </c>
      <c r="K1822" s="38">
        <f t="shared" si="190"/>
        <v>3.0952380952380953E-2</v>
      </c>
      <c r="L1822" s="38">
        <f t="shared" si="189"/>
        <v>0</v>
      </c>
      <c r="M1822" s="35">
        <f t="shared" si="188"/>
        <v>3.0952380952380953E-2</v>
      </c>
      <c r="S1822" t="s">
        <v>74</v>
      </c>
      <c r="T1822" s="5">
        <f>data_origin!T2081</f>
        <v>0</v>
      </c>
      <c r="U1822" s="5">
        <f>data_origin!U2081</f>
        <v>0</v>
      </c>
      <c r="V1822" s="5">
        <f>data_origin!V2081</f>
        <v>0</v>
      </c>
      <c r="W1822" s="5">
        <f>data_origin!W2081</f>
        <v>0</v>
      </c>
      <c r="X1822" s="5">
        <f>data_origin!X2081</f>
        <v>0</v>
      </c>
      <c r="Y1822" s="5">
        <f>data_origin!Y2081</f>
        <v>0</v>
      </c>
      <c r="Z1822" s="5">
        <f>data_origin!Z2081</f>
        <v>3.0303030303030304E-2</v>
      </c>
      <c r="AA1822" s="5">
        <f>data_origin!AA2081</f>
        <v>0</v>
      </c>
      <c r="AB1822" s="5">
        <f t="shared" si="183"/>
        <v>3.0303030303030304E-2</v>
      </c>
    </row>
    <row r="1823" spans="1:28" x14ac:dyDescent="0.25">
      <c r="D1823" t="s">
        <v>75</v>
      </c>
      <c r="E1823" s="38">
        <f t="shared" si="190"/>
        <v>0</v>
      </c>
      <c r="F1823" s="38">
        <f t="shared" si="190"/>
        <v>0</v>
      </c>
      <c r="G1823" s="38">
        <f t="shared" si="190"/>
        <v>0</v>
      </c>
      <c r="H1823" s="38">
        <f t="shared" si="190"/>
        <v>0</v>
      </c>
      <c r="I1823" s="38">
        <f t="shared" si="190"/>
        <v>0</v>
      </c>
      <c r="J1823" s="38">
        <f t="shared" si="190"/>
        <v>0</v>
      </c>
      <c r="K1823" s="38">
        <f t="shared" si="190"/>
        <v>3.0952380952380953E-2</v>
      </c>
      <c r="L1823" s="38">
        <f t="shared" si="189"/>
        <v>0</v>
      </c>
      <c r="M1823" s="35">
        <f t="shared" si="188"/>
        <v>3.0952380952380953E-2</v>
      </c>
      <c r="S1823" t="s">
        <v>75</v>
      </c>
      <c r="T1823" s="5">
        <f>data_origin!T2082</f>
        <v>0</v>
      </c>
      <c r="U1823" s="5">
        <f>data_origin!U2082</f>
        <v>0</v>
      </c>
      <c r="V1823" s="5">
        <f>data_origin!V2082</f>
        <v>0</v>
      </c>
      <c r="W1823" s="5">
        <f>data_origin!W2082</f>
        <v>0</v>
      </c>
      <c r="X1823" s="5">
        <f>data_origin!X2082</f>
        <v>0</v>
      </c>
      <c r="Y1823" s="5">
        <f>data_origin!Y2082</f>
        <v>0</v>
      </c>
      <c r="Z1823" s="5">
        <f>data_origin!Z2082</f>
        <v>3.0303030303030304E-2</v>
      </c>
      <c r="AA1823" s="5">
        <f>data_origin!AA2082</f>
        <v>0</v>
      </c>
      <c r="AB1823" s="5">
        <f t="shared" si="183"/>
        <v>3.0303030303030304E-2</v>
      </c>
    </row>
    <row r="1824" spans="1:28" x14ac:dyDescent="0.25">
      <c r="D1824" t="s">
        <v>76</v>
      </c>
      <c r="E1824" s="38">
        <f t="shared" si="190"/>
        <v>0</v>
      </c>
      <c r="F1824" s="38">
        <f t="shared" si="190"/>
        <v>0</v>
      </c>
      <c r="G1824" s="38">
        <f t="shared" si="190"/>
        <v>0</v>
      </c>
      <c r="H1824" s="38">
        <f t="shared" si="190"/>
        <v>0</v>
      </c>
      <c r="I1824" s="38">
        <f t="shared" si="190"/>
        <v>0</v>
      </c>
      <c r="J1824" s="38">
        <f t="shared" si="190"/>
        <v>0</v>
      </c>
      <c r="K1824" s="38">
        <f t="shared" si="190"/>
        <v>3.0952380952380953E-2</v>
      </c>
      <c r="L1824" s="38">
        <f t="shared" si="189"/>
        <v>0</v>
      </c>
      <c r="M1824" s="35">
        <f t="shared" si="188"/>
        <v>3.0952380952380953E-2</v>
      </c>
      <c r="S1824" t="s">
        <v>76</v>
      </c>
      <c r="T1824" s="5">
        <f>data_origin!T2083</f>
        <v>0</v>
      </c>
      <c r="U1824" s="5">
        <f>data_origin!U2083</f>
        <v>0</v>
      </c>
      <c r="V1824" s="5">
        <f>data_origin!V2083</f>
        <v>0</v>
      </c>
      <c r="W1824" s="5">
        <f>data_origin!W2083</f>
        <v>0</v>
      </c>
      <c r="X1824" s="5">
        <f>data_origin!X2083</f>
        <v>0</v>
      </c>
      <c r="Y1824" s="5">
        <f>data_origin!Y2083</f>
        <v>0</v>
      </c>
      <c r="Z1824" s="5">
        <f>data_origin!Z2083</f>
        <v>3.0303030303030304E-2</v>
      </c>
      <c r="AA1824" s="5">
        <f>data_origin!AA2083</f>
        <v>0</v>
      </c>
      <c r="AB1824" s="5">
        <f t="shared" si="183"/>
        <v>3.0303030303030304E-2</v>
      </c>
    </row>
    <row r="1825" spans="4:28" x14ac:dyDescent="0.25">
      <c r="D1825" t="s">
        <v>77</v>
      </c>
      <c r="E1825" s="38">
        <f t="shared" si="190"/>
        <v>0</v>
      </c>
      <c r="F1825" s="38">
        <f t="shared" si="190"/>
        <v>0</v>
      </c>
      <c r="G1825" s="38">
        <f t="shared" si="190"/>
        <v>0</v>
      </c>
      <c r="H1825" s="38">
        <f t="shared" si="190"/>
        <v>0</v>
      </c>
      <c r="I1825" s="38">
        <f t="shared" si="190"/>
        <v>0</v>
      </c>
      <c r="J1825" s="38">
        <f t="shared" si="190"/>
        <v>0</v>
      </c>
      <c r="K1825" s="38">
        <f t="shared" si="190"/>
        <v>3.0952380952380953E-2</v>
      </c>
      <c r="L1825" s="38">
        <f t="shared" si="189"/>
        <v>0</v>
      </c>
      <c r="M1825" s="35">
        <f t="shared" si="188"/>
        <v>3.0952380952380953E-2</v>
      </c>
      <c r="S1825" t="s">
        <v>77</v>
      </c>
      <c r="T1825" s="5">
        <f>data_origin!T2084</f>
        <v>0</v>
      </c>
      <c r="U1825" s="5">
        <f>data_origin!U2084</f>
        <v>0</v>
      </c>
      <c r="V1825" s="5">
        <f>data_origin!V2084</f>
        <v>0</v>
      </c>
      <c r="W1825" s="5">
        <f>data_origin!W2084</f>
        <v>0</v>
      </c>
      <c r="X1825" s="5">
        <f>data_origin!X2084</f>
        <v>0</v>
      </c>
      <c r="Y1825" s="5">
        <f>data_origin!Y2084</f>
        <v>0</v>
      </c>
      <c r="Z1825" s="5">
        <f>data_origin!Z2084</f>
        <v>3.0303030303030304E-2</v>
      </c>
      <c r="AA1825" s="5">
        <f>data_origin!AA2084</f>
        <v>0</v>
      </c>
      <c r="AB1825" s="5">
        <f t="shared" si="183"/>
        <v>3.0303030303030304E-2</v>
      </c>
    </row>
    <row r="1826" spans="4:28" x14ac:dyDescent="0.25">
      <c r="D1826" t="s">
        <v>78</v>
      </c>
      <c r="E1826" s="38">
        <f t="shared" si="190"/>
        <v>0</v>
      </c>
      <c r="F1826" s="38">
        <f t="shared" si="190"/>
        <v>0</v>
      </c>
      <c r="G1826" s="38">
        <f t="shared" si="190"/>
        <v>0</v>
      </c>
      <c r="H1826" s="38">
        <f t="shared" si="190"/>
        <v>0</v>
      </c>
      <c r="I1826" s="38">
        <f t="shared" si="190"/>
        <v>0</v>
      </c>
      <c r="J1826" s="38">
        <f t="shared" si="190"/>
        <v>0</v>
      </c>
      <c r="K1826" s="38">
        <f t="shared" si="190"/>
        <v>3.0952380952380953E-2</v>
      </c>
      <c r="L1826" s="38">
        <f t="shared" si="189"/>
        <v>0</v>
      </c>
      <c r="M1826" s="35">
        <f t="shared" si="188"/>
        <v>3.0952380952380953E-2</v>
      </c>
      <c r="S1826" t="s">
        <v>78</v>
      </c>
      <c r="T1826" s="5">
        <f>data_origin!T2085</f>
        <v>0</v>
      </c>
      <c r="U1826" s="5">
        <f>data_origin!U2085</f>
        <v>0</v>
      </c>
      <c r="V1826" s="5">
        <f>data_origin!V2085</f>
        <v>0</v>
      </c>
      <c r="W1826" s="5">
        <f>data_origin!W2085</f>
        <v>0</v>
      </c>
      <c r="X1826" s="5">
        <f>data_origin!X2085</f>
        <v>0</v>
      </c>
      <c r="Y1826" s="5">
        <f>data_origin!Y2085</f>
        <v>0</v>
      </c>
      <c r="Z1826" s="5">
        <f>data_origin!Z2085</f>
        <v>3.0303030303030304E-2</v>
      </c>
      <c r="AA1826" s="5">
        <f>data_origin!AA2085</f>
        <v>0</v>
      </c>
      <c r="AB1826" s="5">
        <f t="shared" si="183"/>
        <v>3.0303030303030304E-2</v>
      </c>
    </row>
    <row r="1827" spans="4:28" x14ac:dyDescent="0.25">
      <c r="D1827" t="s">
        <v>79</v>
      </c>
      <c r="E1827" s="38">
        <f t="shared" si="190"/>
        <v>0</v>
      </c>
      <c r="F1827" s="38">
        <f t="shared" si="190"/>
        <v>0</v>
      </c>
      <c r="G1827" s="38">
        <f t="shared" si="190"/>
        <v>0</v>
      </c>
      <c r="H1827" s="38">
        <f t="shared" si="190"/>
        <v>0</v>
      </c>
      <c r="I1827" s="38">
        <f t="shared" si="190"/>
        <v>0</v>
      </c>
      <c r="J1827" s="38">
        <f t="shared" si="190"/>
        <v>0</v>
      </c>
      <c r="K1827" s="38">
        <f t="shared" si="190"/>
        <v>3.0952380952380953E-2</v>
      </c>
      <c r="L1827" s="38">
        <f t="shared" si="189"/>
        <v>0</v>
      </c>
      <c r="M1827" s="35">
        <f t="shared" si="188"/>
        <v>3.0952380952380953E-2</v>
      </c>
      <c r="S1827" t="s">
        <v>79</v>
      </c>
      <c r="T1827" s="5">
        <f>data_origin!T2086</f>
        <v>0</v>
      </c>
      <c r="U1827" s="5">
        <f>data_origin!U2086</f>
        <v>0</v>
      </c>
      <c r="V1827" s="5">
        <f>data_origin!V2086</f>
        <v>0</v>
      </c>
      <c r="W1827" s="5">
        <f>data_origin!W2086</f>
        <v>0</v>
      </c>
      <c r="X1827" s="5">
        <f>data_origin!X2086</f>
        <v>0</v>
      </c>
      <c r="Y1827" s="5">
        <f>data_origin!Y2086</f>
        <v>0</v>
      </c>
      <c r="Z1827" s="5">
        <f>data_origin!Z2086</f>
        <v>3.0303030303030304E-2</v>
      </c>
      <c r="AA1827" s="5">
        <f>data_origin!AA2086</f>
        <v>0</v>
      </c>
      <c r="AB1827" s="5">
        <f t="shared" si="183"/>
        <v>3.0303030303030304E-2</v>
      </c>
    </row>
    <row r="1828" spans="4:28" x14ac:dyDescent="0.25">
      <c r="D1828" t="s">
        <v>80</v>
      </c>
      <c r="E1828" s="38">
        <f t="shared" si="190"/>
        <v>0</v>
      </c>
      <c r="F1828" s="38">
        <f t="shared" si="190"/>
        <v>0</v>
      </c>
      <c r="G1828" s="38">
        <f t="shared" si="190"/>
        <v>0</v>
      </c>
      <c r="H1828" s="38">
        <f t="shared" si="190"/>
        <v>0</v>
      </c>
      <c r="I1828" s="38">
        <f t="shared" si="190"/>
        <v>0</v>
      </c>
      <c r="J1828" s="38">
        <f t="shared" si="190"/>
        <v>0</v>
      </c>
      <c r="K1828" s="38">
        <f t="shared" si="190"/>
        <v>3.0952380952380953E-2</v>
      </c>
      <c r="L1828" s="38">
        <f t="shared" si="189"/>
        <v>0</v>
      </c>
      <c r="M1828" s="35">
        <f t="shared" si="188"/>
        <v>3.0952380952380953E-2</v>
      </c>
      <c r="S1828" t="s">
        <v>80</v>
      </c>
      <c r="T1828" s="5">
        <f>data_origin!T2087</f>
        <v>0</v>
      </c>
      <c r="U1828" s="5">
        <f>data_origin!U2087</f>
        <v>0</v>
      </c>
      <c r="V1828" s="5">
        <f>data_origin!V2087</f>
        <v>0</v>
      </c>
      <c r="W1828" s="5">
        <f>data_origin!W2087</f>
        <v>0</v>
      </c>
      <c r="X1828" s="5">
        <f>data_origin!X2087</f>
        <v>0</v>
      </c>
      <c r="Y1828" s="5">
        <f>data_origin!Y2087</f>
        <v>0</v>
      </c>
      <c r="Z1828" s="5">
        <f>data_origin!Z2087</f>
        <v>3.0303030303030304E-2</v>
      </c>
      <c r="AA1828" s="5">
        <f>data_origin!AA2087</f>
        <v>0</v>
      </c>
      <c r="AB1828" s="5">
        <f t="shared" si="183"/>
        <v>3.0303030303030304E-2</v>
      </c>
    </row>
    <row r="1829" spans="4:28" x14ac:dyDescent="0.25">
      <c r="D1829" t="s">
        <v>81</v>
      </c>
      <c r="E1829" s="38">
        <f t="shared" si="190"/>
        <v>0</v>
      </c>
      <c r="F1829" s="38">
        <f t="shared" si="190"/>
        <v>0</v>
      </c>
      <c r="G1829" s="38">
        <f t="shared" si="190"/>
        <v>0</v>
      </c>
      <c r="H1829" s="38">
        <f t="shared" si="190"/>
        <v>0</v>
      </c>
      <c r="I1829" s="38">
        <f t="shared" si="190"/>
        <v>0</v>
      </c>
      <c r="J1829" s="38">
        <f t="shared" si="190"/>
        <v>0</v>
      </c>
      <c r="K1829" s="38">
        <f t="shared" si="190"/>
        <v>3.0952380952380953E-2</v>
      </c>
      <c r="L1829" s="38">
        <f t="shared" si="189"/>
        <v>0</v>
      </c>
      <c r="M1829" s="35">
        <f t="shared" si="188"/>
        <v>3.0952380952380953E-2</v>
      </c>
      <c r="S1829" t="s">
        <v>81</v>
      </c>
      <c r="T1829" s="5">
        <f>data_origin!T2088</f>
        <v>0</v>
      </c>
      <c r="U1829" s="5">
        <f>data_origin!U2088</f>
        <v>0</v>
      </c>
      <c r="V1829" s="5">
        <f>data_origin!V2088</f>
        <v>0</v>
      </c>
      <c r="W1829" s="5">
        <f>data_origin!W2088</f>
        <v>0</v>
      </c>
      <c r="X1829" s="5">
        <f>data_origin!X2088</f>
        <v>0</v>
      </c>
      <c r="Y1829" s="5">
        <f>data_origin!Y2088</f>
        <v>0</v>
      </c>
      <c r="Z1829" s="5">
        <f>data_origin!Z2088</f>
        <v>3.0303030303030304E-2</v>
      </c>
      <c r="AA1829" s="5">
        <f>data_origin!AA2088</f>
        <v>0</v>
      </c>
      <c r="AB1829" s="5">
        <f t="shared" si="183"/>
        <v>3.0303030303030304E-2</v>
      </c>
    </row>
    <row r="1830" spans="4:28" x14ac:dyDescent="0.25">
      <c r="D1830" t="s">
        <v>82</v>
      </c>
      <c r="E1830" s="38">
        <f t="shared" si="190"/>
        <v>0</v>
      </c>
      <c r="F1830" s="38">
        <f t="shared" si="190"/>
        <v>0</v>
      </c>
      <c r="G1830" s="38">
        <f t="shared" si="190"/>
        <v>0</v>
      </c>
      <c r="H1830" s="38">
        <f t="shared" si="190"/>
        <v>0</v>
      </c>
      <c r="I1830" s="38">
        <f t="shared" si="190"/>
        <v>0</v>
      </c>
      <c r="J1830" s="38">
        <f t="shared" si="190"/>
        <v>0</v>
      </c>
      <c r="K1830" s="38">
        <f t="shared" si="190"/>
        <v>3.0952380952380953E-2</v>
      </c>
      <c r="L1830" s="38">
        <f t="shared" si="189"/>
        <v>0</v>
      </c>
      <c r="M1830" s="35">
        <f t="shared" si="188"/>
        <v>3.0952380952380953E-2</v>
      </c>
      <c r="S1830" t="s">
        <v>82</v>
      </c>
      <c r="T1830" s="5">
        <f>data_origin!T2089</f>
        <v>0</v>
      </c>
      <c r="U1830" s="5">
        <f>data_origin!U2089</f>
        <v>0</v>
      </c>
      <c r="V1830" s="5">
        <f>data_origin!V2089</f>
        <v>0</v>
      </c>
      <c r="W1830" s="5">
        <f>data_origin!W2089</f>
        <v>0</v>
      </c>
      <c r="X1830" s="5">
        <f>data_origin!X2089</f>
        <v>0</v>
      </c>
      <c r="Y1830" s="5">
        <f>data_origin!Y2089</f>
        <v>0</v>
      </c>
      <c r="Z1830" s="5">
        <f>data_origin!Z2089</f>
        <v>3.0303030303030304E-2</v>
      </c>
      <c r="AA1830" s="5">
        <f>data_origin!AA2089</f>
        <v>0</v>
      </c>
      <c r="AB1830" s="5">
        <f t="shared" si="183"/>
        <v>3.0303030303030304E-2</v>
      </c>
    </row>
    <row r="1831" spans="4:28" x14ac:dyDescent="0.25">
      <c r="D1831" t="s">
        <v>83</v>
      </c>
      <c r="E1831" s="38">
        <f t="shared" si="190"/>
        <v>0</v>
      </c>
      <c r="F1831" s="38">
        <f t="shared" si="190"/>
        <v>0</v>
      </c>
      <c r="G1831" s="38">
        <f t="shared" si="190"/>
        <v>0</v>
      </c>
      <c r="H1831" s="38">
        <f t="shared" si="190"/>
        <v>0</v>
      </c>
      <c r="I1831" s="38">
        <f t="shared" si="190"/>
        <v>0</v>
      </c>
      <c r="J1831" s="38">
        <f t="shared" si="190"/>
        <v>0</v>
      </c>
      <c r="K1831" s="38">
        <f t="shared" si="190"/>
        <v>3.0952380952380953E-2</v>
      </c>
      <c r="L1831" s="38">
        <f t="shared" si="189"/>
        <v>0</v>
      </c>
      <c r="M1831" s="35">
        <f t="shared" si="188"/>
        <v>3.0952380952380953E-2</v>
      </c>
      <c r="S1831" t="s">
        <v>83</v>
      </c>
      <c r="T1831" s="5">
        <f>data_origin!T2090</f>
        <v>0</v>
      </c>
      <c r="U1831" s="5">
        <f>data_origin!U2090</f>
        <v>0</v>
      </c>
      <c r="V1831" s="5">
        <f>data_origin!V2090</f>
        <v>0</v>
      </c>
      <c r="W1831" s="5">
        <f>data_origin!W2090</f>
        <v>0</v>
      </c>
      <c r="X1831" s="5">
        <f>data_origin!X2090</f>
        <v>0</v>
      </c>
      <c r="Y1831" s="5">
        <f>data_origin!Y2090</f>
        <v>0</v>
      </c>
      <c r="Z1831" s="5">
        <f>data_origin!Z2090</f>
        <v>3.0303030303030304E-2</v>
      </c>
      <c r="AA1831" s="5">
        <f>data_origin!AA2090</f>
        <v>0</v>
      </c>
      <c r="AB1831" s="5">
        <f t="shared" si="183"/>
        <v>3.0303030303030304E-2</v>
      </c>
    </row>
    <row r="1832" spans="4:28" x14ac:dyDescent="0.25">
      <c r="D1832" t="s">
        <v>84</v>
      </c>
      <c r="E1832" s="38">
        <f t="shared" si="190"/>
        <v>0</v>
      </c>
      <c r="F1832" s="38">
        <f t="shared" si="190"/>
        <v>0</v>
      </c>
      <c r="G1832" s="38">
        <f t="shared" si="190"/>
        <v>0</v>
      </c>
      <c r="H1832" s="38">
        <f t="shared" si="190"/>
        <v>0</v>
      </c>
      <c r="I1832" s="38">
        <f t="shared" si="190"/>
        <v>0</v>
      </c>
      <c r="J1832" s="38">
        <f t="shared" si="190"/>
        <v>0</v>
      </c>
      <c r="K1832" s="38">
        <f t="shared" si="190"/>
        <v>3.0952380952380953E-2</v>
      </c>
      <c r="L1832" s="38">
        <f t="shared" si="189"/>
        <v>0</v>
      </c>
      <c r="M1832" s="35">
        <f t="shared" si="188"/>
        <v>3.0952380952380953E-2</v>
      </c>
      <c r="S1832" t="s">
        <v>84</v>
      </c>
      <c r="T1832" s="5">
        <f>data_origin!T2091</f>
        <v>0</v>
      </c>
      <c r="U1832" s="5">
        <f>data_origin!U2091</f>
        <v>0</v>
      </c>
      <c r="V1832" s="5">
        <f>data_origin!V2091</f>
        <v>0</v>
      </c>
      <c r="W1832" s="5">
        <f>data_origin!W2091</f>
        <v>0</v>
      </c>
      <c r="X1832" s="5">
        <f>data_origin!X2091</f>
        <v>0</v>
      </c>
      <c r="Y1832" s="5">
        <f>data_origin!Y2091</f>
        <v>0</v>
      </c>
      <c r="Z1832" s="5">
        <f>data_origin!Z2091</f>
        <v>3.0303030303030304E-2</v>
      </c>
      <c r="AA1832" s="5">
        <f>data_origin!AA2091</f>
        <v>0</v>
      </c>
      <c r="AB1832" s="5">
        <f t="shared" si="183"/>
        <v>3.0303030303030304E-2</v>
      </c>
    </row>
    <row r="1833" spans="4:28" x14ac:dyDescent="0.25">
      <c r="D1833" t="s">
        <v>85</v>
      </c>
      <c r="E1833" s="38">
        <f t="shared" si="190"/>
        <v>0</v>
      </c>
      <c r="F1833" s="38">
        <f t="shared" si="190"/>
        <v>0</v>
      </c>
      <c r="G1833" s="38">
        <f t="shared" si="190"/>
        <v>2.6594713329409676</v>
      </c>
      <c r="H1833" s="38">
        <f t="shared" si="190"/>
        <v>0</v>
      </c>
      <c r="I1833" s="38">
        <f t="shared" si="190"/>
        <v>0</v>
      </c>
      <c r="J1833" s="38">
        <f t="shared" si="190"/>
        <v>0</v>
      </c>
      <c r="K1833" s="38">
        <f t="shared" si="190"/>
        <v>3.0952380952380953E-2</v>
      </c>
      <c r="L1833" s="38">
        <f t="shared" si="189"/>
        <v>0</v>
      </c>
      <c r="M1833" s="35">
        <f t="shared" si="188"/>
        <v>2.6904237138933484</v>
      </c>
      <c r="S1833" t="s">
        <v>85</v>
      </c>
      <c r="T1833" s="5">
        <f>data_origin!T2092</f>
        <v>0</v>
      </c>
      <c r="U1833" s="5">
        <f>data_origin!U2092</f>
        <v>0</v>
      </c>
      <c r="V1833" s="5">
        <f>data_origin!V2092</f>
        <v>2.6229508196721314</v>
      </c>
      <c r="W1833" s="5">
        <f>data_origin!W2092</f>
        <v>0</v>
      </c>
      <c r="X1833" s="5">
        <f>data_origin!X2092</f>
        <v>0</v>
      </c>
      <c r="Y1833" s="5">
        <f>data_origin!Y2092</f>
        <v>0</v>
      </c>
      <c r="Z1833" s="5">
        <f>data_origin!Z2092</f>
        <v>3.0303030303030304E-2</v>
      </c>
      <c r="AA1833" s="5">
        <f>data_origin!AA2092</f>
        <v>0</v>
      </c>
      <c r="AB1833" s="5">
        <f t="shared" si="183"/>
        <v>2.6532538499751617</v>
      </c>
    </row>
    <row r="1834" spans="4:28" x14ac:dyDescent="0.25">
      <c r="D1834" t="s">
        <v>86</v>
      </c>
      <c r="E1834" s="38">
        <f t="shared" si="190"/>
        <v>0</v>
      </c>
      <c r="F1834" s="38">
        <f t="shared" si="190"/>
        <v>0</v>
      </c>
      <c r="G1834" s="38">
        <f t="shared" si="190"/>
        <v>0</v>
      </c>
      <c r="H1834" s="38">
        <f t="shared" si="190"/>
        <v>0</v>
      </c>
      <c r="I1834" s="38">
        <f t="shared" si="190"/>
        <v>0</v>
      </c>
      <c r="J1834" s="38">
        <f t="shared" si="190"/>
        <v>0</v>
      </c>
      <c r="K1834" s="38">
        <f t="shared" si="190"/>
        <v>3.0952380952380953E-2</v>
      </c>
      <c r="L1834" s="38">
        <f t="shared" si="189"/>
        <v>0</v>
      </c>
      <c r="M1834" s="35">
        <f t="shared" si="188"/>
        <v>3.0952380952380953E-2</v>
      </c>
      <c r="S1834" t="s">
        <v>86</v>
      </c>
      <c r="T1834" s="5">
        <f>data_origin!T2093</f>
        <v>0</v>
      </c>
      <c r="U1834" s="5">
        <f>data_origin!U2093</f>
        <v>0</v>
      </c>
      <c r="V1834" s="5">
        <f>data_origin!V2093</f>
        <v>0</v>
      </c>
      <c r="W1834" s="5">
        <f>data_origin!W2093</f>
        <v>0</v>
      </c>
      <c r="X1834" s="5">
        <f>data_origin!X2093</f>
        <v>0</v>
      </c>
      <c r="Y1834" s="5">
        <f>data_origin!Y2093</f>
        <v>0</v>
      </c>
      <c r="Z1834" s="5">
        <f>data_origin!Z2093</f>
        <v>3.0303030303030304E-2</v>
      </c>
      <c r="AA1834" s="5">
        <f>data_origin!AA2093</f>
        <v>0</v>
      </c>
      <c r="AB1834" s="5">
        <f t="shared" si="183"/>
        <v>3.0303030303030304E-2</v>
      </c>
    </row>
    <row r="1835" spans="4:28" x14ac:dyDescent="0.25">
      <c r="D1835" t="s">
        <v>87</v>
      </c>
      <c r="E1835" s="38">
        <f t="shared" si="190"/>
        <v>0</v>
      </c>
      <c r="F1835" s="38">
        <f t="shared" si="190"/>
        <v>0</v>
      </c>
      <c r="G1835" s="38">
        <f t="shared" si="190"/>
        <v>0</v>
      </c>
      <c r="H1835" s="38">
        <f t="shared" si="190"/>
        <v>0</v>
      </c>
      <c r="I1835" s="38">
        <f t="shared" si="190"/>
        <v>0</v>
      </c>
      <c r="J1835" s="38">
        <f t="shared" si="190"/>
        <v>0</v>
      </c>
      <c r="K1835" s="38">
        <f t="shared" si="190"/>
        <v>3.0952380952380953E-2</v>
      </c>
      <c r="L1835" s="38">
        <f t="shared" si="189"/>
        <v>0</v>
      </c>
      <c r="M1835" s="35">
        <f t="shared" si="188"/>
        <v>3.0952380952380953E-2</v>
      </c>
      <c r="S1835" t="s">
        <v>87</v>
      </c>
      <c r="T1835" s="5">
        <f>data_origin!T2094</f>
        <v>0</v>
      </c>
      <c r="U1835" s="5">
        <f>data_origin!U2094</f>
        <v>0</v>
      </c>
      <c r="V1835" s="5">
        <f>data_origin!V2094</f>
        <v>0</v>
      </c>
      <c r="W1835" s="5">
        <f>data_origin!W2094</f>
        <v>0</v>
      </c>
      <c r="X1835" s="5">
        <f>data_origin!X2094</f>
        <v>0</v>
      </c>
      <c r="Y1835" s="5">
        <f>data_origin!Y2094</f>
        <v>0</v>
      </c>
      <c r="Z1835" s="5">
        <f>data_origin!Z2094</f>
        <v>3.0303030303030304E-2</v>
      </c>
      <c r="AA1835" s="5">
        <f>data_origin!AA2094</f>
        <v>0</v>
      </c>
      <c r="AB1835" s="5">
        <f t="shared" si="183"/>
        <v>3.0303030303030304E-2</v>
      </c>
    </row>
    <row r="1836" spans="4:28" x14ac:dyDescent="0.25">
      <c r="D1836" t="s">
        <v>88</v>
      </c>
      <c r="E1836" s="38">
        <f t="shared" si="190"/>
        <v>0</v>
      </c>
      <c r="F1836" s="38">
        <f t="shared" si="190"/>
        <v>0</v>
      </c>
      <c r="G1836" s="38">
        <f t="shared" si="190"/>
        <v>0</v>
      </c>
      <c r="H1836" s="38">
        <f t="shared" si="190"/>
        <v>2.9343046091568019</v>
      </c>
      <c r="I1836" s="38">
        <f t="shared" si="190"/>
        <v>2.6409672391555774</v>
      </c>
      <c r="J1836" s="38">
        <f t="shared" si="190"/>
        <v>0</v>
      </c>
      <c r="K1836" s="38">
        <f t="shared" si="190"/>
        <v>3.0952380952380953E-2</v>
      </c>
      <c r="L1836" s="38">
        <f t="shared" si="189"/>
        <v>0</v>
      </c>
      <c r="M1836" s="35">
        <f t="shared" si="188"/>
        <v>5.6062242292647602</v>
      </c>
      <c r="S1836" t="s">
        <v>88</v>
      </c>
      <c r="T1836" s="5">
        <f>data_origin!T2095</f>
        <v>0</v>
      </c>
      <c r="U1836" s="5">
        <f>data_origin!U2095</f>
        <v>0</v>
      </c>
      <c r="V1836" s="5">
        <f>data_origin!V2095</f>
        <v>0</v>
      </c>
      <c r="W1836" s="5">
        <f>data_origin!W2095</f>
        <v>2.8837209302325579</v>
      </c>
      <c r="X1836" s="5">
        <f>data_origin!X2095</f>
        <v>2.5957446808510638</v>
      </c>
      <c r="Y1836" s="5">
        <f>data_origin!Y2095</f>
        <v>0</v>
      </c>
      <c r="Z1836" s="5">
        <f>data_origin!Z2095</f>
        <v>3.0303030303030304E-2</v>
      </c>
      <c r="AA1836" s="5">
        <f>data_origin!AA2095</f>
        <v>0</v>
      </c>
      <c r="AB1836" s="5">
        <f t="shared" si="183"/>
        <v>5.5097686413866525</v>
      </c>
    </row>
    <row r="1837" spans="4:28" x14ac:dyDescent="0.25">
      <c r="D1837" t="s">
        <v>89</v>
      </c>
      <c r="E1837" s="38">
        <f t="shared" si="190"/>
        <v>0</v>
      </c>
      <c r="F1837" s="38">
        <f t="shared" si="190"/>
        <v>0</v>
      </c>
      <c r="G1837" s="38">
        <f t="shared" si="190"/>
        <v>0</v>
      </c>
      <c r="H1837" s="38">
        <f t="shared" si="190"/>
        <v>5.8686092183136038</v>
      </c>
      <c r="I1837" s="38">
        <f t="shared" si="190"/>
        <v>0</v>
      </c>
      <c r="J1837" s="38">
        <f t="shared" si="190"/>
        <v>0</v>
      </c>
      <c r="K1837" s="38">
        <f t="shared" si="190"/>
        <v>3.0952380952380953E-2</v>
      </c>
      <c r="L1837" s="38">
        <f t="shared" si="189"/>
        <v>0</v>
      </c>
      <c r="M1837" s="35">
        <f t="shared" si="188"/>
        <v>5.8995615992659847</v>
      </c>
      <c r="S1837" t="s">
        <v>89</v>
      </c>
      <c r="T1837" s="5">
        <f>data_origin!T2096</f>
        <v>0</v>
      </c>
      <c r="U1837" s="5">
        <f>data_origin!U2096</f>
        <v>0</v>
      </c>
      <c r="V1837" s="5">
        <f>data_origin!V2096</f>
        <v>0</v>
      </c>
      <c r="W1837" s="5">
        <f>data_origin!W2096</f>
        <v>5.7674418604651159</v>
      </c>
      <c r="X1837" s="5">
        <f>data_origin!X2096</f>
        <v>0</v>
      </c>
      <c r="Y1837" s="5">
        <f>data_origin!Y2096</f>
        <v>0</v>
      </c>
      <c r="Z1837" s="5">
        <f>data_origin!Z2096</f>
        <v>3.0303030303030304E-2</v>
      </c>
      <c r="AA1837" s="5">
        <f>data_origin!AA2096</f>
        <v>0</v>
      </c>
      <c r="AB1837" s="5">
        <f t="shared" si="183"/>
        <v>5.7977448907681461</v>
      </c>
    </row>
    <row r="1838" spans="4:28" x14ac:dyDescent="0.25">
      <c r="D1838" t="s">
        <v>90</v>
      </c>
      <c r="E1838" s="38">
        <f t="shared" si="190"/>
        <v>0</v>
      </c>
      <c r="F1838" s="38">
        <f t="shared" si="190"/>
        <v>0</v>
      </c>
      <c r="G1838" s="38">
        <f t="shared" si="190"/>
        <v>0</v>
      </c>
      <c r="H1838" s="38">
        <f t="shared" si="190"/>
        <v>0</v>
      </c>
      <c r="I1838" s="38">
        <f t="shared" si="190"/>
        <v>0</v>
      </c>
      <c r="J1838" s="38">
        <f t="shared" si="190"/>
        <v>0</v>
      </c>
      <c r="K1838" s="38">
        <f t="shared" si="190"/>
        <v>3.0952380952380953E-2</v>
      </c>
      <c r="L1838" s="38">
        <f t="shared" si="189"/>
        <v>0</v>
      </c>
      <c r="M1838" s="35">
        <f t="shared" si="188"/>
        <v>3.0952380952380953E-2</v>
      </c>
      <c r="S1838" t="s">
        <v>90</v>
      </c>
      <c r="T1838" s="5">
        <f>data_origin!T2097</f>
        <v>0</v>
      </c>
      <c r="U1838" s="5">
        <f>data_origin!U2097</f>
        <v>0</v>
      </c>
      <c r="V1838" s="5">
        <f>data_origin!V2097</f>
        <v>0</v>
      </c>
      <c r="W1838" s="5">
        <f>data_origin!W2097</f>
        <v>0</v>
      </c>
      <c r="X1838" s="5">
        <f>data_origin!X2097</f>
        <v>0</v>
      </c>
      <c r="Y1838" s="5">
        <f>data_origin!Y2097</f>
        <v>0</v>
      </c>
      <c r="Z1838" s="5">
        <f>data_origin!Z2097</f>
        <v>3.0303030303030304E-2</v>
      </c>
      <c r="AA1838" s="5">
        <f>data_origin!AA2097</f>
        <v>0</v>
      </c>
      <c r="AB1838" s="5">
        <f t="shared" si="183"/>
        <v>3.0303030303030304E-2</v>
      </c>
    </row>
    <row r="1839" spans="4:28" x14ac:dyDescent="0.25">
      <c r="D1839" t="s">
        <v>91</v>
      </c>
      <c r="E1839" s="38">
        <f t="shared" si="190"/>
        <v>0</v>
      </c>
      <c r="F1839" s="38">
        <f t="shared" si="190"/>
        <v>0</v>
      </c>
      <c r="G1839" s="38">
        <f t="shared" si="190"/>
        <v>0</v>
      </c>
      <c r="H1839" s="38">
        <f t="shared" si="190"/>
        <v>0</v>
      </c>
      <c r="I1839" s="38">
        <f t="shared" si="190"/>
        <v>0</v>
      </c>
      <c r="J1839" s="38">
        <f t="shared" si="190"/>
        <v>0</v>
      </c>
      <c r="K1839" s="38">
        <f t="shared" si="190"/>
        <v>3.0952380952380953E-2</v>
      </c>
      <c r="L1839" s="38">
        <f t="shared" si="189"/>
        <v>0</v>
      </c>
      <c r="M1839" s="35">
        <f t="shared" si="188"/>
        <v>3.0952380952380953E-2</v>
      </c>
      <c r="S1839" t="s">
        <v>91</v>
      </c>
      <c r="T1839" s="5">
        <f>data_origin!T2098</f>
        <v>0</v>
      </c>
      <c r="U1839" s="5">
        <f>data_origin!U2098</f>
        <v>0</v>
      </c>
      <c r="V1839" s="5">
        <f>data_origin!V2098</f>
        <v>0</v>
      </c>
      <c r="W1839" s="5">
        <f>data_origin!W2098</f>
        <v>0</v>
      </c>
      <c r="X1839" s="5">
        <f>data_origin!X2098</f>
        <v>0</v>
      </c>
      <c r="Y1839" s="5">
        <f>data_origin!Y2098</f>
        <v>0</v>
      </c>
      <c r="Z1839" s="5">
        <f>data_origin!Z2098</f>
        <v>3.0303030303030304E-2</v>
      </c>
      <c r="AA1839" s="5">
        <f>data_origin!AA2098</f>
        <v>0</v>
      </c>
      <c r="AB1839" s="5">
        <f t="shared" ref="AB1839:AB1902" si="191">SUM(T1839:AA1839)</f>
        <v>3.0303030303030304E-2</v>
      </c>
    </row>
    <row r="1840" spans="4:28" x14ac:dyDescent="0.25">
      <c r="D1840" t="s">
        <v>92</v>
      </c>
      <c r="E1840" s="38">
        <f t="shared" si="190"/>
        <v>0</v>
      </c>
      <c r="F1840" s="38">
        <f t="shared" si="190"/>
        <v>0</v>
      </c>
      <c r="G1840" s="38">
        <f t="shared" si="190"/>
        <v>0</v>
      </c>
      <c r="H1840" s="38">
        <f t="shared" si="190"/>
        <v>0</v>
      </c>
      <c r="I1840" s="38">
        <f t="shared" si="190"/>
        <v>0</v>
      </c>
      <c r="J1840" s="38">
        <f t="shared" si="190"/>
        <v>0</v>
      </c>
      <c r="K1840" s="38">
        <f t="shared" si="190"/>
        <v>3.0952380952380953E-2</v>
      </c>
      <c r="L1840" s="38">
        <f t="shared" si="189"/>
        <v>0</v>
      </c>
      <c r="M1840" s="35">
        <f t="shared" si="188"/>
        <v>3.0952380952380953E-2</v>
      </c>
      <c r="S1840" t="s">
        <v>92</v>
      </c>
      <c r="T1840" s="5">
        <f>data_origin!T2099</f>
        <v>0</v>
      </c>
      <c r="U1840" s="5">
        <f>data_origin!U2099</f>
        <v>0</v>
      </c>
      <c r="V1840" s="5">
        <f>data_origin!V2099</f>
        <v>0</v>
      </c>
      <c r="W1840" s="5">
        <f>data_origin!W2099</f>
        <v>0</v>
      </c>
      <c r="X1840" s="5">
        <f>data_origin!X2099</f>
        <v>0</v>
      </c>
      <c r="Y1840" s="5">
        <f>data_origin!Y2099</f>
        <v>0</v>
      </c>
      <c r="Z1840" s="5">
        <f>data_origin!Z2099</f>
        <v>3.0303030303030304E-2</v>
      </c>
      <c r="AA1840" s="5">
        <f>data_origin!AA2099</f>
        <v>0</v>
      </c>
      <c r="AB1840" s="5">
        <f t="shared" si="191"/>
        <v>3.0303030303030304E-2</v>
      </c>
    </row>
    <row r="1841" spans="1:28" x14ac:dyDescent="0.25">
      <c r="D1841" t="s">
        <v>93</v>
      </c>
      <c r="E1841" s="38">
        <f t="shared" si="190"/>
        <v>0</v>
      </c>
      <c r="F1841" s="38">
        <f t="shared" si="190"/>
        <v>0</v>
      </c>
      <c r="G1841" s="38">
        <f t="shared" si="190"/>
        <v>0</v>
      </c>
      <c r="H1841" s="38">
        <f t="shared" si="190"/>
        <v>0</v>
      </c>
      <c r="I1841" s="38">
        <f t="shared" si="190"/>
        <v>0</v>
      </c>
      <c r="J1841" s="38">
        <f t="shared" si="190"/>
        <v>0</v>
      </c>
      <c r="K1841" s="38">
        <f t="shared" si="190"/>
        <v>3.0952380952380953E-2</v>
      </c>
      <c r="L1841" s="38">
        <f t="shared" si="189"/>
        <v>0</v>
      </c>
      <c r="M1841" s="35">
        <f t="shared" si="188"/>
        <v>3.0952380952380953E-2</v>
      </c>
      <c r="S1841" t="s">
        <v>93</v>
      </c>
      <c r="T1841" s="5">
        <f>data_origin!T2100</f>
        <v>0</v>
      </c>
      <c r="U1841" s="5">
        <f>data_origin!U2100</f>
        <v>0</v>
      </c>
      <c r="V1841" s="5">
        <f>data_origin!V2100</f>
        <v>0</v>
      </c>
      <c r="W1841" s="5">
        <f>data_origin!W2100</f>
        <v>0</v>
      </c>
      <c r="X1841" s="5">
        <f>data_origin!X2100</f>
        <v>0</v>
      </c>
      <c r="Y1841" s="5">
        <f>data_origin!Y2100</f>
        <v>0</v>
      </c>
      <c r="Z1841" s="5">
        <f>data_origin!Z2100</f>
        <v>3.0303030303030304E-2</v>
      </c>
      <c r="AA1841" s="5">
        <f>data_origin!AA2100</f>
        <v>0</v>
      </c>
      <c r="AB1841" s="5">
        <f t="shared" si="191"/>
        <v>3.0303030303030304E-2</v>
      </c>
    </row>
    <row r="1842" spans="1:28" x14ac:dyDescent="0.25">
      <c r="D1842" t="s">
        <v>94</v>
      </c>
      <c r="E1842" s="38">
        <f t="shared" si="190"/>
        <v>0</v>
      </c>
      <c r="F1842" s="38">
        <f t="shared" si="190"/>
        <v>0</v>
      </c>
      <c r="G1842" s="38">
        <f t="shared" si="190"/>
        <v>0</v>
      </c>
      <c r="H1842" s="38">
        <f t="shared" si="190"/>
        <v>0</v>
      </c>
      <c r="I1842" s="38">
        <f t="shared" si="190"/>
        <v>0</v>
      </c>
      <c r="J1842" s="38">
        <f t="shared" si="190"/>
        <v>0</v>
      </c>
      <c r="K1842" s="38">
        <f t="shared" si="190"/>
        <v>3.0952380952380953E-2</v>
      </c>
      <c r="L1842" s="38">
        <f t="shared" si="189"/>
        <v>0</v>
      </c>
      <c r="M1842" s="35">
        <f t="shared" si="188"/>
        <v>3.0952380952380953E-2</v>
      </c>
      <c r="S1842" t="s">
        <v>94</v>
      </c>
      <c r="T1842" s="5">
        <f>data_origin!T2101</f>
        <v>0</v>
      </c>
      <c r="U1842" s="5">
        <f>data_origin!U2101</f>
        <v>0</v>
      </c>
      <c r="V1842" s="5">
        <f>data_origin!V2101</f>
        <v>0</v>
      </c>
      <c r="W1842" s="5">
        <f>data_origin!W2101</f>
        <v>0</v>
      </c>
      <c r="X1842" s="5">
        <f>data_origin!X2101</f>
        <v>0</v>
      </c>
      <c r="Y1842" s="5">
        <f>data_origin!Y2101</f>
        <v>0</v>
      </c>
      <c r="Z1842" s="5">
        <f>data_origin!Z2101</f>
        <v>3.0303030303030304E-2</v>
      </c>
      <c r="AA1842" s="5">
        <f>data_origin!AA2101</f>
        <v>0</v>
      </c>
      <c r="AB1842" s="5">
        <f t="shared" si="191"/>
        <v>3.0303030303030304E-2</v>
      </c>
    </row>
    <row r="1843" spans="1:28" x14ac:dyDescent="0.25">
      <c r="D1843" t="s">
        <v>95</v>
      </c>
      <c r="E1843" s="38">
        <f t="shared" si="190"/>
        <v>0</v>
      </c>
      <c r="F1843" s="38">
        <f t="shared" si="190"/>
        <v>0</v>
      </c>
      <c r="G1843" s="38">
        <f t="shared" si="190"/>
        <v>0</v>
      </c>
      <c r="H1843" s="38">
        <f t="shared" si="190"/>
        <v>0</v>
      </c>
      <c r="I1843" s="38">
        <f t="shared" si="190"/>
        <v>0</v>
      </c>
      <c r="J1843" s="38">
        <f t="shared" si="190"/>
        <v>0</v>
      </c>
      <c r="K1843" s="38">
        <f t="shared" si="190"/>
        <v>3.0952380952380953E-2</v>
      </c>
      <c r="L1843" s="38">
        <f t="shared" si="189"/>
        <v>0</v>
      </c>
      <c r="M1843" s="35">
        <f t="shared" si="188"/>
        <v>3.0952380952380953E-2</v>
      </c>
      <c r="S1843" t="s">
        <v>95</v>
      </c>
      <c r="T1843" s="5">
        <f>data_origin!T2102</f>
        <v>0</v>
      </c>
      <c r="U1843" s="5">
        <f>data_origin!U2102</f>
        <v>0</v>
      </c>
      <c r="V1843" s="5">
        <f>data_origin!V2102</f>
        <v>0</v>
      </c>
      <c r="W1843" s="5">
        <f>data_origin!W2102</f>
        <v>0</v>
      </c>
      <c r="X1843" s="5">
        <f>data_origin!X2102</f>
        <v>0</v>
      </c>
      <c r="Y1843" s="5">
        <f>data_origin!Y2102</f>
        <v>0</v>
      </c>
      <c r="Z1843" s="5">
        <f>data_origin!Z2102</f>
        <v>3.0303030303030304E-2</v>
      </c>
      <c r="AA1843" s="5">
        <f>data_origin!AA2102</f>
        <v>0</v>
      </c>
      <c r="AB1843" s="5">
        <f t="shared" si="191"/>
        <v>3.0303030303030304E-2</v>
      </c>
    </row>
    <row r="1844" spans="1:28" x14ac:dyDescent="0.25">
      <c r="D1844" t="s">
        <v>96</v>
      </c>
      <c r="E1844" s="38">
        <f t="shared" si="190"/>
        <v>0</v>
      </c>
      <c r="F1844" s="38">
        <f t="shared" si="190"/>
        <v>0</v>
      </c>
      <c r="G1844" s="38">
        <f t="shared" si="190"/>
        <v>0</v>
      </c>
      <c r="H1844" s="38">
        <f t="shared" si="190"/>
        <v>0</v>
      </c>
      <c r="I1844" s="38">
        <f t="shared" si="190"/>
        <v>0</v>
      </c>
      <c r="J1844" s="38">
        <f t="shared" si="190"/>
        <v>0</v>
      </c>
      <c r="K1844" s="38">
        <f t="shared" si="190"/>
        <v>3.0952380952380953E-2</v>
      </c>
      <c r="L1844" s="38">
        <f t="shared" si="189"/>
        <v>0</v>
      </c>
      <c r="M1844" s="35">
        <f t="shared" si="188"/>
        <v>3.0952380952380953E-2</v>
      </c>
      <c r="S1844" t="s">
        <v>96</v>
      </c>
      <c r="T1844" s="5">
        <f>data_origin!T2103</f>
        <v>0</v>
      </c>
      <c r="U1844" s="5">
        <f>data_origin!U2103</f>
        <v>0</v>
      </c>
      <c r="V1844" s="5">
        <f>data_origin!V2103</f>
        <v>0</v>
      </c>
      <c r="W1844" s="5">
        <f>data_origin!W2103</f>
        <v>0</v>
      </c>
      <c r="X1844" s="5">
        <f>data_origin!X2103</f>
        <v>0</v>
      </c>
      <c r="Y1844" s="5">
        <f>data_origin!Y2103</f>
        <v>0</v>
      </c>
      <c r="Z1844" s="5">
        <f>data_origin!Z2103</f>
        <v>3.0303030303030304E-2</v>
      </c>
      <c r="AA1844" s="5">
        <f>data_origin!AA2103</f>
        <v>0</v>
      </c>
      <c r="AB1844" s="5">
        <f t="shared" si="191"/>
        <v>3.0303030303030304E-2</v>
      </c>
    </row>
    <row r="1845" spans="1:28" x14ac:dyDescent="0.25">
      <c r="D1845" t="s">
        <v>97</v>
      </c>
      <c r="E1845" s="38">
        <f t="shared" si="190"/>
        <v>0</v>
      </c>
      <c r="F1845" s="38">
        <f t="shared" si="190"/>
        <v>0</v>
      </c>
      <c r="G1845" s="38">
        <f t="shared" si="190"/>
        <v>0</v>
      </c>
      <c r="H1845" s="38">
        <f t="shared" si="190"/>
        <v>7.4519425516469369</v>
      </c>
      <c r="I1845" s="38">
        <f t="shared" si="190"/>
        <v>0</v>
      </c>
      <c r="J1845" s="38">
        <f t="shared" si="190"/>
        <v>0</v>
      </c>
      <c r="K1845" s="38">
        <f t="shared" si="190"/>
        <v>3.0952380952380953E-2</v>
      </c>
      <c r="L1845" s="38">
        <f t="shared" si="189"/>
        <v>0</v>
      </c>
      <c r="M1845" s="35">
        <f t="shared" si="188"/>
        <v>7.4828949325993177</v>
      </c>
      <c r="S1845" t="s">
        <v>97</v>
      </c>
      <c r="T1845" s="5">
        <f>data_origin!T2104</f>
        <v>0</v>
      </c>
      <c r="U1845" s="5">
        <f>data_origin!U2104</f>
        <v>0</v>
      </c>
      <c r="V1845" s="5">
        <f>data_origin!V2104</f>
        <v>0</v>
      </c>
      <c r="W1845" s="5">
        <f>data_origin!W2104</f>
        <v>5.7674418604651159</v>
      </c>
      <c r="X1845" s="5">
        <f>data_origin!X2104</f>
        <v>0</v>
      </c>
      <c r="Y1845" s="5">
        <f>data_origin!Y2104</f>
        <v>0</v>
      </c>
      <c r="Z1845" s="5">
        <f>data_origin!Z2104</f>
        <v>3.0303030303030304E-2</v>
      </c>
      <c r="AA1845" s="5">
        <f>data_origin!AA2104</f>
        <v>0</v>
      </c>
      <c r="AB1845" s="5">
        <f t="shared" si="191"/>
        <v>5.7977448907681461</v>
      </c>
    </row>
    <row r="1846" spans="1:28" x14ac:dyDescent="0.25">
      <c r="D1846" t="s">
        <v>98</v>
      </c>
      <c r="E1846" s="38">
        <f t="shared" si="190"/>
        <v>0</v>
      </c>
      <c r="F1846" s="38">
        <f t="shared" si="190"/>
        <v>0</v>
      </c>
      <c r="G1846" s="38">
        <f t="shared" si="190"/>
        <v>2.6594713329409676</v>
      </c>
      <c r="H1846" s="38">
        <f t="shared" si="190"/>
        <v>0</v>
      </c>
      <c r="I1846" s="38">
        <f t="shared" si="190"/>
        <v>0</v>
      </c>
      <c r="J1846" s="38">
        <f t="shared" si="190"/>
        <v>0</v>
      </c>
      <c r="K1846" s="38">
        <f t="shared" si="190"/>
        <v>3.0952380952380953E-2</v>
      </c>
      <c r="L1846" s="38">
        <f t="shared" si="189"/>
        <v>0</v>
      </c>
      <c r="M1846" s="35">
        <f t="shared" si="188"/>
        <v>2.6904237138933484</v>
      </c>
      <c r="S1846" t="s">
        <v>98</v>
      </c>
      <c r="T1846" s="5">
        <f>data_origin!T2105</f>
        <v>0</v>
      </c>
      <c r="U1846" s="5">
        <f>data_origin!U2105</f>
        <v>0</v>
      </c>
      <c r="V1846" s="5">
        <f>data_origin!V2105</f>
        <v>2.6229508196721314</v>
      </c>
      <c r="W1846" s="5">
        <f>data_origin!W2105</f>
        <v>0</v>
      </c>
      <c r="X1846" s="5">
        <f>data_origin!X2105</f>
        <v>0</v>
      </c>
      <c r="Y1846" s="5">
        <f>data_origin!Y2105</f>
        <v>0</v>
      </c>
      <c r="Z1846" s="5">
        <f>data_origin!Z2105</f>
        <v>3.0303030303030304E-2</v>
      </c>
      <c r="AA1846" s="5">
        <f>data_origin!AA2105</f>
        <v>0</v>
      </c>
      <c r="AB1846" s="5">
        <f t="shared" si="191"/>
        <v>2.6532538499751617</v>
      </c>
    </row>
    <row r="1847" spans="1:28" x14ac:dyDescent="0.25">
      <c r="D1847" t="s">
        <v>119</v>
      </c>
      <c r="E1847" s="38">
        <f t="shared" si="190"/>
        <v>0</v>
      </c>
      <c r="F1847" s="38">
        <f t="shared" si="190"/>
        <v>0</v>
      </c>
      <c r="G1847" s="38">
        <f t="shared" si="190"/>
        <v>2.6594713329409676</v>
      </c>
      <c r="H1847" s="38">
        <f t="shared" si="190"/>
        <v>0</v>
      </c>
      <c r="I1847" s="38">
        <f t="shared" si="190"/>
        <v>0</v>
      </c>
      <c r="J1847" s="38">
        <f t="shared" si="190"/>
        <v>0</v>
      </c>
      <c r="K1847" s="38">
        <f t="shared" si="190"/>
        <v>3.0952380952380953E-2</v>
      </c>
      <c r="L1847" s="38">
        <f t="shared" si="189"/>
        <v>0</v>
      </c>
      <c r="M1847" s="35">
        <f t="shared" si="188"/>
        <v>2.6904237138933484</v>
      </c>
      <c r="S1847" t="s">
        <v>119</v>
      </c>
      <c r="T1847" s="5">
        <f>data_origin!T2106</f>
        <v>0</v>
      </c>
      <c r="U1847" s="5">
        <f>data_origin!U2106</f>
        <v>0</v>
      </c>
      <c r="V1847" s="5">
        <f>data_origin!V2106</f>
        <v>2.6229508196721314</v>
      </c>
      <c r="W1847" s="5">
        <f>data_origin!W2106</f>
        <v>0</v>
      </c>
      <c r="X1847" s="5">
        <f>data_origin!X2106</f>
        <v>0</v>
      </c>
      <c r="Y1847" s="5">
        <f>data_origin!Y2106</f>
        <v>0</v>
      </c>
      <c r="Z1847" s="5">
        <f>data_origin!Z2106</f>
        <v>3.0303030303030304E-2</v>
      </c>
      <c r="AA1847" s="5">
        <f>data_origin!AA2106</f>
        <v>0</v>
      </c>
      <c r="AB1847" s="5">
        <f t="shared" si="191"/>
        <v>2.6532538499751617</v>
      </c>
    </row>
    <row r="1848" spans="1:28" x14ac:dyDescent="0.25">
      <c r="D1848" t="s">
        <v>99</v>
      </c>
      <c r="E1848" s="38">
        <f t="shared" si="190"/>
        <v>0</v>
      </c>
      <c r="F1848" s="38">
        <f t="shared" si="190"/>
        <v>0</v>
      </c>
      <c r="G1848" s="38">
        <f t="shared" si="190"/>
        <v>0</v>
      </c>
      <c r="H1848" s="38">
        <f t="shared" si="190"/>
        <v>0</v>
      </c>
      <c r="I1848" s="38">
        <f t="shared" si="190"/>
        <v>0</v>
      </c>
      <c r="J1848" s="38">
        <f t="shared" si="190"/>
        <v>0</v>
      </c>
      <c r="K1848" s="38">
        <f t="shared" si="190"/>
        <v>3.0952380952380953E-2</v>
      </c>
      <c r="L1848" s="38">
        <f t="shared" si="189"/>
        <v>0</v>
      </c>
      <c r="M1848" s="35">
        <f t="shared" si="188"/>
        <v>3.0952380952380953E-2</v>
      </c>
      <c r="S1848" t="s">
        <v>99</v>
      </c>
      <c r="T1848" s="5">
        <f>data_origin!T2107</f>
        <v>0</v>
      </c>
      <c r="U1848" s="5">
        <f>data_origin!U2107</f>
        <v>0</v>
      </c>
      <c r="V1848" s="5">
        <f>data_origin!V2107</f>
        <v>0</v>
      </c>
      <c r="W1848" s="5">
        <f>data_origin!W2107</f>
        <v>0</v>
      </c>
      <c r="X1848" s="5">
        <f>data_origin!X2107</f>
        <v>0</v>
      </c>
      <c r="Y1848" s="5">
        <f>data_origin!Y2107</f>
        <v>0</v>
      </c>
      <c r="Z1848" s="5">
        <f>data_origin!Z2107</f>
        <v>3.0303030303030304E-2</v>
      </c>
      <c r="AA1848" s="5">
        <f>data_origin!AA2107</f>
        <v>0</v>
      </c>
      <c r="AB1848" s="5">
        <f t="shared" si="191"/>
        <v>3.0303030303030304E-2</v>
      </c>
    </row>
    <row r="1849" spans="1:28" x14ac:dyDescent="0.25">
      <c r="D1849" t="s">
        <v>100</v>
      </c>
      <c r="E1849" s="38">
        <f t="shared" si="190"/>
        <v>0</v>
      </c>
      <c r="F1849" s="38">
        <f t="shared" si="190"/>
        <v>0</v>
      </c>
      <c r="G1849" s="38">
        <f t="shared" si="190"/>
        <v>200.2493373105761</v>
      </c>
      <c r="H1849" s="38">
        <f t="shared" si="190"/>
        <v>293.0953400083676</v>
      </c>
      <c r="I1849" s="38">
        <f t="shared" si="190"/>
        <v>159.48449300115655</v>
      </c>
      <c r="J1849" s="38">
        <f t="shared" si="190"/>
        <v>23.335994397759102</v>
      </c>
      <c r="K1849" s="38">
        <f t="shared" si="190"/>
        <v>2.0309523809523808</v>
      </c>
      <c r="L1849" s="38">
        <f t="shared" si="189"/>
        <v>0</v>
      </c>
      <c r="M1849" s="35">
        <f t="shared" si="188"/>
        <v>678.19611709881178</v>
      </c>
      <c r="S1849" t="s">
        <v>100</v>
      </c>
      <c r="T1849" s="5">
        <f>data_origin!T2108</f>
        <v>0</v>
      </c>
      <c r="U1849" s="5">
        <f>data_origin!U2108</f>
        <v>0</v>
      </c>
      <c r="V1849" s="5">
        <f>data_origin!V2108</f>
        <v>152.13114754098359</v>
      </c>
      <c r="W1849" s="5">
        <f>data_origin!W2108</f>
        <v>233.58139534883722</v>
      </c>
      <c r="X1849" s="5">
        <f>data_origin!X2108</f>
        <v>119.40425531914893</v>
      </c>
      <c r="Y1849" s="5">
        <f>data_origin!Y2108</f>
        <v>18</v>
      </c>
      <c r="Z1849" s="5">
        <f>data_origin!Z2108</f>
        <v>3.0303030303030304E-2</v>
      </c>
      <c r="AA1849" s="5">
        <f>data_origin!AA2108</f>
        <v>0</v>
      </c>
      <c r="AB1849" s="5">
        <f t="shared" si="191"/>
        <v>523.14710123927284</v>
      </c>
    </row>
    <row r="1850" spans="1:28" x14ac:dyDescent="0.25">
      <c r="D1850" t="s">
        <v>101</v>
      </c>
      <c r="E1850" s="38">
        <f t="shared" si="190"/>
        <v>0</v>
      </c>
      <c r="F1850" s="38">
        <f t="shared" si="190"/>
        <v>0</v>
      </c>
      <c r="G1850" s="38">
        <f t="shared" si="190"/>
        <v>0</v>
      </c>
      <c r="H1850" s="38">
        <f t="shared" si="190"/>
        <v>0</v>
      </c>
      <c r="I1850" s="38">
        <f t="shared" si="190"/>
        <v>0</v>
      </c>
      <c r="J1850" s="38">
        <f t="shared" si="190"/>
        <v>0</v>
      </c>
      <c r="K1850" s="38">
        <f t="shared" si="190"/>
        <v>3.0952380952380953E-2</v>
      </c>
      <c r="L1850" s="38">
        <f t="shared" si="189"/>
        <v>0</v>
      </c>
      <c r="M1850" s="35">
        <f t="shared" si="188"/>
        <v>3.0952380952380953E-2</v>
      </c>
      <c r="S1850" t="s">
        <v>101</v>
      </c>
      <c r="T1850" s="5">
        <f>data_origin!T2109</f>
        <v>0</v>
      </c>
      <c r="U1850" s="5">
        <f>data_origin!U2109</f>
        <v>0</v>
      </c>
      <c r="V1850" s="5">
        <f>data_origin!V2109</f>
        <v>0</v>
      </c>
      <c r="W1850" s="5">
        <f>data_origin!W2109</f>
        <v>0</v>
      </c>
      <c r="X1850" s="5">
        <f>data_origin!X2109</f>
        <v>0</v>
      </c>
      <c r="Y1850" s="5">
        <f>data_origin!Y2109</f>
        <v>0</v>
      </c>
      <c r="Z1850" s="5">
        <f>data_origin!Z2109</f>
        <v>3.0303030303030304E-2</v>
      </c>
      <c r="AA1850" s="5">
        <f>data_origin!AA2109</f>
        <v>0</v>
      </c>
      <c r="AB1850" s="5">
        <f t="shared" si="191"/>
        <v>3.0303030303030304E-2</v>
      </c>
    </row>
    <row r="1851" spans="1:28" x14ac:dyDescent="0.25">
      <c r="A1851" s="24" t="s">
        <v>115</v>
      </c>
      <c r="B1851" s="24" t="s">
        <v>117</v>
      </c>
      <c r="C1851" s="24" t="s">
        <v>111</v>
      </c>
      <c r="D1851" t="s">
        <v>70</v>
      </c>
      <c r="E1851" s="38">
        <f t="shared" si="190"/>
        <v>0</v>
      </c>
      <c r="F1851" s="38">
        <f t="shared" si="190"/>
        <v>0</v>
      </c>
      <c r="G1851" s="38">
        <f t="shared" si="190"/>
        <v>0</v>
      </c>
      <c r="H1851" s="38">
        <f t="shared" si="190"/>
        <v>4.2708063677572987</v>
      </c>
      <c r="I1851" s="38">
        <f t="shared" si="190"/>
        <v>2.6808257090673711</v>
      </c>
      <c r="J1851" s="38">
        <f t="shared" si="190"/>
        <v>0</v>
      </c>
      <c r="K1851" s="38">
        <f t="shared" si="190"/>
        <v>0</v>
      </c>
      <c r="L1851" s="38">
        <f t="shared" si="189"/>
        <v>0</v>
      </c>
      <c r="M1851" s="35">
        <f t="shared" si="188"/>
        <v>6.9516320768246693</v>
      </c>
      <c r="P1851" t="s">
        <v>115</v>
      </c>
      <c r="Q1851" t="s">
        <v>117</v>
      </c>
      <c r="R1851" t="s">
        <v>111</v>
      </c>
      <c r="S1851" t="s">
        <v>70</v>
      </c>
      <c r="T1851" s="5">
        <f>data_origin!T2111</f>
        <v>0</v>
      </c>
      <c r="U1851" s="5">
        <f>data_origin!U2111</f>
        <v>0</v>
      </c>
      <c r="V1851" s="5">
        <f>data_origin!V2111</f>
        <v>0</v>
      </c>
      <c r="W1851" s="5">
        <f>data_origin!W2111</f>
        <v>4.197183098591549</v>
      </c>
      <c r="X1851" s="5">
        <f>data_origin!X2111</f>
        <v>2.6349206349206349</v>
      </c>
      <c r="Y1851" s="5">
        <f>data_origin!Y2111</f>
        <v>0</v>
      </c>
      <c r="Z1851" s="5">
        <f>data_origin!Z2111</f>
        <v>0</v>
      </c>
      <c r="AA1851" s="5">
        <f>data_origin!AA2111</f>
        <v>0</v>
      </c>
      <c r="AB1851" s="5">
        <f t="shared" si="191"/>
        <v>6.8321037335121844</v>
      </c>
    </row>
    <row r="1852" spans="1:28" x14ac:dyDescent="0.25">
      <c r="D1852" t="s">
        <v>71</v>
      </c>
      <c r="E1852" s="38">
        <f t="shared" si="190"/>
        <v>0</v>
      </c>
      <c r="F1852" s="38">
        <f t="shared" si="190"/>
        <v>0</v>
      </c>
      <c r="G1852" s="38">
        <f t="shared" si="190"/>
        <v>34.942378030403944</v>
      </c>
      <c r="H1852" s="38">
        <f t="shared" si="190"/>
        <v>38.437257309815692</v>
      </c>
      <c r="I1852" s="38">
        <f t="shared" si="190"/>
        <v>6.7020642726684283</v>
      </c>
      <c r="J1852" s="38">
        <f t="shared" si="190"/>
        <v>2.4300715466909653</v>
      </c>
      <c r="K1852" s="38">
        <f t="shared" si="190"/>
        <v>0</v>
      </c>
      <c r="L1852" s="38">
        <f t="shared" si="189"/>
        <v>0</v>
      </c>
      <c r="M1852" s="35">
        <f t="shared" si="188"/>
        <v>82.511771159579027</v>
      </c>
      <c r="S1852" t="s">
        <v>71</v>
      </c>
      <c r="T1852" s="5">
        <f>data_origin!T2112</f>
        <v>0</v>
      </c>
      <c r="U1852" s="5">
        <f>data_origin!U2112</f>
        <v>0</v>
      </c>
      <c r="V1852" s="5">
        <f>data_origin!V2112</f>
        <v>34.462540716612381</v>
      </c>
      <c r="W1852" s="5">
        <f>data_origin!W2112</f>
        <v>37.774647887323944</v>
      </c>
      <c r="X1852" s="5">
        <f>data_origin!X2112</f>
        <v>6.587301587301587</v>
      </c>
      <c r="Y1852" s="5">
        <f>data_origin!Y2112</f>
        <v>2.3855421686746987</v>
      </c>
      <c r="Z1852" s="5">
        <f>data_origin!Z2112</f>
        <v>0</v>
      </c>
      <c r="AA1852" s="5">
        <f>data_origin!AA2112</f>
        <v>0</v>
      </c>
      <c r="AB1852" s="5">
        <f t="shared" si="191"/>
        <v>81.210032359912603</v>
      </c>
    </row>
    <row r="1853" spans="1:28" x14ac:dyDescent="0.25">
      <c r="D1853" t="s">
        <v>72</v>
      </c>
      <c r="E1853" s="38">
        <f t="shared" si="190"/>
        <v>0</v>
      </c>
      <c r="F1853" s="38">
        <f t="shared" si="190"/>
        <v>0</v>
      </c>
      <c r="G1853" s="38">
        <f t="shared" si="190"/>
        <v>19.750039756315271</v>
      </c>
      <c r="H1853" s="38">
        <f t="shared" si="190"/>
        <v>29.895644574301095</v>
      </c>
      <c r="I1853" s="38">
        <f t="shared" si="190"/>
        <v>58.978165599482168</v>
      </c>
      <c r="J1853" s="38">
        <f t="shared" si="190"/>
        <v>18.225536600182242</v>
      </c>
      <c r="K1853" s="38">
        <f t="shared" si="190"/>
        <v>4.8067226890756301</v>
      </c>
      <c r="L1853" s="38">
        <f t="shared" si="189"/>
        <v>0</v>
      </c>
      <c r="M1853" s="35">
        <f t="shared" si="188"/>
        <v>131.65610921935641</v>
      </c>
      <c r="S1853" t="s">
        <v>72</v>
      </c>
      <c r="T1853" s="5">
        <f>data_origin!T2113</f>
        <v>0</v>
      </c>
      <c r="U1853" s="5">
        <f>data_origin!U2113</f>
        <v>0</v>
      </c>
      <c r="V1853" s="5">
        <f>data_origin!V2113</f>
        <v>19.478827361563518</v>
      </c>
      <c r="W1853" s="5">
        <f>data_origin!W2113</f>
        <v>29.380281690140848</v>
      </c>
      <c r="X1853" s="5">
        <f>data_origin!X2113</f>
        <v>57.968253968253968</v>
      </c>
      <c r="Y1853" s="5">
        <f>data_origin!Y2113</f>
        <v>17.891566265060241</v>
      </c>
      <c r="Z1853" s="5">
        <f>data_origin!Z2113</f>
        <v>4.7058823529411766</v>
      </c>
      <c r="AA1853" s="5">
        <f>data_origin!AA2113</f>
        <v>0</v>
      </c>
      <c r="AB1853" s="5">
        <f t="shared" si="191"/>
        <v>129.42481163795978</v>
      </c>
    </row>
    <row r="1854" spans="1:28" x14ac:dyDescent="0.25">
      <c r="D1854" t="s">
        <v>73</v>
      </c>
      <c r="E1854" s="38">
        <f t="shared" si="190"/>
        <v>0</v>
      </c>
      <c r="F1854" s="38">
        <f t="shared" si="190"/>
        <v>0</v>
      </c>
      <c r="G1854" s="38">
        <f t="shared" si="190"/>
        <v>3.0384676548177341</v>
      </c>
      <c r="H1854" s="38">
        <f t="shared" ref="H1854:L1910" si="192">W1854+AZ468+IFERROR((W1854/SUM(W$993:W$1982)*AZ$630),0)+IFERROR((W1854/SUM(W$1125:W$1322,W$1455:W$1652,W$1785:W$1982)*AZ$732),0)</f>
        <v>4.2708063677572987</v>
      </c>
      <c r="I1854" s="38">
        <f t="shared" si="192"/>
        <v>2.6808257090673711</v>
      </c>
      <c r="J1854" s="38">
        <f t="shared" si="192"/>
        <v>0</v>
      </c>
      <c r="K1854" s="38">
        <f t="shared" si="192"/>
        <v>0</v>
      </c>
      <c r="L1854" s="38">
        <f t="shared" si="189"/>
        <v>0</v>
      </c>
      <c r="M1854" s="35">
        <f t="shared" si="188"/>
        <v>9.9900997316424043</v>
      </c>
      <c r="S1854" t="s">
        <v>73</v>
      </c>
      <c r="T1854" s="5">
        <f>data_origin!T2114</f>
        <v>0</v>
      </c>
      <c r="U1854" s="5">
        <f>data_origin!U2114</f>
        <v>0</v>
      </c>
      <c r="V1854" s="5">
        <f>data_origin!V2114</f>
        <v>2.996742671009772</v>
      </c>
      <c r="W1854" s="5">
        <f>data_origin!W2114</f>
        <v>4.197183098591549</v>
      </c>
      <c r="X1854" s="5">
        <f>data_origin!X2114</f>
        <v>2.6349206349206349</v>
      </c>
      <c r="Y1854" s="5">
        <f>data_origin!Y2114</f>
        <v>0</v>
      </c>
      <c r="Z1854" s="5">
        <f>data_origin!Z2114</f>
        <v>0</v>
      </c>
      <c r="AA1854" s="5">
        <f>data_origin!AA2114</f>
        <v>0</v>
      </c>
      <c r="AB1854" s="5">
        <f t="shared" si="191"/>
        <v>9.8288464045219559</v>
      </c>
    </row>
    <row r="1855" spans="1:28" x14ac:dyDescent="0.25">
      <c r="D1855" t="s">
        <v>74</v>
      </c>
      <c r="E1855" s="38">
        <f t="shared" ref="E1855:I1918" si="193">T1855+AW469+IFERROR((T1855/SUM(T$993:T$1982)*AW$630),0)+IFERROR((T1855/SUM(T$1125:T$1322,T$1455:T$1652,T$1785:T$1982)*AW$732),0)</f>
        <v>0</v>
      </c>
      <c r="F1855" s="38">
        <f t="shared" si="193"/>
        <v>0</v>
      </c>
      <c r="G1855" s="38">
        <f t="shared" si="193"/>
        <v>4.5577014822266015</v>
      </c>
      <c r="H1855" s="38">
        <f t="shared" si="192"/>
        <v>15.65962334844343</v>
      </c>
      <c r="I1855" s="38">
        <f t="shared" si="192"/>
        <v>24.127431381606343</v>
      </c>
      <c r="J1855" s="38">
        <f t="shared" si="192"/>
        <v>3.6451073200364483</v>
      </c>
      <c r="K1855" s="38">
        <f t="shared" si="192"/>
        <v>0</v>
      </c>
      <c r="L1855" s="38">
        <f t="shared" si="189"/>
        <v>0</v>
      </c>
      <c r="M1855" s="35">
        <f t="shared" si="188"/>
        <v>47.989863532312825</v>
      </c>
      <c r="S1855" t="s">
        <v>74</v>
      </c>
      <c r="T1855" s="5">
        <f>data_origin!T2115</f>
        <v>0</v>
      </c>
      <c r="U1855" s="5">
        <f>data_origin!U2115</f>
        <v>0</v>
      </c>
      <c r="V1855" s="5">
        <f>data_origin!V2115</f>
        <v>4.4951140065146582</v>
      </c>
      <c r="W1855" s="5">
        <f>data_origin!W2115</f>
        <v>15.389671361502348</v>
      </c>
      <c r="X1855" s="5">
        <f>data_origin!X2115</f>
        <v>23.714285714285715</v>
      </c>
      <c r="Y1855" s="5">
        <f>data_origin!Y2115</f>
        <v>3.5783132530120483</v>
      </c>
      <c r="Z1855" s="5">
        <f>data_origin!Z2115</f>
        <v>0</v>
      </c>
      <c r="AA1855" s="5">
        <f>data_origin!AA2115</f>
        <v>0</v>
      </c>
      <c r="AB1855" s="5">
        <f t="shared" si="191"/>
        <v>47.17738433531477</v>
      </c>
    </row>
    <row r="1856" spans="1:28" x14ac:dyDescent="0.25">
      <c r="D1856" t="s">
        <v>75</v>
      </c>
      <c r="E1856" s="38">
        <f t="shared" si="193"/>
        <v>0</v>
      </c>
      <c r="F1856" s="38">
        <f t="shared" si="193"/>
        <v>0</v>
      </c>
      <c r="G1856" s="38">
        <f t="shared" si="193"/>
        <v>4.5577014822266015</v>
      </c>
      <c r="H1856" s="38">
        <f t="shared" si="192"/>
        <v>17.083225471029195</v>
      </c>
      <c r="I1856" s="38">
        <f t="shared" si="192"/>
        <v>9.3828899817357989</v>
      </c>
      <c r="J1856" s="38">
        <f t="shared" si="192"/>
        <v>4.8601430933819305</v>
      </c>
      <c r="K1856" s="38">
        <f t="shared" si="192"/>
        <v>0</v>
      </c>
      <c r="L1856" s="38">
        <f t="shared" si="189"/>
        <v>0</v>
      </c>
      <c r="M1856" s="35">
        <f t="shared" si="188"/>
        <v>35.883960028373522</v>
      </c>
      <c r="S1856" t="s">
        <v>75</v>
      </c>
      <c r="T1856" s="5">
        <f>data_origin!T2116</f>
        <v>0</v>
      </c>
      <c r="U1856" s="5">
        <f>data_origin!U2116</f>
        <v>0</v>
      </c>
      <c r="V1856" s="5">
        <f>data_origin!V2116</f>
        <v>4.4951140065146582</v>
      </c>
      <c r="W1856" s="5">
        <f>data_origin!W2116</f>
        <v>16.788732394366196</v>
      </c>
      <c r="X1856" s="5">
        <f>data_origin!X2116</f>
        <v>9.2222222222222214</v>
      </c>
      <c r="Y1856" s="5">
        <f>data_origin!Y2116</f>
        <v>4.7710843373493974</v>
      </c>
      <c r="Z1856" s="5">
        <f>data_origin!Z2116</f>
        <v>0</v>
      </c>
      <c r="AA1856" s="5">
        <f>data_origin!AA2116</f>
        <v>0</v>
      </c>
      <c r="AB1856" s="5">
        <f t="shared" si="191"/>
        <v>35.277152960452476</v>
      </c>
    </row>
    <row r="1857" spans="4:28" x14ac:dyDescent="0.25">
      <c r="D1857" t="s">
        <v>76</v>
      </c>
      <c r="E1857" s="38">
        <f t="shared" si="193"/>
        <v>0</v>
      </c>
      <c r="F1857" s="38">
        <f t="shared" si="193"/>
        <v>0</v>
      </c>
      <c r="G1857" s="38">
        <f t="shared" si="193"/>
        <v>9.1154029644532031</v>
      </c>
      <c r="H1857" s="38">
        <f t="shared" si="192"/>
        <v>37.013655187229922</v>
      </c>
      <c r="I1857" s="38">
        <f t="shared" si="192"/>
        <v>24.127431381606343</v>
      </c>
      <c r="J1857" s="38">
        <f t="shared" si="192"/>
        <v>10.935321960109347</v>
      </c>
      <c r="K1857" s="38">
        <f t="shared" si="192"/>
        <v>9.6134453781512601</v>
      </c>
      <c r="L1857" s="38">
        <f t="shared" si="189"/>
        <v>0</v>
      </c>
      <c r="M1857" s="35">
        <f t="shared" si="188"/>
        <v>90.805256871550071</v>
      </c>
      <c r="S1857" t="s">
        <v>76</v>
      </c>
      <c r="T1857" s="5">
        <f>data_origin!T2117</f>
        <v>0</v>
      </c>
      <c r="U1857" s="5">
        <f>data_origin!U2117</f>
        <v>0</v>
      </c>
      <c r="V1857" s="5">
        <f>data_origin!V2117</f>
        <v>8.9902280130293164</v>
      </c>
      <c r="W1857" s="5">
        <f>data_origin!W2117</f>
        <v>36.375586854460096</v>
      </c>
      <c r="X1857" s="5">
        <f>data_origin!X2117</f>
        <v>23.714285714285715</v>
      </c>
      <c r="Y1857" s="5">
        <f>data_origin!Y2117</f>
        <v>10.734939759036145</v>
      </c>
      <c r="Z1857" s="5">
        <f>data_origin!Z2117</f>
        <v>9.4117647058823533</v>
      </c>
      <c r="AA1857" s="5">
        <f>data_origin!AA2117</f>
        <v>0</v>
      </c>
      <c r="AB1857" s="5">
        <f t="shared" si="191"/>
        <v>89.226805046693613</v>
      </c>
    </row>
    <row r="1858" spans="4:28" x14ac:dyDescent="0.25">
      <c r="D1858" t="s">
        <v>77</v>
      </c>
      <c r="E1858" s="38">
        <f t="shared" si="193"/>
        <v>0</v>
      </c>
      <c r="F1858" s="38">
        <f t="shared" si="193"/>
        <v>0</v>
      </c>
      <c r="G1858" s="38">
        <f t="shared" si="193"/>
        <v>36.461611857812812</v>
      </c>
      <c r="H1858" s="38">
        <f t="shared" si="192"/>
        <v>109.617363439104</v>
      </c>
      <c r="I1858" s="38">
        <f t="shared" si="192"/>
        <v>151.46665256230648</v>
      </c>
      <c r="J1858" s="38">
        <f t="shared" si="192"/>
        <v>30.375894333637067</v>
      </c>
      <c r="K1858" s="38">
        <f t="shared" si="192"/>
        <v>0</v>
      </c>
      <c r="L1858" s="38">
        <f t="shared" si="189"/>
        <v>1</v>
      </c>
      <c r="M1858" s="35">
        <f t="shared" si="188"/>
        <v>328.92152219286032</v>
      </c>
      <c r="S1858" t="s">
        <v>77</v>
      </c>
      <c r="T1858" s="5">
        <f>data_origin!T2118</f>
        <v>0</v>
      </c>
      <c r="U1858" s="5">
        <f>data_origin!U2118</f>
        <v>0</v>
      </c>
      <c r="V1858" s="5">
        <f>data_origin!V2118</f>
        <v>35.960912052117266</v>
      </c>
      <c r="W1858" s="5">
        <f>data_origin!W2118</f>
        <v>107.72769953051643</v>
      </c>
      <c r="X1858" s="5">
        <f>data_origin!X2118</f>
        <v>148.87301587301587</v>
      </c>
      <c r="Y1858" s="5">
        <f>data_origin!Y2118</f>
        <v>29.819277108433734</v>
      </c>
      <c r="Z1858" s="5">
        <f>data_origin!Z2118</f>
        <v>0</v>
      </c>
      <c r="AA1858" s="5">
        <f>data_origin!AA2118</f>
        <v>1</v>
      </c>
      <c r="AB1858" s="5">
        <f t="shared" si="191"/>
        <v>323.38090456408332</v>
      </c>
    </row>
    <row r="1859" spans="4:28" x14ac:dyDescent="0.25">
      <c r="D1859" t="s">
        <v>78</v>
      </c>
      <c r="E1859" s="38">
        <f t="shared" si="193"/>
        <v>0</v>
      </c>
      <c r="F1859" s="38">
        <f t="shared" si="193"/>
        <v>0</v>
      </c>
      <c r="G1859" s="38">
        <f t="shared" si="193"/>
        <v>16.711572101497541</v>
      </c>
      <c r="H1859" s="38">
        <f t="shared" si="192"/>
        <v>38.437257309815692</v>
      </c>
      <c r="I1859" s="38">
        <f t="shared" si="192"/>
        <v>25.467844236140024</v>
      </c>
      <c r="J1859" s="38">
        <f t="shared" si="192"/>
        <v>2.4300715466909653</v>
      </c>
      <c r="K1859" s="38">
        <f t="shared" si="192"/>
        <v>0</v>
      </c>
      <c r="L1859" s="38">
        <f t="shared" si="189"/>
        <v>0</v>
      </c>
      <c r="M1859" s="35">
        <f t="shared" ref="M1859:M1922" si="194">SUM(E1859:L1859)</f>
        <v>83.046745194144222</v>
      </c>
      <c r="S1859" t="s">
        <v>78</v>
      </c>
      <c r="T1859" s="5">
        <f>data_origin!T2119</f>
        <v>0</v>
      </c>
      <c r="U1859" s="5">
        <f>data_origin!U2119</f>
        <v>0</v>
      </c>
      <c r="V1859" s="5">
        <f>data_origin!V2119</f>
        <v>16.482084690553748</v>
      </c>
      <c r="W1859" s="5">
        <f>data_origin!W2119</f>
        <v>37.774647887323944</v>
      </c>
      <c r="X1859" s="5">
        <f>data_origin!X2119</f>
        <v>25.031746031746032</v>
      </c>
      <c r="Y1859" s="5">
        <f>data_origin!Y2119</f>
        <v>2.3855421686746987</v>
      </c>
      <c r="Z1859" s="5">
        <f>data_origin!Z2119</f>
        <v>0</v>
      </c>
      <c r="AA1859" s="5">
        <f>data_origin!AA2119</f>
        <v>0</v>
      </c>
      <c r="AB1859" s="5">
        <f t="shared" si="191"/>
        <v>81.674020778298427</v>
      </c>
    </row>
    <row r="1860" spans="4:28" x14ac:dyDescent="0.25">
      <c r="D1860" t="s">
        <v>79</v>
      </c>
      <c r="E1860" s="38">
        <f t="shared" si="193"/>
        <v>0</v>
      </c>
      <c r="F1860" s="38">
        <f t="shared" si="193"/>
        <v>0</v>
      </c>
      <c r="G1860" s="38">
        <f t="shared" si="193"/>
        <v>7.5961691370443347</v>
      </c>
      <c r="H1860" s="38">
        <f t="shared" si="192"/>
        <v>21.35403183878649</v>
      </c>
      <c r="I1860" s="38">
        <f t="shared" si="192"/>
        <v>46.914449908678996</v>
      </c>
      <c r="J1860" s="38">
        <f t="shared" si="192"/>
        <v>40.096180520400928</v>
      </c>
      <c r="K1860" s="38">
        <f t="shared" si="192"/>
        <v>10.815126050420167</v>
      </c>
      <c r="L1860" s="38">
        <f t="shared" si="189"/>
        <v>1</v>
      </c>
      <c r="M1860" s="35">
        <f t="shared" si="194"/>
        <v>127.77595745533091</v>
      </c>
      <c r="S1860" t="s">
        <v>79</v>
      </c>
      <c r="T1860" s="5">
        <f>data_origin!T2120</f>
        <v>0</v>
      </c>
      <c r="U1860" s="5">
        <f>data_origin!U2120</f>
        <v>0</v>
      </c>
      <c r="V1860" s="5">
        <f>data_origin!V2120</f>
        <v>7.4918566775244297</v>
      </c>
      <c r="W1860" s="5">
        <f>data_origin!W2120</f>
        <v>20.985915492957744</v>
      </c>
      <c r="X1860" s="5">
        <f>data_origin!X2120</f>
        <v>46.111111111111114</v>
      </c>
      <c r="Y1860" s="5">
        <f>data_origin!Y2120</f>
        <v>39.361445783132531</v>
      </c>
      <c r="Z1860" s="5">
        <f>data_origin!Z2120</f>
        <v>10.588235294117647</v>
      </c>
      <c r="AA1860" s="5">
        <f>data_origin!AA2120</f>
        <v>1</v>
      </c>
      <c r="AB1860" s="5">
        <f t="shared" si="191"/>
        <v>125.53856435884347</v>
      </c>
    </row>
    <row r="1861" spans="4:28" x14ac:dyDescent="0.25">
      <c r="D1861" t="s">
        <v>80</v>
      </c>
      <c r="E1861" s="38">
        <f t="shared" si="193"/>
        <v>0</v>
      </c>
      <c r="F1861" s="38">
        <f t="shared" si="193"/>
        <v>0</v>
      </c>
      <c r="G1861" s="38">
        <f t="shared" si="193"/>
        <v>16.711572101497541</v>
      </c>
      <c r="H1861" s="38">
        <f t="shared" si="192"/>
        <v>62.638493393773722</v>
      </c>
      <c r="I1861" s="38">
        <f t="shared" si="192"/>
        <v>46.914449908678996</v>
      </c>
      <c r="J1861" s="38">
        <f t="shared" si="192"/>
        <v>15.795465053491275</v>
      </c>
      <c r="K1861" s="38">
        <f t="shared" si="192"/>
        <v>0</v>
      </c>
      <c r="L1861" s="38">
        <f t="shared" si="189"/>
        <v>0</v>
      </c>
      <c r="M1861" s="35">
        <f t="shared" si="194"/>
        <v>142.05998045744155</v>
      </c>
      <c r="S1861" t="s">
        <v>80</v>
      </c>
      <c r="T1861" s="5">
        <f>data_origin!T2121</f>
        <v>0</v>
      </c>
      <c r="U1861" s="5">
        <f>data_origin!U2121</f>
        <v>0</v>
      </c>
      <c r="V1861" s="5">
        <f>data_origin!V2121</f>
        <v>16.482084690553748</v>
      </c>
      <c r="W1861" s="5">
        <f>data_origin!W2121</f>
        <v>61.558685446009392</v>
      </c>
      <c r="X1861" s="5">
        <f>data_origin!X2121</f>
        <v>46.111111111111114</v>
      </c>
      <c r="Y1861" s="5">
        <f>data_origin!Y2121</f>
        <v>15.506024096385541</v>
      </c>
      <c r="Z1861" s="5">
        <f>data_origin!Z2121</f>
        <v>0</v>
      </c>
      <c r="AA1861" s="5">
        <f>data_origin!AA2121</f>
        <v>0</v>
      </c>
      <c r="AB1861" s="5">
        <f t="shared" si="191"/>
        <v>139.6579053440598</v>
      </c>
    </row>
    <row r="1862" spans="4:28" x14ac:dyDescent="0.25">
      <c r="D1862" t="s">
        <v>81</v>
      </c>
      <c r="E1862" s="38">
        <f t="shared" si="193"/>
        <v>0</v>
      </c>
      <c r="F1862" s="38">
        <f t="shared" si="193"/>
        <v>0</v>
      </c>
      <c r="G1862" s="38">
        <f t="shared" si="193"/>
        <v>21.269273583724139</v>
      </c>
      <c r="H1862" s="38">
        <f t="shared" si="192"/>
        <v>52.673278535673354</v>
      </c>
      <c r="I1862" s="38">
        <f t="shared" si="192"/>
        <v>52.276101326813745</v>
      </c>
      <c r="J1862" s="38">
        <f t="shared" si="192"/>
        <v>8.5052504134183788</v>
      </c>
      <c r="K1862" s="38">
        <f t="shared" si="192"/>
        <v>2.403361344537815</v>
      </c>
      <c r="L1862" s="38">
        <f t="shared" si="189"/>
        <v>0</v>
      </c>
      <c r="M1862" s="35">
        <f t="shared" si="194"/>
        <v>137.12726520416743</v>
      </c>
      <c r="S1862" t="s">
        <v>81</v>
      </c>
      <c r="T1862" s="5">
        <f>data_origin!T2122</f>
        <v>0</v>
      </c>
      <c r="U1862" s="5">
        <f>data_origin!U2122</f>
        <v>0</v>
      </c>
      <c r="V1862" s="5">
        <f>data_origin!V2122</f>
        <v>20.977198697068403</v>
      </c>
      <c r="W1862" s="5">
        <f>data_origin!W2122</f>
        <v>51.76525821596244</v>
      </c>
      <c r="X1862" s="5">
        <f>data_origin!X2122</f>
        <v>51.38095238095238</v>
      </c>
      <c r="Y1862" s="5">
        <f>data_origin!Y2122</f>
        <v>8.3493975903614448</v>
      </c>
      <c r="Z1862" s="5">
        <f>data_origin!Z2122</f>
        <v>2.3529411764705883</v>
      </c>
      <c r="AA1862" s="5">
        <f>data_origin!AA2122</f>
        <v>0</v>
      </c>
      <c r="AB1862" s="5">
        <f t="shared" si="191"/>
        <v>134.82574806081524</v>
      </c>
    </row>
    <row r="1863" spans="4:28" x14ac:dyDescent="0.25">
      <c r="D1863" t="s">
        <v>82</v>
      </c>
      <c r="E1863" s="38">
        <f t="shared" si="193"/>
        <v>0</v>
      </c>
      <c r="F1863" s="38">
        <f t="shared" si="193"/>
        <v>0</v>
      </c>
      <c r="G1863" s="38">
        <f t="shared" si="193"/>
        <v>6.0769353096354681</v>
      </c>
      <c r="H1863" s="38">
        <f t="shared" si="192"/>
        <v>42.70806367757298</v>
      </c>
      <c r="I1863" s="38">
        <f t="shared" si="192"/>
        <v>13.404128545336857</v>
      </c>
      <c r="J1863" s="38">
        <f t="shared" si="192"/>
        <v>4.8601430933819305</v>
      </c>
      <c r="K1863" s="38">
        <f t="shared" si="192"/>
        <v>0</v>
      </c>
      <c r="L1863" s="38">
        <f t="shared" si="189"/>
        <v>0</v>
      </c>
      <c r="M1863" s="35">
        <f t="shared" si="194"/>
        <v>67.049270625927235</v>
      </c>
      <c r="S1863" t="s">
        <v>82</v>
      </c>
      <c r="T1863" s="5">
        <f>data_origin!T2123</f>
        <v>0</v>
      </c>
      <c r="U1863" s="5">
        <f>data_origin!U2123</f>
        <v>0</v>
      </c>
      <c r="V1863" s="5">
        <f>data_origin!V2123</f>
        <v>5.993485342019544</v>
      </c>
      <c r="W1863" s="5">
        <f>data_origin!W2123</f>
        <v>41.971830985915489</v>
      </c>
      <c r="X1863" s="5">
        <f>data_origin!X2123</f>
        <v>13.174603174603174</v>
      </c>
      <c r="Y1863" s="5">
        <f>data_origin!Y2123</f>
        <v>4.7710843373493974</v>
      </c>
      <c r="Z1863" s="5">
        <f>data_origin!Z2123</f>
        <v>0</v>
      </c>
      <c r="AA1863" s="5">
        <f>data_origin!AA2123</f>
        <v>0</v>
      </c>
      <c r="AB1863" s="5">
        <f t="shared" si="191"/>
        <v>65.911003839887599</v>
      </c>
    </row>
    <row r="1864" spans="4:28" x14ac:dyDescent="0.25">
      <c r="D1864" t="s">
        <v>83</v>
      </c>
      <c r="E1864" s="38">
        <f t="shared" si="193"/>
        <v>0</v>
      </c>
      <c r="F1864" s="38">
        <f t="shared" si="193"/>
        <v>0</v>
      </c>
      <c r="G1864" s="38">
        <f t="shared" si="193"/>
        <v>9.1154029644532031</v>
      </c>
      <c r="H1864" s="38">
        <f t="shared" si="192"/>
        <v>9.9652148581003637</v>
      </c>
      <c r="I1864" s="38">
        <f t="shared" si="192"/>
        <v>5.3616514181347421</v>
      </c>
      <c r="J1864" s="38">
        <f t="shared" si="192"/>
        <v>0</v>
      </c>
      <c r="K1864" s="38">
        <f t="shared" si="192"/>
        <v>0</v>
      </c>
      <c r="L1864" s="38">
        <f t="shared" si="189"/>
        <v>0</v>
      </c>
      <c r="M1864" s="35">
        <f t="shared" si="194"/>
        <v>24.442269240688308</v>
      </c>
      <c r="S1864" t="s">
        <v>83</v>
      </c>
      <c r="T1864" s="5">
        <f>data_origin!T2124</f>
        <v>0</v>
      </c>
      <c r="U1864" s="5">
        <f>data_origin!U2124</f>
        <v>0</v>
      </c>
      <c r="V1864" s="5">
        <f>data_origin!V2124</f>
        <v>8.9902280130293164</v>
      </c>
      <c r="W1864" s="5">
        <f>data_origin!W2124</f>
        <v>9.793427230046948</v>
      </c>
      <c r="X1864" s="5">
        <f>data_origin!X2124</f>
        <v>5.2698412698412698</v>
      </c>
      <c r="Y1864" s="5">
        <f>data_origin!Y2124</f>
        <v>0</v>
      </c>
      <c r="Z1864" s="5">
        <f>data_origin!Z2124</f>
        <v>0</v>
      </c>
      <c r="AA1864" s="5">
        <f>data_origin!AA2124</f>
        <v>0</v>
      </c>
      <c r="AB1864" s="5">
        <f t="shared" si="191"/>
        <v>24.053496512917533</v>
      </c>
    </row>
    <row r="1865" spans="4:28" x14ac:dyDescent="0.25">
      <c r="D1865" t="s">
        <v>84</v>
      </c>
      <c r="E1865" s="38">
        <f t="shared" si="193"/>
        <v>0</v>
      </c>
      <c r="F1865" s="38">
        <f t="shared" si="193"/>
        <v>0</v>
      </c>
      <c r="G1865" s="38">
        <f t="shared" si="193"/>
        <v>9.1154029644532031</v>
      </c>
      <c r="H1865" s="38">
        <f t="shared" si="192"/>
        <v>14.236021225857664</v>
      </c>
      <c r="I1865" s="38">
        <f t="shared" si="192"/>
        <v>13.404128545336857</v>
      </c>
      <c r="J1865" s="38">
        <f t="shared" si="192"/>
        <v>3.6451073200364483</v>
      </c>
      <c r="K1865" s="38">
        <f t="shared" si="192"/>
        <v>0</v>
      </c>
      <c r="L1865" s="38">
        <f t="shared" si="189"/>
        <v>0</v>
      </c>
      <c r="M1865" s="35">
        <f t="shared" si="194"/>
        <v>40.40066005568417</v>
      </c>
      <c r="S1865" t="s">
        <v>84</v>
      </c>
      <c r="T1865" s="5">
        <f>data_origin!T2125</f>
        <v>0</v>
      </c>
      <c r="U1865" s="5">
        <f>data_origin!U2125</f>
        <v>0</v>
      </c>
      <c r="V1865" s="5">
        <f>data_origin!V2125</f>
        <v>8.9902280130293164</v>
      </c>
      <c r="W1865" s="5">
        <f>data_origin!W2125</f>
        <v>13.990610328638498</v>
      </c>
      <c r="X1865" s="5">
        <f>data_origin!X2125</f>
        <v>13.174603174603174</v>
      </c>
      <c r="Y1865" s="5">
        <f>data_origin!Y2125</f>
        <v>3.5783132530120483</v>
      </c>
      <c r="Z1865" s="5">
        <f>data_origin!Z2125</f>
        <v>0</v>
      </c>
      <c r="AA1865" s="5">
        <f>data_origin!AA2125</f>
        <v>0</v>
      </c>
      <c r="AB1865" s="5">
        <f t="shared" si="191"/>
        <v>39.733754769283031</v>
      </c>
    </row>
    <row r="1866" spans="4:28" x14ac:dyDescent="0.25">
      <c r="D1866" t="s">
        <v>85</v>
      </c>
      <c r="E1866" s="38">
        <f t="shared" si="193"/>
        <v>0</v>
      </c>
      <c r="F1866" s="38">
        <f t="shared" si="193"/>
        <v>0</v>
      </c>
      <c r="G1866" s="38">
        <f t="shared" si="193"/>
        <v>37.980845685221681</v>
      </c>
      <c r="H1866" s="38">
        <f t="shared" si="192"/>
        <v>95.381342213246342</v>
      </c>
      <c r="I1866" s="38">
        <f t="shared" si="192"/>
        <v>56.29733989041479</v>
      </c>
      <c r="J1866" s="38">
        <f t="shared" si="192"/>
        <v>3.6451073200364483</v>
      </c>
      <c r="K1866" s="38">
        <f t="shared" si="192"/>
        <v>2.403361344537815</v>
      </c>
      <c r="L1866" s="38">
        <f t="shared" si="189"/>
        <v>0</v>
      </c>
      <c r="M1866" s="35">
        <f t="shared" si="194"/>
        <v>195.7079964534571</v>
      </c>
      <c r="S1866" t="s">
        <v>85</v>
      </c>
      <c r="T1866" s="5">
        <f>data_origin!T2126</f>
        <v>0</v>
      </c>
      <c r="U1866" s="5">
        <f>data_origin!U2126</f>
        <v>0</v>
      </c>
      <c r="V1866" s="5">
        <f>data_origin!V2126</f>
        <v>37.45928338762215</v>
      </c>
      <c r="W1866" s="5">
        <f>data_origin!W2126</f>
        <v>93.737089201877936</v>
      </c>
      <c r="X1866" s="5">
        <f>data_origin!X2126</f>
        <v>55.333333333333329</v>
      </c>
      <c r="Y1866" s="5">
        <f>data_origin!Y2126</f>
        <v>3.5783132530120483</v>
      </c>
      <c r="Z1866" s="5">
        <f>data_origin!Z2126</f>
        <v>2.3529411764705883</v>
      </c>
      <c r="AA1866" s="5">
        <f>data_origin!AA2126</f>
        <v>0</v>
      </c>
      <c r="AB1866" s="5">
        <f t="shared" si="191"/>
        <v>192.46096035231602</v>
      </c>
    </row>
    <row r="1867" spans="4:28" x14ac:dyDescent="0.25">
      <c r="D1867" t="s">
        <v>86</v>
      </c>
      <c r="E1867" s="38">
        <f t="shared" si="193"/>
        <v>0</v>
      </c>
      <c r="F1867" s="38">
        <f t="shared" si="193"/>
        <v>0</v>
      </c>
      <c r="G1867" s="38">
        <f t="shared" si="193"/>
        <v>120.0194723653005</v>
      </c>
      <c r="H1867" s="38">
        <f t="shared" si="192"/>
        <v>145.20741650374816</v>
      </c>
      <c r="I1867" s="38">
        <f t="shared" si="192"/>
        <v>108.57344121722853</v>
      </c>
      <c r="J1867" s="38">
        <f t="shared" si="192"/>
        <v>20.655608146873202</v>
      </c>
      <c r="K1867" s="38">
        <f t="shared" si="192"/>
        <v>7.2100840336134446</v>
      </c>
      <c r="L1867" s="38">
        <f t="shared" si="189"/>
        <v>2</v>
      </c>
      <c r="M1867" s="35">
        <f t="shared" si="194"/>
        <v>403.66602226676383</v>
      </c>
      <c r="S1867" t="s">
        <v>86</v>
      </c>
      <c r="T1867" s="5">
        <f>data_origin!T2127</f>
        <v>0</v>
      </c>
      <c r="U1867" s="5">
        <f>data_origin!U2127</f>
        <v>0</v>
      </c>
      <c r="V1867" s="5">
        <f>data_origin!V2127</f>
        <v>118.37133550488599</v>
      </c>
      <c r="W1867" s="5">
        <f>data_origin!W2127</f>
        <v>142.70422535211267</v>
      </c>
      <c r="X1867" s="5">
        <f>data_origin!X2127</f>
        <v>106.71428571428571</v>
      </c>
      <c r="Y1867" s="5">
        <f>data_origin!Y2127</f>
        <v>20.277108433734938</v>
      </c>
      <c r="Z1867" s="5">
        <f>data_origin!Z2127</f>
        <v>7.0588235294117645</v>
      </c>
      <c r="AA1867" s="5">
        <f>data_origin!AA2127</f>
        <v>2</v>
      </c>
      <c r="AB1867" s="5">
        <f t="shared" si="191"/>
        <v>397.12577853443111</v>
      </c>
    </row>
    <row r="1868" spans="4:28" x14ac:dyDescent="0.25">
      <c r="D1868" t="s">
        <v>87</v>
      </c>
      <c r="E1868" s="38">
        <f t="shared" si="193"/>
        <v>0</v>
      </c>
      <c r="F1868" s="38">
        <f t="shared" si="193"/>
        <v>0</v>
      </c>
      <c r="G1868" s="38">
        <f t="shared" si="193"/>
        <v>1.519233827408867</v>
      </c>
      <c r="H1868" s="38">
        <f t="shared" si="192"/>
        <v>5.694408490343065</v>
      </c>
      <c r="I1868" s="38">
        <f t="shared" si="192"/>
        <v>8.0424771272021136</v>
      </c>
      <c r="J1868" s="38">
        <f t="shared" si="192"/>
        <v>0</v>
      </c>
      <c r="K1868" s="38">
        <f t="shared" si="192"/>
        <v>0</v>
      </c>
      <c r="L1868" s="38">
        <f t="shared" si="189"/>
        <v>0</v>
      </c>
      <c r="M1868" s="35">
        <f t="shared" si="194"/>
        <v>15.256119444954045</v>
      </c>
      <c r="S1868" t="s">
        <v>87</v>
      </c>
      <c r="T1868" s="5">
        <f>data_origin!T2128</f>
        <v>0</v>
      </c>
      <c r="U1868" s="5">
        <f>data_origin!U2128</f>
        <v>0</v>
      </c>
      <c r="V1868" s="5">
        <f>data_origin!V2128</f>
        <v>1.498371335504886</v>
      </c>
      <c r="W1868" s="5">
        <f>data_origin!W2128</f>
        <v>5.596244131455399</v>
      </c>
      <c r="X1868" s="5">
        <f>data_origin!X2128</f>
        <v>7.9047619047619051</v>
      </c>
      <c r="Y1868" s="5">
        <f>data_origin!Y2128</f>
        <v>0</v>
      </c>
      <c r="Z1868" s="5">
        <f>data_origin!Z2128</f>
        <v>0</v>
      </c>
      <c r="AA1868" s="5">
        <f>data_origin!AA2128</f>
        <v>0</v>
      </c>
      <c r="AB1868" s="5">
        <f t="shared" si="191"/>
        <v>14.99937737172219</v>
      </c>
    </row>
    <row r="1869" spans="4:28" x14ac:dyDescent="0.25">
      <c r="D1869" t="s">
        <v>88</v>
      </c>
      <c r="E1869" s="38">
        <f t="shared" si="193"/>
        <v>0</v>
      </c>
      <c r="F1869" s="38">
        <f t="shared" si="193"/>
        <v>0</v>
      </c>
      <c r="G1869" s="38">
        <f t="shared" si="193"/>
        <v>74.442457543034479</v>
      </c>
      <c r="H1869" s="38">
        <f t="shared" si="192"/>
        <v>109.617363439104</v>
      </c>
      <c r="I1869" s="38">
        <f t="shared" si="192"/>
        <v>72.382294144819014</v>
      </c>
      <c r="J1869" s="38">
        <f t="shared" si="192"/>
        <v>23.085679693564174</v>
      </c>
      <c r="K1869" s="38">
        <f t="shared" si="192"/>
        <v>2.403361344537815</v>
      </c>
      <c r="L1869" s="38">
        <f t="shared" si="189"/>
        <v>2</v>
      </c>
      <c r="M1869" s="35">
        <f t="shared" si="194"/>
        <v>283.93115616505946</v>
      </c>
      <c r="S1869" t="s">
        <v>88</v>
      </c>
      <c r="T1869" s="5">
        <f>data_origin!T2129</f>
        <v>0</v>
      </c>
      <c r="U1869" s="5">
        <f>data_origin!U2129</f>
        <v>0</v>
      </c>
      <c r="V1869" s="5">
        <f>data_origin!V2129</f>
        <v>73.420195439739416</v>
      </c>
      <c r="W1869" s="5">
        <f>data_origin!W2129</f>
        <v>107.72769953051643</v>
      </c>
      <c r="X1869" s="5">
        <f>data_origin!X2129</f>
        <v>71.142857142857139</v>
      </c>
      <c r="Y1869" s="5">
        <f>data_origin!Y2129</f>
        <v>22.662650602409638</v>
      </c>
      <c r="Z1869" s="5">
        <f>data_origin!Z2129</f>
        <v>2.3529411764705883</v>
      </c>
      <c r="AA1869" s="5">
        <f>data_origin!AA2129</f>
        <v>2</v>
      </c>
      <c r="AB1869" s="5">
        <f t="shared" si="191"/>
        <v>279.30634389199321</v>
      </c>
    </row>
    <row r="1870" spans="4:28" x14ac:dyDescent="0.25">
      <c r="D1870" t="s">
        <v>89</v>
      </c>
      <c r="E1870" s="38">
        <f t="shared" si="193"/>
        <v>0</v>
      </c>
      <c r="F1870" s="38">
        <f t="shared" si="193"/>
        <v>0</v>
      </c>
      <c r="G1870" s="38">
        <f t="shared" si="193"/>
        <v>3.0384676548177341</v>
      </c>
      <c r="H1870" s="38">
        <f t="shared" si="192"/>
        <v>5.694408490343065</v>
      </c>
      <c r="I1870" s="38">
        <f t="shared" si="192"/>
        <v>0</v>
      </c>
      <c r="J1870" s="38">
        <f t="shared" si="192"/>
        <v>2.4300715466909653</v>
      </c>
      <c r="K1870" s="38">
        <f t="shared" si="192"/>
        <v>0</v>
      </c>
      <c r="L1870" s="38">
        <f t="shared" si="189"/>
        <v>0</v>
      </c>
      <c r="M1870" s="35">
        <f t="shared" si="194"/>
        <v>11.162947691851762</v>
      </c>
      <c r="S1870" t="s">
        <v>89</v>
      </c>
      <c r="T1870" s="5">
        <f>data_origin!T2130</f>
        <v>0</v>
      </c>
      <c r="U1870" s="5">
        <f>data_origin!U2130</f>
        <v>0</v>
      </c>
      <c r="V1870" s="5">
        <f>data_origin!V2130</f>
        <v>2.996742671009772</v>
      </c>
      <c r="W1870" s="5">
        <f>data_origin!W2130</f>
        <v>5.596244131455399</v>
      </c>
      <c r="X1870" s="5">
        <f>data_origin!X2130</f>
        <v>0</v>
      </c>
      <c r="Y1870" s="5">
        <f>data_origin!Y2130</f>
        <v>2.3855421686746987</v>
      </c>
      <c r="Z1870" s="5">
        <f>data_origin!Z2130</f>
        <v>0</v>
      </c>
      <c r="AA1870" s="5">
        <f>data_origin!AA2130</f>
        <v>0</v>
      </c>
      <c r="AB1870" s="5">
        <f t="shared" si="191"/>
        <v>10.97852897113987</v>
      </c>
    </row>
    <row r="1871" spans="4:28" x14ac:dyDescent="0.25">
      <c r="D1871" t="s">
        <v>90</v>
      </c>
      <c r="E1871" s="38">
        <f t="shared" si="193"/>
        <v>0</v>
      </c>
      <c r="F1871" s="38">
        <f t="shared" si="193"/>
        <v>0</v>
      </c>
      <c r="G1871" s="38">
        <f t="shared" si="193"/>
        <v>0</v>
      </c>
      <c r="H1871" s="38">
        <f t="shared" si="192"/>
        <v>0</v>
      </c>
      <c r="I1871" s="38">
        <f t="shared" si="192"/>
        <v>0</v>
      </c>
      <c r="J1871" s="38">
        <f t="shared" si="192"/>
        <v>0</v>
      </c>
      <c r="K1871" s="38">
        <f t="shared" si="192"/>
        <v>0</v>
      </c>
      <c r="L1871" s="38">
        <f t="shared" si="189"/>
        <v>0</v>
      </c>
      <c r="M1871" s="35">
        <f t="shared" si="194"/>
        <v>0</v>
      </c>
      <c r="S1871" t="s">
        <v>90</v>
      </c>
      <c r="T1871" s="5">
        <f>data_origin!T2131</f>
        <v>0</v>
      </c>
      <c r="U1871" s="5">
        <f>data_origin!U2131</f>
        <v>0</v>
      </c>
      <c r="V1871" s="5">
        <f>data_origin!V2131</f>
        <v>0</v>
      </c>
      <c r="W1871" s="5">
        <f>data_origin!W2131</f>
        <v>0</v>
      </c>
      <c r="X1871" s="5">
        <f>data_origin!X2131</f>
        <v>0</v>
      </c>
      <c r="Y1871" s="5">
        <f>data_origin!Y2131</f>
        <v>0</v>
      </c>
      <c r="Z1871" s="5">
        <f>data_origin!Z2131</f>
        <v>0</v>
      </c>
      <c r="AA1871" s="5">
        <f>data_origin!AA2131</f>
        <v>0</v>
      </c>
      <c r="AB1871" s="5">
        <f t="shared" si="191"/>
        <v>0</v>
      </c>
    </row>
    <row r="1872" spans="4:28" x14ac:dyDescent="0.25">
      <c r="D1872" t="s">
        <v>91</v>
      </c>
      <c r="E1872" s="38">
        <f t="shared" si="193"/>
        <v>0</v>
      </c>
      <c r="F1872" s="38">
        <f t="shared" si="193"/>
        <v>0</v>
      </c>
      <c r="G1872" s="38">
        <f t="shared" si="193"/>
        <v>0</v>
      </c>
      <c r="H1872" s="38">
        <f t="shared" si="192"/>
        <v>0</v>
      </c>
      <c r="I1872" s="38">
        <f t="shared" si="192"/>
        <v>1.3404128545336855</v>
      </c>
      <c r="J1872" s="38">
        <f t="shared" si="192"/>
        <v>0</v>
      </c>
      <c r="K1872" s="38">
        <f t="shared" si="192"/>
        <v>0</v>
      </c>
      <c r="L1872" s="38">
        <f t="shared" si="189"/>
        <v>0</v>
      </c>
      <c r="M1872" s="35">
        <f t="shared" si="194"/>
        <v>1.3404128545336855</v>
      </c>
      <c r="S1872" t="s">
        <v>91</v>
      </c>
      <c r="T1872" s="5">
        <f>data_origin!T2132</f>
        <v>0</v>
      </c>
      <c r="U1872" s="5">
        <f>data_origin!U2132</f>
        <v>0</v>
      </c>
      <c r="V1872" s="5">
        <f>data_origin!V2132</f>
        <v>0</v>
      </c>
      <c r="W1872" s="5">
        <f>data_origin!W2132</f>
        <v>0</v>
      </c>
      <c r="X1872" s="5">
        <f>data_origin!X2132</f>
        <v>1.3174603174603174</v>
      </c>
      <c r="Y1872" s="5">
        <f>data_origin!Y2132</f>
        <v>0</v>
      </c>
      <c r="Z1872" s="5">
        <f>data_origin!Z2132</f>
        <v>0</v>
      </c>
      <c r="AA1872" s="5">
        <f>data_origin!AA2132</f>
        <v>0</v>
      </c>
      <c r="AB1872" s="5">
        <f t="shared" si="191"/>
        <v>1.3174603174603174</v>
      </c>
    </row>
    <row r="1873" spans="1:28" x14ac:dyDescent="0.25">
      <c r="D1873" t="s">
        <v>92</v>
      </c>
      <c r="E1873" s="38">
        <f t="shared" si="193"/>
        <v>0</v>
      </c>
      <c r="F1873" s="38">
        <f t="shared" si="193"/>
        <v>0</v>
      </c>
      <c r="G1873" s="38">
        <f t="shared" si="193"/>
        <v>0</v>
      </c>
      <c r="H1873" s="38">
        <f t="shared" si="192"/>
        <v>0</v>
      </c>
      <c r="I1873" s="38">
        <f t="shared" si="192"/>
        <v>0</v>
      </c>
      <c r="J1873" s="38">
        <f t="shared" si="192"/>
        <v>0</v>
      </c>
      <c r="K1873" s="38">
        <f t="shared" si="192"/>
        <v>0</v>
      </c>
      <c r="L1873" s="38">
        <f t="shared" si="189"/>
        <v>0</v>
      </c>
      <c r="M1873" s="35">
        <f t="shared" si="194"/>
        <v>0</v>
      </c>
      <c r="S1873" t="s">
        <v>92</v>
      </c>
      <c r="T1873" s="5">
        <f>data_origin!T2133</f>
        <v>0</v>
      </c>
      <c r="U1873" s="5">
        <f>data_origin!U2133</f>
        <v>0</v>
      </c>
      <c r="V1873" s="5">
        <f>data_origin!V2133</f>
        <v>0</v>
      </c>
      <c r="W1873" s="5">
        <f>data_origin!W2133</f>
        <v>0</v>
      </c>
      <c r="X1873" s="5">
        <f>data_origin!X2133</f>
        <v>0</v>
      </c>
      <c r="Y1873" s="5">
        <f>data_origin!Y2133</f>
        <v>0</v>
      </c>
      <c r="Z1873" s="5">
        <f>data_origin!Z2133</f>
        <v>0</v>
      </c>
      <c r="AA1873" s="5">
        <f>data_origin!AA2133</f>
        <v>0</v>
      </c>
      <c r="AB1873" s="5">
        <f t="shared" si="191"/>
        <v>0</v>
      </c>
    </row>
    <row r="1874" spans="1:28" x14ac:dyDescent="0.25">
      <c r="D1874" t="s">
        <v>93</v>
      </c>
      <c r="E1874" s="38">
        <f t="shared" si="193"/>
        <v>0</v>
      </c>
      <c r="F1874" s="38">
        <f t="shared" si="193"/>
        <v>0</v>
      </c>
      <c r="G1874" s="38">
        <f t="shared" si="193"/>
        <v>0</v>
      </c>
      <c r="H1874" s="38">
        <f t="shared" si="192"/>
        <v>0</v>
      </c>
      <c r="I1874" s="38">
        <f t="shared" si="192"/>
        <v>0</v>
      </c>
      <c r="J1874" s="38">
        <f t="shared" si="192"/>
        <v>0</v>
      </c>
      <c r="K1874" s="38">
        <f t="shared" si="192"/>
        <v>0</v>
      </c>
      <c r="L1874" s="38">
        <f t="shared" si="189"/>
        <v>0</v>
      </c>
      <c r="M1874" s="35">
        <f t="shared" si="194"/>
        <v>0</v>
      </c>
      <c r="S1874" t="s">
        <v>93</v>
      </c>
      <c r="T1874" s="5">
        <f>data_origin!T2134</f>
        <v>0</v>
      </c>
      <c r="U1874" s="5">
        <f>data_origin!U2134</f>
        <v>0</v>
      </c>
      <c r="V1874" s="5">
        <f>data_origin!V2134</f>
        <v>0</v>
      </c>
      <c r="W1874" s="5">
        <f>data_origin!W2134</f>
        <v>0</v>
      </c>
      <c r="X1874" s="5">
        <f>data_origin!X2134</f>
        <v>0</v>
      </c>
      <c r="Y1874" s="5">
        <f>data_origin!Y2134</f>
        <v>0</v>
      </c>
      <c r="Z1874" s="5">
        <f>data_origin!Z2134</f>
        <v>0</v>
      </c>
      <c r="AA1874" s="5">
        <f>data_origin!AA2134</f>
        <v>0</v>
      </c>
      <c r="AB1874" s="5">
        <f t="shared" si="191"/>
        <v>0</v>
      </c>
    </row>
    <row r="1875" spans="1:28" x14ac:dyDescent="0.25">
      <c r="D1875" t="s">
        <v>94</v>
      </c>
      <c r="E1875" s="38">
        <f t="shared" si="193"/>
        <v>0</v>
      </c>
      <c r="F1875" s="38">
        <f t="shared" si="193"/>
        <v>0</v>
      </c>
      <c r="G1875" s="38">
        <f t="shared" si="193"/>
        <v>0</v>
      </c>
      <c r="H1875" s="38">
        <f t="shared" si="192"/>
        <v>0</v>
      </c>
      <c r="I1875" s="38">
        <f t="shared" si="192"/>
        <v>0</v>
      </c>
      <c r="J1875" s="38">
        <f t="shared" si="192"/>
        <v>0</v>
      </c>
      <c r="K1875" s="38">
        <f t="shared" si="192"/>
        <v>0</v>
      </c>
      <c r="L1875" s="38">
        <f t="shared" si="189"/>
        <v>0</v>
      </c>
      <c r="M1875" s="35">
        <f t="shared" si="194"/>
        <v>0</v>
      </c>
      <c r="S1875" t="s">
        <v>94</v>
      </c>
      <c r="T1875" s="5">
        <f>data_origin!T2135</f>
        <v>0</v>
      </c>
      <c r="U1875" s="5">
        <f>data_origin!U2135</f>
        <v>0</v>
      </c>
      <c r="V1875" s="5">
        <f>data_origin!V2135</f>
        <v>0</v>
      </c>
      <c r="W1875" s="5">
        <f>data_origin!W2135</f>
        <v>0</v>
      </c>
      <c r="X1875" s="5">
        <f>data_origin!X2135</f>
        <v>0</v>
      </c>
      <c r="Y1875" s="5">
        <f>data_origin!Y2135</f>
        <v>0</v>
      </c>
      <c r="Z1875" s="5">
        <f>data_origin!Z2135</f>
        <v>0</v>
      </c>
      <c r="AA1875" s="5">
        <f>data_origin!AA2135</f>
        <v>0</v>
      </c>
      <c r="AB1875" s="5">
        <f t="shared" si="191"/>
        <v>0</v>
      </c>
    </row>
    <row r="1876" spans="1:28" x14ac:dyDescent="0.25">
      <c r="D1876" t="s">
        <v>95</v>
      </c>
      <c r="E1876" s="38">
        <f t="shared" si="193"/>
        <v>0</v>
      </c>
      <c r="F1876" s="38">
        <f t="shared" si="193"/>
        <v>0</v>
      </c>
      <c r="G1876" s="38">
        <f t="shared" si="193"/>
        <v>0</v>
      </c>
      <c r="H1876" s="38">
        <f t="shared" si="192"/>
        <v>0</v>
      </c>
      <c r="I1876" s="38">
        <f t="shared" si="192"/>
        <v>0</v>
      </c>
      <c r="J1876" s="38">
        <f t="shared" si="192"/>
        <v>0</v>
      </c>
      <c r="K1876" s="38">
        <f t="shared" si="192"/>
        <v>0</v>
      </c>
      <c r="L1876" s="38">
        <f t="shared" si="189"/>
        <v>0</v>
      </c>
      <c r="M1876" s="35">
        <f t="shared" si="194"/>
        <v>0</v>
      </c>
      <c r="S1876" t="s">
        <v>95</v>
      </c>
      <c r="T1876" s="5">
        <f>data_origin!T2136</f>
        <v>0</v>
      </c>
      <c r="U1876" s="5">
        <f>data_origin!U2136</f>
        <v>0</v>
      </c>
      <c r="V1876" s="5">
        <f>data_origin!V2136</f>
        <v>0</v>
      </c>
      <c r="W1876" s="5">
        <f>data_origin!W2136</f>
        <v>0</v>
      </c>
      <c r="X1876" s="5">
        <f>data_origin!X2136</f>
        <v>0</v>
      </c>
      <c r="Y1876" s="5">
        <f>data_origin!Y2136</f>
        <v>0</v>
      </c>
      <c r="Z1876" s="5">
        <f>data_origin!Z2136</f>
        <v>0</v>
      </c>
      <c r="AA1876" s="5">
        <f>data_origin!AA2136</f>
        <v>0</v>
      </c>
      <c r="AB1876" s="5">
        <f t="shared" si="191"/>
        <v>0</v>
      </c>
    </row>
    <row r="1877" spans="1:28" x14ac:dyDescent="0.25">
      <c r="D1877" t="s">
        <v>96</v>
      </c>
      <c r="E1877" s="38">
        <f t="shared" si="193"/>
        <v>0</v>
      </c>
      <c r="F1877" s="38">
        <f t="shared" si="193"/>
        <v>0</v>
      </c>
      <c r="G1877" s="38">
        <f t="shared" si="193"/>
        <v>3.0384676548177341</v>
      </c>
      <c r="H1877" s="38">
        <f t="shared" si="192"/>
        <v>1.4236021225857662</v>
      </c>
      <c r="I1877" s="38">
        <f t="shared" si="192"/>
        <v>1.3404128545336855</v>
      </c>
      <c r="J1877" s="38">
        <f t="shared" si="192"/>
        <v>2.4300715466909653</v>
      </c>
      <c r="K1877" s="38">
        <f t="shared" si="192"/>
        <v>0</v>
      </c>
      <c r="L1877" s="38">
        <f t="shared" si="189"/>
        <v>0</v>
      </c>
      <c r="M1877" s="35">
        <f t="shared" si="194"/>
        <v>8.2325541786281509</v>
      </c>
      <c r="S1877" t="s">
        <v>96</v>
      </c>
      <c r="T1877" s="5">
        <f>data_origin!T2137</f>
        <v>0</v>
      </c>
      <c r="U1877" s="5">
        <f>data_origin!U2137</f>
        <v>0</v>
      </c>
      <c r="V1877" s="5">
        <f>data_origin!V2137</f>
        <v>2.996742671009772</v>
      </c>
      <c r="W1877" s="5">
        <f>data_origin!W2137</f>
        <v>1.3990610328638498</v>
      </c>
      <c r="X1877" s="5">
        <f>data_origin!X2137</f>
        <v>1.3174603174603174</v>
      </c>
      <c r="Y1877" s="5">
        <f>data_origin!Y2137</f>
        <v>2.3855421686746987</v>
      </c>
      <c r="Z1877" s="5">
        <f>data_origin!Z2137</f>
        <v>0</v>
      </c>
      <c r="AA1877" s="5">
        <f>data_origin!AA2137</f>
        <v>0</v>
      </c>
      <c r="AB1877" s="5">
        <f t="shared" si="191"/>
        <v>8.0988061900086379</v>
      </c>
    </row>
    <row r="1878" spans="1:28" x14ac:dyDescent="0.25">
      <c r="D1878" t="s">
        <v>97</v>
      </c>
      <c r="E1878" s="38">
        <f t="shared" si="193"/>
        <v>0</v>
      </c>
      <c r="F1878" s="38">
        <f t="shared" si="193"/>
        <v>0</v>
      </c>
      <c r="G1878" s="38">
        <f t="shared" si="193"/>
        <v>0</v>
      </c>
      <c r="H1878" s="38">
        <f t="shared" si="192"/>
        <v>0</v>
      </c>
      <c r="I1878" s="38">
        <f t="shared" si="192"/>
        <v>1.3404128545336855</v>
      </c>
      <c r="J1878" s="38">
        <f t="shared" si="192"/>
        <v>0</v>
      </c>
      <c r="K1878" s="38">
        <f t="shared" si="192"/>
        <v>0</v>
      </c>
      <c r="L1878" s="38">
        <f t="shared" si="189"/>
        <v>0</v>
      </c>
      <c r="M1878" s="35">
        <f t="shared" si="194"/>
        <v>1.3404128545336855</v>
      </c>
      <c r="S1878" t="s">
        <v>97</v>
      </c>
      <c r="T1878" s="5">
        <f>data_origin!T2138</f>
        <v>0</v>
      </c>
      <c r="U1878" s="5">
        <f>data_origin!U2138</f>
        <v>0</v>
      </c>
      <c r="V1878" s="5">
        <f>data_origin!V2138</f>
        <v>0</v>
      </c>
      <c r="W1878" s="5">
        <f>data_origin!W2138</f>
        <v>0</v>
      </c>
      <c r="X1878" s="5">
        <f>data_origin!X2138</f>
        <v>1.3174603174603174</v>
      </c>
      <c r="Y1878" s="5">
        <f>data_origin!Y2138</f>
        <v>0</v>
      </c>
      <c r="Z1878" s="5">
        <f>data_origin!Z2138</f>
        <v>0</v>
      </c>
      <c r="AA1878" s="5">
        <f>data_origin!AA2138</f>
        <v>0</v>
      </c>
      <c r="AB1878" s="5">
        <f t="shared" si="191"/>
        <v>1.3174603174603174</v>
      </c>
    </row>
    <row r="1879" spans="1:28" x14ac:dyDescent="0.25">
      <c r="D1879" t="s">
        <v>98</v>
      </c>
      <c r="E1879" s="38">
        <f t="shared" si="193"/>
        <v>0</v>
      </c>
      <c r="F1879" s="38">
        <f t="shared" si="193"/>
        <v>0</v>
      </c>
      <c r="G1879" s="38">
        <f t="shared" si="193"/>
        <v>0</v>
      </c>
      <c r="H1879" s="38">
        <f t="shared" si="192"/>
        <v>0</v>
      </c>
      <c r="I1879" s="38">
        <f t="shared" si="192"/>
        <v>1.3404128545336855</v>
      </c>
      <c r="J1879" s="38">
        <f t="shared" si="192"/>
        <v>0</v>
      </c>
      <c r="K1879" s="38">
        <f t="shared" si="192"/>
        <v>0</v>
      </c>
      <c r="L1879" s="38">
        <f t="shared" si="189"/>
        <v>0</v>
      </c>
      <c r="M1879" s="35">
        <f t="shared" si="194"/>
        <v>1.3404128545336855</v>
      </c>
      <c r="S1879" t="s">
        <v>98</v>
      </c>
      <c r="T1879" s="5">
        <f>data_origin!T2139</f>
        <v>0</v>
      </c>
      <c r="U1879" s="5">
        <f>data_origin!U2139</f>
        <v>0</v>
      </c>
      <c r="V1879" s="5">
        <f>data_origin!V2139</f>
        <v>0</v>
      </c>
      <c r="W1879" s="5">
        <f>data_origin!W2139</f>
        <v>0</v>
      </c>
      <c r="X1879" s="5">
        <f>data_origin!X2139</f>
        <v>1.3174603174603174</v>
      </c>
      <c r="Y1879" s="5">
        <f>data_origin!Y2139</f>
        <v>0</v>
      </c>
      <c r="Z1879" s="5">
        <f>data_origin!Z2139</f>
        <v>0</v>
      </c>
      <c r="AA1879" s="5">
        <f>data_origin!AA2139</f>
        <v>0</v>
      </c>
      <c r="AB1879" s="5">
        <f t="shared" si="191"/>
        <v>1.3174603174603174</v>
      </c>
    </row>
    <row r="1880" spans="1:28" x14ac:dyDescent="0.25">
      <c r="D1880" t="s">
        <v>119</v>
      </c>
      <c r="E1880" s="38">
        <f t="shared" si="193"/>
        <v>0</v>
      </c>
      <c r="F1880" s="38">
        <f t="shared" si="193"/>
        <v>0</v>
      </c>
      <c r="G1880" s="38">
        <f t="shared" si="193"/>
        <v>0</v>
      </c>
      <c r="H1880" s="38">
        <f t="shared" si="192"/>
        <v>0</v>
      </c>
      <c r="I1880" s="38">
        <f t="shared" si="192"/>
        <v>0</v>
      </c>
      <c r="J1880" s="38">
        <f t="shared" si="192"/>
        <v>0</v>
      </c>
      <c r="K1880" s="38">
        <f t="shared" si="192"/>
        <v>0</v>
      </c>
      <c r="L1880" s="38">
        <f t="shared" si="189"/>
        <v>0</v>
      </c>
      <c r="M1880" s="35">
        <f t="shared" si="194"/>
        <v>0</v>
      </c>
      <c r="S1880" t="s">
        <v>119</v>
      </c>
      <c r="T1880" s="5">
        <f>data_origin!T2140</f>
        <v>0</v>
      </c>
      <c r="U1880" s="5">
        <f>data_origin!U2140</f>
        <v>0</v>
      </c>
      <c r="V1880" s="5">
        <f>data_origin!V2140</f>
        <v>0</v>
      </c>
      <c r="W1880" s="5">
        <f>data_origin!W2140</f>
        <v>0</v>
      </c>
      <c r="X1880" s="5">
        <f>data_origin!X2140</f>
        <v>0</v>
      </c>
      <c r="Y1880" s="5">
        <f>data_origin!Y2140</f>
        <v>0</v>
      </c>
      <c r="Z1880" s="5">
        <f>data_origin!Z2140</f>
        <v>0</v>
      </c>
      <c r="AA1880" s="5">
        <f>data_origin!AA2140</f>
        <v>0</v>
      </c>
      <c r="AB1880" s="5">
        <f t="shared" si="191"/>
        <v>0</v>
      </c>
    </row>
    <row r="1881" spans="1:28" x14ac:dyDescent="0.25">
      <c r="D1881" t="s">
        <v>99</v>
      </c>
      <c r="E1881" s="38">
        <f t="shared" si="193"/>
        <v>0</v>
      </c>
      <c r="F1881" s="38">
        <f t="shared" si="193"/>
        <v>0</v>
      </c>
      <c r="G1881" s="38">
        <f t="shared" si="193"/>
        <v>4.5577014822266015</v>
      </c>
      <c r="H1881" s="38">
        <f t="shared" si="192"/>
        <v>5.694408490343065</v>
      </c>
      <c r="I1881" s="38">
        <f t="shared" si="192"/>
        <v>2.6808257090673711</v>
      </c>
      <c r="J1881" s="38">
        <f t="shared" si="192"/>
        <v>1.2150357733454826</v>
      </c>
      <c r="K1881" s="38">
        <f t="shared" si="192"/>
        <v>0</v>
      </c>
      <c r="L1881" s="38">
        <f t="shared" si="192"/>
        <v>0</v>
      </c>
      <c r="M1881" s="35">
        <f t="shared" si="194"/>
        <v>14.147971454982519</v>
      </c>
      <c r="S1881" t="s">
        <v>99</v>
      </c>
      <c r="T1881" s="5">
        <f>data_origin!T2141</f>
        <v>0</v>
      </c>
      <c r="U1881" s="5">
        <f>data_origin!U2141</f>
        <v>0</v>
      </c>
      <c r="V1881" s="5">
        <f>data_origin!V2141</f>
        <v>4.4951140065146582</v>
      </c>
      <c r="W1881" s="5">
        <f>data_origin!W2141</f>
        <v>5.596244131455399</v>
      </c>
      <c r="X1881" s="5">
        <f>data_origin!X2141</f>
        <v>2.6349206349206349</v>
      </c>
      <c r="Y1881" s="5">
        <f>data_origin!Y2141</f>
        <v>1.1927710843373494</v>
      </c>
      <c r="Z1881" s="5">
        <f>data_origin!Z2141</f>
        <v>0</v>
      </c>
      <c r="AA1881" s="5">
        <f>data_origin!AA2141</f>
        <v>0</v>
      </c>
      <c r="AB1881" s="5">
        <f t="shared" si="191"/>
        <v>13.919049857228043</v>
      </c>
    </row>
    <row r="1882" spans="1:28" x14ac:dyDescent="0.25">
      <c r="D1882" t="s">
        <v>100</v>
      </c>
      <c r="E1882" s="38">
        <f t="shared" si="193"/>
        <v>0</v>
      </c>
      <c r="F1882" s="38">
        <f t="shared" si="193"/>
        <v>0</v>
      </c>
      <c r="G1882" s="38">
        <f t="shared" si="193"/>
        <v>0</v>
      </c>
      <c r="H1882" s="38">
        <f t="shared" si="192"/>
        <v>1.4236021225857662</v>
      </c>
      <c r="I1882" s="38">
        <f t="shared" si="192"/>
        <v>1.3404128545336855</v>
      </c>
      <c r="J1882" s="38">
        <f t="shared" si="192"/>
        <v>0</v>
      </c>
      <c r="K1882" s="38">
        <f t="shared" si="192"/>
        <v>0</v>
      </c>
      <c r="L1882" s="38">
        <f t="shared" si="192"/>
        <v>0</v>
      </c>
      <c r="M1882" s="35">
        <f t="shared" si="194"/>
        <v>2.7640149771194515</v>
      </c>
      <c r="S1882" t="s">
        <v>100</v>
      </c>
      <c r="T1882" s="5">
        <f>data_origin!T2142</f>
        <v>0</v>
      </c>
      <c r="U1882" s="5">
        <f>data_origin!U2142</f>
        <v>0</v>
      </c>
      <c r="V1882" s="5">
        <f>data_origin!V2142</f>
        <v>0</v>
      </c>
      <c r="W1882" s="5">
        <f>data_origin!W2142</f>
        <v>1.3990610328638498</v>
      </c>
      <c r="X1882" s="5">
        <f>data_origin!X2142</f>
        <v>1.3174603174603174</v>
      </c>
      <c r="Y1882" s="5">
        <f>data_origin!Y2142</f>
        <v>0</v>
      </c>
      <c r="Z1882" s="5">
        <f>data_origin!Z2142</f>
        <v>0</v>
      </c>
      <c r="AA1882" s="5">
        <f>data_origin!AA2142</f>
        <v>0</v>
      </c>
      <c r="AB1882" s="5">
        <f t="shared" si="191"/>
        <v>2.7165213503241672</v>
      </c>
    </row>
    <row r="1883" spans="1:28" x14ac:dyDescent="0.25">
      <c r="D1883" t="s">
        <v>101</v>
      </c>
      <c r="E1883" s="38">
        <f t="shared" si="193"/>
        <v>0</v>
      </c>
      <c r="F1883" s="38">
        <f t="shared" si="193"/>
        <v>0</v>
      </c>
      <c r="G1883" s="38">
        <f t="shared" si="193"/>
        <v>22.788507411133008</v>
      </c>
      <c r="H1883" s="38">
        <f t="shared" si="192"/>
        <v>41.284461554987224</v>
      </c>
      <c r="I1883" s="38">
        <f t="shared" si="192"/>
        <v>21.446605672538968</v>
      </c>
      <c r="J1883" s="38">
        <f t="shared" si="192"/>
        <v>2.4300715466909653</v>
      </c>
      <c r="K1883" s="38">
        <f t="shared" si="192"/>
        <v>1.2016806722689075</v>
      </c>
      <c r="L1883" s="38">
        <f t="shared" si="192"/>
        <v>0</v>
      </c>
      <c r="M1883" s="35">
        <f t="shared" si="194"/>
        <v>89.151326857619068</v>
      </c>
      <c r="S1883" t="s">
        <v>101</v>
      </c>
      <c r="T1883" s="5">
        <f>data_origin!T2143</f>
        <v>0</v>
      </c>
      <c r="U1883" s="5">
        <f>data_origin!U2143</f>
        <v>0</v>
      </c>
      <c r="V1883" s="5">
        <f>data_origin!V2143</f>
        <v>22.475570032573291</v>
      </c>
      <c r="W1883" s="5">
        <f>data_origin!W2143</f>
        <v>40.572769953051647</v>
      </c>
      <c r="X1883" s="5">
        <f>data_origin!X2143</f>
        <v>21.079365079365079</v>
      </c>
      <c r="Y1883" s="5">
        <f>data_origin!Y2143</f>
        <v>2.3855421686746987</v>
      </c>
      <c r="Z1883" s="5">
        <f>data_origin!Z2143</f>
        <v>1.1764705882352942</v>
      </c>
      <c r="AA1883" s="5">
        <f>data_origin!AA2143</f>
        <v>0</v>
      </c>
      <c r="AB1883" s="5">
        <f t="shared" si="191"/>
        <v>87.689717821900004</v>
      </c>
    </row>
    <row r="1884" spans="1:28" x14ac:dyDescent="0.25">
      <c r="A1884" s="24" t="s">
        <v>115</v>
      </c>
      <c r="B1884" s="24" t="s">
        <v>117</v>
      </c>
      <c r="C1884" s="24" t="s">
        <v>112</v>
      </c>
      <c r="D1884" t="s">
        <v>70</v>
      </c>
      <c r="E1884" s="38">
        <f t="shared" si="193"/>
        <v>0</v>
      </c>
      <c r="F1884" s="38">
        <f t="shared" si="193"/>
        <v>0</v>
      </c>
      <c r="G1884" s="38">
        <f t="shared" si="193"/>
        <v>0</v>
      </c>
      <c r="H1884" s="38">
        <f t="shared" si="192"/>
        <v>0</v>
      </c>
      <c r="I1884" s="38">
        <f t="shared" si="192"/>
        <v>0</v>
      </c>
      <c r="J1884" s="38">
        <f t="shared" si="192"/>
        <v>0</v>
      </c>
      <c r="K1884" s="38">
        <f t="shared" si="192"/>
        <v>0</v>
      </c>
      <c r="L1884" s="38">
        <f t="shared" si="192"/>
        <v>0</v>
      </c>
      <c r="M1884" s="35">
        <f t="shared" si="194"/>
        <v>0</v>
      </c>
      <c r="P1884" t="s">
        <v>115</v>
      </c>
      <c r="Q1884" t="s">
        <v>117</v>
      </c>
      <c r="R1884" t="s">
        <v>112</v>
      </c>
      <c r="S1884" t="s">
        <v>70</v>
      </c>
      <c r="T1884" s="5">
        <f>data_origin!T2145</f>
        <v>0</v>
      </c>
      <c r="U1884" s="5">
        <f>data_origin!U2145</f>
        <v>0</v>
      </c>
      <c r="V1884" s="5">
        <f>data_origin!V2145</f>
        <v>0</v>
      </c>
      <c r="W1884" s="5">
        <f>data_origin!W2145</f>
        <v>0</v>
      </c>
      <c r="X1884" s="5">
        <f>data_origin!X2145</f>
        <v>0</v>
      </c>
      <c r="Y1884" s="5">
        <f>data_origin!Y2145</f>
        <v>0</v>
      </c>
      <c r="Z1884" s="5">
        <f>data_origin!Z2145</f>
        <v>0</v>
      </c>
      <c r="AA1884" s="5">
        <f>data_origin!AA2145</f>
        <v>0</v>
      </c>
      <c r="AB1884" s="5">
        <f t="shared" si="191"/>
        <v>0</v>
      </c>
    </row>
    <row r="1885" spans="1:28" x14ac:dyDescent="0.25">
      <c r="D1885" t="s">
        <v>71</v>
      </c>
      <c r="E1885" s="38">
        <f t="shared" si="193"/>
        <v>0</v>
      </c>
      <c r="F1885" s="38">
        <f t="shared" si="193"/>
        <v>0</v>
      </c>
      <c r="G1885" s="38">
        <f t="shared" si="193"/>
        <v>0</v>
      </c>
      <c r="H1885" s="38">
        <f t="shared" si="192"/>
        <v>0</v>
      </c>
      <c r="I1885" s="38">
        <f t="shared" si="192"/>
        <v>0</v>
      </c>
      <c r="J1885" s="38">
        <f t="shared" si="192"/>
        <v>0</v>
      </c>
      <c r="K1885" s="38">
        <f t="shared" si="192"/>
        <v>0</v>
      </c>
      <c r="L1885" s="38">
        <f t="shared" si="192"/>
        <v>0</v>
      </c>
      <c r="M1885" s="35">
        <f t="shared" si="194"/>
        <v>0</v>
      </c>
      <c r="S1885" t="s">
        <v>71</v>
      </c>
      <c r="T1885" s="5">
        <f>data_origin!T2146</f>
        <v>0</v>
      </c>
      <c r="U1885" s="5">
        <f>data_origin!U2146</f>
        <v>0</v>
      </c>
      <c r="V1885" s="5">
        <f>data_origin!V2146</f>
        <v>0</v>
      </c>
      <c r="W1885" s="5">
        <f>data_origin!W2146</f>
        <v>0</v>
      </c>
      <c r="X1885" s="5">
        <f>data_origin!X2146</f>
        <v>0</v>
      </c>
      <c r="Y1885" s="5">
        <f>data_origin!Y2146</f>
        <v>0</v>
      </c>
      <c r="Z1885" s="5">
        <f>data_origin!Z2146</f>
        <v>0</v>
      </c>
      <c r="AA1885" s="5">
        <f>data_origin!AA2146</f>
        <v>0</v>
      </c>
      <c r="AB1885" s="5">
        <f t="shared" si="191"/>
        <v>0</v>
      </c>
    </row>
    <row r="1886" spans="1:28" x14ac:dyDescent="0.25">
      <c r="D1886" t="s">
        <v>72</v>
      </c>
      <c r="E1886" s="38">
        <f t="shared" si="193"/>
        <v>0</v>
      </c>
      <c r="F1886" s="38">
        <f t="shared" si="193"/>
        <v>0</v>
      </c>
      <c r="G1886" s="38">
        <f t="shared" si="193"/>
        <v>0</v>
      </c>
      <c r="H1886" s="38">
        <f t="shared" si="192"/>
        <v>0</v>
      </c>
      <c r="I1886" s="38">
        <f t="shared" si="192"/>
        <v>0</v>
      </c>
      <c r="J1886" s="38">
        <f t="shared" si="192"/>
        <v>0</v>
      </c>
      <c r="K1886" s="38">
        <f t="shared" si="192"/>
        <v>0</v>
      </c>
      <c r="L1886" s="38">
        <f t="shared" si="192"/>
        <v>0</v>
      </c>
      <c r="M1886" s="35">
        <f t="shared" si="194"/>
        <v>0</v>
      </c>
      <c r="S1886" t="s">
        <v>72</v>
      </c>
      <c r="T1886" s="5">
        <f>data_origin!T2147</f>
        <v>0</v>
      </c>
      <c r="U1886" s="5">
        <f>data_origin!U2147</f>
        <v>0</v>
      </c>
      <c r="V1886" s="5">
        <f>data_origin!V2147</f>
        <v>0</v>
      </c>
      <c r="W1886" s="5">
        <f>data_origin!W2147</f>
        <v>0</v>
      </c>
      <c r="X1886" s="5">
        <f>data_origin!X2147</f>
        <v>0</v>
      </c>
      <c r="Y1886" s="5">
        <f>data_origin!Y2147</f>
        <v>0</v>
      </c>
      <c r="Z1886" s="5">
        <f>data_origin!Z2147</f>
        <v>0</v>
      </c>
      <c r="AA1886" s="5">
        <f>data_origin!AA2147</f>
        <v>0</v>
      </c>
      <c r="AB1886" s="5">
        <f t="shared" si="191"/>
        <v>0</v>
      </c>
    </row>
    <row r="1887" spans="1:28" x14ac:dyDescent="0.25">
      <c r="D1887" t="s">
        <v>73</v>
      </c>
      <c r="E1887" s="38">
        <f t="shared" si="193"/>
        <v>0</v>
      </c>
      <c r="F1887" s="38">
        <f t="shared" si="193"/>
        <v>0</v>
      </c>
      <c r="G1887" s="38">
        <f t="shared" si="193"/>
        <v>0</v>
      </c>
      <c r="H1887" s="38">
        <f t="shared" si="192"/>
        <v>0</v>
      </c>
      <c r="I1887" s="38">
        <f t="shared" si="192"/>
        <v>0</v>
      </c>
      <c r="J1887" s="38">
        <f t="shared" si="192"/>
        <v>0</v>
      </c>
      <c r="K1887" s="38">
        <f t="shared" si="192"/>
        <v>0</v>
      </c>
      <c r="L1887" s="38">
        <f t="shared" si="192"/>
        <v>0</v>
      </c>
      <c r="M1887" s="35">
        <f t="shared" si="194"/>
        <v>0</v>
      </c>
      <c r="S1887" t="s">
        <v>73</v>
      </c>
      <c r="T1887" s="5">
        <f>data_origin!T2148</f>
        <v>0</v>
      </c>
      <c r="U1887" s="5">
        <f>data_origin!U2148</f>
        <v>0</v>
      </c>
      <c r="V1887" s="5">
        <f>data_origin!V2148</f>
        <v>0</v>
      </c>
      <c r="W1887" s="5">
        <f>data_origin!W2148</f>
        <v>0</v>
      </c>
      <c r="X1887" s="5">
        <f>data_origin!X2148</f>
        <v>0</v>
      </c>
      <c r="Y1887" s="5">
        <f>data_origin!Y2148</f>
        <v>0</v>
      </c>
      <c r="Z1887" s="5">
        <f>data_origin!Z2148</f>
        <v>0</v>
      </c>
      <c r="AA1887" s="5">
        <f>data_origin!AA2148</f>
        <v>0</v>
      </c>
      <c r="AB1887" s="5">
        <f t="shared" si="191"/>
        <v>0</v>
      </c>
    </row>
    <row r="1888" spans="1:28" x14ac:dyDescent="0.25">
      <c r="D1888" t="s">
        <v>74</v>
      </c>
      <c r="E1888" s="38">
        <f t="shared" si="193"/>
        <v>0</v>
      </c>
      <c r="F1888" s="38">
        <f t="shared" si="193"/>
        <v>0</v>
      </c>
      <c r="G1888" s="38">
        <f t="shared" si="193"/>
        <v>0</v>
      </c>
      <c r="H1888" s="38">
        <f t="shared" si="192"/>
        <v>0</v>
      </c>
      <c r="I1888" s="38">
        <f t="shared" si="192"/>
        <v>0</v>
      </c>
      <c r="J1888" s="38">
        <f t="shared" si="192"/>
        <v>0</v>
      </c>
      <c r="K1888" s="38">
        <f t="shared" si="192"/>
        <v>0</v>
      </c>
      <c r="L1888" s="38">
        <f t="shared" si="192"/>
        <v>0</v>
      </c>
      <c r="M1888" s="35">
        <f t="shared" si="194"/>
        <v>0</v>
      </c>
      <c r="S1888" t="s">
        <v>74</v>
      </c>
      <c r="T1888" s="5">
        <f>data_origin!T2149</f>
        <v>0</v>
      </c>
      <c r="U1888" s="5">
        <f>data_origin!U2149</f>
        <v>0</v>
      </c>
      <c r="V1888" s="5">
        <f>data_origin!V2149</f>
        <v>0</v>
      </c>
      <c r="W1888" s="5">
        <f>data_origin!W2149</f>
        <v>0</v>
      </c>
      <c r="X1888" s="5">
        <f>data_origin!X2149</f>
        <v>0</v>
      </c>
      <c r="Y1888" s="5">
        <f>data_origin!Y2149</f>
        <v>0</v>
      </c>
      <c r="Z1888" s="5">
        <f>data_origin!Z2149</f>
        <v>0</v>
      </c>
      <c r="AA1888" s="5">
        <f>data_origin!AA2149</f>
        <v>0</v>
      </c>
      <c r="AB1888" s="5">
        <f t="shared" si="191"/>
        <v>0</v>
      </c>
    </row>
    <row r="1889" spans="4:28" x14ac:dyDescent="0.25">
      <c r="D1889" t="s">
        <v>75</v>
      </c>
      <c r="E1889" s="38">
        <f t="shared" si="193"/>
        <v>0</v>
      </c>
      <c r="F1889" s="38">
        <f t="shared" si="193"/>
        <v>0</v>
      </c>
      <c r="G1889" s="38">
        <f t="shared" si="193"/>
        <v>0</v>
      </c>
      <c r="H1889" s="38">
        <f t="shared" si="192"/>
        <v>0</v>
      </c>
      <c r="I1889" s="38">
        <f t="shared" si="192"/>
        <v>0</v>
      </c>
      <c r="J1889" s="38">
        <f t="shared" si="192"/>
        <v>0</v>
      </c>
      <c r="K1889" s="38">
        <f t="shared" si="192"/>
        <v>0</v>
      </c>
      <c r="L1889" s="38">
        <f t="shared" si="192"/>
        <v>0</v>
      </c>
      <c r="M1889" s="35">
        <f t="shared" si="194"/>
        <v>0</v>
      </c>
      <c r="S1889" t="s">
        <v>75</v>
      </c>
      <c r="T1889" s="5">
        <f>data_origin!T2150</f>
        <v>0</v>
      </c>
      <c r="U1889" s="5">
        <f>data_origin!U2150</f>
        <v>0</v>
      </c>
      <c r="V1889" s="5">
        <f>data_origin!V2150</f>
        <v>0</v>
      </c>
      <c r="W1889" s="5">
        <f>data_origin!W2150</f>
        <v>0</v>
      </c>
      <c r="X1889" s="5">
        <f>data_origin!X2150</f>
        <v>0</v>
      </c>
      <c r="Y1889" s="5">
        <f>data_origin!Y2150</f>
        <v>0</v>
      </c>
      <c r="Z1889" s="5">
        <f>data_origin!Z2150</f>
        <v>0</v>
      </c>
      <c r="AA1889" s="5">
        <f>data_origin!AA2150</f>
        <v>0</v>
      </c>
      <c r="AB1889" s="5">
        <f t="shared" si="191"/>
        <v>0</v>
      </c>
    </row>
    <row r="1890" spans="4:28" x14ac:dyDescent="0.25">
      <c r="D1890" t="s">
        <v>76</v>
      </c>
      <c r="E1890" s="38">
        <f t="shared" si="193"/>
        <v>0</v>
      </c>
      <c r="F1890" s="38">
        <f t="shared" si="193"/>
        <v>0</v>
      </c>
      <c r="G1890" s="38">
        <f t="shared" si="193"/>
        <v>0</v>
      </c>
      <c r="H1890" s="38">
        <f t="shared" si="192"/>
        <v>0</v>
      </c>
      <c r="I1890" s="38">
        <f t="shared" si="192"/>
        <v>0</v>
      </c>
      <c r="J1890" s="38">
        <f t="shared" si="192"/>
        <v>0</v>
      </c>
      <c r="K1890" s="38">
        <f t="shared" si="192"/>
        <v>0</v>
      </c>
      <c r="L1890" s="38">
        <f t="shared" si="192"/>
        <v>0</v>
      </c>
      <c r="M1890" s="35">
        <f t="shared" si="194"/>
        <v>0</v>
      </c>
      <c r="S1890" t="s">
        <v>76</v>
      </c>
      <c r="T1890" s="5">
        <f>data_origin!T2151</f>
        <v>0</v>
      </c>
      <c r="U1890" s="5">
        <f>data_origin!U2151</f>
        <v>0</v>
      </c>
      <c r="V1890" s="5">
        <f>data_origin!V2151</f>
        <v>0</v>
      </c>
      <c r="W1890" s="5">
        <f>data_origin!W2151</f>
        <v>0</v>
      </c>
      <c r="X1890" s="5">
        <f>data_origin!X2151</f>
        <v>0</v>
      </c>
      <c r="Y1890" s="5">
        <f>data_origin!Y2151</f>
        <v>0</v>
      </c>
      <c r="Z1890" s="5">
        <f>data_origin!Z2151</f>
        <v>0</v>
      </c>
      <c r="AA1890" s="5">
        <f>data_origin!AA2151</f>
        <v>0</v>
      </c>
      <c r="AB1890" s="5">
        <f t="shared" si="191"/>
        <v>0</v>
      </c>
    </row>
    <row r="1891" spans="4:28" x14ac:dyDescent="0.25">
      <c r="D1891" t="s">
        <v>77</v>
      </c>
      <c r="E1891" s="38">
        <f t="shared" si="193"/>
        <v>0</v>
      </c>
      <c r="F1891" s="38">
        <f t="shared" si="193"/>
        <v>0</v>
      </c>
      <c r="G1891" s="38">
        <f t="shared" si="193"/>
        <v>0</v>
      </c>
      <c r="H1891" s="38">
        <f t="shared" si="192"/>
        <v>0</v>
      </c>
      <c r="I1891" s="38">
        <f t="shared" si="192"/>
        <v>0</v>
      </c>
      <c r="J1891" s="38">
        <f t="shared" si="192"/>
        <v>0</v>
      </c>
      <c r="K1891" s="38">
        <f t="shared" si="192"/>
        <v>0</v>
      </c>
      <c r="L1891" s="38">
        <f t="shared" si="192"/>
        <v>0</v>
      </c>
      <c r="M1891" s="35">
        <f t="shared" si="194"/>
        <v>0</v>
      </c>
      <c r="S1891" t="s">
        <v>77</v>
      </c>
      <c r="T1891" s="5">
        <f>data_origin!T2152</f>
        <v>0</v>
      </c>
      <c r="U1891" s="5">
        <f>data_origin!U2152</f>
        <v>0</v>
      </c>
      <c r="V1891" s="5">
        <f>data_origin!V2152</f>
        <v>0</v>
      </c>
      <c r="W1891" s="5">
        <f>data_origin!W2152</f>
        <v>0</v>
      </c>
      <c r="X1891" s="5">
        <f>data_origin!X2152</f>
        <v>0</v>
      </c>
      <c r="Y1891" s="5">
        <f>data_origin!Y2152</f>
        <v>0</v>
      </c>
      <c r="Z1891" s="5">
        <f>data_origin!Z2152</f>
        <v>0</v>
      </c>
      <c r="AA1891" s="5">
        <f>data_origin!AA2152</f>
        <v>0</v>
      </c>
      <c r="AB1891" s="5">
        <f t="shared" si="191"/>
        <v>0</v>
      </c>
    </row>
    <row r="1892" spans="4:28" x14ac:dyDescent="0.25">
      <c r="D1892" t="s">
        <v>78</v>
      </c>
      <c r="E1892" s="38">
        <f t="shared" si="193"/>
        <v>0</v>
      </c>
      <c r="F1892" s="38">
        <f t="shared" si="193"/>
        <v>0</v>
      </c>
      <c r="G1892" s="38">
        <f t="shared" si="193"/>
        <v>0</v>
      </c>
      <c r="H1892" s="38">
        <f t="shared" si="192"/>
        <v>0</v>
      </c>
      <c r="I1892" s="38">
        <f t="shared" si="192"/>
        <v>0</v>
      </c>
      <c r="J1892" s="38">
        <f t="shared" si="192"/>
        <v>0</v>
      </c>
      <c r="K1892" s="38">
        <f t="shared" si="192"/>
        <v>0</v>
      </c>
      <c r="L1892" s="38">
        <f t="shared" si="192"/>
        <v>0</v>
      </c>
      <c r="M1892" s="35">
        <f t="shared" si="194"/>
        <v>0</v>
      </c>
      <c r="S1892" t="s">
        <v>78</v>
      </c>
      <c r="T1892" s="5">
        <f>data_origin!T2153</f>
        <v>0</v>
      </c>
      <c r="U1892" s="5">
        <f>data_origin!U2153</f>
        <v>0</v>
      </c>
      <c r="V1892" s="5">
        <f>data_origin!V2153</f>
        <v>0</v>
      </c>
      <c r="W1892" s="5">
        <f>data_origin!W2153</f>
        <v>0</v>
      </c>
      <c r="X1892" s="5">
        <f>data_origin!X2153</f>
        <v>0</v>
      </c>
      <c r="Y1892" s="5">
        <f>data_origin!Y2153</f>
        <v>0</v>
      </c>
      <c r="Z1892" s="5">
        <f>data_origin!Z2153</f>
        <v>0</v>
      </c>
      <c r="AA1892" s="5">
        <f>data_origin!AA2153</f>
        <v>0</v>
      </c>
      <c r="AB1892" s="5">
        <f t="shared" si="191"/>
        <v>0</v>
      </c>
    </row>
    <row r="1893" spans="4:28" x14ac:dyDescent="0.25">
      <c r="D1893" t="s">
        <v>79</v>
      </c>
      <c r="E1893" s="38">
        <f t="shared" si="193"/>
        <v>0</v>
      </c>
      <c r="F1893" s="38">
        <f t="shared" si="193"/>
        <v>0</v>
      </c>
      <c r="G1893" s="38">
        <f t="shared" si="193"/>
        <v>0</v>
      </c>
      <c r="H1893" s="38">
        <f t="shared" si="192"/>
        <v>0</v>
      </c>
      <c r="I1893" s="38">
        <f t="shared" si="192"/>
        <v>0</v>
      </c>
      <c r="J1893" s="38">
        <f t="shared" si="192"/>
        <v>0</v>
      </c>
      <c r="K1893" s="38">
        <f t="shared" si="192"/>
        <v>0</v>
      </c>
      <c r="L1893" s="38">
        <f t="shared" si="192"/>
        <v>0</v>
      </c>
      <c r="M1893" s="35">
        <f t="shared" si="194"/>
        <v>0</v>
      </c>
      <c r="S1893" t="s">
        <v>79</v>
      </c>
      <c r="T1893" s="5">
        <f>data_origin!T2154</f>
        <v>0</v>
      </c>
      <c r="U1893" s="5">
        <f>data_origin!U2154</f>
        <v>0</v>
      </c>
      <c r="V1893" s="5">
        <f>data_origin!V2154</f>
        <v>0</v>
      </c>
      <c r="W1893" s="5">
        <f>data_origin!W2154</f>
        <v>0</v>
      </c>
      <c r="X1893" s="5">
        <f>data_origin!X2154</f>
        <v>0</v>
      </c>
      <c r="Y1893" s="5">
        <f>data_origin!Y2154</f>
        <v>0</v>
      </c>
      <c r="Z1893" s="5">
        <f>data_origin!Z2154</f>
        <v>0</v>
      </c>
      <c r="AA1893" s="5">
        <f>data_origin!AA2154</f>
        <v>0</v>
      </c>
      <c r="AB1893" s="5">
        <f t="shared" si="191"/>
        <v>0</v>
      </c>
    </row>
    <row r="1894" spans="4:28" x14ac:dyDescent="0.25">
      <c r="D1894" t="s">
        <v>80</v>
      </c>
      <c r="E1894" s="38">
        <f t="shared" si="193"/>
        <v>0</v>
      </c>
      <c r="F1894" s="38">
        <f t="shared" si="193"/>
        <v>0</v>
      </c>
      <c r="G1894" s="38">
        <f t="shared" si="193"/>
        <v>0</v>
      </c>
      <c r="H1894" s="38">
        <f t="shared" si="192"/>
        <v>0</v>
      </c>
      <c r="I1894" s="38">
        <f t="shared" si="192"/>
        <v>0</v>
      </c>
      <c r="J1894" s="38">
        <f t="shared" si="192"/>
        <v>0</v>
      </c>
      <c r="K1894" s="38">
        <f t="shared" si="192"/>
        <v>0</v>
      </c>
      <c r="L1894" s="38">
        <f t="shared" si="192"/>
        <v>0</v>
      </c>
      <c r="M1894" s="35">
        <f t="shared" si="194"/>
        <v>0</v>
      </c>
      <c r="S1894" t="s">
        <v>80</v>
      </c>
      <c r="T1894" s="5">
        <f>data_origin!T2155</f>
        <v>0</v>
      </c>
      <c r="U1894" s="5">
        <f>data_origin!U2155</f>
        <v>0</v>
      </c>
      <c r="V1894" s="5">
        <f>data_origin!V2155</f>
        <v>0</v>
      </c>
      <c r="W1894" s="5">
        <f>data_origin!W2155</f>
        <v>0</v>
      </c>
      <c r="X1894" s="5">
        <f>data_origin!X2155</f>
        <v>0</v>
      </c>
      <c r="Y1894" s="5">
        <f>data_origin!Y2155</f>
        <v>0</v>
      </c>
      <c r="Z1894" s="5">
        <f>data_origin!Z2155</f>
        <v>0</v>
      </c>
      <c r="AA1894" s="5">
        <f>data_origin!AA2155</f>
        <v>0</v>
      </c>
      <c r="AB1894" s="5">
        <f t="shared" si="191"/>
        <v>0</v>
      </c>
    </row>
    <row r="1895" spans="4:28" x14ac:dyDescent="0.25">
      <c r="D1895" t="s">
        <v>81</v>
      </c>
      <c r="E1895" s="38">
        <f t="shared" si="193"/>
        <v>0</v>
      </c>
      <c r="F1895" s="38">
        <f t="shared" si="193"/>
        <v>0</v>
      </c>
      <c r="G1895" s="38">
        <f t="shared" si="193"/>
        <v>0</v>
      </c>
      <c r="H1895" s="38">
        <f t="shared" si="192"/>
        <v>0</v>
      </c>
      <c r="I1895" s="38">
        <f t="shared" si="192"/>
        <v>0</v>
      </c>
      <c r="J1895" s="38">
        <f t="shared" si="192"/>
        <v>0</v>
      </c>
      <c r="K1895" s="38">
        <f t="shared" si="192"/>
        <v>0</v>
      </c>
      <c r="L1895" s="38">
        <f t="shared" si="192"/>
        <v>0</v>
      </c>
      <c r="M1895" s="35">
        <f t="shared" si="194"/>
        <v>0</v>
      </c>
      <c r="S1895" t="s">
        <v>81</v>
      </c>
      <c r="T1895" s="5">
        <f>data_origin!T2156</f>
        <v>0</v>
      </c>
      <c r="U1895" s="5">
        <f>data_origin!U2156</f>
        <v>0</v>
      </c>
      <c r="V1895" s="5">
        <f>data_origin!V2156</f>
        <v>0</v>
      </c>
      <c r="W1895" s="5">
        <f>data_origin!W2156</f>
        <v>0</v>
      </c>
      <c r="X1895" s="5">
        <f>data_origin!X2156</f>
        <v>0</v>
      </c>
      <c r="Y1895" s="5">
        <f>data_origin!Y2156</f>
        <v>0</v>
      </c>
      <c r="Z1895" s="5">
        <f>data_origin!Z2156</f>
        <v>0</v>
      </c>
      <c r="AA1895" s="5">
        <f>data_origin!AA2156</f>
        <v>0</v>
      </c>
      <c r="AB1895" s="5">
        <f t="shared" si="191"/>
        <v>0</v>
      </c>
    </row>
    <row r="1896" spans="4:28" x14ac:dyDescent="0.25">
      <c r="D1896" t="s">
        <v>82</v>
      </c>
      <c r="E1896" s="38">
        <f t="shared" si="193"/>
        <v>0</v>
      </c>
      <c r="F1896" s="38">
        <f t="shared" si="193"/>
        <v>0</v>
      </c>
      <c r="G1896" s="38">
        <f t="shared" si="193"/>
        <v>0</v>
      </c>
      <c r="H1896" s="38">
        <f t="shared" si="192"/>
        <v>0</v>
      </c>
      <c r="I1896" s="38">
        <f t="shared" si="192"/>
        <v>0</v>
      </c>
      <c r="J1896" s="38">
        <f t="shared" si="192"/>
        <v>0</v>
      </c>
      <c r="K1896" s="38">
        <f t="shared" si="192"/>
        <v>0</v>
      </c>
      <c r="L1896" s="38">
        <f t="shared" si="192"/>
        <v>0</v>
      </c>
      <c r="M1896" s="35">
        <f t="shared" si="194"/>
        <v>0</v>
      </c>
      <c r="S1896" t="s">
        <v>82</v>
      </c>
      <c r="T1896" s="5">
        <f>data_origin!T2157</f>
        <v>0</v>
      </c>
      <c r="U1896" s="5">
        <f>data_origin!U2157</f>
        <v>0</v>
      </c>
      <c r="V1896" s="5">
        <f>data_origin!V2157</f>
        <v>0</v>
      </c>
      <c r="W1896" s="5">
        <f>data_origin!W2157</f>
        <v>0</v>
      </c>
      <c r="X1896" s="5">
        <f>data_origin!X2157</f>
        <v>0</v>
      </c>
      <c r="Y1896" s="5">
        <f>data_origin!Y2157</f>
        <v>0</v>
      </c>
      <c r="Z1896" s="5">
        <f>data_origin!Z2157</f>
        <v>0</v>
      </c>
      <c r="AA1896" s="5">
        <f>data_origin!AA2157</f>
        <v>0</v>
      </c>
      <c r="AB1896" s="5">
        <f t="shared" si="191"/>
        <v>0</v>
      </c>
    </row>
    <row r="1897" spans="4:28" x14ac:dyDescent="0.25">
      <c r="D1897" t="s">
        <v>83</v>
      </c>
      <c r="E1897" s="38">
        <f t="shared" si="193"/>
        <v>0</v>
      </c>
      <c r="F1897" s="38">
        <f t="shared" si="193"/>
        <v>0</v>
      </c>
      <c r="G1897" s="38">
        <f t="shared" si="193"/>
        <v>0</v>
      </c>
      <c r="H1897" s="38">
        <f t="shared" si="192"/>
        <v>0</v>
      </c>
      <c r="I1897" s="38">
        <f t="shared" si="192"/>
        <v>0</v>
      </c>
      <c r="J1897" s="38">
        <f t="shared" si="192"/>
        <v>0</v>
      </c>
      <c r="K1897" s="38">
        <f t="shared" si="192"/>
        <v>0</v>
      </c>
      <c r="L1897" s="38">
        <f t="shared" si="192"/>
        <v>0</v>
      </c>
      <c r="M1897" s="35">
        <f t="shared" si="194"/>
        <v>0</v>
      </c>
      <c r="S1897" t="s">
        <v>83</v>
      </c>
      <c r="T1897" s="5">
        <f>data_origin!T2158</f>
        <v>0</v>
      </c>
      <c r="U1897" s="5">
        <f>data_origin!U2158</f>
        <v>0</v>
      </c>
      <c r="V1897" s="5">
        <f>data_origin!V2158</f>
        <v>0</v>
      </c>
      <c r="W1897" s="5">
        <f>data_origin!W2158</f>
        <v>0</v>
      </c>
      <c r="X1897" s="5">
        <f>data_origin!X2158</f>
        <v>0</v>
      </c>
      <c r="Y1897" s="5">
        <f>data_origin!Y2158</f>
        <v>0</v>
      </c>
      <c r="Z1897" s="5">
        <f>data_origin!Z2158</f>
        <v>0</v>
      </c>
      <c r="AA1897" s="5">
        <f>data_origin!AA2158</f>
        <v>0</v>
      </c>
      <c r="AB1897" s="5">
        <f t="shared" si="191"/>
        <v>0</v>
      </c>
    </row>
    <row r="1898" spans="4:28" x14ac:dyDescent="0.25">
      <c r="D1898" t="s">
        <v>84</v>
      </c>
      <c r="E1898" s="38">
        <f t="shared" si="193"/>
        <v>0</v>
      </c>
      <c r="F1898" s="38">
        <f t="shared" si="193"/>
        <v>0</v>
      </c>
      <c r="G1898" s="38">
        <f t="shared" si="193"/>
        <v>0</v>
      </c>
      <c r="H1898" s="38">
        <f t="shared" si="192"/>
        <v>0</v>
      </c>
      <c r="I1898" s="38">
        <f t="shared" si="192"/>
        <v>0</v>
      </c>
      <c r="J1898" s="38">
        <f t="shared" si="192"/>
        <v>0</v>
      </c>
      <c r="K1898" s="38">
        <f t="shared" si="192"/>
        <v>0</v>
      </c>
      <c r="L1898" s="38">
        <f t="shared" si="192"/>
        <v>0</v>
      </c>
      <c r="M1898" s="35">
        <f t="shared" si="194"/>
        <v>0</v>
      </c>
      <c r="S1898" t="s">
        <v>84</v>
      </c>
      <c r="T1898" s="5">
        <f>data_origin!T2159</f>
        <v>0</v>
      </c>
      <c r="U1898" s="5">
        <f>data_origin!U2159</f>
        <v>0</v>
      </c>
      <c r="V1898" s="5">
        <f>data_origin!V2159</f>
        <v>0</v>
      </c>
      <c r="W1898" s="5">
        <f>data_origin!W2159</f>
        <v>0</v>
      </c>
      <c r="X1898" s="5">
        <f>data_origin!X2159</f>
        <v>0</v>
      </c>
      <c r="Y1898" s="5">
        <f>data_origin!Y2159</f>
        <v>0</v>
      </c>
      <c r="Z1898" s="5">
        <f>data_origin!Z2159</f>
        <v>0</v>
      </c>
      <c r="AA1898" s="5">
        <f>data_origin!AA2159</f>
        <v>0</v>
      </c>
      <c r="AB1898" s="5">
        <f t="shared" si="191"/>
        <v>0</v>
      </c>
    </row>
    <row r="1899" spans="4:28" x14ac:dyDescent="0.25">
      <c r="D1899" t="s">
        <v>85</v>
      </c>
      <c r="E1899" s="38">
        <f t="shared" si="193"/>
        <v>0</v>
      </c>
      <c r="F1899" s="38">
        <f t="shared" si="193"/>
        <v>0</v>
      </c>
      <c r="G1899" s="38">
        <f t="shared" si="193"/>
        <v>0</v>
      </c>
      <c r="H1899" s="38">
        <f t="shared" si="192"/>
        <v>0</v>
      </c>
      <c r="I1899" s="38">
        <f t="shared" si="192"/>
        <v>0</v>
      </c>
      <c r="J1899" s="38">
        <f t="shared" si="192"/>
        <v>0</v>
      </c>
      <c r="K1899" s="38">
        <f t="shared" si="192"/>
        <v>0</v>
      </c>
      <c r="L1899" s="38">
        <f t="shared" si="192"/>
        <v>0</v>
      </c>
      <c r="M1899" s="35">
        <f t="shared" si="194"/>
        <v>0</v>
      </c>
      <c r="S1899" t="s">
        <v>85</v>
      </c>
      <c r="T1899" s="5">
        <f>data_origin!T2160</f>
        <v>0</v>
      </c>
      <c r="U1899" s="5">
        <f>data_origin!U2160</f>
        <v>0</v>
      </c>
      <c r="V1899" s="5">
        <f>data_origin!V2160</f>
        <v>0</v>
      </c>
      <c r="W1899" s="5">
        <f>data_origin!W2160</f>
        <v>0</v>
      </c>
      <c r="X1899" s="5">
        <f>data_origin!X2160</f>
        <v>0</v>
      </c>
      <c r="Y1899" s="5">
        <f>data_origin!Y2160</f>
        <v>0</v>
      </c>
      <c r="Z1899" s="5">
        <f>data_origin!Z2160</f>
        <v>0</v>
      </c>
      <c r="AA1899" s="5">
        <f>data_origin!AA2160</f>
        <v>0</v>
      </c>
      <c r="AB1899" s="5">
        <f t="shared" si="191"/>
        <v>0</v>
      </c>
    </row>
    <row r="1900" spans="4:28" x14ac:dyDescent="0.25">
      <c r="D1900" t="s">
        <v>86</v>
      </c>
      <c r="E1900" s="38">
        <f t="shared" si="193"/>
        <v>0</v>
      </c>
      <c r="F1900" s="38">
        <f t="shared" si="193"/>
        <v>0</v>
      </c>
      <c r="G1900" s="38">
        <f t="shared" si="193"/>
        <v>0</v>
      </c>
      <c r="H1900" s="38">
        <f t="shared" si="192"/>
        <v>1.017541114465665</v>
      </c>
      <c r="I1900" s="38">
        <f t="shared" si="192"/>
        <v>0</v>
      </c>
      <c r="J1900" s="38">
        <f t="shared" si="192"/>
        <v>0</v>
      </c>
      <c r="K1900" s="38">
        <f t="shared" si="192"/>
        <v>0</v>
      </c>
      <c r="L1900" s="38">
        <f t="shared" si="192"/>
        <v>0</v>
      </c>
      <c r="M1900" s="35">
        <f t="shared" si="194"/>
        <v>1.017541114465665</v>
      </c>
      <c r="S1900" t="s">
        <v>86</v>
      </c>
      <c r="T1900" s="5">
        <f>data_origin!T2161</f>
        <v>0</v>
      </c>
      <c r="U1900" s="5">
        <f>data_origin!U2161</f>
        <v>0</v>
      </c>
      <c r="V1900" s="5">
        <f>data_origin!V2161</f>
        <v>0</v>
      </c>
      <c r="W1900" s="5">
        <f>data_origin!W2161</f>
        <v>1</v>
      </c>
      <c r="X1900" s="5">
        <f>data_origin!X2161</f>
        <v>0</v>
      </c>
      <c r="Y1900" s="5">
        <f>data_origin!Y2161</f>
        <v>0</v>
      </c>
      <c r="Z1900" s="5">
        <f>data_origin!Z2161</f>
        <v>0</v>
      </c>
      <c r="AA1900" s="5">
        <f>data_origin!AA2161</f>
        <v>0</v>
      </c>
      <c r="AB1900" s="5">
        <f t="shared" si="191"/>
        <v>1</v>
      </c>
    </row>
    <row r="1901" spans="4:28" x14ac:dyDescent="0.25">
      <c r="D1901" t="s">
        <v>87</v>
      </c>
      <c r="E1901" s="38">
        <f t="shared" si="193"/>
        <v>0</v>
      </c>
      <c r="F1901" s="38">
        <f t="shared" si="193"/>
        <v>0</v>
      </c>
      <c r="G1901" s="38">
        <f t="shared" si="193"/>
        <v>0</v>
      </c>
      <c r="H1901" s="38">
        <f t="shared" si="192"/>
        <v>0</v>
      </c>
      <c r="I1901" s="38">
        <f t="shared" si="192"/>
        <v>0</v>
      </c>
      <c r="J1901" s="38">
        <f t="shared" si="192"/>
        <v>0</v>
      </c>
      <c r="K1901" s="38">
        <f t="shared" si="192"/>
        <v>0</v>
      </c>
      <c r="L1901" s="38">
        <f t="shared" si="192"/>
        <v>0</v>
      </c>
      <c r="M1901" s="35">
        <f t="shared" si="194"/>
        <v>0</v>
      </c>
      <c r="S1901" t="s">
        <v>87</v>
      </c>
      <c r="T1901" s="5">
        <f>data_origin!T2162</f>
        <v>0</v>
      </c>
      <c r="U1901" s="5">
        <f>data_origin!U2162</f>
        <v>0</v>
      </c>
      <c r="V1901" s="5">
        <f>data_origin!V2162</f>
        <v>0</v>
      </c>
      <c r="W1901" s="5">
        <f>data_origin!W2162</f>
        <v>0</v>
      </c>
      <c r="X1901" s="5">
        <f>data_origin!X2162</f>
        <v>0</v>
      </c>
      <c r="Y1901" s="5">
        <f>data_origin!Y2162</f>
        <v>0</v>
      </c>
      <c r="Z1901" s="5">
        <f>data_origin!Z2162</f>
        <v>0</v>
      </c>
      <c r="AA1901" s="5">
        <f>data_origin!AA2162</f>
        <v>0</v>
      </c>
      <c r="AB1901" s="5">
        <f t="shared" si="191"/>
        <v>0</v>
      </c>
    </row>
    <row r="1902" spans="4:28" x14ac:dyDescent="0.25">
      <c r="D1902" t="s">
        <v>88</v>
      </c>
      <c r="E1902" s="38">
        <f t="shared" si="193"/>
        <v>0</v>
      </c>
      <c r="F1902" s="38">
        <f t="shared" si="193"/>
        <v>0</v>
      </c>
      <c r="G1902" s="38">
        <f t="shared" si="193"/>
        <v>0</v>
      </c>
      <c r="H1902" s="38">
        <f t="shared" si="192"/>
        <v>0</v>
      </c>
      <c r="I1902" s="38">
        <f t="shared" si="192"/>
        <v>0</v>
      </c>
      <c r="J1902" s="38">
        <f t="shared" si="192"/>
        <v>0</v>
      </c>
      <c r="K1902" s="38">
        <f t="shared" si="192"/>
        <v>0</v>
      </c>
      <c r="L1902" s="38">
        <f t="shared" si="192"/>
        <v>0</v>
      </c>
      <c r="M1902" s="35">
        <f t="shared" si="194"/>
        <v>0</v>
      </c>
      <c r="S1902" t="s">
        <v>88</v>
      </c>
      <c r="T1902" s="5">
        <f>data_origin!T2163</f>
        <v>0</v>
      </c>
      <c r="U1902" s="5">
        <f>data_origin!U2163</f>
        <v>0</v>
      </c>
      <c r="V1902" s="5">
        <f>data_origin!V2163</f>
        <v>0</v>
      </c>
      <c r="W1902" s="5">
        <f>data_origin!W2163</f>
        <v>0</v>
      </c>
      <c r="X1902" s="5">
        <f>data_origin!X2163</f>
        <v>0</v>
      </c>
      <c r="Y1902" s="5">
        <f>data_origin!Y2163</f>
        <v>0</v>
      </c>
      <c r="Z1902" s="5">
        <f>data_origin!Z2163</f>
        <v>0</v>
      </c>
      <c r="AA1902" s="5">
        <f>data_origin!AA2163</f>
        <v>0</v>
      </c>
      <c r="AB1902" s="5">
        <f t="shared" si="191"/>
        <v>0</v>
      </c>
    </row>
    <row r="1903" spans="4:28" x14ac:dyDescent="0.25">
      <c r="D1903" t="s">
        <v>89</v>
      </c>
      <c r="E1903" s="38">
        <f t="shared" si="193"/>
        <v>0</v>
      </c>
      <c r="F1903" s="38">
        <f t="shared" si="193"/>
        <v>0</v>
      </c>
      <c r="G1903" s="38">
        <f t="shared" si="193"/>
        <v>1.0139234456837438</v>
      </c>
      <c r="H1903" s="38">
        <f t="shared" si="192"/>
        <v>0</v>
      </c>
      <c r="I1903" s="38">
        <f t="shared" si="192"/>
        <v>0</v>
      </c>
      <c r="J1903" s="38">
        <f t="shared" si="192"/>
        <v>0</v>
      </c>
      <c r="K1903" s="38">
        <f t="shared" si="192"/>
        <v>0</v>
      </c>
      <c r="L1903" s="38">
        <f t="shared" si="192"/>
        <v>0</v>
      </c>
      <c r="M1903" s="35">
        <f t="shared" si="194"/>
        <v>1.0139234456837438</v>
      </c>
      <c r="S1903" t="s">
        <v>89</v>
      </c>
      <c r="T1903" s="5">
        <f>data_origin!T2164</f>
        <v>0</v>
      </c>
      <c r="U1903" s="5">
        <f>data_origin!U2164</f>
        <v>0</v>
      </c>
      <c r="V1903" s="5">
        <f>data_origin!V2164</f>
        <v>1</v>
      </c>
      <c r="W1903" s="5">
        <f>data_origin!W2164</f>
        <v>0</v>
      </c>
      <c r="X1903" s="5">
        <f>data_origin!X2164</f>
        <v>0</v>
      </c>
      <c r="Y1903" s="5">
        <f>data_origin!Y2164</f>
        <v>0</v>
      </c>
      <c r="Z1903" s="5">
        <f>data_origin!Z2164</f>
        <v>0</v>
      </c>
      <c r="AA1903" s="5">
        <f>data_origin!AA2164</f>
        <v>0</v>
      </c>
      <c r="AB1903" s="5">
        <f t="shared" ref="AB1903:AB1966" si="195">SUM(T1903:AA1903)</f>
        <v>1</v>
      </c>
    </row>
    <row r="1904" spans="4:28" x14ac:dyDescent="0.25">
      <c r="D1904" t="s">
        <v>90</v>
      </c>
      <c r="E1904" s="38">
        <f t="shared" si="193"/>
        <v>0</v>
      </c>
      <c r="F1904" s="38">
        <f t="shared" si="193"/>
        <v>0</v>
      </c>
      <c r="G1904" s="38">
        <f t="shared" si="193"/>
        <v>0</v>
      </c>
      <c r="H1904" s="38">
        <f t="shared" si="192"/>
        <v>0</v>
      </c>
      <c r="I1904" s="38">
        <f t="shared" si="192"/>
        <v>0</v>
      </c>
      <c r="J1904" s="38">
        <f t="shared" si="192"/>
        <v>0</v>
      </c>
      <c r="K1904" s="38">
        <f t="shared" si="192"/>
        <v>0</v>
      </c>
      <c r="L1904" s="38">
        <f t="shared" si="192"/>
        <v>0</v>
      </c>
      <c r="M1904" s="35">
        <f t="shared" si="194"/>
        <v>0</v>
      </c>
      <c r="S1904" t="s">
        <v>90</v>
      </c>
      <c r="T1904" s="5">
        <f>data_origin!T2165</f>
        <v>0</v>
      </c>
      <c r="U1904" s="5">
        <f>data_origin!U2165</f>
        <v>0</v>
      </c>
      <c r="V1904" s="5">
        <f>data_origin!V2165</f>
        <v>0</v>
      </c>
      <c r="W1904" s="5">
        <f>data_origin!W2165</f>
        <v>0</v>
      </c>
      <c r="X1904" s="5">
        <f>data_origin!X2165</f>
        <v>0</v>
      </c>
      <c r="Y1904" s="5">
        <f>data_origin!Y2165</f>
        <v>0</v>
      </c>
      <c r="Z1904" s="5">
        <f>data_origin!Z2165</f>
        <v>0</v>
      </c>
      <c r="AA1904" s="5">
        <f>data_origin!AA2165</f>
        <v>0</v>
      </c>
      <c r="AB1904" s="5">
        <f t="shared" si="195"/>
        <v>0</v>
      </c>
    </row>
    <row r="1905" spans="1:28" x14ac:dyDescent="0.25">
      <c r="D1905" t="s">
        <v>91</v>
      </c>
      <c r="E1905" s="38">
        <f t="shared" si="193"/>
        <v>0</v>
      </c>
      <c r="F1905" s="38">
        <f t="shared" si="193"/>
        <v>0</v>
      </c>
      <c r="G1905" s="38">
        <f t="shared" si="193"/>
        <v>0</v>
      </c>
      <c r="H1905" s="38">
        <f t="shared" si="192"/>
        <v>0</v>
      </c>
      <c r="I1905" s="38">
        <f t="shared" si="192"/>
        <v>0</v>
      </c>
      <c r="J1905" s="38">
        <f t="shared" si="192"/>
        <v>0</v>
      </c>
      <c r="K1905" s="38">
        <f t="shared" si="192"/>
        <v>0</v>
      </c>
      <c r="L1905" s="38">
        <f t="shared" si="192"/>
        <v>0</v>
      </c>
      <c r="M1905" s="35">
        <f t="shared" si="194"/>
        <v>0</v>
      </c>
      <c r="S1905" t="s">
        <v>91</v>
      </c>
      <c r="T1905" s="5">
        <f>data_origin!T2166</f>
        <v>0</v>
      </c>
      <c r="U1905" s="5">
        <f>data_origin!U2166</f>
        <v>0</v>
      </c>
      <c r="V1905" s="5">
        <f>data_origin!V2166</f>
        <v>0</v>
      </c>
      <c r="W1905" s="5">
        <f>data_origin!W2166</f>
        <v>0</v>
      </c>
      <c r="X1905" s="5">
        <f>data_origin!X2166</f>
        <v>0</v>
      </c>
      <c r="Y1905" s="5">
        <f>data_origin!Y2166</f>
        <v>0</v>
      </c>
      <c r="Z1905" s="5">
        <f>data_origin!Z2166</f>
        <v>0</v>
      </c>
      <c r="AA1905" s="5">
        <f>data_origin!AA2166</f>
        <v>0</v>
      </c>
      <c r="AB1905" s="5">
        <f t="shared" si="195"/>
        <v>0</v>
      </c>
    </row>
    <row r="1906" spans="1:28" x14ac:dyDescent="0.25">
      <c r="D1906" t="s">
        <v>92</v>
      </c>
      <c r="E1906" s="38">
        <f t="shared" si="193"/>
        <v>0</v>
      </c>
      <c r="F1906" s="38">
        <f t="shared" si="193"/>
        <v>0</v>
      </c>
      <c r="G1906" s="38">
        <f t="shared" si="193"/>
        <v>0</v>
      </c>
      <c r="H1906" s="38">
        <f t="shared" si="192"/>
        <v>0</v>
      </c>
      <c r="I1906" s="38">
        <f t="shared" si="192"/>
        <v>0</v>
      </c>
      <c r="J1906" s="38">
        <f t="shared" si="192"/>
        <v>0</v>
      </c>
      <c r="K1906" s="38">
        <f t="shared" si="192"/>
        <v>0</v>
      </c>
      <c r="L1906" s="38">
        <f t="shared" si="192"/>
        <v>0</v>
      </c>
      <c r="M1906" s="35">
        <f t="shared" si="194"/>
        <v>0</v>
      </c>
      <c r="S1906" t="s">
        <v>92</v>
      </c>
      <c r="T1906" s="5">
        <f>data_origin!T2167</f>
        <v>0</v>
      </c>
      <c r="U1906" s="5">
        <f>data_origin!U2167</f>
        <v>0</v>
      </c>
      <c r="V1906" s="5">
        <f>data_origin!V2167</f>
        <v>0</v>
      </c>
      <c r="W1906" s="5">
        <f>data_origin!W2167</f>
        <v>0</v>
      </c>
      <c r="X1906" s="5">
        <f>data_origin!X2167</f>
        <v>0</v>
      </c>
      <c r="Y1906" s="5">
        <f>data_origin!Y2167</f>
        <v>0</v>
      </c>
      <c r="Z1906" s="5">
        <f>data_origin!Z2167</f>
        <v>0</v>
      </c>
      <c r="AA1906" s="5">
        <f>data_origin!AA2167</f>
        <v>0</v>
      </c>
      <c r="AB1906" s="5">
        <f t="shared" si="195"/>
        <v>0</v>
      </c>
    </row>
    <row r="1907" spans="1:28" x14ac:dyDescent="0.25">
      <c r="D1907" t="s">
        <v>93</v>
      </c>
      <c r="E1907" s="38">
        <f t="shared" si="193"/>
        <v>0</v>
      </c>
      <c r="F1907" s="38">
        <f t="shared" si="193"/>
        <v>0</v>
      </c>
      <c r="G1907" s="38">
        <f t="shared" si="193"/>
        <v>0</v>
      </c>
      <c r="H1907" s="38">
        <f t="shared" si="192"/>
        <v>0</v>
      </c>
      <c r="I1907" s="38">
        <f t="shared" si="192"/>
        <v>0</v>
      </c>
      <c r="J1907" s="38">
        <f t="shared" si="192"/>
        <v>0</v>
      </c>
      <c r="K1907" s="38">
        <f t="shared" si="192"/>
        <v>0</v>
      </c>
      <c r="L1907" s="38">
        <f t="shared" si="192"/>
        <v>0</v>
      </c>
      <c r="M1907" s="35">
        <f t="shared" si="194"/>
        <v>0</v>
      </c>
      <c r="S1907" t="s">
        <v>93</v>
      </c>
      <c r="T1907" s="5">
        <f>data_origin!T2168</f>
        <v>0</v>
      </c>
      <c r="U1907" s="5">
        <f>data_origin!U2168</f>
        <v>0</v>
      </c>
      <c r="V1907" s="5">
        <f>data_origin!V2168</f>
        <v>0</v>
      </c>
      <c r="W1907" s="5">
        <f>data_origin!W2168</f>
        <v>0</v>
      </c>
      <c r="X1907" s="5">
        <f>data_origin!X2168</f>
        <v>0</v>
      </c>
      <c r="Y1907" s="5">
        <f>data_origin!Y2168</f>
        <v>0</v>
      </c>
      <c r="Z1907" s="5">
        <f>data_origin!Z2168</f>
        <v>0</v>
      </c>
      <c r="AA1907" s="5">
        <f>data_origin!AA2168</f>
        <v>0</v>
      </c>
      <c r="AB1907" s="5">
        <f t="shared" si="195"/>
        <v>0</v>
      </c>
    </row>
    <row r="1908" spans="1:28" x14ac:dyDescent="0.25">
      <c r="D1908" t="s">
        <v>94</v>
      </c>
      <c r="E1908" s="38">
        <f t="shared" si="193"/>
        <v>0</v>
      </c>
      <c r="F1908" s="38">
        <f t="shared" si="193"/>
        <v>0</v>
      </c>
      <c r="G1908" s="38">
        <f t="shared" si="193"/>
        <v>0</v>
      </c>
      <c r="H1908" s="38">
        <f t="shared" si="192"/>
        <v>0</v>
      </c>
      <c r="I1908" s="38">
        <f t="shared" si="192"/>
        <v>0</v>
      </c>
      <c r="J1908" s="38">
        <f t="shared" si="192"/>
        <v>0</v>
      </c>
      <c r="K1908" s="38">
        <f t="shared" si="192"/>
        <v>0</v>
      </c>
      <c r="L1908" s="38">
        <f t="shared" si="192"/>
        <v>0</v>
      </c>
      <c r="M1908" s="35">
        <f t="shared" si="194"/>
        <v>0</v>
      </c>
      <c r="S1908" t="s">
        <v>94</v>
      </c>
      <c r="T1908" s="5">
        <f>data_origin!T2169</f>
        <v>0</v>
      </c>
      <c r="U1908" s="5">
        <f>data_origin!U2169</f>
        <v>0</v>
      </c>
      <c r="V1908" s="5">
        <f>data_origin!V2169</f>
        <v>0</v>
      </c>
      <c r="W1908" s="5">
        <f>data_origin!W2169</f>
        <v>0</v>
      </c>
      <c r="X1908" s="5">
        <f>data_origin!X2169</f>
        <v>0</v>
      </c>
      <c r="Y1908" s="5">
        <f>data_origin!Y2169</f>
        <v>0</v>
      </c>
      <c r="Z1908" s="5">
        <f>data_origin!Z2169</f>
        <v>0</v>
      </c>
      <c r="AA1908" s="5">
        <f>data_origin!AA2169</f>
        <v>0</v>
      </c>
      <c r="AB1908" s="5">
        <f t="shared" si="195"/>
        <v>0</v>
      </c>
    </row>
    <row r="1909" spans="1:28" x14ac:dyDescent="0.25">
      <c r="D1909" t="s">
        <v>95</v>
      </c>
      <c r="E1909" s="38">
        <f t="shared" si="193"/>
        <v>0</v>
      </c>
      <c r="F1909" s="38">
        <f t="shared" si="193"/>
        <v>0</v>
      </c>
      <c r="G1909" s="38">
        <f t="shared" si="193"/>
        <v>0</v>
      </c>
      <c r="H1909" s="38">
        <f t="shared" si="192"/>
        <v>0</v>
      </c>
      <c r="I1909" s="38">
        <f t="shared" si="192"/>
        <v>0</v>
      </c>
      <c r="J1909" s="38">
        <f t="shared" si="192"/>
        <v>0</v>
      </c>
      <c r="K1909" s="38">
        <f t="shared" si="192"/>
        <v>0</v>
      </c>
      <c r="L1909" s="38">
        <f t="shared" si="192"/>
        <v>0</v>
      </c>
      <c r="M1909" s="35">
        <f t="shared" si="194"/>
        <v>0</v>
      </c>
      <c r="S1909" t="s">
        <v>95</v>
      </c>
      <c r="T1909" s="5">
        <f>data_origin!T2170</f>
        <v>0</v>
      </c>
      <c r="U1909" s="5">
        <f>data_origin!U2170</f>
        <v>0</v>
      </c>
      <c r="V1909" s="5">
        <f>data_origin!V2170</f>
        <v>0</v>
      </c>
      <c r="W1909" s="5">
        <f>data_origin!W2170</f>
        <v>0</v>
      </c>
      <c r="X1909" s="5">
        <f>data_origin!X2170</f>
        <v>0</v>
      </c>
      <c r="Y1909" s="5">
        <f>data_origin!Y2170</f>
        <v>0</v>
      </c>
      <c r="Z1909" s="5">
        <f>data_origin!Z2170</f>
        <v>0</v>
      </c>
      <c r="AA1909" s="5">
        <f>data_origin!AA2170</f>
        <v>0</v>
      </c>
      <c r="AB1909" s="5">
        <f t="shared" si="195"/>
        <v>0</v>
      </c>
    </row>
    <row r="1910" spans="1:28" x14ac:dyDescent="0.25">
      <c r="D1910" t="s">
        <v>96</v>
      </c>
      <c r="E1910" s="38">
        <f t="shared" si="193"/>
        <v>0</v>
      </c>
      <c r="F1910" s="38">
        <f t="shared" si="193"/>
        <v>0</v>
      </c>
      <c r="G1910" s="38">
        <f t="shared" si="193"/>
        <v>0</v>
      </c>
      <c r="H1910" s="38">
        <f t="shared" si="192"/>
        <v>0</v>
      </c>
      <c r="I1910" s="38">
        <f t="shared" si="192"/>
        <v>0</v>
      </c>
      <c r="J1910" s="38">
        <f t="shared" ref="J1910:L1973" si="196">Y1910+BB524+IFERROR((Y1910/SUM(Y$993:Y$1982)*BB$630),0)+IFERROR((Y1910/SUM(Y$1125:Y$1322,Y$1455:Y$1652,Y$1785:Y$1982)*BB$732),0)</f>
        <v>0</v>
      </c>
      <c r="K1910" s="38">
        <f t="shared" si="196"/>
        <v>0</v>
      </c>
      <c r="L1910" s="38">
        <f t="shared" si="196"/>
        <v>0</v>
      </c>
      <c r="M1910" s="35">
        <f t="shared" si="194"/>
        <v>0</v>
      </c>
      <c r="S1910" t="s">
        <v>96</v>
      </c>
      <c r="T1910" s="5">
        <f>data_origin!T2171</f>
        <v>0</v>
      </c>
      <c r="U1910" s="5">
        <f>data_origin!U2171</f>
        <v>0</v>
      </c>
      <c r="V1910" s="5">
        <f>data_origin!V2171</f>
        <v>0</v>
      </c>
      <c r="W1910" s="5">
        <f>data_origin!W2171</f>
        <v>0</v>
      </c>
      <c r="X1910" s="5">
        <f>data_origin!X2171</f>
        <v>0</v>
      </c>
      <c r="Y1910" s="5">
        <f>data_origin!Y2171</f>
        <v>0</v>
      </c>
      <c r="Z1910" s="5">
        <f>data_origin!Z2171</f>
        <v>0</v>
      </c>
      <c r="AA1910" s="5">
        <f>data_origin!AA2171</f>
        <v>0</v>
      </c>
      <c r="AB1910" s="5">
        <f t="shared" si="195"/>
        <v>0</v>
      </c>
    </row>
    <row r="1911" spans="1:28" x14ac:dyDescent="0.25">
      <c r="D1911" t="s">
        <v>97</v>
      </c>
      <c r="E1911" s="38">
        <f t="shared" si="193"/>
        <v>0</v>
      </c>
      <c r="F1911" s="38">
        <f t="shared" si="193"/>
        <v>0</v>
      </c>
      <c r="G1911" s="38">
        <f t="shared" si="193"/>
        <v>0</v>
      </c>
      <c r="H1911" s="38">
        <f t="shared" si="193"/>
        <v>1.017541114465665</v>
      </c>
      <c r="I1911" s="38">
        <f t="shared" si="193"/>
        <v>0</v>
      </c>
      <c r="J1911" s="38">
        <f t="shared" si="196"/>
        <v>0</v>
      </c>
      <c r="K1911" s="38">
        <f t="shared" si="196"/>
        <v>0</v>
      </c>
      <c r="L1911" s="38">
        <f t="shared" si="196"/>
        <v>0</v>
      </c>
      <c r="M1911" s="35">
        <f t="shared" si="194"/>
        <v>1.017541114465665</v>
      </c>
      <c r="S1911" t="s">
        <v>97</v>
      </c>
      <c r="T1911" s="5">
        <f>data_origin!T2172</f>
        <v>0</v>
      </c>
      <c r="U1911" s="5">
        <f>data_origin!U2172</f>
        <v>0</v>
      </c>
      <c r="V1911" s="5">
        <f>data_origin!V2172</f>
        <v>0</v>
      </c>
      <c r="W1911" s="5">
        <f>data_origin!W2172</f>
        <v>1</v>
      </c>
      <c r="X1911" s="5">
        <f>data_origin!X2172</f>
        <v>0</v>
      </c>
      <c r="Y1911" s="5">
        <f>data_origin!Y2172</f>
        <v>0</v>
      </c>
      <c r="Z1911" s="5">
        <f>data_origin!Z2172</f>
        <v>0</v>
      </c>
      <c r="AA1911" s="5">
        <f>data_origin!AA2172</f>
        <v>0</v>
      </c>
      <c r="AB1911" s="5">
        <f t="shared" si="195"/>
        <v>1</v>
      </c>
    </row>
    <row r="1912" spans="1:28" x14ac:dyDescent="0.25">
      <c r="D1912" t="s">
        <v>98</v>
      </c>
      <c r="E1912" s="38">
        <f t="shared" si="193"/>
        <v>0</v>
      </c>
      <c r="F1912" s="38">
        <f t="shared" si="193"/>
        <v>0</v>
      </c>
      <c r="G1912" s="38">
        <f t="shared" si="193"/>
        <v>0</v>
      </c>
      <c r="H1912" s="38">
        <f t="shared" si="193"/>
        <v>6.1052466867939916</v>
      </c>
      <c r="I1912" s="38">
        <f t="shared" si="193"/>
        <v>3.0522654157453806</v>
      </c>
      <c r="J1912" s="38">
        <f t="shared" si="196"/>
        <v>1.0186663554310613</v>
      </c>
      <c r="K1912" s="38">
        <f t="shared" si="196"/>
        <v>0</v>
      </c>
      <c r="L1912" s="38">
        <f t="shared" si="196"/>
        <v>0</v>
      </c>
      <c r="M1912" s="35">
        <f t="shared" si="194"/>
        <v>10.176178457970433</v>
      </c>
      <c r="S1912" t="s">
        <v>98</v>
      </c>
      <c r="T1912" s="5">
        <f>data_origin!T2173</f>
        <v>0</v>
      </c>
      <c r="U1912" s="5">
        <f>data_origin!U2173</f>
        <v>0</v>
      </c>
      <c r="V1912" s="5">
        <f>data_origin!V2173</f>
        <v>0</v>
      </c>
      <c r="W1912" s="5">
        <f>data_origin!W2173</f>
        <v>6</v>
      </c>
      <c r="X1912" s="5">
        <f>data_origin!X2173</f>
        <v>3</v>
      </c>
      <c r="Y1912" s="5">
        <f>data_origin!Y2173</f>
        <v>1</v>
      </c>
      <c r="Z1912" s="5">
        <f>data_origin!Z2173</f>
        <v>0</v>
      </c>
      <c r="AA1912" s="5">
        <f>data_origin!AA2173</f>
        <v>0</v>
      </c>
      <c r="AB1912" s="5">
        <f t="shared" si="195"/>
        <v>10</v>
      </c>
    </row>
    <row r="1913" spans="1:28" x14ac:dyDescent="0.25">
      <c r="D1913" t="s">
        <v>119</v>
      </c>
      <c r="E1913" s="38">
        <f t="shared" si="193"/>
        <v>0</v>
      </c>
      <c r="F1913" s="38">
        <f t="shared" si="193"/>
        <v>0</v>
      </c>
      <c r="G1913" s="38">
        <f t="shared" si="193"/>
        <v>0</v>
      </c>
      <c r="H1913" s="38">
        <f t="shared" si="193"/>
        <v>0</v>
      </c>
      <c r="I1913" s="38">
        <f t="shared" si="193"/>
        <v>0</v>
      </c>
      <c r="J1913" s="38">
        <f t="shared" si="196"/>
        <v>0</v>
      </c>
      <c r="K1913" s="38">
        <f t="shared" si="196"/>
        <v>0</v>
      </c>
      <c r="L1913" s="38">
        <f t="shared" si="196"/>
        <v>0</v>
      </c>
      <c r="M1913" s="35">
        <f t="shared" si="194"/>
        <v>0</v>
      </c>
      <c r="S1913" t="s">
        <v>119</v>
      </c>
      <c r="T1913" s="5">
        <f>data_origin!T2174</f>
        <v>0</v>
      </c>
      <c r="U1913" s="5">
        <f>data_origin!U2174</f>
        <v>0</v>
      </c>
      <c r="V1913" s="5">
        <f>data_origin!V2174</f>
        <v>0</v>
      </c>
      <c r="W1913" s="5">
        <f>data_origin!W2174</f>
        <v>0</v>
      </c>
      <c r="X1913" s="5">
        <f>data_origin!X2174</f>
        <v>0</v>
      </c>
      <c r="Y1913" s="5">
        <f>data_origin!Y2174</f>
        <v>0</v>
      </c>
      <c r="Z1913" s="5">
        <f>data_origin!Z2174</f>
        <v>0</v>
      </c>
      <c r="AA1913" s="5">
        <f>data_origin!AA2174</f>
        <v>0</v>
      </c>
      <c r="AB1913" s="5">
        <f t="shared" si="195"/>
        <v>0</v>
      </c>
    </row>
    <row r="1914" spans="1:28" x14ac:dyDescent="0.25">
      <c r="D1914" t="s">
        <v>99</v>
      </c>
      <c r="E1914" s="38">
        <f t="shared" si="193"/>
        <v>0</v>
      </c>
      <c r="F1914" s="38">
        <f t="shared" si="193"/>
        <v>0</v>
      </c>
      <c r="G1914" s="38">
        <f t="shared" si="193"/>
        <v>0</v>
      </c>
      <c r="H1914" s="38">
        <f t="shared" si="193"/>
        <v>0</v>
      </c>
      <c r="I1914" s="38">
        <f t="shared" si="193"/>
        <v>0</v>
      </c>
      <c r="J1914" s="38">
        <f t="shared" si="196"/>
        <v>0</v>
      </c>
      <c r="K1914" s="38">
        <f t="shared" si="196"/>
        <v>0</v>
      </c>
      <c r="L1914" s="38">
        <f t="shared" si="196"/>
        <v>0</v>
      </c>
      <c r="M1914" s="35">
        <f t="shared" si="194"/>
        <v>0</v>
      </c>
      <c r="S1914" t="s">
        <v>99</v>
      </c>
      <c r="T1914" s="5">
        <f>data_origin!T2175</f>
        <v>0</v>
      </c>
      <c r="U1914" s="5">
        <f>data_origin!U2175</f>
        <v>0</v>
      </c>
      <c r="V1914" s="5">
        <f>data_origin!V2175</f>
        <v>0</v>
      </c>
      <c r="W1914" s="5">
        <f>data_origin!W2175</f>
        <v>0</v>
      </c>
      <c r="X1914" s="5">
        <f>data_origin!X2175</f>
        <v>0</v>
      </c>
      <c r="Y1914" s="5">
        <f>data_origin!Y2175</f>
        <v>0</v>
      </c>
      <c r="Z1914" s="5">
        <f>data_origin!Z2175</f>
        <v>0</v>
      </c>
      <c r="AA1914" s="5">
        <f>data_origin!AA2175</f>
        <v>0</v>
      </c>
      <c r="AB1914" s="5">
        <f t="shared" si="195"/>
        <v>0</v>
      </c>
    </row>
    <row r="1915" spans="1:28" x14ac:dyDescent="0.25">
      <c r="D1915" t="s">
        <v>100</v>
      </c>
      <c r="E1915" s="38">
        <f t="shared" si="193"/>
        <v>0</v>
      </c>
      <c r="F1915" s="38">
        <f t="shared" si="193"/>
        <v>0</v>
      </c>
      <c r="G1915" s="38">
        <f t="shared" si="193"/>
        <v>0</v>
      </c>
      <c r="H1915" s="38">
        <f t="shared" si="193"/>
        <v>0</v>
      </c>
      <c r="I1915" s="38">
        <f t="shared" si="193"/>
        <v>0</v>
      </c>
      <c r="J1915" s="38">
        <f t="shared" si="196"/>
        <v>0</v>
      </c>
      <c r="K1915" s="38">
        <f t="shared" si="196"/>
        <v>0</v>
      </c>
      <c r="L1915" s="38">
        <f t="shared" si="196"/>
        <v>0</v>
      </c>
      <c r="M1915" s="35">
        <f t="shared" si="194"/>
        <v>0</v>
      </c>
      <c r="S1915" t="s">
        <v>100</v>
      </c>
      <c r="T1915" s="5">
        <f>data_origin!T2176</f>
        <v>0</v>
      </c>
      <c r="U1915" s="5">
        <f>data_origin!U2176</f>
        <v>0</v>
      </c>
      <c r="V1915" s="5">
        <f>data_origin!V2176</f>
        <v>0</v>
      </c>
      <c r="W1915" s="5">
        <f>data_origin!W2176</f>
        <v>0</v>
      </c>
      <c r="X1915" s="5">
        <f>data_origin!X2176</f>
        <v>0</v>
      </c>
      <c r="Y1915" s="5">
        <f>data_origin!Y2176</f>
        <v>0</v>
      </c>
      <c r="Z1915" s="5">
        <f>data_origin!Z2176</f>
        <v>0</v>
      </c>
      <c r="AA1915" s="5">
        <f>data_origin!AA2176</f>
        <v>0</v>
      </c>
      <c r="AB1915" s="5">
        <f t="shared" si="195"/>
        <v>0</v>
      </c>
    </row>
    <row r="1916" spans="1:28" x14ac:dyDescent="0.25">
      <c r="D1916" t="s">
        <v>101</v>
      </c>
      <c r="E1916" s="38">
        <f t="shared" si="193"/>
        <v>0</v>
      </c>
      <c r="F1916" s="38">
        <f t="shared" si="193"/>
        <v>0</v>
      </c>
      <c r="G1916" s="38">
        <f t="shared" si="193"/>
        <v>0</v>
      </c>
      <c r="H1916" s="38">
        <f t="shared" si="193"/>
        <v>0</v>
      </c>
      <c r="I1916" s="38">
        <f t="shared" si="193"/>
        <v>0</v>
      </c>
      <c r="J1916" s="38">
        <f t="shared" si="196"/>
        <v>0</v>
      </c>
      <c r="K1916" s="38">
        <f t="shared" si="196"/>
        <v>0</v>
      </c>
      <c r="L1916" s="38">
        <f t="shared" si="196"/>
        <v>0</v>
      </c>
      <c r="M1916" s="35">
        <f t="shared" si="194"/>
        <v>0</v>
      </c>
      <c r="S1916" t="s">
        <v>101</v>
      </c>
      <c r="T1916" s="5">
        <f>data_origin!T2177</f>
        <v>0</v>
      </c>
      <c r="U1916" s="5">
        <f>data_origin!U2177</f>
        <v>0</v>
      </c>
      <c r="V1916" s="5">
        <f>data_origin!V2177</f>
        <v>0</v>
      </c>
      <c r="W1916" s="5">
        <f>data_origin!W2177</f>
        <v>0</v>
      </c>
      <c r="X1916" s="5">
        <f>data_origin!X2177</f>
        <v>0</v>
      </c>
      <c r="Y1916" s="5">
        <f>data_origin!Y2177</f>
        <v>0</v>
      </c>
      <c r="Z1916" s="5">
        <f>data_origin!Z2177</f>
        <v>0</v>
      </c>
      <c r="AA1916" s="5">
        <f>data_origin!AA2177</f>
        <v>0</v>
      </c>
      <c r="AB1916" s="5">
        <f t="shared" si="195"/>
        <v>0</v>
      </c>
    </row>
    <row r="1917" spans="1:28" x14ac:dyDescent="0.25">
      <c r="A1917" s="24" t="s">
        <v>115</v>
      </c>
      <c r="B1917" s="24" t="s">
        <v>117</v>
      </c>
      <c r="C1917" s="24" t="s">
        <v>113</v>
      </c>
      <c r="D1917" t="s">
        <v>70</v>
      </c>
      <c r="E1917" s="38">
        <f t="shared" si="193"/>
        <v>0</v>
      </c>
      <c r="F1917" s="38">
        <f t="shared" si="193"/>
        <v>0</v>
      </c>
      <c r="G1917" s="38">
        <f t="shared" si="193"/>
        <v>9.1752936102045088E-2</v>
      </c>
      <c r="H1917" s="38">
        <f t="shared" si="193"/>
        <v>0</v>
      </c>
      <c r="I1917" s="38">
        <f t="shared" si="193"/>
        <v>0</v>
      </c>
      <c r="J1917" s="38">
        <f t="shared" si="196"/>
        <v>3.0868677437304891E-2</v>
      </c>
      <c r="K1917" s="38">
        <f t="shared" si="196"/>
        <v>0</v>
      </c>
      <c r="L1917" s="38">
        <f t="shared" si="196"/>
        <v>0</v>
      </c>
      <c r="M1917" s="35">
        <f t="shared" si="194"/>
        <v>0.12262161353934997</v>
      </c>
      <c r="P1917" t="s">
        <v>115</v>
      </c>
      <c r="Q1917" t="s">
        <v>117</v>
      </c>
      <c r="R1917" t="s">
        <v>113</v>
      </c>
      <c r="S1917" t="s">
        <v>70</v>
      </c>
      <c r="T1917" s="5">
        <f>data_origin!T2179</f>
        <v>0</v>
      </c>
      <c r="U1917" s="5">
        <f>data_origin!U2179</f>
        <v>0</v>
      </c>
      <c r="V1917" s="5">
        <f>data_origin!V2179</f>
        <v>6.0606060606060608E-2</v>
      </c>
      <c r="W1917" s="5">
        <f>data_origin!W2179</f>
        <v>0</v>
      </c>
      <c r="X1917" s="5">
        <f>data_origin!X2179</f>
        <v>0</v>
      </c>
      <c r="Y1917" s="5">
        <f>data_origin!Y2179</f>
        <v>3.0303030303030304E-2</v>
      </c>
      <c r="Z1917" s="5">
        <f>data_origin!Z2179</f>
        <v>0</v>
      </c>
      <c r="AA1917" s="5">
        <f>data_origin!AA2179</f>
        <v>0</v>
      </c>
      <c r="AB1917" s="5">
        <f t="shared" si="195"/>
        <v>9.0909090909090912E-2</v>
      </c>
    </row>
    <row r="1918" spans="1:28" x14ac:dyDescent="0.25">
      <c r="D1918" t="s">
        <v>71</v>
      </c>
      <c r="E1918" s="38">
        <f t="shared" si="193"/>
        <v>0</v>
      </c>
      <c r="F1918" s="38">
        <f t="shared" si="193"/>
        <v>0</v>
      </c>
      <c r="G1918" s="38">
        <f t="shared" si="193"/>
        <v>9.1752936102045088E-2</v>
      </c>
      <c r="H1918" s="38">
        <f t="shared" si="193"/>
        <v>0</v>
      </c>
      <c r="I1918" s="38">
        <f t="shared" si="193"/>
        <v>0</v>
      </c>
      <c r="J1918" s="38">
        <f t="shared" si="196"/>
        <v>3.0868677437304891E-2</v>
      </c>
      <c r="K1918" s="38">
        <f t="shared" si="196"/>
        <v>0</v>
      </c>
      <c r="L1918" s="38">
        <f t="shared" si="196"/>
        <v>0</v>
      </c>
      <c r="M1918" s="35">
        <f t="shared" si="194"/>
        <v>0.12262161353934997</v>
      </c>
      <c r="S1918" t="s">
        <v>71</v>
      </c>
      <c r="T1918" s="5">
        <f>data_origin!T2180</f>
        <v>0</v>
      </c>
      <c r="U1918" s="5">
        <f>data_origin!U2180</f>
        <v>0</v>
      </c>
      <c r="V1918" s="5">
        <f>data_origin!V2180</f>
        <v>6.0606060606060608E-2</v>
      </c>
      <c r="W1918" s="5">
        <f>data_origin!W2180</f>
        <v>0</v>
      </c>
      <c r="X1918" s="5">
        <f>data_origin!X2180</f>
        <v>0</v>
      </c>
      <c r="Y1918" s="5">
        <f>data_origin!Y2180</f>
        <v>3.0303030303030304E-2</v>
      </c>
      <c r="Z1918" s="5">
        <f>data_origin!Z2180</f>
        <v>0</v>
      </c>
      <c r="AA1918" s="5">
        <f>data_origin!AA2180</f>
        <v>0</v>
      </c>
      <c r="AB1918" s="5">
        <f t="shared" si="195"/>
        <v>9.0909090909090912E-2</v>
      </c>
    </row>
    <row r="1919" spans="1:28" x14ac:dyDescent="0.25">
      <c r="D1919" t="s">
        <v>72</v>
      </c>
      <c r="E1919" s="38">
        <f t="shared" ref="E1919:I1969" si="197">T1919+AW533+IFERROR((T1919/SUM(T$993:T$1982)*AW$630),0)+IFERROR((T1919/SUM(T$1125:T$1322,T$1455:T$1652,T$1785:T$1982)*AW$732),0)</f>
        <v>0</v>
      </c>
      <c r="F1919" s="38">
        <f t="shared" si="197"/>
        <v>0</v>
      </c>
      <c r="G1919" s="38">
        <f t="shared" si="197"/>
        <v>9.1752936102045088E-2</v>
      </c>
      <c r="H1919" s="38">
        <f t="shared" si="197"/>
        <v>0</v>
      </c>
      <c r="I1919" s="38">
        <f t="shared" si="197"/>
        <v>0</v>
      </c>
      <c r="J1919" s="38">
        <f t="shared" si="196"/>
        <v>3.0868677437304891E-2</v>
      </c>
      <c r="K1919" s="38">
        <f t="shared" si="196"/>
        <v>0</v>
      </c>
      <c r="L1919" s="38">
        <f t="shared" si="196"/>
        <v>0</v>
      </c>
      <c r="M1919" s="35">
        <f t="shared" si="194"/>
        <v>0.12262161353934997</v>
      </c>
      <c r="S1919" t="s">
        <v>72</v>
      </c>
      <c r="T1919" s="5">
        <f>data_origin!T2181</f>
        <v>0</v>
      </c>
      <c r="U1919" s="5">
        <f>data_origin!U2181</f>
        <v>0</v>
      </c>
      <c r="V1919" s="5">
        <f>data_origin!V2181</f>
        <v>6.0606060606060608E-2</v>
      </c>
      <c r="W1919" s="5">
        <f>data_origin!W2181</f>
        <v>0</v>
      </c>
      <c r="X1919" s="5">
        <f>data_origin!X2181</f>
        <v>0</v>
      </c>
      <c r="Y1919" s="5">
        <f>data_origin!Y2181</f>
        <v>3.0303030303030304E-2</v>
      </c>
      <c r="Z1919" s="5">
        <f>data_origin!Z2181</f>
        <v>0</v>
      </c>
      <c r="AA1919" s="5">
        <f>data_origin!AA2181</f>
        <v>0</v>
      </c>
      <c r="AB1919" s="5">
        <f t="shared" si="195"/>
        <v>9.0909090909090912E-2</v>
      </c>
    </row>
    <row r="1920" spans="1:28" x14ac:dyDescent="0.25">
      <c r="D1920" t="s">
        <v>73</v>
      </c>
      <c r="E1920" s="38">
        <f t="shared" si="197"/>
        <v>0</v>
      </c>
      <c r="F1920" s="38">
        <f t="shared" si="197"/>
        <v>0</v>
      </c>
      <c r="G1920" s="38">
        <f t="shared" si="197"/>
        <v>9.1752936102045088E-2</v>
      </c>
      <c r="H1920" s="38">
        <f t="shared" si="197"/>
        <v>0</v>
      </c>
      <c r="I1920" s="38">
        <f t="shared" si="197"/>
        <v>0</v>
      </c>
      <c r="J1920" s="38">
        <f t="shared" si="196"/>
        <v>3.0868677437304891E-2</v>
      </c>
      <c r="K1920" s="38">
        <f t="shared" si="196"/>
        <v>0</v>
      </c>
      <c r="L1920" s="38">
        <f t="shared" si="196"/>
        <v>0</v>
      </c>
      <c r="M1920" s="35">
        <f t="shared" si="194"/>
        <v>0.12262161353934997</v>
      </c>
      <c r="S1920" t="s">
        <v>73</v>
      </c>
      <c r="T1920" s="5">
        <f>data_origin!T2182</f>
        <v>0</v>
      </c>
      <c r="U1920" s="5">
        <f>data_origin!U2182</f>
        <v>0</v>
      </c>
      <c r="V1920" s="5">
        <f>data_origin!V2182</f>
        <v>6.0606060606060608E-2</v>
      </c>
      <c r="W1920" s="5">
        <f>data_origin!W2182</f>
        <v>0</v>
      </c>
      <c r="X1920" s="5">
        <f>data_origin!X2182</f>
        <v>0</v>
      </c>
      <c r="Y1920" s="5">
        <f>data_origin!Y2182</f>
        <v>3.0303030303030304E-2</v>
      </c>
      <c r="Z1920" s="5">
        <f>data_origin!Z2182</f>
        <v>0</v>
      </c>
      <c r="AA1920" s="5">
        <f>data_origin!AA2182</f>
        <v>0</v>
      </c>
      <c r="AB1920" s="5">
        <f t="shared" si="195"/>
        <v>9.0909090909090912E-2</v>
      </c>
    </row>
    <row r="1921" spans="4:28" x14ac:dyDescent="0.25">
      <c r="D1921" t="s">
        <v>74</v>
      </c>
      <c r="E1921" s="38">
        <f t="shared" si="197"/>
        <v>0</v>
      </c>
      <c r="F1921" s="38">
        <f t="shared" si="197"/>
        <v>0</v>
      </c>
      <c r="G1921" s="38">
        <f t="shared" si="197"/>
        <v>9.1752936102045088E-2</v>
      </c>
      <c r="H1921" s="38">
        <f t="shared" si="197"/>
        <v>0</v>
      </c>
      <c r="I1921" s="38">
        <f t="shared" si="197"/>
        <v>0</v>
      </c>
      <c r="J1921" s="38">
        <f t="shared" si="196"/>
        <v>3.0868677437304891E-2</v>
      </c>
      <c r="K1921" s="38">
        <f t="shared" si="196"/>
        <v>0</v>
      </c>
      <c r="L1921" s="38">
        <f t="shared" si="196"/>
        <v>0</v>
      </c>
      <c r="M1921" s="35">
        <f t="shared" si="194"/>
        <v>0.12262161353934997</v>
      </c>
      <c r="S1921" t="s">
        <v>74</v>
      </c>
      <c r="T1921" s="5">
        <f>data_origin!T2183</f>
        <v>0</v>
      </c>
      <c r="U1921" s="5">
        <f>data_origin!U2183</f>
        <v>0</v>
      </c>
      <c r="V1921" s="5">
        <f>data_origin!V2183</f>
        <v>6.0606060606060608E-2</v>
      </c>
      <c r="W1921" s="5">
        <f>data_origin!W2183</f>
        <v>0</v>
      </c>
      <c r="X1921" s="5">
        <f>data_origin!X2183</f>
        <v>0</v>
      </c>
      <c r="Y1921" s="5">
        <f>data_origin!Y2183</f>
        <v>3.0303030303030304E-2</v>
      </c>
      <c r="Z1921" s="5">
        <f>data_origin!Z2183</f>
        <v>0</v>
      </c>
      <c r="AA1921" s="5">
        <f>data_origin!AA2183</f>
        <v>0</v>
      </c>
      <c r="AB1921" s="5">
        <f t="shared" si="195"/>
        <v>9.0909090909090912E-2</v>
      </c>
    </row>
    <row r="1922" spans="4:28" x14ac:dyDescent="0.25">
      <c r="D1922" t="s">
        <v>75</v>
      </c>
      <c r="E1922" s="38">
        <f t="shared" si="197"/>
        <v>0</v>
      </c>
      <c r="F1922" s="38">
        <f t="shared" si="197"/>
        <v>0</v>
      </c>
      <c r="G1922" s="38">
        <f t="shared" si="197"/>
        <v>9.1752936102045088E-2</v>
      </c>
      <c r="H1922" s="38">
        <f t="shared" si="197"/>
        <v>0</v>
      </c>
      <c r="I1922" s="38">
        <f t="shared" si="197"/>
        <v>0</v>
      </c>
      <c r="J1922" s="38">
        <f t="shared" si="196"/>
        <v>3.0868677437304891E-2</v>
      </c>
      <c r="K1922" s="38">
        <f t="shared" si="196"/>
        <v>0</v>
      </c>
      <c r="L1922" s="38">
        <f t="shared" si="196"/>
        <v>0</v>
      </c>
      <c r="M1922" s="35">
        <f t="shared" si="194"/>
        <v>0.12262161353934997</v>
      </c>
      <c r="S1922" t="s">
        <v>75</v>
      </c>
      <c r="T1922" s="5">
        <f>data_origin!T2184</f>
        <v>0</v>
      </c>
      <c r="U1922" s="5">
        <f>data_origin!U2184</f>
        <v>0</v>
      </c>
      <c r="V1922" s="5">
        <f>data_origin!V2184</f>
        <v>6.0606060606060608E-2</v>
      </c>
      <c r="W1922" s="5">
        <f>data_origin!W2184</f>
        <v>0</v>
      </c>
      <c r="X1922" s="5">
        <f>data_origin!X2184</f>
        <v>0</v>
      </c>
      <c r="Y1922" s="5">
        <f>data_origin!Y2184</f>
        <v>3.0303030303030304E-2</v>
      </c>
      <c r="Z1922" s="5">
        <f>data_origin!Z2184</f>
        <v>0</v>
      </c>
      <c r="AA1922" s="5">
        <f>data_origin!AA2184</f>
        <v>0</v>
      </c>
      <c r="AB1922" s="5">
        <f t="shared" si="195"/>
        <v>9.0909090909090912E-2</v>
      </c>
    </row>
    <row r="1923" spans="4:28" x14ac:dyDescent="0.25">
      <c r="D1923" t="s">
        <v>76</v>
      </c>
      <c r="E1923" s="38">
        <f t="shared" si="197"/>
        <v>0</v>
      </c>
      <c r="F1923" s="38">
        <f t="shared" si="197"/>
        <v>0</v>
      </c>
      <c r="G1923" s="38">
        <f t="shared" si="197"/>
        <v>9.1752936102045088E-2</v>
      </c>
      <c r="H1923" s="38">
        <f t="shared" si="197"/>
        <v>0</v>
      </c>
      <c r="I1923" s="38">
        <f t="shared" si="197"/>
        <v>0</v>
      </c>
      <c r="J1923" s="38">
        <f t="shared" si="196"/>
        <v>3.0868677437304891E-2</v>
      </c>
      <c r="K1923" s="38">
        <f t="shared" si="196"/>
        <v>0</v>
      </c>
      <c r="L1923" s="38">
        <f t="shared" si="196"/>
        <v>0</v>
      </c>
      <c r="M1923" s="35">
        <f t="shared" ref="M1923:M1982" si="198">SUM(E1923:L1923)</f>
        <v>0.12262161353934997</v>
      </c>
      <c r="S1923" t="s">
        <v>76</v>
      </c>
      <c r="T1923" s="5">
        <f>data_origin!T2185</f>
        <v>0</v>
      </c>
      <c r="U1923" s="5">
        <f>data_origin!U2185</f>
        <v>0</v>
      </c>
      <c r="V1923" s="5">
        <f>data_origin!V2185</f>
        <v>6.0606060606060608E-2</v>
      </c>
      <c r="W1923" s="5">
        <f>data_origin!W2185</f>
        <v>0</v>
      </c>
      <c r="X1923" s="5">
        <f>data_origin!X2185</f>
        <v>0</v>
      </c>
      <c r="Y1923" s="5">
        <f>data_origin!Y2185</f>
        <v>3.0303030303030304E-2</v>
      </c>
      <c r="Z1923" s="5">
        <f>data_origin!Z2185</f>
        <v>0</v>
      </c>
      <c r="AA1923" s="5">
        <f>data_origin!AA2185</f>
        <v>0</v>
      </c>
      <c r="AB1923" s="5">
        <f t="shared" si="195"/>
        <v>9.0909090909090912E-2</v>
      </c>
    </row>
    <row r="1924" spans="4:28" x14ac:dyDescent="0.25">
      <c r="D1924" t="s">
        <v>77</v>
      </c>
      <c r="E1924" s="38">
        <f t="shared" si="197"/>
        <v>0</v>
      </c>
      <c r="F1924" s="38">
        <f t="shared" si="197"/>
        <v>0</v>
      </c>
      <c r="G1924" s="38">
        <f t="shared" si="197"/>
        <v>9.1752936102045088E-2</v>
      </c>
      <c r="H1924" s="38">
        <f t="shared" si="197"/>
        <v>0</v>
      </c>
      <c r="I1924" s="38">
        <f t="shared" si="197"/>
        <v>0</v>
      </c>
      <c r="J1924" s="38">
        <f t="shared" si="196"/>
        <v>3.0868677437304891E-2</v>
      </c>
      <c r="K1924" s="38">
        <f t="shared" si="196"/>
        <v>0</v>
      </c>
      <c r="L1924" s="38">
        <f t="shared" si="196"/>
        <v>0</v>
      </c>
      <c r="M1924" s="35">
        <f t="shared" si="198"/>
        <v>0.12262161353934997</v>
      </c>
      <c r="S1924" t="s">
        <v>77</v>
      </c>
      <c r="T1924" s="5">
        <f>data_origin!T2186</f>
        <v>0</v>
      </c>
      <c r="U1924" s="5">
        <f>data_origin!U2186</f>
        <v>0</v>
      </c>
      <c r="V1924" s="5">
        <f>data_origin!V2186</f>
        <v>6.0606060606060608E-2</v>
      </c>
      <c r="W1924" s="5">
        <f>data_origin!W2186</f>
        <v>0</v>
      </c>
      <c r="X1924" s="5">
        <f>data_origin!X2186</f>
        <v>0</v>
      </c>
      <c r="Y1924" s="5">
        <f>data_origin!Y2186</f>
        <v>3.0303030303030304E-2</v>
      </c>
      <c r="Z1924" s="5">
        <f>data_origin!Z2186</f>
        <v>0</v>
      </c>
      <c r="AA1924" s="5">
        <f>data_origin!AA2186</f>
        <v>0</v>
      </c>
      <c r="AB1924" s="5">
        <f t="shared" si="195"/>
        <v>9.0909090909090912E-2</v>
      </c>
    </row>
    <row r="1925" spans="4:28" x14ac:dyDescent="0.25">
      <c r="D1925" t="s">
        <v>78</v>
      </c>
      <c r="E1925" s="38">
        <f t="shared" si="197"/>
        <v>0</v>
      </c>
      <c r="F1925" s="38">
        <f t="shared" si="197"/>
        <v>0</v>
      </c>
      <c r="G1925" s="38">
        <f t="shared" si="197"/>
        <v>9.1752936102045088E-2</v>
      </c>
      <c r="H1925" s="38">
        <f t="shared" si="197"/>
        <v>0</v>
      </c>
      <c r="I1925" s="38">
        <f t="shared" si="197"/>
        <v>0</v>
      </c>
      <c r="J1925" s="38">
        <f t="shared" si="196"/>
        <v>3.0868677437304891E-2</v>
      </c>
      <c r="K1925" s="38">
        <f t="shared" si="196"/>
        <v>0</v>
      </c>
      <c r="L1925" s="38">
        <f t="shared" si="196"/>
        <v>0</v>
      </c>
      <c r="M1925" s="35">
        <f t="shared" si="198"/>
        <v>0.12262161353934997</v>
      </c>
      <c r="S1925" t="s">
        <v>78</v>
      </c>
      <c r="T1925" s="5">
        <f>data_origin!T2187</f>
        <v>0</v>
      </c>
      <c r="U1925" s="5">
        <f>data_origin!U2187</f>
        <v>0</v>
      </c>
      <c r="V1925" s="5">
        <f>data_origin!V2187</f>
        <v>6.0606060606060608E-2</v>
      </c>
      <c r="W1925" s="5">
        <f>data_origin!W2187</f>
        <v>0</v>
      </c>
      <c r="X1925" s="5">
        <f>data_origin!X2187</f>
        <v>0</v>
      </c>
      <c r="Y1925" s="5">
        <f>data_origin!Y2187</f>
        <v>3.0303030303030304E-2</v>
      </c>
      <c r="Z1925" s="5">
        <f>data_origin!Z2187</f>
        <v>0</v>
      </c>
      <c r="AA1925" s="5">
        <f>data_origin!AA2187</f>
        <v>0</v>
      </c>
      <c r="AB1925" s="5">
        <f t="shared" si="195"/>
        <v>9.0909090909090912E-2</v>
      </c>
    </row>
    <row r="1926" spans="4:28" x14ac:dyDescent="0.25">
      <c r="D1926" t="s">
        <v>79</v>
      </c>
      <c r="E1926" s="38">
        <f t="shared" si="197"/>
        <v>0</v>
      </c>
      <c r="F1926" s="38">
        <f t="shared" si="197"/>
        <v>0</v>
      </c>
      <c r="G1926" s="38">
        <f t="shared" si="197"/>
        <v>9.1752936102045088E-2</v>
      </c>
      <c r="H1926" s="38">
        <f t="shared" si="197"/>
        <v>0</v>
      </c>
      <c r="I1926" s="38">
        <f t="shared" si="197"/>
        <v>0</v>
      </c>
      <c r="J1926" s="38">
        <f t="shared" si="196"/>
        <v>3.0868677437304891E-2</v>
      </c>
      <c r="K1926" s="38">
        <f t="shared" si="196"/>
        <v>0</v>
      </c>
      <c r="L1926" s="38">
        <f t="shared" si="196"/>
        <v>0</v>
      </c>
      <c r="M1926" s="35">
        <f t="shared" si="198"/>
        <v>0.12262161353934997</v>
      </c>
      <c r="S1926" t="s">
        <v>79</v>
      </c>
      <c r="T1926" s="5">
        <f>data_origin!T2188</f>
        <v>0</v>
      </c>
      <c r="U1926" s="5">
        <f>data_origin!U2188</f>
        <v>0</v>
      </c>
      <c r="V1926" s="5">
        <f>data_origin!V2188</f>
        <v>6.0606060606060608E-2</v>
      </c>
      <c r="W1926" s="5">
        <f>data_origin!W2188</f>
        <v>0</v>
      </c>
      <c r="X1926" s="5">
        <f>data_origin!X2188</f>
        <v>0</v>
      </c>
      <c r="Y1926" s="5">
        <f>data_origin!Y2188</f>
        <v>3.0303030303030304E-2</v>
      </c>
      <c r="Z1926" s="5">
        <f>data_origin!Z2188</f>
        <v>0</v>
      </c>
      <c r="AA1926" s="5">
        <f>data_origin!AA2188</f>
        <v>0</v>
      </c>
      <c r="AB1926" s="5">
        <f t="shared" si="195"/>
        <v>9.0909090909090912E-2</v>
      </c>
    </row>
    <row r="1927" spans="4:28" x14ac:dyDescent="0.25">
      <c r="D1927" t="s">
        <v>80</v>
      </c>
      <c r="E1927" s="38">
        <f t="shared" si="197"/>
        <v>0</v>
      </c>
      <c r="F1927" s="38">
        <f t="shared" si="197"/>
        <v>0</v>
      </c>
      <c r="G1927" s="38">
        <f t="shared" si="197"/>
        <v>9.1752936102045088E-2</v>
      </c>
      <c r="H1927" s="38">
        <f t="shared" si="197"/>
        <v>0</v>
      </c>
      <c r="I1927" s="38">
        <f t="shared" si="197"/>
        <v>0</v>
      </c>
      <c r="J1927" s="38">
        <f t="shared" si="196"/>
        <v>3.0868677437304891E-2</v>
      </c>
      <c r="K1927" s="38">
        <f t="shared" si="196"/>
        <v>0</v>
      </c>
      <c r="L1927" s="38">
        <f t="shared" si="196"/>
        <v>0</v>
      </c>
      <c r="M1927" s="35">
        <f t="shared" si="198"/>
        <v>0.12262161353934997</v>
      </c>
      <c r="S1927" t="s">
        <v>80</v>
      </c>
      <c r="T1927" s="5">
        <f>data_origin!T2189</f>
        <v>0</v>
      </c>
      <c r="U1927" s="5">
        <f>data_origin!U2189</f>
        <v>0</v>
      </c>
      <c r="V1927" s="5">
        <f>data_origin!V2189</f>
        <v>6.0606060606060608E-2</v>
      </c>
      <c r="W1927" s="5">
        <f>data_origin!W2189</f>
        <v>0</v>
      </c>
      <c r="X1927" s="5">
        <f>data_origin!X2189</f>
        <v>0</v>
      </c>
      <c r="Y1927" s="5">
        <f>data_origin!Y2189</f>
        <v>3.0303030303030304E-2</v>
      </c>
      <c r="Z1927" s="5">
        <f>data_origin!Z2189</f>
        <v>0</v>
      </c>
      <c r="AA1927" s="5">
        <f>data_origin!AA2189</f>
        <v>0</v>
      </c>
      <c r="AB1927" s="5">
        <f t="shared" si="195"/>
        <v>9.0909090909090912E-2</v>
      </c>
    </row>
    <row r="1928" spans="4:28" x14ac:dyDescent="0.25">
      <c r="D1928" t="s">
        <v>81</v>
      </c>
      <c r="E1928" s="38">
        <f t="shared" si="197"/>
        <v>0</v>
      </c>
      <c r="F1928" s="38">
        <f t="shared" si="197"/>
        <v>0</v>
      </c>
      <c r="G1928" s="38">
        <f t="shared" si="197"/>
        <v>9.1752936102045088E-2</v>
      </c>
      <c r="H1928" s="38">
        <f t="shared" si="197"/>
        <v>0</v>
      </c>
      <c r="I1928" s="38">
        <f t="shared" si="197"/>
        <v>0</v>
      </c>
      <c r="J1928" s="38">
        <f t="shared" si="196"/>
        <v>3.0868677437304891E-2</v>
      </c>
      <c r="K1928" s="38">
        <f t="shared" si="196"/>
        <v>0</v>
      </c>
      <c r="L1928" s="38">
        <f t="shared" si="196"/>
        <v>0</v>
      </c>
      <c r="M1928" s="35">
        <f t="shared" si="198"/>
        <v>0.12262161353934997</v>
      </c>
      <c r="S1928" t="s">
        <v>81</v>
      </c>
      <c r="T1928" s="5">
        <f>data_origin!T2190</f>
        <v>0</v>
      </c>
      <c r="U1928" s="5">
        <f>data_origin!U2190</f>
        <v>0</v>
      </c>
      <c r="V1928" s="5">
        <f>data_origin!V2190</f>
        <v>6.0606060606060608E-2</v>
      </c>
      <c r="W1928" s="5">
        <f>data_origin!W2190</f>
        <v>0</v>
      </c>
      <c r="X1928" s="5">
        <f>data_origin!X2190</f>
        <v>0</v>
      </c>
      <c r="Y1928" s="5">
        <f>data_origin!Y2190</f>
        <v>3.0303030303030304E-2</v>
      </c>
      <c r="Z1928" s="5">
        <f>data_origin!Z2190</f>
        <v>0</v>
      </c>
      <c r="AA1928" s="5">
        <f>data_origin!AA2190</f>
        <v>0</v>
      </c>
      <c r="AB1928" s="5">
        <f t="shared" si="195"/>
        <v>9.0909090909090912E-2</v>
      </c>
    </row>
    <row r="1929" spans="4:28" x14ac:dyDescent="0.25">
      <c r="D1929" t="s">
        <v>82</v>
      </c>
      <c r="E1929" s="38">
        <f t="shared" si="197"/>
        <v>0</v>
      </c>
      <c r="F1929" s="38">
        <f t="shared" si="197"/>
        <v>0</v>
      </c>
      <c r="G1929" s="38">
        <f t="shared" si="197"/>
        <v>9.1752936102045088E-2</v>
      </c>
      <c r="H1929" s="38">
        <f t="shared" si="197"/>
        <v>0</v>
      </c>
      <c r="I1929" s="38">
        <f t="shared" si="197"/>
        <v>0</v>
      </c>
      <c r="J1929" s="38">
        <f t="shared" si="196"/>
        <v>3.0868677437304891E-2</v>
      </c>
      <c r="K1929" s="38">
        <f t="shared" si="196"/>
        <v>0</v>
      </c>
      <c r="L1929" s="38">
        <f t="shared" si="196"/>
        <v>0</v>
      </c>
      <c r="M1929" s="35">
        <f t="shared" si="198"/>
        <v>0.12262161353934997</v>
      </c>
      <c r="S1929" t="s">
        <v>82</v>
      </c>
      <c r="T1929" s="5">
        <f>data_origin!T2191</f>
        <v>0</v>
      </c>
      <c r="U1929" s="5">
        <f>data_origin!U2191</f>
        <v>0</v>
      </c>
      <c r="V1929" s="5">
        <f>data_origin!V2191</f>
        <v>6.0606060606060608E-2</v>
      </c>
      <c r="W1929" s="5">
        <f>data_origin!W2191</f>
        <v>0</v>
      </c>
      <c r="X1929" s="5">
        <f>data_origin!X2191</f>
        <v>0</v>
      </c>
      <c r="Y1929" s="5">
        <f>data_origin!Y2191</f>
        <v>3.0303030303030304E-2</v>
      </c>
      <c r="Z1929" s="5">
        <f>data_origin!Z2191</f>
        <v>0</v>
      </c>
      <c r="AA1929" s="5">
        <f>data_origin!AA2191</f>
        <v>0</v>
      </c>
      <c r="AB1929" s="5">
        <f t="shared" si="195"/>
        <v>9.0909090909090912E-2</v>
      </c>
    </row>
    <row r="1930" spans="4:28" x14ac:dyDescent="0.25">
      <c r="D1930" t="s">
        <v>83</v>
      </c>
      <c r="E1930" s="38">
        <f t="shared" si="197"/>
        <v>0</v>
      </c>
      <c r="F1930" s="38">
        <f t="shared" si="197"/>
        <v>0</v>
      </c>
      <c r="G1930" s="38">
        <f t="shared" si="197"/>
        <v>9.1752936102045088E-2</v>
      </c>
      <c r="H1930" s="38">
        <f t="shared" si="197"/>
        <v>0</v>
      </c>
      <c r="I1930" s="38">
        <f t="shared" si="197"/>
        <v>0</v>
      </c>
      <c r="J1930" s="38">
        <f t="shared" si="196"/>
        <v>3.0868677437304891E-2</v>
      </c>
      <c r="K1930" s="38">
        <f t="shared" si="196"/>
        <v>0</v>
      </c>
      <c r="L1930" s="38">
        <f t="shared" si="196"/>
        <v>0</v>
      </c>
      <c r="M1930" s="35">
        <f t="shared" si="198"/>
        <v>0.12262161353934997</v>
      </c>
      <c r="S1930" t="s">
        <v>83</v>
      </c>
      <c r="T1930" s="5">
        <f>data_origin!T2192</f>
        <v>0</v>
      </c>
      <c r="U1930" s="5">
        <f>data_origin!U2192</f>
        <v>0</v>
      </c>
      <c r="V1930" s="5">
        <f>data_origin!V2192</f>
        <v>6.0606060606060608E-2</v>
      </c>
      <c r="W1930" s="5">
        <f>data_origin!W2192</f>
        <v>0</v>
      </c>
      <c r="X1930" s="5">
        <f>data_origin!X2192</f>
        <v>0</v>
      </c>
      <c r="Y1930" s="5">
        <f>data_origin!Y2192</f>
        <v>3.0303030303030304E-2</v>
      </c>
      <c r="Z1930" s="5">
        <f>data_origin!Z2192</f>
        <v>0</v>
      </c>
      <c r="AA1930" s="5">
        <f>data_origin!AA2192</f>
        <v>0</v>
      </c>
      <c r="AB1930" s="5">
        <f t="shared" si="195"/>
        <v>9.0909090909090912E-2</v>
      </c>
    </row>
    <row r="1931" spans="4:28" x14ac:dyDescent="0.25">
      <c r="D1931" t="s">
        <v>84</v>
      </c>
      <c r="E1931" s="38">
        <f t="shared" si="197"/>
        <v>0</v>
      </c>
      <c r="F1931" s="38">
        <f t="shared" si="197"/>
        <v>0</v>
      </c>
      <c r="G1931" s="38">
        <f t="shared" si="197"/>
        <v>9.1752936102045088E-2</v>
      </c>
      <c r="H1931" s="38">
        <f t="shared" si="197"/>
        <v>0</v>
      </c>
      <c r="I1931" s="38">
        <f t="shared" si="197"/>
        <v>0</v>
      </c>
      <c r="J1931" s="38">
        <f t="shared" si="196"/>
        <v>3.0868677437304891E-2</v>
      </c>
      <c r="K1931" s="38">
        <f t="shared" si="196"/>
        <v>0</v>
      </c>
      <c r="L1931" s="38">
        <f t="shared" si="196"/>
        <v>0</v>
      </c>
      <c r="M1931" s="35">
        <f t="shared" si="198"/>
        <v>0.12262161353934997</v>
      </c>
      <c r="S1931" t="s">
        <v>84</v>
      </c>
      <c r="T1931" s="5">
        <f>data_origin!T2193</f>
        <v>0</v>
      </c>
      <c r="U1931" s="5">
        <f>data_origin!U2193</f>
        <v>0</v>
      </c>
      <c r="V1931" s="5">
        <f>data_origin!V2193</f>
        <v>6.0606060606060608E-2</v>
      </c>
      <c r="W1931" s="5">
        <f>data_origin!W2193</f>
        <v>0</v>
      </c>
      <c r="X1931" s="5">
        <f>data_origin!X2193</f>
        <v>0</v>
      </c>
      <c r="Y1931" s="5">
        <f>data_origin!Y2193</f>
        <v>3.0303030303030304E-2</v>
      </c>
      <c r="Z1931" s="5">
        <f>data_origin!Z2193</f>
        <v>0</v>
      </c>
      <c r="AA1931" s="5">
        <f>data_origin!AA2193</f>
        <v>0</v>
      </c>
      <c r="AB1931" s="5">
        <f t="shared" si="195"/>
        <v>9.0909090909090912E-2</v>
      </c>
    </row>
    <row r="1932" spans="4:28" x14ac:dyDescent="0.25">
      <c r="D1932" t="s">
        <v>85</v>
      </c>
      <c r="E1932" s="38">
        <f t="shared" si="197"/>
        <v>0</v>
      </c>
      <c r="F1932" s="38">
        <f t="shared" si="197"/>
        <v>0</v>
      </c>
      <c r="G1932" s="38">
        <f t="shared" si="197"/>
        <v>9.1752936102045088E-2</v>
      </c>
      <c r="H1932" s="38">
        <f t="shared" si="197"/>
        <v>0</v>
      </c>
      <c r="I1932" s="38">
        <f t="shared" si="197"/>
        <v>0</v>
      </c>
      <c r="J1932" s="38">
        <f t="shared" si="196"/>
        <v>3.0868677437304891E-2</v>
      </c>
      <c r="K1932" s="38">
        <f t="shared" si="196"/>
        <v>0</v>
      </c>
      <c r="L1932" s="38">
        <f t="shared" si="196"/>
        <v>0</v>
      </c>
      <c r="M1932" s="35">
        <f t="shared" si="198"/>
        <v>0.12262161353934997</v>
      </c>
      <c r="S1932" t="s">
        <v>85</v>
      </c>
      <c r="T1932" s="5">
        <f>data_origin!T2194</f>
        <v>0</v>
      </c>
      <c r="U1932" s="5">
        <f>data_origin!U2194</f>
        <v>0</v>
      </c>
      <c r="V1932" s="5">
        <f>data_origin!V2194</f>
        <v>6.0606060606060608E-2</v>
      </c>
      <c r="W1932" s="5">
        <f>data_origin!W2194</f>
        <v>0</v>
      </c>
      <c r="X1932" s="5">
        <f>data_origin!X2194</f>
        <v>0</v>
      </c>
      <c r="Y1932" s="5">
        <f>data_origin!Y2194</f>
        <v>3.0303030303030304E-2</v>
      </c>
      <c r="Z1932" s="5">
        <f>data_origin!Z2194</f>
        <v>0</v>
      </c>
      <c r="AA1932" s="5">
        <f>data_origin!AA2194</f>
        <v>0</v>
      </c>
      <c r="AB1932" s="5">
        <f t="shared" si="195"/>
        <v>9.0909090909090912E-2</v>
      </c>
    </row>
    <row r="1933" spans="4:28" x14ac:dyDescent="0.25">
      <c r="D1933" t="s">
        <v>86</v>
      </c>
      <c r="E1933" s="38">
        <f t="shared" si="197"/>
        <v>0</v>
      </c>
      <c r="F1933" s="38">
        <f t="shared" si="197"/>
        <v>0</v>
      </c>
      <c r="G1933" s="38">
        <f t="shared" si="197"/>
        <v>9.1752936102045088E-2</v>
      </c>
      <c r="H1933" s="38">
        <f t="shared" si="197"/>
        <v>0</v>
      </c>
      <c r="I1933" s="38">
        <f t="shared" si="197"/>
        <v>0</v>
      </c>
      <c r="J1933" s="38">
        <f t="shared" si="196"/>
        <v>3.0868677437304891E-2</v>
      </c>
      <c r="K1933" s="38">
        <f t="shared" si="196"/>
        <v>0</v>
      </c>
      <c r="L1933" s="38">
        <f t="shared" si="196"/>
        <v>0</v>
      </c>
      <c r="M1933" s="35">
        <f t="shared" si="198"/>
        <v>0.12262161353934997</v>
      </c>
      <c r="S1933" t="s">
        <v>86</v>
      </c>
      <c r="T1933" s="5">
        <f>data_origin!T2195</f>
        <v>0</v>
      </c>
      <c r="U1933" s="5">
        <f>data_origin!U2195</f>
        <v>0</v>
      </c>
      <c r="V1933" s="5">
        <f>data_origin!V2195</f>
        <v>6.0606060606060608E-2</v>
      </c>
      <c r="W1933" s="5">
        <f>data_origin!W2195</f>
        <v>0</v>
      </c>
      <c r="X1933" s="5">
        <f>data_origin!X2195</f>
        <v>0</v>
      </c>
      <c r="Y1933" s="5">
        <f>data_origin!Y2195</f>
        <v>3.0303030303030304E-2</v>
      </c>
      <c r="Z1933" s="5">
        <f>data_origin!Z2195</f>
        <v>0</v>
      </c>
      <c r="AA1933" s="5">
        <f>data_origin!AA2195</f>
        <v>0</v>
      </c>
      <c r="AB1933" s="5">
        <f t="shared" si="195"/>
        <v>9.0909090909090912E-2</v>
      </c>
    </row>
    <row r="1934" spans="4:28" x14ac:dyDescent="0.25">
      <c r="D1934" t="s">
        <v>87</v>
      </c>
      <c r="E1934" s="38">
        <f t="shared" si="197"/>
        <v>0</v>
      </c>
      <c r="F1934" s="38">
        <f t="shared" si="197"/>
        <v>0</v>
      </c>
      <c r="G1934" s="38">
        <f t="shared" si="197"/>
        <v>9.1752936102045088E-2</v>
      </c>
      <c r="H1934" s="38">
        <f t="shared" si="197"/>
        <v>0</v>
      </c>
      <c r="I1934" s="38">
        <f t="shared" si="197"/>
        <v>0</v>
      </c>
      <c r="J1934" s="38">
        <f t="shared" si="196"/>
        <v>3.0868677437304891E-2</v>
      </c>
      <c r="K1934" s="38">
        <f t="shared" si="196"/>
        <v>0</v>
      </c>
      <c r="L1934" s="38">
        <f t="shared" si="196"/>
        <v>0</v>
      </c>
      <c r="M1934" s="35">
        <f t="shared" si="198"/>
        <v>0.12262161353934997</v>
      </c>
      <c r="S1934" t="s">
        <v>87</v>
      </c>
      <c r="T1934" s="5">
        <f>data_origin!T2196</f>
        <v>0</v>
      </c>
      <c r="U1934" s="5">
        <f>data_origin!U2196</f>
        <v>0</v>
      </c>
      <c r="V1934" s="5">
        <f>data_origin!V2196</f>
        <v>6.0606060606060608E-2</v>
      </c>
      <c r="W1934" s="5">
        <f>data_origin!W2196</f>
        <v>0</v>
      </c>
      <c r="X1934" s="5">
        <f>data_origin!X2196</f>
        <v>0</v>
      </c>
      <c r="Y1934" s="5">
        <f>data_origin!Y2196</f>
        <v>3.0303030303030304E-2</v>
      </c>
      <c r="Z1934" s="5">
        <f>data_origin!Z2196</f>
        <v>0</v>
      </c>
      <c r="AA1934" s="5">
        <f>data_origin!AA2196</f>
        <v>0</v>
      </c>
      <c r="AB1934" s="5">
        <f t="shared" si="195"/>
        <v>9.0909090909090912E-2</v>
      </c>
    </row>
    <row r="1935" spans="4:28" x14ac:dyDescent="0.25">
      <c r="D1935" t="s">
        <v>88</v>
      </c>
      <c r="E1935" s="38">
        <f t="shared" si="197"/>
        <v>0</v>
      </c>
      <c r="F1935" s="38">
        <f t="shared" si="197"/>
        <v>0</v>
      </c>
      <c r="G1935" s="38">
        <f t="shared" si="197"/>
        <v>9.1752936102045088E-2</v>
      </c>
      <c r="H1935" s="38">
        <f t="shared" si="197"/>
        <v>0</v>
      </c>
      <c r="I1935" s="38">
        <f t="shared" si="197"/>
        <v>0</v>
      </c>
      <c r="J1935" s="38">
        <f t="shared" si="196"/>
        <v>3.0868677437304891E-2</v>
      </c>
      <c r="K1935" s="38">
        <f t="shared" si="196"/>
        <v>0</v>
      </c>
      <c r="L1935" s="38">
        <f t="shared" si="196"/>
        <v>0</v>
      </c>
      <c r="M1935" s="35">
        <f t="shared" si="198"/>
        <v>0.12262161353934997</v>
      </c>
      <c r="S1935" t="s">
        <v>88</v>
      </c>
      <c r="T1935" s="5">
        <f>data_origin!T2197</f>
        <v>0</v>
      </c>
      <c r="U1935" s="5">
        <f>data_origin!U2197</f>
        <v>0</v>
      </c>
      <c r="V1935" s="5">
        <f>data_origin!V2197</f>
        <v>6.0606060606060608E-2</v>
      </c>
      <c r="W1935" s="5">
        <f>data_origin!W2197</f>
        <v>0</v>
      </c>
      <c r="X1935" s="5">
        <f>data_origin!X2197</f>
        <v>0</v>
      </c>
      <c r="Y1935" s="5">
        <f>data_origin!Y2197</f>
        <v>3.0303030303030304E-2</v>
      </c>
      <c r="Z1935" s="5">
        <f>data_origin!Z2197</f>
        <v>0</v>
      </c>
      <c r="AA1935" s="5">
        <f>data_origin!AA2197</f>
        <v>0</v>
      </c>
      <c r="AB1935" s="5">
        <f t="shared" si="195"/>
        <v>9.0909090909090912E-2</v>
      </c>
    </row>
    <row r="1936" spans="4:28" x14ac:dyDescent="0.25">
      <c r="D1936" t="s">
        <v>89</v>
      </c>
      <c r="E1936" s="38">
        <f t="shared" si="197"/>
        <v>0</v>
      </c>
      <c r="F1936" s="38">
        <f t="shared" si="197"/>
        <v>0</v>
      </c>
      <c r="G1936" s="38">
        <f t="shared" si="197"/>
        <v>9.1752936102045088E-2</v>
      </c>
      <c r="H1936" s="38">
        <f t="shared" si="197"/>
        <v>0</v>
      </c>
      <c r="I1936" s="38">
        <f t="shared" si="197"/>
        <v>0</v>
      </c>
      <c r="J1936" s="38">
        <f t="shared" si="196"/>
        <v>3.0868677437304891E-2</v>
      </c>
      <c r="K1936" s="38">
        <f t="shared" si="196"/>
        <v>0</v>
      </c>
      <c r="L1936" s="38">
        <f t="shared" si="196"/>
        <v>0</v>
      </c>
      <c r="M1936" s="35">
        <f t="shared" si="198"/>
        <v>0.12262161353934997</v>
      </c>
      <c r="S1936" t="s">
        <v>89</v>
      </c>
      <c r="T1936" s="5">
        <f>data_origin!T2198</f>
        <v>0</v>
      </c>
      <c r="U1936" s="5">
        <f>data_origin!U2198</f>
        <v>0</v>
      </c>
      <c r="V1936" s="5">
        <f>data_origin!V2198</f>
        <v>6.0606060606060608E-2</v>
      </c>
      <c r="W1936" s="5">
        <f>data_origin!W2198</f>
        <v>0</v>
      </c>
      <c r="X1936" s="5">
        <f>data_origin!X2198</f>
        <v>0</v>
      </c>
      <c r="Y1936" s="5">
        <f>data_origin!Y2198</f>
        <v>3.0303030303030304E-2</v>
      </c>
      <c r="Z1936" s="5">
        <f>data_origin!Z2198</f>
        <v>0</v>
      </c>
      <c r="AA1936" s="5">
        <f>data_origin!AA2198</f>
        <v>0</v>
      </c>
      <c r="AB1936" s="5">
        <f t="shared" si="195"/>
        <v>9.0909090909090912E-2</v>
      </c>
    </row>
    <row r="1937" spans="1:28" x14ac:dyDescent="0.25">
      <c r="D1937" t="s">
        <v>90</v>
      </c>
      <c r="E1937" s="38">
        <f t="shared" si="197"/>
        <v>0</v>
      </c>
      <c r="F1937" s="38">
        <f t="shared" si="197"/>
        <v>0</v>
      </c>
      <c r="G1937" s="38">
        <f t="shared" si="197"/>
        <v>9.1752936102045088E-2</v>
      </c>
      <c r="H1937" s="38">
        <f t="shared" si="197"/>
        <v>0</v>
      </c>
      <c r="I1937" s="38">
        <f t="shared" si="197"/>
        <v>0</v>
      </c>
      <c r="J1937" s="38">
        <f t="shared" si="196"/>
        <v>3.0868677437304891E-2</v>
      </c>
      <c r="K1937" s="38">
        <f t="shared" si="196"/>
        <v>0</v>
      </c>
      <c r="L1937" s="38">
        <f t="shared" si="196"/>
        <v>0</v>
      </c>
      <c r="M1937" s="35">
        <f t="shared" si="198"/>
        <v>0.12262161353934997</v>
      </c>
      <c r="S1937" t="s">
        <v>90</v>
      </c>
      <c r="T1937" s="5">
        <f>data_origin!T2199</f>
        <v>0</v>
      </c>
      <c r="U1937" s="5">
        <f>data_origin!U2199</f>
        <v>0</v>
      </c>
      <c r="V1937" s="5">
        <f>data_origin!V2199</f>
        <v>6.0606060606060608E-2</v>
      </c>
      <c r="W1937" s="5">
        <f>data_origin!W2199</f>
        <v>0</v>
      </c>
      <c r="X1937" s="5">
        <f>data_origin!X2199</f>
        <v>0</v>
      </c>
      <c r="Y1937" s="5">
        <f>data_origin!Y2199</f>
        <v>3.0303030303030304E-2</v>
      </c>
      <c r="Z1937" s="5">
        <f>data_origin!Z2199</f>
        <v>0</v>
      </c>
      <c r="AA1937" s="5">
        <f>data_origin!AA2199</f>
        <v>0</v>
      </c>
      <c r="AB1937" s="5">
        <f t="shared" si="195"/>
        <v>9.0909090909090912E-2</v>
      </c>
    </row>
    <row r="1938" spans="1:28" x14ac:dyDescent="0.25">
      <c r="D1938" t="s">
        <v>91</v>
      </c>
      <c r="E1938" s="38">
        <f t="shared" si="197"/>
        <v>0</v>
      </c>
      <c r="F1938" s="38">
        <f t="shared" si="197"/>
        <v>0</v>
      </c>
      <c r="G1938" s="38">
        <f t="shared" si="197"/>
        <v>9.1752936102045088E-2</v>
      </c>
      <c r="H1938" s="38">
        <f t="shared" si="197"/>
        <v>0</v>
      </c>
      <c r="I1938" s="38">
        <f t="shared" si="197"/>
        <v>0</v>
      </c>
      <c r="J1938" s="38">
        <f t="shared" si="196"/>
        <v>3.0868677437304891E-2</v>
      </c>
      <c r="K1938" s="38">
        <f t="shared" si="196"/>
        <v>0</v>
      </c>
      <c r="L1938" s="38">
        <f t="shared" si="196"/>
        <v>0</v>
      </c>
      <c r="M1938" s="35">
        <f t="shared" si="198"/>
        <v>0.12262161353934997</v>
      </c>
      <c r="S1938" t="s">
        <v>91</v>
      </c>
      <c r="T1938" s="5">
        <f>data_origin!T2200</f>
        <v>0</v>
      </c>
      <c r="U1938" s="5">
        <f>data_origin!U2200</f>
        <v>0</v>
      </c>
      <c r="V1938" s="5">
        <f>data_origin!V2200</f>
        <v>6.0606060606060608E-2</v>
      </c>
      <c r="W1938" s="5">
        <f>data_origin!W2200</f>
        <v>0</v>
      </c>
      <c r="X1938" s="5">
        <f>data_origin!X2200</f>
        <v>0</v>
      </c>
      <c r="Y1938" s="5">
        <f>data_origin!Y2200</f>
        <v>3.0303030303030304E-2</v>
      </c>
      <c r="Z1938" s="5">
        <f>data_origin!Z2200</f>
        <v>0</v>
      </c>
      <c r="AA1938" s="5">
        <f>data_origin!AA2200</f>
        <v>0</v>
      </c>
      <c r="AB1938" s="5">
        <f t="shared" si="195"/>
        <v>9.0909090909090912E-2</v>
      </c>
    </row>
    <row r="1939" spans="1:28" x14ac:dyDescent="0.25">
      <c r="D1939" t="s">
        <v>92</v>
      </c>
      <c r="E1939" s="38">
        <f t="shared" si="197"/>
        <v>0</v>
      </c>
      <c r="F1939" s="38">
        <f t="shared" si="197"/>
        <v>0</v>
      </c>
      <c r="G1939" s="38">
        <f t="shared" si="197"/>
        <v>9.1752936102045088E-2</v>
      </c>
      <c r="H1939" s="38">
        <f t="shared" si="197"/>
        <v>0</v>
      </c>
      <c r="I1939" s="38">
        <f t="shared" si="197"/>
        <v>0</v>
      </c>
      <c r="J1939" s="38">
        <f t="shared" si="196"/>
        <v>3.0868677437304891E-2</v>
      </c>
      <c r="K1939" s="38">
        <f t="shared" si="196"/>
        <v>0</v>
      </c>
      <c r="L1939" s="38">
        <f t="shared" si="196"/>
        <v>0</v>
      </c>
      <c r="M1939" s="35">
        <f t="shared" si="198"/>
        <v>0.12262161353934997</v>
      </c>
      <c r="S1939" t="s">
        <v>92</v>
      </c>
      <c r="T1939" s="5">
        <f>data_origin!T2201</f>
        <v>0</v>
      </c>
      <c r="U1939" s="5">
        <f>data_origin!U2201</f>
        <v>0</v>
      </c>
      <c r="V1939" s="5">
        <f>data_origin!V2201</f>
        <v>6.0606060606060608E-2</v>
      </c>
      <c r="W1939" s="5">
        <f>data_origin!W2201</f>
        <v>0</v>
      </c>
      <c r="X1939" s="5">
        <f>data_origin!X2201</f>
        <v>0</v>
      </c>
      <c r="Y1939" s="5">
        <f>data_origin!Y2201</f>
        <v>3.0303030303030304E-2</v>
      </c>
      <c r="Z1939" s="5">
        <f>data_origin!Z2201</f>
        <v>0</v>
      </c>
      <c r="AA1939" s="5">
        <f>data_origin!AA2201</f>
        <v>0</v>
      </c>
      <c r="AB1939" s="5">
        <f t="shared" si="195"/>
        <v>9.0909090909090912E-2</v>
      </c>
    </row>
    <row r="1940" spans="1:28" x14ac:dyDescent="0.25">
      <c r="D1940" t="s">
        <v>93</v>
      </c>
      <c r="E1940" s="38">
        <f t="shared" si="197"/>
        <v>0</v>
      </c>
      <c r="F1940" s="38">
        <f t="shared" si="197"/>
        <v>0</v>
      </c>
      <c r="G1940" s="38">
        <f t="shared" si="197"/>
        <v>9.1752936102045088E-2</v>
      </c>
      <c r="H1940" s="38">
        <f t="shared" si="197"/>
        <v>0</v>
      </c>
      <c r="I1940" s="38">
        <f t="shared" si="197"/>
        <v>0</v>
      </c>
      <c r="J1940" s="38">
        <f t="shared" si="196"/>
        <v>3.0868677437304891E-2</v>
      </c>
      <c r="K1940" s="38">
        <f t="shared" si="196"/>
        <v>0</v>
      </c>
      <c r="L1940" s="38">
        <f t="shared" si="196"/>
        <v>0</v>
      </c>
      <c r="M1940" s="35">
        <f t="shared" si="198"/>
        <v>0.12262161353934997</v>
      </c>
      <c r="S1940" t="s">
        <v>93</v>
      </c>
      <c r="T1940" s="5">
        <f>data_origin!T2202</f>
        <v>0</v>
      </c>
      <c r="U1940" s="5">
        <f>data_origin!U2202</f>
        <v>0</v>
      </c>
      <c r="V1940" s="5">
        <f>data_origin!V2202</f>
        <v>6.0606060606060608E-2</v>
      </c>
      <c r="W1940" s="5">
        <f>data_origin!W2202</f>
        <v>0</v>
      </c>
      <c r="X1940" s="5">
        <f>data_origin!X2202</f>
        <v>0</v>
      </c>
      <c r="Y1940" s="5">
        <f>data_origin!Y2202</f>
        <v>3.0303030303030304E-2</v>
      </c>
      <c r="Z1940" s="5">
        <f>data_origin!Z2202</f>
        <v>0</v>
      </c>
      <c r="AA1940" s="5">
        <f>data_origin!AA2202</f>
        <v>0</v>
      </c>
      <c r="AB1940" s="5">
        <f t="shared" si="195"/>
        <v>9.0909090909090912E-2</v>
      </c>
    </row>
    <row r="1941" spans="1:28" x14ac:dyDescent="0.25">
      <c r="D1941" t="s">
        <v>94</v>
      </c>
      <c r="E1941" s="38">
        <f t="shared" si="197"/>
        <v>0</v>
      </c>
      <c r="F1941" s="38">
        <f t="shared" si="197"/>
        <v>0</v>
      </c>
      <c r="G1941" s="38">
        <f t="shared" si="197"/>
        <v>9.1752936102045088E-2</v>
      </c>
      <c r="H1941" s="38">
        <f t="shared" si="197"/>
        <v>0</v>
      </c>
      <c r="I1941" s="38">
        <f t="shared" si="197"/>
        <v>0</v>
      </c>
      <c r="J1941" s="38">
        <f t="shared" si="196"/>
        <v>3.0868677437304891E-2</v>
      </c>
      <c r="K1941" s="38">
        <f t="shared" si="196"/>
        <v>0</v>
      </c>
      <c r="L1941" s="38">
        <f t="shared" si="196"/>
        <v>0</v>
      </c>
      <c r="M1941" s="35">
        <f t="shared" si="198"/>
        <v>0.12262161353934997</v>
      </c>
      <c r="S1941" t="s">
        <v>94</v>
      </c>
      <c r="T1941" s="5">
        <f>data_origin!T2203</f>
        <v>0</v>
      </c>
      <c r="U1941" s="5">
        <f>data_origin!U2203</f>
        <v>0</v>
      </c>
      <c r="V1941" s="5">
        <f>data_origin!V2203</f>
        <v>6.0606060606060608E-2</v>
      </c>
      <c r="W1941" s="5">
        <f>data_origin!W2203</f>
        <v>0</v>
      </c>
      <c r="X1941" s="5">
        <f>data_origin!X2203</f>
        <v>0</v>
      </c>
      <c r="Y1941" s="5">
        <f>data_origin!Y2203</f>
        <v>3.0303030303030304E-2</v>
      </c>
      <c r="Z1941" s="5">
        <f>data_origin!Z2203</f>
        <v>0</v>
      </c>
      <c r="AA1941" s="5">
        <f>data_origin!AA2203</f>
        <v>0</v>
      </c>
      <c r="AB1941" s="5">
        <f t="shared" si="195"/>
        <v>9.0909090909090912E-2</v>
      </c>
    </row>
    <row r="1942" spans="1:28" x14ac:dyDescent="0.25">
      <c r="D1942" t="s">
        <v>95</v>
      </c>
      <c r="E1942" s="38">
        <f t="shared" si="197"/>
        <v>0</v>
      </c>
      <c r="F1942" s="38">
        <f t="shared" si="197"/>
        <v>0</v>
      </c>
      <c r="G1942" s="38">
        <f t="shared" si="197"/>
        <v>9.1752936102045088E-2</v>
      </c>
      <c r="H1942" s="38">
        <f t="shared" si="197"/>
        <v>0</v>
      </c>
      <c r="I1942" s="38">
        <f t="shared" si="197"/>
        <v>0</v>
      </c>
      <c r="J1942" s="38">
        <f t="shared" si="196"/>
        <v>3.0868677437304891E-2</v>
      </c>
      <c r="K1942" s="38">
        <f t="shared" si="196"/>
        <v>0</v>
      </c>
      <c r="L1942" s="38">
        <f t="shared" si="196"/>
        <v>0</v>
      </c>
      <c r="M1942" s="35">
        <f t="shared" si="198"/>
        <v>0.12262161353934997</v>
      </c>
      <c r="S1942" t="s">
        <v>95</v>
      </c>
      <c r="T1942" s="5">
        <f>data_origin!T2204</f>
        <v>0</v>
      </c>
      <c r="U1942" s="5">
        <f>data_origin!U2204</f>
        <v>0</v>
      </c>
      <c r="V1942" s="5">
        <f>data_origin!V2204</f>
        <v>6.0606060606060608E-2</v>
      </c>
      <c r="W1942" s="5">
        <f>data_origin!W2204</f>
        <v>0</v>
      </c>
      <c r="X1942" s="5">
        <f>data_origin!X2204</f>
        <v>0</v>
      </c>
      <c r="Y1942" s="5">
        <f>data_origin!Y2204</f>
        <v>3.0303030303030304E-2</v>
      </c>
      <c r="Z1942" s="5">
        <f>data_origin!Z2204</f>
        <v>0</v>
      </c>
      <c r="AA1942" s="5">
        <f>data_origin!AA2204</f>
        <v>0</v>
      </c>
      <c r="AB1942" s="5">
        <f t="shared" si="195"/>
        <v>9.0909090909090912E-2</v>
      </c>
    </row>
    <row r="1943" spans="1:28" x14ac:dyDescent="0.25">
      <c r="D1943" t="s">
        <v>96</v>
      </c>
      <c r="E1943" s="38">
        <f t="shared" si="197"/>
        <v>0</v>
      </c>
      <c r="F1943" s="38">
        <f t="shared" si="197"/>
        <v>0</v>
      </c>
      <c r="G1943" s="38">
        <f t="shared" si="197"/>
        <v>9.1752936102045088E-2</v>
      </c>
      <c r="H1943" s="38">
        <f t="shared" si="197"/>
        <v>0</v>
      </c>
      <c r="I1943" s="38">
        <f t="shared" si="197"/>
        <v>0</v>
      </c>
      <c r="J1943" s="38">
        <f t="shared" si="196"/>
        <v>3.0868677437304891E-2</v>
      </c>
      <c r="K1943" s="38">
        <f t="shared" si="196"/>
        <v>0</v>
      </c>
      <c r="L1943" s="38">
        <f t="shared" si="196"/>
        <v>0</v>
      </c>
      <c r="M1943" s="35">
        <f t="shared" si="198"/>
        <v>0.12262161353934997</v>
      </c>
      <c r="S1943" t="s">
        <v>96</v>
      </c>
      <c r="T1943" s="5">
        <f>data_origin!T2205</f>
        <v>0</v>
      </c>
      <c r="U1943" s="5">
        <f>data_origin!U2205</f>
        <v>0</v>
      </c>
      <c r="V1943" s="5">
        <f>data_origin!V2205</f>
        <v>6.0606060606060608E-2</v>
      </c>
      <c r="W1943" s="5">
        <f>data_origin!W2205</f>
        <v>0</v>
      </c>
      <c r="X1943" s="5">
        <f>data_origin!X2205</f>
        <v>0</v>
      </c>
      <c r="Y1943" s="5">
        <f>data_origin!Y2205</f>
        <v>3.0303030303030304E-2</v>
      </c>
      <c r="Z1943" s="5">
        <f>data_origin!Z2205</f>
        <v>0</v>
      </c>
      <c r="AA1943" s="5">
        <f>data_origin!AA2205</f>
        <v>0</v>
      </c>
      <c r="AB1943" s="5">
        <f t="shared" si="195"/>
        <v>9.0909090909090912E-2</v>
      </c>
    </row>
    <row r="1944" spans="1:28" x14ac:dyDescent="0.25">
      <c r="D1944" t="s">
        <v>97</v>
      </c>
      <c r="E1944" s="38">
        <f t="shared" si="197"/>
        <v>0</v>
      </c>
      <c r="F1944" s="38">
        <f t="shared" si="197"/>
        <v>0</v>
      </c>
      <c r="G1944" s="38">
        <f t="shared" si="197"/>
        <v>9.1752936102045088E-2</v>
      </c>
      <c r="H1944" s="38">
        <f t="shared" si="197"/>
        <v>0</v>
      </c>
      <c r="I1944" s="38">
        <f t="shared" si="197"/>
        <v>0</v>
      </c>
      <c r="J1944" s="38">
        <f t="shared" si="196"/>
        <v>3.0868677437304891E-2</v>
      </c>
      <c r="K1944" s="38">
        <f t="shared" si="196"/>
        <v>0</v>
      </c>
      <c r="L1944" s="38">
        <f t="shared" si="196"/>
        <v>0</v>
      </c>
      <c r="M1944" s="35">
        <f t="shared" si="198"/>
        <v>0.12262161353934997</v>
      </c>
      <c r="S1944" t="s">
        <v>97</v>
      </c>
      <c r="T1944" s="5">
        <f>data_origin!T2206</f>
        <v>0</v>
      </c>
      <c r="U1944" s="5">
        <f>data_origin!U2206</f>
        <v>0</v>
      </c>
      <c r="V1944" s="5">
        <f>data_origin!V2206</f>
        <v>6.0606060606060608E-2</v>
      </c>
      <c r="W1944" s="5">
        <f>data_origin!W2206</f>
        <v>0</v>
      </c>
      <c r="X1944" s="5">
        <f>data_origin!X2206</f>
        <v>0</v>
      </c>
      <c r="Y1944" s="5">
        <f>data_origin!Y2206</f>
        <v>3.0303030303030304E-2</v>
      </c>
      <c r="Z1944" s="5">
        <f>data_origin!Z2206</f>
        <v>0</v>
      </c>
      <c r="AA1944" s="5">
        <f>data_origin!AA2206</f>
        <v>0</v>
      </c>
      <c r="AB1944" s="5">
        <f t="shared" si="195"/>
        <v>9.0909090909090912E-2</v>
      </c>
    </row>
    <row r="1945" spans="1:28" x14ac:dyDescent="0.25">
      <c r="D1945" t="s">
        <v>98</v>
      </c>
      <c r="E1945" s="38">
        <f t="shared" si="197"/>
        <v>0</v>
      </c>
      <c r="F1945" s="38">
        <f t="shared" si="197"/>
        <v>0</v>
      </c>
      <c r="G1945" s="38">
        <f t="shared" si="197"/>
        <v>9.1752936102045088E-2</v>
      </c>
      <c r="H1945" s="38">
        <f t="shared" si="197"/>
        <v>0</v>
      </c>
      <c r="I1945" s="38">
        <f t="shared" si="197"/>
        <v>0</v>
      </c>
      <c r="J1945" s="38">
        <f t="shared" si="196"/>
        <v>3.0868677437304891E-2</v>
      </c>
      <c r="K1945" s="38">
        <f t="shared" si="196"/>
        <v>0</v>
      </c>
      <c r="L1945" s="38">
        <f t="shared" si="196"/>
        <v>0</v>
      </c>
      <c r="M1945" s="35">
        <f t="shared" si="198"/>
        <v>0.12262161353934997</v>
      </c>
      <c r="S1945" t="s">
        <v>98</v>
      </c>
      <c r="T1945" s="5">
        <f>data_origin!T2207</f>
        <v>0</v>
      </c>
      <c r="U1945" s="5">
        <f>data_origin!U2207</f>
        <v>0</v>
      </c>
      <c r="V1945" s="5">
        <f>data_origin!V2207</f>
        <v>6.0606060606060608E-2</v>
      </c>
      <c r="W1945" s="5">
        <f>data_origin!W2207</f>
        <v>0</v>
      </c>
      <c r="X1945" s="5">
        <f>data_origin!X2207</f>
        <v>0</v>
      </c>
      <c r="Y1945" s="5">
        <f>data_origin!Y2207</f>
        <v>3.0303030303030304E-2</v>
      </c>
      <c r="Z1945" s="5">
        <f>data_origin!Z2207</f>
        <v>0</v>
      </c>
      <c r="AA1945" s="5">
        <f>data_origin!AA2207</f>
        <v>0</v>
      </c>
      <c r="AB1945" s="5">
        <f t="shared" si="195"/>
        <v>9.0909090909090912E-2</v>
      </c>
    </row>
    <row r="1946" spans="1:28" x14ac:dyDescent="0.25">
      <c r="D1946" t="s">
        <v>119</v>
      </c>
      <c r="E1946" s="38">
        <f t="shared" si="197"/>
        <v>0</v>
      </c>
      <c r="F1946" s="38">
        <f t="shared" si="197"/>
        <v>0</v>
      </c>
      <c r="G1946" s="38">
        <f t="shared" si="197"/>
        <v>9.1752936102045088E-2</v>
      </c>
      <c r="H1946" s="38">
        <f t="shared" si="197"/>
        <v>0</v>
      </c>
      <c r="I1946" s="38">
        <f t="shared" si="197"/>
        <v>0</v>
      </c>
      <c r="J1946" s="38">
        <f t="shared" si="196"/>
        <v>3.0868677437304891E-2</v>
      </c>
      <c r="K1946" s="38">
        <f t="shared" si="196"/>
        <v>0</v>
      </c>
      <c r="L1946" s="38">
        <f t="shared" si="196"/>
        <v>0</v>
      </c>
      <c r="M1946" s="35">
        <f t="shared" si="198"/>
        <v>0.12262161353934997</v>
      </c>
      <c r="S1946" t="s">
        <v>119</v>
      </c>
      <c r="T1946" s="5">
        <f>data_origin!T2208</f>
        <v>0</v>
      </c>
      <c r="U1946" s="5">
        <f>data_origin!U2208</f>
        <v>0</v>
      </c>
      <c r="V1946" s="5">
        <f>data_origin!V2208</f>
        <v>6.0606060606060608E-2</v>
      </c>
      <c r="W1946" s="5">
        <f>data_origin!W2208</f>
        <v>0</v>
      </c>
      <c r="X1946" s="5">
        <f>data_origin!X2208</f>
        <v>0</v>
      </c>
      <c r="Y1946" s="5">
        <f>data_origin!Y2208</f>
        <v>3.0303030303030304E-2</v>
      </c>
      <c r="Z1946" s="5">
        <f>data_origin!Z2208</f>
        <v>0</v>
      </c>
      <c r="AA1946" s="5">
        <f>data_origin!AA2208</f>
        <v>0</v>
      </c>
      <c r="AB1946" s="5">
        <f t="shared" si="195"/>
        <v>9.0909090909090912E-2</v>
      </c>
    </row>
    <row r="1947" spans="1:28" x14ac:dyDescent="0.25">
      <c r="D1947" t="s">
        <v>99</v>
      </c>
      <c r="E1947" s="38">
        <f t="shared" si="197"/>
        <v>0</v>
      </c>
      <c r="F1947" s="38">
        <f t="shared" si="197"/>
        <v>0</v>
      </c>
      <c r="G1947" s="38">
        <f t="shared" si="197"/>
        <v>9.1752936102045088E-2</v>
      </c>
      <c r="H1947" s="38">
        <f t="shared" si="197"/>
        <v>0</v>
      </c>
      <c r="I1947" s="38">
        <f t="shared" si="197"/>
        <v>0</v>
      </c>
      <c r="J1947" s="38">
        <f t="shared" si="196"/>
        <v>3.0868677437304891E-2</v>
      </c>
      <c r="K1947" s="38">
        <f t="shared" si="196"/>
        <v>0</v>
      </c>
      <c r="L1947" s="38">
        <f t="shared" si="196"/>
        <v>0</v>
      </c>
      <c r="M1947" s="35">
        <f t="shared" si="198"/>
        <v>0.12262161353934997</v>
      </c>
      <c r="S1947" t="s">
        <v>99</v>
      </c>
      <c r="T1947" s="5">
        <f>data_origin!T2209</f>
        <v>0</v>
      </c>
      <c r="U1947" s="5">
        <f>data_origin!U2209</f>
        <v>0</v>
      </c>
      <c r="V1947" s="5">
        <f>data_origin!V2209</f>
        <v>6.0606060606060608E-2</v>
      </c>
      <c r="W1947" s="5">
        <f>data_origin!W2209</f>
        <v>0</v>
      </c>
      <c r="X1947" s="5">
        <f>data_origin!X2209</f>
        <v>0</v>
      </c>
      <c r="Y1947" s="5">
        <f>data_origin!Y2209</f>
        <v>3.0303030303030304E-2</v>
      </c>
      <c r="Z1947" s="5">
        <f>data_origin!Z2209</f>
        <v>0</v>
      </c>
      <c r="AA1947" s="5">
        <f>data_origin!AA2209</f>
        <v>0</v>
      </c>
      <c r="AB1947" s="5">
        <f t="shared" si="195"/>
        <v>9.0909090909090912E-2</v>
      </c>
    </row>
    <row r="1948" spans="1:28" x14ac:dyDescent="0.25">
      <c r="D1948" t="s">
        <v>100</v>
      </c>
      <c r="E1948" s="38">
        <f t="shared" si="197"/>
        <v>0</v>
      </c>
      <c r="F1948" s="38">
        <f t="shared" si="197"/>
        <v>0</v>
      </c>
      <c r="G1948" s="38">
        <f t="shared" si="197"/>
        <v>9.1752936102045088E-2</v>
      </c>
      <c r="H1948" s="38">
        <f t="shared" si="197"/>
        <v>2.03508222893133</v>
      </c>
      <c r="I1948" s="38">
        <f t="shared" si="197"/>
        <v>0</v>
      </c>
      <c r="J1948" s="38">
        <f t="shared" si="196"/>
        <v>3.0868677437304891E-2</v>
      </c>
      <c r="K1948" s="38">
        <f t="shared" si="196"/>
        <v>0</v>
      </c>
      <c r="L1948" s="38">
        <f t="shared" si="196"/>
        <v>0</v>
      </c>
      <c r="M1948" s="35">
        <f t="shared" si="198"/>
        <v>2.15770384247068</v>
      </c>
      <c r="S1948" t="s">
        <v>100</v>
      </c>
      <c r="T1948" s="5">
        <f>data_origin!T2210</f>
        <v>0</v>
      </c>
      <c r="U1948" s="5">
        <f>data_origin!U2210</f>
        <v>0</v>
      </c>
      <c r="V1948" s="5">
        <f>data_origin!V2210</f>
        <v>6.0606060606060608E-2</v>
      </c>
      <c r="W1948" s="5">
        <f>data_origin!W2210</f>
        <v>2</v>
      </c>
      <c r="X1948" s="5">
        <f>data_origin!X2210</f>
        <v>0</v>
      </c>
      <c r="Y1948" s="5">
        <f>data_origin!Y2210</f>
        <v>3.0303030303030304E-2</v>
      </c>
      <c r="Z1948" s="5">
        <f>data_origin!Z2210</f>
        <v>0</v>
      </c>
      <c r="AA1948" s="5">
        <f>data_origin!AA2210</f>
        <v>0</v>
      </c>
      <c r="AB1948" s="5">
        <f t="shared" si="195"/>
        <v>2.0909090909090908</v>
      </c>
    </row>
    <row r="1949" spans="1:28" x14ac:dyDescent="0.25">
      <c r="D1949" t="s">
        <v>101</v>
      </c>
      <c r="E1949" s="38">
        <f t="shared" si="197"/>
        <v>0</v>
      </c>
      <c r="F1949" s="38">
        <f t="shared" si="197"/>
        <v>0</v>
      </c>
      <c r="G1949" s="38">
        <f t="shared" si="197"/>
        <v>9.1752936102045088E-2</v>
      </c>
      <c r="H1949" s="38">
        <f t="shared" si="197"/>
        <v>0</v>
      </c>
      <c r="I1949" s="38">
        <f t="shared" si="197"/>
        <v>0</v>
      </c>
      <c r="J1949" s="38">
        <f t="shared" si="196"/>
        <v>3.0868677437304891E-2</v>
      </c>
      <c r="K1949" s="38">
        <f t="shared" si="196"/>
        <v>0</v>
      </c>
      <c r="L1949" s="38">
        <f t="shared" si="196"/>
        <v>0</v>
      </c>
      <c r="M1949" s="35">
        <f t="shared" si="198"/>
        <v>0.12262161353934997</v>
      </c>
      <c r="S1949" t="s">
        <v>101</v>
      </c>
      <c r="T1949" s="5">
        <f>data_origin!T2211</f>
        <v>0</v>
      </c>
      <c r="U1949" s="5">
        <f>data_origin!U2211</f>
        <v>0</v>
      </c>
      <c r="V1949" s="5">
        <f>data_origin!V2211</f>
        <v>6.0606060606060608E-2</v>
      </c>
      <c r="W1949" s="5">
        <f>data_origin!W2211</f>
        <v>0</v>
      </c>
      <c r="X1949" s="5">
        <f>data_origin!X2211</f>
        <v>0</v>
      </c>
      <c r="Y1949" s="5">
        <f>data_origin!Y2211</f>
        <v>3.0303030303030304E-2</v>
      </c>
      <c r="Z1949" s="5">
        <f>data_origin!Z2211</f>
        <v>0</v>
      </c>
      <c r="AA1949" s="5">
        <f>data_origin!AA2211</f>
        <v>0</v>
      </c>
      <c r="AB1949" s="5">
        <f t="shared" si="195"/>
        <v>9.0909090909090912E-2</v>
      </c>
    </row>
    <row r="1950" spans="1:28" x14ac:dyDescent="0.25">
      <c r="A1950" s="24" t="s">
        <v>115</v>
      </c>
      <c r="B1950" s="24" t="s">
        <v>117</v>
      </c>
      <c r="C1950" s="24" t="s">
        <v>114</v>
      </c>
      <c r="D1950" t="s">
        <v>70</v>
      </c>
      <c r="E1950" s="38">
        <f t="shared" si="197"/>
        <v>0</v>
      </c>
      <c r="F1950" s="38">
        <f t="shared" si="197"/>
        <v>0</v>
      </c>
      <c r="G1950" s="38">
        <f t="shared" si="197"/>
        <v>0</v>
      </c>
      <c r="H1950" s="38">
        <f t="shared" si="197"/>
        <v>2.7115996003242633</v>
      </c>
      <c r="I1950" s="38">
        <f t="shared" si="197"/>
        <v>2.8894134310701118</v>
      </c>
      <c r="J1950" s="38">
        <f t="shared" si="196"/>
        <v>0</v>
      </c>
      <c r="K1950" s="38">
        <f t="shared" si="196"/>
        <v>0</v>
      </c>
      <c r="L1950" s="38">
        <f t="shared" si="196"/>
        <v>0</v>
      </c>
      <c r="M1950" s="35">
        <f t="shared" si="198"/>
        <v>5.6010130313943751</v>
      </c>
      <c r="P1950" t="s">
        <v>115</v>
      </c>
      <c r="Q1950" t="s">
        <v>117</v>
      </c>
      <c r="R1950" t="s">
        <v>114</v>
      </c>
      <c r="S1950" t="s">
        <v>70</v>
      </c>
      <c r="T1950" s="5">
        <f>data_origin!T2213</f>
        <v>0</v>
      </c>
      <c r="U1950" s="5">
        <f>data_origin!U2213</f>
        <v>0</v>
      </c>
      <c r="V1950" s="5">
        <f>data_origin!V2213</f>
        <v>0</v>
      </c>
      <c r="W1950" s="5">
        <f>data_origin!W2213</f>
        <v>2.6648550724637681</v>
      </c>
      <c r="X1950" s="5">
        <f>data_origin!X2213</f>
        <v>2.8399366085578448</v>
      </c>
      <c r="Y1950" s="5">
        <f>data_origin!Y2213</f>
        <v>0</v>
      </c>
      <c r="Z1950" s="5">
        <f>data_origin!Z2213</f>
        <v>0</v>
      </c>
      <c r="AA1950" s="5">
        <f>data_origin!AA2213</f>
        <v>0</v>
      </c>
      <c r="AB1950" s="5">
        <f t="shared" si="195"/>
        <v>5.5047916810216133</v>
      </c>
    </row>
    <row r="1951" spans="1:28" x14ac:dyDescent="0.25">
      <c r="D1951" t="s">
        <v>71</v>
      </c>
      <c r="E1951" s="38">
        <f t="shared" si="197"/>
        <v>0</v>
      </c>
      <c r="F1951" s="38">
        <f t="shared" si="197"/>
        <v>0</v>
      </c>
      <c r="G1951" s="38">
        <f t="shared" si="197"/>
        <v>56.124589886870766</v>
      </c>
      <c r="H1951" s="38">
        <f t="shared" si="197"/>
        <v>43.385593605188213</v>
      </c>
      <c r="I1951" s="38">
        <f t="shared" si="197"/>
        <v>11.557653724280447</v>
      </c>
      <c r="J1951" s="38">
        <f t="shared" si="196"/>
        <v>0</v>
      </c>
      <c r="K1951" s="38">
        <f t="shared" si="196"/>
        <v>0</v>
      </c>
      <c r="L1951" s="38">
        <f t="shared" si="196"/>
        <v>0</v>
      </c>
      <c r="M1951" s="35">
        <f t="shared" si="198"/>
        <v>111.06783721633943</v>
      </c>
      <c r="S1951" t="s">
        <v>71</v>
      </c>
      <c r="T1951" s="5">
        <f>data_origin!T2214</f>
        <v>0</v>
      </c>
      <c r="U1951" s="5">
        <f>data_origin!U2214</f>
        <v>0</v>
      </c>
      <c r="V1951" s="5">
        <f>data_origin!V2214</f>
        <v>55.353873239436624</v>
      </c>
      <c r="W1951" s="5">
        <f>data_origin!W2214</f>
        <v>42.637681159420289</v>
      </c>
      <c r="X1951" s="5">
        <f>data_origin!X2214</f>
        <v>11.359746434231379</v>
      </c>
      <c r="Y1951" s="5">
        <f>data_origin!Y2214</f>
        <v>0</v>
      </c>
      <c r="Z1951" s="5">
        <f>data_origin!Z2214</f>
        <v>0</v>
      </c>
      <c r="AA1951" s="5">
        <f>data_origin!AA2214</f>
        <v>0</v>
      </c>
      <c r="AB1951" s="5">
        <f t="shared" si="195"/>
        <v>109.3513008330883</v>
      </c>
    </row>
    <row r="1952" spans="1:28" x14ac:dyDescent="0.25">
      <c r="D1952" t="s">
        <v>72</v>
      </c>
      <c r="E1952" s="38">
        <f t="shared" si="197"/>
        <v>0</v>
      </c>
      <c r="F1952" s="38">
        <f t="shared" si="197"/>
        <v>0</v>
      </c>
      <c r="G1952" s="38">
        <f t="shared" si="197"/>
        <v>9.7607982411949141</v>
      </c>
      <c r="H1952" s="38">
        <f t="shared" si="197"/>
        <v>13.557998001621318</v>
      </c>
      <c r="I1952" s="38">
        <f t="shared" si="197"/>
        <v>8.6682402932103351</v>
      </c>
      <c r="J1952" s="38">
        <f t="shared" si="196"/>
        <v>3.5861213533032261</v>
      </c>
      <c r="K1952" s="38">
        <f t="shared" si="196"/>
        <v>0</v>
      </c>
      <c r="L1952" s="38">
        <f t="shared" si="196"/>
        <v>0</v>
      </c>
      <c r="M1952" s="35">
        <f t="shared" si="198"/>
        <v>35.573157889329792</v>
      </c>
      <c r="S1952" t="s">
        <v>72</v>
      </c>
      <c r="T1952" s="5">
        <f>data_origin!T2215</f>
        <v>0</v>
      </c>
      <c r="U1952" s="5">
        <f>data_origin!U2215</f>
        <v>0</v>
      </c>
      <c r="V1952" s="5">
        <f>data_origin!V2215</f>
        <v>9.626760563380282</v>
      </c>
      <c r="W1952" s="5">
        <f>data_origin!W2215</f>
        <v>13.324275362318842</v>
      </c>
      <c r="X1952" s="5">
        <f>data_origin!X2215</f>
        <v>8.5198098256735335</v>
      </c>
      <c r="Y1952" s="5">
        <f>data_origin!Y2215</f>
        <v>3.5204081632653059</v>
      </c>
      <c r="Z1952" s="5">
        <f>data_origin!Z2215</f>
        <v>0</v>
      </c>
      <c r="AA1952" s="5">
        <f>data_origin!AA2215</f>
        <v>0</v>
      </c>
      <c r="AB1952" s="5">
        <f t="shared" si="195"/>
        <v>34.991253914637966</v>
      </c>
    </row>
    <row r="1953" spans="4:28" x14ac:dyDescent="0.25">
      <c r="D1953" t="s">
        <v>73</v>
      </c>
      <c r="E1953" s="38">
        <f t="shared" si="197"/>
        <v>0</v>
      </c>
      <c r="F1953" s="38">
        <f t="shared" si="197"/>
        <v>0</v>
      </c>
      <c r="G1953" s="38">
        <f t="shared" si="197"/>
        <v>2.4401995602987285</v>
      </c>
      <c r="H1953" s="38">
        <f t="shared" si="197"/>
        <v>8.1347988009727903</v>
      </c>
      <c r="I1953" s="38">
        <f t="shared" si="197"/>
        <v>2.8894134310701118</v>
      </c>
      <c r="J1953" s="38">
        <f t="shared" si="196"/>
        <v>3.5861213533032261</v>
      </c>
      <c r="K1953" s="38">
        <f t="shared" si="196"/>
        <v>0</v>
      </c>
      <c r="L1953" s="38">
        <f t="shared" si="196"/>
        <v>0</v>
      </c>
      <c r="M1953" s="35">
        <f t="shared" si="198"/>
        <v>17.050533145644856</v>
      </c>
      <c r="S1953" t="s">
        <v>73</v>
      </c>
      <c r="T1953" s="5">
        <f>data_origin!T2216</f>
        <v>0</v>
      </c>
      <c r="U1953" s="5">
        <f>data_origin!U2216</f>
        <v>0</v>
      </c>
      <c r="V1953" s="5">
        <f>data_origin!V2216</f>
        <v>2.4066901408450705</v>
      </c>
      <c r="W1953" s="5">
        <f>data_origin!W2216</f>
        <v>7.9945652173913038</v>
      </c>
      <c r="X1953" s="5">
        <f>data_origin!X2216</f>
        <v>2.8399366085578448</v>
      </c>
      <c r="Y1953" s="5">
        <f>data_origin!Y2216</f>
        <v>3.5204081632653059</v>
      </c>
      <c r="Z1953" s="5">
        <f>data_origin!Z2216</f>
        <v>0</v>
      </c>
      <c r="AA1953" s="5">
        <f>data_origin!AA2216</f>
        <v>0</v>
      </c>
      <c r="AB1953" s="5">
        <f t="shared" si="195"/>
        <v>16.761600130059524</v>
      </c>
    </row>
    <row r="1954" spans="4:28" x14ac:dyDescent="0.25">
      <c r="D1954" t="s">
        <v>74</v>
      </c>
      <c r="E1954" s="38">
        <f t="shared" si="197"/>
        <v>0</v>
      </c>
      <c r="F1954" s="38">
        <f t="shared" si="197"/>
        <v>0</v>
      </c>
      <c r="G1954" s="38">
        <f t="shared" si="197"/>
        <v>0</v>
      </c>
      <c r="H1954" s="38">
        <f t="shared" si="197"/>
        <v>8.1347988009727903</v>
      </c>
      <c r="I1954" s="38">
        <f t="shared" si="197"/>
        <v>11.557653724280447</v>
      </c>
      <c r="J1954" s="38">
        <f t="shared" si="196"/>
        <v>0</v>
      </c>
      <c r="K1954" s="38">
        <f t="shared" si="196"/>
        <v>0</v>
      </c>
      <c r="L1954" s="38">
        <f t="shared" si="196"/>
        <v>0</v>
      </c>
      <c r="M1954" s="35">
        <f t="shared" si="198"/>
        <v>19.692452525253238</v>
      </c>
      <c r="S1954" t="s">
        <v>74</v>
      </c>
      <c r="T1954" s="5">
        <f>data_origin!T2217</f>
        <v>0</v>
      </c>
      <c r="U1954" s="5">
        <f>data_origin!U2217</f>
        <v>0</v>
      </c>
      <c r="V1954" s="5">
        <f>data_origin!V2217</f>
        <v>0</v>
      </c>
      <c r="W1954" s="5">
        <f>data_origin!W2217</f>
        <v>7.9945652173913038</v>
      </c>
      <c r="X1954" s="5">
        <f>data_origin!X2217</f>
        <v>11.359746434231379</v>
      </c>
      <c r="Y1954" s="5">
        <f>data_origin!Y2217</f>
        <v>0</v>
      </c>
      <c r="Z1954" s="5">
        <f>data_origin!Z2217</f>
        <v>0</v>
      </c>
      <c r="AA1954" s="5">
        <f>data_origin!AA2217</f>
        <v>0</v>
      </c>
      <c r="AB1954" s="5">
        <f t="shared" si="195"/>
        <v>19.354311651622684</v>
      </c>
    </row>
    <row r="1955" spans="4:28" x14ac:dyDescent="0.25">
      <c r="D1955" t="s">
        <v>75</v>
      </c>
      <c r="E1955" s="38">
        <f t="shared" si="197"/>
        <v>0</v>
      </c>
      <c r="F1955" s="38">
        <f t="shared" si="197"/>
        <v>0</v>
      </c>
      <c r="G1955" s="38">
        <f t="shared" si="197"/>
        <v>2.4401995602987285</v>
      </c>
      <c r="H1955" s="38">
        <f t="shared" si="197"/>
        <v>0</v>
      </c>
      <c r="I1955" s="38">
        <f t="shared" si="197"/>
        <v>8.6682402932103351</v>
      </c>
      <c r="J1955" s="38">
        <f t="shared" si="196"/>
        <v>0</v>
      </c>
      <c r="K1955" s="38">
        <f t="shared" si="196"/>
        <v>0</v>
      </c>
      <c r="L1955" s="38">
        <f t="shared" si="196"/>
        <v>0</v>
      </c>
      <c r="M1955" s="35">
        <f t="shared" si="198"/>
        <v>11.108439853509063</v>
      </c>
      <c r="S1955" t="s">
        <v>75</v>
      </c>
      <c r="T1955" s="5">
        <f>data_origin!T2218</f>
        <v>0</v>
      </c>
      <c r="U1955" s="5">
        <f>data_origin!U2218</f>
        <v>0</v>
      </c>
      <c r="V1955" s="5">
        <f>data_origin!V2218</f>
        <v>2.4066901408450705</v>
      </c>
      <c r="W1955" s="5">
        <f>data_origin!W2218</f>
        <v>0</v>
      </c>
      <c r="X1955" s="5">
        <f>data_origin!X2218</f>
        <v>8.5198098256735335</v>
      </c>
      <c r="Y1955" s="5">
        <f>data_origin!Y2218</f>
        <v>0</v>
      </c>
      <c r="Z1955" s="5">
        <f>data_origin!Z2218</f>
        <v>0</v>
      </c>
      <c r="AA1955" s="5">
        <f>data_origin!AA2218</f>
        <v>0</v>
      </c>
      <c r="AB1955" s="5">
        <f t="shared" si="195"/>
        <v>10.926499966518604</v>
      </c>
    </row>
    <row r="1956" spans="4:28" x14ac:dyDescent="0.25">
      <c r="D1956" t="s">
        <v>76</v>
      </c>
      <c r="E1956" s="38">
        <f t="shared" si="197"/>
        <v>0</v>
      </c>
      <c r="F1956" s="38">
        <f t="shared" si="197"/>
        <v>0</v>
      </c>
      <c r="G1956" s="38">
        <f t="shared" si="197"/>
        <v>7.320598680896186</v>
      </c>
      <c r="H1956" s="38">
        <f t="shared" si="197"/>
        <v>16.269597601945581</v>
      </c>
      <c r="I1956" s="38">
        <f t="shared" si="197"/>
        <v>11.557653724280447</v>
      </c>
      <c r="J1956" s="38">
        <f t="shared" si="196"/>
        <v>3.5861213533032261</v>
      </c>
      <c r="K1956" s="38">
        <f t="shared" si="196"/>
        <v>3.7792857142857144</v>
      </c>
      <c r="L1956" s="38">
        <f t="shared" si="196"/>
        <v>0</v>
      </c>
      <c r="M1956" s="35">
        <f t="shared" si="198"/>
        <v>42.513257074711156</v>
      </c>
      <c r="S1956" t="s">
        <v>76</v>
      </c>
      <c r="T1956" s="5">
        <f>data_origin!T2219</f>
        <v>0</v>
      </c>
      <c r="U1956" s="5">
        <f>data_origin!U2219</f>
        <v>0</v>
      </c>
      <c r="V1956" s="5">
        <f>data_origin!V2219</f>
        <v>7.220070422535211</v>
      </c>
      <c r="W1956" s="5">
        <f>data_origin!W2219</f>
        <v>15.989130434782608</v>
      </c>
      <c r="X1956" s="5">
        <f>data_origin!X2219</f>
        <v>11.359746434231379</v>
      </c>
      <c r="Y1956" s="5">
        <f>data_origin!Y2219</f>
        <v>3.5204081632653059</v>
      </c>
      <c r="Z1956" s="5">
        <f>data_origin!Z2219</f>
        <v>3.7</v>
      </c>
      <c r="AA1956" s="5">
        <f>data_origin!AA2219</f>
        <v>0</v>
      </c>
      <c r="AB1956" s="5">
        <f t="shared" si="195"/>
        <v>41.789355454814505</v>
      </c>
    </row>
    <row r="1957" spans="4:28" x14ac:dyDescent="0.25">
      <c r="D1957" t="s">
        <v>77</v>
      </c>
      <c r="E1957" s="38">
        <f t="shared" si="197"/>
        <v>0</v>
      </c>
      <c r="F1957" s="38">
        <f t="shared" si="197"/>
        <v>0</v>
      </c>
      <c r="G1957" s="38">
        <f t="shared" si="197"/>
        <v>21.961796042688555</v>
      </c>
      <c r="H1957" s="38">
        <f t="shared" si="197"/>
        <v>40.673994004863943</v>
      </c>
      <c r="I1957" s="38">
        <f t="shared" si="197"/>
        <v>28.894134310701119</v>
      </c>
      <c r="J1957" s="38">
        <f t="shared" si="196"/>
        <v>0</v>
      </c>
      <c r="K1957" s="38">
        <f t="shared" si="196"/>
        <v>0</v>
      </c>
      <c r="L1957" s="38">
        <f t="shared" si="196"/>
        <v>0</v>
      </c>
      <c r="M1957" s="35">
        <f t="shared" si="198"/>
        <v>91.529924358253623</v>
      </c>
      <c r="S1957" t="s">
        <v>77</v>
      </c>
      <c r="T1957" s="5">
        <f>data_origin!T2220</f>
        <v>0</v>
      </c>
      <c r="U1957" s="5">
        <f>data_origin!U2220</f>
        <v>0</v>
      </c>
      <c r="V1957" s="5">
        <f>data_origin!V2220</f>
        <v>21.660211267605632</v>
      </c>
      <c r="W1957" s="5">
        <f>data_origin!W2220</f>
        <v>39.972826086956516</v>
      </c>
      <c r="X1957" s="5">
        <f>data_origin!X2220</f>
        <v>28.399366085578446</v>
      </c>
      <c r="Y1957" s="5">
        <f>data_origin!Y2220</f>
        <v>0</v>
      </c>
      <c r="Z1957" s="5">
        <f>data_origin!Z2220</f>
        <v>0</v>
      </c>
      <c r="AA1957" s="5">
        <f>data_origin!AA2220</f>
        <v>0</v>
      </c>
      <c r="AB1957" s="5">
        <f t="shared" si="195"/>
        <v>90.032403440140598</v>
      </c>
    </row>
    <row r="1958" spans="4:28" x14ac:dyDescent="0.25">
      <c r="D1958" t="s">
        <v>78</v>
      </c>
      <c r="E1958" s="38">
        <f t="shared" si="197"/>
        <v>0</v>
      </c>
      <c r="F1958" s="38">
        <f t="shared" si="197"/>
        <v>0</v>
      </c>
      <c r="G1958" s="38">
        <f t="shared" si="197"/>
        <v>26.842195163286018</v>
      </c>
      <c r="H1958" s="38">
        <f t="shared" si="197"/>
        <v>127.4451812152404</v>
      </c>
      <c r="I1958" s="38">
        <f t="shared" si="197"/>
        <v>98.240056656383828</v>
      </c>
      <c r="J1958" s="38">
        <f t="shared" si="196"/>
        <v>14.344485413212904</v>
      </c>
      <c r="K1958" s="38">
        <f t="shared" si="196"/>
        <v>0</v>
      </c>
      <c r="L1958" s="38">
        <f t="shared" si="196"/>
        <v>0</v>
      </c>
      <c r="M1958" s="35">
        <f t="shared" si="198"/>
        <v>266.87191844812315</v>
      </c>
      <c r="S1958" t="s">
        <v>78</v>
      </c>
      <c r="T1958" s="5">
        <f>data_origin!T2221</f>
        <v>0</v>
      </c>
      <c r="U1958" s="5">
        <f>data_origin!U2221</f>
        <v>0</v>
      </c>
      <c r="V1958" s="5">
        <f>data_origin!V2221</f>
        <v>26.473591549295776</v>
      </c>
      <c r="W1958" s="5">
        <f>data_origin!W2221</f>
        <v>125.24818840579711</v>
      </c>
      <c r="X1958" s="5">
        <f>data_origin!X2221</f>
        <v>96.557844690966732</v>
      </c>
      <c r="Y1958" s="5">
        <f>data_origin!Y2221</f>
        <v>14.081632653061224</v>
      </c>
      <c r="Z1958" s="5">
        <f>data_origin!Z2221</f>
        <v>0</v>
      </c>
      <c r="AA1958" s="5">
        <f>data_origin!AA2221</f>
        <v>0</v>
      </c>
      <c r="AB1958" s="5">
        <f t="shared" si="195"/>
        <v>262.36125729912084</v>
      </c>
    </row>
    <row r="1959" spans="4:28" x14ac:dyDescent="0.25">
      <c r="D1959" t="s">
        <v>79</v>
      </c>
      <c r="E1959" s="38">
        <f t="shared" si="197"/>
        <v>0</v>
      </c>
      <c r="F1959" s="38">
        <f t="shared" si="197"/>
        <v>0</v>
      </c>
      <c r="G1959" s="38">
        <f t="shared" si="197"/>
        <v>31.722594283883474</v>
      </c>
      <c r="H1959" s="38">
        <f t="shared" si="197"/>
        <v>29.827595603566898</v>
      </c>
      <c r="I1959" s="38">
        <f t="shared" si="197"/>
        <v>20.225894017490784</v>
      </c>
      <c r="J1959" s="38">
        <f t="shared" si="196"/>
        <v>21.516728119819355</v>
      </c>
      <c r="K1959" s="38">
        <f t="shared" si="196"/>
        <v>0</v>
      </c>
      <c r="L1959" s="38">
        <f t="shared" si="196"/>
        <v>0</v>
      </c>
      <c r="M1959" s="35">
        <f t="shared" si="198"/>
        <v>103.29281202476051</v>
      </c>
      <c r="S1959" t="s">
        <v>79</v>
      </c>
      <c r="T1959" s="5">
        <f>data_origin!T2222</f>
        <v>0</v>
      </c>
      <c r="U1959" s="5">
        <f>data_origin!U2222</f>
        <v>0</v>
      </c>
      <c r="V1959" s="5">
        <f>data_origin!V2222</f>
        <v>31.286971830985916</v>
      </c>
      <c r="W1959" s="5">
        <f>data_origin!W2222</f>
        <v>29.313405797101449</v>
      </c>
      <c r="X1959" s="5">
        <f>data_origin!X2222</f>
        <v>19.879556259904913</v>
      </c>
      <c r="Y1959" s="5">
        <f>data_origin!Y2222</f>
        <v>21.122448979591837</v>
      </c>
      <c r="Z1959" s="5">
        <f>data_origin!Z2222</f>
        <v>0</v>
      </c>
      <c r="AA1959" s="5">
        <f>data_origin!AA2222</f>
        <v>0</v>
      </c>
      <c r="AB1959" s="5">
        <f t="shared" si="195"/>
        <v>101.60238286758411</v>
      </c>
    </row>
    <row r="1960" spans="4:28" x14ac:dyDescent="0.25">
      <c r="D1960" t="s">
        <v>80</v>
      </c>
      <c r="E1960" s="38">
        <f t="shared" si="197"/>
        <v>0</v>
      </c>
      <c r="F1960" s="38">
        <f t="shared" si="197"/>
        <v>0</v>
      </c>
      <c r="G1960" s="38">
        <f t="shared" si="197"/>
        <v>26.842195163286018</v>
      </c>
      <c r="H1960" s="38">
        <f t="shared" si="197"/>
        <v>32.539195203891161</v>
      </c>
      <c r="I1960" s="38">
        <f t="shared" si="197"/>
        <v>31.78354774177123</v>
      </c>
      <c r="J1960" s="38">
        <f t="shared" si="196"/>
        <v>17.930606766516128</v>
      </c>
      <c r="K1960" s="38">
        <f t="shared" si="196"/>
        <v>0</v>
      </c>
      <c r="L1960" s="38">
        <f t="shared" si="196"/>
        <v>0</v>
      </c>
      <c r="M1960" s="35">
        <f t="shared" si="198"/>
        <v>109.09554487546453</v>
      </c>
      <c r="S1960" t="s">
        <v>80</v>
      </c>
      <c r="T1960" s="5">
        <f>data_origin!T2223</f>
        <v>0</v>
      </c>
      <c r="U1960" s="5">
        <f>data_origin!U2223</f>
        <v>0</v>
      </c>
      <c r="V1960" s="5">
        <f>data_origin!V2223</f>
        <v>26.473591549295776</v>
      </c>
      <c r="W1960" s="5">
        <f>data_origin!W2223</f>
        <v>31.978260869565215</v>
      </c>
      <c r="X1960" s="5">
        <f>data_origin!X2223</f>
        <v>31.239302694136292</v>
      </c>
      <c r="Y1960" s="5">
        <f>data_origin!Y2223</f>
        <v>17.602040816326529</v>
      </c>
      <c r="Z1960" s="5">
        <f>data_origin!Z2223</f>
        <v>0</v>
      </c>
      <c r="AA1960" s="5">
        <f>data_origin!AA2223</f>
        <v>0</v>
      </c>
      <c r="AB1960" s="5">
        <f t="shared" si="195"/>
        <v>107.29319592932382</v>
      </c>
    </row>
    <row r="1961" spans="4:28" x14ac:dyDescent="0.25">
      <c r="D1961" t="s">
        <v>81</v>
      </c>
      <c r="E1961" s="38">
        <f t="shared" si="197"/>
        <v>0</v>
      </c>
      <c r="F1961" s="38">
        <f t="shared" si="197"/>
        <v>0</v>
      </c>
      <c r="G1961" s="38">
        <f t="shared" si="197"/>
        <v>2.4401995602987285</v>
      </c>
      <c r="H1961" s="38">
        <f t="shared" si="197"/>
        <v>27.115996003242635</v>
      </c>
      <c r="I1961" s="38">
        <f t="shared" si="197"/>
        <v>2.8894134310701118</v>
      </c>
      <c r="J1961" s="38">
        <f t="shared" si="196"/>
        <v>3.5861213533032261</v>
      </c>
      <c r="K1961" s="38">
        <f t="shared" si="196"/>
        <v>0</v>
      </c>
      <c r="L1961" s="38">
        <f t="shared" si="196"/>
        <v>0</v>
      </c>
      <c r="M1961" s="35">
        <f t="shared" si="198"/>
        <v>36.031730347914703</v>
      </c>
      <c r="S1961" t="s">
        <v>81</v>
      </c>
      <c r="T1961" s="5">
        <f>data_origin!T2224</f>
        <v>0</v>
      </c>
      <c r="U1961" s="5">
        <f>data_origin!U2224</f>
        <v>0</v>
      </c>
      <c r="V1961" s="5">
        <f>data_origin!V2224</f>
        <v>2.4066901408450705</v>
      </c>
      <c r="W1961" s="5">
        <f>data_origin!W2224</f>
        <v>26.648550724637683</v>
      </c>
      <c r="X1961" s="5">
        <f>data_origin!X2224</f>
        <v>2.8399366085578448</v>
      </c>
      <c r="Y1961" s="5">
        <f>data_origin!Y2224</f>
        <v>3.5204081632653059</v>
      </c>
      <c r="Z1961" s="5">
        <f>data_origin!Z2224</f>
        <v>0</v>
      </c>
      <c r="AA1961" s="5">
        <f>data_origin!AA2224</f>
        <v>0</v>
      </c>
      <c r="AB1961" s="5">
        <f t="shared" si="195"/>
        <v>35.415585637305909</v>
      </c>
    </row>
    <row r="1962" spans="4:28" x14ac:dyDescent="0.25">
      <c r="D1962" t="s">
        <v>82</v>
      </c>
      <c r="E1962" s="38">
        <f t="shared" si="197"/>
        <v>0</v>
      </c>
      <c r="F1962" s="38">
        <f t="shared" si="197"/>
        <v>0</v>
      </c>
      <c r="G1962" s="38">
        <f t="shared" si="197"/>
        <v>21.961796042688555</v>
      </c>
      <c r="H1962" s="38">
        <f t="shared" si="197"/>
        <v>56.943591606809534</v>
      </c>
      <c r="I1962" s="38">
        <f t="shared" si="197"/>
        <v>28.894134310701119</v>
      </c>
      <c r="J1962" s="38">
        <f t="shared" si="196"/>
        <v>7.1722427066064522</v>
      </c>
      <c r="K1962" s="38">
        <f t="shared" si="196"/>
        <v>3.7792857142857144</v>
      </c>
      <c r="L1962" s="38">
        <f t="shared" si="196"/>
        <v>0</v>
      </c>
      <c r="M1962" s="35">
        <f t="shared" si="198"/>
        <v>118.75105038109139</v>
      </c>
      <c r="S1962" t="s">
        <v>82</v>
      </c>
      <c r="T1962" s="5">
        <f>data_origin!T2225</f>
        <v>0</v>
      </c>
      <c r="U1962" s="5">
        <f>data_origin!U2225</f>
        <v>0</v>
      </c>
      <c r="V1962" s="5">
        <f>data_origin!V2225</f>
        <v>21.660211267605632</v>
      </c>
      <c r="W1962" s="5">
        <f>data_origin!W2225</f>
        <v>55.961956521739133</v>
      </c>
      <c r="X1962" s="5">
        <f>data_origin!X2225</f>
        <v>28.399366085578446</v>
      </c>
      <c r="Y1962" s="5">
        <f>data_origin!Y2225</f>
        <v>7.0408163265306118</v>
      </c>
      <c r="Z1962" s="5">
        <f>data_origin!Z2225</f>
        <v>3.7</v>
      </c>
      <c r="AA1962" s="5">
        <f>data_origin!AA2225</f>
        <v>0</v>
      </c>
      <c r="AB1962" s="5">
        <f t="shared" si="195"/>
        <v>116.76235020145383</v>
      </c>
    </row>
    <row r="1963" spans="4:28" x14ac:dyDescent="0.25">
      <c r="D1963" t="s">
        <v>83</v>
      </c>
      <c r="E1963" s="38">
        <f t="shared" si="197"/>
        <v>0</v>
      </c>
      <c r="F1963" s="38">
        <f t="shared" si="197"/>
        <v>0</v>
      </c>
      <c r="G1963" s="38">
        <f t="shared" si="197"/>
        <v>2.4401995602987285</v>
      </c>
      <c r="H1963" s="38">
        <f t="shared" si="197"/>
        <v>13.557998001621318</v>
      </c>
      <c r="I1963" s="38">
        <f t="shared" si="197"/>
        <v>8.6682402932103351</v>
      </c>
      <c r="J1963" s="38">
        <f t="shared" si="196"/>
        <v>0</v>
      </c>
      <c r="K1963" s="38">
        <f t="shared" si="196"/>
        <v>0</v>
      </c>
      <c r="L1963" s="38">
        <f t="shared" si="196"/>
        <v>0</v>
      </c>
      <c r="M1963" s="35">
        <f t="shared" si="198"/>
        <v>24.666437855130383</v>
      </c>
      <c r="S1963" t="s">
        <v>83</v>
      </c>
      <c r="T1963" s="5">
        <f>data_origin!T2226</f>
        <v>0</v>
      </c>
      <c r="U1963" s="5">
        <f>data_origin!U2226</f>
        <v>0</v>
      </c>
      <c r="V1963" s="5">
        <f>data_origin!V2226</f>
        <v>2.4066901408450705</v>
      </c>
      <c r="W1963" s="5">
        <f>data_origin!W2226</f>
        <v>13.324275362318842</v>
      </c>
      <c r="X1963" s="5">
        <f>data_origin!X2226</f>
        <v>8.5198098256735335</v>
      </c>
      <c r="Y1963" s="5">
        <f>data_origin!Y2226</f>
        <v>0</v>
      </c>
      <c r="Z1963" s="5">
        <f>data_origin!Z2226</f>
        <v>0</v>
      </c>
      <c r="AA1963" s="5">
        <f>data_origin!AA2226</f>
        <v>0</v>
      </c>
      <c r="AB1963" s="5">
        <f t="shared" si="195"/>
        <v>24.250775328837445</v>
      </c>
    </row>
    <row r="1964" spans="4:28" x14ac:dyDescent="0.25">
      <c r="D1964" t="s">
        <v>84</v>
      </c>
      <c r="E1964" s="38">
        <f t="shared" si="197"/>
        <v>0</v>
      </c>
      <c r="F1964" s="38">
        <f t="shared" si="197"/>
        <v>0</v>
      </c>
      <c r="G1964" s="38">
        <f t="shared" si="197"/>
        <v>2.4401995602987285</v>
      </c>
      <c r="H1964" s="38">
        <f t="shared" si="197"/>
        <v>13.557998001621318</v>
      </c>
      <c r="I1964" s="38">
        <f t="shared" si="197"/>
        <v>17.33648058642067</v>
      </c>
      <c r="J1964" s="38">
        <f t="shared" si="196"/>
        <v>3.5861213533032261</v>
      </c>
      <c r="K1964" s="38">
        <f t="shared" si="196"/>
        <v>0</v>
      </c>
      <c r="L1964" s="38">
        <f t="shared" si="196"/>
        <v>0</v>
      </c>
      <c r="M1964" s="35">
        <f t="shared" si="198"/>
        <v>36.920799501643941</v>
      </c>
      <c r="S1964" t="s">
        <v>84</v>
      </c>
      <c r="T1964" s="5">
        <f>data_origin!T2227</f>
        <v>0</v>
      </c>
      <c r="U1964" s="5">
        <f>data_origin!U2227</f>
        <v>0</v>
      </c>
      <c r="V1964" s="5">
        <f>data_origin!V2227</f>
        <v>2.4066901408450705</v>
      </c>
      <c r="W1964" s="5">
        <f>data_origin!W2227</f>
        <v>13.324275362318842</v>
      </c>
      <c r="X1964" s="5">
        <f>data_origin!X2227</f>
        <v>17.039619651347067</v>
      </c>
      <c r="Y1964" s="5">
        <f>data_origin!Y2227</f>
        <v>3.5204081632653059</v>
      </c>
      <c r="Z1964" s="5">
        <f>data_origin!Z2227</f>
        <v>0</v>
      </c>
      <c r="AA1964" s="5">
        <f>data_origin!AA2227</f>
        <v>0</v>
      </c>
      <c r="AB1964" s="5">
        <f t="shared" si="195"/>
        <v>36.290993317776291</v>
      </c>
    </row>
    <row r="1965" spans="4:28" x14ac:dyDescent="0.25">
      <c r="D1965" t="s">
        <v>85</v>
      </c>
      <c r="E1965" s="38">
        <f t="shared" si="197"/>
        <v>0</v>
      </c>
      <c r="F1965" s="38">
        <f t="shared" si="197"/>
        <v>0</v>
      </c>
      <c r="G1965" s="38">
        <f t="shared" si="197"/>
        <v>19.521596482389828</v>
      </c>
      <c r="H1965" s="38">
        <f t="shared" si="197"/>
        <v>62.366790807458059</v>
      </c>
      <c r="I1965" s="38">
        <f t="shared" si="197"/>
        <v>37.562374603911458</v>
      </c>
      <c r="J1965" s="38">
        <f t="shared" si="196"/>
        <v>3.5861213533032261</v>
      </c>
      <c r="K1965" s="38">
        <f t="shared" si="196"/>
        <v>0</v>
      </c>
      <c r="L1965" s="38">
        <f t="shared" si="196"/>
        <v>0</v>
      </c>
      <c r="M1965" s="35">
        <f t="shared" si="198"/>
        <v>123.03688324706256</v>
      </c>
      <c r="S1965" t="s">
        <v>85</v>
      </c>
      <c r="T1965" s="5">
        <f>data_origin!T2228</f>
        <v>0</v>
      </c>
      <c r="U1965" s="5">
        <f>data_origin!U2228</f>
        <v>0</v>
      </c>
      <c r="V1965" s="5">
        <f>data_origin!V2228</f>
        <v>19.253521126760564</v>
      </c>
      <c r="W1965" s="5">
        <f>data_origin!W2228</f>
        <v>61.291666666666664</v>
      </c>
      <c r="X1965" s="5">
        <f>data_origin!X2228</f>
        <v>36.919175911251983</v>
      </c>
      <c r="Y1965" s="5">
        <f>data_origin!Y2228</f>
        <v>3.5204081632653059</v>
      </c>
      <c r="Z1965" s="5">
        <f>data_origin!Z2228</f>
        <v>0</v>
      </c>
      <c r="AA1965" s="5">
        <f>data_origin!AA2228</f>
        <v>0</v>
      </c>
      <c r="AB1965" s="5">
        <f t="shared" si="195"/>
        <v>120.98477186794452</v>
      </c>
    </row>
    <row r="1966" spans="4:28" x14ac:dyDescent="0.25">
      <c r="D1966" t="s">
        <v>86</v>
      </c>
      <c r="E1966" s="38">
        <f t="shared" si="197"/>
        <v>0</v>
      </c>
      <c r="F1966" s="38">
        <f t="shared" si="197"/>
        <v>0</v>
      </c>
      <c r="G1966" s="38">
        <f t="shared" si="197"/>
        <v>63.445188567766948</v>
      </c>
      <c r="H1966" s="38">
        <f t="shared" si="197"/>
        <v>100.32918521199777</v>
      </c>
      <c r="I1966" s="38">
        <f t="shared" si="197"/>
        <v>72.345922345682681</v>
      </c>
      <c r="J1966" s="38">
        <f t="shared" si="196"/>
        <v>10.758364059909677</v>
      </c>
      <c r="K1966" s="38">
        <f t="shared" si="196"/>
        <v>0</v>
      </c>
      <c r="L1966" s="38">
        <f t="shared" si="196"/>
        <v>0</v>
      </c>
      <c r="M1966" s="35">
        <f t="shared" si="198"/>
        <v>246.87866018535706</v>
      </c>
      <c r="S1966" t="s">
        <v>86</v>
      </c>
      <c r="T1966" s="5">
        <f>data_origin!T2229</f>
        <v>0</v>
      </c>
      <c r="U1966" s="5">
        <f>data_origin!U2229</f>
        <v>0</v>
      </c>
      <c r="V1966" s="5">
        <f>data_origin!V2229</f>
        <v>62.573943661971832</v>
      </c>
      <c r="W1966" s="5">
        <f>data_origin!W2229</f>
        <v>98.599637681159436</v>
      </c>
      <c r="X1966" s="5">
        <f>data_origin!X2229</f>
        <v>68.158478605388268</v>
      </c>
      <c r="Y1966" s="5">
        <f>data_origin!Y2229</f>
        <v>10.561224489795919</v>
      </c>
      <c r="Z1966" s="5">
        <f>data_origin!Z2229</f>
        <v>0</v>
      </c>
      <c r="AA1966" s="5">
        <f>data_origin!AA2229</f>
        <v>0</v>
      </c>
      <c r="AB1966" s="5">
        <f t="shared" si="195"/>
        <v>239.89328443831545</v>
      </c>
    </row>
    <row r="1967" spans="4:28" x14ac:dyDescent="0.25">
      <c r="D1967" t="s">
        <v>87</v>
      </c>
      <c r="E1967" s="38">
        <f t="shared" si="197"/>
        <v>0</v>
      </c>
      <c r="F1967" s="38">
        <f t="shared" si="197"/>
        <v>0</v>
      </c>
      <c r="G1967" s="38">
        <f t="shared" si="197"/>
        <v>58.564789447169488</v>
      </c>
      <c r="H1967" s="38">
        <f t="shared" si="197"/>
        <v>132.86838041588891</v>
      </c>
      <c r="I1967" s="38">
        <f t="shared" si="197"/>
        <v>49.120028328191914</v>
      </c>
      <c r="J1967" s="38">
        <f t="shared" si="196"/>
        <v>7.1722427066064522</v>
      </c>
      <c r="K1967" s="38">
        <f t="shared" si="196"/>
        <v>3.7792857142857144</v>
      </c>
      <c r="L1967" s="38">
        <f t="shared" si="196"/>
        <v>0</v>
      </c>
      <c r="M1967" s="35">
        <f t="shared" si="198"/>
        <v>251.50472661214249</v>
      </c>
      <c r="S1967" t="s">
        <v>87</v>
      </c>
      <c r="T1967" s="5">
        <f>data_origin!T2230</f>
        <v>0</v>
      </c>
      <c r="U1967" s="5">
        <f>data_origin!U2230</f>
        <v>0</v>
      </c>
      <c r="V1967" s="5">
        <f>data_origin!V2230</f>
        <v>57.760563380281688</v>
      </c>
      <c r="W1967" s="5">
        <f>data_origin!W2230</f>
        <v>130.57789855072463</v>
      </c>
      <c r="X1967" s="5">
        <f>data_origin!X2230</f>
        <v>48.278922345483366</v>
      </c>
      <c r="Y1967" s="5">
        <f>data_origin!Y2230</f>
        <v>7.0408163265306118</v>
      </c>
      <c r="Z1967" s="5">
        <f>data_origin!Z2230</f>
        <v>3.7</v>
      </c>
      <c r="AA1967" s="5">
        <f>data_origin!AA2230</f>
        <v>0</v>
      </c>
      <c r="AB1967" s="5">
        <f t="shared" ref="AB1967:AB1982" si="199">SUM(T1967:AA1967)</f>
        <v>247.35820060302029</v>
      </c>
    </row>
    <row r="1968" spans="4:28" x14ac:dyDescent="0.25">
      <c r="D1968" t="s">
        <v>88</v>
      </c>
      <c r="E1968" s="38">
        <f t="shared" si="197"/>
        <v>0</v>
      </c>
      <c r="F1968" s="38">
        <f t="shared" si="197"/>
        <v>0</v>
      </c>
      <c r="G1968" s="38">
        <f t="shared" si="197"/>
        <v>367.52993404480935</v>
      </c>
      <c r="H1968" s="38">
        <f t="shared" si="197"/>
        <v>672.4767008804173</v>
      </c>
      <c r="I1968" s="38">
        <f t="shared" si="197"/>
        <v>485.42145641977879</v>
      </c>
      <c r="J1968" s="38">
        <f t="shared" si="196"/>
        <v>69.136305712761299</v>
      </c>
      <c r="K1968" s="38">
        <f t="shared" si="196"/>
        <v>7.5585714285714287</v>
      </c>
      <c r="L1968" s="38">
        <f t="shared" si="196"/>
        <v>1</v>
      </c>
      <c r="M1968" s="35">
        <f t="shared" si="198"/>
        <v>1603.1229684863379</v>
      </c>
      <c r="S1968" t="s">
        <v>88</v>
      </c>
      <c r="T1968" s="5">
        <f>data_origin!T2231</f>
        <v>0</v>
      </c>
      <c r="U1968" s="5">
        <f>data_origin!U2231</f>
        <v>0</v>
      </c>
      <c r="V1968" s="5">
        <f>data_origin!V2231</f>
        <v>361.00352112676057</v>
      </c>
      <c r="W1968" s="5">
        <f>data_origin!W2231</f>
        <v>660.8840579710145</v>
      </c>
      <c r="X1968" s="5">
        <f>data_origin!X2231</f>
        <v>477.10935023771788</v>
      </c>
      <c r="Y1968" s="5">
        <f>data_origin!Y2231</f>
        <v>66.887755102040813</v>
      </c>
      <c r="Z1968" s="5">
        <f>data_origin!Z2231</f>
        <v>7.4</v>
      </c>
      <c r="AA1968" s="5">
        <f>data_origin!AA2231</f>
        <v>1</v>
      </c>
      <c r="AB1968" s="5">
        <f t="shared" si="199"/>
        <v>1574.2846844375338</v>
      </c>
    </row>
    <row r="1969" spans="4:57" x14ac:dyDescent="0.25">
      <c r="D1969" t="s">
        <v>89</v>
      </c>
      <c r="E1969" s="38">
        <f t="shared" si="197"/>
        <v>0</v>
      </c>
      <c r="F1969" s="38">
        <f t="shared" si="197"/>
        <v>0</v>
      </c>
      <c r="G1969" s="38">
        <f t="shared" si="197"/>
        <v>25.901995602987288</v>
      </c>
      <c r="H1969" s="38">
        <f t="shared" si="197"/>
        <v>59.655191207133797</v>
      </c>
      <c r="I1969" s="38">
        <f t="shared" si="197"/>
        <v>26.004720879631009</v>
      </c>
      <c r="J1969" s="38">
        <f t="shared" si="196"/>
        <v>0</v>
      </c>
      <c r="K1969" s="38">
        <f t="shared" si="196"/>
        <v>0</v>
      </c>
      <c r="L1969" s="38">
        <f t="shared" si="196"/>
        <v>0</v>
      </c>
      <c r="M1969" s="35">
        <f t="shared" si="198"/>
        <v>111.56190768975209</v>
      </c>
      <c r="S1969" t="s">
        <v>89</v>
      </c>
      <c r="T1969" s="5">
        <f>data_origin!T2232</f>
        <v>0</v>
      </c>
      <c r="U1969" s="5">
        <f>data_origin!U2232</f>
        <v>0</v>
      </c>
      <c r="V1969" s="5">
        <f>data_origin!V2232</f>
        <v>24.066901408450704</v>
      </c>
      <c r="W1969" s="5">
        <f>data_origin!W2232</f>
        <v>58.626811594202898</v>
      </c>
      <c r="X1969" s="5">
        <f>data_origin!X2232</f>
        <v>25.559429477020604</v>
      </c>
      <c r="Y1969" s="5">
        <f>data_origin!Y2232</f>
        <v>0</v>
      </c>
      <c r="Z1969" s="5">
        <f>data_origin!Z2232</f>
        <v>0</v>
      </c>
      <c r="AA1969" s="5">
        <f>data_origin!AA2232</f>
        <v>0</v>
      </c>
      <c r="AB1969" s="5">
        <f t="shared" si="199"/>
        <v>108.2531424796742</v>
      </c>
    </row>
    <row r="1970" spans="4:57" x14ac:dyDescent="0.25">
      <c r="D1970" t="s">
        <v>90</v>
      </c>
      <c r="E1970" s="38">
        <f t="shared" ref="E1970:L1982" si="200">T1970+AW584+IFERROR((T1970/SUM(T$993:T$1982)*AW$630),0)+IFERROR((T1970/SUM(T$1125:T$1322,T$1455:T$1652,T$1785:T$1982)*AW$732),0)</f>
        <v>0</v>
      </c>
      <c r="F1970" s="38">
        <f t="shared" si="200"/>
        <v>0</v>
      </c>
      <c r="G1970" s="38">
        <f t="shared" si="200"/>
        <v>0</v>
      </c>
      <c r="H1970" s="38">
        <f t="shared" si="200"/>
        <v>0</v>
      </c>
      <c r="I1970" s="38">
        <f t="shared" si="200"/>
        <v>5.7788268621402237</v>
      </c>
      <c r="J1970" s="38">
        <f t="shared" si="196"/>
        <v>0</v>
      </c>
      <c r="K1970" s="38">
        <f t="shared" si="196"/>
        <v>0</v>
      </c>
      <c r="L1970" s="38">
        <f t="shared" si="196"/>
        <v>0</v>
      </c>
      <c r="M1970" s="35">
        <f t="shared" si="198"/>
        <v>5.7788268621402237</v>
      </c>
      <c r="S1970" t="s">
        <v>90</v>
      </c>
      <c r="T1970" s="5">
        <f>data_origin!T2233</f>
        <v>0</v>
      </c>
      <c r="U1970" s="5">
        <f>data_origin!U2233</f>
        <v>0</v>
      </c>
      <c r="V1970" s="5">
        <f>data_origin!V2233</f>
        <v>0</v>
      </c>
      <c r="W1970" s="5">
        <f>data_origin!W2233</f>
        <v>0</v>
      </c>
      <c r="X1970" s="5">
        <f>data_origin!X2233</f>
        <v>5.6798732171156896</v>
      </c>
      <c r="Y1970" s="5">
        <f>data_origin!Y2233</f>
        <v>0</v>
      </c>
      <c r="Z1970" s="5">
        <f>data_origin!Z2233</f>
        <v>0</v>
      </c>
      <c r="AA1970" s="5">
        <f>data_origin!AA2233</f>
        <v>0</v>
      </c>
      <c r="AB1970" s="5">
        <f t="shared" si="199"/>
        <v>5.6798732171156896</v>
      </c>
    </row>
    <row r="1971" spans="4:57" x14ac:dyDescent="0.25">
      <c r="D1971" t="s">
        <v>91</v>
      </c>
      <c r="E1971" s="38">
        <f t="shared" si="200"/>
        <v>0</v>
      </c>
      <c r="F1971" s="38">
        <f t="shared" si="200"/>
        <v>0</v>
      </c>
      <c r="G1971" s="38">
        <f t="shared" si="200"/>
        <v>2.4401995602987285</v>
      </c>
      <c r="H1971" s="38">
        <f t="shared" si="200"/>
        <v>13.557998001621318</v>
      </c>
      <c r="I1971" s="38">
        <f t="shared" si="200"/>
        <v>5.7788268621402237</v>
      </c>
      <c r="J1971" s="38">
        <f t="shared" si="196"/>
        <v>0</v>
      </c>
      <c r="K1971" s="38">
        <f t="shared" si="196"/>
        <v>0</v>
      </c>
      <c r="L1971" s="38">
        <f t="shared" si="196"/>
        <v>0</v>
      </c>
      <c r="M1971" s="35">
        <f t="shared" si="198"/>
        <v>21.777024424060269</v>
      </c>
      <c r="S1971" t="s">
        <v>91</v>
      </c>
      <c r="T1971" s="5">
        <f>data_origin!T2234</f>
        <v>0</v>
      </c>
      <c r="U1971" s="5">
        <f>data_origin!U2234</f>
        <v>0</v>
      </c>
      <c r="V1971" s="5">
        <f>data_origin!V2234</f>
        <v>2.4066901408450705</v>
      </c>
      <c r="W1971" s="5">
        <f>data_origin!W2234</f>
        <v>13.324275362318842</v>
      </c>
      <c r="X1971" s="5">
        <f>data_origin!X2234</f>
        <v>5.6798732171156896</v>
      </c>
      <c r="Y1971" s="5">
        <f>data_origin!Y2234</f>
        <v>0</v>
      </c>
      <c r="Z1971" s="5">
        <f>data_origin!Z2234</f>
        <v>0</v>
      </c>
      <c r="AA1971" s="5">
        <f>data_origin!AA2234</f>
        <v>0</v>
      </c>
      <c r="AB1971" s="5">
        <f t="shared" si="199"/>
        <v>21.4108387202796</v>
      </c>
    </row>
    <row r="1972" spans="4:57" x14ac:dyDescent="0.25">
      <c r="D1972" t="s">
        <v>92</v>
      </c>
      <c r="E1972" s="38">
        <f t="shared" si="200"/>
        <v>0</v>
      </c>
      <c r="F1972" s="38">
        <f t="shared" si="200"/>
        <v>0</v>
      </c>
      <c r="G1972" s="38">
        <f t="shared" si="200"/>
        <v>2.4401995602987285</v>
      </c>
      <c r="H1972" s="38">
        <f t="shared" si="200"/>
        <v>0</v>
      </c>
      <c r="I1972" s="38">
        <f t="shared" si="200"/>
        <v>2.8894134310701118</v>
      </c>
      <c r="J1972" s="38">
        <f t="shared" si="196"/>
        <v>0</v>
      </c>
      <c r="K1972" s="38">
        <f t="shared" si="196"/>
        <v>0</v>
      </c>
      <c r="L1972" s="38">
        <f t="shared" si="196"/>
        <v>0</v>
      </c>
      <c r="M1972" s="35">
        <f t="shared" si="198"/>
        <v>5.3296129913688404</v>
      </c>
      <c r="S1972" t="s">
        <v>92</v>
      </c>
      <c r="T1972" s="5">
        <f>data_origin!T2235</f>
        <v>0</v>
      </c>
      <c r="U1972" s="5">
        <f>data_origin!U2235</f>
        <v>0</v>
      </c>
      <c r="V1972" s="5">
        <f>data_origin!V2235</f>
        <v>2.4066901408450705</v>
      </c>
      <c r="W1972" s="5">
        <f>data_origin!W2235</f>
        <v>0</v>
      </c>
      <c r="X1972" s="5">
        <f>data_origin!X2235</f>
        <v>2.8399366085578448</v>
      </c>
      <c r="Y1972" s="5">
        <f>data_origin!Y2235</f>
        <v>0</v>
      </c>
      <c r="Z1972" s="5">
        <f>data_origin!Z2235</f>
        <v>0</v>
      </c>
      <c r="AA1972" s="5">
        <f>data_origin!AA2235</f>
        <v>0</v>
      </c>
      <c r="AB1972" s="5">
        <f t="shared" si="199"/>
        <v>5.2466267494029157</v>
      </c>
    </row>
    <row r="1973" spans="4:57" x14ac:dyDescent="0.25">
      <c r="D1973" t="s">
        <v>93</v>
      </c>
      <c r="E1973" s="38">
        <f t="shared" si="200"/>
        <v>0</v>
      </c>
      <c r="F1973" s="38">
        <f t="shared" si="200"/>
        <v>0</v>
      </c>
      <c r="G1973" s="38">
        <f t="shared" si="200"/>
        <v>0</v>
      </c>
      <c r="H1973" s="38">
        <f t="shared" si="200"/>
        <v>0</v>
      </c>
      <c r="I1973" s="38">
        <f t="shared" si="200"/>
        <v>2.8894134310701118</v>
      </c>
      <c r="J1973" s="38">
        <f t="shared" si="196"/>
        <v>0</v>
      </c>
      <c r="K1973" s="38">
        <f t="shared" si="196"/>
        <v>0</v>
      </c>
      <c r="L1973" s="38">
        <f t="shared" si="196"/>
        <v>0</v>
      </c>
      <c r="M1973" s="35">
        <f t="shared" si="198"/>
        <v>2.8894134310701118</v>
      </c>
      <c r="S1973" t="s">
        <v>93</v>
      </c>
      <c r="T1973" s="5">
        <f>data_origin!T2236</f>
        <v>0</v>
      </c>
      <c r="U1973" s="5">
        <f>data_origin!U2236</f>
        <v>0</v>
      </c>
      <c r="V1973" s="5">
        <f>data_origin!V2236</f>
        <v>0</v>
      </c>
      <c r="W1973" s="5">
        <f>data_origin!W2236</f>
        <v>0</v>
      </c>
      <c r="X1973" s="5">
        <f>data_origin!X2236</f>
        <v>2.8399366085578448</v>
      </c>
      <c r="Y1973" s="5">
        <f>data_origin!Y2236</f>
        <v>0</v>
      </c>
      <c r="Z1973" s="5">
        <f>data_origin!Z2236</f>
        <v>0</v>
      </c>
      <c r="AA1973" s="5">
        <f>data_origin!AA2236</f>
        <v>0</v>
      </c>
      <c r="AB1973" s="5">
        <f t="shared" si="199"/>
        <v>2.8399366085578448</v>
      </c>
    </row>
    <row r="1974" spans="4:57" x14ac:dyDescent="0.25">
      <c r="D1974" t="s">
        <v>94</v>
      </c>
      <c r="E1974" s="38">
        <f t="shared" si="200"/>
        <v>0</v>
      </c>
      <c r="F1974" s="38">
        <f t="shared" si="200"/>
        <v>0</v>
      </c>
      <c r="G1974" s="38">
        <f t="shared" si="200"/>
        <v>0</v>
      </c>
      <c r="H1974" s="38">
        <f t="shared" si="200"/>
        <v>0</v>
      </c>
      <c r="I1974" s="38">
        <f t="shared" si="200"/>
        <v>0</v>
      </c>
      <c r="J1974" s="38">
        <f t="shared" si="200"/>
        <v>0</v>
      </c>
      <c r="K1974" s="38">
        <f t="shared" si="200"/>
        <v>0</v>
      </c>
      <c r="L1974" s="38">
        <f t="shared" si="200"/>
        <v>0</v>
      </c>
      <c r="M1974" s="35">
        <f t="shared" si="198"/>
        <v>0</v>
      </c>
      <c r="S1974" t="s">
        <v>94</v>
      </c>
      <c r="T1974" s="5">
        <f>data_origin!T2237</f>
        <v>0</v>
      </c>
      <c r="U1974" s="5">
        <f>data_origin!U2237</f>
        <v>0</v>
      </c>
      <c r="V1974" s="5">
        <f>data_origin!V2237</f>
        <v>0</v>
      </c>
      <c r="W1974" s="5">
        <f>data_origin!W2237</f>
        <v>0</v>
      </c>
      <c r="X1974" s="5">
        <f>data_origin!X2237</f>
        <v>0</v>
      </c>
      <c r="Y1974" s="5">
        <f>data_origin!Y2237</f>
        <v>0</v>
      </c>
      <c r="Z1974" s="5">
        <f>data_origin!Z2237</f>
        <v>0</v>
      </c>
      <c r="AA1974" s="5">
        <f>data_origin!AA2237</f>
        <v>0</v>
      </c>
      <c r="AB1974" s="5">
        <f t="shared" si="199"/>
        <v>0</v>
      </c>
    </row>
    <row r="1975" spans="4:57" x14ac:dyDescent="0.25">
      <c r="D1975" t="s">
        <v>95</v>
      </c>
      <c r="E1975" s="38">
        <f t="shared" si="200"/>
        <v>0</v>
      </c>
      <c r="F1975" s="38">
        <f t="shared" si="200"/>
        <v>0</v>
      </c>
      <c r="G1975" s="38">
        <f t="shared" si="200"/>
        <v>0</v>
      </c>
      <c r="H1975" s="38">
        <f t="shared" si="200"/>
        <v>0</v>
      </c>
      <c r="I1975" s="38">
        <f t="shared" si="200"/>
        <v>0</v>
      </c>
      <c r="J1975" s="38">
        <f t="shared" si="200"/>
        <v>0</v>
      </c>
      <c r="K1975" s="38">
        <f t="shared" si="200"/>
        <v>0</v>
      </c>
      <c r="L1975" s="38">
        <f t="shared" si="200"/>
        <v>0</v>
      </c>
      <c r="M1975" s="35">
        <f t="shared" si="198"/>
        <v>0</v>
      </c>
      <c r="S1975" t="s">
        <v>95</v>
      </c>
      <c r="T1975" s="5">
        <f>data_origin!T2238</f>
        <v>0</v>
      </c>
      <c r="U1975" s="5">
        <f>data_origin!U2238</f>
        <v>0</v>
      </c>
      <c r="V1975" s="5">
        <f>data_origin!V2238</f>
        <v>0</v>
      </c>
      <c r="W1975" s="5">
        <f>data_origin!W2238</f>
        <v>0</v>
      </c>
      <c r="X1975" s="5">
        <f>data_origin!X2238</f>
        <v>0</v>
      </c>
      <c r="Y1975" s="5">
        <f>data_origin!Y2238</f>
        <v>0</v>
      </c>
      <c r="Z1975" s="5">
        <f>data_origin!Z2238</f>
        <v>0</v>
      </c>
      <c r="AA1975" s="5">
        <f>data_origin!AA2238</f>
        <v>0</v>
      </c>
      <c r="AB1975" s="5">
        <f t="shared" si="199"/>
        <v>0</v>
      </c>
    </row>
    <row r="1976" spans="4:57" x14ac:dyDescent="0.25">
      <c r="D1976" t="s">
        <v>96</v>
      </c>
      <c r="E1976" s="38">
        <f t="shared" si="200"/>
        <v>0</v>
      </c>
      <c r="F1976" s="38">
        <f t="shared" si="200"/>
        <v>0</v>
      </c>
      <c r="G1976" s="38">
        <f t="shared" si="200"/>
        <v>0</v>
      </c>
      <c r="H1976" s="38">
        <f t="shared" si="200"/>
        <v>2.7115996003242633</v>
      </c>
      <c r="I1976" s="38">
        <f t="shared" si="200"/>
        <v>2.8894134310701118</v>
      </c>
      <c r="J1976" s="38">
        <f t="shared" si="200"/>
        <v>0</v>
      </c>
      <c r="K1976" s="38">
        <f t="shared" si="200"/>
        <v>0</v>
      </c>
      <c r="L1976" s="38">
        <f t="shared" si="200"/>
        <v>0</v>
      </c>
      <c r="M1976" s="35">
        <f t="shared" si="198"/>
        <v>5.6010130313943751</v>
      </c>
      <c r="S1976" t="s">
        <v>96</v>
      </c>
      <c r="T1976" s="5">
        <f>data_origin!T2239</f>
        <v>0</v>
      </c>
      <c r="U1976" s="5">
        <f>data_origin!U2239</f>
        <v>0</v>
      </c>
      <c r="V1976" s="5">
        <f>data_origin!V2239</f>
        <v>0</v>
      </c>
      <c r="W1976" s="5">
        <f>data_origin!W2239</f>
        <v>2.6648550724637681</v>
      </c>
      <c r="X1976" s="5">
        <f>data_origin!X2239</f>
        <v>2.8399366085578448</v>
      </c>
      <c r="Y1976" s="5">
        <f>data_origin!Y2239</f>
        <v>0</v>
      </c>
      <c r="Z1976" s="5">
        <f>data_origin!Z2239</f>
        <v>0</v>
      </c>
      <c r="AA1976" s="5">
        <f>data_origin!AA2239</f>
        <v>0</v>
      </c>
      <c r="AB1976" s="5">
        <f t="shared" si="199"/>
        <v>5.5047916810216133</v>
      </c>
    </row>
    <row r="1977" spans="4:57" x14ac:dyDescent="0.25">
      <c r="D1977" t="s">
        <v>97</v>
      </c>
      <c r="E1977" s="38">
        <f t="shared" si="200"/>
        <v>0</v>
      </c>
      <c r="F1977" s="38">
        <f t="shared" si="200"/>
        <v>0</v>
      </c>
      <c r="G1977" s="38">
        <f t="shared" si="200"/>
        <v>9.7607982411949141</v>
      </c>
      <c r="H1977" s="38">
        <f t="shared" si="200"/>
        <v>32.539195203891161</v>
      </c>
      <c r="I1977" s="38">
        <f t="shared" si="200"/>
        <v>8.6682402932103351</v>
      </c>
      <c r="J1977" s="38">
        <f t="shared" si="200"/>
        <v>0</v>
      </c>
      <c r="K1977" s="38">
        <f t="shared" si="200"/>
        <v>0</v>
      </c>
      <c r="L1977" s="38">
        <f t="shared" si="200"/>
        <v>0</v>
      </c>
      <c r="M1977" s="35">
        <f t="shared" si="198"/>
        <v>50.968233738296405</v>
      </c>
      <c r="S1977" t="s">
        <v>97</v>
      </c>
      <c r="T1977" s="5">
        <f>data_origin!T2240</f>
        <v>0</v>
      </c>
      <c r="U1977" s="5">
        <f>data_origin!U2240</f>
        <v>0</v>
      </c>
      <c r="V1977" s="5">
        <f>data_origin!V2240</f>
        <v>9.626760563380282</v>
      </c>
      <c r="W1977" s="5">
        <f>data_origin!W2240</f>
        <v>31.978260869565215</v>
      </c>
      <c r="X1977" s="5">
        <f>data_origin!X2240</f>
        <v>8.5198098256735335</v>
      </c>
      <c r="Y1977" s="5">
        <f>data_origin!Y2240</f>
        <v>0</v>
      </c>
      <c r="Z1977" s="5">
        <f>data_origin!Z2240</f>
        <v>0</v>
      </c>
      <c r="AA1977" s="5">
        <f>data_origin!AA2240</f>
        <v>0</v>
      </c>
      <c r="AB1977" s="5">
        <f t="shared" si="199"/>
        <v>50.124831258619032</v>
      </c>
    </row>
    <row r="1978" spans="4:57" x14ac:dyDescent="0.25">
      <c r="D1978" t="s">
        <v>98</v>
      </c>
      <c r="E1978" s="38">
        <f t="shared" si="200"/>
        <v>0</v>
      </c>
      <c r="F1978" s="38">
        <f t="shared" si="200"/>
        <v>0</v>
      </c>
      <c r="G1978" s="38">
        <f t="shared" si="200"/>
        <v>19.521596482389828</v>
      </c>
      <c r="H1978" s="38">
        <f t="shared" si="200"/>
        <v>84.059587610052162</v>
      </c>
      <c r="I1978" s="38">
        <f t="shared" si="200"/>
        <v>57.788268621402239</v>
      </c>
      <c r="J1978" s="38">
        <f t="shared" si="200"/>
        <v>17.930606766516128</v>
      </c>
      <c r="K1978" s="38">
        <f t="shared" si="200"/>
        <v>3.7792857142857144</v>
      </c>
      <c r="L1978" s="38">
        <f t="shared" si="200"/>
        <v>0</v>
      </c>
      <c r="M1978" s="35">
        <f t="shared" si="198"/>
        <v>183.07934519464607</v>
      </c>
      <c r="S1978" t="s">
        <v>98</v>
      </c>
      <c r="T1978" s="5">
        <f>data_origin!T2241</f>
        <v>0</v>
      </c>
      <c r="U1978" s="5">
        <f>data_origin!U2241</f>
        <v>0</v>
      </c>
      <c r="V1978" s="5">
        <f>data_origin!V2241</f>
        <v>19.253521126760564</v>
      </c>
      <c r="W1978" s="5">
        <f>data_origin!W2241</f>
        <v>82.610507246376812</v>
      </c>
      <c r="X1978" s="5">
        <f>data_origin!X2241</f>
        <v>56.798732171156892</v>
      </c>
      <c r="Y1978" s="5">
        <f>data_origin!Y2241</f>
        <v>17.602040816326529</v>
      </c>
      <c r="Z1978" s="5">
        <f>data_origin!Z2241</f>
        <v>3.7</v>
      </c>
      <c r="AA1978" s="5">
        <f>data_origin!AA2241</f>
        <v>0</v>
      </c>
      <c r="AB1978" s="5">
        <f t="shared" si="199"/>
        <v>179.96480136062078</v>
      </c>
    </row>
    <row r="1979" spans="4:57" x14ac:dyDescent="0.25">
      <c r="D1979" t="s">
        <v>119</v>
      </c>
      <c r="E1979" s="38">
        <f t="shared" si="200"/>
        <v>0</v>
      </c>
      <c r="F1979" s="38">
        <f t="shared" si="200"/>
        <v>0</v>
      </c>
      <c r="G1979" s="38">
        <f t="shared" si="200"/>
        <v>4.8803991205974571</v>
      </c>
      <c r="H1979" s="38">
        <f t="shared" si="200"/>
        <v>21.692796802594106</v>
      </c>
      <c r="I1979" s="38">
        <f t="shared" si="200"/>
        <v>5.7788268621402237</v>
      </c>
      <c r="J1979" s="38">
        <f t="shared" si="200"/>
        <v>0</v>
      </c>
      <c r="K1979" s="38">
        <f t="shared" si="200"/>
        <v>0</v>
      </c>
      <c r="L1979" s="38">
        <f t="shared" si="200"/>
        <v>0</v>
      </c>
      <c r="M1979" s="35">
        <f t="shared" si="198"/>
        <v>32.352022785331783</v>
      </c>
      <c r="S1979" t="s">
        <v>119</v>
      </c>
      <c r="T1979" s="5">
        <f>data_origin!T2242</f>
        <v>0</v>
      </c>
      <c r="U1979" s="5">
        <f>data_origin!U2242</f>
        <v>0</v>
      </c>
      <c r="V1979" s="5">
        <f>data_origin!V2242</f>
        <v>4.813380281690141</v>
      </c>
      <c r="W1979" s="5">
        <f>data_origin!W2242</f>
        <v>21.318840579710145</v>
      </c>
      <c r="X1979" s="5">
        <f>data_origin!X2242</f>
        <v>5.6798732171156896</v>
      </c>
      <c r="Y1979" s="5">
        <f>data_origin!Y2242</f>
        <v>0</v>
      </c>
      <c r="Z1979" s="5">
        <f>data_origin!Z2242</f>
        <v>0</v>
      </c>
      <c r="AA1979" s="5">
        <f>data_origin!AA2242</f>
        <v>0</v>
      </c>
      <c r="AB1979" s="5">
        <f t="shared" si="199"/>
        <v>31.812094078515976</v>
      </c>
    </row>
    <row r="1980" spans="4:57" x14ac:dyDescent="0.25">
      <c r="D1980" t="s">
        <v>99</v>
      </c>
      <c r="E1980" s="38">
        <f t="shared" si="200"/>
        <v>0</v>
      </c>
      <c r="F1980" s="38">
        <f t="shared" si="200"/>
        <v>0</v>
      </c>
      <c r="G1980" s="38">
        <f t="shared" si="200"/>
        <v>19.521596482389828</v>
      </c>
      <c r="H1980" s="38">
        <f t="shared" si="200"/>
        <v>32.539195203891161</v>
      </c>
      <c r="I1980" s="38">
        <f t="shared" si="200"/>
        <v>26.004720879631009</v>
      </c>
      <c r="J1980" s="38">
        <f t="shared" si="200"/>
        <v>3.5861213533032261</v>
      </c>
      <c r="K1980" s="38">
        <f t="shared" si="200"/>
        <v>0</v>
      </c>
      <c r="L1980" s="38">
        <f t="shared" si="200"/>
        <v>0</v>
      </c>
      <c r="M1980" s="35">
        <f t="shared" si="198"/>
        <v>81.651633919215229</v>
      </c>
      <c r="S1980" t="s">
        <v>99</v>
      </c>
      <c r="T1980" s="5">
        <f>data_origin!T2243</f>
        <v>0</v>
      </c>
      <c r="U1980" s="5">
        <f>data_origin!U2243</f>
        <v>0</v>
      </c>
      <c r="V1980" s="5">
        <f>data_origin!V2243</f>
        <v>19.253521126760564</v>
      </c>
      <c r="W1980" s="5">
        <f>data_origin!W2243</f>
        <v>31.978260869565215</v>
      </c>
      <c r="X1980" s="5">
        <f>data_origin!X2243</f>
        <v>25.559429477020604</v>
      </c>
      <c r="Y1980" s="5">
        <f>data_origin!Y2243</f>
        <v>3.5204081632653059</v>
      </c>
      <c r="Z1980" s="5">
        <f>data_origin!Z2243</f>
        <v>0</v>
      </c>
      <c r="AA1980" s="5">
        <f>data_origin!AA2243</f>
        <v>0</v>
      </c>
      <c r="AB1980" s="5">
        <f t="shared" si="199"/>
        <v>80.311619636611681</v>
      </c>
    </row>
    <row r="1981" spans="4:57" x14ac:dyDescent="0.25">
      <c r="D1981" t="s">
        <v>100</v>
      </c>
      <c r="E1981" s="38">
        <f t="shared" si="200"/>
        <v>0</v>
      </c>
      <c r="F1981" s="38">
        <f t="shared" si="200"/>
        <v>0</v>
      </c>
      <c r="G1981" s="38">
        <f t="shared" si="200"/>
        <v>546.60470150691515</v>
      </c>
      <c r="H1981" s="38">
        <f t="shared" si="200"/>
        <v>1293.4330093546739</v>
      </c>
      <c r="I1981" s="38">
        <f t="shared" si="200"/>
        <v>719.46394433645787</v>
      </c>
      <c r="J1981" s="38">
        <f t="shared" si="200"/>
        <v>154.20321819203872</v>
      </c>
      <c r="K1981" s="38">
        <f t="shared" si="200"/>
        <v>15.117142857142857</v>
      </c>
      <c r="L1981" s="38">
        <f t="shared" si="200"/>
        <v>0</v>
      </c>
      <c r="M1981" s="35">
        <f t="shared" si="198"/>
        <v>2728.8220162472285</v>
      </c>
      <c r="S1981" t="s">
        <v>100</v>
      </c>
      <c r="T1981" s="5">
        <f>data_origin!T2244</f>
        <v>0</v>
      </c>
      <c r="U1981" s="5">
        <f>data_origin!U2244</f>
        <v>0</v>
      </c>
      <c r="V1981" s="5">
        <f>data_origin!V2244</f>
        <v>539.09859154929575</v>
      </c>
      <c r="W1981" s="5">
        <f>data_origin!W2244</f>
        <v>1271.1358695652175</v>
      </c>
      <c r="X1981" s="5">
        <f>data_origin!X2244</f>
        <v>707.14421553090335</v>
      </c>
      <c r="Y1981" s="5">
        <f>data_origin!Y2244</f>
        <v>151.37755102040816</v>
      </c>
      <c r="Z1981" s="5">
        <f>data_origin!Z2244</f>
        <v>14.8</v>
      </c>
      <c r="AA1981" s="5">
        <f>data_origin!AA2244</f>
        <v>0</v>
      </c>
      <c r="AB1981" s="5">
        <f t="shared" si="199"/>
        <v>2683.5562276658247</v>
      </c>
    </row>
    <row r="1982" spans="4:57" x14ac:dyDescent="0.25">
      <c r="D1982" t="s">
        <v>101</v>
      </c>
      <c r="E1982" s="38">
        <f t="shared" si="200"/>
        <v>0</v>
      </c>
      <c r="F1982" s="38">
        <f t="shared" si="200"/>
        <v>0</v>
      </c>
      <c r="G1982" s="38">
        <f t="shared" si="200"/>
        <v>34.162793844182197</v>
      </c>
      <c r="H1982" s="38">
        <f t="shared" si="200"/>
        <v>51.520392406161008</v>
      </c>
      <c r="I1982" s="38">
        <f t="shared" si="200"/>
        <v>23.115307448560895</v>
      </c>
      <c r="J1982" s="38">
        <f t="shared" si="200"/>
        <v>7.1722427066064522</v>
      </c>
      <c r="K1982" s="38">
        <f t="shared" si="200"/>
        <v>0</v>
      </c>
      <c r="L1982" s="38">
        <f t="shared" si="200"/>
        <v>0</v>
      </c>
      <c r="M1982" s="35">
        <f t="shared" si="198"/>
        <v>115.97073640551055</v>
      </c>
      <c r="S1982" t="s">
        <v>101</v>
      </c>
      <c r="T1982" s="5">
        <f>data_origin!T2245</f>
        <v>0</v>
      </c>
      <c r="U1982" s="5">
        <f>data_origin!U2245</f>
        <v>0</v>
      </c>
      <c r="V1982" s="5">
        <f>data_origin!V2245</f>
        <v>33.693661971830984</v>
      </c>
      <c r="W1982" s="5">
        <f>data_origin!W2245</f>
        <v>50.632246376811594</v>
      </c>
      <c r="X1982" s="5">
        <f>data_origin!X2245</f>
        <v>22.719492868462758</v>
      </c>
      <c r="Y1982" s="5">
        <f>data_origin!Y2245</f>
        <v>7.0408163265306118</v>
      </c>
      <c r="Z1982" s="5">
        <f>data_origin!Z2245</f>
        <v>0</v>
      </c>
      <c r="AA1982" s="5">
        <f>data_origin!AA2245</f>
        <v>0</v>
      </c>
      <c r="AB1982" s="5">
        <f t="shared" si="199"/>
        <v>114.08621754363595</v>
      </c>
    </row>
    <row r="1983" spans="4:57" x14ac:dyDescent="0.25">
      <c r="E1983" s="35"/>
      <c r="F1983" s="35"/>
      <c r="G1983" s="35"/>
      <c r="H1983" s="35"/>
      <c r="I1983" s="35"/>
      <c r="J1983" s="35"/>
      <c r="K1983" s="35"/>
      <c r="L1983" s="35"/>
      <c r="M1983" s="35"/>
      <c r="T1983" s="5"/>
      <c r="U1983" s="5"/>
      <c r="V1983" s="5"/>
      <c r="W1983" s="5"/>
      <c r="X1983" s="5"/>
      <c r="Y1983" s="5"/>
      <c r="Z1983" s="5"/>
      <c r="AA1983" s="5"/>
      <c r="AB1983" s="5"/>
    </row>
    <row r="1984" spans="4:57" x14ac:dyDescent="0.25">
      <c r="E1984" s="35"/>
      <c r="F1984" s="35"/>
      <c r="G1984" s="35"/>
      <c r="H1984" s="35"/>
      <c r="I1984" s="35"/>
      <c r="J1984" s="35"/>
      <c r="K1984" s="35"/>
      <c r="L1984" s="35"/>
      <c r="M1984" s="35"/>
      <c r="T1984" s="5">
        <f t="shared" ref="T1984:AB1984" si="201">SUM(T3:T1982)</f>
        <v>0</v>
      </c>
      <c r="U1984" s="5">
        <f t="shared" si="201"/>
        <v>0</v>
      </c>
      <c r="V1984" s="5">
        <f t="shared" si="201"/>
        <v>27286.000000000164</v>
      </c>
      <c r="W1984" s="5">
        <f t="shared" si="201"/>
        <v>40008.000000000065</v>
      </c>
      <c r="X1984" s="5">
        <f t="shared" si="201"/>
        <v>20592.999999999967</v>
      </c>
      <c r="Y1984" s="5">
        <f t="shared" si="201"/>
        <v>2841.9999999999977</v>
      </c>
      <c r="Z1984" s="5">
        <f t="shared" si="201"/>
        <v>408.99999999999892</v>
      </c>
      <c r="AA1984" s="5">
        <f t="shared" si="201"/>
        <v>50.000000000000085</v>
      </c>
      <c r="AB1984" s="31">
        <f t="shared" si="201"/>
        <v>91188.000000000247</v>
      </c>
      <c r="AI1984" s="5"/>
      <c r="AJ1984" s="5"/>
      <c r="AK1984" s="5"/>
      <c r="AL1984" s="5"/>
      <c r="AM1984" s="5"/>
      <c r="AN1984" s="5"/>
      <c r="AO1984" s="5"/>
      <c r="AP1984" s="5"/>
      <c r="AQ1984" s="5"/>
      <c r="AW1984" s="5"/>
      <c r="AX1984" s="5"/>
      <c r="AY1984" s="5"/>
      <c r="AZ1984" s="5"/>
      <c r="BA1984" s="5"/>
      <c r="BB1984" s="5"/>
      <c r="BC1984" s="5"/>
      <c r="BD1984" s="5"/>
      <c r="BE1984" s="5"/>
    </row>
    <row r="1985" spans="3:57" x14ac:dyDescent="0.25">
      <c r="E1985" s="35"/>
      <c r="F1985" s="35"/>
      <c r="G1985" s="35"/>
      <c r="H1985" s="35"/>
      <c r="I1985" s="35"/>
      <c r="J1985" s="35"/>
      <c r="K1985" s="35"/>
      <c r="L1985" s="35"/>
      <c r="M1985" s="35"/>
      <c r="AB1985" s="5"/>
      <c r="AI1985" s="5"/>
      <c r="AJ1985" s="5"/>
      <c r="AK1985" s="5"/>
      <c r="AL1985" s="5"/>
      <c r="AM1985" s="5"/>
      <c r="AN1985" s="5"/>
      <c r="AO1985" s="5"/>
      <c r="AP1985" s="5"/>
      <c r="AQ1985" s="5"/>
      <c r="AW1985" s="5"/>
      <c r="AX1985" s="5"/>
      <c r="AY1985" s="5"/>
      <c r="AZ1985" s="5"/>
      <c r="BA1985" s="5"/>
      <c r="BB1985" s="5"/>
      <c r="BC1985" s="5"/>
      <c r="BD1985" s="5"/>
      <c r="BE1985" s="5"/>
    </row>
    <row r="1986" spans="3:57" x14ac:dyDescent="0.25">
      <c r="C1986" t="s">
        <v>145</v>
      </c>
      <c r="E1986" s="35">
        <f>SUM(E3:E992)</f>
        <v>0</v>
      </c>
      <c r="F1986" s="35">
        <f t="shared" ref="F1986:L1986" si="202">SUM(F3:F992)</f>
        <v>0</v>
      </c>
      <c r="G1986" s="35">
        <f t="shared" si="202"/>
        <v>19129.999999999964</v>
      </c>
      <c r="H1986" s="35">
        <f t="shared" si="202"/>
        <v>27109.999999999971</v>
      </c>
      <c r="I1986" s="35">
        <f t="shared" si="202"/>
        <v>13210.999999999989</v>
      </c>
      <c r="J1986" s="35">
        <f t="shared" si="202"/>
        <v>1806.0000000000011</v>
      </c>
      <c r="K1986" s="35">
        <f t="shared" si="202"/>
        <v>274</v>
      </c>
      <c r="L1986" s="35">
        <f t="shared" si="202"/>
        <v>42.000000000000007</v>
      </c>
      <c r="M1986" s="35">
        <f>SUM(E1986:L1986)</f>
        <v>61572.999999999927</v>
      </c>
      <c r="N1986" s="5"/>
      <c r="R1986" t="s">
        <v>145</v>
      </c>
      <c r="T1986" s="35">
        <f>SUM(T3:T992)</f>
        <v>0</v>
      </c>
      <c r="U1986" s="35">
        <f t="shared" ref="U1986:AB1986" si="203">SUM(U3:U992)</f>
        <v>0</v>
      </c>
      <c r="V1986" s="35">
        <f t="shared" si="203"/>
        <v>18900.000000000076</v>
      </c>
      <c r="W1986" s="35">
        <f t="shared" si="203"/>
        <v>26654.999999999971</v>
      </c>
      <c r="X1986" s="35">
        <f t="shared" si="203"/>
        <v>12918.999999999991</v>
      </c>
      <c r="Y1986" s="35">
        <f t="shared" si="203"/>
        <v>1761.9999999999991</v>
      </c>
      <c r="Z1986" s="35">
        <f t="shared" si="203"/>
        <v>268.99999999999994</v>
      </c>
      <c r="AA1986" s="35">
        <f t="shared" si="203"/>
        <v>39.000000000000028</v>
      </c>
      <c r="AB1986" s="35">
        <f t="shared" si="203"/>
        <v>60544.000000000109</v>
      </c>
      <c r="AQ1986" s="5"/>
      <c r="AS1986" s="5"/>
      <c r="BD1986" s="5"/>
      <c r="BE1986" s="5"/>
    </row>
    <row r="1987" spans="3:57" x14ac:dyDescent="0.25">
      <c r="C1987" t="s">
        <v>146</v>
      </c>
      <c r="E1987" s="35">
        <f>SUM(E993:E1982)</f>
        <v>0</v>
      </c>
      <c r="F1987" s="35">
        <f t="shared" ref="F1987:L1987" si="204">SUM(F993:F1982)</f>
        <v>0</v>
      </c>
      <c r="G1987" s="35">
        <f t="shared" si="204"/>
        <v>8601.0000000000018</v>
      </c>
      <c r="H1987" s="35">
        <f t="shared" si="204"/>
        <v>13690</v>
      </c>
      <c r="I1987" s="35">
        <f t="shared" si="204"/>
        <v>7871.9999999999982</v>
      </c>
      <c r="J1987" s="35">
        <f t="shared" si="204"/>
        <v>1107</v>
      </c>
      <c r="K1987" s="35">
        <f t="shared" si="204"/>
        <v>144.99999999999997</v>
      </c>
      <c r="L1987" s="35">
        <f t="shared" si="204"/>
        <v>10.999999999999998</v>
      </c>
      <c r="M1987" s="35">
        <f>SUM(E1987:L1987)</f>
        <v>31426</v>
      </c>
      <c r="R1987" t="s">
        <v>146</v>
      </c>
      <c r="T1987" s="35">
        <f>SUM(T993:T1982)</f>
        <v>0</v>
      </c>
      <c r="U1987" s="35">
        <f t="shared" ref="U1987:AB1987" si="205">SUM(U993:U1982)</f>
        <v>0</v>
      </c>
      <c r="V1987" s="35">
        <f t="shared" si="205"/>
        <v>8385.9999999999964</v>
      </c>
      <c r="W1987" s="35">
        <f t="shared" si="205"/>
        <v>13352.999999999993</v>
      </c>
      <c r="X1987" s="35">
        <f t="shared" si="205"/>
        <v>7673.9999999999973</v>
      </c>
      <c r="Y1987" s="35">
        <f t="shared" si="205"/>
        <v>1079.9999999999989</v>
      </c>
      <c r="Z1987" s="35">
        <f t="shared" si="205"/>
        <v>140.00000000000009</v>
      </c>
      <c r="AA1987" s="35">
        <f t="shared" si="205"/>
        <v>10.999999999999998</v>
      </c>
      <c r="AB1987" s="35">
        <f t="shared" si="205"/>
        <v>30644.000000000007</v>
      </c>
      <c r="AC1987" s="32"/>
    </row>
    <row r="1988" spans="3:57" x14ac:dyDescent="0.25">
      <c r="E1988" s="39">
        <f t="shared" ref="E1988:M1988" si="206">SUM(E1986:E1987)</f>
        <v>0</v>
      </c>
      <c r="F1988" s="39">
        <f t="shared" si="206"/>
        <v>0</v>
      </c>
      <c r="G1988" s="39">
        <f t="shared" si="206"/>
        <v>27730.999999999964</v>
      </c>
      <c r="H1988" s="39">
        <f t="shared" si="206"/>
        <v>40799.999999999971</v>
      </c>
      <c r="I1988" s="39">
        <f t="shared" si="206"/>
        <v>21082.999999999985</v>
      </c>
      <c r="J1988" s="39">
        <f t="shared" si="206"/>
        <v>2913.0000000000009</v>
      </c>
      <c r="K1988" s="39">
        <f t="shared" si="206"/>
        <v>419</v>
      </c>
      <c r="L1988" s="39">
        <f t="shared" si="206"/>
        <v>53.000000000000007</v>
      </c>
      <c r="M1988" s="39">
        <f t="shared" si="206"/>
        <v>92998.999999999927</v>
      </c>
      <c r="N1988" s="5"/>
      <c r="AA1988" s="32"/>
      <c r="AB1988" s="35"/>
      <c r="AC1988" s="32"/>
    </row>
    <row r="1989" spans="3:57" x14ac:dyDescent="0.25">
      <c r="E1989" s="35"/>
      <c r="R1989" t="s">
        <v>147</v>
      </c>
      <c r="T1989" s="5">
        <f>SUM(AI3:AI629)+SUM(AI633:AI731)</f>
        <v>0</v>
      </c>
      <c r="U1989" s="5">
        <f t="shared" ref="U1989:AA1989" si="207">SUM(AJ3:AJ629)+SUM(AJ633:AJ731)</f>
        <v>0</v>
      </c>
      <c r="V1989" s="5">
        <f t="shared" si="207"/>
        <v>230.00000000000011</v>
      </c>
      <c r="W1989" s="5">
        <f t="shared" si="207"/>
        <v>455.00000000000011</v>
      </c>
      <c r="X1989" s="5">
        <f t="shared" si="207"/>
        <v>292.00000000000011</v>
      </c>
      <c r="Y1989" s="5">
        <f t="shared" si="207"/>
        <v>44.000000000000028</v>
      </c>
      <c r="Z1989" s="5">
        <f t="shared" si="207"/>
        <v>4.9999999999999991</v>
      </c>
      <c r="AA1989" s="5">
        <f t="shared" si="207"/>
        <v>2.9999999999999991</v>
      </c>
      <c r="AB1989" s="5">
        <f t="shared" ref="AB1989" si="208">SUM(AQ3:AQ629)+SUM(AQ633:AQ731)</f>
        <v>1028.9999999999982</v>
      </c>
      <c r="AC1989" s="32"/>
    </row>
    <row r="1990" spans="3:57" x14ac:dyDescent="0.25">
      <c r="E1990" s="5">
        <f t="shared" ref="E1990:M1991" si="209">T1986+T1989</f>
        <v>0</v>
      </c>
      <c r="F1990" s="5">
        <f t="shared" si="209"/>
        <v>0</v>
      </c>
      <c r="G1990" s="5">
        <f t="shared" si="209"/>
        <v>19130.000000000076</v>
      </c>
      <c r="H1990" s="5">
        <f t="shared" si="209"/>
        <v>27109.999999999971</v>
      </c>
      <c r="I1990" s="5">
        <f t="shared" si="209"/>
        <v>13210.999999999991</v>
      </c>
      <c r="J1990" s="5">
        <f t="shared" si="209"/>
        <v>1805.9999999999991</v>
      </c>
      <c r="K1990" s="5">
        <f t="shared" si="209"/>
        <v>273.99999999999994</v>
      </c>
      <c r="L1990" s="5">
        <f t="shared" si="209"/>
        <v>42.000000000000028</v>
      </c>
      <c r="M1990" s="5">
        <f>SUM(E1990:L1990)</f>
        <v>61573.000000000036</v>
      </c>
      <c r="R1990" t="s">
        <v>148</v>
      </c>
      <c r="T1990" s="5">
        <f>SUM(AW3:AW629)+SUM(AW633:AW731)</f>
        <v>0</v>
      </c>
      <c r="U1990" s="5">
        <f t="shared" ref="U1990:AA1990" si="210">SUM(AX3:AX629)+SUM(AX633:AX731)</f>
        <v>0</v>
      </c>
      <c r="V1990" s="5">
        <f t="shared" si="210"/>
        <v>215.00000000000006</v>
      </c>
      <c r="W1990" s="5">
        <f t="shared" si="210"/>
        <v>337</v>
      </c>
      <c r="X1990" s="5">
        <f t="shared" si="210"/>
        <v>198.00000000000006</v>
      </c>
      <c r="Y1990" s="5">
        <f t="shared" si="210"/>
        <v>27</v>
      </c>
      <c r="Z1990" s="5">
        <f t="shared" si="210"/>
        <v>4.9999999999999991</v>
      </c>
      <c r="AA1990" s="5">
        <f t="shared" si="210"/>
        <v>0</v>
      </c>
      <c r="AB1990" s="5">
        <f t="shared" ref="AB1990" si="211">SUM(BE3:BE629)+SUM(BE633:BE731)</f>
        <v>781.99999999999864</v>
      </c>
      <c r="AC1990" s="32"/>
    </row>
    <row r="1991" spans="3:57" x14ac:dyDescent="0.25">
      <c r="E1991" s="5">
        <f t="shared" si="209"/>
        <v>0</v>
      </c>
      <c r="F1991" s="5">
        <f t="shared" si="209"/>
        <v>0</v>
      </c>
      <c r="G1991" s="5">
        <f t="shared" si="209"/>
        <v>8600.9999999999964</v>
      </c>
      <c r="H1991" s="5">
        <f t="shared" si="209"/>
        <v>13689.999999999993</v>
      </c>
      <c r="I1991" s="5">
        <f t="shared" si="209"/>
        <v>7871.9999999999973</v>
      </c>
      <c r="J1991" s="5">
        <f t="shared" si="209"/>
        <v>1106.9999999999989</v>
      </c>
      <c r="K1991" s="5">
        <f t="shared" si="209"/>
        <v>145.00000000000009</v>
      </c>
      <c r="L1991" s="5">
        <f t="shared" si="209"/>
        <v>10.999999999999998</v>
      </c>
      <c r="M1991" s="5">
        <f t="shared" si="209"/>
        <v>31426.000000000007</v>
      </c>
      <c r="T1991" s="5"/>
      <c r="AA1991" s="32"/>
      <c r="AB1991" s="35"/>
      <c r="AC1991" s="32"/>
    </row>
    <row r="1992" spans="3:57" x14ac:dyDescent="0.25">
      <c r="M1992" s="31">
        <f>SUM(M1990:M1991)</f>
        <v>92999.000000000044</v>
      </c>
      <c r="N1992" s="5"/>
      <c r="R1992" t="s">
        <v>149</v>
      </c>
      <c r="T1992" s="5">
        <f>SUM(BL3:BL35)</f>
        <v>0</v>
      </c>
      <c r="U1992" s="5">
        <f t="shared" ref="U1992:AB1992" si="212">SUM(BM3:BM35)</f>
        <v>0</v>
      </c>
      <c r="V1992" s="5">
        <f t="shared" si="212"/>
        <v>0</v>
      </c>
      <c r="W1992" s="5">
        <f t="shared" si="212"/>
        <v>0</v>
      </c>
      <c r="X1992" s="5">
        <f t="shared" si="212"/>
        <v>0</v>
      </c>
      <c r="Y1992" s="5">
        <f t="shared" si="212"/>
        <v>0</v>
      </c>
      <c r="Z1992" s="5">
        <f t="shared" si="212"/>
        <v>0</v>
      </c>
      <c r="AA1992" s="5">
        <f t="shared" si="212"/>
        <v>0</v>
      </c>
      <c r="AB1992" s="5">
        <f t="shared" si="212"/>
        <v>0</v>
      </c>
      <c r="AC1992" s="35"/>
    </row>
    <row r="1993" spans="3:57" x14ac:dyDescent="0.25">
      <c r="R1993" t="s">
        <v>150</v>
      </c>
      <c r="T1993" s="5">
        <f>SUM(BZ3:BZ35)</f>
        <v>0</v>
      </c>
      <c r="U1993" s="5">
        <f t="shared" ref="U1993:AB1993" si="213">SUM(CA3:CA35)</f>
        <v>0</v>
      </c>
      <c r="V1993" s="5">
        <f t="shared" si="213"/>
        <v>0</v>
      </c>
      <c r="W1993" s="5">
        <f t="shared" si="213"/>
        <v>0</v>
      </c>
      <c r="X1993" s="5">
        <f t="shared" si="213"/>
        <v>0</v>
      </c>
      <c r="Y1993" s="5">
        <f t="shared" si="213"/>
        <v>0</v>
      </c>
      <c r="Z1993" s="5">
        <f t="shared" si="213"/>
        <v>0</v>
      </c>
      <c r="AA1993" s="5">
        <f t="shared" si="213"/>
        <v>0</v>
      </c>
      <c r="AB1993" s="5">
        <f t="shared" si="213"/>
        <v>0</v>
      </c>
    </row>
    <row r="1995" spans="3:57" x14ac:dyDescent="0.25">
      <c r="AA1995" t="s">
        <v>131</v>
      </c>
      <c r="AB1995" s="39">
        <f>SUM(AB1986:AB1993)</f>
        <v>92999.000000000116</v>
      </c>
    </row>
    <row r="1996" spans="3:57" x14ac:dyDescent="0.25">
      <c r="AA1996" t="s">
        <v>152</v>
      </c>
      <c r="AC1996" s="39">
        <f>AB1986+AB1987+AB1989+AB1990</f>
        <v>92999.000000000116</v>
      </c>
    </row>
    <row r="1997" spans="3:57" x14ac:dyDescent="0.25">
      <c r="T1997" s="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886"/>
  <sheetViews>
    <sheetView zoomScale="70" zoomScaleNormal="70" workbookViewId="0">
      <pane xSplit="4" ySplit="2" topLeftCell="E3867" activePane="bottomRight" state="frozen"/>
      <selection pane="topRight" activeCell="E1" sqref="E1"/>
      <selection pane="bottomLeft" activeCell="A3" sqref="A3"/>
      <selection pane="bottomRight" activeCell="AB3892" sqref="AB3892"/>
    </sheetView>
  </sheetViews>
  <sheetFormatPr defaultRowHeight="15" x14ac:dyDescent="0.25"/>
  <cols>
    <col min="1" max="1" width="9.140625" customWidth="1"/>
    <col min="2" max="2" width="12.85546875" customWidth="1"/>
    <col min="3" max="3" width="5.85546875" customWidth="1"/>
    <col min="4" max="4" width="6.85546875" bestFit="1" customWidth="1"/>
    <col min="5" max="14" width="10.140625" customWidth="1"/>
    <col min="15" max="15" width="9.42578125" customWidth="1"/>
    <col min="16" max="16" width="6.140625" customWidth="1"/>
    <col min="17" max="17" width="13.42578125" customWidth="1"/>
    <col min="18" max="18" width="5.42578125" customWidth="1"/>
    <col min="19" max="19" width="7.140625" customWidth="1"/>
    <col min="20" max="20" width="6" customWidth="1"/>
    <col min="21" max="21" width="5.140625" customWidth="1"/>
    <col min="22" max="23" width="6.7109375" bestFit="1" customWidth="1"/>
    <col min="24" max="24" width="7.7109375" bestFit="1" customWidth="1"/>
    <col min="25" max="25" width="7.140625" bestFit="1" customWidth="1"/>
    <col min="26" max="26" width="6.7109375" bestFit="1" customWidth="1"/>
    <col min="27" max="27" width="7" customWidth="1"/>
    <col min="28" max="28" width="11.42578125" bestFit="1" customWidth="1"/>
  </cols>
  <sheetData>
    <row r="1" spans="1:30" x14ac:dyDescent="0.25">
      <c r="A1" s="3" t="s">
        <v>58</v>
      </c>
      <c r="B1" s="3"/>
      <c r="D1" s="2"/>
      <c r="E1" s="2" t="s">
        <v>57</v>
      </c>
      <c r="F1" s="2"/>
      <c r="G1" s="2"/>
      <c r="H1" s="2"/>
      <c r="I1" s="2"/>
      <c r="J1" s="2"/>
      <c r="K1" s="2"/>
      <c r="L1" s="2"/>
      <c r="P1" s="4" t="s">
        <v>118</v>
      </c>
      <c r="Q1" s="4"/>
      <c r="S1" s="2"/>
      <c r="T1" s="2" t="s">
        <v>57</v>
      </c>
      <c r="U1" s="2"/>
      <c r="V1" s="2"/>
      <c r="W1" s="2"/>
      <c r="X1" s="2"/>
      <c r="Y1" s="2"/>
      <c r="Z1" s="2"/>
      <c r="AA1" s="2"/>
    </row>
    <row r="2" spans="1:30" x14ac:dyDescent="0.25">
      <c r="A2" t="s">
        <v>1</v>
      </c>
      <c r="B2" t="s">
        <v>55</v>
      </c>
      <c r="C2" t="s">
        <v>2</v>
      </c>
      <c r="D2" s="2" t="s">
        <v>3</v>
      </c>
      <c r="E2" s="2" t="s">
        <v>62</v>
      </c>
      <c r="F2" s="2" t="s">
        <v>63</v>
      </c>
      <c r="G2" s="2" t="s">
        <v>237</v>
      </c>
      <c r="H2" s="2" t="s">
        <v>238</v>
      </c>
      <c r="I2" s="2" t="s">
        <v>239</v>
      </c>
      <c r="J2" s="2" t="s">
        <v>240</v>
      </c>
      <c r="K2" s="2" t="s">
        <v>241</v>
      </c>
      <c r="L2" s="2" t="s">
        <v>242</v>
      </c>
      <c r="M2" t="s">
        <v>56</v>
      </c>
      <c r="P2" t="s">
        <v>1</v>
      </c>
      <c r="Q2" t="s">
        <v>55</v>
      </c>
      <c r="R2" t="s">
        <v>2</v>
      </c>
      <c r="S2" s="2" t="s">
        <v>3</v>
      </c>
      <c r="T2" s="2" t="s">
        <v>62</v>
      </c>
      <c r="U2" s="2" t="s">
        <v>63</v>
      </c>
      <c r="V2" s="2" t="s">
        <v>64</v>
      </c>
      <c r="W2" s="2" t="s">
        <v>65</v>
      </c>
      <c r="X2" s="2" t="s">
        <v>66</v>
      </c>
      <c r="Y2" s="2" t="s">
        <v>67</v>
      </c>
      <c r="Z2" s="2" t="s">
        <v>68</v>
      </c>
      <c r="AA2" s="2" t="s">
        <v>69</v>
      </c>
      <c r="AB2" t="s">
        <v>56</v>
      </c>
    </row>
    <row r="3" spans="1:30" x14ac:dyDescent="0.25">
      <c r="A3" t="s">
        <v>104</v>
      </c>
      <c r="B3" t="s">
        <v>103</v>
      </c>
      <c r="C3" t="s">
        <v>102</v>
      </c>
      <c r="D3" t="s">
        <v>70</v>
      </c>
      <c r="E3" s="7"/>
      <c r="F3" s="7"/>
      <c r="G3">
        <f>IFERROR(HLOOKUP(G$2,[3]table_male_hkom1_inj.unk!$A$1:$K$36,2,FALSE),0)</f>
        <v>0</v>
      </c>
      <c r="H3">
        <f>IFERROR(HLOOKUP(H$2,[3]table_male_hkom1_inj.unk!$A$1:$K$36,2,FALSE),0)</f>
        <v>0</v>
      </c>
      <c r="I3">
        <f>IFERROR(HLOOKUP(I$2,[3]table_male_hkom1_inj.unk!$A$1:$K$36,2,FALSE),0)</f>
        <v>0</v>
      </c>
      <c r="J3">
        <f>IFERROR(HLOOKUP(J$2,[3]table_male_hkom1_inj.unk!$A$1:$K$36,2,FALSE),0)</f>
        <v>0</v>
      </c>
      <c r="K3">
        <f>IFERROR(HLOOKUP(K$2,[3]table_male_hkom1_inj.unk!$A$1:$K$36,2,FALSE),0)</f>
        <v>0</v>
      </c>
      <c r="L3">
        <f>IFERROR(HLOOKUP(L$2,[3]table_male_hkom1_inj.unk!$A$1:$K$36,2,FALSE),0)</f>
        <v>0</v>
      </c>
      <c r="M3">
        <f>SUM(E3:L3)</f>
        <v>0</v>
      </c>
      <c r="P3" t="s">
        <v>104</v>
      </c>
      <c r="Q3" t="s">
        <v>103</v>
      </c>
      <c r="R3" t="s">
        <v>102</v>
      </c>
      <c r="S3" t="s">
        <v>70</v>
      </c>
      <c r="T3" s="5">
        <f>IF(SUM(E$3:E$35)=0,E$36/33,E3+IFERROR(E3/SUM(E$3:E$35)*E$36,0))</f>
        <v>0</v>
      </c>
      <c r="U3" s="5">
        <f t="shared" ref="U3:AA3" si="0">IF(SUM(F$3:F$35)=0,F$36/33,F3+IFERROR(F3/SUM(F$3:F$35)*F$36,0))</f>
        <v>0</v>
      </c>
      <c r="V3" s="5">
        <f t="shared" si="0"/>
        <v>0</v>
      </c>
      <c r="W3" s="5">
        <f t="shared" si="0"/>
        <v>0</v>
      </c>
      <c r="X3" s="5">
        <f t="shared" si="0"/>
        <v>0</v>
      </c>
      <c r="Y3" s="5">
        <f t="shared" si="0"/>
        <v>0</v>
      </c>
      <c r="Z3" s="5">
        <f t="shared" si="0"/>
        <v>0</v>
      </c>
      <c r="AA3" s="5">
        <f t="shared" si="0"/>
        <v>0</v>
      </c>
      <c r="AB3" s="5">
        <f>SUM(T3:AA3)</f>
        <v>0</v>
      </c>
      <c r="AD3" s="5"/>
    </row>
    <row r="4" spans="1:30" x14ac:dyDescent="0.25">
      <c r="D4" t="s">
        <v>71</v>
      </c>
      <c r="E4" s="64"/>
      <c r="F4" s="64"/>
      <c r="G4">
        <f>IFERROR(HLOOKUP(G$2,[3]table_male_hkom1_inj.unk!$A$1:$K$36,3,FALSE),0)</f>
        <v>0</v>
      </c>
      <c r="H4">
        <f>IFERROR(HLOOKUP(H$2,[3]table_male_hkom1_inj.unk!$A$1:$K$36,3,FALSE),0)</f>
        <v>0</v>
      </c>
      <c r="I4">
        <f>IFERROR(HLOOKUP(I$2,[3]table_male_hkom1_inj.unk!$A$1:$K$36,3,FALSE),0)</f>
        <v>0</v>
      </c>
      <c r="J4">
        <f>IFERROR(HLOOKUP(J$2,[3]table_male_hkom1_inj.unk!$A$1:$K$36,3,FALSE),0)</f>
        <v>0</v>
      </c>
      <c r="K4">
        <f>IFERROR(HLOOKUP(K$2,[3]table_male_hkom1_inj.unk!$A$1:$K$36,3,FALSE),0)</f>
        <v>0</v>
      </c>
      <c r="L4">
        <f>IFERROR(HLOOKUP(L$2,[3]table_male_hkom1_inj.unk!$A$1:$K$36,3,FALSE),0)</f>
        <v>0</v>
      </c>
      <c r="M4">
        <f t="shared" ref="M4:M67" si="1">SUM(E4:L4)</f>
        <v>0</v>
      </c>
      <c r="S4" t="s">
        <v>71</v>
      </c>
      <c r="T4" s="5">
        <f t="shared" ref="T4:T35" si="2">IF(SUM(E$3:E$35)=0,E$36/33,E4+IFERROR(E4/SUM(E$3:E$35)*E$36,0))</f>
        <v>0</v>
      </c>
      <c r="U4" s="5">
        <f t="shared" ref="U4:U35" si="3">IF(SUM(F$3:F$35)=0,F$36/33,F4+IFERROR(F4/SUM(F$3:F$35)*F$36,0))</f>
        <v>0</v>
      </c>
      <c r="V4" s="5">
        <f t="shared" ref="V4:V35" si="4">IF(SUM(G$3:G$35)=0,G$36/33,G4+IFERROR(G4/SUM(G$3:G$35)*G$36,0))</f>
        <v>0</v>
      </c>
      <c r="W4" s="5">
        <f t="shared" ref="W4:W35" si="5">IF(SUM(H$3:H$35)=0,H$36/33,H4+IFERROR(H4/SUM(H$3:H$35)*H$36,0))</f>
        <v>0</v>
      </c>
      <c r="X4" s="5">
        <f t="shared" ref="X4:X35" si="6">IF(SUM(I$3:I$35)=0,I$36/33,I4+IFERROR(I4/SUM(I$3:I$35)*I$36,0))</f>
        <v>0</v>
      </c>
      <c r="Y4" s="5">
        <f t="shared" ref="Y4:Y35" si="7">IF(SUM(J$3:J$35)=0,J$36/33,J4+IFERROR(J4/SUM(J$3:J$35)*J$36,0))</f>
        <v>0</v>
      </c>
      <c r="Z4" s="5">
        <f t="shared" ref="Z4:Z35" si="8">IF(SUM(K$3:K$35)=0,K$36/33,K4+IFERROR(K4/SUM(K$3:K$35)*K$36,0))</f>
        <v>0</v>
      </c>
      <c r="AA4" s="5">
        <f t="shared" ref="AA4:AA35" si="9">IF(SUM(L$3:L$35)=0,L$36/33,L4+IFERROR(L4/SUM(L$3:L$35)*L$36,0))</f>
        <v>0</v>
      </c>
      <c r="AB4" s="5">
        <f t="shared" ref="AB4:AB35" si="10">SUM(T4:AA4)</f>
        <v>0</v>
      </c>
      <c r="AD4" s="5"/>
    </row>
    <row r="5" spans="1:30" x14ac:dyDescent="0.25">
      <c r="D5" t="s">
        <v>72</v>
      </c>
      <c r="E5" s="64"/>
      <c r="F5" s="64"/>
      <c r="G5">
        <f>IFERROR(HLOOKUP(G$2,[3]table_male_hkom1_inj.unk!$A$1:$K$36,4,FALSE),0)</f>
        <v>0</v>
      </c>
      <c r="H5">
        <f>IFERROR(HLOOKUP(H$2,[3]table_male_hkom1_inj.unk!$A$1:$K$36,4,FALSE),0)</f>
        <v>0</v>
      </c>
      <c r="I5">
        <f>IFERROR(HLOOKUP(I$2,[3]table_male_hkom1_inj.unk!$A$1:$K$36,4,FALSE),0)</f>
        <v>0</v>
      </c>
      <c r="J5">
        <f>IFERROR(HLOOKUP(J$2,[3]table_male_hkom1_inj.unk!$A$1:$K$36,4,FALSE),0)</f>
        <v>0</v>
      </c>
      <c r="K5">
        <f>IFERROR(HLOOKUP(K$2,[3]table_male_hkom1_inj.unk!$A$1:$K$36,4,FALSE),0)</f>
        <v>0</v>
      </c>
      <c r="L5">
        <f>IFERROR(HLOOKUP(L$2,[3]table_male_hkom1_inj.unk!$A$1:$K$36,4,FALSE),0)</f>
        <v>0</v>
      </c>
      <c r="M5">
        <f t="shared" si="1"/>
        <v>0</v>
      </c>
      <c r="S5" t="s">
        <v>72</v>
      </c>
      <c r="T5" s="5">
        <f t="shared" si="2"/>
        <v>0</v>
      </c>
      <c r="U5" s="5">
        <f t="shared" si="3"/>
        <v>0</v>
      </c>
      <c r="V5" s="5">
        <f t="shared" si="4"/>
        <v>0</v>
      </c>
      <c r="W5" s="5">
        <f t="shared" si="5"/>
        <v>0</v>
      </c>
      <c r="X5" s="5">
        <f t="shared" si="6"/>
        <v>0</v>
      </c>
      <c r="Y5" s="5">
        <f t="shared" si="7"/>
        <v>0</v>
      </c>
      <c r="Z5" s="5">
        <f t="shared" si="8"/>
        <v>0</v>
      </c>
      <c r="AA5" s="5">
        <f t="shared" si="9"/>
        <v>0</v>
      </c>
      <c r="AB5" s="5">
        <f t="shared" si="10"/>
        <v>0</v>
      </c>
      <c r="AD5" s="5"/>
    </row>
    <row r="6" spans="1:30" x14ac:dyDescent="0.25">
      <c r="D6" t="s">
        <v>73</v>
      </c>
      <c r="E6" s="64"/>
      <c r="F6" s="64"/>
      <c r="G6">
        <f>IFERROR(HLOOKUP(G$2,[3]table_male_hkom1_inj.unk!$A$1:$K$36,5,FALSE),0)</f>
        <v>0</v>
      </c>
      <c r="H6">
        <f>IFERROR(HLOOKUP(H$2,[3]table_male_hkom1_inj.unk!$A$1:$K$36,5,FALSE),0)</f>
        <v>0</v>
      </c>
      <c r="I6">
        <f>IFERROR(HLOOKUP(I$2,[3]table_male_hkom1_inj.unk!$A$1:$K$36,5,FALSE),0)</f>
        <v>0</v>
      </c>
      <c r="J6">
        <f>IFERROR(HLOOKUP(J$2,[3]table_male_hkom1_inj.unk!$A$1:$K$36,5,FALSE),0)</f>
        <v>0</v>
      </c>
      <c r="K6">
        <f>IFERROR(HLOOKUP(K$2,[3]table_male_hkom1_inj.unk!$A$1:$K$36,5,FALSE),0)</f>
        <v>0</v>
      </c>
      <c r="L6">
        <f>IFERROR(HLOOKUP(L$2,[3]table_male_hkom1_inj.unk!$A$1:$K$36,5,FALSE),0)</f>
        <v>0</v>
      </c>
      <c r="M6">
        <f t="shared" si="1"/>
        <v>0</v>
      </c>
      <c r="S6" t="s">
        <v>73</v>
      </c>
      <c r="T6" s="5">
        <f t="shared" si="2"/>
        <v>0</v>
      </c>
      <c r="U6" s="5">
        <f t="shared" si="3"/>
        <v>0</v>
      </c>
      <c r="V6" s="5">
        <f t="shared" si="4"/>
        <v>0</v>
      </c>
      <c r="W6" s="5">
        <f t="shared" si="5"/>
        <v>0</v>
      </c>
      <c r="X6" s="5">
        <f t="shared" si="6"/>
        <v>0</v>
      </c>
      <c r="Y6" s="5">
        <f t="shared" si="7"/>
        <v>0</v>
      </c>
      <c r="Z6" s="5">
        <f t="shared" si="8"/>
        <v>0</v>
      </c>
      <c r="AA6" s="5">
        <f t="shared" si="9"/>
        <v>0</v>
      </c>
      <c r="AB6" s="5">
        <f t="shared" si="10"/>
        <v>0</v>
      </c>
    </row>
    <row r="7" spans="1:30" x14ac:dyDescent="0.25">
      <c r="D7" t="s">
        <v>74</v>
      </c>
      <c r="E7" s="64"/>
      <c r="F7" s="64"/>
      <c r="G7">
        <f>IFERROR(HLOOKUP(G$2,[3]table_male_hkom1_inj.unk!$A$1:$K$36,6,FALSE),0)</f>
        <v>0</v>
      </c>
      <c r="H7">
        <f>IFERROR(HLOOKUP(H$2,[3]table_male_hkom1_inj.unk!$A$1:$K$36,6,FALSE),0)</f>
        <v>0</v>
      </c>
      <c r="I7">
        <f>IFERROR(HLOOKUP(I$2,[3]table_male_hkom1_inj.unk!$A$1:$K$36,6,FALSE),0)</f>
        <v>0</v>
      </c>
      <c r="J7">
        <f>IFERROR(HLOOKUP(J$2,[3]table_male_hkom1_inj.unk!$A$1:$K$36,6,FALSE),0)</f>
        <v>0</v>
      </c>
      <c r="K7">
        <f>IFERROR(HLOOKUP(K$2,[3]table_male_hkom1_inj.unk!$A$1:$K$36,6,FALSE),0)</f>
        <v>0</v>
      </c>
      <c r="L7">
        <f>IFERROR(HLOOKUP(L$2,[3]table_male_hkom1_inj.unk!$A$1:$K$36,6,FALSE),0)</f>
        <v>0</v>
      </c>
      <c r="M7">
        <f t="shared" si="1"/>
        <v>0</v>
      </c>
      <c r="S7" t="s">
        <v>74</v>
      </c>
      <c r="T7" s="5">
        <f t="shared" si="2"/>
        <v>0</v>
      </c>
      <c r="U7" s="5">
        <f t="shared" si="3"/>
        <v>0</v>
      </c>
      <c r="V7" s="5">
        <f t="shared" si="4"/>
        <v>0</v>
      </c>
      <c r="W7" s="5">
        <f t="shared" si="5"/>
        <v>0</v>
      </c>
      <c r="X7" s="5">
        <f t="shared" si="6"/>
        <v>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</row>
    <row r="8" spans="1:30" x14ac:dyDescent="0.25">
      <c r="D8" t="s">
        <v>75</v>
      </c>
      <c r="E8" s="64"/>
      <c r="F8" s="64"/>
      <c r="G8">
        <f>IFERROR(HLOOKUP(G$2,[3]table_male_hkom1_inj.unk!$A$1:$K$36,7,FALSE),0)</f>
        <v>0</v>
      </c>
      <c r="H8">
        <f>IFERROR(HLOOKUP(H$2,[3]table_male_hkom1_inj.unk!$A$1:$K$36,7,FALSE),0)</f>
        <v>0</v>
      </c>
      <c r="I8">
        <f>IFERROR(HLOOKUP(I$2,[3]table_male_hkom1_inj.unk!$A$1:$K$36,7,FALSE),0)</f>
        <v>0</v>
      </c>
      <c r="J8">
        <f>IFERROR(HLOOKUP(J$2,[3]table_male_hkom1_inj.unk!$A$1:$K$36,7,FALSE),0)</f>
        <v>0</v>
      </c>
      <c r="K8">
        <f>IFERROR(HLOOKUP(K$2,[3]table_male_hkom1_inj.unk!$A$1:$K$36,7,FALSE),0)</f>
        <v>0</v>
      </c>
      <c r="L8">
        <f>IFERROR(HLOOKUP(L$2,[3]table_male_hkom1_inj.unk!$A$1:$K$36,7,FALSE),0)</f>
        <v>0</v>
      </c>
      <c r="M8">
        <f t="shared" si="1"/>
        <v>0</v>
      </c>
      <c r="S8" t="s">
        <v>75</v>
      </c>
      <c r="T8" s="5">
        <f t="shared" si="2"/>
        <v>0</v>
      </c>
      <c r="U8" s="5">
        <f t="shared" si="3"/>
        <v>0</v>
      </c>
      <c r="V8" s="5">
        <f t="shared" si="4"/>
        <v>0</v>
      </c>
      <c r="W8" s="5">
        <f t="shared" si="5"/>
        <v>0</v>
      </c>
      <c r="X8" s="5">
        <f t="shared" si="6"/>
        <v>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</row>
    <row r="9" spans="1:30" x14ac:dyDescent="0.25">
      <c r="D9" t="s">
        <v>76</v>
      </c>
      <c r="E9" s="64"/>
      <c r="F9" s="64"/>
      <c r="G9">
        <f>IFERROR(HLOOKUP(G$2,[3]table_male_hkom1_inj.unk!$A$1:$K$36,8,FALSE),0)</f>
        <v>0</v>
      </c>
      <c r="H9">
        <f>IFERROR(HLOOKUP(H$2,[3]table_male_hkom1_inj.unk!$A$1:$K$36,8,FALSE),0)</f>
        <v>0</v>
      </c>
      <c r="I9">
        <f>IFERROR(HLOOKUP(I$2,[3]table_male_hkom1_inj.unk!$A$1:$K$36,8,FALSE),0)</f>
        <v>0</v>
      </c>
      <c r="J9">
        <f>IFERROR(HLOOKUP(J$2,[3]table_male_hkom1_inj.unk!$A$1:$K$36,8,FALSE),0)</f>
        <v>0</v>
      </c>
      <c r="K9">
        <f>IFERROR(HLOOKUP(K$2,[3]table_male_hkom1_inj.unk!$A$1:$K$36,8,FALSE),0)</f>
        <v>0</v>
      </c>
      <c r="L9">
        <f>IFERROR(HLOOKUP(L$2,[3]table_male_hkom1_inj.unk!$A$1:$K$36,8,FALSE),0)</f>
        <v>0</v>
      </c>
      <c r="M9">
        <f t="shared" si="1"/>
        <v>0</v>
      </c>
      <c r="S9" t="s">
        <v>76</v>
      </c>
      <c r="T9" s="5">
        <f t="shared" si="2"/>
        <v>0</v>
      </c>
      <c r="U9" s="5">
        <f t="shared" si="3"/>
        <v>0</v>
      </c>
      <c r="V9" s="5">
        <f t="shared" si="4"/>
        <v>0</v>
      </c>
      <c r="W9" s="5">
        <f t="shared" si="5"/>
        <v>0</v>
      </c>
      <c r="X9" s="5">
        <f t="shared" si="6"/>
        <v>0</v>
      </c>
      <c r="Y9" s="5">
        <f t="shared" si="7"/>
        <v>0</v>
      </c>
      <c r="Z9" s="5">
        <f t="shared" si="8"/>
        <v>0</v>
      </c>
      <c r="AA9" s="5">
        <f t="shared" si="9"/>
        <v>0</v>
      </c>
      <c r="AB9" s="5">
        <f t="shared" si="10"/>
        <v>0</v>
      </c>
    </row>
    <row r="10" spans="1:30" x14ac:dyDescent="0.25">
      <c r="D10" t="s">
        <v>77</v>
      </c>
      <c r="E10" s="64"/>
      <c r="F10" s="64"/>
      <c r="G10">
        <f>IFERROR(HLOOKUP(G$2,[3]table_male_hkom1_inj.unk!$A$1:$K$36,9,FALSE),0)</f>
        <v>0</v>
      </c>
      <c r="H10">
        <f>IFERROR(HLOOKUP(H$2,[3]table_male_hkom1_inj.unk!$A$1:$K$36,9,FALSE),0)</f>
        <v>0</v>
      </c>
      <c r="I10">
        <f>IFERROR(HLOOKUP(I$2,[3]table_male_hkom1_inj.unk!$A$1:$K$36,9,FALSE),0)</f>
        <v>0</v>
      </c>
      <c r="J10">
        <f>IFERROR(HLOOKUP(J$2,[3]table_male_hkom1_inj.unk!$A$1:$K$36,9,FALSE),0)</f>
        <v>0</v>
      </c>
      <c r="K10">
        <f>IFERROR(HLOOKUP(K$2,[3]table_male_hkom1_inj.unk!$A$1:$K$36,9,FALSE),0)</f>
        <v>0</v>
      </c>
      <c r="L10">
        <f>IFERROR(HLOOKUP(L$2,[3]table_male_hkom1_inj.unk!$A$1:$K$36,9,FALSE),0)</f>
        <v>0</v>
      </c>
      <c r="M10">
        <f t="shared" si="1"/>
        <v>0</v>
      </c>
      <c r="S10" t="s">
        <v>77</v>
      </c>
      <c r="T10" s="5">
        <f t="shared" si="2"/>
        <v>0</v>
      </c>
      <c r="U10" s="5">
        <f t="shared" si="3"/>
        <v>0</v>
      </c>
      <c r="V10" s="5">
        <f t="shared" si="4"/>
        <v>0</v>
      </c>
      <c r="W10" s="5">
        <f t="shared" si="5"/>
        <v>0</v>
      </c>
      <c r="X10" s="5">
        <f t="shared" si="6"/>
        <v>0</v>
      </c>
      <c r="Y10" s="5">
        <f t="shared" si="7"/>
        <v>0</v>
      </c>
      <c r="Z10" s="5">
        <f t="shared" si="8"/>
        <v>0</v>
      </c>
      <c r="AA10" s="5">
        <f t="shared" si="9"/>
        <v>0</v>
      </c>
      <c r="AB10" s="5">
        <f t="shared" si="10"/>
        <v>0</v>
      </c>
    </row>
    <row r="11" spans="1:30" x14ac:dyDescent="0.25">
      <c r="D11" t="s">
        <v>78</v>
      </c>
      <c r="E11" s="64"/>
      <c r="F11" s="64"/>
      <c r="G11">
        <f>IFERROR(HLOOKUP(G$2,[3]table_male_hkom1_inj.unk!$A$1:$K$36,10,FALSE),0)</f>
        <v>0</v>
      </c>
      <c r="H11">
        <f>IFERROR(HLOOKUP(H$2,[3]table_male_hkom1_inj.unk!$A$1:$K$36,10,FALSE),0)</f>
        <v>0</v>
      </c>
      <c r="I11">
        <f>IFERROR(HLOOKUP(I$2,[3]table_male_hkom1_inj.unk!$A$1:$K$36,10,FALSE),0)</f>
        <v>0</v>
      </c>
      <c r="J11">
        <f>IFERROR(HLOOKUP(J$2,[3]table_male_hkom1_inj.unk!$A$1:$K$36,10,FALSE),0)</f>
        <v>0</v>
      </c>
      <c r="K11">
        <f>IFERROR(HLOOKUP(K$2,[3]table_male_hkom1_inj.unk!$A$1:$K$36,10,FALSE),0)</f>
        <v>0</v>
      </c>
      <c r="L11">
        <f>IFERROR(HLOOKUP(L$2,[3]table_male_hkom1_inj.unk!$A$1:$K$36,10,FALSE),0)</f>
        <v>0</v>
      </c>
      <c r="M11">
        <f t="shared" si="1"/>
        <v>0</v>
      </c>
      <c r="S11" t="s">
        <v>78</v>
      </c>
      <c r="T11" s="5">
        <f t="shared" si="2"/>
        <v>0</v>
      </c>
      <c r="U11" s="5">
        <f t="shared" si="3"/>
        <v>0</v>
      </c>
      <c r="V11" s="5">
        <f t="shared" si="4"/>
        <v>0</v>
      </c>
      <c r="W11" s="5">
        <f t="shared" si="5"/>
        <v>0</v>
      </c>
      <c r="X11" s="5">
        <f t="shared" si="6"/>
        <v>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</row>
    <row r="12" spans="1:30" x14ac:dyDescent="0.25">
      <c r="D12" t="s">
        <v>79</v>
      </c>
      <c r="E12" s="64"/>
      <c r="F12" s="64"/>
      <c r="G12">
        <f>IFERROR(HLOOKUP(G$2,[3]table_male_hkom1_inj.unk!$A$1:$K$36,11,FALSE),0)</f>
        <v>0</v>
      </c>
      <c r="H12">
        <f>IFERROR(HLOOKUP(H$2,[3]table_male_hkom1_inj.unk!$A$1:$K$36,11,FALSE),0)</f>
        <v>0</v>
      </c>
      <c r="I12">
        <f>IFERROR(HLOOKUP(I$2,[3]table_male_hkom1_inj.unk!$A$1:$K$36,11,FALSE),0)</f>
        <v>0</v>
      </c>
      <c r="J12">
        <f>IFERROR(HLOOKUP(J$2,[3]table_male_hkom1_inj.unk!$A$1:$K$36,11,FALSE),0)</f>
        <v>0</v>
      </c>
      <c r="K12">
        <f>IFERROR(HLOOKUP(K$2,[3]table_male_hkom1_inj.unk!$A$1:$K$36,11,FALSE),0)</f>
        <v>0</v>
      </c>
      <c r="L12">
        <f>IFERROR(HLOOKUP(L$2,[3]table_male_hkom1_inj.unk!$A$1:$K$36,11,FALSE),0)</f>
        <v>0</v>
      </c>
      <c r="M12">
        <f t="shared" si="1"/>
        <v>0</v>
      </c>
      <c r="S12" t="s">
        <v>79</v>
      </c>
      <c r="T12" s="5">
        <f t="shared" si="2"/>
        <v>0</v>
      </c>
      <c r="U12" s="5">
        <f t="shared" si="3"/>
        <v>0</v>
      </c>
      <c r="V12" s="5">
        <f t="shared" si="4"/>
        <v>0</v>
      </c>
      <c r="W12" s="5">
        <f t="shared" si="5"/>
        <v>0</v>
      </c>
      <c r="X12" s="5">
        <f t="shared" si="6"/>
        <v>0</v>
      </c>
      <c r="Y12" s="5">
        <f t="shared" si="7"/>
        <v>0</v>
      </c>
      <c r="Z12" s="5">
        <f t="shared" si="8"/>
        <v>0</v>
      </c>
      <c r="AA12" s="5">
        <f t="shared" si="9"/>
        <v>0</v>
      </c>
      <c r="AB12" s="5">
        <f t="shared" si="10"/>
        <v>0</v>
      </c>
    </row>
    <row r="13" spans="1:30" x14ac:dyDescent="0.25">
      <c r="D13" t="s">
        <v>80</v>
      </c>
      <c r="E13" s="64"/>
      <c r="F13" s="64"/>
      <c r="G13">
        <f>IFERROR(HLOOKUP(G$2,[3]table_male_hkom1_inj.unk!$A$1:$K$36,12,FALSE),0)</f>
        <v>0</v>
      </c>
      <c r="H13">
        <f>IFERROR(HLOOKUP(H$2,[3]table_male_hkom1_inj.unk!$A$1:$K$36,12,FALSE),0)</f>
        <v>0</v>
      </c>
      <c r="I13">
        <f>IFERROR(HLOOKUP(I$2,[3]table_male_hkom1_inj.unk!$A$1:$K$36,12,FALSE),0)</f>
        <v>0</v>
      </c>
      <c r="J13">
        <f>IFERROR(HLOOKUP(J$2,[3]table_male_hkom1_inj.unk!$A$1:$K$36,12,FALSE),0)</f>
        <v>0</v>
      </c>
      <c r="K13">
        <f>IFERROR(HLOOKUP(K$2,[3]table_male_hkom1_inj.unk!$A$1:$K$36,12,FALSE),0)</f>
        <v>0</v>
      </c>
      <c r="L13">
        <f>IFERROR(HLOOKUP(L$2,[3]table_male_hkom1_inj.unk!$A$1:$K$36,12,FALSE),0)</f>
        <v>0</v>
      </c>
      <c r="M13">
        <f t="shared" si="1"/>
        <v>0</v>
      </c>
      <c r="S13" t="s">
        <v>80</v>
      </c>
      <c r="T13" s="5">
        <f t="shared" si="2"/>
        <v>0</v>
      </c>
      <c r="U13" s="5">
        <f t="shared" si="3"/>
        <v>0</v>
      </c>
      <c r="V13" s="5">
        <f t="shared" si="4"/>
        <v>0</v>
      </c>
      <c r="W13" s="5">
        <f t="shared" si="5"/>
        <v>0</v>
      </c>
      <c r="X13" s="5">
        <f t="shared" si="6"/>
        <v>0</v>
      </c>
      <c r="Y13" s="5">
        <f t="shared" si="7"/>
        <v>0</v>
      </c>
      <c r="Z13" s="5">
        <f t="shared" si="8"/>
        <v>0</v>
      </c>
      <c r="AA13" s="5">
        <f t="shared" si="9"/>
        <v>0</v>
      </c>
      <c r="AB13" s="5">
        <f t="shared" si="10"/>
        <v>0</v>
      </c>
    </row>
    <row r="14" spans="1:30" x14ac:dyDescent="0.25">
      <c r="D14" t="s">
        <v>81</v>
      </c>
      <c r="E14" s="64"/>
      <c r="F14" s="64"/>
      <c r="G14">
        <f>IFERROR(HLOOKUP(G$2,[3]table_male_hkom1_inj.unk!$A$1:$K$36,13,FALSE),0)</f>
        <v>0</v>
      </c>
      <c r="H14">
        <f>IFERROR(HLOOKUP(H$2,[3]table_male_hkom1_inj.unk!$A$1:$K$36,13,FALSE),0)</f>
        <v>0</v>
      </c>
      <c r="I14">
        <f>IFERROR(HLOOKUP(I$2,[3]table_male_hkom1_inj.unk!$A$1:$K$36,13,FALSE),0)</f>
        <v>0</v>
      </c>
      <c r="J14">
        <f>IFERROR(HLOOKUP(J$2,[3]table_male_hkom1_inj.unk!$A$1:$K$36,13,FALSE),0)</f>
        <v>0</v>
      </c>
      <c r="K14">
        <f>IFERROR(HLOOKUP(K$2,[3]table_male_hkom1_inj.unk!$A$1:$K$36,13,FALSE),0)</f>
        <v>0</v>
      </c>
      <c r="L14">
        <f>IFERROR(HLOOKUP(L$2,[3]table_male_hkom1_inj.unk!$A$1:$K$36,13,FALSE),0)</f>
        <v>0</v>
      </c>
      <c r="M14">
        <f t="shared" si="1"/>
        <v>0</v>
      </c>
      <c r="S14" t="s">
        <v>81</v>
      </c>
      <c r="T14" s="5">
        <f t="shared" si="2"/>
        <v>0</v>
      </c>
      <c r="U14" s="5">
        <f t="shared" si="3"/>
        <v>0</v>
      </c>
      <c r="V14" s="5">
        <f t="shared" si="4"/>
        <v>0</v>
      </c>
      <c r="W14" s="5">
        <f t="shared" si="5"/>
        <v>0</v>
      </c>
      <c r="X14" s="5">
        <f t="shared" si="6"/>
        <v>0</v>
      </c>
      <c r="Y14" s="5">
        <f t="shared" si="7"/>
        <v>0</v>
      </c>
      <c r="Z14" s="5">
        <f t="shared" si="8"/>
        <v>0</v>
      </c>
      <c r="AA14" s="5">
        <f t="shared" si="9"/>
        <v>0</v>
      </c>
      <c r="AB14" s="5">
        <f t="shared" si="10"/>
        <v>0</v>
      </c>
    </row>
    <row r="15" spans="1:30" x14ac:dyDescent="0.25">
      <c r="D15" t="s">
        <v>82</v>
      </c>
      <c r="E15" s="64"/>
      <c r="F15" s="64"/>
      <c r="G15">
        <f>IFERROR(HLOOKUP(G$2,[3]table_male_hkom1_inj.unk!$A$1:$K$36,14,FALSE),0)</f>
        <v>0</v>
      </c>
      <c r="H15">
        <f>IFERROR(HLOOKUP(H$2,[3]table_male_hkom1_inj.unk!$A$1:$K$36,14,FALSE),0)</f>
        <v>0</v>
      </c>
      <c r="I15">
        <f>IFERROR(HLOOKUP(I$2,[3]table_male_hkom1_inj.unk!$A$1:$K$36,14,FALSE),0)</f>
        <v>0</v>
      </c>
      <c r="J15">
        <f>IFERROR(HLOOKUP(J$2,[3]table_male_hkom1_inj.unk!$A$1:$K$36,14,FALSE),0)</f>
        <v>0</v>
      </c>
      <c r="K15">
        <f>IFERROR(HLOOKUP(K$2,[3]table_male_hkom1_inj.unk!$A$1:$K$36,14,FALSE),0)</f>
        <v>0</v>
      </c>
      <c r="L15">
        <f>IFERROR(HLOOKUP(L$2,[3]table_male_hkom1_inj.unk!$A$1:$K$36,14,FALSE),0)</f>
        <v>0</v>
      </c>
      <c r="M15">
        <f t="shared" si="1"/>
        <v>0</v>
      </c>
      <c r="S15" t="s">
        <v>82</v>
      </c>
      <c r="T15" s="5">
        <f t="shared" si="2"/>
        <v>0</v>
      </c>
      <c r="U15" s="5">
        <f t="shared" si="3"/>
        <v>0</v>
      </c>
      <c r="V15" s="5">
        <f t="shared" si="4"/>
        <v>0</v>
      </c>
      <c r="W15" s="5">
        <f t="shared" si="5"/>
        <v>0</v>
      </c>
      <c r="X15" s="5">
        <f t="shared" si="6"/>
        <v>0</v>
      </c>
      <c r="Y15" s="5">
        <f t="shared" si="7"/>
        <v>0</v>
      </c>
      <c r="Z15" s="5">
        <f t="shared" si="8"/>
        <v>0</v>
      </c>
      <c r="AA15" s="5">
        <f t="shared" si="9"/>
        <v>0</v>
      </c>
      <c r="AB15" s="5">
        <f t="shared" si="10"/>
        <v>0</v>
      </c>
    </row>
    <row r="16" spans="1:30" x14ac:dyDescent="0.25">
      <c r="D16" t="s">
        <v>83</v>
      </c>
      <c r="E16" s="64"/>
      <c r="F16" s="64"/>
      <c r="G16">
        <f>IFERROR(HLOOKUP(G$2,[3]table_male_hkom1_inj.unk!$A$1:$K$36,15,FALSE),0)</f>
        <v>0</v>
      </c>
      <c r="H16">
        <f>IFERROR(HLOOKUP(H$2,[3]table_male_hkom1_inj.unk!$A$1:$K$36,15,FALSE),0)</f>
        <v>0</v>
      </c>
      <c r="I16">
        <f>IFERROR(HLOOKUP(I$2,[3]table_male_hkom1_inj.unk!$A$1:$K$36,15,FALSE),0)</f>
        <v>0</v>
      </c>
      <c r="J16">
        <f>IFERROR(HLOOKUP(J$2,[3]table_male_hkom1_inj.unk!$A$1:$K$36,15,FALSE),0)</f>
        <v>0</v>
      </c>
      <c r="K16">
        <f>IFERROR(HLOOKUP(K$2,[3]table_male_hkom1_inj.unk!$A$1:$K$36,15,FALSE),0)</f>
        <v>0</v>
      </c>
      <c r="L16">
        <f>IFERROR(HLOOKUP(L$2,[3]table_male_hkom1_inj.unk!$A$1:$K$36,15,FALSE),0)</f>
        <v>0</v>
      </c>
      <c r="M16">
        <f t="shared" si="1"/>
        <v>0</v>
      </c>
      <c r="S16" t="s">
        <v>83</v>
      </c>
      <c r="T16" s="5">
        <f t="shared" si="2"/>
        <v>0</v>
      </c>
      <c r="U16" s="5">
        <f t="shared" si="3"/>
        <v>0</v>
      </c>
      <c r="V16" s="5">
        <f t="shared" si="4"/>
        <v>0</v>
      </c>
      <c r="W16" s="5">
        <f t="shared" si="5"/>
        <v>0</v>
      </c>
      <c r="X16" s="5">
        <f t="shared" si="6"/>
        <v>0</v>
      </c>
      <c r="Y16" s="5">
        <f t="shared" si="7"/>
        <v>0</v>
      </c>
      <c r="Z16" s="5">
        <f t="shared" si="8"/>
        <v>0</v>
      </c>
      <c r="AA16" s="5">
        <f t="shared" si="9"/>
        <v>0</v>
      </c>
      <c r="AB16" s="5">
        <f t="shared" si="10"/>
        <v>0</v>
      </c>
    </row>
    <row r="17" spans="4:28" x14ac:dyDescent="0.25">
      <c r="D17" t="s">
        <v>84</v>
      </c>
      <c r="E17" s="64"/>
      <c r="F17" s="64"/>
      <c r="G17">
        <f>IFERROR(HLOOKUP(G$2,[3]table_male_hkom1_inj.unk!$A$1:$K$36,16,FALSE),0)</f>
        <v>0</v>
      </c>
      <c r="H17">
        <f>IFERROR(HLOOKUP(H$2,[3]table_male_hkom1_inj.unk!$A$1:$K$36,16,FALSE),0)</f>
        <v>0</v>
      </c>
      <c r="I17">
        <f>IFERROR(HLOOKUP(I$2,[3]table_male_hkom1_inj.unk!$A$1:$K$36,16,FALSE),0)</f>
        <v>0</v>
      </c>
      <c r="J17">
        <f>IFERROR(HLOOKUP(J$2,[3]table_male_hkom1_inj.unk!$A$1:$K$36,16,FALSE),0)</f>
        <v>0</v>
      </c>
      <c r="K17">
        <f>IFERROR(HLOOKUP(K$2,[3]table_male_hkom1_inj.unk!$A$1:$K$36,16,FALSE),0)</f>
        <v>0</v>
      </c>
      <c r="L17">
        <f>IFERROR(HLOOKUP(L$2,[3]table_male_hkom1_inj.unk!$A$1:$K$36,16,FALSE),0)</f>
        <v>0</v>
      </c>
      <c r="M17">
        <f t="shared" si="1"/>
        <v>0</v>
      </c>
      <c r="S17" t="s">
        <v>84</v>
      </c>
      <c r="T17" s="5">
        <f t="shared" si="2"/>
        <v>0</v>
      </c>
      <c r="U17" s="5">
        <f t="shared" si="3"/>
        <v>0</v>
      </c>
      <c r="V17" s="5">
        <f t="shared" si="4"/>
        <v>0</v>
      </c>
      <c r="W17" s="5">
        <f t="shared" si="5"/>
        <v>0</v>
      </c>
      <c r="X17" s="5">
        <f t="shared" si="6"/>
        <v>0</v>
      </c>
      <c r="Y17" s="5">
        <f t="shared" si="7"/>
        <v>0</v>
      </c>
      <c r="Z17" s="5">
        <f t="shared" si="8"/>
        <v>0</v>
      </c>
      <c r="AA17" s="5">
        <f t="shared" si="9"/>
        <v>0</v>
      </c>
      <c r="AB17" s="5">
        <f t="shared" si="10"/>
        <v>0</v>
      </c>
    </row>
    <row r="18" spans="4:28" x14ac:dyDescent="0.25">
      <c r="D18" t="s">
        <v>85</v>
      </c>
      <c r="E18" s="64"/>
      <c r="F18" s="64"/>
      <c r="G18">
        <f>IFERROR(HLOOKUP(G$2,[3]table_male_hkom1_inj.unk!$A$1:$K$36,17,FALSE),0)</f>
        <v>0</v>
      </c>
      <c r="H18">
        <f>IFERROR(HLOOKUP(H$2,[3]table_male_hkom1_inj.unk!$A$1:$K$36,17,FALSE),0)</f>
        <v>0</v>
      </c>
      <c r="I18">
        <f>IFERROR(HLOOKUP(I$2,[3]table_male_hkom1_inj.unk!$A$1:$K$36,17,FALSE),0)</f>
        <v>0</v>
      </c>
      <c r="J18">
        <f>IFERROR(HLOOKUP(J$2,[3]table_male_hkom1_inj.unk!$A$1:$K$36,17,FALSE),0)</f>
        <v>0</v>
      </c>
      <c r="K18">
        <f>IFERROR(HLOOKUP(K$2,[3]table_male_hkom1_inj.unk!$A$1:$K$36,17,FALSE),0)</f>
        <v>0</v>
      </c>
      <c r="L18">
        <f>IFERROR(HLOOKUP(L$2,[3]table_male_hkom1_inj.unk!$A$1:$K$36,17,FALSE),0)</f>
        <v>0</v>
      </c>
      <c r="M18">
        <f t="shared" si="1"/>
        <v>0</v>
      </c>
      <c r="S18" t="s">
        <v>85</v>
      </c>
      <c r="T18" s="5">
        <f t="shared" si="2"/>
        <v>0</v>
      </c>
      <c r="U18" s="5">
        <f t="shared" si="3"/>
        <v>0</v>
      </c>
      <c r="V18" s="5">
        <f t="shared" si="4"/>
        <v>0</v>
      </c>
      <c r="W18" s="5">
        <f t="shared" si="5"/>
        <v>0</v>
      </c>
      <c r="X18" s="5">
        <f t="shared" si="6"/>
        <v>0</v>
      </c>
      <c r="Y18" s="5">
        <f t="shared" si="7"/>
        <v>0</v>
      </c>
      <c r="Z18" s="5">
        <f t="shared" si="8"/>
        <v>0</v>
      </c>
      <c r="AA18" s="5">
        <f t="shared" si="9"/>
        <v>0</v>
      </c>
      <c r="AB18" s="5">
        <f t="shared" si="10"/>
        <v>0</v>
      </c>
    </row>
    <row r="19" spans="4:28" x14ac:dyDescent="0.25">
      <c r="D19" t="s">
        <v>86</v>
      </c>
      <c r="E19" s="64"/>
      <c r="F19" s="64"/>
      <c r="G19">
        <f>IFERROR(HLOOKUP(G$2,[3]table_male_hkom1_inj.unk!$A$1:$K$36,18,FALSE),0)</f>
        <v>0</v>
      </c>
      <c r="H19">
        <f>IFERROR(HLOOKUP(H$2,[3]table_male_hkom1_inj.unk!$A$1:$K$36,18,FALSE),0)</f>
        <v>0</v>
      </c>
      <c r="I19">
        <f>IFERROR(HLOOKUP(I$2,[3]table_male_hkom1_inj.unk!$A$1:$K$36,18,FALSE),0)</f>
        <v>0</v>
      </c>
      <c r="J19">
        <f>IFERROR(HLOOKUP(J$2,[3]table_male_hkom1_inj.unk!$A$1:$K$36,18,FALSE),0)</f>
        <v>0</v>
      </c>
      <c r="K19">
        <f>IFERROR(HLOOKUP(K$2,[3]table_male_hkom1_inj.unk!$A$1:$K$36,18,FALSE),0)</f>
        <v>0</v>
      </c>
      <c r="L19">
        <f>IFERROR(HLOOKUP(L$2,[3]table_male_hkom1_inj.unk!$A$1:$K$36,18,FALSE),0)</f>
        <v>0</v>
      </c>
      <c r="M19">
        <f t="shared" si="1"/>
        <v>0</v>
      </c>
      <c r="S19" t="s">
        <v>86</v>
      </c>
      <c r="T19" s="5">
        <f t="shared" si="2"/>
        <v>0</v>
      </c>
      <c r="U19" s="5">
        <f t="shared" si="3"/>
        <v>0</v>
      </c>
      <c r="V19" s="5">
        <f t="shared" si="4"/>
        <v>0</v>
      </c>
      <c r="W19" s="5">
        <f t="shared" si="5"/>
        <v>0</v>
      </c>
      <c r="X19" s="5">
        <f t="shared" si="6"/>
        <v>0</v>
      </c>
      <c r="Y19" s="5">
        <f t="shared" si="7"/>
        <v>0</v>
      </c>
      <c r="Z19" s="5">
        <f t="shared" si="8"/>
        <v>0</v>
      </c>
      <c r="AA19" s="5">
        <f t="shared" si="9"/>
        <v>0</v>
      </c>
      <c r="AB19" s="5">
        <f t="shared" si="10"/>
        <v>0</v>
      </c>
    </row>
    <row r="20" spans="4:28" x14ac:dyDescent="0.25">
      <c r="D20" t="s">
        <v>87</v>
      </c>
      <c r="E20" s="64"/>
      <c r="F20" s="64"/>
      <c r="G20">
        <f>IFERROR(HLOOKUP(G$2,[3]table_male_hkom1_inj.unk!$A$1:$K$36,19,FALSE),0)</f>
        <v>0</v>
      </c>
      <c r="H20">
        <f>IFERROR(HLOOKUP(H$2,[3]table_male_hkom1_inj.unk!$A$1:$K$36,19,FALSE),0)</f>
        <v>0</v>
      </c>
      <c r="I20">
        <f>IFERROR(HLOOKUP(I$2,[3]table_male_hkom1_inj.unk!$A$1:$K$36,19,FALSE),0)</f>
        <v>0</v>
      </c>
      <c r="J20">
        <f>IFERROR(HLOOKUP(J$2,[3]table_male_hkom1_inj.unk!$A$1:$K$36,19,FALSE),0)</f>
        <v>0</v>
      </c>
      <c r="K20">
        <f>IFERROR(HLOOKUP(K$2,[3]table_male_hkom1_inj.unk!$A$1:$K$36,19,FALSE),0)</f>
        <v>0</v>
      </c>
      <c r="L20">
        <f>IFERROR(HLOOKUP(L$2,[3]table_male_hkom1_inj.unk!$A$1:$K$36,19,FALSE),0)</f>
        <v>0</v>
      </c>
      <c r="M20">
        <f t="shared" si="1"/>
        <v>0</v>
      </c>
      <c r="S20" t="s">
        <v>87</v>
      </c>
      <c r="T20" s="5">
        <f t="shared" si="2"/>
        <v>0</v>
      </c>
      <c r="U20" s="5">
        <f t="shared" si="3"/>
        <v>0</v>
      </c>
      <c r="V20" s="5">
        <f t="shared" si="4"/>
        <v>0</v>
      </c>
      <c r="W20" s="5">
        <f t="shared" si="5"/>
        <v>0</v>
      </c>
      <c r="X20" s="5">
        <f t="shared" si="6"/>
        <v>0</v>
      </c>
      <c r="Y20" s="5">
        <f t="shared" si="7"/>
        <v>0</v>
      </c>
      <c r="Z20" s="5">
        <f t="shared" si="8"/>
        <v>0</v>
      </c>
      <c r="AA20" s="5">
        <f t="shared" si="9"/>
        <v>0</v>
      </c>
      <c r="AB20" s="5">
        <f t="shared" si="10"/>
        <v>0</v>
      </c>
    </row>
    <row r="21" spans="4:28" x14ac:dyDescent="0.25">
      <c r="D21" t="s">
        <v>88</v>
      </c>
      <c r="E21" s="64"/>
      <c r="F21" s="64"/>
      <c r="G21">
        <f>IFERROR(HLOOKUP(G$2,[3]table_male_hkom1_inj.unk!$A$1:$K$36,20,FALSE),0)</f>
        <v>0</v>
      </c>
      <c r="H21">
        <f>IFERROR(HLOOKUP(H$2,[3]table_male_hkom1_inj.unk!$A$1:$K$36,20,FALSE),0)</f>
        <v>0</v>
      </c>
      <c r="I21">
        <f>IFERROR(HLOOKUP(I$2,[3]table_male_hkom1_inj.unk!$A$1:$K$36,20,FALSE),0)</f>
        <v>0</v>
      </c>
      <c r="J21">
        <f>IFERROR(HLOOKUP(J$2,[3]table_male_hkom1_inj.unk!$A$1:$K$36,20,FALSE),0)</f>
        <v>0</v>
      </c>
      <c r="K21">
        <f>IFERROR(HLOOKUP(K$2,[3]table_male_hkom1_inj.unk!$A$1:$K$36,20,FALSE),0)</f>
        <v>0</v>
      </c>
      <c r="L21">
        <f>IFERROR(HLOOKUP(L$2,[3]table_male_hkom1_inj.unk!$A$1:$K$36,20,FALSE),0)</f>
        <v>0</v>
      </c>
      <c r="M21">
        <f t="shared" si="1"/>
        <v>0</v>
      </c>
      <c r="S21" t="s">
        <v>88</v>
      </c>
      <c r="T21" s="5">
        <f t="shared" si="2"/>
        <v>0</v>
      </c>
      <c r="U21" s="5">
        <f t="shared" si="3"/>
        <v>0</v>
      </c>
      <c r="V21" s="5">
        <f t="shared" si="4"/>
        <v>0</v>
      </c>
      <c r="W21" s="5">
        <f t="shared" si="5"/>
        <v>0</v>
      </c>
      <c r="X21" s="5">
        <f t="shared" si="6"/>
        <v>0</v>
      </c>
      <c r="Y21" s="5">
        <f t="shared" si="7"/>
        <v>0</v>
      </c>
      <c r="Z21" s="5">
        <f t="shared" si="8"/>
        <v>0</v>
      </c>
      <c r="AA21" s="5">
        <f t="shared" si="9"/>
        <v>0</v>
      </c>
      <c r="AB21" s="5">
        <f t="shared" si="10"/>
        <v>0</v>
      </c>
    </row>
    <row r="22" spans="4:28" x14ac:dyDescent="0.25">
      <c r="D22" t="s">
        <v>89</v>
      </c>
      <c r="E22" s="64"/>
      <c r="F22" s="64"/>
      <c r="G22">
        <f>IFERROR(HLOOKUP(G$2,[3]table_male_hkom1_inj.unk!$A$1:$K$36,21,FALSE),0)</f>
        <v>0</v>
      </c>
      <c r="H22">
        <f>IFERROR(HLOOKUP(H$2,[3]table_male_hkom1_inj.unk!$A$1:$K$36,21,FALSE),0)</f>
        <v>0</v>
      </c>
      <c r="I22">
        <f>IFERROR(HLOOKUP(I$2,[3]table_male_hkom1_inj.unk!$A$1:$K$36,21,FALSE),0)</f>
        <v>0</v>
      </c>
      <c r="J22">
        <f>IFERROR(HLOOKUP(J$2,[3]table_male_hkom1_inj.unk!$A$1:$K$36,21,FALSE),0)</f>
        <v>0</v>
      </c>
      <c r="K22">
        <f>IFERROR(HLOOKUP(K$2,[3]table_male_hkom1_inj.unk!$A$1:$K$36,21,FALSE),0)</f>
        <v>0</v>
      </c>
      <c r="L22">
        <f>IFERROR(HLOOKUP(L$2,[3]table_male_hkom1_inj.unk!$A$1:$K$36,21,FALSE),0)</f>
        <v>0</v>
      </c>
      <c r="M22">
        <f t="shared" si="1"/>
        <v>0</v>
      </c>
      <c r="S22" t="s">
        <v>89</v>
      </c>
      <c r="T22" s="5">
        <f t="shared" si="2"/>
        <v>0</v>
      </c>
      <c r="U22" s="5">
        <f t="shared" si="3"/>
        <v>0</v>
      </c>
      <c r="V22" s="5">
        <f t="shared" si="4"/>
        <v>0</v>
      </c>
      <c r="W22" s="5">
        <f t="shared" si="5"/>
        <v>0</v>
      </c>
      <c r="X22" s="5">
        <f t="shared" si="6"/>
        <v>0</v>
      </c>
      <c r="Y22" s="5">
        <f t="shared" si="7"/>
        <v>0</v>
      </c>
      <c r="Z22" s="5">
        <f t="shared" si="8"/>
        <v>0</v>
      </c>
      <c r="AA22" s="5">
        <f t="shared" si="9"/>
        <v>0</v>
      </c>
      <c r="AB22" s="5">
        <f t="shared" si="10"/>
        <v>0</v>
      </c>
    </row>
    <row r="23" spans="4:28" x14ac:dyDescent="0.25">
      <c r="D23" t="s">
        <v>90</v>
      </c>
      <c r="E23" s="64"/>
      <c r="F23" s="64"/>
      <c r="G23">
        <f>IFERROR(HLOOKUP(G$2,[3]table_male_hkom1_inj.unk!$A$1:$K$36,22,FALSE),0)</f>
        <v>0</v>
      </c>
      <c r="H23">
        <f>IFERROR(HLOOKUP(H$2,[3]table_male_hkom1_inj.unk!$A$1:$K$36,22,FALSE),0)</f>
        <v>0</v>
      </c>
      <c r="I23">
        <f>IFERROR(HLOOKUP(I$2,[3]table_male_hkom1_inj.unk!$A$1:$K$36,22,FALSE),0)</f>
        <v>0</v>
      </c>
      <c r="J23">
        <f>IFERROR(HLOOKUP(J$2,[3]table_male_hkom1_inj.unk!$A$1:$K$36,22,FALSE),0)</f>
        <v>0</v>
      </c>
      <c r="K23">
        <f>IFERROR(HLOOKUP(K$2,[3]table_male_hkom1_inj.unk!$A$1:$K$36,22,FALSE),0)</f>
        <v>0</v>
      </c>
      <c r="L23">
        <f>IFERROR(HLOOKUP(L$2,[3]table_male_hkom1_inj.unk!$A$1:$K$36,22,FALSE),0)</f>
        <v>0</v>
      </c>
      <c r="M23">
        <f t="shared" si="1"/>
        <v>0</v>
      </c>
      <c r="S23" t="s">
        <v>90</v>
      </c>
      <c r="T23" s="5">
        <f t="shared" si="2"/>
        <v>0</v>
      </c>
      <c r="U23" s="5">
        <f t="shared" si="3"/>
        <v>0</v>
      </c>
      <c r="V23" s="5">
        <f t="shared" si="4"/>
        <v>0</v>
      </c>
      <c r="W23" s="5">
        <f t="shared" si="5"/>
        <v>0</v>
      </c>
      <c r="X23" s="5">
        <f t="shared" si="6"/>
        <v>0</v>
      </c>
      <c r="Y23" s="5">
        <f t="shared" si="7"/>
        <v>0</v>
      </c>
      <c r="Z23" s="5">
        <f t="shared" si="8"/>
        <v>0</v>
      </c>
      <c r="AA23" s="5">
        <f t="shared" si="9"/>
        <v>0</v>
      </c>
      <c r="AB23" s="5">
        <f t="shared" si="10"/>
        <v>0</v>
      </c>
    </row>
    <row r="24" spans="4:28" x14ac:dyDescent="0.25">
      <c r="D24" t="s">
        <v>91</v>
      </c>
      <c r="E24" s="64"/>
      <c r="F24" s="64"/>
      <c r="G24">
        <f>IFERROR(HLOOKUP(G$2,[3]table_male_hkom1_inj.unk!$A$1:$K$36,23,FALSE),0)</f>
        <v>0</v>
      </c>
      <c r="H24">
        <f>IFERROR(HLOOKUP(H$2,[3]table_male_hkom1_inj.unk!$A$1:$K$36,23,FALSE),0)</f>
        <v>0</v>
      </c>
      <c r="I24">
        <f>IFERROR(HLOOKUP(I$2,[3]table_male_hkom1_inj.unk!$A$1:$K$36,23,FALSE),0)</f>
        <v>0</v>
      </c>
      <c r="J24">
        <f>IFERROR(HLOOKUP(J$2,[3]table_male_hkom1_inj.unk!$A$1:$K$36,23,FALSE),0)</f>
        <v>0</v>
      </c>
      <c r="K24">
        <f>IFERROR(HLOOKUP(K$2,[3]table_male_hkom1_inj.unk!$A$1:$K$36,23,FALSE),0)</f>
        <v>0</v>
      </c>
      <c r="L24">
        <f>IFERROR(HLOOKUP(L$2,[3]table_male_hkom1_inj.unk!$A$1:$K$36,23,FALSE),0)</f>
        <v>0</v>
      </c>
      <c r="M24">
        <f t="shared" si="1"/>
        <v>0</v>
      </c>
      <c r="S24" t="s">
        <v>91</v>
      </c>
      <c r="T24" s="5">
        <f t="shared" si="2"/>
        <v>0</v>
      </c>
      <c r="U24" s="5">
        <f t="shared" si="3"/>
        <v>0</v>
      </c>
      <c r="V24" s="5">
        <f t="shared" si="4"/>
        <v>0</v>
      </c>
      <c r="W24" s="5">
        <f t="shared" si="5"/>
        <v>0</v>
      </c>
      <c r="X24" s="5">
        <f t="shared" si="6"/>
        <v>0</v>
      </c>
      <c r="Y24" s="5">
        <f t="shared" si="7"/>
        <v>0</v>
      </c>
      <c r="Z24" s="5">
        <f t="shared" si="8"/>
        <v>0</v>
      </c>
      <c r="AA24" s="5">
        <f t="shared" si="9"/>
        <v>0</v>
      </c>
      <c r="AB24" s="5">
        <f t="shared" si="10"/>
        <v>0</v>
      </c>
    </row>
    <row r="25" spans="4:28" x14ac:dyDescent="0.25">
      <c r="D25" t="s">
        <v>92</v>
      </c>
      <c r="E25" s="64"/>
      <c r="F25" s="64"/>
      <c r="G25">
        <f>IFERROR(HLOOKUP(G$2,[3]table_male_hkom1_inj.unk!$A$1:$K$36,24,FALSE),0)</f>
        <v>0</v>
      </c>
      <c r="H25">
        <f>IFERROR(HLOOKUP(H$2,[3]table_male_hkom1_inj.unk!$A$1:$K$36,24,FALSE),0)</f>
        <v>0</v>
      </c>
      <c r="I25">
        <f>IFERROR(HLOOKUP(I$2,[3]table_male_hkom1_inj.unk!$A$1:$K$36,24,FALSE),0)</f>
        <v>0</v>
      </c>
      <c r="J25">
        <f>IFERROR(HLOOKUP(J$2,[3]table_male_hkom1_inj.unk!$A$1:$K$36,24,FALSE),0)</f>
        <v>0</v>
      </c>
      <c r="K25">
        <f>IFERROR(HLOOKUP(K$2,[3]table_male_hkom1_inj.unk!$A$1:$K$36,24,FALSE),0)</f>
        <v>0</v>
      </c>
      <c r="L25">
        <f>IFERROR(HLOOKUP(L$2,[3]table_male_hkom1_inj.unk!$A$1:$K$36,24,FALSE),0)</f>
        <v>0</v>
      </c>
      <c r="M25">
        <f t="shared" si="1"/>
        <v>0</v>
      </c>
      <c r="S25" t="s">
        <v>92</v>
      </c>
      <c r="T25" s="5">
        <f t="shared" si="2"/>
        <v>0</v>
      </c>
      <c r="U25" s="5">
        <f t="shared" si="3"/>
        <v>0</v>
      </c>
      <c r="V25" s="5">
        <f t="shared" si="4"/>
        <v>0</v>
      </c>
      <c r="W25" s="5">
        <f t="shared" si="5"/>
        <v>0</v>
      </c>
      <c r="X25" s="5">
        <f t="shared" si="6"/>
        <v>0</v>
      </c>
      <c r="Y25" s="5">
        <f t="shared" si="7"/>
        <v>0</v>
      </c>
      <c r="Z25" s="5">
        <f t="shared" si="8"/>
        <v>0</v>
      </c>
      <c r="AA25" s="5">
        <f t="shared" si="9"/>
        <v>0</v>
      </c>
      <c r="AB25" s="5">
        <f t="shared" si="10"/>
        <v>0</v>
      </c>
    </row>
    <row r="26" spans="4:28" x14ac:dyDescent="0.25">
      <c r="D26" t="s">
        <v>93</v>
      </c>
      <c r="E26" s="64"/>
      <c r="F26" s="64"/>
      <c r="G26">
        <f>IFERROR(HLOOKUP(G$2,[3]table_male_hkom1_inj.unk!$A$1:$K$36,25,FALSE),0)</f>
        <v>0</v>
      </c>
      <c r="H26">
        <f>IFERROR(HLOOKUP(H$2,[3]table_male_hkom1_inj.unk!$A$1:$K$36,25,FALSE),0)</f>
        <v>0</v>
      </c>
      <c r="I26">
        <f>IFERROR(HLOOKUP(I$2,[3]table_male_hkom1_inj.unk!$A$1:$K$36,25,FALSE),0)</f>
        <v>0</v>
      </c>
      <c r="J26">
        <f>IFERROR(HLOOKUP(J$2,[3]table_male_hkom1_inj.unk!$A$1:$K$36,25,FALSE),0)</f>
        <v>0</v>
      </c>
      <c r="K26">
        <f>IFERROR(HLOOKUP(K$2,[3]table_male_hkom1_inj.unk!$A$1:$K$36,25,FALSE),0)</f>
        <v>0</v>
      </c>
      <c r="L26">
        <f>IFERROR(HLOOKUP(L$2,[3]table_male_hkom1_inj.unk!$A$1:$K$36,25,FALSE),0)</f>
        <v>0</v>
      </c>
      <c r="M26">
        <f t="shared" si="1"/>
        <v>0</v>
      </c>
      <c r="S26" t="s">
        <v>93</v>
      </c>
      <c r="T26" s="5">
        <f t="shared" si="2"/>
        <v>0</v>
      </c>
      <c r="U26" s="5">
        <f t="shared" si="3"/>
        <v>0</v>
      </c>
      <c r="V26" s="5">
        <f t="shared" si="4"/>
        <v>0</v>
      </c>
      <c r="W26" s="5">
        <f t="shared" si="5"/>
        <v>0</v>
      </c>
      <c r="X26" s="5">
        <f t="shared" si="6"/>
        <v>0</v>
      </c>
      <c r="Y26" s="5">
        <f t="shared" si="7"/>
        <v>0</v>
      </c>
      <c r="Z26" s="5">
        <f t="shared" si="8"/>
        <v>0</v>
      </c>
      <c r="AA26" s="5">
        <f t="shared" si="9"/>
        <v>0</v>
      </c>
      <c r="AB26" s="5">
        <f t="shared" si="10"/>
        <v>0</v>
      </c>
    </row>
    <row r="27" spans="4:28" x14ac:dyDescent="0.25">
      <c r="D27" t="s">
        <v>94</v>
      </c>
      <c r="E27" s="64"/>
      <c r="F27" s="64"/>
      <c r="G27">
        <f>IFERROR(HLOOKUP(G$2,[3]table_male_hkom1_inj.unk!$A$1:$K$36,26,FALSE),0)</f>
        <v>0</v>
      </c>
      <c r="H27">
        <f>IFERROR(HLOOKUP(H$2,[3]table_male_hkom1_inj.unk!$A$1:$K$36,26,FALSE),0)</f>
        <v>0</v>
      </c>
      <c r="I27">
        <f>IFERROR(HLOOKUP(I$2,[3]table_male_hkom1_inj.unk!$A$1:$K$36,26,FALSE),0)</f>
        <v>0</v>
      </c>
      <c r="J27">
        <f>IFERROR(HLOOKUP(J$2,[3]table_male_hkom1_inj.unk!$A$1:$K$36,26,FALSE),0)</f>
        <v>0</v>
      </c>
      <c r="K27">
        <f>IFERROR(HLOOKUP(K$2,[3]table_male_hkom1_inj.unk!$A$1:$K$36,26,FALSE),0)</f>
        <v>0</v>
      </c>
      <c r="L27">
        <f>IFERROR(HLOOKUP(L$2,[3]table_male_hkom1_inj.unk!$A$1:$K$36,26,FALSE),0)</f>
        <v>0</v>
      </c>
      <c r="M27">
        <f t="shared" si="1"/>
        <v>0</v>
      </c>
      <c r="S27" t="s">
        <v>94</v>
      </c>
      <c r="T27" s="5">
        <f t="shared" si="2"/>
        <v>0</v>
      </c>
      <c r="U27" s="5">
        <f t="shared" si="3"/>
        <v>0</v>
      </c>
      <c r="V27" s="5">
        <f t="shared" si="4"/>
        <v>0</v>
      </c>
      <c r="W27" s="5">
        <f t="shared" si="5"/>
        <v>0</v>
      </c>
      <c r="X27" s="5">
        <f t="shared" si="6"/>
        <v>0</v>
      </c>
      <c r="Y27" s="5">
        <f t="shared" si="7"/>
        <v>0</v>
      </c>
      <c r="Z27" s="5">
        <f t="shared" si="8"/>
        <v>0</v>
      </c>
      <c r="AA27" s="5">
        <f t="shared" si="9"/>
        <v>0</v>
      </c>
      <c r="AB27" s="5">
        <f t="shared" si="10"/>
        <v>0</v>
      </c>
    </row>
    <row r="28" spans="4:28" x14ac:dyDescent="0.25">
      <c r="D28" t="s">
        <v>95</v>
      </c>
      <c r="E28" s="64"/>
      <c r="F28" s="64"/>
      <c r="G28">
        <f>IFERROR(HLOOKUP(G$2,[3]table_male_hkom1_inj.unk!$A$1:$K$36,27,FALSE),0)</f>
        <v>0</v>
      </c>
      <c r="H28">
        <f>IFERROR(HLOOKUP(H$2,[3]table_male_hkom1_inj.unk!$A$1:$K$36,27,FALSE),0)</f>
        <v>0</v>
      </c>
      <c r="I28">
        <f>IFERROR(HLOOKUP(I$2,[3]table_male_hkom1_inj.unk!$A$1:$K$36,27,FALSE),0)</f>
        <v>0</v>
      </c>
      <c r="J28">
        <f>IFERROR(HLOOKUP(J$2,[3]table_male_hkom1_inj.unk!$A$1:$K$36,27,FALSE),0)</f>
        <v>0</v>
      </c>
      <c r="K28">
        <f>IFERROR(HLOOKUP(K$2,[3]table_male_hkom1_inj.unk!$A$1:$K$36,27,FALSE),0)</f>
        <v>0</v>
      </c>
      <c r="L28">
        <f>IFERROR(HLOOKUP(L$2,[3]table_male_hkom1_inj.unk!$A$1:$K$36,27,FALSE),0)</f>
        <v>0</v>
      </c>
      <c r="M28">
        <f t="shared" si="1"/>
        <v>0</v>
      </c>
      <c r="S28" t="s">
        <v>95</v>
      </c>
      <c r="T28" s="5">
        <f t="shared" si="2"/>
        <v>0</v>
      </c>
      <c r="U28" s="5">
        <f t="shared" si="3"/>
        <v>0</v>
      </c>
      <c r="V28" s="5">
        <f t="shared" si="4"/>
        <v>0</v>
      </c>
      <c r="W28" s="5">
        <f t="shared" si="5"/>
        <v>0</v>
      </c>
      <c r="X28" s="5">
        <f t="shared" si="6"/>
        <v>0</v>
      </c>
      <c r="Y28" s="5">
        <f t="shared" si="7"/>
        <v>0</v>
      </c>
      <c r="Z28" s="5">
        <f t="shared" si="8"/>
        <v>0</v>
      </c>
      <c r="AA28" s="5">
        <f t="shared" si="9"/>
        <v>0</v>
      </c>
      <c r="AB28" s="5">
        <f t="shared" si="10"/>
        <v>0</v>
      </c>
    </row>
    <row r="29" spans="4:28" x14ac:dyDescent="0.25">
      <c r="D29" t="s">
        <v>96</v>
      </c>
      <c r="E29" s="64"/>
      <c r="F29" s="64"/>
      <c r="G29">
        <f>IFERROR(HLOOKUP(G$2,[3]table_male_hkom1_inj.unk!$A$1:$K$36,28,FALSE),0)</f>
        <v>0</v>
      </c>
      <c r="H29">
        <f>IFERROR(HLOOKUP(H$2,[3]table_male_hkom1_inj.unk!$A$1:$K$36,28,FALSE),0)</f>
        <v>0</v>
      </c>
      <c r="I29">
        <f>IFERROR(HLOOKUP(I$2,[3]table_male_hkom1_inj.unk!$A$1:$K$36,28,FALSE),0)</f>
        <v>0</v>
      </c>
      <c r="J29">
        <f>IFERROR(HLOOKUP(J$2,[3]table_male_hkom1_inj.unk!$A$1:$K$36,28,FALSE),0)</f>
        <v>0</v>
      </c>
      <c r="K29">
        <f>IFERROR(HLOOKUP(K$2,[3]table_male_hkom1_inj.unk!$A$1:$K$36,28,FALSE),0)</f>
        <v>0</v>
      </c>
      <c r="L29">
        <f>IFERROR(HLOOKUP(L$2,[3]table_male_hkom1_inj.unk!$A$1:$K$36,28,FALSE),0)</f>
        <v>0</v>
      </c>
      <c r="M29">
        <f t="shared" si="1"/>
        <v>0</v>
      </c>
      <c r="S29" t="s">
        <v>96</v>
      </c>
      <c r="T29" s="5">
        <f t="shared" si="2"/>
        <v>0</v>
      </c>
      <c r="U29" s="5">
        <f t="shared" si="3"/>
        <v>0</v>
      </c>
      <c r="V29" s="5">
        <f t="shared" si="4"/>
        <v>0</v>
      </c>
      <c r="W29" s="5">
        <f t="shared" si="5"/>
        <v>0</v>
      </c>
      <c r="X29" s="5">
        <f t="shared" si="6"/>
        <v>0</v>
      </c>
      <c r="Y29" s="5">
        <f t="shared" si="7"/>
        <v>0</v>
      </c>
      <c r="Z29" s="5">
        <f t="shared" si="8"/>
        <v>0</v>
      </c>
      <c r="AA29" s="5">
        <f t="shared" si="9"/>
        <v>0</v>
      </c>
      <c r="AB29" s="5">
        <f t="shared" si="10"/>
        <v>0</v>
      </c>
    </row>
    <row r="30" spans="4:28" x14ac:dyDescent="0.25">
      <c r="D30" t="s">
        <v>97</v>
      </c>
      <c r="E30" s="64"/>
      <c r="F30" s="64"/>
      <c r="G30">
        <f>IFERROR(HLOOKUP(G$2,[3]table_male_hkom1_inj.unk!$A$1:$K$36,29,FALSE),0)</f>
        <v>0</v>
      </c>
      <c r="H30">
        <f>IFERROR(HLOOKUP(H$2,[3]table_male_hkom1_inj.unk!$A$1:$K$36,29,FALSE),0)</f>
        <v>0</v>
      </c>
      <c r="I30">
        <f>IFERROR(HLOOKUP(I$2,[3]table_male_hkom1_inj.unk!$A$1:$K$36,29,FALSE),0)</f>
        <v>0</v>
      </c>
      <c r="J30">
        <f>IFERROR(HLOOKUP(J$2,[3]table_male_hkom1_inj.unk!$A$1:$K$36,29,FALSE),0)</f>
        <v>0</v>
      </c>
      <c r="K30">
        <f>IFERROR(HLOOKUP(K$2,[3]table_male_hkom1_inj.unk!$A$1:$K$36,29,FALSE),0)</f>
        <v>0</v>
      </c>
      <c r="L30">
        <f>IFERROR(HLOOKUP(L$2,[3]table_male_hkom1_inj.unk!$A$1:$K$36,29,FALSE),0)</f>
        <v>0</v>
      </c>
      <c r="M30">
        <f t="shared" si="1"/>
        <v>0</v>
      </c>
      <c r="S30" t="s">
        <v>97</v>
      </c>
      <c r="T30" s="5">
        <f t="shared" si="2"/>
        <v>0</v>
      </c>
      <c r="U30" s="5">
        <f t="shared" si="3"/>
        <v>0</v>
      </c>
      <c r="V30" s="5">
        <f t="shared" si="4"/>
        <v>0</v>
      </c>
      <c r="W30" s="5">
        <f t="shared" si="5"/>
        <v>0</v>
      </c>
      <c r="X30" s="5">
        <f t="shared" si="6"/>
        <v>0</v>
      </c>
      <c r="Y30" s="5">
        <f t="shared" si="7"/>
        <v>0</v>
      </c>
      <c r="Z30" s="5">
        <f t="shared" si="8"/>
        <v>0</v>
      </c>
      <c r="AA30" s="5">
        <f t="shared" si="9"/>
        <v>0</v>
      </c>
      <c r="AB30" s="5">
        <f t="shared" si="10"/>
        <v>0</v>
      </c>
    </row>
    <row r="31" spans="4:28" x14ac:dyDescent="0.25">
      <c r="D31" t="s">
        <v>98</v>
      </c>
      <c r="E31" s="64"/>
      <c r="F31" s="64"/>
      <c r="G31">
        <f>IFERROR(HLOOKUP(G$2,[3]table_male_hkom1_inj.unk!$A$1:$K$36,30,FALSE),0)</f>
        <v>0</v>
      </c>
      <c r="H31">
        <f>IFERROR(HLOOKUP(H$2,[3]table_male_hkom1_inj.unk!$A$1:$K$36,30,FALSE),0)</f>
        <v>0</v>
      </c>
      <c r="I31">
        <f>IFERROR(HLOOKUP(I$2,[3]table_male_hkom1_inj.unk!$A$1:$K$36,30,FALSE),0)</f>
        <v>0</v>
      </c>
      <c r="J31">
        <f>IFERROR(HLOOKUP(J$2,[3]table_male_hkom1_inj.unk!$A$1:$K$36,30,FALSE),0)</f>
        <v>0</v>
      </c>
      <c r="K31">
        <f>IFERROR(HLOOKUP(K$2,[3]table_male_hkom1_inj.unk!$A$1:$K$36,30,FALSE),0)</f>
        <v>0</v>
      </c>
      <c r="L31">
        <f>IFERROR(HLOOKUP(L$2,[3]table_male_hkom1_inj.unk!$A$1:$K$36,30,FALSE),0)</f>
        <v>0</v>
      </c>
      <c r="M31">
        <f t="shared" si="1"/>
        <v>0</v>
      </c>
      <c r="S31" t="s">
        <v>98</v>
      </c>
      <c r="T31" s="5">
        <f t="shared" si="2"/>
        <v>0</v>
      </c>
      <c r="U31" s="5">
        <f t="shared" si="3"/>
        <v>0</v>
      </c>
      <c r="V31" s="5">
        <f t="shared" si="4"/>
        <v>0</v>
      </c>
      <c r="W31" s="5">
        <f t="shared" si="5"/>
        <v>0</v>
      </c>
      <c r="X31" s="5">
        <f t="shared" si="6"/>
        <v>0</v>
      </c>
      <c r="Y31" s="5">
        <f t="shared" si="7"/>
        <v>0</v>
      </c>
      <c r="Z31" s="5">
        <f t="shared" si="8"/>
        <v>0</v>
      </c>
      <c r="AA31" s="5">
        <f t="shared" si="9"/>
        <v>0</v>
      </c>
      <c r="AB31" s="5">
        <f t="shared" si="10"/>
        <v>0</v>
      </c>
    </row>
    <row r="32" spans="4:28" x14ac:dyDescent="0.25">
      <c r="D32" t="s">
        <v>119</v>
      </c>
      <c r="E32" s="64"/>
      <c r="F32" s="64"/>
      <c r="G32">
        <f>IFERROR(HLOOKUP(G$2,[3]table_male_hkom1_inj.unk!$A$1:$K$36,31,FALSE),0)</f>
        <v>0</v>
      </c>
      <c r="H32">
        <f>IFERROR(HLOOKUP(H$2,[3]table_male_hkom1_inj.unk!$A$1:$K$36,31,FALSE),0)</f>
        <v>0</v>
      </c>
      <c r="I32">
        <f>IFERROR(HLOOKUP(I$2,[3]table_male_hkom1_inj.unk!$A$1:$K$36,31,FALSE),0)</f>
        <v>0</v>
      </c>
      <c r="J32">
        <f>IFERROR(HLOOKUP(J$2,[3]table_male_hkom1_inj.unk!$A$1:$K$36,31,FALSE),0)</f>
        <v>0</v>
      </c>
      <c r="K32">
        <f>IFERROR(HLOOKUP(K$2,[3]table_male_hkom1_inj.unk!$A$1:$K$36,31,FALSE),0)</f>
        <v>0</v>
      </c>
      <c r="L32">
        <f>IFERROR(HLOOKUP(L$2,[3]table_male_hkom1_inj.unk!$A$1:$K$36,31,FALSE),0)</f>
        <v>0</v>
      </c>
      <c r="M32">
        <f t="shared" si="1"/>
        <v>0</v>
      </c>
      <c r="S32" t="s">
        <v>119</v>
      </c>
      <c r="T32" s="5">
        <f t="shared" si="2"/>
        <v>0</v>
      </c>
      <c r="U32" s="5">
        <f t="shared" si="3"/>
        <v>0</v>
      </c>
      <c r="V32" s="5">
        <f t="shared" si="4"/>
        <v>0</v>
      </c>
      <c r="W32" s="5">
        <f t="shared" si="5"/>
        <v>0</v>
      </c>
      <c r="X32" s="5">
        <f t="shared" si="6"/>
        <v>0</v>
      </c>
      <c r="Y32" s="5">
        <f t="shared" si="7"/>
        <v>0</v>
      </c>
      <c r="Z32" s="5">
        <f t="shared" si="8"/>
        <v>0</v>
      </c>
      <c r="AA32" s="5">
        <f t="shared" si="9"/>
        <v>0</v>
      </c>
      <c r="AB32" s="5">
        <f t="shared" si="10"/>
        <v>0</v>
      </c>
    </row>
    <row r="33" spans="1:29" x14ac:dyDescent="0.25">
      <c r="D33" t="s">
        <v>99</v>
      </c>
      <c r="E33" s="64"/>
      <c r="F33" s="64"/>
      <c r="G33">
        <f>IFERROR(HLOOKUP(G$2,[3]table_male_hkom1_inj.unk!$A$1:$K$36,32,FALSE),0)</f>
        <v>0</v>
      </c>
      <c r="H33">
        <f>IFERROR(HLOOKUP(H$2,[3]table_male_hkom1_inj.unk!$A$1:$K$36,32,FALSE),0)</f>
        <v>0</v>
      </c>
      <c r="I33">
        <f>IFERROR(HLOOKUP(I$2,[3]table_male_hkom1_inj.unk!$A$1:$K$36,32,FALSE),0)</f>
        <v>0</v>
      </c>
      <c r="J33">
        <f>IFERROR(HLOOKUP(J$2,[3]table_male_hkom1_inj.unk!$A$1:$K$36,32,FALSE),0)</f>
        <v>0</v>
      </c>
      <c r="K33">
        <f>IFERROR(HLOOKUP(K$2,[3]table_male_hkom1_inj.unk!$A$1:$K$36,32,FALSE),0)</f>
        <v>0</v>
      </c>
      <c r="L33">
        <f>IFERROR(HLOOKUP(L$2,[3]table_male_hkom1_inj.unk!$A$1:$K$36,32,FALSE),0)</f>
        <v>0</v>
      </c>
      <c r="M33">
        <f t="shared" si="1"/>
        <v>0</v>
      </c>
      <c r="S33" t="s">
        <v>99</v>
      </c>
      <c r="T33" s="5">
        <f t="shared" si="2"/>
        <v>0</v>
      </c>
      <c r="U33" s="5">
        <f t="shared" si="3"/>
        <v>0</v>
      </c>
      <c r="V33" s="5">
        <f t="shared" si="4"/>
        <v>0</v>
      </c>
      <c r="W33" s="5">
        <f t="shared" si="5"/>
        <v>0</v>
      </c>
      <c r="X33" s="5">
        <f t="shared" si="6"/>
        <v>0</v>
      </c>
      <c r="Y33" s="5">
        <f t="shared" si="7"/>
        <v>0</v>
      </c>
      <c r="Z33" s="5">
        <f t="shared" si="8"/>
        <v>0</v>
      </c>
      <c r="AA33" s="5">
        <f t="shared" si="9"/>
        <v>0</v>
      </c>
      <c r="AB33" s="5">
        <f t="shared" si="10"/>
        <v>0</v>
      </c>
    </row>
    <row r="34" spans="1:29" x14ac:dyDescent="0.25">
      <c r="D34" t="s">
        <v>100</v>
      </c>
      <c r="E34" s="64"/>
      <c r="F34" s="64"/>
      <c r="G34">
        <f>IFERROR(HLOOKUP(G$2,[3]table_male_hkom1_inj.unk!$A$1:$K$36,33,FALSE),0)</f>
        <v>0</v>
      </c>
      <c r="H34">
        <f>IFERROR(HLOOKUP(H$2,[3]table_male_hkom1_inj.unk!$A$1:$K$36,33,FALSE),0)</f>
        <v>0</v>
      </c>
      <c r="I34">
        <f>IFERROR(HLOOKUP(I$2,[3]table_male_hkom1_inj.unk!$A$1:$K$36,33,FALSE),0)</f>
        <v>0</v>
      </c>
      <c r="J34">
        <f>IFERROR(HLOOKUP(J$2,[3]table_male_hkom1_inj.unk!$A$1:$K$36,33,FALSE),0)</f>
        <v>0</v>
      </c>
      <c r="K34">
        <f>IFERROR(HLOOKUP(K$2,[3]table_male_hkom1_inj.unk!$A$1:$K$36,33,FALSE),0)</f>
        <v>0</v>
      </c>
      <c r="L34">
        <f>IFERROR(HLOOKUP(L$2,[3]table_male_hkom1_inj.unk!$A$1:$K$36,33,FALSE),0)</f>
        <v>0</v>
      </c>
      <c r="M34">
        <f t="shared" si="1"/>
        <v>0</v>
      </c>
      <c r="S34" t="s">
        <v>100</v>
      </c>
      <c r="T34" s="5">
        <f t="shared" si="2"/>
        <v>0</v>
      </c>
      <c r="U34" s="5">
        <f t="shared" si="3"/>
        <v>0</v>
      </c>
      <c r="V34" s="5">
        <f t="shared" si="4"/>
        <v>0</v>
      </c>
      <c r="W34" s="5">
        <f t="shared" si="5"/>
        <v>0</v>
      </c>
      <c r="X34" s="5">
        <f t="shared" si="6"/>
        <v>0</v>
      </c>
      <c r="Y34" s="5">
        <f t="shared" si="7"/>
        <v>0</v>
      </c>
      <c r="Z34" s="5">
        <f t="shared" si="8"/>
        <v>0</v>
      </c>
      <c r="AA34" s="5">
        <f t="shared" si="9"/>
        <v>0</v>
      </c>
      <c r="AB34" s="5">
        <f t="shared" si="10"/>
        <v>0</v>
      </c>
    </row>
    <row r="35" spans="1:29" x14ac:dyDescent="0.25">
      <c r="D35" t="s">
        <v>101</v>
      </c>
      <c r="E35" s="64"/>
      <c r="F35" s="64"/>
      <c r="G35">
        <f>IFERROR(HLOOKUP(G$2,[3]table_male_hkom1_inj.unk!$A$1:$K$36,34,FALSE),0)</f>
        <v>0</v>
      </c>
      <c r="H35">
        <f>IFERROR(HLOOKUP(H$2,[3]table_male_hkom1_inj.unk!$A$1:$K$36,34,FALSE),0)</f>
        <v>0</v>
      </c>
      <c r="I35">
        <f>IFERROR(HLOOKUP(I$2,[3]table_male_hkom1_inj.unk!$A$1:$K$36,34,FALSE),0)</f>
        <v>0</v>
      </c>
      <c r="J35">
        <f>IFERROR(HLOOKUP(J$2,[3]table_male_hkom1_inj.unk!$A$1:$K$36,34,FALSE),0)</f>
        <v>0</v>
      </c>
      <c r="K35">
        <f>IFERROR(HLOOKUP(K$2,[3]table_male_hkom1_inj.unk!$A$1:$K$36,34,FALSE),0)</f>
        <v>0</v>
      </c>
      <c r="L35">
        <f>IFERROR(HLOOKUP(L$2,[3]table_male_hkom1_inj.unk!$A$1:$K$36,34,FALSE),0)</f>
        <v>0</v>
      </c>
      <c r="M35">
        <f t="shared" si="1"/>
        <v>0</v>
      </c>
      <c r="S35" t="s">
        <v>101</v>
      </c>
      <c r="T35" s="5">
        <f t="shared" si="2"/>
        <v>0</v>
      </c>
      <c r="U35" s="5">
        <f t="shared" si="3"/>
        <v>0</v>
      </c>
      <c r="V35" s="5">
        <f t="shared" si="4"/>
        <v>0</v>
      </c>
      <c r="W35" s="5">
        <f t="shared" si="5"/>
        <v>0</v>
      </c>
      <c r="X35" s="5">
        <f t="shared" si="6"/>
        <v>0</v>
      </c>
      <c r="Y35" s="5">
        <f t="shared" si="7"/>
        <v>0</v>
      </c>
      <c r="Z35" s="5">
        <f t="shared" si="8"/>
        <v>0</v>
      </c>
      <c r="AA35" s="5">
        <f t="shared" si="9"/>
        <v>0</v>
      </c>
      <c r="AB35" s="5">
        <f t="shared" si="10"/>
        <v>0</v>
      </c>
    </row>
    <row r="36" spans="1:29" x14ac:dyDescent="0.25">
      <c r="D36" t="s">
        <v>102</v>
      </c>
      <c r="E36" s="64"/>
      <c r="F36" s="64"/>
      <c r="G36">
        <f>IFERROR(HLOOKUP(G$2,[3]table_male_hkom1_inj.unk!$A$1:$K$36,35,FALSE),0)</f>
        <v>0</v>
      </c>
      <c r="H36">
        <f>IFERROR(HLOOKUP(H$2,[3]table_male_hkom1_inj.unk!$A$1:$K$36,35,FALSE),0)</f>
        <v>0</v>
      </c>
      <c r="I36">
        <f>IFERROR(HLOOKUP(I$2,[3]table_male_hkom1_inj.unk!$A$1:$K$36,35,FALSE),0)</f>
        <v>0</v>
      </c>
      <c r="J36">
        <f>IFERROR(HLOOKUP(J$2,[3]table_male_hkom1_inj.unk!$A$1:$K$36,35,FALSE),0)</f>
        <v>0</v>
      </c>
      <c r="K36">
        <f>IFERROR(HLOOKUP(K$2,[3]table_male_hkom1_inj.unk!$A$1:$K$36,35,FALSE),0)</f>
        <v>0</v>
      </c>
      <c r="L36">
        <f>IFERROR(HLOOKUP(L$2,[3]table_male_hkom1_inj.unk!$A$1:$K$36,35,FALSE),0)</f>
        <v>0</v>
      </c>
      <c r="M36">
        <f t="shared" si="1"/>
        <v>0</v>
      </c>
      <c r="N36">
        <f>SUM(M3:M36)</f>
        <v>0</v>
      </c>
      <c r="O36" s="8">
        <f>SUM([3]table_male_hkom1_inj.unk!$B$2:$L$37)</f>
        <v>0</v>
      </c>
      <c r="S36" t="s">
        <v>102</v>
      </c>
      <c r="T36" s="6"/>
      <c r="U36" s="7"/>
      <c r="V36" s="7"/>
      <c r="W36" s="7"/>
      <c r="X36" s="7"/>
      <c r="Y36" s="7"/>
      <c r="Z36" s="7"/>
      <c r="AA36" s="7"/>
      <c r="AB36" s="7"/>
      <c r="AC36" s="5">
        <f>SUM(AB3:AB35)</f>
        <v>0</v>
      </c>
    </row>
    <row r="37" spans="1:29" x14ac:dyDescent="0.25">
      <c r="A37" t="s">
        <v>104</v>
      </c>
      <c r="B37" t="s">
        <v>103</v>
      </c>
      <c r="C37" t="s">
        <v>105</v>
      </c>
      <c r="D37" t="s">
        <v>70</v>
      </c>
      <c r="E37" s="64"/>
      <c r="F37" s="64"/>
      <c r="G37">
        <f>IFERROR(HLOOKUP(G$2,[4]table_male_hkom1_inj.V1!$A$1:$K$36,2,FALSE),0)</f>
        <v>0</v>
      </c>
      <c r="H37">
        <f>IFERROR(HLOOKUP(H$2,[4]table_male_hkom1_inj.V1!$A$1:$K$36,2,FALSE),0)</f>
        <v>0</v>
      </c>
      <c r="I37">
        <f>IFERROR(HLOOKUP(I$2,[4]table_male_hkom1_inj.V1!$A$1:$K$36,2,FALSE),0)</f>
        <v>0</v>
      </c>
      <c r="J37">
        <f>IFERROR(HLOOKUP(J$2,[4]table_male_hkom1_inj.V1!$A$1:$K$36,2,FALSE),0)</f>
        <v>0</v>
      </c>
      <c r="K37">
        <f>IFERROR(HLOOKUP(K$2,[4]table_male_hkom1_inj.V1!$A$1:$K$36,2,FALSE),0)</f>
        <v>0</v>
      </c>
      <c r="L37">
        <f>IFERROR(HLOOKUP(L$2,[4]table_male_hkom1_inj.V1!$A$1:$K$36,2,FALSE),0)</f>
        <v>0</v>
      </c>
      <c r="M37">
        <f t="shared" si="1"/>
        <v>0</v>
      </c>
      <c r="P37" t="s">
        <v>104</v>
      </c>
      <c r="Q37" t="s">
        <v>103</v>
      </c>
      <c r="R37" t="s">
        <v>105</v>
      </c>
      <c r="S37" t="s">
        <v>70</v>
      </c>
      <c r="T37" s="5">
        <f>IF(SUM(E$37:E$69)=0,E$70/33,E37+IFERROR(E37/SUM(E$37:E$69)*E$70,0))</f>
        <v>0</v>
      </c>
      <c r="U37" s="5">
        <f t="shared" ref="U37:AA37" si="11">IF(SUM(F$37:F$69)=0,F$70/33,F37+IFERROR(F37/SUM(F$37:F$69)*F$70,0))</f>
        <v>0</v>
      </c>
      <c r="V37" s="5">
        <f t="shared" si="11"/>
        <v>0</v>
      </c>
      <c r="W37" s="5">
        <f t="shared" si="11"/>
        <v>0</v>
      </c>
      <c r="X37" s="5">
        <f t="shared" si="11"/>
        <v>0</v>
      </c>
      <c r="Y37" s="5">
        <f t="shared" si="11"/>
        <v>0</v>
      </c>
      <c r="Z37" s="5">
        <f t="shared" si="11"/>
        <v>0</v>
      </c>
      <c r="AA37" s="5">
        <f t="shared" si="11"/>
        <v>0</v>
      </c>
      <c r="AB37" s="5">
        <f>SUM(T37:AA37)</f>
        <v>0</v>
      </c>
    </row>
    <row r="38" spans="1:29" x14ac:dyDescent="0.25">
      <c r="D38" t="s">
        <v>71</v>
      </c>
      <c r="E38" s="64"/>
      <c r="F38" s="64"/>
      <c r="G38">
        <f>IFERROR(HLOOKUP(G$2,[4]table_male_hkom1_inj.V1!$A$1:$K$36,3,FALSE),0)</f>
        <v>1</v>
      </c>
      <c r="H38">
        <f>IFERROR(HLOOKUP(H$2,[4]table_male_hkom1_inj.V1!$A$1:$K$36,3,FALSE),0)</f>
        <v>0</v>
      </c>
      <c r="I38">
        <f>IFERROR(HLOOKUP(I$2,[4]table_male_hkom1_inj.V1!$A$1:$K$36,3,FALSE),0)</f>
        <v>0</v>
      </c>
      <c r="J38">
        <f>IFERROR(HLOOKUP(J$2,[4]table_male_hkom1_inj.V1!$A$1:$K$36,3,FALSE),0)</f>
        <v>0</v>
      </c>
      <c r="K38">
        <f>IFERROR(HLOOKUP(K$2,[4]table_male_hkom1_inj.V1!$A$1:$K$36,3,FALSE),0)</f>
        <v>0</v>
      </c>
      <c r="L38">
        <f>IFERROR(HLOOKUP(L$2,[4]table_male_hkom1_inj.V1!$A$1:$K$36,3,FALSE),0)</f>
        <v>0</v>
      </c>
      <c r="M38">
        <f t="shared" si="1"/>
        <v>1</v>
      </c>
      <c r="S38" t="s">
        <v>71</v>
      </c>
      <c r="T38" s="5">
        <f t="shared" ref="T38:T69" si="12">IF(SUM(E$37:E$69)=0,E$70/33,E38+IFERROR(E38/SUM(E$37:E$69)*E$70,0))</f>
        <v>0</v>
      </c>
      <c r="U38" s="5">
        <f t="shared" ref="U38:U69" si="13">IF(SUM(F$37:F$69)=0,F$70/33,F38+IFERROR(F38/SUM(F$37:F$69)*F$70,0))</f>
        <v>0</v>
      </c>
      <c r="V38" s="5">
        <f t="shared" ref="V38:V69" si="14">IF(SUM(G$37:G$69)=0,G$70/33,G38+IFERROR(G38/SUM(G$37:G$69)*G$70,0))</f>
        <v>1.1515151515151516</v>
      </c>
      <c r="W38" s="5">
        <f t="shared" ref="W38:W69" si="15">IF(SUM(H$37:H$69)=0,H$70/33,H38+IFERROR(H38/SUM(H$37:H$69)*H$70,0))</f>
        <v>0</v>
      </c>
      <c r="X38" s="5">
        <f t="shared" ref="X38:X69" si="16">IF(SUM(I$37:I$69)=0,I$70/33,I38+IFERROR(I38/SUM(I$37:I$69)*I$70,0))</f>
        <v>0</v>
      </c>
      <c r="Y38" s="5">
        <f t="shared" ref="Y38:Y69" si="17">IF(SUM(J$37:J$69)=0,J$70/33,J38+IFERROR(J38/SUM(J$37:J$69)*J$70,0))</f>
        <v>0</v>
      </c>
      <c r="Z38" s="5">
        <f t="shared" ref="Z38:Z69" si="18">IF(SUM(K$37:K$69)=0,K$70/33,K38+IFERROR(K38/SUM(K$37:K$69)*K$70,0))</f>
        <v>0</v>
      </c>
      <c r="AA38" s="5">
        <f t="shared" ref="AA38:AA69" si="19">IF(SUM(L$37:L$69)=0,L$70/33,L38+IFERROR(L38/SUM(L$37:L$69)*L$70,0))</f>
        <v>0</v>
      </c>
      <c r="AB38" s="5">
        <f t="shared" ref="AB38:AB69" si="20">SUM(T38:AA38)</f>
        <v>1.1515151515151516</v>
      </c>
    </row>
    <row r="39" spans="1:29" x14ac:dyDescent="0.25">
      <c r="D39" t="s">
        <v>72</v>
      </c>
      <c r="E39" s="64"/>
      <c r="F39" s="64"/>
      <c r="G39">
        <f>IFERROR(HLOOKUP(G$2,[4]table_male_hkom1_inj.V1!$A$1:$K$36,4,FALSE),0)</f>
        <v>0</v>
      </c>
      <c r="H39">
        <f>IFERROR(HLOOKUP(H$2,[4]table_male_hkom1_inj.V1!$A$1:$K$36,4,FALSE),0)</f>
        <v>1</v>
      </c>
      <c r="I39">
        <f>IFERROR(HLOOKUP(I$2,[4]table_male_hkom1_inj.V1!$A$1:$K$36,4,FALSE),0)</f>
        <v>0</v>
      </c>
      <c r="J39">
        <f>IFERROR(HLOOKUP(J$2,[4]table_male_hkom1_inj.V1!$A$1:$K$36,4,FALSE),0)</f>
        <v>0</v>
      </c>
      <c r="K39">
        <f>IFERROR(HLOOKUP(K$2,[4]table_male_hkom1_inj.V1!$A$1:$K$36,4,FALSE),0)</f>
        <v>0</v>
      </c>
      <c r="L39">
        <f>IFERROR(HLOOKUP(L$2,[4]table_male_hkom1_inj.V1!$A$1:$K$36,4,FALSE),0)</f>
        <v>0</v>
      </c>
      <c r="M39">
        <f t="shared" si="1"/>
        <v>1</v>
      </c>
      <c r="S39" t="s">
        <v>72</v>
      </c>
      <c r="T39" s="5">
        <f t="shared" si="12"/>
        <v>0</v>
      </c>
      <c r="U39" s="5">
        <f t="shared" si="13"/>
        <v>0</v>
      </c>
      <c r="V39" s="5">
        <f t="shared" si="14"/>
        <v>0</v>
      </c>
      <c r="W39" s="5">
        <f t="shared" si="15"/>
        <v>1.1573033707865168</v>
      </c>
      <c r="X39" s="5">
        <f t="shared" si="16"/>
        <v>0</v>
      </c>
      <c r="Y39" s="5">
        <f t="shared" si="17"/>
        <v>0</v>
      </c>
      <c r="Z39" s="5">
        <f t="shared" si="18"/>
        <v>0</v>
      </c>
      <c r="AA39" s="5">
        <f t="shared" si="19"/>
        <v>0</v>
      </c>
      <c r="AB39" s="5">
        <f t="shared" si="20"/>
        <v>1.1573033707865168</v>
      </c>
    </row>
    <row r="40" spans="1:29" x14ac:dyDescent="0.25">
      <c r="D40" t="s">
        <v>73</v>
      </c>
      <c r="E40" s="64"/>
      <c r="F40" s="64"/>
      <c r="G40">
        <f>IFERROR(HLOOKUP(G$2,[4]table_male_hkom1_inj.V1!$A$1:$K$36,5,FALSE),0)</f>
        <v>0</v>
      </c>
      <c r="H40">
        <f>IFERROR(HLOOKUP(H$2,[4]table_male_hkom1_inj.V1!$A$1:$K$36,5,FALSE),0)</f>
        <v>0</v>
      </c>
      <c r="I40">
        <f>IFERROR(HLOOKUP(I$2,[4]table_male_hkom1_inj.V1!$A$1:$K$36,5,FALSE),0)</f>
        <v>0</v>
      </c>
      <c r="J40">
        <f>IFERROR(HLOOKUP(J$2,[4]table_male_hkom1_inj.V1!$A$1:$K$36,5,FALSE),0)</f>
        <v>0</v>
      </c>
      <c r="K40">
        <f>IFERROR(HLOOKUP(K$2,[4]table_male_hkom1_inj.V1!$A$1:$K$36,5,FALSE),0)</f>
        <v>0</v>
      </c>
      <c r="L40">
        <f>IFERROR(HLOOKUP(L$2,[4]table_male_hkom1_inj.V1!$A$1:$K$36,5,FALSE),0)</f>
        <v>0</v>
      </c>
      <c r="M40">
        <f t="shared" si="1"/>
        <v>0</v>
      </c>
      <c r="S40" t="s">
        <v>73</v>
      </c>
      <c r="T40" s="5">
        <f t="shared" si="12"/>
        <v>0</v>
      </c>
      <c r="U40" s="5">
        <f t="shared" si="13"/>
        <v>0</v>
      </c>
      <c r="V40" s="5">
        <f t="shared" si="14"/>
        <v>0</v>
      </c>
      <c r="W40" s="5">
        <f t="shared" si="15"/>
        <v>0</v>
      </c>
      <c r="X40" s="5">
        <f t="shared" si="16"/>
        <v>0</v>
      </c>
      <c r="Y40" s="5">
        <f t="shared" si="17"/>
        <v>0</v>
      </c>
      <c r="Z40" s="5">
        <f t="shared" si="18"/>
        <v>0</v>
      </c>
      <c r="AA40" s="5">
        <f t="shared" si="19"/>
        <v>0</v>
      </c>
      <c r="AB40" s="5">
        <f t="shared" si="20"/>
        <v>0</v>
      </c>
    </row>
    <row r="41" spans="1:29" x14ac:dyDescent="0.25">
      <c r="D41" t="s">
        <v>74</v>
      </c>
      <c r="E41" s="64"/>
      <c r="F41" s="64"/>
      <c r="G41">
        <f>IFERROR(HLOOKUP(G$2,[4]table_male_hkom1_inj.V1!$A$1:$K$36,6,FALSE),0)</f>
        <v>0</v>
      </c>
      <c r="H41">
        <f>IFERROR(HLOOKUP(H$2,[4]table_male_hkom1_inj.V1!$A$1:$K$36,6,FALSE),0)</f>
        <v>0</v>
      </c>
      <c r="I41">
        <f>IFERROR(HLOOKUP(I$2,[4]table_male_hkom1_inj.V1!$A$1:$K$36,6,FALSE),0)</f>
        <v>0</v>
      </c>
      <c r="J41">
        <f>IFERROR(HLOOKUP(J$2,[4]table_male_hkom1_inj.V1!$A$1:$K$36,6,FALSE),0)</f>
        <v>0</v>
      </c>
      <c r="K41">
        <f>IFERROR(HLOOKUP(K$2,[4]table_male_hkom1_inj.V1!$A$1:$K$36,6,FALSE),0)</f>
        <v>0</v>
      </c>
      <c r="L41">
        <f>IFERROR(HLOOKUP(L$2,[4]table_male_hkom1_inj.V1!$A$1:$K$36,6,FALSE),0)</f>
        <v>0</v>
      </c>
      <c r="M41">
        <f t="shared" si="1"/>
        <v>0</v>
      </c>
      <c r="S41" t="s">
        <v>74</v>
      </c>
      <c r="T41" s="5">
        <f t="shared" si="12"/>
        <v>0</v>
      </c>
      <c r="U41" s="5">
        <f t="shared" si="13"/>
        <v>0</v>
      </c>
      <c r="V41" s="5">
        <f t="shared" si="14"/>
        <v>0</v>
      </c>
      <c r="W41" s="5">
        <f t="shared" si="15"/>
        <v>0</v>
      </c>
      <c r="X41" s="5">
        <f t="shared" si="16"/>
        <v>0</v>
      </c>
      <c r="Y41" s="5">
        <f t="shared" si="17"/>
        <v>0</v>
      </c>
      <c r="Z41" s="5">
        <f t="shared" si="18"/>
        <v>0</v>
      </c>
      <c r="AA41" s="5">
        <f t="shared" si="19"/>
        <v>0</v>
      </c>
      <c r="AB41" s="5">
        <f t="shared" si="20"/>
        <v>0</v>
      </c>
    </row>
    <row r="42" spans="1:29" x14ac:dyDescent="0.25">
      <c r="D42" t="s">
        <v>75</v>
      </c>
      <c r="E42" s="64"/>
      <c r="F42" s="64"/>
      <c r="G42">
        <f>IFERROR(HLOOKUP(G$2,[4]table_male_hkom1_inj.V1!$A$1:$K$36,7,FALSE),0)</f>
        <v>0</v>
      </c>
      <c r="H42">
        <f>IFERROR(HLOOKUP(H$2,[4]table_male_hkom1_inj.V1!$A$1:$K$36,7,FALSE),0)</f>
        <v>0</v>
      </c>
      <c r="I42">
        <f>IFERROR(HLOOKUP(I$2,[4]table_male_hkom1_inj.V1!$A$1:$K$36,7,FALSE),0)</f>
        <v>1</v>
      </c>
      <c r="J42">
        <f>IFERROR(HLOOKUP(J$2,[4]table_male_hkom1_inj.V1!$A$1:$K$36,7,FALSE),0)</f>
        <v>0</v>
      </c>
      <c r="K42">
        <f>IFERROR(HLOOKUP(K$2,[4]table_male_hkom1_inj.V1!$A$1:$K$36,7,FALSE),0)</f>
        <v>0</v>
      </c>
      <c r="L42">
        <f>IFERROR(HLOOKUP(L$2,[4]table_male_hkom1_inj.V1!$A$1:$K$36,7,FALSE),0)</f>
        <v>0</v>
      </c>
      <c r="M42">
        <f t="shared" si="1"/>
        <v>1</v>
      </c>
      <c r="S42" t="s">
        <v>75</v>
      </c>
      <c r="T42" s="5">
        <f t="shared" si="12"/>
        <v>0</v>
      </c>
      <c r="U42" s="5">
        <f t="shared" si="13"/>
        <v>0</v>
      </c>
      <c r="V42" s="5">
        <f t="shared" si="14"/>
        <v>0</v>
      </c>
      <c r="W42" s="5">
        <f t="shared" si="15"/>
        <v>0</v>
      </c>
      <c r="X42" s="5">
        <f t="shared" si="16"/>
        <v>1.1153846153846154</v>
      </c>
      <c r="Y42" s="5">
        <f t="shared" si="17"/>
        <v>0</v>
      </c>
      <c r="Z42" s="5">
        <f t="shared" si="18"/>
        <v>0</v>
      </c>
      <c r="AA42" s="5">
        <f t="shared" si="19"/>
        <v>0</v>
      </c>
      <c r="AB42" s="5">
        <f t="shared" si="20"/>
        <v>1.1153846153846154</v>
      </c>
    </row>
    <row r="43" spans="1:29" x14ac:dyDescent="0.25">
      <c r="D43" t="s">
        <v>76</v>
      </c>
      <c r="E43" s="64"/>
      <c r="F43" s="64"/>
      <c r="G43">
        <f>IFERROR(HLOOKUP(G$2,[4]table_male_hkom1_inj.V1!$A$1:$K$36,8,FALSE),0)</f>
        <v>0</v>
      </c>
      <c r="H43">
        <f>IFERROR(HLOOKUP(H$2,[4]table_male_hkom1_inj.V1!$A$1:$K$36,8,FALSE),0)</f>
        <v>0</v>
      </c>
      <c r="I43">
        <f>IFERROR(HLOOKUP(I$2,[4]table_male_hkom1_inj.V1!$A$1:$K$36,8,FALSE),0)</f>
        <v>0</v>
      </c>
      <c r="J43">
        <f>IFERROR(HLOOKUP(J$2,[4]table_male_hkom1_inj.V1!$A$1:$K$36,8,FALSE),0)</f>
        <v>0</v>
      </c>
      <c r="K43">
        <f>IFERROR(HLOOKUP(K$2,[4]table_male_hkom1_inj.V1!$A$1:$K$36,8,FALSE),0)</f>
        <v>0</v>
      </c>
      <c r="L43">
        <f>IFERROR(HLOOKUP(L$2,[4]table_male_hkom1_inj.V1!$A$1:$K$36,8,FALSE),0)</f>
        <v>0</v>
      </c>
      <c r="M43">
        <f t="shared" si="1"/>
        <v>0</v>
      </c>
      <c r="S43" t="s">
        <v>76</v>
      </c>
      <c r="T43" s="5">
        <f t="shared" si="12"/>
        <v>0</v>
      </c>
      <c r="U43" s="5">
        <f t="shared" si="13"/>
        <v>0</v>
      </c>
      <c r="V43" s="5">
        <f t="shared" si="14"/>
        <v>0</v>
      </c>
      <c r="W43" s="5">
        <f t="shared" si="15"/>
        <v>0</v>
      </c>
      <c r="X43" s="5">
        <f t="shared" si="16"/>
        <v>0</v>
      </c>
      <c r="Y43" s="5">
        <f t="shared" si="17"/>
        <v>0</v>
      </c>
      <c r="Z43" s="5">
        <f t="shared" si="18"/>
        <v>0</v>
      </c>
      <c r="AA43" s="5">
        <f t="shared" si="19"/>
        <v>0</v>
      </c>
      <c r="AB43" s="5">
        <f t="shared" si="20"/>
        <v>0</v>
      </c>
    </row>
    <row r="44" spans="1:29" x14ac:dyDescent="0.25">
      <c r="D44" t="s">
        <v>77</v>
      </c>
      <c r="E44" s="64"/>
      <c r="F44" s="64"/>
      <c r="G44">
        <f>IFERROR(HLOOKUP(G$2,[4]table_male_hkom1_inj.V1!$A$1:$K$36,9,FALSE),0)</f>
        <v>0</v>
      </c>
      <c r="H44">
        <f>IFERROR(HLOOKUP(H$2,[4]table_male_hkom1_inj.V1!$A$1:$K$36,9,FALSE),0)</f>
        <v>0</v>
      </c>
      <c r="I44">
        <f>IFERROR(HLOOKUP(I$2,[4]table_male_hkom1_inj.V1!$A$1:$K$36,9,FALSE),0)</f>
        <v>0</v>
      </c>
      <c r="J44">
        <f>IFERROR(HLOOKUP(J$2,[4]table_male_hkom1_inj.V1!$A$1:$K$36,9,FALSE),0)</f>
        <v>0</v>
      </c>
      <c r="K44">
        <f>IFERROR(HLOOKUP(K$2,[4]table_male_hkom1_inj.V1!$A$1:$K$36,9,FALSE),0)</f>
        <v>0</v>
      </c>
      <c r="L44">
        <f>IFERROR(HLOOKUP(L$2,[4]table_male_hkom1_inj.V1!$A$1:$K$36,9,FALSE),0)</f>
        <v>0</v>
      </c>
      <c r="M44">
        <f t="shared" si="1"/>
        <v>0</v>
      </c>
      <c r="S44" t="s">
        <v>77</v>
      </c>
      <c r="T44" s="5">
        <f t="shared" si="12"/>
        <v>0</v>
      </c>
      <c r="U44" s="5">
        <f t="shared" si="13"/>
        <v>0</v>
      </c>
      <c r="V44" s="5">
        <f t="shared" si="14"/>
        <v>0</v>
      </c>
      <c r="W44" s="5">
        <f t="shared" si="15"/>
        <v>0</v>
      </c>
      <c r="X44" s="5">
        <f t="shared" si="16"/>
        <v>0</v>
      </c>
      <c r="Y44" s="5">
        <f t="shared" si="17"/>
        <v>0</v>
      </c>
      <c r="Z44" s="5">
        <f t="shared" si="18"/>
        <v>0</v>
      </c>
      <c r="AA44" s="5">
        <f t="shared" si="19"/>
        <v>0</v>
      </c>
      <c r="AB44" s="5">
        <f t="shared" si="20"/>
        <v>0</v>
      </c>
    </row>
    <row r="45" spans="1:29" x14ac:dyDescent="0.25">
      <c r="D45" t="s">
        <v>78</v>
      </c>
      <c r="E45" s="64"/>
      <c r="F45" s="64"/>
      <c r="G45">
        <f>IFERROR(HLOOKUP(G$2,[4]table_male_hkom1_inj.V1!$A$1:$K$36,10,FALSE),0)</f>
        <v>2</v>
      </c>
      <c r="H45">
        <f>IFERROR(HLOOKUP(H$2,[4]table_male_hkom1_inj.V1!$A$1:$K$36,10,FALSE),0)</f>
        <v>3</v>
      </c>
      <c r="I45">
        <f>IFERROR(HLOOKUP(I$2,[4]table_male_hkom1_inj.V1!$A$1:$K$36,10,FALSE),0)</f>
        <v>0</v>
      </c>
      <c r="J45">
        <f>IFERROR(HLOOKUP(J$2,[4]table_male_hkom1_inj.V1!$A$1:$K$36,10,FALSE),0)</f>
        <v>0</v>
      </c>
      <c r="K45">
        <f>IFERROR(HLOOKUP(K$2,[4]table_male_hkom1_inj.V1!$A$1:$K$36,10,FALSE),0)</f>
        <v>0</v>
      </c>
      <c r="L45">
        <f>IFERROR(HLOOKUP(L$2,[4]table_male_hkom1_inj.V1!$A$1:$K$36,10,FALSE),0)</f>
        <v>0</v>
      </c>
      <c r="M45">
        <f t="shared" si="1"/>
        <v>5</v>
      </c>
      <c r="S45" t="s">
        <v>78</v>
      </c>
      <c r="T45" s="5">
        <f t="shared" si="12"/>
        <v>0</v>
      </c>
      <c r="U45" s="5">
        <f t="shared" si="13"/>
        <v>0</v>
      </c>
      <c r="V45" s="5">
        <f t="shared" si="14"/>
        <v>2.3030303030303032</v>
      </c>
      <c r="W45" s="5">
        <f t="shared" si="15"/>
        <v>3.4719101123595504</v>
      </c>
      <c r="X45" s="5">
        <f t="shared" si="16"/>
        <v>0</v>
      </c>
      <c r="Y45" s="5">
        <f t="shared" si="17"/>
        <v>0</v>
      </c>
      <c r="Z45" s="5">
        <f t="shared" si="18"/>
        <v>0</v>
      </c>
      <c r="AA45" s="5">
        <f t="shared" si="19"/>
        <v>0</v>
      </c>
      <c r="AB45" s="5">
        <f t="shared" si="20"/>
        <v>5.7749404153898531</v>
      </c>
    </row>
    <row r="46" spans="1:29" x14ac:dyDescent="0.25">
      <c r="D46" t="s">
        <v>79</v>
      </c>
      <c r="E46" s="64"/>
      <c r="F46" s="64"/>
      <c r="G46">
        <f>IFERROR(HLOOKUP(G$2,[4]table_male_hkom1_inj.V1!$A$1:$K$36,11,FALSE),0)</f>
        <v>0</v>
      </c>
      <c r="H46">
        <f>IFERROR(HLOOKUP(H$2,[4]table_male_hkom1_inj.V1!$A$1:$K$36,11,FALSE),0)</f>
        <v>0</v>
      </c>
      <c r="I46">
        <f>IFERROR(HLOOKUP(I$2,[4]table_male_hkom1_inj.V1!$A$1:$K$36,11,FALSE),0)</f>
        <v>0</v>
      </c>
      <c r="J46">
        <f>IFERROR(HLOOKUP(J$2,[4]table_male_hkom1_inj.V1!$A$1:$K$36,11,FALSE),0)</f>
        <v>0</v>
      </c>
      <c r="K46">
        <f>IFERROR(HLOOKUP(K$2,[4]table_male_hkom1_inj.V1!$A$1:$K$36,11,FALSE),0)</f>
        <v>0</v>
      </c>
      <c r="L46">
        <f>IFERROR(HLOOKUP(L$2,[4]table_male_hkom1_inj.V1!$A$1:$K$36,11,FALSE),0)</f>
        <v>0</v>
      </c>
      <c r="M46">
        <f t="shared" si="1"/>
        <v>0</v>
      </c>
      <c r="S46" t="s">
        <v>79</v>
      </c>
      <c r="T46" s="5">
        <f t="shared" si="12"/>
        <v>0</v>
      </c>
      <c r="U46" s="5">
        <f t="shared" si="13"/>
        <v>0</v>
      </c>
      <c r="V46" s="5">
        <f t="shared" si="14"/>
        <v>0</v>
      </c>
      <c r="W46" s="5">
        <f t="shared" si="15"/>
        <v>0</v>
      </c>
      <c r="X46" s="5">
        <f t="shared" si="16"/>
        <v>0</v>
      </c>
      <c r="Y46" s="5">
        <f t="shared" si="17"/>
        <v>0</v>
      </c>
      <c r="Z46" s="5">
        <f t="shared" si="18"/>
        <v>0</v>
      </c>
      <c r="AA46" s="5">
        <f t="shared" si="19"/>
        <v>0</v>
      </c>
      <c r="AB46" s="5">
        <f t="shared" si="20"/>
        <v>0</v>
      </c>
    </row>
    <row r="47" spans="1:29" x14ac:dyDescent="0.25">
      <c r="D47" t="s">
        <v>80</v>
      </c>
      <c r="E47" s="64"/>
      <c r="F47" s="64"/>
      <c r="G47">
        <f>IFERROR(HLOOKUP(G$2,[4]table_male_hkom1_inj.V1!$A$1:$K$36,12,FALSE),0)</f>
        <v>0</v>
      </c>
      <c r="H47">
        <f>IFERROR(HLOOKUP(H$2,[4]table_male_hkom1_inj.V1!$A$1:$K$36,12,FALSE),0)</f>
        <v>0</v>
      </c>
      <c r="I47">
        <f>IFERROR(HLOOKUP(I$2,[4]table_male_hkom1_inj.V1!$A$1:$K$36,12,FALSE),0)</f>
        <v>0</v>
      </c>
      <c r="J47">
        <f>IFERROR(HLOOKUP(J$2,[4]table_male_hkom1_inj.V1!$A$1:$K$36,12,FALSE),0)</f>
        <v>0</v>
      </c>
      <c r="K47">
        <f>IFERROR(HLOOKUP(K$2,[4]table_male_hkom1_inj.V1!$A$1:$K$36,12,FALSE),0)</f>
        <v>0</v>
      </c>
      <c r="L47">
        <f>IFERROR(HLOOKUP(L$2,[4]table_male_hkom1_inj.V1!$A$1:$K$36,12,FALSE),0)</f>
        <v>0</v>
      </c>
      <c r="M47">
        <f t="shared" si="1"/>
        <v>0</v>
      </c>
      <c r="S47" t="s">
        <v>80</v>
      </c>
      <c r="T47" s="5">
        <f t="shared" si="12"/>
        <v>0</v>
      </c>
      <c r="U47" s="5">
        <f t="shared" si="13"/>
        <v>0</v>
      </c>
      <c r="V47" s="5">
        <f t="shared" si="14"/>
        <v>0</v>
      </c>
      <c r="W47" s="5">
        <f t="shared" si="15"/>
        <v>0</v>
      </c>
      <c r="X47" s="5">
        <f t="shared" si="16"/>
        <v>0</v>
      </c>
      <c r="Y47" s="5">
        <f t="shared" si="17"/>
        <v>0</v>
      </c>
      <c r="Z47" s="5">
        <f t="shared" si="18"/>
        <v>0</v>
      </c>
      <c r="AA47" s="5">
        <f t="shared" si="19"/>
        <v>0</v>
      </c>
      <c r="AB47" s="5">
        <f t="shared" si="20"/>
        <v>0</v>
      </c>
    </row>
    <row r="48" spans="1:29" x14ac:dyDescent="0.25">
      <c r="D48" t="s">
        <v>81</v>
      </c>
      <c r="E48" s="64"/>
      <c r="F48" s="64"/>
      <c r="G48">
        <f>IFERROR(HLOOKUP(G$2,[4]table_male_hkom1_inj.V1!$A$1:$K$36,13,FALSE),0)</f>
        <v>0</v>
      </c>
      <c r="H48">
        <f>IFERROR(HLOOKUP(H$2,[4]table_male_hkom1_inj.V1!$A$1:$K$36,13,FALSE),0)</f>
        <v>0</v>
      </c>
      <c r="I48">
        <f>IFERROR(HLOOKUP(I$2,[4]table_male_hkom1_inj.V1!$A$1:$K$36,13,FALSE),0)</f>
        <v>0</v>
      </c>
      <c r="J48">
        <f>IFERROR(HLOOKUP(J$2,[4]table_male_hkom1_inj.V1!$A$1:$K$36,13,FALSE),0)</f>
        <v>0</v>
      </c>
      <c r="K48">
        <f>IFERROR(HLOOKUP(K$2,[4]table_male_hkom1_inj.V1!$A$1:$K$36,13,FALSE),0)</f>
        <v>0</v>
      </c>
      <c r="L48">
        <f>IFERROR(HLOOKUP(L$2,[4]table_male_hkom1_inj.V1!$A$1:$K$36,13,FALSE),0)</f>
        <v>0</v>
      </c>
      <c r="M48">
        <f t="shared" si="1"/>
        <v>0</v>
      </c>
      <c r="S48" t="s">
        <v>81</v>
      </c>
      <c r="T48" s="5">
        <f t="shared" si="12"/>
        <v>0</v>
      </c>
      <c r="U48" s="5">
        <f t="shared" si="13"/>
        <v>0</v>
      </c>
      <c r="V48" s="5">
        <f t="shared" si="14"/>
        <v>0</v>
      </c>
      <c r="W48" s="5">
        <f t="shared" si="15"/>
        <v>0</v>
      </c>
      <c r="X48" s="5">
        <f t="shared" si="16"/>
        <v>0</v>
      </c>
      <c r="Y48" s="5">
        <f t="shared" si="17"/>
        <v>0</v>
      </c>
      <c r="Z48" s="5">
        <f t="shared" si="18"/>
        <v>0</v>
      </c>
      <c r="AA48" s="5">
        <f t="shared" si="19"/>
        <v>0</v>
      </c>
      <c r="AB48" s="5">
        <f t="shared" si="20"/>
        <v>0</v>
      </c>
    </row>
    <row r="49" spans="4:28" x14ac:dyDescent="0.25">
      <c r="D49" t="s">
        <v>82</v>
      </c>
      <c r="E49" s="64"/>
      <c r="F49" s="64"/>
      <c r="G49">
        <f>IFERROR(HLOOKUP(G$2,[4]table_male_hkom1_inj.V1!$A$1:$K$36,14,FALSE),0)</f>
        <v>0</v>
      </c>
      <c r="H49">
        <f>IFERROR(HLOOKUP(H$2,[4]table_male_hkom1_inj.V1!$A$1:$K$36,14,FALSE),0)</f>
        <v>0</v>
      </c>
      <c r="I49">
        <f>IFERROR(HLOOKUP(I$2,[4]table_male_hkom1_inj.V1!$A$1:$K$36,14,FALSE),0)</f>
        <v>0</v>
      </c>
      <c r="J49">
        <f>IFERROR(HLOOKUP(J$2,[4]table_male_hkom1_inj.V1!$A$1:$K$36,14,FALSE),0)</f>
        <v>0</v>
      </c>
      <c r="K49">
        <f>IFERROR(HLOOKUP(K$2,[4]table_male_hkom1_inj.V1!$A$1:$K$36,14,FALSE),0)</f>
        <v>0</v>
      </c>
      <c r="L49">
        <f>IFERROR(HLOOKUP(L$2,[4]table_male_hkom1_inj.V1!$A$1:$K$36,14,FALSE),0)</f>
        <v>0</v>
      </c>
      <c r="M49">
        <f t="shared" si="1"/>
        <v>0</v>
      </c>
      <c r="S49" t="s">
        <v>82</v>
      </c>
      <c r="T49" s="5">
        <f t="shared" si="12"/>
        <v>0</v>
      </c>
      <c r="U49" s="5">
        <f t="shared" si="13"/>
        <v>0</v>
      </c>
      <c r="V49" s="5">
        <f t="shared" si="14"/>
        <v>0</v>
      </c>
      <c r="W49" s="5">
        <f t="shared" si="15"/>
        <v>0</v>
      </c>
      <c r="X49" s="5">
        <f t="shared" si="16"/>
        <v>0</v>
      </c>
      <c r="Y49" s="5">
        <f t="shared" si="17"/>
        <v>0</v>
      </c>
      <c r="Z49" s="5">
        <f t="shared" si="18"/>
        <v>0</v>
      </c>
      <c r="AA49" s="5">
        <f t="shared" si="19"/>
        <v>0</v>
      </c>
      <c r="AB49" s="5">
        <f t="shared" si="20"/>
        <v>0</v>
      </c>
    </row>
    <row r="50" spans="4:28" x14ac:dyDescent="0.25">
      <c r="D50" t="s">
        <v>83</v>
      </c>
      <c r="E50" s="64"/>
      <c r="F50" s="64"/>
      <c r="G50">
        <f>IFERROR(HLOOKUP(G$2,[4]table_male_hkom1_inj.V1!$A$1:$K$36,15,FALSE),0)</f>
        <v>0</v>
      </c>
      <c r="H50">
        <f>IFERROR(HLOOKUP(H$2,[4]table_male_hkom1_inj.V1!$A$1:$K$36,15,FALSE),0)</f>
        <v>0</v>
      </c>
      <c r="I50">
        <f>IFERROR(HLOOKUP(I$2,[4]table_male_hkom1_inj.V1!$A$1:$K$36,15,FALSE),0)</f>
        <v>0</v>
      </c>
      <c r="J50">
        <f>IFERROR(HLOOKUP(J$2,[4]table_male_hkom1_inj.V1!$A$1:$K$36,15,FALSE),0)</f>
        <v>0</v>
      </c>
      <c r="K50">
        <f>IFERROR(HLOOKUP(K$2,[4]table_male_hkom1_inj.V1!$A$1:$K$36,15,FALSE),0)</f>
        <v>0</v>
      </c>
      <c r="L50">
        <f>IFERROR(HLOOKUP(L$2,[4]table_male_hkom1_inj.V1!$A$1:$K$36,15,FALSE),0)</f>
        <v>0</v>
      </c>
      <c r="M50">
        <f t="shared" si="1"/>
        <v>0</v>
      </c>
      <c r="S50" t="s">
        <v>83</v>
      </c>
      <c r="T50" s="5">
        <f t="shared" si="12"/>
        <v>0</v>
      </c>
      <c r="U50" s="5">
        <f t="shared" si="13"/>
        <v>0</v>
      </c>
      <c r="V50" s="5">
        <f t="shared" si="14"/>
        <v>0</v>
      </c>
      <c r="W50" s="5">
        <f t="shared" si="15"/>
        <v>0</v>
      </c>
      <c r="X50" s="5">
        <f t="shared" si="16"/>
        <v>0</v>
      </c>
      <c r="Y50" s="5">
        <f t="shared" si="17"/>
        <v>0</v>
      </c>
      <c r="Z50" s="5">
        <f t="shared" si="18"/>
        <v>0</v>
      </c>
      <c r="AA50" s="5">
        <f t="shared" si="19"/>
        <v>0</v>
      </c>
      <c r="AB50" s="5">
        <f t="shared" si="20"/>
        <v>0</v>
      </c>
    </row>
    <row r="51" spans="4:28" x14ac:dyDescent="0.25">
      <c r="D51" t="s">
        <v>84</v>
      </c>
      <c r="E51" s="64"/>
      <c r="F51" s="64"/>
      <c r="G51">
        <f>IFERROR(HLOOKUP(G$2,[4]table_male_hkom1_inj.V1!$A$1:$K$36,16,FALSE),0)</f>
        <v>0</v>
      </c>
      <c r="H51">
        <f>IFERROR(HLOOKUP(H$2,[4]table_male_hkom1_inj.V1!$A$1:$K$36,16,FALSE),0)</f>
        <v>0</v>
      </c>
      <c r="I51">
        <f>IFERROR(HLOOKUP(I$2,[4]table_male_hkom1_inj.V1!$A$1:$K$36,16,FALSE),0)</f>
        <v>0</v>
      </c>
      <c r="J51">
        <f>IFERROR(HLOOKUP(J$2,[4]table_male_hkom1_inj.V1!$A$1:$K$36,16,FALSE),0)</f>
        <v>0</v>
      </c>
      <c r="K51">
        <f>IFERROR(HLOOKUP(K$2,[4]table_male_hkom1_inj.V1!$A$1:$K$36,16,FALSE),0)</f>
        <v>0</v>
      </c>
      <c r="L51">
        <f>IFERROR(HLOOKUP(L$2,[4]table_male_hkom1_inj.V1!$A$1:$K$36,16,FALSE),0)</f>
        <v>0</v>
      </c>
      <c r="M51">
        <f t="shared" si="1"/>
        <v>0</v>
      </c>
      <c r="S51" t="s">
        <v>84</v>
      </c>
      <c r="T51" s="5">
        <f t="shared" si="12"/>
        <v>0</v>
      </c>
      <c r="U51" s="5">
        <f t="shared" si="13"/>
        <v>0</v>
      </c>
      <c r="V51" s="5">
        <f t="shared" si="14"/>
        <v>0</v>
      </c>
      <c r="W51" s="5">
        <f t="shared" si="15"/>
        <v>0</v>
      </c>
      <c r="X51" s="5">
        <f t="shared" si="16"/>
        <v>0</v>
      </c>
      <c r="Y51" s="5">
        <f t="shared" si="17"/>
        <v>0</v>
      </c>
      <c r="Z51" s="5">
        <f t="shared" si="18"/>
        <v>0</v>
      </c>
      <c r="AA51" s="5">
        <f t="shared" si="19"/>
        <v>0</v>
      </c>
      <c r="AB51" s="5">
        <f t="shared" si="20"/>
        <v>0</v>
      </c>
    </row>
    <row r="52" spans="4:28" x14ac:dyDescent="0.25">
      <c r="D52" t="s">
        <v>85</v>
      </c>
      <c r="E52" s="64"/>
      <c r="F52" s="64"/>
      <c r="G52">
        <f>IFERROR(HLOOKUP(G$2,[4]table_male_hkom1_inj.V1!$A$1:$K$36,17,FALSE),0)</f>
        <v>0</v>
      </c>
      <c r="H52">
        <f>IFERROR(HLOOKUP(H$2,[4]table_male_hkom1_inj.V1!$A$1:$K$36,17,FALSE),0)</f>
        <v>0</v>
      </c>
      <c r="I52">
        <f>IFERROR(HLOOKUP(I$2,[4]table_male_hkom1_inj.V1!$A$1:$K$36,17,FALSE),0)</f>
        <v>0</v>
      </c>
      <c r="J52">
        <f>IFERROR(HLOOKUP(J$2,[4]table_male_hkom1_inj.V1!$A$1:$K$36,17,FALSE),0)</f>
        <v>0</v>
      </c>
      <c r="K52">
        <f>IFERROR(HLOOKUP(K$2,[4]table_male_hkom1_inj.V1!$A$1:$K$36,17,FALSE),0)</f>
        <v>0</v>
      </c>
      <c r="L52">
        <f>IFERROR(HLOOKUP(L$2,[4]table_male_hkom1_inj.V1!$A$1:$K$36,17,FALSE),0)</f>
        <v>0</v>
      </c>
      <c r="M52">
        <f t="shared" si="1"/>
        <v>0</v>
      </c>
      <c r="S52" t="s">
        <v>85</v>
      </c>
      <c r="T52" s="5">
        <f t="shared" si="12"/>
        <v>0</v>
      </c>
      <c r="U52" s="5">
        <f t="shared" si="13"/>
        <v>0</v>
      </c>
      <c r="V52" s="5">
        <f t="shared" si="14"/>
        <v>0</v>
      </c>
      <c r="W52" s="5">
        <f t="shared" si="15"/>
        <v>0</v>
      </c>
      <c r="X52" s="5">
        <f t="shared" si="16"/>
        <v>0</v>
      </c>
      <c r="Y52" s="5">
        <f t="shared" si="17"/>
        <v>0</v>
      </c>
      <c r="Z52" s="5">
        <f t="shared" si="18"/>
        <v>0</v>
      </c>
      <c r="AA52" s="5">
        <f t="shared" si="19"/>
        <v>0</v>
      </c>
      <c r="AB52" s="5">
        <f t="shared" si="20"/>
        <v>0</v>
      </c>
    </row>
    <row r="53" spans="4:28" x14ac:dyDescent="0.25">
      <c r="D53" t="s">
        <v>86</v>
      </c>
      <c r="E53" s="64"/>
      <c r="F53" s="64"/>
      <c r="G53">
        <f>IFERROR(HLOOKUP(G$2,[4]table_male_hkom1_inj.V1!$A$1:$K$36,18,FALSE),0)</f>
        <v>0</v>
      </c>
      <c r="H53">
        <f>IFERROR(HLOOKUP(H$2,[4]table_male_hkom1_inj.V1!$A$1:$K$36,18,FALSE),0)</f>
        <v>2</v>
      </c>
      <c r="I53">
        <f>IFERROR(HLOOKUP(I$2,[4]table_male_hkom1_inj.V1!$A$1:$K$36,18,FALSE),0)</f>
        <v>0</v>
      </c>
      <c r="J53">
        <f>IFERROR(HLOOKUP(J$2,[4]table_male_hkom1_inj.V1!$A$1:$K$36,18,FALSE),0)</f>
        <v>0</v>
      </c>
      <c r="K53">
        <f>IFERROR(HLOOKUP(K$2,[4]table_male_hkom1_inj.V1!$A$1:$K$36,18,FALSE),0)</f>
        <v>0</v>
      </c>
      <c r="L53">
        <f>IFERROR(HLOOKUP(L$2,[4]table_male_hkom1_inj.V1!$A$1:$K$36,18,FALSE),0)</f>
        <v>0</v>
      </c>
      <c r="M53">
        <f t="shared" si="1"/>
        <v>2</v>
      </c>
      <c r="S53" t="s">
        <v>86</v>
      </c>
      <c r="T53" s="5">
        <f t="shared" si="12"/>
        <v>0</v>
      </c>
      <c r="U53" s="5">
        <f t="shared" si="13"/>
        <v>0</v>
      </c>
      <c r="V53" s="5">
        <f t="shared" si="14"/>
        <v>0</v>
      </c>
      <c r="W53" s="5">
        <f t="shared" si="15"/>
        <v>2.3146067415730336</v>
      </c>
      <c r="X53" s="5">
        <f t="shared" si="16"/>
        <v>0</v>
      </c>
      <c r="Y53" s="5">
        <f t="shared" si="17"/>
        <v>0</v>
      </c>
      <c r="Z53" s="5">
        <f t="shared" si="18"/>
        <v>0</v>
      </c>
      <c r="AA53" s="5">
        <f t="shared" si="19"/>
        <v>0</v>
      </c>
      <c r="AB53" s="5">
        <f t="shared" si="20"/>
        <v>2.3146067415730336</v>
      </c>
    </row>
    <row r="54" spans="4:28" x14ac:dyDescent="0.25">
      <c r="D54" t="s">
        <v>87</v>
      </c>
      <c r="E54" s="64"/>
      <c r="F54" s="64"/>
      <c r="G54">
        <f>IFERROR(HLOOKUP(G$2,[4]table_male_hkom1_inj.V1!$A$1:$K$36,19,FALSE),0)</f>
        <v>0</v>
      </c>
      <c r="H54">
        <f>IFERROR(HLOOKUP(H$2,[4]table_male_hkom1_inj.V1!$A$1:$K$36,19,FALSE),0)</f>
        <v>0</v>
      </c>
      <c r="I54">
        <f>IFERROR(HLOOKUP(I$2,[4]table_male_hkom1_inj.V1!$A$1:$K$36,19,FALSE),0)</f>
        <v>0</v>
      </c>
      <c r="J54">
        <f>IFERROR(HLOOKUP(J$2,[4]table_male_hkom1_inj.V1!$A$1:$K$36,19,FALSE),0)</f>
        <v>0</v>
      </c>
      <c r="K54">
        <f>IFERROR(HLOOKUP(K$2,[4]table_male_hkom1_inj.V1!$A$1:$K$36,19,FALSE),0)</f>
        <v>0</v>
      </c>
      <c r="L54">
        <f>IFERROR(HLOOKUP(L$2,[4]table_male_hkom1_inj.V1!$A$1:$K$36,19,FALSE),0)</f>
        <v>0</v>
      </c>
      <c r="M54">
        <f t="shared" si="1"/>
        <v>0</v>
      </c>
      <c r="S54" t="s">
        <v>87</v>
      </c>
      <c r="T54" s="5">
        <f t="shared" si="12"/>
        <v>0</v>
      </c>
      <c r="U54" s="5">
        <f t="shared" si="13"/>
        <v>0</v>
      </c>
      <c r="V54" s="5">
        <f t="shared" si="14"/>
        <v>0</v>
      </c>
      <c r="W54" s="5">
        <f t="shared" si="15"/>
        <v>0</v>
      </c>
      <c r="X54" s="5">
        <f t="shared" si="16"/>
        <v>0</v>
      </c>
      <c r="Y54" s="5">
        <f t="shared" si="17"/>
        <v>0</v>
      </c>
      <c r="Z54" s="5">
        <f t="shared" si="18"/>
        <v>0</v>
      </c>
      <c r="AA54" s="5">
        <f t="shared" si="19"/>
        <v>0</v>
      </c>
      <c r="AB54" s="5">
        <f t="shared" si="20"/>
        <v>0</v>
      </c>
    </row>
    <row r="55" spans="4:28" x14ac:dyDescent="0.25">
      <c r="D55" t="s">
        <v>88</v>
      </c>
      <c r="E55" s="64"/>
      <c r="F55" s="64"/>
      <c r="G55">
        <f>IFERROR(HLOOKUP(G$2,[4]table_male_hkom1_inj.V1!$A$1:$K$36,20,FALSE),0)</f>
        <v>9</v>
      </c>
      <c r="H55">
        <f>IFERROR(HLOOKUP(H$2,[4]table_male_hkom1_inj.V1!$A$1:$K$36,20,FALSE),0)</f>
        <v>15</v>
      </c>
      <c r="I55">
        <f>IFERROR(HLOOKUP(I$2,[4]table_male_hkom1_inj.V1!$A$1:$K$36,20,FALSE),0)</f>
        <v>3</v>
      </c>
      <c r="J55">
        <f>IFERROR(HLOOKUP(J$2,[4]table_male_hkom1_inj.V1!$A$1:$K$36,20,FALSE),0)</f>
        <v>0</v>
      </c>
      <c r="K55">
        <f>IFERROR(HLOOKUP(K$2,[4]table_male_hkom1_inj.V1!$A$1:$K$36,20,FALSE),0)</f>
        <v>0</v>
      </c>
      <c r="L55">
        <f>IFERROR(HLOOKUP(L$2,[4]table_male_hkom1_inj.V1!$A$1:$K$36,20,FALSE),0)</f>
        <v>0</v>
      </c>
      <c r="M55">
        <f t="shared" si="1"/>
        <v>27</v>
      </c>
      <c r="S55" t="s">
        <v>88</v>
      </c>
      <c r="T55" s="5">
        <f t="shared" si="12"/>
        <v>0</v>
      </c>
      <c r="U55" s="5">
        <f t="shared" si="13"/>
        <v>0</v>
      </c>
      <c r="V55" s="5">
        <f t="shared" si="14"/>
        <v>10.363636363636363</v>
      </c>
      <c r="W55" s="5">
        <f t="shared" si="15"/>
        <v>17.359550561797754</v>
      </c>
      <c r="X55" s="5">
        <f t="shared" si="16"/>
        <v>3.3461538461538463</v>
      </c>
      <c r="Y55" s="5">
        <f t="shared" si="17"/>
        <v>0</v>
      </c>
      <c r="Z55" s="5">
        <f t="shared" si="18"/>
        <v>0</v>
      </c>
      <c r="AA55" s="5">
        <f t="shared" si="19"/>
        <v>0</v>
      </c>
      <c r="AB55" s="5">
        <f t="shared" si="20"/>
        <v>31.069340771587964</v>
      </c>
    </row>
    <row r="56" spans="4:28" x14ac:dyDescent="0.25">
      <c r="D56" t="s">
        <v>89</v>
      </c>
      <c r="E56" s="64"/>
      <c r="F56" s="64"/>
      <c r="G56">
        <f>IFERROR(HLOOKUP(G$2,[4]table_male_hkom1_inj.V1!$A$1:$K$36,21,FALSE),0)</f>
        <v>0</v>
      </c>
      <c r="H56">
        <f>IFERROR(HLOOKUP(H$2,[4]table_male_hkom1_inj.V1!$A$1:$K$36,21,FALSE),0)</f>
        <v>0</v>
      </c>
      <c r="I56">
        <f>IFERROR(HLOOKUP(I$2,[4]table_male_hkom1_inj.V1!$A$1:$K$36,21,FALSE),0)</f>
        <v>1</v>
      </c>
      <c r="J56">
        <f>IFERROR(HLOOKUP(J$2,[4]table_male_hkom1_inj.V1!$A$1:$K$36,21,FALSE),0)</f>
        <v>0</v>
      </c>
      <c r="K56">
        <f>IFERROR(HLOOKUP(K$2,[4]table_male_hkom1_inj.V1!$A$1:$K$36,21,FALSE),0)</f>
        <v>0</v>
      </c>
      <c r="L56">
        <f>IFERROR(HLOOKUP(L$2,[4]table_male_hkom1_inj.V1!$A$1:$K$36,21,FALSE),0)</f>
        <v>0</v>
      </c>
      <c r="M56">
        <f t="shared" si="1"/>
        <v>1</v>
      </c>
      <c r="S56" t="s">
        <v>89</v>
      </c>
      <c r="T56" s="5">
        <f t="shared" si="12"/>
        <v>0</v>
      </c>
      <c r="U56" s="5">
        <f t="shared" si="13"/>
        <v>0</v>
      </c>
      <c r="V56" s="5">
        <f t="shared" si="14"/>
        <v>0</v>
      </c>
      <c r="W56" s="5">
        <f t="shared" si="15"/>
        <v>0</v>
      </c>
      <c r="X56" s="5">
        <f t="shared" si="16"/>
        <v>1.1153846153846154</v>
      </c>
      <c r="Y56" s="5">
        <f t="shared" si="17"/>
        <v>0</v>
      </c>
      <c r="Z56" s="5">
        <f t="shared" si="18"/>
        <v>0</v>
      </c>
      <c r="AA56" s="5">
        <f t="shared" si="19"/>
        <v>0</v>
      </c>
      <c r="AB56" s="5">
        <f t="shared" si="20"/>
        <v>1.1153846153846154</v>
      </c>
    </row>
    <row r="57" spans="4:28" x14ac:dyDescent="0.25">
      <c r="D57" t="s">
        <v>90</v>
      </c>
      <c r="E57" s="64"/>
      <c r="F57" s="64"/>
      <c r="G57">
        <f>IFERROR(HLOOKUP(G$2,[4]table_male_hkom1_inj.V1!$A$1:$K$36,22,FALSE),0)</f>
        <v>0</v>
      </c>
      <c r="H57">
        <f>IFERROR(HLOOKUP(H$2,[4]table_male_hkom1_inj.V1!$A$1:$K$36,22,FALSE),0)</f>
        <v>0</v>
      </c>
      <c r="I57">
        <f>IFERROR(HLOOKUP(I$2,[4]table_male_hkom1_inj.V1!$A$1:$K$36,22,FALSE),0)</f>
        <v>0</v>
      </c>
      <c r="J57">
        <f>IFERROR(HLOOKUP(J$2,[4]table_male_hkom1_inj.V1!$A$1:$K$36,22,FALSE),0)</f>
        <v>0</v>
      </c>
      <c r="K57">
        <f>IFERROR(HLOOKUP(K$2,[4]table_male_hkom1_inj.V1!$A$1:$K$36,22,FALSE),0)</f>
        <v>0</v>
      </c>
      <c r="L57">
        <f>IFERROR(HLOOKUP(L$2,[4]table_male_hkom1_inj.V1!$A$1:$K$36,22,FALSE),0)</f>
        <v>0</v>
      </c>
      <c r="M57">
        <f t="shared" si="1"/>
        <v>0</v>
      </c>
      <c r="S57" t="s">
        <v>90</v>
      </c>
      <c r="T57" s="5">
        <f t="shared" si="12"/>
        <v>0</v>
      </c>
      <c r="U57" s="5">
        <f t="shared" si="13"/>
        <v>0</v>
      </c>
      <c r="V57" s="5">
        <f t="shared" si="14"/>
        <v>0</v>
      </c>
      <c r="W57" s="5">
        <f t="shared" si="15"/>
        <v>0</v>
      </c>
      <c r="X57" s="5">
        <f t="shared" si="16"/>
        <v>0</v>
      </c>
      <c r="Y57" s="5">
        <f t="shared" si="17"/>
        <v>0</v>
      </c>
      <c r="Z57" s="5">
        <f t="shared" si="18"/>
        <v>0</v>
      </c>
      <c r="AA57" s="5">
        <f t="shared" si="19"/>
        <v>0</v>
      </c>
      <c r="AB57" s="5">
        <f t="shared" si="20"/>
        <v>0</v>
      </c>
    </row>
    <row r="58" spans="4:28" x14ac:dyDescent="0.25">
      <c r="D58" t="s">
        <v>91</v>
      </c>
      <c r="E58" s="64"/>
      <c r="F58" s="64"/>
      <c r="G58">
        <f>IFERROR(HLOOKUP(G$2,[4]table_male_hkom1_inj.V1!$A$1:$K$36,23,FALSE),0)</f>
        <v>0</v>
      </c>
      <c r="H58">
        <f>IFERROR(HLOOKUP(H$2,[4]table_male_hkom1_inj.V1!$A$1:$K$36,23,FALSE),0)</f>
        <v>0</v>
      </c>
      <c r="I58">
        <f>IFERROR(HLOOKUP(I$2,[4]table_male_hkom1_inj.V1!$A$1:$K$36,23,FALSE),0)</f>
        <v>0</v>
      </c>
      <c r="J58">
        <f>IFERROR(HLOOKUP(J$2,[4]table_male_hkom1_inj.V1!$A$1:$K$36,23,FALSE),0)</f>
        <v>0</v>
      </c>
      <c r="K58">
        <f>IFERROR(HLOOKUP(K$2,[4]table_male_hkom1_inj.V1!$A$1:$K$36,23,FALSE),0)</f>
        <v>0</v>
      </c>
      <c r="L58">
        <f>IFERROR(HLOOKUP(L$2,[4]table_male_hkom1_inj.V1!$A$1:$K$36,23,FALSE),0)</f>
        <v>0</v>
      </c>
      <c r="M58">
        <f t="shared" si="1"/>
        <v>0</v>
      </c>
      <c r="S58" t="s">
        <v>91</v>
      </c>
      <c r="T58" s="5">
        <f t="shared" si="12"/>
        <v>0</v>
      </c>
      <c r="U58" s="5">
        <f t="shared" si="13"/>
        <v>0</v>
      </c>
      <c r="V58" s="5">
        <f t="shared" si="14"/>
        <v>0</v>
      </c>
      <c r="W58" s="5">
        <f t="shared" si="15"/>
        <v>0</v>
      </c>
      <c r="X58" s="5">
        <f t="shared" si="16"/>
        <v>0</v>
      </c>
      <c r="Y58" s="5">
        <f t="shared" si="17"/>
        <v>0</v>
      </c>
      <c r="Z58" s="5">
        <f t="shared" si="18"/>
        <v>0</v>
      </c>
      <c r="AA58" s="5">
        <f t="shared" si="19"/>
        <v>0</v>
      </c>
      <c r="AB58" s="5">
        <f t="shared" si="20"/>
        <v>0</v>
      </c>
    </row>
    <row r="59" spans="4:28" x14ac:dyDescent="0.25">
      <c r="D59" t="s">
        <v>92</v>
      </c>
      <c r="E59" s="64"/>
      <c r="F59" s="64"/>
      <c r="G59">
        <f>IFERROR(HLOOKUP(G$2,[4]table_male_hkom1_inj.V1!$A$1:$K$36,24,FALSE),0)</f>
        <v>0</v>
      </c>
      <c r="H59">
        <f>IFERROR(HLOOKUP(H$2,[4]table_male_hkom1_inj.V1!$A$1:$K$36,24,FALSE),0)</f>
        <v>0</v>
      </c>
      <c r="I59">
        <f>IFERROR(HLOOKUP(I$2,[4]table_male_hkom1_inj.V1!$A$1:$K$36,24,FALSE),0)</f>
        <v>0</v>
      </c>
      <c r="J59">
        <f>IFERROR(HLOOKUP(J$2,[4]table_male_hkom1_inj.V1!$A$1:$K$36,24,FALSE),0)</f>
        <v>0</v>
      </c>
      <c r="K59">
        <f>IFERROR(HLOOKUP(K$2,[4]table_male_hkom1_inj.V1!$A$1:$K$36,24,FALSE),0)</f>
        <v>0</v>
      </c>
      <c r="L59">
        <f>IFERROR(HLOOKUP(L$2,[4]table_male_hkom1_inj.V1!$A$1:$K$36,24,FALSE),0)</f>
        <v>0</v>
      </c>
      <c r="M59">
        <f t="shared" si="1"/>
        <v>0</v>
      </c>
      <c r="S59" t="s">
        <v>92</v>
      </c>
      <c r="T59" s="5">
        <f t="shared" si="12"/>
        <v>0</v>
      </c>
      <c r="U59" s="5">
        <f t="shared" si="13"/>
        <v>0</v>
      </c>
      <c r="V59" s="5">
        <f t="shared" si="14"/>
        <v>0</v>
      </c>
      <c r="W59" s="5">
        <f t="shared" si="15"/>
        <v>0</v>
      </c>
      <c r="X59" s="5">
        <f t="shared" si="16"/>
        <v>0</v>
      </c>
      <c r="Y59" s="5">
        <f t="shared" si="17"/>
        <v>0</v>
      </c>
      <c r="Z59" s="5">
        <f t="shared" si="18"/>
        <v>0</v>
      </c>
      <c r="AA59" s="5">
        <f t="shared" si="19"/>
        <v>0</v>
      </c>
      <c r="AB59" s="5">
        <f t="shared" si="20"/>
        <v>0</v>
      </c>
    </row>
    <row r="60" spans="4:28" x14ac:dyDescent="0.25">
      <c r="D60" t="s">
        <v>93</v>
      </c>
      <c r="E60" s="64"/>
      <c r="F60" s="64"/>
      <c r="G60">
        <f>IFERROR(HLOOKUP(G$2,[4]table_male_hkom1_inj.V1!$A$1:$K$36,25,FALSE),0)</f>
        <v>0</v>
      </c>
      <c r="H60">
        <f>IFERROR(HLOOKUP(H$2,[4]table_male_hkom1_inj.V1!$A$1:$K$36,25,FALSE),0)</f>
        <v>0</v>
      </c>
      <c r="I60">
        <f>IFERROR(HLOOKUP(I$2,[4]table_male_hkom1_inj.V1!$A$1:$K$36,25,FALSE),0)</f>
        <v>0</v>
      </c>
      <c r="J60">
        <f>IFERROR(HLOOKUP(J$2,[4]table_male_hkom1_inj.V1!$A$1:$K$36,25,FALSE),0)</f>
        <v>0</v>
      </c>
      <c r="K60">
        <f>IFERROR(HLOOKUP(K$2,[4]table_male_hkom1_inj.V1!$A$1:$K$36,25,FALSE),0)</f>
        <v>0</v>
      </c>
      <c r="L60">
        <f>IFERROR(HLOOKUP(L$2,[4]table_male_hkom1_inj.V1!$A$1:$K$36,25,FALSE),0)</f>
        <v>0</v>
      </c>
      <c r="M60">
        <f t="shared" si="1"/>
        <v>0</v>
      </c>
      <c r="S60" t="s">
        <v>93</v>
      </c>
      <c r="T60" s="5">
        <f t="shared" si="12"/>
        <v>0</v>
      </c>
      <c r="U60" s="5">
        <f t="shared" si="13"/>
        <v>0</v>
      </c>
      <c r="V60" s="5">
        <f t="shared" si="14"/>
        <v>0</v>
      </c>
      <c r="W60" s="5">
        <f t="shared" si="15"/>
        <v>0</v>
      </c>
      <c r="X60" s="5">
        <f t="shared" si="16"/>
        <v>0</v>
      </c>
      <c r="Y60" s="5">
        <f t="shared" si="17"/>
        <v>0</v>
      </c>
      <c r="Z60" s="5">
        <f t="shared" si="18"/>
        <v>0</v>
      </c>
      <c r="AA60" s="5">
        <f t="shared" si="19"/>
        <v>0</v>
      </c>
      <c r="AB60" s="5">
        <f t="shared" si="20"/>
        <v>0</v>
      </c>
    </row>
    <row r="61" spans="4:28" x14ac:dyDescent="0.25">
      <c r="D61" t="s">
        <v>94</v>
      </c>
      <c r="E61" s="64"/>
      <c r="F61" s="64"/>
      <c r="G61">
        <f>IFERROR(HLOOKUP(G$2,[4]table_male_hkom1_inj.V1!$A$1:$K$36,26,FALSE),0)</f>
        <v>0</v>
      </c>
      <c r="H61">
        <f>IFERROR(HLOOKUP(H$2,[4]table_male_hkom1_inj.V1!$A$1:$K$36,26,FALSE),0)</f>
        <v>0</v>
      </c>
      <c r="I61">
        <f>IFERROR(HLOOKUP(I$2,[4]table_male_hkom1_inj.V1!$A$1:$K$36,26,FALSE),0)</f>
        <v>0</v>
      </c>
      <c r="J61">
        <f>IFERROR(HLOOKUP(J$2,[4]table_male_hkom1_inj.V1!$A$1:$K$36,26,FALSE),0)</f>
        <v>0</v>
      </c>
      <c r="K61">
        <f>IFERROR(HLOOKUP(K$2,[4]table_male_hkom1_inj.V1!$A$1:$K$36,26,FALSE),0)</f>
        <v>0</v>
      </c>
      <c r="L61">
        <f>IFERROR(HLOOKUP(L$2,[4]table_male_hkom1_inj.V1!$A$1:$K$36,26,FALSE),0)</f>
        <v>0</v>
      </c>
      <c r="M61">
        <f t="shared" si="1"/>
        <v>0</v>
      </c>
      <c r="S61" t="s">
        <v>94</v>
      </c>
      <c r="T61" s="5">
        <f t="shared" si="12"/>
        <v>0</v>
      </c>
      <c r="U61" s="5">
        <f t="shared" si="13"/>
        <v>0</v>
      </c>
      <c r="V61" s="5">
        <f t="shared" si="14"/>
        <v>0</v>
      </c>
      <c r="W61" s="5">
        <f t="shared" si="15"/>
        <v>0</v>
      </c>
      <c r="X61" s="5">
        <f t="shared" si="16"/>
        <v>0</v>
      </c>
      <c r="Y61" s="5">
        <f t="shared" si="17"/>
        <v>0</v>
      </c>
      <c r="Z61" s="5">
        <f t="shared" si="18"/>
        <v>0</v>
      </c>
      <c r="AA61" s="5">
        <f t="shared" si="19"/>
        <v>0</v>
      </c>
      <c r="AB61" s="5">
        <f t="shared" si="20"/>
        <v>0</v>
      </c>
    </row>
    <row r="62" spans="4:28" x14ac:dyDescent="0.25">
      <c r="D62" t="s">
        <v>95</v>
      </c>
      <c r="E62" s="64"/>
      <c r="F62" s="64"/>
      <c r="G62">
        <f>IFERROR(HLOOKUP(G$2,[4]table_male_hkom1_inj.V1!$A$1:$K$36,27,FALSE),0)</f>
        <v>0</v>
      </c>
      <c r="H62">
        <f>IFERROR(HLOOKUP(H$2,[4]table_male_hkom1_inj.V1!$A$1:$K$36,27,FALSE),0)</f>
        <v>0</v>
      </c>
      <c r="I62">
        <f>IFERROR(HLOOKUP(I$2,[4]table_male_hkom1_inj.V1!$A$1:$K$36,27,FALSE),0)</f>
        <v>0</v>
      </c>
      <c r="J62">
        <f>IFERROR(HLOOKUP(J$2,[4]table_male_hkom1_inj.V1!$A$1:$K$36,27,FALSE),0)</f>
        <v>0</v>
      </c>
      <c r="K62">
        <f>IFERROR(HLOOKUP(K$2,[4]table_male_hkom1_inj.V1!$A$1:$K$36,27,FALSE),0)</f>
        <v>0</v>
      </c>
      <c r="L62">
        <f>IFERROR(HLOOKUP(L$2,[4]table_male_hkom1_inj.V1!$A$1:$K$36,27,FALSE),0)</f>
        <v>0</v>
      </c>
      <c r="M62">
        <f t="shared" si="1"/>
        <v>0</v>
      </c>
      <c r="S62" t="s">
        <v>95</v>
      </c>
      <c r="T62" s="5">
        <f t="shared" si="12"/>
        <v>0</v>
      </c>
      <c r="U62" s="5">
        <f t="shared" si="13"/>
        <v>0</v>
      </c>
      <c r="V62" s="5">
        <f t="shared" si="14"/>
        <v>0</v>
      </c>
      <c r="W62" s="5">
        <f t="shared" si="15"/>
        <v>0</v>
      </c>
      <c r="X62" s="5">
        <f t="shared" si="16"/>
        <v>0</v>
      </c>
      <c r="Y62" s="5">
        <f t="shared" si="17"/>
        <v>0</v>
      </c>
      <c r="Z62" s="5">
        <f t="shared" si="18"/>
        <v>0</v>
      </c>
      <c r="AA62" s="5">
        <f t="shared" si="19"/>
        <v>0</v>
      </c>
      <c r="AB62" s="5">
        <f t="shared" si="20"/>
        <v>0</v>
      </c>
    </row>
    <row r="63" spans="4:28" x14ac:dyDescent="0.25">
      <c r="D63" t="s">
        <v>96</v>
      </c>
      <c r="E63" s="64"/>
      <c r="F63" s="64"/>
      <c r="G63">
        <f>IFERROR(HLOOKUP(G$2,[4]table_male_hkom1_inj.V1!$A$1:$K$36,28,FALSE),0)</f>
        <v>0</v>
      </c>
      <c r="H63">
        <f>IFERROR(HLOOKUP(H$2,[4]table_male_hkom1_inj.V1!$A$1:$K$36,28,FALSE),0)</f>
        <v>0</v>
      </c>
      <c r="I63">
        <f>IFERROR(HLOOKUP(I$2,[4]table_male_hkom1_inj.V1!$A$1:$K$36,28,FALSE),0)</f>
        <v>0</v>
      </c>
      <c r="J63">
        <f>IFERROR(HLOOKUP(J$2,[4]table_male_hkom1_inj.V1!$A$1:$K$36,28,FALSE),0)</f>
        <v>0</v>
      </c>
      <c r="K63">
        <f>IFERROR(HLOOKUP(K$2,[4]table_male_hkom1_inj.V1!$A$1:$K$36,28,FALSE),0)</f>
        <v>0</v>
      </c>
      <c r="L63">
        <f>IFERROR(HLOOKUP(L$2,[4]table_male_hkom1_inj.V1!$A$1:$K$36,28,FALSE),0)</f>
        <v>0</v>
      </c>
      <c r="M63">
        <f t="shared" si="1"/>
        <v>0</v>
      </c>
      <c r="S63" t="s">
        <v>96</v>
      </c>
      <c r="T63" s="5">
        <f t="shared" si="12"/>
        <v>0</v>
      </c>
      <c r="U63" s="5">
        <f t="shared" si="13"/>
        <v>0</v>
      </c>
      <c r="V63" s="5">
        <f t="shared" si="14"/>
        <v>0</v>
      </c>
      <c r="W63" s="5">
        <f t="shared" si="15"/>
        <v>0</v>
      </c>
      <c r="X63" s="5">
        <f t="shared" si="16"/>
        <v>0</v>
      </c>
      <c r="Y63" s="5">
        <f t="shared" si="17"/>
        <v>0</v>
      </c>
      <c r="Z63" s="5">
        <f t="shared" si="18"/>
        <v>0</v>
      </c>
      <c r="AA63" s="5">
        <f t="shared" si="19"/>
        <v>0</v>
      </c>
      <c r="AB63" s="5">
        <f t="shared" si="20"/>
        <v>0</v>
      </c>
    </row>
    <row r="64" spans="4:28" x14ac:dyDescent="0.25">
      <c r="D64" t="s">
        <v>97</v>
      </c>
      <c r="E64" s="64"/>
      <c r="F64" s="64"/>
      <c r="G64">
        <f>IFERROR(HLOOKUP(G$2,[4]table_male_hkom1_inj.V1!$A$1:$K$36,29,FALSE),0)</f>
        <v>0</v>
      </c>
      <c r="H64">
        <f>IFERROR(HLOOKUP(H$2,[4]table_male_hkom1_inj.V1!$A$1:$K$36,29,FALSE),0)</f>
        <v>0</v>
      </c>
      <c r="I64">
        <f>IFERROR(HLOOKUP(I$2,[4]table_male_hkom1_inj.V1!$A$1:$K$36,29,FALSE),0)</f>
        <v>0</v>
      </c>
      <c r="J64">
        <f>IFERROR(HLOOKUP(J$2,[4]table_male_hkom1_inj.V1!$A$1:$K$36,29,FALSE),0)</f>
        <v>0</v>
      </c>
      <c r="K64">
        <f>IFERROR(HLOOKUP(K$2,[4]table_male_hkom1_inj.V1!$A$1:$K$36,29,FALSE),0)</f>
        <v>0</v>
      </c>
      <c r="L64">
        <f>IFERROR(HLOOKUP(L$2,[4]table_male_hkom1_inj.V1!$A$1:$K$36,29,FALSE),0)</f>
        <v>0</v>
      </c>
      <c r="M64">
        <f t="shared" si="1"/>
        <v>0</v>
      </c>
      <c r="S64" t="s">
        <v>97</v>
      </c>
      <c r="T64" s="5">
        <f t="shared" si="12"/>
        <v>0</v>
      </c>
      <c r="U64" s="5">
        <f t="shared" si="13"/>
        <v>0</v>
      </c>
      <c r="V64" s="5">
        <f t="shared" si="14"/>
        <v>0</v>
      </c>
      <c r="W64" s="5">
        <f t="shared" si="15"/>
        <v>0</v>
      </c>
      <c r="X64" s="5">
        <f t="shared" si="16"/>
        <v>0</v>
      </c>
      <c r="Y64" s="5">
        <f t="shared" si="17"/>
        <v>0</v>
      </c>
      <c r="Z64" s="5">
        <f t="shared" si="18"/>
        <v>0</v>
      </c>
      <c r="AA64" s="5">
        <f t="shared" si="19"/>
        <v>0</v>
      </c>
      <c r="AB64" s="5">
        <f t="shared" si="20"/>
        <v>0</v>
      </c>
    </row>
    <row r="65" spans="1:29" x14ac:dyDescent="0.25">
      <c r="D65" t="s">
        <v>98</v>
      </c>
      <c r="E65" s="64"/>
      <c r="F65" s="64"/>
      <c r="G65">
        <f>IFERROR(HLOOKUP(G$2,[4]table_male_hkom1_inj.V1!$A$1:$K$36,30,FALSE),0)</f>
        <v>0</v>
      </c>
      <c r="H65">
        <f>IFERROR(HLOOKUP(H$2,[4]table_male_hkom1_inj.V1!$A$1:$K$36,30,FALSE),0)</f>
        <v>0</v>
      </c>
      <c r="I65">
        <f>IFERROR(HLOOKUP(I$2,[4]table_male_hkom1_inj.V1!$A$1:$K$36,30,FALSE),0)</f>
        <v>0</v>
      </c>
      <c r="J65">
        <f>IFERROR(HLOOKUP(J$2,[4]table_male_hkom1_inj.V1!$A$1:$K$36,30,FALSE),0)</f>
        <v>0</v>
      </c>
      <c r="K65">
        <f>IFERROR(HLOOKUP(K$2,[4]table_male_hkom1_inj.V1!$A$1:$K$36,30,FALSE),0)</f>
        <v>0</v>
      </c>
      <c r="L65">
        <f>IFERROR(HLOOKUP(L$2,[4]table_male_hkom1_inj.V1!$A$1:$K$36,30,FALSE),0)</f>
        <v>0</v>
      </c>
      <c r="M65">
        <f t="shared" si="1"/>
        <v>0</v>
      </c>
      <c r="S65" t="s">
        <v>98</v>
      </c>
      <c r="T65" s="5">
        <f t="shared" si="12"/>
        <v>0</v>
      </c>
      <c r="U65" s="5">
        <f t="shared" si="13"/>
        <v>0</v>
      </c>
      <c r="V65" s="5">
        <f t="shared" si="14"/>
        <v>0</v>
      </c>
      <c r="W65" s="5">
        <f t="shared" si="15"/>
        <v>0</v>
      </c>
      <c r="X65" s="5">
        <f t="shared" si="16"/>
        <v>0</v>
      </c>
      <c r="Y65" s="5">
        <f t="shared" si="17"/>
        <v>0</v>
      </c>
      <c r="Z65" s="5">
        <f t="shared" si="18"/>
        <v>0</v>
      </c>
      <c r="AA65" s="5">
        <f t="shared" si="19"/>
        <v>0</v>
      </c>
      <c r="AB65" s="5">
        <f t="shared" si="20"/>
        <v>0</v>
      </c>
    </row>
    <row r="66" spans="1:29" x14ac:dyDescent="0.25">
      <c r="D66" t="s">
        <v>119</v>
      </c>
      <c r="E66" s="64"/>
      <c r="F66" s="64"/>
      <c r="G66">
        <f>IFERROR(HLOOKUP(G$2,[4]table_male_hkom1_inj.V1!$A$1:$K$36,31,FALSE),0)</f>
        <v>0</v>
      </c>
      <c r="H66">
        <f>IFERROR(HLOOKUP(H$2,[4]table_male_hkom1_inj.V1!$A$1:$K$36,31,FALSE),0)</f>
        <v>1</v>
      </c>
      <c r="I66">
        <f>IFERROR(HLOOKUP(I$2,[4]table_male_hkom1_inj.V1!$A$1:$K$36,31,FALSE),0)</f>
        <v>0</v>
      </c>
      <c r="J66">
        <f>IFERROR(HLOOKUP(J$2,[4]table_male_hkom1_inj.V1!$A$1:$K$36,31,FALSE),0)</f>
        <v>0</v>
      </c>
      <c r="K66">
        <f>IFERROR(HLOOKUP(K$2,[4]table_male_hkom1_inj.V1!$A$1:$K$36,31,FALSE),0)</f>
        <v>0</v>
      </c>
      <c r="L66">
        <f>IFERROR(HLOOKUP(L$2,[4]table_male_hkom1_inj.V1!$A$1:$K$36,31,FALSE),0)</f>
        <v>0</v>
      </c>
      <c r="M66">
        <f t="shared" si="1"/>
        <v>1</v>
      </c>
      <c r="S66" t="s">
        <v>119</v>
      </c>
      <c r="T66" s="5">
        <f t="shared" ref="T66" si="21">IF(SUM(E$37:E$69)=0,E$70/33,E66+IFERROR(E66/SUM(E$37:E$69)*E$70,0))</f>
        <v>0</v>
      </c>
      <c r="U66" s="5">
        <f t="shared" ref="U66" si="22">IF(SUM(F$37:F$69)=0,F$70/33,F66+IFERROR(F66/SUM(F$37:F$69)*F$70,0))</f>
        <v>0</v>
      </c>
      <c r="V66" s="5">
        <f t="shared" ref="V66" si="23">IF(SUM(G$37:G$69)=0,G$70/33,G66+IFERROR(G66/SUM(G$37:G$69)*G$70,0))</f>
        <v>0</v>
      </c>
      <c r="W66" s="5">
        <f t="shared" ref="W66" si="24">IF(SUM(H$37:H$69)=0,H$70/33,H66+IFERROR(H66/SUM(H$37:H$69)*H$70,0))</f>
        <v>1.1573033707865168</v>
      </c>
      <c r="X66" s="5">
        <f t="shared" ref="X66" si="25">IF(SUM(I$37:I$69)=0,I$70/33,I66+IFERROR(I66/SUM(I$37:I$69)*I$70,0))</f>
        <v>0</v>
      </c>
      <c r="Y66" s="5">
        <f t="shared" ref="Y66" si="26">IF(SUM(J$37:J$69)=0,J$70/33,J66+IFERROR(J66/SUM(J$37:J$69)*J$70,0))</f>
        <v>0</v>
      </c>
      <c r="Z66" s="5">
        <f t="shared" ref="Z66" si="27">IF(SUM(K$37:K$69)=0,K$70/33,K66+IFERROR(K66/SUM(K$37:K$69)*K$70,0))</f>
        <v>0</v>
      </c>
      <c r="AA66" s="5">
        <f t="shared" ref="AA66" si="28">IF(SUM(L$37:L$69)=0,L$70/33,L66+IFERROR(L66/SUM(L$37:L$69)*L$70,0))</f>
        <v>0</v>
      </c>
      <c r="AB66" s="5">
        <f t="shared" ref="AB66" si="29">SUM(T66:AA66)</f>
        <v>1.1573033707865168</v>
      </c>
    </row>
    <row r="67" spans="1:29" x14ac:dyDescent="0.25">
      <c r="D67" t="s">
        <v>99</v>
      </c>
      <c r="E67" s="64"/>
      <c r="F67" s="64"/>
      <c r="G67">
        <f>IFERROR(HLOOKUP(G$2,[4]table_male_hkom1_inj.V1!$A$1:$K$36,32,FALSE),0)</f>
        <v>0</v>
      </c>
      <c r="H67">
        <f>IFERROR(HLOOKUP(H$2,[4]table_male_hkom1_inj.V1!$A$1:$K$36,32,FALSE),0)</f>
        <v>1</v>
      </c>
      <c r="I67">
        <f>IFERROR(HLOOKUP(I$2,[4]table_male_hkom1_inj.V1!$A$1:$K$36,32,FALSE),0)</f>
        <v>1</v>
      </c>
      <c r="J67">
        <f>IFERROR(HLOOKUP(J$2,[4]table_male_hkom1_inj.V1!$A$1:$K$36,32,FALSE),0)</f>
        <v>0</v>
      </c>
      <c r="K67">
        <f>IFERROR(HLOOKUP(K$2,[4]table_male_hkom1_inj.V1!$A$1:$K$36,32,FALSE),0)</f>
        <v>0</v>
      </c>
      <c r="L67">
        <f>IFERROR(HLOOKUP(L$2,[4]table_male_hkom1_inj.V1!$A$1:$K$36,32,FALSE),0)</f>
        <v>0</v>
      </c>
      <c r="M67">
        <f t="shared" si="1"/>
        <v>2</v>
      </c>
      <c r="S67" t="s">
        <v>99</v>
      </c>
      <c r="T67" s="5">
        <f t="shared" si="12"/>
        <v>0</v>
      </c>
      <c r="U67" s="5">
        <f t="shared" si="13"/>
        <v>0</v>
      </c>
      <c r="V67" s="5">
        <f t="shared" si="14"/>
        <v>0</v>
      </c>
      <c r="W67" s="5">
        <f t="shared" si="15"/>
        <v>1.1573033707865168</v>
      </c>
      <c r="X67" s="5">
        <f t="shared" si="16"/>
        <v>1.1153846153846154</v>
      </c>
      <c r="Y67" s="5">
        <f t="shared" si="17"/>
        <v>0</v>
      </c>
      <c r="Z67" s="5">
        <f t="shared" si="18"/>
        <v>0</v>
      </c>
      <c r="AA67" s="5">
        <f t="shared" si="19"/>
        <v>0</v>
      </c>
      <c r="AB67" s="5">
        <f t="shared" si="20"/>
        <v>2.2726879861711322</v>
      </c>
    </row>
    <row r="68" spans="1:29" x14ac:dyDescent="0.25">
      <c r="D68" t="s">
        <v>100</v>
      </c>
      <c r="E68" s="64"/>
      <c r="F68" s="64"/>
      <c r="G68">
        <f>IFERROR(HLOOKUP(G$2,[4]table_male_hkom1_inj.V1!$A$1:$K$36,33,FALSE),0)</f>
        <v>51</v>
      </c>
      <c r="H68">
        <f>IFERROR(HLOOKUP(H$2,[4]table_male_hkom1_inj.V1!$A$1:$K$36,33,FALSE),0)</f>
        <v>65</v>
      </c>
      <c r="I68">
        <f>IFERROR(HLOOKUP(I$2,[4]table_male_hkom1_inj.V1!$A$1:$K$36,33,FALSE),0)</f>
        <v>19</v>
      </c>
      <c r="J68">
        <f>IFERROR(HLOOKUP(J$2,[4]table_male_hkom1_inj.V1!$A$1:$K$36,33,FALSE),0)</f>
        <v>1</v>
      </c>
      <c r="K68">
        <f>IFERROR(HLOOKUP(K$2,[4]table_male_hkom1_inj.V1!$A$1:$K$36,33,FALSE),0)</f>
        <v>0</v>
      </c>
      <c r="L68">
        <f>IFERROR(HLOOKUP(L$2,[4]table_male_hkom1_inj.V1!$A$1:$K$36,33,FALSE),0)</f>
        <v>0</v>
      </c>
      <c r="M68">
        <f t="shared" ref="M68:M101" si="30">SUM(E68:L68)</f>
        <v>136</v>
      </c>
      <c r="S68" t="s">
        <v>100</v>
      </c>
      <c r="T68" s="5">
        <f t="shared" si="12"/>
        <v>0</v>
      </c>
      <c r="U68" s="5">
        <f t="shared" si="13"/>
        <v>0</v>
      </c>
      <c r="V68" s="5">
        <f t="shared" si="14"/>
        <v>58.727272727272727</v>
      </c>
      <c r="W68" s="5">
        <f t="shared" si="15"/>
        <v>75.224719101123597</v>
      </c>
      <c r="X68" s="5">
        <f t="shared" si="16"/>
        <v>21.192307692307693</v>
      </c>
      <c r="Y68" s="5">
        <f t="shared" si="17"/>
        <v>1</v>
      </c>
      <c r="Z68" s="5">
        <f t="shared" si="18"/>
        <v>0</v>
      </c>
      <c r="AA68" s="5">
        <f t="shared" si="19"/>
        <v>0</v>
      </c>
      <c r="AB68" s="5">
        <f t="shared" si="20"/>
        <v>156.14429952070401</v>
      </c>
    </row>
    <row r="69" spans="1:29" x14ac:dyDescent="0.25">
      <c r="D69" t="s">
        <v>101</v>
      </c>
      <c r="E69" s="64"/>
      <c r="F69" s="64"/>
      <c r="G69">
        <f>IFERROR(HLOOKUP(G$2,[4]table_male_hkom1_inj.V1!$A$1:$K$36,34,FALSE),0)</f>
        <v>3</v>
      </c>
      <c r="H69">
        <f>IFERROR(HLOOKUP(H$2,[4]table_male_hkom1_inj.V1!$A$1:$K$36,34,FALSE),0)</f>
        <v>1</v>
      </c>
      <c r="I69">
        <f>IFERROR(HLOOKUP(I$2,[4]table_male_hkom1_inj.V1!$A$1:$K$36,34,FALSE),0)</f>
        <v>1</v>
      </c>
      <c r="J69">
        <f>IFERROR(HLOOKUP(J$2,[4]table_male_hkom1_inj.V1!$A$1:$K$36,34,FALSE),0)</f>
        <v>0</v>
      </c>
      <c r="K69">
        <f>IFERROR(HLOOKUP(K$2,[4]table_male_hkom1_inj.V1!$A$1:$K$36,34,FALSE),0)</f>
        <v>0</v>
      </c>
      <c r="L69">
        <f>IFERROR(HLOOKUP(L$2,[4]table_male_hkom1_inj.V1!$A$1:$K$36,34,FALSE),0)</f>
        <v>0</v>
      </c>
      <c r="M69">
        <f t="shared" si="30"/>
        <v>5</v>
      </c>
      <c r="S69" t="s">
        <v>101</v>
      </c>
      <c r="T69" s="5">
        <f t="shared" si="12"/>
        <v>0</v>
      </c>
      <c r="U69" s="5">
        <f t="shared" si="13"/>
        <v>0</v>
      </c>
      <c r="V69" s="5">
        <f t="shared" si="14"/>
        <v>3.4545454545454546</v>
      </c>
      <c r="W69" s="5">
        <f t="shared" si="15"/>
        <v>1.1573033707865168</v>
      </c>
      <c r="X69" s="5">
        <f t="shared" si="16"/>
        <v>1.1153846153846154</v>
      </c>
      <c r="Y69" s="5">
        <f t="shared" si="17"/>
        <v>0</v>
      </c>
      <c r="Z69" s="5">
        <f t="shared" si="18"/>
        <v>0</v>
      </c>
      <c r="AA69" s="5">
        <f t="shared" si="19"/>
        <v>0</v>
      </c>
      <c r="AB69" s="5">
        <f t="shared" si="20"/>
        <v>5.7272334407165868</v>
      </c>
    </row>
    <row r="70" spans="1:29" x14ac:dyDescent="0.25">
      <c r="D70" t="s">
        <v>102</v>
      </c>
      <c r="E70" s="64"/>
      <c r="F70" s="64"/>
      <c r="G70">
        <f>IFERROR(HLOOKUP(G$2,[4]table_male_hkom1_inj.V1!$A$1:$K$36,35,FALSE),0)</f>
        <v>10</v>
      </c>
      <c r="H70">
        <f>IFERROR(HLOOKUP(H$2,[4]table_male_hkom1_inj.V1!$A$1:$K$36,35,FALSE),0)</f>
        <v>14</v>
      </c>
      <c r="I70">
        <f>IFERROR(HLOOKUP(I$2,[4]table_male_hkom1_inj.V1!$A$1:$K$36,35,FALSE),0)</f>
        <v>3</v>
      </c>
      <c r="J70">
        <f>IFERROR(HLOOKUP(J$2,[4]table_male_hkom1_inj.V1!$A$1:$K$36,35,FALSE),0)</f>
        <v>0</v>
      </c>
      <c r="K70">
        <f>IFERROR(HLOOKUP(K$2,[4]table_male_hkom1_inj.V1!$A$1:$K$36,35,FALSE),0)</f>
        <v>0</v>
      </c>
      <c r="L70">
        <f>IFERROR(HLOOKUP(L$2,[4]table_male_hkom1_inj.V1!$A$1:$K$36,35,FALSE),0)</f>
        <v>0</v>
      </c>
      <c r="M70">
        <f t="shared" si="30"/>
        <v>27</v>
      </c>
      <c r="N70">
        <f>SUM(M37:M70)</f>
        <v>209</v>
      </c>
      <c r="O70" s="8">
        <f>SUM([4]table_male_hkom1_inj.V1!$B$2:$L$37)</f>
        <v>209</v>
      </c>
      <c r="S70" t="s">
        <v>102</v>
      </c>
      <c r="T70" s="7"/>
      <c r="U70" s="7"/>
      <c r="V70" s="7"/>
      <c r="W70" s="7"/>
      <c r="X70" s="7"/>
      <c r="Y70" s="7"/>
      <c r="Z70" s="7"/>
      <c r="AA70" s="7"/>
      <c r="AB70" s="7"/>
      <c r="AC70" s="5">
        <f>SUM(AB37:AB69)</f>
        <v>209</v>
      </c>
    </row>
    <row r="71" spans="1:29" x14ac:dyDescent="0.25">
      <c r="A71" t="s">
        <v>104</v>
      </c>
      <c r="B71" t="s">
        <v>103</v>
      </c>
      <c r="C71" t="s">
        <v>106</v>
      </c>
      <c r="D71" t="s">
        <v>70</v>
      </c>
      <c r="E71" s="64"/>
      <c r="F71" s="64"/>
      <c r="G71">
        <f>IFERROR(HLOOKUP(G$2,[5]table_male_hkom1_inj.V2!$A$1:$K$36,2,FALSE),0)</f>
        <v>22</v>
      </c>
      <c r="H71">
        <f>IFERROR(HLOOKUP(H$2,[5]table_male_hkom1_inj.V2!$A$1:$K$36,2,FALSE),0)</f>
        <v>29</v>
      </c>
      <c r="I71">
        <f>IFERROR(HLOOKUP(I$2,[5]table_male_hkom1_inj.V2!$A$1:$K$36,2,FALSE),0)</f>
        <v>7</v>
      </c>
      <c r="J71">
        <f>IFERROR(HLOOKUP(J$2,[5]table_male_hkom1_inj.V2!$A$1:$K$36,2,FALSE),0)</f>
        <v>0</v>
      </c>
      <c r="K71">
        <f>IFERROR(HLOOKUP(K$2,[5]table_male_hkom1_inj.V2!$A$1:$K$36,2,FALSE),0)</f>
        <v>0</v>
      </c>
      <c r="L71">
        <f>IFERROR(HLOOKUP(L$2,[5]table_male_hkom1_inj.V2!$A$1:$K$36,2,FALSE),0)</f>
        <v>0</v>
      </c>
      <c r="M71">
        <f t="shared" si="30"/>
        <v>58</v>
      </c>
      <c r="P71" t="s">
        <v>104</v>
      </c>
      <c r="Q71" t="s">
        <v>103</v>
      </c>
      <c r="R71" t="s">
        <v>106</v>
      </c>
      <c r="S71" t="s">
        <v>70</v>
      </c>
      <c r="T71" s="5">
        <f>IF(SUM(E$71:E$103)=0,E$104/33,E71+IFERROR(E71/SUM(E$71:E$103)*E$104,0))</f>
        <v>0</v>
      </c>
      <c r="U71" s="5">
        <f t="shared" ref="U71:AA71" si="31">IF(SUM(F$71:F$103)=0,F$104/33,F71+IFERROR(F71/SUM(F$71:F$103)*F$104,0))</f>
        <v>0</v>
      </c>
      <c r="V71" s="5">
        <f t="shared" si="31"/>
        <v>23.445783132530121</v>
      </c>
      <c r="W71" s="5">
        <f t="shared" si="31"/>
        <v>31.15702479338843</v>
      </c>
      <c r="X71" s="5">
        <f t="shared" si="31"/>
        <v>7.5992217898832681</v>
      </c>
      <c r="Y71" s="5">
        <f t="shared" si="31"/>
        <v>0</v>
      </c>
      <c r="Z71" s="5">
        <f t="shared" si="31"/>
        <v>3.0303030303030304E-2</v>
      </c>
      <c r="AA71" s="5">
        <f t="shared" si="31"/>
        <v>0</v>
      </c>
      <c r="AB71" s="5">
        <f>SUM(T71:AA71)</f>
        <v>62.232332746104852</v>
      </c>
    </row>
    <row r="72" spans="1:29" x14ac:dyDescent="0.25">
      <c r="D72" t="s">
        <v>71</v>
      </c>
      <c r="E72" s="64"/>
      <c r="F72" s="64"/>
      <c r="G72">
        <f>IFERROR(HLOOKUP(G$2,[5]table_male_hkom1_inj.V2!$A$1:$K$36,3,FALSE),0)</f>
        <v>91</v>
      </c>
      <c r="H72">
        <f>IFERROR(HLOOKUP(H$2,[5]table_male_hkom1_inj.V2!$A$1:$K$36,3,FALSE),0)</f>
        <v>85</v>
      </c>
      <c r="I72">
        <f>IFERROR(HLOOKUP(I$2,[5]table_male_hkom1_inj.V2!$A$1:$K$36,3,FALSE),0)</f>
        <v>15</v>
      </c>
      <c r="J72">
        <f>IFERROR(HLOOKUP(J$2,[5]table_male_hkom1_inj.V2!$A$1:$K$36,3,FALSE),0)</f>
        <v>0</v>
      </c>
      <c r="K72">
        <f>IFERROR(HLOOKUP(K$2,[5]table_male_hkom1_inj.V2!$A$1:$K$36,3,FALSE),0)</f>
        <v>0</v>
      </c>
      <c r="L72">
        <f>IFERROR(HLOOKUP(L$2,[5]table_male_hkom1_inj.V2!$A$1:$K$36,3,FALSE),0)</f>
        <v>0</v>
      </c>
      <c r="M72">
        <f t="shared" si="30"/>
        <v>191</v>
      </c>
      <c r="S72" t="s">
        <v>71</v>
      </c>
      <c r="T72" s="5">
        <f t="shared" ref="T72:T103" si="32">IF(SUM(E$71:E$103)=0,E$104/33,E72+IFERROR(E72/SUM(E$71:E$103)*E$104,0))</f>
        <v>0</v>
      </c>
      <c r="U72" s="5">
        <f t="shared" ref="U72:U103" si="33">IF(SUM(F$71:F$103)=0,F$104/33,F72+IFERROR(F72/SUM(F$71:F$103)*F$104,0))</f>
        <v>0</v>
      </c>
      <c r="V72" s="5">
        <f t="shared" ref="V72:V103" si="34">IF(SUM(G$71:G$103)=0,G$104/33,G72+IFERROR(G72/SUM(G$71:G$103)*G$104,0))</f>
        <v>96.980284775465492</v>
      </c>
      <c r="W72" s="5">
        <f t="shared" ref="W72:W103" si="35">IF(SUM(H$71:H$103)=0,H$104/33,H72+IFERROR(H72/SUM(H$71:H$103)*H$104,0))</f>
        <v>91.32231404958678</v>
      </c>
      <c r="X72" s="5">
        <f t="shared" ref="X72:X103" si="36">IF(SUM(I$71:I$103)=0,I$104/33,I72+IFERROR(I72/SUM(I$71:I$103)*I$104,0))</f>
        <v>16.284046692607003</v>
      </c>
      <c r="Y72" s="5">
        <f t="shared" ref="Y72:Y103" si="37">IF(SUM(J$71:J$103)=0,J$104/33,J72+IFERROR(J72/SUM(J$71:J$103)*J$104,0))</f>
        <v>0</v>
      </c>
      <c r="Z72" s="5">
        <f t="shared" ref="Z72:Z103" si="38">IF(SUM(K$71:K$103)=0,K$104/33,K72+IFERROR(K72/SUM(K$71:K$103)*K$104,0))</f>
        <v>3.0303030303030304E-2</v>
      </c>
      <c r="AA72" s="5">
        <f t="shared" ref="AA72:AA103" si="39">IF(SUM(L$71:L$103)=0,L$104/33,L72+IFERROR(L72/SUM(L$71:L$103)*L$104,0))</f>
        <v>0</v>
      </c>
      <c r="AB72" s="5">
        <f t="shared" ref="AB72:AB103" si="40">SUM(T72:AA72)</f>
        <v>204.61694854796229</v>
      </c>
    </row>
    <row r="73" spans="1:29" x14ac:dyDescent="0.25">
      <c r="D73" t="s">
        <v>72</v>
      </c>
      <c r="E73" s="64"/>
      <c r="F73" s="64"/>
      <c r="G73">
        <f>IFERROR(HLOOKUP(G$2,[5]table_male_hkom1_inj.V2!$A$1:$K$36,4,FALSE),0)</f>
        <v>2</v>
      </c>
      <c r="H73">
        <f>IFERROR(HLOOKUP(H$2,[5]table_male_hkom1_inj.V2!$A$1:$K$36,4,FALSE),0)</f>
        <v>3</v>
      </c>
      <c r="I73">
        <f>IFERROR(HLOOKUP(I$2,[5]table_male_hkom1_inj.V2!$A$1:$K$36,4,FALSE),0)</f>
        <v>0</v>
      </c>
      <c r="J73">
        <f>IFERROR(HLOOKUP(J$2,[5]table_male_hkom1_inj.V2!$A$1:$K$36,4,FALSE),0)</f>
        <v>0</v>
      </c>
      <c r="K73">
        <f>IFERROR(HLOOKUP(K$2,[5]table_male_hkom1_inj.V2!$A$1:$K$36,4,FALSE),0)</f>
        <v>0</v>
      </c>
      <c r="L73">
        <f>IFERROR(HLOOKUP(L$2,[5]table_male_hkom1_inj.V2!$A$1:$K$36,4,FALSE),0)</f>
        <v>0</v>
      </c>
      <c r="M73">
        <f t="shared" si="30"/>
        <v>5</v>
      </c>
      <c r="S73" t="s">
        <v>72</v>
      </c>
      <c r="T73" s="5">
        <f t="shared" si="32"/>
        <v>0</v>
      </c>
      <c r="U73" s="5">
        <f t="shared" si="33"/>
        <v>0</v>
      </c>
      <c r="V73" s="5">
        <f t="shared" si="34"/>
        <v>2.131434830230011</v>
      </c>
      <c r="W73" s="5">
        <f t="shared" si="35"/>
        <v>3.2231404958677685</v>
      </c>
      <c r="X73" s="5">
        <f t="shared" si="36"/>
        <v>0</v>
      </c>
      <c r="Y73" s="5">
        <f t="shared" si="37"/>
        <v>0</v>
      </c>
      <c r="Z73" s="5">
        <f t="shared" si="38"/>
        <v>3.0303030303030304E-2</v>
      </c>
      <c r="AA73" s="5">
        <f t="shared" si="39"/>
        <v>0</v>
      </c>
      <c r="AB73" s="5">
        <f t="shared" si="40"/>
        <v>5.3848783564008098</v>
      </c>
    </row>
    <row r="74" spans="1:29" x14ac:dyDescent="0.25">
      <c r="D74" t="s">
        <v>73</v>
      </c>
      <c r="E74" s="64"/>
      <c r="F74" s="64"/>
      <c r="G74">
        <f>IFERROR(HLOOKUP(G$2,[5]table_male_hkom1_inj.V2!$A$1:$K$36,5,FALSE),0)</f>
        <v>8</v>
      </c>
      <c r="H74">
        <f>IFERROR(HLOOKUP(H$2,[5]table_male_hkom1_inj.V2!$A$1:$K$36,5,FALSE),0)</f>
        <v>3</v>
      </c>
      <c r="I74">
        <f>IFERROR(HLOOKUP(I$2,[5]table_male_hkom1_inj.V2!$A$1:$K$36,5,FALSE),0)</f>
        <v>0</v>
      </c>
      <c r="J74">
        <f>IFERROR(HLOOKUP(J$2,[5]table_male_hkom1_inj.V2!$A$1:$K$36,5,FALSE),0)</f>
        <v>0</v>
      </c>
      <c r="K74">
        <f>IFERROR(HLOOKUP(K$2,[5]table_male_hkom1_inj.V2!$A$1:$K$36,5,FALSE),0)</f>
        <v>0</v>
      </c>
      <c r="L74">
        <f>IFERROR(HLOOKUP(L$2,[5]table_male_hkom1_inj.V2!$A$1:$K$36,5,FALSE),0)</f>
        <v>0</v>
      </c>
      <c r="M74">
        <f t="shared" si="30"/>
        <v>11</v>
      </c>
      <c r="S74" t="s">
        <v>73</v>
      </c>
      <c r="T74" s="5">
        <f t="shared" si="32"/>
        <v>0</v>
      </c>
      <c r="U74" s="5">
        <f t="shared" si="33"/>
        <v>0</v>
      </c>
      <c r="V74" s="5">
        <f t="shared" si="34"/>
        <v>8.5257393209200441</v>
      </c>
      <c r="W74" s="5">
        <f t="shared" si="35"/>
        <v>3.2231404958677685</v>
      </c>
      <c r="X74" s="5">
        <f t="shared" si="36"/>
        <v>0</v>
      </c>
      <c r="Y74" s="5">
        <f t="shared" si="37"/>
        <v>0</v>
      </c>
      <c r="Z74" s="5">
        <f t="shared" si="38"/>
        <v>3.0303030303030304E-2</v>
      </c>
      <c r="AA74" s="5">
        <f t="shared" si="39"/>
        <v>0</v>
      </c>
      <c r="AB74" s="5">
        <f t="shared" si="40"/>
        <v>11.779182847090844</v>
      </c>
    </row>
    <row r="75" spans="1:29" x14ac:dyDescent="0.25">
      <c r="D75" t="s">
        <v>74</v>
      </c>
      <c r="E75" s="64"/>
      <c r="F75" s="64"/>
      <c r="G75">
        <f>IFERROR(HLOOKUP(G$2,[5]table_male_hkom1_inj.V2!$A$1:$K$36,6,FALSE),0)</f>
        <v>7</v>
      </c>
      <c r="H75">
        <f>IFERROR(HLOOKUP(H$2,[5]table_male_hkom1_inj.V2!$A$1:$K$36,6,FALSE),0)</f>
        <v>16</v>
      </c>
      <c r="I75">
        <f>IFERROR(HLOOKUP(I$2,[5]table_male_hkom1_inj.V2!$A$1:$K$36,6,FALSE),0)</f>
        <v>7</v>
      </c>
      <c r="J75">
        <f>IFERROR(HLOOKUP(J$2,[5]table_male_hkom1_inj.V2!$A$1:$K$36,6,FALSE),0)</f>
        <v>1</v>
      </c>
      <c r="K75">
        <f>IFERROR(HLOOKUP(K$2,[5]table_male_hkom1_inj.V2!$A$1:$K$36,6,FALSE),0)</f>
        <v>0</v>
      </c>
      <c r="L75">
        <f>IFERROR(HLOOKUP(L$2,[5]table_male_hkom1_inj.V2!$A$1:$K$36,6,FALSE),0)</f>
        <v>0</v>
      </c>
      <c r="M75">
        <f t="shared" si="30"/>
        <v>31</v>
      </c>
      <c r="S75" t="s">
        <v>74</v>
      </c>
      <c r="T75" s="5">
        <f t="shared" si="32"/>
        <v>0</v>
      </c>
      <c r="U75" s="5">
        <f t="shared" si="33"/>
        <v>0</v>
      </c>
      <c r="V75" s="5">
        <f t="shared" si="34"/>
        <v>7.4600219058050383</v>
      </c>
      <c r="W75" s="5">
        <f t="shared" si="35"/>
        <v>17.190082644628099</v>
      </c>
      <c r="X75" s="5">
        <f t="shared" si="36"/>
        <v>7.5992217898832681</v>
      </c>
      <c r="Y75" s="5">
        <f t="shared" si="37"/>
        <v>1</v>
      </c>
      <c r="Z75" s="5">
        <f t="shared" si="38"/>
        <v>3.0303030303030304E-2</v>
      </c>
      <c r="AA75" s="5">
        <f t="shared" si="39"/>
        <v>0</v>
      </c>
      <c r="AB75" s="5">
        <f t="shared" si="40"/>
        <v>33.279629370619439</v>
      </c>
    </row>
    <row r="76" spans="1:29" x14ac:dyDescent="0.25">
      <c r="D76" t="s">
        <v>75</v>
      </c>
      <c r="E76" s="64"/>
      <c r="F76" s="64"/>
      <c r="G76">
        <f>IFERROR(HLOOKUP(G$2,[5]table_male_hkom1_inj.V2!$A$1:$K$36,7,FALSE),0)</f>
        <v>4</v>
      </c>
      <c r="H76">
        <f>IFERROR(HLOOKUP(H$2,[5]table_male_hkom1_inj.V2!$A$1:$K$36,7,FALSE),0)</f>
        <v>0</v>
      </c>
      <c r="I76">
        <f>IFERROR(HLOOKUP(I$2,[5]table_male_hkom1_inj.V2!$A$1:$K$36,7,FALSE),0)</f>
        <v>0</v>
      </c>
      <c r="J76">
        <f>IFERROR(HLOOKUP(J$2,[5]table_male_hkom1_inj.V2!$A$1:$K$36,7,FALSE),0)</f>
        <v>0</v>
      </c>
      <c r="K76">
        <f>IFERROR(HLOOKUP(K$2,[5]table_male_hkom1_inj.V2!$A$1:$K$36,7,FALSE),0)</f>
        <v>0</v>
      </c>
      <c r="L76">
        <f>IFERROR(HLOOKUP(L$2,[5]table_male_hkom1_inj.V2!$A$1:$K$36,7,FALSE),0)</f>
        <v>0</v>
      </c>
      <c r="M76">
        <f t="shared" si="30"/>
        <v>4</v>
      </c>
      <c r="S76" t="s">
        <v>75</v>
      </c>
      <c r="T76" s="5">
        <f t="shared" si="32"/>
        <v>0</v>
      </c>
      <c r="U76" s="5">
        <f t="shared" si="33"/>
        <v>0</v>
      </c>
      <c r="V76" s="5">
        <f t="shared" si="34"/>
        <v>4.262869660460022</v>
      </c>
      <c r="W76" s="5">
        <f t="shared" si="35"/>
        <v>0</v>
      </c>
      <c r="X76" s="5">
        <f t="shared" si="36"/>
        <v>0</v>
      </c>
      <c r="Y76" s="5">
        <f t="shared" si="37"/>
        <v>0</v>
      </c>
      <c r="Z76" s="5">
        <f t="shared" si="38"/>
        <v>3.0303030303030304E-2</v>
      </c>
      <c r="AA76" s="5">
        <f t="shared" si="39"/>
        <v>0</v>
      </c>
      <c r="AB76" s="5">
        <f t="shared" si="40"/>
        <v>4.2931726907630523</v>
      </c>
    </row>
    <row r="77" spans="1:29" x14ac:dyDescent="0.25">
      <c r="D77" t="s">
        <v>76</v>
      </c>
      <c r="E77" s="64"/>
      <c r="F77" s="64"/>
      <c r="G77">
        <f>IFERROR(HLOOKUP(G$2,[5]table_male_hkom1_inj.V2!$A$1:$K$36,8,FALSE),0)</f>
        <v>17</v>
      </c>
      <c r="H77">
        <f>IFERROR(HLOOKUP(H$2,[5]table_male_hkom1_inj.V2!$A$1:$K$36,8,FALSE),0)</f>
        <v>11</v>
      </c>
      <c r="I77">
        <f>IFERROR(HLOOKUP(I$2,[5]table_male_hkom1_inj.V2!$A$1:$K$36,8,FALSE),0)</f>
        <v>7</v>
      </c>
      <c r="J77">
        <f>IFERROR(HLOOKUP(J$2,[5]table_male_hkom1_inj.V2!$A$1:$K$36,8,FALSE),0)</f>
        <v>0</v>
      </c>
      <c r="K77">
        <f>IFERROR(HLOOKUP(K$2,[5]table_male_hkom1_inj.V2!$A$1:$K$36,8,FALSE),0)</f>
        <v>0</v>
      </c>
      <c r="L77">
        <f>IFERROR(HLOOKUP(L$2,[5]table_male_hkom1_inj.V2!$A$1:$K$36,8,FALSE),0)</f>
        <v>0</v>
      </c>
      <c r="M77">
        <f t="shared" si="30"/>
        <v>35</v>
      </c>
      <c r="S77" t="s">
        <v>76</v>
      </c>
      <c r="T77" s="5">
        <f t="shared" si="32"/>
        <v>0</v>
      </c>
      <c r="U77" s="5">
        <f t="shared" si="33"/>
        <v>0</v>
      </c>
      <c r="V77" s="5">
        <f t="shared" si="34"/>
        <v>18.117196056955095</v>
      </c>
      <c r="W77" s="5">
        <f t="shared" si="35"/>
        <v>11.818181818181818</v>
      </c>
      <c r="X77" s="5">
        <f t="shared" si="36"/>
        <v>7.5992217898832681</v>
      </c>
      <c r="Y77" s="5">
        <f t="shared" si="37"/>
        <v>0</v>
      </c>
      <c r="Z77" s="5">
        <f t="shared" si="38"/>
        <v>3.0303030303030304E-2</v>
      </c>
      <c r="AA77" s="5">
        <f t="shared" si="39"/>
        <v>0</v>
      </c>
      <c r="AB77" s="5">
        <f t="shared" si="40"/>
        <v>37.564902695323212</v>
      </c>
    </row>
    <row r="78" spans="1:29" x14ac:dyDescent="0.25">
      <c r="D78" t="s">
        <v>77</v>
      </c>
      <c r="E78" s="64"/>
      <c r="F78" s="64"/>
      <c r="G78">
        <f>IFERROR(HLOOKUP(G$2,[5]table_male_hkom1_inj.V2!$A$1:$K$36,9,FALSE),0)</f>
        <v>34</v>
      </c>
      <c r="H78">
        <f>IFERROR(HLOOKUP(H$2,[5]table_male_hkom1_inj.V2!$A$1:$K$36,9,FALSE),0)</f>
        <v>37</v>
      </c>
      <c r="I78">
        <f>IFERROR(HLOOKUP(I$2,[5]table_male_hkom1_inj.V2!$A$1:$K$36,9,FALSE),0)</f>
        <v>17</v>
      </c>
      <c r="J78">
        <f>IFERROR(HLOOKUP(J$2,[5]table_male_hkom1_inj.V2!$A$1:$K$36,9,FALSE),0)</f>
        <v>1</v>
      </c>
      <c r="K78">
        <f>IFERROR(HLOOKUP(K$2,[5]table_male_hkom1_inj.V2!$A$1:$K$36,9,FALSE),0)</f>
        <v>0</v>
      </c>
      <c r="L78">
        <f>IFERROR(HLOOKUP(L$2,[5]table_male_hkom1_inj.V2!$A$1:$K$36,9,FALSE),0)</f>
        <v>0</v>
      </c>
      <c r="M78">
        <f t="shared" si="30"/>
        <v>89</v>
      </c>
      <c r="S78" t="s">
        <v>77</v>
      </c>
      <c r="T78" s="5">
        <f t="shared" si="32"/>
        <v>0</v>
      </c>
      <c r="U78" s="5">
        <f t="shared" si="33"/>
        <v>0</v>
      </c>
      <c r="V78" s="5">
        <f t="shared" si="34"/>
        <v>36.234392113910189</v>
      </c>
      <c r="W78" s="5">
        <f t="shared" si="35"/>
        <v>39.752066115702476</v>
      </c>
      <c r="X78" s="5">
        <f t="shared" si="36"/>
        <v>18.455252918287936</v>
      </c>
      <c r="Y78" s="5">
        <f t="shared" si="37"/>
        <v>1</v>
      </c>
      <c r="Z78" s="5">
        <f t="shared" si="38"/>
        <v>3.0303030303030304E-2</v>
      </c>
      <c r="AA78" s="5">
        <f t="shared" si="39"/>
        <v>0</v>
      </c>
      <c r="AB78" s="5">
        <f t="shared" si="40"/>
        <v>95.472014178203636</v>
      </c>
    </row>
    <row r="79" spans="1:29" x14ac:dyDescent="0.25">
      <c r="D79" t="s">
        <v>78</v>
      </c>
      <c r="E79" s="64"/>
      <c r="F79" s="64"/>
      <c r="G79">
        <f>IFERROR(HLOOKUP(G$2,[5]table_male_hkom1_inj.V2!$A$1:$K$36,10,FALSE),0)</f>
        <v>34</v>
      </c>
      <c r="H79">
        <f>IFERROR(HLOOKUP(H$2,[5]table_male_hkom1_inj.V2!$A$1:$K$36,10,FALSE),0)</f>
        <v>24</v>
      </c>
      <c r="I79">
        <f>IFERROR(HLOOKUP(I$2,[5]table_male_hkom1_inj.V2!$A$1:$K$36,10,FALSE),0)</f>
        <v>8</v>
      </c>
      <c r="J79">
        <f>IFERROR(HLOOKUP(J$2,[5]table_male_hkom1_inj.V2!$A$1:$K$36,10,FALSE),0)</f>
        <v>0</v>
      </c>
      <c r="K79">
        <f>IFERROR(HLOOKUP(K$2,[5]table_male_hkom1_inj.V2!$A$1:$K$36,10,FALSE),0)</f>
        <v>0</v>
      </c>
      <c r="L79">
        <f>IFERROR(HLOOKUP(L$2,[5]table_male_hkom1_inj.V2!$A$1:$K$36,10,FALSE),0)</f>
        <v>0</v>
      </c>
      <c r="M79">
        <f t="shared" si="30"/>
        <v>66</v>
      </c>
      <c r="S79" t="s">
        <v>78</v>
      </c>
      <c r="T79" s="5">
        <f t="shared" si="32"/>
        <v>0</v>
      </c>
      <c r="U79" s="5">
        <f t="shared" si="33"/>
        <v>0</v>
      </c>
      <c r="V79" s="5">
        <f t="shared" si="34"/>
        <v>36.234392113910189</v>
      </c>
      <c r="W79" s="5">
        <f t="shared" si="35"/>
        <v>25.785123966942148</v>
      </c>
      <c r="X79" s="5">
        <f t="shared" si="36"/>
        <v>8.6848249027237348</v>
      </c>
      <c r="Y79" s="5">
        <f t="shared" si="37"/>
        <v>0</v>
      </c>
      <c r="Z79" s="5">
        <f t="shared" si="38"/>
        <v>3.0303030303030304E-2</v>
      </c>
      <c r="AA79" s="5">
        <f t="shared" si="39"/>
        <v>0</v>
      </c>
      <c r="AB79" s="5">
        <f t="shared" si="40"/>
        <v>70.734644013879105</v>
      </c>
    </row>
    <row r="80" spans="1:29" x14ac:dyDescent="0.25">
      <c r="D80" t="s">
        <v>79</v>
      </c>
      <c r="E80" s="64"/>
      <c r="F80" s="64"/>
      <c r="G80">
        <f>IFERROR(HLOOKUP(G$2,[5]table_male_hkom1_inj.V2!$A$1:$K$36,11,FALSE),0)</f>
        <v>3</v>
      </c>
      <c r="H80">
        <f>IFERROR(HLOOKUP(H$2,[5]table_male_hkom1_inj.V2!$A$1:$K$36,11,FALSE),0)</f>
        <v>4</v>
      </c>
      <c r="I80">
        <f>IFERROR(HLOOKUP(I$2,[5]table_male_hkom1_inj.V2!$A$1:$K$36,11,FALSE),0)</f>
        <v>0</v>
      </c>
      <c r="J80">
        <f>IFERROR(HLOOKUP(J$2,[5]table_male_hkom1_inj.V2!$A$1:$K$36,11,FALSE),0)</f>
        <v>0</v>
      </c>
      <c r="K80">
        <f>IFERROR(HLOOKUP(K$2,[5]table_male_hkom1_inj.V2!$A$1:$K$36,11,FALSE),0)</f>
        <v>0</v>
      </c>
      <c r="L80">
        <f>IFERROR(HLOOKUP(L$2,[5]table_male_hkom1_inj.V2!$A$1:$K$36,11,FALSE),0)</f>
        <v>0</v>
      </c>
      <c r="M80">
        <f t="shared" si="30"/>
        <v>7</v>
      </c>
      <c r="S80" t="s">
        <v>79</v>
      </c>
      <c r="T80" s="5">
        <f t="shared" si="32"/>
        <v>0</v>
      </c>
      <c r="U80" s="5">
        <f t="shared" si="33"/>
        <v>0</v>
      </c>
      <c r="V80" s="5">
        <f t="shared" si="34"/>
        <v>3.1971522453450163</v>
      </c>
      <c r="W80" s="5">
        <f t="shared" si="35"/>
        <v>4.2975206611570247</v>
      </c>
      <c r="X80" s="5">
        <f t="shared" si="36"/>
        <v>0</v>
      </c>
      <c r="Y80" s="5">
        <f t="shared" si="37"/>
        <v>0</v>
      </c>
      <c r="Z80" s="5">
        <f t="shared" si="38"/>
        <v>3.0303030303030304E-2</v>
      </c>
      <c r="AA80" s="5">
        <f t="shared" si="39"/>
        <v>0</v>
      </c>
      <c r="AB80" s="5">
        <f t="shared" si="40"/>
        <v>7.5249759368050713</v>
      </c>
    </row>
    <row r="81" spans="4:28" x14ac:dyDescent="0.25">
      <c r="D81" t="s">
        <v>80</v>
      </c>
      <c r="E81" s="64"/>
      <c r="F81" s="64"/>
      <c r="G81">
        <f>IFERROR(HLOOKUP(G$2,[5]table_male_hkom1_inj.V2!$A$1:$K$36,12,FALSE),0)</f>
        <v>9</v>
      </c>
      <c r="H81">
        <f>IFERROR(HLOOKUP(H$2,[5]table_male_hkom1_inj.V2!$A$1:$K$36,12,FALSE),0)</f>
        <v>6</v>
      </c>
      <c r="I81">
        <f>IFERROR(HLOOKUP(I$2,[5]table_male_hkom1_inj.V2!$A$1:$K$36,12,FALSE),0)</f>
        <v>1</v>
      </c>
      <c r="J81">
        <f>IFERROR(HLOOKUP(J$2,[5]table_male_hkom1_inj.V2!$A$1:$K$36,12,FALSE),0)</f>
        <v>0</v>
      </c>
      <c r="K81">
        <f>IFERROR(HLOOKUP(K$2,[5]table_male_hkom1_inj.V2!$A$1:$K$36,12,FALSE),0)</f>
        <v>0</v>
      </c>
      <c r="L81">
        <f>IFERROR(HLOOKUP(L$2,[5]table_male_hkom1_inj.V2!$A$1:$K$36,12,FALSE),0)</f>
        <v>0</v>
      </c>
      <c r="M81">
        <f t="shared" si="30"/>
        <v>16</v>
      </c>
      <c r="S81" t="s">
        <v>80</v>
      </c>
      <c r="T81" s="5">
        <f t="shared" si="32"/>
        <v>0</v>
      </c>
      <c r="U81" s="5">
        <f t="shared" si="33"/>
        <v>0</v>
      </c>
      <c r="V81" s="5">
        <f t="shared" si="34"/>
        <v>9.5914567360350489</v>
      </c>
      <c r="W81" s="5">
        <f t="shared" si="35"/>
        <v>6.446280991735537</v>
      </c>
      <c r="X81" s="5">
        <f t="shared" si="36"/>
        <v>1.0856031128404668</v>
      </c>
      <c r="Y81" s="5">
        <f t="shared" si="37"/>
        <v>0</v>
      </c>
      <c r="Z81" s="5">
        <f t="shared" si="38"/>
        <v>3.0303030303030304E-2</v>
      </c>
      <c r="AA81" s="5">
        <f t="shared" si="39"/>
        <v>0</v>
      </c>
      <c r="AB81" s="5">
        <f t="shared" si="40"/>
        <v>17.153643870914085</v>
      </c>
    </row>
    <row r="82" spans="4:28" x14ac:dyDescent="0.25">
      <c r="D82" t="s">
        <v>81</v>
      </c>
      <c r="E82" s="64"/>
      <c r="F82" s="64"/>
      <c r="G82">
        <f>IFERROR(HLOOKUP(G$2,[5]table_male_hkom1_inj.V2!$A$1:$K$36,13,FALSE),0)</f>
        <v>2</v>
      </c>
      <c r="H82">
        <f>IFERROR(HLOOKUP(H$2,[5]table_male_hkom1_inj.V2!$A$1:$K$36,13,FALSE),0)</f>
        <v>0</v>
      </c>
      <c r="I82">
        <f>IFERROR(HLOOKUP(I$2,[5]table_male_hkom1_inj.V2!$A$1:$K$36,13,FALSE),0)</f>
        <v>0</v>
      </c>
      <c r="J82">
        <f>IFERROR(HLOOKUP(J$2,[5]table_male_hkom1_inj.V2!$A$1:$K$36,13,FALSE),0)</f>
        <v>0</v>
      </c>
      <c r="K82">
        <f>IFERROR(HLOOKUP(K$2,[5]table_male_hkom1_inj.V2!$A$1:$K$36,13,FALSE),0)</f>
        <v>0</v>
      </c>
      <c r="L82">
        <f>IFERROR(HLOOKUP(L$2,[5]table_male_hkom1_inj.V2!$A$1:$K$36,13,FALSE),0)</f>
        <v>0</v>
      </c>
      <c r="M82">
        <f t="shared" si="30"/>
        <v>2</v>
      </c>
      <c r="S82" t="s">
        <v>81</v>
      </c>
      <c r="T82" s="5">
        <f t="shared" si="32"/>
        <v>0</v>
      </c>
      <c r="U82" s="5">
        <f t="shared" si="33"/>
        <v>0</v>
      </c>
      <c r="V82" s="5">
        <f t="shared" si="34"/>
        <v>2.131434830230011</v>
      </c>
      <c r="W82" s="5">
        <f t="shared" si="35"/>
        <v>0</v>
      </c>
      <c r="X82" s="5">
        <f t="shared" si="36"/>
        <v>0</v>
      </c>
      <c r="Y82" s="5">
        <f t="shared" si="37"/>
        <v>0</v>
      </c>
      <c r="Z82" s="5">
        <f t="shared" si="38"/>
        <v>3.0303030303030304E-2</v>
      </c>
      <c r="AA82" s="5">
        <f t="shared" si="39"/>
        <v>0</v>
      </c>
      <c r="AB82" s="5">
        <f t="shared" si="40"/>
        <v>2.1617378605330413</v>
      </c>
    </row>
    <row r="83" spans="4:28" x14ac:dyDescent="0.25">
      <c r="D83" t="s">
        <v>82</v>
      </c>
      <c r="E83" s="64"/>
      <c r="F83" s="64"/>
      <c r="G83">
        <f>IFERROR(HLOOKUP(G$2,[5]table_male_hkom1_inj.V2!$A$1:$K$36,14,FALSE),0)</f>
        <v>5</v>
      </c>
      <c r="H83">
        <f>IFERROR(HLOOKUP(H$2,[5]table_male_hkom1_inj.V2!$A$1:$K$36,14,FALSE),0)</f>
        <v>2</v>
      </c>
      <c r="I83">
        <f>IFERROR(HLOOKUP(I$2,[5]table_male_hkom1_inj.V2!$A$1:$K$36,14,FALSE),0)</f>
        <v>0</v>
      </c>
      <c r="J83">
        <f>IFERROR(HLOOKUP(J$2,[5]table_male_hkom1_inj.V2!$A$1:$K$36,14,FALSE),0)</f>
        <v>0</v>
      </c>
      <c r="K83">
        <f>IFERROR(HLOOKUP(K$2,[5]table_male_hkom1_inj.V2!$A$1:$K$36,14,FALSE),0)</f>
        <v>0</v>
      </c>
      <c r="L83">
        <f>IFERROR(HLOOKUP(L$2,[5]table_male_hkom1_inj.V2!$A$1:$K$36,14,FALSE),0)</f>
        <v>0</v>
      </c>
      <c r="M83">
        <f t="shared" si="30"/>
        <v>7</v>
      </c>
      <c r="S83" t="s">
        <v>82</v>
      </c>
      <c r="T83" s="5">
        <f t="shared" si="32"/>
        <v>0</v>
      </c>
      <c r="U83" s="5">
        <f t="shared" si="33"/>
        <v>0</v>
      </c>
      <c r="V83" s="5">
        <f t="shared" si="34"/>
        <v>5.3285870755750278</v>
      </c>
      <c r="W83" s="5">
        <f t="shared" si="35"/>
        <v>2.1487603305785123</v>
      </c>
      <c r="X83" s="5">
        <f t="shared" si="36"/>
        <v>0</v>
      </c>
      <c r="Y83" s="5">
        <f t="shared" si="37"/>
        <v>0</v>
      </c>
      <c r="Z83" s="5">
        <f t="shared" si="38"/>
        <v>3.0303030303030304E-2</v>
      </c>
      <c r="AA83" s="5">
        <f t="shared" si="39"/>
        <v>0</v>
      </c>
      <c r="AB83" s="5">
        <f t="shared" si="40"/>
        <v>7.5076504364565704</v>
      </c>
    </row>
    <row r="84" spans="4:28" x14ac:dyDescent="0.25">
      <c r="D84" t="s">
        <v>83</v>
      </c>
      <c r="E84" s="64"/>
      <c r="F84" s="64"/>
      <c r="G84">
        <f>IFERROR(HLOOKUP(G$2,[5]table_male_hkom1_inj.V2!$A$1:$K$36,15,FALSE),0)</f>
        <v>0</v>
      </c>
      <c r="H84">
        <f>IFERROR(HLOOKUP(H$2,[5]table_male_hkom1_inj.V2!$A$1:$K$36,15,FALSE),0)</f>
        <v>2</v>
      </c>
      <c r="I84">
        <f>IFERROR(HLOOKUP(I$2,[5]table_male_hkom1_inj.V2!$A$1:$K$36,15,FALSE),0)</f>
        <v>1</v>
      </c>
      <c r="J84">
        <f>IFERROR(HLOOKUP(J$2,[5]table_male_hkom1_inj.V2!$A$1:$K$36,15,FALSE),0)</f>
        <v>0</v>
      </c>
      <c r="K84">
        <f>IFERROR(HLOOKUP(K$2,[5]table_male_hkom1_inj.V2!$A$1:$K$36,15,FALSE),0)</f>
        <v>0</v>
      </c>
      <c r="L84">
        <f>IFERROR(HLOOKUP(L$2,[5]table_male_hkom1_inj.V2!$A$1:$K$36,15,FALSE),0)</f>
        <v>0</v>
      </c>
      <c r="M84">
        <f t="shared" si="30"/>
        <v>3</v>
      </c>
      <c r="S84" t="s">
        <v>83</v>
      </c>
      <c r="T84" s="5">
        <f t="shared" si="32"/>
        <v>0</v>
      </c>
      <c r="U84" s="5">
        <f t="shared" si="33"/>
        <v>0</v>
      </c>
      <c r="V84" s="5">
        <f t="shared" si="34"/>
        <v>0</v>
      </c>
      <c r="W84" s="5">
        <f t="shared" si="35"/>
        <v>2.1487603305785123</v>
      </c>
      <c r="X84" s="5">
        <f t="shared" si="36"/>
        <v>1.0856031128404668</v>
      </c>
      <c r="Y84" s="5">
        <f t="shared" si="37"/>
        <v>0</v>
      </c>
      <c r="Z84" s="5">
        <f t="shared" si="38"/>
        <v>3.0303030303030304E-2</v>
      </c>
      <c r="AA84" s="5">
        <f t="shared" si="39"/>
        <v>0</v>
      </c>
      <c r="AB84" s="5">
        <f t="shared" si="40"/>
        <v>3.2646664737220092</v>
      </c>
    </row>
    <row r="85" spans="4:28" x14ac:dyDescent="0.25">
      <c r="D85" t="s">
        <v>84</v>
      </c>
      <c r="E85" s="64"/>
      <c r="F85" s="64"/>
      <c r="G85">
        <f>IFERROR(HLOOKUP(G$2,[5]table_male_hkom1_inj.V2!$A$1:$K$36,16,FALSE),0)</f>
        <v>1</v>
      </c>
      <c r="H85">
        <f>IFERROR(HLOOKUP(H$2,[5]table_male_hkom1_inj.V2!$A$1:$K$36,16,FALSE),0)</f>
        <v>1</v>
      </c>
      <c r="I85">
        <f>IFERROR(HLOOKUP(I$2,[5]table_male_hkom1_inj.V2!$A$1:$K$36,16,FALSE),0)</f>
        <v>1</v>
      </c>
      <c r="J85">
        <f>IFERROR(HLOOKUP(J$2,[5]table_male_hkom1_inj.V2!$A$1:$K$36,16,FALSE),0)</f>
        <v>0</v>
      </c>
      <c r="K85">
        <f>IFERROR(HLOOKUP(K$2,[5]table_male_hkom1_inj.V2!$A$1:$K$36,16,FALSE),0)</f>
        <v>0</v>
      </c>
      <c r="L85">
        <f>IFERROR(HLOOKUP(L$2,[5]table_male_hkom1_inj.V2!$A$1:$K$36,16,FALSE),0)</f>
        <v>0</v>
      </c>
      <c r="M85">
        <f t="shared" si="30"/>
        <v>3</v>
      </c>
      <c r="S85" t="s">
        <v>84</v>
      </c>
      <c r="T85" s="5">
        <f t="shared" si="32"/>
        <v>0</v>
      </c>
      <c r="U85" s="5">
        <f t="shared" si="33"/>
        <v>0</v>
      </c>
      <c r="V85" s="5">
        <f t="shared" si="34"/>
        <v>1.0657174151150055</v>
      </c>
      <c r="W85" s="5">
        <f t="shared" si="35"/>
        <v>1.0743801652892562</v>
      </c>
      <c r="X85" s="5">
        <f t="shared" si="36"/>
        <v>1.0856031128404668</v>
      </c>
      <c r="Y85" s="5">
        <f t="shared" si="37"/>
        <v>0</v>
      </c>
      <c r="Z85" s="5">
        <f t="shared" si="38"/>
        <v>3.0303030303030304E-2</v>
      </c>
      <c r="AA85" s="5">
        <f t="shared" si="39"/>
        <v>0</v>
      </c>
      <c r="AB85" s="5">
        <f t="shared" si="40"/>
        <v>3.2560037235477584</v>
      </c>
    </row>
    <row r="86" spans="4:28" x14ac:dyDescent="0.25">
      <c r="D86" t="s">
        <v>85</v>
      </c>
      <c r="E86" s="64"/>
      <c r="F86" s="64"/>
      <c r="G86">
        <f>IFERROR(HLOOKUP(G$2,[5]table_male_hkom1_inj.V2!$A$1:$K$36,17,FALSE),0)</f>
        <v>2</v>
      </c>
      <c r="H86">
        <f>IFERROR(HLOOKUP(H$2,[5]table_male_hkom1_inj.V2!$A$1:$K$36,17,FALSE),0)</f>
        <v>4</v>
      </c>
      <c r="I86">
        <f>IFERROR(HLOOKUP(I$2,[5]table_male_hkom1_inj.V2!$A$1:$K$36,17,FALSE),0)</f>
        <v>3</v>
      </c>
      <c r="J86">
        <f>IFERROR(HLOOKUP(J$2,[5]table_male_hkom1_inj.V2!$A$1:$K$36,17,FALSE),0)</f>
        <v>0</v>
      </c>
      <c r="K86">
        <f>IFERROR(HLOOKUP(K$2,[5]table_male_hkom1_inj.V2!$A$1:$K$36,17,FALSE),0)</f>
        <v>0</v>
      </c>
      <c r="L86">
        <f>IFERROR(HLOOKUP(L$2,[5]table_male_hkom1_inj.V2!$A$1:$K$36,17,FALSE),0)</f>
        <v>0</v>
      </c>
      <c r="M86">
        <f t="shared" si="30"/>
        <v>9</v>
      </c>
      <c r="S86" t="s">
        <v>85</v>
      </c>
      <c r="T86" s="5">
        <f t="shared" si="32"/>
        <v>0</v>
      </c>
      <c r="U86" s="5">
        <f t="shared" si="33"/>
        <v>0</v>
      </c>
      <c r="V86" s="5">
        <f t="shared" si="34"/>
        <v>2.131434830230011</v>
      </c>
      <c r="W86" s="5">
        <f t="shared" si="35"/>
        <v>4.2975206611570247</v>
      </c>
      <c r="X86" s="5">
        <f t="shared" si="36"/>
        <v>3.2568093385214008</v>
      </c>
      <c r="Y86" s="5">
        <f t="shared" si="37"/>
        <v>0</v>
      </c>
      <c r="Z86" s="5">
        <f t="shared" si="38"/>
        <v>3.0303030303030304E-2</v>
      </c>
      <c r="AA86" s="5">
        <f t="shared" si="39"/>
        <v>0</v>
      </c>
      <c r="AB86" s="5">
        <f t="shared" si="40"/>
        <v>9.7160678602114672</v>
      </c>
    </row>
    <row r="87" spans="4:28" x14ac:dyDescent="0.25">
      <c r="D87" t="s">
        <v>86</v>
      </c>
      <c r="E87" s="64"/>
      <c r="F87" s="64"/>
      <c r="G87">
        <f>IFERROR(HLOOKUP(G$2,[5]table_male_hkom1_inj.V2!$A$1:$K$36,18,FALSE),0)</f>
        <v>244</v>
      </c>
      <c r="H87">
        <f>IFERROR(HLOOKUP(H$2,[5]table_male_hkom1_inj.V2!$A$1:$K$36,18,FALSE),0)</f>
        <v>224</v>
      </c>
      <c r="I87">
        <f>IFERROR(HLOOKUP(I$2,[5]table_male_hkom1_inj.V2!$A$1:$K$36,18,FALSE),0)</f>
        <v>79</v>
      </c>
      <c r="J87">
        <f>IFERROR(HLOOKUP(J$2,[5]table_male_hkom1_inj.V2!$A$1:$K$36,18,FALSE),0)</f>
        <v>3</v>
      </c>
      <c r="K87">
        <f>IFERROR(HLOOKUP(K$2,[5]table_male_hkom1_inj.V2!$A$1:$K$36,18,FALSE),0)</f>
        <v>0</v>
      </c>
      <c r="L87">
        <f>IFERROR(HLOOKUP(L$2,[5]table_male_hkom1_inj.V2!$A$1:$K$36,18,FALSE),0)</f>
        <v>0</v>
      </c>
      <c r="M87">
        <f t="shared" si="30"/>
        <v>550</v>
      </c>
      <c r="S87" t="s">
        <v>86</v>
      </c>
      <c r="T87" s="5">
        <f t="shared" si="32"/>
        <v>0</v>
      </c>
      <c r="U87" s="5">
        <f t="shared" si="33"/>
        <v>0</v>
      </c>
      <c r="V87" s="5">
        <f t="shared" si="34"/>
        <v>260.03504928806132</v>
      </c>
      <c r="W87" s="5">
        <f t="shared" si="35"/>
        <v>240.6611570247934</v>
      </c>
      <c r="X87" s="5">
        <f t="shared" si="36"/>
        <v>85.762645914396884</v>
      </c>
      <c r="Y87" s="5">
        <f t="shared" si="37"/>
        <v>3</v>
      </c>
      <c r="Z87" s="5">
        <f t="shared" si="38"/>
        <v>3.0303030303030304E-2</v>
      </c>
      <c r="AA87" s="5">
        <f t="shared" si="39"/>
        <v>0</v>
      </c>
      <c r="AB87" s="5">
        <f t="shared" si="40"/>
        <v>589.48915525755456</v>
      </c>
    </row>
    <row r="88" spans="4:28" x14ac:dyDescent="0.25">
      <c r="D88" t="s">
        <v>87</v>
      </c>
      <c r="E88" s="64"/>
      <c r="F88" s="64"/>
      <c r="G88">
        <f>IFERROR(HLOOKUP(G$2,[5]table_male_hkom1_inj.V2!$A$1:$K$36,19,FALSE),0)</f>
        <v>98</v>
      </c>
      <c r="H88">
        <f>IFERROR(HLOOKUP(H$2,[5]table_male_hkom1_inj.V2!$A$1:$K$36,19,FALSE),0)</f>
        <v>97</v>
      </c>
      <c r="I88">
        <f>IFERROR(HLOOKUP(I$2,[5]table_male_hkom1_inj.V2!$A$1:$K$36,19,FALSE),0)</f>
        <v>22</v>
      </c>
      <c r="J88">
        <f>IFERROR(HLOOKUP(J$2,[5]table_male_hkom1_inj.V2!$A$1:$K$36,19,FALSE),0)</f>
        <v>0</v>
      </c>
      <c r="K88">
        <f>IFERROR(HLOOKUP(K$2,[5]table_male_hkom1_inj.V2!$A$1:$K$36,19,FALSE),0)</f>
        <v>0</v>
      </c>
      <c r="L88">
        <f>IFERROR(HLOOKUP(L$2,[5]table_male_hkom1_inj.V2!$A$1:$K$36,19,FALSE),0)</f>
        <v>0</v>
      </c>
      <c r="M88">
        <f t="shared" si="30"/>
        <v>217</v>
      </c>
      <c r="S88" t="s">
        <v>87</v>
      </c>
      <c r="T88" s="5">
        <f t="shared" si="32"/>
        <v>0</v>
      </c>
      <c r="U88" s="5">
        <f t="shared" si="33"/>
        <v>0</v>
      </c>
      <c r="V88" s="5">
        <f t="shared" si="34"/>
        <v>104.44030668127054</v>
      </c>
      <c r="W88" s="5">
        <f t="shared" si="35"/>
        <v>104.21487603305785</v>
      </c>
      <c r="X88" s="5">
        <f t="shared" si="36"/>
        <v>23.883268482490273</v>
      </c>
      <c r="Y88" s="5">
        <f t="shared" si="37"/>
        <v>0</v>
      </c>
      <c r="Z88" s="5">
        <f t="shared" si="38"/>
        <v>3.0303030303030304E-2</v>
      </c>
      <c r="AA88" s="5">
        <f t="shared" si="39"/>
        <v>0</v>
      </c>
      <c r="AB88" s="5">
        <f t="shared" si="40"/>
        <v>232.5687542271217</v>
      </c>
    </row>
    <row r="89" spans="4:28" x14ac:dyDescent="0.25">
      <c r="D89" t="s">
        <v>88</v>
      </c>
      <c r="E89" s="64"/>
      <c r="F89" s="64"/>
      <c r="G89">
        <f>IFERROR(HLOOKUP(G$2,[5]table_male_hkom1_inj.V2!$A$1:$K$36,20,FALSE),0)</f>
        <v>270</v>
      </c>
      <c r="H89">
        <f>IFERROR(HLOOKUP(H$2,[5]table_male_hkom1_inj.V2!$A$1:$K$36,20,FALSE),0)</f>
        <v>230</v>
      </c>
      <c r="I89">
        <f>IFERROR(HLOOKUP(I$2,[5]table_male_hkom1_inj.V2!$A$1:$K$36,20,FALSE),0)</f>
        <v>69</v>
      </c>
      <c r="J89">
        <f>IFERROR(HLOOKUP(J$2,[5]table_male_hkom1_inj.V2!$A$1:$K$36,20,FALSE),0)</f>
        <v>1</v>
      </c>
      <c r="K89">
        <f>IFERROR(HLOOKUP(K$2,[5]table_male_hkom1_inj.V2!$A$1:$K$36,20,FALSE),0)</f>
        <v>0</v>
      </c>
      <c r="L89">
        <f>IFERROR(HLOOKUP(L$2,[5]table_male_hkom1_inj.V2!$A$1:$K$36,20,FALSE),0)</f>
        <v>0</v>
      </c>
      <c r="M89">
        <f t="shared" si="30"/>
        <v>570</v>
      </c>
      <c r="S89" t="s">
        <v>88</v>
      </c>
      <c r="T89" s="5">
        <f t="shared" si="32"/>
        <v>0</v>
      </c>
      <c r="U89" s="5">
        <f t="shared" si="33"/>
        <v>0</v>
      </c>
      <c r="V89" s="5">
        <f t="shared" si="34"/>
        <v>287.74370208105148</v>
      </c>
      <c r="W89" s="5">
        <f t="shared" si="35"/>
        <v>247.10743801652893</v>
      </c>
      <c r="X89" s="5">
        <f t="shared" si="36"/>
        <v>74.906614785992218</v>
      </c>
      <c r="Y89" s="5">
        <f t="shared" si="37"/>
        <v>1</v>
      </c>
      <c r="Z89" s="5">
        <f t="shared" si="38"/>
        <v>3.0303030303030304E-2</v>
      </c>
      <c r="AA89" s="5">
        <f t="shared" si="39"/>
        <v>0</v>
      </c>
      <c r="AB89" s="5">
        <f t="shared" si="40"/>
        <v>610.7880579138756</v>
      </c>
    </row>
    <row r="90" spans="4:28" x14ac:dyDescent="0.25">
      <c r="D90" t="s">
        <v>89</v>
      </c>
      <c r="E90" s="64"/>
      <c r="F90" s="64"/>
      <c r="G90">
        <f>IFERROR(HLOOKUP(G$2,[5]table_male_hkom1_inj.V2!$A$1:$K$36,21,FALSE),0)</f>
        <v>13</v>
      </c>
      <c r="H90">
        <f>IFERROR(HLOOKUP(H$2,[5]table_male_hkom1_inj.V2!$A$1:$K$36,21,FALSE),0)</f>
        <v>12</v>
      </c>
      <c r="I90">
        <f>IFERROR(HLOOKUP(I$2,[5]table_male_hkom1_inj.V2!$A$1:$K$36,21,FALSE),0)</f>
        <v>8</v>
      </c>
      <c r="J90">
        <f>IFERROR(HLOOKUP(J$2,[5]table_male_hkom1_inj.V2!$A$1:$K$36,21,FALSE),0)</f>
        <v>1</v>
      </c>
      <c r="K90">
        <f>IFERROR(HLOOKUP(K$2,[5]table_male_hkom1_inj.V2!$A$1:$K$36,21,FALSE),0)</f>
        <v>0</v>
      </c>
      <c r="L90">
        <f>IFERROR(HLOOKUP(L$2,[5]table_male_hkom1_inj.V2!$A$1:$K$36,21,FALSE),0)</f>
        <v>0</v>
      </c>
      <c r="M90">
        <f t="shared" si="30"/>
        <v>34</v>
      </c>
      <c r="S90" t="s">
        <v>89</v>
      </c>
      <c r="T90" s="5">
        <f t="shared" si="32"/>
        <v>0</v>
      </c>
      <c r="U90" s="5">
        <f t="shared" si="33"/>
        <v>0</v>
      </c>
      <c r="V90" s="5">
        <f t="shared" si="34"/>
        <v>13.854326396495072</v>
      </c>
      <c r="W90" s="5">
        <f t="shared" si="35"/>
        <v>12.892561983471074</v>
      </c>
      <c r="X90" s="5">
        <f t="shared" si="36"/>
        <v>8.6848249027237348</v>
      </c>
      <c r="Y90" s="5">
        <f t="shared" si="37"/>
        <v>1</v>
      </c>
      <c r="Z90" s="5">
        <f t="shared" si="38"/>
        <v>3.0303030303030304E-2</v>
      </c>
      <c r="AA90" s="5">
        <f t="shared" si="39"/>
        <v>0</v>
      </c>
      <c r="AB90" s="5">
        <f t="shared" si="40"/>
        <v>36.462016312992908</v>
      </c>
    </row>
    <row r="91" spans="4:28" x14ac:dyDescent="0.25">
      <c r="D91" t="s">
        <v>90</v>
      </c>
      <c r="E91" s="64"/>
      <c r="F91" s="64"/>
      <c r="G91">
        <f>IFERROR(HLOOKUP(G$2,[5]table_male_hkom1_inj.V2!$A$1:$K$36,22,FALSE),0)</f>
        <v>0</v>
      </c>
      <c r="H91">
        <f>IFERROR(HLOOKUP(H$2,[5]table_male_hkom1_inj.V2!$A$1:$K$36,22,FALSE),0)</f>
        <v>1</v>
      </c>
      <c r="I91">
        <f>IFERROR(HLOOKUP(I$2,[5]table_male_hkom1_inj.V2!$A$1:$K$36,22,FALSE),0)</f>
        <v>0</v>
      </c>
      <c r="J91">
        <f>IFERROR(HLOOKUP(J$2,[5]table_male_hkom1_inj.V2!$A$1:$K$36,22,FALSE),0)</f>
        <v>0</v>
      </c>
      <c r="K91">
        <f>IFERROR(HLOOKUP(K$2,[5]table_male_hkom1_inj.V2!$A$1:$K$36,22,FALSE),0)</f>
        <v>0</v>
      </c>
      <c r="L91">
        <f>IFERROR(HLOOKUP(L$2,[5]table_male_hkom1_inj.V2!$A$1:$K$36,22,FALSE),0)</f>
        <v>0</v>
      </c>
      <c r="M91">
        <f t="shared" si="30"/>
        <v>1</v>
      </c>
      <c r="S91" t="s">
        <v>90</v>
      </c>
      <c r="T91" s="5">
        <f t="shared" si="32"/>
        <v>0</v>
      </c>
      <c r="U91" s="5">
        <f t="shared" si="33"/>
        <v>0</v>
      </c>
      <c r="V91" s="5">
        <f t="shared" si="34"/>
        <v>0</v>
      </c>
      <c r="W91" s="5">
        <f t="shared" si="35"/>
        <v>1.0743801652892562</v>
      </c>
      <c r="X91" s="5">
        <f t="shared" si="36"/>
        <v>0</v>
      </c>
      <c r="Y91" s="5">
        <f t="shared" si="37"/>
        <v>0</v>
      </c>
      <c r="Z91" s="5">
        <f t="shared" si="38"/>
        <v>3.0303030303030304E-2</v>
      </c>
      <c r="AA91" s="5">
        <f t="shared" si="39"/>
        <v>0</v>
      </c>
      <c r="AB91" s="5">
        <f t="shared" si="40"/>
        <v>1.1046831955922864</v>
      </c>
    </row>
    <row r="92" spans="4:28" x14ac:dyDescent="0.25">
      <c r="D92" t="s">
        <v>91</v>
      </c>
      <c r="E92" s="64"/>
      <c r="F92" s="64"/>
      <c r="G92">
        <f>IFERROR(HLOOKUP(G$2,[5]table_male_hkom1_inj.V2!$A$1:$K$36,23,FALSE),0)</f>
        <v>1</v>
      </c>
      <c r="H92">
        <f>IFERROR(HLOOKUP(H$2,[5]table_male_hkom1_inj.V2!$A$1:$K$36,23,FALSE),0)</f>
        <v>1</v>
      </c>
      <c r="I92">
        <f>IFERROR(HLOOKUP(I$2,[5]table_male_hkom1_inj.V2!$A$1:$K$36,23,FALSE),0)</f>
        <v>0</v>
      </c>
      <c r="J92">
        <f>IFERROR(HLOOKUP(J$2,[5]table_male_hkom1_inj.V2!$A$1:$K$36,23,FALSE),0)</f>
        <v>0</v>
      </c>
      <c r="K92">
        <f>IFERROR(HLOOKUP(K$2,[5]table_male_hkom1_inj.V2!$A$1:$K$36,23,FALSE),0)</f>
        <v>0</v>
      </c>
      <c r="L92">
        <f>IFERROR(HLOOKUP(L$2,[5]table_male_hkom1_inj.V2!$A$1:$K$36,23,FALSE),0)</f>
        <v>0</v>
      </c>
      <c r="M92">
        <f t="shared" si="30"/>
        <v>2</v>
      </c>
      <c r="S92" t="s">
        <v>91</v>
      </c>
      <c r="T92" s="5">
        <f t="shared" si="32"/>
        <v>0</v>
      </c>
      <c r="U92" s="5">
        <f t="shared" si="33"/>
        <v>0</v>
      </c>
      <c r="V92" s="5">
        <f t="shared" si="34"/>
        <v>1.0657174151150055</v>
      </c>
      <c r="W92" s="5">
        <f t="shared" si="35"/>
        <v>1.0743801652892562</v>
      </c>
      <c r="X92" s="5">
        <f t="shared" si="36"/>
        <v>0</v>
      </c>
      <c r="Y92" s="5">
        <f t="shared" si="37"/>
        <v>0</v>
      </c>
      <c r="Z92" s="5">
        <f t="shared" si="38"/>
        <v>3.0303030303030304E-2</v>
      </c>
      <c r="AA92" s="5">
        <f t="shared" si="39"/>
        <v>0</v>
      </c>
      <c r="AB92" s="5">
        <f t="shared" si="40"/>
        <v>2.1704006107072917</v>
      </c>
    </row>
    <row r="93" spans="4:28" x14ac:dyDescent="0.25">
      <c r="D93" t="s">
        <v>92</v>
      </c>
      <c r="E93" s="64"/>
      <c r="F93" s="64"/>
      <c r="G93">
        <f>IFERROR(HLOOKUP(G$2,[5]table_male_hkom1_inj.V2!$A$1:$K$36,24,FALSE),0)</f>
        <v>0</v>
      </c>
      <c r="H93">
        <f>IFERROR(HLOOKUP(H$2,[5]table_male_hkom1_inj.V2!$A$1:$K$36,24,FALSE),0)</f>
        <v>0</v>
      </c>
      <c r="I93">
        <f>IFERROR(HLOOKUP(I$2,[5]table_male_hkom1_inj.V2!$A$1:$K$36,24,FALSE),0)</f>
        <v>0</v>
      </c>
      <c r="J93">
        <f>IFERROR(HLOOKUP(J$2,[5]table_male_hkom1_inj.V2!$A$1:$K$36,24,FALSE),0)</f>
        <v>0</v>
      </c>
      <c r="K93">
        <f>IFERROR(HLOOKUP(K$2,[5]table_male_hkom1_inj.V2!$A$1:$K$36,24,FALSE),0)</f>
        <v>0</v>
      </c>
      <c r="L93">
        <f>IFERROR(HLOOKUP(L$2,[5]table_male_hkom1_inj.V2!$A$1:$K$36,24,FALSE),0)</f>
        <v>0</v>
      </c>
      <c r="M93">
        <f t="shared" si="30"/>
        <v>0</v>
      </c>
      <c r="S93" t="s">
        <v>92</v>
      </c>
      <c r="T93" s="5">
        <f t="shared" si="32"/>
        <v>0</v>
      </c>
      <c r="U93" s="5">
        <f t="shared" si="33"/>
        <v>0</v>
      </c>
      <c r="V93" s="5">
        <f t="shared" si="34"/>
        <v>0</v>
      </c>
      <c r="W93" s="5">
        <f t="shared" si="35"/>
        <v>0</v>
      </c>
      <c r="X93" s="5">
        <f t="shared" si="36"/>
        <v>0</v>
      </c>
      <c r="Y93" s="5">
        <f t="shared" si="37"/>
        <v>0</v>
      </c>
      <c r="Z93" s="5">
        <f t="shared" si="38"/>
        <v>3.0303030303030304E-2</v>
      </c>
      <c r="AA93" s="5">
        <f t="shared" si="39"/>
        <v>0</v>
      </c>
      <c r="AB93" s="5">
        <f t="shared" si="40"/>
        <v>3.0303030303030304E-2</v>
      </c>
    </row>
    <row r="94" spans="4:28" x14ac:dyDescent="0.25">
      <c r="D94" t="s">
        <v>93</v>
      </c>
      <c r="E94" s="64"/>
      <c r="F94" s="64"/>
      <c r="G94">
        <f>IFERROR(HLOOKUP(G$2,[5]table_male_hkom1_inj.V2!$A$1:$K$36,25,FALSE),0)</f>
        <v>0</v>
      </c>
      <c r="H94">
        <f>IFERROR(HLOOKUP(H$2,[5]table_male_hkom1_inj.V2!$A$1:$K$36,25,FALSE),0)</f>
        <v>0</v>
      </c>
      <c r="I94">
        <f>IFERROR(HLOOKUP(I$2,[5]table_male_hkom1_inj.V2!$A$1:$K$36,25,FALSE),0)</f>
        <v>0</v>
      </c>
      <c r="J94">
        <f>IFERROR(HLOOKUP(J$2,[5]table_male_hkom1_inj.V2!$A$1:$K$36,25,FALSE),0)</f>
        <v>0</v>
      </c>
      <c r="K94">
        <f>IFERROR(HLOOKUP(K$2,[5]table_male_hkom1_inj.V2!$A$1:$K$36,25,FALSE),0)</f>
        <v>0</v>
      </c>
      <c r="L94">
        <f>IFERROR(HLOOKUP(L$2,[5]table_male_hkom1_inj.V2!$A$1:$K$36,25,FALSE),0)</f>
        <v>0</v>
      </c>
      <c r="M94">
        <f t="shared" si="30"/>
        <v>0</v>
      </c>
      <c r="S94" t="s">
        <v>93</v>
      </c>
      <c r="T94" s="5">
        <f t="shared" si="32"/>
        <v>0</v>
      </c>
      <c r="U94" s="5">
        <f t="shared" si="33"/>
        <v>0</v>
      </c>
      <c r="V94" s="5">
        <f t="shared" si="34"/>
        <v>0</v>
      </c>
      <c r="W94" s="5">
        <f t="shared" si="35"/>
        <v>0</v>
      </c>
      <c r="X94" s="5">
        <f t="shared" si="36"/>
        <v>0</v>
      </c>
      <c r="Y94" s="5">
        <f t="shared" si="37"/>
        <v>0</v>
      </c>
      <c r="Z94" s="5">
        <f t="shared" si="38"/>
        <v>3.0303030303030304E-2</v>
      </c>
      <c r="AA94" s="5">
        <f t="shared" si="39"/>
        <v>0</v>
      </c>
      <c r="AB94" s="5">
        <f t="shared" si="40"/>
        <v>3.0303030303030304E-2</v>
      </c>
    </row>
    <row r="95" spans="4:28" x14ac:dyDescent="0.25">
      <c r="D95" t="s">
        <v>94</v>
      </c>
      <c r="E95" s="64"/>
      <c r="F95" s="64"/>
      <c r="G95">
        <f>IFERROR(HLOOKUP(G$2,[5]table_male_hkom1_inj.V2!$A$1:$K$36,26,FALSE),0)</f>
        <v>0</v>
      </c>
      <c r="H95">
        <f>IFERROR(HLOOKUP(H$2,[5]table_male_hkom1_inj.V2!$A$1:$K$36,26,FALSE),0)</f>
        <v>0</v>
      </c>
      <c r="I95">
        <f>IFERROR(HLOOKUP(I$2,[5]table_male_hkom1_inj.V2!$A$1:$K$36,26,FALSE),0)</f>
        <v>0</v>
      </c>
      <c r="J95">
        <f>IFERROR(HLOOKUP(J$2,[5]table_male_hkom1_inj.V2!$A$1:$K$36,26,FALSE),0)</f>
        <v>0</v>
      </c>
      <c r="K95">
        <f>IFERROR(HLOOKUP(K$2,[5]table_male_hkom1_inj.V2!$A$1:$K$36,26,FALSE),0)</f>
        <v>0</v>
      </c>
      <c r="L95">
        <f>IFERROR(HLOOKUP(L$2,[5]table_male_hkom1_inj.V2!$A$1:$K$36,26,FALSE),0)</f>
        <v>0</v>
      </c>
      <c r="M95">
        <f t="shared" si="30"/>
        <v>0</v>
      </c>
      <c r="S95" t="s">
        <v>94</v>
      </c>
      <c r="T95" s="5">
        <f t="shared" si="32"/>
        <v>0</v>
      </c>
      <c r="U95" s="5">
        <f t="shared" si="33"/>
        <v>0</v>
      </c>
      <c r="V95" s="5">
        <f t="shared" si="34"/>
        <v>0</v>
      </c>
      <c r="W95" s="5">
        <f t="shared" si="35"/>
        <v>0</v>
      </c>
      <c r="X95" s="5">
        <f t="shared" si="36"/>
        <v>0</v>
      </c>
      <c r="Y95" s="5">
        <f t="shared" si="37"/>
        <v>0</v>
      </c>
      <c r="Z95" s="5">
        <f t="shared" si="38"/>
        <v>3.0303030303030304E-2</v>
      </c>
      <c r="AA95" s="5">
        <f t="shared" si="39"/>
        <v>0</v>
      </c>
      <c r="AB95" s="5">
        <f t="shared" si="40"/>
        <v>3.0303030303030304E-2</v>
      </c>
    </row>
    <row r="96" spans="4:28" x14ac:dyDescent="0.25">
      <c r="D96" t="s">
        <v>95</v>
      </c>
      <c r="E96" s="64"/>
      <c r="F96" s="64"/>
      <c r="G96">
        <f>IFERROR(HLOOKUP(G$2,[5]table_male_hkom1_inj.V2!$A$1:$K$36,27,FALSE),0)</f>
        <v>0</v>
      </c>
      <c r="H96">
        <f>IFERROR(HLOOKUP(H$2,[5]table_male_hkom1_inj.V2!$A$1:$K$36,27,FALSE),0)</f>
        <v>0</v>
      </c>
      <c r="I96">
        <f>IFERROR(HLOOKUP(I$2,[5]table_male_hkom1_inj.V2!$A$1:$K$36,27,FALSE),0)</f>
        <v>0</v>
      </c>
      <c r="J96">
        <f>IFERROR(HLOOKUP(J$2,[5]table_male_hkom1_inj.V2!$A$1:$K$36,27,FALSE),0)</f>
        <v>0</v>
      </c>
      <c r="K96">
        <f>IFERROR(HLOOKUP(K$2,[5]table_male_hkom1_inj.V2!$A$1:$K$36,27,FALSE),0)</f>
        <v>0</v>
      </c>
      <c r="L96">
        <f>IFERROR(HLOOKUP(L$2,[5]table_male_hkom1_inj.V2!$A$1:$K$36,27,FALSE),0)</f>
        <v>0</v>
      </c>
      <c r="M96">
        <f t="shared" si="30"/>
        <v>0</v>
      </c>
      <c r="S96" t="s">
        <v>95</v>
      </c>
      <c r="T96" s="5">
        <f t="shared" si="32"/>
        <v>0</v>
      </c>
      <c r="U96" s="5">
        <f t="shared" si="33"/>
        <v>0</v>
      </c>
      <c r="V96" s="5">
        <f t="shared" si="34"/>
        <v>0</v>
      </c>
      <c r="W96" s="5">
        <f t="shared" si="35"/>
        <v>0</v>
      </c>
      <c r="X96" s="5">
        <f t="shared" si="36"/>
        <v>0</v>
      </c>
      <c r="Y96" s="5">
        <f t="shared" si="37"/>
        <v>0</v>
      </c>
      <c r="Z96" s="5">
        <f t="shared" si="38"/>
        <v>3.0303030303030304E-2</v>
      </c>
      <c r="AA96" s="5">
        <f t="shared" si="39"/>
        <v>0</v>
      </c>
      <c r="AB96" s="5">
        <f t="shared" si="40"/>
        <v>3.0303030303030304E-2</v>
      </c>
    </row>
    <row r="97" spans="1:29" x14ac:dyDescent="0.25">
      <c r="D97" t="s">
        <v>96</v>
      </c>
      <c r="E97" s="64"/>
      <c r="F97" s="64"/>
      <c r="G97">
        <f>IFERROR(HLOOKUP(G$2,[5]table_male_hkom1_inj.V2!$A$1:$K$36,28,FALSE),0)</f>
        <v>1</v>
      </c>
      <c r="H97">
        <f>IFERROR(HLOOKUP(H$2,[5]table_male_hkom1_inj.V2!$A$1:$K$36,28,FALSE),0)</f>
        <v>0</v>
      </c>
      <c r="I97">
        <f>IFERROR(HLOOKUP(I$2,[5]table_male_hkom1_inj.V2!$A$1:$K$36,28,FALSE),0)</f>
        <v>0</v>
      </c>
      <c r="J97">
        <f>IFERROR(HLOOKUP(J$2,[5]table_male_hkom1_inj.V2!$A$1:$K$36,28,FALSE),0)</f>
        <v>0</v>
      </c>
      <c r="K97">
        <f>IFERROR(HLOOKUP(K$2,[5]table_male_hkom1_inj.V2!$A$1:$K$36,28,FALSE),0)</f>
        <v>0</v>
      </c>
      <c r="L97">
        <f>IFERROR(HLOOKUP(L$2,[5]table_male_hkom1_inj.V2!$A$1:$K$36,28,FALSE),0)</f>
        <v>0</v>
      </c>
      <c r="M97">
        <f t="shared" si="30"/>
        <v>1</v>
      </c>
      <c r="S97" t="s">
        <v>96</v>
      </c>
      <c r="T97" s="5">
        <f t="shared" si="32"/>
        <v>0</v>
      </c>
      <c r="U97" s="5">
        <f t="shared" si="33"/>
        <v>0</v>
      </c>
      <c r="V97" s="5">
        <f t="shared" si="34"/>
        <v>1.0657174151150055</v>
      </c>
      <c r="W97" s="5">
        <f t="shared" si="35"/>
        <v>0</v>
      </c>
      <c r="X97" s="5">
        <f t="shared" si="36"/>
        <v>0</v>
      </c>
      <c r="Y97" s="5">
        <f t="shared" si="37"/>
        <v>0</v>
      </c>
      <c r="Z97" s="5">
        <f t="shared" si="38"/>
        <v>3.0303030303030304E-2</v>
      </c>
      <c r="AA97" s="5">
        <f t="shared" si="39"/>
        <v>0</v>
      </c>
      <c r="AB97" s="5">
        <f t="shared" si="40"/>
        <v>1.0960204454180358</v>
      </c>
    </row>
    <row r="98" spans="1:29" x14ac:dyDescent="0.25">
      <c r="D98" t="s">
        <v>97</v>
      </c>
      <c r="E98" s="64"/>
      <c r="F98" s="64"/>
      <c r="G98">
        <f>IFERROR(HLOOKUP(G$2,[5]table_male_hkom1_inj.V2!$A$1:$K$36,29,FALSE),0)</f>
        <v>0</v>
      </c>
      <c r="H98">
        <f>IFERROR(HLOOKUP(H$2,[5]table_male_hkom1_inj.V2!$A$1:$K$36,29,FALSE),0)</f>
        <v>0</v>
      </c>
      <c r="I98">
        <f>IFERROR(HLOOKUP(I$2,[5]table_male_hkom1_inj.V2!$A$1:$K$36,29,FALSE),0)</f>
        <v>0</v>
      </c>
      <c r="J98">
        <f>IFERROR(HLOOKUP(J$2,[5]table_male_hkom1_inj.V2!$A$1:$K$36,29,FALSE),0)</f>
        <v>0</v>
      </c>
      <c r="K98">
        <f>IFERROR(HLOOKUP(K$2,[5]table_male_hkom1_inj.V2!$A$1:$K$36,29,FALSE),0)</f>
        <v>0</v>
      </c>
      <c r="L98">
        <f>IFERROR(HLOOKUP(L$2,[5]table_male_hkom1_inj.V2!$A$1:$K$36,29,FALSE),0)</f>
        <v>0</v>
      </c>
      <c r="M98">
        <f t="shared" si="30"/>
        <v>0</v>
      </c>
      <c r="S98" t="s">
        <v>97</v>
      </c>
      <c r="T98" s="5">
        <f t="shared" si="32"/>
        <v>0</v>
      </c>
      <c r="U98" s="5">
        <f t="shared" si="33"/>
        <v>0</v>
      </c>
      <c r="V98" s="5">
        <f t="shared" si="34"/>
        <v>0</v>
      </c>
      <c r="W98" s="5">
        <f t="shared" si="35"/>
        <v>0</v>
      </c>
      <c r="X98" s="5">
        <f t="shared" si="36"/>
        <v>0</v>
      </c>
      <c r="Y98" s="5">
        <f t="shared" si="37"/>
        <v>0</v>
      </c>
      <c r="Z98" s="5">
        <f t="shared" si="38"/>
        <v>3.0303030303030304E-2</v>
      </c>
      <c r="AA98" s="5">
        <f t="shared" si="39"/>
        <v>0</v>
      </c>
      <c r="AB98" s="5">
        <f t="shared" si="40"/>
        <v>3.0303030303030304E-2</v>
      </c>
    </row>
    <row r="99" spans="1:29" x14ac:dyDescent="0.25">
      <c r="D99" t="s">
        <v>98</v>
      </c>
      <c r="E99" s="64"/>
      <c r="F99" s="64"/>
      <c r="G99">
        <f>IFERROR(HLOOKUP(G$2,[5]table_male_hkom1_inj.V2!$A$1:$K$36,30,FALSE),0)</f>
        <v>1</v>
      </c>
      <c r="H99">
        <f>IFERROR(HLOOKUP(H$2,[5]table_male_hkom1_inj.V2!$A$1:$K$36,30,FALSE),0)</f>
        <v>1</v>
      </c>
      <c r="I99">
        <f>IFERROR(HLOOKUP(I$2,[5]table_male_hkom1_inj.V2!$A$1:$K$36,30,FALSE),0)</f>
        <v>1</v>
      </c>
      <c r="J99">
        <f>IFERROR(HLOOKUP(J$2,[5]table_male_hkom1_inj.V2!$A$1:$K$36,30,FALSE),0)</f>
        <v>0</v>
      </c>
      <c r="K99">
        <f>IFERROR(HLOOKUP(K$2,[5]table_male_hkom1_inj.V2!$A$1:$K$36,30,FALSE),0)</f>
        <v>0</v>
      </c>
      <c r="L99">
        <f>IFERROR(HLOOKUP(L$2,[5]table_male_hkom1_inj.V2!$A$1:$K$36,30,FALSE),0)</f>
        <v>0</v>
      </c>
      <c r="M99">
        <f t="shared" si="30"/>
        <v>3</v>
      </c>
      <c r="S99" t="s">
        <v>98</v>
      </c>
      <c r="T99" s="5">
        <f t="shared" si="32"/>
        <v>0</v>
      </c>
      <c r="U99" s="5">
        <f t="shared" si="33"/>
        <v>0</v>
      </c>
      <c r="V99" s="5">
        <f t="shared" si="34"/>
        <v>1.0657174151150055</v>
      </c>
      <c r="W99" s="5">
        <f t="shared" si="35"/>
        <v>1.0743801652892562</v>
      </c>
      <c r="X99" s="5">
        <f t="shared" si="36"/>
        <v>1.0856031128404668</v>
      </c>
      <c r="Y99" s="5">
        <f t="shared" si="37"/>
        <v>0</v>
      </c>
      <c r="Z99" s="5">
        <f t="shared" si="38"/>
        <v>3.0303030303030304E-2</v>
      </c>
      <c r="AA99" s="5">
        <f t="shared" si="39"/>
        <v>0</v>
      </c>
      <c r="AB99" s="5">
        <f t="shared" si="40"/>
        <v>3.2560037235477584</v>
      </c>
    </row>
    <row r="100" spans="1:29" x14ac:dyDescent="0.25">
      <c r="D100" t="s">
        <v>119</v>
      </c>
      <c r="E100" s="64"/>
      <c r="F100" s="64"/>
      <c r="G100">
        <f>IFERROR(HLOOKUP(G$2,[5]table_male_hkom1_inj.V2!$A$1:$K$36,31,FALSE),0)</f>
        <v>1</v>
      </c>
      <c r="H100">
        <f>IFERROR(HLOOKUP(H$2,[5]table_male_hkom1_inj.V2!$A$1:$K$36,31,FALSE),0)</f>
        <v>0</v>
      </c>
      <c r="I100">
        <f>IFERROR(HLOOKUP(I$2,[5]table_male_hkom1_inj.V2!$A$1:$K$36,31,FALSE),0)</f>
        <v>1</v>
      </c>
      <c r="J100">
        <f>IFERROR(HLOOKUP(J$2,[5]table_male_hkom1_inj.V2!$A$1:$K$36,31,FALSE),0)</f>
        <v>0</v>
      </c>
      <c r="K100">
        <f>IFERROR(HLOOKUP(K$2,[5]table_male_hkom1_inj.V2!$A$1:$K$36,31,FALSE),0)</f>
        <v>0</v>
      </c>
      <c r="L100">
        <f>IFERROR(HLOOKUP(L$2,[5]table_male_hkom1_inj.V2!$A$1:$K$36,31,FALSE),0)</f>
        <v>0</v>
      </c>
      <c r="M100">
        <f t="shared" si="30"/>
        <v>2</v>
      </c>
      <c r="S100" t="s">
        <v>119</v>
      </c>
      <c r="T100" s="5">
        <f t="shared" si="32"/>
        <v>0</v>
      </c>
      <c r="U100" s="5">
        <f t="shared" si="33"/>
        <v>0</v>
      </c>
      <c r="V100" s="5">
        <f t="shared" si="34"/>
        <v>1.0657174151150055</v>
      </c>
      <c r="W100" s="5">
        <f t="shared" si="35"/>
        <v>0</v>
      </c>
      <c r="X100" s="5">
        <f t="shared" si="36"/>
        <v>1.0856031128404668</v>
      </c>
      <c r="Y100" s="5">
        <f t="shared" si="37"/>
        <v>0</v>
      </c>
      <c r="Z100" s="5">
        <f t="shared" si="38"/>
        <v>3.0303030303030304E-2</v>
      </c>
      <c r="AA100" s="5">
        <f t="shared" si="39"/>
        <v>0</v>
      </c>
      <c r="AB100" s="5">
        <f t="shared" si="40"/>
        <v>2.1816235582585026</v>
      </c>
    </row>
    <row r="101" spans="1:29" x14ac:dyDescent="0.25">
      <c r="D101" t="s">
        <v>99</v>
      </c>
      <c r="E101" s="64"/>
      <c r="F101" s="64"/>
      <c r="G101">
        <f>IFERROR(HLOOKUP(G$2,[5]table_male_hkom1_inj.V2!$A$1:$K$36,32,FALSE),0)</f>
        <v>20</v>
      </c>
      <c r="H101">
        <f>IFERROR(HLOOKUP(H$2,[5]table_male_hkom1_inj.V2!$A$1:$K$36,32,FALSE),0)</f>
        <v>29</v>
      </c>
      <c r="I101">
        <f>IFERROR(HLOOKUP(I$2,[5]table_male_hkom1_inj.V2!$A$1:$K$36,32,FALSE),0)</f>
        <v>5</v>
      </c>
      <c r="J101">
        <f>IFERROR(HLOOKUP(J$2,[5]table_male_hkom1_inj.V2!$A$1:$K$36,32,FALSE),0)</f>
        <v>0</v>
      </c>
      <c r="K101">
        <f>IFERROR(HLOOKUP(K$2,[5]table_male_hkom1_inj.V2!$A$1:$K$36,32,FALSE),0)</f>
        <v>0</v>
      </c>
      <c r="L101">
        <f>IFERROR(HLOOKUP(L$2,[5]table_male_hkom1_inj.V2!$A$1:$K$36,32,FALSE),0)</f>
        <v>0</v>
      </c>
      <c r="M101">
        <f t="shared" si="30"/>
        <v>54</v>
      </c>
      <c r="S101" t="s">
        <v>99</v>
      </c>
      <c r="T101" s="5">
        <f t="shared" si="32"/>
        <v>0</v>
      </c>
      <c r="U101" s="5">
        <f t="shared" si="33"/>
        <v>0</v>
      </c>
      <c r="V101" s="5">
        <f t="shared" si="34"/>
        <v>21.314348302300111</v>
      </c>
      <c r="W101" s="5">
        <f t="shared" si="35"/>
        <v>31.15702479338843</v>
      </c>
      <c r="X101" s="5">
        <f t="shared" si="36"/>
        <v>5.4280155642023349</v>
      </c>
      <c r="Y101" s="5">
        <f t="shared" si="37"/>
        <v>0</v>
      </c>
      <c r="Z101" s="5">
        <f t="shared" si="38"/>
        <v>3.0303030303030304E-2</v>
      </c>
      <c r="AA101" s="5">
        <f t="shared" si="39"/>
        <v>0</v>
      </c>
      <c r="AB101" s="5">
        <f t="shared" si="40"/>
        <v>57.929691690193906</v>
      </c>
    </row>
    <row r="102" spans="1:29" x14ac:dyDescent="0.25">
      <c r="D102" t="s">
        <v>100</v>
      </c>
      <c r="E102" s="64"/>
      <c r="F102" s="64"/>
      <c r="G102">
        <f>IFERROR(HLOOKUP(G$2,[5]table_male_hkom1_inj.V2!$A$1:$K$36,33,FALSE),0)</f>
        <v>0</v>
      </c>
      <c r="H102">
        <f>IFERROR(HLOOKUP(H$2,[5]table_male_hkom1_inj.V2!$A$1:$K$36,33,FALSE),0)</f>
        <v>3</v>
      </c>
      <c r="I102">
        <f>IFERROR(HLOOKUP(I$2,[5]table_male_hkom1_inj.V2!$A$1:$K$36,33,FALSE),0)</f>
        <v>1</v>
      </c>
      <c r="J102">
        <f>IFERROR(HLOOKUP(J$2,[5]table_male_hkom1_inj.V2!$A$1:$K$36,33,FALSE),0)</f>
        <v>0</v>
      </c>
      <c r="K102">
        <f>IFERROR(HLOOKUP(K$2,[5]table_male_hkom1_inj.V2!$A$1:$K$36,33,FALSE),0)</f>
        <v>0</v>
      </c>
      <c r="L102">
        <f>IFERROR(HLOOKUP(L$2,[5]table_male_hkom1_inj.V2!$A$1:$K$36,33,FALSE),0)</f>
        <v>0</v>
      </c>
      <c r="M102">
        <f t="shared" ref="M102:M135" si="41">SUM(E102:L102)</f>
        <v>4</v>
      </c>
      <c r="S102" t="s">
        <v>100</v>
      </c>
      <c r="T102" s="5">
        <f t="shared" si="32"/>
        <v>0</v>
      </c>
      <c r="U102" s="5">
        <f t="shared" si="33"/>
        <v>0</v>
      </c>
      <c r="V102" s="5">
        <f t="shared" si="34"/>
        <v>0</v>
      </c>
      <c r="W102" s="5">
        <f t="shared" si="35"/>
        <v>3.2231404958677685</v>
      </c>
      <c r="X102" s="5">
        <f t="shared" si="36"/>
        <v>1.0856031128404668</v>
      </c>
      <c r="Y102" s="5">
        <f t="shared" si="37"/>
        <v>0</v>
      </c>
      <c r="Z102" s="5">
        <f t="shared" si="38"/>
        <v>3.0303030303030304E-2</v>
      </c>
      <c r="AA102" s="5">
        <f t="shared" si="39"/>
        <v>0</v>
      </c>
      <c r="AB102" s="5">
        <f t="shared" si="40"/>
        <v>4.3390466390112659</v>
      </c>
    </row>
    <row r="103" spans="1:29" x14ac:dyDescent="0.25">
      <c r="D103" t="s">
        <v>101</v>
      </c>
      <c r="E103" s="64"/>
      <c r="F103" s="64"/>
      <c r="G103">
        <f>IFERROR(HLOOKUP(G$2,[5]table_male_hkom1_inj.V2!$A$1:$K$36,34,FALSE),0)</f>
        <v>23</v>
      </c>
      <c r="H103">
        <f>IFERROR(HLOOKUP(H$2,[5]table_male_hkom1_inj.V2!$A$1:$K$36,34,FALSE),0)</f>
        <v>22</v>
      </c>
      <c r="I103">
        <f>IFERROR(HLOOKUP(I$2,[5]table_male_hkom1_inj.V2!$A$1:$K$36,34,FALSE),0)</f>
        <v>4</v>
      </c>
      <c r="J103">
        <f>IFERROR(HLOOKUP(J$2,[5]table_male_hkom1_inj.V2!$A$1:$K$36,34,FALSE),0)</f>
        <v>0</v>
      </c>
      <c r="K103">
        <f>IFERROR(HLOOKUP(K$2,[5]table_male_hkom1_inj.V2!$A$1:$K$36,34,FALSE),0)</f>
        <v>0</v>
      </c>
      <c r="L103">
        <f>IFERROR(HLOOKUP(L$2,[5]table_male_hkom1_inj.V2!$A$1:$K$36,34,FALSE),0)</f>
        <v>0</v>
      </c>
      <c r="M103">
        <f t="shared" si="41"/>
        <v>49</v>
      </c>
      <c r="S103" t="s">
        <v>101</v>
      </c>
      <c r="T103" s="5">
        <f t="shared" si="32"/>
        <v>0</v>
      </c>
      <c r="U103" s="5">
        <f t="shared" si="33"/>
        <v>0</v>
      </c>
      <c r="V103" s="5">
        <f t="shared" si="34"/>
        <v>24.511500547645127</v>
      </c>
      <c r="W103" s="5">
        <f t="shared" si="35"/>
        <v>23.636363636363637</v>
      </c>
      <c r="X103" s="5">
        <f t="shared" si="36"/>
        <v>4.3424124513618674</v>
      </c>
      <c r="Y103" s="5">
        <f t="shared" si="37"/>
        <v>0</v>
      </c>
      <c r="Z103" s="5">
        <f t="shared" si="38"/>
        <v>3.0303030303030304E-2</v>
      </c>
      <c r="AA103" s="5">
        <f t="shared" si="39"/>
        <v>0</v>
      </c>
      <c r="AB103" s="5">
        <f t="shared" si="40"/>
        <v>52.520579665673665</v>
      </c>
    </row>
    <row r="104" spans="1:29" x14ac:dyDescent="0.25">
      <c r="D104" t="s">
        <v>102</v>
      </c>
      <c r="E104" s="64"/>
      <c r="F104" s="64"/>
      <c r="G104">
        <f>IFERROR(HLOOKUP(G$2,[5]table_male_hkom1_inj.V2!$A$1:$K$36,35,FALSE),0)</f>
        <v>60</v>
      </c>
      <c r="H104">
        <f>IFERROR(HLOOKUP(H$2,[5]table_male_hkom1_inj.V2!$A$1:$K$36,35,FALSE),0)</f>
        <v>63</v>
      </c>
      <c r="I104">
        <f>IFERROR(HLOOKUP(I$2,[5]table_male_hkom1_inj.V2!$A$1:$K$36,35,FALSE),0)</f>
        <v>22</v>
      </c>
      <c r="J104">
        <f>IFERROR(HLOOKUP(J$2,[5]table_male_hkom1_inj.V2!$A$1:$K$36,35,FALSE),0)</f>
        <v>0</v>
      </c>
      <c r="K104">
        <f>IFERROR(HLOOKUP(K$2,[5]table_male_hkom1_inj.V2!$A$1:$K$36,35,FALSE),0)</f>
        <v>1</v>
      </c>
      <c r="L104">
        <f>IFERROR(HLOOKUP(L$2,[5]table_male_hkom1_inj.V2!$A$1:$K$36,35,FALSE),0)</f>
        <v>0</v>
      </c>
      <c r="M104">
        <f t="shared" si="41"/>
        <v>146</v>
      </c>
      <c r="N104">
        <f>SUM(M71:M104)</f>
        <v>2170</v>
      </c>
      <c r="O104" s="8">
        <f>SUM([5]table_male_hkom1_inj.V2!$B$2:$L$37)</f>
        <v>2170</v>
      </c>
      <c r="S104" t="s">
        <v>102</v>
      </c>
      <c r="T104" s="7"/>
      <c r="U104" s="7"/>
      <c r="V104" s="7"/>
      <c r="W104" s="7"/>
      <c r="X104" s="7"/>
      <c r="Y104" s="7"/>
      <c r="Z104" s="7"/>
      <c r="AA104" s="7"/>
      <c r="AB104" s="7"/>
      <c r="AC104" s="5">
        <f>SUM(AB71:AB103)</f>
        <v>2170.0000000000005</v>
      </c>
    </row>
    <row r="105" spans="1:29" x14ac:dyDescent="0.25">
      <c r="A105" t="s">
        <v>104</v>
      </c>
      <c r="B105" t="s">
        <v>103</v>
      </c>
      <c r="C105" t="s">
        <v>107</v>
      </c>
      <c r="D105" t="s">
        <v>70</v>
      </c>
      <c r="E105" s="64"/>
      <c r="F105" s="64"/>
      <c r="G105">
        <f>IFERROR(HLOOKUP(G$2,[6]table_male_hkom1_inj.V3!$A$1:$K$36,2,FALSE),0)</f>
        <v>0</v>
      </c>
      <c r="H105">
        <f>IFERROR(HLOOKUP(H$2,[6]table_male_hkom1_inj.V3!$A$1:$K$36,2,FALSE),0)</f>
        <v>0</v>
      </c>
      <c r="I105">
        <f>IFERROR(HLOOKUP(I$2,[6]table_male_hkom1_inj.V3!$A$1:$K$36,2,FALSE),0)</f>
        <v>0</v>
      </c>
      <c r="J105">
        <f>IFERROR(HLOOKUP(J$2,[6]table_male_hkom1_inj.V3!$A$1:$K$36,2,FALSE),0)</f>
        <v>0</v>
      </c>
      <c r="K105">
        <f>IFERROR(HLOOKUP(K$2,[6]table_male_hkom1_inj.V3!$A$1:$K$36,2,FALSE),0)</f>
        <v>0</v>
      </c>
      <c r="L105">
        <f>IFERROR(HLOOKUP(L$2,[6]table_male_hkom1_inj.V3!$A$1:$K$36,2,FALSE),0)</f>
        <v>0</v>
      </c>
      <c r="M105">
        <f t="shared" si="41"/>
        <v>0</v>
      </c>
      <c r="P105" t="s">
        <v>104</v>
      </c>
      <c r="Q105" t="s">
        <v>103</v>
      </c>
      <c r="R105" t="s">
        <v>107</v>
      </c>
      <c r="S105" t="s">
        <v>70</v>
      </c>
      <c r="T105" s="5">
        <f>IF(SUM(E$105:E$137)=0,E$138/33,E105+IFERROR(E105/SUM(E$105:E$137)*E$138,0))</f>
        <v>0</v>
      </c>
      <c r="U105" s="5">
        <f t="shared" ref="U105:AA105" si="42">IF(SUM(F$105:F$137)=0,F$138/33,F105+IFERROR(F105/SUM(F$105:F$137)*F$138,0))</f>
        <v>0</v>
      </c>
      <c r="V105" s="5">
        <f t="shared" si="42"/>
        <v>0</v>
      </c>
      <c r="W105" s="5">
        <f t="shared" si="42"/>
        <v>0</v>
      </c>
      <c r="X105" s="9">
        <f t="shared" si="42"/>
        <v>0</v>
      </c>
      <c r="Y105" s="5">
        <f t="shared" si="42"/>
        <v>0</v>
      </c>
      <c r="Z105" s="5">
        <f t="shared" si="42"/>
        <v>0</v>
      </c>
      <c r="AA105" s="5">
        <f t="shared" si="42"/>
        <v>0</v>
      </c>
      <c r="AB105" s="5">
        <f>SUM(T105:AA105)</f>
        <v>0</v>
      </c>
    </row>
    <row r="106" spans="1:29" x14ac:dyDescent="0.25">
      <c r="D106" t="s">
        <v>71</v>
      </c>
      <c r="E106" s="64"/>
      <c r="F106" s="64"/>
      <c r="G106">
        <f>IFERROR(HLOOKUP(G$2,[6]table_male_hkom1_inj.V3!$A$1:$K$36,3,FALSE),0)</f>
        <v>0</v>
      </c>
      <c r="H106">
        <f>IFERROR(HLOOKUP(H$2,[6]table_male_hkom1_inj.V3!$A$1:$K$36,3,FALSE),0)</f>
        <v>0</v>
      </c>
      <c r="I106">
        <f>IFERROR(HLOOKUP(I$2,[6]table_male_hkom1_inj.V3!$A$1:$K$36,3,FALSE),0)</f>
        <v>0</v>
      </c>
      <c r="J106">
        <f>IFERROR(HLOOKUP(J$2,[6]table_male_hkom1_inj.V3!$A$1:$K$36,3,FALSE),0)</f>
        <v>0</v>
      </c>
      <c r="K106">
        <f>IFERROR(HLOOKUP(K$2,[6]table_male_hkom1_inj.V3!$A$1:$K$36,3,FALSE),0)</f>
        <v>0</v>
      </c>
      <c r="L106">
        <f>IFERROR(HLOOKUP(L$2,[6]table_male_hkom1_inj.V3!$A$1:$K$36,3,FALSE),0)</f>
        <v>0</v>
      </c>
      <c r="M106">
        <f t="shared" si="41"/>
        <v>0</v>
      </c>
      <c r="S106" t="s">
        <v>71</v>
      </c>
      <c r="T106" s="5">
        <f t="shared" ref="T106:T137" si="43">IF(SUM(E$105:E$137)=0,E$138/33,E106+IFERROR(E106/SUM(E$105:E$137)*E$138,0))</f>
        <v>0</v>
      </c>
      <c r="U106" s="5">
        <f t="shared" ref="U106:U137" si="44">IF(SUM(F$105:F$137)=0,F$138/33,F106+IFERROR(F106/SUM(F$105:F$137)*F$138,0))</f>
        <v>0</v>
      </c>
      <c r="V106" s="5">
        <f t="shared" ref="V106:V137" si="45">IF(SUM(G$105:G$137)=0,G$138/33,G106+IFERROR(G106/SUM(G$105:G$137)*G$138,0))</f>
        <v>0</v>
      </c>
      <c r="W106" s="5">
        <f t="shared" ref="W106:W137" si="46">IF(SUM(H$105:H$137)=0,H$138/33,H106+IFERROR(H106/SUM(H$105:H$137)*H$138,0))</f>
        <v>0</v>
      </c>
      <c r="X106" s="9">
        <f t="shared" ref="X106:X137" si="47">IF(SUM(I$105:I$137)=0,I$138/33,I106+IFERROR(I106/SUM(I$105:I$137)*I$138,0))</f>
        <v>0</v>
      </c>
      <c r="Y106" s="5">
        <f t="shared" ref="Y106:Y137" si="48">IF(SUM(J$105:J$137)=0,J$138/33,J106+IFERROR(J106/SUM(J$105:J$137)*J$138,0))</f>
        <v>0</v>
      </c>
      <c r="Z106" s="5">
        <f t="shared" ref="Z106:Z137" si="49">IF(SUM(K$105:K$137)=0,K$138/33,K106+IFERROR(K106/SUM(K$105:K$137)*K$138,0))</f>
        <v>0</v>
      </c>
      <c r="AA106" s="5">
        <f t="shared" ref="AA106:AA137" si="50">IF(SUM(L$105:L$137)=0,L$138/33,L106+IFERROR(L106/SUM(L$105:L$137)*L$138,0))</f>
        <v>0</v>
      </c>
      <c r="AB106" s="5">
        <f t="shared" ref="AB106:AB137" si="51">SUM(T106:AA106)</f>
        <v>0</v>
      </c>
    </row>
    <row r="107" spans="1:29" x14ac:dyDescent="0.25">
      <c r="D107" t="s">
        <v>72</v>
      </c>
      <c r="E107" s="64"/>
      <c r="F107" s="64"/>
      <c r="G107">
        <f>IFERROR(HLOOKUP(G$2,[6]table_male_hkom1_inj.V3!$A$1:$K$36,4,FALSE),0)</f>
        <v>0</v>
      </c>
      <c r="H107">
        <f>IFERROR(HLOOKUP(H$2,[6]table_male_hkom1_inj.V3!$A$1:$K$36,4,FALSE),0)</f>
        <v>0</v>
      </c>
      <c r="I107">
        <f>IFERROR(HLOOKUP(I$2,[6]table_male_hkom1_inj.V3!$A$1:$K$36,4,FALSE),0)</f>
        <v>0</v>
      </c>
      <c r="J107">
        <f>IFERROR(HLOOKUP(J$2,[6]table_male_hkom1_inj.V3!$A$1:$K$36,4,FALSE),0)</f>
        <v>0</v>
      </c>
      <c r="K107">
        <f>IFERROR(HLOOKUP(K$2,[6]table_male_hkom1_inj.V3!$A$1:$K$36,4,FALSE),0)</f>
        <v>0</v>
      </c>
      <c r="L107">
        <f>IFERROR(HLOOKUP(L$2,[6]table_male_hkom1_inj.V3!$A$1:$K$36,4,FALSE),0)</f>
        <v>0</v>
      </c>
      <c r="M107">
        <f t="shared" si="41"/>
        <v>0</v>
      </c>
      <c r="S107" t="s">
        <v>72</v>
      </c>
      <c r="T107" s="5">
        <f t="shared" si="43"/>
        <v>0</v>
      </c>
      <c r="U107" s="5">
        <f t="shared" si="44"/>
        <v>0</v>
      </c>
      <c r="V107" s="5">
        <f t="shared" si="45"/>
        <v>0</v>
      </c>
      <c r="W107" s="5">
        <f t="shared" si="46"/>
        <v>0</v>
      </c>
      <c r="X107" s="9">
        <f t="shared" si="47"/>
        <v>0</v>
      </c>
      <c r="Y107" s="5">
        <f t="shared" si="48"/>
        <v>0</v>
      </c>
      <c r="Z107" s="5">
        <f t="shared" si="49"/>
        <v>0</v>
      </c>
      <c r="AA107" s="5">
        <f t="shared" si="50"/>
        <v>0</v>
      </c>
      <c r="AB107" s="5">
        <f t="shared" si="51"/>
        <v>0</v>
      </c>
    </row>
    <row r="108" spans="1:29" x14ac:dyDescent="0.25">
      <c r="D108" t="s">
        <v>73</v>
      </c>
      <c r="E108" s="64"/>
      <c r="F108" s="64"/>
      <c r="G108">
        <f>IFERROR(HLOOKUP(G$2,[6]table_male_hkom1_inj.V3!$A$1:$K$36,5,FALSE),0)</f>
        <v>0</v>
      </c>
      <c r="H108">
        <f>IFERROR(HLOOKUP(H$2,[6]table_male_hkom1_inj.V3!$A$1:$K$36,5,FALSE),0)</f>
        <v>0</v>
      </c>
      <c r="I108">
        <f>IFERROR(HLOOKUP(I$2,[6]table_male_hkom1_inj.V3!$A$1:$K$36,5,FALSE),0)</f>
        <v>0</v>
      </c>
      <c r="J108">
        <f>IFERROR(HLOOKUP(J$2,[6]table_male_hkom1_inj.V3!$A$1:$K$36,5,FALSE),0)</f>
        <v>0</v>
      </c>
      <c r="K108">
        <f>IFERROR(HLOOKUP(K$2,[6]table_male_hkom1_inj.V3!$A$1:$K$36,5,FALSE),0)</f>
        <v>0</v>
      </c>
      <c r="L108">
        <f>IFERROR(HLOOKUP(L$2,[6]table_male_hkom1_inj.V3!$A$1:$K$36,5,FALSE),0)</f>
        <v>0</v>
      </c>
      <c r="M108">
        <f t="shared" si="41"/>
        <v>0</v>
      </c>
      <c r="S108" t="s">
        <v>73</v>
      </c>
      <c r="T108" s="5">
        <f t="shared" si="43"/>
        <v>0</v>
      </c>
      <c r="U108" s="5">
        <f t="shared" si="44"/>
        <v>0</v>
      </c>
      <c r="V108" s="5">
        <f t="shared" si="45"/>
        <v>0</v>
      </c>
      <c r="W108" s="5">
        <f t="shared" si="46"/>
        <v>0</v>
      </c>
      <c r="X108" s="9">
        <f t="shared" si="47"/>
        <v>0</v>
      </c>
      <c r="Y108" s="5">
        <f t="shared" si="48"/>
        <v>0</v>
      </c>
      <c r="Z108" s="5">
        <f t="shared" si="49"/>
        <v>0</v>
      </c>
      <c r="AA108" s="5">
        <f t="shared" si="50"/>
        <v>0</v>
      </c>
      <c r="AB108" s="5">
        <f t="shared" si="51"/>
        <v>0</v>
      </c>
    </row>
    <row r="109" spans="1:29" x14ac:dyDescent="0.25">
      <c r="D109" t="s">
        <v>74</v>
      </c>
      <c r="E109" s="64"/>
      <c r="F109" s="64"/>
      <c r="G109">
        <f>IFERROR(HLOOKUP(G$2,[6]table_male_hkom1_inj.V3!$A$1:$K$36,6,FALSE),0)</f>
        <v>0</v>
      </c>
      <c r="H109">
        <f>IFERROR(HLOOKUP(H$2,[6]table_male_hkom1_inj.V3!$A$1:$K$36,6,FALSE),0)</f>
        <v>0</v>
      </c>
      <c r="I109">
        <f>IFERROR(HLOOKUP(I$2,[6]table_male_hkom1_inj.V3!$A$1:$K$36,6,FALSE),0)</f>
        <v>0</v>
      </c>
      <c r="J109">
        <f>IFERROR(HLOOKUP(J$2,[6]table_male_hkom1_inj.V3!$A$1:$K$36,6,FALSE),0)</f>
        <v>0</v>
      </c>
      <c r="K109">
        <f>IFERROR(HLOOKUP(K$2,[6]table_male_hkom1_inj.V3!$A$1:$K$36,6,FALSE),0)</f>
        <v>0</v>
      </c>
      <c r="L109">
        <f>IFERROR(HLOOKUP(L$2,[6]table_male_hkom1_inj.V3!$A$1:$K$36,6,FALSE),0)</f>
        <v>0</v>
      </c>
      <c r="M109">
        <f t="shared" si="41"/>
        <v>0</v>
      </c>
      <c r="S109" t="s">
        <v>74</v>
      </c>
      <c r="T109" s="5">
        <f t="shared" si="43"/>
        <v>0</v>
      </c>
      <c r="U109" s="5">
        <f t="shared" si="44"/>
        <v>0</v>
      </c>
      <c r="V109" s="5">
        <f t="shared" si="45"/>
        <v>0</v>
      </c>
      <c r="W109" s="5">
        <f t="shared" si="46"/>
        <v>0</v>
      </c>
      <c r="X109" s="9">
        <f t="shared" si="47"/>
        <v>0</v>
      </c>
      <c r="Y109" s="5">
        <f t="shared" si="48"/>
        <v>0</v>
      </c>
      <c r="Z109" s="5">
        <f t="shared" si="49"/>
        <v>0</v>
      </c>
      <c r="AA109" s="5">
        <f t="shared" si="50"/>
        <v>0</v>
      </c>
      <c r="AB109" s="5">
        <f t="shared" si="51"/>
        <v>0</v>
      </c>
    </row>
    <row r="110" spans="1:29" x14ac:dyDescent="0.25">
      <c r="D110" t="s">
        <v>75</v>
      </c>
      <c r="E110" s="64"/>
      <c r="F110" s="64"/>
      <c r="G110">
        <f>IFERROR(HLOOKUP(G$2,[6]table_male_hkom1_inj.V3!$A$1:$K$36,7,FALSE),0)</f>
        <v>0</v>
      </c>
      <c r="H110">
        <f>IFERROR(HLOOKUP(H$2,[6]table_male_hkom1_inj.V3!$A$1:$K$36,7,FALSE),0)</f>
        <v>0</v>
      </c>
      <c r="I110">
        <f>IFERROR(HLOOKUP(I$2,[6]table_male_hkom1_inj.V3!$A$1:$K$36,7,FALSE),0)</f>
        <v>0</v>
      </c>
      <c r="J110">
        <f>IFERROR(HLOOKUP(J$2,[6]table_male_hkom1_inj.V3!$A$1:$K$36,7,FALSE),0)</f>
        <v>0</v>
      </c>
      <c r="K110">
        <f>IFERROR(HLOOKUP(K$2,[6]table_male_hkom1_inj.V3!$A$1:$K$36,7,FALSE),0)</f>
        <v>0</v>
      </c>
      <c r="L110">
        <f>IFERROR(HLOOKUP(L$2,[6]table_male_hkom1_inj.V3!$A$1:$K$36,7,FALSE),0)</f>
        <v>0</v>
      </c>
      <c r="M110">
        <f t="shared" si="41"/>
        <v>0</v>
      </c>
      <c r="S110" t="s">
        <v>75</v>
      </c>
      <c r="T110" s="5">
        <f t="shared" si="43"/>
        <v>0</v>
      </c>
      <c r="U110" s="5">
        <f t="shared" si="44"/>
        <v>0</v>
      </c>
      <c r="V110" s="5">
        <f t="shared" si="45"/>
        <v>0</v>
      </c>
      <c r="W110" s="5">
        <f t="shared" si="46"/>
        <v>0</v>
      </c>
      <c r="X110" s="9">
        <f t="shared" si="47"/>
        <v>0</v>
      </c>
      <c r="Y110" s="5">
        <f t="shared" si="48"/>
        <v>0</v>
      </c>
      <c r="Z110" s="5">
        <f t="shared" si="49"/>
        <v>0</v>
      </c>
      <c r="AA110" s="5">
        <f t="shared" si="50"/>
        <v>0</v>
      </c>
      <c r="AB110" s="5">
        <f t="shared" si="51"/>
        <v>0</v>
      </c>
    </row>
    <row r="111" spans="1:29" x14ac:dyDescent="0.25">
      <c r="D111" t="s">
        <v>76</v>
      </c>
      <c r="E111" s="64"/>
      <c r="F111" s="64"/>
      <c r="G111">
        <f>IFERROR(HLOOKUP(G$2,[6]table_male_hkom1_inj.V3!$A$1:$K$36,8,FALSE),0)</f>
        <v>0</v>
      </c>
      <c r="H111">
        <f>IFERROR(HLOOKUP(H$2,[6]table_male_hkom1_inj.V3!$A$1:$K$36,8,FALSE),0)</f>
        <v>0</v>
      </c>
      <c r="I111">
        <f>IFERROR(HLOOKUP(I$2,[6]table_male_hkom1_inj.V3!$A$1:$K$36,8,FALSE),0)</f>
        <v>0</v>
      </c>
      <c r="J111">
        <f>IFERROR(HLOOKUP(J$2,[6]table_male_hkom1_inj.V3!$A$1:$K$36,8,FALSE),0)</f>
        <v>0</v>
      </c>
      <c r="K111">
        <f>IFERROR(HLOOKUP(K$2,[6]table_male_hkom1_inj.V3!$A$1:$K$36,8,FALSE),0)</f>
        <v>0</v>
      </c>
      <c r="L111">
        <f>IFERROR(HLOOKUP(L$2,[6]table_male_hkom1_inj.V3!$A$1:$K$36,8,FALSE),0)</f>
        <v>0</v>
      </c>
      <c r="M111">
        <f t="shared" si="41"/>
        <v>0</v>
      </c>
      <c r="S111" t="s">
        <v>76</v>
      </c>
      <c r="T111" s="5">
        <f t="shared" si="43"/>
        <v>0</v>
      </c>
      <c r="U111" s="5">
        <f t="shared" si="44"/>
        <v>0</v>
      </c>
      <c r="V111" s="5">
        <f t="shared" si="45"/>
        <v>0</v>
      </c>
      <c r="W111" s="5">
        <f t="shared" si="46"/>
        <v>0</v>
      </c>
      <c r="X111" s="9">
        <f t="shared" si="47"/>
        <v>0</v>
      </c>
      <c r="Y111" s="5">
        <f t="shared" si="48"/>
        <v>0</v>
      </c>
      <c r="Z111" s="5">
        <f t="shared" si="49"/>
        <v>0</v>
      </c>
      <c r="AA111" s="5">
        <f t="shared" si="50"/>
        <v>0</v>
      </c>
      <c r="AB111" s="5">
        <f t="shared" si="51"/>
        <v>0</v>
      </c>
    </row>
    <row r="112" spans="1:29" x14ac:dyDescent="0.25">
      <c r="D112" t="s">
        <v>77</v>
      </c>
      <c r="E112" s="64"/>
      <c r="F112" s="64"/>
      <c r="G112">
        <f>IFERROR(HLOOKUP(G$2,[6]table_male_hkom1_inj.V3!$A$1:$K$36,9,FALSE),0)</f>
        <v>0</v>
      </c>
      <c r="H112">
        <f>IFERROR(HLOOKUP(H$2,[6]table_male_hkom1_inj.V3!$A$1:$K$36,9,FALSE),0)</f>
        <v>0</v>
      </c>
      <c r="I112">
        <f>IFERROR(HLOOKUP(I$2,[6]table_male_hkom1_inj.V3!$A$1:$K$36,9,FALSE),0)</f>
        <v>0</v>
      </c>
      <c r="J112">
        <f>IFERROR(HLOOKUP(J$2,[6]table_male_hkom1_inj.V3!$A$1:$K$36,9,FALSE),0)</f>
        <v>0</v>
      </c>
      <c r="K112">
        <f>IFERROR(HLOOKUP(K$2,[6]table_male_hkom1_inj.V3!$A$1:$K$36,9,FALSE),0)</f>
        <v>0</v>
      </c>
      <c r="L112">
        <f>IFERROR(HLOOKUP(L$2,[6]table_male_hkom1_inj.V3!$A$1:$K$36,9,FALSE),0)</f>
        <v>0</v>
      </c>
      <c r="M112">
        <f t="shared" si="41"/>
        <v>0</v>
      </c>
      <c r="S112" t="s">
        <v>77</v>
      </c>
      <c r="T112" s="5">
        <f t="shared" si="43"/>
        <v>0</v>
      </c>
      <c r="U112" s="5">
        <f t="shared" si="44"/>
        <v>0</v>
      </c>
      <c r="V112" s="5">
        <f t="shared" si="45"/>
        <v>0</v>
      </c>
      <c r="W112" s="5">
        <f t="shared" si="46"/>
        <v>0</v>
      </c>
      <c r="X112" s="9">
        <f t="shared" si="47"/>
        <v>0</v>
      </c>
      <c r="Y112" s="5">
        <f t="shared" si="48"/>
        <v>0</v>
      </c>
      <c r="Z112" s="5">
        <f t="shared" si="49"/>
        <v>0</v>
      </c>
      <c r="AA112" s="5">
        <f t="shared" si="50"/>
        <v>0</v>
      </c>
      <c r="AB112" s="5">
        <f t="shared" si="51"/>
        <v>0</v>
      </c>
    </row>
    <row r="113" spans="4:28" x14ac:dyDescent="0.25">
      <c r="D113" t="s">
        <v>78</v>
      </c>
      <c r="E113" s="64"/>
      <c r="F113" s="64"/>
      <c r="G113">
        <f>IFERROR(HLOOKUP(G$2,[6]table_male_hkom1_inj.V3!$A$1:$K$36,10,FALSE),0)</f>
        <v>0</v>
      </c>
      <c r="H113">
        <f>IFERROR(HLOOKUP(H$2,[6]table_male_hkom1_inj.V3!$A$1:$K$36,10,FALSE),0)</f>
        <v>0</v>
      </c>
      <c r="I113">
        <f>IFERROR(HLOOKUP(I$2,[6]table_male_hkom1_inj.V3!$A$1:$K$36,10,FALSE),0)</f>
        <v>0</v>
      </c>
      <c r="J113">
        <f>IFERROR(HLOOKUP(J$2,[6]table_male_hkom1_inj.V3!$A$1:$K$36,10,FALSE),0)</f>
        <v>0</v>
      </c>
      <c r="K113">
        <f>IFERROR(HLOOKUP(K$2,[6]table_male_hkom1_inj.V3!$A$1:$K$36,10,FALSE),0)</f>
        <v>0</v>
      </c>
      <c r="L113">
        <f>IFERROR(HLOOKUP(L$2,[6]table_male_hkom1_inj.V3!$A$1:$K$36,10,FALSE),0)</f>
        <v>0</v>
      </c>
      <c r="M113">
        <f t="shared" si="41"/>
        <v>0</v>
      </c>
      <c r="S113" t="s">
        <v>78</v>
      </c>
      <c r="T113" s="5">
        <f t="shared" si="43"/>
        <v>0</v>
      </c>
      <c r="U113" s="5">
        <f t="shared" si="44"/>
        <v>0</v>
      </c>
      <c r="V113" s="5">
        <f t="shared" si="45"/>
        <v>0</v>
      </c>
      <c r="W113" s="5">
        <f t="shared" si="46"/>
        <v>0</v>
      </c>
      <c r="X113" s="9">
        <f t="shared" si="47"/>
        <v>0</v>
      </c>
      <c r="Y113" s="5">
        <f t="shared" si="48"/>
        <v>0</v>
      </c>
      <c r="Z113" s="5">
        <f t="shared" si="49"/>
        <v>0</v>
      </c>
      <c r="AA113" s="5">
        <f t="shared" si="50"/>
        <v>0</v>
      </c>
      <c r="AB113" s="5">
        <f t="shared" si="51"/>
        <v>0</v>
      </c>
    </row>
    <row r="114" spans="4:28" x14ac:dyDescent="0.25">
      <c r="D114" t="s">
        <v>79</v>
      </c>
      <c r="E114" s="64"/>
      <c r="F114" s="64"/>
      <c r="G114">
        <f>IFERROR(HLOOKUP(G$2,[6]table_male_hkom1_inj.V3!$A$1:$K$36,11,FALSE),0)</f>
        <v>0</v>
      </c>
      <c r="H114">
        <f>IFERROR(HLOOKUP(H$2,[6]table_male_hkom1_inj.V3!$A$1:$K$36,11,FALSE),0)</f>
        <v>0</v>
      </c>
      <c r="I114">
        <f>IFERROR(HLOOKUP(I$2,[6]table_male_hkom1_inj.V3!$A$1:$K$36,11,FALSE),0)</f>
        <v>0</v>
      </c>
      <c r="J114">
        <f>IFERROR(HLOOKUP(J$2,[6]table_male_hkom1_inj.V3!$A$1:$K$36,11,FALSE),0)</f>
        <v>0</v>
      </c>
      <c r="K114">
        <f>IFERROR(HLOOKUP(K$2,[6]table_male_hkom1_inj.V3!$A$1:$K$36,11,FALSE),0)</f>
        <v>0</v>
      </c>
      <c r="L114">
        <f>IFERROR(HLOOKUP(L$2,[6]table_male_hkom1_inj.V3!$A$1:$K$36,11,FALSE),0)</f>
        <v>0</v>
      </c>
      <c r="M114">
        <f t="shared" si="41"/>
        <v>0</v>
      </c>
      <c r="S114" t="s">
        <v>79</v>
      </c>
      <c r="T114" s="5">
        <f t="shared" si="43"/>
        <v>0</v>
      </c>
      <c r="U114" s="5">
        <f t="shared" si="44"/>
        <v>0</v>
      </c>
      <c r="V114" s="5">
        <f t="shared" si="45"/>
        <v>0</v>
      </c>
      <c r="W114" s="5">
        <f t="shared" si="46"/>
        <v>0</v>
      </c>
      <c r="X114" s="9">
        <f t="shared" si="47"/>
        <v>0</v>
      </c>
      <c r="Y114" s="5">
        <f t="shared" si="48"/>
        <v>0</v>
      </c>
      <c r="Z114" s="5">
        <f t="shared" si="49"/>
        <v>0</v>
      </c>
      <c r="AA114" s="5">
        <f t="shared" si="50"/>
        <v>0</v>
      </c>
      <c r="AB114" s="5">
        <f t="shared" si="51"/>
        <v>0</v>
      </c>
    </row>
    <row r="115" spans="4:28" x14ac:dyDescent="0.25">
      <c r="D115" t="s">
        <v>80</v>
      </c>
      <c r="E115" s="64"/>
      <c r="F115" s="64"/>
      <c r="G115">
        <f>IFERROR(HLOOKUP(G$2,[6]table_male_hkom1_inj.V3!$A$1:$K$36,12,FALSE),0)</f>
        <v>0</v>
      </c>
      <c r="H115">
        <f>IFERROR(HLOOKUP(H$2,[6]table_male_hkom1_inj.V3!$A$1:$K$36,12,FALSE),0)</f>
        <v>0</v>
      </c>
      <c r="I115">
        <f>IFERROR(HLOOKUP(I$2,[6]table_male_hkom1_inj.V3!$A$1:$K$36,12,FALSE),0)</f>
        <v>0</v>
      </c>
      <c r="J115">
        <f>IFERROR(HLOOKUP(J$2,[6]table_male_hkom1_inj.V3!$A$1:$K$36,12,FALSE),0)</f>
        <v>0</v>
      </c>
      <c r="K115">
        <f>IFERROR(HLOOKUP(K$2,[6]table_male_hkom1_inj.V3!$A$1:$K$36,12,FALSE),0)</f>
        <v>0</v>
      </c>
      <c r="L115">
        <f>IFERROR(HLOOKUP(L$2,[6]table_male_hkom1_inj.V3!$A$1:$K$36,12,FALSE),0)</f>
        <v>0</v>
      </c>
      <c r="M115">
        <f t="shared" si="41"/>
        <v>0</v>
      </c>
      <c r="S115" t="s">
        <v>80</v>
      </c>
      <c r="T115" s="5">
        <f t="shared" si="43"/>
        <v>0</v>
      </c>
      <c r="U115" s="5">
        <f t="shared" si="44"/>
        <v>0</v>
      </c>
      <c r="V115" s="5">
        <f t="shared" si="45"/>
        <v>0</v>
      </c>
      <c r="W115" s="5">
        <f t="shared" si="46"/>
        <v>0</v>
      </c>
      <c r="X115" s="9">
        <f t="shared" si="47"/>
        <v>0</v>
      </c>
      <c r="Y115" s="5">
        <f t="shared" si="48"/>
        <v>0</v>
      </c>
      <c r="Z115" s="5">
        <f t="shared" si="49"/>
        <v>0</v>
      </c>
      <c r="AA115" s="5">
        <f t="shared" si="50"/>
        <v>0</v>
      </c>
      <c r="AB115" s="5">
        <f t="shared" si="51"/>
        <v>0</v>
      </c>
    </row>
    <row r="116" spans="4:28" x14ac:dyDescent="0.25">
      <c r="D116" t="s">
        <v>81</v>
      </c>
      <c r="E116" s="64"/>
      <c r="F116" s="64"/>
      <c r="G116">
        <f>IFERROR(HLOOKUP(G$2,[6]table_male_hkom1_inj.V3!$A$1:$K$36,13,FALSE),0)</f>
        <v>0</v>
      </c>
      <c r="H116">
        <f>IFERROR(HLOOKUP(H$2,[6]table_male_hkom1_inj.V3!$A$1:$K$36,13,FALSE),0)</f>
        <v>0</v>
      </c>
      <c r="I116">
        <f>IFERROR(HLOOKUP(I$2,[6]table_male_hkom1_inj.V3!$A$1:$K$36,13,FALSE),0)</f>
        <v>0</v>
      </c>
      <c r="J116">
        <f>IFERROR(HLOOKUP(J$2,[6]table_male_hkom1_inj.V3!$A$1:$K$36,13,FALSE),0)</f>
        <v>0</v>
      </c>
      <c r="K116">
        <f>IFERROR(HLOOKUP(K$2,[6]table_male_hkom1_inj.V3!$A$1:$K$36,13,FALSE),0)</f>
        <v>0</v>
      </c>
      <c r="L116">
        <f>IFERROR(HLOOKUP(L$2,[6]table_male_hkom1_inj.V3!$A$1:$K$36,13,FALSE),0)</f>
        <v>0</v>
      </c>
      <c r="M116">
        <f t="shared" si="41"/>
        <v>0</v>
      </c>
      <c r="S116" t="s">
        <v>81</v>
      </c>
      <c r="T116" s="5">
        <f t="shared" si="43"/>
        <v>0</v>
      </c>
      <c r="U116" s="5">
        <f t="shared" si="44"/>
        <v>0</v>
      </c>
      <c r="V116" s="5">
        <f t="shared" si="45"/>
        <v>0</v>
      </c>
      <c r="W116" s="5">
        <f t="shared" si="46"/>
        <v>0</v>
      </c>
      <c r="X116" s="9">
        <f t="shared" si="47"/>
        <v>0</v>
      </c>
      <c r="Y116" s="5">
        <f t="shared" si="48"/>
        <v>0</v>
      </c>
      <c r="Z116" s="5">
        <f t="shared" si="49"/>
        <v>0</v>
      </c>
      <c r="AA116" s="5">
        <f t="shared" si="50"/>
        <v>0</v>
      </c>
      <c r="AB116" s="5">
        <f t="shared" si="51"/>
        <v>0</v>
      </c>
    </row>
    <row r="117" spans="4:28" x14ac:dyDescent="0.25">
      <c r="D117" t="s">
        <v>82</v>
      </c>
      <c r="E117" s="64"/>
      <c r="F117" s="64"/>
      <c r="G117">
        <f>IFERROR(HLOOKUP(G$2,[6]table_male_hkom1_inj.V3!$A$1:$K$36,14,FALSE),0)</f>
        <v>0</v>
      </c>
      <c r="H117">
        <f>IFERROR(HLOOKUP(H$2,[6]table_male_hkom1_inj.V3!$A$1:$K$36,14,FALSE),0)</f>
        <v>0</v>
      </c>
      <c r="I117">
        <f>IFERROR(HLOOKUP(I$2,[6]table_male_hkom1_inj.V3!$A$1:$K$36,14,FALSE),0)</f>
        <v>0</v>
      </c>
      <c r="J117">
        <f>IFERROR(HLOOKUP(J$2,[6]table_male_hkom1_inj.V3!$A$1:$K$36,14,FALSE),0)</f>
        <v>0</v>
      </c>
      <c r="K117">
        <f>IFERROR(HLOOKUP(K$2,[6]table_male_hkom1_inj.V3!$A$1:$K$36,14,FALSE),0)</f>
        <v>0</v>
      </c>
      <c r="L117">
        <f>IFERROR(HLOOKUP(L$2,[6]table_male_hkom1_inj.V3!$A$1:$K$36,14,FALSE),0)</f>
        <v>0</v>
      </c>
      <c r="M117">
        <f t="shared" si="41"/>
        <v>0</v>
      </c>
      <c r="S117" t="s">
        <v>82</v>
      </c>
      <c r="T117" s="5">
        <f t="shared" si="43"/>
        <v>0</v>
      </c>
      <c r="U117" s="5">
        <f t="shared" si="44"/>
        <v>0</v>
      </c>
      <c r="V117" s="5">
        <f t="shared" si="45"/>
        <v>0</v>
      </c>
      <c r="W117" s="5">
        <f t="shared" si="46"/>
        <v>0</v>
      </c>
      <c r="X117" s="9">
        <f t="shared" si="47"/>
        <v>0</v>
      </c>
      <c r="Y117" s="5">
        <f t="shared" si="48"/>
        <v>0</v>
      </c>
      <c r="Z117" s="5">
        <f t="shared" si="49"/>
        <v>0</v>
      </c>
      <c r="AA117" s="5">
        <f t="shared" si="50"/>
        <v>0</v>
      </c>
      <c r="AB117" s="5">
        <f t="shared" si="51"/>
        <v>0</v>
      </c>
    </row>
    <row r="118" spans="4:28" x14ac:dyDescent="0.25">
      <c r="D118" t="s">
        <v>83</v>
      </c>
      <c r="E118" s="64"/>
      <c r="F118" s="64"/>
      <c r="G118">
        <f>IFERROR(HLOOKUP(G$2,[6]table_male_hkom1_inj.V3!$A$1:$K$36,15,FALSE),0)</f>
        <v>0</v>
      </c>
      <c r="H118">
        <f>IFERROR(HLOOKUP(H$2,[6]table_male_hkom1_inj.V3!$A$1:$K$36,15,FALSE),0)</f>
        <v>0</v>
      </c>
      <c r="I118">
        <f>IFERROR(HLOOKUP(I$2,[6]table_male_hkom1_inj.V3!$A$1:$K$36,15,FALSE),0)</f>
        <v>0</v>
      </c>
      <c r="J118">
        <f>IFERROR(HLOOKUP(J$2,[6]table_male_hkom1_inj.V3!$A$1:$K$36,15,FALSE),0)</f>
        <v>0</v>
      </c>
      <c r="K118">
        <f>IFERROR(HLOOKUP(K$2,[6]table_male_hkom1_inj.V3!$A$1:$K$36,15,FALSE),0)</f>
        <v>0</v>
      </c>
      <c r="L118">
        <f>IFERROR(HLOOKUP(L$2,[6]table_male_hkom1_inj.V3!$A$1:$K$36,15,FALSE),0)</f>
        <v>0</v>
      </c>
      <c r="M118">
        <f t="shared" si="41"/>
        <v>0</v>
      </c>
      <c r="S118" t="s">
        <v>83</v>
      </c>
      <c r="T118" s="5">
        <f t="shared" si="43"/>
        <v>0</v>
      </c>
      <c r="U118" s="5">
        <f t="shared" si="44"/>
        <v>0</v>
      </c>
      <c r="V118" s="5">
        <f t="shared" si="45"/>
        <v>0</v>
      </c>
      <c r="W118" s="5">
        <f t="shared" si="46"/>
        <v>0</v>
      </c>
      <c r="X118" s="9">
        <f t="shared" si="47"/>
        <v>0</v>
      </c>
      <c r="Y118" s="5">
        <f t="shared" si="48"/>
        <v>0</v>
      </c>
      <c r="Z118" s="5">
        <f t="shared" si="49"/>
        <v>0</v>
      </c>
      <c r="AA118" s="5">
        <f t="shared" si="50"/>
        <v>0</v>
      </c>
      <c r="AB118" s="5">
        <f t="shared" si="51"/>
        <v>0</v>
      </c>
    </row>
    <row r="119" spans="4:28" x14ac:dyDescent="0.25">
      <c r="D119" t="s">
        <v>84</v>
      </c>
      <c r="E119" s="64"/>
      <c r="F119" s="64"/>
      <c r="G119">
        <f>IFERROR(HLOOKUP(G$2,[6]table_male_hkom1_inj.V3!$A$1:$K$36,16,FALSE),0)</f>
        <v>0</v>
      </c>
      <c r="H119">
        <f>IFERROR(HLOOKUP(H$2,[6]table_male_hkom1_inj.V3!$A$1:$K$36,16,FALSE),0)</f>
        <v>0</v>
      </c>
      <c r="I119">
        <f>IFERROR(HLOOKUP(I$2,[6]table_male_hkom1_inj.V3!$A$1:$K$36,16,FALSE),0)</f>
        <v>0</v>
      </c>
      <c r="J119">
        <f>IFERROR(HLOOKUP(J$2,[6]table_male_hkom1_inj.V3!$A$1:$K$36,16,FALSE),0)</f>
        <v>0</v>
      </c>
      <c r="K119">
        <f>IFERROR(HLOOKUP(K$2,[6]table_male_hkom1_inj.V3!$A$1:$K$36,16,FALSE),0)</f>
        <v>0</v>
      </c>
      <c r="L119">
        <f>IFERROR(HLOOKUP(L$2,[6]table_male_hkom1_inj.V3!$A$1:$K$36,16,FALSE),0)</f>
        <v>0</v>
      </c>
      <c r="M119">
        <f t="shared" si="41"/>
        <v>0</v>
      </c>
      <c r="S119" t="s">
        <v>84</v>
      </c>
      <c r="T119" s="5">
        <f t="shared" si="43"/>
        <v>0</v>
      </c>
      <c r="U119" s="5">
        <f t="shared" si="44"/>
        <v>0</v>
      </c>
      <c r="V119" s="5">
        <f t="shared" si="45"/>
        <v>0</v>
      </c>
      <c r="W119" s="5">
        <f t="shared" si="46"/>
        <v>0</v>
      </c>
      <c r="X119" s="9">
        <f t="shared" si="47"/>
        <v>0</v>
      </c>
      <c r="Y119" s="5">
        <f t="shared" si="48"/>
        <v>0</v>
      </c>
      <c r="Z119" s="5">
        <f t="shared" si="49"/>
        <v>0</v>
      </c>
      <c r="AA119" s="5">
        <f t="shared" si="50"/>
        <v>0</v>
      </c>
      <c r="AB119" s="5">
        <f t="shared" si="51"/>
        <v>0</v>
      </c>
    </row>
    <row r="120" spans="4:28" x14ac:dyDescent="0.25">
      <c r="D120" t="s">
        <v>85</v>
      </c>
      <c r="E120" s="64"/>
      <c r="F120" s="64"/>
      <c r="G120">
        <f>IFERROR(HLOOKUP(G$2,[6]table_male_hkom1_inj.V3!$A$1:$K$36,17,FALSE),0)</f>
        <v>0</v>
      </c>
      <c r="H120">
        <f>IFERROR(HLOOKUP(H$2,[6]table_male_hkom1_inj.V3!$A$1:$K$36,17,FALSE),0)</f>
        <v>0</v>
      </c>
      <c r="I120">
        <f>IFERROR(HLOOKUP(I$2,[6]table_male_hkom1_inj.V3!$A$1:$K$36,17,FALSE),0)</f>
        <v>0</v>
      </c>
      <c r="J120">
        <f>IFERROR(HLOOKUP(J$2,[6]table_male_hkom1_inj.V3!$A$1:$K$36,17,FALSE),0)</f>
        <v>0</v>
      </c>
      <c r="K120">
        <f>IFERROR(HLOOKUP(K$2,[6]table_male_hkom1_inj.V3!$A$1:$K$36,17,FALSE),0)</f>
        <v>0</v>
      </c>
      <c r="L120">
        <f>IFERROR(HLOOKUP(L$2,[6]table_male_hkom1_inj.V3!$A$1:$K$36,17,FALSE),0)</f>
        <v>0</v>
      </c>
      <c r="M120">
        <f t="shared" si="41"/>
        <v>0</v>
      </c>
      <c r="S120" t="s">
        <v>85</v>
      </c>
      <c r="T120" s="5">
        <f t="shared" si="43"/>
        <v>0</v>
      </c>
      <c r="U120" s="5">
        <f t="shared" si="44"/>
        <v>0</v>
      </c>
      <c r="V120" s="5">
        <f t="shared" si="45"/>
        <v>0</v>
      </c>
      <c r="W120" s="5">
        <f t="shared" si="46"/>
        <v>0</v>
      </c>
      <c r="X120" s="9">
        <f t="shared" si="47"/>
        <v>0</v>
      </c>
      <c r="Y120" s="5">
        <f t="shared" si="48"/>
        <v>0</v>
      </c>
      <c r="Z120" s="5">
        <f t="shared" si="49"/>
        <v>0</v>
      </c>
      <c r="AA120" s="5">
        <f t="shared" si="50"/>
        <v>0</v>
      </c>
      <c r="AB120" s="5">
        <f t="shared" si="51"/>
        <v>0</v>
      </c>
    </row>
    <row r="121" spans="4:28" x14ac:dyDescent="0.25">
      <c r="D121" t="s">
        <v>86</v>
      </c>
      <c r="E121" s="64"/>
      <c r="F121" s="64"/>
      <c r="G121">
        <f>IFERROR(HLOOKUP(G$2,[6]table_male_hkom1_inj.V3!$A$1:$K$36,18,FALSE),0)</f>
        <v>0</v>
      </c>
      <c r="H121">
        <f>IFERROR(HLOOKUP(H$2,[6]table_male_hkom1_inj.V3!$A$1:$K$36,18,FALSE),0)</f>
        <v>0</v>
      </c>
      <c r="I121">
        <f>IFERROR(HLOOKUP(I$2,[6]table_male_hkom1_inj.V3!$A$1:$K$36,18,FALSE),0)</f>
        <v>0</v>
      </c>
      <c r="J121">
        <f>IFERROR(HLOOKUP(J$2,[6]table_male_hkom1_inj.V3!$A$1:$K$36,18,FALSE),0)</f>
        <v>0</v>
      </c>
      <c r="K121">
        <f>IFERROR(HLOOKUP(K$2,[6]table_male_hkom1_inj.V3!$A$1:$K$36,18,FALSE),0)</f>
        <v>0</v>
      </c>
      <c r="L121">
        <f>IFERROR(HLOOKUP(L$2,[6]table_male_hkom1_inj.V3!$A$1:$K$36,18,FALSE),0)</f>
        <v>0</v>
      </c>
      <c r="M121">
        <f t="shared" si="41"/>
        <v>0</v>
      </c>
      <c r="S121" t="s">
        <v>86</v>
      </c>
      <c r="T121" s="5">
        <f t="shared" si="43"/>
        <v>0</v>
      </c>
      <c r="U121" s="5">
        <f t="shared" si="44"/>
        <v>0</v>
      </c>
      <c r="V121" s="5">
        <f t="shared" si="45"/>
        <v>0</v>
      </c>
      <c r="W121" s="5">
        <f t="shared" si="46"/>
        <v>0</v>
      </c>
      <c r="X121" s="9">
        <f t="shared" si="47"/>
        <v>0</v>
      </c>
      <c r="Y121" s="5">
        <f t="shared" si="48"/>
        <v>0</v>
      </c>
      <c r="Z121" s="5">
        <f t="shared" si="49"/>
        <v>0</v>
      </c>
      <c r="AA121" s="5">
        <f t="shared" si="50"/>
        <v>0</v>
      </c>
      <c r="AB121" s="5">
        <f t="shared" si="51"/>
        <v>0</v>
      </c>
    </row>
    <row r="122" spans="4:28" x14ac:dyDescent="0.25">
      <c r="D122" t="s">
        <v>87</v>
      </c>
      <c r="E122" s="64"/>
      <c r="F122" s="64"/>
      <c r="G122">
        <f>IFERROR(HLOOKUP(G$2,[6]table_male_hkom1_inj.V3!$A$1:$K$36,19,FALSE),0)</f>
        <v>0</v>
      </c>
      <c r="H122">
        <f>IFERROR(HLOOKUP(H$2,[6]table_male_hkom1_inj.V3!$A$1:$K$36,19,FALSE),0)</f>
        <v>0</v>
      </c>
      <c r="I122">
        <f>IFERROR(HLOOKUP(I$2,[6]table_male_hkom1_inj.V3!$A$1:$K$36,19,FALSE),0)</f>
        <v>0</v>
      </c>
      <c r="J122">
        <f>IFERROR(HLOOKUP(J$2,[6]table_male_hkom1_inj.V3!$A$1:$K$36,19,FALSE),0)</f>
        <v>0</v>
      </c>
      <c r="K122">
        <f>IFERROR(HLOOKUP(K$2,[6]table_male_hkom1_inj.V3!$A$1:$K$36,19,FALSE),0)</f>
        <v>0</v>
      </c>
      <c r="L122">
        <f>IFERROR(HLOOKUP(L$2,[6]table_male_hkom1_inj.V3!$A$1:$K$36,19,FALSE),0)</f>
        <v>0</v>
      </c>
      <c r="M122">
        <f t="shared" si="41"/>
        <v>0</v>
      </c>
      <c r="S122" t="s">
        <v>87</v>
      </c>
      <c r="T122" s="5">
        <f t="shared" si="43"/>
        <v>0</v>
      </c>
      <c r="U122" s="5">
        <f t="shared" si="44"/>
        <v>0</v>
      </c>
      <c r="V122" s="5">
        <f t="shared" si="45"/>
        <v>0</v>
      </c>
      <c r="W122" s="5">
        <f t="shared" si="46"/>
        <v>0</v>
      </c>
      <c r="X122" s="9">
        <f t="shared" si="47"/>
        <v>0</v>
      </c>
      <c r="Y122" s="5">
        <f t="shared" si="48"/>
        <v>0</v>
      </c>
      <c r="Z122" s="5">
        <f t="shared" si="49"/>
        <v>0</v>
      </c>
      <c r="AA122" s="5">
        <f t="shared" si="50"/>
        <v>0</v>
      </c>
      <c r="AB122" s="5">
        <f t="shared" si="51"/>
        <v>0</v>
      </c>
    </row>
    <row r="123" spans="4:28" x14ac:dyDescent="0.25">
      <c r="D123" t="s">
        <v>88</v>
      </c>
      <c r="E123" s="64"/>
      <c r="F123" s="64"/>
      <c r="G123">
        <f>IFERROR(HLOOKUP(G$2,[6]table_male_hkom1_inj.V3!$A$1:$K$36,20,FALSE),0)</f>
        <v>0</v>
      </c>
      <c r="H123">
        <f>IFERROR(HLOOKUP(H$2,[6]table_male_hkom1_inj.V3!$A$1:$K$36,20,FALSE),0)</f>
        <v>0</v>
      </c>
      <c r="I123">
        <f>IFERROR(HLOOKUP(I$2,[6]table_male_hkom1_inj.V3!$A$1:$K$36,20,FALSE),0)</f>
        <v>0</v>
      </c>
      <c r="J123">
        <f>IFERROR(HLOOKUP(J$2,[6]table_male_hkom1_inj.V3!$A$1:$K$36,20,FALSE),0)</f>
        <v>0</v>
      </c>
      <c r="K123">
        <f>IFERROR(HLOOKUP(K$2,[6]table_male_hkom1_inj.V3!$A$1:$K$36,20,FALSE),0)</f>
        <v>0</v>
      </c>
      <c r="L123">
        <f>IFERROR(HLOOKUP(L$2,[6]table_male_hkom1_inj.V3!$A$1:$K$36,20,FALSE),0)</f>
        <v>0</v>
      </c>
      <c r="M123">
        <f t="shared" si="41"/>
        <v>0</v>
      </c>
      <c r="S123" t="s">
        <v>88</v>
      </c>
      <c r="T123" s="5">
        <f t="shared" si="43"/>
        <v>0</v>
      </c>
      <c r="U123" s="5">
        <f t="shared" si="44"/>
        <v>0</v>
      </c>
      <c r="V123" s="5">
        <f t="shared" si="45"/>
        <v>0</v>
      </c>
      <c r="W123" s="5">
        <f t="shared" si="46"/>
        <v>0</v>
      </c>
      <c r="X123" s="9">
        <f t="shared" si="47"/>
        <v>0</v>
      </c>
      <c r="Y123" s="5">
        <f t="shared" si="48"/>
        <v>0</v>
      </c>
      <c r="Z123" s="5">
        <f t="shared" si="49"/>
        <v>0</v>
      </c>
      <c r="AA123" s="5">
        <f t="shared" si="50"/>
        <v>0</v>
      </c>
      <c r="AB123" s="5">
        <f t="shared" si="51"/>
        <v>0</v>
      </c>
    </row>
    <row r="124" spans="4:28" x14ac:dyDescent="0.25">
      <c r="D124" t="s">
        <v>89</v>
      </c>
      <c r="E124" s="64"/>
      <c r="F124" s="64"/>
      <c r="G124">
        <f>IFERROR(HLOOKUP(G$2,[6]table_male_hkom1_inj.V3!$A$1:$K$36,21,FALSE),0)</f>
        <v>0</v>
      </c>
      <c r="H124">
        <f>IFERROR(HLOOKUP(H$2,[6]table_male_hkom1_inj.V3!$A$1:$K$36,21,FALSE),0)</f>
        <v>0</v>
      </c>
      <c r="I124">
        <f>IFERROR(HLOOKUP(I$2,[6]table_male_hkom1_inj.V3!$A$1:$K$36,21,FALSE),0)</f>
        <v>0</v>
      </c>
      <c r="J124">
        <f>IFERROR(HLOOKUP(J$2,[6]table_male_hkom1_inj.V3!$A$1:$K$36,21,FALSE),0)</f>
        <v>0</v>
      </c>
      <c r="K124">
        <f>IFERROR(HLOOKUP(K$2,[6]table_male_hkom1_inj.V3!$A$1:$K$36,21,FALSE),0)</f>
        <v>0</v>
      </c>
      <c r="L124">
        <f>IFERROR(HLOOKUP(L$2,[6]table_male_hkom1_inj.V3!$A$1:$K$36,21,FALSE),0)</f>
        <v>0</v>
      </c>
      <c r="M124">
        <f t="shared" si="41"/>
        <v>0</v>
      </c>
      <c r="S124" t="s">
        <v>89</v>
      </c>
      <c r="T124" s="5">
        <f t="shared" si="43"/>
        <v>0</v>
      </c>
      <c r="U124" s="5">
        <f t="shared" si="44"/>
        <v>0</v>
      </c>
      <c r="V124" s="5">
        <f t="shared" si="45"/>
        <v>0</v>
      </c>
      <c r="W124" s="5">
        <f t="shared" si="46"/>
        <v>0</v>
      </c>
      <c r="X124" s="9">
        <f t="shared" si="47"/>
        <v>0</v>
      </c>
      <c r="Y124" s="5">
        <f t="shared" si="48"/>
        <v>0</v>
      </c>
      <c r="Z124" s="5">
        <f t="shared" si="49"/>
        <v>0</v>
      </c>
      <c r="AA124" s="5">
        <f t="shared" si="50"/>
        <v>0</v>
      </c>
      <c r="AB124" s="5">
        <f t="shared" si="51"/>
        <v>0</v>
      </c>
    </row>
    <row r="125" spans="4:28" x14ac:dyDescent="0.25">
      <c r="D125" t="s">
        <v>90</v>
      </c>
      <c r="E125" s="64"/>
      <c r="F125" s="64"/>
      <c r="G125">
        <f>IFERROR(HLOOKUP(G$2,[6]table_male_hkom1_inj.V3!$A$1:$K$36,22,FALSE),0)</f>
        <v>0</v>
      </c>
      <c r="H125">
        <f>IFERROR(HLOOKUP(H$2,[6]table_male_hkom1_inj.V3!$A$1:$K$36,22,FALSE),0)</f>
        <v>0</v>
      </c>
      <c r="I125">
        <f>IFERROR(HLOOKUP(I$2,[6]table_male_hkom1_inj.V3!$A$1:$K$36,22,FALSE),0)</f>
        <v>0</v>
      </c>
      <c r="J125">
        <f>IFERROR(HLOOKUP(J$2,[6]table_male_hkom1_inj.V3!$A$1:$K$36,22,FALSE),0)</f>
        <v>0</v>
      </c>
      <c r="K125">
        <f>IFERROR(HLOOKUP(K$2,[6]table_male_hkom1_inj.V3!$A$1:$K$36,22,FALSE),0)</f>
        <v>0</v>
      </c>
      <c r="L125">
        <f>IFERROR(HLOOKUP(L$2,[6]table_male_hkom1_inj.V3!$A$1:$K$36,22,FALSE),0)</f>
        <v>0</v>
      </c>
      <c r="M125">
        <f t="shared" si="41"/>
        <v>0</v>
      </c>
      <c r="S125" t="s">
        <v>90</v>
      </c>
      <c r="T125" s="5">
        <f t="shared" si="43"/>
        <v>0</v>
      </c>
      <c r="U125" s="5">
        <f t="shared" si="44"/>
        <v>0</v>
      </c>
      <c r="V125" s="5">
        <f t="shared" si="45"/>
        <v>0</v>
      </c>
      <c r="W125" s="5">
        <f t="shared" si="46"/>
        <v>0</v>
      </c>
      <c r="X125" s="9">
        <f t="shared" si="47"/>
        <v>0</v>
      </c>
      <c r="Y125" s="5">
        <f t="shared" si="48"/>
        <v>0</v>
      </c>
      <c r="Z125" s="5">
        <f t="shared" si="49"/>
        <v>0</v>
      </c>
      <c r="AA125" s="5">
        <f t="shared" si="50"/>
        <v>0</v>
      </c>
      <c r="AB125" s="5">
        <f t="shared" si="51"/>
        <v>0</v>
      </c>
    </row>
    <row r="126" spans="4:28" x14ac:dyDescent="0.25">
      <c r="D126" t="s">
        <v>91</v>
      </c>
      <c r="E126" s="64"/>
      <c r="F126" s="64"/>
      <c r="G126">
        <f>IFERROR(HLOOKUP(G$2,[6]table_male_hkom1_inj.V3!$A$1:$K$36,23,FALSE),0)</f>
        <v>0</v>
      </c>
      <c r="H126">
        <f>IFERROR(HLOOKUP(H$2,[6]table_male_hkom1_inj.V3!$A$1:$K$36,23,FALSE),0)</f>
        <v>0</v>
      </c>
      <c r="I126">
        <f>IFERROR(HLOOKUP(I$2,[6]table_male_hkom1_inj.V3!$A$1:$K$36,23,FALSE),0)</f>
        <v>0</v>
      </c>
      <c r="J126">
        <f>IFERROR(HLOOKUP(J$2,[6]table_male_hkom1_inj.V3!$A$1:$K$36,23,FALSE),0)</f>
        <v>0</v>
      </c>
      <c r="K126">
        <f>IFERROR(HLOOKUP(K$2,[6]table_male_hkom1_inj.V3!$A$1:$K$36,23,FALSE),0)</f>
        <v>0</v>
      </c>
      <c r="L126">
        <f>IFERROR(HLOOKUP(L$2,[6]table_male_hkom1_inj.V3!$A$1:$K$36,23,FALSE),0)</f>
        <v>0</v>
      </c>
      <c r="M126">
        <f t="shared" si="41"/>
        <v>0</v>
      </c>
      <c r="S126" t="s">
        <v>91</v>
      </c>
      <c r="T126" s="5">
        <f t="shared" si="43"/>
        <v>0</v>
      </c>
      <c r="U126" s="5">
        <f t="shared" si="44"/>
        <v>0</v>
      </c>
      <c r="V126" s="5">
        <f t="shared" si="45"/>
        <v>0</v>
      </c>
      <c r="W126" s="5">
        <f t="shared" si="46"/>
        <v>0</v>
      </c>
      <c r="X126" s="9">
        <f t="shared" si="47"/>
        <v>0</v>
      </c>
      <c r="Y126" s="5">
        <f t="shared" si="48"/>
        <v>0</v>
      </c>
      <c r="Z126" s="5">
        <f t="shared" si="49"/>
        <v>0</v>
      </c>
      <c r="AA126" s="5">
        <f t="shared" si="50"/>
        <v>0</v>
      </c>
      <c r="AB126" s="5">
        <f t="shared" si="51"/>
        <v>0</v>
      </c>
    </row>
    <row r="127" spans="4:28" x14ac:dyDescent="0.25">
      <c r="D127" t="s">
        <v>92</v>
      </c>
      <c r="E127" s="64"/>
      <c r="F127" s="64"/>
      <c r="G127">
        <f>IFERROR(HLOOKUP(G$2,[6]table_male_hkom1_inj.V3!$A$1:$K$36,24,FALSE),0)</f>
        <v>0</v>
      </c>
      <c r="H127">
        <f>IFERROR(HLOOKUP(H$2,[6]table_male_hkom1_inj.V3!$A$1:$K$36,24,FALSE),0)</f>
        <v>0</v>
      </c>
      <c r="I127">
        <f>IFERROR(HLOOKUP(I$2,[6]table_male_hkom1_inj.V3!$A$1:$K$36,24,FALSE),0)</f>
        <v>0</v>
      </c>
      <c r="J127">
        <f>IFERROR(HLOOKUP(J$2,[6]table_male_hkom1_inj.V3!$A$1:$K$36,24,FALSE),0)</f>
        <v>0</v>
      </c>
      <c r="K127">
        <f>IFERROR(HLOOKUP(K$2,[6]table_male_hkom1_inj.V3!$A$1:$K$36,24,FALSE),0)</f>
        <v>0</v>
      </c>
      <c r="L127">
        <f>IFERROR(HLOOKUP(L$2,[6]table_male_hkom1_inj.V3!$A$1:$K$36,24,FALSE),0)</f>
        <v>0</v>
      </c>
      <c r="M127">
        <f t="shared" si="41"/>
        <v>0</v>
      </c>
      <c r="S127" t="s">
        <v>92</v>
      </c>
      <c r="T127" s="5">
        <f t="shared" si="43"/>
        <v>0</v>
      </c>
      <c r="U127" s="5">
        <f t="shared" si="44"/>
        <v>0</v>
      </c>
      <c r="V127" s="5">
        <f t="shared" si="45"/>
        <v>0</v>
      </c>
      <c r="W127" s="5">
        <f t="shared" si="46"/>
        <v>0</v>
      </c>
      <c r="X127" s="9">
        <f t="shared" si="47"/>
        <v>0</v>
      </c>
      <c r="Y127" s="5">
        <f t="shared" si="48"/>
        <v>0</v>
      </c>
      <c r="Z127" s="5">
        <f t="shared" si="49"/>
        <v>0</v>
      </c>
      <c r="AA127" s="5">
        <f t="shared" si="50"/>
        <v>0</v>
      </c>
      <c r="AB127" s="5">
        <f t="shared" si="51"/>
        <v>0</v>
      </c>
    </row>
    <row r="128" spans="4:28" x14ac:dyDescent="0.25">
      <c r="D128" t="s">
        <v>93</v>
      </c>
      <c r="E128" s="64"/>
      <c r="F128" s="64"/>
      <c r="G128">
        <f>IFERROR(HLOOKUP(G$2,[6]table_male_hkom1_inj.V3!$A$1:$K$36,25,FALSE),0)</f>
        <v>0</v>
      </c>
      <c r="H128">
        <f>IFERROR(HLOOKUP(H$2,[6]table_male_hkom1_inj.V3!$A$1:$K$36,25,FALSE),0)</f>
        <v>0</v>
      </c>
      <c r="I128">
        <f>IFERROR(HLOOKUP(I$2,[6]table_male_hkom1_inj.V3!$A$1:$K$36,25,FALSE),0)</f>
        <v>0</v>
      </c>
      <c r="J128">
        <f>IFERROR(HLOOKUP(J$2,[6]table_male_hkom1_inj.V3!$A$1:$K$36,25,FALSE),0)</f>
        <v>0</v>
      </c>
      <c r="K128">
        <f>IFERROR(HLOOKUP(K$2,[6]table_male_hkom1_inj.V3!$A$1:$K$36,25,FALSE),0)</f>
        <v>0</v>
      </c>
      <c r="L128">
        <f>IFERROR(HLOOKUP(L$2,[6]table_male_hkom1_inj.V3!$A$1:$K$36,25,FALSE),0)</f>
        <v>0</v>
      </c>
      <c r="M128">
        <f t="shared" si="41"/>
        <v>0</v>
      </c>
      <c r="S128" t="s">
        <v>93</v>
      </c>
      <c r="T128" s="5">
        <f t="shared" si="43"/>
        <v>0</v>
      </c>
      <c r="U128" s="5">
        <f t="shared" si="44"/>
        <v>0</v>
      </c>
      <c r="V128" s="5">
        <f t="shared" si="45"/>
        <v>0</v>
      </c>
      <c r="W128" s="5">
        <f t="shared" si="46"/>
        <v>0</v>
      </c>
      <c r="X128" s="9">
        <f t="shared" si="47"/>
        <v>0</v>
      </c>
      <c r="Y128" s="5">
        <f t="shared" si="48"/>
        <v>0</v>
      </c>
      <c r="Z128" s="5">
        <f t="shared" si="49"/>
        <v>0</v>
      </c>
      <c r="AA128" s="5">
        <f t="shared" si="50"/>
        <v>0</v>
      </c>
      <c r="AB128" s="5">
        <f t="shared" si="51"/>
        <v>0</v>
      </c>
    </row>
    <row r="129" spans="1:29" x14ac:dyDescent="0.25">
      <c r="D129" t="s">
        <v>94</v>
      </c>
      <c r="E129" s="64"/>
      <c r="F129" s="64"/>
      <c r="G129">
        <f>IFERROR(HLOOKUP(G$2,[6]table_male_hkom1_inj.V3!$A$1:$K$36,26,FALSE),0)</f>
        <v>0</v>
      </c>
      <c r="H129">
        <f>IFERROR(HLOOKUP(H$2,[6]table_male_hkom1_inj.V3!$A$1:$K$36,26,FALSE),0)</f>
        <v>0</v>
      </c>
      <c r="I129">
        <f>IFERROR(HLOOKUP(I$2,[6]table_male_hkom1_inj.V3!$A$1:$K$36,26,FALSE),0)</f>
        <v>0</v>
      </c>
      <c r="J129">
        <f>IFERROR(HLOOKUP(J$2,[6]table_male_hkom1_inj.V3!$A$1:$K$36,26,FALSE),0)</f>
        <v>0</v>
      </c>
      <c r="K129">
        <f>IFERROR(HLOOKUP(K$2,[6]table_male_hkom1_inj.V3!$A$1:$K$36,26,FALSE),0)</f>
        <v>0</v>
      </c>
      <c r="L129">
        <f>IFERROR(HLOOKUP(L$2,[6]table_male_hkom1_inj.V3!$A$1:$K$36,26,FALSE),0)</f>
        <v>0</v>
      </c>
      <c r="M129">
        <f t="shared" si="41"/>
        <v>0</v>
      </c>
      <c r="S129" t="s">
        <v>94</v>
      </c>
      <c r="T129" s="5">
        <f t="shared" si="43"/>
        <v>0</v>
      </c>
      <c r="U129" s="5">
        <f t="shared" si="44"/>
        <v>0</v>
      </c>
      <c r="V129" s="5">
        <f t="shared" si="45"/>
        <v>0</v>
      </c>
      <c r="W129" s="5">
        <f t="shared" si="46"/>
        <v>0</v>
      </c>
      <c r="X129" s="9">
        <f t="shared" si="47"/>
        <v>0</v>
      </c>
      <c r="Y129" s="5">
        <f t="shared" si="48"/>
        <v>0</v>
      </c>
      <c r="Z129" s="5">
        <f t="shared" si="49"/>
        <v>0</v>
      </c>
      <c r="AA129" s="5">
        <f t="shared" si="50"/>
        <v>0</v>
      </c>
      <c r="AB129" s="5">
        <f t="shared" si="51"/>
        <v>0</v>
      </c>
    </row>
    <row r="130" spans="1:29" x14ac:dyDescent="0.25">
      <c r="D130" t="s">
        <v>95</v>
      </c>
      <c r="E130" s="64"/>
      <c r="F130" s="64"/>
      <c r="G130">
        <f>IFERROR(HLOOKUP(G$2,[6]table_male_hkom1_inj.V3!$A$1:$K$36,27,FALSE),0)</f>
        <v>0</v>
      </c>
      <c r="H130">
        <f>IFERROR(HLOOKUP(H$2,[6]table_male_hkom1_inj.V3!$A$1:$K$36,27,FALSE),0)</f>
        <v>0</v>
      </c>
      <c r="I130">
        <f>IFERROR(HLOOKUP(I$2,[6]table_male_hkom1_inj.V3!$A$1:$K$36,27,FALSE),0)</f>
        <v>0</v>
      </c>
      <c r="J130">
        <f>IFERROR(HLOOKUP(J$2,[6]table_male_hkom1_inj.V3!$A$1:$K$36,27,FALSE),0)</f>
        <v>0</v>
      </c>
      <c r="K130">
        <f>IFERROR(HLOOKUP(K$2,[6]table_male_hkom1_inj.V3!$A$1:$K$36,27,FALSE),0)</f>
        <v>0</v>
      </c>
      <c r="L130">
        <f>IFERROR(HLOOKUP(L$2,[6]table_male_hkom1_inj.V3!$A$1:$K$36,27,FALSE),0)</f>
        <v>0</v>
      </c>
      <c r="M130">
        <f t="shared" si="41"/>
        <v>0</v>
      </c>
      <c r="S130" t="s">
        <v>95</v>
      </c>
      <c r="T130" s="5">
        <f t="shared" si="43"/>
        <v>0</v>
      </c>
      <c r="U130" s="5">
        <f t="shared" si="44"/>
        <v>0</v>
      </c>
      <c r="V130" s="5">
        <f t="shared" si="45"/>
        <v>0</v>
      </c>
      <c r="W130" s="5">
        <f t="shared" si="46"/>
        <v>0</v>
      </c>
      <c r="X130" s="9">
        <f t="shared" si="47"/>
        <v>0</v>
      </c>
      <c r="Y130" s="5">
        <f t="shared" si="48"/>
        <v>0</v>
      </c>
      <c r="Z130" s="5">
        <f t="shared" si="49"/>
        <v>0</v>
      </c>
      <c r="AA130" s="5">
        <f t="shared" si="50"/>
        <v>0</v>
      </c>
      <c r="AB130" s="5">
        <f t="shared" si="51"/>
        <v>0</v>
      </c>
    </row>
    <row r="131" spans="1:29" x14ac:dyDescent="0.25">
      <c r="D131" t="s">
        <v>96</v>
      </c>
      <c r="E131" s="64"/>
      <c r="F131" s="64"/>
      <c r="G131">
        <f>IFERROR(HLOOKUP(G$2,[6]table_male_hkom1_inj.V3!$A$1:$K$36,28,FALSE),0)</f>
        <v>0</v>
      </c>
      <c r="H131">
        <f>IFERROR(HLOOKUP(H$2,[6]table_male_hkom1_inj.V3!$A$1:$K$36,28,FALSE),0)</f>
        <v>0</v>
      </c>
      <c r="I131">
        <f>IFERROR(HLOOKUP(I$2,[6]table_male_hkom1_inj.V3!$A$1:$K$36,28,FALSE),0)</f>
        <v>0</v>
      </c>
      <c r="J131">
        <f>IFERROR(HLOOKUP(J$2,[6]table_male_hkom1_inj.V3!$A$1:$K$36,28,FALSE),0)</f>
        <v>0</v>
      </c>
      <c r="K131">
        <f>IFERROR(HLOOKUP(K$2,[6]table_male_hkom1_inj.V3!$A$1:$K$36,28,FALSE),0)</f>
        <v>0</v>
      </c>
      <c r="L131">
        <f>IFERROR(HLOOKUP(L$2,[6]table_male_hkom1_inj.V3!$A$1:$K$36,28,FALSE),0)</f>
        <v>0</v>
      </c>
      <c r="M131">
        <f t="shared" si="41"/>
        <v>0</v>
      </c>
      <c r="S131" t="s">
        <v>96</v>
      </c>
      <c r="T131" s="5">
        <f t="shared" si="43"/>
        <v>0</v>
      </c>
      <c r="U131" s="5">
        <f t="shared" si="44"/>
        <v>0</v>
      </c>
      <c r="V131" s="5">
        <f t="shared" si="45"/>
        <v>0</v>
      </c>
      <c r="W131" s="5">
        <f t="shared" si="46"/>
        <v>0</v>
      </c>
      <c r="X131" s="9">
        <f t="shared" si="47"/>
        <v>0</v>
      </c>
      <c r="Y131" s="5">
        <f t="shared" si="48"/>
        <v>0</v>
      </c>
      <c r="Z131" s="5">
        <f t="shared" si="49"/>
        <v>0</v>
      </c>
      <c r="AA131" s="5">
        <f t="shared" si="50"/>
        <v>0</v>
      </c>
      <c r="AB131" s="5">
        <f t="shared" si="51"/>
        <v>0</v>
      </c>
    </row>
    <row r="132" spans="1:29" x14ac:dyDescent="0.25">
      <c r="D132" t="s">
        <v>97</v>
      </c>
      <c r="E132" s="64"/>
      <c r="F132" s="64"/>
      <c r="G132">
        <f>IFERROR(HLOOKUP(G$2,[6]table_male_hkom1_inj.V3!$A$1:$K$36,29,FALSE),0)</f>
        <v>0</v>
      </c>
      <c r="H132">
        <f>IFERROR(HLOOKUP(H$2,[6]table_male_hkom1_inj.V3!$A$1:$K$36,29,FALSE),0)</f>
        <v>0</v>
      </c>
      <c r="I132">
        <f>IFERROR(HLOOKUP(I$2,[6]table_male_hkom1_inj.V3!$A$1:$K$36,29,FALSE),0)</f>
        <v>0</v>
      </c>
      <c r="J132">
        <f>IFERROR(HLOOKUP(J$2,[6]table_male_hkom1_inj.V3!$A$1:$K$36,29,FALSE),0)</f>
        <v>0</v>
      </c>
      <c r="K132">
        <f>IFERROR(HLOOKUP(K$2,[6]table_male_hkom1_inj.V3!$A$1:$K$36,29,FALSE),0)</f>
        <v>0</v>
      </c>
      <c r="L132">
        <f>IFERROR(HLOOKUP(L$2,[6]table_male_hkom1_inj.V3!$A$1:$K$36,29,FALSE),0)</f>
        <v>0</v>
      </c>
      <c r="M132">
        <f t="shared" si="41"/>
        <v>0</v>
      </c>
      <c r="S132" t="s">
        <v>97</v>
      </c>
      <c r="T132" s="5">
        <f t="shared" si="43"/>
        <v>0</v>
      </c>
      <c r="U132" s="5">
        <f t="shared" si="44"/>
        <v>0</v>
      </c>
      <c r="V132" s="5">
        <f t="shared" si="45"/>
        <v>0</v>
      </c>
      <c r="W132" s="5">
        <f t="shared" si="46"/>
        <v>0</v>
      </c>
      <c r="X132" s="9">
        <f t="shared" si="47"/>
        <v>0</v>
      </c>
      <c r="Y132" s="5">
        <f t="shared" si="48"/>
        <v>0</v>
      </c>
      <c r="Z132" s="5">
        <f t="shared" si="49"/>
        <v>0</v>
      </c>
      <c r="AA132" s="5">
        <f t="shared" si="50"/>
        <v>0</v>
      </c>
      <c r="AB132" s="5">
        <f t="shared" si="51"/>
        <v>0</v>
      </c>
    </row>
    <row r="133" spans="1:29" x14ac:dyDescent="0.25">
      <c r="D133" t="s">
        <v>98</v>
      </c>
      <c r="E133" s="64"/>
      <c r="F133" s="64"/>
      <c r="G133">
        <f>IFERROR(HLOOKUP(G$2,[6]table_male_hkom1_inj.V3!$A$1:$K$36,30,FALSE),0)</f>
        <v>0</v>
      </c>
      <c r="H133">
        <f>IFERROR(HLOOKUP(H$2,[6]table_male_hkom1_inj.V3!$A$1:$K$36,30,FALSE),0)</f>
        <v>0</v>
      </c>
      <c r="I133">
        <f>IFERROR(HLOOKUP(I$2,[6]table_male_hkom1_inj.V3!$A$1:$K$36,30,FALSE),0)</f>
        <v>0</v>
      </c>
      <c r="J133">
        <f>IFERROR(HLOOKUP(J$2,[6]table_male_hkom1_inj.V3!$A$1:$K$36,30,FALSE),0)</f>
        <v>0</v>
      </c>
      <c r="K133">
        <f>IFERROR(HLOOKUP(K$2,[6]table_male_hkom1_inj.V3!$A$1:$K$36,30,FALSE),0)</f>
        <v>0</v>
      </c>
      <c r="L133">
        <f>IFERROR(HLOOKUP(L$2,[6]table_male_hkom1_inj.V3!$A$1:$K$36,30,FALSE),0)</f>
        <v>0</v>
      </c>
      <c r="M133">
        <f t="shared" si="41"/>
        <v>0</v>
      </c>
      <c r="S133" t="s">
        <v>98</v>
      </c>
      <c r="T133" s="5">
        <f t="shared" si="43"/>
        <v>0</v>
      </c>
      <c r="U133" s="5">
        <f t="shared" si="44"/>
        <v>0</v>
      </c>
      <c r="V133" s="5">
        <f t="shared" si="45"/>
        <v>0</v>
      </c>
      <c r="W133" s="5">
        <f t="shared" si="46"/>
        <v>0</v>
      </c>
      <c r="X133" s="9">
        <f t="shared" si="47"/>
        <v>0</v>
      </c>
      <c r="Y133" s="5">
        <f t="shared" si="48"/>
        <v>0</v>
      </c>
      <c r="Z133" s="5">
        <f t="shared" si="49"/>
        <v>0</v>
      </c>
      <c r="AA133" s="5">
        <f t="shared" si="50"/>
        <v>0</v>
      </c>
      <c r="AB133" s="5">
        <f t="shared" si="51"/>
        <v>0</v>
      </c>
    </row>
    <row r="134" spans="1:29" x14ac:dyDescent="0.25">
      <c r="D134" t="s">
        <v>119</v>
      </c>
      <c r="E134" s="64"/>
      <c r="F134" s="64"/>
      <c r="G134">
        <f>IFERROR(HLOOKUP(G$2,[6]table_male_hkom1_inj.V3!$A$1:$K$36,31,FALSE),0)</f>
        <v>0</v>
      </c>
      <c r="H134">
        <f>IFERROR(HLOOKUP(H$2,[6]table_male_hkom1_inj.V3!$A$1:$K$36,31,FALSE),0)</f>
        <v>0</v>
      </c>
      <c r="I134">
        <f>IFERROR(HLOOKUP(I$2,[6]table_male_hkom1_inj.V3!$A$1:$K$36,31,FALSE),0)</f>
        <v>0</v>
      </c>
      <c r="J134">
        <f>IFERROR(HLOOKUP(J$2,[6]table_male_hkom1_inj.V3!$A$1:$K$36,31,FALSE),0)</f>
        <v>0</v>
      </c>
      <c r="K134">
        <f>IFERROR(HLOOKUP(K$2,[6]table_male_hkom1_inj.V3!$A$1:$K$36,31,FALSE),0)</f>
        <v>0</v>
      </c>
      <c r="L134">
        <f>IFERROR(HLOOKUP(L$2,[6]table_male_hkom1_inj.V3!$A$1:$K$36,31,FALSE),0)</f>
        <v>0</v>
      </c>
      <c r="M134">
        <f t="shared" si="41"/>
        <v>0</v>
      </c>
      <c r="S134" t="s">
        <v>119</v>
      </c>
      <c r="T134" s="5">
        <f t="shared" si="43"/>
        <v>0</v>
      </c>
      <c r="U134" s="5">
        <f t="shared" si="44"/>
        <v>0</v>
      </c>
      <c r="V134" s="5">
        <f t="shared" si="45"/>
        <v>0</v>
      </c>
      <c r="W134" s="5">
        <f t="shared" si="46"/>
        <v>0</v>
      </c>
      <c r="X134" s="9">
        <f t="shared" si="47"/>
        <v>0</v>
      </c>
      <c r="Y134" s="5">
        <f t="shared" si="48"/>
        <v>0</v>
      </c>
      <c r="Z134" s="5">
        <f t="shared" si="49"/>
        <v>0</v>
      </c>
      <c r="AA134" s="5">
        <f t="shared" si="50"/>
        <v>0</v>
      </c>
      <c r="AB134" s="5">
        <f t="shared" si="51"/>
        <v>0</v>
      </c>
    </row>
    <row r="135" spans="1:29" x14ac:dyDescent="0.25">
      <c r="D135" t="s">
        <v>99</v>
      </c>
      <c r="E135" s="64"/>
      <c r="F135" s="64"/>
      <c r="G135">
        <f>IFERROR(HLOOKUP(G$2,[6]table_male_hkom1_inj.V3!$A$1:$K$36,32,FALSE),0)</f>
        <v>0</v>
      </c>
      <c r="H135">
        <f>IFERROR(HLOOKUP(H$2,[6]table_male_hkom1_inj.V3!$A$1:$K$36,32,FALSE),0)</f>
        <v>0</v>
      </c>
      <c r="I135">
        <f>IFERROR(HLOOKUP(I$2,[6]table_male_hkom1_inj.V3!$A$1:$K$36,32,FALSE),0)</f>
        <v>0</v>
      </c>
      <c r="J135">
        <f>IFERROR(HLOOKUP(J$2,[6]table_male_hkom1_inj.V3!$A$1:$K$36,32,FALSE),0)</f>
        <v>0</v>
      </c>
      <c r="K135">
        <f>IFERROR(HLOOKUP(K$2,[6]table_male_hkom1_inj.V3!$A$1:$K$36,32,FALSE),0)</f>
        <v>0</v>
      </c>
      <c r="L135">
        <f>IFERROR(HLOOKUP(L$2,[6]table_male_hkom1_inj.V3!$A$1:$K$36,32,FALSE),0)</f>
        <v>0</v>
      </c>
      <c r="M135">
        <f t="shared" si="41"/>
        <v>0</v>
      </c>
      <c r="S135" t="s">
        <v>99</v>
      </c>
      <c r="T135" s="5">
        <f t="shared" si="43"/>
        <v>0</v>
      </c>
      <c r="U135" s="5">
        <f t="shared" si="44"/>
        <v>0</v>
      </c>
      <c r="V135" s="5">
        <f t="shared" si="45"/>
        <v>0</v>
      </c>
      <c r="W135" s="5">
        <f t="shared" si="46"/>
        <v>0</v>
      </c>
      <c r="X135" s="9">
        <f t="shared" si="47"/>
        <v>0</v>
      </c>
      <c r="Y135" s="5">
        <f t="shared" si="48"/>
        <v>0</v>
      </c>
      <c r="Z135" s="5">
        <f t="shared" si="49"/>
        <v>0</v>
      </c>
      <c r="AA135" s="5">
        <f t="shared" si="50"/>
        <v>0</v>
      </c>
      <c r="AB135" s="5">
        <f t="shared" si="51"/>
        <v>0</v>
      </c>
    </row>
    <row r="136" spans="1:29" x14ac:dyDescent="0.25">
      <c r="D136" t="s">
        <v>100</v>
      </c>
      <c r="E136" s="64"/>
      <c r="F136" s="64"/>
      <c r="G136">
        <f>IFERROR(HLOOKUP(G$2,[6]table_male_hkom1_inj.V3!$A$1:$K$36,33,FALSE),0)</f>
        <v>0</v>
      </c>
      <c r="H136">
        <f>IFERROR(HLOOKUP(H$2,[6]table_male_hkom1_inj.V3!$A$1:$K$36,33,FALSE),0)</f>
        <v>0</v>
      </c>
      <c r="I136">
        <f>IFERROR(HLOOKUP(I$2,[6]table_male_hkom1_inj.V3!$A$1:$K$36,33,FALSE),0)</f>
        <v>0</v>
      </c>
      <c r="J136">
        <f>IFERROR(HLOOKUP(J$2,[6]table_male_hkom1_inj.V3!$A$1:$K$36,33,FALSE),0)</f>
        <v>0</v>
      </c>
      <c r="K136">
        <f>IFERROR(HLOOKUP(K$2,[6]table_male_hkom1_inj.V3!$A$1:$K$36,33,FALSE),0)</f>
        <v>0</v>
      </c>
      <c r="L136">
        <f>IFERROR(HLOOKUP(L$2,[6]table_male_hkom1_inj.V3!$A$1:$K$36,33,FALSE),0)</f>
        <v>0</v>
      </c>
      <c r="M136">
        <f t="shared" ref="M136:M199" si="52">SUM(E136:L136)</f>
        <v>0</v>
      </c>
      <c r="S136" t="s">
        <v>100</v>
      </c>
      <c r="T136" s="5">
        <f t="shared" si="43"/>
        <v>0</v>
      </c>
      <c r="U136" s="5">
        <f t="shared" si="44"/>
        <v>0</v>
      </c>
      <c r="V136" s="5">
        <f t="shared" si="45"/>
        <v>0</v>
      </c>
      <c r="W136" s="5">
        <f t="shared" si="46"/>
        <v>0</v>
      </c>
      <c r="X136" s="9">
        <f t="shared" si="47"/>
        <v>0</v>
      </c>
      <c r="Y136" s="5">
        <f t="shared" si="48"/>
        <v>0</v>
      </c>
      <c r="Z136" s="5">
        <f t="shared" si="49"/>
        <v>0</v>
      </c>
      <c r="AA136" s="5">
        <f t="shared" si="50"/>
        <v>0</v>
      </c>
      <c r="AB136" s="5">
        <f t="shared" si="51"/>
        <v>0</v>
      </c>
    </row>
    <row r="137" spans="1:29" x14ac:dyDescent="0.25">
      <c r="D137" t="s">
        <v>101</v>
      </c>
      <c r="E137" s="64"/>
      <c r="F137" s="64"/>
      <c r="G137">
        <f>IFERROR(HLOOKUP(G$2,[6]table_male_hkom1_inj.V3!$A$1:$K$36,34,FALSE),0)</f>
        <v>0</v>
      </c>
      <c r="H137">
        <f>IFERROR(HLOOKUP(H$2,[6]table_male_hkom1_inj.V3!$A$1:$K$36,34,FALSE),0)</f>
        <v>0</v>
      </c>
      <c r="I137">
        <f>IFERROR(HLOOKUP(I$2,[6]table_male_hkom1_inj.V3!$A$1:$K$36,34,FALSE),0)</f>
        <v>0</v>
      </c>
      <c r="J137">
        <f>IFERROR(HLOOKUP(J$2,[6]table_male_hkom1_inj.V3!$A$1:$K$36,34,FALSE),0)</f>
        <v>0</v>
      </c>
      <c r="K137">
        <f>IFERROR(HLOOKUP(K$2,[6]table_male_hkom1_inj.V3!$A$1:$K$36,34,FALSE),0)</f>
        <v>0</v>
      </c>
      <c r="L137">
        <f>IFERROR(HLOOKUP(L$2,[6]table_male_hkom1_inj.V3!$A$1:$K$36,34,FALSE),0)</f>
        <v>0</v>
      </c>
      <c r="M137">
        <f t="shared" si="52"/>
        <v>0</v>
      </c>
      <c r="S137" t="s">
        <v>101</v>
      </c>
      <c r="T137" s="5">
        <f t="shared" si="43"/>
        <v>0</v>
      </c>
      <c r="U137" s="5">
        <f t="shared" si="44"/>
        <v>0</v>
      </c>
      <c r="V137" s="5">
        <f t="shared" si="45"/>
        <v>0</v>
      </c>
      <c r="W137" s="5">
        <f t="shared" si="46"/>
        <v>0</v>
      </c>
      <c r="X137" s="9">
        <f t="shared" si="47"/>
        <v>0</v>
      </c>
      <c r="Y137" s="5">
        <f t="shared" si="48"/>
        <v>0</v>
      </c>
      <c r="Z137" s="5">
        <f t="shared" si="49"/>
        <v>0</v>
      </c>
      <c r="AA137" s="5">
        <f t="shared" si="50"/>
        <v>0</v>
      </c>
      <c r="AB137" s="5">
        <f t="shared" si="51"/>
        <v>0</v>
      </c>
    </row>
    <row r="138" spans="1:29" x14ac:dyDescent="0.25">
      <c r="D138" t="s">
        <v>102</v>
      </c>
      <c r="E138" s="64"/>
      <c r="F138" s="64"/>
      <c r="G138">
        <f>IFERROR(HLOOKUP(G$2,[6]table_male_hkom1_inj.V3!$A$1:$K$36,35,FALSE),0)</f>
        <v>0</v>
      </c>
      <c r="H138">
        <f>IFERROR(HLOOKUP(H$2,[6]table_male_hkom1_inj.V3!$A$1:$K$36,35,FALSE),0)</f>
        <v>0</v>
      </c>
      <c r="I138">
        <f>IFERROR(HLOOKUP(I$2,[6]table_male_hkom1_inj.V3!$A$1:$K$36,35,FALSE),0)</f>
        <v>0</v>
      </c>
      <c r="J138">
        <f>IFERROR(HLOOKUP(J$2,[6]table_male_hkom1_inj.V3!$A$1:$K$36,35,FALSE),0)</f>
        <v>0</v>
      </c>
      <c r="K138">
        <f>IFERROR(HLOOKUP(K$2,[6]table_male_hkom1_inj.V3!$A$1:$K$36,35,FALSE),0)</f>
        <v>0</v>
      </c>
      <c r="L138">
        <f>IFERROR(HLOOKUP(L$2,[6]table_male_hkom1_inj.V3!$A$1:$K$36,35,FALSE),0)</f>
        <v>0</v>
      </c>
      <c r="M138">
        <f t="shared" si="52"/>
        <v>0</v>
      </c>
      <c r="N138">
        <f>SUM(M105:M138)</f>
        <v>0</v>
      </c>
      <c r="O138" s="8">
        <f>SUM([6]table_male_hkom1_inj.V3!$B$2:$L$37)</f>
        <v>0</v>
      </c>
      <c r="S138" t="s">
        <v>102</v>
      </c>
      <c r="T138" s="7"/>
      <c r="U138" s="7"/>
      <c r="V138" s="7"/>
      <c r="W138" s="7"/>
      <c r="X138" s="7"/>
      <c r="Y138" s="7"/>
      <c r="Z138" s="7"/>
      <c r="AA138" s="7"/>
      <c r="AB138" s="7"/>
      <c r="AC138" s="5">
        <f>SUM(AB105:AB137)</f>
        <v>0</v>
      </c>
    </row>
    <row r="139" spans="1:29" x14ac:dyDescent="0.25">
      <c r="A139" t="s">
        <v>104</v>
      </c>
      <c r="B139" t="s">
        <v>103</v>
      </c>
      <c r="C139" t="s">
        <v>108</v>
      </c>
      <c r="D139" t="s">
        <v>70</v>
      </c>
      <c r="E139" s="64"/>
      <c r="F139" s="64"/>
      <c r="G139">
        <f>IFERROR(HLOOKUP(G$2,[7]table_male_hkom1_inj.V4!$A$1:$K$36,2,FALSE),0)</f>
        <v>0</v>
      </c>
      <c r="H139">
        <f>IFERROR(HLOOKUP(H$2,[7]table_male_hkom1_inj.V4!$A$1:$K$36,2,FALSE),0)</f>
        <v>0</v>
      </c>
      <c r="I139">
        <f>IFERROR(HLOOKUP(I$2,[7]table_male_hkom1_inj.V4!$A$1:$K$36,2,FALSE),0)</f>
        <v>0</v>
      </c>
      <c r="J139">
        <f>IFERROR(HLOOKUP(J$2,[7]table_male_hkom1_inj.V4!$A$1:$K$36,2,FALSE),0)</f>
        <v>0</v>
      </c>
      <c r="K139">
        <f>IFERROR(HLOOKUP(K$2,[7]table_male_hkom1_inj.V4!$A$1:$K$36,2,FALSE),0)</f>
        <v>0</v>
      </c>
      <c r="L139">
        <f>IFERROR(HLOOKUP(L$2,[7]table_male_hkom1_inj.V4!$A$1:$K$36,2,FALSE),0)</f>
        <v>0</v>
      </c>
      <c r="M139">
        <f t="shared" si="52"/>
        <v>0</v>
      </c>
      <c r="P139" t="s">
        <v>104</v>
      </c>
      <c r="Q139" t="s">
        <v>103</v>
      </c>
      <c r="R139" t="s">
        <v>108</v>
      </c>
      <c r="S139" t="s">
        <v>70</v>
      </c>
      <c r="T139" s="5">
        <f>IF(SUM(E$139:E$171)=0,E$172/33,E139+IFERROR(E139/SUM(E$139:E$171)*E$172,0))</f>
        <v>0</v>
      </c>
      <c r="U139" s="5">
        <f t="shared" ref="U139:AA139" si="53">IF(SUM(F$139:F$171)=0,F$172/33,F139+IFERROR(F139/SUM(F$139:F$171)*F$172,0))</f>
        <v>0</v>
      </c>
      <c r="V139" s="5">
        <f t="shared" si="53"/>
        <v>0</v>
      </c>
      <c r="W139" s="5">
        <f t="shared" si="53"/>
        <v>0</v>
      </c>
      <c r="X139" s="5">
        <f t="shared" si="53"/>
        <v>0</v>
      </c>
      <c r="Y139" s="5">
        <f t="shared" si="53"/>
        <v>0</v>
      </c>
      <c r="Z139" s="5">
        <f t="shared" si="53"/>
        <v>0</v>
      </c>
      <c r="AA139" s="5">
        <f t="shared" si="53"/>
        <v>0</v>
      </c>
      <c r="AB139" s="5">
        <f t="shared" ref="AB139" si="54">SUM(T139:AA139)</f>
        <v>0</v>
      </c>
    </row>
    <row r="140" spans="1:29" x14ac:dyDescent="0.25">
      <c r="D140" t="s">
        <v>71</v>
      </c>
      <c r="E140" s="64"/>
      <c r="F140" s="64"/>
      <c r="G140">
        <f>IFERROR(HLOOKUP(G$2,[7]table_male_hkom1_inj.V4!$A$1:$K$36,3,FALSE),0)</f>
        <v>0</v>
      </c>
      <c r="H140">
        <f>IFERROR(HLOOKUP(H$2,[7]table_male_hkom1_inj.V4!$A$1:$K$36,3,FALSE),0)</f>
        <v>0</v>
      </c>
      <c r="I140">
        <f>IFERROR(HLOOKUP(I$2,[7]table_male_hkom1_inj.V4!$A$1:$K$36,3,FALSE),0)</f>
        <v>0</v>
      </c>
      <c r="J140">
        <f>IFERROR(HLOOKUP(J$2,[7]table_male_hkom1_inj.V4!$A$1:$K$36,3,FALSE),0)</f>
        <v>0</v>
      </c>
      <c r="K140">
        <f>IFERROR(HLOOKUP(K$2,[7]table_male_hkom1_inj.V4!$A$1:$K$36,3,FALSE),0)</f>
        <v>0</v>
      </c>
      <c r="L140">
        <f>IFERROR(HLOOKUP(L$2,[7]table_male_hkom1_inj.V4!$A$1:$K$36,3,FALSE),0)</f>
        <v>0</v>
      </c>
      <c r="M140">
        <f t="shared" si="52"/>
        <v>0</v>
      </c>
      <c r="S140" t="s">
        <v>71</v>
      </c>
      <c r="T140" s="5">
        <f t="shared" ref="T140:T171" si="55">IF(SUM(E$139:E$171)=0,E$172/33,E140+IFERROR(E140/SUM(E$139:E$171)*E$172,0))</f>
        <v>0</v>
      </c>
      <c r="U140" s="5">
        <f t="shared" ref="U140:U171" si="56">IF(SUM(F$139:F$171)=0,F$172/33,F140+IFERROR(F140/SUM(F$139:F$171)*F$172,0))</f>
        <v>0</v>
      </c>
      <c r="V140" s="5">
        <f t="shared" ref="V140:V171" si="57">IF(SUM(G$139:G$171)=0,G$172/33,G140+IFERROR(G140/SUM(G$139:G$171)*G$172,0))</f>
        <v>0</v>
      </c>
      <c r="W140" s="5">
        <f t="shared" ref="W140:W171" si="58">IF(SUM(H$139:H$171)=0,H$172/33,H140+IFERROR(H140/SUM(H$139:H$171)*H$172,0))</f>
        <v>0</v>
      </c>
      <c r="X140" s="5">
        <f t="shared" ref="X140:X171" si="59">IF(SUM(I$139:I$171)=0,I$172/33,I140+IFERROR(I140/SUM(I$139:I$171)*I$172,0))</f>
        <v>0</v>
      </c>
      <c r="Y140" s="5">
        <f t="shared" ref="Y140:Y171" si="60">IF(SUM(J$139:J$171)=0,J$172/33,J140+IFERROR(J140/SUM(J$139:J$171)*J$172,0))</f>
        <v>0</v>
      </c>
      <c r="Z140" s="5">
        <f t="shared" ref="Z140:Z171" si="61">IF(SUM(K$139:K$171)=0,K$172/33,K140+IFERROR(K140/SUM(K$139:K$171)*K$172,0))</f>
        <v>0</v>
      </c>
      <c r="AA140" s="5">
        <f t="shared" ref="AA140:AA171" si="62">IF(SUM(L$139:L$171)=0,L$172/33,L140+IFERROR(L140/SUM(L$139:L$171)*L$172,0))</f>
        <v>0</v>
      </c>
      <c r="AB140" s="5">
        <f t="shared" ref="AB140:AB171" si="63">SUM(T140:AA140)</f>
        <v>0</v>
      </c>
    </row>
    <row r="141" spans="1:29" x14ac:dyDescent="0.25">
      <c r="D141" t="s">
        <v>72</v>
      </c>
      <c r="E141" s="64"/>
      <c r="F141" s="64"/>
      <c r="G141">
        <f>IFERROR(HLOOKUP(G$2,[7]table_male_hkom1_inj.V4!$A$1:$K$36,4,FALSE),0)</f>
        <v>0</v>
      </c>
      <c r="H141">
        <f>IFERROR(HLOOKUP(H$2,[7]table_male_hkom1_inj.V4!$A$1:$K$36,4,FALSE),0)</f>
        <v>0</v>
      </c>
      <c r="I141">
        <f>IFERROR(HLOOKUP(I$2,[7]table_male_hkom1_inj.V4!$A$1:$K$36,4,FALSE),0)</f>
        <v>0</v>
      </c>
      <c r="J141">
        <f>IFERROR(HLOOKUP(J$2,[7]table_male_hkom1_inj.V4!$A$1:$K$36,4,FALSE),0)</f>
        <v>0</v>
      </c>
      <c r="K141">
        <f>IFERROR(HLOOKUP(K$2,[7]table_male_hkom1_inj.V4!$A$1:$K$36,4,FALSE),0)</f>
        <v>0</v>
      </c>
      <c r="L141">
        <f>IFERROR(HLOOKUP(L$2,[7]table_male_hkom1_inj.V4!$A$1:$K$36,4,FALSE),0)</f>
        <v>0</v>
      </c>
      <c r="M141">
        <f t="shared" si="52"/>
        <v>0</v>
      </c>
      <c r="S141" t="s">
        <v>72</v>
      </c>
      <c r="T141" s="5">
        <f t="shared" si="55"/>
        <v>0</v>
      </c>
      <c r="U141" s="5">
        <f t="shared" si="56"/>
        <v>0</v>
      </c>
      <c r="V141" s="5">
        <f t="shared" si="57"/>
        <v>0</v>
      </c>
      <c r="W141" s="5">
        <f t="shared" si="58"/>
        <v>0</v>
      </c>
      <c r="X141" s="5">
        <f t="shared" si="59"/>
        <v>0</v>
      </c>
      <c r="Y141" s="5">
        <f t="shared" si="60"/>
        <v>0</v>
      </c>
      <c r="Z141" s="5">
        <f t="shared" si="61"/>
        <v>0</v>
      </c>
      <c r="AA141" s="5">
        <f t="shared" si="62"/>
        <v>0</v>
      </c>
      <c r="AB141" s="5">
        <f t="shared" si="63"/>
        <v>0</v>
      </c>
    </row>
    <row r="142" spans="1:29" x14ac:dyDescent="0.25">
      <c r="D142" t="s">
        <v>73</v>
      </c>
      <c r="E142" s="64"/>
      <c r="F142" s="64"/>
      <c r="G142">
        <f>IFERROR(HLOOKUP(G$2,[7]table_male_hkom1_inj.V4!$A$1:$K$36,5,FALSE),0)</f>
        <v>0</v>
      </c>
      <c r="H142">
        <f>IFERROR(HLOOKUP(H$2,[7]table_male_hkom1_inj.V4!$A$1:$K$36,5,FALSE),0)</f>
        <v>0</v>
      </c>
      <c r="I142">
        <f>IFERROR(HLOOKUP(I$2,[7]table_male_hkom1_inj.V4!$A$1:$K$36,5,FALSE),0)</f>
        <v>0</v>
      </c>
      <c r="J142">
        <f>IFERROR(HLOOKUP(J$2,[7]table_male_hkom1_inj.V4!$A$1:$K$36,5,FALSE),0)</f>
        <v>0</v>
      </c>
      <c r="K142">
        <f>IFERROR(HLOOKUP(K$2,[7]table_male_hkom1_inj.V4!$A$1:$K$36,5,FALSE),0)</f>
        <v>0</v>
      </c>
      <c r="L142">
        <f>IFERROR(HLOOKUP(L$2,[7]table_male_hkom1_inj.V4!$A$1:$K$36,5,FALSE),0)</f>
        <v>0</v>
      </c>
      <c r="M142">
        <f t="shared" si="52"/>
        <v>0</v>
      </c>
      <c r="S142" t="s">
        <v>73</v>
      </c>
      <c r="T142" s="5">
        <f t="shared" si="55"/>
        <v>0</v>
      </c>
      <c r="U142" s="5">
        <f t="shared" si="56"/>
        <v>0</v>
      </c>
      <c r="V142" s="5">
        <f t="shared" si="57"/>
        <v>0</v>
      </c>
      <c r="W142" s="5">
        <f t="shared" si="58"/>
        <v>0</v>
      </c>
      <c r="X142" s="5">
        <f t="shared" si="59"/>
        <v>0</v>
      </c>
      <c r="Y142" s="5">
        <f t="shared" si="60"/>
        <v>0</v>
      </c>
      <c r="Z142" s="5">
        <f t="shared" si="61"/>
        <v>0</v>
      </c>
      <c r="AA142" s="5">
        <f t="shared" si="62"/>
        <v>0</v>
      </c>
      <c r="AB142" s="5">
        <f t="shared" si="63"/>
        <v>0</v>
      </c>
    </row>
    <row r="143" spans="1:29" x14ac:dyDescent="0.25">
      <c r="D143" t="s">
        <v>74</v>
      </c>
      <c r="E143" s="64"/>
      <c r="F143" s="64"/>
      <c r="G143">
        <f>IFERROR(HLOOKUP(G$2,[7]table_male_hkom1_inj.V4!$A$1:$K$36,6,FALSE),0)</f>
        <v>0</v>
      </c>
      <c r="H143">
        <f>IFERROR(HLOOKUP(H$2,[7]table_male_hkom1_inj.V4!$A$1:$K$36,6,FALSE),0)</f>
        <v>0</v>
      </c>
      <c r="I143">
        <f>IFERROR(HLOOKUP(I$2,[7]table_male_hkom1_inj.V4!$A$1:$K$36,6,FALSE),0)</f>
        <v>0</v>
      </c>
      <c r="J143">
        <f>IFERROR(HLOOKUP(J$2,[7]table_male_hkom1_inj.V4!$A$1:$K$36,6,FALSE),0)</f>
        <v>0</v>
      </c>
      <c r="K143">
        <f>IFERROR(HLOOKUP(K$2,[7]table_male_hkom1_inj.V4!$A$1:$K$36,6,FALSE),0)</f>
        <v>0</v>
      </c>
      <c r="L143">
        <f>IFERROR(HLOOKUP(L$2,[7]table_male_hkom1_inj.V4!$A$1:$K$36,6,FALSE),0)</f>
        <v>0</v>
      </c>
      <c r="M143">
        <f t="shared" si="52"/>
        <v>0</v>
      </c>
      <c r="S143" t="s">
        <v>74</v>
      </c>
      <c r="T143" s="5">
        <f t="shared" si="55"/>
        <v>0</v>
      </c>
      <c r="U143" s="5">
        <f t="shared" si="56"/>
        <v>0</v>
      </c>
      <c r="V143" s="5">
        <f t="shared" si="57"/>
        <v>0</v>
      </c>
      <c r="W143" s="5">
        <f t="shared" si="58"/>
        <v>0</v>
      </c>
      <c r="X143" s="5">
        <f t="shared" si="59"/>
        <v>0</v>
      </c>
      <c r="Y143" s="5">
        <f t="shared" si="60"/>
        <v>0</v>
      </c>
      <c r="Z143" s="5">
        <f t="shared" si="61"/>
        <v>0</v>
      </c>
      <c r="AA143" s="5">
        <f t="shared" si="62"/>
        <v>0</v>
      </c>
      <c r="AB143" s="5">
        <f t="shared" si="63"/>
        <v>0</v>
      </c>
    </row>
    <row r="144" spans="1:29" x14ac:dyDescent="0.25">
      <c r="D144" t="s">
        <v>75</v>
      </c>
      <c r="E144" s="64"/>
      <c r="F144" s="64"/>
      <c r="G144">
        <f>IFERROR(HLOOKUP(G$2,[7]table_male_hkom1_inj.V4!$A$1:$K$36,7,FALSE),0)</f>
        <v>0</v>
      </c>
      <c r="H144">
        <f>IFERROR(HLOOKUP(H$2,[7]table_male_hkom1_inj.V4!$A$1:$K$36,7,FALSE),0)</f>
        <v>0</v>
      </c>
      <c r="I144">
        <f>IFERROR(HLOOKUP(I$2,[7]table_male_hkom1_inj.V4!$A$1:$K$36,7,FALSE),0)</f>
        <v>0</v>
      </c>
      <c r="J144">
        <f>IFERROR(HLOOKUP(J$2,[7]table_male_hkom1_inj.V4!$A$1:$K$36,7,FALSE),0)</f>
        <v>0</v>
      </c>
      <c r="K144">
        <f>IFERROR(HLOOKUP(K$2,[7]table_male_hkom1_inj.V4!$A$1:$K$36,7,FALSE),0)</f>
        <v>0</v>
      </c>
      <c r="L144">
        <f>IFERROR(HLOOKUP(L$2,[7]table_male_hkom1_inj.V4!$A$1:$K$36,7,FALSE),0)</f>
        <v>0</v>
      </c>
      <c r="M144">
        <f t="shared" si="52"/>
        <v>0</v>
      </c>
      <c r="S144" t="s">
        <v>75</v>
      </c>
      <c r="T144" s="5">
        <f t="shared" si="55"/>
        <v>0</v>
      </c>
      <c r="U144" s="5">
        <f t="shared" si="56"/>
        <v>0</v>
      </c>
      <c r="V144" s="5">
        <f t="shared" si="57"/>
        <v>0</v>
      </c>
      <c r="W144" s="5">
        <f t="shared" si="58"/>
        <v>0</v>
      </c>
      <c r="X144" s="5">
        <f t="shared" si="59"/>
        <v>0</v>
      </c>
      <c r="Y144" s="5">
        <f t="shared" si="60"/>
        <v>0</v>
      </c>
      <c r="Z144" s="5">
        <f t="shared" si="61"/>
        <v>0</v>
      </c>
      <c r="AA144" s="5">
        <f t="shared" si="62"/>
        <v>0</v>
      </c>
      <c r="AB144" s="5">
        <f t="shared" si="63"/>
        <v>0</v>
      </c>
    </row>
    <row r="145" spans="4:28" x14ac:dyDescent="0.25">
      <c r="D145" t="s">
        <v>76</v>
      </c>
      <c r="E145" s="64"/>
      <c r="F145" s="64"/>
      <c r="G145">
        <f>IFERROR(HLOOKUP(G$2,[7]table_male_hkom1_inj.V4!$A$1:$K$36,8,FALSE),0)</f>
        <v>0</v>
      </c>
      <c r="H145">
        <f>IFERROR(HLOOKUP(H$2,[7]table_male_hkom1_inj.V4!$A$1:$K$36,8,FALSE),0)</f>
        <v>0</v>
      </c>
      <c r="I145">
        <f>IFERROR(HLOOKUP(I$2,[7]table_male_hkom1_inj.V4!$A$1:$K$36,8,FALSE),0)</f>
        <v>0</v>
      </c>
      <c r="J145">
        <f>IFERROR(HLOOKUP(J$2,[7]table_male_hkom1_inj.V4!$A$1:$K$36,8,FALSE),0)</f>
        <v>0</v>
      </c>
      <c r="K145">
        <f>IFERROR(HLOOKUP(K$2,[7]table_male_hkom1_inj.V4!$A$1:$K$36,8,FALSE),0)</f>
        <v>0</v>
      </c>
      <c r="L145">
        <f>IFERROR(HLOOKUP(L$2,[7]table_male_hkom1_inj.V4!$A$1:$K$36,8,FALSE),0)</f>
        <v>0</v>
      </c>
      <c r="M145">
        <f t="shared" si="52"/>
        <v>0</v>
      </c>
      <c r="S145" t="s">
        <v>76</v>
      </c>
      <c r="T145" s="5">
        <f t="shared" si="55"/>
        <v>0</v>
      </c>
      <c r="U145" s="5">
        <f t="shared" si="56"/>
        <v>0</v>
      </c>
      <c r="V145" s="5">
        <f t="shared" si="57"/>
        <v>0</v>
      </c>
      <c r="W145" s="5">
        <f t="shared" si="58"/>
        <v>0</v>
      </c>
      <c r="X145" s="5">
        <f t="shared" si="59"/>
        <v>0</v>
      </c>
      <c r="Y145" s="5">
        <f t="shared" si="60"/>
        <v>0</v>
      </c>
      <c r="Z145" s="5">
        <f t="shared" si="61"/>
        <v>0</v>
      </c>
      <c r="AA145" s="5">
        <f t="shared" si="62"/>
        <v>0</v>
      </c>
      <c r="AB145" s="5">
        <f t="shared" si="63"/>
        <v>0</v>
      </c>
    </row>
    <row r="146" spans="4:28" x14ac:dyDescent="0.25">
      <c r="D146" t="s">
        <v>77</v>
      </c>
      <c r="E146" s="64"/>
      <c r="F146" s="64"/>
      <c r="G146">
        <f>IFERROR(HLOOKUP(G$2,[7]table_male_hkom1_inj.V4!$A$1:$K$36,9,FALSE),0)</f>
        <v>0</v>
      </c>
      <c r="H146">
        <f>IFERROR(HLOOKUP(H$2,[7]table_male_hkom1_inj.V4!$A$1:$K$36,9,FALSE),0)</f>
        <v>0</v>
      </c>
      <c r="I146">
        <f>IFERROR(HLOOKUP(I$2,[7]table_male_hkom1_inj.V4!$A$1:$K$36,9,FALSE),0)</f>
        <v>0</v>
      </c>
      <c r="J146">
        <f>IFERROR(HLOOKUP(J$2,[7]table_male_hkom1_inj.V4!$A$1:$K$36,9,FALSE),0)</f>
        <v>0</v>
      </c>
      <c r="K146">
        <f>IFERROR(HLOOKUP(K$2,[7]table_male_hkom1_inj.V4!$A$1:$K$36,9,FALSE),0)</f>
        <v>0</v>
      </c>
      <c r="L146">
        <f>IFERROR(HLOOKUP(L$2,[7]table_male_hkom1_inj.V4!$A$1:$K$36,9,FALSE),0)</f>
        <v>0</v>
      </c>
      <c r="M146">
        <f t="shared" si="52"/>
        <v>0</v>
      </c>
      <c r="S146" t="s">
        <v>77</v>
      </c>
      <c r="T146" s="5">
        <f t="shared" si="55"/>
        <v>0</v>
      </c>
      <c r="U146" s="5">
        <f t="shared" si="56"/>
        <v>0</v>
      </c>
      <c r="V146" s="5">
        <f t="shared" si="57"/>
        <v>0</v>
      </c>
      <c r="W146" s="5">
        <f t="shared" si="58"/>
        <v>0</v>
      </c>
      <c r="X146" s="5">
        <f t="shared" si="59"/>
        <v>0</v>
      </c>
      <c r="Y146" s="5">
        <f t="shared" si="60"/>
        <v>0</v>
      </c>
      <c r="Z146" s="5">
        <f t="shared" si="61"/>
        <v>0</v>
      </c>
      <c r="AA146" s="5">
        <f t="shared" si="62"/>
        <v>0</v>
      </c>
      <c r="AB146" s="5">
        <f t="shared" si="63"/>
        <v>0</v>
      </c>
    </row>
    <row r="147" spans="4:28" x14ac:dyDescent="0.25">
      <c r="D147" t="s">
        <v>78</v>
      </c>
      <c r="E147" s="64"/>
      <c r="F147" s="64"/>
      <c r="G147">
        <f>IFERROR(HLOOKUP(G$2,[7]table_male_hkom1_inj.V4!$A$1:$K$36,10,FALSE),0)</f>
        <v>0</v>
      </c>
      <c r="H147">
        <f>IFERROR(HLOOKUP(H$2,[7]table_male_hkom1_inj.V4!$A$1:$K$36,10,FALSE),0)</f>
        <v>0</v>
      </c>
      <c r="I147">
        <f>IFERROR(HLOOKUP(I$2,[7]table_male_hkom1_inj.V4!$A$1:$K$36,10,FALSE),0)</f>
        <v>0</v>
      </c>
      <c r="J147">
        <f>IFERROR(HLOOKUP(J$2,[7]table_male_hkom1_inj.V4!$A$1:$K$36,10,FALSE),0)</f>
        <v>0</v>
      </c>
      <c r="K147">
        <f>IFERROR(HLOOKUP(K$2,[7]table_male_hkom1_inj.V4!$A$1:$K$36,10,FALSE),0)</f>
        <v>0</v>
      </c>
      <c r="L147">
        <f>IFERROR(HLOOKUP(L$2,[7]table_male_hkom1_inj.V4!$A$1:$K$36,10,FALSE),0)</f>
        <v>0</v>
      </c>
      <c r="M147">
        <f t="shared" si="52"/>
        <v>0</v>
      </c>
      <c r="S147" t="s">
        <v>78</v>
      </c>
      <c r="T147" s="5">
        <f t="shared" si="55"/>
        <v>0</v>
      </c>
      <c r="U147" s="5">
        <f t="shared" si="56"/>
        <v>0</v>
      </c>
      <c r="V147" s="5">
        <f t="shared" si="57"/>
        <v>0</v>
      </c>
      <c r="W147" s="5">
        <f t="shared" si="58"/>
        <v>0</v>
      </c>
      <c r="X147" s="5">
        <f t="shared" si="59"/>
        <v>0</v>
      </c>
      <c r="Y147" s="5">
        <f t="shared" si="60"/>
        <v>0</v>
      </c>
      <c r="Z147" s="5">
        <f t="shared" si="61"/>
        <v>0</v>
      </c>
      <c r="AA147" s="5">
        <f t="shared" si="62"/>
        <v>0</v>
      </c>
      <c r="AB147" s="5">
        <f t="shared" si="63"/>
        <v>0</v>
      </c>
    </row>
    <row r="148" spans="4:28" x14ac:dyDescent="0.25">
      <c r="D148" t="s">
        <v>79</v>
      </c>
      <c r="E148" s="64"/>
      <c r="F148" s="64"/>
      <c r="G148">
        <f>IFERROR(HLOOKUP(G$2,[7]table_male_hkom1_inj.V4!$A$1:$K$36,11,FALSE),0)</f>
        <v>0</v>
      </c>
      <c r="H148">
        <f>IFERROR(HLOOKUP(H$2,[7]table_male_hkom1_inj.V4!$A$1:$K$36,11,FALSE),0)</f>
        <v>0</v>
      </c>
      <c r="I148">
        <f>IFERROR(HLOOKUP(I$2,[7]table_male_hkom1_inj.V4!$A$1:$K$36,11,FALSE),0)</f>
        <v>0</v>
      </c>
      <c r="J148">
        <f>IFERROR(HLOOKUP(J$2,[7]table_male_hkom1_inj.V4!$A$1:$K$36,11,FALSE),0)</f>
        <v>0</v>
      </c>
      <c r="K148">
        <f>IFERROR(HLOOKUP(K$2,[7]table_male_hkom1_inj.V4!$A$1:$K$36,11,FALSE),0)</f>
        <v>0</v>
      </c>
      <c r="L148">
        <f>IFERROR(HLOOKUP(L$2,[7]table_male_hkom1_inj.V4!$A$1:$K$36,11,FALSE),0)</f>
        <v>0</v>
      </c>
      <c r="M148">
        <f t="shared" si="52"/>
        <v>0</v>
      </c>
      <c r="S148" t="s">
        <v>79</v>
      </c>
      <c r="T148" s="5">
        <f t="shared" si="55"/>
        <v>0</v>
      </c>
      <c r="U148" s="5">
        <f t="shared" si="56"/>
        <v>0</v>
      </c>
      <c r="V148" s="5">
        <f t="shared" si="57"/>
        <v>0</v>
      </c>
      <c r="W148" s="5">
        <f t="shared" si="58"/>
        <v>0</v>
      </c>
      <c r="X148" s="5">
        <f t="shared" si="59"/>
        <v>0</v>
      </c>
      <c r="Y148" s="5">
        <f t="shared" si="60"/>
        <v>0</v>
      </c>
      <c r="Z148" s="5">
        <f t="shared" si="61"/>
        <v>0</v>
      </c>
      <c r="AA148" s="5">
        <f t="shared" si="62"/>
        <v>0</v>
      </c>
      <c r="AB148" s="5">
        <f t="shared" si="63"/>
        <v>0</v>
      </c>
    </row>
    <row r="149" spans="4:28" x14ac:dyDescent="0.25">
      <c r="D149" t="s">
        <v>80</v>
      </c>
      <c r="E149" s="64"/>
      <c r="F149" s="64"/>
      <c r="G149">
        <f>IFERROR(HLOOKUP(G$2,[7]table_male_hkom1_inj.V4!$A$1:$K$36,12,FALSE),0)</f>
        <v>0</v>
      </c>
      <c r="H149">
        <f>IFERROR(HLOOKUP(H$2,[7]table_male_hkom1_inj.V4!$A$1:$K$36,12,FALSE),0)</f>
        <v>1</v>
      </c>
      <c r="I149">
        <f>IFERROR(HLOOKUP(I$2,[7]table_male_hkom1_inj.V4!$A$1:$K$36,12,FALSE),0)</f>
        <v>0</v>
      </c>
      <c r="J149">
        <f>IFERROR(HLOOKUP(J$2,[7]table_male_hkom1_inj.V4!$A$1:$K$36,12,FALSE),0)</f>
        <v>0</v>
      </c>
      <c r="K149">
        <f>IFERROR(HLOOKUP(K$2,[7]table_male_hkom1_inj.V4!$A$1:$K$36,12,FALSE),0)</f>
        <v>0</v>
      </c>
      <c r="L149">
        <f>IFERROR(HLOOKUP(L$2,[7]table_male_hkom1_inj.V4!$A$1:$K$36,12,FALSE),0)</f>
        <v>0</v>
      </c>
      <c r="M149">
        <f t="shared" si="52"/>
        <v>1</v>
      </c>
      <c r="S149" t="s">
        <v>80</v>
      </c>
      <c r="T149" s="5">
        <f t="shared" si="55"/>
        <v>0</v>
      </c>
      <c r="U149" s="5">
        <f t="shared" si="56"/>
        <v>0</v>
      </c>
      <c r="V149" s="5">
        <f t="shared" si="57"/>
        <v>0</v>
      </c>
      <c r="W149" s="5">
        <f t="shared" si="58"/>
        <v>2</v>
      </c>
      <c r="X149" s="5">
        <f t="shared" si="59"/>
        <v>0</v>
      </c>
      <c r="Y149" s="5">
        <f t="shared" si="60"/>
        <v>0</v>
      </c>
      <c r="Z149" s="5">
        <f t="shared" si="61"/>
        <v>0</v>
      </c>
      <c r="AA149" s="5">
        <f t="shared" si="62"/>
        <v>0</v>
      </c>
      <c r="AB149" s="5">
        <f t="shared" si="63"/>
        <v>2</v>
      </c>
    </row>
    <row r="150" spans="4:28" x14ac:dyDescent="0.25">
      <c r="D150" t="s">
        <v>81</v>
      </c>
      <c r="E150" s="64"/>
      <c r="F150" s="64"/>
      <c r="G150">
        <f>IFERROR(HLOOKUP(G$2,[7]table_male_hkom1_inj.V4!$A$1:$K$36,13,FALSE),0)</f>
        <v>0</v>
      </c>
      <c r="H150">
        <f>IFERROR(HLOOKUP(H$2,[7]table_male_hkom1_inj.V4!$A$1:$K$36,13,FALSE),0)</f>
        <v>0</v>
      </c>
      <c r="I150">
        <f>IFERROR(HLOOKUP(I$2,[7]table_male_hkom1_inj.V4!$A$1:$K$36,13,FALSE),0)</f>
        <v>0</v>
      </c>
      <c r="J150">
        <f>IFERROR(HLOOKUP(J$2,[7]table_male_hkom1_inj.V4!$A$1:$K$36,13,FALSE),0)</f>
        <v>0</v>
      </c>
      <c r="K150">
        <f>IFERROR(HLOOKUP(K$2,[7]table_male_hkom1_inj.V4!$A$1:$K$36,13,FALSE),0)</f>
        <v>0</v>
      </c>
      <c r="L150">
        <f>IFERROR(HLOOKUP(L$2,[7]table_male_hkom1_inj.V4!$A$1:$K$36,13,FALSE),0)</f>
        <v>0</v>
      </c>
      <c r="M150">
        <f t="shared" si="52"/>
        <v>0</v>
      </c>
      <c r="S150" t="s">
        <v>81</v>
      </c>
      <c r="T150" s="5">
        <f t="shared" si="55"/>
        <v>0</v>
      </c>
      <c r="U150" s="5">
        <f t="shared" si="56"/>
        <v>0</v>
      </c>
      <c r="V150" s="5">
        <f t="shared" si="57"/>
        <v>0</v>
      </c>
      <c r="W150" s="5">
        <f t="shared" si="58"/>
        <v>0</v>
      </c>
      <c r="X150" s="5">
        <f t="shared" si="59"/>
        <v>0</v>
      </c>
      <c r="Y150" s="5">
        <f t="shared" si="60"/>
        <v>0</v>
      </c>
      <c r="Z150" s="5">
        <f t="shared" si="61"/>
        <v>0</v>
      </c>
      <c r="AA150" s="5">
        <f t="shared" si="62"/>
        <v>0</v>
      </c>
      <c r="AB150" s="5">
        <f t="shared" si="63"/>
        <v>0</v>
      </c>
    </row>
    <row r="151" spans="4:28" x14ac:dyDescent="0.25">
      <c r="D151" t="s">
        <v>82</v>
      </c>
      <c r="E151" s="64"/>
      <c r="F151" s="64"/>
      <c r="G151">
        <f>IFERROR(HLOOKUP(G$2,[7]table_male_hkom1_inj.V4!$A$1:$K$36,14,FALSE),0)</f>
        <v>0</v>
      </c>
      <c r="H151">
        <f>IFERROR(HLOOKUP(H$2,[7]table_male_hkom1_inj.V4!$A$1:$K$36,14,FALSE),0)</f>
        <v>0</v>
      </c>
      <c r="I151">
        <f>IFERROR(HLOOKUP(I$2,[7]table_male_hkom1_inj.V4!$A$1:$K$36,14,FALSE),0)</f>
        <v>0</v>
      </c>
      <c r="J151">
        <f>IFERROR(HLOOKUP(J$2,[7]table_male_hkom1_inj.V4!$A$1:$K$36,14,FALSE),0)</f>
        <v>0</v>
      </c>
      <c r="K151">
        <f>IFERROR(HLOOKUP(K$2,[7]table_male_hkom1_inj.V4!$A$1:$K$36,14,FALSE),0)</f>
        <v>0</v>
      </c>
      <c r="L151">
        <f>IFERROR(HLOOKUP(L$2,[7]table_male_hkom1_inj.V4!$A$1:$K$36,14,FALSE),0)</f>
        <v>0</v>
      </c>
      <c r="M151">
        <f t="shared" si="52"/>
        <v>0</v>
      </c>
      <c r="S151" t="s">
        <v>82</v>
      </c>
      <c r="T151" s="5">
        <f t="shared" si="55"/>
        <v>0</v>
      </c>
      <c r="U151" s="5">
        <f t="shared" si="56"/>
        <v>0</v>
      </c>
      <c r="V151" s="5">
        <f t="shared" si="57"/>
        <v>0</v>
      </c>
      <c r="W151" s="5">
        <f t="shared" si="58"/>
        <v>0</v>
      </c>
      <c r="X151" s="5">
        <f t="shared" si="59"/>
        <v>0</v>
      </c>
      <c r="Y151" s="5">
        <f t="shared" si="60"/>
        <v>0</v>
      </c>
      <c r="Z151" s="5">
        <f t="shared" si="61"/>
        <v>0</v>
      </c>
      <c r="AA151" s="5">
        <f t="shared" si="62"/>
        <v>0</v>
      </c>
      <c r="AB151" s="5">
        <f t="shared" si="63"/>
        <v>0</v>
      </c>
    </row>
    <row r="152" spans="4:28" x14ac:dyDescent="0.25">
      <c r="D152" t="s">
        <v>83</v>
      </c>
      <c r="E152" s="64"/>
      <c r="F152" s="64"/>
      <c r="G152">
        <f>IFERROR(HLOOKUP(G$2,[7]table_male_hkom1_inj.V4!$A$1:$K$36,15,FALSE),0)</f>
        <v>0</v>
      </c>
      <c r="H152">
        <f>IFERROR(HLOOKUP(H$2,[7]table_male_hkom1_inj.V4!$A$1:$K$36,15,FALSE),0)</f>
        <v>0</v>
      </c>
      <c r="I152">
        <f>IFERROR(HLOOKUP(I$2,[7]table_male_hkom1_inj.V4!$A$1:$K$36,15,FALSE),0)</f>
        <v>0</v>
      </c>
      <c r="J152">
        <f>IFERROR(HLOOKUP(J$2,[7]table_male_hkom1_inj.V4!$A$1:$K$36,15,FALSE),0)</f>
        <v>0</v>
      </c>
      <c r="K152">
        <f>IFERROR(HLOOKUP(K$2,[7]table_male_hkom1_inj.V4!$A$1:$K$36,15,FALSE),0)</f>
        <v>0</v>
      </c>
      <c r="L152">
        <f>IFERROR(HLOOKUP(L$2,[7]table_male_hkom1_inj.V4!$A$1:$K$36,15,FALSE),0)</f>
        <v>0</v>
      </c>
      <c r="M152">
        <f t="shared" si="52"/>
        <v>0</v>
      </c>
      <c r="S152" t="s">
        <v>83</v>
      </c>
      <c r="T152" s="5">
        <f t="shared" si="55"/>
        <v>0</v>
      </c>
      <c r="U152" s="5">
        <f t="shared" si="56"/>
        <v>0</v>
      </c>
      <c r="V152" s="5">
        <f t="shared" si="57"/>
        <v>0</v>
      </c>
      <c r="W152" s="5">
        <f t="shared" si="58"/>
        <v>0</v>
      </c>
      <c r="X152" s="5">
        <f t="shared" si="59"/>
        <v>0</v>
      </c>
      <c r="Y152" s="5">
        <f t="shared" si="60"/>
        <v>0</v>
      </c>
      <c r="Z152" s="5">
        <f t="shared" si="61"/>
        <v>0</v>
      </c>
      <c r="AA152" s="5">
        <f t="shared" si="62"/>
        <v>0</v>
      </c>
      <c r="AB152" s="5">
        <f t="shared" si="63"/>
        <v>0</v>
      </c>
    </row>
    <row r="153" spans="4:28" x14ac:dyDescent="0.25">
      <c r="D153" t="s">
        <v>84</v>
      </c>
      <c r="E153" s="64"/>
      <c r="F153" s="64"/>
      <c r="G153">
        <f>IFERROR(HLOOKUP(G$2,[7]table_male_hkom1_inj.V4!$A$1:$K$36,16,FALSE),0)</f>
        <v>0</v>
      </c>
      <c r="H153">
        <f>IFERROR(HLOOKUP(H$2,[7]table_male_hkom1_inj.V4!$A$1:$K$36,16,FALSE),0)</f>
        <v>0</v>
      </c>
      <c r="I153">
        <f>IFERROR(HLOOKUP(I$2,[7]table_male_hkom1_inj.V4!$A$1:$K$36,16,FALSE),0)</f>
        <v>0</v>
      </c>
      <c r="J153">
        <f>IFERROR(HLOOKUP(J$2,[7]table_male_hkom1_inj.V4!$A$1:$K$36,16,FALSE),0)</f>
        <v>0</v>
      </c>
      <c r="K153">
        <f>IFERROR(HLOOKUP(K$2,[7]table_male_hkom1_inj.V4!$A$1:$K$36,16,FALSE),0)</f>
        <v>0</v>
      </c>
      <c r="L153">
        <f>IFERROR(HLOOKUP(L$2,[7]table_male_hkom1_inj.V4!$A$1:$K$36,16,FALSE),0)</f>
        <v>0</v>
      </c>
      <c r="M153">
        <f t="shared" si="52"/>
        <v>0</v>
      </c>
      <c r="S153" t="s">
        <v>84</v>
      </c>
      <c r="T153" s="5">
        <f t="shared" si="55"/>
        <v>0</v>
      </c>
      <c r="U153" s="5">
        <f t="shared" si="56"/>
        <v>0</v>
      </c>
      <c r="V153" s="5">
        <f t="shared" si="57"/>
        <v>0</v>
      </c>
      <c r="W153" s="5">
        <f t="shared" si="58"/>
        <v>0</v>
      </c>
      <c r="X153" s="5">
        <f t="shared" si="59"/>
        <v>0</v>
      </c>
      <c r="Y153" s="5">
        <f t="shared" si="60"/>
        <v>0</v>
      </c>
      <c r="Z153" s="5">
        <f t="shared" si="61"/>
        <v>0</v>
      </c>
      <c r="AA153" s="5">
        <f t="shared" si="62"/>
        <v>0</v>
      </c>
      <c r="AB153" s="5">
        <f t="shared" si="63"/>
        <v>0</v>
      </c>
    </row>
    <row r="154" spans="4:28" x14ac:dyDescent="0.25">
      <c r="D154" t="s">
        <v>85</v>
      </c>
      <c r="E154" s="64"/>
      <c r="F154" s="64"/>
      <c r="G154">
        <f>IFERROR(HLOOKUP(G$2,[7]table_male_hkom1_inj.V4!$A$1:$K$36,17,FALSE),0)</f>
        <v>0</v>
      </c>
      <c r="H154">
        <f>IFERROR(HLOOKUP(H$2,[7]table_male_hkom1_inj.V4!$A$1:$K$36,17,FALSE),0)</f>
        <v>0</v>
      </c>
      <c r="I154">
        <f>IFERROR(HLOOKUP(I$2,[7]table_male_hkom1_inj.V4!$A$1:$K$36,17,FALSE),0)</f>
        <v>0</v>
      </c>
      <c r="J154">
        <f>IFERROR(HLOOKUP(J$2,[7]table_male_hkom1_inj.V4!$A$1:$K$36,17,FALSE),0)</f>
        <v>0</v>
      </c>
      <c r="K154">
        <f>IFERROR(HLOOKUP(K$2,[7]table_male_hkom1_inj.V4!$A$1:$K$36,17,FALSE),0)</f>
        <v>0</v>
      </c>
      <c r="L154">
        <f>IFERROR(HLOOKUP(L$2,[7]table_male_hkom1_inj.V4!$A$1:$K$36,17,FALSE),0)</f>
        <v>0</v>
      </c>
      <c r="M154">
        <f t="shared" si="52"/>
        <v>0</v>
      </c>
      <c r="S154" t="s">
        <v>85</v>
      </c>
      <c r="T154" s="5">
        <f t="shared" si="55"/>
        <v>0</v>
      </c>
      <c r="U154" s="5">
        <f t="shared" si="56"/>
        <v>0</v>
      </c>
      <c r="V154" s="5">
        <f t="shared" si="57"/>
        <v>0</v>
      </c>
      <c r="W154" s="5">
        <f t="shared" si="58"/>
        <v>0</v>
      </c>
      <c r="X154" s="5">
        <f t="shared" si="59"/>
        <v>0</v>
      </c>
      <c r="Y154" s="5">
        <f t="shared" si="60"/>
        <v>0</v>
      </c>
      <c r="Z154" s="5">
        <f t="shared" si="61"/>
        <v>0</v>
      </c>
      <c r="AA154" s="5">
        <f t="shared" si="62"/>
        <v>0</v>
      </c>
      <c r="AB154" s="5">
        <f t="shared" si="63"/>
        <v>0</v>
      </c>
    </row>
    <row r="155" spans="4:28" x14ac:dyDescent="0.25">
      <c r="D155" t="s">
        <v>86</v>
      </c>
      <c r="E155" s="64"/>
      <c r="F155" s="64"/>
      <c r="G155">
        <f>IFERROR(HLOOKUP(G$2,[7]table_male_hkom1_inj.V4!$A$1:$K$36,18,FALSE),0)</f>
        <v>0</v>
      </c>
      <c r="H155">
        <f>IFERROR(HLOOKUP(H$2,[7]table_male_hkom1_inj.V4!$A$1:$K$36,18,FALSE),0)</f>
        <v>0</v>
      </c>
      <c r="I155">
        <f>IFERROR(HLOOKUP(I$2,[7]table_male_hkom1_inj.V4!$A$1:$K$36,18,FALSE),0)</f>
        <v>0</v>
      </c>
      <c r="J155">
        <f>IFERROR(HLOOKUP(J$2,[7]table_male_hkom1_inj.V4!$A$1:$K$36,18,FALSE),0)</f>
        <v>0</v>
      </c>
      <c r="K155">
        <f>IFERROR(HLOOKUP(K$2,[7]table_male_hkom1_inj.V4!$A$1:$K$36,18,FALSE),0)</f>
        <v>0</v>
      </c>
      <c r="L155">
        <f>IFERROR(HLOOKUP(L$2,[7]table_male_hkom1_inj.V4!$A$1:$K$36,18,FALSE),0)</f>
        <v>0</v>
      </c>
      <c r="M155">
        <f t="shared" si="52"/>
        <v>0</v>
      </c>
      <c r="S155" t="s">
        <v>86</v>
      </c>
      <c r="T155" s="5">
        <f t="shared" si="55"/>
        <v>0</v>
      </c>
      <c r="U155" s="5">
        <f t="shared" si="56"/>
        <v>0</v>
      </c>
      <c r="V155" s="5">
        <f t="shared" si="57"/>
        <v>0</v>
      </c>
      <c r="W155" s="5">
        <f t="shared" si="58"/>
        <v>0</v>
      </c>
      <c r="X155" s="5">
        <f t="shared" si="59"/>
        <v>0</v>
      </c>
      <c r="Y155" s="5">
        <f t="shared" si="60"/>
        <v>0</v>
      </c>
      <c r="Z155" s="5">
        <f t="shared" si="61"/>
        <v>0</v>
      </c>
      <c r="AA155" s="5">
        <f t="shared" si="62"/>
        <v>0</v>
      </c>
      <c r="AB155" s="5">
        <f t="shared" si="63"/>
        <v>0</v>
      </c>
    </row>
    <row r="156" spans="4:28" x14ac:dyDescent="0.25">
      <c r="D156" t="s">
        <v>87</v>
      </c>
      <c r="E156" s="64"/>
      <c r="F156" s="64"/>
      <c r="G156">
        <f>IFERROR(HLOOKUP(G$2,[7]table_male_hkom1_inj.V4!$A$1:$K$36,19,FALSE),0)</f>
        <v>0</v>
      </c>
      <c r="H156">
        <f>IFERROR(HLOOKUP(H$2,[7]table_male_hkom1_inj.V4!$A$1:$K$36,19,FALSE),0)</f>
        <v>0</v>
      </c>
      <c r="I156">
        <f>IFERROR(HLOOKUP(I$2,[7]table_male_hkom1_inj.V4!$A$1:$K$36,19,FALSE),0)</f>
        <v>0</v>
      </c>
      <c r="J156">
        <f>IFERROR(HLOOKUP(J$2,[7]table_male_hkom1_inj.V4!$A$1:$K$36,19,FALSE),0)</f>
        <v>0</v>
      </c>
      <c r="K156">
        <f>IFERROR(HLOOKUP(K$2,[7]table_male_hkom1_inj.V4!$A$1:$K$36,19,FALSE),0)</f>
        <v>0</v>
      </c>
      <c r="L156">
        <f>IFERROR(HLOOKUP(L$2,[7]table_male_hkom1_inj.V4!$A$1:$K$36,19,FALSE),0)</f>
        <v>0</v>
      </c>
      <c r="M156">
        <f t="shared" si="52"/>
        <v>0</v>
      </c>
      <c r="S156" t="s">
        <v>87</v>
      </c>
      <c r="T156" s="5">
        <f t="shared" si="55"/>
        <v>0</v>
      </c>
      <c r="U156" s="5">
        <f t="shared" si="56"/>
        <v>0</v>
      </c>
      <c r="V156" s="5">
        <f t="shared" si="57"/>
        <v>0</v>
      </c>
      <c r="W156" s="5">
        <f t="shared" si="58"/>
        <v>0</v>
      </c>
      <c r="X156" s="5">
        <f t="shared" si="59"/>
        <v>0</v>
      </c>
      <c r="Y156" s="5">
        <f t="shared" si="60"/>
        <v>0</v>
      </c>
      <c r="Z156" s="5">
        <f t="shared" si="61"/>
        <v>0</v>
      </c>
      <c r="AA156" s="5">
        <f t="shared" si="62"/>
        <v>0</v>
      </c>
      <c r="AB156" s="5">
        <f t="shared" si="63"/>
        <v>0</v>
      </c>
    </row>
    <row r="157" spans="4:28" x14ac:dyDescent="0.25">
      <c r="D157" t="s">
        <v>88</v>
      </c>
      <c r="E157" s="64"/>
      <c r="F157" s="64"/>
      <c r="G157">
        <f>IFERROR(HLOOKUP(G$2,[7]table_male_hkom1_inj.V4!$A$1:$K$36,20,FALSE),0)</f>
        <v>0</v>
      </c>
      <c r="H157">
        <f>IFERROR(HLOOKUP(H$2,[7]table_male_hkom1_inj.V4!$A$1:$K$36,20,FALSE),0)</f>
        <v>0</v>
      </c>
      <c r="I157">
        <f>IFERROR(HLOOKUP(I$2,[7]table_male_hkom1_inj.V4!$A$1:$K$36,20,FALSE),0)</f>
        <v>0</v>
      </c>
      <c r="J157">
        <f>IFERROR(HLOOKUP(J$2,[7]table_male_hkom1_inj.V4!$A$1:$K$36,20,FALSE),0)</f>
        <v>0</v>
      </c>
      <c r="K157">
        <f>IFERROR(HLOOKUP(K$2,[7]table_male_hkom1_inj.V4!$A$1:$K$36,20,FALSE),0)</f>
        <v>0</v>
      </c>
      <c r="L157">
        <f>IFERROR(HLOOKUP(L$2,[7]table_male_hkom1_inj.V4!$A$1:$K$36,20,FALSE),0)</f>
        <v>0</v>
      </c>
      <c r="M157">
        <f t="shared" si="52"/>
        <v>0</v>
      </c>
      <c r="S157" t="s">
        <v>88</v>
      </c>
      <c r="T157" s="5">
        <f t="shared" si="55"/>
        <v>0</v>
      </c>
      <c r="U157" s="5">
        <f t="shared" si="56"/>
        <v>0</v>
      </c>
      <c r="V157" s="5">
        <f t="shared" si="57"/>
        <v>0</v>
      </c>
      <c r="W157" s="5">
        <f t="shared" si="58"/>
        <v>0</v>
      </c>
      <c r="X157" s="5">
        <f t="shared" si="59"/>
        <v>0</v>
      </c>
      <c r="Y157" s="5">
        <f t="shared" si="60"/>
        <v>0</v>
      </c>
      <c r="Z157" s="5">
        <f t="shared" si="61"/>
        <v>0</v>
      </c>
      <c r="AA157" s="5">
        <f t="shared" si="62"/>
        <v>0</v>
      </c>
      <c r="AB157" s="5">
        <f t="shared" si="63"/>
        <v>0</v>
      </c>
    </row>
    <row r="158" spans="4:28" x14ac:dyDescent="0.25">
      <c r="D158" t="s">
        <v>89</v>
      </c>
      <c r="E158" s="64"/>
      <c r="F158" s="64"/>
      <c r="G158">
        <f>IFERROR(HLOOKUP(G$2,[7]table_male_hkom1_inj.V4!$A$1:$K$36,21,FALSE),0)</f>
        <v>0</v>
      </c>
      <c r="H158">
        <f>IFERROR(HLOOKUP(H$2,[7]table_male_hkom1_inj.V4!$A$1:$K$36,21,FALSE),0)</f>
        <v>0</v>
      </c>
      <c r="I158">
        <f>IFERROR(HLOOKUP(I$2,[7]table_male_hkom1_inj.V4!$A$1:$K$36,21,FALSE),0)</f>
        <v>0</v>
      </c>
      <c r="J158">
        <f>IFERROR(HLOOKUP(J$2,[7]table_male_hkom1_inj.V4!$A$1:$K$36,21,FALSE),0)</f>
        <v>0</v>
      </c>
      <c r="K158">
        <f>IFERROR(HLOOKUP(K$2,[7]table_male_hkom1_inj.V4!$A$1:$K$36,21,FALSE),0)</f>
        <v>0</v>
      </c>
      <c r="L158">
        <f>IFERROR(HLOOKUP(L$2,[7]table_male_hkom1_inj.V4!$A$1:$K$36,21,FALSE),0)</f>
        <v>0</v>
      </c>
      <c r="M158">
        <f t="shared" si="52"/>
        <v>0</v>
      </c>
      <c r="S158" t="s">
        <v>89</v>
      </c>
      <c r="T158" s="5">
        <f t="shared" si="55"/>
        <v>0</v>
      </c>
      <c r="U158" s="5">
        <f t="shared" si="56"/>
        <v>0</v>
      </c>
      <c r="V158" s="5">
        <f t="shared" si="57"/>
        <v>0</v>
      </c>
      <c r="W158" s="5">
        <f t="shared" si="58"/>
        <v>0</v>
      </c>
      <c r="X158" s="5">
        <f t="shared" si="59"/>
        <v>0</v>
      </c>
      <c r="Y158" s="5">
        <f t="shared" si="60"/>
        <v>0</v>
      </c>
      <c r="Z158" s="5">
        <f t="shared" si="61"/>
        <v>0</v>
      </c>
      <c r="AA158" s="5">
        <f t="shared" si="62"/>
        <v>0</v>
      </c>
      <c r="AB158" s="5">
        <f t="shared" si="63"/>
        <v>0</v>
      </c>
    </row>
    <row r="159" spans="4:28" x14ac:dyDescent="0.25">
      <c r="D159" t="s">
        <v>90</v>
      </c>
      <c r="E159" s="64"/>
      <c r="F159" s="64"/>
      <c r="G159">
        <f>IFERROR(HLOOKUP(G$2,[7]table_male_hkom1_inj.V4!$A$1:$K$36,22,FALSE),0)</f>
        <v>0</v>
      </c>
      <c r="H159">
        <f>IFERROR(HLOOKUP(H$2,[7]table_male_hkom1_inj.V4!$A$1:$K$36,22,FALSE),0)</f>
        <v>0</v>
      </c>
      <c r="I159">
        <f>IFERROR(HLOOKUP(I$2,[7]table_male_hkom1_inj.V4!$A$1:$K$36,22,FALSE),0)</f>
        <v>0</v>
      </c>
      <c r="J159">
        <f>IFERROR(HLOOKUP(J$2,[7]table_male_hkom1_inj.V4!$A$1:$K$36,22,FALSE),0)</f>
        <v>0</v>
      </c>
      <c r="K159">
        <f>IFERROR(HLOOKUP(K$2,[7]table_male_hkom1_inj.V4!$A$1:$K$36,22,FALSE),0)</f>
        <v>0</v>
      </c>
      <c r="L159">
        <f>IFERROR(HLOOKUP(L$2,[7]table_male_hkom1_inj.V4!$A$1:$K$36,22,FALSE),0)</f>
        <v>0</v>
      </c>
      <c r="M159">
        <f t="shared" si="52"/>
        <v>0</v>
      </c>
      <c r="S159" t="s">
        <v>90</v>
      </c>
      <c r="T159" s="5">
        <f t="shared" si="55"/>
        <v>0</v>
      </c>
      <c r="U159" s="5">
        <f t="shared" si="56"/>
        <v>0</v>
      </c>
      <c r="V159" s="5">
        <f t="shared" si="57"/>
        <v>0</v>
      </c>
      <c r="W159" s="5">
        <f t="shared" si="58"/>
        <v>0</v>
      </c>
      <c r="X159" s="5">
        <f t="shared" si="59"/>
        <v>0</v>
      </c>
      <c r="Y159" s="5">
        <f t="shared" si="60"/>
        <v>0</v>
      </c>
      <c r="Z159" s="5">
        <f t="shared" si="61"/>
        <v>0</v>
      </c>
      <c r="AA159" s="5">
        <f t="shared" si="62"/>
        <v>0</v>
      </c>
      <c r="AB159" s="5">
        <f t="shared" si="63"/>
        <v>0</v>
      </c>
    </row>
    <row r="160" spans="4:28" x14ac:dyDescent="0.25">
      <c r="D160" t="s">
        <v>91</v>
      </c>
      <c r="E160" s="64"/>
      <c r="F160" s="64"/>
      <c r="G160">
        <f>IFERROR(HLOOKUP(G$2,[7]table_male_hkom1_inj.V4!$A$1:$K$36,23,FALSE),0)</f>
        <v>0</v>
      </c>
      <c r="H160">
        <f>IFERROR(HLOOKUP(H$2,[7]table_male_hkom1_inj.V4!$A$1:$K$36,23,FALSE),0)</f>
        <v>0</v>
      </c>
      <c r="I160">
        <f>IFERROR(HLOOKUP(I$2,[7]table_male_hkom1_inj.V4!$A$1:$K$36,23,FALSE),0)</f>
        <v>0</v>
      </c>
      <c r="J160">
        <f>IFERROR(HLOOKUP(J$2,[7]table_male_hkom1_inj.V4!$A$1:$K$36,23,FALSE),0)</f>
        <v>0</v>
      </c>
      <c r="K160">
        <f>IFERROR(HLOOKUP(K$2,[7]table_male_hkom1_inj.V4!$A$1:$K$36,23,FALSE),0)</f>
        <v>0</v>
      </c>
      <c r="L160">
        <f>IFERROR(HLOOKUP(L$2,[7]table_male_hkom1_inj.V4!$A$1:$K$36,23,FALSE),0)</f>
        <v>0</v>
      </c>
      <c r="M160">
        <f t="shared" si="52"/>
        <v>0</v>
      </c>
      <c r="S160" t="s">
        <v>91</v>
      </c>
      <c r="T160" s="5">
        <f t="shared" si="55"/>
        <v>0</v>
      </c>
      <c r="U160" s="5">
        <f t="shared" si="56"/>
        <v>0</v>
      </c>
      <c r="V160" s="5">
        <f t="shared" si="57"/>
        <v>0</v>
      </c>
      <c r="W160" s="5">
        <f t="shared" si="58"/>
        <v>0</v>
      </c>
      <c r="X160" s="5">
        <f t="shared" si="59"/>
        <v>0</v>
      </c>
      <c r="Y160" s="5">
        <f t="shared" si="60"/>
        <v>0</v>
      </c>
      <c r="Z160" s="5">
        <f t="shared" si="61"/>
        <v>0</v>
      </c>
      <c r="AA160" s="5">
        <f t="shared" si="62"/>
        <v>0</v>
      </c>
      <c r="AB160" s="5">
        <f t="shared" si="63"/>
        <v>0</v>
      </c>
    </row>
    <row r="161" spans="1:29" x14ac:dyDescent="0.25">
      <c r="D161" t="s">
        <v>92</v>
      </c>
      <c r="E161" s="64"/>
      <c r="F161" s="64"/>
      <c r="G161">
        <f>IFERROR(HLOOKUP(G$2,[7]table_male_hkom1_inj.V4!$A$1:$K$36,24,FALSE),0)</f>
        <v>0</v>
      </c>
      <c r="H161">
        <f>IFERROR(HLOOKUP(H$2,[7]table_male_hkom1_inj.V4!$A$1:$K$36,24,FALSE),0)</f>
        <v>0</v>
      </c>
      <c r="I161">
        <f>IFERROR(HLOOKUP(I$2,[7]table_male_hkom1_inj.V4!$A$1:$K$36,24,FALSE),0)</f>
        <v>0</v>
      </c>
      <c r="J161">
        <f>IFERROR(HLOOKUP(J$2,[7]table_male_hkom1_inj.V4!$A$1:$K$36,24,FALSE),0)</f>
        <v>0</v>
      </c>
      <c r="K161">
        <f>IFERROR(HLOOKUP(K$2,[7]table_male_hkom1_inj.V4!$A$1:$K$36,24,FALSE),0)</f>
        <v>0</v>
      </c>
      <c r="L161">
        <f>IFERROR(HLOOKUP(L$2,[7]table_male_hkom1_inj.V4!$A$1:$K$36,24,FALSE),0)</f>
        <v>0</v>
      </c>
      <c r="M161">
        <f t="shared" si="52"/>
        <v>0</v>
      </c>
      <c r="S161" t="s">
        <v>92</v>
      </c>
      <c r="T161" s="5">
        <f t="shared" si="55"/>
        <v>0</v>
      </c>
      <c r="U161" s="5">
        <f t="shared" si="56"/>
        <v>0</v>
      </c>
      <c r="V161" s="5">
        <f t="shared" si="57"/>
        <v>0</v>
      </c>
      <c r="W161" s="5">
        <f t="shared" si="58"/>
        <v>0</v>
      </c>
      <c r="X161" s="5">
        <f t="shared" si="59"/>
        <v>0</v>
      </c>
      <c r="Y161" s="5">
        <f t="shared" si="60"/>
        <v>0</v>
      </c>
      <c r="Z161" s="5">
        <f t="shared" si="61"/>
        <v>0</v>
      </c>
      <c r="AA161" s="5">
        <f t="shared" si="62"/>
        <v>0</v>
      </c>
      <c r="AB161" s="5">
        <f t="shared" si="63"/>
        <v>0</v>
      </c>
    </row>
    <row r="162" spans="1:29" x14ac:dyDescent="0.25">
      <c r="D162" t="s">
        <v>93</v>
      </c>
      <c r="E162" s="64"/>
      <c r="F162" s="64"/>
      <c r="G162">
        <f>IFERROR(HLOOKUP(G$2,[7]table_male_hkom1_inj.V4!$A$1:$K$36,25,FALSE),0)</f>
        <v>0</v>
      </c>
      <c r="H162">
        <f>IFERROR(HLOOKUP(H$2,[7]table_male_hkom1_inj.V4!$A$1:$K$36,25,FALSE),0)</f>
        <v>0</v>
      </c>
      <c r="I162">
        <f>IFERROR(HLOOKUP(I$2,[7]table_male_hkom1_inj.V4!$A$1:$K$36,25,FALSE),0)</f>
        <v>0</v>
      </c>
      <c r="J162">
        <f>IFERROR(HLOOKUP(J$2,[7]table_male_hkom1_inj.V4!$A$1:$K$36,25,FALSE),0)</f>
        <v>0</v>
      </c>
      <c r="K162">
        <f>IFERROR(HLOOKUP(K$2,[7]table_male_hkom1_inj.V4!$A$1:$K$36,25,FALSE),0)</f>
        <v>0</v>
      </c>
      <c r="L162">
        <f>IFERROR(HLOOKUP(L$2,[7]table_male_hkom1_inj.V4!$A$1:$K$36,25,FALSE),0)</f>
        <v>0</v>
      </c>
      <c r="M162">
        <f t="shared" si="52"/>
        <v>0</v>
      </c>
      <c r="S162" t="s">
        <v>93</v>
      </c>
      <c r="T162" s="5">
        <f t="shared" si="55"/>
        <v>0</v>
      </c>
      <c r="U162" s="5">
        <f t="shared" si="56"/>
        <v>0</v>
      </c>
      <c r="V162" s="5">
        <f t="shared" si="57"/>
        <v>0</v>
      </c>
      <c r="W162" s="5">
        <f t="shared" si="58"/>
        <v>0</v>
      </c>
      <c r="X162" s="5">
        <f t="shared" si="59"/>
        <v>0</v>
      </c>
      <c r="Y162" s="5">
        <f t="shared" si="60"/>
        <v>0</v>
      </c>
      <c r="Z162" s="5">
        <f t="shared" si="61"/>
        <v>0</v>
      </c>
      <c r="AA162" s="5">
        <f t="shared" si="62"/>
        <v>0</v>
      </c>
      <c r="AB162" s="5">
        <f t="shared" si="63"/>
        <v>0</v>
      </c>
    </row>
    <row r="163" spans="1:29" x14ac:dyDescent="0.25">
      <c r="D163" t="s">
        <v>94</v>
      </c>
      <c r="E163" s="64"/>
      <c r="F163" s="64"/>
      <c r="G163">
        <f>IFERROR(HLOOKUP(G$2,[7]table_male_hkom1_inj.V4!$A$1:$K$36,26,FALSE),0)</f>
        <v>0</v>
      </c>
      <c r="H163">
        <f>IFERROR(HLOOKUP(H$2,[7]table_male_hkom1_inj.V4!$A$1:$K$36,26,FALSE),0)</f>
        <v>0</v>
      </c>
      <c r="I163">
        <f>IFERROR(HLOOKUP(I$2,[7]table_male_hkom1_inj.V4!$A$1:$K$36,26,FALSE),0)</f>
        <v>0</v>
      </c>
      <c r="J163">
        <f>IFERROR(HLOOKUP(J$2,[7]table_male_hkom1_inj.V4!$A$1:$K$36,26,FALSE),0)</f>
        <v>0</v>
      </c>
      <c r="K163">
        <f>IFERROR(HLOOKUP(K$2,[7]table_male_hkom1_inj.V4!$A$1:$K$36,26,FALSE),0)</f>
        <v>0</v>
      </c>
      <c r="L163">
        <f>IFERROR(HLOOKUP(L$2,[7]table_male_hkom1_inj.V4!$A$1:$K$36,26,FALSE),0)</f>
        <v>0</v>
      </c>
      <c r="M163">
        <f t="shared" si="52"/>
        <v>0</v>
      </c>
      <c r="S163" t="s">
        <v>94</v>
      </c>
      <c r="T163" s="5">
        <f t="shared" si="55"/>
        <v>0</v>
      </c>
      <c r="U163" s="5">
        <f t="shared" si="56"/>
        <v>0</v>
      </c>
      <c r="V163" s="5">
        <f t="shared" si="57"/>
        <v>0</v>
      </c>
      <c r="W163" s="5">
        <f t="shared" si="58"/>
        <v>0</v>
      </c>
      <c r="X163" s="5">
        <f t="shared" si="59"/>
        <v>0</v>
      </c>
      <c r="Y163" s="5">
        <f t="shared" si="60"/>
        <v>0</v>
      </c>
      <c r="Z163" s="5">
        <f t="shared" si="61"/>
        <v>0</v>
      </c>
      <c r="AA163" s="5">
        <f t="shared" si="62"/>
        <v>0</v>
      </c>
      <c r="AB163" s="5">
        <f t="shared" si="63"/>
        <v>0</v>
      </c>
    </row>
    <row r="164" spans="1:29" x14ac:dyDescent="0.25">
      <c r="D164" t="s">
        <v>95</v>
      </c>
      <c r="E164" s="64"/>
      <c r="F164" s="64"/>
      <c r="G164">
        <f>IFERROR(HLOOKUP(G$2,[7]table_male_hkom1_inj.V4!$A$1:$K$36,27,FALSE),0)</f>
        <v>0</v>
      </c>
      <c r="H164">
        <f>IFERROR(HLOOKUP(H$2,[7]table_male_hkom1_inj.V4!$A$1:$K$36,27,FALSE),0)</f>
        <v>0</v>
      </c>
      <c r="I164">
        <f>IFERROR(HLOOKUP(I$2,[7]table_male_hkom1_inj.V4!$A$1:$K$36,27,FALSE),0)</f>
        <v>0</v>
      </c>
      <c r="J164">
        <f>IFERROR(HLOOKUP(J$2,[7]table_male_hkom1_inj.V4!$A$1:$K$36,27,FALSE),0)</f>
        <v>0</v>
      </c>
      <c r="K164">
        <f>IFERROR(HLOOKUP(K$2,[7]table_male_hkom1_inj.V4!$A$1:$K$36,27,FALSE),0)</f>
        <v>0</v>
      </c>
      <c r="L164">
        <f>IFERROR(HLOOKUP(L$2,[7]table_male_hkom1_inj.V4!$A$1:$K$36,27,FALSE),0)</f>
        <v>0</v>
      </c>
      <c r="M164">
        <f t="shared" si="52"/>
        <v>0</v>
      </c>
      <c r="S164" t="s">
        <v>95</v>
      </c>
      <c r="T164" s="5">
        <f t="shared" si="55"/>
        <v>0</v>
      </c>
      <c r="U164" s="5">
        <f t="shared" si="56"/>
        <v>0</v>
      </c>
      <c r="V164" s="5">
        <f t="shared" si="57"/>
        <v>0</v>
      </c>
      <c r="W164" s="5">
        <f t="shared" si="58"/>
        <v>0</v>
      </c>
      <c r="X164" s="5">
        <f t="shared" si="59"/>
        <v>0</v>
      </c>
      <c r="Y164" s="5">
        <f t="shared" si="60"/>
        <v>0</v>
      </c>
      <c r="Z164" s="5">
        <f t="shared" si="61"/>
        <v>0</v>
      </c>
      <c r="AA164" s="5">
        <f t="shared" si="62"/>
        <v>0</v>
      </c>
      <c r="AB164" s="5">
        <f t="shared" si="63"/>
        <v>0</v>
      </c>
    </row>
    <row r="165" spans="1:29" x14ac:dyDescent="0.25">
      <c r="D165" t="s">
        <v>96</v>
      </c>
      <c r="E165" s="64"/>
      <c r="F165" s="64"/>
      <c r="G165">
        <f>IFERROR(HLOOKUP(G$2,[7]table_male_hkom1_inj.V4!$A$1:$K$36,28,FALSE),0)</f>
        <v>0</v>
      </c>
      <c r="H165">
        <f>IFERROR(HLOOKUP(H$2,[7]table_male_hkom1_inj.V4!$A$1:$K$36,28,FALSE),0)</f>
        <v>0</v>
      </c>
      <c r="I165">
        <f>IFERROR(HLOOKUP(I$2,[7]table_male_hkom1_inj.V4!$A$1:$K$36,28,FALSE),0)</f>
        <v>0</v>
      </c>
      <c r="J165">
        <f>IFERROR(HLOOKUP(J$2,[7]table_male_hkom1_inj.V4!$A$1:$K$36,28,FALSE),0)</f>
        <v>0</v>
      </c>
      <c r="K165">
        <f>IFERROR(HLOOKUP(K$2,[7]table_male_hkom1_inj.V4!$A$1:$K$36,28,FALSE),0)</f>
        <v>0</v>
      </c>
      <c r="L165">
        <f>IFERROR(HLOOKUP(L$2,[7]table_male_hkom1_inj.V4!$A$1:$K$36,28,FALSE),0)</f>
        <v>0</v>
      </c>
      <c r="M165">
        <f t="shared" si="52"/>
        <v>0</v>
      </c>
      <c r="S165" t="s">
        <v>96</v>
      </c>
      <c r="T165" s="5">
        <f t="shared" si="55"/>
        <v>0</v>
      </c>
      <c r="U165" s="5">
        <f t="shared" si="56"/>
        <v>0</v>
      </c>
      <c r="V165" s="5">
        <f t="shared" si="57"/>
        <v>0</v>
      </c>
      <c r="W165" s="5">
        <f t="shared" si="58"/>
        <v>0</v>
      </c>
      <c r="X165" s="5">
        <f t="shared" si="59"/>
        <v>0</v>
      </c>
      <c r="Y165" s="5">
        <f t="shared" si="60"/>
        <v>0</v>
      </c>
      <c r="Z165" s="5">
        <f t="shared" si="61"/>
        <v>0</v>
      </c>
      <c r="AA165" s="5">
        <f t="shared" si="62"/>
        <v>0</v>
      </c>
      <c r="AB165" s="5">
        <f t="shared" si="63"/>
        <v>0</v>
      </c>
    </row>
    <row r="166" spans="1:29" x14ac:dyDescent="0.25">
      <c r="D166" t="s">
        <v>97</v>
      </c>
      <c r="E166" s="64"/>
      <c r="F166" s="64"/>
      <c r="G166">
        <f>IFERROR(HLOOKUP(G$2,[7]table_male_hkom1_inj.V4!$A$1:$K$36,29,FALSE),0)</f>
        <v>0</v>
      </c>
      <c r="H166">
        <f>IFERROR(HLOOKUP(H$2,[7]table_male_hkom1_inj.V4!$A$1:$K$36,29,FALSE),0)</f>
        <v>0</v>
      </c>
      <c r="I166">
        <f>IFERROR(HLOOKUP(I$2,[7]table_male_hkom1_inj.V4!$A$1:$K$36,29,FALSE),0)</f>
        <v>0</v>
      </c>
      <c r="J166">
        <f>IFERROR(HLOOKUP(J$2,[7]table_male_hkom1_inj.V4!$A$1:$K$36,29,FALSE),0)</f>
        <v>0</v>
      </c>
      <c r="K166">
        <f>IFERROR(HLOOKUP(K$2,[7]table_male_hkom1_inj.V4!$A$1:$K$36,29,FALSE),0)</f>
        <v>0</v>
      </c>
      <c r="L166">
        <f>IFERROR(HLOOKUP(L$2,[7]table_male_hkom1_inj.V4!$A$1:$K$36,29,FALSE),0)</f>
        <v>0</v>
      </c>
      <c r="M166">
        <f t="shared" si="52"/>
        <v>0</v>
      </c>
      <c r="S166" t="s">
        <v>97</v>
      </c>
      <c r="T166" s="5">
        <f t="shared" si="55"/>
        <v>0</v>
      </c>
      <c r="U166" s="5">
        <f t="shared" si="56"/>
        <v>0</v>
      </c>
      <c r="V166" s="5">
        <f t="shared" si="57"/>
        <v>0</v>
      </c>
      <c r="W166" s="5">
        <f t="shared" si="58"/>
        <v>0</v>
      </c>
      <c r="X166" s="5">
        <f t="shared" si="59"/>
        <v>0</v>
      </c>
      <c r="Y166" s="5">
        <f t="shared" si="60"/>
        <v>0</v>
      </c>
      <c r="Z166" s="5">
        <f t="shared" si="61"/>
        <v>0</v>
      </c>
      <c r="AA166" s="5">
        <f t="shared" si="62"/>
        <v>0</v>
      </c>
      <c r="AB166" s="5">
        <f t="shared" si="63"/>
        <v>0</v>
      </c>
    </row>
    <row r="167" spans="1:29" x14ac:dyDescent="0.25">
      <c r="D167" t="s">
        <v>98</v>
      </c>
      <c r="E167" s="64"/>
      <c r="F167" s="64"/>
      <c r="G167">
        <f>IFERROR(HLOOKUP(G$2,[7]table_male_hkom1_inj.V4!$A$1:$K$36,30,FALSE),0)</f>
        <v>0</v>
      </c>
      <c r="H167">
        <f>IFERROR(HLOOKUP(H$2,[7]table_male_hkom1_inj.V4!$A$1:$K$36,30,FALSE),0)</f>
        <v>0</v>
      </c>
      <c r="I167">
        <f>IFERROR(HLOOKUP(I$2,[7]table_male_hkom1_inj.V4!$A$1:$K$36,30,FALSE),0)</f>
        <v>0</v>
      </c>
      <c r="J167">
        <f>IFERROR(HLOOKUP(J$2,[7]table_male_hkom1_inj.V4!$A$1:$K$36,30,FALSE),0)</f>
        <v>0</v>
      </c>
      <c r="K167">
        <f>IFERROR(HLOOKUP(K$2,[7]table_male_hkom1_inj.V4!$A$1:$K$36,30,FALSE),0)</f>
        <v>0</v>
      </c>
      <c r="L167">
        <f>IFERROR(HLOOKUP(L$2,[7]table_male_hkom1_inj.V4!$A$1:$K$36,30,FALSE),0)</f>
        <v>0</v>
      </c>
      <c r="M167">
        <f t="shared" si="52"/>
        <v>0</v>
      </c>
      <c r="S167" t="s">
        <v>98</v>
      </c>
      <c r="T167" s="5">
        <f t="shared" si="55"/>
        <v>0</v>
      </c>
      <c r="U167" s="5">
        <f t="shared" si="56"/>
        <v>0</v>
      </c>
      <c r="V167" s="5">
        <f t="shared" si="57"/>
        <v>0</v>
      </c>
      <c r="W167" s="5">
        <f t="shared" si="58"/>
        <v>0</v>
      </c>
      <c r="X167" s="5">
        <f t="shared" si="59"/>
        <v>0</v>
      </c>
      <c r="Y167" s="5">
        <f t="shared" si="60"/>
        <v>0</v>
      </c>
      <c r="Z167" s="5">
        <f t="shared" si="61"/>
        <v>0</v>
      </c>
      <c r="AA167" s="5">
        <f t="shared" si="62"/>
        <v>0</v>
      </c>
      <c r="AB167" s="5">
        <f t="shared" si="63"/>
        <v>0</v>
      </c>
    </row>
    <row r="168" spans="1:29" x14ac:dyDescent="0.25">
      <c r="D168" t="s">
        <v>119</v>
      </c>
      <c r="E168" s="64"/>
      <c r="F168" s="64"/>
      <c r="G168">
        <f>IFERROR(HLOOKUP(G$2,[7]table_male_hkom1_inj.V4!$A$1:$K$36,31,FALSE),0)</f>
        <v>0</v>
      </c>
      <c r="H168">
        <f>IFERROR(HLOOKUP(H$2,[7]table_male_hkom1_inj.V4!$A$1:$K$36,31,FALSE),0)</f>
        <v>0</v>
      </c>
      <c r="I168">
        <f>IFERROR(HLOOKUP(I$2,[7]table_male_hkom1_inj.V4!$A$1:$K$36,31,FALSE),0)</f>
        <v>0</v>
      </c>
      <c r="J168">
        <f>IFERROR(HLOOKUP(J$2,[7]table_male_hkom1_inj.V4!$A$1:$K$36,31,FALSE),0)</f>
        <v>0</v>
      </c>
      <c r="K168">
        <f>IFERROR(HLOOKUP(K$2,[7]table_male_hkom1_inj.V4!$A$1:$K$36,31,FALSE),0)</f>
        <v>0</v>
      </c>
      <c r="L168">
        <f>IFERROR(HLOOKUP(L$2,[7]table_male_hkom1_inj.V4!$A$1:$K$36,31,FALSE),0)</f>
        <v>0</v>
      </c>
      <c r="M168">
        <f t="shared" si="52"/>
        <v>0</v>
      </c>
      <c r="S168" t="s">
        <v>119</v>
      </c>
      <c r="T168" s="5">
        <f t="shared" si="55"/>
        <v>0</v>
      </c>
      <c r="U168" s="5">
        <f t="shared" si="56"/>
        <v>0</v>
      </c>
      <c r="V168" s="5">
        <f t="shared" si="57"/>
        <v>0</v>
      </c>
      <c r="W168" s="5">
        <f t="shared" si="58"/>
        <v>0</v>
      </c>
      <c r="X168" s="5">
        <f t="shared" si="59"/>
        <v>0</v>
      </c>
      <c r="Y168" s="5">
        <f t="shared" si="60"/>
        <v>0</v>
      </c>
      <c r="Z168" s="5">
        <f t="shared" si="61"/>
        <v>0</v>
      </c>
      <c r="AA168" s="5">
        <f t="shared" si="62"/>
        <v>0</v>
      </c>
      <c r="AB168" s="5">
        <f t="shared" si="63"/>
        <v>0</v>
      </c>
    </row>
    <row r="169" spans="1:29" x14ac:dyDescent="0.25">
      <c r="D169" t="s">
        <v>99</v>
      </c>
      <c r="E169" s="64"/>
      <c r="F169" s="64"/>
      <c r="G169">
        <f>IFERROR(HLOOKUP(G$2,[7]table_male_hkom1_inj.V4!$A$1:$K$36,32,FALSE),0)</f>
        <v>0</v>
      </c>
      <c r="H169">
        <f>IFERROR(HLOOKUP(H$2,[7]table_male_hkom1_inj.V4!$A$1:$K$36,32,FALSE),0)</f>
        <v>0</v>
      </c>
      <c r="I169">
        <f>IFERROR(HLOOKUP(I$2,[7]table_male_hkom1_inj.V4!$A$1:$K$36,32,FALSE),0)</f>
        <v>0</v>
      </c>
      <c r="J169">
        <f>IFERROR(HLOOKUP(J$2,[7]table_male_hkom1_inj.V4!$A$1:$K$36,32,FALSE),0)</f>
        <v>0</v>
      </c>
      <c r="K169">
        <f>IFERROR(HLOOKUP(K$2,[7]table_male_hkom1_inj.V4!$A$1:$K$36,32,FALSE),0)</f>
        <v>0</v>
      </c>
      <c r="L169">
        <f>IFERROR(HLOOKUP(L$2,[7]table_male_hkom1_inj.V4!$A$1:$K$36,32,FALSE),0)</f>
        <v>0</v>
      </c>
      <c r="M169">
        <f t="shared" si="52"/>
        <v>0</v>
      </c>
      <c r="S169" t="s">
        <v>99</v>
      </c>
      <c r="T169" s="5">
        <f t="shared" si="55"/>
        <v>0</v>
      </c>
      <c r="U169" s="5">
        <f t="shared" si="56"/>
        <v>0</v>
      </c>
      <c r="V169" s="5">
        <f t="shared" si="57"/>
        <v>0</v>
      </c>
      <c r="W169" s="5">
        <f t="shared" si="58"/>
        <v>0</v>
      </c>
      <c r="X169" s="5">
        <f t="shared" si="59"/>
        <v>0</v>
      </c>
      <c r="Y169" s="5">
        <f t="shared" si="60"/>
        <v>0</v>
      </c>
      <c r="Z169" s="5">
        <f t="shared" si="61"/>
        <v>0</v>
      </c>
      <c r="AA169" s="5">
        <f t="shared" si="62"/>
        <v>0</v>
      </c>
      <c r="AB169" s="5">
        <f t="shared" si="63"/>
        <v>0</v>
      </c>
    </row>
    <row r="170" spans="1:29" x14ac:dyDescent="0.25">
      <c r="D170" t="s">
        <v>100</v>
      </c>
      <c r="E170" s="64"/>
      <c r="F170" s="64"/>
      <c r="G170">
        <f>IFERROR(HLOOKUP(G$2,[7]table_male_hkom1_inj.V4!$A$1:$K$36,33,FALSE),0)</f>
        <v>0</v>
      </c>
      <c r="H170">
        <f>IFERROR(HLOOKUP(H$2,[7]table_male_hkom1_inj.V4!$A$1:$K$36,33,FALSE),0)</f>
        <v>0</v>
      </c>
      <c r="I170">
        <f>IFERROR(HLOOKUP(I$2,[7]table_male_hkom1_inj.V4!$A$1:$K$36,33,FALSE),0)</f>
        <v>0</v>
      </c>
      <c r="J170">
        <f>IFERROR(HLOOKUP(J$2,[7]table_male_hkom1_inj.V4!$A$1:$K$36,33,FALSE),0)</f>
        <v>0</v>
      </c>
      <c r="K170">
        <f>IFERROR(HLOOKUP(K$2,[7]table_male_hkom1_inj.V4!$A$1:$K$36,33,FALSE),0)</f>
        <v>0</v>
      </c>
      <c r="L170">
        <f>IFERROR(HLOOKUP(L$2,[7]table_male_hkom1_inj.V4!$A$1:$K$36,33,FALSE),0)</f>
        <v>0</v>
      </c>
      <c r="M170">
        <f t="shared" si="52"/>
        <v>0</v>
      </c>
      <c r="S170" t="s">
        <v>100</v>
      </c>
      <c r="T170" s="5">
        <f t="shared" si="55"/>
        <v>0</v>
      </c>
      <c r="U170" s="5">
        <f t="shared" si="56"/>
        <v>0</v>
      </c>
      <c r="V170" s="5">
        <f t="shared" si="57"/>
        <v>0</v>
      </c>
      <c r="W170" s="5">
        <f t="shared" si="58"/>
        <v>0</v>
      </c>
      <c r="X170" s="5">
        <f t="shared" si="59"/>
        <v>0</v>
      </c>
      <c r="Y170" s="5">
        <f t="shared" si="60"/>
        <v>0</v>
      </c>
      <c r="Z170" s="5">
        <f t="shared" si="61"/>
        <v>0</v>
      </c>
      <c r="AA170" s="5">
        <f t="shared" si="62"/>
        <v>0</v>
      </c>
      <c r="AB170" s="5">
        <f t="shared" si="63"/>
        <v>0</v>
      </c>
    </row>
    <row r="171" spans="1:29" x14ac:dyDescent="0.25">
      <c r="D171" t="s">
        <v>101</v>
      </c>
      <c r="E171" s="64"/>
      <c r="F171" s="64"/>
      <c r="G171">
        <f>IFERROR(HLOOKUP(G$2,[7]table_male_hkom1_inj.V4!$A$1:$K$36,34,FALSE),0)</f>
        <v>1</v>
      </c>
      <c r="H171">
        <f>IFERROR(HLOOKUP(H$2,[7]table_male_hkom1_inj.V4!$A$1:$K$36,34,FALSE),0)</f>
        <v>0</v>
      </c>
      <c r="I171">
        <f>IFERROR(HLOOKUP(I$2,[7]table_male_hkom1_inj.V4!$A$1:$K$36,34,FALSE),0)</f>
        <v>0</v>
      </c>
      <c r="J171">
        <f>IFERROR(HLOOKUP(J$2,[7]table_male_hkom1_inj.V4!$A$1:$K$36,34,FALSE),0)</f>
        <v>0</v>
      </c>
      <c r="K171">
        <f>IFERROR(HLOOKUP(K$2,[7]table_male_hkom1_inj.V4!$A$1:$K$36,34,FALSE),0)</f>
        <v>0</v>
      </c>
      <c r="L171">
        <f>IFERROR(HLOOKUP(L$2,[7]table_male_hkom1_inj.V4!$A$1:$K$36,34,FALSE),0)</f>
        <v>0</v>
      </c>
      <c r="M171">
        <f t="shared" si="52"/>
        <v>1</v>
      </c>
      <c r="S171" t="s">
        <v>101</v>
      </c>
      <c r="T171" s="5">
        <f t="shared" si="55"/>
        <v>0</v>
      </c>
      <c r="U171" s="5">
        <f t="shared" si="56"/>
        <v>0</v>
      </c>
      <c r="V171" s="5">
        <f t="shared" si="57"/>
        <v>1</v>
      </c>
      <c r="W171" s="5">
        <f t="shared" si="58"/>
        <v>0</v>
      </c>
      <c r="X171" s="5">
        <f t="shared" si="59"/>
        <v>0</v>
      </c>
      <c r="Y171" s="5">
        <f t="shared" si="60"/>
        <v>0</v>
      </c>
      <c r="Z171" s="5">
        <f t="shared" si="61"/>
        <v>0</v>
      </c>
      <c r="AA171" s="5">
        <f t="shared" si="62"/>
        <v>0</v>
      </c>
      <c r="AB171" s="5">
        <f t="shared" si="63"/>
        <v>1</v>
      </c>
    </row>
    <row r="172" spans="1:29" x14ac:dyDescent="0.25">
      <c r="D172" t="s">
        <v>102</v>
      </c>
      <c r="E172" s="64"/>
      <c r="F172" s="64"/>
      <c r="G172">
        <f>IFERROR(HLOOKUP(G$2,[7]table_male_hkom1_inj.V4!$A$1:$K$36,35,FALSE),0)</f>
        <v>0</v>
      </c>
      <c r="H172">
        <f>IFERROR(HLOOKUP(H$2,[7]table_male_hkom1_inj.V4!$A$1:$K$36,35,FALSE),0)</f>
        <v>1</v>
      </c>
      <c r="I172">
        <f>IFERROR(HLOOKUP(I$2,[7]table_male_hkom1_inj.V4!$A$1:$K$36,35,FALSE),0)</f>
        <v>0</v>
      </c>
      <c r="J172">
        <f>IFERROR(HLOOKUP(J$2,[7]table_male_hkom1_inj.V4!$A$1:$K$36,35,FALSE),0)</f>
        <v>0</v>
      </c>
      <c r="K172">
        <f>IFERROR(HLOOKUP(K$2,[7]table_male_hkom1_inj.V4!$A$1:$K$36,35,FALSE),0)</f>
        <v>0</v>
      </c>
      <c r="L172">
        <f>IFERROR(HLOOKUP(L$2,[7]table_male_hkom1_inj.V4!$A$1:$K$36,35,FALSE),0)</f>
        <v>0</v>
      </c>
      <c r="M172">
        <f t="shared" si="52"/>
        <v>1</v>
      </c>
      <c r="N172">
        <f>SUM(M139:M172)</f>
        <v>3</v>
      </c>
      <c r="O172" s="8">
        <f>SUM([7]table_male_hkom1_inj.V4!$B$2:$L$37)</f>
        <v>3</v>
      </c>
      <c r="S172" t="s">
        <v>102</v>
      </c>
      <c r="T172" s="7"/>
      <c r="U172" s="7"/>
      <c r="V172" s="7"/>
      <c r="W172" s="7"/>
      <c r="X172" s="7"/>
      <c r="Y172" s="7"/>
      <c r="Z172" s="7"/>
      <c r="AA172" s="7"/>
      <c r="AB172" s="7"/>
      <c r="AC172" s="5">
        <f>SUM(AB139:AB171)</f>
        <v>3</v>
      </c>
    </row>
    <row r="173" spans="1:29" x14ac:dyDescent="0.25">
      <c r="A173" t="s">
        <v>104</v>
      </c>
      <c r="B173" t="s">
        <v>103</v>
      </c>
      <c r="C173" t="s">
        <v>109</v>
      </c>
      <c r="D173" t="s">
        <v>70</v>
      </c>
      <c r="E173" s="64"/>
      <c r="F173" s="64"/>
      <c r="G173">
        <f>IFERROR(HLOOKUP(G$2,[8]table_male_hkom1_inj.U1!$A$1:$K$36,2,FALSE),0)</f>
        <v>88</v>
      </c>
      <c r="H173">
        <f>IFERROR(HLOOKUP(H$2,[8]table_male_hkom1_inj.U1!$A$1:$K$36,2,FALSE),0)</f>
        <v>89</v>
      </c>
      <c r="I173">
        <f>IFERROR(HLOOKUP(I$2,[8]table_male_hkom1_inj.U1!$A$1:$K$36,2,FALSE),0)</f>
        <v>24</v>
      </c>
      <c r="J173">
        <f>IFERROR(HLOOKUP(J$2,[8]table_male_hkom1_inj.U1!$A$1:$K$36,2,FALSE),0)</f>
        <v>2</v>
      </c>
      <c r="K173">
        <f>IFERROR(HLOOKUP(K$2,[8]table_male_hkom1_inj.U1!$A$1:$K$36,2,FALSE),0)</f>
        <v>0</v>
      </c>
      <c r="L173">
        <f>IFERROR(HLOOKUP(L$2,[8]table_male_hkom1_inj.U1!$A$1:$K$36,2,FALSE),0)</f>
        <v>0</v>
      </c>
      <c r="M173">
        <f t="shared" si="52"/>
        <v>203</v>
      </c>
      <c r="P173" t="s">
        <v>104</v>
      </c>
      <c r="Q173" t="s">
        <v>103</v>
      </c>
      <c r="R173" t="s">
        <v>109</v>
      </c>
      <c r="S173" t="s">
        <v>70</v>
      </c>
      <c r="T173" s="5">
        <f>IF(SUM(E$173:E$205)=0,E$206/33,E173+IFERROR(E173/SUM(E$173:E$205)*E$206,0))</f>
        <v>0</v>
      </c>
      <c r="U173" s="5">
        <f t="shared" ref="U173:AA173" si="64">IF(SUM(F$173:F$205)=0,F$206/33,F173+IFERROR(F173/SUM(F$173:F$205)*F$206,0))</f>
        <v>0</v>
      </c>
      <c r="V173" s="5">
        <f t="shared" si="64"/>
        <v>92.137543859649128</v>
      </c>
      <c r="W173" s="5">
        <f t="shared" si="64"/>
        <v>93.300646987464617</v>
      </c>
      <c r="X173" s="5">
        <f t="shared" si="64"/>
        <v>25.835294117647059</v>
      </c>
      <c r="Y173" s="5">
        <f t="shared" si="64"/>
        <v>2.0893854748603351</v>
      </c>
      <c r="Z173" s="5">
        <f t="shared" si="64"/>
        <v>0</v>
      </c>
      <c r="AA173" s="5">
        <f t="shared" si="64"/>
        <v>0</v>
      </c>
      <c r="AB173" s="5">
        <f>SUM(T173:AA173)</f>
        <v>213.36287043962113</v>
      </c>
    </row>
    <row r="174" spans="1:29" x14ac:dyDescent="0.25">
      <c r="D174" t="s">
        <v>71</v>
      </c>
      <c r="E174" s="64"/>
      <c r="F174" s="64"/>
      <c r="G174">
        <f>IFERROR(HLOOKUP(G$2,[8]table_male_hkom1_inj.U1!$A$1:$K$36,3,FALSE),0)</f>
        <v>236</v>
      </c>
      <c r="H174">
        <f>IFERROR(HLOOKUP(H$2,[8]table_male_hkom1_inj.U1!$A$1:$K$36,3,FALSE),0)</f>
        <v>276</v>
      </c>
      <c r="I174">
        <f>IFERROR(HLOOKUP(I$2,[8]table_male_hkom1_inj.U1!$A$1:$K$36,3,FALSE),0)</f>
        <v>84</v>
      </c>
      <c r="J174">
        <f>IFERROR(HLOOKUP(J$2,[8]table_male_hkom1_inj.U1!$A$1:$K$36,3,FALSE),0)</f>
        <v>3</v>
      </c>
      <c r="K174">
        <f>IFERROR(HLOOKUP(K$2,[8]table_male_hkom1_inj.U1!$A$1:$K$36,3,FALSE),0)</f>
        <v>0</v>
      </c>
      <c r="L174">
        <f>IFERROR(HLOOKUP(L$2,[8]table_male_hkom1_inj.U1!$A$1:$K$36,3,FALSE),0)</f>
        <v>0</v>
      </c>
      <c r="M174">
        <f t="shared" si="52"/>
        <v>599</v>
      </c>
      <c r="S174" t="s">
        <v>71</v>
      </c>
      <c r="T174" s="5">
        <f t="shared" ref="T174:T205" si="65">IF(SUM(E$173:E$205)=0,E$206/33,E174+IFERROR(E174/SUM(E$173:E$205)*E$206,0))</f>
        <v>0</v>
      </c>
      <c r="U174" s="5">
        <f t="shared" ref="U174:U205" si="66">IF(SUM(F$173:F$205)=0,F$206/33,F174+IFERROR(F174/SUM(F$173:F$205)*F$206,0))</f>
        <v>0</v>
      </c>
      <c r="V174" s="5">
        <f t="shared" ref="V174:V205" si="67">IF(SUM(G$173:G$205)=0,G$206/33,G174+IFERROR(G174/SUM(G$173:G$205)*G$206,0))</f>
        <v>247.09614035087719</v>
      </c>
      <c r="W174" s="5">
        <f t="shared" ref="W174:W205" si="68">IF(SUM(H$173:H$205)=0,H$206/33,H174+IFERROR(H174/SUM(H$173:H$205)*H$206,0))</f>
        <v>289.33683784876666</v>
      </c>
      <c r="X174" s="5">
        <f t="shared" ref="X174:X205" si="69">IF(SUM(I$173:I$205)=0,I$206/33,I174+IFERROR(I174/SUM(I$173:I$205)*I$206,0))</f>
        <v>90.423529411764704</v>
      </c>
      <c r="Y174" s="5">
        <f t="shared" ref="Y174:Y205" si="70">IF(SUM(J$173:J$205)=0,J$206/33,J174+IFERROR(J174/SUM(J$173:J$205)*J$206,0))</f>
        <v>3.1340782122905027</v>
      </c>
      <c r="Z174" s="5">
        <f t="shared" ref="Z174:Z205" si="71">IF(SUM(K$173:K$205)=0,K$206/33,K174+IFERROR(K174/SUM(K$173:K$205)*K$206,0))</f>
        <v>0</v>
      </c>
      <c r="AA174" s="5">
        <f t="shared" ref="AA174:AA205" si="72">IF(SUM(L$173:L$205)=0,L$206/33,L174+IFERROR(L174/SUM(L$173:L$205)*L$206,0))</f>
        <v>0</v>
      </c>
      <c r="AB174" s="5">
        <f t="shared" ref="AB174:AB205" si="73">SUM(T174:AA174)</f>
        <v>629.99058582369912</v>
      </c>
    </row>
    <row r="175" spans="1:29" x14ac:dyDescent="0.25">
      <c r="D175" t="s">
        <v>72</v>
      </c>
      <c r="E175" s="64"/>
      <c r="F175" s="64"/>
      <c r="G175">
        <f>IFERROR(HLOOKUP(G$2,[8]table_male_hkom1_inj.U1!$A$1:$K$36,4,FALSE),0)</f>
        <v>53</v>
      </c>
      <c r="H175">
        <f>IFERROR(HLOOKUP(H$2,[8]table_male_hkom1_inj.U1!$A$1:$K$36,4,FALSE),0)</f>
        <v>68</v>
      </c>
      <c r="I175">
        <f>IFERROR(HLOOKUP(I$2,[8]table_male_hkom1_inj.U1!$A$1:$K$36,4,FALSE),0)</f>
        <v>36</v>
      </c>
      <c r="J175">
        <f>IFERROR(HLOOKUP(J$2,[8]table_male_hkom1_inj.U1!$A$1:$K$36,4,FALSE),0)</f>
        <v>4</v>
      </c>
      <c r="K175">
        <f>IFERROR(HLOOKUP(K$2,[8]table_male_hkom1_inj.U1!$A$1:$K$36,4,FALSE),0)</f>
        <v>0</v>
      </c>
      <c r="L175">
        <f>IFERROR(HLOOKUP(L$2,[8]table_male_hkom1_inj.U1!$A$1:$K$36,4,FALSE),0)</f>
        <v>0</v>
      </c>
      <c r="M175">
        <f t="shared" si="52"/>
        <v>161</v>
      </c>
      <c r="S175" t="s">
        <v>72</v>
      </c>
      <c r="T175" s="5">
        <f t="shared" si="65"/>
        <v>0</v>
      </c>
      <c r="U175" s="5">
        <f t="shared" si="66"/>
        <v>0</v>
      </c>
      <c r="V175" s="5">
        <f t="shared" si="67"/>
        <v>55.491929824561403</v>
      </c>
      <c r="W175" s="5">
        <f t="shared" si="68"/>
        <v>71.285887585928023</v>
      </c>
      <c r="X175" s="5">
        <f t="shared" si="69"/>
        <v>38.752941176470586</v>
      </c>
      <c r="Y175" s="5">
        <f t="shared" si="70"/>
        <v>4.1787709497206702</v>
      </c>
      <c r="Z175" s="5">
        <f t="shared" si="71"/>
        <v>0</v>
      </c>
      <c r="AA175" s="5">
        <f t="shared" si="72"/>
        <v>0</v>
      </c>
      <c r="AB175" s="5">
        <f t="shared" si="73"/>
        <v>169.70952953668069</v>
      </c>
    </row>
    <row r="176" spans="1:29" x14ac:dyDescent="0.25">
      <c r="D176" t="s">
        <v>73</v>
      </c>
      <c r="E176" s="64"/>
      <c r="F176" s="64"/>
      <c r="G176">
        <f>IFERROR(HLOOKUP(G$2,[8]table_male_hkom1_inj.U1!$A$1:$K$36,5,FALSE),0)</f>
        <v>30</v>
      </c>
      <c r="H176">
        <f>IFERROR(HLOOKUP(H$2,[8]table_male_hkom1_inj.U1!$A$1:$K$36,5,FALSE),0)</f>
        <v>71</v>
      </c>
      <c r="I176">
        <f>IFERROR(HLOOKUP(I$2,[8]table_male_hkom1_inj.U1!$A$1:$K$36,5,FALSE),0)</f>
        <v>52</v>
      </c>
      <c r="J176">
        <f>IFERROR(HLOOKUP(J$2,[8]table_male_hkom1_inj.U1!$A$1:$K$36,5,FALSE),0)</f>
        <v>3</v>
      </c>
      <c r="K176">
        <f>IFERROR(HLOOKUP(K$2,[8]table_male_hkom1_inj.U1!$A$1:$K$36,5,FALSE),0)</f>
        <v>0</v>
      </c>
      <c r="L176">
        <f>IFERROR(HLOOKUP(L$2,[8]table_male_hkom1_inj.U1!$A$1:$K$36,5,FALSE),0)</f>
        <v>0</v>
      </c>
      <c r="M176">
        <f t="shared" si="52"/>
        <v>156</v>
      </c>
      <c r="S176" t="s">
        <v>73</v>
      </c>
      <c r="T176" s="5">
        <f t="shared" si="65"/>
        <v>0</v>
      </c>
      <c r="U176" s="5">
        <f t="shared" si="66"/>
        <v>0</v>
      </c>
      <c r="V176" s="5">
        <f t="shared" si="67"/>
        <v>31.410526315789475</v>
      </c>
      <c r="W176" s="5">
        <f t="shared" si="68"/>
        <v>74.430853214718965</v>
      </c>
      <c r="X176" s="5">
        <f t="shared" si="69"/>
        <v>55.976470588235294</v>
      </c>
      <c r="Y176" s="5">
        <f t="shared" si="70"/>
        <v>3.1340782122905027</v>
      </c>
      <c r="Z176" s="5">
        <f t="shared" si="71"/>
        <v>0</v>
      </c>
      <c r="AA176" s="5">
        <f t="shared" si="72"/>
        <v>0</v>
      </c>
      <c r="AB176" s="5">
        <f t="shared" si="73"/>
        <v>164.95192833103422</v>
      </c>
    </row>
    <row r="177" spans="4:28" x14ac:dyDescent="0.25">
      <c r="D177" t="s">
        <v>74</v>
      </c>
      <c r="E177" s="64"/>
      <c r="F177" s="64"/>
      <c r="G177">
        <f>IFERROR(HLOOKUP(G$2,[8]table_male_hkom1_inj.U1!$A$1:$K$36,6,FALSE),0)</f>
        <v>45</v>
      </c>
      <c r="H177">
        <f>IFERROR(HLOOKUP(H$2,[8]table_male_hkom1_inj.U1!$A$1:$K$36,6,FALSE),0)</f>
        <v>200</v>
      </c>
      <c r="I177">
        <f>IFERROR(HLOOKUP(I$2,[8]table_male_hkom1_inj.U1!$A$1:$K$36,6,FALSE),0)</f>
        <v>138</v>
      </c>
      <c r="J177">
        <f>IFERROR(HLOOKUP(J$2,[8]table_male_hkom1_inj.U1!$A$1:$K$36,6,FALSE),0)</f>
        <v>8</v>
      </c>
      <c r="K177">
        <f>IFERROR(HLOOKUP(K$2,[8]table_male_hkom1_inj.U1!$A$1:$K$36,6,FALSE),0)</f>
        <v>2</v>
      </c>
      <c r="L177">
        <f>IFERROR(HLOOKUP(L$2,[8]table_male_hkom1_inj.U1!$A$1:$K$36,6,FALSE),0)</f>
        <v>0</v>
      </c>
      <c r="M177">
        <f t="shared" si="52"/>
        <v>393</v>
      </c>
      <c r="S177" t="s">
        <v>74</v>
      </c>
      <c r="T177" s="5">
        <f t="shared" si="65"/>
        <v>0</v>
      </c>
      <c r="U177" s="5">
        <f t="shared" si="66"/>
        <v>0</v>
      </c>
      <c r="V177" s="5">
        <f t="shared" si="67"/>
        <v>47.11578947368421</v>
      </c>
      <c r="W177" s="5">
        <f t="shared" si="68"/>
        <v>209.66437525272949</v>
      </c>
      <c r="X177" s="5">
        <f t="shared" si="69"/>
        <v>148.5529411764706</v>
      </c>
      <c r="Y177" s="5">
        <f t="shared" si="70"/>
        <v>8.3575418994413404</v>
      </c>
      <c r="Z177" s="5">
        <f t="shared" si="71"/>
        <v>2</v>
      </c>
      <c r="AA177" s="5">
        <f t="shared" si="72"/>
        <v>0</v>
      </c>
      <c r="AB177" s="5">
        <f t="shared" si="73"/>
        <v>415.69064780232566</v>
      </c>
    </row>
    <row r="178" spans="4:28" x14ac:dyDescent="0.25">
      <c r="D178" t="s">
        <v>75</v>
      </c>
      <c r="E178" s="64"/>
      <c r="F178" s="64"/>
      <c r="G178">
        <f>IFERROR(HLOOKUP(G$2,[8]table_male_hkom1_inj.U1!$A$1:$K$36,7,FALSE),0)</f>
        <v>46</v>
      </c>
      <c r="H178">
        <f>IFERROR(HLOOKUP(H$2,[8]table_male_hkom1_inj.U1!$A$1:$K$36,7,FALSE),0)</f>
        <v>55</v>
      </c>
      <c r="I178">
        <f>IFERROR(HLOOKUP(I$2,[8]table_male_hkom1_inj.U1!$A$1:$K$36,7,FALSE),0)</f>
        <v>25</v>
      </c>
      <c r="J178">
        <f>IFERROR(HLOOKUP(J$2,[8]table_male_hkom1_inj.U1!$A$1:$K$36,7,FALSE),0)</f>
        <v>3</v>
      </c>
      <c r="K178">
        <f>IFERROR(HLOOKUP(K$2,[8]table_male_hkom1_inj.U1!$A$1:$K$36,7,FALSE),0)</f>
        <v>0</v>
      </c>
      <c r="L178">
        <f>IFERROR(HLOOKUP(L$2,[8]table_male_hkom1_inj.U1!$A$1:$K$36,7,FALSE),0)</f>
        <v>0</v>
      </c>
      <c r="M178">
        <f t="shared" si="52"/>
        <v>129</v>
      </c>
      <c r="S178" t="s">
        <v>75</v>
      </c>
      <c r="T178" s="5">
        <f t="shared" si="65"/>
        <v>0</v>
      </c>
      <c r="U178" s="5">
        <f t="shared" si="66"/>
        <v>0</v>
      </c>
      <c r="V178" s="5">
        <f t="shared" si="67"/>
        <v>48.162807017543862</v>
      </c>
      <c r="W178" s="5">
        <f t="shared" si="68"/>
        <v>57.657703194500606</v>
      </c>
      <c r="X178" s="5">
        <f t="shared" si="69"/>
        <v>26.911764705882351</v>
      </c>
      <c r="Y178" s="5">
        <f t="shared" si="70"/>
        <v>3.1340782122905027</v>
      </c>
      <c r="Z178" s="5">
        <f t="shared" si="71"/>
        <v>0</v>
      </c>
      <c r="AA178" s="5">
        <f t="shared" si="72"/>
        <v>0</v>
      </c>
      <c r="AB178" s="5">
        <f t="shared" si="73"/>
        <v>135.86635313021731</v>
      </c>
    </row>
    <row r="179" spans="4:28" x14ac:dyDescent="0.25">
      <c r="D179" t="s">
        <v>76</v>
      </c>
      <c r="E179" s="64"/>
      <c r="F179" s="64"/>
      <c r="G179">
        <f>IFERROR(HLOOKUP(G$2,[8]table_male_hkom1_inj.U1!$A$1:$K$36,8,FALSE),0)</f>
        <v>129</v>
      </c>
      <c r="H179">
        <f>IFERROR(HLOOKUP(H$2,[8]table_male_hkom1_inj.U1!$A$1:$K$36,8,FALSE),0)</f>
        <v>239</v>
      </c>
      <c r="I179">
        <f>IFERROR(HLOOKUP(I$2,[8]table_male_hkom1_inj.U1!$A$1:$K$36,8,FALSE),0)</f>
        <v>91</v>
      </c>
      <c r="J179">
        <f>IFERROR(HLOOKUP(J$2,[8]table_male_hkom1_inj.U1!$A$1:$K$36,8,FALSE),0)</f>
        <v>6</v>
      </c>
      <c r="K179">
        <f>IFERROR(HLOOKUP(K$2,[8]table_male_hkom1_inj.U1!$A$1:$K$36,8,FALSE),0)</f>
        <v>1</v>
      </c>
      <c r="L179">
        <f>IFERROR(HLOOKUP(L$2,[8]table_male_hkom1_inj.U1!$A$1:$K$36,8,FALSE),0)</f>
        <v>0</v>
      </c>
      <c r="M179">
        <f t="shared" si="52"/>
        <v>466</v>
      </c>
      <c r="S179" t="s">
        <v>76</v>
      </c>
      <c r="T179" s="5">
        <f t="shared" si="65"/>
        <v>0</v>
      </c>
      <c r="U179" s="5">
        <f t="shared" si="66"/>
        <v>0</v>
      </c>
      <c r="V179" s="5">
        <f t="shared" si="67"/>
        <v>135.06526315789475</v>
      </c>
      <c r="W179" s="5">
        <f t="shared" si="68"/>
        <v>250.54892842701173</v>
      </c>
      <c r="X179" s="5">
        <f t="shared" si="69"/>
        <v>97.95882352941176</v>
      </c>
      <c r="Y179" s="5">
        <f t="shared" si="70"/>
        <v>6.2681564245810053</v>
      </c>
      <c r="Z179" s="5">
        <f t="shared" si="71"/>
        <v>1</v>
      </c>
      <c r="AA179" s="5">
        <f t="shared" si="72"/>
        <v>0</v>
      </c>
      <c r="AB179" s="5">
        <f t="shared" si="73"/>
        <v>490.84117153889923</v>
      </c>
    </row>
    <row r="180" spans="4:28" x14ac:dyDescent="0.25">
      <c r="D180" t="s">
        <v>77</v>
      </c>
      <c r="E180" s="64"/>
      <c r="F180" s="64"/>
      <c r="G180">
        <f>IFERROR(HLOOKUP(G$2,[8]table_male_hkom1_inj.U1!$A$1:$K$36,9,FALSE),0)</f>
        <v>203</v>
      </c>
      <c r="H180">
        <f>IFERROR(HLOOKUP(H$2,[8]table_male_hkom1_inj.U1!$A$1:$K$36,9,FALSE),0)</f>
        <v>219</v>
      </c>
      <c r="I180">
        <f>IFERROR(HLOOKUP(I$2,[8]table_male_hkom1_inj.U1!$A$1:$K$36,9,FALSE),0)</f>
        <v>88</v>
      </c>
      <c r="J180">
        <f>IFERROR(HLOOKUP(J$2,[8]table_male_hkom1_inj.U1!$A$1:$K$36,9,FALSE),0)</f>
        <v>8</v>
      </c>
      <c r="K180">
        <f>IFERROR(HLOOKUP(K$2,[8]table_male_hkom1_inj.U1!$A$1:$K$36,9,FALSE),0)</f>
        <v>1</v>
      </c>
      <c r="L180">
        <f>IFERROR(HLOOKUP(L$2,[8]table_male_hkom1_inj.U1!$A$1:$K$36,9,FALSE),0)</f>
        <v>0</v>
      </c>
      <c r="M180">
        <f t="shared" si="52"/>
        <v>519</v>
      </c>
      <c r="S180" t="s">
        <v>77</v>
      </c>
      <c r="T180" s="5">
        <f t="shared" si="65"/>
        <v>0</v>
      </c>
      <c r="U180" s="5">
        <f t="shared" si="66"/>
        <v>0</v>
      </c>
      <c r="V180" s="5">
        <f t="shared" si="67"/>
        <v>212.54456140350877</v>
      </c>
      <c r="W180" s="5">
        <f t="shared" si="68"/>
        <v>229.58249090173877</v>
      </c>
      <c r="X180" s="5">
        <f t="shared" si="69"/>
        <v>94.729411764705887</v>
      </c>
      <c r="Y180" s="5">
        <f t="shared" si="70"/>
        <v>8.3575418994413404</v>
      </c>
      <c r="Z180" s="5">
        <f t="shared" si="71"/>
        <v>1</v>
      </c>
      <c r="AA180" s="5">
        <f t="shared" si="72"/>
        <v>0</v>
      </c>
      <c r="AB180" s="5">
        <f t="shared" si="73"/>
        <v>546.21400596939475</v>
      </c>
    </row>
    <row r="181" spans="4:28" x14ac:dyDescent="0.25">
      <c r="D181" t="s">
        <v>78</v>
      </c>
      <c r="E181" s="64"/>
      <c r="F181" s="64"/>
      <c r="G181">
        <f>IFERROR(HLOOKUP(G$2,[8]table_male_hkom1_inj.U1!$A$1:$K$36,10,FALSE),0)</f>
        <v>179</v>
      </c>
      <c r="H181">
        <f>IFERROR(HLOOKUP(H$2,[8]table_male_hkom1_inj.U1!$A$1:$K$36,10,FALSE),0)</f>
        <v>201</v>
      </c>
      <c r="I181">
        <f>IFERROR(HLOOKUP(I$2,[8]table_male_hkom1_inj.U1!$A$1:$K$36,10,FALSE),0)</f>
        <v>88</v>
      </c>
      <c r="J181">
        <f>IFERROR(HLOOKUP(J$2,[8]table_male_hkom1_inj.U1!$A$1:$K$36,10,FALSE),0)</f>
        <v>5</v>
      </c>
      <c r="K181">
        <f>IFERROR(HLOOKUP(K$2,[8]table_male_hkom1_inj.U1!$A$1:$K$36,10,FALSE),0)</f>
        <v>2</v>
      </c>
      <c r="L181">
        <f>IFERROR(HLOOKUP(L$2,[8]table_male_hkom1_inj.U1!$A$1:$K$36,10,FALSE),0)</f>
        <v>0</v>
      </c>
      <c r="M181">
        <f t="shared" si="52"/>
        <v>475</v>
      </c>
      <c r="S181" t="s">
        <v>78</v>
      </c>
      <c r="T181" s="5">
        <f t="shared" si="65"/>
        <v>0</v>
      </c>
      <c r="U181" s="5">
        <f t="shared" si="66"/>
        <v>0</v>
      </c>
      <c r="V181" s="5">
        <f t="shared" si="67"/>
        <v>187.41614035087719</v>
      </c>
      <c r="W181" s="5">
        <f t="shared" si="68"/>
        <v>210.71269712899311</v>
      </c>
      <c r="X181" s="5">
        <f t="shared" si="69"/>
        <v>94.729411764705887</v>
      </c>
      <c r="Y181" s="5">
        <f t="shared" si="70"/>
        <v>5.2234636871508382</v>
      </c>
      <c r="Z181" s="5">
        <f t="shared" si="71"/>
        <v>2</v>
      </c>
      <c r="AA181" s="5">
        <f t="shared" si="72"/>
        <v>0</v>
      </c>
      <c r="AB181" s="5">
        <f t="shared" si="73"/>
        <v>500.08171293172705</v>
      </c>
    </row>
    <row r="182" spans="4:28" x14ac:dyDescent="0.25">
      <c r="D182" t="s">
        <v>79</v>
      </c>
      <c r="E182" s="64"/>
      <c r="F182" s="64"/>
      <c r="G182">
        <f>IFERROR(HLOOKUP(G$2,[8]table_male_hkom1_inj.U1!$A$1:$K$36,11,FALSE),0)</f>
        <v>317</v>
      </c>
      <c r="H182">
        <f>IFERROR(HLOOKUP(H$2,[8]table_male_hkom1_inj.U1!$A$1:$K$36,11,FALSE),0)</f>
        <v>231</v>
      </c>
      <c r="I182">
        <f>IFERROR(HLOOKUP(I$2,[8]table_male_hkom1_inj.U1!$A$1:$K$36,11,FALSE),0)</f>
        <v>82</v>
      </c>
      <c r="J182">
        <f>IFERROR(HLOOKUP(J$2,[8]table_male_hkom1_inj.U1!$A$1:$K$36,11,FALSE),0)</f>
        <v>7</v>
      </c>
      <c r="K182">
        <f>IFERROR(HLOOKUP(K$2,[8]table_male_hkom1_inj.U1!$A$1:$K$36,11,FALSE),0)</f>
        <v>3</v>
      </c>
      <c r="L182">
        <f>IFERROR(HLOOKUP(L$2,[8]table_male_hkom1_inj.U1!$A$1:$K$36,11,FALSE),0)</f>
        <v>0</v>
      </c>
      <c r="M182">
        <f t="shared" si="52"/>
        <v>640</v>
      </c>
      <c r="S182" t="s">
        <v>79</v>
      </c>
      <c r="T182" s="5">
        <f t="shared" si="65"/>
        <v>0</v>
      </c>
      <c r="U182" s="5">
        <f t="shared" si="66"/>
        <v>0</v>
      </c>
      <c r="V182" s="5">
        <f t="shared" si="67"/>
        <v>331.90456140350875</v>
      </c>
      <c r="W182" s="5">
        <f t="shared" si="68"/>
        <v>242.16235341690253</v>
      </c>
      <c r="X182" s="5">
        <f t="shared" si="69"/>
        <v>88.270588235294113</v>
      </c>
      <c r="Y182" s="5">
        <f t="shared" si="70"/>
        <v>7.3128491620111733</v>
      </c>
      <c r="Z182" s="5">
        <f t="shared" si="71"/>
        <v>3</v>
      </c>
      <c r="AA182" s="5">
        <f t="shared" si="72"/>
        <v>0</v>
      </c>
      <c r="AB182" s="5">
        <f t="shared" si="73"/>
        <v>672.65035221771655</v>
      </c>
    </row>
    <row r="183" spans="4:28" x14ac:dyDescent="0.25">
      <c r="D183" t="s">
        <v>80</v>
      </c>
      <c r="E183" s="64"/>
      <c r="F183" s="64"/>
      <c r="G183">
        <f>IFERROR(HLOOKUP(G$2,[8]table_male_hkom1_inj.U1!$A$1:$K$36,12,FALSE),0)</f>
        <v>256</v>
      </c>
      <c r="H183">
        <f>IFERROR(HLOOKUP(H$2,[8]table_male_hkom1_inj.U1!$A$1:$K$36,12,FALSE),0)</f>
        <v>312</v>
      </c>
      <c r="I183">
        <f>IFERROR(HLOOKUP(I$2,[8]table_male_hkom1_inj.U1!$A$1:$K$36,12,FALSE),0)</f>
        <v>141</v>
      </c>
      <c r="J183">
        <f>IFERROR(HLOOKUP(J$2,[8]table_male_hkom1_inj.U1!$A$1:$K$36,12,FALSE),0)</f>
        <v>23</v>
      </c>
      <c r="K183">
        <f>IFERROR(HLOOKUP(K$2,[8]table_male_hkom1_inj.U1!$A$1:$K$36,12,FALSE),0)</f>
        <v>1</v>
      </c>
      <c r="L183">
        <f>IFERROR(HLOOKUP(L$2,[8]table_male_hkom1_inj.U1!$A$1:$K$36,12,FALSE),0)</f>
        <v>0</v>
      </c>
      <c r="M183">
        <f t="shared" si="52"/>
        <v>733</v>
      </c>
      <c r="S183" t="s">
        <v>80</v>
      </c>
      <c r="T183" s="5">
        <f t="shared" si="65"/>
        <v>0</v>
      </c>
      <c r="U183" s="5">
        <f t="shared" si="66"/>
        <v>0</v>
      </c>
      <c r="V183" s="5">
        <f t="shared" si="67"/>
        <v>268.03649122807019</v>
      </c>
      <c r="W183" s="5">
        <f t="shared" si="68"/>
        <v>327.07642539425797</v>
      </c>
      <c r="X183" s="5">
        <f t="shared" si="69"/>
        <v>151.78235294117647</v>
      </c>
      <c r="Y183" s="5">
        <f t="shared" si="70"/>
        <v>24.027932960893853</v>
      </c>
      <c r="Z183" s="5">
        <f t="shared" si="71"/>
        <v>1</v>
      </c>
      <c r="AA183" s="5">
        <f t="shared" si="72"/>
        <v>0</v>
      </c>
      <c r="AB183" s="5">
        <f t="shared" si="73"/>
        <v>771.92320252439845</v>
      </c>
    </row>
    <row r="184" spans="4:28" x14ac:dyDescent="0.25">
      <c r="D184" t="s">
        <v>81</v>
      </c>
      <c r="E184" s="64"/>
      <c r="F184" s="64"/>
      <c r="G184">
        <f>IFERROR(HLOOKUP(G$2,[8]table_male_hkom1_inj.U1!$A$1:$K$36,13,FALSE),0)</f>
        <v>45</v>
      </c>
      <c r="H184">
        <f>IFERROR(HLOOKUP(H$2,[8]table_male_hkom1_inj.U1!$A$1:$K$36,13,FALSE),0)</f>
        <v>44</v>
      </c>
      <c r="I184">
        <f>IFERROR(HLOOKUP(I$2,[8]table_male_hkom1_inj.U1!$A$1:$K$36,13,FALSE),0)</f>
        <v>24</v>
      </c>
      <c r="J184">
        <f>IFERROR(HLOOKUP(J$2,[8]table_male_hkom1_inj.U1!$A$1:$K$36,13,FALSE),0)</f>
        <v>4</v>
      </c>
      <c r="K184">
        <f>IFERROR(HLOOKUP(K$2,[8]table_male_hkom1_inj.U1!$A$1:$K$36,13,FALSE),0)</f>
        <v>0</v>
      </c>
      <c r="L184">
        <f>IFERROR(HLOOKUP(L$2,[8]table_male_hkom1_inj.U1!$A$1:$K$36,13,FALSE),0)</f>
        <v>0</v>
      </c>
      <c r="M184">
        <f t="shared" si="52"/>
        <v>117</v>
      </c>
      <c r="S184" t="s">
        <v>81</v>
      </c>
      <c r="T184" s="5">
        <f t="shared" si="65"/>
        <v>0</v>
      </c>
      <c r="U184" s="5">
        <f t="shared" si="66"/>
        <v>0</v>
      </c>
      <c r="V184" s="5">
        <f t="shared" si="67"/>
        <v>47.11578947368421</v>
      </c>
      <c r="W184" s="5">
        <f t="shared" si="68"/>
        <v>46.126162555600487</v>
      </c>
      <c r="X184" s="5">
        <f t="shared" si="69"/>
        <v>25.835294117647059</v>
      </c>
      <c r="Y184" s="5">
        <f t="shared" si="70"/>
        <v>4.1787709497206702</v>
      </c>
      <c r="Z184" s="5">
        <f t="shared" si="71"/>
        <v>0</v>
      </c>
      <c r="AA184" s="5">
        <f t="shared" si="72"/>
        <v>0</v>
      </c>
      <c r="AB184" s="5">
        <f t="shared" si="73"/>
        <v>123.25601709665244</v>
      </c>
    </row>
    <row r="185" spans="4:28" x14ac:dyDescent="0.25">
      <c r="D185" t="s">
        <v>82</v>
      </c>
      <c r="E185" s="64"/>
      <c r="F185" s="64"/>
      <c r="G185">
        <f>IFERROR(HLOOKUP(G$2,[8]table_male_hkom1_inj.U1!$A$1:$K$36,14,FALSE),0)</f>
        <v>115</v>
      </c>
      <c r="H185">
        <f>IFERROR(HLOOKUP(H$2,[8]table_male_hkom1_inj.U1!$A$1:$K$36,14,FALSE),0)</f>
        <v>133</v>
      </c>
      <c r="I185">
        <f>IFERROR(HLOOKUP(I$2,[8]table_male_hkom1_inj.U1!$A$1:$K$36,14,FALSE),0)</f>
        <v>67</v>
      </c>
      <c r="J185">
        <f>IFERROR(HLOOKUP(J$2,[8]table_male_hkom1_inj.U1!$A$1:$K$36,14,FALSE),0)</f>
        <v>3</v>
      </c>
      <c r="K185">
        <f>IFERROR(HLOOKUP(K$2,[8]table_male_hkom1_inj.U1!$A$1:$K$36,14,FALSE),0)</f>
        <v>1</v>
      </c>
      <c r="L185">
        <f>IFERROR(HLOOKUP(L$2,[8]table_male_hkom1_inj.U1!$A$1:$K$36,14,FALSE),0)</f>
        <v>0</v>
      </c>
      <c r="M185">
        <f t="shared" si="52"/>
        <v>319</v>
      </c>
      <c r="S185" t="s">
        <v>82</v>
      </c>
      <c r="T185" s="5">
        <f t="shared" si="65"/>
        <v>0</v>
      </c>
      <c r="U185" s="5">
        <f t="shared" si="66"/>
        <v>0</v>
      </c>
      <c r="V185" s="5">
        <f t="shared" si="67"/>
        <v>120.40701754385965</v>
      </c>
      <c r="W185" s="5">
        <f t="shared" si="68"/>
        <v>139.4268095430651</v>
      </c>
      <c r="X185" s="5">
        <f t="shared" si="69"/>
        <v>72.123529411764707</v>
      </c>
      <c r="Y185" s="5">
        <f t="shared" si="70"/>
        <v>3.1340782122905027</v>
      </c>
      <c r="Z185" s="5">
        <f t="shared" si="71"/>
        <v>1</v>
      </c>
      <c r="AA185" s="5">
        <f t="shared" si="72"/>
        <v>0</v>
      </c>
      <c r="AB185" s="5">
        <f t="shared" si="73"/>
        <v>336.09143471097997</v>
      </c>
    </row>
    <row r="186" spans="4:28" x14ac:dyDescent="0.25">
      <c r="D186" t="s">
        <v>83</v>
      </c>
      <c r="E186" s="64"/>
      <c r="F186" s="64"/>
      <c r="G186">
        <f>IFERROR(HLOOKUP(G$2,[8]table_male_hkom1_inj.U1!$A$1:$K$36,15,FALSE),0)</f>
        <v>39</v>
      </c>
      <c r="H186">
        <f>IFERROR(HLOOKUP(H$2,[8]table_male_hkom1_inj.U1!$A$1:$K$36,15,FALSE),0)</f>
        <v>50</v>
      </c>
      <c r="I186">
        <f>IFERROR(HLOOKUP(I$2,[8]table_male_hkom1_inj.U1!$A$1:$K$36,15,FALSE),0)</f>
        <v>9</v>
      </c>
      <c r="J186">
        <f>IFERROR(HLOOKUP(J$2,[8]table_male_hkom1_inj.U1!$A$1:$K$36,15,FALSE),0)</f>
        <v>1</v>
      </c>
      <c r="K186">
        <f>IFERROR(HLOOKUP(K$2,[8]table_male_hkom1_inj.U1!$A$1:$K$36,15,FALSE),0)</f>
        <v>0</v>
      </c>
      <c r="L186">
        <f>IFERROR(HLOOKUP(L$2,[8]table_male_hkom1_inj.U1!$A$1:$K$36,15,FALSE),0)</f>
        <v>0</v>
      </c>
      <c r="M186">
        <f t="shared" si="52"/>
        <v>99</v>
      </c>
      <c r="S186" t="s">
        <v>83</v>
      </c>
      <c r="T186" s="5">
        <f t="shared" si="65"/>
        <v>0</v>
      </c>
      <c r="U186" s="5">
        <f t="shared" si="66"/>
        <v>0</v>
      </c>
      <c r="V186" s="5">
        <f t="shared" si="67"/>
        <v>40.833684210526314</v>
      </c>
      <c r="W186" s="5">
        <f t="shared" si="68"/>
        <v>52.416093813182371</v>
      </c>
      <c r="X186" s="5">
        <f t="shared" si="69"/>
        <v>9.6882352941176464</v>
      </c>
      <c r="Y186" s="5">
        <f t="shared" si="70"/>
        <v>1.0446927374301676</v>
      </c>
      <c r="Z186" s="5">
        <f t="shared" si="71"/>
        <v>0</v>
      </c>
      <c r="AA186" s="5">
        <f t="shared" si="72"/>
        <v>0</v>
      </c>
      <c r="AB186" s="5">
        <f t="shared" si="73"/>
        <v>103.9827060552565</v>
      </c>
    </row>
    <row r="187" spans="4:28" x14ac:dyDescent="0.25">
      <c r="D187" t="s">
        <v>84</v>
      </c>
      <c r="E187" s="64"/>
      <c r="F187" s="64"/>
      <c r="G187">
        <f>IFERROR(HLOOKUP(G$2,[8]table_male_hkom1_inj.U1!$A$1:$K$36,16,FALSE),0)</f>
        <v>39</v>
      </c>
      <c r="H187">
        <f>IFERROR(HLOOKUP(H$2,[8]table_male_hkom1_inj.U1!$A$1:$K$36,16,FALSE),0)</f>
        <v>54</v>
      </c>
      <c r="I187">
        <f>IFERROR(HLOOKUP(I$2,[8]table_male_hkom1_inj.U1!$A$1:$K$36,16,FALSE),0)</f>
        <v>22</v>
      </c>
      <c r="J187">
        <f>IFERROR(HLOOKUP(J$2,[8]table_male_hkom1_inj.U1!$A$1:$K$36,16,FALSE),0)</f>
        <v>2</v>
      </c>
      <c r="K187">
        <f>IFERROR(HLOOKUP(K$2,[8]table_male_hkom1_inj.U1!$A$1:$K$36,16,FALSE),0)</f>
        <v>0</v>
      </c>
      <c r="L187">
        <f>IFERROR(HLOOKUP(L$2,[8]table_male_hkom1_inj.U1!$A$1:$K$36,16,FALSE),0)</f>
        <v>0</v>
      </c>
      <c r="M187">
        <f t="shared" si="52"/>
        <v>117</v>
      </c>
      <c r="S187" t="s">
        <v>84</v>
      </c>
      <c r="T187" s="5">
        <f t="shared" si="65"/>
        <v>0</v>
      </c>
      <c r="U187" s="5">
        <f t="shared" si="66"/>
        <v>0</v>
      </c>
      <c r="V187" s="5">
        <f t="shared" si="67"/>
        <v>40.833684210526314</v>
      </c>
      <c r="W187" s="5">
        <f t="shared" si="68"/>
        <v>56.609381318236956</v>
      </c>
      <c r="X187" s="5">
        <f t="shared" si="69"/>
        <v>23.682352941176472</v>
      </c>
      <c r="Y187" s="5">
        <f t="shared" si="70"/>
        <v>2.0893854748603351</v>
      </c>
      <c r="Z187" s="5">
        <f t="shared" si="71"/>
        <v>0</v>
      </c>
      <c r="AA187" s="5">
        <f t="shared" si="72"/>
        <v>0</v>
      </c>
      <c r="AB187" s="5">
        <f t="shared" si="73"/>
        <v>123.21480394480008</v>
      </c>
    </row>
    <row r="188" spans="4:28" x14ac:dyDescent="0.25">
      <c r="D188" t="s">
        <v>85</v>
      </c>
      <c r="E188" s="64"/>
      <c r="F188" s="64"/>
      <c r="G188">
        <f>IFERROR(HLOOKUP(G$2,[8]table_male_hkom1_inj.U1!$A$1:$K$36,17,FALSE),0)</f>
        <v>36</v>
      </c>
      <c r="H188">
        <f>IFERROR(HLOOKUP(H$2,[8]table_male_hkom1_inj.U1!$A$1:$K$36,17,FALSE),0)</f>
        <v>50</v>
      </c>
      <c r="I188">
        <f>IFERROR(HLOOKUP(I$2,[8]table_male_hkom1_inj.U1!$A$1:$K$36,17,FALSE),0)</f>
        <v>19</v>
      </c>
      <c r="J188">
        <f>IFERROR(HLOOKUP(J$2,[8]table_male_hkom1_inj.U1!$A$1:$K$36,17,FALSE),0)</f>
        <v>4</v>
      </c>
      <c r="K188">
        <f>IFERROR(HLOOKUP(K$2,[8]table_male_hkom1_inj.U1!$A$1:$K$36,17,FALSE),0)</f>
        <v>0</v>
      </c>
      <c r="L188">
        <f>IFERROR(HLOOKUP(L$2,[8]table_male_hkom1_inj.U1!$A$1:$K$36,17,FALSE),0)</f>
        <v>0</v>
      </c>
      <c r="M188">
        <f t="shared" si="52"/>
        <v>109</v>
      </c>
      <c r="S188" t="s">
        <v>85</v>
      </c>
      <c r="T188" s="5">
        <f t="shared" si="65"/>
        <v>0</v>
      </c>
      <c r="U188" s="5">
        <f t="shared" si="66"/>
        <v>0</v>
      </c>
      <c r="V188" s="5">
        <f t="shared" si="67"/>
        <v>37.69263157894737</v>
      </c>
      <c r="W188" s="5">
        <f t="shared" si="68"/>
        <v>52.416093813182371</v>
      </c>
      <c r="X188" s="5">
        <f t="shared" si="69"/>
        <v>20.452941176470588</v>
      </c>
      <c r="Y188" s="5">
        <f t="shared" si="70"/>
        <v>4.1787709497206702</v>
      </c>
      <c r="Z188" s="5">
        <f t="shared" si="71"/>
        <v>0</v>
      </c>
      <c r="AA188" s="5">
        <f t="shared" si="72"/>
        <v>0</v>
      </c>
      <c r="AB188" s="5">
        <f t="shared" si="73"/>
        <v>114.740437518321</v>
      </c>
    </row>
    <row r="189" spans="4:28" x14ac:dyDescent="0.25">
      <c r="D189" t="s">
        <v>86</v>
      </c>
      <c r="E189" s="64"/>
      <c r="F189" s="64"/>
      <c r="G189">
        <f>IFERROR(HLOOKUP(G$2,[8]table_male_hkom1_inj.U1!$A$1:$K$36,18,FALSE),0)</f>
        <v>1916</v>
      </c>
      <c r="H189">
        <f>IFERROR(HLOOKUP(H$2,[8]table_male_hkom1_inj.U1!$A$1:$K$36,18,FALSE),0)</f>
        <v>2097</v>
      </c>
      <c r="I189">
        <f>IFERROR(HLOOKUP(I$2,[8]table_male_hkom1_inj.U1!$A$1:$K$36,18,FALSE),0)</f>
        <v>810</v>
      </c>
      <c r="J189">
        <f>IFERROR(HLOOKUP(J$2,[8]table_male_hkom1_inj.U1!$A$1:$K$36,18,FALSE),0)</f>
        <v>76</v>
      </c>
      <c r="K189">
        <f>IFERROR(HLOOKUP(K$2,[8]table_male_hkom1_inj.U1!$A$1:$K$36,18,FALSE),0)</f>
        <v>0</v>
      </c>
      <c r="L189">
        <f>IFERROR(HLOOKUP(L$2,[8]table_male_hkom1_inj.U1!$A$1:$K$36,18,FALSE),0)</f>
        <v>3</v>
      </c>
      <c r="M189">
        <f t="shared" si="52"/>
        <v>4902</v>
      </c>
      <c r="S189" t="s">
        <v>86</v>
      </c>
      <c r="T189" s="5">
        <f t="shared" si="65"/>
        <v>0</v>
      </c>
      <c r="U189" s="5">
        <f t="shared" si="66"/>
        <v>0</v>
      </c>
      <c r="V189" s="5">
        <f t="shared" si="67"/>
        <v>2006.0856140350877</v>
      </c>
      <c r="W189" s="5">
        <f t="shared" si="68"/>
        <v>2198.3309745248685</v>
      </c>
      <c r="X189" s="5">
        <f t="shared" si="69"/>
        <v>871.94117647058829</v>
      </c>
      <c r="Y189" s="5">
        <f t="shared" si="70"/>
        <v>79.396648044692739</v>
      </c>
      <c r="Z189" s="5">
        <f t="shared" si="71"/>
        <v>0</v>
      </c>
      <c r="AA189" s="5">
        <f t="shared" si="72"/>
        <v>3</v>
      </c>
      <c r="AB189" s="5">
        <f t="shared" si="73"/>
        <v>5158.7544130752367</v>
      </c>
    </row>
    <row r="190" spans="4:28" x14ac:dyDescent="0.25">
      <c r="D190" t="s">
        <v>87</v>
      </c>
      <c r="E190" s="64"/>
      <c r="F190" s="64"/>
      <c r="G190">
        <f>IFERROR(HLOOKUP(G$2,[8]table_male_hkom1_inj.U1!$A$1:$K$36,19,FALSE),0)</f>
        <v>71</v>
      </c>
      <c r="H190">
        <f>IFERROR(HLOOKUP(H$2,[8]table_male_hkom1_inj.U1!$A$1:$K$36,19,FALSE),0)</f>
        <v>110</v>
      </c>
      <c r="I190">
        <f>IFERROR(HLOOKUP(I$2,[8]table_male_hkom1_inj.U1!$A$1:$K$36,19,FALSE),0)</f>
        <v>36</v>
      </c>
      <c r="J190">
        <f>IFERROR(HLOOKUP(J$2,[8]table_male_hkom1_inj.U1!$A$1:$K$36,19,FALSE),0)</f>
        <v>3</v>
      </c>
      <c r="K190">
        <f>IFERROR(HLOOKUP(K$2,[8]table_male_hkom1_inj.U1!$A$1:$K$36,19,FALSE),0)</f>
        <v>0</v>
      </c>
      <c r="L190">
        <f>IFERROR(HLOOKUP(L$2,[8]table_male_hkom1_inj.U1!$A$1:$K$36,19,FALSE),0)</f>
        <v>0</v>
      </c>
      <c r="M190">
        <f t="shared" si="52"/>
        <v>220</v>
      </c>
      <c r="S190" t="s">
        <v>87</v>
      </c>
      <c r="T190" s="5">
        <f t="shared" si="65"/>
        <v>0</v>
      </c>
      <c r="U190" s="5">
        <f t="shared" si="66"/>
        <v>0</v>
      </c>
      <c r="V190" s="5">
        <f t="shared" si="67"/>
        <v>74.338245614035088</v>
      </c>
      <c r="W190" s="5">
        <f t="shared" si="68"/>
        <v>115.31540638900121</v>
      </c>
      <c r="X190" s="5">
        <f t="shared" si="69"/>
        <v>38.752941176470586</v>
      </c>
      <c r="Y190" s="5">
        <f t="shared" si="70"/>
        <v>3.1340782122905027</v>
      </c>
      <c r="Z190" s="5">
        <f t="shared" si="71"/>
        <v>0</v>
      </c>
      <c r="AA190" s="5">
        <f t="shared" si="72"/>
        <v>0</v>
      </c>
      <c r="AB190" s="5">
        <f t="shared" si="73"/>
        <v>231.54067139179739</v>
      </c>
    </row>
    <row r="191" spans="4:28" x14ac:dyDescent="0.25">
      <c r="D191" t="s">
        <v>88</v>
      </c>
      <c r="E191" s="64"/>
      <c r="F191" s="64"/>
      <c r="G191">
        <f>IFERROR(HLOOKUP(G$2,[8]table_male_hkom1_inj.U1!$A$1:$K$36,20,FALSE),0)</f>
        <v>316</v>
      </c>
      <c r="H191">
        <f>IFERROR(HLOOKUP(H$2,[8]table_male_hkom1_inj.U1!$A$1:$K$36,20,FALSE),0)</f>
        <v>341</v>
      </c>
      <c r="I191">
        <f>IFERROR(HLOOKUP(I$2,[8]table_male_hkom1_inj.U1!$A$1:$K$36,20,FALSE),0)</f>
        <v>155</v>
      </c>
      <c r="J191">
        <f>IFERROR(HLOOKUP(J$2,[8]table_male_hkom1_inj.U1!$A$1:$K$36,20,FALSE),0)</f>
        <v>11</v>
      </c>
      <c r="K191">
        <f>IFERROR(HLOOKUP(K$2,[8]table_male_hkom1_inj.U1!$A$1:$K$36,20,FALSE),0)</f>
        <v>0</v>
      </c>
      <c r="L191">
        <f>IFERROR(HLOOKUP(L$2,[8]table_male_hkom1_inj.U1!$A$1:$K$36,20,FALSE),0)</f>
        <v>0</v>
      </c>
      <c r="M191">
        <f t="shared" si="52"/>
        <v>823</v>
      </c>
      <c r="S191" t="s">
        <v>88</v>
      </c>
      <c r="T191" s="5">
        <f t="shared" si="65"/>
        <v>0</v>
      </c>
      <c r="U191" s="5">
        <f t="shared" si="66"/>
        <v>0</v>
      </c>
      <c r="V191" s="5">
        <f t="shared" si="67"/>
        <v>330.85754385964913</v>
      </c>
      <c r="W191" s="5">
        <f t="shared" si="68"/>
        <v>357.47775980590376</v>
      </c>
      <c r="X191" s="5">
        <f t="shared" si="69"/>
        <v>166.85294117647058</v>
      </c>
      <c r="Y191" s="5">
        <f t="shared" si="70"/>
        <v>11.491620111731844</v>
      </c>
      <c r="Z191" s="5">
        <f t="shared" si="71"/>
        <v>0</v>
      </c>
      <c r="AA191" s="5">
        <f t="shared" si="72"/>
        <v>0</v>
      </c>
      <c r="AB191" s="5">
        <f t="shared" si="73"/>
        <v>866.67986495375533</v>
      </c>
    </row>
    <row r="192" spans="4:28" x14ac:dyDescent="0.25">
      <c r="D192" t="s">
        <v>89</v>
      </c>
      <c r="E192" s="64"/>
      <c r="F192" s="64"/>
      <c r="G192">
        <f>IFERROR(HLOOKUP(G$2,[8]table_male_hkom1_inj.U1!$A$1:$K$36,21,FALSE),0)</f>
        <v>12</v>
      </c>
      <c r="H192">
        <f>IFERROR(HLOOKUP(H$2,[8]table_male_hkom1_inj.U1!$A$1:$K$36,21,FALSE),0)</f>
        <v>13</v>
      </c>
      <c r="I192">
        <f>IFERROR(HLOOKUP(I$2,[8]table_male_hkom1_inj.U1!$A$1:$K$36,21,FALSE),0)</f>
        <v>7</v>
      </c>
      <c r="J192">
        <f>IFERROR(HLOOKUP(J$2,[8]table_male_hkom1_inj.U1!$A$1:$K$36,21,FALSE),0)</f>
        <v>0</v>
      </c>
      <c r="K192">
        <f>IFERROR(HLOOKUP(K$2,[8]table_male_hkom1_inj.U1!$A$1:$K$36,21,FALSE),0)</f>
        <v>0</v>
      </c>
      <c r="L192">
        <f>IFERROR(HLOOKUP(L$2,[8]table_male_hkom1_inj.U1!$A$1:$K$36,21,FALSE),0)</f>
        <v>0</v>
      </c>
      <c r="M192">
        <f t="shared" si="52"/>
        <v>32</v>
      </c>
      <c r="S192" t="s">
        <v>89</v>
      </c>
      <c r="T192" s="5">
        <f t="shared" si="65"/>
        <v>0</v>
      </c>
      <c r="U192" s="5">
        <f t="shared" si="66"/>
        <v>0</v>
      </c>
      <c r="V192" s="5">
        <f t="shared" si="67"/>
        <v>12.56421052631579</v>
      </c>
      <c r="W192" s="5">
        <f t="shared" si="68"/>
        <v>13.628184391427416</v>
      </c>
      <c r="X192" s="5">
        <f t="shared" si="69"/>
        <v>7.5352941176470587</v>
      </c>
      <c r="Y192" s="5">
        <f t="shared" si="70"/>
        <v>0</v>
      </c>
      <c r="Z192" s="5">
        <f t="shared" si="71"/>
        <v>0</v>
      </c>
      <c r="AA192" s="5">
        <f t="shared" si="72"/>
        <v>0</v>
      </c>
      <c r="AB192" s="5">
        <f t="shared" si="73"/>
        <v>33.72768903539027</v>
      </c>
    </row>
    <row r="193" spans="1:29" x14ac:dyDescent="0.25">
      <c r="D193" t="s">
        <v>90</v>
      </c>
      <c r="E193" s="64"/>
      <c r="F193" s="64"/>
      <c r="G193">
        <f>IFERROR(HLOOKUP(G$2,[8]table_male_hkom1_inj.U1!$A$1:$K$36,22,FALSE),0)</f>
        <v>0</v>
      </c>
      <c r="H193">
        <f>IFERROR(HLOOKUP(H$2,[8]table_male_hkom1_inj.U1!$A$1:$K$36,22,FALSE),0)</f>
        <v>0</v>
      </c>
      <c r="I193">
        <f>IFERROR(HLOOKUP(I$2,[8]table_male_hkom1_inj.U1!$A$1:$K$36,22,FALSE),0)</f>
        <v>0</v>
      </c>
      <c r="J193">
        <f>IFERROR(HLOOKUP(J$2,[8]table_male_hkom1_inj.U1!$A$1:$K$36,22,FALSE),0)</f>
        <v>0</v>
      </c>
      <c r="K193">
        <f>IFERROR(HLOOKUP(K$2,[8]table_male_hkom1_inj.U1!$A$1:$K$36,22,FALSE),0)</f>
        <v>0</v>
      </c>
      <c r="L193">
        <f>IFERROR(HLOOKUP(L$2,[8]table_male_hkom1_inj.U1!$A$1:$K$36,22,FALSE),0)</f>
        <v>0</v>
      </c>
      <c r="M193">
        <f t="shared" si="52"/>
        <v>0</v>
      </c>
      <c r="S193" t="s">
        <v>90</v>
      </c>
      <c r="T193" s="5">
        <f t="shared" si="65"/>
        <v>0</v>
      </c>
      <c r="U193" s="5">
        <f t="shared" si="66"/>
        <v>0</v>
      </c>
      <c r="V193" s="5">
        <f t="shared" si="67"/>
        <v>0</v>
      </c>
      <c r="W193" s="5">
        <f t="shared" si="68"/>
        <v>0</v>
      </c>
      <c r="X193" s="5">
        <f t="shared" si="69"/>
        <v>0</v>
      </c>
      <c r="Y193" s="5">
        <f t="shared" si="70"/>
        <v>0</v>
      </c>
      <c r="Z193" s="5">
        <f t="shared" si="71"/>
        <v>0</v>
      </c>
      <c r="AA193" s="5">
        <f t="shared" si="72"/>
        <v>0</v>
      </c>
      <c r="AB193" s="5">
        <f t="shared" si="73"/>
        <v>0</v>
      </c>
    </row>
    <row r="194" spans="1:29" x14ac:dyDescent="0.25">
      <c r="D194" t="s">
        <v>91</v>
      </c>
      <c r="E194" s="64"/>
      <c r="F194" s="64"/>
      <c r="G194">
        <f>IFERROR(HLOOKUP(G$2,[8]table_male_hkom1_inj.U1!$A$1:$K$36,23,FALSE),0)</f>
        <v>9</v>
      </c>
      <c r="H194">
        <f>IFERROR(HLOOKUP(H$2,[8]table_male_hkom1_inj.U1!$A$1:$K$36,23,FALSE),0)</f>
        <v>6</v>
      </c>
      <c r="I194">
        <f>IFERROR(HLOOKUP(I$2,[8]table_male_hkom1_inj.U1!$A$1:$K$36,23,FALSE),0)</f>
        <v>3</v>
      </c>
      <c r="J194">
        <f>IFERROR(HLOOKUP(J$2,[8]table_male_hkom1_inj.U1!$A$1:$K$36,23,FALSE),0)</f>
        <v>2</v>
      </c>
      <c r="K194">
        <f>IFERROR(HLOOKUP(K$2,[8]table_male_hkom1_inj.U1!$A$1:$K$36,23,FALSE),0)</f>
        <v>0</v>
      </c>
      <c r="L194">
        <f>IFERROR(HLOOKUP(L$2,[8]table_male_hkom1_inj.U1!$A$1:$K$36,23,FALSE),0)</f>
        <v>0</v>
      </c>
      <c r="M194">
        <f t="shared" si="52"/>
        <v>20</v>
      </c>
      <c r="S194" t="s">
        <v>91</v>
      </c>
      <c r="T194" s="5">
        <f t="shared" si="65"/>
        <v>0</v>
      </c>
      <c r="U194" s="5">
        <f t="shared" si="66"/>
        <v>0</v>
      </c>
      <c r="V194" s="5">
        <f t="shared" si="67"/>
        <v>9.4231578947368426</v>
      </c>
      <c r="W194" s="5">
        <f t="shared" si="68"/>
        <v>6.289931257581884</v>
      </c>
      <c r="X194" s="5">
        <f t="shared" si="69"/>
        <v>3.2294117647058824</v>
      </c>
      <c r="Y194" s="5">
        <f t="shared" si="70"/>
        <v>2.0893854748603351</v>
      </c>
      <c r="Z194" s="5">
        <f t="shared" si="71"/>
        <v>0</v>
      </c>
      <c r="AA194" s="5">
        <f t="shared" si="72"/>
        <v>0</v>
      </c>
      <c r="AB194" s="5">
        <f t="shared" si="73"/>
        <v>21.031886391884946</v>
      </c>
    </row>
    <row r="195" spans="1:29" x14ac:dyDescent="0.25">
      <c r="D195" t="s">
        <v>92</v>
      </c>
      <c r="E195" s="64"/>
      <c r="F195" s="64"/>
      <c r="G195">
        <f>IFERROR(HLOOKUP(G$2,[8]table_male_hkom1_inj.U1!$A$1:$K$36,24,FALSE),0)</f>
        <v>1</v>
      </c>
      <c r="H195">
        <f>IFERROR(HLOOKUP(H$2,[8]table_male_hkom1_inj.U1!$A$1:$K$36,24,FALSE),0)</f>
        <v>0</v>
      </c>
      <c r="I195">
        <f>IFERROR(HLOOKUP(I$2,[8]table_male_hkom1_inj.U1!$A$1:$K$36,24,FALSE),0)</f>
        <v>0</v>
      </c>
      <c r="J195">
        <f>IFERROR(HLOOKUP(J$2,[8]table_male_hkom1_inj.U1!$A$1:$K$36,24,FALSE),0)</f>
        <v>0</v>
      </c>
      <c r="K195">
        <f>IFERROR(HLOOKUP(K$2,[8]table_male_hkom1_inj.U1!$A$1:$K$36,24,FALSE),0)</f>
        <v>0</v>
      </c>
      <c r="L195">
        <f>IFERROR(HLOOKUP(L$2,[8]table_male_hkom1_inj.U1!$A$1:$K$36,24,FALSE),0)</f>
        <v>0</v>
      </c>
      <c r="M195">
        <f t="shared" si="52"/>
        <v>1</v>
      </c>
      <c r="S195" t="s">
        <v>92</v>
      </c>
      <c r="T195" s="5">
        <f t="shared" si="65"/>
        <v>0</v>
      </c>
      <c r="U195" s="5">
        <f t="shared" si="66"/>
        <v>0</v>
      </c>
      <c r="V195" s="5">
        <f t="shared" si="67"/>
        <v>1.0470175438596492</v>
      </c>
      <c r="W195" s="5">
        <f t="shared" si="68"/>
        <v>0</v>
      </c>
      <c r="X195" s="5">
        <f t="shared" si="69"/>
        <v>0</v>
      </c>
      <c r="Y195" s="5">
        <f t="shared" si="70"/>
        <v>0</v>
      </c>
      <c r="Z195" s="5">
        <f t="shared" si="71"/>
        <v>0</v>
      </c>
      <c r="AA195" s="5">
        <f t="shared" si="72"/>
        <v>0</v>
      </c>
      <c r="AB195" s="5">
        <f t="shared" si="73"/>
        <v>1.0470175438596492</v>
      </c>
    </row>
    <row r="196" spans="1:29" x14ac:dyDescent="0.25">
      <c r="D196" t="s">
        <v>93</v>
      </c>
      <c r="E196" s="64"/>
      <c r="F196" s="64"/>
      <c r="G196">
        <f>IFERROR(HLOOKUP(G$2,[8]table_male_hkom1_inj.U1!$A$1:$K$36,25,FALSE),0)</f>
        <v>7</v>
      </c>
      <c r="H196">
        <f>IFERROR(HLOOKUP(H$2,[8]table_male_hkom1_inj.U1!$A$1:$K$36,25,FALSE),0)</f>
        <v>4</v>
      </c>
      <c r="I196">
        <f>IFERROR(HLOOKUP(I$2,[8]table_male_hkom1_inj.U1!$A$1:$K$36,25,FALSE),0)</f>
        <v>5</v>
      </c>
      <c r="J196">
        <f>IFERROR(HLOOKUP(J$2,[8]table_male_hkom1_inj.U1!$A$1:$K$36,25,FALSE),0)</f>
        <v>0</v>
      </c>
      <c r="K196">
        <f>IFERROR(HLOOKUP(K$2,[8]table_male_hkom1_inj.U1!$A$1:$K$36,25,FALSE),0)</f>
        <v>0</v>
      </c>
      <c r="L196">
        <f>IFERROR(HLOOKUP(L$2,[8]table_male_hkom1_inj.U1!$A$1:$K$36,25,FALSE),0)</f>
        <v>0</v>
      </c>
      <c r="M196">
        <f t="shared" si="52"/>
        <v>16</v>
      </c>
      <c r="S196" t="s">
        <v>93</v>
      </c>
      <c r="T196" s="5">
        <f t="shared" si="65"/>
        <v>0</v>
      </c>
      <c r="U196" s="5">
        <f t="shared" si="66"/>
        <v>0</v>
      </c>
      <c r="V196" s="5">
        <f t="shared" si="67"/>
        <v>7.3291228070175443</v>
      </c>
      <c r="W196" s="5">
        <f t="shared" si="68"/>
        <v>4.1932875050545899</v>
      </c>
      <c r="X196" s="5">
        <f t="shared" si="69"/>
        <v>5.382352941176471</v>
      </c>
      <c r="Y196" s="5">
        <f t="shared" si="70"/>
        <v>0</v>
      </c>
      <c r="Z196" s="5">
        <f t="shared" si="71"/>
        <v>0</v>
      </c>
      <c r="AA196" s="5">
        <f t="shared" si="72"/>
        <v>0</v>
      </c>
      <c r="AB196" s="5">
        <f t="shared" si="73"/>
        <v>16.904763253248603</v>
      </c>
    </row>
    <row r="197" spans="1:29" x14ac:dyDescent="0.25">
      <c r="D197" t="s">
        <v>94</v>
      </c>
      <c r="E197" s="64"/>
      <c r="F197" s="64"/>
      <c r="G197">
        <f>IFERROR(HLOOKUP(G$2,[8]table_male_hkom1_inj.U1!$A$1:$K$36,26,FALSE),0)</f>
        <v>1</v>
      </c>
      <c r="H197">
        <f>IFERROR(HLOOKUP(H$2,[8]table_male_hkom1_inj.U1!$A$1:$K$36,26,FALSE),0)</f>
        <v>0</v>
      </c>
      <c r="I197">
        <f>IFERROR(HLOOKUP(I$2,[8]table_male_hkom1_inj.U1!$A$1:$K$36,26,FALSE),0)</f>
        <v>0</v>
      </c>
      <c r="J197">
        <f>IFERROR(HLOOKUP(J$2,[8]table_male_hkom1_inj.U1!$A$1:$K$36,26,FALSE),0)</f>
        <v>0</v>
      </c>
      <c r="K197">
        <f>IFERROR(HLOOKUP(K$2,[8]table_male_hkom1_inj.U1!$A$1:$K$36,26,FALSE),0)</f>
        <v>0</v>
      </c>
      <c r="L197">
        <f>IFERROR(HLOOKUP(L$2,[8]table_male_hkom1_inj.U1!$A$1:$K$36,26,FALSE),0)</f>
        <v>0</v>
      </c>
      <c r="M197">
        <f t="shared" si="52"/>
        <v>1</v>
      </c>
      <c r="S197" t="s">
        <v>94</v>
      </c>
      <c r="T197" s="5">
        <f t="shared" si="65"/>
        <v>0</v>
      </c>
      <c r="U197" s="5">
        <f t="shared" si="66"/>
        <v>0</v>
      </c>
      <c r="V197" s="5">
        <f t="shared" si="67"/>
        <v>1.0470175438596492</v>
      </c>
      <c r="W197" s="5">
        <f t="shared" si="68"/>
        <v>0</v>
      </c>
      <c r="X197" s="5">
        <f t="shared" si="69"/>
        <v>0</v>
      </c>
      <c r="Y197" s="5">
        <f t="shared" si="70"/>
        <v>0</v>
      </c>
      <c r="Z197" s="5">
        <f t="shared" si="71"/>
        <v>0</v>
      </c>
      <c r="AA197" s="5">
        <f t="shared" si="72"/>
        <v>0</v>
      </c>
      <c r="AB197" s="5">
        <f t="shared" si="73"/>
        <v>1.0470175438596492</v>
      </c>
    </row>
    <row r="198" spans="1:29" x14ac:dyDescent="0.25">
      <c r="D198" t="s">
        <v>95</v>
      </c>
      <c r="E198" s="64"/>
      <c r="F198" s="64"/>
      <c r="G198">
        <f>IFERROR(HLOOKUP(G$2,[8]table_male_hkom1_inj.U1!$A$1:$K$36,27,FALSE),0)</f>
        <v>0</v>
      </c>
      <c r="H198">
        <f>IFERROR(HLOOKUP(H$2,[8]table_male_hkom1_inj.U1!$A$1:$K$36,27,FALSE),0)</f>
        <v>0</v>
      </c>
      <c r="I198">
        <f>IFERROR(HLOOKUP(I$2,[8]table_male_hkom1_inj.U1!$A$1:$K$36,27,FALSE),0)</f>
        <v>0</v>
      </c>
      <c r="J198">
        <f>IFERROR(HLOOKUP(J$2,[8]table_male_hkom1_inj.U1!$A$1:$K$36,27,FALSE),0)</f>
        <v>0</v>
      </c>
      <c r="K198">
        <f>IFERROR(HLOOKUP(K$2,[8]table_male_hkom1_inj.U1!$A$1:$K$36,27,FALSE),0)</f>
        <v>0</v>
      </c>
      <c r="L198">
        <f>IFERROR(HLOOKUP(L$2,[8]table_male_hkom1_inj.U1!$A$1:$K$36,27,FALSE),0)</f>
        <v>0</v>
      </c>
      <c r="M198">
        <f t="shared" si="52"/>
        <v>0</v>
      </c>
      <c r="S198" t="s">
        <v>95</v>
      </c>
      <c r="T198" s="5">
        <f t="shared" si="65"/>
        <v>0</v>
      </c>
      <c r="U198" s="5">
        <f t="shared" si="66"/>
        <v>0</v>
      </c>
      <c r="V198" s="5">
        <f t="shared" si="67"/>
        <v>0</v>
      </c>
      <c r="W198" s="5">
        <f t="shared" si="68"/>
        <v>0</v>
      </c>
      <c r="X198" s="5">
        <f t="shared" si="69"/>
        <v>0</v>
      </c>
      <c r="Y198" s="5">
        <f t="shared" si="70"/>
        <v>0</v>
      </c>
      <c r="Z198" s="5">
        <f t="shared" si="71"/>
        <v>0</v>
      </c>
      <c r="AA198" s="5">
        <f t="shared" si="72"/>
        <v>0</v>
      </c>
      <c r="AB198" s="5">
        <f t="shared" si="73"/>
        <v>0</v>
      </c>
    </row>
    <row r="199" spans="1:29" x14ac:dyDescent="0.25">
      <c r="D199" t="s">
        <v>96</v>
      </c>
      <c r="E199" s="64"/>
      <c r="F199" s="64"/>
      <c r="G199">
        <f>IFERROR(HLOOKUP(G$2,[8]table_male_hkom1_inj.U1!$A$1:$K$36,28,FALSE),0)</f>
        <v>6</v>
      </c>
      <c r="H199">
        <f>IFERROR(HLOOKUP(H$2,[8]table_male_hkom1_inj.U1!$A$1:$K$36,28,FALSE),0)</f>
        <v>5</v>
      </c>
      <c r="I199">
        <f>IFERROR(HLOOKUP(I$2,[8]table_male_hkom1_inj.U1!$A$1:$K$36,28,FALSE),0)</f>
        <v>3</v>
      </c>
      <c r="J199">
        <f>IFERROR(HLOOKUP(J$2,[8]table_male_hkom1_inj.U1!$A$1:$K$36,28,FALSE),0)</f>
        <v>0</v>
      </c>
      <c r="K199">
        <f>IFERROR(HLOOKUP(K$2,[8]table_male_hkom1_inj.U1!$A$1:$K$36,28,FALSE),0)</f>
        <v>0</v>
      </c>
      <c r="L199">
        <f>IFERROR(HLOOKUP(L$2,[8]table_male_hkom1_inj.U1!$A$1:$K$36,28,FALSE),0)</f>
        <v>0</v>
      </c>
      <c r="M199">
        <f t="shared" si="52"/>
        <v>14</v>
      </c>
      <c r="S199" t="s">
        <v>96</v>
      </c>
      <c r="T199" s="5">
        <f t="shared" si="65"/>
        <v>0</v>
      </c>
      <c r="U199" s="5">
        <f t="shared" si="66"/>
        <v>0</v>
      </c>
      <c r="V199" s="5">
        <f t="shared" si="67"/>
        <v>6.2821052631578951</v>
      </c>
      <c r="W199" s="5">
        <f t="shared" si="68"/>
        <v>5.2416093813182369</v>
      </c>
      <c r="X199" s="5">
        <f t="shared" si="69"/>
        <v>3.2294117647058824</v>
      </c>
      <c r="Y199" s="5">
        <f t="shared" si="70"/>
        <v>0</v>
      </c>
      <c r="Z199" s="5">
        <f t="shared" si="71"/>
        <v>0</v>
      </c>
      <c r="AA199" s="5">
        <f t="shared" si="72"/>
        <v>0</v>
      </c>
      <c r="AB199" s="5">
        <f t="shared" si="73"/>
        <v>14.753126409182016</v>
      </c>
    </row>
    <row r="200" spans="1:29" x14ac:dyDescent="0.25">
      <c r="D200" t="s">
        <v>97</v>
      </c>
      <c r="E200" s="64"/>
      <c r="F200" s="64"/>
      <c r="G200">
        <f>IFERROR(HLOOKUP(G$2,[8]table_male_hkom1_inj.U1!$A$1:$K$36,29,FALSE),0)</f>
        <v>0</v>
      </c>
      <c r="H200">
        <f>IFERROR(HLOOKUP(H$2,[8]table_male_hkom1_inj.U1!$A$1:$K$36,29,FALSE),0)</f>
        <v>0</v>
      </c>
      <c r="I200">
        <f>IFERROR(HLOOKUP(I$2,[8]table_male_hkom1_inj.U1!$A$1:$K$36,29,FALSE),0)</f>
        <v>0</v>
      </c>
      <c r="J200">
        <f>IFERROR(HLOOKUP(J$2,[8]table_male_hkom1_inj.U1!$A$1:$K$36,29,FALSE),0)</f>
        <v>0</v>
      </c>
      <c r="K200">
        <f>IFERROR(HLOOKUP(K$2,[8]table_male_hkom1_inj.U1!$A$1:$K$36,29,FALSE),0)</f>
        <v>0</v>
      </c>
      <c r="L200">
        <f>IFERROR(HLOOKUP(L$2,[8]table_male_hkom1_inj.U1!$A$1:$K$36,29,FALSE),0)</f>
        <v>0</v>
      </c>
      <c r="M200">
        <f t="shared" ref="M200:M263" si="74">SUM(E200:L200)</f>
        <v>0</v>
      </c>
      <c r="S200" t="s">
        <v>97</v>
      </c>
      <c r="T200" s="5">
        <f t="shared" si="65"/>
        <v>0</v>
      </c>
      <c r="U200" s="5">
        <f t="shared" si="66"/>
        <v>0</v>
      </c>
      <c r="V200" s="5">
        <f t="shared" si="67"/>
        <v>0</v>
      </c>
      <c r="W200" s="5">
        <f t="shared" si="68"/>
        <v>0</v>
      </c>
      <c r="X200" s="5">
        <f t="shared" si="69"/>
        <v>0</v>
      </c>
      <c r="Y200" s="5">
        <f t="shared" si="70"/>
        <v>0</v>
      </c>
      <c r="Z200" s="5">
        <f t="shared" si="71"/>
        <v>0</v>
      </c>
      <c r="AA200" s="5">
        <f t="shared" si="72"/>
        <v>0</v>
      </c>
      <c r="AB200" s="5">
        <f t="shared" si="73"/>
        <v>0</v>
      </c>
    </row>
    <row r="201" spans="1:29" x14ac:dyDescent="0.25">
      <c r="D201" t="s">
        <v>98</v>
      </c>
      <c r="E201" s="64"/>
      <c r="F201" s="64"/>
      <c r="G201">
        <f>IFERROR(HLOOKUP(G$2,[8]table_male_hkom1_inj.U1!$A$1:$K$36,30,FALSE),0)</f>
        <v>5</v>
      </c>
      <c r="H201">
        <f>IFERROR(HLOOKUP(H$2,[8]table_male_hkom1_inj.U1!$A$1:$K$36,30,FALSE),0)</f>
        <v>2</v>
      </c>
      <c r="I201">
        <f>IFERROR(HLOOKUP(I$2,[8]table_male_hkom1_inj.U1!$A$1:$K$36,30,FALSE),0)</f>
        <v>2</v>
      </c>
      <c r="J201">
        <f>IFERROR(HLOOKUP(J$2,[8]table_male_hkom1_inj.U1!$A$1:$K$36,30,FALSE),0)</f>
        <v>0</v>
      </c>
      <c r="K201">
        <f>IFERROR(HLOOKUP(K$2,[8]table_male_hkom1_inj.U1!$A$1:$K$36,30,FALSE),0)</f>
        <v>0</v>
      </c>
      <c r="L201">
        <f>IFERROR(HLOOKUP(L$2,[8]table_male_hkom1_inj.U1!$A$1:$K$36,30,FALSE),0)</f>
        <v>0</v>
      </c>
      <c r="M201">
        <f t="shared" si="74"/>
        <v>9</v>
      </c>
      <c r="S201" t="s">
        <v>98</v>
      </c>
      <c r="T201" s="5">
        <f t="shared" si="65"/>
        <v>0</v>
      </c>
      <c r="U201" s="5">
        <f t="shared" si="66"/>
        <v>0</v>
      </c>
      <c r="V201" s="5">
        <f t="shared" si="67"/>
        <v>5.2350877192982459</v>
      </c>
      <c r="W201" s="5">
        <f t="shared" si="68"/>
        <v>2.096643752527295</v>
      </c>
      <c r="X201" s="5">
        <f t="shared" si="69"/>
        <v>2.1529411764705881</v>
      </c>
      <c r="Y201" s="5">
        <f t="shared" si="70"/>
        <v>0</v>
      </c>
      <c r="Z201" s="5">
        <f t="shared" si="71"/>
        <v>0</v>
      </c>
      <c r="AA201" s="5">
        <f t="shared" si="72"/>
        <v>0</v>
      </c>
      <c r="AB201" s="5">
        <f t="shared" si="73"/>
        <v>9.4846726482961294</v>
      </c>
    </row>
    <row r="202" spans="1:29" x14ac:dyDescent="0.25">
      <c r="D202" t="s">
        <v>119</v>
      </c>
      <c r="E202" s="64"/>
      <c r="F202" s="64"/>
      <c r="G202">
        <f>IFERROR(HLOOKUP(G$2,[8]table_male_hkom1_inj.U1!$A$1:$K$36,31,FALSE),0)</f>
        <v>3</v>
      </c>
      <c r="H202">
        <f>IFERROR(HLOOKUP(H$2,[8]table_male_hkom1_inj.U1!$A$1:$K$36,31,FALSE),0)</f>
        <v>5</v>
      </c>
      <c r="I202">
        <f>IFERROR(HLOOKUP(I$2,[8]table_male_hkom1_inj.U1!$A$1:$K$36,31,FALSE),0)</f>
        <v>1</v>
      </c>
      <c r="J202">
        <f>IFERROR(HLOOKUP(J$2,[8]table_male_hkom1_inj.U1!$A$1:$K$36,31,FALSE),0)</f>
        <v>0</v>
      </c>
      <c r="K202">
        <f>IFERROR(HLOOKUP(K$2,[8]table_male_hkom1_inj.U1!$A$1:$K$36,31,FALSE),0)</f>
        <v>0</v>
      </c>
      <c r="L202">
        <f>IFERROR(HLOOKUP(L$2,[8]table_male_hkom1_inj.U1!$A$1:$K$36,31,FALSE),0)</f>
        <v>0</v>
      </c>
      <c r="M202">
        <f t="shared" si="74"/>
        <v>9</v>
      </c>
      <c r="S202" t="s">
        <v>119</v>
      </c>
      <c r="T202" s="5">
        <f t="shared" si="65"/>
        <v>0</v>
      </c>
      <c r="U202" s="5">
        <f t="shared" si="66"/>
        <v>0</v>
      </c>
      <c r="V202" s="5">
        <f t="shared" si="67"/>
        <v>3.1410526315789475</v>
      </c>
      <c r="W202" s="5">
        <f t="shared" si="68"/>
        <v>5.2416093813182369</v>
      </c>
      <c r="X202" s="5">
        <f t="shared" si="69"/>
        <v>1.0764705882352941</v>
      </c>
      <c r="Y202" s="5">
        <f t="shared" si="70"/>
        <v>0</v>
      </c>
      <c r="Z202" s="5">
        <f t="shared" si="71"/>
        <v>0</v>
      </c>
      <c r="AA202" s="5">
        <f t="shared" si="72"/>
        <v>0</v>
      </c>
      <c r="AB202" s="5">
        <f t="shared" si="73"/>
        <v>9.4591326011324792</v>
      </c>
    </row>
    <row r="203" spans="1:29" x14ac:dyDescent="0.25">
      <c r="D203" t="s">
        <v>99</v>
      </c>
      <c r="E203" s="64"/>
      <c r="F203" s="64"/>
      <c r="G203">
        <f>IFERROR(HLOOKUP(G$2,[8]table_male_hkom1_inj.U1!$A$1:$K$36,32,FALSE),0)</f>
        <v>37</v>
      </c>
      <c r="H203">
        <f>IFERROR(HLOOKUP(H$2,[8]table_male_hkom1_inj.U1!$A$1:$K$36,32,FALSE),0)</f>
        <v>27</v>
      </c>
      <c r="I203">
        <f>IFERROR(HLOOKUP(I$2,[8]table_male_hkom1_inj.U1!$A$1:$K$36,32,FALSE),0)</f>
        <v>11</v>
      </c>
      <c r="J203">
        <f>IFERROR(HLOOKUP(J$2,[8]table_male_hkom1_inj.U1!$A$1:$K$36,32,FALSE),0)</f>
        <v>0</v>
      </c>
      <c r="K203">
        <f>IFERROR(HLOOKUP(K$2,[8]table_male_hkom1_inj.U1!$A$1:$K$36,32,FALSE),0)</f>
        <v>0</v>
      </c>
      <c r="L203">
        <f>IFERROR(HLOOKUP(L$2,[8]table_male_hkom1_inj.U1!$A$1:$K$36,32,FALSE),0)</f>
        <v>0</v>
      </c>
      <c r="M203">
        <f t="shared" si="74"/>
        <v>75</v>
      </c>
      <c r="S203" t="s">
        <v>99</v>
      </c>
      <c r="T203" s="5">
        <f t="shared" si="65"/>
        <v>0</v>
      </c>
      <c r="U203" s="5">
        <f t="shared" si="66"/>
        <v>0</v>
      </c>
      <c r="V203" s="5">
        <f t="shared" si="67"/>
        <v>38.739649122807016</v>
      </c>
      <c r="W203" s="5">
        <f t="shared" si="68"/>
        <v>28.304690659118478</v>
      </c>
      <c r="X203" s="5">
        <f t="shared" si="69"/>
        <v>11.841176470588236</v>
      </c>
      <c r="Y203" s="5">
        <f t="shared" si="70"/>
        <v>0</v>
      </c>
      <c r="Z203" s="5">
        <f t="shared" si="71"/>
        <v>0</v>
      </c>
      <c r="AA203" s="5">
        <f t="shared" si="72"/>
        <v>0</v>
      </c>
      <c r="AB203" s="5">
        <f t="shared" si="73"/>
        <v>78.885516252513725</v>
      </c>
    </row>
    <row r="204" spans="1:29" x14ac:dyDescent="0.25">
      <c r="D204" t="s">
        <v>100</v>
      </c>
      <c r="E204" s="64"/>
      <c r="F204" s="64"/>
      <c r="G204">
        <f>IFERROR(HLOOKUP(G$2,[8]table_male_hkom1_inj.U1!$A$1:$K$36,33,FALSE),0)</f>
        <v>4</v>
      </c>
      <c r="H204">
        <f>IFERROR(HLOOKUP(H$2,[8]table_male_hkom1_inj.U1!$A$1:$K$36,33,FALSE),0)</f>
        <v>1</v>
      </c>
      <c r="I204">
        <f>IFERROR(HLOOKUP(I$2,[8]table_male_hkom1_inj.U1!$A$1:$K$36,33,FALSE),0)</f>
        <v>2</v>
      </c>
      <c r="J204">
        <f>IFERROR(HLOOKUP(J$2,[8]table_male_hkom1_inj.U1!$A$1:$K$36,33,FALSE),0)</f>
        <v>0</v>
      </c>
      <c r="K204">
        <f>IFERROR(HLOOKUP(K$2,[8]table_male_hkom1_inj.U1!$A$1:$K$36,33,FALSE),0)</f>
        <v>0</v>
      </c>
      <c r="L204">
        <f>IFERROR(HLOOKUP(L$2,[8]table_male_hkom1_inj.U1!$A$1:$K$36,33,FALSE),0)</f>
        <v>0</v>
      </c>
      <c r="M204">
        <f t="shared" si="74"/>
        <v>7</v>
      </c>
      <c r="S204" t="s">
        <v>100</v>
      </c>
      <c r="T204" s="5">
        <f t="shared" si="65"/>
        <v>0</v>
      </c>
      <c r="U204" s="5">
        <f t="shared" si="66"/>
        <v>0</v>
      </c>
      <c r="V204" s="5">
        <f t="shared" si="67"/>
        <v>4.1880701754385967</v>
      </c>
      <c r="W204" s="5">
        <f t="shared" si="68"/>
        <v>1.0483218762636475</v>
      </c>
      <c r="X204" s="5">
        <f t="shared" si="69"/>
        <v>2.1529411764705881</v>
      </c>
      <c r="Y204" s="5">
        <f t="shared" si="70"/>
        <v>0</v>
      </c>
      <c r="Z204" s="5">
        <f t="shared" si="71"/>
        <v>0</v>
      </c>
      <c r="AA204" s="5">
        <f t="shared" si="72"/>
        <v>0</v>
      </c>
      <c r="AB204" s="5">
        <f t="shared" si="73"/>
        <v>7.3893332281728323</v>
      </c>
    </row>
    <row r="205" spans="1:29" x14ac:dyDescent="0.25">
      <c r="D205" t="s">
        <v>101</v>
      </c>
      <c r="E205" s="64"/>
      <c r="F205" s="64"/>
      <c r="G205">
        <f>IFERROR(HLOOKUP(G$2,[8]table_male_hkom1_inj.U1!$A$1:$K$36,34,FALSE),0)</f>
        <v>31</v>
      </c>
      <c r="H205">
        <f>IFERROR(HLOOKUP(H$2,[8]table_male_hkom1_inj.U1!$A$1:$K$36,34,FALSE),0)</f>
        <v>43</v>
      </c>
      <c r="I205">
        <f>IFERROR(HLOOKUP(I$2,[8]table_male_hkom1_inj.U1!$A$1:$K$36,34,FALSE),0)</f>
        <v>15</v>
      </c>
      <c r="J205">
        <f>IFERROR(HLOOKUP(J$2,[8]table_male_hkom1_inj.U1!$A$1:$K$36,34,FALSE),0)</f>
        <v>1</v>
      </c>
      <c r="K205">
        <f>IFERROR(HLOOKUP(K$2,[8]table_male_hkom1_inj.U1!$A$1:$K$36,34,FALSE),0)</f>
        <v>0</v>
      </c>
      <c r="L205">
        <f>IFERROR(HLOOKUP(L$2,[8]table_male_hkom1_inj.U1!$A$1:$K$36,34,FALSE),0)</f>
        <v>0</v>
      </c>
      <c r="M205">
        <f t="shared" si="74"/>
        <v>90</v>
      </c>
      <c r="S205" t="s">
        <v>101</v>
      </c>
      <c r="T205" s="5">
        <f t="shared" si="65"/>
        <v>0</v>
      </c>
      <c r="U205" s="5">
        <f t="shared" si="66"/>
        <v>0</v>
      </c>
      <c r="V205" s="5">
        <f t="shared" si="67"/>
        <v>32.457543859649121</v>
      </c>
      <c r="W205" s="5">
        <f t="shared" si="68"/>
        <v>45.077840679336838</v>
      </c>
      <c r="X205" s="5">
        <f t="shared" si="69"/>
        <v>16.147058823529413</v>
      </c>
      <c r="Y205" s="5">
        <f t="shared" si="70"/>
        <v>1.0446927374301676</v>
      </c>
      <c r="Z205" s="5">
        <f t="shared" si="71"/>
        <v>0</v>
      </c>
      <c r="AA205" s="5">
        <f t="shared" si="72"/>
        <v>0</v>
      </c>
      <c r="AB205" s="5">
        <f t="shared" si="73"/>
        <v>94.727136099945554</v>
      </c>
    </row>
    <row r="206" spans="1:29" x14ac:dyDescent="0.25">
      <c r="D206" t="s">
        <v>102</v>
      </c>
      <c r="E206" s="64"/>
      <c r="F206" s="64"/>
      <c r="G206">
        <f>IFERROR(HLOOKUP(G$2,[8]table_male_hkom1_inj.U1!$A$1:$K$36,35,FALSE),0)</f>
        <v>201</v>
      </c>
      <c r="H206">
        <f>IFERROR(HLOOKUP(H$2,[8]table_male_hkom1_inj.U1!$A$1:$K$36,35,FALSE),0)</f>
        <v>239</v>
      </c>
      <c r="I206">
        <f>IFERROR(HLOOKUP(I$2,[8]table_male_hkom1_inj.U1!$A$1:$K$36,35,FALSE),0)</f>
        <v>156</v>
      </c>
      <c r="J206">
        <f>IFERROR(HLOOKUP(J$2,[8]table_male_hkom1_inj.U1!$A$1:$K$36,35,FALSE),0)</f>
        <v>8</v>
      </c>
      <c r="K206">
        <f>IFERROR(HLOOKUP(K$2,[8]table_male_hkom1_inj.U1!$A$1:$K$36,35,FALSE),0)</f>
        <v>0</v>
      </c>
      <c r="L206">
        <f>IFERROR(HLOOKUP(L$2,[8]table_male_hkom1_inj.U1!$A$1:$K$36,35,FALSE),0)</f>
        <v>0</v>
      </c>
      <c r="M206">
        <f t="shared" si="74"/>
        <v>604</v>
      </c>
      <c r="N206">
        <f>SUM(M173:M206)</f>
        <v>12058</v>
      </c>
      <c r="O206" s="8">
        <f>SUM([8]table_male_hkom1_inj.U1!$B$2:$L$37)</f>
        <v>12058</v>
      </c>
      <c r="S206" t="s">
        <v>102</v>
      </c>
      <c r="T206" s="7"/>
      <c r="U206" s="7"/>
      <c r="V206" s="7"/>
      <c r="W206" s="7"/>
      <c r="X206" s="7"/>
      <c r="Y206" s="7"/>
      <c r="Z206" s="7"/>
      <c r="AA206" s="7"/>
      <c r="AB206" s="7"/>
      <c r="AC206" s="5">
        <f>SUM(AB173:AB205)</f>
        <v>12058.000000000002</v>
      </c>
    </row>
    <row r="207" spans="1:29" x14ac:dyDescent="0.25">
      <c r="A207" t="s">
        <v>104</v>
      </c>
      <c r="B207" t="s">
        <v>103</v>
      </c>
      <c r="C207" t="s">
        <v>110</v>
      </c>
      <c r="D207" t="s">
        <v>70</v>
      </c>
      <c r="E207" s="64"/>
      <c r="F207" s="64"/>
      <c r="G207">
        <f>IFERROR(HLOOKUP(G$2,[9]table_male_hkom1_inj.U2!$A$1:$K$36,2,FALSE),0)</f>
        <v>0</v>
      </c>
      <c r="H207">
        <f>IFERROR(HLOOKUP(H$2,[9]table_male_hkom1_inj.U2!$A$1:$K$36,2,FALSE),0)</f>
        <v>0</v>
      </c>
      <c r="I207">
        <f>IFERROR(HLOOKUP(I$2,[9]table_male_hkom1_inj.U2!$A$1:$K$36,2,FALSE),0)</f>
        <v>0</v>
      </c>
      <c r="J207">
        <f>IFERROR(HLOOKUP(J$2,[9]table_male_hkom1_inj.U2!$A$1:$K$36,2,FALSE),0)</f>
        <v>0</v>
      </c>
      <c r="K207">
        <f>IFERROR(HLOOKUP(K$2,[9]table_male_hkom1_inj.U2!$A$1:$K$36,2,FALSE),0)</f>
        <v>0</v>
      </c>
      <c r="L207">
        <f>IFERROR(HLOOKUP(L$2,[9]table_male_hkom1_inj.U2!$A$1:$K$36,2,FALSE),0)</f>
        <v>0</v>
      </c>
      <c r="M207">
        <f t="shared" si="74"/>
        <v>0</v>
      </c>
      <c r="P207" t="s">
        <v>104</v>
      </c>
      <c r="Q207" t="s">
        <v>103</v>
      </c>
      <c r="R207" t="s">
        <v>110</v>
      </c>
      <c r="S207" t="s">
        <v>70</v>
      </c>
      <c r="T207" s="5">
        <f>IF(SUM(E$207:E$239)=0,E$240/33,E207+IFERROR(E207/SUM(E$207:E$239)*E$240,0))</f>
        <v>0</v>
      </c>
      <c r="U207" s="5">
        <f t="shared" ref="U207:AA207" si="75">IF(SUM(F$207:F$239)=0,F$240/33,F207+IFERROR(F207/SUM(F$207:F$239)*F$240,0))</f>
        <v>0</v>
      </c>
      <c r="V207" s="5">
        <f t="shared" si="75"/>
        <v>0</v>
      </c>
      <c r="W207" s="5">
        <f t="shared" si="75"/>
        <v>0</v>
      </c>
      <c r="X207" s="5">
        <f t="shared" si="75"/>
        <v>0</v>
      </c>
      <c r="Y207" s="5">
        <f t="shared" si="75"/>
        <v>0</v>
      </c>
      <c r="Z207" s="5">
        <f t="shared" si="75"/>
        <v>0</v>
      </c>
      <c r="AA207" s="5">
        <f t="shared" si="75"/>
        <v>0</v>
      </c>
      <c r="AB207" s="5">
        <f>SUM(T207:AA207)</f>
        <v>0</v>
      </c>
    </row>
    <row r="208" spans="1:29" x14ac:dyDescent="0.25">
      <c r="D208" t="s">
        <v>71</v>
      </c>
      <c r="E208" s="64"/>
      <c r="F208" s="64"/>
      <c r="G208">
        <f>IFERROR(HLOOKUP(G$2,[9]table_male_hkom1_inj.U2!$A$1:$K$36,3,FALSE),0)</f>
        <v>0</v>
      </c>
      <c r="H208">
        <f>IFERROR(HLOOKUP(H$2,[9]table_male_hkom1_inj.U2!$A$1:$K$36,3,FALSE),0)</f>
        <v>0</v>
      </c>
      <c r="I208">
        <f>IFERROR(HLOOKUP(I$2,[9]table_male_hkom1_inj.U2!$A$1:$K$36,3,FALSE),0)</f>
        <v>0</v>
      </c>
      <c r="J208">
        <f>IFERROR(HLOOKUP(J$2,[9]table_male_hkom1_inj.U2!$A$1:$K$36,3,FALSE),0)</f>
        <v>0</v>
      </c>
      <c r="K208">
        <f>IFERROR(HLOOKUP(K$2,[9]table_male_hkom1_inj.U2!$A$1:$K$36,3,FALSE),0)</f>
        <v>0</v>
      </c>
      <c r="L208">
        <f>IFERROR(HLOOKUP(L$2,[9]table_male_hkom1_inj.U2!$A$1:$K$36,3,FALSE),0)</f>
        <v>0</v>
      </c>
      <c r="M208">
        <f t="shared" si="74"/>
        <v>0</v>
      </c>
      <c r="S208" t="s">
        <v>71</v>
      </c>
      <c r="T208" s="5">
        <f t="shared" ref="T208:T239" si="76">IF(SUM(E$207:E$239)=0,E$240/33,E208+IFERROR(E208/SUM(E$207:E$239)*E$240,0))</f>
        <v>0</v>
      </c>
      <c r="U208" s="5">
        <f t="shared" ref="U208:U239" si="77">IF(SUM(F$207:F$239)=0,F$240/33,F208+IFERROR(F208/SUM(F$207:F$239)*F$240,0))</f>
        <v>0</v>
      </c>
      <c r="V208" s="5">
        <f t="shared" ref="V208:V239" si="78">IF(SUM(G$207:G$239)=0,G$240/33,G208+IFERROR(G208/SUM(G$207:G$239)*G$240,0))</f>
        <v>0</v>
      </c>
      <c r="W208" s="5">
        <f t="shared" ref="W208:W239" si="79">IF(SUM(H$207:H$239)=0,H$240/33,H208+IFERROR(H208/SUM(H$207:H$239)*H$240,0))</f>
        <v>0</v>
      </c>
      <c r="X208" s="5">
        <f t="shared" ref="X208:X239" si="80">IF(SUM(I$207:I$239)=0,I$240/33,I208+IFERROR(I208/SUM(I$207:I$239)*I$240,0))</f>
        <v>0</v>
      </c>
      <c r="Y208" s="5">
        <f t="shared" ref="Y208:Y239" si="81">IF(SUM(J$207:J$239)=0,J$240/33,J208+IFERROR(J208/SUM(J$207:J$239)*J$240,0))</f>
        <v>0</v>
      </c>
      <c r="Z208" s="5">
        <f t="shared" ref="Z208:Z239" si="82">IF(SUM(K$207:K$239)=0,K$240/33,K208+IFERROR(K208/SUM(K$207:K$239)*K$240,0))</f>
        <v>0</v>
      </c>
      <c r="AA208" s="5">
        <f t="shared" ref="AA208:AA239" si="83">IF(SUM(L$207:L$239)=0,L$240/33,L208+IFERROR(L208/SUM(L$207:L$239)*L$240,0))</f>
        <v>0</v>
      </c>
      <c r="AB208" s="5">
        <f t="shared" ref="AB208:AB241" si="84">SUM(T208:AA208)</f>
        <v>0</v>
      </c>
    </row>
    <row r="209" spans="4:28" x14ac:dyDescent="0.25">
      <c r="D209" t="s">
        <v>72</v>
      </c>
      <c r="E209" s="64"/>
      <c r="F209" s="64"/>
      <c r="G209">
        <f>IFERROR(HLOOKUP(G$2,[9]table_male_hkom1_inj.U2!$A$1:$K$36,4,FALSE),0)</f>
        <v>0</v>
      </c>
      <c r="H209">
        <f>IFERROR(HLOOKUP(H$2,[9]table_male_hkom1_inj.U2!$A$1:$K$36,4,FALSE),0)</f>
        <v>0</v>
      </c>
      <c r="I209">
        <f>IFERROR(HLOOKUP(I$2,[9]table_male_hkom1_inj.U2!$A$1:$K$36,4,FALSE),0)</f>
        <v>0</v>
      </c>
      <c r="J209">
        <f>IFERROR(HLOOKUP(J$2,[9]table_male_hkom1_inj.U2!$A$1:$K$36,4,FALSE),0)</f>
        <v>0</v>
      </c>
      <c r="K209">
        <f>IFERROR(HLOOKUP(K$2,[9]table_male_hkom1_inj.U2!$A$1:$K$36,4,FALSE),0)</f>
        <v>0</v>
      </c>
      <c r="L209">
        <f>IFERROR(HLOOKUP(L$2,[9]table_male_hkom1_inj.U2!$A$1:$K$36,4,FALSE),0)</f>
        <v>0</v>
      </c>
      <c r="M209">
        <f t="shared" si="74"/>
        <v>0</v>
      </c>
      <c r="S209" t="s">
        <v>72</v>
      </c>
      <c r="T209" s="5">
        <f t="shared" si="76"/>
        <v>0</v>
      </c>
      <c r="U209" s="5">
        <f t="shared" si="77"/>
        <v>0</v>
      </c>
      <c r="V209" s="5">
        <f t="shared" si="78"/>
        <v>0</v>
      </c>
      <c r="W209" s="5">
        <f t="shared" si="79"/>
        <v>0</v>
      </c>
      <c r="X209" s="5">
        <f t="shared" si="80"/>
        <v>0</v>
      </c>
      <c r="Y209" s="5">
        <f t="shared" si="81"/>
        <v>0</v>
      </c>
      <c r="Z209" s="5">
        <f t="shared" si="82"/>
        <v>0</v>
      </c>
      <c r="AA209" s="5">
        <f t="shared" si="83"/>
        <v>0</v>
      </c>
      <c r="AB209" s="5">
        <f t="shared" si="84"/>
        <v>0</v>
      </c>
    </row>
    <row r="210" spans="4:28" x14ac:dyDescent="0.25">
      <c r="D210" t="s">
        <v>73</v>
      </c>
      <c r="E210" s="64"/>
      <c r="F210" s="64"/>
      <c r="G210">
        <f>IFERROR(HLOOKUP(G$2,[9]table_male_hkom1_inj.U2!$A$1:$K$36,5,FALSE),0)</f>
        <v>0</v>
      </c>
      <c r="H210">
        <f>IFERROR(HLOOKUP(H$2,[9]table_male_hkom1_inj.U2!$A$1:$K$36,5,FALSE),0)</f>
        <v>0</v>
      </c>
      <c r="I210">
        <f>IFERROR(HLOOKUP(I$2,[9]table_male_hkom1_inj.U2!$A$1:$K$36,5,FALSE),0)</f>
        <v>0</v>
      </c>
      <c r="J210">
        <f>IFERROR(HLOOKUP(J$2,[9]table_male_hkom1_inj.U2!$A$1:$K$36,5,FALSE),0)</f>
        <v>0</v>
      </c>
      <c r="K210">
        <f>IFERROR(HLOOKUP(K$2,[9]table_male_hkom1_inj.U2!$A$1:$K$36,5,FALSE),0)</f>
        <v>0</v>
      </c>
      <c r="L210">
        <f>IFERROR(HLOOKUP(L$2,[9]table_male_hkom1_inj.U2!$A$1:$K$36,5,FALSE),0)</f>
        <v>0</v>
      </c>
      <c r="M210">
        <f t="shared" si="74"/>
        <v>0</v>
      </c>
      <c r="S210" t="s">
        <v>73</v>
      </c>
      <c r="T210" s="5">
        <f t="shared" si="76"/>
        <v>0</v>
      </c>
      <c r="U210" s="5">
        <f t="shared" si="77"/>
        <v>0</v>
      </c>
      <c r="V210" s="5">
        <f t="shared" si="78"/>
        <v>0</v>
      </c>
      <c r="W210" s="5">
        <f t="shared" si="79"/>
        <v>0</v>
      </c>
      <c r="X210" s="5">
        <f t="shared" si="80"/>
        <v>0</v>
      </c>
      <c r="Y210" s="5">
        <f t="shared" si="81"/>
        <v>0</v>
      </c>
      <c r="Z210" s="5">
        <f t="shared" si="82"/>
        <v>0</v>
      </c>
      <c r="AA210" s="5">
        <f t="shared" si="83"/>
        <v>0</v>
      </c>
      <c r="AB210" s="5">
        <f t="shared" si="84"/>
        <v>0</v>
      </c>
    </row>
    <row r="211" spans="4:28" x14ac:dyDescent="0.25">
      <c r="D211" t="s">
        <v>74</v>
      </c>
      <c r="E211" s="64"/>
      <c r="F211" s="64"/>
      <c r="G211">
        <f>IFERROR(HLOOKUP(G$2,[9]table_male_hkom1_inj.U2!$A$1:$K$36,6,FALSE),0)</f>
        <v>0</v>
      </c>
      <c r="H211">
        <f>IFERROR(HLOOKUP(H$2,[9]table_male_hkom1_inj.U2!$A$1:$K$36,6,FALSE),0)</f>
        <v>1</v>
      </c>
      <c r="I211">
        <f>IFERROR(HLOOKUP(I$2,[9]table_male_hkom1_inj.U2!$A$1:$K$36,6,FALSE),0)</f>
        <v>0</v>
      </c>
      <c r="J211">
        <f>IFERROR(HLOOKUP(J$2,[9]table_male_hkom1_inj.U2!$A$1:$K$36,6,FALSE),0)</f>
        <v>0</v>
      </c>
      <c r="K211">
        <f>IFERROR(HLOOKUP(K$2,[9]table_male_hkom1_inj.U2!$A$1:$K$36,6,FALSE),0)</f>
        <v>0</v>
      </c>
      <c r="L211">
        <f>IFERROR(HLOOKUP(L$2,[9]table_male_hkom1_inj.U2!$A$1:$K$36,6,FALSE),0)</f>
        <v>0</v>
      </c>
      <c r="M211">
        <f t="shared" si="74"/>
        <v>1</v>
      </c>
      <c r="S211" t="s">
        <v>74</v>
      </c>
      <c r="T211" s="5">
        <f t="shared" si="76"/>
        <v>0</v>
      </c>
      <c r="U211" s="5">
        <f t="shared" si="77"/>
        <v>0</v>
      </c>
      <c r="V211" s="5">
        <f t="shared" si="78"/>
        <v>0</v>
      </c>
      <c r="W211" s="5">
        <f t="shared" si="79"/>
        <v>1.8660714285714284</v>
      </c>
      <c r="X211" s="5">
        <f t="shared" si="80"/>
        <v>0</v>
      </c>
      <c r="Y211" s="5">
        <f t="shared" si="81"/>
        <v>0</v>
      </c>
      <c r="Z211" s="5">
        <f t="shared" si="82"/>
        <v>0</v>
      </c>
      <c r="AA211" s="5">
        <f t="shared" si="83"/>
        <v>0</v>
      </c>
      <c r="AB211" s="5">
        <f t="shared" si="84"/>
        <v>1.8660714285714284</v>
      </c>
    </row>
    <row r="212" spans="4:28" x14ac:dyDescent="0.25">
      <c r="D212" t="s">
        <v>75</v>
      </c>
      <c r="E212" s="64"/>
      <c r="F212" s="64"/>
      <c r="G212">
        <f>IFERROR(HLOOKUP(G$2,[9]table_male_hkom1_inj.U2!$A$1:$K$36,7,FALSE),0)</f>
        <v>0</v>
      </c>
      <c r="H212">
        <f>IFERROR(HLOOKUP(H$2,[9]table_male_hkom1_inj.U2!$A$1:$K$36,7,FALSE),0)</f>
        <v>0</v>
      </c>
      <c r="I212">
        <f>IFERROR(HLOOKUP(I$2,[9]table_male_hkom1_inj.U2!$A$1:$K$36,7,FALSE),0)</f>
        <v>0</v>
      </c>
      <c r="J212">
        <f>IFERROR(HLOOKUP(J$2,[9]table_male_hkom1_inj.U2!$A$1:$K$36,7,FALSE),0)</f>
        <v>0</v>
      </c>
      <c r="K212">
        <f>IFERROR(HLOOKUP(K$2,[9]table_male_hkom1_inj.U2!$A$1:$K$36,7,FALSE),0)</f>
        <v>0</v>
      </c>
      <c r="L212">
        <f>IFERROR(HLOOKUP(L$2,[9]table_male_hkom1_inj.U2!$A$1:$K$36,7,FALSE),0)</f>
        <v>0</v>
      </c>
      <c r="M212">
        <f t="shared" si="74"/>
        <v>0</v>
      </c>
      <c r="S212" t="s">
        <v>75</v>
      </c>
      <c r="T212" s="5">
        <f t="shared" si="76"/>
        <v>0</v>
      </c>
      <c r="U212" s="5">
        <f t="shared" si="77"/>
        <v>0</v>
      </c>
      <c r="V212" s="5">
        <f t="shared" si="78"/>
        <v>0</v>
      </c>
      <c r="W212" s="5">
        <f t="shared" si="79"/>
        <v>0</v>
      </c>
      <c r="X212" s="5">
        <f t="shared" si="80"/>
        <v>0</v>
      </c>
      <c r="Y212" s="5">
        <f t="shared" si="81"/>
        <v>0</v>
      </c>
      <c r="Z212" s="5">
        <f t="shared" si="82"/>
        <v>0</v>
      </c>
      <c r="AA212" s="5">
        <f t="shared" si="83"/>
        <v>0</v>
      </c>
      <c r="AB212" s="5">
        <f t="shared" si="84"/>
        <v>0</v>
      </c>
    </row>
    <row r="213" spans="4:28" x14ac:dyDescent="0.25">
      <c r="D213" t="s">
        <v>76</v>
      </c>
      <c r="E213" s="64"/>
      <c r="F213" s="64"/>
      <c r="G213">
        <f>IFERROR(HLOOKUP(G$2,[9]table_male_hkom1_inj.U2!$A$1:$K$36,8,FALSE),0)</f>
        <v>0</v>
      </c>
      <c r="H213">
        <f>IFERROR(HLOOKUP(H$2,[9]table_male_hkom1_inj.U2!$A$1:$K$36,8,FALSE),0)</f>
        <v>0</v>
      </c>
      <c r="I213">
        <f>IFERROR(HLOOKUP(I$2,[9]table_male_hkom1_inj.U2!$A$1:$K$36,8,FALSE),0)</f>
        <v>0</v>
      </c>
      <c r="J213">
        <f>IFERROR(HLOOKUP(J$2,[9]table_male_hkom1_inj.U2!$A$1:$K$36,8,FALSE),0)</f>
        <v>0</v>
      </c>
      <c r="K213">
        <f>IFERROR(HLOOKUP(K$2,[9]table_male_hkom1_inj.U2!$A$1:$K$36,8,FALSE),0)</f>
        <v>0</v>
      </c>
      <c r="L213">
        <f>IFERROR(HLOOKUP(L$2,[9]table_male_hkom1_inj.U2!$A$1:$K$36,8,FALSE),0)</f>
        <v>0</v>
      </c>
      <c r="M213">
        <f t="shared" si="74"/>
        <v>0</v>
      </c>
      <c r="S213" t="s">
        <v>76</v>
      </c>
      <c r="T213" s="5">
        <f t="shared" si="76"/>
        <v>0</v>
      </c>
      <c r="U213" s="5">
        <f t="shared" si="77"/>
        <v>0</v>
      </c>
      <c r="V213" s="5">
        <f t="shared" si="78"/>
        <v>0</v>
      </c>
      <c r="W213" s="5">
        <f t="shared" si="79"/>
        <v>0</v>
      </c>
      <c r="X213" s="5">
        <f t="shared" si="80"/>
        <v>0</v>
      </c>
      <c r="Y213" s="5">
        <f t="shared" si="81"/>
        <v>0</v>
      </c>
      <c r="Z213" s="5">
        <f t="shared" si="82"/>
        <v>0</v>
      </c>
      <c r="AA213" s="5">
        <f t="shared" si="83"/>
        <v>0</v>
      </c>
      <c r="AB213" s="5">
        <f t="shared" si="84"/>
        <v>0</v>
      </c>
    </row>
    <row r="214" spans="4:28" x14ac:dyDescent="0.25">
      <c r="D214" t="s">
        <v>77</v>
      </c>
      <c r="E214" s="64"/>
      <c r="F214" s="64"/>
      <c r="G214">
        <f>IFERROR(HLOOKUP(G$2,[9]table_male_hkom1_inj.U2!$A$1:$K$36,9,FALSE),0)</f>
        <v>0</v>
      </c>
      <c r="H214">
        <f>IFERROR(HLOOKUP(H$2,[9]table_male_hkom1_inj.U2!$A$1:$K$36,9,FALSE),0)</f>
        <v>0</v>
      </c>
      <c r="I214">
        <f>IFERROR(HLOOKUP(I$2,[9]table_male_hkom1_inj.U2!$A$1:$K$36,9,FALSE),0)</f>
        <v>0</v>
      </c>
      <c r="J214">
        <f>IFERROR(HLOOKUP(J$2,[9]table_male_hkom1_inj.U2!$A$1:$K$36,9,FALSE),0)</f>
        <v>0</v>
      </c>
      <c r="K214">
        <f>IFERROR(HLOOKUP(K$2,[9]table_male_hkom1_inj.U2!$A$1:$K$36,9,FALSE),0)</f>
        <v>0</v>
      </c>
      <c r="L214">
        <f>IFERROR(HLOOKUP(L$2,[9]table_male_hkom1_inj.U2!$A$1:$K$36,9,FALSE),0)</f>
        <v>0</v>
      </c>
      <c r="M214">
        <f t="shared" si="74"/>
        <v>0</v>
      </c>
      <c r="S214" t="s">
        <v>77</v>
      </c>
      <c r="T214" s="5">
        <f t="shared" si="76"/>
        <v>0</v>
      </c>
      <c r="U214" s="5">
        <f t="shared" si="77"/>
        <v>0</v>
      </c>
      <c r="V214" s="5">
        <f t="shared" si="78"/>
        <v>0</v>
      </c>
      <c r="W214" s="5">
        <f t="shared" si="79"/>
        <v>0</v>
      </c>
      <c r="X214" s="5">
        <f t="shared" si="80"/>
        <v>0</v>
      </c>
      <c r="Y214" s="5">
        <f t="shared" si="81"/>
        <v>0</v>
      </c>
      <c r="Z214" s="5">
        <f t="shared" si="82"/>
        <v>0</v>
      </c>
      <c r="AA214" s="5">
        <f t="shared" si="83"/>
        <v>0</v>
      </c>
      <c r="AB214" s="5">
        <f t="shared" si="84"/>
        <v>0</v>
      </c>
    </row>
    <row r="215" spans="4:28" x14ac:dyDescent="0.25">
      <c r="D215" t="s">
        <v>78</v>
      </c>
      <c r="E215" s="64"/>
      <c r="F215" s="64"/>
      <c r="G215">
        <f>IFERROR(HLOOKUP(G$2,[9]table_male_hkom1_inj.U2!$A$1:$K$36,10,FALSE),0)</f>
        <v>0</v>
      </c>
      <c r="H215">
        <f>IFERROR(HLOOKUP(H$2,[9]table_male_hkom1_inj.U2!$A$1:$K$36,10,FALSE),0)</f>
        <v>0</v>
      </c>
      <c r="I215">
        <f>IFERROR(HLOOKUP(I$2,[9]table_male_hkom1_inj.U2!$A$1:$K$36,10,FALSE),0)</f>
        <v>0</v>
      </c>
      <c r="J215">
        <f>IFERROR(HLOOKUP(J$2,[9]table_male_hkom1_inj.U2!$A$1:$K$36,10,FALSE),0)</f>
        <v>0</v>
      </c>
      <c r="K215">
        <f>IFERROR(HLOOKUP(K$2,[9]table_male_hkom1_inj.U2!$A$1:$K$36,10,FALSE),0)</f>
        <v>0</v>
      </c>
      <c r="L215">
        <f>IFERROR(HLOOKUP(L$2,[9]table_male_hkom1_inj.U2!$A$1:$K$36,10,FALSE),0)</f>
        <v>0</v>
      </c>
      <c r="M215">
        <f t="shared" si="74"/>
        <v>0</v>
      </c>
      <c r="S215" t="s">
        <v>78</v>
      </c>
      <c r="T215" s="5">
        <f t="shared" si="76"/>
        <v>0</v>
      </c>
      <c r="U215" s="5">
        <f t="shared" si="77"/>
        <v>0</v>
      </c>
      <c r="V215" s="5">
        <f t="shared" si="78"/>
        <v>0</v>
      </c>
      <c r="W215" s="5">
        <f t="shared" si="79"/>
        <v>0</v>
      </c>
      <c r="X215" s="5">
        <f t="shared" si="80"/>
        <v>0</v>
      </c>
      <c r="Y215" s="5">
        <f t="shared" si="81"/>
        <v>0</v>
      </c>
      <c r="Z215" s="5">
        <f t="shared" si="82"/>
        <v>0</v>
      </c>
      <c r="AA215" s="5">
        <f t="shared" si="83"/>
        <v>0</v>
      </c>
      <c r="AB215" s="5">
        <f t="shared" si="84"/>
        <v>0</v>
      </c>
    </row>
    <row r="216" spans="4:28" x14ac:dyDescent="0.25">
      <c r="D216" t="s">
        <v>79</v>
      </c>
      <c r="E216" s="64"/>
      <c r="F216" s="64"/>
      <c r="G216">
        <f>IFERROR(HLOOKUP(G$2,[9]table_male_hkom1_inj.U2!$A$1:$K$36,11,FALSE),0)</f>
        <v>0</v>
      </c>
      <c r="H216">
        <f>IFERROR(HLOOKUP(H$2,[9]table_male_hkom1_inj.U2!$A$1:$K$36,11,FALSE),0)</f>
        <v>0</v>
      </c>
      <c r="I216">
        <f>IFERROR(HLOOKUP(I$2,[9]table_male_hkom1_inj.U2!$A$1:$K$36,11,FALSE),0)</f>
        <v>0</v>
      </c>
      <c r="J216">
        <f>IFERROR(HLOOKUP(J$2,[9]table_male_hkom1_inj.U2!$A$1:$K$36,11,FALSE),0)</f>
        <v>0</v>
      </c>
      <c r="K216">
        <f>IFERROR(HLOOKUP(K$2,[9]table_male_hkom1_inj.U2!$A$1:$K$36,11,FALSE),0)</f>
        <v>0</v>
      </c>
      <c r="L216">
        <f>IFERROR(HLOOKUP(L$2,[9]table_male_hkom1_inj.U2!$A$1:$K$36,11,FALSE),0)</f>
        <v>0</v>
      </c>
      <c r="M216">
        <f t="shared" si="74"/>
        <v>0</v>
      </c>
      <c r="S216" t="s">
        <v>79</v>
      </c>
      <c r="T216" s="5">
        <f t="shared" si="76"/>
        <v>0</v>
      </c>
      <c r="U216" s="5">
        <f t="shared" si="77"/>
        <v>0</v>
      </c>
      <c r="V216" s="5">
        <f t="shared" si="78"/>
        <v>0</v>
      </c>
      <c r="W216" s="5">
        <f t="shared" si="79"/>
        <v>0</v>
      </c>
      <c r="X216" s="5">
        <f t="shared" si="80"/>
        <v>0</v>
      </c>
      <c r="Y216" s="5">
        <f t="shared" si="81"/>
        <v>0</v>
      </c>
      <c r="Z216" s="5">
        <f t="shared" si="82"/>
        <v>0</v>
      </c>
      <c r="AA216" s="5">
        <f t="shared" si="83"/>
        <v>0</v>
      </c>
      <c r="AB216" s="5">
        <f t="shared" si="84"/>
        <v>0</v>
      </c>
    </row>
    <row r="217" spans="4:28" x14ac:dyDescent="0.25">
      <c r="D217" t="s">
        <v>80</v>
      </c>
      <c r="E217" s="64"/>
      <c r="F217" s="64"/>
      <c r="G217">
        <f>IFERROR(HLOOKUP(G$2,[9]table_male_hkom1_inj.U2!$A$1:$K$36,12,FALSE),0)</f>
        <v>0</v>
      </c>
      <c r="H217">
        <f>IFERROR(HLOOKUP(H$2,[9]table_male_hkom1_inj.U2!$A$1:$K$36,12,FALSE),0)</f>
        <v>0</v>
      </c>
      <c r="I217">
        <f>IFERROR(HLOOKUP(I$2,[9]table_male_hkom1_inj.U2!$A$1:$K$36,12,FALSE),0)</f>
        <v>0</v>
      </c>
      <c r="J217">
        <f>IFERROR(HLOOKUP(J$2,[9]table_male_hkom1_inj.U2!$A$1:$K$36,12,FALSE),0)</f>
        <v>0</v>
      </c>
      <c r="K217">
        <f>IFERROR(HLOOKUP(K$2,[9]table_male_hkom1_inj.U2!$A$1:$K$36,12,FALSE),0)</f>
        <v>0</v>
      </c>
      <c r="L217">
        <f>IFERROR(HLOOKUP(L$2,[9]table_male_hkom1_inj.U2!$A$1:$K$36,12,FALSE),0)</f>
        <v>0</v>
      </c>
      <c r="M217">
        <f t="shared" si="74"/>
        <v>0</v>
      </c>
      <c r="S217" t="s">
        <v>80</v>
      </c>
      <c r="T217" s="5">
        <f t="shared" si="76"/>
        <v>0</v>
      </c>
      <c r="U217" s="5">
        <f t="shared" si="77"/>
        <v>0</v>
      </c>
      <c r="V217" s="5">
        <f t="shared" si="78"/>
        <v>0</v>
      </c>
      <c r="W217" s="5">
        <f t="shared" si="79"/>
        <v>0</v>
      </c>
      <c r="X217" s="5">
        <f t="shared" si="80"/>
        <v>0</v>
      </c>
      <c r="Y217" s="5">
        <f t="shared" si="81"/>
        <v>0</v>
      </c>
      <c r="Z217" s="5">
        <f t="shared" si="82"/>
        <v>0</v>
      </c>
      <c r="AA217" s="5">
        <f t="shared" si="83"/>
        <v>0</v>
      </c>
      <c r="AB217" s="5">
        <f t="shared" si="84"/>
        <v>0</v>
      </c>
    </row>
    <row r="218" spans="4:28" x14ac:dyDescent="0.25">
      <c r="D218" t="s">
        <v>81</v>
      </c>
      <c r="E218" s="64"/>
      <c r="F218" s="64"/>
      <c r="G218">
        <f>IFERROR(HLOOKUP(G$2,[9]table_male_hkom1_inj.U2!$A$1:$K$36,13,FALSE),0)</f>
        <v>0</v>
      </c>
      <c r="H218">
        <f>IFERROR(HLOOKUP(H$2,[9]table_male_hkom1_inj.U2!$A$1:$K$36,13,FALSE),0)</f>
        <v>0</v>
      </c>
      <c r="I218">
        <f>IFERROR(HLOOKUP(I$2,[9]table_male_hkom1_inj.U2!$A$1:$K$36,13,FALSE),0)</f>
        <v>0</v>
      </c>
      <c r="J218">
        <f>IFERROR(HLOOKUP(J$2,[9]table_male_hkom1_inj.U2!$A$1:$K$36,13,FALSE),0)</f>
        <v>0</v>
      </c>
      <c r="K218">
        <f>IFERROR(HLOOKUP(K$2,[9]table_male_hkom1_inj.U2!$A$1:$K$36,13,FALSE),0)</f>
        <v>0</v>
      </c>
      <c r="L218">
        <f>IFERROR(HLOOKUP(L$2,[9]table_male_hkom1_inj.U2!$A$1:$K$36,13,FALSE),0)</f>
        <v>0</v>
      </c>
      <c r="M218">
        <f t="shared" si="74"/>
        <v>0</v>
      </c>
      <c r="S218" t="s">
        <v>81</v>
      </c>
      <c r="T218" s="5">
        <f t="shared" si="76"/>
        <v>0</v>
      </c>
      <c r="U218" s="5">
        <f t="shared" si="77"/>
        <v>0</v>
      </c>
      <c r="V218" s="5">
        <f t="shared" si="78"/>
        <v>0</v>
      </c>
      <c r="W218" s="5">
        <f t="shared" si="79"/>
        <v>0</v>
      </c>
      <c r="X218" s="5">
        <f t="shared" si="80"/>
        <v>0</v>
      </c>
      <c r="Y218" s="5">
        <f t="shared" si="81"/>
        <v>0</v>
      </c>
      <c r="Z218" s="5">
        <f t="shared" si="82"/>
        <v>0</v>
      </c>
      <c r="AA218" s="5">
        <f t="shared" si="83"/>
        <v>0</v>
      </c>
      <c r="AB218" s="5">
        <f t="shared" si="84"/>
        <v>0</v>
      </c>
    </row>
    <row r="219" spans="4:28" x14ac:dyDescent="0.25">
      <c r="D219" t="s">
        <v>82</v>
      </c>
      <c r="E219" s="64"/>
      <c r="F219" s="64"/>
      <c r="G219">
        <f>IFERROR(HLOOKUP(G$2,[9]table_male_hkom1_inj.U2!$A$1:$K$36,14,FALSE),0)</f>
        <v>0</v>
      </c>
      <c r="H219">
        <f>IFERROR(HLOOKUP(H$2,[9]table_male_hkom1_inj.U2!$A$1:$K$36,14,FALSE),0)</f>
        <v>0</v>
      </c>
      <c r="I219">
        <f>IFERROR(HLOOKUP(I$2,[9]table_male_hkom1_inj.U2!$A$1:$K$36,14,FALSE),0)</f>
        <v>0</v>
      </c>
      <c r="J219">
        <f>IFERROR(HLOOKUP(J$2,[9]table_male_hkom1_inj.U2!$A$1:$K$36,14,FALSE),0)</f>
        <v>0</v>
      </c>
      <c r="K219">
        <f>IFERROR(HLOOKUP(K$2,[9]table_male_hkom1_inj.U2!$A$1:$K$36,14,FALSE),0)</f>
        <v>0</v>
      </c>
      <c r="L219">
        <f>IFERROR(HLOOKUP(L$2,[9]table_male_hkom1_inj.U2!$A$1:$K$36,14,FALSE),0)</f>
        <v>0</v>
      </c>
      <c r="M219">
        <f t="shared" si="74"/>
        <v>0</v>
      </c>
      <c r="S219" t="s">
        <v>82</v>
      </c>
      <c r="T219" s="5">
        <f t="shared" si="76"/>
        <v>0</v>
      </c>
      <c r="U219" s="5">
        <f t="shared" si="77"/>
        <v>0</v>
      </c>
      <c r="V219" s="5">
        <f t="shared" si="78"/>
        <v>0</v>
      </c>
      <c r="W219" s="5">
        <f t="shared" si="79"/>
        <v>0</v>
      </c>
      <c r="X219" s="5">
        <f t="shared" si="80"/>
        <v>0</v>
      </c>
      <c r="Y219" s="5">
        <f t="shared" si="81"/>
        <v>0</v>
      </c>
      <c r="Z219" s="5">
        <f t="shared" si="82"/>
        <v>0</v>
      </c>
      <c r="AA219" s="5">
        <f t="shared" si="83"/>
        <v>0</v>
      </c>
      <c r="AB219" s="5">
        <f t="shared" si="84"/>
        <v>0</v>
      </c>
    </row>
    <row r="220" spans="4:28" x14ac:dyDescent="0.25">
      <c r="D220" t="s">
        <v>83</v>
      </c>
      <c r="E220" s="64"/>
      <c r="F220" s="64"/>
      <c r="G220">
        <f>IFERROR(HLOOKUP(G$2,[9]table_male_hkom1_inj.U2!$A$1:$K$36,15,FALSE),0)</f>
        <v>0</v>
      </c>
      <c r="H220">
        <f>IFERROR(HLOOKUP(H$2,[9]table_male_hkom1_inj.U2!$A$1:$K$36,15,FALSE),0)</f>
        <v>0</v>
      </c>
      <c r="I220">
        <f>IFERROR(HLOOKUP(I$2,[9]table_male_hkom1_inj.U2!$A$1:$K$36,15,FALSE),0)</f>
        <v>0</v>
      </c>
      <c r="J220">
        <f>IFERROR(HLOOKUP(J$2,[9]table_male_hkom1_inj.U2!$A$1:$K$36,15,FALSE),0)</f>
        <v>0</v>
      </c>
      <c r="K220">
        <f>IFERROR(HLOOKUP(K$2,[9]table_male_hkom1_inj.U2!$A$1:$K$36,15,FALSE),0)</f>
        <v>0</v>
      </c>
      <c r="L220">
        <f>IFERROR(HLOOKUP(L$2,[9]table_male_hkom1_inj.U2!$A$1:$K$36,15,FALSE),0)</f>
        <v>0</v>
      </c>
      <c r="M220">
        <f t="shared" si="74"/>
        <v>0</v>
      </c>
      <c r="S220" t="s">
        <v>83</v>
      </c>
      <c r="T220" s="5">
        <f t="shared" si="76"/>
        <v>0</v>
      </c>
      <c r="U220" s="5">
        <f t="shared" si="77"/>
        <v>0</v>
      </c>
      <c r="V220" s="5">
        <f t="shared" si="78"/>
        <v>0</v>
      </c>
      <c r="W220" s="5">
        <f t="shared" si="79"/>
        <v>0</v>
      </c>
      <c r="X220" s="5">
        <f t="shared" si="80"/>
        <v>0</v>
      </c>
      <c r="Y220" s="5">
        <f t="shared" si="81"/>
        <v>0</v>
      </c>
      <c r="Z220" s="5">
        <f t="shared" si="82"/>
        <v>0</v>
      </c>
      <c r="AA220" s="5">
        <f t="shared" si="83"/>
        <v>0</v>
      </c>
      <c r="AB220" s="5">
        <f t="shared" si="84"/>
        <v>0</v>
      </c>
    </row>
    <row r="221" spans="4:28" x14ac:dyDescent="0.25">
      <c r="D221" t="s">
        <v>84</v>
      </c>
      <c r="E221" s="64"/>
      <c r="F221" s="64"/>
      <c r="G221">
        <f>IFERROR(HLOOKUP(G$2,[9]table_male_hkom1_inj.U2!$A$1:$K$36,16,FALSE),0)</f>
        <v>0</v>
      </c>
      <c r="H221">
        <f>IFERROR(HLOOKUP(H$2,[9]table_male_hkom1_inj.U2!$A$1:$K$36,16,FALSE),0)</f>
        <v>0</v>
      </c>
      <c r="I221">
        <f>IFERROR(HLOOKUP(I$2,[9]table_male_hkom1_inj.U2!$A$1:$K$36,16,FALSE),0)</f>
        <v>0</v>
      </c>
      <c r="J221">
        <f>IFERROR(HLOOKUP(J$2,[9]table_male_hkom1_inj.U2!$A$1:$K$36,16,FALSE),0)</f>
        <v>0</v>
      </c>
      <c r="K221">
        <f>IFERROR(HLOOKUP(K$2,[9]table_male_hkom1_inj.U2!$A$1:$K$36,16,FALSE),0)</f>
        <v>0</v>
      </c>
      <c r="L221">
        <f>IFERROR(HLOOKUP(L$2,[9]table_male_hkom1_inj.U2!$A$1:$K$36,16,FALSE),0)</f>
        <v>0</v>
      </c>
      <c r="M221">
        <f t="shared" si="74"/>
        <v>0</v>
      </c>
      <c r="S221" t="s">
        <v>84</v>
      </c>
      <c r="T221" s="5">
        <f t="shared" si="76"/>
        <v>0</v>
      </c>
      <c r="U221" s="5">
        <f t="shared" si="77"/>
        <v>0</v>
      </c>
      <c r="V221" s="5">
        <f t="shared" si="78"/>
        <v>0</v>
      </c>
      <c r="W221" s="5">
        <f t="shared" si="79"/>
        <v>0</v>
      </c>
      <c r="X221" s="5">
        <f t="shared" si="80"/>
        <v>0</v>
      </c>
      <c r="Y221" s="5">
        <f t="shared" si="81"/>
        <v>0</v>
      </c>
      <c r="Z221" s="5">
        <f t="shared" si="82"/>
        <v>0</v>
      </c>
      <c r="AA221" s="5">
        <f t="shared" si="83"/>
        <v>0</v>
      </c>
      <c r="AB221" s="5">
        <f t="shared" si="84"/>
        <v>0</v>
      </c>
    </row>
    <row r="222" spans="4:28" x14ac:dyDescent="0.25">
      <c r="D222" t="s">
        <v>85</v>
      </c>
      <c r="E222" s="64"/>
      <c r="F222" s="64"/>
      <c r="G222">
        <f>IFERROR(HLOOKUP(G$2,[9]table_male_hkom1_inj.U2!$A$1:$K$36,17,FALSE),0)</f>
        <v>0</v>
      </c>
      <c r="H222">
        <f>IFERROR(HLOOKUP(H$2,[9]table_male_hkom1_inj.U2!$A$1:$K$36,17,FALSE),0)</f>
        <v>0</v>
      </c>
      <c r="I222">
        <f>IFERROR(HLOOKUP(I$2,[9]table_male_hkom1_inj.U2!$A$1:$K$36,17,FALSE),0)</f>
        <v>0</v>
      </c>
      <c r="J222">
        <f>IFERROR(HLOOKUP(J$2,[9]table_male_hkom1_inj.U2!$A$1:$K$36,17,FALSE),0)</f>
        <v>0</v>
      </c>
      <c r="K222">
        <f>IFERROR(HLOOKUP(K$2,[9]table_male_hkom1_inj.U2!$A$1:$K$36,17,FALSE),0)</f>
        <v>0</v>
      </c>
      <c r="L222">
        <f>IFERROR(HLOOKUP(L$2,[9]table_male_hkom1_inj.U2!$A$1:$K$36,17,FALSE),0)</f>
        <v>0</v>
      </c>
      <c r="M222">
        <f t="shared" si="74"/>
        <v>0</v>
      </c>
      <c r="S222" t="s">
        <v>85</v>
      </c>
      <c r="T222" s="5">
        <f t="shared" si="76"/>
        <v>0</v>
      </c>
      <c r="U222" s="5">
        <f t="shared" si="77"/>
        <v>0</v>
      </c>
      <c r="V222" s="5">
        <f t="shared" si="78"/>
        <v>0</v>
      </c>
      <c r="W222" s="5">
        <f t="shared" si="79"/>
        <v>0</v>
      </c>
      <c r="X222" s="5">
        <f t="shared" si="80"/>
        <v>0</v>
      </c>
      <c r="Y222" s="5">
        <f t="shared" si="81"/>
        <v>0</v>
      </c>
      <c r="Z222" s="5">
        <f t="shared" si="82"/>
        <v>0</v>
      </c>
      <c r="AA222" s="5">
        <f t="shared" si="83"/>
        <v>0</v>
      </c>
      <c r="AB222" s="5">
        <f t="shared" si="84"/>
        <v>0</v>
      </c>
    </row>
    <row r="223" spans="4:28" x14ac:dyDescent="0.25">
      <c r="D223" t="s">
        <v>86</v>
      </c>
      <c r="E223" s="64"/>
      <c r="F223" s="64"/>
      <c r="G223">
        <f>IFERROR(HLOOKUP(G$2,[9]table_male_hkom1_inj.U2!$A$1:$K$36,18,FALSE),0)</f>
        <v>1</v>
      </c>
      <c r="H223">
        <f>IFERROR(HLOOKUP(H$2,[9]table_male_hkom1_inj.U2!$A$1:$K$36,18,FALSE),0)</f>
        <v>2</v>
      </c>
      <c r="I223">
        <f>IFERROR(HLOOKUP(I$2,[9]table_male_hkom1_inj.U2!$A$1:$K$36,18,FALSE),0)</f>
        <v>0</v>
      </c>
      <c r="J223">
        <f>IFERROR(HLOOKUP(J$2,[9]table_male_hkom1_inj.U2!$A$1:$K$36,18,FALSE),0)</f>
        <v>0</v>
      </c>
      <c r="K223">
        <f>IFERROR(HLOOKUP(K$2,[9]table_male_hkom1_inj.U2!$A$1:$K$36,18,FALSE),0)</f>
        <v>0</v>
      </c>
      <c r="L223">
        <f>IFERROR(HLOOKUP(L$2,[9]table_male_hkom1_inj.U2!$A$1:$K$36,18,FALSE),0)</f>
        <v>0</v>
      </c>
      <c r="M223">
        <f t="shared" si="74"/>
        <v>3</v>
      </c>
      <c r="S223" t="s">
        <v>86</v>
      </c>
      <c r="T223" s="5">
        <f t="shared" si="76"/>
        <v>0</v>
      </c>
      <c r="U223" s="5">
        <f t="shared" si="77"/>
        <v>0</v>
      </c>
      <c r="V223" s="5">
        <f t="shared" si="78"/>
        <v>2.0277777777777777</v>
      </c>
      <c r="W223" s="5">
        <f t="shared" si="79"/>
        <v>3.7321428571428568</v>
      </c>
      <c r="X223" s="5">
        <f t="shared" si="80"/>
        <v>0</v>
      </c>
      <c r="Y223" s="5">
        <f t="shared" si="81"/>
        <v>0</v>
      </c>
      <c r="Z223" s="5">
        <f t="shared" si="82"/>
        <v>0</v>
      </c>
      <c r="AA223" s="5">
        <f t="shared" si="83"/>
        <v>0</v>
      </c>
      <c r="AB223" s="5">
        <f t="shared" si="84"/>
        <v>5.7599206349206344</v>
      </c>
    </row>
    <row r="224" spans="4:28" x14ac:dyDescent="0.25">
      <c r="D224" t="s">
        <v>87</v>
      </c>
      <c r="E224" s="64"/>
      <c r="F224" s="64"/>
      <c r="G224">
        <f>IFERROR(HLOOKUP(G$2,[9]table_male_hkom1_inj.U2!$A$1:$K$36,19,FALSE),0)</f>
        <v>0</v>
      </c>
      <c r="H224">
        <f>IFERROR(HLOOKUP(H$2,[9]table_male_hkom1_inj.U2!$A$1:$K$36,19,FALSE),0)</f>
        <v>0</v>
      </c>
      <c r="I224">
        <f>IFERROR(HLOOKUP(I$2,[9]table_male_hkom1_inj.U2!$A$1:$K$36,19,FALSE),0)</f>
        <v>1</v>
      </c>
      <c r="J224">
        <f>IFERROR(HLOOKUP(J$2,[9]table_male_hkom1_inj.U2!$A$1:$K$36,19,FALSE),0)</f>
        <v>0</v>
      </c>
      <c r="K224">
        <f>IFERROR(HLOOKUP(K$2,[9]table_male_hkom1_inj.U2!$A$1:$K$36,19,FALSE),0)</f>
        <v>0</v>
      </c>
      <c r="L224">
        <f>IFERROR(HLOOKUP(L$2,[9]table_male_hkom1_inj.U2!$A$1:$K$36,19,FALSE),0)</f>
        <v>0</v>
      </c>
      <c r="M224">
        <f t="shared" si="74"/>
        <v>1</v>
      </c>
      <c r="S224" t="s">
        <v>87</v>
      </c>
      <c r="T224" s="5">
        <f t="shared" si="76"/>
        <v>0</v>
      </c>
      <c r="U224" s="5">
        <f t="shared" si="77"/>
        <v>0</v>
      </c>
      <c r="V224" s="5">
        <f t="shared" si="78"/>
        <v>0</v>
      </c>
      <c r="W224" s="5">
        <f t="shared" si="79"/>
        <v>0</v>
      </c>
      <c r="X224" s="5">
        <f t="shared" si="80"/>
        <v>1.5538461538461539</v>
      </c>
      <c r="Y224" s="5">
        <f t="shared" si="81"/>
        <v>0</v>
      </c>
      <c r="Z224" s="5">
        <f t="shared" si="82"/>
        <v>0</v>
      </c>
      <c r="AA224" s="5">
        <f t="shared" si="83"/>
        <v>0</v>
      </c>
      <c r="AB224" s="5">
        <f t="shared" si="84"/>
        <v>1.5538461538461539</v>
      </c>
    </row>
    <row r="225" spans="4:29" x14ac:dyDescent="0.25">
      <c r="D225" t="s">
        <v>88</v>
      </c>
      <c r="E225" s="64"/>
      <c r="F225" s="64"/>
      <c r="G225">
        <f>IFERROR(HLOOKUP(G$2,[9]table_male_hkom1_inj.U2!$A$1:$K$36,20,FALSE),0)</f>
        <v>1</v>
      </c>
      <c r="H225">
        <f>IFERROR(HLOOKUP(H$2,[9]table_male_hkom1_inj.U2!$A$1:$K$36,20,FALSE),0)</f>
        <v>1</v>
      </c>
      <c r="I225">
        <f>IFERROR(HLOOKUP(I$2,[9]table_male_hkom1_inj.U2!$A$1:$K$36,20,FALSE),0)</f>
        <v>1</v>
      </c>
      <c r="J225">
        <f>IFERROR(HLOOKUP(J$2,[9]table_male_hkom1_inj.U2!$A$1:$K$36,20,FALSE),0)</f>
        <v>0</v>
      </c>
      <c r="K225">
        <f>IFERROR(HLOOKUP(K$2,[9]table_male_hkom1_inj.U2!$A$1:$K$36,20,FALSE),0)</f>
        <v>0</v>
      </c>
      <c r="L225">
        <f>IFERROR(HLOOKUP(L$2,[9]table_male_hkom1_inj.U2!$A$1:$K$36,20,FALSE),0)</f>
        <v>0</v>
      </c>
      <c r="M225">
        <f t="shared" si="74"/>
        <v>3</v>
      </c>
      <c r="S225" t="s">
        <v>88</v>
      </c>
      <c r="T225" s="5">
        <f t="shared" si="76"/>
        <v>0</v>
      </c>
      <c r="U225" s="5">
        <f t="shared" si="77"/>
        <v>0</v>
      </c>
      <c r="V225" s="5">
        <f t="shared" si="78"/>
        <v>2.0277777777777777</v>
      </c>
      <c r="W225" s="5">
        <f t="shared" si="79"/>
        <v>1.8660714285714284</v>
      </c>
      <c r="X225" s="5">
        <f t="shared" si="80"/>
        <v>1.5538461538461539</v>
      </c>
      <c r="Y225" s="5">
        <f t="shared" si="81"/>
        <v>0</v>
      </c>
      <c r="Z225" s="5">
        <f t="shared" si="82"/>
        <v>0</v>
      </c>
      <c r="AA225" s="5">
        <f t="shared" si="83"/>
        <v>0</v>
      </c>
      <c r="AB225" s="5">
        <f t="shared" si="84"/>
        <v>5.4476953601953602</v>
      </c>
    </row>
    <row r="226" spans="4:29" x14ac:dyDescent="0.25">
      <c r="D226" t="s">
        <v>89</v>
      </c>
      <c r="E226" s="64"/>
      <c r="F226" s="64"/>
      <c r="G226">
        <f>IFERROR(HLOOKUP(G$2,[9]table_male_hkom1_inj.U2!$A$1:$K$36,21,FALSE),0)</f>
        <v>3</v>
      </c>
      <c r="H226">
        <f>IFERROR(HLOOKUP(H$2,[9]table_male_hkom1_inj.U2!$A$1:$K$36,21,FALSE),0)</f>
        <v>3</v>
      </c>
      <c r="I226">
        <f>IFERROR(HLOOKUP(I$2,[9]table_male_hkom1_inj.U2!$A$1:$K$36,21,FALSE),0)</f>
        <v>4</v>
      </c>
      <c r="J226">
        <f>IFERROR(HLOOKUP(J$2,[9]table_male_hkom1_inj.U2!$A$1:$K$36,21,FALSE),0)</f>
        <v>0</v>
      </c>
      <c r="K226">
        <f>IFERROR(HLOOKUP(K$2,[9]table_male_hkom1_inj.U2!$A$1:$K$36,21,FALSE),0)</f>
        <v>0</v>
      </c>
      <c r="L226">
        <f>IFERROR(HLOOKUP(L$2,[9]table_male_hkom1_inj.U2!$A$1:$K$36,21,FALSE),0)</f>
        <v>0</v>
      </c>
      <c r="M226">
        <f t="shared" si="74"/>
        <v>10</v>
      </c>
      <c r="S226" t="s">
        <v>89</v>
      </c>
      <c r="T226" s="5">
        <f t="shared" si="76"/>
        <v>0</v>
      </c>
      <c r="U226" s="5">
        <f t="shared" si="77"/>
        <v>0</v>
      </c>
      <c r="V226" s="5">
        <f t="shared" si="78"/>
        <v>6.083333333333333</v>
      </c>
      <c r="W226" s="5">
        <f t="shared" si="79"/>
        <v>5.5982142857142856</v>
      </c>
      <c r="X226" s="5">
        <f t="shared" si="80"/>
        <v>6.2153846153846155</v>
      </c>
      <c r="Y226" s="5">
        <f t="shared" si="81"/>
        <v>0</v>
      </c>
      <c r="Z226" s="5">
        <f t="shared" si="82"/>
        <v>0</v>
      </c>
      <c r="AA226" s="5">
        <f t="shared" si="83"/>
        <v>0</v>
      </c>
      <c r="AB226" s="5">
        <f t="shared" si="84"/>
        <v>17.896932234432235</v>
      </c>
    </row>
    <row r="227" spans="4:29" x14ac:dyDescent="0.25">
      <c r="D227" t="s">
        <v>90</v>
      </c>
      <c r="E227" s="64"/>
      <c r="F227" s="64"/>
      <c r="G227">
        <f>IFERROR(HLOOKUP(G$2,[9]table_male_hkom1_inj.U2!$A$1:$K$36,22,FALSE),0)</f>
        <v>0</v>
      </c>
      <c r="H227">
        <f>IFERROR(HLOOKUP(H$2,[9]table_male_hkom1_inj.U2!$A$1:$K$36,22,FALSE),0)</f>
        <v>0</v>
      </c>
      <c r="I227">
        <f>IFERROR(HLOOKUP(I$2,[9]table_male_hkom1_inj.U2!$A$1:$K$36,22,FALSE),0)</f>
        <v>0</v>
      </c>
      <c r="J227">
        <f>IFERROR(HLOOKUP(J$2,[9]table_male_hkom1_inj.U2!$A$1:$K$36,22,FALSE),0)</f>
        <v>0</v>
      </c>
      <c r="K227">
        <f>IFERROR(HLOOKUP(K$2,[9]table_male_hkom1_inj.U2!$A$1:$K$36,22,FALSE),0)</f>
        <v>0</v>
      </c>
      <c r="L227">
        <f>IFERROR(HLOOKUP(L$2,[9]table_male_hkom1_inj.U2!$A$1:$K$36,22,FALSE),0)</f>
        <v>0</v>
      </c>
      <c r="M227">
        <f t="shared" si="74"/>
        <v>0</v>
      </c>
      <c r="S227" t="s">
        <v>90</v>
      </c>
      <c r="T227" s="5">
        <f t="shared" si="76"/>
        <v>0</v>
      </c>
      <c r="U227" s="5">
        <f t="shared" si="77"/>
        <v>0</v>
      </c>
      <c r="V227" s="5">
        <f t="shared" si="78"/>
        <v>0</v>
      </c>
      <c r="W227" s="5">
        <f t="shared" si="79"/>
        <v>0</v>
      </c>
      <c r="X227" s="5">
        <f t="shared" si="80"/>
        <v>0</v>
      </c>
      <c r="Y227" s="5">
        <f t="shared" si="81"/>
        <v>0</v>
      </c>
      <c r="Z227" s="5">
        <f t="shared" si="82"/>
        <v>0</v>
      </c>
      <c r="AA227" s="5">
        <f t="shared" si="83"/>
        <v>0</v>
      </c>
      <c r="AB227" s="5">
        <f t="shared" si="84"/>
        <v>0</v>
      </c>
    </row>
    <row r="228" spans="4:29" x14ac:dyDescent="0.25">
      <c r="D228" t="s">
        <v>91</v>
      </c>
      <c r="E228" s="64"/>
      <c r="F228" s="64"/>
      <c r="G228">
        <f>IFERROR(HLOOKUP(G$2,[9]table_male_hkom1_inj.U2!$A$1:$K$36,23,FALSE),0)</f>
        <v>0</v>
      </c>
      <c r="H228">
        <f>IFERROR(HLOOKUP(H$2,[9]table_male_hkom1_inj.U2!$A$1:$K$36,23,FALSE),0)</f>
        <v>0</v>
      </c>
      <c r="I228">
        <f>IFERROR(HLOOKUP(I$2,[9]table_male_hkom1_inj.U2!$A$1:$K$36,23,FALSE),0)</f>
        <v>0</v>
      </c>
      <c r="J228">
        <f>IFERROR(HLOOKUP(J$2,[9]table_male_hkom1_inj.U2!$A$1:$K$36,23,FALSE),0)</f>
        <v>0</v>
      </c>
      <c r="K228">
        <f>IFERROR(HLOOKUP(K$2,[9]table_male_hkom1_inj.U2!$A$1:$K$36,23,FALSE),0)</f>
        <v>0</v>
      </c>
      <c r="L228">
        <f>IFERROR(HLOOKUP(L$2,[9]table_male_hkom1_inj.U2!$A$1:$K$36,23,FALSE),0)</f>
        <v>0</v>
      </c>
      <c r="M228">
        <f t="shared" si="74"/>
        <v>0</v>
      </c>
      <c r="S228" t="s">
        <v>91</v>
      </c>
      <c r="T228" s="5">
        <f t="shared" si="76"/>
        <v>0</v>
      </c>
      <c r="U228" s="5">
        <f t="shared" si="77"/>
        <v>0</v>
      </c>
      <c r="V228" s="5">
        <f t="shared" si="78"/>
        <v>0</v>
      </c>
      <c r="W228" s="5">
        <f t="shared" si="79"/>
        <v>0</v>
      </c>
      <c r="X228" s="5">
        <f t="shared" si="80"/>
        <v>0</v>
      </c>
      <c r="Y228" s="5">
        <f t="shared" si="81"/>
        <v>0</v>
      </c>
      <c r="Z228" s="5">
        <f t="shared" si="82"/>
        <v>0</v>
      </c>
      <c r="AA228" s="5">
        <f t="shared" si="83"/>
        <v>0</v>
      </c>
      <c r="AB228" s="5">
        <f t="shared" si="84"/>
        <v>0</v>
      </c>
    </row>
    <row r="229" spans="4:29" x14ac:dyDescent="0.25">
      <c r="D229" t="s">
        <v>92</v>
      </c>
      <c r="E229" s="64"/>
      <c r="F229" s="64"/>
      <c r="G229">
        <f>IFERROR(HLOOKUP(G$2,[9]table_male_hkom1_inj.U2!$A$1:$K$36,24,FALSE),0)</f>
        <v>0</v>
      </c>
      <c r="H229">
        <f>IFERROR(HLOOKUP(H$2,[9]table_male_hkom1_inj.U2!$A$1:$K$36,24,FALSE),0)</f>
        <v>0</v>
      </c>
      <c r="I229">
        <f>IFERROR(HLOOKUP(I$2,[9]table_male_hkom1_inj.U2!$A$1:$K$36,24,FALSE),0)</f>
        <v>0</v>
      </c>
      <c r="J229">
        <f>IFERROR(HLOOKUP(J$2,[9]table_male_hkom1_inj.U2!$A$1:$K$36,24,FALSE),0)</f>
        <v>0</v>
      </c>
      <c r="K229">
        <f>IFERROR(HLOOKUP(K$2,[9]table_male_hkom1_inj.U2!$A$1:$K$36,24,FALSE),0)</f>
        <v>0</v>
      </c>
      <c r="L229">
        <f>IFERROR(HLOOKUP(L$2,[9]table_male_hkom1_inj.U2!$A$1:$K$36,24,FALSE),0)</f>
        <v>0</v>
      </c>
      <c r="M229">
        <f t="shared" si="74"/>
        <v>0</v>
      </c>
      <c r="S229" t="s">
        <v>92</v>
      </c>
      <c r="T229" s="5">
        <f t="shared" si="76"/>
        <v>0</v>
      </c>
      <c r="U229" s="5">
        <f t="shared" si="77"/>
        <v>0</v>
      </c>
      <c r="V229" s="5">
        <f t="shared" si="78"/>
        <v>0</v>
      </c>
      <c r="W229" s="5">
        <f t="shared" si="79"/>
        <v>0</v>
      </c>
      <c r="X229" s="5">
        <f t="shared" si="80"/>
        <v>0</v>
      </c>
      <c r="Y229" s="5">
        <f t="shared" si="81"/>
        <v>0</v>
      </c>
      <c r="Z229" s="5">
        <f t="shared" si="82"/>
        <v>0</v>
      </c>
      <c r="AA229" s="5">
        <f t="shared" si="83"/>
        <v>0</v>
      </c>
      <c r="AB229" s="5">
        <f t="shared" si="84"/>
        <v>0</v>
      </c>
    </row>
    <row r="230" spans="4:29" x14ac:dyDescent="0.25">
      <c r="D230" t="s">
        <v>93</v>
      </c>
      <c r="E230" s="64"/>
      <c r="F230" s="64"/>
      <c r="G230">
        <f>IFERROR(HLOOKUP(G$2,[9]table_male_hkom1_inj.U2!$A$1:$K$36,25,FALSE),0)</f>
        <v>0</v>
      </c>
      <c r="H230">
        <f>IFERROR(HLOOKUP(H$2,[9]table_male_hkom1_inj.U2!$A$1:$K$36,25,FALSE),0)</f>
        <v>0</v>
      </c>
      <c r="I230">
        <f>IFERROR(HLOOKUP(I$2,[9]table_male_hkom1_inj.U2!$A$1:$K$36,25,FALSE),0)</f>
        <v>0</v>
      </c>
      <c r="J230">
        <f>IFERROR(HLOOKUP(J$2,[9]table_male_hkom1_inj.U2!$A$1:$K$36,25,FALSE),0)</f>
        <v>0</v>
      </c>
      <c r="K230">
        <f>IFERROR(HLOOKUP(K$2,[9]table_male_hkom1_inj.U2!$A$1:$K$36,25,FALSE),0)</f>
        <v>0</v>
      </c>
      <c r="L230">
        <f>IFERROR(HLOOKUP(L$2,[9]table_male_hkom1_inj.U2!$A$1:$K$36,25,FALSE),0)</f>
        <v>0</v>
      </c>
      <c r="M230">
        <f t="shared" si="74"/>
        <v>0</v>
      </c>
      <c r="S230" t="s">
        <v>93</v>
      </c>
      <c r="T230" s="5">
        <f t="shared" si="76"/>
        <v>0</v>
      </c>
      <c r="U230" s="5">
        <f t="shared" si="77"/>
        <v>0</v>
      </c>
      <c r="V230" s="5">
        <f t="shared" si="78"/>
        <v>0</v>
      </c>
      <c r="W230" s="5">
        <f t="shared" si="79"/>
        <v>0</v>
      </c>
      <c r="X230" s="5">
        <f t="shared" si="80"/>
        <v>0</v>
      </c>
      <c r="Y230" s="5">
        <f t="shared" si="81"/>
        <v>0</v>
      </c>
      <c r="Z230" s="5">
        <f t="shared" si="82"/>
        <v>0</v>
      </c>
      <c r="AA230" s="5">
        <f t="shared" si="83"/>
        <v>0</v>
      </c>
      <c r="AB230" s="5">
        <f t="shared" si="84"/>
        <v>0</v>
      </c>
    </row>
    <row r="231" spans="4:29" x14ac:dyDescent="0.25">
      <c r="D231" t="s">
        <v>94</v>
      </c>
      <c r="E231" s="64"/>
      <c r="F231" s="64"/>
      <c r="G231">
        <f>IFERROR(HLOOKUP(G$2,[9]table_male_hkom1_inj.U2!$A$1:$K$36,26,FALSE),0)</f>
        <v>0</v>
      </c>
      <c r="H231">
        <f>IFERROR(HLOOKUP(H$2,[9]table_male_hkom1_inj.U2!$A$1:$K$36,26,FALSE),0)</f>
        <v>0</v>
      </c>
      <c r="I231">
        <f>IFERROR(HLOOKUP(I$2,[9]table_male_hkom1_inj.U2!$A$1:$K$36,26,FALSE),0)</f>
        <v>0</v>
      </c>
      <c r="J231">
        <f>IFERROR(HLOOKUP(J$2,[9]table_male_hkom1_inj.U2!$A$1:$K$36,26,FALSE),0)</f>
        <v>0</v>
      </c>
      <c r="K231">
        <f>IFERROR(HLOOKUP(K$2,[9]table_male_hkom1_inj.U2!$A$1:$K$36,26,FALSE),0)</f>
        <v>0</v>
      </c>
      <c r="L231">
        <f>IFERROR(HLOOKUP(L$2,[9]table_male_hkom1_inj.U2!$A$1:$K$36,26,FALSE),0)</f>
        <v>0</v>
      </c>
      <c r="M231">
        <f t="shared" si="74"/>
        <v>0</v>
      </c>
      <c r="S231" t="s">
        <v>94</v>
      </c>
      <c r="T231" s="5">
        <f t="shared" si="76"/>
        <v>0</v>
      </c>
      <c r="U231" s="5">
        <f t="shared" si="77"/>
        <v>0</v>
      </c>
      <c r="V231" s="5">
        <f t="shared" si="78"/>
        <v>0</v>
      </c>
      <c r="W231" s="5">
        <f t="shared" si="79"/>
        <v>0</v>
      </c>
      <c r="X231" s="5">
        <f t="shared" si="80"/>
        <v>0</v>
      </c>
      <c r="Y231" s="5">
        <f t="shared" si="81"/>
        <v>0</v>
      </c>
      <c r="Z231" s="5">
        <f t="shared" si="82"/>
        <v>0</v>
      </c>
      <c r="AA231" s="5">
        <f t="shared" si="83"/>
        <v>0</v>
      </c>
      <c r="AB231" s="5">
        <f t="shared" si="84"/>
        <v>0</v>
      </c>
    </row>
    <row r="232" spans="4:29" x14ac:dyDescent="0.25">
      <c r="D232" t="s">
        <v>95</v>
      </c>
      <c r="E232" s="64"/>
      <c r="F232" s="64"/>
      <c r="G232">
        <f>IFERROR(HLOOKUP(G$2,[9]table_male_hkom1_inj.U2!$A$1:$K$36,27,FALSE),0)</f>
        <v>0</v>
      </c>
      <c r="H232">
        <f>IFERROR(HLOOKUP(H$2,[9]table_male_hkom1_inj.U2!$A$1:$K$36,27,FALSE),0)</f>
        <v>0</v>
      </c>
      <c r="I232">
        <f>IFERROR(HLOOKUP(I$2,[9]table_male_hkom1_inj.U2!$A$1:$K$36,27,FALSE),0)</f>
        <v>0</v>
      </c>
      <c r="J232">
        <f>IFERROR(HLOOKUP(J$2,[9]table_male_hkom1_inj.U2!$A$1:$K$36,27,FALSE),0)</f>
        <v>0</v>
      </c>
      <c r="K232">
        <f>IFERROR(HLOOKUP(K$2,[9]table_male_hkom1_inj.U2!$A$1:$K$36,27,FALSE),0)</f>
        <v>0</v>
      </c>
      <c r="L232">
        <f>IFERROR(HLOOKUP(L$2,[9]table_male_hkom1_inj.U2!$A$1:$K$36,27,FALSE),0)</f>
        <v>0</v>
      </c>
      <c r="M232">
        <f t="shared" si="74"/>
        <v>0</v>
      </c>
      <c r="S232" t="s">
        <v>95</v>
      </c>
      <c r="T232" s="5">
        <f t="shared" si="76"/>
        <v>0</v>
      </c>
      <c r="U232" s="5">
        <f t="shared" si="77"/>
        <v>0</v>
      </c>
      <c r="V232" s="5">
        <f t="shared" si="78"/>
        <v>0</v>
      </c>
      <c r="W232" s="5">
        <f t="shared" si="79"/>
        <v>0</v>
      </c>
      <c r="X232" s="5">
        <f t="shared" si="80"/>
        <v>0</v>
      </c>
      <c r="Y232" s="5">
        <f t="shared" si="81"/>
        <v>0</v>
      </c>
      <c r="Z232" s="5">
        <f t="shared" si="82"/>
        <v>0</v>
      </c>
      <c r="AA232" s="5">
        <f t="shared" si="83"/>
        <v>0</v>
      </c>
      <c r="AB232" s="5">
        <f t="shared" si="84"/>
        <v>0</v>
      </c>
    </row>
    <row r="233" spans="4:29" x14ac:dyDescent="0.25">
      <c r="D233" t="s">
        <v>96</v>
      </c>
      <c r="E233" s="64"/>
      <c r="F233" s="64"/>
      <c r="G233">
        <f>IFERROR(HLOOKUP(G$2,[9]table_male_hkom1_inj.U2!$A$1:$K$36,28,FALSE),0)</f>
        <v>0</v>
      </c>
      <c r="H233">
        <f>IFERROR(HLOOKUP(H$2,[9]table_male_hkom1_inj.U2!$A$1:$K$36,28,FALSE),0)</f>
        <v>0</v>
      </c>
      <c r="I233">
        <f>IFERROR(HLOOKUP(I$2,[9]table_male_hkom1_inj.U2!$A$1:$K$36,28,FALSE),0)</f>
        <v>0</v>
      </c>
      <c r="J233">
        <f>IFERROR(HLOOKUP(J$2,[9]table_male_hkom1_inj.U2!$A$1:$K$36,28,FALSE),0)</f>
        <v>0</v>
      </c>
      <c r="K233">
        <f>IFERROR(HLOOKUP(K$2,[9]table_male_hkom1_inj.U2!$A$1:$K$36,28,FALSE),0)</f>
        <v>0</v>
      </c>
      <c r="L233">
        <f>IFERROR(HLOOKUP(L$2,[9]table_male_hkom1_inj.U2!$A$1:$K$36,28,FALSE),0)</f>
        <v>0</v>
      </c>
      <c r="M233">
        <f t="shared" si="74"/>
        <v>0</v>
      </c>
      <c r="S233" t="s">
        <v>96</v>
      </c>
      <c r="T233" s="5">
        <f t="shared" si="76"/>
        <v>0</v>
      </c>
      <c r="U233" s="5">
        <f t="shared" si="77"/>
        <v>0</v>
      </c>
      <c r="V233" s="5">
        <f t="shared" si="78"/>
        <v>0</v>
      </c>
      <c r="W233" s="5">
        <f t="shared" si="79"/>
        <v>0</v>
      </c>
      <c r="X233" s="5">
        <f t="shared" si="80"/>
        <v>0</v>
      </c>
      <c r="Y233" s="5">
        <f t="shared" si="81"/>
        <v>0</v>
      </c>
      <c r="Z233" s="5">
        <f t="shared" si="82"/>
        <v>0</v>
      </c>
      <c r="AA233" s="5">
        <f t="shared" si="83"/>
        <v>0</v>
      </c>
      <c r="AB233" s="5">
        <f t="shared" si="84"/>
        <v>0</v>
      </c>
    </row>
    <row r="234" spans="4:29" x14ac:dyDescent="0.25">
      <c r="D234" t="s">
        <v>97</v>
      </c>
      <c r="E234" s="64"/>
      <c r="F234" s="64"/>
      <c r="G234">
        <f>IFERROR(HLOOKUP(G$2,[9]table_male_hkom1_inj.U2!$A$1:$K$36,29,FALSE),0)</f>
        <v>1</v>
      </c>
      <c r="H234">
        <f>IFERROR(HLOOKUP(H$2,[9]table_male_hkom1_inj.U2!$A$1:$K$36,29,FALSE),0)</f>
        <v>1</v>
      </c>
      <c r="I234">
        <f>IFERROR(HLOOKUP(I$2,[9]table_male_hkom1_inj.U2!$A$1:$K$36,29,FALSE),0)</f>
        <v>0</v>
      </c>
      <c r="J234">
        <f>IFERROR(HLOOKUP(J$2,[9]table_male_hkom1_inj.U2!$A$1:$K$36,29,FALSE),0)</f>
        <v>0</v>
      </c>
      <c r="K234">
        <f>IFERROR(HLOOKUP(K$2,[9]table_male_hkom1_inj.U2!$A$1:$K$36,29,FALSE),0)</f>
        <v>0</v>
      </c>
      <c r="L234">
        <f>IFERROR(HLOOKUP(L$2,[9]table_male_hkom1_inj.U2!$A$1:$K$36,29,FALSE),0)</f>
        <v>0</v>
      </c>
      <c r="M234">
        <f t="shared" si="74"/>
        <v>2</v>
      </c>
      <c r="S234" t="s">
        <v>97</v>
      </c>
      <c r="T234" s="5">
        <f t="shared" si="76"/>
        <v>0</v>
      </c>
      <c r="U234" s="5">
        <f t="shared" si="77"/>
        <v>0</v>
      </c>
      <c r="V234" s="5">
        <f t="shared" si="78"/>
        <v>2.0277777777777777</v>
      </c>
      <c r="W234" s="5">
        <f t="shared" si="79"/>
        <v>1.8660714285714284</v>
      </c>
      <c r="X234" s="5">
        <f t="shared" si="80"/>
        <v>0</v>
      </c>
      <c r="Y234" s="5">
        <f t="shared" si="81"/>
        <v>0</v>
      </c>
      <c r="Z234" s="5">
        <f t="shared" si="82"/>
        <v>0</v>
      </c>
      <c r="AA234" s="5">
        <f t="shared" si="83"/>
        <v>0</v>
      </c>
      <c r="AB234" s="5">
        <f t="shared" si="84"/>
        <v>3.8938492063492061</v>
      </c>
    </row>
    <row r="235" spans="4:29" x14ac:dyDescent="0.25">
      <c r="D235" t="s">
        <v>119</v>
      </c>
      <c r="E235" s="64"/>
      <c r="F235" s="64"/>
      <c r="G235">
        <f>IFERROR(HLOOKUP(G$2,[9]table_male_hkom1_inj.U2!$A$1:$K$36,30,FALSE),0)</f>
        <v>0</v>
      </c>
      <c r="H235">
        <f>IFERROR(HLOOKUP(H$2,[9]table_male_hkom1_inj.U2!$A$1:$K$36,30,FALSE),0)</f>
        <v>2</v>
      </c>
      <c r="I235">
        <f>IFERROR(HLOOKUP(I$2,[9]table_male_hkom1_inj.U2!$A$1:$K$36,30,FALSE),0)</f>
        <v>1</v>
      </c>
      <c r="J235">
        <f>IFERROR(HLOOKUP(J$2,[9]table_male_hkom1_inj.U2!$A$1:$K$36,30,FALSE),0)</f>
        <v>0</v>
      </c>
      <c r="K235">
        <f>IFERROR(HLOOKUP(K$2,[9]table_male_hkom1_inj.U2!$A$1:$K$36,30,FALSE),0)</f>
        <v>0</v>
      </c>
      <c r="L235">
        <f>IFERROR(HLOOKUP(L$2,[9]table_male_hkom1_inj.U2!$A$1:$K$36,30,FALSE),0)</f>
        <v>0</v>
      </c>
      <c r="M235">
        <f t="shared" si="74"/>
        <v>3</v>
      </c>
      <c r="S235" t="s">
        <v>119</v>
      </c>
      <c r="T235" s="5">
        <f t="shared" si="76"/>
        <v>0</v>
      </c>
      <c r="U235" s="5">
        <f t="shared" si="77"/>
        <v>0</v>
      </c>
      <c r="V235" s="5">
        <f t="shared" si="78"/>
        <v>0</v>
      </c>
      <c r="W235" s="5">
        <f t="shared" si="79"/>
        <v>3.7321428571428568</v>
      </c>
      <c r="X235" s="5">
        <f t="shared" si="80"/>
        <v>1.5538461538461539</v>
      </c>
      <c r="Y235" s="5">
        <f t="shared" si="81"/>
        <v>0</v>
      </c>
      <c r="Z235" s="5">
        <f t="shared" si="82"/>
        <v>0</v>
      </c>
      <c r="AA235" s="5">
        <f t="shared" si="83"/>
        <v>0</v>
      </c>
      <c r="AB235" s="5">
        <f t="shared" si="84"/>
        <v>5.2859890109890104</v>
      </c>
    </row>
    <row r="236" spans="4:29" x14ac:dyDescent="0.25">
      <c r="D236" t="s">
        <v>98</v>
      </c>
      <c r="E236" s="64"/>
      <c r="F236" s="64"/>
      <c r="G236">
        <f>IFERROR(HLOOKUP(G$2,[9]table_male_hkom1_inj.U2!$A$1:$K$36,31,FALSE),0)</f>
        <v>0</v>
      </c>
      <c r="H236">
        <f>IFERROR(HLOOKUP(H$2,[9]table_male_hkom1_inj.U2!$A$1:$K$36,31,FALSE),0)</f>
        <v>0</v>
      </c>
      <c r="I236">
        <f>IFERROR(HLOOKUP(I$2,[9]table_male_hkom1_inj.U2!$A$1:$K$36,31,FALSE),0)</f>
        <v>0</v>
      </c>
      <c r="J236">
        <f>IFERROR(HLOOKUP(J$2,[9]table_male_hkom1_inj.U2!$A$1:$K$36,31,FALSE),0)</f>
        <v>0</v>
      </c>
      <c r="K236">
        <f>IFERROR(HLOOKUP(K$2,[9]table_male_hkom1_inj.U2!$A$1:$K$36,31,FALSE),0)</f>
        <v>0</v>
      </c>
      <c r="L236">
        <f>IFERROR(HLOOKUP(L$2,[9]table_male_hkom1_inj.U2!$A$1:$K$36,31,FALSE),0)</f>
        <v>0</v>
      </c>
      <c r="M236">
        <f t="shared" si="74"/>
        <v>0</v>
      </c>
      <c r="S236" t="s">
        <v>98</v>
      </c>
      <c r="T236" s="5">
        <f t="shared" si="76"/>
        <v>0</v>
      </c>
      <c r="U236" s="5">
        <f t="shared" si="77"/>
        <v>0</v>
      </c>
      <c r="V236" s="5">
        <f t="shared" si="78"/>
        <v>0</v>
      </c>
      <c r="W236" s="5">
        <f t="shared" si="79"/>
        <v>0</v>
      </c>
      <c r="X236" s="5">
        <f t="shared" si="80"/>
        <v>0</v>
      </c>
      <c r="Y236" s="5">
        <f t="shared" si="81"/>
        <v>0</v>
      </c>
      <c r="Z236" s="5">
        <f t="shared" si="82"/>
        <v>0</v>
      </c>
      <c r="AA236" s="5">
        <f t="shared" si="83"/>
        <v>0</v>
      </c>
      <c r="AB236" s="5">
        <f t="shared" si="84"/>
        <v>0</v>
      </c>
    </row>
    <row r="237" spans="4:29" x14ac:dyDescent="0.25">
      <c r="D237" t="s">
        <v>99</v>
      </c>
      <c r="E237" s="64"/>
      <c r="F237" s="64"/>
      <c r="G237">
        <f>IFERROR(HLOOKUP(G$2,[9]table_male_hkom1_inj.U2!$A$1:$K$36,32,FALSE),0)</f>
        <v>0</v>
      </c>
      <c r="H237">
        <f>IFERROR(HLOOKUP(H$2,[9]table_male_hkom1_inj.U2!$A$1:$K$36,32,FALSE),0)</f>
        <v>0</v>
      </c>
      <c r="I237">
        <f>IFERROR(HLOOKUP(I$2,[9]table_male_hkom1_inj.U2!$A$1:$K$36,32,FALSE),0)</f>
        <v>0</v>
      </c>
      <c r="J237">
        <f>IFERROR(HLOOKUP(J$2,[9]table_male_hkom1_inj.U2!$A$1:$K$36,32,FALSE),0)</f>
        <v>0</v>
      </c>
      <c r="K237">
        <f>IFERROR(HLOOKUP(K$2,[9]table_male_hkom1_inj.U2!$A$1:$K$36,32,FALSE),0)</f>
        <v>0</v>
      </c>
      <c r="L237">
        <f>IFERROR(HLOOKUP(L$2,[9]table_male_hkom1_inj.U2!$A$1:$K$36,32,FALSE),0)</f>
        <v>0</v>
      </c>
      <c r="M237">
        <f t="shared" si="74"/>
        <v>0</v>
      </c>
      <c r="S237" t="s">
        <v>99</v>
      </c>
      <c r="T237" s="5">
        <f t="shared" si="76"/>
        <v>0</v>
      </c>
      <c r="U237" s="5">
        <f t="shared" si="77"/>
        <v>0</v>
      </c>
      <c r="V237" s="5">
        <f t="shared" si="78"/>
        <v>0</v>
      </c>
      <c r="W237" s="5">
        <f t="shared" si="79"/>
        <v>0</v>
      </c>
      <c r="X237" s="5">
        <f t="shared" si="80"/>
        <v>0</v>
      </c>
      <c r="Y237" s="5">
        <f t="shared" si="81"/>
        <v>0</v>
      </c>
      <c r="Z237" s="5">
        <f t="shared" si="82"/>
        <v>0</v>
      </c>
      <c r="AA237" s="5">
        <f t="shared" si="83"/>
        <v>0</v>
      </c>
      <c r="AB237" s="5">
        <f t="shared" si="84"/>
        <v>0</v>
      </c>
    </row>
    <row r="238" spans="4:29" x14ac:dyDescent="0.25">
      <c r="D238" t="s">
        <v>100</v>
      </c>
      <c r="E238" s="64"/>
      <c r="F238" s="64"/>
      <c r="G238">
        <f>IFERROR(HLOOKUP(G$2,[9]table_male_hkom1_inj.U2!$A$1:$K$36,33,FALSE),0)</f>
        <v>64</v>
      </c>
      <c r="H238">
        <f>IFERROR(HLOOKUP(H$2,[9]table_male_hkom1_inj.U2!$A$1:$K$36,33,FALSE),0)</f>
        <v>102</v>
      </c>
      <c r="I238">
        <f>IFERROR(HLOOKUP(I$2,[9]table_male_hkom1_inj.U2!$A$1:$K$36,33,FALSE),0)</f>
        <v>58</v>
      </c>
      <c r="J238">
        <f>IFERROR(HLOOKUP(J$2,[9]table_male_hkom1_inj.U2!$A$1:$K$36,33,FALSE),0)</f>
        <v>5</v>
      </c>
      <c r="K238">
        <f>IFERROR(HLOOKUP(K$2,[9]table_male_hkom1_inj.U2!$A$1:$K$36,33,FALSE),0)</f>
        <v>0</v>
      </c>
      <c r="L238">
        <f>IFERROR(HLOOKUP(L$2,[9]table_male_hkom1_inj.U2!$A$1:$K$36,33,FALSE),0)</f>
        <v>0</v>
      </c>
      <c r="M238">
        <f t="shared" si="74"/>
        <v>229</v>
      </c>
      <c r="S238" t="s">
        <v>100</v>
      </c>
      <c r="T238" s="5">
        <f t="shared" si="76"/>
        <v>0</v>
      </c>
      <c r="U238" s="5">
        <f t="shared" si="77"/>
        <v>0</v>
      </c>
      <c r="V238" s="5">
        <f t="shared" si="78"/>
        <v>129.77777777777777</v>
      </c>
      <c r="W238" s="5">
        <f t="shared" si="79"/>
        <v>190.33928571428572</v>
      </c>
      <c r="X238" s="5">
        <f t="shared" si="80"/>
        <v>90.123076923076923</v>
      </c>
      <c r="Y238" s="5">
        <f t="shared" si="81"/>
        <v>7</v>
      </c>
      <c r="Z238" s="5">
        <f t="shared" si="82"/>
        <v>0</v>
      </c>
      <c r="AA238" s="5">
        <f t="shared" si="83"/>
        <v>0</v>
      </c>
      <c r="AB238" s="5">
        <f t="shared" si="84"/>
        <v>417.24014041514044</v>
      </c>
    </row>
    <row r="239" spans="4:29" x14ac:dyDescent="0.25">
      <c r="D239" t="s">
        <v>101</v>
      </c>
      <c r="E239" s="64"/>
      <c r="F239" s="64"/>
      <c r="G239">
        <f>IFERROR(HLOOKUP(G$2,[9]table_male_hkom1_inj.U2!$A$1:$K$36,34,FALSE),0)</f>
        <v>2</v>
      </c>
      <c r="H239">
        <f>IFERROR(HLOOKUP(H$2,[9]table_male_hkom1_inj.U2!$A$1:$K$36,34,FALSE),0)</f>
        <v>0</v>
      </c>
      <c r="I239">
        <f>IFERROR(HLOOKUP(I$2,[9]table_male_hkom1_inj.U2!$A$1:$K$36,34,FALSE),0)</f>
        <v>0</v>
      </c>
      <c r="J239">
        <f>IFERROR(HLOOKUP(J$2,[9]table_male_hkom1_inj.U2!$A$1:$K$36,34,FALSE),0)</f>
        <v>0</v>
      </c>
      <c r="K239">
        <f>IFERROR(HLOOKUP(K$2,[9]table_male_hkom1_inj.U2!$A$1:$K$36,34,FALSE),0)</f>
        <v>0</v>
      </c>
      <c r="L239">
        <f>IFERROR(HLOOKUP(L$2,[9]table_male_hkom1_inj.U2!$A$1:$K$36,34,FALSE),0)</f>
        <v>0</v>
      </c>
      <c r="M239">
        <f t="shared" si="74"/>
        <v>2</v>
      </c>
      <c r="S239" t="s">
        <v>101</v>
      </c>
      <c r="T239" s="5">
        <f t="shared" si="76"/>
        <v>0</v>
      </c>
      <c r="U239" s="5">
        <f t="shared" si="77"/>
        <v>0</v>
      </c>
      <c r="V239" s="5">
        <f t="shared" si="78"/>
        <v>4.0555555555555554</v>
      </c>
      <c r="W239" s="5">
        <f t="shared" si="79"/>
        <v>0</v>
      </c>
      <c r="X239" s="5">
        <f t="shared" si="80"/>
        <v>0</v>
      </c>
      <c r="Y239" s="5">
        <f t="shared" si="81"/>
        <v>0</v>
      </c>
      <c r="Z239" s="5">
        <f t="shared" si="82"/>
        <v>0</v>
      </c>
      <c r="AA239" s="5">
        <f t="shared" si="83"/>
        <v>0</v>
      </c>
      <c r="AB239" s="5">
        <f t="shared" si="84"/>
        <v>4.0555555555555554</v>
      </c>
    </row>
    <row r="240" spans="4:29" x14ac:dyDescent="0.25">
      <c r="D240" t="s">
        <v>102</v>
      </c>
      <c r="E240" s="64"/>
      <c r="F240" s="64"/>
      <c r="G240">
        <f>IFERROR(HLOOKUP(G$2,[9]table_male_hkom1_inj.U2!$A$1:$K$36,35,FALSE),0)</f>
        <v>74</v>
      </c>
      <c r="H240">
        <f>IFERROR(HLOOKUP(H$2,[9]table_male_hkom1_inj.U2!$A$1:$K$36,35,FALSE),0)</f>
        <v>97</v>
      </c>
      <c r="I240">
        <f>IFERROR(HLOOKUP(I$2,[9]table_male_hkom1_inj.U2!$A$1:$K$36,35,FALSE),0)</f>
        <v>36</v>
      </c>
      <c r="J240">
        <f>IFERROR(HLOOKUP(J$2,[9]table_male_hkom1_inj.U2!$A$1:$K$36,35,FALSE),0)</f>
        <v>2</v>
      </c>
      <c r="K240">
        <f>IFERROR(HLOOKUP(K$2,[9]table_male_hkom1_inj.U2!$A$1:$K$36,35,FALSE),0)</f>
        <v>0</v>
      </c>
      <c r="L240">
        <f>IFERROR(HLOOKUP(L$2,[9]table_male_hkom1_inj.U2!$A$1:$K$36,35,FALSE),0)</f>
        <v>0</v>
      </c>
      <c r="M240">
        <f t="shared" si="74"/>
        <v>209</v>
      </c>
      <c r="N240">
        <f>SUM(M207:M240)</f>
        <v>463</v>
      </c>
      <c r="O240" s="8">
        <f>SUM([9]table_male_hkom1_inj.U2!$B$2:$L$37)</f>
        <v>463</v>
      </c>
      <c r="S240" t="s">
        <v>102</v>
      </c>
      <c r="T240" s="7"/>
      <c r="U240" s="7"/>
      <c r="V240" s="7"/>
      <c r="W240" s="7"/>
      <c r="X240" s="7"/>
      <c r="Y240" s="7"/>
      <c r="Z240" s="7"/>
      <c r="AA240" s="7"/>
      <c r="AB240" s="7"/>
      <c r="AC240" s="5">
        <f>SUM(AB207:AB239)</f>
        <v>463</v>
      </c>
    </row>
    <row r="241" spans="1:28" x14ac:dyDescent="0.25">
      <c r="A241" t="s">
        <v>104</v>
      </c>
      <c r="B241" t="s">
        <v>103</v>
      </c>
      <c r="C241" t="s">
        <v>111</v>
      </c>
      <c r="D241" t="s">
        <v>70</v>
      </c>
      <c r="E241" s="64"/>
      <c r="F241" s="64"/>
      <c r="G241">
        <f>IFERROR(HLOOKUP(G$2,[10]table_male_hkom1_inj.U3!$A$1:$K$36,2,FALSE),0)</f>
        <v>1</v>
      </c>
      <c r="H241">
        <f>IFERROR(HLOOKUP(H$2,[10]table_male_hkom1_inj.U3!$A$1:$K$36,2,FALSE),0)</f>
        <v>11</v>
      </c>
      <c r="I241">
        <f>IFERROR(HLOOKUP(I$2,[10]table_male_hkom1_inj.U3!$A$1:$K$36,2,FALSE),0)</f>
        <v>6</v>
      </c>
      <c r="J241">
        <f>IFERROR(HLOOKUP(J$2,[10]table_male_hkom1_inj.U3!$A$1:$K$36,2,FALSE),0)</f>
        <v>0</v>
      </c>
      <c r="K241">
        <f>IFERROR(HLOOKUP(K$2,[10]table_male_hkom1_inj.U3!$A$1:$K$36,2,FALSE),0)</f>
        <v>0</v>
      </c>
      <c r="L241">
        <f>IFERROR(HLOOKUP(L$2,[10]table_male_hkom1_inj.U3!$A$1:$K$36,2,FALSE),0)</f>
        <v>0</v>
      </c>
      <c r="M241">
        <f t="shared" si="74"/>
        <v>18</v>
      </c>
      <c r="P241" t="s">
        <v>104</v>
      </c>
      <c r="Q241" t="s">
        <v>103</v>
      </c>
      <c r="R241" t="s">
        <v>111</v>
      </c>
      <c r="S241" t="s">
        <v>70</v>
      </c>
      <c r="T241" s="5">
        <f>IF(SUM(E$241:E$273)=0,E$274/33,E241+IFERROR(E241/SUM(E$241:E$273)*E$274,0))</f>
        <v>0</v>
      </c>
      <c r="U241" s="5">
        <f t="shared" ref="U241:AA241" si="85">IF(SUM(F$241:F$273)=0,F$274/33,F241+IFERROR(F241/SUM(F$241:F$273)*F$274,0))</f>
        <v>0</v>
      </c>
      <c r="V241" s="5">
        <f t="shared" si="85"/>
        <v>1.1073345259391771</v>
      </c>
      <c r="W241" s="5">
        <f t="shared" si="85"/>
        <v>12.380677126341865</v>
      </c>
      <c r="X241" s="5">
        <f t="shared" si="85"/>
        <v>6.5751479289940828</v>
      </c>
      <c r="Y241" s="5">
        <f t="shared" si="85"/>
        <v>0</v>
      </c>
      <c r="Z241" s="5">
        <f t="shared" si="85"/>
        <v>0</v>
      </c>
      <c r="AA241" s="5">
        <f t="shared" si="85"/>
        <v>0</v>
      </c>
      <c r="AB241" s="5">
        <f t="shared" si="84"/>
        <v>20.063159581275123</v>
      </c>
    </row>
    <row r="242" spans="1:28" x14ac:dyDescent="0.25">
      <c r="D242" t="s">
        <v>71</v>
      </c>
      <c r="E242" s="64"/>
      <c r="F242" s="64"/>
      <c r="G242">
        <f>IFERROR(HLOOKUP(G$2,[10]table_male_hkom1_inj.U3!$A$1:$K$36,3,FALSE),0)</f>
        <v>19</v>
      </c>
      <c r="H242">
        <f>IFERROR(HLOOKUP(H$2,[10]table_male_hkom1_inj.U3!$A$1:$K$36,3,FALSE),0)</f>
        <v>41</v>
      </c>
      <c r="I242">
        <f>IFERROR(HLOOKUP(I$2,[10]table_male_hkom1_inj.U3!$A$1:$K$36,3,FALSE),0)</f>
        <v>11</v>
      </c>
      <c r="J242">
        <f>IFERROR(HLOOKUP(J$2,[10]table_male_hkom1_inj.U3!$A$1:$K$36,3,FALSE),0)</f>
        <v>2</v>
      </c>
      <c r="K242">
        <f>IFERROR(HLOOKUP(K$2,[10]table_male_hkom1_inj.U3!$A$1:$K$36,3,FALSE),0)</f>
        <v>0</v>
      </c>
      <c r="L242">
        <f>IFERROR(HLOOKUP(L$2,[10]table_male_hkom1_inj.U3!$A$1:$K$36,3,FALSE),0)</f>
        <v>0</v>
      </c>
      <c r="M242">
        <f t="shared" si="74"/>
        <v>73</v>
      </c>
      <c r="S242" t="s">
        <v>71</v>
      </c>
      <c r="T242" s="5">
        <f t="shared" ref="T242:T273" si="86">IF(SUM(E$241:E$273)=0,E$274/33,E242+IFERROR(E242/SUM(E$241:E$273)*E$274,0))</f>
        <v>0</v>
      </c>
      <c r="U242" s="5">
        <f t="shared" ref="U242:U273" si="87">IF(SUM(F$241:F$273)=0,F$274/33,F242+IFERROR(F242/SUM(F$241:F$273)*F$274,0))</f>
        <v>0</v>
      </c>
      <c r="V242" s="5">
        <f t="shared" ref="V242:V273" si="88">IF(SUM(G$241:G$273)=0,G$274/33,G242+IFERROR(G242/SUM(G$241:G$273)*G$274,0))</f>
        <v>21.039355992844364</v>
      </c>
      <c r="W242" s="5">
        <f t="shared" ref="W242:W273" si="89">IF(SUM(H$241:H$273)=0,H$274/33,H242+IFERROR(H242/SUM(H$241:H$273)*H$274,0))</f>
        <v>46.146160198183317</v>
      </c>
      <c r="X242" s="5">
        <f t="shared" ref="X242:X273" si="90">IF(SUM(I$241:I$273)=0,I$274/33,I242+IFERROR(I242/SUM(I$241:I$273)*I$274,0))</f>
        <v>12.054437869822486</v>
      </c>
      <c r="Y242" s="5">
        <f t="shared" ref="Y242:Y273" si="91">IF(SUM(J$241:J$273)=0,J$274/33,J242+IFERROR(J242/SUM(J$241:J$273)*J$274,0))</f>
        <v>2.2888888888888888</v>
      </c>
      <c r="Z242" s="5">
        <f t="shared" ref="Z242:Z273" si="92">IF(SUM(K$241:K$273)=0,K$274/33,K242+IFERROR(K242/SUM(K$241:K$273)*K$274,0))</f>
        <v>0</v>
      </c>
      <c r="AA242" s="5">
        <f t="shared" ref="AA242:AA273" si="93">IF(SUM(L$241:L$273)=0,L$274/33,L242+IFERROR(L242/SUM(L$241:L$273)*L$274,0))</f>
        <v>0</v>
      </c>
      <c r="AB242" s="5">
        <f t="shared" ref="AB242:AB273" si="94">SUM(T242:AA242)</f>
        <v>81.528842949739072</v>
      </c>
    </row>
    <row r="243" spans="1:28" x14ac:dyDescent="0.25">
      <c r="D243" t="s">
        <v>72</v>
      </c>
      <c r="E243" s="64"/>
      <c r="F243" s="64"/>
      <c r="G243">
        <f>IFERROR(HLOOKUP(G$2,[10]table_male_hkom1_inj.U3!$A$1:$K$36,4,FALSE),0)</f>
        <v>29</v>
      </c>
      <c r="H243">
        <f>IFERROR(HLOOKUP(H$2,[10]table_male_hkom1_inj.U3!$A$1:$K$36,4,FALSE),0)</f>
        <v>67</v>
      </c>
      <c r="I243">
        <f>IFERROR(HLOOKUP(I$2,[10]table_male_hkom1_inj.U3!$A$1:$K$36,4,FALSE),0)</f>
        <v>72</v>
      </c>
      <c r="J243">
        <f>IFERROR(HLOOKUP(J$2,[10]table_male_hkom1_inj.U3!$A$1:$K$36,4,FALSE),0)</f>
        <v>5</v>
      </c>
      <c r="K243">
        <f>IFERROR(HLOOKUP(K$2,[10]table_male_hkom1_inj.U3!$A$1:$K$36,4,FALSE),0)</f>
        <v>0</v>
      </c>
      <c r="L243">
        <f>IFERROR(HLOOKUP(L$2,[10]table_male_hkom1_inj.U3!$A$1:$K$36,4,FALSE),0)</f>
        <v>0</v>
      </c>
      <c r="M243">
        <f t="shared" si="74"/>
        <v>173</v>
      </c>
      <c r="S243" t="s">
        <v>72</v>
      </c>
      <c r="T243" s="5">
        <f t="shared" si="86"/>
        <v>0</v>
      </c>
      <c r="U243" s="5">
        <f t="shared" si="87"/>
        <v>0</v>
      </c>
      <c r="V243" s="5">
        <f t="shared" si="88"/>
        <v>32.112701252236135</v>
      </c>
      <c r="W243" s="5">
        <f t="shared" si="89"/>
        <v>75.409578860445919</v>
      </c>
      <c r="X243" s="5">
        <f t="shared" si="90"/>
        <v>78.901775147928987</v>
      </c>
      <c r="Y243" s="5">
        <f t="shared" si="91"/>
        <v>5.7222222222222223</v>
      </c>
      <c r="Z243" s="5">
        <f t="shared" si="92"/>
        <v>0</v>
      </c>
      <c r="AA243" s="5">
        <f t="shared" si="93"/>
        <v>0</v>
      </c>
      <c r="AB243" s="5">
        <f t="shared" si="94"/>
        <v>192.14627748283328</v>
      </c>
    </row>
    <row r="244" spans="1:28" x14ac:dyDescent="0.25">
      <c r="D244" t="s">
        <v>73</v>
      </c>
      <c r="E244" s="64"/>
      <c r="F244" s="64"/>
      <c r="G244">
        <f>IFERROR(HLOOKUP(G$2,[10]table_male_hkom1_inj.U3!$A$1:$K$36,5,FALSE),0)</f>
        <v>5</v>
      </c>
      <c r="H244">
        <f>IFERROR(HLOOKUP(H$2,[10]table_male_hkom1_inj.U3!$A$1:$K$36,5,FALSE),0)</f>
        <v>12</v>
      </c>
      <c r="I244">
        <f>IFERROR(HLOOKUP(I$2,[10]table_male_hkom1_inj.U3!$A$1:$K$36,5,FALSE),0)</f>
        <v>11</v>
      </c>
      <c r="J244">
        <f>IFERROR(HLOOKUP(J$2,[10]table_male_hkom1_inj.U3!$A$1:$K$36,5,FALSE),0)</f>
        <v>0</v>
      </c>
      <c r="K244">
        <f>IFERROR(HLOOKUP(K$2,[10]table_male_hkom1_inj.U3!$A$1:$K$36,5,FALSE),0)</f>
        <v>0</v>
      </c>
      <c r="L244">
        <f>IFERROR(HLOOKUP(L$2,[10]table_male_hkom1_inj.U3!$A$1:$K$36,5,FALSE),0)</f>
        <v>0</v>
      </c>
      <c r="M244">
        <f t="shared" si="74"/>
        <v>28</v>
      </c>
      <c r="S244" t="s">
        <v>73</v>
      </c>
      <c r="T244" s="5">
        <f t="shared" si="86"/>
        <v>0</v>
      </c>
      <c r="U244" s="5">
        <f t="shared" si="87"/>
        <v>0</v>
      </c>
      <c r="V244" s="5">
        <f t="shared" si="88"/>
        <v>5.5366726296958859</v>
      </c>
      <c r="W244" s="5">
        <f t="shared" si="89"/>
        <v>13.506193228736581</v>
      </c>
      <c r="X244" s="5">
        <f t="shared" si="90"/>
        <v>12.054437869822486</v>
      </c>
      <c r="Y244" s="5">
        <f t="shared" si="91"/>
        <v>0</v>
      </c>
      <c r="Z244" s="5">
        <f t="shared" si="92"/>
        <v>0</v>
      </c>
      <c r="AA244" s="5">
        <f t="shared" si="93"/>
        <v>0</v>
      </c>
      <c r="AB244" s="5">
        <f t="shared" si="94"/>
        <v>31.097303728254953</v>
      </c>
    </row>
    <row r="245" spans="1:28" x14ac:dyDescent="0.25">
      <c r="D245" t="s">
        <v>74</v>
      </c>
      <c r="E245" s="64"/>
      <c r="F245" s="64"/>
      <c r="G245">
        <f>IFERROR(HLOOKUP(G$2,[10]table_male_hkom1_inj.U3!$A$1:$K$36,6,FALSE),0)</f>
        <v>7</v>
      </c>
      <c r="H245">
        <f>IFERROR(HLOOKUP(H$2,[10]table_male_hkom1_inj.U3!$A$1:$K$36,6,FALSE),0)</f>
        <v>41</v>
      </c>
      <c r="I245">
        <f>IFERROR(HLOOKUP(I$2,[10]table_male_hkom1_inj.U3!$A$1:$K$36,6,FALSE),0)</f>
        <v>59</v>
      </c>
      <c r="J245">
        <f>IFERROR(HLOOKUP(J$2,[10]table_male_hkom1_inj.U3!$A$1:$K$36,6,FALSE),0)</f>
        <v>12</v>
      </c>
      <c r="K245">
        <f>IFERROR(HLOOKUP(K$2,[10]table_male_hkom1_inj.U3!$A$1:$K$36,6,FALSE),0)</f>
        <v>2</v>
      </c>
      <c r="L245">
        <f>IFERROR(HLOOKUP(L$2,[10]table_male_hkom1_inj.U3!$A$1:$K$36,6,FALSE),0)</f>
        <v>0</v>
      </c>
      <c r="M245">
        <f t="shared" si="74"/>
        <v>121</v>
      </c>
      <c r="S245" t="s">
        <v>74</v>
      </c>
      <c r="T245" s="5">
        <f t="shared" si="86"/>
        <v>0</v>
      </c>
      <c r="U245" s="5">
        <f t="shared" si="87"/>
        <v>0</v>
      </c>
      <c r="V245" s="5">
        <f t="shared" si="88"/>
        <v>7.7513416815742398</v>
      </c>
      <c r="W245" s="5">
        <f t="shared" si="89"/>
        <v>46.146160198183317</v>
      </c>
      <c r="X245" s="5">
        <f t="shared" si="90"/>
        <v>64.655621301775142</v>
      </c>
      <c r="Y245" s="5">
        <f t="shared" si="91"/>
        <v>13.733333333333334</v>
      </c>
      <c r="Z245" s="5">
        <f t="shared" si="92"/>
        <v>2</v>
      </c>
      <c r="AA245" s="5">
        <f t="shared" si="93"/>
        <v>0</v>
      </c>
      <c r="AB245" s="5">
        <f t="shared" si="94"/>
        <v>134.28645651486602</v>
      </c>
    </row>
    <row r="246" spans="1:28" x14ac:dyDescent="0.25">
      <c r="D246" t="s">
        <v>75</v>
      </c>
      <c r="E246" s="64"/>
      <c r="F246" s="64"/>
      <c r="G246">
        <f>IFERROR(HLOOKUP(G$2,[10]table_male_hkom1_inj.U3!$A$1:$K$36,7,FALSE),0)</f>
        <v>1</v>
      </c>
      <c r="H246">
        <f>IFERROR(HLOOKUP(H$2,[10]table_male_hkom1_inj.U3!$A$1:$K$36,7,FALSE),0)</f>
        <v>14</v>
      </c>
      <c r="I246">
        <f>IFERROR(HLOOKUP(I$2,[10]table_male_hkom1_inj.U3!$A$1:$K$36,7,FALSE),0)</f>
        <v>7</v>
      </c>
      <c r="J246">
        <f>IFERROR(HLOOKUP(J$2,[10]table_male_hkom1_inj.U3!$A$1:$K$36,7,FALSE),0)</f>
        <v>1</v>
      </c>
      <c r="K246">
        <f>IFERROR(HLOOKUP(K$2,[10]table_male_hkom1_inj.U3!$A$1:$K$36,7,FALSE),0)</f>
        <v>0</v>
      </c>
      <c r="L246">
        <f>IFERROR(HLOOKUP(L$2,[10]table_male_hkom1_inj.U3!$A$1:$K$36,7,FALSE),0)</f>
        <v>0</v>
      </c>
      <c r="M246">
        <f t="shared" si="74"/>
        <v>23</v>
      </c>
      <c r="S246" t="s">
        <v>75</v>
      </c>
      <c r="T246" s="5">
        <f t="shared" si="86"/>
        <v>0</v>
      </c>
      <c r="U246" s="5">
        <f t="shared" si="87"/>
        <v>0</v>
      </c>
      <c r="V246" s="5">
        <f t="shared" si="88"/>
        <v>1.1073345259391771</v>
      </c>
      <c r="W246" s="5">
        <f t="shared" si="89"/>
        <v>15.757225433526012</v>
      </c>
      <c r="X246" s="5">
        <f t="shared" si="90"/>
        <v>7.6710059171597633</v>
      </c>
      <c r="Y246" s="5">
        <f t="shared" si="91"/>
        <v>1.1444444444444444</v>
      </c>
      <c r="Z246" s="5">
        <f t="shared" si="92"/>
        <v>0</v>
      </c>
      <c r="AA246" s="5">
        <f t="shared" si="93"/>
        <v>0</v>
      </c>
      <c r="AB246" s="5">
        <f t="shared" si="94"/>
        <v>25.6800103210694</v>
      </c>
    </row>
    <row r="247" spans="1:28" x14ac:dyDescent="0.25">
      <c r="D247" t="s">
        <v>76</v>
      </c>
      <c r="E247" s="64"/>
      <c r="F247" s="64"/>
      <c r="G247">
        <f>IFERROR(HLOOKUP(G$2,[10]table_male_hkom1_inj.U3!$A$1:$K$36,8,FALSE),0)</f>
        <v>22</v>
      </c>
      <c r="H247">
        <f>IFERROR(HLOOKUP(H$2,[10]table_male_hkom1_inj.U3!$A$1:$K$36,8,FALSE),0)</f>
        <v>33</v>
      </c>
      <c r="I247">
        <f>IFERROR(HLOOKUP(I$2,[10]table_male_hkom1_inj.U3!$A$1:$K$36,8,FALSE),0)</f>
        <v>30</v>
      </c>
      <c r="J247">
        <f>IFERROR(HLOOKUP(J$2,[10]table_male_hkom1_inj.U3!$A$1:$K$36,8,FALSE),0)</f>
        <v>2</v>
      </c>
      <c r="K247">
        <f>IFERROR(HLOOKUP(K$2,[10]table_male_hkom1_inj.U3!$A$1:$K$36,8,FALSE),0)</f>
        <v>0</v>
      </c>
      <c r="L247">
        <f>IFERROR(HLOOKUP(L$2,[10]table_male_hkom1_inj.U3!$A$1:$K$36,8,FALSE),0)</f>
        <v>0</v>
      </c>
      <c r="M247">
        <f t="shared" si="74"/>
        <v>87</v>
      </c>
      <c r="S247" t="s">
        <v>76</v>
      </c>
      <c r="T247" s="5">
        <f t="shared" si="86"/>
        <v>0</v>
      </c>
      <c r="U247" s="5">
        <f t="shared" si="87"/>
        <v>0</v>
      </c>
      <c r="V247" s="5">
        <f t="shared" si="88"/>
        <v>24.361359570661897</v>
      </c>
      <c r="W247" s="5">
        <f t="shared" si="89"/>
        <v>37.142031379025596</v>
      </c>
      <c r="X247" s="5">
        <f t="shared" si="90"/>
        <v>32.875739644970416</v>
      </c>
      <c r="Y247" s="5">
        <f t="shared" si="91"/>
        <v>2.2888888888888888</v>
      </c>
      <c r="Z247" s="5">
        <f t="shared" si="92"/>
        <v>0</v>
      </c>
      <c r="AA247" s="5">
        <f t="shared" si="93"/>
        <v>0</v>
      </c>
      <c r="AB247" s="5">
        <f t="shared" si="94"/>
        <v>96.6680194835468</v>
      </c>
    </row>
    <row r="248" spans="1:28" x14ac:dyDescent="0.25">
      <c r="D248" t="s">
        <v>77</v>
      </c>
      <c r="E248" s="64"/>
      <c r="F248" s="64"/>
      <c r="G248">
        <f>IFERROR(HLOOKUP(G$2,[10]table_male_hkom1_inj.U3!$A$1:$K$36,9,FALSE),0)</f>
        <v>98</v>
      </c>
      <c r="H248">
        <f>IFERROR(HLOOKUP(H$2,[10]table_male_hkom1_inj.U3!$A$1:$K$36,9,FALSE),0)</f>
        <v>138</v>
      </c>
      <c r="I248">
        <f>IFERROR(HLOOKUP(I$2,[10]table_male_hkom1_inj.U3!$A$1:$K$36,9,FALSE),0)</f>
        <v>79</v>
      </c>
      <c r="J248">
        <f>IFERROR(HLOOKUP(J$2,[10]table_male_hkom1_inj.U3!$A$1:$K$36,9,FALSE),0)</f>
        <v>5</v>
      </c>
      <c r="K248">
        <f>IFERROR(HLOOKUP(K$2,[10]table_male_hkom1_inj.U3!$A$1:$K$36,9,FALSE),0)</f>
        <v>3</v>
      </c>
      <c r="L248">
        <f>IFERROR(HLOOKUP(L$2,[10]table_male_hkom1_inj.U3!$A$1:$K$36,9,FALSE),0)</f>
        <v>0</v>
      </c>
      <c r="M248">
        <f t="shared" si="74"/>
        <v>323</v>
      </c>
      <c r="S248" t="s">
        <v>77</v>
      </c>
      <c r="T248" s="5">
        <f t="shared" si="86"/>
        <v>0</v>
      </c>
      <c r="U248" s="5">
        <f t="shared" si="87"/>
        <v>0</v>
      </c>
      <c r="V248" s="5">
        <f t="shared" si="88"/>
        <v>108.51878354203936</v>
      </c>
      <c r="W248" s="5">
        <f t="shared" si="89"/>
        <v>155.32122213047069</v>
      </c>
      <c r="X248" s="5">
        <f t="shared" si="90"/>
        <v>86.572781065088762</v>
      </c>
      <c r="Y248" s="5">
        <f t="shared" si="91"/>
        <v>5.7222222222222223</v>
      </c>
      <c r="Z248" s="5">
        <f t="shared" si="92"/>
        <v>3</v>
      </c>
      <c r="AA248" s="5">
        <f t="shared" si="93"/>
        <v>0</v>
      </c>
      <c r="AB248" s="5">
        <f t="shared" si="94"/>
        <v>359.13500895982105</v>
      </c>
    </row>
    <row r="249" spans="1:28" x14ac:dyDescent="0.25">
      <c r="D249" t="s">
        <v>78</v>
      </c>
      <c r="E249" s="64"/>
      <c r="F249" s="64"/>
      <c r="G249">
        <f>IFERROR(HLOOKUP(G$2,[10]table_male_hkom1_inj.U3!$A$1:$K$36,10,FALSE),0)</f>
        <v>41</v>
      </c>
      <c r="H249">
        <f>IFERROR(HLOOKUP(H$2,[10]table_male_hkom1_inj.U3!$A$1:$K$36,10,FALSE),0)</f>
        <v>52</v>
      </c>
      <c r="I249">
        <f>IFERROR(HLOOKUP(I$2,[10]table_male_hkom1_inj.U3!$A$1:$K$36,10,FALSE),0)</f>
        <v>17</v>
      </c>
      <c r="J249">
        <f>IFERROR(HLOOKUP(J$2,[10]table_male_hkom1_inj.U3!$A$1:$K$36,10,FALSE),0)</f>
        <v>2</v>
      </c>
      <c r="K249">
        <f>IFERROR(HLOOKUP(K$2,[10]table_male_hkom1_inj.U3!$A$1:$K$36,10,FALSE),0)</f>
        <v>0</v>
      </c>
      <c r="L249">
        <f>IFERROR(HLOOKUP(L$2,[10]table_male_hkom1_inj.U3!$A$1:$K$36,10,FALSE),0)</f>
        <v>0</v>
      </c>
      <c r="M249">
        <f t="shared" si="74"/>
        <v>112</v>
      </c>
      <c r="S249" t="s">
        <v>78</v>
      </c>
      <c r="T249" s="5">
        <f t="shared" si="86"/>
        <v>0</v>
      </c>
      <c r="U249" s="5">
        <f t="shared" si="87"/>
        <v>0</v>
      </c>
      <c r="V249" s="5">
        <f t="shared" si="88"/>
        <v>45.40071556350626</v>
      </c>
      <c r="W249" s="5">
        <f t="shared" si="89"/>
        <v>58.526837324525189</v>
      </c>
      <c r="X249" s="5">
        <f t="shared" si="90"/>
        <v>18.629585798816567</v>
      </c>
      <c r="Y249" s="5">
        <f t="shared" si="91"/>
        <v>2.2888888888888888</v>
      </c>
      <c r="Z249" s="5">
        <f t="shared" si="92"/>
        <v>0</v>
      </c>
      <c r="AA249" s="5">
        <f t="shared" si="93"/>
        <v>0</v>
      </c>
      <c r="AB249" s="5">
        <f t="shared" si="94"/>
        <v>124.8460275757369</v>
      </c>
    </row>
    <row r="250" spans="1:28" x14ac:dyDescent="0.25">
      <c r="D250" t="s">
        <v>79</v>
      </c>
      <c r="E250" s="64"/>
      <c r="F250" s="64"/>
      <c r="G250">
        <f>IFERROR(HLOOKUP(G$2,[10]table_male_hkom1_inj.U3!$A$1:$K$36,11,FALSE),0)</f>
        <v>13</v>
      </c>
      <c r="H250">
        <f>IFERROR(HLOOKUP(H$2,[10]table_male_hkom1_inj.U3!$A$1:$K$36,11,FALSE),0)</f>
        <v>42</v>
      </c>
      <c r="I250">
        <f>IFERROR(HLOOKUP(I$2,[10]table_male_hkom1_inj.U3!$A$1:$K$36,11,FALSE),0)</f>
        <v>46</v>
      </c>
      <c r="J250">
        <f>IFERROR(HLOOKUP(J$2,[10]table_male_hkom1_inj.U3!$A$1:$K$36,11,FALSE),0)</f>
        <v>8</v>
      </c>
      <c r="K250">
        <f>IFERROR(HLOOKUP(K$2,[10]table_male_hkom1_inj.U3!$A$1:$K$36,11,FALSE),0)</f>
        <v>5</v>
      </c>
      <c r="L250">
        <f>IFERROR(HLOOKUP(L$2,[10]table_male_hkom1_inj.U3!$A$1:$K$36,11,FALSE),0)</f>
        <v>0</v>
      </c>
      <c r="M250">
        <f t="shared" si="74"/>
        <v>114</v>
      </c>
      <c r="S250" t="s">
        <v>79</v>
      </c>
      <c r="T250" s="5">
        <f t="shared" si="86"/>
        <v>0</v>
      </c>
      <c r="U250" s="5">
        <f t="shared" si="87"/>
        <v>0</v>
      </c>
      <c r="V250" s="5">
        <f t="shared" si="88"/>
        <v>14.395348837209303</v>
      </c>
      <c r="W250" s="5">
        <f t="shared" si="89"/>
        <v>47.271676300578036</v>
      </c>
      <c r="X250" s="5">
        <f t="shared" si="90"/>
        <v>50.409467455621304</v>
      </c>
      <c r="Y250" s="5">
        <f t="shared" si="91"/>
        <v>9.155555555555555</v>
      </c>
      <c r="Z250" s="5">
        <f t="shared" si="92"/>
        <v>5</v>
      </c>
      <c r="AA250" s="5">
        <f t="shared" si="93"/>
        <v>0</v>
      </c>
      <c r="AB250" s="5">
        <f t="shared" si="94"/>
        <v>126.2320481489642</v>
      </c>
    </row>
    <row r="251" spans="1:28" x14ac:dyDescent="0.25">
      <c r="D251" t="s">
        <v>80</v>
      </c>
      <c r="E251" s="64"/>
      <c r="F251" s="64"/>
      <c r="G251">
        <f>IFERROR(HLOOKUP(G$2,[10]table_male_hkom1_inj.U3!$A$1:$K$36,12,FALSE),0)</f>
        <v>41</v>
      </c>
      <c r="H251">
        <f>IFERROR(HLOOKUP(H$2,[10]table_male_hkom1_inj.U3!$A$1:$K$36,12,FALSE),0)</f>
        <v>72</v>
      </c>
      <c r="I251">
        <f>IFERROR(HLOOKUP(I$2,[10]table_male_hkom1_inj.U3!$A$1:$K$36,12,FALSE),0)</f>
        <v>47</v>
      </c>
      <c r="J251">
        <f>IFERROR(HLOOKUP(J$2,[10]table_male_hkom1_inj.U3!$A$1:$K$36,12,FALSE),0)</f>
        <v>0</v>
      </c>
      <c r="K251">
        <f>IFERROR(HLOOKUP(K$2,[10]table_male_hkom1_inj.U3!$A$1:$K$36,12,FALSE),0)</f>
        <v>0</v>
      </c>
      <c r="L251">
        <f>IFERROR(HLOOKUP(L$2,[10]table_male_hkom1_inj.U3!$A$1:$K$36,12,FALSE),0)</f>
        <v>0</v>
      </c>
      <c r="M251">
        <f t="shared" si="74"/>
        <v>160</v>
      </c>
      <c r="S251" t="s">
        <v>80</v>
      </c>
      <c r="T251" s="5">
        <f t="shared" si="86"/>
        <v>0</v>
      </c>
      <c r="U251" s="5">
        <f t="shared" si="87"/>
        <v>0</v>
      </c>
      <c r="V251" s="5">
        <f t="shared" si="88"/>
        <v>45.40071556350626</v>
      </c>
      <c r="W251" s="5">
        <f t="shared" si="89"/>
        <v>81.037159372419495</v>
      </c>
      <c r="X251" s="5">
        <f t="shared" si="90"/>
        <v>51.50532544378698</v>
      </c>
      <c r="Y251" s="5">
        <f t="shared" si="91"/>
        <v>0</v>
      </c>
      <c r="Z251" s="5">
        <f t="shared" si="92"/>
        <v>0</v>
      </c>
      <c r="AA251" s="5">
        <f t="shared" si="93"/>
        <v>0</v>
      </c>
      <c r="AB251" s="5">
        <f t="shared" si="94"/>
        <v>177.94320037971272</v>
      </c>
    </row>
    <row r="252" spans="1:28" x14ac:dyDescent="0.25">
      <c r="D252" t="s">
        <v>81</v>
      </c>
      <c r="E252" s="64"/>
      <c r="F252" s="64"/>
      <c r="G252">
        <f>IFERROR(HLOOKUP(G$2,[10]table_male_hkom1_inj.U3!$A$1:$K$36,13,FALSE),0)</f>
        <v>17</v>
      </c>
      <c r="H252">
        <f>IFERROR(HLOOKUP(H$2,[10]table_male_hkom1_inj.U3!$A$1:$K$36,13,FALSE),0)</f>
        <v>25</v>
      </c>
      <c r="I252">
        <f>IFERROR(HLOOKUP(I$2,[10]table_male_hkom1_inj.U3!$A$1:$K$36,13,FALSE),0)</f>
        <v>8</v>
      </c>
      <c r="J252">
        <f>IFERROR(HLOOKUP(J$2,[10]table_male_hkom1_inj.U3!$A$1:$K$36,13,FALSE),0)</f>
        <v>1</v>
      </c>
      <c r="K252">
        <f>IFERROR(HLOOKUP(K$2,[10]table_male_hkom1_inj.U3!$A$1:$K$36,13,FALSE),0)</f>
        <v>0</v>
      </c>
      <c r="L252">
        <f>IFERROR(HLOOKUP(L$2,[10]table_male_hkom1_inj.U3!$A$1:$K$36,13,FALSE),0)</f>
        <v>0</v>
      </c>
      <c r="M252">
        <f t="shared" si="74"/>
        <v>51</v>
      </c>
      <c r="S252" t="s">
        <v>81</v>
      </c>
      <c r="T252" s="5">
        <f t="shared" si="86"/>
        <v>0</v>
      </c>
      <c r="U252" s="5">
        <f t="shared" si="87"/>
        <v>0</v>
      </c>
      <c r="V252" s="5">
        <f t="shared" si="88"/>
        <v>18.824686940966011</v>
      </c>
      <c r="W252" s="5">
        <f t="shared" si="89"/>
        <v>28.137902559867879</v>
      </c>
      <c r="X252" s="5">
        <f t="shared" si="90"/>
        <v>8.7668639053254438</v>
      </c>
      <c r="Y252" s="5">
        <f t="shared" si="91"/>
        <v>1.1444444444444444</v>
      </c>
      <c r="Z252" s="5">
        <f t="shared" si="92"/>
        <v>0</v>
      </c>
      <c r="AA252" s="5">
        <f t="shared" si="93"/>
        <v>0</v>
      </c>
      <c r="AB252" s="5">
        <f t="shared" si="94"/>
        <v>56.873897850603775</v>
      </c>
    </row>
    <row r="253" spans="1:28" x14ac:dyDescent="0.25">
      <c r="D253" t="s">
        <v>82</v>
      </c>
      <c r="E253" s="64"/>
      <c r="F253" s="64"/>
      <c r="G253">
        <f>IFERROR(HLOOKUP(G$2,[10]table_male_hkom1_inj.U3!$A$1:$K$36,14,FALSE),0)</f>
        <v>13</v>
      </c>
      <c r="H253">
        <f>IFERROR(HLOOKUP(H$2,[10]table_male_hkom1_inj.U3!$A$1:$K$36,14,FALSE),0)</f>
        <v>73</v>
      </c>
      <c r="I253">
        <f>IFERROR(HLOOKUP(I$2,[10]table_male_hkom1_inj.U3!$A$1:$K$36,14,FALSE),0)</f>
        <v>42</v>
      </c>
      <c r="J253">
        <f>IFERROR(HLOOKUP(J$2,[10]table_male_hkom1_inj.U3!$A$1:$K$36,14,FALSE),0)</f>
        <v>2</v>
      </c>
      <c r="K253">
        <f>IFERROR(HLOOKUP(K$2,[10]table_male_hkom1_inj.U3!$A$1:$K$36,14,FALSE),0)</f>
        <v>0</v>
      </c>
      <c r="L253">
        <f>IFERROR(HLOOKUP(L$2,[10]table_male_hkom1_inj.U3!$A$1:$K$36,14,FALSE),0)</f>
        <v>0</v>
      </c>
      <c r="M253">
        <f t="shared" si="74"/>
        <v>130</v>
      </c>
      <c r="S253" t="s">
        <v>82</v>
      </c>
      <c r="T253" s="5">
        <f t="shared" si="86"/>
        <v>0</v>
      </c>
      <c r="U253" s="5">
        <f t="shared" si="87"/>
        <v>0</v>
      </c>
      <c r="V253" s="5">
        <f t="shared" si="88"/>
        <v>14.395348837209303</v>
      </c>
      <c r="W253" s="5">
        <f t="shared" si="89"/>
        <v>82.162675474814208</v>
      </c>
      <c r="X253" s="5">
        <f t="shared" si="90"/>
        <v>46.026035502958578</v>
      </c>
      <c r="Y253" s="5">
        <f t="shared" si="91"/>
        <v>2.2888888888888888</v>
      </c>
      <c r="Z253" s="5">
        <f t="shared" si="92"/>
        <v>0</v>
      </c>
      <c r="AA253" s="5">
        <f t="shared" si="93"/>
        <v>0</v>
      </c>
      <c r="AB253" s="5">
        <f t="shared" si="94"/>
        <v>144.87294870387097</v>
      </c>
    </row>
    <row r="254" spans="1:28" x14ac:dyDescent="0.25">
      <c r="D254" t="s">
        <v>83</v>
      </c>
      <c r="E254" s="64"/>
      <c r="F254" s="64"/>
      <c r="G254">
        <f>IFERROR(HLOOKUP(G$2,[10]table_male_hkom1_inj.U3!$A$1:$K$36,15,FALSE),0)</f>
        <v>10</v>
      </c>
      <c r="H254">
        <f>IFERROR(HLOOKUP(H$2,[10]table_male_hkom1_inj.U3!$A$1:$K$36,15,FALSE),0)</f>
        <v>24</v>
      </c>
      <c r="I254">
        <f>IFERROR(HLOOKUP(I$2,[10]table_male_hkom1_inj.U3!$A$1:$K$36,15,FALSE),0)</f>
        <v>8</v>
      </c>
      <c r="J254">
        <f>IFERROR(HLOOKUP(J$2,[10]table_male_hkom1_inj.U3!$A$1:$K$36,15,FALSE),0)</f>
        <v>3</v>
      </c>
      <c r="K254">
        <f>IFERROR(HLOOKUP(K$2,[10]table_male_hkom1_inj.U3!$A$1:$K$36,15,FALSE),0)</f>
        <v>0</v>
      </c>
      <c r="L254">
        <f>IFERROR(HLOOKUP(L$2,[10]table_male_hkom1_inj.U3!$A$1:$K$36,15,FALSE),0)</f>
        <v>0</v>
      </c>
      <c r="M254">
        <f t="shared" si="74"/>
        <v>45</v>
      </c>
      <c r="S254" t="s">
        <v>83</v>
      </c>
      <c r="T254" s="5">
        <f t="shared" si="86"/>
        <v>0</v>
      </c>
      <c r="U254" s="5">
        <f t="shared" si="87"/>
        <v>0</v>
      </c>
      <c r="V254" s="5">
        <f t="shared" si="88"/>
        <v>11.073345259391772</v>
      </c>
      <c r="W254" s="5">
        <f t="shared" si="89"/>
        <v>27.012386457473163</v>
      </c>
      <c r="X254" s="5">
        <f t="shared" si="90"/>
        <v>8.7668639053254438</v>
      </c>
      <c r="Y254" s="5">
        <f t="shared" si="91"/>
        <v>3.4333333333333336</v>
      </c>
      <c r="Z254" s="5">
        <f t="shared" si="92"/>
        <v>0</v>
      </c>
      <c r="AA254" s="5">
        <f t="shared" si="93"/>
        <v>0</v>
      </c>
      <c r="AB254" s="5">
        <f t="shared" si="94"/>
        <v>50.285928955523715</v>
      </c>
    </row>
    <row r="255" spans="1:28" x14ac:dyDescent="0.25">
      <c r="D255" t="s">
        <v>84</v>
      </c>
      <c r="E255" s="64"/>
      <c r="F255" s="64"/>
      <c r="G255">
        <f>IFERROR(HLOOKUP(G$2,[10]table_male_hkom1_inj.U3!$A$1:$K$36,16,FALSE),0)</f>
        <v>15</v>
      </c>
      <c r="H255">
        <f>IFERROR(HLOOKUP(H$2,[10]table_male_hkom1_inj.U3!$A$1:$K$36,16,FALSE),0)</f>
        <v>40</v>
      </c>
      <c r="I255">
        <f>IFERROR(HLOOKUP(I$2,[10]table_male_hkom1_inj.U3!$A$1:$K$36,16,FALSE),0)</f>
        <v>15</v>
      </c>
      <c r="J255">
        <f>IFERROR(HLOOKUP(J$2,[10]table_male_hkom1_inj.U3!$A$1:$K$36,16,FALSE),0)</f>
        <v>2</v>
      </c>
      <c r="K255">
        <f>IFERROR(HLOOKUP(K$2,[10]table_male_hkom1_inj.U3!$A$1:$K$36,16,FALSE),0)</f>
        <v>1</v>
      </c>
      <c r="L255">
        <f>IFERROR(HLOOKUP(L$2,[10]table_male_hkom1_inj.U3!$A$1:$K$36,16,FALSE),0)</f>
        <v>0</v>
      </c>
      <c r="M255">
        <f t="shared" si="74"/>
        <v>73</v>
      </c>
      <c r="S255" t="s">
        <v>84</v>
      </c>
      <c r="T255" s="5">
        <f t="shared" si="86"/>
        <v>0</v>
      </c>
      <c r="U255" s="5">
        <f t="shared" si="87"/>
        <v>0</v>
      </c>
      <c r="V255" s="5">
        <f t="shared" si="88"/>
        <v>16.610017889087658</v>
      </c>
      <c r="W255" s="5">
        <f t="shared" si="89"/>
        <v>45.020644095788604</v>
      </c>
      <c r="X255" s="5">
        <f t="shared" si="90"/>
        <v>16.437869822485208</v>
      </c>
      <c r="Y255" s="5">
        <f t="shared" si="91"/>
        <v>2.2888888888888888</v>
      </c>
      <c r="Z255" s="5">
        <f t="shared" si="92"/>
        <v>1</v>
      </c>
      <c r="AA255" s="5">
        <f t="shared" si="93"/>
        <v>0</v>
      </c>
      <c r="AB255" s="5">
        <f t="shared" si="94"/>
        <v>81.357420696250358</v>
      </c>
    </row>
    <row r="256" spans="1:28" x14ac:dyDescent="0.25">
      <c r="D256" t="s">
        <v>85</v>
      </c>
      <c r="E256" s="64"/>
      <c r="F256" s="64"/>
      <c r="G256">
        <f>IFERROR(HLOOKUP(G$2,[10]table_male_hkom1_inj.U3!$A$1:$K$36,17,FALSE),0)</f>
        <v>43</v>
      </c>
      <c r="H256">
        <f>IFERROR(HLOOKUP(H$2,[10]table_male_hkom1_inj.U3!$A$1:$K$36,17,FALSE),0)</f>
        <v>57</v>
      </c>
      <c r="I256">
        <f>IFERROR(HLOOKUP(I$2,[10]table_male_hkom1_inj.U3!$A$1:$K$36,17,FALSE),0)</f>
        <v>23</v>
      </c>
      <c r="J256">
        <f>IFERROR(HLOOKUP(J$2,[10]table_male_hkom1_inj.U3!$A$1:$K$36,17,FALSE),0)</f>
        <v>3</v>
      </c>
      <c r="K256">
        <f>IFERROR(HLOOKUP(K$2,[10]table_male_hkom1_inj.U3!$A$1:$K$36,17,FALSE),0)</f>
        <v>0</v>
      </c>
      <c r="L256">
        <f>IFERROR(HLOOKUP(L$2,[10]table_male_hkom1_inj.U3!$A$1:$K$36,17,FALSE),0)</f>
        <v>0</v>
      </c>
      <c r="M256">
        <f t="shared" si="74"/>
        <v>126</v>
      </c>
      <c r="S256" t="s">
        <v>85</v>
      </c>
      <c r="T256" s="5">
        <f t="shared" si="86"/>
        <v>0</v>
      </c>
      <c r="U256" s="5">
        <f t="shared" si="87"/>
        <v>0</v>
      </c>
      <c r="V256" s="5">
        <f t="shared" si="88"/>
        <v>47.615384615384613</v>
      </c>
      <c r="W256" s="5">
        <f t="shared" si="89"/>
        <v>64.154417836498766</v>
      </c>
      <c r="X256" s="5">
        <f t="shared" si="90"/>
        <v>25.204733727810652</v>
      </c>
      <c r="Y256" s="5">
        <f t="shared" si="91"/>
        <v>3.4333333333333336</v>
      </c>
      <c r="Z256" s="5">
        <f t="shared" si="92"/>
        <v>0</v>
      </c>
      <c r="AA256" s="5">
        <f t="shared" si="93"/>
        <v>0</v>
      </c>
      <c r="AB256" s="5">
        <f t="shared" si="94"/>
        <v>140.40786951302738</v>
      </c>
    </row>
    <row r="257" spans="4:28" x14ac:dyDescent="0.25">
      <c r="D257" t="s">
        <v>86</v>
      </c>
      <c r="E257" s="64"/>
      <c r="F257" s="64"/>
      <c r="G257">
        <f>IFERROR(HLOOKUP(G$2,[10]table_male_hkom1_inj.U3!$A$1:$K$36,18,FALSE),0)</f>
        <v>128</v>
      </c>
      <c r="H257">
        <f>IFERROR(HLOOKUP(H$2,[10]table_male_hkom1_inj.U3!$A$1:$K$36,18,FALSE),0)</f>
        <v>306</v>
      </c>
      <c r="I257">
        <f>IFERROR(HLOOKUP(I$2,[10]table_male_hkom1_inj.U3!$A$1:$K$36,18,FALSE),0)</f>
        <v>239</v>
      </c>
      <c r="J257">
        <f>IFERROR(HLOOKUP(J$2,[10]table_male_hkom1_inj.U3!$A$1:$K$36,18,FALSE),0)</f>
        <v>29</v>
      </c>
      <c r="K257">
        <f>IFERROR(HLOOKUP(K$2,[10]table_male_hkom1_inj.U3!$A$1:$K$36,18,FALSE),0)</f>
        <v>4</v>
      </c>
      <c r="L257">
        <f>IFERROR(HLOOKUP(L$2,[10]table_male_hkom1_inj.U3!$A$1:$K$36,18,FALSE),0)</f>
        <v>1</v>
      </c>
      <c r="M257">
        <f t="shared" si="74"/>
        <v>707</v>
      </c>
      <c r="S257" t="s">
        <v>86</v>
      </c>
      <c r="T257" s="5">
        <f t="shared" si="86"/>
        <v>0</v>
      </c>
      <c r="U257" s="5">
        <f t="shared" si="87"/>
        <v>0</v>
      </c>
      <c r="V257" s="5">
        <f t="shared" si="88"/>
        <v>141.73881932021467</v>
      </c>
      <c r="W257" s="5">
        <f t="shared" si="89"/>
        <v>344.40792733278283</v>
      </c>
      <c r="X257" s="5">
        <f t="shared" si="90"/>
        <v>261.91005917159765</v>
      </c>
      <c r="Y257" s="5">
        <f t="shared" si="91"/>
        <v>33.18888888888889</v>
      </c>
      <c r="Z257" s="5">
        <f t="shared" si="92"/>
        <v>4</v>
      </c>
      <c r="AA257" s="5">
        <f t="shared" si="93"/>
        <v>1</v>
      </c>
      <c r="AB257" s="5">
        <f t="shared" si="94"/>
        <v>786.245694713484</v>
      </c>
    </row>
    <row r="258" spans="4:28" x14ac:dyDescent="0.25">
      <c r="D258" t="s">
        <v>87</v>
      </c>
      <c r="E258" s="64"/>
      <c r="F258" s="64"/>
      <c r="G258">
        <f>IFERROR(HLOOKUP(G$2,[10]table_male_hkom1_inj.U3!$A$1:$K$36,19,FALSE),0)</f>
        <v>6</v>
      </c>
      <c r="H258">
        <f>IFERROR(HLOOKUP(H$2,[10]table_male_hkom1_inj.U3!$A$1:$K$36,19,FALSE),0)</f>
        <v>16</v>
      </c>
      <c r="I258">
        <f>IFERROR(HLOOKUP(I$2,[10]table_male_hkom1_inj.U3!$A$1:$K$36,19,FALSE),0)</f>
        <v>20</v>
      </c>
      <c r="J258">
        <f>IFERROR(HLOOKUP(J$2,[10]table_male_hkom1_inj.U3!$A$1:$K$36,19,FALSE),0)</f>
        <v>1</v>
      </c>
      <c r="K258">
        <f>IFERROR(HLOOKUP(K$2,[10]table_male_hkom1_inj.U3!$A$1:$K$36,19,FALSE),0)</f>
        <v>0</v>
      </c>
      <c r="L258">
        <f>IFERROR(HLOOKUP(L$2,[10]table_male_hkom1_inj.U3!$A$1:$K$36,19,FALSE),0)</f>
        <v>0</v>
      </c>
      <c r="M258">
        <f t="shared" si="74"/>
        <v>43</v>
      </c>
      <c r="S258" t="s">
        <v>87</v>
      </c>
      <c r="T258" s="5">
        <f t="shared" si="86"/>
        <v>0</v>
      </c>
      <c r="U258" s="5">
        <f t="shared" si="87"/>
        <v>0</v>
      </c>
      <c r="V258" s="5">
        <f t="shared" si="88"/>
        <v>6.6440071556350624</v>
      </c>
      <c r="W258" s="5">
        <f t="shared" si="89"/>
        <v>18.008257638315442</v>
      </c>
      <c r="X258" s="5">
        <f t="shared" si="90"/>
        <v>21.917159763313609</v>
      </c>
      <c r="Y258" s="5">
        <f t="shared" si="91"/>
        <v>1.1444444444444444</v>
      </c>
      <c r="Z258" s="5">
        <f t="shared" si="92"/>
        <v>0</v>
      </c>
      <c r="AA258" s="5">
        <f t="shared" si="93"/>
        <v>0</v>
      </c>
      <c r="AB258" s="5">
        <f t="shared" si="94"/>
        <v>47.713869001708559</v>
      </c>
    </row>
    <row r="259" spans="4:28" x14ac:dyDescent="0.25">
      <c r="D259" t="s">
        <v>88</v>
      </c>
      <c r="E259" s="64"/>
      <c r="F259" s="64"/>
      <c r="G259">
        <f>IFERROR(HLOOKUP(G$2,[10]table_male_hkom1_inj.U3!$A$1:$K$36,20,FALSE),0)</f>
        <v>37</v>
      </c>
      <c r="H259">
        <f>IFERROR(HLOOKUP(H$2,[10]table_male_hkom1_inj.U3!$A$1:$K$36,20,FALSE),0)</f>
        <v>107</v>
      </c>
      <c r="I259">
        <f>IFERROR(HLOOKUP(I$2,[10]table_male_hkom1_inj.U3!$A$1:$K$36,20,FALSE),0)</f>
        <v>87</v>
      </c>
      <c r="J259">
        <f>IFERROR(HLOOKUP(J$2,[10]table_male_hkom1_inj.U3!$A$1:$K$36,20,FALSE),0)</f>
        <v>7</v>
      </c>
      <c r="K259">
        <f>IFERROR(HLOOKUP(K$2,[10]table_male_hkom1_inj.U3!$A$1:$K$36,20,FALSE),0)</f>
        <v>2</v>
      </c>
      <c r="L259">
        <f>IFERROR(HLOOKUP(L$2,[10]table_male_hkom1_inj.U3!$A$1:$K$36,20,FALSE),0)</f>
        <v>0</v>
      </c>
      <c r="M259">
        <f t="shared" si="74"/>
        <v>240</v>
      </c>
      <c r="S259" t="s">
        <v>88</v>
      </c>
      <c r="T259" s="5">
        <f t="shared" si="86"/>
        <v>0</v>
      </c>
      <c r="U259" s="5">
        <f t="shared" si="87"/>
        <v>0</v>
      </c>
      <c r="V259" s="5">
        <f t="shared" si="88"/>
        <v>40.971377459749554</v>
      </c>
      <c r="W259" s="5">
        <f t="shared" si="89"/>
        <v>120.43022295623452</v>
      </c>
      <c r="X259" s="5">
        <f t="shared" si="90"/>
        <v>95.339644970414199</v>
      </c>
      <c r="Y259" s="5">
        <f t="shared" si="91"/>
        <v>8.0111111111111111</v>
      </c>
      <c r="Z259" s="5">
        <f t="shared" si="92"/>
        <v>2</v>
      </c>
      <c r="AA259" s="5">
        <f t="shared" si="93"/>
        <v>0</v>
      </c>
      <c r="AB259" s="5">
        <f t="shared" si="94"/>
        <v>266.75235649750937</v>
      </c>
    </row>
    <row r="260" spans="4:28" x14ac:dyDescent="0.25">
      <c r="D260" t="s">
        <v>89</v>
      </c>
      <c r="E260" s="64"/>
      <c r="F260" s="64"/>
      <c r="G260">
        <f>IFERROR(HLOOKUP(G$2,[10]table_male_hkom1_inj.U3!$A$1:$K$36,21,FALSE),0)</f>
        <v>1</v>
      </c>
      <c r="H260">
        <f>IFERROR(HLOOKUP(H$2,[10]table_male_hkom1_inj.U3!$A$1:$K$36,21,FALSE),0)</f>
        <v>3</v>
      </c>
      <c r="I260">
        <f>IFERROR(HLOOKUP(I$2,[10]table_male_hkom1_inj.U3!$A$1:$K$36,21,FALSE),0)</f>
        <v>3</v>
      </c>
      <c r="J260">
        <f>IFERROR(HLOOKUP(J$2,[10]table_male_hkom1_inj.U3!$A$1:$K$36,21,FALSE),0)</f>
        <v>1</v>
      </c>
      <c r="K260">
        <f>IFERROR(HLOOKUP(K$2,[10]table_male_hkom1_inj.U3!$A$1:$K$36,21,FALSE),0)</f>
        <v>0</v>
      </c>
      <c r="L260">
        <f>IFERROR(HLOOKUP(L$2,[10]table_male_hkom1_inj.U3!$A$1:$K$36,21,FALSE),0)</f>
        <v>0</v>
      </c>
      <c r="M260">
        <f t="shared" si="74"/>
        <v>8</v>
      </c>
      <c r="S260" t="s">
        <v>89</v>
      </c>
      <c r="T260" s="5">
        <f t="shared" si="86"/>
        <v>0</v>
      </c>
      <c r="U260" s="5">
        <f t="shared" si="87"/>
        <v>0</v>
      </c>
      <c r="V260" s="5">
        <f t="shared" si="88"/>
        <v>1.1073345259391771</v>
      </c>
      <c r="W260" s="5">
        <f t="shared" si="89"/>
        <v>3.3765483071841453</v>
      </c>
      <c r="X260" s="5">
        <f t="shared" si="90"/>
        <v>3.2875739644970414</v>
      </c>
      <c r="Y260" s="5">
        <f t="shared" si="91"/>
        <v>1.1444444444444444</v>
      </c>
      <c r="Z260" s="5">
        <f t="shared" si="92"/>
        <v>0</v>
      </c>
      <c r="AA260" s="5">
        <f t="shared" si="93"/>
        <v>0</v>
      </c>
      <c r="AB260" s="5">
        <f t="shared" si="94"/>
        <v>8.9159012420648089</v>
      </c>
    </row>
    <row r="261" spans="4:28" x14ac:dyDescent="0.25">
      <c r="D261" t="s">
        <v>90</v>
      </c>
      <c r="E261" s="64"/>
      <c r="F261" s="64"/>
      <c r="G261">
        <f>IFERROR(HLOOKUP(G$2,[10]table_male_hkom1_inj.U3!$A$1:$K$36,22,FALSE),0)</f>
        <v>0</v>
      </c>
      <c r="H261">
        <f>IFERROR(HLOOKUP(H$2,[10]table_male_hkom1_inj.U3!$A$1:$K$36,22,FALSE),0)</f>
        <v>0</v>
      </c>
      <c r="I261">
        <f>IFERROR(HLOOKUP(I$2,[10]table_male_hkom1_inj.U3!$A$1:$K$36,22,FALSE),0)</f>
        <v>0</v>
      </c>
      <c r="J261">
        <f>IFERROR(HLOOKUP(J$2,[10]table_male_hkom1_inj.U3!$A$1:$K$36,22,FALSE),0)</f>
        <v>0</v>
      </c>
      <c r="K261">
        <f>IFERROR(HLOOKUP(K$2,[10]table_male_hkom1_inj.U3!$A$1:$K$36,22,FALSE),0)</f>
        <v>0</v>
      </c>
      <c r="L261">
        <f>IFERROR(HLOOKUP(L$2,[10]table_male_hkom1_inj.U3!$A$1:$K$36,22,FALSE),0)</f>
        <v>0</v>
      </c>
      <c r="M261">
        <f t="shared" si="74"/>
        <v>0</v>
      </c>
      <c r="S261" t="s">
        <v>90</v>
      </c>
      <c r="T261" s="5">
        <f t="shared" si="86"/>
        <v>0</v>
      </c>
      <c r="U261" s="5">
        <f t="shared" si="87"/>
        <v>0</v>
      </c>
      <c r="V261" s="5">
        <f t="shared" si="88"/>
        <v>0</v>
      </c>
      <c r="W261" s="5">
        <f t="shared" si="89"/>
        <v>0</v>
      </c>
      <c r="X261" s="5">
        <f t="shared" si="90"/>
        <v>0</v>
      </c>
      <c r="Y261" s="5">
        <f t="shared" si="91"/>
        <v>0</v>
      </c>
      <c r="Z261" s="5">
        <f t="shared" si="92"/>
        <v>0</v>
      </c>
      <c r="AA261" s="5">
        <f t="shared" si="93"/>
        <v>0</v>
      </c>
      <c r="AB261" s="5">
        <f t="shared" si="94"/>
        <v>0</v>
      </c>
    </row>
    <row r="262" spans="4:28" x14ac:dyDescent="0.25">
      <c r="D262" t="s">
        <v>91</v>
      </c>
      <c r="E262" s="64"/>
      <c r="F262" s="64"/>
      <c r="G262">
        <f>IFERROR(HLOOKUP(G$2,[10]table_male_hkom1_inj.U3!$A$1:$K$36,23,FALSE),0)</f>
        <v>0</v>
      </c>
      <c r="H262">
        <f>IFERROR(HLOOKUP(H$2,[10]table_male_hkom1_inj.U3!$A$1:$K$36,23,FALSE),0)</f>
        <v>0</v>
      </c>
      <c r="I262">
        <f>IFERROR(HLOOKUP(I$2,[10]table_male_hkom1_inj.U3!$A$1:$K$36,23,FALSE),0)</f>
        <v>0</v>
      </c>
      <c r="J262">
        <f>IFERROR(HLOOKUP(J$2,[10]table_male_hkom1_inj.U3!$A$1:$K$36,23,FALSE),0)</f>
        <v>0</v>
      </c>
      <c r="K262">
        <f>IFERROR(HLOOKUP(K$2,[10]table_male_hkom1_inj.U3!$A$1:$K$36,23,FALSE),0)</f>
        <v>0</v>
      </c>
      <c r="L262">
        <f>IFERROR(HLOOKUP(L$2,[10]table_male_hkom1_inj.U3!$A$1:$K$36,23,FALSE),0)</f>
        <v>0</v>
      </c>
      <c r="M262">
        <f t="shared" si="74"/>
        <v>0</v>
      </c>
      <c r="S262" t="s">
        <v>91</v>
      </c>
      <c r="T262" s="5">
        <f t="shared" si="86"/>
        <v>0</v>
      </c>
      <c r="U262" s="5">
        <f t="shared" si="87"/>
        <v>0</v>
      </c>
      <c r="V262" s="5">
        <f t="shared" si="88"/>
        <v>0</v>
      </c>
      <c r="W262" s="5">
        <f t="shared" si="89"/>
        <v>0</v>
      </c>
      <c r="X262" s="5">
        <f t="shared" si="90"/>
        <v>0</v>
      </c>
      <c r="Y262" s="5">
        <f t="shared" si="91"/>
        <v>0</v>
      </c>
      <c r="Z262" s="5">
        <f t="shared" si="92"/>
        <v>0</v>
      </c>
      <c r="AA262" s="5">
        <f t="shared" si="93"/>
        <v>0</v>
      </c>
      <c r="AB262" s="5">
        <f t="shared" si="94"/>
        <v>0</v>
      </c>
    </row>
    <row r="263" spans="4:28" x14ac:dyDescent="0.25">
      <c r="D263" t="s">
        <v>92</v>
      </c>
      <c r="E263" s="64"/>
      <c r="F263" s="64"/>
      <c r="G263">
        <f>IFERROR(HLOOKUP(G$2,[10]table_male_hkom1_inj.U3!$A$1:$K$36,24,FALSE),0)</f>
        <v>0</v>
      </c>
      <c r="H263">
        <f>IFERROR(HLOOKUP(H$2,[10]table_male_hkom1_inj.U3!$A$1:$K$36,24,FALSE),0)</f>
        <v>0</v>
      </c>
      <c r="I263">
        <f>IFERROR(HLOOKUP(I$2,[10]table_male_hkom1_inj.U3!$A$1:$K$36,24,FALSE),0)</f>
        <v>0</v>
      </c>
      <c r="J263">
        <f>IFERROR(HLOOKUP(J$2,[10]table_male_hkom1_inj.U3!$A$1:$K$36,24,FALSE),0)</f>
        <v>0</v>
      </c>
      <c r="K263">
        <f>IFERROR(HLOOKUP(K$2,[10]table_male_hkom1_inj.U3!$A$1:$K$36,24,FALSE),0)</f>
        <v>0</v>
      </c>
      <c r="L263">
        <f>IFERROR(HLOOKUP(L$2,[10]table_male_hkom1_inj.U3!$A$1:$K$36,24,FALSE),0)</f>
        <v>0</v>
      </c>
      <c r="M263">
        <f t="shared" si="74"/>
        <v>0</v>
      </c>
      <c r="S263" t="s">
        <v>92</v>
      </c>
      <c r="T263" s="5">
        <f t="shared" si="86"/>
        <v>0</v>
      </c>
      <c r="U263" s="5">
        <f t="shared" si="87"/>
        <v>0</v>
      </c>
      <c r="V263" s="5">
        <f t="shared" si="88"/>
        <v>0</v>
      </c>
      <c r="W263" s="5">
        <f t="shared" si="89"/>
        <v>0</v>
      </c>
      <c r="X263" s="5">
        <f t="shared" si="90"/>
        <v>0</v>
      </c>
      <c r="Y263" s="5">
        <f t="shared" si="91"/>
        <v>0</v>
      </c>
      <c r="Z263" s="5">
        <f t="shared" si="92"/>
        <v>0</v>
      </c>
      <c r="AA263" s="5">
        <f t="shared" si="93"/>
        <v>0</v>
      </c>
      <c r="AB263" s="5">
        <f t="shared" si="94"/>
        <v>0</v>
      </c>
    </row>
    <row r="264" spans="4:28" x14ac:dyDescent="0.25">
      <c r="D264" t="s">
        <v>93</v>
      </c>
      <c r="E264" s="64"/>
      <c r="F264" s="64"/>
      <c r="G264">
        <f>IFERROR(HLOOKUP(G$2,[10]table_male_hkom1_inj.U3!$A$1:$K$36,25,FALSE),0)</f>
        <v>0</v>
      </c>
      <c r="H264">
        <f>IFERROR(HLOOKUP(H$2,[10]table_male_hkom1_inj.U3!$A$1:$K$36,25,FALSE),0)</f>
        <v>0</v>
      </c>
      <c r="I264">
        <f>IFERROR(HLOOKUP(I$2,[10]table_male_hkom1_inj.U3!$A$1:$K$36,25,FALSE),0)</f>
        <v>0</v>
      </c>
      <c r="J264">
        <f>IFERROR(HLOOKUP(J$2,[10]table_male_hkom1_inj.U3!$A$1:$K$36,25,FALSE),0)</f>
        <v>0</v>
      </c>
      <c r="K264">
        <f>IFERROR(HLOOKUP(K$2,[10]table_male_hkom1_inj.U3!$A$1:$K$36,25,FALSE),0)</f>
        <v>0</v>
      </c>
      <c r="L264">
        <f>IFERROR(HLOOKUP(L$2,[10]table_male_hkom1_inj.U3!$A$1:$K$36,25,FALSE),0)</f>
        <v>0</v>
      </c>
      <c r="M264">
        <f t="shared" ref="M264:M327" si="95">SUM(E264:L264)</f>
        <v>0</v>
      </c>
      <c r="S264" t="s">
        <v>93</v>
      </c>
      <c r="T264" s="5">
        <f t="shared" si="86"/>
        <v>0</v>
      </c>
      <c r="U264" s="5">
        <f t="shared" si="87"/>
        <v>0</v>
      </c>
      <c r="V264" s="5">
        <f t="shared" si="88"/>
        <v>0</v>
      </c>
      <c r="W264" s="5">
        <f t="shared" si="89"/>
        <v>0</v>
      </c>
      <c r="X264" s="5">
        <f t="shared" si="90"/>
        <v>0</v>
      </c>
      <c r="Y264" s="5">
        <f t="shared" si="91"/>
        <v>0</v>
      </c>
      <c r="Z264" s="5">
        <f t="shared" si="92"/>
        <v>0</v>
      </c>
      <c r="AA264" s="5">
        <f t="shared" si="93"/>
        <v>0</v>
      </c>
      <c r="AB264" s="5">
        <f t="shared" si="94"/>
        <v>0</v>
      </c>
    </row>
    <row r="265" spans="4:28" x14ac:dyDescent="0.25">
      <c r="D265" t="s">
        <v>94</v>
      </c>
      <c r="E265" s="64"/>
      <c r="F265" s="64"/>
      <c r="G265">
        <f>IFERROR(HLOOKUP(G$2,[10]table_male_hkom1_inj.U3!$A$1:$K$36,26,FALSE),0)</f>
        <v>0</v>
      </c>
      <c r="H265">
        <f>IFERROR(HLOOKUP(H$2,[10]table_male_hkom1_inj.U3!$A$1:$K$36,26,FALSE),0)</f>
        <v>0</v>
      </c>
      <c r="I265">
        <f>IFERROR(HLOOKUP(I$2,[10]table_male_hkom1_inj.U3!$A$1:$K$36,26,FALSE),0)</f>
        <v>0</v>
      </c>
      <c r="J265">
        <f>IFERROR(HLOOKUP(J$2,[10]table_male_hkom1_inj.U3!$A$1:$K$36,26,FALSE),0)</f>
        <v>0</v>
      </c>
      <c r="K265">
        <f>IFERROR(HLOOKUP(K$2,[10]table_male_hkom1_inj.U3!$A$1:$K$36,26,FALSE),0)</f>
        <v>0</v>
      </c>
      <c r="L265">
        <f>IFERROR(HLOOKUP(L$2,[10]table_male_hkom1_inj.U3!$A$1:$K$36,26,FALSE),0)</f>
        <v>0</v>
      </c>
      <c r="M265">
        <f t="shared" si="95"/>
        <v>0</v>
      </c>
      <c r="S265" t="s">
        <v>94</v>
      </c>
      <c r="T265" s="5">
        <f t="shared" si="86"/>
        <v>0</v>
      </c>
      <c r="U265" s="5">
        <f t="shared" si="87"/>
        <v>0</v>
      </c>
      <c r="V265" s="5">
        <f t="shared" si="88"/>
        <v>0</v>
      </c>
      <c r="W265" s="5">
        <f t="shared" si="89"/>
        <v>0</v>
      </c>
      <c r="X265" s="5">
        <f t="shared" si="90"/>
        <v>0</v>
      </c>
      <c r="Y265" s="5">
        <f t="shared" si="91"/>
        <v>0</v>
      </c>
      <c r="Z265" s="5">
        <f t="shared" si="92"/>
        <v>0</v>
      </c>
      <c r="AA265" s="5">
        <f t="shared" si="93"/>
        <v>0</v>
      </c>
      <c r="AB265" s="5">
        <f t="shared" si="94"/>
        <v>0</v>
      </c>
    </row>
    <row r="266" spans="4:28" x14ac:dyDescent="0.25">
      <c r="D266" t="s">
        <v>95</v>
      </c>
      <c r="E266" s="64"/>
      <c r="F266" s="64"/>
      <c r="G266">
        <f>IFERROR(HLOOKUP(G$2,[10]table_male_hkom1_inj.U3!$A$1:$K$36,27,FALSE),0)</f>
        <v>0</v>
      </c>
      <c r="H266">
        <f>IFERROR(HLOOKUP(H$2,[10]table_male_hkom1_inj.U3!$A$1:$K$36,27,FALSE),0)</f>
        <v>0</v>
      </c>
      <c r="I266">
        <f>IFERROR(HLOOKUP(I$2,[10]table_male_hkom1_inj.U3!$A$1:$K$36,27,FALSE),0)</f>
        <v>0</v>
      </c>
      <c r="J266">
        <f>IFERROR(HLOOKUP(J$2,[10]table_male_hkom1_inj.U3!$A$1:$K$36,27,FALSE),0)</f>
        <v>0</v>
      </c>
      <c r="K266">
        <f>IFERROR(HLOOKUP(K$2,[10]table_male_hkom1_inj.U3!$A$1:$K$36,27,FALSE),0)</f>
        <v>0</v>
      </c>
      <c r="L266">
        <f>IFERROR(HLOOKUP(L$2,[10]table_male_hkom1_inj.U3!$A$1:$K$36,27,FALSE),0)</f>
        <v>0</v>
      </c>
      <c r="M266">
        <f t="shared" si="95"/>
        <v>0</v>
      </c>
      <c r="S266" t="s">
        <v>95</v>
      </c>
      <c r="T266" s="5">
        <f t="shared" si="86"/>
        <v>0</v>
      </c>
      <c r="U266" s="5">
        <f t="shared" si="87"/>
        <v>0</v>
      </c>
      <c r="V266" s="5">
        <f t="shared" si="88"/>
        <v>0</v>
      </c>
      <c r="W266" s="5">
        <f t="shared" si="89"/>
        <v>0</v>
      </c>
      <c r="X266" s="5">
        <f t="shared" si="90"/>
        <v>0</v>
      </c>
      <c r="Y266" s="5">
        <f t="shared" si="91"/>
        <v>0</v>
      </c>
      <c r="Z266" s="5">
        <f t="shared" si="92"/>
        <v>0</v>
      </c>
      <c r="AA266" s="5">
        <f t="shared" si="93"/>
        <v>0</v>
      </c>
      <c r="AB266" s="5">
        <f t="shared" si="94"/>
        <v>0</v>
      </c>
    </row>
    <row r="267" spans="4:28" x14ac:dyDescent="0.25">
      <c r="D267" t="s">
        <v>96</v>
      </c>
      <c r="E267" s="64"/>
      <c r="F267" s="64"/>
      <c r="G267">
        <f>IFERROR(HLOOKUP(G$2,[10]table_male_hkom1_inj.U3!$A$1:$K$36,28,FALSE),0)</f>
        <v>0</v>
      </c>
      <c r="H267">
        <f>IFERROR(HLOOKUP(H$2,[10]table_male_hkom1_inj.U3!$A$1:$K$36,28,FALSE),0)</f>
        <v>0</v>
      </c>
      <c r="I267">
        <f>IFERROR(HLOOKUP(I$2,[10]table_male_hkom1_inj.U3!$A$1:$K$36,28,FALSE),0)</f>
        <v>1</v>
      </c>
      <c r="J267">
        <f>IFERROR(HLOOKUP(J$2,[10]table_male_hkom1_inj.U3!$A$1:$K$36,28,FALSE),0)</f>
        <v>0</v>
      </c>
      <c r="K267">
        <f>IFERROR(HLOOKUP(K$2,[10]table_male_hkom1_inj.U3!$A$1:$K$36,28,FALSE),0)</f>
        <v>0</v>
      </c>
      <c r="L267">
        <f>IFERROR(HLOOKUP(L$2,[10]table_male_hkom1_inj.U3!$A$1:$K$36,28,FALSE),0)</f>
        <v>0</v>
      </c>
      <c r="M267">
        <f t="shared" si="95"/>
        <v>1</v>
      </c>
      <c r="S267" t="s">
        <v>96</v>
      </c>
      <c r="T267" s="5">
        <f t="shared" si="86"/>
        <v>0</v>
      </c>
      <c r="U267" s="5">
        <f t="shared" si="87"/>
        <v>0</v>
      </c>
      <c r="V267" s="5">
        <f t="shared" si="88"/>
        <v>0</v>
      </c>
      <c r="W267" s="5">
        <f t="shared" si="89"/>
        <v>0</v>
      </c>
      <c r="X267" s="5">
        <f t="shared" si="90"/>
        <v>1.0958579881656805</v>
      </c>
      <c r="Y267" s="5">
        <f t="shared" si="91"/>
        <v>0</v>
      </c>
      <c r="Z267" s="5">
        <f t="shared" si="92"/>
        <v>0</v>
      </c>
      <c r="AA267" s="5">
        <f t="shared" si="93"/>
        <v>0</v>
      </c>
      <c r="AB267" s="5">
        <f t="shared" si="94"/>
        <v>1.0958579881656805</v>
      </c>
    </row>
    <row r="268" spans="4:28" x14ac:dyDescent="0.25">
      <c r="D268" t="s">
        <v>97</v>
      </c>
      <c r="E268" s="64"/>
      <c r="F268" s="64"/>
      <c r="G268">
        <f>IFERROR(HLOOKUP(G$2,[10]table_male_hkom1_inj.U3!$A$1:$K$36,29,FALSE),0)</f>
        <v>0</v>
      </c>
      <c r="H268">
        <f>IFERROR(HLOOKUP(H$2,[10]table_male_hkom1_inj.U3!$A$1:$K$36,29,FALSE),0)</f>
        <v>0</v>
      </c>
      <c r="I268">
        <f>IFERROR(HLOOKUP(I$2,[10]table_male_hkom1_inj.U3!$A$1:$K$36,29,FALSE),0)</f>
        <v>0</v>
      </c>
      <c r="J268">
        <f>IFERROR(HLOOKUP(J$2,[10]table_male_hkom1_inj.U3!$A$1:$K$36,29,FALSE),0)</f>
        <v>0</v>
      </c>
      <c r="K268">
        <f>IFERROR(HLOOKUP(K$2,[10]table_male_hkom1_inj.U3!$A$1:$K$36,29,FALSE),0)</f>
        <v>0</v>
      </c>
      <c r="L268">
        <f>IFERROR(HLOOKUP(L$2,[10]table_male_hkom1_inj.U3!$A$1:$K$36,29,FALSE),0)</f>
        <v>0</v>
      </c>
      <c r="M268">
        <f t="shared" si="95"/>
        <v>0</v>
      </c>
      <c r="S268" t="s">
        <v>97</v>
      </c>
      <c r="T268" s="5">
        <f t="shared" si="86"/>
        <v>0</v>
      </c>
      <c r="U268" s="5">
        <f t="shared" si="87"/>
        <v>0</v>
      </c>
      <c r="V268" s="5">
        <f t="shared" si="88"/>
        <v>0</v>
      </c>
      <c r="W268" s="5">
        <f t="shared" si="89"/>
        <v>0</v>
      </c>
      <c r="X268" s="5">
        <f t="shared" si="90"/>
        <v>0</v>
      </c>
      <c r="Y268" s="5">
        <f t="shared" si="91"/>
        <v>0</v>
      </c>
      <c r="Z268" s="5">
        <f t="shared" si="92"/>
        <v>0</v>
      </c>
      <c r="AA268" s="5">
        <f t="shared" si="93"/>
        <v>0</v>
      </c>
      <c r="AB268" s="5">
        <f t="shared" si="94"/>
        <v>0</v>
      </c>
    </row>
    <row r="269" spans="4:28" x14ac:dyDescent="0.25">
      <c r="D269" t="s">
        <v>98</v>
      </c>
      <c r="E269" s="64"/>
      <c r="F269" s="64"/>
      <c r="G269">
        <f>IFERROR(HLOOKUP(G$2,[10]table_male_hkom1_inj.U3!$A$1:$K$36,30,FALSE),0)</f>
        <v>1</v>
      </c>
      <c r="H269">
        <f>IFERROR(HLOOKUP(H$2,[10]table_male_hkom1_inj.U3!$A$1:$K$36,30,FALSE),0)</f>
        <v>0</v>
      </c>
      <c r="I269">
        <f>IFERROR(HLOOKUP(I$2,[10]table_male_hkom1_inj.U3!$A$1:$K$36,30,FALSE),0)</f>
        <v>1</v>
      </c>
      <c r="J269">
        <f>IFERROR(HLOOKUP(J$2,[10]table_male_hkom1_inj.U3!$A$1:$K$36,30,FALSE),0)</f>
        <v>0</v>
      </c>
      <c r="K269">
        <f>IFERROR(HLOOKUP(K$2,[10]table_male_hkom1_inj.U3!$A$1:$K$36,30,FALSE),0)</f>
        <v>0</v>
      </c>
      <c r="L269">
        <f>IFERROR(HLOOKUP(L$2,[10]table_male_hkom1_inj.U3!$A$1:$K$36,30,FALSE),0)</f>
        <v>0</v>
      </c>
      <c r="M269">
        <f t="shared" si="95"/>
        <v>2</v>
      </c>
      <c r="S269" t="s">
        <v>98</v>
      </c>
      <c r="T269" s="5">
        <f t="shared" si="86"/>
        <v>0</v>
      </c>
      <c r="U269" s="5">
        <f t="shared" si="87"/>
        <v>0</v>
      </c>
      <c r="V269" s="5">
        <f t="shared" si="88"/>
        <v>1.1073345259391771</v>
      </c>
      <c r="W269" s="5">
        <f t="shared" si="89"/>
        <v>0</v>
      </c>
      <c r="X269" s="5">
        <f t="shared" si="90"/>
        <v>1.0958579881656805</v>
      </c>
      <c r="Y269" s="5">
        <f t="shared" si="91"/>
        <v>0</v>
      </c>
      <c r="Z269" s="5">
        <f t="shared" si="92"/>
        <v>0</v>
      </c>
      <c r="AA269" s="5">
        <f t="shared" si="93"/>
        <v>0</v>
      </c>
      <c r="AB269" s="5">
        <f t="shared" si="94"/>
        <v>2.2031925141048578</v>
      </c>
    </row>
    <row r="270" spans="4:28" x14ac:dyDescent="0.25">
      <c r="D270" t="s">
        <v>119</v>
      </c>
      <c r="E270" s="64"/>
      <c r="F270" s="64"/>
      <c r="G270">
        <f>IFERROR(HLOOKUP(G$2,[10]table_male_hkom1_inj.U3!$A$1:$K$36,31,FALSE),0)</f>
        <v>0</v>
      </c>
      <c r="H270">
        <f>IFERROR(HLOOKUP(H$2,[10]table_male_hkom1_inj.U3!$A$1:$K$36,31,FALSE),0)</f>
        <v>0</v>
      </c>
      <c r="I270">
        <f>IFERROR(HLOOKUP(I$2,[10]table_male_hkom1_inj.U3!$A$1:$K$36,31,FALSE),0)</f>
        <v>1</v>
      </c>
      <c r="J270">
        <f>IFERROR(HLOOKUP(J$2,[10]table_male_hkom1_inj.U3!$A$1:$K$36,31,FALSE),0)</f>
        <v>0</v>
      </c>
      <c r="K270">
        <f>IFERROR(HLOOKUP(K$2,[10]table_male_hkom1_inj.U3!$A$1:$K$36,31,FALSE),0)</f>
        <v>0</v>
      </c>
      <c r="L270">
        <f>IFERROR(HLOOKUP(L$2,[10]table_male_hkom1_inj.U3!$A$1:$K$36,31,FALSE),0)</f>
        <v>0</v>
      </c>
      <c r="M270">
        <f t="shared" si="95"/>
        <v>1</v>
      </c>
      <c r="S270" t="s">
        <v>119</v>
      </c>
      <c r="T270" s="5">
        <f t="shared" si="86"/>
        <v>0</v>
      </c>
      <c r="U270" s="5">
        <f t="shared" si="87"/>
        <v>0</v>
      </c>
      <c r="V270" s="5">
        <f t="shared" si="88"/>
        <v>0</v>
      </c>
      <c r="W270" s="5">
        <f t="shared" si="89"/>
        <v>0</v>
      </c>
      <c r="X270" s="5">
        <f t="shared" si="90"/>
        <v>1.0958579881656805</v>
      </c>
      <c r="Y270" s="5">
        <f t="shared" si="91"/>
        <v>0</v>
      </c>
      <c r="Z270" s="5">
        <f t="shared" si="92"/>
        <v>0</v>
      </c>
      <c r="AA270" s="5">
        <f t="shared" si="93"/>
        <v>0</v>
      </c>
      <c r="AB270" s="5">
        <f t="shared" si="94"/>
        <v>1.0958579881656805</v>
      </c>
    </row>
    <row r="271" spans="4:28" x14ac:dyDescent="0.25">
      <c r="D271" t="s">
        <v>99</v>
      </c>
      <c r="E271" s="64"/>
      <c r="F271" s="64"/>
      <c r="G271">
        <f>IFERROR(HLOOKUP(G$2,[10]table_male_hkom1_inj.U3!$A$1:$K$36,32,FALSE),0)</f>
        <v>0</v>
      </c>
      <c r="H271">
        <f>IFERROR(HLOOKUP(H$2,[10]table_male_hkom1_inj.U3!$A$1:$K$36,32,FALSE),0)</f>
        <v>6</v>
      </c>
      <c r="I271">
        <f>IFERROR(HLOOKUP(I$2,[10]table_male_hkom1_inj.U3!$A$1:$K$36,32,FALSE),0)</f>
        <v>2</v>
      </c>
      <c r="J271">
        <f>IFERROR(HLOOKUP(J$2,[10]table_male_hkom1_inj.U3!$A$1:$K$36,32,FALSE),0)</f>
        <v>0</v>
      </c>
      <c r="K271">
        <f>IFERROR(HLOOKUP(K$2,[10]table_male_hkom1_inj.U3!$A$1:$K$36,32,FALSE),0)</f>
        <v>0</v>
      </c>
      <c r="L271">
        <f>IFERROR(HLOOKUP(L$2,[10]table_male_hkom1_inj.U3!$A$1:$K$36,32,FALSE),0)</f>
        <v>0</v>
      </c>
      <c r="M271">
        <f t="shared" si="95"/>
        <v>8</v>
      </c>
      <c r="S271" t="s">
        <v>99</v>
      </c>
      <c r="T271" s="5">
        <f t="shared" si="86"/>
        <v>0</v>
      </c>
      <c r="U271" s="5">
        <f t="shared" si="87"/>
        <v>0</v>
      </c>
      <c r="V271" s="5">
        <f t="shared" si="88"/>
        <v>0</v>
      </c>
      <c r="W271" s="5">
        <f t="shared" si="89"/>
        <v>6.7530966143682907</v>
      </c>
      <c r="X271" s="5">
        <f t="shared" si="90"/>
        <v>2.1917159763313609</v>
      </c>
      <c r="Y271" s="5">
        <f t="shared" si="91"/>
        <v>0</v>
      </c>
      <c r="Z271" s="5">
        <f t="shared" si="92"/>
        <v>0</v>
      </c>
      <c r="AA271" s="5">
        <f t="shared" si="93"/>
        <v>0</v>
      </c>
      <c r="AB271" s="5">
        <f t="shared" si="94"/>
        <v>8.9448125906996516</v>
      </c>
    </row>
    <row r="272" spans="4:28" x14ac:dyDescent="0.25">
      <c r="D272" t="s">
        <v>100</v>
      </c>
      <c r="E272" s="64"/>
      <c r="F272" s="64"/>
      <c r="G272">
        <f>IFERROR(HLOOKUP(G$2,[10]table_male_hkom1_inj.U3!$A$1:$K$36,33,FALSE),0)</f>
        <v>1</v>
      </c>
      <c r="H272">
        <f>IFERROR(HLOOKUP(H$2,[10]table_male_hkom1_inj.U3!$A$1:$K$36,33,FALSE),0)</f>
        <v>2</v>
      </c>
      <c r="I272">
        <f>IFERROR(HLOOKUP(I$2,[10]table_male_hkom1_inj.U3!$A$1:$K$36,33,FALSE),0)</f>
        <v>0</v>
      </c>
      <c r="J272">
        <f>IFERROR(HLOOKUP(J$2,[10]table_male_hkom1_inj.U3!$A$1:$K$36,33,FALSE),0)</f>
        <v>0</v>
      </c>
      <c r="K272">
        <f>IFERROR(HLOOKUP(K$2,[10]table_male_hkom1_inj.U3!$A$1:$K$36,33,FALSE),0)</f>
        <v>1</v>
      </c>
      <c r="L272">
        <f>IFERROR(HLOOKUP(L$2,[10]table_male_hkom1_inj.U3!$A$1:$K$36,33,FALSE),0)</f>
        <v>0</v>
      </c>
      <c r="M272">
        <f t="shared" si="95"/>
        <v>4</v>
      </c>
      <c r="S272" t="s">
        <v>100</v>
      </c>
      <c r="T272" s="5">
        <f t="shared" si="86"/>
        <v>0</v>
      </c>
      <c r="U272" s="5">
        <f t="shared" si="87"/>
        <v>0</v>
      </c>
      <c r="V272" s="5">
        <f t="shared" si="88"/>
        <v>1.1073345259391771</v>
      </c>
      <c r="W272" s="5">
        <f t="shared" si="89"/>
        <v>2.2510322047894302</v>
      </c>
      <c r="X272" s="5">
        <f t="shared" si="90"/>
        <v>0</v>
      </c>
      <c r="Y272" s="5">
        <f t="shared" si="91"/>
        <v>0</v>
      </c>
      <c r="Z272" s="5">
        <f t="shared" si="92"/>
        <v>1</v>
      </c>
      <c r="AA272" s="5">
        <f t="shared" si="93"/>
        <v>0</v>
      </c>
      <c r="AB272" s="5">
        <f t="shared" si="94"/>
        <v>4.3583667307286076</v>
      </c>
    </row>
    <row r="273" spans="1:29" x14ac:dyDescent="0.25">
      <c r="D273" t="s">
        <v>101</v>
      </c>
      <c r="E273" s="64"/>
      <c r="F273" s="64"/>
      <c r="G273">
        <f>IFERROR(HLOOKUP(G$2,[10]table_male_hkom1_inj.U3!$A$1:$K$36,34,FALSE),0)</f>
        <v>10</v>
      </c>
      <c r="H273">
        <f>IFERROR(HLOOKUP(H$2,[10]table_male_hkom1_inj.U3!$A$1:$K$36,34,FALSE),0)</f>
        <v>29</v>
      </c>
      <c r="I273">
        <f>IFERROR(HLOOKUP(I$2,[10]table_male_hkom1_inj.U3!$A$1:$K$36,34,FALSE),0)</f>
        <v>10</v>
      </c>
      <c r="J273">
        <f>IFERROR(HLOOKUP(J$2,[10]table_male_hkom1_inj.U3!$A$1:$K$36,34,FALSE),0)</f>
        <v>4</v>
      </c>
      <c r="K273">
        <f>IFERROR(HLOOKUP(K$2,[10]table_male_hkom1_inj.U3!$A$1:$K$36,34,FALSE),0)</f>
        <v>0</v>
      </c>
      <c r="L273">
        <f>IFERROR(HLOOKUP(L$2,[10]table_male_hkom1_inj.U3!$A$1:$K$36,34,FALSE),0)</f>
        <v>0</v>
      </c>
      <c r="M273">
        <f t="shared" si="95"/>
        <v>53</v>
      </c>
      <c r="S273" t="s">
        <v>101</v>
      </c>
      <c r="T273" s="5">
        <f t="shared" si="86"/>
        <v>0</v>
      </c>
      <c r="U273" s="5">
        <f t="shared" si="87"/>
        <v>0</v>
      </c>
      <c r="V273" s="5">
        <f t="shared" si="88"/>
        <v>11.073345259391772</v>
      </c>
      <c r="W273" s="5">
        <f t="shared" si="89"/>
        <v>32.639966969446739</v>
      </c>
      <c r="X273" s="5">
        <f t="shared" si="90"/>
        <v>10.958579881656805</v>
      </c>
      <c r="Y273" s="5">
        <f t="shared" si="91"/>
        <v>4.5777777777777775</v>
      </c>
      <c r="Z273" s="5">
        <f t="shared" si="92"/>
        <v>0</v>
      </c>
      <c r="AA273" s="5">
        <f t="shared" si="93"/>
        <v>0</v>
      </c>
      <c r="AB273" s="5">
        <f t="shared" si="94"/>
        <v>59.24966988827309</v>
      </c>
    </row>
    <row r="274" spans="1:29" x14ac:dyDescent="0.25">
      <c r="D274" t="s">
        <v>102</v>
      </c>
      <c r="E274" s="64"/>
      <c r="F274" s="64"/>
      <c r="G274">
        <f>IFERROR(HLOOKUP(G$2,[10]table_male_hkom1_inj.U3!$A$1:$K$36,35,FALSE),0)</f>
        <v>60</v>
      </c>
      <c r="H274">
        <f>IFERROR(HLOOKUP(H$2,[10]table_male_hkom1_inj.U3!$A$1:$K$36,35,FALSE),0)</f>
        <v>152</v>
      </c>
      <c r="I274">
        <f>IFERROR(HLOOKUP(I$2,[10]table_male_hkom1_inj.U3!$A$1:$K$36,35,FALSE),0)</f>
        <v>81</v>
      </c>
      <c r="J274">
        <f>IFERROR(HLOOKUP(J$2,[10]table_male_hkom1_inj.U3!$A$1:$K$36,35,FALSE),0)</f>
        <v>13</v>
      </c>
      <c r="K274">
        <f>IFERROR(HLOOKUP(K$2,[10]table_male_hkom1_inj.U3!$A$1:$K$36,35,FALSE),0)</f>
        <v>0</v>
      </c>
      <c r="L274">
        <f>IFERROR(HLOOKUP(L$2,[10]table_male_hkom1_inj.U3!$A$1:$K$36,35,FALSE),0)</f>
        <v>0</v>
      </c>
      <c r="M274">
        <f t="shared" si="95"/>
        <v>306</v>
      </c>
      <c r="N274">
        <f>SUM(M241:M274)</f>
        <v>3030</v>
      </c>
      <c r="O274" s="8">
        <f>SUM([10]table_male_hkom1_inj.U3!$B$2:$L$37)</f>
        <v>3030</v>
      </c>
      <c r="S274" t="s">
        <v>102</v>
      </c>
      <c r="T274" s="7"/>
      <c r="U274" s="7"/>
      <c r="V274" s="7"/>
      <c r="W274" s="7"/>
      <c r="X274" s="7"/>
      <c r="Y274" s="7"/>
      <c r="Z274" s="7"/>
      <c r="AA274" s="7"/>
      <c r="AB274" s="7"/>
      <c r="AC274" s="5">
        <f>SUM(AB241:AB273)</f>
        <v>3030.0000000000005</v>
      </c>
    </row>
    <row r="275" spans="1:29" x14ac:dyDescent="0.25">
      <c r="A275" t="s">
        <v>104</v>
      </c>
      <c r="B275" t="s">
        <v>103</v>
      </c>
      <c r="C275" t="s">
        <v>112</v>
      </c>
      <c r="D275" t="s">
        <v>70</v>
      </c>
      <c r="E275" s="64"/>
      <c r="F275" s="64"/>
      <c r="G275">
        <f>IFERROR(HLOOKUP(G$2,[11]table_male_hkom1_inj.U4!$A$1:$K$36,2,FALSE),0)</f>
        <v>0</v>
      </c>
      <c r="H275">
        <f>IFERROR(HLOOKUP(H$2,[11]table_male_hkom1_inj.U4!$A$1:$K$36,2,FALSE),0)</f>
        <v>0</v>
      </c>
      <c r="I275">
        <f>IFERROR(HLOOKUP(I$2,[11]table_male_hkom1_inj.U4!$A$1:$K$36,2,FALSE),0)</f>
        <v>0</v>
      </c>
      <c r="J275">
        <f>IFERROR(HLOOKUP(J$2,[11]table_male_hkom1_inj.U4!$A$1:$K$36,2,FALSE),0)</f>
        <v>0</v>
      </c>
      <c r="K275">
        <f>IFERROR(HLOOKUP(K$2,[11]table_male_hkom1_inj.U4!$A$1:$K$36,2,FALSE),0)</f>
        <v>0</v>
      </c>
      <c r="L275">
        <f>IFERROR(HLOOKUP(L$2,[11]table_male_hkom1_inj.U4!$A$1:$K$36,2,FALSE),0)</f>
        <v>0</v>
      </c>
      <c r="M275">
        <f t="shared" si="95"/>
        <v>0</v>
      </c>
      <c r="P275" t="s">
        <v>104</v>
      </c>
      <c r="Q275" t="s">
        <v>103</v>
      </c>
      <c r="R275" t="s">
        <v>112</v>
      </c>
      <c r="S275" t="s">
        <v>70</v>
      </c>
      <c r="T275" s="5">
        <f>IF(SUM(E$275:E$307)=0,E$308/33,E275+IFERROR(E275/SUM(E$275:E$307)*E$308,0))</f>
        <v>0</v>
      </c>
      <c r="U275" s="5">
        <f t="shared" ref="U275:AA275" si="96">IF(SUM(F$275:F$307)=0,F$308/33,F275+IFERROR(F275/SUM(F$275:F$307)*F$308,0))</f>
        <v>0</v>
      </c>
      <c r="V275" s="5">
        <f t="shared" si="96"/>
        <v>0</v>
      </c>
      <c r="W275" s="5">
        <f t="shared" si="96"/>
        <v>0</v>
      </c>
      <c r="X275" s="5">
        <f t="shared" si="96"/>
        <v>0</v>
      </c>
      <c r="Y275" s="5">
        <f t="shared" si="96"/>
        <v>3.0303030303030304E-2</v>
      </c>
      <c r="Z275" s="5">
        <f t="shared" si="96"/>
        <v>0</v>
      </c>
      <c r="AA275" s="5">
        <f t="shared" si="96"/>
        <v>0</v>
      </c>
      <c r="AB275" s="5">
        <f>SUM(T275:AA275)</f>
        <v>3.0303030303030304E-2</v>
      </c>
    </row>
    <row r="276" spans="1:29" x14ac:dyDescent="0.25">
      <c r="D276" t="s">
        <v>71</v>
      </c>
      <c r="E276" s="64"/>
      <c r="F276" s="64"/>
      <c r="G276">
        <f>IFERROR(HLOOKUP(G$2,[11]table_male_hkom1_inj.U4!$A$1:$K$36,3,FALSE),0)</f>
        <v>0</v>
      </c>
      <c r="H276">
        <f>IFERROR(HLOOKUP(H$2,[11]table_male_hkom1_inj.U4!$A$1:$K$36,3,FALSE),0)</f>
        <v>0</v>
      </c>
      <c r="I276">
        <f>IFERROR(HLOOKUP(I$2,[11]table_male_hkom1_inj.U4!$A$1:$K$36,3,FALSE),0)</f>
        <v>0</v>
      </c>
      <c r="J276">
        <f>IFERROR(HLOOKUP(J$2,[11]table_male_hkom1_inj.U4!$A$1:$K$36,3,FALSE),0)</f>
        <v>0</v>
      </c>
      <c r="K276">
        <f>IFERROR(HLOOKUP(K$2,[11]table_male_hkom1_inj.U4!$A$1:$K$36,3,FALSE),0)</f>
        <v>0</v>
      </c>
      <c r="L276">
        <f>IFERROR(HLOOKUP(L$2,[11]table_male_hkom1_inj.U4!$A$1:$K$36,3,FALSE),0)</f>
        <v>0</v>
      </c>
      <c r="M276">
        <f t="shared" si="95"/>
        <v>0</v>
      </c>
      <c r="S276" t="s">
        <v>71</v>
      </c>
      <c r="T276" s="5">
        <f t="shared" ref="T276:T307" si="97">IF(SUM(E$275:E$307)=0,E$308/33,E276+IFERROR(E276/SUM(E$275:E$307)*E$308,0))</f>
        <v>0</v>
      </c>
      <c r="U276" s="5">
        <f t="shared" ref="U276:U307" si="98">IF(SUM(F$275:F$307)=0,F$308/33,F276+IFERROR(F276/SUM(F$275:F$307)*F$308,0))</f>
        <v>0</v>
      </c>
      <c r="V276" s="5">
        <f t="shared" ref="V276:V307" si="99">IF(SUM(G$275:G$307)=0,G$308/33,G276+IFERROR(G276/SUM(G$275:G$307)*G$308,0))</f>
        <v>0</v>
      </c>
      <c r="W276" s="5">
        <f t="shared" ref="W276:W307" si="100">IF(SUM(H$275:H$307)=0,H$308/33,H276+IFERROR(H276/SUM(H$275:H$307)*H$308,0))</f>
        <v>0</v>
      </c>
      <c r="X276" s="5">
        <f t="shared" ref="X276:X307" si="101">IF(SUM(I$275:I$307)=0,I$308/33,I276+IFERROR(I276/SUM(I$275:I$307)*I$308,0))</f>
        <v>0</v>
      </c>
      <c r="Y276" s="5">
        <f t="shared" ref="Y276:Y307" si="102">IF(SUM(J$275:J$307)=0,J$308/33,J276+IFERROR(J276/SUM(J$275:J$307)*J$308,0))</f>
        <v>3.0303030303030304E-2</v>
      </c>
      <c r="Z276" s="5">
        <f t="shared" ref="Z276:Z307" si="103">IF(SUM(K$275:K$307)=0,K$308/33,K276+IFERROR(K276/SUM(K$275:K$307)*K$308,0))</f>
        <v>0</v>
      </c>
      <c r="AA276" s="5">
        <f t="shared" ref="AA276:AA307" si="104">IF(SUM(L$275:L$307)=0,L$308/33,L276+IFERROR(L276/SUM(L$275:L$307)*L$308,0))</f>
        <v>0</v>
      </c>
      <c r="AB276" s="5">
        <f t="shared" ref="AB276:AB339" si="105">SUM(T276:AA276)</f>
        <v>3.0303030303030304E-2</v>
      </c>
    </row>
    <row r="277" spans="1:29" x14ac:dyDescent="0.25">
      <c r="D277" t="s">
        <v>72</v>
      </c>
      <c r="E277" s="64"/>
      <c r="F277" s="64"/>
      <c r="G277">
        <f>IFERROR(HLOOKUP(G$2,[11]table_male_hkom1_inj.U4!$A$1:$K$36,4,FALSE),0)</f>
        <v>0</v>
      </c>
      <c r="H277">
        <f>IFERROR(HLOOKUP(H$2,[11]table_male_hkom1_inj.U4!$A$1:$K$36,4,FALSE),0)</f>
        <v>0</v>
      </c>
      <c r="I277">
        <f>IFERROR(HLOOKUP(I$2,[11]table_male_hkom1_inj.U4!$A$1:$K$36,4,FALSE),0)</f>
        <v>0</v>
      </c>
      <c r="J277">
        <f>IFERROR(HLOOKUP(J$2,[11]table_male_hkom1_inj.U4!$A$1:$K$36,4,FALSE),0)</f>
        <v>0</v>
      </c>
      <c r="K277">
        <f>IFERROR(HLOOKUP(K$2,[11]table_male_hkom1_inj.U4!$A$1:$K$36,4,FALSE),0)</f>
        <v>0</v>
      </c>
      <c r="L277">
        <f>IFERROR(HLOOKUP(L$2,[11]table_male_hkom1_inj.U4!$A$1:$K$36,4,FALSE),0)</f>
        <v>0</v>
      </c>
      <c r="M277">
        <f t="shared" si="95"/>
        <v>0</v>
      </c>
      <c r="S277" t="s">
        <v>72</v>
      </c>
      <c r="T277" s="5">
        <f t="shared" si="97"/>
        <v>0</v>
      </c>
      <c r="U277" s="5">
        <f t="shared" si="98"/>
        <v>0</v>
      </c>
      <c r="V277" s="5">
        <f t="shared" si="99"/>
        <v>0</v>
      </c>
      <c r="W277" s="5">
        <f t="shared" si="100"/>
        <v>0</v>
      </c>
      <c r="X277" s="5">
        <f t="shared" si="101"/>
        <v>0</v>
      </c>
      <c r="Y277" s="5">
        <f t="shared" si="102"/>
        <v>3.0303030303030304E-2</v>
      </c>
      <c r="Z277" s="5">
        <f t="shared" si="103"/>
        <v>0</v>
      </c>
      <c r="AA277" s="5">
        <f t="shared" si="104"/>
        <v>0</v>
      </c>
      <c r="AB277" s="5">
        <f t="shared" si="105"/>
        <v>3.0303030303030304E-2</v>
      </c>
    </row>
    <row r="278" spans="1:29" x14ac:dyDescent="0.25">
      <c r="D278" t="s">
        <v>73</v>
      </c>
      <c r="E278" s="64"/>
      <c r="F278" s="64"/>
      <c r="G278">
        <f>IFERROR(HLOOKUP(G$2,[11]table_male_hkom1_inj.U4!$A$1:$K$36,5,FALSE),0)</f>
        <v>0</v>
      </c>
      <c r="H278">
        <f>IFERROR(HLOOKUP(H$2,[11]table_male_hkom1_inj.U4!$A$1:$K$36,5,FALSE),0)</f>
        <v>0</v>
      </c>
      <c r="I278">
        <f>IFERROR(HLOOKUP(I$2,[11]table_male_hkom1_inj.U4!$A$1:$K$36,5,FALSE),0)</f>
        <v>0</v>
      </c>
      <c r="J278">
        <f>IFERROR(HLOOKUP(J$2,[11]table_male_hkom1_inj.U4!$A$1:$K$36,5,FALSE),0)</f>
        <v>0</v>
      </c>
      <c r="K278">
        <f>IFERROR(HLOOKUP(K$2,[11]table_male_hkom1_inj.U4!$A$1:$K$36,5,FALSE),0)</f>
        <v>0</v>
      </c>
      <c r="L278">
        <f>IFERROR(HLOOKUP(L$2,[11]table_male_hkom1_inj.U4!$A$1:$K$36,5,FALSE),0)</f>
        <v>0</v>
      </c>
      <c r="M278">
        <f t="shared" si="95"/>
        <v>0</v>
      </c>
      <c r="S278" t="s">
        <v>73</v>
      </c>
      <c r="T278" s="5">
        <f t="shared" si="97"/>
        <v>0</v>
      </c>
      <c r="U278" s="5">
        <f t="shared" si="98"/>
        <v>0</v>
      </c>
      <c r="V278" s="5">
        <f t="shared" si="99"/>
        <v>0</v>
      </c>
      <c r="W278" s="5">
        <f t="shared" si="100"/>
        <v>0</v>
      </c>
      <c r="X278" s="5">
        <f t="shared" si="101"/>
        <v>0</v>
      </c>
      <c r="Y278" s="5">
        <f t="shared" si="102"/>
        <v>3.0303030303030304E-2</v>
      </c>
      <c r="Z278" s="5">
        <f t="shared" si="103"/>
        <v>0</v>
      </c>
      <c r="AA278" s="5">
        <f t="shared" si="104"/>
        <v>0</v>
      </c>
      <c r="AB278" s="5">
        <f t="shared" si="105"/>
        <v>3.0303030303030304E-2</v>
      </c>
    </row>
    <row r="279" spans="1:29" x14ac:dyDescent="0.25">
      <c r="D279" t="s">
        <v>74</v>
      </c>
      <c r="E279" s="64"/>
      <c r="F279" s="64"/>
      <c r="G279">
        <f>IFERROR(HLOOKUP(G$2,[11]table_male_hkom1_inj.U4!$A$1:$K$36,6,FALSE),0)</f>
        <v>0</v>
      </c>
      <c r="H279">
        <f>IFERROR(HLOOKUP(H$2,[11]table_male_hkom1_inj.U4!$A$1:$K$36,6,FALSE),0)</f>
        <v>0</v>
      </c>
      <c r="I279">
        <f>IFERROR(HLOOKUP(I$2,[11]table_male_hkom1_inj.U4!$A$1:$K$36,6,FALSE),0)</f>
        <v>0</v>
      </c>
      <c r="J279">
        <f>IFERROR(HLOOKUP(J$2,[11]table_male_hkom1_inj.U4!$A$1:$K$36,6,FALSE),0)</f>
        <v>0</v>
      </c>
      <c r="K279">
        <f>IFERROR(HLOOKUP(K$2,[11]table_male_hkom1_inj.U4!$A$1:$K$36,6,FALSE),0)</f>
        <v>0</v>
      </c>
      <c r="L279">
        <f>IFERROR(HLOOKUP(L$2,[11]table_male_hkom1_inj.U4!$A$1:$K$36,6,FALSE),0)</f>
        <v>0</v>
      </c>
      <c r="M279">
        <f t="shared" si="95"/>
        <v>0</v>
      </c>
      <c r="S279" t="s">
        <v>74</v>
      </c>
      <c r="T279" s="5">
        <f t="shared" si="97"/>
        <v>0</v>
      </c>
      <c r="U279" s="5">
        <f t="shared" si="98"/>
        <v>0</v>
      </c>
      <c r="V279" s="5">
        <f t="shared" si="99"/>
        <v>0</v>
      </c>
      <c r="W279" s="5">
        <f t="shared" si="100"/>
        <v>0</v>
      </c>
      <c r="X279" s="5">
        <f t="shared" si="101"/>
        <v>0</v>
      </c>
      <c r="Y279" s="5">
        <f t="shared" si="102"/>
        <v>3.0303030303030304E-2</v>
      </c>
      <c r="Z279" s="5">
        <f t="shared" si="103"/>
        <v>0</v>
      </c>
      <c r="AA279" s="5">
        <f t="shared" si="104"/>
        <v>0</v>
      </c>
      <c r="AB279" s="5">
        <f t="shared" si="105"/>
        <v>3.0303030303030304E-2</v>
      </c>
    </row>
    <row r="280" spans="1:29" x14ac:dyDescent="0.25">
      <c r="D280" t="s">
        <v>75</v>
      </c>
      <c r="E280" s="64"/>
      <c r="F280" s="64"/>
      <c r="G280">
        <f>IFERROR(HLOOKUP(G$2,[11]table_male_hkom1_inj.U4!$A$1:$K$36,7,FALSE),0)</f>
        <v>0</v>
      </c>
      <c r="H280">
        <f>IFERROR(HLOOKUP(H$2,[11]table_male_hkom1_inj.U4!$A$1:$K$36,7,FALSE),0)</f>
        <v>0</v>
      </c>
      <c r="I280">
        <f>IFERROR(HLOOKUP(I$2,[11]table_male_hkom1_inj.U4!$A$1:$K$36,7,FALSE),0)</f>
        <v>0</v>
      </c>
      <c r="J280">
        <f>IFERROR(HLOOKUP(J$2,[11]table_male_hkom1_inj.U4!$A$1:$K$36,7,FALSE),0)</f>
        <v>0</v>
      </c>
      <c r="K280">
        <f>IFERROR(HLOOKUP(K$2,[11]table_male_hkom1_inj.U4!$A$1:$K$36,7,FALSE),0)</f>
        <v>0</v>
      </c>
      <c r="L280">
        <f>IFERROR(HLOOKUP(L$2,[11]table_male_hkom1_inj.U4!$A$1:$K$36,7,FALSE),0)</f>
        <v>0</v>
      </c>
      <c r="M280">
        <f t="shared" si="95"/>
        <v>0</v>
      </c>
      <c r="S280" t="s">
        <v>75</v>
      </c>
      <c r="T280" s="5">
        <f t="shared" si="97"/>
        <v>0</v>
      </c>
      <c r="U280" s="5">
        <f t="shared" si="98"/>
        <v>0</v>
      </c>
      <c r="V280" s="5">
        <f t="shared" si="99"/>
        <v>0</v>
      </c>
      <c r="W280" s="5">
        <f t="shared" si="100"/>
        <v>0</v>
      </c>
      <c r="X280" s="5">
        <f t="shared" si="101"/>
        <v>0</v>
      </c>
      <c r="Y280" s="5">
        <f t="shared" si="102"/>
        <v>3.0303030303030304E-2</v>
      </c>
      <c r="Z280" s="5">
        <f t="shared" si="103"/>
        <v>0</v>
      </c>
      <c r="AA280" s="5">
        <f t="shared" si="104"/>
        <v>0</v>
      </c>
      <c r="AB280" s="5">
        <f t="shared" si="105"/>
        <v>3.0303030303030304E-2</v>
      </c>
    </row>
    <row r="281" spans="1:29" x14ac:dyDescent="0.25">
      <c r="D281" t="s">
        <v>76</v>
      </c>
      <c r="E281" s="64"/>
      <c r="F281" s="64"/>
      <c r="G281">
        <f>IFERROR(HLOOKUP(G$2,[11]table_male_hkom1_inj.U4!$A$1:$K$36,8,FALSE),0)</f>
        <v>0</v>
      </c>
      <c r="H281">
        <f>IFERROR(HLOOKUP(H$2,[11]table_male_hkom1_inj.U4!$A$1:$K$36,8,FALSE),0)</f>
        <v>0</v>
      </c>
      <c r="I281">
        <f>IFERROR(HLOOKUP(I$2,[11]table_male_hkom1_inj.U4!$A$1:$K$36,8,FALSE),0)</f>
        <v>0</v>
      </c>
      <c r="J281">
        <f>IFERROR(HLOOKUP(J$2,[11]table_male_hkom1_inj.U4!$A$1:$K$36,8,FALSE),0)</f>
        <v>0</v>
      </c>
      <c r="K281">
        <f>IFERROR(HLOOKUP(K$2,[11]table_male_hkom1_inj.U4!$A$1:$K$36,8,FALSE),0)</f>
        <v>0</v>
      </c>
      <c r="L281">
        <f>IFERROR(HLOOKUP(L$2,[11]table_male_hkom1_inj.U4!$A$1:$K$36,8,FALSE),0)</f>
        <v>0</v>
      </c>
      <c r="M281">
        <f t="shared" si="95"/>
        <v>0</v>
      </c>
      <c r="S281" t="s">
        <v>76</v>
      </c>
      <c r="T281" s="5">
        <f t="shared" si="97"/>
        <v>0</v>
      </c>
      <c r="U281" s="5">
        <f t="shared" si="98"/>
        <v>0</v>
      </c>
      <c r="V281" s="5">
        <f t="shared" si="99"/>
        <v>0</v>
      </c>
      <c r="W281" s="5">
        <f t="shared" si="100"/>
        <v>0</v>
      </c>
      <c r="X281" s="5">
        <f t="shared" si="101"/>
        <v>0</v>
      </c>
      <c r="Y281" s="5">
        <f t="shared" si="102"/>
        <v>3.0303030303030304E-2</v>
      </c>
      <c r="Z281" s="5">
        <f t="shared" si="103"/>
        <v>0</v>
      </c>
      <c r="AA281" s="5">
        <f t="shared" si="104"/>
        <v>0</v>
      </c>
      <c r="AB281" s="5">
        <f t="shared" si="105"/>
        <v>3.0303030303030304E-2</v>
      </c>
    </row>
    <row r="282" spans="1:29" x14ac:dyDescent="0.25">
      <c r="D282" t="s">
        <v>77</v>
      </c>
      <c r="E282" s="64"/>
      <c r="F282" s="64"/>
      <c r="G282">
        <f>IFERROR(HLOOKUP(G$2,[11]table_male_hkom1_inj.U4!$A$1:$K$36,9,FALSE),0)</f>
        <v>0</v>
      </c>
      <c r="H282">
        <f>IFERROR(HLOOKUP(H$2,[11]table_male_hkom1_inj.U4!$A$1:$K$36,9,FALSE),0)</f>
        <v>0</v>
      </c>
      <c r="I282">
        <f>IFERROR(HLOOKUP(I$2,[11]table_male_hkom1_inj.U4!$A$1:$K$36,9,FALSE),0)</f>
        <v>0</v>
      </c>
      <c r="J282">
        <f>IFERROR(HLOOKUP(J$2,[11]table_male_hkom1_inj.U4!$A$1:$K$36,9,FALSE),0)</f>
        <v>0</v>
      </c>
      <c r="K282">
        <f>IFERROR(HLOOKUP(K$2,[11]table_male_hkom1_inj.U4!$A$1:$K$36,9,FALSE),0)</f>
        <v>0</v>
      </c>
      <c r="L282">
        <f>IFERROR(HLOOKUP(L$2,[11]table_male_hkom1_inj.U4!$A$1:$K$36,9,FALSE),0)</f>
        <v>0</v>
      </c>
      <c r="M282">
        <f t="shared" si="95"/>
        <v>0</v>
      </c>
      <c r="S282" t="s">
        <v>77</v>
      </c>
      <c r="T282" s="5">
        <f t="shared" si="97"/>
        <v>0</v>
      </c>
      <c r="U282" s="5">
        <f t="shared" si="98"/>
        <v>0</v>
      </c>
      <c r="V282" s="5">
        <f t="shared" si="99"/>
        <v>0</v>
      </c>
      <c r="W282" s="5">
        <f t="shared" si="100"/>
        <v>0</v>
      </c>
      <c r="X282" s="5">
        <f t="shared" si="101"/>
        <v>0</v>
      </c>
      <c r="Y282" s="5">
        <f t="shared" si="102"/>
        <v>3.0303030303030304E-2</v>
      </c>
      <c r="Z282" s="5">
        <f t="shared" si="103"/>
        <v>0</v>
      </c>
      <c r="AA282" s="5">
        <f t="shared" si="104"/>
        <v>0</v>
      </c>
      <c r="AB282" s="5">
        <f t="shared" si="105"/>
        <v>3.0303030303030304E-2</v>
      </c>
    </row>
    <row r="283" spans="1:29" x14ac:dyDescent="0.25">
      <c r="D283" t="s">
        <v>78</v>
      </c>
      <c r="E283" s="64"/>
      <c r="F283" s="64"/>
      <c r="G283">
        <f>IFERROR(HLOOKUP(G$2,[11]table_male_hkom1_inj.U4!$A$1:$K$36,10,FALSE),0)</f>
        <v>0</v>
      </c>
      <c r="H283">
        <f>IFERROR(HLOOKUP(H$2,[11]table_male_hkom1_inj.U4!$A$1:$K$36,10,FALSE),0)</f>
        <v>0</v>
      </c>
      <c r="I283">
        <f>IFERROR(HLOOKUP(I$2,[11]table_male_hkom1_inj.U4!$A$1:$K$36,10,FALSE),0)</f>
        <v>0</v>
      </c>
      <c r="J283">
        <f>IFERROR(HLOOKUP(J$2,[11]table_male_hkom1_inj.U4!$A$1:$K$36,10,FALSE),0)</f>
        <v>0</v>
      </c>
      <c r="K283">
        <f>IFERROR(HLOOKUP(K$2,[11]table_male_hkom1_inj.U4!$A$1:$K$36,10,FALSE),0)</f>
        <v>0</v>
      </c>
      <c r="L283">
        <f>IFERROR(HLOOKUP(L$2,[11]table_male_hkom1_inj.U4!$A$1:$K$36,10,FALSE),0)</f>
        <v>0</v>
      </c>
      <c r="M283">
        <f t="shared" si="95"/>
        <v>0</v>
      </c>
      <c r="S283" t="s">
        <v>78</v>
      </c>
      <c r="T283" s="5">
        <f t="shared" si="97"/>
        <v>0</v>
      </c>
      <c r="U283" s="5">
        <f t="shared" si="98"/>
        <v>0</v>
      </c>
      <c r="V283" s="5">
        <f t="shared" si="99"/>
        <v>0</v>
      </c>
      <c r="W283" s="5">
        <f t="shared" si="100"/>
        <v>0</v>
      </c>
      <c r="X283" s="5">
        <f t="shared" si="101"/>
        <v>0</v>
      </c>
      <c r="Y283" s="5">
        <f t="shared" si="102"/>
        <v>3.0303030303030304E-2</v>
      </c>
      <c r="Z283" s="5">
        <f t="shared" si="103"/>
        <v>0</v>
      </c>
      <c r="AA283" s="5">
        <f t="shared" si="104"/>
        <v>0</v>
      </c>
      <c r="AB283" s="5">
        <f t="shared" si="105"/>
        <v>3.0303030303030304E-2</v>
      </c>
    </row>
    <row r="284" spans="1:29" x14ac:dyDescent="0.25">
      <c r="D284" t="s">
        <v>79</v>
      </c>
      <c r="E284" s="64"/>
      <c r="F284" s="64"/>
      <c r="G284">
        <f>IFERROR(HLOOKUP(G$2,[11]table_male_hkom1_inj.U4!$A$1:$K$36,11,FALSE),0)</f>
        <v>0</v>
      </c>
      <c r="H284">
        <f>IFERROR(HLOOKUP(H$2,[11]table_male_hkom1_inj.U4!$A$1:$K$36,11,FALSE),0)</f>
        <v>0</v>
      </c>
      <c r="I284">
        <f>IFERROR(HLOOKUP(I$2,[11]table_male_hkom1_inj.U4!$A$1:$K$36,11,FALSE),0)</f>
        <v>0</v>
      </c>
      <c r="J284">
        <f>IFERROR(HLOOKUP(J$2,[11]table_male_hkom1_inj.U4!$A$1:$K$36,11,FALSE),0)</f>
        <v>0</v>
      </c>
      <c r="K284">
        <f>IFERROR(HLOOKUP(K$2,[11]table_male_hkom1_inj.U4!$A$1:$K$36,11,FALSE),0)</f>
        <v>0</v>
      </c>
      <c r="L284">
        <f>IFERROR(HLOOKUP(L$2,[11]table_male_hkom1_inj.U4!$A$1:$K$36,11,FALSE),0)</f>
        <v>0</v>
      </c>
      <c r="M284">
        <f t="shared" si="95"/>
        <v>0</v>
      </c>
      <c r="S284" t="s">
        <v>79</v>
      </c>
      <c r="T284" s="5">
        <f t="shared" si="97"/>
        <v>0</v>
      </c>
      <c r="U284" s="5">
        <f t="shared" si="98"/>
        <v>0</v>
      </c>
      <c r="V284" s="5">
        <f t="shared" si="99"/>
        <v>0</v>
      </c>
      <c r="W284" s="5">
        <f t="shared" si="100"/>
        <v>0</v>
      </c>
      <c r="X284" s="5">
        <f t="shared" si="101"/>
        <v>0</v>
      </c>
      <c r="Y284" s="5">
        <f t="shared" si="102"/>
        <v>3.0303030303030304E-2</v>
      </c>
      <c r="Z284" s="5">
        <f t="shared" si="103"/>
        <v>0</v>
      </c>
      <c r="AA284" s="5">
        <f t="shared" si="104"/>
        <v>0</v>
      </c>
      <c r="AB284" s="5">
        <f t="shared" si="105"/>
        <v>3.0303030303030304E-2</v>
      </c>
    </row>
    <row r="285" spans="1:29" x14ac:dyDescent="0.25">
      <c r="D285" t="s">
        <v>80</v>
      </c>
      <c r="E285" s="64"/>
      <c r="F285" s="64"/>
      <c r="G285">
        <f>IFERROR(HLOOKUP(G$2,[11]table_male_hkom1_inj.U4!$A$1:$K$36,12,FALSE),0)</f>
        <v>0</v>
      </c>
      <c r="H285">
        <f>IFERROR(HLOOKUP(H$2,[11]table_male_hkom1_inj.U4!$A$1:$K$36,12,FALSE),0)</f>
        <v>0</v>
      </c>
      <c r="I285">
        <f>IFERROR(HLOOKUP(I$2,[11]table_male_hkom1_inj.U4!$A$1:$K$36,12,FALSE),0)</f>
        <v>0</v>
      </c>
      <c r="J285">
        <f>IFERROR(HLOOKUP(J$2,[11]table_male_hkom1_inj.U4!$A$1:$K$36,12,FALSE),0)</f>
        <v>0</v>
      </c>
      <c r="K285">
        <f>IFERROR(HLOOKUP(K$2,[11]table_male_hkom1_inj.U4!$A$1:$K$36,12,FALSE),0)</f>
        <v>0</v>
      </c>
      <c r="L285">
        <f>IFERROR(HLOOKUP(L$2,[11]table_male_hkom1_inj.U4!$A$1:$K$36,12,FALSE),0)</f>
        <v>0</v>
      </c>
      <c r="M285">
        <f t="shared" si="95"/>
        <v>0</v>
      </c>
      <c r="S285" t="s">
        <v>80</v>
      </c>
      <c r="T285" s="5">
        <f t="shared" si="97"/>
        <v>0</v>
      </c>
      <c r="U285" s="5">
        <f t="shared" si="98"/>
        <v>0</v>
      </c>
      <c r="V285" s="5">
        <f t="shared" si="99"/>
        <v>0</v>
      </c>
      <c r="W285" s="5">
        <f t="shared" si="100"/>
        <v>0</v>
      </c>
      <c r="X285" s="5">
        <f t="shared" si="101"/>
        <v>0</v>
      </c>
      <c r="Y285" s="5">
        <f t="shared" si="102"/>
        <v>3.0303030303030304E-2</v>
      </c>
      <c r="Z285" s="5">
        <f t="shared" si="103"/>
        <v>0</v>
      </c>
      <c r="AA285" s="5">
        <f t="shared" si="104"/>
        <v>0</v>
      </c>
      <c r="AB285" s="5">
        <f t="shared" si="105"/>
        <v>3.0303030303030304E-2</v>
      </c>
    </row>
    <row r="286" spans="1:29" x14ac:dyDescent="0.25">
      <c r="D286" t="s">
        <v>81</v>
      </c>
      <c r="E286" s="64"/>
      <c r="F286" s="64"/>
      <c r="G286">
        <f>IFERROR(HLOOKUP(G$2,[11]table_male_hkom1_inj.U4!$A$1:$K$36,13,FALSE),0)</f>
        <v>0</v>
      </c>
      <c r="H286">
        <f>IFERROR(HLOOKUP(H$2,[11]table_male_hkom1_inj.U4!$A$1:$K$36,13,FALSE),0)</f>
        <v>0</v>
      </c>
      <c r="I286">
        <f>IFERROR(HLOOKUP(I$2,[11]table_male_hkom1_inj.U4!$A$1:$K$36,13,FALSE),0)</f>
        <v>0</v>
      </c>
      <c r="J286">
        <f>IFERROR(HLOOKUP(J$2,[11]table_male_hkom1_inj.U4!$A$1:$K$36,13,FALSE),0)</f>
        <v>0</v>
      </c>
      <c r="K286">
        <f>IFERROR(HLOOKUP(K$2,[11]table_male_hkom1_inj.U4!$A$1:$K$36,13,FALSE),0)</f>
        <v>0</v>
      </c>
      <c r="L286">
        <f>IFERROR(HLOOKUP(L$2,[11]table_male_hkom1_inj.U4!$A$1:$K$36,13,FALSE),0)</f>
        <v>0</v>
      </c>
      <c r="M286">
        <f t="shared" si="95"/>
        <v>0</v>
      </c>
      <c r="S286" t="s">
        <v>81</v>
      </c>
      <c r="T286" s="5">
        <f t="shared" si="97"/>
        <v>0</v>
      </c>
      <c r="U286" s="5">
        <f t="shared" si="98"/>
        <v>0</v>
      </c>
      <c r="V286" s="5">
        <f t="shared" si="99"/>
        <v>0</v>
      </c>
      <c r="W286" s="5">
        <f t="shared" si="100"/>
        <v>0</v>
      </c>
      <c r="X286" s="5">
        <f t="shared" si="101"/>
        <v>0</v>
      </c>
      <c r="Y286" s="5">
        <f t="shared" si="102"/>
        <v>3.0303030303030304E-2</v>
      </c>
      <c r="Z286" s="5">
        <f t="shared" si="103"/>
        <v>0</v>
      </c>
      <c r="AA286" s="5">
        <f t="shared" si="104"/>
        <v>0</v>
      </c>
      <c r="AB286" s="5">
        <f t="shared" si="105"/>
        <v>3.0303030303030304E-2</v>
      </c>
    </row>
    <row r="287" spans="1:29" x14ac:dyDescent="0.25">
      <c r="D287" t="s">
        <v>82</v>
      </c>
      <c r="E287" s="64"/>
      <c r="F287" s="64"/>
      <c r="G287">
        <f>IFERROR(HLOOKUP(G$2,[11]table_male_hkom1_inj.U4!$A$1:$K$36,14,FALSE),0)</f>
        <v>0</v>
      </c>
      <c r="H287">
        <f>IFERROR(HLOOKUP(H$2,[11]table_male_hkom1_inj.U4!$A$1:$K$36,14,FALSE),0)</f>
        <v>0</v>
      </c>
      <c r="I287">
        <f>IFERROR(HLOOKUP(I$2,[11]table_male_hkom1_inj.U4!$A$1:$K$36,14,FALSE),0)</f>
        <v>0</v>
      </c>
      <c r="J287">
        <f>IFERROR(HLOOKUP(J$2,[11]table_male_hkom1_inj.U4!$A$1:$K$36,14,FALSE),0)</f>
        <v>0</v>
      </c>
      <c r="K287">
        <f>IFERROR(HLOOKUP(K$2,[11]table_male_hkom1_inj.U4!$A$1:$K$36,14,FALSE),0)</f>
        <v>0</v>
      </c>
      <c r="L287">
        <f>IFERROR(HLOOKUP(L$2,[11]table_male_hkom1_inj.U4!$A$1:$K$36,14,FALSE),0)</f>
        <v>0</v>
      </c>
      <c r="M287">
        <f t="shared" si="95"/>
        <v>0</v>
      </c>
      <c r="S287" t="s">
        <v>82</v>
      </c>
      <c r="T287" s="5">
        <f t="shared" si="97"/>
        <v>0</v>
      </c>
      <c r="U287" s="5">
        <f t="shared" si="98"/>
        <v>0</v>
      </c>
      <c r="V287" s="5">
        <f t="shared" si="99"/>
        <v>0</v>
      </c>
      <c r="W287" s="5">
        <f t="shared" si="100"/>
        <v>0</v>
      </c>
      <c r="X287" s="5">
        <f t="shared" si="101"/>
        <v>0</v>
      </c>
      <c r="Y287" s="5">
        <f t="shared" si="102"/>
        <v>3.0303030303030304E-2</v>
      </c>
      <c r="Z287" s="5">
        <f t="shared" si="103"/>
        <v>0</v>
      </c>
      <c r="AA287" s="5">
        <f t="shared" si="104"/>
        <v>0</v>
      </c>
      <c r="AB287" s="5">
        <f t="shared" si="105"/>
        <v>3.0303030303030304E-2</v>
      </c>
    </row>
    <row r="288" spans="1:29" x14ac:dyDescent="0.25">
      <c r="D288" t="s">
        <v>83</v>
      </c>
      <c r="E288" s="64"/>
      <c r="F288" s="64"/>
      <c r="G288">
        <f>IFERROR(HLOOKUP(G$2,[11]table_male_hkom1_inj.U4!$A$1:$K$36,15,FALSE),0)</f>
        <v>0</v>
      </c>
      <c r="H288">
        <f>IFERROR(HLOOKUP(H$2,[11]table_male_hkom1_inj.U4!$A$1:$K$36,15,FALSE),0)</f>
        <v>0</v>
      </c>
      <c r="I288">
        <f>IFERROR(HLOOKUP(I$2,[11]table_male_hkom1_inj.U4!$A$1:$K$36,15,FALSE),0)</f>
        <v>0</v>
      </c>
      <c r="J288">
        <f>IFERROR(HLOOKUP(J$2,[11]table_male_hkom1_inj.U4!$A$1:$K$36,15,FALSE),0)</f>
        <v>0</v>
      </c>
      <c r="K288">
        <f>IFERROR(HLOOKUP(K$2,[11]table_male_hkom1_inj.U4!$A$1:$K$36,15,FALSE),0)</f>
        <v>0</v>
      </c>
      <c r="L288">
        <f>IFERROR(HLOOKUP(L$2,[11]table_male_hkom1_inj.U4!$A$1:$K$36,15,FALSE),0)</f>
        <v>0</v>
      </c>
      <c r="M288">
        <f t="shared" si="95"/>
        <v>0</v>
      </c>
      <c r="S288" t="s">
        <v>83</v>
      </c>
      <c r="T288" s="5">
        <f t="shared" si="97"/>
        <v>0</v>
      </c>
      <c r="U288" s="5">
        <f t="shared" si="98"/>
        <v>0</v>
      </c>
      <c r="V288" s="5">
        <f t="shared" si="99"/>
        <v>0</v>
      </c>
      <c r="W288" s="5">
        <f t="shared" si="100"/>
        <v>0</v>
      </c>
      <c r="X288" s="5">
        <f t="shared" si="101"/>
        <v>0</v>
      </c>
      <c r="Y288" s="5">
        <f t="shared" si="102"/>
        <v>3.0303030303030304E-2</v>
      </c>
      <c r="Z288" s="5">
        <f t="shared" si="103"/>
        <v>0</v>
      </c>
      <c r="AA288" s="5">
        <f t="shared" si="104"/>
        <v>0</v>
      </c>
      <c r="AB288" s="5">
        <f t="shared" si="105"/>
        <v>3.0303030303030304E-2</v>
      </c>
    </row>
    <row r="289" spans="4:28" x14ac:dyDescent="0.25">
      <c r="D289" t="s">
        <v>84</v>
      </c>
      <c r="E289" s="64"/>
      <c r="F289" s="64"/>
      <c r="G289">
        <f>IFERROR(HLOOKUP(G$2,[11]table_male_hkom1_inj.U4!$A$1:$K$36,16,FALSE),0)</f>
        <v>0</v>
      </c>
      <c r="H289">
        <f>IFERROR(HLOOKUP(H$2,[11]table_male_hkom1_inj.U4!$A$1:$K$36,16,FALSE),0)</f>
        <v>0</v>
      </c>
      <c r="I289">
        <f>IFERROR(HLOOKUP(I$2,[11]table_male_hkom1_inj.U4!$A$1:$K$36,16,FALSE),0)</f>
        <v>0</v>
      </c>
      <c r="J289">
        <f>IFERROR(HLOOKUP(J$2,[11]table_male_hkom1_inj.U4!$A$1:$K$36,16,FALSE),0)</f>
        <v>0</v>
      </c>
      <c r="K289">
        <f>IFERROR(HLOOKUP(K$2,[11]table_male_hkom1_inj.U4!$A$1:$K$36,16,FALSE),0)</f>
        <v>0</v>
      </c>
      <c r="L289">
        <f>IFERROR(HLOOKUP(L$2,[11]table_male_hkom1_inj.U4!$A$1:$K$36,16,FALSE),0)</f>
        <v>0</v>
      </c>
      <c r="M289">
        <f t="shared" si="95"/>
        <v>0</v>
      </c>
      <c r="S289" t="s">
        <v>84</v>
      </c>
      <c r="T289" s="5">
        <f t="shared" si="97"/>
        <v>0</v>
      </c>
      <c r="U289" s="5">
        <f t="shared" si="98"/>
        <v>0</v>
      </c>
      <c r="V289" s="5">
        <f t="shared" si="99"/>
        <v>0</v>
      </c>
      <c r="W289" s="5">
        <f t="shared" si="100"/>
        <v>0</v>
      </c>
      <c r="X289" s="5">
        <f t="shared" si="101"/>
        <v>0</v>
      </c>
      <c r="Y289" s="5">
        <f t="shared" si="102"/>
        <v>3.0303030303030304E-2</v>
      </c>
      <c r="Z289" s="5">
        <f t="shared" si="103"/>
        <v>0</v>
      </c>
      <c r="AA289" s="5">
        <f t="shared" si="104"/>
        <v>0</v>
      </c>
      <c r="AB289" s="5">
        <f t="shared" si="105"/>
        <v>3.0303030303030304E-2</v>
      </c>
    </row>
    <row r="290" spans="4:28" x14ac:dyDescent="0.25">
      <c r="D290" t="s">
        <v>85</v>
      </c>
      <c r="E290" s="64"/>
      <c r="F290" s="64"/>
      <c r="G290">
        <f>IFERROR(HLOOKUP(G$2,[11]table_male_hkom1_inj.U4!$A$1:$K$36,17,FALSE),0)</f>
        <v>0</v>
      </c>
      <c r="H290">
        <f>IFERROR(HLOOKUP(H$2,[11]table_male_hkom1_inj.U4!$A$1:$K$36,17,FALSE),0)</f>
        <v>0</v>
      </c>
      <c r="I290">
        <f>IFERROR(HLOOKUP(I$2,[11]table_male_hkom1_inj.U4!$A$1:$K$36,17,FALSE),0)</f>
        <v>0</v>
      </c>
      <c r="J290">
        <f>IFERROR(HLOOKUP(J$2,[11]table_male_hkom1_inj.U4!$A$1:$K$36,17,FALSE),0)</f>
        <v>0</v>
      </c>
      <c r="K290">
        <f>IFERROR(HLOOKUP(K$2,[11]table_male_hkom1_inj.U4!$A$1:$K$36,17,FALSE),0)</f>
        <v>0</v>
      </c>
      <c r="L290">
        <f>IFERROR(HLOOKUP(L$2,[11]table_male_hkom1_inj.U4!$A$1:$K$36,17,FALSE),0)</f>
        <v>0</v>
      </c>
      <c r="M290">
        <f t="shared" si="95"/>
        <v>0</v>
      </c>
      <c r="S290" t="s">
        <v>85</v>
      </c>
      <c r="T290" s="5">
        <f t="shared" si="97"/>
        <v>0</v>
      </c>
      <c r="U290" s="5">
        <f t="shared" si="98"/>
        <v>0</v>
      </c>
      <c r="V290" s="5">
        <f t="shared" si="99"/>
        <v>0</v>
      </c>
      <c r="W290" s="5">
        <f t="shared" si="100"/>
        <v>0</v>
      </c>
      <c r="X290" s="5">
        <f t="shared" si="101"/>
        <v>0</v>
      </c>
      <c r="Y290" s="5">
        <f t="shared" si="102"/>
        <v>3.0303030303030304E-2</v>
      </c>
      <c r="Z290" s="5">
        <f t="shared" si="103"/>
        <v>0</v>
      </c>
      <c r="AA290" s="5">
        <f t="shared" si="104"/>
        <v>0</v>
      </c>
      <c r="AB290" s="5">
        <f t="shared" si="105"/>
        <v>3.0303030303030304E-2</v>
      </c>
    </row>
    <row r="291" spans="4:28" x14ac:dyDescent="0.25">
      <c r="D291" t="s">
        <v>86</v>
      </c>
      <c r="E291" s="64"/>
      <c r="F291" s="64"/>
      <c r="G291">
        <f>IFERROR(HLOOKUP(G$2,[11]table_male_hkom1_inj.U4!$A$1:$K$36,18,FALSE),0)</f>
        <v>1</v>
      </c>
      <c r="H291">
        <f>IFERROR(HLOOKUP(H$2,[11]table_male_hkom1_inj.U4!$A$1:$K$36,18,FALSE),0)</f>
        <v>0</v>
      </c>
      <c r="I291">
        <f>IFERROR(HLOOKUP(I$2,[11]table_male_hkom1_inj.U4!$A$1:$K$36,18,FALSE),0)</f>
        <v>0</v>
      </c>
      <c r="J291">
        <f>IFERROR(HLOOKUP(J$2,[11]table_male_hkom1_inj.U4!$A$1:$K$36,18,FALSE),0)</f>
        <v>0</v>
      </c>
      <c r="K291">
        <f>IFERROR(HLOOKUP(K$2,[11]table_male_hkom1_inj.U4!$A$1:$K$36,18,FALSE),0)</f>
        <v>0</v>
      </c>
      <c r="L291">
        <f>IFERROR(HLOOKUP(L$2,[11]table_male_hkom1_inj.U4!$A$1:$K$36,18,FALSE),0)</f>
        <v>0</v>
      </c>
      <c r="M291">
        <f t="shared" si="95"/>
        <v>1</v>
      </c>
      <c r="S291" t="s">
        <v>86</v>
      </c>
      <c r="T291" s="5">
        <f t="shared" si="97"/>
        <v>0</v>
      </c>
      <c r="U291" s="5">
        <f t="shared" si="98"/>
        <v>0</v>
      </c>
      <c r="V291" s="5">
        <f t="shared" si="99"/>
        <v>1</v>
      </c>
      <c r="W291" s="5">
        <f t="shared" si="100"/>
        <v>0</v>
      </c>
      <c r="X291" s="5">
        <f t="shared" si="101"/>
        <v>0</v>
      </c>
      <c r="Y291" s="5">
        <f t="shared" si="102"/>
        <v>3.0303030303030304E-2</v>
      </c>
      <c r="Z291" s="5">
        <f t="shared" si="103"/>
        <v>0</v>
      </c>
      <c r="AA291" s="5">
        <f t="shared" si="104"/>
        <v>0</v>
      </c>
      <c r="AB291" s="5">
        <f t="shared" si="105"/>
        <v>1.0303030303030303</v>
      </c>
    </row>
    <row r="292" spans="4:28" x14ac:dyDescent="0.25">
      <c r="D292" t="s">
        <v>87</v>
      </c>
      <c r="E292" s="64"/>
      <c r="F292" s="64"/>
      <c r="G292">
        <f>IFERROR(HLOOKUP(G$2,[11]table_male_hkom1_inj.U4!$A$1:$K$36,19,FALSE),0)</f>
        <v>0</v>
      </c>
      <c r="H292">
        <f>IFERROR(HLOOKUP(H$2,[11]table_male_hkom1_inj.U4!$A$1:$K$36,19,FALSE),0)</f>
        <v>0</v>
      </c>
      <c r="I292">
        <f>IFERROR(HLOOKUP(I$2,[11]table_male_hkom1_inj.U4!$A$1:$K$36,19,FALSE),0)</f>
        <v>0</v>
      </c>
      <c r="J292">
        <f>IFERROR(HLOOKUP(J$2,[11]table_male_hkom1_inj.U4!$A$1:$K$36,19,FALSE),0)</f>
        <v>0</v>
      </c>
      <c r="K292">
        <f>IFERROR(HLOOKUP(K$2,[11]table_male_hkom1_inj.U4!$A$1:$K$36,19,FALSE),0)</f>
        <v>0</v>
      </c>
      <c r="L292">
        <f>IFERROR(HLOOKUP(L$2,[11]table_male_hkom1_inj.U4!$A$1:$K$36,19,FALSE),0)</f>
        <v>0</v>
      </c>
      <c r="M292">
        <f t="shared" si="95"/>
        <v>0</v>
      </c>
      <c r="S292" t="s">
        <v>87</v>
      </c>
      <c r="T292" s="5">
        <f t="shared" si="97"/>
        <v>0</v>
      </c>
      <c r="U292" s="5">
        <f t="shared" si="98"/>
        <v>0</v>
      </c>
      <c r="V292" s="5">
        <f t="shared" si="99"/>
        <v>0</v>
      </c>
      <c r="W292" s="5">
        <f t="shared" si="100"/>
        <v>0</v>
      </c>
      <c r="X292" s="5">
        <f t="shared" si="101"/>
        <v>0</v>
      </c>
      <c r="Y292" s="5">
        <f t="shared" si="102"/>
        <v>3.0303030303030304E-2</v>
      </c>
      <c r="Z292" s="5">
        <f t="shared" si="103"/>
        <v>0</v>
      </c>
      <c r="AA292" s="5">
        <f t="shared" si="104"/>
        <v>0</v>
      </c>
      <c r="AB292" s="5">
        <f t="shared" si="105"/>
        <v>3.0303030303030304E-2</v>
      </c>
    </row>
    <row r="293" spans="4:28" x14ac:dyDescent="0.25">
      <c r="D293" t="s">
        <v>88</v>
      </c>
      <c r="E293" s="64"/>
      <c r="F293" s="64"/>
      <c r="G293">
        <f>IFERROR(HLOOKUP(G$2,[11]table_male_hkom1_inj.U4!$A$1:$K$36,20,FALSE),0)</f>
        <v>0</v>
      </c>
      <c r="H293">
        <f>IFERROR(HLOOKUP(H$2,[11]table_male_hkom1_inj.U4!$A$1:$K$36,20,FALSE),0)</f>
        <v>0</v>
      </c>
      <c r="I293">
        <f>IFERROR(HLOOKUP(I$2,[11]table_male_hkom1_inj.U4!$A$1:$K$36,20,FALSE),0)</f>
        <v>0</v>
      </c>
      <c r="J293">
        <f>IFERROR(HLOOKUP(J$2,[11]table_male_hkom1_inj.U4!$A$1:$K$36,20,FALSE),0)</f>
        <v>0</v>
      </c>
      <c r="K293">
        <f>IFERROR(HLOOKUP(K$2,[11]table_male_hkom1_inj.U4!$A$1:$K$36,20,FALSE),0)</f>
        <v>0</v>
      </c>
      <c r="L293">
        <f>IFERROR(HLOOKUP(L$2,[11]table_male_hkom1_inj.U4!$A$1:$K$36,20,FALSE),0)</f>
        <v>0</v>
      </c>
      <c r="M293">
        <f t="shared" si="95"/>
        <v>0</v>
      </c>
      <c r="S293" t="s">
        <v>88</v>
      </c>
      <c r="T293" s="5">
        <f t="shared" si="97"/>
        <v>0</v>
      </c>
      <c r="U293" s="5">
        <f t="shared" si="98"/>
        <v>0</v>
      </c>
      <c r="V293" s="5">
        <f t="shared" si="99"/>
        <v>0</v>
      </c>
      <c r="W293" s="5">
        <f t="shared" si="100"/>
        <v>0</v>
      </c>
      <c r="X293" s="5">
        <f t="shared" si="101"/>
        <v>0</v>
      </c>
      <c r="Y293" s="5">
        <f t="shared" si="102"/>
        <v>3.0303030303030304E-2</v>
      </c>
      <c r="Z293" s="5">
        <f t="shared" si="103"/>
        <v>0</v>
      </c>
      <c r="AA293" s="5">
        <f t="shared" si="104"/>
        <v>0</v>
      </c>
      <c r="AB293" s="5">
        <f t="shared" si="105"/>
        <v>3.0303030303030304E-2</v>
      </c>
    </row>
    <row r="294" spans="4:28" x14ac:dyDescent="0.25">
      <c r="D294" t="s">
        <v>89</v>
      </c>
      <c r="E294" s="64"/>
      <c r="F294" s="64"/>
      <c r="G294">
        <f>IFERROR(HLOOKUP(G$2,[11]table_male_hkom1_inj.U4!$A$1:$K$36,21,FALSE),0)</f>
        <v>0</v>
      </c>
      <c r="H294">
        <f>IFERROR(HLOOKUP(H$2,[11]table_male_hkom1_inj.U4!$A$1:$K$36,21,FALSE),0)</f>
        <v>0</v>
      </c>
      <c r="I294">
        <f>IFERROR(HLOOKUP(I$2,[11]table_male_hkom1_inj.U4!$A$1:$K$36,21,FALSE),0)</f>
        <v>1</v>
      </c>
      <c r="J294">
        <f>IFERROR(HLOOKUP(J$2,[11]table_male_hkom1_inj.U4!$A$1:$K$36,21,FALSE),0)</f>
        <v>0</v>
      </c>
      <c r="K294">
        <f>IFERROR(HLOOKUP(K$2,[11]table_male_hkom1_inj.U4!$A$1:$K$36,21,FALSE),0)</f>
        <v>0</v>
      </c>
      <c r="L294">
        <f>IFERROR(HLOOKUP(L$2,[11]table_male_hkom1_inj.U4!$A$1:$K$36,21,FALSE),0)</f>
        <v>0</v>
      </c>
      <c r="M294">
        <f t="shared" si="95"/>
        <v>1</v>
      </c>
      <c r="S294" t="s">
        <v>89</v>
      </c>
      <c r="T294" s="5">
        <f t="shared" si="97"/>
        <v>0</v>
      </c>
      <c r="U294" s="5">
        <f t="shared" si="98"/>
        <v>0</v>
      </c>
      <c r="V294" s="5">
        <f t="shared" si="99"/>
        <v>0</v>
      </c>
      <c r="W294" s="5">
        <f t="shared" si="100"/>
        <v>0</v>
      </c>
      <c r="X294" s="5">
        <f t="shared" si="101"/>
        <v>1.25</v>
      </c>
      <c r="Y294" s="5">
        <f t="shared" si="102"/>
        <v>3.0303030303030304E-2</v>
      </c>
      <c r="Z294" s="5">
        <f t="shared" si="103"/>
        <v>0</v>
      </c>
      <c r="AA294" s="5">
        <f t="shared" si="104"/>
        <v>0</v>
      </c>
      <c r="AB294" s="5">
        <f t="shared" si="105"/>
        <v>1.2803030303030303</v>
      </c>
    </row>
    <row r="295" spans="4:28" x14ac:dyDescent="0.25">
      <c r="D295" t="s">
        <v>90</v>
      </c>
      <c r="E295" s="64"/>
      <c r="F295" s="64"/>
      <c r="G295">
        <f>IFERROR(HLOOKUP(G$2,[11]table_male_hkom1_inj.U4!$A$1:$K$36,22,FALSE),0)</f>
        <v>0</v>
      </c>
      <c r="H295">
        <f>IFERROR(HLOOKUP(H$2,[11]table_male_hkom1_inj.U4!$A$1:$K$36,22,FALSE),0)</f>
        <v>0</v>
      </c>
      <c r="I295">
        <f>IFERROR(HLOOKUP(I$2,[11]table_male_hkom1_inj.U4!$A$1:$K$36,22,FALSE),0)</f>
        <v>0</v>
      </c>
      <c r="J295">
        <f>IFERROR(HLOOKUP(J$2,[11]table_male_hkom1_inj.U4!$A$1:$K$36,22,FALSE),0)</f>
        <v>0</v>
      </c>
      <c r="K295">
        <f>IFERROR(HLOOKUP(K$2,[11]table_male_hkom1_inj.U4!$A$1:$K$36,22,FALSE),0)</f>
        <v>0</v>
      </c>
      <c r="L295">
        <f>IFERROR(HLOOKUP(L$2,[11]table_male_hkom1_inj.U4!$A$1:$K$36,22,FALSE),0)</f>
        <v>0</v>
      </c>
      <c r="M295">
        <f t="shared" si="95"/>
        <v>0</v>
      </c>
      <c r="S295" t="s">
        <v>90</v>
      </c>
      <c r="T295" s="5">
        <f t="shared" si="97"/>
        <v>0</v>
      </c>
      <c r="U295" s="5">
        <f t="shared" si="98"/>
        <v>0</v>
      </c>
      <c r="V295" s="5">
        <f t="shared" si="99"/>
        <v>0</v>
      </c>
      <c r="W295" s="5">
        <f t="shared" si="100"/>
        <v>0</v>
      </c>
      <c r="X295" s="5">
        <f t="shared" si="101"/>
        <v>0</v>
      </c>
      <c r="Y295" s="5">
        <f t="shared" si="102"/>
        <v>3.0303030303030304E-2</v>
      </c>
      <c r="Z295" s="5">
        <f t="shared" si="103"/>
        <v>0</v>
      </c>
      <c r="AA295" s="5">
        <f t="shared" si="104"/>
        <v>0</v>
      </c>
      <c r="AB295" s="5">
        <f t="shared" si="105"/>
        <v>3.0303030303030304E-2</v>
      </c>
    </row>
    <row r="296" spans="4:28" x14ac:dyDescent="0.25">
      <c r="D296" t="s">
        <v>91</v>
      </c>
      <c r="E296" s="64"/>
      <c r="F296" s="64"/>
      <c r="G296">
        <f>IFERROR(HLOOKUP(G$2,[11]table_male_hkom1_inj.U4!$A$1:$K$36,23,FALSE),0)</f>
        <v>0</v>
      </c>
      <c r="H296">
        <f>IFERROR(HLOOKUP(H$2,[11]table_male_hkom1_inj.U4!$A$1:$K$36,23,FALSE),0)</f>
        <v>0</v>
      </c>
      <c r="I296">
        <f>IFERROR(HLOOKUP(I$2,[11]table_male_hkom1_inj.U4!$A$1:$K$36,23,FALSE),0)</f>
        <v>0</v>
      </c>
      <c r="J296">
        <f>IFERROR(HLOOKUP(J$2,[11]table_male_hkom1_inj.U4!$A$1:$K$36,23,FALSE),0)</f>
        <v>0</v>
      </c>
      <c r="K296">
        <f>IFERROR(HLOOKUP(K$2,[11]table_male_hkom1_inj.U4!$A$1:$K$36,23,FALSE),0)</f>
        <v>0</v>
      </c>
      <c r="L296">
        <f>IFERROR(HLOOKUP(L$2,[11]table_male_hkom1_inj.U4!$A$1:$K$36,23,FALSE),0)</f>
        <v>0</v>
      </c>
      <c r="M296">
        <f t="shared" si="95"/>
        <v>0</v>
      </c>
      <c r="S296" t="s">
        <v>91</v>
      </c>
      <c r="T296" s="5">
        <f t="shared" si="97"/>
        <v>0</v>
      </c>
      <c r="U296" s="5">
        <f t="shared" si="98"/>
        <v>0</v>
      </c>
      <c r="V296" s="5">
        <f t="shared" si="99"/>
        <v>0</v>
      </c>
      <c r="W296" s="5">
        <f t="shared" si="100"/>
        <v>0</v>
      </c>
      <c r="X296" s="5">
        <f t="shared" si="101"/>
        <v>0</v>
      </c>
      <c r="Y296" s="5">
        <f t="shared" si="102"/>
        <v>3.0303030303030304E-2</v>
      </c>
      <c r="Z296" s="5">
        <f t="shared" si="103"/>
        <v>0</v>
      </c>
      <c r="AA296" s="5">
        <f t="shared" si="104"/>
        <v>0</v>
      </c>
      <c r="AB296" s="5">
        <f t="shared" si="105"/>
        <v>3.0303030303030304E-2</v>
      </c>
    </row>
    <row r="297" spans="4:28" x14ac:dyDescent="0.25">
      <c r="D297" t="s">
        <v>92</v>
      </c>
      <c r="E297" s="64"/>
      <c r="F297" s="64"/>
      <c r="G297">
        <f>IFERROR(HLOOKUP(G$2,[11]table_male_hkom1_inj.U4!$A$1:$K$36,24,FALSE),0)</f>
        <v>0</v>
      </c>
      <c r="H297">
        <f>IFERROR(HLOOKUP(H$2,[11]table_male_hkom1_inj.U4!$A$1:$K$36,24,FALSE),0)</f>
        <v>0</v>
      </c>
      <c r="I297">
        <f>IFERROR(HLOOKUP(I$2,[11]table_male_hkom1_inj.U4!$A$1:$K$36,24,FALSE),0)</f>
        <v>0</v>
      </c>
      <c r="J297">
        <f>IFERROR(HLOOKUP(J$2,[11]table_male_hkom1_inj.U4!$A$1:$K$36,24,FALSE),0)</f>
        <v>0</v>
      </c>
      <c r="K297">
        <f>IFERROR(HLOOKUP(K$2,[11]table_male_hkom1_inj.U4!$A$1:$K$36,24,FALSE),0)</f>
        <v>0</v>
      </c>
      <c r="L297">
        <f>IFERROR(HLOOKUP(L$2,[11]table_male_hkom1_inj.U4!$A$1:$K$36,24,FALSE),0)</f>
        <v>0</v>
      </c>
      <c r="M297">
        <f t="shared" si="95"/>
        <v>0</v>
      </c>
      <c r="S297" t="s">
        <v>92</v>
      </c>
      <c r="T297" s="5">
        <f t="shared" si="97"/>
        <v>0</v>
      </c>
      <c r="U297" s="5">
        <f t="shared" si="98"/>
        <v>0</v>
      </c>
      <c r="V297" s="5">
        <f t="shared" si="99"/>
        <v>0</v>
      </c>
      <c r="W297" s="5">
        <f t="shared" si="100"/>
        <v>0</v>
      </c>
      <c r="X297" s="5">
        <f t="shared" si="101"/>
        <v>0</v>
      </c>
      <c r="Y297" s="5">
        <f t="shared" si="102"/>
        <v>3.0303030303030304E-2</v>
      </c>
      <c r="Z297" s="5">
        <f t="shared" si="103"/>
        <v>0</v>
      </c>
      <c r="AA297" s="5">
        <f t="shared" si="104"/>
        <v>0</v>
      </c>
      <c r="AB297" s="5">
        <f t="shared" si="105"/>
        <v>3.0303030303030304E-2</v>
      </c>
    </row>
    <row r="298" spans="4:28" x14ac:dyDescent="0.25">
      <c r="D298" t="s">
        <v>93</v>
      </c>
      <c r="E298" s="64"/>
      <c r="F298" s="64"/>
      <c r="G298">
        <f>IFERROR(HLOOKUP(G$2,[11]table_male_hkom1_inj.U4!$A$1:$K$36,25,FALSE),0)</f>
        <v>0</v>
      </c>
      <c r="H298">
        <f>IFERROR(HLOOKUP(H$2,[11]table_male_hkom1_inj.U4!$A$1:$K$36,25,FALSE),0)</f>
        <v>0</v>
      </c>
      <c r="I298">
        <f>IFERROR(HLOOKUP(I$2,[11]table_male_hkom1_inj.U4!$A$1:$K$36,25,FALSE),0)</f>
        <v>0</v>
      </c>
      <c r="J298">
        <f>IFERROR(HLOOKUP(J$2,[11]table_male_hkom1_inj.U4!$A$1:$K$36,25,FALSE),0)</f>
        <v>0</v>
      </c>
      <c r="K298">
        <f>IFERROR(HLOOKUP(K$2,[11]table_male_hkom1_inj.U4!$A$1:$K$36,25,FALSE),0)</f>
        <v>0</v>
      </c>
      <c r="L298">
        <f>IFERROR(HLOOKUP(L$2,[11]table_male_hkom1_inj.U4!$A$1:$K$36,25,FALSE),0)</f>
        <v>0</v>
      </c>
      <c r="M298">
        <f t="shared" si="95"/>
        <v>0</v>
      </c>
      <c r="S298" t="s">
        <v>93</v>
      </c>
      <c r="T298" s="5">
        <f t="shared" si="97"/>
        <v>0</v>
      </c>
      <c r="U298" s="5">
        <f t="shared" si="98"/>
        <v>0</v>
      </c>
      <c r="V298" s="5">
        <f t="shared" si="99"/>
        <v>0</v>
      </c>
      <c r="W298" s="5">
        <f t="shared" si="100"/>
        <v>0</v>
      </c>
      <c r="X298" s="5">
        <f t="shared" si="101"/>
        <v>0</v>
      </c>
      <c r="Y298" s="5">
        <f t="shared" si="102"/>
        <v>3.0303030303030304E-2</v>
      </c>
      <c r="Z298" s="5">
        <f t="shared" si="103"/>
        <v>0</v>
      </c>
      <c r="AA298" s="5">
        <f t="shared" si="104"/>
        <v>0</v>
      </c>
      <c r="AB298" s="5">
        <f t="shared" si="105"/>
        <v>3.0303030303030304E-2</v>
      </c>
    </row>
    <row r="299" spans="4:28" x14ac:dyDescent="0.25">
      <c r="D299" t="s">
        <v>94</v>
      </c>
      <c r="E299" s="64"/>
      <c r="F299" s="64"/>
      <c r="G299">
        <f>IFERROR(HLOOKUP(G$2,[11]table_male_hkom1_inj.U4!$A$1:$K$36,26,FALSE),0)</f>
        <v>0</v>
      </c>
      <c r="H299">
        <f>IFERROR(HLOOKUP(H$2,[11]table_male_hkom1_inj.U4!$A$1:$K$36,26,FALSE),0)</f>
        <v>0</v>
      </c>
      <c r="I299">
        <f>IFERROR(HLOOKUP(I$2,[11]table_male_hkom1_inj.U4!$A$1:$K$36,26,FALSE),0)</f>
        <v>0</v>
      </c>
      <c r="J299">
        <f>IFERROR(HLOOKUP(J$2,[11]table_male_hkom1_inj.U4!$A$1:$K$36,26,FALSE),0)</f>
        <v>0</v>
      </c>
      <c r="K299">
        <f>IFERROR(HLOOKUP(K$2,[11]table_male_hkom1_inj.U4!$A$1:$K$36,26,FALSE),0)</f>
        <v>0</v>
      </c>
      <c r="L299">
        <f>IFERROR(HLOOKUP(L$2,[11]table_male_hkom1_inj.U4!$A$1:$K$36,26,FALSE),0)</f>
        <v>0</v>
      </c>
      <c r="M299">
        <f t="shared" si="95"/>
        <v>0</v>
      </c>
      <c r="S299" t="s">
        <v>94</v>
      </c>
      <c r="T299" s="5">
        <f t="shared" si="97"/>
        <v>0</v>
      </c>
      <c r="U299" s="5">
        <f t="shared" si="98"/>
        <v>0</v>
      </c>
      <c r="V299" s="5">
        <f t="shared" si="99"/>
        <v>0</v>
      </c>
      <c r="W299" s="5">
        <f t="shared" si="100"/>
        <v>0</v>
      </c>
      <c r="X299" s="5">
        <f t="shared" si="101"/>
        <v>0</v>
      </c>
      <c r="Y299" s="5">
        <f t="shared" si="102"/>
        <v>3.0303030303030304E-2</v>
      </c>
      <c r="Z299" s="5">
        <f t="shared" si="103"/>
        <v>0</v>
      </c>
      <c r="AA299" s="5">
        <f t="shared" si="104"/>
        <v>0</v>
      </c>
      <c r="AB299" s="5">
        <f t="shared" si="105"/>
        <v>3.0303030303030304E-2</v>
      </c>
    </row>
    <row r="300" spans="4:28" x14ac:dyDescent="0.25">
      <c r="D300" t="s">
        <v>95</v>
      </c>
      <c r="E300" s="64"/>
      <c r="F300" s="64"/>
      <c r="G300">
        <f>IFERROR(HLOOKUP(G$2,[11]table_male_hkom1_inj.U4!$A$1:$K$36,27,FALSE),0)</f>
        <v>0</v>
      </c>
      <c r="H300">
        <f>IFERROR(HLOOKUP(H$2,[11]table_male_hkom1_inj.U4!$A$1:$K$36,27,FALSE),0)</f>
        <v>0</v>
      </c>
      <c r="I300">
        <f>IFERROR(HLOOKUP(I$2,[11]table_male_hkom1_inj.U4!$A$1:$K$36,27,FALSE),0)</f>
        <v>0</v>
      </c>
      <c r="J300">
        <f>IFERROR(HLOOKUP(J$2,[11]table_male_hkom1_inj.U4!$A$1:$K$36,27,FALSE),0)</f>
        <v>0</v>
      </c>
      <c r="K300">
        <f>IFERROR(HLOOKUP(K$2,[11]table_male_hkom1_inj.U4!$A$1:$K$36,27,FALSE),0)</f>
        <v>0</v>
      </c>
      <c r="L300">
        <f>IFERROR(HLOOKUP(L$2,[11]table_male_hkom1_inj.U4!$A$1:$K$36,27,FALSE),0)</f>
        <v>0</v>
      </c>
      <c r="M300">
        <f t="shared" si="95"/>
        <v>0</v>
      </c>
      <c r="S300" t="s">
        <v>95</v>
      </c>
      <c r="T300" s="5">
        <f t="shared" si="97"/>
        <v>0</v>
      </c>
      <c r="U300" s="5">
        <f t="shared" si="98"/>
        <v>0</v>
      </c>
      <c r="V300" s="5">
        <f t="shared" si="99"/>
        <v>0</v>
      </c>
      <c r="W300" s="5">
        <f t="shared" si="100"/>
        <v>0</v>
      </c>
      <c r="X300" s="5">
        <f t="shared" si="101"/>
        <v>0</v>
      </c>
      <c r="Y300" s="5">
        <f t="shared" si="102"/>
        <v>3.0303030303030304E-2</v>
      </c>
      <c r="Z300" s="5">
        <f t="shared" si="103"/>
        <v>0</v>
      </c>
      <c r="AA300" s="5">
        <f t="shared" si="104"/>
        <v>0</v>
      </c>
      <c r="AB300" s="5">
        <f t="shared" si="105"/>
        <v>3.0303030303030304E-2</v>
      </c>
    </row>
    <row r="301" spans="4:28" x14ac:dyDescent="0.25">
      <c r="D301" t="s">
        <v>96</v>
      </c>
      <c r="E301" s="64"/>
      <c r="F301" s="64"/>
      <c r="G301">
        <f>IFERROR(HLOOKUP(G$2,[11]table_male_hkom1_inj.U4!$A$1:$K$36,28,FALSE),0)</f>
        <v>0</v>
      </c>
      <c r="H301">
        <f>IFERROR(HLOOKUP(H$2,[11]table_male_hkom1_inj.U4!$A$1:$K$36,28,FALSE),0)</f>
        <v>0</v>
      </c>
      <c r="I301">
        <f>IFERROR(HLOOKUP(I$2,[11]table_male_hkom1_inj.U4!$A$1:$K$36,28,FALSE),0)</f>
        <v>0</v>
      </c>
      <c r="J301">
        <f>IFERROR(HLOOKUP(J$2,[11]table_male_hkom1_inj.U4!$A$1:$K$36,28,FALSE),0)</f>
        <v>0</v>
      </c>
      <c r="K301">
        <f>IFERROR(HLOOKUP(K$2,[11]table_male_hkom1_inj.U4!$A$1:$K$36,28,FALSE),0)</f>
        <v>0</v>
      </c>
      <c r="L301">
        <f>IFERROR(HLOOKUP(L$2,[11]table_male_hkom1_inj.U4!$A$1:$K$36,28,FALSE),0)</f>
        <v>0</v>
      </c>
      <c r="M301">
        <f t="shared" si="95"/>
        <v>0</v>
      </c>
      <c r="S301" t="s">
        <v>96</v>
      </c>
      <c r="T301" s="5">
        <f t="shared" si="97"/>
        <v>0</v>
      </c>
      <c r="U301" s="5">
        <f t="shared" si="98"/>
        <v>0</v>
      </c>
      <c r="V301" s="5">
        <f t="shared" si="99"/>
        <v>0</v>
      </c>
      <c r="W301" s="5">
        <f t="shared" si="100"/>
        <v>0</v>
      </c>
      <c r="X301" s="5">
        <f t="shared" si="101"/>
        <v>0</v>
      </c>
      <c r="Y301" s="5">
        <f t="shared" si="102"/>
        <v>3.0303030303030304E-2</v>
      </c>
      <c r="Z301" s="5">
        <f t="shared" si="103"/>
        <v>0</v>
      </c>
      <c r="AA301" s="5">
        <f t="shared" si="104"/>
        <v>0</v>
      </c>
      <c r="AB301" s="5">
        <f t="shared" si="105"/>
        <v>3.0303030303030304E-2</v>
      </c>
    </row>
    <row r="302" spans="4:28" x14ac:dyDescent="0.25">
      <c r="D302" t="s">
        <v>97</v>
      </c>
      <c r="E302" s="64"/>
      <c r="F302" s="64"/>
      <c r="G302">
        <f>IFERROR(HLOOKUP(G$2,[11]table_male_hkom1_inj.U4!$A$1:$K$36,29,FALSE),0)</f>
        <v>2</v>
      </c>
      <c r="H302">
        <f>IFERROR(HLOOKUP(H$2,[11]table_male_hkom1_inj.U4!$A$1:$K$36,29,FALSE),0)</f>
        <v>2</v>
      </c>
      <c r="I302">
        <f>IFERROR(HLOOKUP(I$2,[11]table_male_hkom1_inj.U4!$A$1:$K$36,29,FALSE),0)</f>
        <v>1</v>
      </c>
      <c r="J302">
        <f>IFERROR(HLOOKUP(J$2,[11]table_male_hkom1_inj.U4!$A$1:$K$36,29,FALSE),0)</f>
        <v>0</v>
      </c>
      <c r="K302">
        <f>IFERROR(HLOOKUP(K$2,[11]table_male_hkom1_inj.U4!$A$1:$K$36,29,FALSE),0)</f>
        <v>0</v>
      </c>
      <c r="L302">
        <f>IFERROR(HLOOKUP(L$2,[11]table_male_hkom1_inj.U4!$A$1:$K$36,29,FALSE),0)</f>
        <v>0</v>
      </c>
      <c r="M302">
        <f t="shared" si="95"/>
        <v>5</v>
      </c>
      <c r="S302" t="s">
        <v>97</v>
      </c>
      <c r="T302" s="5">
        <f t="shared" si="97"/>
        <v>0</v>
      </c>
      <c r="U302" s="5">
        <f t="shared" si="98"/>
        <v>0</v>
      </c>
      <c r="V302" s="5">
        <f t="shared" si="99"/>
        <v>2</v>
      </c>
      <c r="W302" s="5">
        <f t="shared" si="100"/>
        <v>2.125</v>
      </c>
      <c r="X302" s="5">
        <f t="shared" si="101"/>
        <v>1.25</v>
      </c>
      <c r="Y302" s="5">
        <f t="shared" si="102"/>
        <v>3.0303030303030304E-2</v>
      </c>
      <c r="Z302" s="5">
        <f t="shared" si="103"/>
        <v>0</v>
      </c>
      <c r="AA302" s="5">
        <f t="shared" si="104"/>
        <v>0</v>
      </c>
      <c r="AB302" s="5">
        <f t="shared" si="105"/>
        <v>5.4053030303030303</v>
      </c>
    </row>
    <row r="303" spans="4:28" x14ac:dyDescent="0.25">
      <c r="D303" t="s">
        <v>98</v>
      </c>
      <c r="E303" s="64"/>
      <c r="F303" s="64"/>
      <c r="G303">
        <f>IFERROR(HLOOKUP(G$2,[11]table_male_hkom1_inj.U4!$A$1:$K$36,30,FALSE),0)</f>
        <v>12</v>
      </c>
      <c r="H303">
        <f>IFERROR(HLOOKUP(H$2,[11]table_male_hkom1_inj.U4!$A$1:$K$36,30,FALSE),0)</f>
        <v>14</v>
      </c>
      <c r="I303">
        <f>IFERROR(HLOOKUP(I$2,[11]table_male_hkom1_inj.U4!$A$1:$K$36,30,FALSE),0)</f>
        <v>6</v>
      </c>
      <c r="J303">
        <f>IFERROR(HLOOKUP(J$2,[11]table_male_hkom1_inj.U4!$A$1:$K$36,30,FALSE),0)</f>
        <v>0</v>
      </c>
      <c r="K303">
        <f>IFERROR(HLOOKUP(K$2,[11]table_male_hkom1_inj.U4!$A$1:$K$36,30,FALSE),0)</f>
        <v>0</v>
      </c>
      <c r="L303">
        <f>IFERROR(HLOOKUP(L$2,[11]table_male_hkom1_inj.U4!$A$1:$K$36,30,FALSE),0)</f>
        <v>0</v>
      </c>
      <c r="M303">
        <f t="shared" si="95"/>
        <v>32</v>
      </c>
      <c r="S303" t="s">
        <v>98</v>
      </c>
      <c r="T303" s="5">
        <f t="shared" si="97"/>
        <v>0</v>
      </c>
      <c r="U303" s="5">
        <f t="shared" si="98"/>
        <v>0</v>
      </c>
      <c r="V303" s="5">
        <f t="shared" si="99"/>
        <v>12</v>
      </c>
      <c r="W303" s="5">
        <f t="shared" si="100"/>
        <v>14.875</v>
      </c>
      <c r="X303" s="5">
        <f t="shared" si="101"/>
        <v>7.5</v>
      </c>
      <c r="Y303" s="5">
        <f t="shared" si="102"/>
        <v>3.0303030303030304E-2</v>
      </c>
      <c r="Z303" s="5">
        <f t="shared" si="103"/>
        <v>0</v>
      </c>
      <c r="AA303" s="5">
        <f t="shared" si="104"/>
        <v>0</v>
      </c>
      <c r="AB303" s="5">
        <f t="shared" si="105"/>
        <v>34.405303030303031</v>
      </c>
    </row>
    <row r="304" spans="4:28" x14ac:dyDescent="0.25">
      <c r="D304" t="s">
        <v>119</v>
      </c>
      <c r="E304" s="64"/>
      <c r="F304" s="64"/>
      <c r="G304">
        <f>IFERROR(HLOOKUP(G$2,[11]table_male_hkom1_inj.U4!$A$1:$K$36,31,FALSE),0)</f>
        <v>0</v>
      </c>
      <c r="H304">
        <f>IFERROR(HLOOKUP(H$2,[11]table_male_hkom1_inj.U4!$A$1:$K$36,31,FALSE),0)</f>
        <v>0</v>
      </c>
      <c r="I304">
        <f>IFERROR(HLOOKUP(I$2,[11]table_male_hkom1_inj.U4!$A$1:$K$36,31,FALSE),0)</f>
        <v>2</v>
      </c>
      <c r="J304">
        <f>IFERROR(HLOOKUP(J$2,[11]table_male_hkom1_inj.U4!$A$1:$K$36,31,FALSE),0)</f>
        <v>0</v>
      </c>
      <c r="K304">
        <f>IFERROR(HLOOKUP(K$2,[11]table_male_hkom1_inj.U4!$A$1:$K$36,31,FALSE),0)</f>
        <v>0</v>
      </c>
      <c r="L304">
        <f>IFERROR(HLOOKUP(L$2,[11]table_male_hkom1_inj.U4!$A$1:$K$36,31,FALSE),0)</f>
        <v>0</v>
      </c>
      <c r="M304">
        <f t="shared" si="95"/>
        <v>2</v>
      </c>
      <c r="S304" t="s">
        <v>119</v>
      </c>
      <c r="T304" s="5">
        <f t="shared" si="97"/>
        <v>0</v>
      </c>
      <c r="U304" s="5">
        <f t="shared" si="98"/>
        <v>0</v>
      </c>
      <c r="V304" s="5">
        <f t="shared" si="99"/>
        <v>0</v>
      </c>
      <c r="W304" s="5">
        <f t="shared" si="100"/>
        <v>0</v>
      </c>
      <c r="X304" s="5">
        <f t="shared" si="101"/>
        <v>2.5</v>
      </c>
      <c r="Y304" s="5">
        <f t="shared" si="102"/>
        <v>3.0303030303030304E-2</v>
      </c>
      <c r="Z304" s="5">
        <f t="shared" si="103"/>
        <v>0</v>
      </c>
      <c r="AA304" s="5">
        <f t="shared" si="104"/>
        <v>0</v>
      </c>
      <c r="AB304" s="5">
        <f t="shared" si="105"/>
        <v>2.5303030303030303</v>
      </c>
    </row>
    <row r="305" spans="1:29" x14ac:dyDescent="0.25">
      <c r="D305" t="s">
        <v>99</v>
      </c>
      <c r="E305" s="64"/>
      <c r="F305" s="64"/>
      <c r="G305">
        <f>IFERROR(HLOOKUP(G$2,[11]table_male_hkom1_inj.U4!$A$1:$K$36,32,FALSE),0)</f>
        <v>0</v>
      </c>
      <c r="H305">
        <f>IFERROR(HLOOKUP(H$2,[11]table_male_hkom1_inj.U4!$A$1:$K$36,32,FALSE),0)</f>
        <v>0</v>
      </c>
      <c r="I305">
        <f>IFERROR(HLOOKUP(I$2,[11]table_male_hkom1_inj.U4!$A$1:$K$36,32,FALSE),0)</f>
        <v>1</v>
      </c>
      <c r="J305">
        <f>IFERROR(HLOOKUP(J$2,[11]table_male_hkom1_inj.U4!$A$1:$K$36,32,FALSE),0)</f>
        <v>0</v>
      </c>
      <c r="K305">
        <f>IFERROR(HLOOKUP(K$2,[11]table_male_hkom1_inj.U4!$A$1:$K$36,32,FALSE),0)</f>
        <v>0</v>
      </c>
      <c r="L305">
        <f>IFERROR(HLOOKUP(L$2,[11]table_male_hkom1_inj.U4!$A$1:$K$36,32,FALSE),0)</f>
        <v>0</v>
      </c>
      <c r="M305">
        <f t="shared" si="95"/>
        <v>1</v>
      </c>
      <c r="S305" t="s">
        <v>99</v>
      </c>
      <c r="T305" s="5">
        <f t="shared" si="97"/>
        <v>0</v>
      </c>
      <c r="U305" s="5">
        <f t="shared" si="98"/>
        <v>0</v>
      </c>
      <c r="V305" s="5">
        <f t="shared" si="99"/>
        <v>0</v>
      </c>
      <c r="W305" s="5">
        <f t="shared" si="100"/>
        <v>0</v>
      </c>
      <c r="X305" s="5">
        <f t="shared" si="101"/>
        <v>1.25</v>
      </c>
      <c r="Y305" s="5">
        <f t="shared" si="102"/>
        <v>3.0303030303030304E-2</v>
      </c>
      <c r="Z305" s="5">
        <f t="shared" si="103"/>
        <v>0</v>
      </c>
      <c r="AA305" s="5">
        <f t="shared" si="104"/>
        <v>0</v>
      </c>
      <c r="AB305" s="5">
        <f t="shared" si="105"/>
        <v>1.2803030303030303</v>
      </c>
    </row>
    <row r="306" spans="1:29" x14ac:dyDescent="0.25">
      <c r="D306" t="s">
        <v>100</v>
      </c>
      <c r="E306" s="64"/>
      <c r="F306" s="64"/>
      <c r="G306">
        <f>IFERROR(HLOOKUP(G$2,[11]table_male_hkom1_inj.U4!$A$1:$K$36,33,FALSE),0)</f>
        <v>1</v>
      </c>
      <c r="H306">
        <f>IFERROR(HLOOKUP(H$2,[11]table_male_hkom1_inj.U4!$A$1:$K$36,33,FALSE),0)</f>
        <v>0</v>
      </c>
      <c r="I306">
        <f>IFERROR(HLOOKUP(I$2,[11]table_male_hkom1_inj.U4!$A$1:$K$36,33,FALSE),0)</f>
        <v>1</v>
      </c>
      <c r="J306">
        <f>IFERROR(HLOOKUP(J$2,[11]table_male_hkom1_inj.U4!$A$1:$K$36,33,FALSE),0)</f>
        <v>0</v>
      </c>
      <c r="K306">
        <f>IFERROR(HLOOKUP(K$2,[11]table_male_hkom1_inj.U4!$A$1:$K$36,33,FALSE),0)</f>
        <v>0</v>
      </c>
      <c r="L306">
        <f>IFERROR(HLOOKUP(L$2,[11]table_male_hkom1_inj.U4!$A$1:$K$36,33,FALSE),0)</f>
        <v>0</v>
      </c>
      <c r="M306">
        <f t="shared" si="95"/>
        <v>2</v>
      </c>
      <c r="S306" t="s">
        <v>100</v>
      </c>
      <c r="T306" s="5">
        <f t="shared" si="97"/>
        <v>0</v>
      </c>
      <c r="U306" s="5">
        <f t="shared" si="98"/>
        <v>0</v>
      </c>
      <c r="V306" s="5">
        <f t="shared" si="99"/>
        <v>1</v>
      </c>
      <c r="W306" s="5">
        <f t="shared" si="100"/>
        <v>0</v>
      </c>
      <c r="X306" s="5">
        <f t="shared" si="101"/>
        <v>1.25</v>
      </c>
      <c r="Y306" s="5">
        <f t="shared" si="102"/>
        <v>3.0303030303030304E-2</v>
      </c>
      <c r="Z306" s="5">
        <f t="shared" si="103"/>
        <v>0</v>
      </c>
      <c r="AA306" s="5">
        <f t="shared" si="104"/>
        <v>0</v>
      </c>
      <c r="AB306" s="5">
        <f t="shared" si="105"/>
        <v>2.2803030303030303</v>
      </c>
    </row>
    <row r="307" spans="1:29" x14ac:dyDescent="0.25">
      <c r="D307" t="s">
        <v>101</v>
      </c>
      <c r="E307" s="64"/>
      <c r="F307" s="64"/>
      <c r="G307">
        <f>IFERROR(HLOOKUP(G$2,[11]table_male_hkom1_inj.U4!$A$1:$K$36,34,FALSE),0)</f>
        <v>0</v>
      </c>
      <c r="H307">
        <f>IFERROR(HLOOKUP(H$2,[11]table_male_hkom1_inj.U4!$A$1:$K$36,34,FALSE),0)</f>
        <v>0</v>
      </c>
      <c r="I307">
        <f>IFERROR(HLOOKUP(I$2,[11]table_male_hkom1_inj.U4!$A$1:$K$36,34,FALSE),0)</f>
        <v>0</v>
      </c>
      <c r="J307">
        <f>IFERROR(HLOOKUP(J$2,[11]table_male_hkom1_inj.U4!$A$1:$K$36,34,FALSE),0)</f>
        <v>0</v>
      </c>
      <c r="K307">
        <f>IFERROR(HLOOKUP(K$2,[11]table_male_hkom1_inj.U4!$A$1:$K$36,34,FALSE),0)</f>
        <v>0</v>
      </c>
      <c r="L307">
        <f>IFERROR(HLOOKUP(L$2,[11]table_male_hkom1_inj.U4!$A$1:$K$36,34,FALSE),0)</f>
        <v>0</v>
      </c>
      <c r="M307">
        <f t="shared" si="95"/>
        <v>0</v>
      </c>
      <c r="S307" t="s">
        <v>101</v>
      </c>
      <c r="T307" s="5">
        <f t="shared" si="97"/>
        <v>0</v>
      </c>
      <c r="U307" s="5">
        <f t="shared" si="98"/>
        <v>0</v>
      </c>
      <c r="V307" s="5">
        <f t="shared" si="99"/>
        <v>0</v>
      </c>
      <c r="W307" s="5">
        <f t="shared" si="100"/>
        <v>0</v>
      </c>
      <c r="X307" s="5">
        <f t="shared" si="101"/>
        <v>0</v>
      </c>
      <c r="Y307" s="5">
        <f t="shared" si="102"/>
        <v>3.0303030303030304E-2</v>
      </c>
      <c r="Z307" s="5">
        <f t="shared" si="103"/>
        <v>0</v>
      </c>
      <c r="AA307" s="5">
        <f t="shared" si="104"/>
        <v>0</v>
      </c>
      <c r="AB307" s="5">
        <f t="shared" si="105"/>
        <v>3.0303030303030304E-2</v>
      </c>
    </row>
    <row r="308" spans="1:29" x14ac:dyDescent="0.25">
      <c r="D308" t="s">
        <v>102</v>
      </c>
      <c r="E308" s="64"/>
      <c r="F308" s="64"/>
      <c r="G308">
        <f>IFERROR(HLOOKUP(G$2,[11]table_male_hkom1_inj.U4!$A$1:$K$36,35,FALSE),0)</f>
        <v>0</v>
      </c>
      <c r="H308">
        <f>IFERROR(HLOOKUP(H$2,[11]table_male_hkom1_inj.U4!$A$1:$K$36,35,FALSE),0)</f>
        <v>1</v>
      </c>
      <c r="I308">
        <f>IFERROR(HLOOKUP(I$2,[11]table_male_hkom1_inj.U4!$A$1:$K$36,35,FALSE),0)</f>
        <v>3</v>
      </c>
      <c r="J308">
        <f>IFERROR(HLOOKUP(J$2,[11]table_male_hkom1_inj.U4!$A$1:$K$36,35,FALSE),0)</f>
        <v>1</v>
      </c>
      <c r="K308">
        <f>IFERROR(HLOOKUP(K$2,[11]table_male_hkom1_inj.U4!$A$1:$K$36,35,FALSE),0)</f>
        <v>0</v>
      </c>
      <c r="L308">
        <f>IFERROR(HLOOKUP(L$2,[11]table_male_hkom1_inj.U4!$A$1:$K$36,35,FALSE),0)</f>
        <v>0</v>
      </c>
      <c r="M308">
        <f t="shared" si="95"/>
        <v>5</v>
      </c>
      <c r="N308">
        <f>SUM(M275:M308)</f>
        <v>49</v>
      </c>
      <c r="O308" s="8">
        <f>SUM([11]table_male_hkom1_inj.U4!$B$2:$L$37)</f>
        <v>49</v>
      </c>
      <c r="S308" t="s">
        <v>102</v>
      </c>
      <c r="T308" s="7"/>
      <c r="U308" s="7"/>
      <c r="V308" s="7"/>
      <c r="W308" s="7"/>
      <c r="X308" s="7"/>
      <c r="Y308" s="7"/>
      <c r="Z308" s="7"/>
      <c r="AA308" s="7"/>
      <c r="AB308" s="5">
        <f t="shared" si="105"/>
        <v>0</v>
      </c>
      <c r="AC308" s="5">
        <f>SUM(AB275:AB307)</f>
        <v>49</v>
      </c>
    </row>
    <row r="309" spans="1:29" x14ac:dyDescent="0.25">
      <c r="A309" t="s">
        <v>104</v>
      </c>
      <c r="B309" t="s">
        <v>103</v>
      </c>
      <c r="C309" t="s">
        <v>113</v>
      </c>
      <c r="D309" t="s">
        <v>70</v>
      </c>
      <c r="E309" s="64"/>
      <c r="F309" s="64"/>
      <c r="G309">
        <f>IFERROR(HLOOKUP(G$2,[12]table_male_hkom1_inj.U5!$A$1:$K$36,2,FALSE),0)</f>
        <v>0</v>
      </c>
      <c r="H309">
        <f>IFERROR(HLOOKUP(H$2,[12]table_male_hkom1_inj.U5!$A$1:$K$36,2,FALSE),0)</f>
        <v>0</v>
      </c>
      <c r="I309">
        <f>IFERROR(HLOOKUP(I$2,[12]table_male_hkom1_inj.U5!$A$1:$K$36,2,FALSE),0)</f>
        <v>0</v>
      </c>
      <c r="J309">
        <f>IFERROR(HLOOKUP(J$2,[12]table_male_hkom1_inj.U5!$A$1:$K$36,2,FALSE),0)</f>
        <v>0</v>
      </c>
      <c r="K309">
        <f>IFERROR(HLOOKUP(K$2,[12]table_male_hkom1_inj.U5!$A$1:$K$36,2,FALSE),0)</f>
        <v>0</v>
      </c>
      <c r="L309">
        <f>IFERROR(HLOOKUP(L$2,[12]table_male_hkom1_inj.U5!$A$1:$K$36,2,FALSE),0)</f>
        <v>0</v>
      </c>
      <c r="M309">
        <f t="shared" si="95"/>
        <v>0</v>
      </c>
      <c r="P309" t="s">
        <v>104</v>
      </c>
      <c r="Q309" t="s">
        <v>103</v>
      </c>
      <c r="R309" t="s">
        <v>113</v>
      </c>
      <c r="S309" t="s">
        <v>70</v>
      </c>
      <c r="T309" s="5">
        <f>IF(SUM(E$309:E$341)=0,E$342/33,E309+IFERROR(E309/SUM(E$309:E$341)*E$342,0))</f>
        <v>0</v>
      </c>
      <c r="U309" s="5">
        <f t="shared" ref="U309:AA309" si="106">IF(SUM(F$309:F$341)=0,F$342/33,F309+IFERROR(F309/SUM(F$309:F$341)*F$342,0))</f>
        <v>0</v>
      </c>
      <c r="V309" s="5">
        <f t="shared" si="106"/>
        <v>0</v>
      </c>
      <c r="W309" s="5">
        <f t="shared" si="106"/>
        <v>0.45454545454545453</v>
      </c>
      <c r="X309" s="5">
        <f t="shared" si="106"/>
        <v>0</v>
      </c>
      <c r="Y309" s="5">
        <f t="shared" si="106"/>
        <v>0</v>
      </c>
      <c r="Z309" s="5">
        <f t="shared" si="106"/>
        <v>0</v>
      </c>
      <c r="AA309" s="5">
        <f t="shared" si="106"/>
        <v>0</v>
      </c>
      <c r="AB309" s="5">
        <f t="shared" si="105"/>
        <v>0.45454545454545453</v>
      </c>
    </row>
    <row r="310" spans="1:29" x14ac:dyDescent="0.25">
      <c r="D310" t="s">
        <v>71</v>
      </c>
      <c r="E310" s="64"/>
      <c r="F310" s="64"/>
      <c r="G310">
        <f>IFERROR(HLOOKUP(G$2,[12]table_male_hkom1_inj.U5!$A$1:$K$36,3,FALSE),0)</f>
        <v>0</v>
      </c>
      <c r="H310">
        <f>IFERROR(HLOOKUP(H$2,[12]table_male_hkom1_inj.U5!$A$1:$K$36,3,FALSE),0)</f>
        <v>0</v>
      </c>
      <c r="I310">
        <f>IFERROR(HLOOKUP(I$2,[12]table_male_hkom1_inj.U5!$A$1:$K$36,3,FALSE),0)</f>
        <v>0</v>
      </c>
      <c r="J310">
        <f>IFERROR(HLOOKUP(J$2,[12]table_male_hkom1_inj.U5!$A$1:$K$36,3,FALSE),0)</f>
        <v>0</v>
      </c>
      <c r="K310">
        <f>IFERROR(HLOOKUP(K$2,[12]table_male_hkom1_inj.U5!$A$1:$K$36,3,FALSE),0)</f>
        <v>0</v>
      </c>
      <c r="L310">
        <f>IFERROR(HLOOKUP(L$2,[12]table_male_hkom1_inj.U5!$A$1:$K$36,3,FALSE),0)</f>
        <v>0</v>
      </c>
      <c r="M310">
        <f t="shared" si="95"/>
        <v>0</v>
      </c>
      <c r="S310" t="s">
        <v>71</v>
      </c>
      <c r="T310" s="5">
        <f t="shared" ref="T310:T341" si="107">IF(SUM(E$309:E$341)=0,E$342/33,E310+IFERROR(E310/SUM(E$309:E$341)*E$342,0))</f>
        <v>0</v>
      </c>
      <c r="U310" s="5">
        <f t="shared" ref="U310:U341" si="108">IF(SUM(F$309:F$341)=0,F$342/33,F310+IFERROR(F310/SUM(F$309:F$341)*F$342,0))</f>
        <v>0</v>
      </c>
      <c r="V310" s="5">
        <f t="shared" ref="V310:V341" si="109">IF(SUM(G$309:G$341)=0,G$342/33,G310+IFERROR(G310/SUM(G$309:G$341)*G$342,0))</f>
        <v>0</v>
      </c>
      <c r="W310" s="5">
        <f t="shared" ref="W310:W341" si="110">IF(SUM(H$309:H$341)=0,H$342/33,H310+IFERROR(H310/SUM(H$309:H$341)*H$342,0))</f>
        <v>0.45454545454545453</v>
      </c>
      <c r="X310" s="5">
        <f t="shared" ref="X310:X341" si="111">IF(SUM(I$309:I$341)=0,I$342/33,I310+IFERROR(I310/SUM(I$309:I$341)*I$342,0))</f>
        <v>0</v>
      </c>
      <c r="Y310" s="5">
        <f t="shared" ref="Y310:Y341" si="112">IF(SUM(J$309:J$341)=0,J$342/33,J310+IFERROR(J310/SUM(J$309:J$341)*J$342,0))</f>
        <v>0</v>
      </c>
      <c r="Z310" s="5">
        <f t="shared" ref="Z310:Z341" si="113">IF(SUM(K$309:K$341)=0,K$342/33,K310+IFERROR(K310/SUM(K$309:K$341)*K$342,0))</f>
        <v>0</v>
      </c>
      <c r="AA310" s="5">
        <f t="shared" ref="AA310:AA341" si="114">IF(SUM(L$309:L$341)=0,L$342/33,L310+IFERROR(L310/SUM(L$309:L$341)*L$342,0))</f>
        <v>0</v>
      </c>
      <c r="AB310" s="5">
        <f t="shared" si="105"/>
        <v>0.45454545454545453</v>
      </c>
    </row>
    <row r="311" spans="1:29" x14ac:dyDescent="0.25">
      <c r="D311" t="s">
        <v>72</v>
      </c>
      <c r="E311" s="64"/>
      <c r="F311" s="64"/>
      <c r="G311">
        <f>IFERROR(HLOOKUP(G$2,[12]table_male_hkom1_inj.U5!$A$1:$K$36,4,FALSE),0)</f>
        <v>0</v>
      </c>
      <c r="H311">
        <f>IFERROR(HLOOKUP(H$2,[12]table_male_hkom1_inj.U5!$A$1:$K$36,4,FALSE),0)</f>
        <v>0</v>
      </c>
      <c r="I311">
        <f>IFERROR(HLOOKUP(I$2,[12]table_male_hkom1_inj.U5!$A$1:$K$36,4,FALSE),0)</f>
        <v>0</v>
      </c>
      <c r="J311">
        <f>IFERROR(HLOOKUP(J$2,[12]table_male_hkom1_inj.U5!$A$1:$K$36,4,FALSE),0)</f>
        <v>0</v>
      </c>
      <c r="K311">
        <f>IFERROR(HLOOKUP(K$2,[12]table_male_hkom1_inj.U5!$A$1:$K$36,4,FALSE),0)</f>
        <v>0</v>
      </c>
      <c r="L311">
        <f>IFERROR(HLOOKUP(L$2,[12]table_male_hkom1_inj.U5!$A$1:$K$36,4,FALSE),0)</f>
        <v>0</v>
      </c>
      <c r="M311">
        <f t="shared" si="95"/>
        <v>0</v>
      </c>
      <c r="S311" t="s">
        <v>72</v>
      </c>
      <c r="T311" s="5">
        <f t="shared" si="107"/>
        <v>0</v>
      </c>
      <c r="U311" s="5">
        <f t="shared" si="108"/>
        <v>0</v>
      </c>
      <c r="V311" s="5">
        <f t="shared" si="109"/>
        <v>0</v>
      </c>
      <c r="W311" s="5">
        <f t="shared" si="110"/>
        <v>0.45454545454545453</v>
      </c>
      <c r="X311" s="5">
        <f t="shared" si="111"/>
        <v>0</v>
      </c>
      <c r="Y311" s="5">
        <f t="shared" si="112"/>
        <v>0</v>
      </c>
      <c r="Z311" s="5">
        <f t="shared" si="113"/>
        <v>0</v>
      </c>
      <c r="AA311" s="5">
        <f t="shared" si="114"/>
        <v>0</v>
      </c>
      <c r="AB311" s="5">
        <f t="shared" si="105"/>
        <v>0.45454545454545453</v>
      </c>
    </row>
    <row r="312" spans="1:29" x14ac:dyDescent="0.25">
      <c r="D312" t="s">
        <v>73</v>
      </c>
      <c r="E312" s="64"/>
      <c r="F312" s="64"/>
      <c r="G312">
        <f>IFERROR(HLOOKUP(G$2,[12]table_male_hkom1_inj.U5!$A$1:$K$36,5,FALSE),0)</f>
        <v>0</v>
      </c>
      <c r="H312">
        <f>IFERROR(HLOOKUP(H$2,[12]table_male_hkom1_inj.U5!$A$1:$K$36,5,FALSE),0)</f>
        <v>0</v>
      </c>
      <c r="I312">
        <f>IFERROR(HLOOKUP(I$2,[12]table_male_hkom1_inj.U5!$A$1:$K$36,5,FALSE),0)</f>
        <v>0</v>
      </c>
      <c r="J312">
        <f>IFERROR(HLOOKUP(J$2,[12]table_male_hkom1_inj.U5!$A$1:$K$36,5,FALSE),0)</f>
        <v>0</v>
      </c>
      <c r="K312">
        <f>IFERROR(HLOOKUP(K$2,[12]table_male_hkom1_inj.U5!$A$1:$K$36,5,FALSE),0)</f>
        <v>0</v>
      </c>
      <c r="L312">
        <f>IFERROR(HLOOKUP(L$2,[12]table_male_hkom1_inj.U5!$A$1:$K$36,5,FALSE),0)</f>
        <v>0</v>
      </c>
      <c r="M312">
        <f t="shared" si="95"/>
        <v>0</v>
      </c>
      <c r="S312" t="s">
        <v>73</v>
      </c>
      <c r="T312" s="5">
        <f t="shared" si="107"/>
        <v>0</v>
      </c>
      <c r="U312" s="5">
        <f t="shared" si="108"/>
        <v>0</v>
      </c>
      <c r="V312" s="5">
        <f t="shared" si="109"/>
        <v>0</v>
      </c>
      <c r="W312" s="5">
        <f t="shared" si="110"/>
        <v>0.45454545454545453</v>
      </c>
      <c r="X312" s="5">
        <f t="shared" si="111"/>
        <v>0</v>
      </c>
      <c r="Y312" s="5">
        <f t="shared" si="112"/>
        <v>0</v>
      </c>
      <c r="Z312" s="5">
        <f t="shared" si="113"/>
        <v>0</v>
      </c>
      <c r="AA312" s="5">
        <f t="shared" si="114"/>
        <v>0</v>
      </c>
      <c r="AB312" s="5">
        <f t="shared" si="105"/>
        <v>0.45454545454545453</v>
      </c>
    </row>
    <row r="313" spans="1:29" x14ac:dyDescent="0.25">
      <c r="D313" t="s">
        <v>74</v>
      </c>
      <c r="E313" s="64"/>
      <c r="F313" s="64"/>
      <c r="G313">
        <f>IFERROR(HLOOKUP(G$2,[12]table_male_hkom1_inj.U5!$A$1:$K$36,6,FALSE),0)</f>
        <v>0</v>
      </c>
      <c r="H313">
        <f>IFERROR(HLOOKUP(H$2,[12]table_male_hkom1_inj.U5!$A$1:$K$36,6,FALSE),0)</f>
        <v>0</v>
      </c>
      <c r="I313">
        <f>IFERROR(HLOOKUP(I$2,[12]table_male_hkom1_inj.U5!$A$1:$K$36,6,FALSE),0)</f>
        <v>0</v>
      </c>
      <c r="J313">
        <f>IFERROR(HLOOKUP(J$2,[12]table_male_hkom1_inj.U5!$A$1:$K$36,6,FALSE),0)</f>
        <v>0</v>
      </c>
      <c r="K313">
        <f>IFERROR(HLOOKUP(K$2,[12]table_male_hkom1_inj.U5!$A$1:$K$36,6,FALSE),0)</f>
        <v>0</v>
      </c>
      <c r="L313">
        <f>IFERROR(HLOOKUP(L$2,[12]table_male_hkom1_inj.U5!$A$1:$K$36,6,FALSE),0)</f>
        <v>0</v>
      </c>
      <c r="M313">
        <f t="shared" si="95"/>
        <v>0</v>
      </c>
      <c r="S313" t="s">
        <v>74</v>
      </c>
      <c r="T313" s="5">
        <f t="shared" si="107"/>
        <v>0</v>
      </c>
      <c r="U313" s="5">
        <f t="shared" si="108"/>
        <v>0</v>
      </c>
      <c r="V313" s="5">
        <f t="shared" si="109"/>
        <v>0</v>
      </c>
      <c r="W313" s="5">
        <f t="shared" si="110"/>
        <v>0.45454545454545453</v>
      </c>
      <c r="X313" s="5">
        <f t="shared" si="111"/>
        <v>0</v>
      </c>
      <c r="Y313" s="5">
        <f t="shared" si="112"/>
        <v>0</v>
      </c>
      <c r="Z313" s="5">
        <f t="shared" si="113"/>
        <v>0</v>
      </c>
      <c r="AA313" s="5">
        <f t="shared" si="114"/>
        <v>0</v>
      </c>
      <c r="AB313" s="5">
        <f t="shared" si="105"/>
        <v>0.45454545454545453</v>
      </c>
    </row>
    <row r="314" spans="1:29" x14ac:dyDescent="0.25">
      <c r="D314" t="s">
        <v>75</v>
      </c>
      <c r="E314" s="64"/>
      <c r="F314" s="64"/>
      <c r="G314">
        <f>IFERROR(HLOOKUP(G$2,[12]table_male_hkom1_inj.U5!$A$1:$K$36,7,FALSE),0)</f>
        <v>0</v>
      </c>
      <c r="H314">
        <f>IFERROR(HLOOKUP(H$2,[12]table_male_hkom1_inj.U5!$A$1:$K$36,7,FALSE),0)</f>
        <v>0</v>
      </c>
      <c r="I314">
        <f>IFERROR(HLOOKUP(I$2,[12]table_male_hkom1_inj.U5!$A$1:$K$36,7,FALSE),0)</f>
        <v>0</v>
      </c>
      <c r="J314">
        <f>IFERROR(HLOOKUP(J$2,[12]table_male_hkom1_inj.U5!$A$1:$K$36,7,FALSE),0)</f>
        <v>0</v>
      </c>
      <c r="K314">
        <f>IFERROR(HLOOKUP(K$2,[12]table_male_hkom1_inj.U5!$A$1:$K$36,7,FALSE),0)</f>
        <v>0</v>
      </c>
      <c r="L314">
        <f>IFERROR(HLOOKUP(L$2,[12]table_male_hkom1_inj.U5!$A$1:$K$36,7,FALSE),0)</f>
        <v>0</v>
      </c>
      <c r="M314">
        <f t="shared" si="95"/>
        <v>0</v>
      </c>
      <c r="S314" t="s">
        <v>75</v>
      </c>
      <c r="T314" s="5">
        <f t="shared" si="107"/>
        <v>0</v>
      </c>
      <c r="U314" s="5">
        <f t="shared" si="108"/>
        <v>0</v>
      </c>
      <c r="V314" s="5">
        <f t="shared" si="109"/>
        <v>0</v>
      </c>
      <c r="W314" s="5">
        <f t="shared" si="110"/>
        <v>0.45454545454545453</v>
      </c>
      <c r="X314" s="5">
        <f t="shared" si="111"/>
        <v>0</v>
      </c>
      <c r="Y314" s="5">
        <f t="shared" si="112"/>
        <v>0</v>
      </c>
      <c r="Z314" s="5">
        <f t="shared" si="113"/>
        <v>0</v>
      </c>
      <c r="AA314" s="5">
        <f t="shared" si="114"/>
        <v>0</v>
      </c>
      <c r="AB314" s="5">
        <f t="shared" si="105"/>
        <v>0.45454545454545453</v>
      </c>
    </row>
    <row r="315" spans="1:29" x14ac:dyDescent="0.25">
      <c r="D315" t="s">
        <v>76</v>
      </c>
      <c r="E315" s="64"/>
      <c r="F315" s="64"/>
      <c r="G315">
        <f>IFERROR(HLOOKUP(G$2,[12]table_male_hkom1_inj.U5!$A$1:$K$36,8,FALSE),0)</f>
        <v>0</v>
      </c>
      <c r="H315">
        <f>IFERROR(HLOOKUP(H$2,[12]table_male_hkom1_inj.U5!$A$1:$K$36,8,FALSE),0)</f>
        <v>0</v>
      </c>
      <c r="I315">
        <f>IFERROR(HLOOKUP(I$2,[12]table_male_hkom1_inj.U5!$A$1:$K$36,8,FALSE),0)</f>
        <v>0</v>
      </c>
      <c r="J315">
        <f>IFERROR(HLOOKUP(J$2,[12]table_male_hkom1_inj.U5!$A$1:$K$36,8,FALSE),0)</f>
        <v>0</v>
      </c>
      <c r="K315">
        <f>IFERROR(HLOOKUP(K$2,[12]table_male_hkom1_inj.U5!$A$1:$K$36,8,FALSE),0)</f>
        <v>0</v>
      </c>
      <c r="L315">
        <f>IFERROR(HLOOKUP(L$2,[12]table_male_hkom1_inj.U5!$A$1:$K$36,8,FALSE),0)</f>
        <v>0</v>
      </c>
      <c r="M315">
        <f t="shared" si="95"/>
        <v>0</v>
      </c>
      <c r="S315" t="s">
        <v>76</v>
      </c>
      <c r="T315" s="5">
        <f t="shared" si="107"/>
        <v>0</v>
      </c>
      <c r="U315" s="5">
        <f t="shared" si="108"/>
        <v>0</v>
      </c>
      <c r="V315" s="5">
        <f t="shared" si="109"/>
        <v>0</v>
      </c>
      <c r="W315" s="5">
        <f t="shared" si="110"/>
        <v>0.45454545454545453</v>
      </c>
      <c r="X315" s="5">
        <f t="shared" si="111"/>
        <v>0</v>
      </c>
      <c r="Y315" s="5">
        <f t="shared" si="112"/>
        <v>0</v>
      </c>
      <c r="Z315" s="5">
        <f t="shared" si="113"/>
        <v>0</v>
      </c>
      <c r="AA315" s="5">
        <f t="shared" si="114"/>
        <v>0</v>
      </c>
      <c r="AB315" s="5">
        <f t="shared" si="105"/>
        <v>0.45454545454545453</v>
      </c>
    </row>
    <row r="316" spans="1:29" x14ac:dyDescent="0.25">
      <c r="D316" t="s">
        <v>77</v>
      </c>
      <c r="E316" s="64"/>
      <c r="F316" s="64"/>
      <c r="G316">
        <f>IFERROR(HLOOKUP(G$2,[12]table_male_hkom1_inj.U5!$A$1:$K$36,9,FALSE),0)</f>
        <v>0</v>
      </c>
      <c r="H316">
        <f>IFERROR(HLOOKUP(H$2,[12]table_male_hkom1_inj.U5!$A$1:$K$36,9,FALSE),0)</f>
        <v>0</v>
      </c>
      <c r="I316">
        <f>IFERROR(HLOOKUP(I$2,[12]table_male_hkom1_inj.U5!$A$1:$K$36,9,FALSE),0)</f>
        <v>0</v>
      </c>
      <c r="J316">
        <f>IFERROR(HLOOKUP(J$2,[12]table_male_hkom1_inj.U5!$A$1:$K$36,9,FALSE),0)</f>
        <v>0</v>
      </c>
      <c r="K316">
        <f>IFERROR(HLOOKUP(K$2,[12]table_male_hkom1_inj.U5!$A$1:$K$36,9,FALSE),0)</f>
        <v>0</v>
      </c>
      <c r="L316">
        <f>IFERROR(HLOOKUP(L$2,[12]table_male_hkom1_inj.U5!$A$1:$K$36,9,FALSE),0)</f>
        <v>0</v>
      </c>
      <c r="M316">
        <f t="shared" si="95"/>
        <v>0</v>
      </c>
      <c r="S316" t="s">
        <v>77</v>
      </c>
      <c r="T316" s="5">
        <f t="shared" si="107"/>
        <v>0</v>
      </c>
      <c r="U316" s="5">
        <f t="shared" si="108"/>
        <v>0</v>
      </c>
      <c r="V316" s="5">
        <f t="shared" si="109"/>
        <v>0</v>
      </c>
      <c r="W316" s="5">
        <f t="shared" si="110"/>
        <v>0.45454545454545453</v>
      </c>
      <c r="X316" s="5">
        <f t="shared" si="111"/>
        <v>0</v>
      </c>
      <c r="Y316" s="5">
        <f t="shared" si="112"/>
        <v>0</v>
      </c>
      <c r="Z316" s="5">
        <f t="shared" si="113"/>
        <v>0</v>
      </c>
      <c r="AA316" s="5">
        <f t="shared" si="114"/>
        <v>0</v>
      </c>
      <c r="AB316" s="5">
        <f t="shared" si="105"/>
        <v>0.45454545454545453</v>
      </c>
    </row>
    <row r="317" spans="1:29" x14ac:dyDescent="0.25">
      <c r="D317" t="s">
        <v>78</v>
      </c>
      <c r="E317" s="64"/>
      <c r="F317" s="64"/>
      <c r="G317">
        <f>IFERROR(HLOOKUP(G$2,[12]table_male_hkom1_inj.U5!$A$1:$K$36,10,FALSE),0)</f>
        <v>0</v>
      </c>
      <c r="H317">
        <f>IFERROR(HLOOKUP(H$2,[12]table_male_hkom1_inj.U5!$A$1:$K$36,10,FALSE),0)</f>
        <v>0</v>
      </c>
      <c r="I317">
        <f>IFERROR(HLOOKUP(I$2,[12]table_male_hkom1_inj.U5!$A$1:$K$36,10,FALSE),0)</f>
        <v>0</v>
      </c>
      <c r="J317">
        <f>IFERROR(HLOOKUP(J$2,[12]table_male_hkom1_inj.U5!$A$1:$K$36,10,FALSE),0)</f>
        <v>0</v>
      </c>
      <c r="K317">
        <f>IFERROR(HLOOKUP(K$2,[12]table_male_hkom1_inj.U5!$A$1:$K$36,10,FALSE),0)</f>
        <v>0</v>
      </c>
      <c r="L317">
        <f>IFERROR(HLOOKUP(L$2,[12]table_male_hkom1_inj.U5!$A$1:$K$36,10,FALSE),0)</f>
        <v>0</v>
      </c>
      <c r="M317">
        <f t="shared" si="95"/>
        <v>0</v>
      </c>
      <c r="S317" t="s">
        <v>78</v>
      </c>
      <c r="T317" s="5">
        <f t="shared" si="107"/>
        <v>0</v>
      </c>
      <c r="U317" s="5">
        <f t="shared" si="108"/>
        <v>0</v>
      </c>
      <c r="V317" s="5">
        <f t="shared" si="109"/>
        <v>0</v>
      </c>
      <c r="W317" s="5">
        <f t="shared" si="110"/>
        <v>0.45454545454545453</v>
      </c>
      <c r="X317" s="5">
        <f t="shared" si="111"/>
        <v>0</v>
      </c>
      <c r="Y317" s="5">
        <f t="shared" si="112"/>
        <v>0</v>
      </c>
      <c r="Z317" s="5">
        <f t="shared" si="113"/>
        <v>0</v>
      </c>
      <c r="AA317" s="5">
        <f t="shared" si="114"/>
        <v>0</v>
      </c>
      <c r="AB317" s="5">
        <f t="shared" si="105"/>
        <v>0.45454545454545453</v>
      </c>
    </row>
    <row r="318" spans="1:29" x14ac:dyDescent="0.25">
      <c r="D318" t="s">
        <v>79</v>
      </c>
      <c r="E318" s="64"/>
      <c r="F318" s="64"/>
      <c r="G318">
        <f>IFERROR(HLOOKUP(G$2,[12]table_male_hkom1_inj.U5!$A$1:$K$36,11,FALSE),0)</f>
        <v>0</v>
      </c>
      <c r="H318">
        <f>IFERROR(HLOOKUP(H$2,[12]table_male_hkom1_inj.U5!$A$1:$K$36,11,FALSE),0)</f>
        <v>0</v>
      </c>
      <c r="I318">
        <f>IFERROR(HLOOKUP(I$2,[12]table_male_hkom1_inj.U5!$A$1:$K$36,11,FALSE),0)</f>
        <v>0</v>
      </c>
      <c r="J318">
        <f>IFERROR(HLOOKUP(J$2,[12]table_male_hkom1_inj.U5!$A$1:$K$36,11,FALSE),0)</f>
        <v>0</v>
      </c>
      <c r="K318">
        <f>IFERROR(HLOOKUP(K$2,[12]table_male_hkom1_inj.U5!$A$1:$K$36,11,FALSE),0)</f>
        <v>0</v>
      </c>
      <c r="L318">
        <f>IFERROR(HLOOKUP(L$2,[12]table_male_hkom1_inj.U5!$A$1:$K$36,11,FALSE),0)</f>
        <v>0</v>
      </c>
      <c r="M318">
        <f t="shared" si="95"/>
        <v>0</v>
      </c>
      <c r="S318" t="s">
        <v>79</v>
      </c>
      <c r="T318" s="5">
        <f t="shared" si="107"/>
        <v>0</v>
      </c>
      <c r="U318" s="5">
        <f t="shared" si="108"/>
        <v>0</v>
      </c>
      <c r="V318" s="5">
        <f t="shared" si="109"/>
        <v>0</v>
      </c>
      <c r="W318" s="5">
        <f t="shared" si="110"/>
        <v>0.45454545454545453</v>
      </c>
      <c r="X318" s="5">
        <f t="shared" si="111"/>
        <v>0</v>
      </c>
      <c r="Y318" s="5">
        <f t="shared" si="112"/>
        <v>0</v>
      </c>
      <c r="Z318" s="5">
        <f t="shared" si="113"/>
        <v>0</v>
      </c>
      <c r="AA318" s="5">
        <f t="shared" si="114"/>
        <v>0</v>
      </c>
      <c r="AB318" s="5">
        <f t="shared" si="105"/>
        <v>0.45454545454545453</v>
      </c>
    </row>
    <row r="319" spans="1:29" x14ac:dyDescent="0.25">
      <c r="D319" t="s">
        <v>80</v>
      </c>
      <c r="E319" s="64"/>
      <c r="F319" s="64"/>
      <c r="G319">
        <f>IFERROR(HLOOKUP(G$2,[12]table_male_hkom1_inj.U5!$A$1:$K$36,12,FALSE),0)</f>
        <v>0</v>
      </c>
      <c r="H319">
        <f>IFERROR(HLOOKUP(H$2,[12]table_male_hkom1_inj.U5!$A$1:$K$36,12,FALSE),0)</f>
        <v>0</v>
      </c>
      <c r="I319">
        <f>IFERROR(HLOOKUP(I$2,[12]table_male_hkom1_inj.U5!$A$1:$K$36,12,FALSE),0)</f>
        <v>0</v>
      </c>
      <c r="J319">
        <f>IFERROR(HLOOKUP(J$2,[12]table_male_hkom1_inj.U5!$A$1:$K$36,12,FALSE),0)</f>
        <v>0</v>
      </c>
      <c r="K319">
        <f>IFERROR(HLOOKUP(K$2,[12]table_male_hkom1_inj.U5!$A$1:$K$36,12,FALSE),0)</f>
        <v>0</v>
      </c>
      <c r="L319">
        <f>IFERROR(HLOOKUP(L$2,[12]table_male_hkom1_inj.U5!$A$1:$K$36,12,FALSE),0)</f>
        <v>0</v>
      </c>
      <c r="M319">
        <f t="shared" si="95"/>
        <v>0</v>
      </c>
      <c r="S319" t="s">
        <v>80</v>
      </c>
      <c r="T319" s="5">
        <f t="shared" si="107"/>
        <v>0</v>
      </c>
      <c r="U319" s="5">
        <f t="shared" si="108"/>
        <v>0</v>
      </c>
      <c r="V319" s="5">
        <f t="shared" si="109"/>
        <v>0</v>
      </c>
      <c r="W319" s="5">
        <f t="shared" si="110"/>
        <v>0.45454545454545453</v>
      </c>
      <c r="X319" s="5">
        <f t="shared" si="111"/>
        <v>0</v>
      </c>
      <c r="Y319" s="5">
        <f t="shared" si="112"/>
        <v>0</v>
      </c>
      <c r="Z319" s="5">
        <f t="shared" si="113"/>
        <v>0</v>
      </c>
      <c r="AA319" s="5">
        <f t="shared" si="114"/>
        <v>0</v>
      </c>
      <c r="AB319" s="5">
        <f t="shared" si="105"/>
        <v>0.45454545454545453</v>
      </c>
    </row>
    <row r="320" spans="1:29" x14ac:dyDescent="0.25">
      <c r="D320" t="s">
        <v>81</v>
      </c>
      <c r="E320" s="64"/>
      <c r="F320" s="64"/>
      <c r="G320">
        <f>IFERROR(HLOOKUP(G$2,[12]table_male_hkom1_inj.U5!$A$1:$K$36,13,FALSE),0)</f>
        <v>0</v>
      </c>
      <c r="H320">
        <f>IFERROR(HLOOKUP(H$2,[12]table_male_hkom1_inj.U5!$A$1:$K$36,13,FALSE),0)</f>
        <v>0</v>
      </c>
      <c r="I320">
        <f>IFERROR(HLOOKUP(I$2,[12]table_male_hkom1_inj.U5!$A$1:$K$36,13,FALSE),0)</f>
        <v>0</v>
      </c>
      <c r="J320">
        <f>IFERROR(HLOOKUP(J$2,[12]table_male_hkom1_inj.U5!$A$1:$K$36,13,FALSE),0)</f>
        <v>0</v>
      </c>
      <c r="K320">
        <f>IFERROR(HLOOKUP(K$2,[12]table_male_hkom1_inj.U5!$A$1:$K$36,13,FALSE),0)</f>
        <v>0</v>
      </c>
      <c r="L320">
        <f>IFERROR(HLOOKUP(L$2,[12]table_male_hkom1_inj.U5!$A$1:$K$36,13,FALSE),0)</f>
        <v>0</v>
      </c>
      <c r="M320">
        <f t="shared" si="95"/>
        <v>0</v>
      </c>
      <c r="S320" t="s">
        <v>81</v>
      </c>
      <c r="T320" s="5">
        <f t="shared" si="107"/>
        <v>0</v>
      </c>
      <c r="U320" s="5">
        <f t="shared" si="108"/>
        <v>0</v>
      </c>
      <c r="V320" s="5">
        <f t="shared" si="109"/>
        <v>0</v>
      </c>
      <c r="W320" s="5">
        <f t="shared" si="110"/>
        <v>0.45454545454545453</v>
      </c>
      <c r="X320" s="5">
        <f t="shared" si="111"/>
        <v>0</v>
      </c>
      <c r="Y320" s="5">
        <f t="shared" si="112"/>
        <v>0</v>
      </c>
      <c r="Z320" s="5">
        <f t="shared" si="113"/>
        <v>0</v>
      </c>
      <c r="AA320" s="5">
        <f t="shared" si="114"/>
        <v>0</v>
      </c>
      <c r="AB320" s="5">
        <f t="shared" si="105"/>
        <v>0.45454545454545453</v>
      </c>
    </row>
    <row r="321" spans="4:28" x14ac:dyDescent="0.25">
      <c r="D321" t="s">
        <v>82</v>
      </c>
      <c r="E321" s="64"/>
      <c r="F321" s="64"/>
      <c r="G321">
        <f>IFERROR(HLOOKUP(G$2,[12]table_male_hkom1_inj.U5!$A$1:$K$36,14,FALSE),0)</f>
        <v>0</v>
      </c>
      <c r="H321">
        <f>IFERROR(HLOOKUP(H$2,[12]table_male_hkom1_inj.U5!$A$1:$K$36,14,FALSE),0)</f>
        <v>0</v>
      </c>
      <c r="I321">
        <f>IFERROR(HLOOKUP(I$2,[12]table_male_hkom1_inj.U5!$A$1:$K$36,14,FALSE),0)</f>
        <v>0</v>
      </c>
      <c r="J321">
        <f>IFERROR(HLOOKUP(J$2,[12]table_male_hkom1_inj.U5!$A$1:$K$36,14,FALSE),0)</f>
        <v>0</v>
      </c>
      <c r="K321">
        <f>IFERROR(HLOOKUP(K$2,[12]table_male_hkom1_inj.U5!$A$1:$K$36,14,FALSE),0)</f>
        <v>0</v>
      </c>
      <c r="L321">
        <f>IFERROR(HLOOKUP(L$2,[12]table_male_hkom1_inj.U5!$A$1:$K$36,14,FALSE),0)</f>
        <v>0</v>
      </c>
      <c r="M321">
        <f t="shared" si="95"/>
        <v>0</v>
      </c>
      <c r="S321" t="s">
        <v>82</v>
      </c>
      <c r="T321" s="5">
        <f t="shared" si="107"/>
        <v>0</v>
      </c>
      <c r="U321" s="5">
        <f t="shared" si="108"/>
        <v>0</v>
      </c>
      <c r="V321" s="5">
        <f t="shared" si="109"/>
        <v>0</v>
      </c>
      <c r="W321" s="5">
        <f t="shared" si="110"/>
        <v>0.45454545454545453</v>
      </c>
      <c r="X321" s="5">
        <f t="shared" si="111"/>
        <v>0</v>
      </c>
      <c r="Y321" s="5">
        <f t="shared" si="112"/>
        <v>0</v>
      </c>
      <c r="Z321" s="5">
        <f t="shared" si="113"/>
        <v>0</v>
      </c>
      <c r="AA321" s="5">
        <f t="shared" si="114"/>
        <v>0</v>
      </c>
      <c r="AB321" s="5">
        <f t="shared" si="105"/>
        <v>0.45454545454545453</v>
      </c>
    </row>
    <row r="322" spans="4:28" x14ac:dyDescent="0.25">
      <c r="D322" t="s">
        <v>83</v>
      </c>
      <c r="E322" s="64"/>
      <c r="F322" s="64"/>
      <c r="G322">
        <f>IFERROR(HLOOKUP(G$2,[12]table_male_hkom1_inj.U5!$A$1:$K$36,15,FALSE),0)</f>
        <v>1</v>
      </c>
      <c r="H322">
        <f>IFERROR(HLOOKUP(H$2,[12]table_male_hkom1_inj.U5!$A$1:$K$36,15,FALSE),0)</f>
        <v>0</v>
      </c>
      <c r="I322">
        <f>IFERROR(HLOOKUP(I$2,[12]table_male_hkom1_inj.U5!$A$1:$K$36,15,FALSE),0)</f>
        <v>0</v>
      </c>
      <c r="J322">
        <f>IFERROR(HLOOKUP(J$2,[12]table_male_hkom1_inj.U5!$A$1:$K$36,15,FALSE),0)</f>
        <v>0</v>
      </c>
      <c r="K322">
        <f>IFERROR(HLOOKUP(K$2,[12]table_male_hkom1_inj.U5!$A$1:$K$36,15,FALSE),0)</f>
        <v>0</v>
      </c>
      <c r="L322">
        <f>IFERROR(HLOOKUP(L$2,[12]table_male_hkom1_inj.U5!$A$1:$K$36,15,FALSE),0)</f>
        <v>0</v>
      </c>
      <c r="M322">
        <f t="shared" si="95"/>
        <v>1</v>
      </c>
      <c r="S322" t="s">
        <v>83</v>
      </c>
      <c r="T322" s="5">
        <f t="shared" si="107"/>
        <v>0</v>
      </c>
      <c r="U322" s="5">
        <f t="shared" si="108"/>
        <v>0</v>
      </c>
      <c r="V322" s="5">
        <f t="shared" si="109"/>
        <v>4.6666666666666661</v>
      </c>
      <c r="W322" s="5">
        <f t="shared" si="110"/>
        <v>0.45454545454545453</v>
      </c>
      <c r="X322" s="5">
        <f t="shared" si="111"/>
        <v>0</v>
      </c>
      <c r="Y322" s="5">
        <f t="shared" si="112"/>
        <v>0</v>
      </c>
      <c r="Z322" s="5">
        <f t="shared" si="113"/>
        <v>0</v>
      </c>
      <c r="AA322" s="5">
        <f t="shared" si="114"/>
        <v>0</v>
      </c>
      <c r="AB322" s="5">
        <f t="shared" si="105"/>
        <v>5.1212121212121202</v>
      </c>
    </row>
    <row r="323" spans="4:28" x14ac:dyDescent="0.25">
      <c r="D323" t="s">
        <v>84</v>
      </c>
      <c r="E323" s="64"/>
      <c r="F323" s="64"/>
      <c r="G323">
        <f>IFERROR(HLOOKUP(G$2,[12]table_male_hkom1_inj.U5!$A$1:$K$36,16,FALSE),0)</f>
        <v>0</v>
      </c>
      <c r="H323">
        <f>IFERROR(HLOOKUP(H$2,[12]table_male_hkom1_inj.U5!$A$1:$K$36,16,FALSE),0)</f>
        <v>0</v>
      </c>
      <c r="I323">
        <f>IFERROR(HLOOKUP(I$2,[12]table_male_hkom1_inj.U5!$A$1:$K$36,16,FALSE),0)</f>
        <v>0</v>
      </c>
      <c r="J323">
        <f>IFERROR(HLOOKUP(J$2,[12]table_male_hkom1_inj.U5!$A$1:$K$36,16,FALSE),0)</f>
        <v>0</v>
      </c>
      <c r="K323">
        <f>IFERROR(HLOOKUP(K$2,[12]table_male_hkom1_inj.U5!$A$1:$K$36,16,FALSE),0)</f>
        <v>0</v>
      </c>
      <c r="L323">
        <f>IFERROR(HLOOKUP(L$2,[12]table_male_hkom1_inj.U5!$A$1:$K$36,16,FALSE),0)</f>
        <v>0</v>
      </c>
      <c r="M323">
        <f t="shared" si="95"/>
        <v>0</v>
      </c>
      <c r="S323" t="s">
        <v>84</v>
      </c>
      <c r="T323" s="5">
        <f t="shared" si="107"/>
        <v>0</v>
      </c>
      <c r="U323" s="5">
        <f t="shared" si="108"/>
        <v>0</v>
      </c>
      <c r="V323" s="5">
        <f t="shared" si="109"/>
        <v>0</v>
      </c>
      <c r="W323" s="5">
        <f t="shared" si="110"/>
        <v>0.45454545454545453</v>
      </c>
      <c r="X323" s="5">
        <f t="shared" si="111"/>
        <v>0</v>
      </c>
      <c r="Y323" s="5">
        <f t="shared" si="112"/>
        <v>0</v>
      </c>
      <c r="Z323" s="5">
        <f t="shared" si="113"/>
        <v>0</v>
      </c>
      <c r="AA323" s="5">
        <f t="shared" si="114"/>
        <v>0</v>
      </c>
      <c r="AB323" s="5">
        <f t="shared" si="105"/>
        <v>0.45454545454545453</v>
      </c>
    </row>
    <row r="324" spans="4:28" x14ac:dyDescent="0.25">
      <c r="D324" t="s">
        <v>85</v>
      </c>
      <c r="E324" s="64"/>
      <c r="F324" s="64"/>
      <c r="G324">
        <f>IFERROR(HLOOKUP(G$2,[12]table_male_hkom1_inj.U5!$A$1:$K$36,17,FALSE),0)</f>
        <v>0</v>
      </c>
      <c r="H324">
        <f>IFERROR(HLOOKUP(H$2,[12]table_male_hkom1_inj.U5!$A$1:$K$36,17,FALSE),0)</f>
        <v>0</v>
      </c>
      <c r="I324">
        <f>IFERROR(HLOOKUP(I$2,[12]table_male_hkom1_inj.U5!$A$1:$K$36,17,FALSE),0)</f>
        <v>0</v>
      </c>
      <c r="J324">
        <f>IFERROR(HLOOKUP(J$2,[12]table_male_hkom1_inj.U5!$A$1:$K$36,17,FALSE),0)</f>
        <v>0</v>
      </c>
      <c r="K324">
        <f>IFERROR(HLOOKUP(K$2,[12]table_male_hkom1_inj.U5!$A$1:$K$36,17,FALSE),0)</f>
        <v>0</v>
      </c>
      <c r="L324">
        <f>IFERROR(HLOOKUP(L$2,[12]table_male_hkom1_inj.U5!$A$1:$K$36,17,FALSE),0)</f>
        <v>0</v>
      </c>
      <c r="M324">
        <f t="shared" si="95"/>
        <v>0</v>
      </c>
      <c r="S324" t="s">
        <v>85</v>
      </c>
      <c r="T324" s="5">
        <f t="shared" si="107"/>
        <v>0</v>
      </c>
      <c r="U324" s="5">
        <f t="shared" si="108"/>
        <v>0</v>
      </c>
      <c r="V324" s="5">
        <f t="shared" si="109"/>
        <v>0</v>
      </c>
      <c r="W324" s="5">
        <f t="shared" si="110"/>
        <v>0.45454545454545453</v>
      </c>
      <c r="X324" s="5">
        <f t="shared" si="111"/>
        <v>0</v>
      </c>
      <c r="Y324" s="5">
        <f t="shared" si="112"/>
        <v>0</v>
      </c>
      <c r="Z324" s="5">
        <f t="shared" si="113"/>
        <v>0</v>
      </c>
      <c r="AA324" s="5">
        <f t="shared" si="114"/>
        <v>0</v>
      </c>
      <c r="AB324" s="5">
        <f t="shared" si="105"/>
        <v>0.45454545454545453</v>
      </c>
    </row>
    <row r="325" spans="4:28" x14ac:dyDescent="0.25">
      <c r="D325" t="s">
        <v>86</v>
      </c>
      <c r="E325" s="64"/>
      <c r="F325" s="64"/>
      <c r="G325">
        <f>IFERROR(HLOOKUP(G$2,[12]table_male_hkom1_inj.U5!$A$1:$K$36,18,FALSE),0)</f>
        <v>1</v>
      </c>
      <c r="H325">
        <f>IFERROR(HLOOKUP(H$2,[12]table_male_hkom1_inj.U5!$A$1:$K$36,18,FALSE),0)</f>
        <v>0</v>
      </c>
      <c r="I325">
        <f>IFERROR(HLOOKUP(I$2,[12]table_male_hkom1_inj.U5!$A$1:$K$36,18,FALSE),0)</f>
        <v>0</v>
      </c>
      <c r="J325">
        <f>IFERROR(HLOOKUP(J$2,[12]table_male_hkom1_inj.U5!$A$1:$K$36,18,FALSE),0)</f>
        <v>0</v>
      </c>
      <c r="K325">
        <f>IFERROR(HLOOKUP(K$2,[12]table_male_hkom1_inj.U5!$A$1:$K$36,18,FALSE),0)</f>
        <v>0</v>
      </c>
      <c r="L325">
        <f>IFERROR(HLOOKUP(L$2,[12]table_male_hkom1_inj.U5!$A$1:$K$36,18,FALSE),0)</f>
        <v>0</v>
      </c>
      <c r="M325">
        <f t="shared" si="95"/>
        <v>1</v>
      </c>
      <c r="S325" t="s">
        <v>86</v>
      </c>
      <c r="T325" s="5">
        <f t="shared" si="107"/>
        <v>0</v>
      </c>
      <c r="U325" s="5">
        <f t="shared" si="108"/>
        <v>0</v>
      </c>
      <c r="V325" s="5">
        <f t="shared" si="109"/>
        <v>4.6666666666666661</v>
      </c>
      <c r="W325" s="5">
        <f t="shared" si="110"/>
        <v>0.45454545454545453</v>
      </c>
      <c r="X325" s="5">
        <f t="shared" si="111"/>
        <v>0</v>
      </c>
      <c r="Y325" s="5">
        <f t="shared" si="112"/>
        <v>0</v>
      </c>
      <c r="Z325" s="5">
        <f t="shared" si="113"/>
        <v>0</v>
      </c>
      <c r="AA325" s="5">
        <f t="shared" si="114"/>
        <v>0</v>
      </c>
      <c r="AB325" s="5">
        <f t="shared" si="105"/>
        <v>5.1212121212121202</v>
      </c>
    </row>
    <row r="326" spans="4:28" x14ac:dyDescent="0.25">
      <c r="D326" t="s">
        <v>87</v>
      </c>
      <c r="E326" s="64"/>
      <c r="F326" s="64"/>
      <c r="G326">
        <f>IFERROR(HLOOKUP(G$2,[12]table_male_hkom1_inj.U5!$A$1:$K$36,19,FALSE),0)</f>
        <v>0</v>
      </c>
      <c r="H326">
        <f>IFERROR(HLOOKUP(H$2,[12]table_male_hkom1_inj.U5!$A$1:$K$36,19,FALSE),0)</f>
        <v>0</v>
      </c>
      <c r="I326">
        <f>IFERROR(HLOOKUP(I$2,[12]table_male_hkom1_inj.U5!$A$1:$K$36,19,FALSE),0)</f>
        <v>0</v>
      </c>
      <c r="J326">
        <f>IFERROR(HLOOKUP(J$2,[12]table_male_hkom1_inj.U5!$A$1:$K$36,19,FALSE),0)</f>
        <v>0</v>
      </c>
      <c r="K326">
        <f>IFERROR(HLOOKUP(K$2,[12]table_male_hkom1_inj.U5!$A$1:$K$36,19,FALSE),0)</f>
        <v>0</v>
      </c>
      <c r="L326">
        <f>IFERROR(HLOOKUP(L$2,[12]table_male_hkom1_inj.U5!$A$1:$K$36,19,FALSE),0)</f>
        <v>0</v>
      </c>
      <c r="M326">
        <f t="shared" si="95"/>
        <v>0</v>
      </c>
      <c r="S326" t="s">
        <v>87</v>
      </c>
      <c r="T326" s="5">
        <f t="shared" si="107"/>
        <v>0</v>
      </c>
      <c r="U326" s="5">
        <f t="shared" si="108"/>
        <v>0</v>
      </c>
      <c r="V326" s="5">
        <f t="shared" si="109"/>
        <v>0</v>
      </c>
      <c r="W326" s="5">
        <f t="shared" si="110"/>
        <v>0.45454545454545453</v>
      </c>
      <c r="X326" s="5">
        <f t="shared" si="111"/>
        <v>0</v>
      </c>
      <c r="Y326" s="5">
        <f t="shared" si="112"/>
        <v>0</v>
      </c>
      <c r="Z326" s="5">
        <f t="shared" si="113"/>
        <v>0</v>
      </c>
      <c r="AA326" s="5">
        <f t="shared" si="114"/>
        <v>0</v>
      </c>
      <c r="AB326" s="5">
        <f t="shared" si="105"/>
        <v>0.45454545454545453</v>
      </c>
    </row>
    <row r="327" spans="4:28" x14ac:dyDescent="0.25">
      <c r="D327" t="s">
        <v>88</v>
      </c>
      <c r="E327" s="64"/>
      <c r="F327" s="64"/>
      <c r="G327">
        <f>IFERROR(HLOOKUP(G$2,[12]table_male_hkom1_inj.U5!$A$1:$K$36,20,FALSE),0)</f>
        <v>1</v>
      </c>
      <c r="H327">
        <f>IFERROR(HLOOKUP(H$2,[12]table_male_hkom1_inj.U5!$A$1:$K$36,20,FALSE),0)</f>
        <v>0</v>
      </c>
      <c r="I327">
        <f>IFERROR(HLOOKUP(I$2,[12]table_male_hkom1_inj.U5!$A$1:$K$36,20,FALSE),0)</f>
        <v>1</v>
      </c>
      <c r="J327">
        <f>IFERROR(HLOOKUP(J$2,[12]table_male_hkom1_inj.U5!$A$1:$K$36,20,FALSE),0)</f>
        <v>0</v>
      </c>
      <c r="K327">
        <f>IFERROR(HLOOKUP(K$2,[12]table_male_hkom1_inj.U5!$A$1:$K$36,20,FALSE),0)</f>
        <v>0</v>
      </c>
      <c r="L327">
        <f>IFERROR(HLOOKUP(L$2,[12]table_male_hkom1_inj.U5!$A$1:$K$36,20,FALSE),0)</f>
        <v>0</v>
      </c>
      <c r="M327">
        <f t="shared" si="95"/>
        <v>2</v>
      </c>
      <c r="S327" t="s">
        <v>88</v>
      </c>
      <c r="T327" s="5">
        <f t="shared" si="107"/>
        <v>0</v>
      </c>
      <c r="U327" s="5">
        <f t="shared" si="108"/>
        <v>0</v>
      </c>
      <c r="V327" s="5">
        <f t="shared" si="109"/>
        <v>4.6666666666666661</v>
      </c>
      <c r="W327" s="5">
        <f t="shared" si="110"/>
        <v>0.45454545454545453</v>
      </c>
      <c r="X327" s="5">
        <f t="shared" si="111"/>
        <v>8</v>
      </c>
      <c r="Y327" s="5">
        <f t="shared" si="112"/>
        <v>0</v>
      </c>
      <c r="Z327" s="5">
        <f t="shared" si="113"/>
        <v>0</v>
      </c>
      <c r="AA327" s="5">
        <f t="shared" si="114"/>
        <v>0</v>
      </c>
      <c r="AB327" s="5">
        <f t="shared" si="105"/>
        <v>13.121212121212121</v>
      </c>
    </row>
    <row r="328" spans="4:28" x14ac:dyDescent="0.25">
      <c r="D328" t="s">
        <v>89</v>
      </c>
      <c r="E328" s="64"/>
      <c r="F328" s="64"/>
      <c r="G328">
        <f>IFERROR(HLOOKUP(G$2,[12]table_male_hkom1_inj.U5!$A$1:$K$36,21,FALSE),0)</f>
        <v>0</v>
      </c>
      <c r="H328">
        <f>IFERROR(HLOOKUP(H$2,[12]table_male_hkom1_inj.U5!$A$1:$K$36,21,FALSE),0)</f>
        <v>0</v>
      </c>
      <c r="I328">
        <f>IFERROR(HLOOKUP(I$2,[12]table_male_hkom1_inj.U5!$A$1:$K$36,21,FALSE),0)</f>
        <v>0</v>
      </c>
      <c r="J328">
        <f>IFERROR(HLOOKUP(J$2,[12]table_male_hkom1_inj.U5!$A$1:$K$36,21,FALSE),0)</f>
        <v>0</v>
      </c>
      <c r="K328">
        <f>IFERROR(HLOOKUP(K$2,[12]table_male_hkom1_inj.U5!$A$1:$K$36,21,FALSE),0)</f>
        <v>0</v>
      </c>
      <c r="L328">
        <f>IFERROR(HLOOKUP(L$2,[12]table_male_hkom1_inj.U5!$A$1:$K$36,21,FALSE),0)</f>
        <v>0</v>
      </c>
      <c r="M328">
        <f t="shared" ref="M328:M376" si="115">SUM(E328:L328)</f>
        <v>0</v>
      </c>
      <c r="S328" t="s">
        <v>89</v>
      </c>
      <c r="T328" s="5">
        <f t="shared" si="107"/>
        <v>0</v>
      </c>
      <c r="U328" s="5">
        <f t="shared" si="108"/>
        <v>0</v>
      </c>
      <c r="V328" s="5">
        <f t="shared" si="109"/>
        <v>0</v>
      </c>
      <c r="W328" s="5">
        <f t="shared" si="110"/>
        <v>0.45454545454545453</v>
      </c>
      <c r="X328" s="5">
        <f t="shared" si="111"/>
        <v>0</v>
      </c>
      <c r="Y328" s="5">
        <f t="shared" si="112"/>
        <v>0</v>
      </c>
      <c r="Z328" s="5">
        <f t="shared" si="113"/>
        <v>0</v>
      </c>
      <c r="AA328" s="5">
        <f t="shared" si="114"/>
        <v>0</v>
      </c>
      <c r="AB328" s="5">
        <f t="shared" si="105"/>
        <v>0.45454545454545453</v>
      </c>
    </row>
    <row r="329" spans="4:28" x14ac:dyDescent="0.25">
      <c r="D329" t="s">
        <v>90</v>
      </c>
      <c r="E329" s="64"/>
      <c r="F329" s="64"/>
      <c r="G329">
        <f>IFERROR(HLOOKUP(G$2,[12]table_male_hkom1_inj.U5!$A$1:$K$36,22,FALSE),0)</f>
        <v>0</v>
      </c>
      <c r="H329">
        <f>IFERROR(HLOOKUP(H$2,[12]table_male_hkom1_inj.U5!$A$1:$K$36,22,FALSE),0)</f>
        <v>0</v>
      </c>
      <c r="I329">
        <f>IFERROR(HLOOKUP(I$2,[12]table_male_hkom1_inj.U5!$A$1:$K$36,22,FALSE),0)</f>
        <v>0</v>
      </c>
      <c r="J329">
        <f>IFERROR(HLOOKUP(J$2,[12]table_male_hkom1_inj.U5!$A$1:$K$36,22,FALSE),0)</f>
        <v>0</v>
      </c>
      <c r="K329">
        <f>IFERROR(HLOOKUP(K$2,[12]table_male_hkom1_inj.U5!$A$1:$K$36,22,FALSE),0)</f>
        <v>0</v>
      </c>
      <c r="L329">
        <f>IFERROR(HLOOKUP(L$2,[12]table_male_hkom1_inj.U5!$A$1:$K$36,22,FALSE),0)</f>
        <v>0</v>
      </c>
      <c r="M329">
        <f t="shared" si="115"/>
        <v>0</v>
      </c>
      <c r="S329" t="s">
        <v>90</v>
      </c>
      <c r="T329" s="5">
        <f t="shared" si="107"/>
        <v>0</v>
      </c>
      <c r="U329" s="5">
        <f t="shared" si="108"/>
        <v>0</v>
      </c>
      <c r="V329" s="5">
        <f t="shared" si="109"/>
        <v>0</v>
      </c>
      <c r="W329" s="5">
        <f t="shared" si="110"/>
        <v>0.45454545454545453</v>
      </c>
      <c r="X329" s="5">
        <f t="shared" si="111"/>
        <v>0</v>
      </c>
      <c r="Y329" s="5">
        <f t="shared" si="112"/>
        <v>0</v>
      </c>
      <c r="Z329" s="5">
        <f t="shared" si="113"/>
        <v>0</v>
      </c>
      <c r="AA329" s="5">
        <f t="shared" si="114"/>
        <v>0</v>
      </c>
      <c r="AB329" s="5">
        <f t="shared" si="105"/>
        <v>0.45454545454545453</v>
      </c>
    </row>
    <row r="330" spans="4:28" x14ac:dyDescent="0.25">
      <c r="D330" t="s">
        <v>91</v>
      </c>
      <c r="E330" s="64"/>
      <c r="F330" s="64"/>
      <c r="G330">
        <f>IFERROR(HLOOKUP(G$2,[12]table_male_hkom1_inj.U5!$A$1:$K$36,23,FALSE),0)</f>
        <v>0</v>
      </c>
      <c r="H330">
        <f>IFERROR(HLOOKUP(H$2,[12]table_male_hkom1_inj.U5!$A$1:$K$36,23,FALSE),0)</f>
        <v>0</v>
      </c>
      <c r="I330">
        <f>IFERROR(HLOOKUP(I$2,[12]table_male_hkom1_inj.U5!$A$1:$K$36,23,FALSE),0)</f>
        <v>0</v>
      </c>
      <c r="J330">
        <f>IFERROR(HLOOKUP(J$2,[12]table_male_hkom1_inj.U5!$A$1:$K$36,23,FALSE),0)</f>
        <v>0</v>
      </c>
      <c r="K330">
        <f>IFERROR(HLOOKUP(K$2,[12]table_male_hkom1_inj.U5!$A$1:$K$36,23,FALSE),0)</f>
        <v>0</v>
      </c>
      <c r="L330">
        <f>IFERROR(HLOOKUP(L$2,[12]table_male_hkom1_inj.U5!$A$1:$K$36,23,FALSE),0)</f>
        <v>0</v>
      </c>
      <c r="M330">
        <f t="shared" si="115"/>
        <v>0</v>
      </c>
      <c r="S330" t="s">
        <v>91</v>
      </c>
      <c r="T330" s="5">
        <f t="shared" si="107"/>
        <v>0</v>
      </c>
      <c r="U330" s="5">
        <f t="shared" si="108"/>
        <v>0</v>
      </c>
      <c r="V330" s="5">
        <f t="shared" si="109"/>
        <v>0</v>
      </c>
      <c r="W330" s="5">
        <f t="shared" si="110"/>
        <v>0.45454545454545453</v>
      </c>
      <c r="X330" s="5">
        <f t="shared" si="111"/>
        <v>0</v>
      </c>
      <c r="Y330" s="5">
        <f t="shared" si="112"/>
        <v>0</v>
      </c>
      <c r="Z330" s="5">
        <f t="shared" si="113"/>
        <v>0</v>
      </c>
      <c r="AA330" s="5">
        <f t="shared" si="114"/>
        <v>0</v>
      </c>
      <c r="AB330" s="5">
        <f t="shared" si="105"/>
        <v>0.45454545454545453</v>
      </c>
    </row>
    <row r="331" spans="4:28" x14ac:dyDescent="0.25">
      <c r="D331" t="s">
        <v>92</v>
      </c>
      <c r="E331" s="64"/>
      <c r="F331" s="64"/>
      <c r="G331">
        <f>IFERROR(HLOOKUP(G$2,[12]table_male_hkom1_inj.U5!$A$1:$K$36,24,FALSE),0)</f>
        <v>0</v>
      </c>
      <c r="H331">
        <f>IFERROR(HLOOKUP(H$2,[12]table_male_hkom1_inj.U5!$A$1:$K$36,24,FALSE),0)</f>
        <v>0</v>
      </c>
      <c r="I331">
        <f>IFERROR(HLOOKUP(I$2,[12]table_male_hkom1_inj.U5!$A$1:$K$36,24,FALSE),0)</f>
        <v>0</v>
      </c>
      <c r="J331">
        <f>IFERROR(HLOOKUP(J$2,[12]table_male_hkom1_inj.U5!$A$1:$K$36,24,FALSE),0)</f>
        <v>0</v>
      </c>
      <c r="K331">
        <f>IFERROR(HLOOKUP(K$2,[12]table_male_hkom1_inj.U5!$A$1:$K$36,24,FALSE),0)</f>
        <v>0</v>
      </c>
      <c r="L331">
        <f>IFERROR(HLOOKUP(L$2,[12]table_male_hkom1_inj.U5!$A$1:$K$36,24,FALSE),0)</f>
        <v>0</v>
      </c>
      <c r="M331">
        <f t="shared" si="115"/>
        <v>0</v>
      </c>
      <c r="S331" t="s">
        <v>92</v>
      </c>
      <c r="T331" s="5">
        <f t="shared" si="107"/>
        <v>0</v>
      </c>
      <c r="U331" s="5">
        <f t="shared" si="108"/>
        <v>0</v>
      </c>
      <c r="V331" s="5">
        <f t="shared" si="109"/>
        <v>0</v>
      </c>
      <c r="W331" s="5">
        <f t="shared" si="110"/>
        <v>0.45454545454545453</v>
      </c>
      <c r="X331" s="5">
        <f t="shared" si="111"/>
        <v>0</v>
      </c>
      <c r="Y331" s="5">
        <f t="shared" si="112"/>
        <v>0</v>
      </c>
      <c r="Z331" s="5">
        <f t="shared" si="113"/>
        <v>0</v>
      </c>
      <c r="AA331" s="5">
        <f t="shared" si="114"/>
        <v>0</v>
      </c>
      <c r="AB331" s="5">
        <f t="shared" si="105"/>
        <v>0.45454545454545453</v>
      </c>
    </row>
    <row r="332" spans="4:28" x14ac:dyDescent="0.25">
      <c r="D332" t="s">
        <v>93</v>
      </c>
      <c r="E332" s="64"/>
      <c r="F332" s="64"/>
      <c r="G332">
        <f>IFERROR(HLOOKUP(G$2,[12]table_male_hkom1_inj.U5!$A$1:$K$36,25,FALSE),0)</f>
        <v>0</v>
      </c>
      <c r="H332">
        <f>IFERROR(HLOOKUP(H$2,[12]table_male_hkom1_inj.U5!$A$1:$K$36,25,FALSE),0)</f>
        <v>0</v>
      </c>
      <c r="I332">
        <f>IFERROR(HLOOKUP(I$2,[12]table_male_hkom1_inj.U5!$A$1:$K$36,25,FALSE),0)</f>
        <v>0</v>
      </c>
      <c r="J332">
        <f>IFERROR(HLOOKUP(J$2,[12]table_male_hkom1_inj.U5!$A$1:$K$36,25,FALSE),0)</f>
        <v>0</v>
      </c>
      <c r="K332">
        <f>IFERROR(HLOOKUP(K$2,[12]table_male_hkom1_inj.U5!$A$1:$K$36,25,FALSE),0)</f>
        <v>0</v>
      </c>
      <c r="L332">
        <f>IFERROR(HLOOKUP(L$2,[12]table_male_hkom1_inj.U5!$A$1:$K$36,25,FALSE),0)</f>
        <v>0</v>
      </c>
      <c r="M332">
        <f t="shared" si="115"/>
        <v>0</v>
      </c>
      <c r="S332" t="s">
        <v>93</v>
      </c>
      <c r="T332" s="5">
        <f t="shared" si="107"/>
        <v>0</v>
      </c>
      <c r="U332" s="5">
        <f t="shared" si="108"/>
        <v>0</v>
      </c>
      <c r="V332" s="5">
        <f t="shared" si="109"/>
        <v>0</v>
      </c>
      <c r="W332" s="5">
        <f t="shared" si="110"/>
        <v>0.45454545454545453</v>
      </c>
      <c r="X332" s="5">
        <f t="shared" si="111"/>
        <v>0</v>
      </c>
      <c r="Y332" s="5">
        <f t="shared" si="112"/>
        <v>0</v>
      </c>
      <c r="Z332" s="5">
        <f t="shared" si="113"/>
        <v>0</v>
      </c>
      <c r="AA332" s="5">
        <f t="shared" si="114"/>
        <v>0</v>
      </c>
      <c r="AB332" s="5">
        <f t="shared" si="105"/>
        <v>0.45454545454545453</v>
      </c>
    </row>
    <row r="333" spans="4:28" x14ac:dyDescent="0.25">
      <c r="D333" t="s">
        <v>94</v>
      </c>
      <c r="E333" s="64"/>
      <c r="F333" s="64"/>
      <c r="G333">
        <f>IFERROR(HLOOKUP(G$2,[12]table_male_hkom1_inj.U5!$A$1:$K$36,26,FALSE),0)</f>
        <v>0</v>
      </c>
      <c r="H333">
        <f>IFERROR(HLOOKUP(H$2,[12]table_male_hkom1_inj.U5!$A$1:$K$36,26,FALSE),0)</f>
        <v>0</v>
      </c>
      <c r="I333">
        <f>IFERROR(HLOOKUP(I$2,[12]table_male_hkom1_inj.U5!$A$1:$K$36,26,FALSE),0)</f>
        <v>0</v>
      </c>
      <c r="J333">
        <f>IFERROR(HLOOKUP(J$2,[12]table_male_hkom1_inj.U5!$A$1:$K$36,26,FALSE),0)</f>
        <v>0</v>
      </c>
      <c r="K333">
        <f>IFERROR(HLOOKUP(K$2,[12]table_male_hkom1_inj.U5!$A$1:$K$36,26,FALSE),0)</f>
        <v>0</v>
      </c>
      <c r="L333">
        <f>IFERROR(HLOOKUP(L$2,[12]table_male_hkom1_inj.U5!$A$1:$K$36,26,FALSE),0)</f>
        <v>0</v>
      </c>
      <c r="M333">
        <f t="shared" si="115"/>
        <v>0</v>
      </c>
      <c r="S333" t="s">
        <v>94</v>
      </c>
      <c r="T333" s="5">
        <f t="shared" si="107"/>
        <v>0</v>
      </c>
      <c r="U333" s="5">
        <f t="shared" si="108"/>
        <v>0</v>
      </c>
      <c r="V333" s="5">
        <f t="shared" si="109"/>
        <v>0</v>
      </c>
      <c r="W333" s="5">
        <f t="shared" si="110"/>
        <v>0.45454545454545453</v>
      </c>
      <c r="X333" s="5">
        <f t="shared" si="111"/>
        <v>0</v>
      </c>
      <c r="Y333" s="5">
        <f t="shared" si="112"/>
        <v>0</v>
      </c>
      <c r="Z333" s="5">
        <f t="shared" si="113"/>
        <v>0</v>
      </c>
      <c r="AA333" s="5">
        <f t="shared" si="114"/>
        <v>0</v>
      </c>
      <c r="AB333" s="5">
        <f t="shared" si="105"/>
        <v>0.45454545454545453</v>
      </c>
    </row>
    <row r="334" spans="4:28" x14ac:dyDescent="0.25">
      <c r="D334" t="s">
        <v>95</v>
      </c>
      <c r="E334" s="64"/>
      <c r="F334" s="64"/>
      <c r="G334">
        <f>IFERROR(HLOOKUP(G$2,[12]table_male_hkom1_inj.U5!$A$1:$K$36,27,FALSE),0)</f>
        <v>0</v>
      </c>
      <c r="H334">
        <f>IFERROR(HLOOKUP(H$2,[12]table_male_hkom1_inj.U5!$A$1:$K$36,27,FALSE),0)</f>
        <v>0</v>
      </c>
      <c r="I334">
        <f>IFERROR(HLOOKUP(I$2,[12]table_male_hkom1_inj.U5!$A$1:$K$36,27,FALSE),0)</f>
        <v>0</v>
      </c>
      <c r="J334">
        <f>IFERROR(HLOOKUP(J$2,[12]table_male_hkom1_inj.U5!$A$1:$K$36,27,FALSE),0)</f>
        <v>0</v>
      </c>
      <c r="K334">
        <f>IFERROR(HLOOKUP(K$2,[12]table_male_hkom1_inj.U5!$A$1:$K$36,27,FALSE),0)</f>
        <v>0</v>
      </c>
      <c r="L334">
        <f>IFERROR(HLOOKUP(L$2,[12]table_male_hkom1_inj.U5!$A$1:$K$36,27,FALSE),0)</f>
        <v>0</v>
      </c>
      <c r="M334">
        <f t="shared" si="115"/>
        <v>0</v>
      </c>
      <c r="S334" t="s">
        <v>95</v>
      </c>
      <c r="T334" s="5">
        <f t="shared" si="107"/>
        <v>0</v>
      </c>
      <c r="U334" s="5">
        <f t="shared" si="108"/>
        <v>0</v>
      </c>
      <c r="V334" s="5">
        <f t="shared" si="109"/>
        <v>0</v>
      </c>
      <c r="W334" s="5">
        <f t="shared" si="110"/>
        <v>0.45454545454545453</v>
      </c>
      <c r="X334" s="5">
        <f t="shared" si="111"/>
        <v>0</v>
      </c>
      <c r="Y334" s="5">
        <f t="shared" si="112"/>
        <v>0</v>
      </c>
      <c r="Z334" s="5">
        <f t="shared" si="113"/>
        <v>0</v>
      </c>
      <c r="AA334" s="5">
        <f t="shared" si="114"/>
        <v>0</v>
      </c>
      <c r="AB334" s="5">
        <f t="shared" si="105"/>
        <v>0.45454545454545453</v>
      </c>
    </row>
    <row r="335" spans="4:28" x14ac:dyDescent="0.25">
      <c r="D335" t="s">
        <v>96</v>
      </c>
      <c r="E335" s="64"/>
      <c r="F335" s="64"/>
      <c r="G335">
        <f>IFERROR(HLOOKUP(G$2,[12]table_male_hkom1_inj.U5!$A$1:$K$36,28,FALSE),0)</f>
        <v>0</v>
      </c>
      <c r="H335">
        <f>IFERROR(HLOOKUP(H$2,[12]table_male_hkom1_inj.U5!$A$1:$K$36,28,FALSE),0)</f>
        <v>0</v>
      </c>
      <c r="I335">
        <f>IFERROR(HLOOKUP(I$2,[12]table_male_hkom1_inj.U5!$A$1:$K$36,28,FALSE),0)</f>
        <v>0</v>
      </c>
      <c r="J335">
        <f>IFERROR(HLOOKUP(J$2,[12]table_male_hkom1_inj.U5!$A$1:$K$36,28,FALSE),0)</f>
        <v>0</v>
      </c>
      <c r="K335">
        <f>IFERROR(HLOOKUP(K$2,[12]table_male_hkom1_inj.U5!$A$1:$K$36,28,FALSE),0)</f>
        <v>0</v>
      </c>
      <c r="L335">
        <f>IFERROR(HLOOKUP(L$2,[12]table_male_hkom1_inj.U5!$A$1:$K$36,28,FALSE),0)</f>
        <v>0</v>
      </c>
      <c r="M335">
        <f t="shared" si="115"/>
        <v>0</v>
      </c>
      <c r="S335" t="s">
        <v>96</v>
      </c>
      <c r="T335" s="5">
        <f t="shared" si="107"/>
        <v>0</v>
      </c>
      <c r="U335" s="5">
        <f t="shared" si="108"/>
        <v>0</v>
      </c>
      <c r="V335" s="5">
        <f t="shared" si="109"/>
        <v>0</v>
      </c>
      <c r="W335" s="5">
        <f t="shared" si="110"/>
        <v>0.45454545454545453</v>
      </c>
      <c r="X335" s="5">
        <f t="shared" si="111"/>
        <v>0</v>
      </c>
      <c r="Y335" s="5">
        <f t="shared" si="112"/>
        <v>0</v>
      </c>
      <c r="Z335" s="5">
        <f t="shared" si="113"/>
        <v>0</v>
      </c>
      <c r="AA335" s="5">
        <f t="shared" si="114"/>
        <v>0</v>
      </c>
      <c r="AB335" s="5">
        <f t="shared" si="105"/>
        <v>0.45454545454545453</v>
      </c>
    </row>
    <row r="336" spans="4:28" x14ac:dyDescent="0.25">
      <c r="D336" t="s">
        <v>97</v>
      </c>
      <c r="E336" s="64"/>
      <c r="F336" s="64"/>
      <c r="G336">
        <f>IFERROR(HLOOKUP(G$2,[12]table_male_hkom1_inj.U5!$A$1:$K$36,29,FALSE),0)</f>
        <v>0</v>
      </c>
      <c r="H336">
        <f>IFERROR(HLOOKUP(H$2,[12]table_male_hkom1_inj.U5!$A$1:$K$36,29,FALSE),0)</f>
        <v>0</v>
      </c>
      <c r="I336">
        <f>IFERROR(HLOOKUP(I$2,[12]table_male_hkom1_inj.U5!$A$1:$K$36,29,FALSE),0)</f>
        <v>0</v>
      </c>
      <c r="J336">
        <f>IFERROR(HLOOKUP(J$2,[12]table_male_hkom1_inj.U5!$A$1:$K$36,29,FALSE),0)</f>
        <v>0</v>
      </c>
      <c r="K336">
        <f>IFERROR(HLOOKUP(K$2,[12]table_male_hkom1_inj.U5!$A$1:$K$36,29,FALSE),0)</f>
        <v>0</v>
      </c>
      <c r="L336">
        <f>IFERROR(HLOOKUP(L$2,[12]table_male_hkom1_inj.U5!$A$1:$K$36,29,FALSE),0)</f>
        <v>0</v>
      </c>
      <c r="M336">
        <f t="shared" si="115"/>
        <v>0</v>
      </c>
      <c r="S336" t="s">
        <v>97</v>
      </c>
      <c r="T336" s="5">
        <f t="shared" si="107"/>
        <v>0</v>
      </c>
      <c r="U336" s="5">
        <f t="shared" si="108"/>
        <v>0</v>
      </c>
      <c r="V336" s="5">
        <f t="shared" si="109"/>
        <v>0</v>
      </c>
      <c r="W336" s="5">
        <f t="shared" si="110"/>
        <v>0.45454545454545453</v>
      </c>
      <c r="X336" s="5">
        <f t="shared" si="111"/>
        <v>0</v>
      </c>
      <c r="Y336" s="5">
        <f t="shared" si="112"/>
        <v>0</v>
      </c>
      <c r="Z336" s="5">
        <f t="shared" si="113"/>
        <v>0</v>
      </c>
      <c r="AA336" s="5">
        <f t="shared" si="114"/>
        <v>0</v>
      </c>
      <c r="AB336" s="5">
        <f t="shared" si="105"/>
        <v>0.45454545454545453</v>
      </c>
    </row>
    <row r="337" spans="1:29" x14ac:dyDescent="0.25">
      <c r="D337" t="s">
        <v>98</v>
      </c>
      <c r="E337" s="64"/>
      <c r="F337" s="64"/>
      <c r="G337">
        <f>IFERROR(HLOOKUP(G$2,[12]table_male_hkom1_inj.U5!$A$1:$K$36,30,FALSE),0)</f>
        <v>0</v>
      </c>
      <c r="H337">
        <f>IFERROR(HLOOKUP(H$2,[12]table_male_hkom1_inj.U5!$A$1:$K$36,30,FALSE),0)</f>
        <v>0</v>
      </c>
      <c r="I337">
        <f>IFERROR(HLOOKUP(I$2,[12]table_male_hkom1_inj.U5!$A$1:$K$36,30,FALSE),0)</f>
        <v>0</v>
      </c>
      <c r="J337">
        <f>IFERROR(HLOOKUP(J$2,[12]table_male_hkom1_inj.U5!$A$1:$K$36,30,FALSE),0)</f>
        <v>0</v>
      </c>
      <c r="K337">
        <f>IFERROR(HLOOKUP(K$2,[12]table_male_hkom1_inj.U5!$A$1:$K$36,30,FALSE),0)</f>
        <v>0</v>
      </c>
      <c r="L337">
        <f>IFERROR(HLOOKUP(L$2,[12]table_male_hkom1_inj.U5!$A$1:$K$36,30,FALSE),0)</f>
        <v>0</v>
      </c>
      <c r="M337">
        <f t="shared" si="115"/>
        <v>0</v>
      </c>
      <c r="S337" t="s">
        <v>98</v>
      </c>
      <c r="T337" s="5">
        <f t="shared" si="107"/>
        <v>0</v>
      </c>
      <c r="U337" s="5">
        <f t="shared" si="108"/>
        <v>0</v>
      </c>
      <c r="V337" s="5">
        <f t="shared" si="109"/>
        <v>0</v>
      </c>
      <c r="W337" s="5">
        <f t="shared" si="110"/>
        <v>0.45454545454545453</v>
      </c>
      <c r="X337" s="5">
        <f t="shared" si="111"/>
        <v>0</v>
      </c>
      <c r="Y337" s="5">
        <f t="shared" si="112"/>
        <v>0</v>
      </c>
      <c r="Z337" s="5">
        <f t="shared" si="113"/>
        <v>0</v>
      </c>
      <c r="AA337" s="5">
        <f t="shared" si="114"/>
        <v>0</v>
      </c>
      <c r="AB337" s="5">
        <f t="shared" si="105"/>
        <v>0.45454545454545453</v>
      </c>
    </row>
    <row r="338" spans="1:29" x14ac:dyDescent="0.25">
      <c r="D338" t="s">
        <v>119</v>
      </c>
      <c r="E338" s="64"/>
      <c r="F338" s="64"/>
      <c r="G338">
        <f>IFERROR(HLOOKUP(G$2,[12]table_male_hkom1_inj.U5!$A$1:$K$36,31,FALSE),0)</f>
        <v>0</v>
      </c>
      <c r="H338">
        <f>IFERROR(HLOOKUP(H$2,[12]table_male_hkom1_inj.U5!$A$1:$K$36,31,FALSE),0)</f>
        <v>0</v>
      </c>
      <c r="I338">
        <f>IFERROR(HLOOKUP(I$2,[12]table_male_hkom1_inj.U5!$A$1:$K$36,31,FALSE),0)</f>
        <v>0</v>
      </c>
      <c r="J338">
        <f>IFERROR(HLOOKUP(J$2,[12]table_male_hkom1_inj.U5!$A$1:$K$36,31,FALSE),0)</f>
        <v>0</v>
      </c>
      <c r="K338">
        <f>IFERROR(HLOOKUP(K$2,[12]table_male_hkom1_inj.U5!$A$1:$K$36,31,FALSE),0)</f>
        <v>0</v>
      </c>
      <c r="L338">
        <f>IFERROR(HLOOKUP(L$2,[12]table_male_hkom1_inj.U5!$A$1:$K$36,31,FALSE),0)</f>
        <v>0</v>
      </c>
      <c r="M338">
        <f t="shared" si="115"/>
        <v>0</v>
      </c>
      <c r="S338" t="s">
        <v>119</v>
      </c>
      <c r="T338" s="5">
        <f t="shared" si="107"/>
        <v>0</v>
      </c>
      <c r="U338" s="5">
        <f t="shared" si="108"/>
        <v>0</v>
      </c>
      <c r="V338" s="5">
        <f t="shared" si="109"/>
        <v>0</v>
      </c>
      <c r="W338" s="5">
        <f t="shared" si="110"/>
        <v>0.45454545454545453</v>
      </c>
      <c r="X338" s="5">
        <f t="shared" si="111"/>
        <v>0</v>
      </c>
      <c r="Y338" s="5">
        <f t="shared" si="112"/>
        <v>0</v>
      </c>
      <c r="Z338" s="5">
        <f t="shared" si="113"/>
        <v>0</v>
      </c>
      <c r="AA338" s="5">
        <f t="shared" si="114"/>
        <v>0</v>
      </c>
      <c r="AB338" s="5">
        <f t="shared" si="105"/>
        <v>0.45454545454545453</v>
      </c>
    </row>
    <row r="339" spans="1:29" x14ac:dyDescent="0.25">
      <c r="D339" t="s">
        <v>99</v>
      </c>
      <c r="E339" s="64"/>
      <c r="F339" s="64"/>
      <c r="G339">
        <f>IFERROR(HLOOKUP(G$2,[12]table_male_hkom1_inj.U5!$A$1:$K$36,32,FALSE),0)</f>
        <v>0</v>
      </c>
      <c r="H339">
        <f>IFERROR(HLOOKUP(H$2,[12]table_male_hkom1_inj.U5!$A$1:$K$36,32,FALSE),0)</f>
        <v>0</v>
      </c>
      <c r="I339">
        <f>IFERROR(HLOOKUP(I$2,[12]table_male_hkom1_inj.U5!$A$1:$K$36,32,FALSE),0)</f>
        <v>0</v>
      </c>
      <c r="J339">
        <f>IFERROR(HLOOKUP(J$2,[12]table_male_hkom1_inj.U5!$A$1:$K$36,32,FALSE),0)</f>
        <v>0</v>
      </c>
      <c r="K339">
        <f>IFERROR(HLOOKUP(K$2,[12]table_male_hkom1_inj.U5!$A$1:$K$36,32,FALSE),0)</f>
        <v>0</v>
      </c>
      <c r="L339">
        <f>IFERROR(HLOOKUP(L$2,[12]table_male_hkom1_inj.U5!$A$1:$K$36,32,FALSE),0)</f>
        <v>0</v>
      </c>
      <c r="M339">
        <f t="shared" si="115"/>
        <v>0</v>
      </c>
      <c r="S339" t="s">
        <v>99</v>
      </c>
      <c r="T339" s="5">
        <f t="shared" si="107"/>
        <v>0</v>
      </c>
      <c r="U339" s="5">
        <f t="shared" si="108"/>
        <v>0</v>
      </c>
      <c r="V339" s="5">
        <f t="shared" si="109"/>
        <v>0</v>
      </c>
      <c r="W339" s="5">
        <f t="shared" si="110"/>
        <v>0.45454545454545453</v>
      </c>
      <c r="X339" s="5">
        <f t="shared" si="111"/>
        <v>0</v>
      </c>
      <c r="Y339" s="5">
        <f t="shared" si="112"/>
        <v>0</v>
      </c>
      <c r="Z339" s="5">
        <f t="shared" si="113"/>
        <v>0</v>
      </c>
      <c r="AA339" s="5">
        <f t="shared" si="114"/>
        <v>0</v>
      </c>
      <c r="AB339" s="5">
        <f t="shared" si="105"/>
        <v>0.45454545454545453</v>
      </c>
    </row>
    <row r="340" spans="1:29" x14ac:dyDescent="0.25">
      <c r="D340" t="s">
        <v>100</v>
      </c>
      <c r="E340" s="64"/>
      <c r="F340" s="64"/>
      <c r="G340">
        <f>IFERROR(HLOOKUP(G$2,[12]table_male_hkom1_inj.U5!$A$1:$K$36,33,FALSE),0)</f>
        <v>0</v>
      </c>
      <c r="H340">
        <f>IFERROR(HLOOKUP(H$2,[12]table_male_hkom1_inj.U5!$A$1:$K$36,33,FALSE),0)</f>
        <v>0</v>
      </c>
      <c r="I340">
        <f>IFERROR(HLOOKUP(I$2,[12]table_male_hkom1_inj.U5!$A$1:$K$36,33,FALSE),0)</f>
        <v>0</v>
      </c>
      <c r="J340">
        <f>IFERROR(HLOOKUP(J$2,[12]table_male_hkom1_inj.U5!$A$1:$K$36,33,FALSE),0)</f>
        <v>0</v>
      </c>
      <c r="K340">
        <f>IFERROR(HLOOKUP(K$2,[12]table_male_hkom1_inj.U5!$A$1:$K$36,33,FALSE),0)</f>
        <v>0</v>
      </c>
      <c r="L340">
        <f>IFERROR(HLOOKUP(L$2,[12]table_male_hkom1_inj.U5!$A$1:$K$36,33,FALSE),0)</f>
        <v>0</v>
      </c>
      <c r="M340">
        <f t="shared" si="115"/>
        <v>0</v>
      </c>
      <c r="S340" t="s">
        <v>100</v>
      </c>
      <c r="T340" s="5">
        <f t="shared" si="107"/>
        <v>0</v>
      </c>
      <c r="U340" s="5">
        <f t="shared" si="108"/>
        <v>0</v>
      </c>
      <c r="V340" s="5">
        <f t="shared" si="109"/>
        <v>0</v>
      </c>
      <c r="W340" s="5">
        <f t="shared" si="110"/>
        <v>0.45454545454545453</v>
      </c>
      <c r="X340" s="5">
        <f t="shared" si="111"/>
        <v>0</v>
      </c>
      <c r="Y340" s="5">
        <f t="shared" si="112"/>
        <v>0</v>
      </c>
      <c r="Z340" s="5">
        <f t="shared" si="113"/>
        <v>0</v>
      </c>
      <c r="AA340" s="5">
        <f t="shared" si="114"/>
        <v>0</v>
      </c>
      <c r="AB340" s="5">
        <f t="shared" ref="AB340:AB403" si="116">SUM(T340:AA340)</f>
        <v>0.45454545454545453</v>
      </c>
    </row>
    <row r="341" spans="1:29" x14ac:dyDescent="0.25">
      <c r="D341" t="s">
        <v>101</v>
      </c>
      <c r="E341" s="64"/>
      <c r="F341" s="64"/>
      <c r="G341">
        <f>IFERROR(HLOOKUP(G$2,[12]table_male_hkom1_inj.U5!$A$1:$K$36,34,FALSE),0)</f>
        <v>0</v>
      </c>
      <c r="H341">
        <f>IFERROR(HLOOKUP(H$2,[12]table_male_hkom1_inj.U5!$A$1:$K$36,34,FALSE),0)</f>
        <v>0</v>
      </c>
      <c r="I341">
        <f>IFERROR(HLOOKUP(I$2,[12]table_male_hkom1_inj.U5!$A$1:$K$36,34,FALSE),0)</f>
        <v>0</v>
      </c>
      <c r="J341">
        <f>IFERROR(HLOOKUP(J$2,[12]table_male_hkom1_inj.U5!$A$1:$K$36,34,FALSE),0)</f>
        <v>0</v>
      </c>
      <c r="K341">
        <f>IFERROR(HLOOKUP(K$2,[12]table_male_hkom1_inj.U5!$A$1:$K$36,34,FALSE),0)</f>
        <v>0</v>
      </c>
      <c r="L341">
        <f>IFERROR(HLOOKUP(L$2,[12]table_male_hkom1_inj.U5!$A$1:$K$36,34,FALSE),0)</f>
        <v>0</v>
      </c>
      <c r="M341">
        <f t="shared" si="115"/>
        <v>0</v>
      </c>
      <c r="S341" t="s">
        <v>101</v>
      </c>
      <c r="T341" s="5">
        <f t="shared" si="107"/>
        <v>0</v>
      </c>
      <c r="U341" s="5">
        <f t="shared" si="108"/>
        <v>0</v>
      </c>
      <c r="V341" s="5">
        <f t="shared" si="109"/>
        <v>0</v>
      </c>
      <c r="W341" s="5">
        <f t="shared" si="110"/>
        <v>0.45454545454545453</v>
      </c>
      <c r="X341" s="5">
        <f t="shared" si="111"/>
        <v>0</v>
      </c>
      <c r="Y341" s="5">
        <f t="shared" si="112"/>
        <v>0</v>
      </c>
      <c r="Z341" s="5">
        <f t="shared" si="113"/>
        <v>0</v>
      </c>
      <c r="AA341" s="5">
        <f t="shared" si="114"/>
        <v>0</v>
      </c>
      <c r="AB341" s="5">
        <f t="shared" si="116"/>
        <v>0.45454545454545453</v>
      </c>
    </row>
    <row r="342" spans="1:29" x14ac:dyDescent="0.25">
      <c r="D342" t="s">
        <v>102</v>
      </c>
      <c r="E342" s="64"/>
      <c r="F342" s="64"/>
      <c r="G342">
        <f>IFERROR(HLOOKUP(G$2,[12]table_male_hkom1_inj.U5!$A$1:$K$36,35,FALSE),0)</f>
        <v>11</v>
      </c>
      <c r="H342">
        <f>IFERROR(HLOOKUP(H$2,[12]table_male_hkom1_inj.U5!$A$1:$K$36,35,FALSE),0)</f>
        <v>15</v>
      </c>
      <c r="I342">
        <f>IFERROR(HLOOKUP(I$2,[12]table_male_hkom1_inj.U5!$A$1:$K$36,35,FALSE),0)</f>
        <v>7</v>
      </c>
      <c r="J342">
        <f>IFERROR(HLOOKUP(J$2,[12]table_male_hkom1_inj.U5!$A$1:$K$36,35,FALSE),0)</f>
        <v>0</v>
      </c>
      <c r="K342">
        <f>IFERROR(HLOOKUP(K$2,[12]table_male_hkom1_inj.U5!$A$1:$K$36,35,FALSE),0)</f>
        <v>0</v>
      </c>
      <c r="L342">
        <f>IFERROR(HLOOKUP(L$2,[12]table_male_hkom1_inj.U5!$A$1:$K$36,35,FALSE),0)</f>
        <v>0</v>
      </c>
      <c r="M342">
        <f t="shared" si="115"/>
        <v>33</v>
      </c>
      <c r="N342">
        <f>SUM(M309:M342)</f>
        <v>37</v>
      </c>
      <c r="O342" s="8">
        <f>SUM([12]table_male_hkom1_inj.U5!$B$2:$L$37)</f>
        <v>37</v>
      </c>
      <c r="S342" t="s">
        <v>102</v>
      </c>
      <c r="T342" s="7"/>
      <c r="U342" s="7"/>
      <c r="V342" s="7"/>
      <c r="W342" s="7"/>
      <c r="X342" s="7"/>
      <c r="Y342" s="7"/>
      <c r="Z342" s="7"/>
      <c r="AA342" s="7"/>
      <c r="AB342" s="5">
        <f t="shared" si="116"/>
        <v>0</v>
      </c>
      <c r="AC342" s="5">
        <f>SUM(AB309:AB341)</f>
        <v>36.999999999999979</v>
      </c>
    </row>
    <row r="343" spans="1:29" x14ac:dyDescent="0.25">
      <c r="A343" t="s">
        <v>104</v>
      </c>
      <c r="B343" t="s">
        <v>103</v>
      </c>
      <c r="C343" t="s">
        <v>114</v>
      </c>
      <c r="D343" t="s">
        <v>70</v>
      </c>
      <c r="E343" s="64"/>
      <c r="F343" s="64"/>
      <c r="G343">
        <f>IFERROR(HLOOKUP(G$2,[13]table_male_hkom1_inj.U6!$A$1:$K$36,2,FALSE),0)</f>
        <v>7</v>
      </c>
      <c r="H343">
        <f>IFERROR(HLOOKUP(H$2,[13]table_male_hkom1_inj.U6!$A$1:$K$36,2,FALSE),0)</f>
        <v>6</v>
      </c>
      <c r="I343">
        <f>IFERROR(HLOOKUP(I$2,[13]table_male_hkom1_inj.U6!$A$1:$K$36,2,FALSE),0)</f>
        <v>2</v>
      </c>
      <c r="J343">
        <f>IFERROR(HLOOKUP(J$2,[13]table_male_hkom1_inj.U6!$A$1:$K$36,2,FALSE),0)</f>
        <v>0</v>
      </c>
      <c r="K343">
        <f>IFERROR(HLOOKUP(K$2,[13]table_male_hkom1_inj.U6!$A$1:$K$36,2,FALSE),0)</f>
        <v>0</v>
      </c>
      <c r="L343">
        <f>IFERROR(HLOOKUP(L$2,[13]table_male_hkom1_inj.U6!$A$1:$K$36,2,FALSE),0)</f>
        <v>0</v>
      </c>
      <c r="M343">
        <f t="shared" si="115"/>
        <v>15</v>
      </c>
      <c r="P343" s="14" t="s">
        <v>104</v>
      </c>
      <c r="Q343" t="s">
        <v>103</v>
      </c>
      <c r="R343" t="s">
        <v>114</v>
      </c>
      <c r="S343" t="s">
        <v>70</v>
      </c>
      <c r="T343" s="5">
        <f>IF(SUM(E$343:E$375)=0,E$376/33,E343+IFERROR(E343/SUM(E$343:E$375)*E$376,0))</f>
        <v>0</v>
      </c>
      <c r="U343" s="5">
        <f t="shared" ref="U343:AA343" si="117">IF(SUM(F$343:F$375)=0,F$376/33,F343+IFERROR(F343/SUM(F$343:F$375)*F$376,0))</f>
        <v>0</v>
      </c>
      <c r="V343" s="5">
        <f t="shared" si="117"/>
        <v>10.718100890207715</v>
      </c>
      <c r="W343" s="5">
        <f t="shared" si="117"/>
        <v>9.6157549234135669</v>
      </c>
      <c r="X343" s="5">
        <f t="shared" si="117"/>
        <v>3.5525727069351229</v>
      </c>
      <c r="Y343" s="5">
        <f t="shared" si="117"/>
        <v>0</v>
      </c>
      <c r="Z343" s="5">
        <f t="shared" si="117"/>
        <v>0</v>
      </c>
      <c r="AA343" s="5">
        <f t="shared" si="117"/>
        <v>6.0606060606060608E-2</v>
      </c>
      <c r="AB343" s="5">
        <f t="shared" si="116"/>
        <v>23.94703458116247</v>
      </c>
    </row>
    <row r="344" spans="1:29" x14ac:dyDescent="0.25">
      <c r="D344" t="s">
        <v>71</v>
      </c>
      <c r="E344" s="64"/>
      <c r="F344" s="64"/>
      <c r="G344">
        <f>IFERROR(HLOOKUP(G$2,[13]table_male_hkom1_inj.U6!$A$1:$K$36,3,FALSE),0)</f>
        <v>24</v>
      </c>
      <c r="H344">
        <f>IFERROR(HLOOKUP(H$2,[13]table_male_hkom1_inj.U6!$A$1:$K$36,3,FALSE),0)</f>
        <v>23</v>
      </c>
      <c r="I344">
        <f>IFERROR(HLOOKUP(I$2,[13]table_male_hkom1_inj.U6!$A$1:$K$36,3,FALSE),0)</f>
        <v>7</v>
      </c>
      <c r="J344">
        <f>IFERROR(HLOOKUP(J$2,[13]table_male_hkom1_inj.U6!$A$1:$K$36,3,FALSE),0)</f>
        <v>2</v>
      </c>
      <c r="K344">
        <f>IFERROR(HLOOKUP(K$2,[13]table_male_hkom1_inj.U6!$A$1:$K$36,3,FALSE),0)</f>
        <v>0</v>
      </c>
      <c r="L344">
        <f>IFERROR(HLOOKUP(L$2,[13]table_male_hkom1_inj.U6!$A$1:$K$36,3,FALSE),0)</f>
        <v>0</v>
      </c>
      <c r="M344">
        <f t="shared" si="115"/>
        <v>56</v>
      </c>
      <c r="P344" s="14"/>
      <c r="S344" t="s">
        <v>71</v>
      </c>
      <c r="T344" s="5">
        <f t="shared" ref="T344:T375" si="118">IF(SUM(E$343:E$375)=0,E$376/33,E344+IFERROR(E344/SUM(E$343:E$375)*E$376,0))</f>
        <v>0</v>
      </c>
      <c r="U344" s="5">
        <f t="shared" ref="U344:U375" si="119">IF(SUM(F$343:F$375)=0,F$376/33,F344+IFERROR(F344/SUM(F$343:F$375)*F$376,0))</f>
        <v>0</v>
      </c>
      <c r="V344" s="5">
        <f t="shared" ref="V344:V375" si="120">IF(SUM(G$343:G$375)=0,G$376/33,G344+IFERROR(G344/SUM(G$343:G$375)*G$376,0))</f>
        <v>36.747774480712167</v>
      </c>
      <c r="W344" s="5">
        <f t="shared" ref="W344:W375" si="121">IF(SUM(H$343:H$375)=0,H$376/33,H344+IFERROR(H344/SUM(H$343:H$375)*H$376,0))</f>
        <v>36.860393873085343</v>
      </c>
      <c r="X344" s="5">
        <f t="shared" ref="X344:X375" si="122">IF(SUM(I$343:I$375)=0,I$376/33,I344+IFERROR(I344/SUM(I$343:I$375)*I$376,0))</f>
        <v>12.434004474272932</v>
      </c>
      <c r="Y344" s="5">
        <f t="shared" ref="Y344:Y375" si="123">IF(SUM(J$343:J$375)=0,J$376/33,J344+IFERROR(J344/SUM(J$343:J$375)*J$376,0))</f>
        <v>4.6341463414634152</v>
      </c>
      <c r="Z344" s="5">
        <f t="shared" ref="Z344:Z375" si="124">IF(SUM(K$343:K$375)=0,K$376/33,K344+IFERROR(K344/SUM(K$343:K$375)*K$376,0))</f>
        <v>0</v>
      </c>
      <c r="AA344" s="5">
        <f t="shared" ref="AA344:AA375" si="125">IF(SUM(L$343:L$375)=0,L$376/33,L344+IFERROR(L344/SUM(L$343:L$375)*L$376,0))</f>
        <v>6.0606060606060608E-2</v>
      </c>
      <c r="AB344" s="5">
        <f t="shared" si="116"/>
        <v>90.736925230139931</v>
      </c>
    </row>
    <row r="345" spans="1:29" x14ac:dyDescent="0.25">
      <c r="D345" t="s">
        <v>72</v>
      </c>
      <c r="E345" s="64"/>
      <c r="F345" s="64"/>
      <c r="G345">
        <f>IFERROR(HLOOKUP(G$2,[13]table_male_hkom1_inj.U6!$A$1:$K$36,4,FALSE),0)</f>
        <v>8</v>
      </c>
      <c r="H345">
        <f>IFERROR(HLOOKUP(H$2,[13]table_male_hkom1_inj.U6!$A$1:$K$36,4,FALSE),0)</f>
        <v>18</v>
      </c>
      <c r="I345">
        <f>IFERROR(HLOOKUP(I$2,[13]table_male_hkom1_inj.U6!$A$1:$K$36,4,FALSE),0)</f>
        <v>13</v>
      </c>
      <c r="J345">
        <f>IFERROR(HLOOKUP(J$2,[13]table_male_hkom1_inj.U6!$A$1:$K$36,4,FALSE),0)</f>
        <v>2</v>
      </c>
      <c r="K345">
        <f>IFERROR(HLOOKUP(K$2,[13]table_male_hkom1_inj.U6!$A$1:$K$36,4,FALSE),0)</f>
        <v>0</v>
      </c>
      <c r="L345">
        <f>IFERROR(HLOOKUP(L$2,[13]table_male_hkom1_inj.U6!$A$1:$K$36,4,FALSE),0)</f>
        <v>0</v>
      </c>
      <c r="M345">
        <f t="shared" si="115"/>
        <v>41</v>
      </c>
      <c r="P345" s="14"/>
      <c r="S345" t="s">
        <v>72</v>
      </c>
      <c r="T345" s="5">
        <f t="shared" si="118"/>
        <v>0</v>
      </c>
      <c r="U345" s="5">
        <f t="shared" si="119"/>
        <v>0</v>
      </c>
      <c r="V345" s="5">
        <f t="shared" si="120"/>
        <v>12.249258160237389</v>
      </c>
      <c r="W345" s="5">
        <f t="shared" si="121"/>
        <v>28.847264770240699</v>
      </c>
      <c r="X345" s="5">
        <f t="shared" si="122"/>
        <v>23.091722595078302</v>
      </c>
      <c r="Y345" s="5">
        <f t="shared" si="123"/>
        <v>4.6341463414634152</v>
      </c>
      <c r="Z345" s="5">
        <f t="shared" si="124"/>
        <v>0</v>
      </c>
      <c r="AA345" s="5">
        <f t="shared" si="125"/>
        <v>6.0606060606060608E-2</v>
      </c>
      <c r="AB345" s="5">
        <f t="shared" si="116"/>
        <v>68.88299792762588</v>
      </c>
    </row>
    <row r="346" spans="1:29" x14ac:dyDescent="0.25">
      <c r="D346" t="s">
        <v>73</v>
      </c>
      <c r="E346" s="64"/>
      <c r="F346" s="64"/>
      <c r="G346">
        <f>IFERROR(HLOOKUP(G$2,[13]table_male_hkom1_inj.U6!$A$1:$K$36,5,FALSE),0)</f>
        <v>4</v>
      </c>
      <c r="H346">
        <f>IFERROR(HLOOKUP(H$2,[13]table_male_hkom1_inj.U6!$A$1:$K$36,5,FALSE),0)</f>
        <v>15</v>
      </c>
      <c r="I346">
        <f>IFERROR(HLOOKUP(I$2,[13]table_male_hkom1_inj.U6!$A$1:$K$36,5,FALSE),0)</f>
        <v>8</v>
      </c>
      <c r="J346">
        <f>IFERROR(HLOOKUP(J$2,[13]table_male_hkom1_inj.U6!$A$1:$K$36,5,FALSE),0)</f>
        <v>0</v>
      </c>
      <c r="K346">
        <f>IFERROR(HLOOKUP(K$2,[13]table_male_hkom1_inj.U6!$A$1:$K$36,5,FALSE),0)</f>
        <v>0</v>
      </c>
      <c r="L346">
        <f>IFERROR(HLOOKUP(L$2,[13]table_male_hkom1_inj.U6!$A$1:$K$36,5,FALSE),0)</f>
        <v>0</v>
      </c>
      <c r="M346">
        <f t="shared" si="115"/>
        <v>27</v>
      </c>
      <c r="P346" s="14"/>
      <c r="S346" t="s">
        <v>73</v>
      </c>
      <c r="T346" s="5">
        <f t="shared" si="118"/>
        <v>0</v>
      </c>
      <c r="U346" s="5">
        <f t="shared" si="119"/>
        <v>0</v>
      </c>
      <c r="V346" s="5">
        <f t="shared" si="120"/>
        <v>6.1246290801186944</v>
      </c>
      <c r="W346" s="5">
        <f t="shared" si="121"/>
        <v>24.039387308533918</v>
      </c>
      <c r="X346" s="5">
        <f t="shared" si="122"/>
        <v>14.210290827740492</v>
      </c>
      <c r="Y346" s="5">
        <f t="shared" si="123"/>
        <v>0</v>
      </c>
      <c r="Z346" s="5">
        <f t="shared" si="124"/>
        <v>0</v>
      </c>
      <c r="AA346" s="5">
        <f t="shared" si="125"/>
        <v>6.0606060606060608E-2</v>
      </c>
      <c r="AB346" s="5">
        <f t="shared" si="116"/>
        <v>44.434913276999168</v>
      </c>
    </row>
    <row r="347" spans="1:29" x14ac:dyDescent="0.25">
      <c r="D347" t="s">
        <v>74</v>
      </c>
      <c r="E347" s="64"/>
      <c r="F347" s="64"/>
      <c r="G347">
        <f>IFERROR(HLOOKUP(G$2,[13]table_male_hkom1_inj.U6!$A$1:$K$36,6,FALSE),0)</f>
        <v>2</v>
      </c>
      <c r="H347">
        <f>IFERROR(HLOOKUP(H$2,[13]table_male_hkom1_inj.U6!$A$1:$K$36,6,FALSE),0)</f>
        <v>12</v>
      </c>
      <c r="I347">
        <f>IFERROR(HLOOKUP(I$2,[13]table_male_hkom1_inj.U6!$A$1:$K$36,6,FALSE),0)</f>
        <v>11</v>
      </c>
      <c r="J347">
        <f>IFERROR(HLOOKUP(J$2,[13]table_male_hkom1_inj.U6!$A$1:$K$36,6,FALSE),0)</f>
        <v>1</v>
      </c>
      <c r="K347">
        <f>IFERROR(HLOOKUP(K$2,[13]table_male_hkom1_inj.U6!$A$1:$K$36,6,FALSE),0)</f>
        <v>0</v>
      </c>
      <c r="L347">
        <f>IFERROR(HLOOKUP(L$2,[13]table_male_hkom1_inj.U6!$A$1:$K$36,6,FALSE),0)</f>
        <v>0</v>
      </c>
      <c r="M347">
        <f t="shared" si="115"/>
        <v>26</v>
      </c>
      <c r="P347" s="14"/>
      <c r="S347" t="s">
        <v>74</v>
      </c>
      <c r="T347" s="5">
        <f t="shared" si="118"/>
        <v>0</v>
      </c>
      <c r="U347" s="5">
        <f t="shared" si="119"/>
        <v>0</v>
      </c>
      <c r="V347" s="5">
        <f t="shared" si="120"/>
        <v>3.0623145400593472</v>
      </c>
      <c r="W347" s="5">
        <f t="shared" si="121"/>
        <v>19.231509846827134</v>
      </c>
      <c r="X347" s="5">
        <f t="shared" si="122"/>
        <v>19.539149888143179</v>
      </c>
      <c r="Y347" s="5">
        <f t="shared" si="123"/>
        <v>2.3170731707317076</v>
      </c>
      <c r="Z347" s="5">
        <f t="shared" si="124"/>
        <v>0</v>
      </c>
      <c r="AA347" s="5">
        <f t="shared" si="125"/>
        <v>6.0606060606060608E-2</v>
      </c>
      <c r="AB347" s="5">
        <f t="shared" si="116"/>
        <v>44.210653506367429</v>
      </c>
    </row>
    <row r="348" spans="1:29" x14ac:dyDescent="0.25">
      <c r="D348" t="s">
        <v>75</v>
      </c>
      <c r="E348" s="64"/>
      <c r="F348" s="64"/>
      <c r="G348">
        <f>IFERROR(HLOOKUP(G$2,[13]table_male_hkom1_inj.U6!$A$1:$K$36,7,FALSE),0)</f>
        <v>4</v>
      </c>
      <c r="H348">
        <f>IFERROR(HLOOKUP(H$2,[13]table_male_hkom1_inj.U6!$A$1:$K$36,7,FALSE),0)</f>
        <v>4</v>
      </c>
      <c r="I348">
        <f>IFERROR(HLOOKUP(I$2,[13]table_male_hkom1_inj.U6!$A$1:$K$36,7,FALSE),0)</f>
        <v>2</v>
      </c>
      <c r="J348">
        <f>IFERROR(HLOOKUP(J$2,[13]table_male_hkom1_inj.U6!$A$1:$K$36,7,FALSE),0)</f>
        <v>0</v>
      </c>
      <c r="K348">
        <f>IFERROR(HLOOKUP(K$2,[13]table_male_hkom1_inj.U6!$A$1:$K$36,7,FALSE),0)</f>
        <v>0</v>
      </c>
      <c r="L348">
        <f>IFERROR(HLOOKUP(L$2,[13]table_male_hkom1_inj.U6!$A$1:$K$36,7,FALSE),0)</f>
        <v>0</v>
      </c>
      <c r="M348">
        <f t="shared" si="115"/>
        <v>10</v>
      </c>
      <c r="P348" s="14"/>
      <c r="S348" t="s">
        <v>75</v>
      </c>
      <c r="T348" s="5">
        <f t="shared" si="118"/>
        <v>0</v>
      </c>
      <c r="U348" s="5">
        <f t="shared" si="119"/>
        <v>0</v>
      </c>
      <c r="V348" s="5">
        <f t="shared" si="120"/>
        <v>6.1246290801186944</v>
      </c>
      <c r="W348" s="5">
        <f t="shared" si="121"/>
        <v>6.4105032822757106</v>
      </c>
      <c r="X348" s="5">
        <f t="shared" si="122"/>
        <v>3.5525727069351229</v>
      </c>
      <c r="Y348" s="5">
        <f t="shared" si="123"/>
        <v>0</v>
      </c>
      <c r="Z348" s="5">
        <f t="shared" si="124"/>
        <v>0</v>
      </c>
      <c r="AA348" s="5">
        <f t="shared" si="125"/>
        <v>6.0606060606060608E-2</v>
      </c>
      <c r="AB348" s="5">
        <f t="shared" si="116"/>
        <v>16.148311129935589</v>
      </c>
    </row>
    <row r="349" spans="1:29" x14ac:dyDescent="0.25">
      <c r="D349" t="s">
        <v>76</v>
      </c>
      <c r="E349" s="64"/>
      <c r="F349" s="64"/>
      <c r="G349">
        <f>IFERROR(HLOOKUP(G$2,[13]table_male_hkom1_inj.U6!$A$1:$K$36,8,FALSE),0)</f>
        <v>9</v>
      </c>
      <c r="H349">
        <f>IFERROR(HLOOKUP(H$2,[13]table_male_hkom1_inj.U6!$A$1:$K$36,8,FALSE),0)</f>
        <v>13</v>
      </c>
      <c r="I349">
        <f>IFERROR(HLOOKUP(I$2,[13]table_male_hkom1_inj.U6!$A$1:$K$36,8,FALSE),0)</f>
        <v>6</v>
      </c>
      <c r="J349">
        <f>IFERROR(HLOOKUP(J$2,[13]table_male_hkom1_inj.U6!$A$1:$K$36,8,FALSE),0)</f>
        <v>0</v>
      </c>
      <c r="K349">
        <f>IFERROR(HLOOKUP(K$2,[13]table_male_hkom1_inj.U6!$A$1:$K$36,8,FALSE),0)</f>
        <v>0</v>
      </c>
      <c r="L349">
        <f>IFERROR(HLOOKUP(L$2,[13]table_male_hkom1_inj.U6!$A$1:$K$36,8,FALSE),0)</f>
        <v>0</v>
      </c>
      <c r="M349">
        <f t="shared" si="115"/>
        <v>28</v>
      </c>
      <c r="P349" s="14"/>
      <c r="S349" t="s">
        <v>76</v>
      </c>
      <c r="T349" s="5">
        <f t="shared" si="118"/>
        <v>0</v>
      </c>
      <c r="U349" s="5">
        <f t="shared" si="119"/>
        <v>0</v>
      </c>
      <c r="V349" s="5">
        <f t="shared" si="120"/>
        <v>13.780415430267063</v>
      </c>
      <c r="W349" s="5">
        <f t="shared" si="121"/>
        <v>20.834135667396062</v>
      </c>
      <c r="X349" s="5">
        <f t="shared" si="122"/>
        <v>10.65771812080537</v>
      </c>
      <c r="Y349" s="5">
        <f t="shared" si="123"/>
        <v>0</v>
      </c>
      <c r="Z349" s="5">
        <f t="shared" si="124"/>
        <v>0</v>
      </c>
      <c r="AA349" s="5">
        <f t="shared" si="125"/>
        <v>6.0606060606060608E-2</v>
      </c>
      <c r="AB349" s="5">
        <f t="shared" si="116"/>
        <v>45.332875279074557</v>
      </c>
    </row>
    <row r="350" spans="1:29" x14ac:dyDescent="0.25">
      <c r="D350" t="s">
        <v>77</v>
      </c>
      <c r="E350" s="64"/>
      <c r="F350" s="64"/>
      <c r="G350">
        <f>IFERROR(HLOOKUP(G$2,[13]table_male_hkom1_inj.U6!$A$1:$K$36,9,FALSE),0)</f>
        <v>13</v>
      </c>
      <c r="H350">
        <f>IFERROR(HLOOKUP(H$2,[13]table_male_hkom1_inj.U6!$A$1:$K$36,9,FALSE),0)</f>
        <v>34</v>
      </c>
      <c r="I350">
        <f>IFERROR(HLOOKUP(I$2,[13]table_male_hkom1_inj.U6!$A$1:$K$36,9,FALSE),0)</f>
        <v>13</v>
      </c>
      <c r="J350">
        <f>IFERROR(HLOOKUP(J$2,[13]table_male_hkom1_inj.U6!$A$1:$K$36,9,FALSE),0)</f>
        <v>1</v>
      </c>
      <c r="K350">
        <f>IFERROR(HLOOKUP(K$2,[13]table_male_hkom1_inj.U6!$A$1:$K$36,9,FALSE),0)</f>
        <v>0</v>
      </c>
      <c r="L350">
        <f>IFERROR(HLOOKUP(L$2,[13]table_male_hkom1_inj.U6!$A$1:$K$36,9,FALSE),0)</f>
        <v>0</v>
      </c>
      <c r="M350">
        <f t="shared" si="115"/>
        <v>61</v>
      </c>
      <c r="P350" s="14"/>
      <c r="S350" t="s">
        <v>77</v>
      </c>
      <c r="T350" s="5">
        <f t="shared" si="118"/>
        <v>0</v>
      </c>
      <c r="U350" s="5">
        <f t="shared" si="119"/>
        <v>0</v>
      </c>
      <c r="V350" s="5">
        <f t="shared" si="120"/>
        <v>19.905044510385757</v>
      </c>
      <c r="W350" s="5">
        <f t="shared" si="121"/>
        <v>54.489277899343548</v>
      </c>
      <c r="X350" s="5">
        <f t="shared" si="122"/>
        <v>23.091722595078302</v>
      </c>
      <c r="Y350" s="5">
        <f t="shared" si="123"/>
        <v>2.3170731707317076</v>
      </c>
      <c r="Z350" s="5">
        <f t="shared" si="124"/>
        <v>0</v>
      </c>
      <c r="AA350" s="5">
        <f t="shared" si="125"/>
        <v>6.0606060606060608E-2</v>
      </c>
      <c r="AB350" s="5">
        <f t="shared" si="116"/>
        <v>99.863724236145373</v>
      </c>
    </row>
    <row r="351" spans="1:29" x14ac:dyDescent="0.25">
      <c r="D351" t="s">
        <v>78</v>
      </c>
      <c r="E351" s="64"/>
      <c r="F351" s="64"/>
      <c r="G351">
        <f>IFERROR(HLOOKUP(G$2,[13]table_male_hkom1_inj.U6!$A$1:$K$36,10,FALSE),0)</f>
        <v>173</v>
      </c>
      <c r="H351">
        <f>IFERROR(HLOOKUP(H$2,[13]table_male_hkom1_inj.U6!$A$1:$K$36,10,FALSE),0)</f>
        <v>308</v>
      </c>
      <c r="I351">
        <f>IFERROR(HLOOKUP(I$2,[13]table_male_hkom1_inj.U6!$A$1:$K$36,10,FALSE),0)</f>
        <v>183</v>
      </c>
      <c r="J351">
        <f>IFERROR(HLOOKUP(J$2,[13]table_male_hkom1_inj.U6!$A$1:$K$36,10,FALSE),0)</f>
        <v>18</v>
      </c>
      <c r="K351">
        <f>IFERROR(HLOOKUP(K$2,[13]table_male_hkom1_inj.U6!$A$1:$K$36,10,FALSE),0)</f>
        <v>2</v>
      </c>
      <c r="L351">
        <f>IFERROR(HLOOKUP(L$2,[13]table_male_hkom1_inj.U6!$A$1:$K$36,10,FALSE),0)</f>
        <v>0</v>
      </c>
      <c r="M351">
        <f t="shared" si="115"/>
        <v>684</v>
      </c>
      <c r="P351" s="14"/>
      <c r="S351" t="s">
        <v>78</v>
      </c>
      <c r="T351" s="5">
        <f t="shared" si="118"/>
        <v>0</v>
      </c>
      <c r="U351" s="5">
        <f t="shared" si="119"/>
        <v>0</v>
      </c>
      <c r="V351" s="5">
        <f t="shared" si="120"/>
        <v>264.89020771513356</v>
      </c>
      <c r="W351" s="5">
        <f t="shared" si="121"/>
        <v>493.60875273522981</v>
      </c>
      <c r="X351" s="5">
        <f t="shared" si="122"/>
        <v>325.06040268456377</v>
      </c>
      <c r="Y351" s="5">
        <f t="shared" si="123"/>
        <v>41.707317073170728</v>
      </c>
      <c r="Z351" s="5">
        <f t="shared" si="124"/>
        <v>4.7142857142857135</v>
      </c>
      <c r="AA351" s="5">
        <f t="shared" si="125"/>
        <v>6.0606060606060608E-2</v>
      </c>
      <c r="AB351" s="5">
        <f t="shared" si="116"/>
        <v>1130.0415719829896</v>
      </c>
    </row>
    <row r="352" spans="1:29" x14ac:dyDescent="0.25">
      <c r="D352" t="s">
        <v>79</v>
      </c>
      <c r="E352" s="64"/>
      <c r="F352" s="64"/>
      <c r="G352">
        <f>IFERROR(HLOOKUP(G$2,[13]table_male_hkom1_inj.U6!$A$1:$K$36,11,FALSE),0)</f>
        <v>16</v>
      </c>
      <c r="H352">
        <f>IFERROR(HLOOKUP(H$2,[13]table_male_hkom1_inj.U6!$A$1:$K$36,11,FALSE),0)</f>
        <v>25</v>
      </c>
      <c r="I352">
        <f>IFERROR(HLOOKUP(I$2,[13]table_male_hkom1_inj.U6!$A$1:$K$36,11,FALSE),0)</f>
        <v>15</v>
      </c>
      <c r="J352">
        <f>IFERROR(HLOOKUP(J$2,[13]table_male_hkom1_inj.U6!$A$1:$K$36,11,FALSE),0)</f>
        <v>0</v>
      </c>
      <c r="K352">
        <f>IFERROR(HLOOKUP(K$2,[13]table_male_hkom1_inj.U6!$A$1:$K$36,11,FALSE),0)</f>
        <v>0</v>
      </c>
      <c r="L352">
        <f>IFERROR(HLOOKUP(L$2,[13]table_male_hkom1_inj.U6!$A$1:$K$36,11,FALSE),0)</f>
        <v>0</v>
      </c>
      <c r="M352">
        <f t="shared" si="115"/>
        <v>56</v>
      </c>
      <c r="P352" s="14"/>
      <c r="S352" t="s">
        <v>79</v>
      </c>
      <c r="T352" s="5">
        <f t="shared" si="118"/>
        <v>0</v>
      </c>
      <c r="U352" s="5">
        <f t="shared" si="119"/>
        <v>0</v>
      </c>
      <c r="V352" s="5">
        <f t="shared" si="120"/>
        <v>24.498516320474778</v>
      </c>
      <c r="W352" s="5">
        <f t="shared" si="121"/>
        <v>40.065645514223192</v>
      </c>
      <c r="X352" s="5">
        <f t="shared" si="122"/>
        <v>26.644295302013425</v>
      </c>
      <c r="Y352" s="5">
        <f t="shared" si="123"/>
        <v>0</v>
      </c>
      <c r="Z352" s="5">
        <f t="shared" si="124"/>
        <v>0</v>
      </c>
      <c r="AA352" s="5">
        <f t="shared" si="125"/>
        <v>6.0606060606060608E-2</v>
      </c>
      <c r="AB352" s="5">
        <f t="shared" si="116"/>
        <v>91.26906319731745</v>
      </c>
    </row>
    <row r="353" spans="4:28" x14ac:dyDescent="0.25">
      <c r="D353" t="s">
        <v>80</v>
      </c>
      <c r="E353" s="64"/>
      <c r="F353" s="64"/>
      <c r="G353">
        <f>IFERROR(HLOOKUP(G$2,[13]table_male_hkom1_inj.U6!$A$1:$K$36,12,FALSE),0)</f>
        <v>34</v>
      </c>
      <c r="H353">
        <f>IFERROR(HLOOKUP(H$2,[13]table_male_hkom1_inj.U6!$A$1:$K$36,12,FALSE),0)</f>
        <v>60</v>
      </c>
      <c r="I353">
        <f>IFERROR(HLOOKUP(I$2,[13]table_male_hkom1_inj.U6!$A$1:$K$36,12,FALSE),0)</f>
        <v>34</v>
      </c>
      <c r="J353">
        <f>IFERROR(HLOOKUP(J$2,[13]table_male_hkom1_inj.U6!$A$1:$K$36,12,FALSE),0)</f>
        <v>6</v>
      </c>
      <c r="K353">
        <f>IFERROR(HLOOKUP(K$2,[13]table_male_hkom1_inj.U6!$A$1:$K$36,12,FALSE),0)</f>
        <v>1</v>
      </c>
      <c r="L353">
        <f>IFERROR(HLOOKUP(L$2,[13]table_male_hkom1_inj.U6!$A$1:$K$36,12,FALSE),0)</f>
        <v>0</v>
      </c>
      <c r="M353">
        <f t="shared" si="115"/>
        <v>135</v>
      </c>
      <c r="P353" s="14"/>
      <c r="S353" t="s">
        <v>80</v>
      </c>
      <c r="T353" s="5">
        <f t="shared" si="118"/>
        <v>0</v>
      </c>
      <c r="U353" s="5">
        <f t="shared" si="119"/>
        <v>0</v>
      </c>
      <c r="V353" s="5">
        <f t="shared" si="120"/>
        <v>52.059347181008903</v>
      </c>
      <c r="W353" s="5">
        <f t="shared" si="121"/>
        <v>96.157549234135672</v>
      </c>
      <c r="X353" s="5">
        <f t="shared" si="122"/>
        <v>60.393736017897091</v>
      </c>
      <c r="Y353" s="5">
        <f t="shared" si="123"/>
        <v>13.902439024390244</v>
      </c>
      <c r="Z353" s="5">
        <f t="shared" si="124"/>
        <v>2.3571428571428568</v>
      </c>
      <c r="AA353" s="5">
        <f t="shared" si="125"/>
        <v>6.0606060606060608E-2</v>
      </c>
      <c r="AB353" s="5">
        <f t="shared" si="116"/>
        <v>224.93082037518082</v>
      </c>
    </row>
    <row r="354" spans="4:28" x14ac:dyDescent="0.25">
      <c r="D354" t="s">
        <v>81</v>
      </c>
      <c r="E354" s="64"/>
      <c r="F354" s="64"/>
      <c r="G354">
        <f>IFERROR(HLOOKUP(G$2,[13]table_male_hkom1_inj.U6!$A$1:$K$36,13,FALSE),0)</f>
        <v>7</v>
      </c>
      <c r="H354">
        <f>IFERROR(HLOOKUP(H$2,[13]table_male_hkom1_inj.U6!$A$1:$K$36,13,FALSE),0)</f>
        <v>14</v>
      </c>
      <c r="I354">
        <f>IFERROR(HLOOKUP(I$2,[13]table_male_hkom1_inj.U6!$A$1:$K$36,13,FALSE),0)</f>
        <v>6</v>
      </c>
      <c r="J354">
        <f>IFERROR(HLOOKUP(J$2,[13]table_male_hkom1_inj.U6!$A$1:$K$36,13,FALSE),0)</f>
        <v>2</v>
      </c>
      <c r="K354">
        <f>IFERROR(HLOOKUP(K$2,[13]table_male_hkom1_inj.U6!$A$1:$K$36,13,FALSE),0)</f>
        <v>0</v>
      </c>
      <c r="L354">
        <f>IFERROR(HLOOKUP(L$2,[13]table_male_hkom1_inj.U6!$A$1:$K$36,13,FALSE),0)</f>
        <v>0</v>
      </c>
      <c r="M354">
        <f t="shared" si="115"/>
        <v>29</v>
      </c>
      <c r="P354" s="14"/>
      <c r="S354" t="s">
        <v>81</v>
      </c>
      <c r="T354" s="5">
        <f t="shared" si="118"/>
        <v>0</v>
      </c>
      <c r="U354" s="5">
        <f t="shared" si="119"/>
        <v>0</v>
      </c>
      <c r="V354" s="5">
        <f t="shared" si="120"/>
        <v>10.718100890207715</v>
      </c>
      <c r="W354" s="5">
        <f t="shared" si="121"/>
        <v>22.43676148796499</v>
      </c>
      <c r="X354" s="5">
        <f t="shared" si="122"/>
        <v>10.65771812080537</v>
      </c>
      <c r="Y354" s="5">
        <f t="shared" si="123"/>
        <v>4.6341463414634152</v>
      </c>
      <c r="Z354" s="5">
        <f t="shared" si="124"/>
        <v>0</v>
      </c>
      <c r="AA354" s="5">
        <f t="shared" si="125"/>
        <v>6.0606060606060608E-2</v>
      </c>
      <c r="AB354" s="5">
        <f t="shared" si="116"/>
        <v>48.507332901047555</v>
      </c>
    </row>
    <row r="355" spans="4:28" x14ac:dyDescent="0.25">
      <c r="D355" t="s">
        <v>82</v>
      </c>
      <c r="E355" s="64"/>
      <c r="F355" s="64"/>
      <c r="G355">
        <f>IFERROR(HLOOKUP(G$2,[13]table_male_hkom1_inj.U6!$A$1:$K$36,14,FALSE),0)</f>
        <v>51</v>
      </c>
      <c r="H355">
        <f>IFERROR(HLOOKUP(H$2,[13]table_male_hkom1_inj.U6!$A$1:$K$36,14,FALSE),0)</f>
        <v>89</v>
      </c>
      <c r="I355">
        <f>IFERROR(HLOOKUP(I$2,[13]table_male_hkom1_inj.U6!$A$1:$K$36,14,FALSE),0)</f>
        <v>70</v>
      </c>
      <c r="J355">
        <f>IFERROR(HLOOKUP(J$2,[13]table_male_hkom1_inj.U6!$A$1:$K$36,14,FALSE),0)</f>
        <v>6</v>
      </c>
      <c r="K355">
        <f>IFERROR(HLOOKUP(K$2,[13]table_male_hkom1_inj.U6!$A$1:$K$36,14,FALSE),0)</f>
        <v>0</v>
      </c>
      <c r="L355">
        <f>IFERROR(HLOOKUP(L$2,[13]table_male_hkom1_inj.U6!$A$1:$K$36,14,FALSE),0)</f>
        <v>0</v>
      </c>
      <c r="M355">
        <f t="shared" si="115"/>
        <v>216</v>
      </c>
      <c r="P355" s="14"/>
      <c r="S355" t="s">
        <v>82</v>
      </c>
      <c r="T355" s="5">
        <f t="shared" si="118"/>
        <v>0</v>
      </c>
      <c r="U355" s="5">
        <f t="shared" si="119"/>
        <v>0</v>
      </c>
      <c r="V355" s="5">
        <f t="shared" si="120"/>
        <v>78.089020771513361</v>
      </c>
      <c r="W355" s="5">
        <f t="shared" si="121"/>
        <v>142.63369803063458</v>
      </c>
      <c r="X355" s="5">
        <f t="shared" si="122"/>
        <v>124.3400447427293</v>
      </c>
      <c r="Y355" s="5">
        <f t="shared" si="123"/>
        <v>13.902439024390244</v>
      </c>
      <c r="Z355" s="5">
        <f t="shared" si="124"/>
        <v>0</v>
      </c>
      <c r="AA355" s="5">
        <f t="shared" si="125"/>
        <v>6.0606060606060608E-2</v>
      </c>
      <c r="AB355" s="5">
        <f t="shared" si="116"/>
        <v>359.02580862987355</v>
      </c>
    </row>
    <row r="356" spans="4:28" x14ac:dyDescent="0.25">
      <c r="D356" t="s">
        <v>83</v>
      </c>
      <c r="E356" s="64"/>
      <c r="F356" s="64"/>
      <c r="G356">
        <f>IFERROR(HLOOKUP(G$2,[13]table_male_hkom1_inj.U6!$A$1:$K$36,15,FALSE),0)</f>
        <v>8</v>
      </c>
      <c r="H356">
        <f>IFERROR(HLOOKUP(H$2,[13]table_male_hkom1_inj.U6!$A$1:$K$36,15,FALSE),0)</f>
        <v>20</v>
      </c>
      <c r="I356">
        <f>IFERROR(HLOOKUP(I$2,[13]table_male_hkom1_inj.U6!$A$1:$K$36,15,FALSE),0)</f>
        <v>7</v>
      </c>
      <c r="J356">
        <f>IFERROR(HLOOKUP(J$2,[13]table_male_hkom1_inj.U6!$A$1:$K$36,15,FALSE),0)</f>
        <v>1</v>
      </c>
      <c r="K356">
        <f>IFERROR(HLOOKUP(K$2,[13]table_male_hkom1_inj.U6!$A$1:$K$36,15,FALSE),0)</f>
        <v>0</v>
      </c>
      <c r="L356">
        <f>IFERROR(HLOOKUP(L$2,[13]table_male_hkom1_inj.U6!$A$1:$K$36,15,FALSE),0)</f>
        <v>0</v>
      </c>
      <c r="M356">
        <f t="shared" si="115"/>
        <v>36</v>
      </c>
      <c r="P356" s="14"/>
      <c r="S356" t="s">
        <v>83</v>
      </c>
      <c r="T356" s="5">
        <f t="shared" si="118"/>
        <v>0</v>
      </c>
      <c r="U356" s="5">
        <f t="shared" si="119"/>
        <v>0</v>
      </c>
      <c r="V356" s="5">
        <f t="shared" si="120"/>
        <v>12.249258160237389</v>
      </c>
      <c r="W356" s="5">
        <f t="shared" si="121"/>
        <v>32.052516411378555</v>
      </c>
      <c r="X356" s="5">
        <f t="shared" si="122"/>
        <v>12.434004474272932</v>
      </c>
      <c r="Y356" s="5">
        <f t="shared" si="123"/>
        <v>2.3170731707317076</v>
      </c>
      <c r="Z356" s="5">
        <f t="shared" si="124"/>
        <v>0</v>
      </c>
      <c r="AA356" s="5">
        <f t="shared" si="125"/>
        <v>6.0606060606060608E-2</v>
      </c>
      <c r="AB356" s="5">
        <f t="shared" si="116"/>
        <v>59.113458277226648</v>
      </c>
    </row>
    <row r="357" spans="4:28" x14ac:dyDescent="0.25">
      <c r="D357" t="s">
        <v>84</v>
      </c>
      <c r="E357" s="64"/>
      <c r="F357" s="64"/>
      <c r="G357">
        <f>IFERROR(HLOOKUP(G$2,[13]table_male_hkom1_inj.U6!$A$1:$K$36,16,FALSE),0)</f>
        <v>12</v>
      </c>
      <c r="H357">
        <f>IFERROR(HLOOKUP(H$2,[13]table_male_hkom1_inj.U6!$A$1:$K$36,16,FALSE),0)</f>
        <v>14</v>
      </c>
      <c r="I357">
        <f>IFERROR(HLOOKUP(I$2,[13]table_male_hkom1_inj.U6!$A$1:$K$36,16,FALSE),0)</f>
        <v>4</v>
      </c>
      <c r="J357">
        <f>IFERROR(HLOOKUP(J$2,[13]table_male_hkom1_inj.U6!$A$1:$K$36,16,FALSE),0)</f>
        <v>0</v>
      </c>
      <c r="K357">
        <f>IFERROR(HLOOKUP(K$2,[13]table_male_hkom1_inj.U6!$A$1:$K$36,16,FALSE),0)</f>
        <v>0</v>
      </c>
      <c r="L357">
        <f>IFERROR(HLOOKUP(L$2,[13]table_male_hkom1_inj.U6!$A$1:$K$36,16,FALSE),0)</f>
        <v>0</v>
      </c>
      <c r="M357">
        <f t="shared" si="115"/>
        <v>30</v>
      </c>
      <c r="P357" s="14"/>
      <c r="S357" t="s">
        <v>84</v>
      </c>
      <c r="T357" s="5">
        <f t="shared" si="118"/>
        <v>0</v>
      </c>
      <c r="U357" s="5">
        <f t="shared" si="119"/>
        <v>0</v>
      </c>
      <c r="V357" s="5">
        <f t="shared" si="120"/>
        <v>18.373887240356083</v>
      </c>
      <c r="W357" s="5">
        <f t="shared" si="121"/>
        <v>22.43676148796499</v>
      </c>
      <c r="X357" s="5">
        <f t="shared" si="122"/>
        <v>7.1051454138702459</v>
      </c>
      <c r="Y357" s="5">
        <f t="shared" si="123"/>
        <v>0</v>
      </c>
      <c r="Z357" s="5">
        <f t="shared" si="124"/>
        <v>0</v>
      </c>
      <c r="AA357" s="5">
        <f t="shared" si="125"/>
        <v>6.0606060606060608E-2</v>
      </c>
      <c r="AB357" s="5">
        <f t="shared" si="116"/>
        <v>47.976400202797379</v>
      </c>
    </row>
    <row r="358" spans="4:28" x14ac:dyDescent="0.25">
      <c r="D358" t="s">
        <v>85</v>
      </c>
      <c r="E358" s="64"/>
      <c r="F358" s="64"/>
      <c r="G358">
        <f>IFERROR(HLOOKUP(G$2,[13]table_male_hkom1_inj.U6!$A$1:$K$36,17,FALSE),0)</f>
        <v>20</v>
      </c>
      <c r="H358">
        <f>IFERROR(HLOOKUP(H$2,[13]table_male_hkom1_inj.U6!$A$1:$K$36,17,FALSE),0)</f>
        <v>32</v>
      </c>
      <c r="I358">
        <f>IFERROR(HLOOKUP(I$2,[13]table_male_hkom1_inj.U6!$A$1:$K$36,17,FALSE),0)</f>
        <v>8</v>
      </c>
      <c r="J358">
        <f>IFERROR(HLOOKUP(J$2,[13]table_male_hkom1_inj.U6!$A$1:$K$36,17,FALSE),0)</f>
        <v>1</v>
      </c>
      <c r="K358">
        <f>IFERROR(HLOOKUP(K$2,[13]table_male_hkom1_inj.U6!$A$1:$K$36,17,FALSE),0)</f>
        <v>0</v>
      </c>
      <c r="L358">
        <f>IFERROR(HLOOKUP(L$2,[13]table_male_hkom1_inj.U6!$A$1:$K$36,17,FALSE),0)</f>
        <v>0</v>
      </c>
      <c r="M358">
        <f t="shared" si="115"/>
        <v>61</v>
      </c>
      <c r="P358" s="14"/>
      <c r="S358" t="s">
        <v>85</v>
      </c>
      <c r="T358" s="5">
        <f t="shared" si="118"/>
        <v>0</v>
      </c>
      <c r="U358" s="5">
        <f t="shared" si="119"/>
        <v>0</v>
      </c>
      <c r="V358" s="5">
        <f t="shared" si="120"/>
        <v>30.623145400593472</v>
      </c>
      <c r="W358" s="5">
        <f t="shared" si="121"/>
        <v>51.284026258205685</v>
      </c>
      <c r="X358" s="5">
        <f t="shared" si="122"/>
        <v>14.210290827740492</v>
      </c>
      <c r="Y358" s="5">
        <f t="shared" si="123"/>
        <v>2.3170731707317076</v>
      </c>
      <c r="Z358" s="5">
        <f t="shared" si="124"/>
        <v>0</v>
      </c>
      <c r="AA358" s="5">
        <f t="shared" si="125"/>
        <v>6.0606060606060608E-2</v>
      </c>
      <c r="AB358" s="5">
        <f t="shared" si="116"/>
        <v>98.495141717877416</v>
      </c>
    </row>
    <row r="359" spans="4:28" x14ac:dyDescent="0.25">
      <c r="D359" t="s">
        <v>86</v>
      </c>
      <c r="E359" s="64"/>
      <c r="F359" s="64"/>
      <c r="G359">
        <f>IFERROR(HLOOKUP(G$2,[13]table_male_hkom1_inj.U6!$A$1:$K$36,18,FALSE),0)</f>
        <v>79</v>
      </c>
      <c r="H359">
        <f>IFERROR(HLOOKUP(H$2,[13]table_male_hkom1_inj.U6!$A$1:$K$36,18,FALSE),0)</f>
        <v>92</v>
      </c>
      <c r="I359">
        <f>IFERROR(HLOOKUP(I$2,[13]table_male_hkom1_inj.U6!$A$1:$K$36,18,FALSE),0)</f>
        <v>61</v>
      </c>
      <c r="J359">
        <f>IFERROR(HLOOKUP(J$2,[13]table_male_hkom1_inj.U6!$A$1:$K$36,18,FALSE),0)</f>
        <v>3</v>
      </c>
      <c r="K359">
        <f>IFERROR(HLOOKUP(K$2,[13]table_male_hkom1_inj.U6!$A$1:$K$36,18,FALSE),0)</f>
        <v>2</v>
      </c>
      <c r="L359">
        <f>IFERROR(HLOOKUP(L$2,[13]table_male_hkom1_inj.U6!$A$1:$K$36,18,FALSE),0)</f>
        <v>0</v>
      </c>
      <c r="M359">
        <f t="shared" si="115"/>
        <v>237</v>
      </c>
      <c r="P359" s="14"/>
      <c r="S359" t="s">
        <v>86</v>
      </c>
      <c r="T359" s="5">
        <f t="shared" si="118"/>
        <v>0</v>
      </c>
      <c r="U359" s="5">
        <f t="shared" si="119"/>
        <v>0</v>
      </c>
      <c r="V359" s="5">
        <f t="shared" si="120"/>
        <v>120.96142433234421</v>
      </c>
      <c r="W359" s="5">
        <f t="shared" si="121"/>
        <v>147.44157549234137</v>
      </c>
      <c r="X359" s="5">
        <f t="shared" si="122"/>
        <v>108.35346756152126</v>
      </c>
      <c r="Y359" s="5">
        <f t="shared" si="123"/>
        <v>6.9512195121951219</v>
      </c>
      <c r="Z359" s="5">
        <f t="shared" si="124"/>
        <v>4.7142857142857135</v>
      </c>
      <c r="AA359" s="5">
        <f t="shared" si="125"/>
        <v>6.0606060606060608E-2</v>
      </c>
      <c r="AB359" s="5">
        <f t="shared" si="116"/>
        <v>388.48257867329374</v>
      </c>
    </row>
    <row r="360" spans="4:28" x14ac:dyDescent="0.25">
      <c r="D360" t="s">
        <v>87</v>
      </c>
      <c r="E360" s="64"/>
      <c r="F360" s="64"/>
      <c r="G360">
        <f>IFERROR(HLOOKUP(G$2,[13]table_male_hkom1_inj.U6!$A$1:$K$36,19,FALSE),0)</f>
        <v>27</v>
      </c>
      <c r="H360">
        <f>IFERROR(HLOOKUP(H$2,[13]table_male_hkom1_inj.U6!$A$1:$K$36,19,FALSE),0)</f>
        <v>32</v>
      </c>
      <c r="I360">
        <f>IFERROR(HLOOKUP(I$2,[13]table_male_hkom1_inj.U6!$A$1:$K$36,19,FALSE),0)</f>
        <v>38</v>
      </c>
      <c r="J360">
        <f>IFERROR(HLOOKUP(J$2,[13]table_male_hkom1_inj.U6!$A$1:$K$36,19,FALSE),0)</f>
        <v>4</v>
      </c>
      <c r="K360">
        <f>IFERROR(HLOOKUP(K$2,[13]table_male_hkom1_inj.U6!$A$1:$K$36,19,FALSE),0)</f>
        <v>0</v>
      </c>
      <c r="L360">
        <f>IFERROR(HLOOKUP(L$2,[13]table_male_hkom1_inj.U6!$A$1:$K$36,19,FALSE),0)</f>
        <v>0</v>
      </c>
      <c r="M360">
        <f t="shared" si="115"/>
        <v>101</v>
      </c>
      <c r="P360" s="14"/>
      <c r="S360" t="s">
        <v>87</v>
      </c>
      <c r="T360" s="5">
        <f t="shared" si="118"/>
        <v>0</v>
      </c>
      <c r="U360" s="5">
        <f t="shared" si="119"/>
        <v>0</v>
      </c>
      <c r="V360" s="5">
        <f t="shared" si="120"/>
        <v>41.341246290801188</v>
      </c>
      <c r="W360" s="5">
        <f t="shared" si="121"/>
        <v>51.284026258205685</v>
      </c>
      <c r="X360" s="5">
        <f t="shared" si="122"/>
        <v>67.49888143176733</v>
      </c>
      <c r="Y360" s="5">
        <f t="shared" si="123"/>
        <v>9.2682926829268304</v>
      </c>
      <c r="Z360" s="5">
        <f t="shared" si="124"/>
        <v>0</v>
      </c>
      <c r="AA360" s="5">
        <f t="shared" si="125"/>
        <v>6.0606060606060608E-2</v>
      </c>
      <c r="AB360" s="5">
        <f t="shared" si="116"/>
        <v>169.4530527243071</v>
      </c>
    </row>
    <row r="361" spans="4:28" x14ac:dyDescent="0.25">
      <c r="D361" t="s">
        <v>88</v>
      </c>
      <c r="E361" s="64"/>
      <c r="F361" s="64"/>
      <c r="G361">
        <f>IFERROR(HLOOKUP(G$2,[13]table_male_hkom1_inj.U6!$A$1:$K$36,20,FALSE),0)</f>
        <v>341</v>
      </c>
      <c r="H361">
        <f>IFERROR(HLOOKUP(H$2,[13]table_male_hkom1_inj.U6!$A$1:$K$36,20,FALSE),0)</f>
        <v>530</v>
      </c>
      <c r="I361">
        <f>IFERROR(HLOOKUP(I$2,[13]table_male_hkom1_inj.U6!$A$1:$K$36,20,FALSE),0)</f>
        <v>314</v>
      </c>
      <c r="J361">
        <f>IFERROR(HLOOKUP(J$2,[13]table_male_hkom1_inj.U6!$A$1:$K$36,20,FALSE),0)</f>
        <v>25</v>
      </c>
      <c r="K361">
        <f>IFERROR(HLOOKUP(K$2,[13]table_male_hkom1_inj.U6!$A$1:$K$36,20,FALSE),0)</f>
        <v>3</v>
      </c>
      <c r="L361">
        <f>IFERROR(HLOOKUP(L$2,[13]table_male_hkom1_inj.U6!$A$1:$K$36,20,FALSE),0)</f>
        <v>0</v>
      </c>
      <c r="M361">
        <f t="shared" si="115"/>
        <v>1213</v>
      </c>
      <c r="P361" s="14"/>
      <c r="S361" t="s">
        <v>88</v>
      </c>
      <c r="T361" s="5">
        <f t="shared" si="118"/>
        <v>0</v>
      </c>
      <c r="U361" s="5">
        <f t="shared" si="119"/>
        <v>0</v>
      </c>
      <c r="V361" s="5">
        <f t="shared" si="120"/>
        <v>522.12462908011867</v>
      </c>
      <c r="W361" s="5">
        <f t="shared" si="121"/>
        <v>849.39168490153179</v>
      </c>
      <c r="X361" s="5">
        <f t="shared" si="122"/>
        <v>557.75391498881436</v>
      </c>
      <c r="Y361" s="5">
        <f t="shared" si="123"/>
        <v>57.926829268292686</v>
      </c>
      <c r="Z361" s="5">
        <f t="shared" si="124"/>
        <v>7.0714285714285712</v>
      </c>
      <c r="AA361" s="5">
        <f t="shared" si="125"/>
        <v>6.0606060606060608E-2</v>
      </c>
      <c r="AB361" s="5">
        <f t="shared" si="116"/>
        <v>1994.3290928707922</v>
      </c>
    </row>
    <row r="362" spans="4:28" x14ac:dyDescent="0.25">
      <c r="D362" t="s">
        <v>89</v>
      </c>
      <c r="E362" s="64"/>
      <c r="F362" s="64"/>
      <c r="G362">
        <f>IFERROR(HLOOKUP(G$2,[13]table_male_hkom1_inj.U6!$A$1:$K$36,21,FALSE),0)</f>
        <v>56</v>
      </c>
      <c r="H362">
        <f>IFERROR(HLOOKUP(H$2,[13]table_male_hkom1_inj.U6!$A$1:$K$36,21,FALSE),0)</f>
        <v>132</v>
      </c>
      <c r="I362">
        <f>IFERROR(HLOOKUP(I$2,[13]table_male_hkom1_inj.U6!$A$1:$K$36,21,FALSE),0)</f>
        <v>79</v>
      </c>
      <c r="J362">
        <f>IFERROR(HLOOKUP(J$2,[13]table_male_hkom1_inj.U6!$A$1:$K$36,21,FALSE),0)</f>
        <v>14</v>
      </c>
      <c r="K362">
        <f>IFERROR(HLOOKUP(K$2,[13]table_male_hkom1_inj.U6!$A$1:$K$36,21,FALSE),0)</f>
        <v>0</v>
      </c>
      <c r="L362">
        <f>IFERROR(HLOOKUP(L$2,[13]table_male_hkom1_inj.U6!$A$1:$K$36,21,FALSE),0)</f>
        <v>0</v>
      </c>
      <c r="M362">
        <f t="shared" si="115"/>
        <v>281</v>
      </c>
      <c r="P362" s="14"/>
      <c r="S362" t="s">
        <v>89</v>
      </c>
      <c r="T362" s="5">
        <f t="shared" si="118"/>
        <v>0</v>
      </c>
      <c r="U362" s="5">
        <f t="shared" si="119"/>
        <v>0</v>
      </c>
      <c r="V362" s="5">
        <f t="shared" si="120"/>
        <v>85.744807121661722</v>
      </c>
      <c r="W362" s="5">
        <f t="shared" si="121"/>
        <v>211.54660831509847</v>
      </c>
      <c r="X362" s="5">
        <f t="shared" si="122"/>
        <v>140.32662192393735</v>
      </c>
      <c r="Y362" s="5">
        <f t="shared" si="123"/>
        <v>32.439024390243901</v>
      </c>
      <c r="Z362" s="5">
        <f t="shared" si="124"/>
        <v>0</v>
      </c>
      <c r="AA362" s="5">
        <f t="shared" si="125"/>
        <v>6.0606060606060608E-2</v>
      </c>
      <c r="AB362" s="5">
        <f t="shared" si="116"/>
        <v>470.11766781154751</v>
      </c>
    </row>
    <row r="363" spans="4:28" x14ac:dyDescent="0.25">
      <c r="D363" t="s">
        <v>90</v>
      </c>
      <c r="E363" s="64"/>
      <c r="F363" s="64"/>
      <c r="G363">
        <f>IFERROR(HLOOKUP(G$2,[13]table_male_hkom1_inj.U6!$A$1:$K$36,22,FALSE),0)</f>
        <v>0</v>
      </c>
      <c r="H363">
        <f>IFERROR(HLOOKUP(H$2,[13]table_male_hkom1_inj.U6!$A$1:$K$36,22,FALSE),0)</f>
        <v>4</v>
      </c>
      <c r="I363">
        <f>IFERROR(HLOOKUP(I$2,[13]table_male_hkom1_inj.U6!$A$1:$K$36,22,FALSE),0)</f>
        <v>1</v>
      </c>
      <c r="J363">
        <f>IFERROR(HLOOKUP(J$2,[13]table_male_hkom1_inj.U6!$A$1:$K$36,22,FALSE),0)</f>
        <v>0</v>
      </c>
      <c r="K363">
        <f>IFERROR(HLOOKUP(K$2,[13]table_male_hkom1_inj.U6!$A$1:$K$36,22,FALSE),0)</f>
        <v>0</v>
      </c>
      <c r="L363">
        <f>IFERROR(HLOOKUP(L$2,[13]table_male_hkom1_inj.U6!$A$1:$K$36,22,FALSE),0)</f>
        <v>0</v>
      </c>
      <c r="M363">
        <f t="shared" si="115"/>
        <v>5</v>
      </c>
      <c r="P363" s="14"/>
      <c r="S363" t="s">
        <v>90</v>
      </c>
      <c r="T363" s="5">
        <f t="shared" si="118"/>
        <v>0</v>
      </c>
      <c r="U363" s="5">
        <f t="shared" si="119"/>
        <v>0</v>
      </c>
      <c r="V363" s="5">
        <f t="shared" si="120"/>
        <v>0</v>
      </c>
      <c r="W363" s="5">
        <f t="shared" si="121"/>
        <v>6.4105032822757106</v>
      </c>
      <c r="X363" s="5">
        <f t="shared" si="122"/>
        <v>1.7762863534675615</v>
      </c>
      <c r="Y363" s="5">
        <f t="shared" si="123"/>
        <v>0</v>
      </c>
      <c r="Z363" s="5">
        <f t="shared" si="124"/>
        <v>0</v>
      </c>
      <c r="AA363" s="5">
        <f t="shared" si="125"/>
        <v>6.0606060606060608E-2</v>
      </c>
      <c r="AB363" s="5">
        <f t="shared" si="116"/>
        <v>8.2473956963493329</v>
      </c>
    </row>
    <row r="364" spans="4:28" x14ac:dyDescent="0.25">
      <c r="D364" t="s">
        <v>91</v>
      </c>
      <c r="E364" s="64"/>
      <c r="F364" s="64"/>
      <c r="G364">
        <f>IFERROR(HLOOKUP(G$2,[13]table_male_hkom1_inj.U6!$A$1:$K$36,23,FALSE),0)</f>
        <v>13</v>
      </c>
      <c r="H364">
        <f>IFERROR(HLOOKUP(H$2,[13]table_male_hkom1_inj.U6!$A$1:$K$36,23,FALSE),0)</f>
        <v>39</v>
      </c>
      <c r="I364">
        <f>IFERROR(HLOOKUP(I$2,[13]table_male_hkom1_inj.U6!$A$1:$K$36,23,FALSE),0)</f>
        <v>24</v>
      </c>
      <c r="J364">
        <f>IFERROR(HLOOKUP(J$2,[13]table_male_hkom1_inj.U6!$A$1:$K$36,23,FALSE),0)</f>
        <v>3</v>
      </c>
      <c r="K364">
        <f>IFERROR(HLOOKUP(K$2,[13]table_male_hkom1_inj.U6!$A$1:$K$36,23,FALSE),0)</f>
        <v>1</v>
      </c>
      <c r="L364">
        <f>IFERROR(HLOOKUP(L$2,[13]table_male_hkom1_inj.U6!$A$1:$K$36,23,FALSE),0)</f>
        <v>0</v>
      </c>
      <c r="M364">
        <f t="shared" si="115"/>
        <v>80</v>
      </c>
      <c r="P364" s="14"/>
      <c r="S364" t="s">
        <v>91</v>
      </c>
      <c r="T364" s="5">
        <f t="shared" si="118"/>
        <v>0</v>
      </c>
      <c r="U364" s="5">
        <f t="shared" si="119"/>
        <v>0</v>
      </c>
      <c r="V364" s="5">
        <f t="shared" si="120"/>
        <v>19.905044510385757</v>
      </c>
      <c r="W364" s="5">
        <f t="shared" si="121"/>
        <v>62.502407002188178</v>
      </c>
      <c r="X364" s="5">
        <f t="shared" si="122"/>
        <v>42.630872483221481</v>
      </c>
      <c r="Y364" s="5">
        <f t="shared" si="123"/>
        <v>6.9512195121951219</v>
      </c>
      <c r="Z364" s="5">
        <f t="shared" si="124"/>
        <v>2.3571428571428568</v>
      </c>
      <c r="AA364" s="5">
        <f t="shared" si="125"/>
        <v>6.0606060606060608E-2</v>
      </c>
      <c r="AB364" s="5">
        <f t="shared" si="116"/>
        <v>134.40729242573946</v>
      </c>
    </row>
    <row r="365" spans="4:28" x14ac:dyDescent="0.25">
      <c r="D365" t="s">
        <v>92</v>
      </c>
      <c r="E365" s="64"/>
      <c r="F365" s="64"/>
      <c r="G365">
        <f>IFERROR(HLOOKUP(G$2,[13]table_male_hkom1_inj.U6!$A$1:$K$36,24,FALSE),0)</f>
        <v>2</v>
      </c>
      <c r="H365">
        <f>IFERROR(HLOOKUP(H$2,[13]table_male_hkom1_inj.U6!$A$1:$K$36,24,FALSE),0)</f>
        <v>0</v>
      </c>
      <c r="I365">
        <f>IFERROR(HLOOKUP(I$2,[13]table_male_hkom1_inj.U6!$A$1:$K$36,24,FALSE),0)</f>
        <v>1</v>
      </c>
      <c r="J365">
        <f>IFERROR(HLOOKUP(J$2,[13]table_male_hkom1_inj.U6!$A$1:$K$36,24,FALSE),0)</f>
        <v>0</v>
      </c>
      <c r="K365">
        <f>IFERROR(HLOOKUP(K$2,[13]table_male_hkom1_inj.U6!$A$1:$K$36,24,FALSE),0)</f>
        <v>0</v>
      </c>
      <c r="L365">
        <f>IFERROR(HLOOKUP(L$2,[13]table_male_hkom1_inj.U6!$A$1:$K$36,24,FALSE),0)</f>
        <v>0</v>
      </c>
      <c r="M365">
        <f t="shared" si="115"/>
        <v>3</v>
      </c>
      <c r="P365" s="14"/>
      <c r="S365" t="s">
        <v>92</v>
      </c>
      <c r="T365" s="5">
        <f t="shared" si="118"/>
        <v>0</v>
      </c>
      <c r="U365" s="5">
        <f t="shared" si="119"/>
        <v>0</v>
      </c>
      <c r="V365" s="5">
        <f t="shared" si="120"/>
        <v>3.0623145400593472</v>
      </c>
      <c r="W365" s="5">
        <f t="shared" si="121"/>
        <v>0</v>
      </c>
      <c r="X365" s="5">
        <f t="shared" si="122"/>
        <v>1.7762863534675615</v>
      </c>
      <c r="Y365" s="5">
        <f t="shared" si="123"/>
        <v>0</v>
      </c>
      <c r="Z365" s="5">
        <f t="shared" si="124"/>
        <v>0</v>
      </c>
      <c r="AA365" s="5">
        <f t="shared" si="125"/>
        <v>6.0606060606060608E-2</v>
      </c>
      <c r="AB365" s="5">
        <f t="shared" si="116"/>
        <v>4.8992069541329695</v>
      </c>
    </row>
    <row r="366" spans="4:28" x14ac:dyDescent="0.25">
      <c r="D366" t="s">
        <v>93</v>
      </c>
      <c r="E366" s="64"/>
      <c r="F366" s="64"/>
      <c r="G366">
        <f>IFERROR(HLOOKUP(G$2,[13]table_male_hkom1_inj.U6!$A$1:$K$36,25,FALSE),0)</f>
        <v>1</v>
      </c>
      <c r="H366">
        <f>IFERROR(HLOOKUP(H$2,[13]table_male_hkom1_inj.U6!$A$1:$K$36,25,FALSE),0)</f>
        <v>6</v>
      </c>
      <c r="I366">
        <f>IFERROR(HLOOKUP(I$2,[13]table_male_hkom1_inj.U6!$A$1:$K$36,25,FALSE),0)</f>
        <v>2</v>
      </c>
      <c r="J366">
        <f>IFERROR(HLOOKUP(J$2,[13]table_male_hkom1_inj.U6!$A$1:$K$36,25,FALSE),0)</f>
        <v>1</v>
      </c>
      <c r="K366">
        <f>IFERROR(HLOOKUP(K$2,[13]table_male_hkom1_inj.U6!$A$1:$K$36,25,FALSE),0)</f>
        <v>0</v>
      </c>
      <c r="L366">
        <f>IFERROR(HLOOKUP(L$2,[13]table_male_hkom1_inj.U6!$A$1:$K$36,25,FALSE),0)</f>
        <v>0</v>
      </c>
      <c r="M366">
        <f t="shared" si="115"/>
        <v>10</v>
      </c>
      <c r="P366" s="14"/>
      <c r="S366" t="s">
        <v>93</v>
      </c>
      <c r="T366" s="5">
        <f t="shared" si="118"/>
        <v>0</v>
      </c>
      <c r="U366" s="5">
        <f t="shared" si="119"/>
        <v>0</v>
      </c>
      <c r="V366" s="5">
        <f t="shared" si="120"/>
        <v>1.5311572700296736</v>
      </c>
      <c r="W366" s="5">
        <f t="shared" si="121"/>
        <v>9.6157549234135669</v>
      </c>
      <c r="X366" s="5">
        <f t="shared" si="122"/>
        <v>3.5525727069351229</v>
      </c>
      <c r="Y366" s="5">
        <f t="shared" si="123"/>
        <v>2.3170731707317076</v>
      </c>
      <c r="Z366" s="5">
        <f t="shared" si="124"/>
        <v>0</v>
      </c>
      <c r="AA366" s="5">
        <f t="shared" si="125"/>
        <v>6.0606060606060608E-2</v>
      </c>
      <c r="AB366" s="5">
        <f t="shared" si="116"/>
        <v>17.077164131716135</v>
      </c>
    </row>
    <row r="367" spans="4:28" x14ac:dyDescent="0.25">
      <c r="D367" t="s">
        <v>94</v>
      </c>
      <c r="E367" s="64"/>
      <c r="F367" s="64"/>
      <c r="G367">
        <f>IFERROR(HLOOKUP(G$2,[13]table_male_hkom1_inj.U6!$A$1:$K$36,26,FALSE),0)</f>
        <v>0</v>
      </c>
      <c r="H367">
        <f>IFERROR(HLOOKUP(H$2,[13]table_male_hkom1_inj.U6!$A$1:$K$36,26,FALSE),0)</f>
        <v>0</v>
      </c>
      <c r="I367">
        <f>IFERROR(HLOOKUP(I$2,[13]table_male_hkom1_inj.U6!$A$1:$K$36,26,FALSE),0)</f>
        <v>0</v>
      </c>
      <c r="J367">
        <f>IFERROR(HLOOKUP(J$2,[13]table_male_hkom1_inj.U6!$A$1:$K$36,26,FALSE),0)</f>
        <v>0</v>
      </c>
      <c r="K367">
        <f>IFERROR(HLOOKUP(K$2,[13]table_male_hkom1_inj.U6!$A$1:$K$36,26,FALSE),0)</f>
        <v>0</v>
      </c>
      <c r="L367">
        <f>IFERROR(HLOOKUP(L$2,[13]table_male_hkom1_inj.U6!$A$1:$K$36,26,FALSE),0)</f>
        <v>0</v>
      </c>
      <c r="M367">
        <f t="shared" si="115"/>
        <v>0</v>
      </c>
      <c r="P367" s="14"/>
      <c r="S367" t="s">
        <v>94</v>
      </c>
      <c r="T367" s="5">
        <f t="shared" si="118"/>
        <v>0</v>
      </c>
      <c r="U367" s="5">
        <f t="shared" si="119"/>
        <v>0</v>
      </c>
      <c r="V367" s="5">
        <f t="shared" si="120"/>
        <v>0</v>
      </c>
      <c r="W367" s="5">
        <f t="shared" si="121"/>
        <v>0</v>
      </c>
      <c r="X367" s="5">
        <f t="shared" si="122"/>
        <v>0</v>
      </c>
      <c r="Y367" s="5">
        <f t="shared" si="123"/>
        <v>0</v>
      </c>
      <c r="Z367" s="5">
        <f t="shared" si="124"/>
        <v>0</v>
      </c>
      <c r="AA367" s="5">
        <f t="shared" si="125"/>
        <v>6.0606060606060608E-2</v>
      </c>
      <c r="AB367" s="5">
        <f t="shared" si="116"/>
        <v>6.0606060606060608E-2</v>
      </c>
    </row>
    <row r="368" spans="4:28" x14ac:dyDescent="0.25">
      <c r="D368" t="s">
        <v>95</v>
      </c>
      <c r="E368" s="64"/>
      <c r="F368" s="64"/>
      <c r="G368">
        <f>IFERROR(HLOOKUP(G$2,[13]table_male_hkom1_inj.U6!$A$1:$K$36,27,FALSE),0)</f>
        <v>0</v>
      </c>
      <c r="H368">
        <f>IFERROR(HLOOKUP(H$2,[13]table_male_hkom1_inj.U6!$A$1:$K$36,27,FALSE),0)</f>
        <v>1</v>
      </c>
      <c r="I368">
        <f>IFERROR(HLOOKUP(I$2,[13]table_male_hkom1_inj.U6!$A$1:$K$36,27,FALSE),0)</f>
        <v>0</v>
      </c>
      <c r="J368">
        <f>IFERROR(HLOOKUP(J$2,[13]table_male_hkom1_inj.U6!$A$1:$K$36,27,FALSE),0)</f>
        <v>0</v>
      </c>
      <c r="K368">
        <f>IFERROR(HLOOKUP(K$2,[13]table_male_hkom1_inj.U6!$A$1:$K$36,27,FALSE),0)</f>
        <v>0</v>
      </c>
      <c r="L368">
        <f>IFERROR(HLOOKUP(L$2,[13]table_male_hkom1_inj.U6!$A$1:$K$36,27,FALSE),0)</f>
        <v>0</v>
      </c>
      <c r="M368">
        <f t="shared" si="115"/>
        <v>1</v>
      </c>
      <c r="P368" s="14"/>
      <c r="S368" t="s">
        <v>95</v>
      </c>
      <c r="T368" s="5">
        <f t="shared" si="118"/>
        <v>0</v>
      </c>
      <c r="U368" s="5">
        <f t="shared" si="119"/>
        <v>0</v>
      </c>
      <c r="V368" s="5">
        <f t="shared" si="120"/>
        <v>0</v>
      </c>
      <c r="W368" s="5">
        <f t="shared" si="121"/>
        <v>1.6026258205689277</v>
      </c>
      <c r="X368" s="5">
        <f t="shared" si="122"/>
        <v>0</v>
      </c>
      <c r="Y368" s="5">
        <f t="shared" si="123"/>
        <v>0</v>
      </c>
      <c r="Z368" s="5">
        <f t="shared" si="124"/>
        <v>0</v>
      </c>
      <c r="AA368" s="5">
        <f t="shared" si="125"/>
        <v>6.0606060606060608E-2</v>
      </c>
      <c r="AB368" s="5">
        <f t="shared" si="116"/>
        <v>1.6632318811749882</v>
      </c>
    </row>
    <row r="369" spans="1:29" x14ac:dyDescent="0.25">
      <c r="D369" t="s">
        <v>96</v>
      </c>
      <c r="E369" s="64"/>
      <c r="F369" s="64"/>
      <c r="G369">
        <f>IFERROR(HLOOKUP(G$2,[13]table_male_hkom1_inj.U6!$A$1:$K$36,28,FALSE),0)</f>
        <v>3</v>
      </c>
      <c r="H369">
        <f>IFERROR(HLOOKUP(H$2,[13]table_male_hkom1_inj.U6!$A$1:$K$36,28,FALSE),0)</f>
        <v>5</v>
      </c>
      <c r="I369">
        <f>IFERROR(HLOOKUP(I$2,[13]table_male_hkom1_inj.U6!$A$1:$K$36,28,FALSE),0)</f>
        <v>8</v>
      </c>
      <c r="J369">
        <f>IFERROR(HLOOKUP(J$2,[13]table_male_hkom1_inj.U6!$A$1:$K$36,28,FALSE),0)</f>
        <v>0</v>
      </c>
      <c r="K369">
        <f>IFERROR(HLOOKUP(K$2,[13]table_male_hkom1_inj.U6!$A$1:$K$36,28,FALSE),0)</f>
        <v>0</v>
      </c>
      <c r="L369">
        <f>IFERROR(HLOOKUP(L$2,[13]table_male_hkom1_inj.U6!$A$1:$K$36,28,FALSE),0)</f>
        <v>0</v>
      </c>
      <c r="M369">
        <f t="shared" si="115"/>
        <v>16</v>
      </c>
      <c r="P369" s="14"/>
      <c r="S369" t="s">
        <v>96</v>
      </c>
      <c r="T369" s="5">
        <f t="shared" si="118"/>
        <v>0</v>
      </c>
      <c r="U369" s="5">
        <f t="shared" si="119"/>
        <v>0</v>
      </c>
      <c r="V369" s="5">
        <f t="shared" si="120"/>
        <v>4.5934718100890208</v>
      </c>
      <c r="W369" s="5">
        <f t="shared" si="121"/>
        <v>8.0131291028446388</v>
      </c>
      <c r="X369" s="5">
        <f t="shared" si="122"/>
        <v>14.210290827740492</v>
      </c>
      <c r="Y369" s="5">
        <f t="shared" si="123"/>
        <v>0</v>
      </c>
      <c r="Z369" s="5">
        <f t="shared" si="124"/>
        <v>0</v>
      </c>
      <c r="AA369" s="5">
        <f t="shared" si="125"/>
        <v>6.0606060606060608E-2</v>
      </c>
      <c r="AB369" s="5">
        <f t="shared" si="116"/>
        <v>26.877497801280214</v>
      </c>
    </row>
    <row r="370" spans="1:29" x14ac:dyDescent="0.25">
      <c r="D370" t="s">
        <v>97</v>
      </c>
      <c r="E370" s="64"/>
      <c r="F370" s="64"/>
      <c r="G370">
        <f>IFERROR(HLOOKUP(G$2,[13]table_male_hkom1_inj.U6!$A$1:$K$36,29,FALSE),0)</f>
        <v>18</v>
      </c>
      <c r="H370">
        <f>IFERROR(HLOOKUP(H$2,[13]table_male_hkom1_inj.U6!$A$1:$K$36,29,FALSE),0)</f>
        <v>13</v>
      </c>
      <c r="I370">
        <f>IFERROR(HLOOKUP(I$2,[13]table_male_hkom1_inj.U6!$A$1:$K$36,29,FALSE),0)</f>
        <v>19</v>
      </c>
      <c r="J370">
        <f>IFERROR(HLOOKUP(J$2,[13]table_male_hkom1_inj.U6!$A$1:$K$36,29,FALSE),0)</f>
        <v>0</v>
      </c>
      <c r="K370">
        <f>IFERROR(HLOOKUP(K$2,[13]table_male_hkom1_inj.U6!$A$1:$K$36,29,FALSE),0)</f>
        <v>0</v>
      </c>
      <c r="L370">
        <f>IFERROR(HLOOKUP(L$2,[13]table_male_hkom1_inj.U6!$A$1:$K$36,29,FALSE),0)</f>
        <v>0</v>
      </c>
      <c r="M370">
        <f t="shared" si="115"/>
        <v>50</v>
      </c>
      <c r="P370" s="14"/>
      <c r="S370" t="s">
        <v>97</v>
      </c>
      <c r="T370" s="5">
        <f t="shared" si="118"/>
        <v>0</v>
      </c>
      <c r="U370" s="5">
        <f t="shared" si="119"/>
        <v>0</v>
      </c>
      <c r="V370" s="5">
        <f t="shared" si="120"/>
        <v>27.560830860534125</v>
      </c>
      <c r="W370" s="5">
        <f t="shared" si="121"/>
        <v>20.834135667396062</v>
      </c>
      <c r="X370" s="5">
        <f t="shared" si="122"/>
        <v>33.749440715883665</v>
      </c>
      <c r="Y370" s="5">
        <f t="shared" si="123"/>
        <v>0</v>
      </c>
      <c r="Z370" s="5">
        <f t="shared" si="124"/>
        <v>0</v>
      </c>
      <c r="AA370" s="5">
        <f t="shared" si="125"/>
        <v>6.0606060606060608E-2</v>
      </c>
      <c r="AB370" s="5">
        <f t="shared" si="116"/>
        <v>82.205013304419907</v>
      </c>
    </row>
    <row r="371" spans="1:29" x14ac:dyDescent="0.25">
      <c r="D371" t="s">
        <v>98</v>
      </c>
      <c r="E371" s="64"/>
      <c r="F371" s="64"/>
      <c r="G371">
        <f>IFERROR(HLOOKUP(G$2,[13]table_male_hkom1_inj.U6!$A$1:$K$36,30,FALSE),0)</f>
        <v>45</v>
      </c>
      <c r="H371">
        <f>IFERROR(HLOOKUP(H$2,[13]table_male_hkom1_inj.U6!$A$1:$K$36,30,FALSE),0)</f>
        <v>64</v>
      </c>
      <c r="I371">
        <f>IFERROR(HLOOKUP(I$2,[13]table_male_hkom1_inj.U6!$A$1:$K$36,30,FALSE),0)</f>
        <v>30</v>
      </c>
      <c r="J371">
        <f>IFERROR(HLOOKUP(J$2,[13]table_male_hkom1_inj.U6!$A$1:$K$36,30,FALSE),0)</f>
        <v>3</v>
      </c>
      <c r="K371">
        <f>IFERROR(HLOOKUP(K$2,[13]table_male_hkom1_inj.U6!$A$1:$K$36,30,FALSE),0)</f>
        <v>0</v>
      </c>
      <c r="L371">
        <f>IFERROR(HLOOKUP(L$2,[13]table_male_hkom1_inj.U6!$A$1:$K$36,30,FALSE),0)</f>
        <v>0</v>
      </c>
      <c r="M371">
        <f t="shared" si="115"/>
        <v>142</v>
      </c>
      <c r="P371" s="14"/>
      <c r="S371" t="s">
        <v>98</v>
      </c>
      <c r="T371" s="5">
        <f t="shared" si="118"/>
        <v>0</v>
      </c>
      <c r="U371" s="5">
        <f t="shared" si="119"/>
        <v>0</v>
      </c>
      <c r="V371" s="5">
        <f t="shared" si="120"/>
        <v>68.902077151335305</v>
      </c>
      <c r="W371" s="5">
        <f t="shared" si="121"/>
        <v>102.56805251641137</v>
      </c>
      <c r="X371" s="5">
        <f t="shared" si="122"/>
        <v>53.288590604026851</v>
      </c>
      <c r="Y371" s="5">
        <f t="shared" si="123"/>
        <v>6.9512195121951219</v>
      </c>
      <c r="Z371" s="5">
        <f t="shared" si="124"/>
        <v>0</v>
      </c>
      <c r="AA371" s="5">
        <f t="shared" si="125"/>
        <v>6.0606060606060608E-2</v>
      </c>
      <c r="AB371" s="5">
        <f t="shared" si="116"/>
        <v>231.77054584457471</v>
      </c>
    </row>
    <row r="372" spans="1:29" x14ac:dyDescent="0.25">
      <c r="D372" t="s">
        <v>119</v>
      </c>
      <c r="E372" s="64"/>
      <c r="F372" s="64"/>
      <c r="G372">
        <f>IFERROR(HLOOKUP(G$2,[13]table_male_hkom1_inj.U6!$A$1:$K$36,31,FALSE),0)</f>
        <v>8</v>
      </c>
      <c r="H372">
        <f>IFERROR(HLOOKUP(H$2,[13]table_male_hkom1_inj.U6!$A$1:$K$36,31,FALSE),0)</f>
        <v>17</v>
      </c>
      <c r="I372">
        <f>IFERROR(HLOOKUP(I$2,[13]table_male_hkom1_inj.U6!$A$1:$K$36,31,FALSE),0)</f>
        <v>15</v>
      </c>
      <c r="J372">
        <f>IFERROR(HLOOKUP(J$2,[13]table_male_hkom1_inj.U6!$A$1:$K$36,31,FALSE),0)</f>
        <v>0</v>
      </c>
      <c r="K372">
        <f>IFERROR(HLOOKUP(K$2,[13]table_male_hkom1_inj.U6!$A$1:$K$36,31,FALSE),0)</f>
        <v>0</v>
      </c>
      <c r="L372">
        <f>IFERROR(HLOOKUP(L$2,[13]table_male_hkom1_inj.U6!$A$1:$K$36,31,FALSE),0)</f>
        <v>0</v>
      </c>
      <c r="M372">
        <f t="shared" si="115"/>
        <v>40</v>
      </c>
      <c r="P372" s="14"/>
      <c r="S372" t="s">
        <v>119</v>
      </c>
      <c r="T372" s="5">
        <f t="shared" si="118"/>
        <v>0</v>
      </c>
      <c r="U372" s="5">
        <f t="shared" si="119"/>
        <v>0</v>
      </c>
      <c r="V372" s="5">
        <f t="shared" si="120"/>
        <v>12.249258160237389</v>
      </c>
      <c r="W372" s="5">
        <f t="shared" si="121"/>
        <v>27.244638949671774</v>
      </c>
      <c r="X372" s="5">
        <f t="shared" si="122"/>
        <v>26.644295302013425</v>
      </c>
      <c r="Y372" s="5">
        <f t="shared" si="123"/>
        <v>0</v>
      </c>
      <c r="Z372" s="5">
        <f t="shared" si="124"/>
        <v>0</v>
      </c>
      <c r="AA372" s="5">
        <f t="shared" si="125"/>
        <v>6.0606060606060608E-2</v>
      </c>
      <c r="AB372" s="5">
        <f t="shared" si="116"/>
        <v>66.198798472528651</v>
      </c>
    </row>
    <row r="373" spans="1:29" x14ac:dyDescent="0.25">
      <c r="D373" t="s">
        <v>99</v>
      </c>
      <c r="E373" s="64"/>
      <c r="F373" s="64"/>
      <c r="G373">
        <f>IFERROR(HLOOKUP(G$2,[13]table_male_hkom1_inj.U6!$A$1:$K$36,32,FALSE),0)</f>
        <v>32</v>
      </c>
      <c r="H373">
        <f>IFERROR(HLOOKUP(H$2,[13]table_male_hkom1_inj.U6!$A$1:$K$36,32,FALSE),0)</f>
        <v>49</v>
      </c>
      <c r="I373">
        <f>IFERROR(HLOOKUP(I$2,[13]table_male_hkom1_inj.U6!$A$1:$K$36,32,FALSE),0)</f>
        <v>11</v>
      </c>
      <c r="J373">
        <f>IFERROR(HLOOKUP(J$2,[13]table_male_hkom1_inj.U6!$A$1:$K$36,32,FALSE),0)</f>
        <v>1</v>
      </c>
      <c r="K373">
        <f>IFERROR(HLOOKUP(K$2,[13]table_male_hkom1_inj.U6!$A$1:$K$36,32,FALSE),0)</f>
        <v>0</v>
      </c>
      <c r="L373">
        <f>IFERROR(HLOOKUP(L$2,[13]table_male_hkom1_inj.U6!$A$1:$K$36,32,FALSE),0)</f>
        <v>0</v>
      </c>
      <c r="M373">
        <f t="shared" si="115"/>
        <v>93</v>
      </c>
      <c r="P373" s="14"/>
      <c r="S373" t="s">
        <v>99</v>
      </c>
      <c r="T373" s="5">
        <f t="shared" si="118"/>
        <v>0</v>
      </c>
      <c r="U373" s="5">
        <f t="shared" si="119"/>
        <v>0</v>
      </c>
      <c r="V373" s="5">
        <f t="shared" si="120"/>
        <v>48.997032640949556</v>
      </c>
      <c r="W373" s="5">
        <f t="shared" si="121"/>
        <v>78.528665207877452</v>
      </c>
      <c r="X373" s="5">
        <f t="shared" si="122"/>
        <v>19.539149888143179</v>
      </c>
      <c r="Y373" s="5">
        <f t="shared" si="123"/>
        <v>2.3170731707317076</v>
      </c>
      <c r="Z373" s="5">
        <f t="shared" si="124"/>
        <v>0</v>
      </c>
      <c r="AA373" s="5">
        <f t="shared" si="125"/>
        <v>6.0606060606060608E-2</v>
      </c>
      <c r="AB373" s="5">
        <f t="shared" si="116"/>
        <v>149.44252696830796</v>
      </c>
    </row>
    <row r="374" spans="1:29" x14ac:dyDescent="0.25">
      <c r="D374" t="s">
        <v>100</v>
      </c>
      <c r="E374" s="64"/>
      <c r="F374" s="64"/>
      <c r="G374">
        <f>IFERROR(HLOOKUP(G$2,[13]table_male_hkom1_inj.U6!$A$1:$K$36,33,FALSE),0)</f>
        <v>264</v>
      </c>
      <c r="H374">
        <f>IFERROR(HLOOKUP(H$2,[13]table_male_hkom1_inj.U6!$A$1:$K$36,33,FALSE),0)</f>
        <v>537</v>
      </c>
      <c r="I374">
        <f>IFERROR(HLOOKUP(I$2,[13]table_male_hkom1_inj.U6!$A$1:$K$36,33,FALSE),0)</f>
        <v>307</v>
      </c>
      <c r="J374">
        <f>IFERROR(HLOOKUP(J$2,[13]table_male_hkom1_inj.U6!$A$1:$K$36,33,FALSE),0)</f>
        <v>26</v>
      </c>
      <c r="K374">
        <f>IFERROR(HLOOKUP(K$2,[13]table_male_hkom1_inj.U6!$A$1:$K$36,33,FALSE),0)</f>
        <v>5</v>
      </c>
      <c r="L374">
        <f>IFERROR(HLOOKUP(L$2,[13]table_male_hkom1_inj.U6!$A$1:$K$36,33,FALSE),0)</f>
        <v>0</v>
      </c>
      <c r="M374">
        <f t="shared" si="115"/>
        <v>1139</v>
      </c>
      <c r="P374" s="14"/>
      <c r="S374" t="s">
        <v>100</v>
      </c>
      <c r="T374" s="5">
        <f t="shared" si="118"/>
        <v>0</v>
      </c>
      <c r="U374" s="5">
        <f t="shared" si="119"/>
        <v>0</v>
      </c>
      <c r="V374" s="5">
        <f t="shared" si="120"/>
        <v>404.22551928783383</v>
      </c>
      <c r="W374" s="5">
        <f t="shared" si="121"/>
        <v>860.61006564551417</v>
      </c>
      <c r="X374" s="5">
        <f t="shared" si="122"/>
        <v>545.31991051454133</v>
      </c>
      <c r="Y374" s="5">
        <f t="shared" si="123"/>
        <v>60.243902439024389</v>
      </c>
      <c r="Z374" s="5">
        <f t="shared" si="124"/>
        <v>11.785714285714285</v>
      </c>
      <c r="AA374" s="5">
        <f t="shared" si="125"/>
        <v>6.0606060606060608E-2</v>
      </c>
      <c r="AB374" s="5">
        <f t="shared" si="116"/>
        <v>1882.2457182332339</v>
      </c>
    </row>
    <row r="375" spans="1:29" x14ac:dyDescent="0.25">
      <c r="D375" t="s">
        <v>101</v>
      </c>
      <c r="E375" s="64"/>
      <c r="F375" s="64"/>
      <c r="G375">
        <f>IFERROR(HLOOKUP(G$2,[13]table_male_hkom1_inj.U6!$A$1:$K$36,34,FALSE),0)</f>
        <v>67</v>
      </c>
      <c r="H375">
        <f>IFERROR(HLOOKUP(H$2,[13]table_male_hkom1_inj.U6!$A$1:$K$36,34,FALSE),0)</f>
        <v>77</v>
      </c>
      <c r="I375">
        <f>IFERROR(HLOOKUP(I$2,[13]table_male_hkom1_inj.U6!$A$1:$K$36,34,FALSE),0)</f>
        <v>42</v>
      </c>
      <c r="J375">
        <f>IFERROR(HLOOKUP(J$2,[13]table_male_hkom1_inj.U6!$A$1:$K$36,34,FALSE),0)</f>
        <v>3</v>
      </c>
      <c r="K375">
        <f>IFERROR(HLOOKUP(K$2,[13]table_male_hkom1_inj.U6!$A$1:$K$36,34,FALSE),0)</f>
        <v>0</v>
      </c>
      <c r="L375">
        <f>IFERROR(HLOOKUP(L$2,[13]table_male_hkom1_inj.U6!$A$1:$K$36,34,FALSE),0)</f>
        <v>0</v>
      </c>
      <c r="M375">
        <f t="shared" si="115"/>
        <v>189</v>
      </c>
      <c r="P375" s="14"/>
      <c r="S375" t="s">
        <v>101</v>
      </c>
      <c r="T375" s="5">
        <f t="shared" si="118"/>
        <v>0</v>
      </c>
      <c r="U375" s="5">
        <f t="shared" si="119"/>
        <v>0</v>
      </c>
      <c r="V375" s="5">
        <f t="shared" si="120"/>
        <v>102.58753709198814</v>
      </c>
      <c r="W375" s="5">
        <f t="shared" si="121"/>
        <v>123.40218818380745</v>
      </c>
      <c r="X375" s="5">
        <f t="shared" si="122"/>
        <v>74.604026845637577</v>
      </c>
      <c r="Y375" s="5">
        <f t="shared" si="123"/>
        <v>6.9512195121951219</v>
      </c>
      <c r="Z375" s="5">
        <f t="shared" si="124"/>
        <v>0</v>
      </c>
      <c r="AA375" s="5">
        <f t="shared" si="125"/>
        <v>6.0606060606060608E-2</v>
      </c>
      <c r="AB375" s="5">
        <f t="shared" si="116"/>
        <v>307.60557769423434</v>
      </c>
    </row>
    <row r="376" spans="1:29" x14ac:dyDescent="0.25">
      <c r="D376" t="s">
        <v>102</v>
      </c>
      <c r="E376" s="64"/>
      <c r="F376" s="64"/>
      <c r="G376">
        <f>IFERROR(HLOOKUP(G$2,[13]table_male_hkom1_inj.U6!$A$1:$K$36,35,FALSE),0)</f>
        <v>716</v>
      </c>
      <c r="H376">
        <f>IFERROR(HLOOKUP(H$2,[13]table_male_hkom1_inj.U6!$A$1:$K$36,35,FALSE),0)</f>
        <v>1377</v>
      </c>
      <c r="I376">
        <f>IFERROR(HLOOKUP(I$2,[13]table_male_hkom1_inj.U6!$A$1:$K$36,35,FALSE),0)</f>
        <v>1041</v>
      </c>
      <c r="J376">
        <f>IFERROR(HLOOKUP(J$2,[13]table_male_hkom1_inj.U6!$A$1:$K$36,35,FALSE),0)</f>
        <v>162</v>
      </c>
      <c r="K376">
        <f>IFERROR(HLOOKUP(K$2,[13]table_male_hkom1_inj.U6!$A$1:$K$36,35,FALSE),0)</f>
        <v>19</v>
      </c>
      <c r="L376">
        <f>IFERROR(HLOOKUP(L$2,[13]table_male_hkom1_inj.U6!$A$1:$K$36,35,FALSE),0)</f>
        <v>2</v>
      </c>
      <c r="M376">
        <f t="shared" si="115"/>
        <v>3317</v>
      </c>
      <c r="N376">
        <f>SUM(M343:M376)</f>
        <v>8428</v>
      </c>
      <c r="O376" s="8">
        <f>SUM([13]table_male_hkom1_inj.U6!$B$2:$L$37)</f>
        <v>8428</v>
      </c>
      <c r="P376" s="14"/>
      <c r="S376" t="s">
        <v>102</v>
      </c>
      <c r="T376" s="7"/>
      <c r="U376" s="7"/>
      <c r="V376" s="7"/>
      <c r="W376" s="7"/>
      <c r="X376" s="7"/>
      <c r="Y376" s="7"/>
      <c r="Z376" s="7"/>
      <c r="AA376" s="7"/>
      <c r="AB376" s="5">
        <f t="shared" si="116"/>
        <v>0</v>
      </c>
      <c r="AC376" s="5">
        <f>SUM(AB343:AB375)</f>
        <v>8427.9999999999964</v>
      </c>
    </row>
    <row r="377" spans="1:29" x14ac:dyDescent="0.25">
      <c r="A377" t="s">
        <v>104</v>
      </c>
      <c r="B377" t="s">
        <v>116</v>
      </c>
      <c r="C377" t="s">
        <v>102</v>
      </c>
      <c r="D377" t="s">
        <v>70</v>
      </c>
      <c r="E377" s="64"/>
      <c r="F377" s="64"/>
      <c r="G377">
        <f>IFERROR(HLOOKUP(G$2,[14]table_male_hkom2_inj.unk!$A$1:$K$36,2,FALSE),0)</f>
        <v>0</v>
      </c>
      <c r="H377">
        <f>IFERROR(HLOOKUP(H$2,[14]table_male_hkom2_inj.unk!$A$1:$K$36,2,FALSE),0)</f>
        <v>0</v>
      </c>
      <c r="I377">
        <f>IFERROR(HLOOKUP(I$2,[14]table_male_hkom2_inj.unk!$A$1:$K$36,2,FALSE),0)</f>
        <v>0</v>
      </c>
      <c r="J377">
        <f>IFERROR(HLOOKUP(J$2,[14]table_male_hkom2_inj.unk!$A$1:$K$36,2,FALSE),0)</f>
        <v>0</v>
      </c>
      <c r="K377">
        <f>IFERROR(HLOOKUP(K$2,[14]table_male_hkom2_inj.unk!$A$1:$K$36,2,FALSE),0)</f>
        <v>0</v>
      </c>
      <c r="L377">
        <f>IFERROR(HLOOKUP(L$2,[14]table_male_hkom2_inj.unk!$A$1:$K$36,2,FALSE),0)</f>
        <v>0</v>
      </c>
      <c r="M377">
        <f>SUM(E377:L377)</f>
        <v>0</v>
      </c>
      <c r="P377" t="s">
        <v>104</v>
      </c>
      <c r="Q377" t="s">
        <v>116</v>
      </c>
      <c r="R377" t="s">
        <v>102</v>
      </c>
      <c r="S377" t="s">
        <v>70</v>
      </c>
      <c r="T377" s="5">
        <f>IF(SUM(E$377:E$409)=0,E$410/33,E377+IFERROR(E377/SUM(E$377:E$409)*E$410,0))</f>
        <v>0</v>
      </c>
      <c r="U377" s="5">
        <f t="shared" ref="U377:AA377" si="126">IF(SUM(F$377:F$409)=0,F$410/33,F377+IFERROR(F377/SUM(F$377:F$409)*F$410,0))</f>
        <v>0</v>
      </c>
      <c r="V377" s="5">
        <f t="shared" si="126"/>
        <v>0</v>
      </c>
      <c r="W377" s="5">
        <f t="shared" si="126"/>
        <v>0</v>
      </c>
      <c r="X377" s="5">
        <f t="shared" si="126"/>
        <v>0</v>
      </c>
      <c r="Y377" s="5">
        <f t="shared" si="126"/>
        <v>0</v>
      </c>
      <c r="Z377" s="5">
        <f t="shared" si="126"/>
        <v>0</v>
      </c>
      <c r="AA377" s="5">
        <f t="shared" si="126"/>
        <v>0</v>
      </c>
      <c r="AB377" s="5">
        <f t="shared" si="116"/>
        <v>0</v>
      </c>
    </row>
    <row r="378" spans="1:29" x14ac:dyDescent="0.25">
      <c r="D378" t="s">
        <v>71</v>
      </c>
      <c r="E378" s="64"/>
      <c r="F378" s="64"/>
      <c r="G378">
        <f>IFERROR(HLOOKUP(G$2,[14]table_male_hkom2_inj.unk!$A$1:$K$36,3,FALSE),0)</f>
        <v>0</v>
      </c>
      <c r="H378">
        <f>IFERROR(HLOOKUP(H$2,[14]table_male_hkom2_inj.unk!$A$1:$K$36,3,FALSE),0)</f>
        <v>0</v>
      </c>
      <c r="I378">
        <f>IFERROR(HLOOKUP(I$2,[14]table_male_hkom2_inj.unk!$A$1:$K$36,3,FALSE),0)</f>
        <v>0</v>
      </c>
      <c r="J378">
        <f>IFERROR(HLOOKUP(J$2,[14]table_male_hkom2_inj.unk!$A$1:$K$36,3,FALSE),0)</f>
        <v>0</v>
      </c>
      <c r="K378">
        <f>IFERROR(HLOOKUP(K$2,[14]table_male_hkom2_inj.unk!$A$1:$K$36,3,FALSE),0)</f>
        <v>0</v>
      </c>
      <c r="L378">
        <f>IFERROR(HLOOKUP(L$2,[14]table_male_hkom2_inj.unk!$A$1:$K$36,3,FALSE),0)</f>
        <v>0</v>
      </c>
      <c r="M378">
        <f t="shared" ref="M378:M410" si="127">SUM(E378:L378)</f>
        <v>0</v>
      </c>
      <c r="S378" t="s">
        <v>71</v>
      </c>
      <c r="T378" s="5">
        <f t="shared" ref="T378:T409" si="128">IF(SUM(E$377:E$409)=0,E$410/33,E378+IFERROR(E378/SUM(E$377:E$409)*E$410,0))</f>
        <v>0</v>
      </c>
      <c r="U378" s="5">
        <f t="shared" ref="U378:U409" si="129">IF(SUM(F$377:F$409)=0,F$410/33,F378+IFERROR(F378/SUM(F$377:F$409)*F$410,0))</f>
        <v>0</v>
      </c>
      <c r="V378" s="5">
        <f t="shared" ref="V378:V409" si="130">IF(SUM(G$377:G$409)=0,G$410/33,G378+IFERROR(G378/SUM(G$377:G$409)*G$410,0))</f>
        <v>0</v>
      </c>
      <c r="W378" s="5">
        <f t="shared" ref="W378:W409" si="131">IF(SUM(H$377:H$409)=0,H$410/33,H378+IFERROR(H378/SUM(H$377:H$409)*H$410,0))</f>
        <v>0</v>
      </c>
      <c r="X378" s="5">
        <f t="shared" ref="X378:X409" si="132">IF(SUM(I$377:I$409)=0,I$410/33,I378+IFERROR(I378/SUM(I$377:I$409)*I$410,0))</f>
        <v>0</v>
      </c>
      <c r="Y378" s="5">
        <f t="shared" ref="Y378:Y409" si="133">IF(SUM(J$377:J$409)=0,J$410/33,J378+IFERROR(J378/SUM(J$377:J$409)*J$410,0))</f>
        <v>0</v>
      </c>
      <c r="Z378" s="5">
        <f t="shared" ref="Z378:Z409" si="134">IF(SUM(K$377:K$409)=0,K$410/33,K378+IFERROR(K378/SUM(K$377:K$409)*K$410,0))</f>
        <v>0</v>
      </c>
      <c r="AA378" s="5">
        <f t="shared" ref="AA378:AA409" si="135">IF(SUM(L$377:L$409)=0,L$410/33,L378+IFERROR(L378/SUM(L$377:L$409)*L$410,0))</f>
        <v>0</v>
      </c>
      <c r="AB378" s="5">
        <f t="shared" si="116"/>
        <v>0</v>
      </c>
    </row>
    <row r="379" spans="1:29" x14ac:dyDescent="0.25">
      <c r="D379" t="s">
        <v>72</v>
      </c>
      <c r="E379" s="64"/>
      <c r="F379" s="64"/>
      <c r="G379">
        <f>IFERROR(HLOOKUP(G$2,[14]table_male_hkom2_inj.unk!$A$1:$K$36,4,FALSE),0)</f>
        <v>0</v>
      </c>
      <c r="H379">
        <f>IFERROR(HLOOKUP(H$2,[14]table_male_hkom2_inj.unk!$A$1:$K$36,4,FALSE),0)</f>
        <v>0</v>
      </c>
      <c r="I379">
        <f>IFERROR(HLOOKUP(I$2,[14]table_male_hkom2_inj.unk!$A$1:$K$36,4,FALSE),0)</f>
        <v>0</v>
      </c>
      <c r="J379">
        <f>IFERROR(HLOOKUP(J$2,[14]table_male_hkom2_inj.unk!$A$1:$K$36,4,FALSE),0)</f>
        <v>0</v>
      </c>
      <c r="K379">
        <f>IFERROR(HLOOKUP(K$2,[14]table_male_hkom2_inj.unk!$A$1:$K$36,4,FALSE),0)</f>
        <v>0</v>
      </c>
      <c r="L379">
        <f>IFERROR(HLOOKUP(L$2,[14]table_male_hkom2_inj.unk!$A$1:$K$36,4,FALSE),0)</f>
        <v>0</v>
      </c>
      <c r="M379">
        <f t="shared" si="127"/>
        <v>0</v>
      </c>
      <c r="S379" t="s">
        <v>72</v>
      </c>
      <c r="T379" s="5">
        <f t="shared" si="128"/>
        <v>0</v>
      </c>
      <c r="U379" s="5">
        <f t="shared" si="129"/>
        <v>0</v>
      </c>
      <c r="V379" s="5">
        <f t="shared" si="130"/>
        <v>0</v>
      </c>
      <c r="W379" s="5">
        <f t="shared" si="131"/>
        <v>0</v>
      </c>
      <c r="X379" s="5">
        <f t="shared" si="132"/>
        <v>0</v>
      </c>
      <c r="Y379" s="5">
        <f t="shared" si="133"/>
        <v>0</v>
      </c>
      <c r="Z379" s="5">
        <f t="shared" si="134"/>
        <v>0</v>
      </c>
      <c r="AA379" s="5">
        <f t="shared" si="135"/>
        <v>0</v>
      </c>
      <c r="AB379" s="5">
        <f t="shared" si="116"/>
        <v>0</v>
      </c>
    </row>
    <row r="380" spans="1:29" x14ac:dyDescent="0.25">
      <c r="D380" t="s">
        <v>73</v>
      </c>
      <c r="E380" s="64"/>
      <c r="F380" s="64"/>
      <c r="G380">
        <f>IFERROR(HLOOKUP(G$2,[14]table_male_hkom2_inj.unk!$A$1:$K$36,5,FALSE),0)</f>
        <v>0</v>
      </c>
      <c r="H380">
        <f>IFERROR(HLOOKUP(H$2,[14]table_male_hkom2_inj.unk!$A$1:$K$36,5,FALSE),0)</f>
        <v>0</v>
      </c>
      <c r="I380">
        <f>IFERROR(HLOOKUP(I$2,[14]table_male_hkom2_inj.unk!$A$1:$K$36,5,FALSE),0)</f>
        <v>0</v>
      </c>
      <c r="J380">
        <f>IFERROR(HLOOKUP(J$2,[14]table_male_hkom2_inj.unk!$A$1:$K$36,5,FALSE),0)</f>
        <v>0</v>
      </c>
      <c r="K380">
        <f>IFERROR(HLOOKUP(K$2,[14]table_male_hkom2_inj.unk!$A$1:$K$36,5,FALSE),0)</f>
        <v>0</v>
      </c>
      <c r="L380">
        <f>IFERROR(HLOOKUP(L$2,[14]table_male_hkom2_inj.unk!$A$1:$K$36,5,FALSE),0)</f>
        <v>0</v>
      </c>
      <c r="M380">
        <f t="shared" si="127"/>
        <v>0</v>
      </c>
      <c r="S380" t="s">
        <v>73</v>
      </c>
      <c r="T380" s="5">
        <f t="shared" si="128"/>
        <v>0</v>
      </c>
      <c r="U380" s="5">
        <f t="shared" si="129"/>
        <v>0</v>
      </c>
      <c r="V380" s="5">
        <f t="shared" si="130"/>
        <v>0</v>
      </c>
      <c r="W380" s="5">
        <f t="shared" si="131"/>
        <v>0</v>
      </c>
      <c r="X380" s="5">
        <f t="shared" si="132"/>
        <v>0</v>
      </c>
      <c r="Y380" s="5">
        <f t="shared" si="133"/>
        <v>0</v>
      </c>
      <c r="Z380" s="5">
        <f t="shared" si="134"/>
        <v>0</v>
      </c>
      <c r="AA380" s="5">
        <f t="shared" si="135"/>
        <v>0</v>
      </c>
      <c r="AB380" s="5">
        <f t="shared" si="116"/>
        <v>0</v>
      </c>
    </row>
    <row r="381" spans="1:29" x14ac:dyDescent="0.25">
      <c r="D381" t="s">
        <v>74</v>
      </c>
      <c r="E381" s="64"/>
      <c r="F381" s="64"/>
      <c r="G381">
        <f>IFERROR(HLOOKUP(G$2,[14]table_male_hkom2_inj.unk!$A$1:$K$36,6,FALSE),0)</f>
        <v>0</v>
      </c>
      <c r="H381">
        <f>IFERROR(HLOOKUP(H$2,[14]table_male_hkom2_inj.unk!$A$1:$K$36,6,FALSE),0)</f>
        <v>0</v>
      </c>
      <c r="I381">
        <f>IFERROR(HLOOKUP(I$2,[14]table_male_hkom2_inj.unk!$A$1:$K$36,6,FALSE),0)</f>
        <v>0</v>
      </c>
      <c r="J381">
        <f>IFERROR(HLOOKUP(J$2,[14]table_male_hkom2_inj.unk!$A$1:$K$36,6,FALSE),0)</f>
        <v>0</v>
      </c>
      <c r="K381">
        <f>IFERROR(HLOOKUP(K$2,[14]table_male_hkom2_inj.unk!$A$1:$K$36,6,FALSE),0)</f>
        <v>0</v>
      </c>
      <c r="L381">
        <f>IFERROR(HLOOKUP(L$2,[14]table_male_hkom2_inj.unk!$A$1:$K$36,6,FALSE),0)</f>
        <v>0</v>
      </c>
      <c r="M381">
        <f t="shared" si="127"/>
        <v>0</v>
      </c>
      <c r="S381" t="s">
        <v>74</v>
      </c>
      <c r="T381" s="5">
        <f t="shared" si="128"/>
        <v>0</v>
      </c>
      <c r="U381" s="5">
        <f t="shared" si="129"/>
        <v>0</v>
      </c>
      <c r="V381" s="5">
        <f t="shared" si="130"/>
        <v>0</v>
      </c>
      <c r="W381" s="5">
        <f t="shared" si="131"/>
        <v>0</v>
      </c>
      <c r="X381" s="5">
        <f t="shared" si="132"/>
        <v>0</v>
      </c>
      <c r="Y381" s="5">
        <f t="shared" si="133"/>
        <v>0</v>
      </c>
      <c r="Z381" s="5">
        <f t="shared" si="134"/>
        <v>0</v>
      </c>
      <c r="AA381" s="5">
        <f t="shared" si="135"/>
        <v>0</v>
      </c>
      <c r="AB381" s="5">
        <f t="shared" si="116"/>
        <v>0</v>
      </c>
    </row>
    <row r="382" spans="1:29" x14ac:dyDescent="0.25">
      <c r="D382" t="s">
        <v>75</v>
      </c>
      <c r="E382" s="64"/>
      <c r="F382" s="64"/>
      <c r="G382">
        <f>IFERROR(HLOOKUP(G$2,[14]table_male_hkom2_inj.unk!$A$1:$K$36,7,FALSE),0)</f>
        <v>0</v>
      </c>
      <c r="H382">
        <f>IFERROR(HLOOKUP(H$2,[14]table_male_hkom2_inj.unk!$A$1:$K$36,7,FALSE),0)</f>
        <v>0</v>
      </c>
      <c r="I382">
        <f>IFERROR(HLOOKUP(I$2,[14]table_male_hkom2_inj.unk!$A$1:$K$36,7,FALSE),0)</f>
        <v>0</v>
      </c>
      <c r="J382">
        <f>IFERROR(HLOOKUP(J$2,[14]table_male_hkom2_inj.unk!$A$1:$K$36,7,FALSE),0)</f>
        <v>0</v>
      </c>
      <c r="K382">
        <f>IFERROR(HLOOKUP(K$2,[14]table_male_hkom2_inj.unk!$A$1:$K$36,7,FALSE),0)</f>
        <v>0</v>
      </c>
      <c r="L382">
        <f>IFERROR(HLOOKUP(L$2,[14]table_male_hkom2_inj.unk!$A$1:$K$36,7,FALSE),0)</f>
        <v>0</v>
      </c>
      <c r="M382">
        <f t="shared" si="127"/>
        <v>0</v>
      </c>
      <c r="S382" t="s">
        <v>75</v>
      </c>
      <c r="T382" s="5">
        <f t="shared" si="128"/>
        <v>0</v>
      </c>
      <c r="U382" s="5">
        <f t="shared" si="129"/>
        <v>0</v>
      </c>
      <c r="V382" s="5">
        <f t="shared" si="130"/>
        <v>0</v>
      </c>
      <c r="W382" s="5">
        <f t="shared" si="131"/>
        <v>0</v>
      </c>
      <c r="X382" s="5">
        <f t="shared" si="132"/>
        <v>0</v>
      </c>
      <c r="Y382" s="5">
        <f t="shared" si="133"/>
        <v>0</v>
      </c>
      <c r="Z382" s="5">
        <f t="shared" si="134"/>
        <v>0</v>
      </c>
      <c r="AA382" s="5">
        <f t="shared" si="135"/>
        <v>0</v>
      </c>
      <c r="AB382" s="5">
        <f t="shared" si="116"/>
        <v>0</v>
      </c>
    </row>
    <row r="383" spans="1:29" x14ac:dyDescent="0.25">
      <c r="D383" t="s">
        <v>76</v>
      </c>
      <c r="E383" s="64"/>
      <c r="F383" s="64"/>
      <c r="G383">
        <f>IFERROR(HLOOKUP(G$2,[14]table_male_hkom2_inj.unk!$A$1:$K$36,8,FALSE),0)</f>
        <v>0</v>
      </c>
      <c r="H383">
        <f>IFERROR(HLOOKUP(H$2,[14]table_male_hkom2_inj.unk!$A$1:$K$36,8,FALSE),0)</f>
        <v>0</v>
      </c>
      <c r="I383">
        <f>IFERROR(HLOOKUP(I$2,[14]table_male_hkom2_inj.unk!$A$1:$K$36,8,FALSE),0)</f>
        <v>0</v>
      </c>
      <c r="J383">
        <f>IFERROR(HLOOKUP(J$2,[14]table_male_hkom2_inj.unk!$A$1:$K$36,8,FALSE),0)</f>
        <v>0</v>
      </c>
      <c r="K383">
        <f>IFERROR(HLOOKUP(K$2,[14]table_male_hkom2_inj.unk!$A$1:$K$36,8,FALSE),0)</f>
        <v>0</v>
      </c>
      <c r="L383">
        <f>IFERROR(HLOOKUP(L$2,[14]table_male_hkom2_inj.unk!$A$1:$K$36,8,FALSE),0)</f>
        <v>0</v>
      </c>
      <c r="M383">
        <f t="shared" si="127"/>
        <v>0</v>
      </c>
      <c r="S383" t="s">
        <v>76</v>
      </c>
      <c r="T383" s="5">
        <f t="shared" si="128"/>
        <v>0</v>
      </c>
      <c r="U383" s="5">
        <f t="shared" si="129"/>
        <v>0</v>
      </c>
      <c r="V383" s="5">
        <f t="shared" si="130"/>
        <v>0</v>
      </c>
      <c r="W383" s="5">
        <f t="shared" si="131"/>
        <v>0</v>
      </c>
      <c r="X383" s="5">
        <f t="shared" si="132"/>
        <v>0</v>
      </c>
      <c r="Y383" s="5">
        <f t="shared" si="133"/>
        <v>0</v>
      </c>
      <c r="Z383" s="5">
        <f t="shared" si="134"/>
        <v>0</v>
      </c>
      <c r="AA383" s="5">
        <f t="shared" si="135"/>
        <v>0</v>
      </c>
      <c r="AB383" s="5">
        <f t="shared" si="116"/>
        <v>0</v>
      </c>
    </row>
    <row r="384" spans="1:29" x14ac:dyDescent="0.25">
      <c r="D384" t="s">
        <v>77</v>
      </c>
      <c r="E384" s="64"/>
      <c r="F384" s="64"/>
      <c r="G384">
        <f>IFERROR(HLOOKUP(G$2,[14]table_male_hkom2_inj.unk!$A$1:$K$36,9,FALSE),0)</f>
        <v>0</v>
      </c>
      <c r="H384">
        <f>IFERROR(HLOOKUP(H$2,[14]table_male_hkom2_inj.unk!$A$1:$K$36,9,FALSE),0)</f>
        <v>0</v>
      </c>
      <c r="I384">
        <f>IFERROR(HLOOKUP(I$2,[14]table_male_hkom2_inj.unk!$A$1:$K$36,9,FALSE),0)</f>
        <v>0</v>
      </c>
      <c r="J384">
        <f>IFERROR(HLOOKUP(J$2,[14]table_male_hkom2_inj.unk!$A$1:$K$36,9,FALSE),0)</f>
        <v>0</v>
      </c>
      <c r="K384">
        <f>IFERROR(HLOOKUP(K$2,[14]table_male_hkom2_inj.unk!$A$1:$K$36,9,FALSE),0)</f>
        <v>0</v>
      </c>
      <c r="L384">
        <f>IFERROR(HLOOKUP(L$2,[14]table_male_hkom2_inj.unk!$A$1:$K$36,9,FALSE),0)</f>
        <v>0</v>
      </c>
      <c r="M384">
        <f t="shared" si="127"/>
        <v>0</v>
      </c>
      <c r="S384" t="s">
        <v>77</v>
      </c>
      <c r="T384" s="5">
        <f t="shared" si="128"/>
        <v>0</v>
      </c>
      <c r="U384" s="5">
        <f t="shared" si="129"/>
        <v>0</v>
      </c>
      <c r="V384" s="5">
        <f t="shared" si="130"/>
        <v>0</v>
      </c>
      <c r="W384" s="5">
        <f t="shared" si="131"/>
        <v>0</v>
      </c>
      <c r="X384" s="5">
        <f t="shared" si="132"/>
        <v>0</v>
      </c>
      <c r="Y384" s="5">
        <f t="shared" si="133"/>
        <v>0</v>
      </c>
      <c r="Z384" s="5">
        <f t="shared" si="134"/>
        <v>0</v>
      </c>
      <c r="AA384" s="5">
        <f t="shared" si="135"/>
        <v>0</v>
      </c>
      <c r="AB384" s="5">
        <f t="shared" si="116"/>
        <v>0</v>
      </c>
    </row>
    <row r="385" spans="4:28" x14ac:dyDescent="0.25">
      <c r="D385" t="s">
        <v>78</v>
      </c>
      <c r="E385" s="64"/>
      <c r="F385" s="64"/>
      <c r="G385">
        <f>IFERROR(HLOOKUP(G$2,[14]table_male_hkom2_inj.unk!$A$1:$K$36,10,FALSE),0)</f>
        <v>0</v>
      </c>
      <c r="H385">
        <f>IFERROR(HLOOKUP(H$2,[14]table_male_hkom2_inj.unk!$A$1:$K$36,10,FALSE),0)</f>
        <v>0</v>
      </c>
      <c r="I385">
        <f>IFERROR(HLOOKUP(I$2,[14]table_male_hkom2_inj.unk!$A$1:$K$36,10,FALSE),0)</f>
        <v>0</v>
      </c>
      <c r="J385">
        <f>IFERROR(HLOOKUP(J$2,[14]table_male_hkom2_inj.unk!$A$1:$K$36,10,FALSE),0)</f>
        <v>0</v>
      </c>
      <c r="K385">
        <f>IFERROR(HLOOKUP(K$2,[14]table_male_hkom2_inj.unk!$A$1:$K$36,10,FALSE),0)</f>
        <v>0</v>
      </c>
      <c r="L385">
        <f>IFERROR(HLOOKUP(L$2,[14]table_male_hkom2_inj.unk!$A$1:$K$36,10,FALSE),0)</f>
        <v>0</v>
      </c>
      <c r="M385">
        <f t="shared" si="127"/>
        <v>0</v>
      </c>
      <c r="S385" t="s">
        <v>78</v>
      </c>
      <c r="T385" s="5">
        <f t="shared" si="128"/>
        <v>0</v>
      </c>
      <c r="U385" s="5">
        <f t="shared" si="129"/>
        <v>0</v>
      </c>
      <c r="V385" s="5">
        <f t="shared" si="130"/>
        <v>0</v>
      </c>
      <c r="W385" s="5">
        <f t="shared" si="131"/>
        <v>0</v>
      </c>
      <c r="X385" s="5">
        <f t="shared" si="132"/>
        <v>0</v>
      </c>
      <c r="Y385" s="5">
        <f t="shared" si="133"/>
        <v>0</v>
      </c>
      <c r="Z385" s="5">
        <f t="shared" si="134"/>
        <v>0</v>
      </c>
      <c r="AA385" s="5">
        <f t="shared" si="135"/>
        <v>0</v>
      </c>
      <c r="AB385" s="5">
        <f t="shared" si="116"/>
        <v>0</v>
      </c>
    </row>
    <row r="386" spans="4:28" x14ac:dyDescent="0.25">
      <c r="D386" t="s">
        <v>79</v>
      </c>
      <c r="E386" s="64"/>
      <c r="F386" s="64"/>
      <c r="G386">
        <f>IFERROR(HLOOKUP(G$2,[14]table_male_hkom2_inj.unk!$A$1:$K$36,11,FALSE),0)</f>
        <v>0</v>
      </c>
      <c r="H386">
        <f>IFERROR(HLOOKUP(H$2,[14]table_male_hkom2_inj.unk!$A$1:$K$36,11,FALSE),0)</f>
        <v>0</v>
      </c>
      <c r="I386">
        <f>IFERROR(HLOOKUP(I$2,[14]table_male_hkom2_inj.unk!$A$1:$K$36,11,FALSE),0)</f>
        <v>0</v>
      </c>
      <c r="J386">
        <f>IFERROR(HLOOKUP(J$2,[14]table_male_hkom2_inj.unk!$A$1:$K$36,11,FALSE),0)</f>
        <v>0</v>
      </c>
      <c r="K386">
        <f>IFERROR(HLOOKUP(K$2,[14]table_male_hkom2_inj.unk!$A$1:$K$36,11,FALSE),0)</f>
        <v>0</v>
      </c>
      <c r="L386">
        <f>IFERROR(HLOOKUP(L$2,[14]table_male_hkom2_inj.unk!$A$1:$K$36,11,FALSE),0)</f>
        <v>0</v>
      </c>
      <c r="M386">
        <f t="shared" si="127"/>
        <v>0</v>
      </c>
      <c r="S386" t="s">
        <v>79</v>
      </c>
      <c r="T386" s="5">
        <f t="shared" si="128"/>
        <v>0</v>
      </c>
      <c r="U386" s="5">
        <f t="shared" si="129"/>
        <v>0</v>
      </c>
      <c r="V386" s="5">
        <f t="shared" si="130"/>
        <v>0</v>
      </c>
      <c r="W386" s="5">
        <f t="shared" si="131"/>
        <v>0</v>
      </c>
      <c r="X386" s="5">
        <f t="shared" si="132"/>
        <v>0</v>
      </c>
      <c r="Y386" s="5">
        <f t="shared" si="133"/>
        <v>0</v>
      </c>
      <c r="Z386" s="5">
        <f t="shared" si="134"/>
        <v>0</v>
      </c>
      <c r="AA386" s="5">
        <f t="shared" si="135"/>
        <v>0</v>
      </c>
      <c r="AB386" s="5">
        <f t="shared" si="116"/>
        <v>0</v>
      </c>
    </row>
    <row r="387" spans="4:28" x14ac:dyDescent="0.25">
      <c r="D387" t="s">
        <v>80</v>
      </c>
      <c r="E387" s="64"/>
      <c r="F387" s="64"/>
      <c r="G387">
        <f>IFERROR(HLOOKUP(G$2,[14]table_male_hkom2_inj.unk!$A$1:$K$36,12,FALSE),0)</f>
        <v>0</v>
      </c>
      <c r="H387">
        <f>IFERROR(HLOOKUP(H$2,[14]table_male_hkom2_inj.unk!$A$1:$K$36,12,FALSE),0)</f>
        <v>0</v>
      </c>
      <c r="I387">
        <f>IFERROR(HLOOKUP(I$2,[14]table_male_hkom2_inj.unk!$A$1:$K$36,12,FALSE),0)</f>
        <v>0</v>
      </c>
      <c r="J387">
        <f>IFERROR(HLOOKUP(J$2,[14]table_male_hkom2_inj.unk!$A$1:$K$36,12,FALSE),0)</f>
        <v>0</v>
      </c>
      <c r="K387">
        <f>IFERROR(HLOOKUP(K$2,[14]table_male_hkom2_inj.unk!$A$1:$K$36,12,FALSE),0)</f>
        <v>0</v>
      </c>
      <c r="L387">
        <f>IFERROR(HLOOKUP(L$2,[14]table_male_hkom2_inj.unk!$A$1:$K$36,12,FALSE),0)</f>
        <v>0</v>
      </c>
      <c r="M387">
        <f t="shared" si="127"/>
        <v>0</v>
      </c>
      <c r="S387" t="s">
        <v>80</v>
      </c>
      <c r="T387" s="5">
        <f t="shared" si="128"/>
        <v>0</v>
      </c>
      <c r="U387" s="5">
        <f t="shared" si="129"/>
        <v>0</v>
      </c>
      <c r="V387" s="5">
        <f t="shared" si="130"/>
        <v>0</v>
      </c>
      <c r="W387" s="5">
        <f t="shared" si="131"/>
        <v>0</v>
      </c>
      <c r="X387" s="5">
        <f t="shared" si="132"/>
        <v>0</v>
      </c>
      <c r="Y387" s="5">
        <f t="shared" si="133"/>
        <v>0</v>
      </c>
      <c r="Z387" s="5">
        <f t="shared" si="134"/>
        <v>0</v>
      </c>
      <c r="AA387" s="5">
        <f t="shared" si="135"/>
        <v>0</v>
      </c>
      <c r="AB387" s="5">
        <f t="shared" si="116"/>
        <v>0</v>
      </c>
    </row>
    <row r="388" spans="4:28" x14ac:dyDescent="0.25">
      <c r="D388" t="s">
        <v>81</v>
      </c>
      <c r="E388" s="64"/>
      <c r="F388" s="64"/>
      <c r="G388">
        <f>IFERROR(HLOOKUP(G$2,[14]table_male_hkom2_inj.unk!$A$1:$K$36,13,FALSE),0)</f>
        <v>0</v>
      </c>
      <c r="H388">
        <f>IFERROR(HLOOKUP(H$2,[14]table_male_hkom2_inj.unk!$A$1:$K$36,13,FALSE),0)</f>
        <v>0</v>
      </c>
      <c r="I388">
        <f>IFERROR(HLOOKUP(I$2,[14]table_male_hkom2_inj.unk!$A$1:$K$36,13,FALSE),0)</f>
        <v>0</v>
      </c>
      <c r="J388">
        <f>IFERROR(HLOOKUP(J$2,[14]table_male_hkom2_inj.unk!$A$1:$K$36,13,FALSE),0)</f>
        <v>0</v>
      </c>
      <c r="K388">
        <f>IFERROR(HLOOKUP(K$2,[14]table_male_hkom2_inj.unk!$A$1:$K$36,13,FALSE),0)</f>
        <v>0</v>
      </c>
      <c r="L388">
        <f>IFERROR(HLOOKUP(L$2,[14]table_male_hkom2_inj.unk!$A$1:$K$36,13,FALSE),0)</f>
        <v>0</v>
      </c>
      <c r="M388">
        <f t="shared" si="127"/>
        <v>0</v>
      </c>
      <c r="S388" t="s">
        <v>81</v>
      </c>
      <c r="T388" s="5">
        <f t="shared" si="128"/>
        <v>0</v>
      </c>
      <c r="U388" s="5">
        <f t="shared" si="129"/>
        <v>0</v>
      </c>
      <c r="V388" s="5">
        <f t="shared" si="130"/>
        <v>0</v>
      </c>
      <c r="W388" s="5">
        <f t="shared" si="131"/>
        <v>0</v>
      </c>
      <c r="X388" s="5">
        <f t="shared" si="132"/>
        <v>0</v>
      </c>
      <c r="Y388" s="5">
        <f t="shared" si="133"/>
        <v>0</v>
      </c>
      <c r="Z388" s="5">
        <f t="shared" si="134"/>
        <v>0</v>
      </c>
      <c r="AA388" s="5">
        <f t="shared" si="135"/>
        <v>0</v>
      </c>
      <c r="AB388" s="5">
        <f t="shared" si="116"/>
        <v>0</v>
      </c>
    </row>
    <row r="389" spans="4:28" x14ac:dyDescent="0.25">
      <c r="D389" t="s">
        <v>82</v>
      </c>
      <c r="E389" s="64"/>
      <c r="F389" s="64"/>
      <c r="G389">
        <f>IFERROR(HLOOKUP(G$2,[14]table_male_hkom2_inj.unk!$A$1:$K$36,14,FALSE),0)</f>
        <v>0</v>
      </c>
      <c r="H389">
        <f>IFERROR(HLOOKUP(H$2,[14]table_male_hkom2_inj.unk!$A$1:$K$36,14,FALSE),0)</f>
        <v>0</v>
      </c>
      <c r="I389">
        <f>IFERROR(HLOOKUP(I$2,[14]table_male_hkom2_inj.unk!$A$1:$K$36,14,FALSE),0)</f>
        <v>0</v>
      </c>
      <c r="J389">
        <f>IFERROR(HLOOKUP(J$2,[14]table_male_hkom2_inj.unk!$A$1:$K$36,14,FALSE),0)</f>
        <v>0</v>
      </c>
      <c r="K389">
        <f>IFERROR(HLOOKUP(K$2,[14]table_male_hkom2_inj.unk!$A$1:$K$36,14,FALSE),0)</f>
        <v>0</v>
      </c>
      <c r="L389">
        <f>IFERROR(HLOOKUP(L$2,[14]table_male_hkom2_inj.unk!$A$1:$K$36,14,FALSE),0)</f>
        <v>0</v>
      </c>
      <c r="M389">
        <f t="shared" si="127"/>
        <v>0</v>
      </c>
      <c r="S389" t="s">
        <v>82</v>
      </c>
      <c r="T389" s="5">
        <f t="shared" si="128"/>
        <v>0</v>
      </c>
      <c r="U389" s="5">
        <f t="shared" si="129"/>
        <v>0</v>
      </c>
      <c r="V389" s="5">
        <f t="shared" si="130"/>
        <v>0</v>
      </c>
      <c r="W389" s="5">
        <f t="shared" si="131"/>
        <v>0</v>
      </c>
      <c r="X389" s="5">
        <f t="shared" si="132"/>
        <v>0</v>
      </c>
      <c r="Y389" s="5">
        <f t="shared" si="133"/>
        <v>0</v>
      </c>
      <c r="Z389" s="5">
        <f t="shared" si="134"/>
        <v>0</v>
      </c>
      <c r="AA389" s="5">
        <f t="shared" si="135"/>
        <v>0</v>
      </c>
      <c r="AB389" s="5">
        <f t="shared" si="116"/>
        <v>0</v>
      </c>
    </row>
    <row r="390" spans="4:28" x14ac:dyDescent="0.25">
      <c r="D390" t="s">
        <v>83</v>
      </c>
      <c r="E390" s="64"/>
      <c r="F390" s="64"/>
      <c r="G390">
        <f>IFERROR(HLOOKUP(G$2,[14]table_male_hkom2_inj.unk!$A$1:$K$36,15,FALSE),0)</f>
        <v>0</v>
      </c>
      <c r="H390">
        <f>IFERROR(HLOOKUP(H$2,[14]table_male_hkom2_inj.unk!$A$1:$K$36,15,FALSE),0)</f>
        <v>0</v>
      </c>
      <c r="I390">
        <f>IFERROR(HLOOKUP(I$2,[14]table_male_hkom2_inj.unk!$A$1:$K$36,15,FALSE),0)</f>
        <v>0</v>
      </c>
      <c r="J390">
        <f>IFERROR(HLOOKUP(J$2,[14]table_male_hkom2_inj.unk!$A$1:$K$36,15,FALSE),0)</f>
        <v>0</v>
      </c>
      <c r="K390">
        <f>IFERROR(HLOOKUP(K$2,[14]table_male_hkom2_inj.unk!$A$1:$K$36,15,FALSE),0)</f>
        <v>0</v>
      </c>
      <c r="L390">
        <f>IFERROR(HLOOKUP(L$2,[14]table_male_hkom2_inj.unk!$A$1:$K$36,15,FALSE),0)</f>
        <v>0</v>
      </c>
      <c r="M390">
        <f t="shared" si="127"/>
        <v>0</v>
      </c>
      <c r="S390" t="s">
        <v>83</v>
      </c>
      <c r="T390" s="5">
        <f t="shared" si="128"/>
        <v>0</v>
      </c>
      <c r="U390" s="5">
        <f t="shared" si="129"/>
        <v>0</v>
      </c>
      <c r="V390" s="5">
        <f t="shared" si="130"/>
        <v>0</v>
      </c>
      <c r="W390" s="5">
        <f t="shared" si="131"/>
        <v>0</v>
      </c>
      <c r="X390" s="5">
        <f t="shared" si="132"/>
        <v>0</v>
      </c>
      <c r="Y390" s="5">
        <f t="shared" si="133"/>
        <v>0</v>
      </c>
      <c r="Z390" s="5">
        <f t="shared" si="134"/>
        <v>0</v>
      </c>
      <c r="AA390" s="5">
        <f t="shared" si="135"/>
        <v>0</v>
      </c>
      <c r="AB390" s="5">
        <f t="shared" si="116"/>
        <v>0</v>
      </c>
    </row>
    <row r="391" spans="4:28" x14ac:dyDescent="0.25">
      <c r="D391" t="s">
        <v>84</v>
      </c>
      <c r="E391" s="64"/>
      <c r="F391" s="64"/>
      <c r="G391">
        <f>IFERROR(HLOOKUP(G$2,[14]table_male_hkom2_inj.unk!$A$1:$K$36,16,FALSE),0)</f>
        <v>0</v>
      </c>
      <c r="H391">
        <f>IFERROR(HLOOKUP(H$2,[14]table_male_hkom2_inj.unk!$A$1:$K$36,16,FALSE),0)</f>
        <v>0</v>
      </c>
      <c r="I391">
        <f>IFERROR(HLOOKUP(I$2,[14]table_male_hkom2_inj.unk!$A$1:$K$36,16,FALSE),0)</f>
        <v>0</v>
      </c>
      <c r="J391">
        <f>IFERROR(HLOOKUP(J$2,[14]table_male_hkom2_inj.unk!$A$1:$K$36,16,FALSE),0)</f>
        <v>0</v>
      </c>
      <c r="K391">
        <f>IFERROR(HLOOKUP(K$2,[14]table_male_hkom2_inj.unk!$A$1:$K$36,16,FALSE),0)</f>
        <v>0</v>
      </c>
      <c r="L391">
        <f>IFERROR(HLOOKUP(L$2,[14]table_male_hkom2_inj.unk!$A$1:$K$36,16,FALSE),0)</f>
        <v>0</v>
      </c>
      <c r="M391">
        <f t="shared" si="127"/>
        <v>0</v>
      </c>
      <c r="S391" t="s">
        <v>84</v>
      </c>
      <c r="T391" s="5">
        <f t="shared" si="128"/>
        <v>0</v>
      </c>
      <c r="U391" s="5">
        <f t="shared" si="129"/>
        <v>0</v>
      </c>
      <c r="V391" s="5">
        <f t="shared" si="130"/>
        <v>0</v>
      </c>
      <c r="W391" s="5">
        <f t="shared" si="131"/>
        <v>0</v>
      </c>
      <c r="X391" s="5">
        <f t="shared" si="132"/>
        <v>0</v>
      </c>
      <c r="Y391" s="5">
        <f t="shared" si="133"/>
        <v>0</v>
      </c>
      <c r="Z391" s="5">
        <f t="shared" si="134"/>
        <v>0</v>
      </c>
      <c r="AA391" s="5">
        <f t="shared" si="135"/>
        <v>0</v>
      </c>
      <c r="AB391" s="5">
        <f t="shared" si="116"/>
        <v>0</v>
      </c>
    </row>
    <row r="392" spans="4:28" x14ac:dyDescent="0.25">
      <c r="D392" t="s">
        <v>85</v>
      </c>
      <c r="E392" s="64"/>
      <c r="F392" s="64"/>
      <c r="G392">
        <f>IFERROR(HLOOKUP(G$2,[14]table_male_hkom2_inj.unk!$A$1:$K$36,17,FALSE),0)</f>
        <v>0</v>
      </c>
      <c r="H392">
        <f>IFERROR(HLOOKUP(H$2,[14]table_male_hkom2_inj.unk!$A$1:$K$36,17,FALSE),0)</f>
        <v>0</v>
      </c>
      <c r="I392">
        <f>IFERROR(HLOOKUP(I$2,[14]table_male_hkom2_inj.unk!$A$1:$K$36,17,FALSE),0)</f>
        <v>0</v>
      </c>
      <c r="J392">
        <f>IFERROR(HLOOKUP(J$2,[14]table_male_hkom2_inj.unk!$A$1:$K$36,17,FALSE),0)</f>
        <v>0</v>
      </c>
      <c r="K392">
        <f>IFERROR(HLOOKUP(K$2,[14]table_male_hkom2_inj.unk!$A$1:$K$36,17,FALSE),0)</f>
        <v>0</v>
      </c>
      <c r="L392">
        <f>IFERROR(HLOOKUP(L$2,[14]table_male_hkom2_inj.unk!$A$1:$K$36,17,FALSE),0)</f>
        <v>0</v>
      </c>
      <c r="M392">
        <f t="shared" si="127"/>
        <v>0</v>
      </c>
      <c r="S392" t="s">
        <v>85</v>
      </c>
      <c r="T392" s="5">
        <f t="shared" si="128"/>
        <v>0</v>
      </c>
      <c r="U392" s="5">
        <f t="shared" si="129"/>
        <v>0</v>
      </c>
      <c r="V392" s="5">
        <f t="shared" si="130"/>
        <v>0</v>
      </c>
      <c r="W392" s="5">
        <f t="shared" si="131"/>
        <v>0</v>
      </c>
      <c r="X392" s="5">
        <f t="shared" si="132"/>
        <v>0</v>
      </c>
      <c r="Y392" s="5">
        <f t="shared" si="133"/>
        <v>0</v>
      </c>
      <c r="Z392" s="5">
        <f t="shared" si="134"/>
        <v>0</v>
      </c>
      <c r="AA392" s="5">
        <f t="shared" si="135"/>
        <v>0</v>
      </c>
      <c r="AB392" s="5">
        <f t="shared" si="116"/>
        <v>0</v>
      </c>
    </row>
    <row r="393" spans="4:28" x14ac:dyDescent="0.25">
      <c r="D393" t="s">
        <v>86</v>
      </c>
      <c r="E393" s="64"/>
      <c r="F393" s="64"/>
      <c r="G393">
        <f>IFERROR(HLOOKUP(G$2,[14]table_male_hkom2_inj.unk!$A$1:$K$36,18,FALSE),0)</f>
        <v>0</v>
      </c>
      <c r="H393">
        <f>IFERROR(HLOOKUP(H$2,[14]table_male_hkom2_inj.unk!$A$1:$K$36,18,FALSE),0)</f>
        <v>0</v>
      </c>
      <c r="I393">
        <f>IFERROR(HLOOKUP(I$2,[14]table_male_hkom2_inj.unk!$A$1:$K$36,18,FALSE),0)</f>
        <v>0</v>
      </c>
      <c r="J393">
        <f>IFERROR(HLOOKUP(J$2,[14]table_male_hkom2_inj.unk!$A$1:$K$36,18,FALSE),0)</f>
        <v>0</v>
      </c>
      <c r="K393">
        <f>IFERROR(HLOOKUP(K$2,[14]table_male_hkom2_inj.unk!$A$1:$K$36,18,FALSE),0)</f>
        <v>0</v>
      </c>
      <c r="L393">
        <f>IFERROR(HLOOKUP(L$2,[14]table_male_hkom2_inj.unk!$A$1:$K$36,18,FALSE),0)</f>
        <v>0</v>
      </c>
      <c r="M393">
        <f t="shared" si="127"/>
        <v>0</v>
      </c>
      <c r="S393" t="s">
        <v>86</v>
      </c>
      <c r="T393" s="5">
        <f t="shared" si="128"/>
        <v>0</v>
      </c>
      <c r="U393" s="5">
        <f t="shared" si="129"/>
        <v>0</v>
      </c>
      <c r="V393" s="5">
        <f t="shared" si="130"/>
        <v>0</v>
      </c>
      <c r="W393" s="5">
        <f t="shared" si="131"/>
        <v>0</v>
      </c>
      <c r="X393" s="5">
        <f t="shared" si="132"/>
        <v>0</v>
      </c>
      <c r="Y393" s="5">
        <f t="shared" si="133"/>
        <v>0</v>
      </c>
      <c r="Z393" s="5">
        <f t="shared" si="134"/>
        <v>0</v>
      </c>
      <c r="AA393" s="5">
        <f t="shared" si="135"/>
        <v>0</v>
      </c>
      <c r="AB393" s="5">
        <f t="shared" si="116"/>
        <v>0</v>
      </c>
    </row>
    <row r="394" spans="4:28" x14ac:dyDescent="0.25">
      <c r="D394" t="s">
        <v>87</v>
      </c>
      <c r="E394" s="64"/>
      <c r="F394" s="64"/>
      <c r="G394">
        <f>IFERROR(HLOOKUP(G$2,[14]table_male_hkom2_inj.unk!$A$1:$K$36,19,FALSE),0)</f>
        <v>0</v>
      </c>
      <c r="H394">
        <f>IFERROR(HLOOKUP(H$2,[14]table_male_hkom2_inj.unk!$A$1:$K$36,19,FALSE),0)</f>
        <v>0</v>
      </c>
      <c r="I394">
        <f>IFERROR(HLOOKUP(I$2,[14]table_male_hkom2_inj.unk!$A$1:$K$36,19,FALSE),0)</f>
        <v>0</v>
      </c>
      <c r="J394">
        <f>IFERROR(HLOOKUP(J$2,[14]table_male_hkom2_inj.unk!$A$1:$K$36,19,FALSE),0)</f>
        <v>0</v>
      </c>
      <c r="K394">
        <f>IFERROR(HLOOKUP(K$2,[14]table_male_hkom2_inj.unk!$A$1:$K$36,19,FALSE),0)</f>
        <v>0</v>
      </c>
      <c r="L394">
        <f>IFERROR(HLOOKUP(L$2,[14]table_male_hkom2_inj.unk!$A$1:$K$36,19,FALSE),0)</f>
        <v>0</v>
      </c>
      <c r="M394">
        <f t="shared" si="127"/>
        <v>0</v>
      </c>
      <c r="S394" t="s">
        <v>87</v>
      </c>
      <c r="T394" s="5">
        <f t="shared" si="128"/>
        <v>0</v>
      </c>
      <c r="U394" s="5">
        <f t="shared" si="129"/>
        <v>0</v>
      </c>
      <c r="V394" s="5">
        <f t="shared" si="130"/>
        <v>0</v>
      </c>
      <c r="W394" s="5">
        <f t="shared" si="131"/>
        <v>0</v>
      </c>
      <c r="X394" s="5">
        <f t="shared" si="132"/>
        <v>0</v>
      </c>
      <c r="Y394" s="5">
        <f t="shared" si="133"/>
        <v>0</v>
      </c>
      <c r="Z394" s="5">
        <f t="shared" si="134"/>
        <v>0</v>
      </c>
      <c r="AA394" s="5">
        <f t="shared" si="135"/>
        <v>0</v>
      </c>
      <c r="AB394" s="5">
        <f t="shared" si="116"/>
        <v>0</v>
      </c>
    </row>
    <row r="395" spans="4:28" x14ac:dyDescent="0.25">
      <c r="D395" t="s">
        <v>88</v>
      </c>
      <c r="E395" s="64"/>
      <c r="F395" s="64"/>
      <c r="G395">
        <f>IFERROR(HLOOKUP(G$2,[14]table_male_hkom2_inj.unk!$A$1:$K$36,20,FALSE),0)</f>
        <v>0</v>
      </c>
      <c r="H395">
        <f>IFERROR(HLOOKUP(H$2,[14]table_male_hkom2_inj.unk!$A$1:$K$36,20,FALSE),0)</f>
        <v>0</v>
      </c>
      <c r="I395">
        <f>IFERROR(HLOOKUP(I$2,[14]table_male_hkom2_inj.unk!$A$1:$K$36,20,FALSE),0)</f>
        <v>0</v>
      </c>
      <c r="J395">
        <f>IFERROR(HLOOKUP(J$2,[14]table_male_hkom2_inj.unk!$A$1:$K$36,20,FALSE),0)</f>
        <v>0</v>
      </c>
      <c r="K395">
        <f>IFERROR(HLOOKUP(K$2,[14]table_male_hkom2_inj.unk!$A$1:$K$36,20,FALSE),0)</f>
        <v>0</v>
      </c>
      <c r="L395">
        <f>IFERROR(HLOOKUP(L$2,[14]table_male_hkom2_inj.unk!$A$1:$K$36,20,FALSE),0)</f>
        <v>0</v>
      </c>
      <c r="M395">
        <f t="shared" si="127"/>
        <v>0</v>
      </c>
      <c r="S395" t="s">
        <v>88</v>
      </c>
      <c r="T395" s="5">
        <f t="shared" si="128"/>
        <v>0</v>
      </c>
      <c r="U395" s="5">
        <f t="shared" si="129"/>
        <v>0</v>
      </c>
      <c r="V395" s="5">
        <f t="shared" si="130"/>
        <v>0</v>
      </c>
      <c r="W395" s="5">
        <f t="shared" si="131"/>
        <v>0</v>
      </c>
      <c r="X395" s="5">
        <f t="shared" si="132"/>
        <v>0</v>
      </c>
      <c r="Y395" s="5">
        <f t="shared" si="133"/>
        <v>0</v>
      </c>
      <c r="Z395" s="5">
        <f t="shared" si="134"/>
        <v>0</v>
      </c>
      <c r="AA395" s="5">
        <f t="shared" si="135"/>
        <v>0</v>
      </c>
      <c r="AB395" s="5">
        <f t="shared" si="116"/>
        <v>0</v>
      </c>
    </row>
    <row r="396" spans="4:28" x14ac:dyDescent="0.25">
      <c r="D396" t="s">
        <v>89</v>
      </c>
      <c r="E396" s="64"/>
      <c r="F396" s="64"/>
      <c r="G396">
        <f>IFERROR(HLOOKUP(G$2,[14]table_male_hkom2_inj.unk!$A$1:$K$36,21,FALSE),0)</f>
        <v>0</v>
      </c>
      <c r="H396">
        <f>IFERROR(HLOOKUP(H$2,[14]table_male_hkom2_inj.unk!$A$1:$K$36,21,FALSE),0)</f>
        <v>0</v>
      </c>
      <c r="I396">
        <f>IFERROR(HLOOKUP(I$2,[14]table_male_hkom2_inj.unk!$A$1:$K$36,21,FALSE),0)</f>
        <v>0</v>
      </c>
      <c r="J396">
        <f>IFERROR(HLOOKUP(J$2,[14]table_male_hkom2_inj.unk!$A$1:$K$36,21,FALSE),0)</f>
        <v>0</v>
      </c>
      <c r="K396">
        <f>IFERROR(HLOOKUP(K$2,[14]table_male_hkom2_inj.unk!$A$1:$K$36,21,FALSE),0)</f>
        <v>0</v>
      </c>
      <c r="L396">
        <f>IFERROR(HLOOKUP(L$2,[14]table_male_hkom2_inj.unk!$A$1:$K$36,21,FALSE),0)</f>
        <v>0</v>
      </c>
      <c r="M396">
        <f t="shared" si="127"/>
        <v>0</v>
      </c>
      <c r="S396" t="s">
        <v>89</v>
      </c>
      <c r="T396" s="5">
        <f t="shared" si="128"/>
        <v>0</v>
      </c>
      <c r="U396" s="5">
        <f t="shared" si="129"/>
        <v>0</v>
      </c>
      <c r="V396" s="5">
        <f t="shared" si="130"/>
        <v>0</v>
      </c>
      <c r="W396" s="5">
        <f t="shared" si="131"/>
        <v>0</v>
      </c>
      <c r="X396" s="5">
        <f t="shared" si="132"/>
        <v>0</v>
      </c>
      <c r="Y396" s="5">
        <f t="shared" si="133"/>
        <v>0</v>
      </c>
      <c r="Z396" s="5">
        <f t="shared" si="134"/>
        <v>0</v>
      </c>
      <c r="AA396" s="5">
        <f t="shared" si="135"/>
        <v>0</v>
      </c>
      <c r="AB396" s="5">
        <f t="shared" si="116"/>
        <v>0</v>
      </c>
    </row>
    <row r="397" spans="4:28" x14ac:dyDescent="0.25">
      <c r="D397" t="s">
        <v>90</v>
      </c>
      <c r="E397" s="64"/>
      <c r="F397" s="64"/>
      <c r="G397">
        <f>IFERROR(HLOOKUP(G$2,[14]table_male_hkom2_inj.unk!$A$1:$K$36,22,FALSE),0)</f>
        <v>0</v>
      </c>
      <c r="H397">
        <f>IFERROR(HLOOKUP(H$2,[14]table_male_hkom2_inj.unk!$A$1:$K$36,22,FALSE),0)</f>
        <v>0</v>
      </c>
      <c r="I397">
        <f>IFERROR(HLOOKUP(I$2,[14]table_male_hkom2_inj.unk!$A$1:$K$36,22,FALSE),0)</f>
        <v>0</v>
      </c>
      <c r="J397">
        <f>IFERROR(HLOOKUP(J$2,[14]table_male_hkom2_inj.unk!$A$1:$K$36,22,FALSE),0)</f>
        <v>0</v>
      </c>
      <c r="K397">
        <f>IFERROR(HLOOKUP(K$2,[14]table_male_hkom2_inj.unk!$A$1:$K$36,22,FALSE),0)</f>
        <v>0</v>
      </c>
      <c r="L397">
        <f>IFERROR(HLOOKUP(L$2,[14]table_male_hkom2_inj.unk!$A$1:$K$36,22,FALSE),0)</f>
        <v>0</v>
      </c>
      <c r="M397">
        <f t="shared" si="127"/>
        <v>0</v>
      </c>
      <c r="S397" t="s">
        <v>90</v>
      </c>
      <c r="T397" s="5">
        <f t="shared" si="128"/>
        <v>0</v>
      </c>
      <c r="U397" s="5">
        <f t="shared" si="129"/>
        <v>0</v>
      </c>
      <c r="V397" s="5">
        <f t="shared" si="130"/>
        <v>0</v>
      </c>
      <c r="W397" s="5">
        <f t="shared" si="131"/>
        <v>0</v>
      </c>
      <c r="X397" s="5">
        <f t="shared" si="132"/>
        <v>0</v>
      </c>
      <c r="Y397" s="5">
        <f t="shared" si="133"/>
        <v>0</v>
      </c>
      <c r="Z397" s="5">
        <f t="shared" si="134"/>
        <v>0</v>
      </c>
      <c r="AA397" s="5">
        <f t="shared" si="135"/>
        <v>0</v>
      </c>
      <c r="AB397" s="5">
        <f t="shared" si="116"/>
        <v>0</v>
      </c>
    </row>
    <row r="398" spans="4:28" x14ac:dyDescent="0.25">
      <c r="D398" t="s">
        <v>91</v>
      </c>
      <c r="E398" s="64"/>
      <c r="F398" s="64"/>
      <c r="G398">
        <f>IFERROR(HLOOKUP(G$2,[14]table_male_hkom2_inj.unk!$A$1:$K$36,23,FALSE),0)</f>
        <v>0</v>
      </c>
      <c r="H398">
        <f>IFERROR(HLOOKUP(H$2,[14]table_male_hkom2_inj.unk!$A$1:$K$36,23,FALSE),0)</f>
        <v>0</v>
      </c>
      <c r="I398">
        <f>IFERROR(HLOOKUP(I$2,[14]table_male_hkom2_inj.unk!$A$1:$K$36,23,FALSE),0)</f>
        <v>0</v>
      </c>
      <c r="J398">
        <f>IFERROR(HLOOKUP(J$2,[14]table_male_hkom2_inj.unk!$A$1:$K$36,23,FALSE),0)</f>
        <v>0</v>
      </c>
      <c r="K398">
        <f>IFERROR(HLOOKUP(K$2,[14]table_male_hkom2_inj.unk!$A$1:$K$36,23,FALSE),0)</f>
        <v>0</v>
      </c>
      <c r="L398">
        <f>IFERROR(HLOOKUP(L$2,[14]table_male_hkom2_inj.unk!$A$1:$K$36,23,FALSE),0)</f>
        <v>0</v>
      </c>
      <c r="M398">
        <f t="shared" si="127"/>
        <v>0</v>
      </c>
      <c r="S398" t="s">
        <v>91</v>
      </c>
      <c r="T398" s="5">
        <f t="shared" si="128"/>
        <v>0</v>
      </c>
      <c r="U398" s="5">
        <f t="shared" si="129"/>
        <v>0</v>
      </c>
      <c r="V398" s="5">
        <f t="shared" si="130"/>
        <v>0</v>
      </c>
      <c r="W398" s="5">
        <f t="shared" si="131"/>
        <v>0</v>
      </c>
      <c r="X398" s="5">
        <f t="shared" si="132"/>
        <v>0</v>
      </c>
      <c r="Y398" s="5">
        <f t="shared" si="133"/>
        <v>0</v>
      </c>
      <c r="Z398" s="5">
        <f t="shared" si="134"/>
        <v>0</v>
      </c>
      <c r="AA398" s="5">
        <f t="shared" si="135"/>
        <v>0</v>
      </c>
      <c r="AB398" s="5">
        <f t="shared" si="116"/>
        <v>0</v>
      </c>
    </row>
    <row r="399" spans="4:28" x14ac:dyDescent="0.25">
      <c r="D399" t="s">
        <v>92</v>
      </c>
      <c r="E399" s="64"/>
      <c r="F399" s="64"/>
      <c r="G399">
        <f>IFERROR(HLOOKUP(G$2,[14]table_male_hkom2_inj.unk!$A$1:$K$36,24,FALSE),0)</f>
        <v>0</v>
      </c>
      <c r="H399">
        <f>IFERROR(HLOOKUP(H$2,[14]table_male_hkom2_inj.unk!$A$1:$K$36,24,FALSE),0)</f>
        <v>0</v>
      </c>
      <c r="I399">
        <f>IFERROR(HLOOKUP(I$2,[14]table_male_hkom2_inj.unk!$A$1:$K$36,24,FALSE),0)</f>
        <v>0</v>
      </c>
      <c r="J399">
        <f>IFERROR(HLOOKUP(J$2,[14]table_male_hkom2_inj.unk!$A$1:$K$36,24,FALSE),0)</f>
        <v>0</v>
      </c>
      <c r="K399">
        <f>IFERROR(HLOOKUP(K$2,[14]table_male_hkom2_inj.unk!$A$1:$K$36,24,FALSE),0)</f>
        <v>0</v>
      </c>
      <c r="L399">
        <f>IFERROR(HLOOKUP(L$2,[14]table_male_hkom2_inj.unk!$A$1:$K$36,24,FALSE),0)</f>
        <v>0</v>
      </c>
      <c r="M399">
        <f t="shared" si="127"/>
        <v>0</v>
      </c>
      <c r="S399" t="s">
        <v>92</v>
      </c>
      <c r="T399" s="5">
        <f t="shared" si="128"/>
        <v>0</v>
      </c>
      <c r="U399" s="5">
        <f t="shared" si="129"/>
        <v>0</v>
      </c>
      <c r="V399" s="5">
        <f t="shared" si="130"/>
        <v>0</v>
      </c>
      <c r="W399" s="5">
        <f t="shared" si="131"/>
        <v>0</v>
      </c>
      <c r="X399" s="5">
        <f t="shared" si="132"/>
        <v>0</v>
      </c>
      <c r="Y399" s="5">
        <f t="shared" si="133"/>
        <v>0</v>
      </c>
      <c r="Z399" s="5">
        <f t="shared" si="134"/>
        <v>0</v>
      </c>
      <c r="AA399" s="5">
        <f t="shared" si="135"/>
        <v>0</v>
      </c>
      <c r="AB399" s="5">
        <f t="shared" si="116"/>
        <v>0</v>
      </c>
    </row>
    <row r="400" spans="4:28" x14ac:dyDescent="0.25">
      <c r="D400" t="s">
        <v>93</v>
      </c>
      <c r="E400" s="64"/>
      <c r="F400" s="64"/>
      <c r="G400">
        <f>IFERROR(HLOOKUP(G$2,[14]table_male_hkom2_inj.unk!$A$1:$K$36,25,FALSE),0)</f>
        <v>0</v>
      </c>
      <c r="H400">
        <f>IFERROR(HLOOKUP(H$2,[14]table_male_hkom2_inj.unk!$A$1:$K$36,25,FALSE),0)</f>
        <v>0</v>
      </c>
      <c r="I400">
        <f>IFERROR(HLOOKUP(I$2,[14]table_male_hkom2_inj.unk!$A$1:$K$36,25,FALSE),0)</f>
        <v>0</v>
      </c>
      <c r="J400">
        <f>IFERROR(HLOOKUP(J$2,[14]table_male_hkom2_inj.unk!$A$1:$K$36,25,FALSE),0)</f>
        <v>0</v>
      </c>
      <c r="K400">
        <f>IFERROR(HLOOKUP(K$2,[14]table_male_hkom2_inj.unk!$A$1:$K$36,25,FALSE),0)</f>
        <v>0</v>
      </c>
      <c r="L400">
        <f>IFERROR(HLOOKUP(L$2,[14]table_male_hkom2_inj.unk!$A$1:$K$36,25,FALSE),0)</f>
        <v>0</v>
      </c>
      <c r="M400">
        <f t="shared" si="127"/>
        <v>0</v>
      </c>
      <c r="S400" t="s">
        <v>93</v>
      </c>
      <c r="T400" s="5">
        <f t="shared" si="128"/>
        <v>0</v>
      </c>
      <c r="U400" s="5">
        <f t="shared" si="129"/>
        <v>0</v>
      </c>
      <c r="V400" s="5">
        <f t="shared" si="130"/>
        <v>0</v>
      </c>
      <c r="W400" s="5">
        <f t="shared" si="131"/>
        <v>0</v>
      </c>
      <c r="X400" s="5">
        <f t="shared" si="132"/>
        <v>0</v>
      </c>
      <c r="Y400" s="5">
        <f t="shared" si="133"/>
        <v>0</v>
      </c>
      <c r="Z400" s="5">
        <f t="shared" si="134"/>
        <v>0</v>
      </c>
      <c r="AA400" s="5">
        <f t="shared" si="135"/>
        <v>0</v>
      </c>
      <c r="AB400" s="5">
        <f t="shared" si="116"/>
        <v>0</v>
      </c>
    </row>
    <row r="401" spans="1:29" x14ac:dyDescent="0.25">
      <c r="D401" t="s">
        <v>94</v>
      </c>
      <c r="E401" s="64"/>
      <c r="F401" s="64"/>
      <c r="G401">
        <f>IFERROR(HLOOKUP(G$2,[14]table_male_hkom2_inj.unk!$A$1:$K$36,26,FALSE),0)</f>
        <v>0</v>
      </c>
      <c r="H401">
        <f>IFERROR(HLOOKUP(H$2,[14]table_male_hkom2_inj.unk!$A$1:$K$36,26,FALSE),0)</f>
        <v>0</v>
      </c>
      <c r="I401">
        <f>IFERROR(HLOOKUP(I$2,[14]table_male_hkom2_inj.unk!$A$1:$K$36,26,FALSE),0)</f>
        <v>0</v>
      </c>
      <c r="J401">
        <f>IFERROR(HLOOKUP(J$2,[14]table_male_hkom2_inj.unk!$A$1:$K$36,26,FALSE),0)</f>
        <v>0</v>
      </c>
      <c r="K401">
        <f>IFERROR(HLOOKUP(K$2,[14]table_male_hkom2_inj.unk!$A$1:$K$36,26,FALSE),0)</f>
        <v>0</v>
      </c>
      <c r="L401">
        <f>IFERROR(HLOOKUP(L$2,[14]table_male_hkom2_inj.unk!$A$1:$K$36,26,FALSE),0)</f>
        <v>0</v>
      </c>
      <c r="M401">
        <f t="shared" si="127"/>
        <v>0</v>
      </c>
      <c r="S401" t="s">
        <v>94</v>
      </c>
      <c r="T401" s="5">
        <f t="shared" si="128"/>
        <v>0</v>
      </c>
      <c r="U401" s="5">
        <f t="shared" si="129"/>
        <v>0</v>
      </c>
      <c r="V401" s="5">
        <f t="shared" si="130"/>
        <v>0</v>
      </c>
      <c r="W401" s="5">
        <f t="shared" si="131"/>
        <v>0</v>
      </c>
      <c r="X401" s="5">
        <f t="shared" si="132"/>
        <v>0</v>
      </c>
      <c r="Y401" s="5">
        <f t="shared" si="133"/>
        <v>0</v>
      </c>
      <c r="Z401" s="5">
        <f t="shared" si="134"/>
        <v>0</v>
      </c>
      <c r="AA401" s="5">
        <f t="shared" si="135"/>
        <v>0</v>
      </c>
      <c r="AB401" s="5">
        <f t="shared" si="116"/>
        <v>0</v>
      </c>
    </row>
    <row r="402" spans="1:29" x14ac:dyDescent="0.25">
      <c r="D402" t="s">
        <v>95</v>
      </c>
      <c r="E402" s="64"/>
      <c r="F402" s="64"/>
      <c r="G402">
        <f>IFERROR(HLOOKUP(G$2,[14]table_male_hkom2_inj.unk!$A$1:$K$36,27,FALSE),0)</f>
        <v>0</v>
      </c>
      <c r="H402">
        <f>IFERROR(HLOOKUP(H$2,[14]table_male_hkom2_inj.unk!$A$1:$K$36,27,FALSE),0)</f>
        <v>0</v>
      </c>
      <c r="I402">
        <f>IFERROR(HLOOKUP(I$2,[14]table_male_hkom2_inj.unk!$A$1:$K$36,27,FALSE),0)</f>
        <v>0</v>
      </c>
      <c r="J402">
        <f>IFERROR(HLOOKUP(J$2,[14]table_male_hkom2_inj.unk!$A$1:$K$36,27,FALSE),0)</f>
        <v>0</v>
      </c>
      <c r="K402">
        <f>IFERROR(HLOOKUP(K$2,[14]table_male_hkom2_inj.unk!$A$1:$K$36,27,FALSE),0)</f>
        <v>0</v>
      </c>
      <c r="L402">
        <f>IFERROR(HLOOKUP(L$2,[14]table_male_hkom2_inj.unk!$A$1:$K$36,27,FALSE),0)</f>
        <v>0</v>
      </c>
      <c r="M402">
        <f t="shared" si="127"/>
        <v>0</v>
      </c>
      <c r="S402" t="s">
        <v>95</v>
      </c>
      <c r="T402" s="5">
        <f t="shared" si="128"/>
        <v>0</v>
      </c>
      <c r="U402" s="5">
        <f t="shared" si="129"/>
        <v>0</v>
      </c>
      <c r="V402" s="5">
        <f t="shared" si="130"/>
        <v>0</v>
      </c>
      <c r="W402" s="5">
        <f t="shared" si="131"/>
        <v>0</v>
      </c>
      <c r="X402" s="5">
        <f t="shared" si="132"/>
        <v>0</v>
      </c>
      <c r="Y402" s="5">
        <f t="shared" si="133"/>
        <v>0</v>
      </c>
      <c r="Z402" s="5">
        <f t="shared" si="134"/>
        <v>0</v>
      </c>
      <c r="AA402" s="5">
        <f t="shared" si="135"/>
        <v>0</v>
      </c>
      <c r="AB402" s="5">
        <f t="shared" si="116"/>
        <v>0</v>
      </c>
    </row>
    <row r="403" spans="1:29" x14ac:dyDescent="0.25">
      <c r="D403" t="s">
        <v>96</v>
      </c>
      <c r="E403" s="64"/>
      <c r="F403" s="64"/>
      <c r="G403">
        <f>IFERROR(HLOOKUP(G$2,[14]table_male_hkom2_inj.unk!$A$1:$K$36,28,FALSE),0)</f>
        <v>0</v>
      </c>
      <c r="H403">
        <f>IFERROR(HLOOKUP(H$2,[14]table_male_hkom2_inj.unk!$A$1:$K$36,28,FALSE),0)</f>
        <v>0</v>
      </c>
      <c r="I403">
        <f>IFERROR(HLOOKUP(I$2,[14]table_male_hkom2_inj.unk!$A$1:$K$36,28,FALSE),0)</f>
        <v>0</v>
      </c>
      <c r="J403">
        <f>IFERROR(HLOOKUP(J$2,[14]table_male_hkom2_inj.unk!$A$1:$K$36,28,FALSE),0)</f>
        <v>0</v>
      </c>
      <c r="K403">
        <f>IFERROR(HLOOKUP(K$2,[14]table_male_hkom2_inj.unk!$A$1:$K$36,28,FALSE),0)</f>
        <v>0</v>
      </c>
      <c r="L403">
        <f>IFERROR(HLOOKUP(L$2,[14]table_male_hkom2_inj.unk!$A$1:$K$36,28,FALSE),0)</f>
        <v>0</v>
      </c>
      <c r="M403">
        <f t="shared" si="127"/>
        <v>0</v>
      </c>
      <c r="S403" t="s">
        <v>96</v>
      </c>
      <c r="T403" s="5">
        <f t="shared" si="128"/>
        <v>0</v>
      </c>
      <c r="U403" s="5">
        <f t="shared" si="129"/>
        <v>0</v>
      </c>
      <c r="V403" s="5">
        <f t="shared" si="130"/>
        <v>0</v>
      </c>
      <c r="W403" s="5">
        <f t="shared" si="131"/>
        <v>0</v>
      </c>
      <c r="X403" s="5">
        <f t="shared" si="132"/>
        <v>0</v>
      </c>
      <c r="Y403" s="5">
        <f t="shared" si="133"/>
        <v>0</v>
      </c>
      <c r="Z403" s="5">
        <f t="shared" si="134"/>
        <v>0</v>
      </c>
      <c r="AA403" s="5">
        <f t="shared" si="135"/>
        <v>0</v>
      </c>
      <c r="AB403" s="5">
        <f t="shared" si="116"/>
        <v>0</v>
      </c>
    </row>
    <row r="404" spans="1:29" x14ac:dyDescent="0.25">
      <c r="D404" t="s">
        <v>97</v>
      </c>
      <c r="E404" s="64"/>
      <c r="F404" s="64"/>
      <c r="G404">
        <f>IFERROR(HLOOKUP(G$2,[14]table_male_hkom2_inj.unk!$A$1:$K$36,29,FALSE),0)</f>
        <v>0</v>
      </c>
      <c r="H404">
        <f>IFERROR(HLOOKUP(H$2,[14]table_male_hkom2_inj.unk!$A$1:$K$36,29,FALSE),0)</f>
        <v>0</v>
      </c>
      <c r="I404">
        <f>IFERROR(HLOOKUP(I$2,[14]table_male_hkom2_inj.unk!$A$1:$K$36,29,FALSE),0)</f>
        <v>0</v>
      </c>
      <c r="J404">
        <f>IFERROR(HLOOKUP(J$2,[14]table_male_hkom2_inj.unk!$A$1:$K$36,29,FALSE),0)</f>
        <v>0</v>
      </c>
      <c r="K404">
        <f>IFERROR(HLOOKUP(K$2,[14]table_male_hkom2_inj.unk!$A$1:$K$36,29,FALSE),0)</f>
        <v>0</v>
      </c>
      <c r="L404">
        <f>IFERROR(HLOOKUP(L$2,[14]table_male_hkom2_inj.unk!$A$1:$K$36,29,FALSE),0)</f>
        <v>0</v>
      </c>
      <c r="M404">
        <f t="shared" si="127"/>
        <v>0</v>
      </c>
      <c r="S404" t="s">
        <v>97</v>
      </c>
      <c r="T404" s="5">
        <f t="shared" si="128"/>
        <v>0</v>
      </c>
      <c r="U404" s="5">
        <f t="shared" si="129"/>
        <v>0</v>
      </c>
      <c r="V404" s="5">
        <f t="shared" si="130"/>
        <v>0</v>
      </c>
      <c r="W404" s="5">
        <f t="shared" si="131"/>
        <v>0</v>
      </c>
      <c r="X404" s="5">
        <f t="shared" si="132"/>
        <v>0</v>
      </c>
      <c r="Y404" s="5">
        <f t="shared" si="133"/>
        <v>0</v>
      </c>
      <c r="Z404" s="5">
        <f t="shared" si="134"/>
        <v>0</v>
      </c>
      <c r="AA404" s="5">
        <f t="shared" si="135"/>
        <v>0</v>
      </c>
      <c r="AB404" s="5">
        <f t="shared" ref="AB404:AB467" si="136">SUM(T404:AA404)</f>
        <v>0</v>
      </c>
    </row>
    <row r="405" spans="1:29" x14ac:dyDescent="0.25">
      <c r="D405" t="s">
        <v>98</v>
      </c>
      <c r="E405" s="64"/>
      <c r="F405" s="64"/>
      <c r="G405">
        <f>IFERROR(HLOOKUP(G$2,[14]table_male_hkom2_inj.unk!$A$1:$K$36,30,FALSE),0)</f>
        <v>0</v>
      </c>
      <c r="H405">
        <f>IFERROR(HLOOKUP(H$2,[14]table_male_hkom2_inj.unk!$A$1:$K$36,30,FALSE),0)</f>
        <v>0</v>
      </c>
      <c r="I405">
        <f>IFERROR(HLOOKUP(I$2,[14]table_male_hkom2_inj.unk!$A$1:$K$36,30,FALSE),0)</f>
        <v>0</v>
      </c>
      <c r="J405">
        <f>IFERROR(HLOOKUP(J$2,[14]table_male_hkom2_inj.unk!$A$1:$K$36,30,FALSE),0)</f>
        <v>0</v>
      </c>
      <c r="K405">
        <f>IFERROR(HLOOKUP(K$2,[14]table_male_hkom2_inj.unk!$A$1:$K$36,30,FALSE),0)</f>
        <v>0</v>
      </c>
      <c r="L405">
        <f>IFERROR(HLOOKUP(L$2,[14]table_male_hkom2_inj.unk!$A$1:$K$36,30,FALSE),0)</f>
        <v>0</v>
      </c>
      <c r="M405">
        <f t="shared" si="127"/>
        <v>0</v>
      </c>
      <c r="S405" t="s">
        <v>98</v>
      </c>
      <c r="T405" s="5">
        <f t="shared" si="128"/>
        <v>0</v>
      </c>
      <c r="U405" s="5">
        <f t="shared" si="129"/>
        <v>0</v>
      </c>
      <c r="V405" s="5">
        <f t="shared" si="130"/>
        <v>0</v>
      </c>
      <c r="W405" s="5">
        <f t="shared" si="131"/>
        <v>0</v>
      </c>
      <c r="X405" s="5">
        <f t="shared" si="132"/>
        <v>0</v>
      </c>
      <c r="Y405" s="5">
        <f t="shared" si="133"/>
        <v>0</v>
      </c>
      <c r="Z405" s="5">
        <f t="shared" si="134"/>
        <v>0</v>
      </c>
      <c r="AA405" s="5">
        <f t="shared" si="135"/>
        <v>0</v>
      </c>
      <c r="AB405" s="5">
        <f t="shared" si="136"/>
        <v>0</v>
      </c>
    </row>
    <row r="406" spans="1:29" x14ac:dyDescent="0.25">
      <c r="D406" t="s">
        <v>119</v>
      </c>
      <c r="E406" s="64"/>
      <c r="F406" s="64"/>
      <c r="G406">
        <f>IFERROR(HLOOKUP(G$2,[14]table_male_hkom2_inj.unk!$A$1:$K$36,31,FALSE),0)</f>
        <v>0</v>
      </c>
      <c r="H406">
        <f>IFERROR(HLOOKUP(H$2,[14]table_male_hkom2_inj.unk!$A$1:$K$36,31,FALSE),0)</f>
        <v>0</v>
      </c>
      <c r="I406">
        <f>IFERROR(HLOOKUP(I$2,[14]table_male_hkom2_inj.unk!$A$1:$K$36,31,FALSE),0)</f>
        <v>0</v>
      </c>
      <c r="J406">
        <f>IFERROR(HLOOKUP(J$2,[14]table_male_hkom2_inj.unk!$A$1:$K$36,31,FALSE),0)</f>
        <v>0</v>
      </c>
      <c r="K406">
        <f>IFERROR(HLOOKUP(K$2,[14]table_male_hkom2_inj.unk!$A$1:$K$36,31,FALSE),0)</f>
        <v>0</v>
      </c>
      <c r="L406">
        <f>IFERROR(HLOOKUP(L$2,[14]table_male_hkom2_inj.unk!$A$1:$K$36,31,FALSE),0)</f>
        <v>0</v>
      </c>
      <c r="M406">
        <f t="shared" si="127"/>
        <v>0</v>
      </c>
      <c r="S406" t="s">
        <v>119</v>
      </c>
      <c r="T406" s="5">
        <f t="shared" si="128"/>
        <v>0</v>
      </c>
      <c r="U406" s="5">
        <f t="shared" si="129"/>
        <v>0</v>
      </c>
      <c r="V406" s="5">
        <f t="shared" si="130"/>
        <v>0</v>
      </c>
      <c r="W406" s="5">
        <f t="shared" si="131"/>
        <v>0</v>
      </c>
      <c r="X406" s="5">
        <f t="shared" si="132"/>
        <v>0</v>
      </c>
      <c r="Y406" s="5">
        <f t="shared" si="133"/>
        <v>0</v>
      </c>
      <c r="Z406" s="5">
        <f t="shared" si="134"/>
        <v>0</v>
      </c>
      <c r="AA406" s="5">
        <f t="shared" si="135"/>
        <v>0</v>
      </c>
      <c r="AB406" s="5">
        <f t="shared" si="136"/>
        <v>0</v>
      </c>
    </row>
    <row r="407" spans="1:29" x14ac:dyDescent="0.25">
      <c r="D407" t="s">
        <v>99</v>
      </c>
      <c r="E407" s="64"/>
      <c r="F407" s="64"/>
      <c r="G407">
        <f>IFERROR(HLOOKUP(G$2,[14]table_male_hkom2_inj.unk!$A$1:$K$36,32,FALSE),0)</f>
        <v>0</v>
      </c>
      <c r="H407">
        <f>IFERROR(HLOOKUP(H$2,[14]table_male_hkom2_inj.unk!$A$1:$K$36,32,FALSE),0)</f>
        <v>0</v>
      </c>
      <c r="I407">
        <f>IFERROR(HLOOKUP(I$2,[14]table_male_hkom2_inj.unk!$A$1:$K$36,32,FALSE),0)</f>
        <v>0</v>
      </c>
      <c r="J407">
        <f>IFERROR(HLOOKUP(J$2,[14]table_male_hkom2_inj.unk!$A$1:$K$36,32,FALSE),0)</f>
        <v>0</v>
      </c>
      <c r="K407">
        <f>IFERROR(HLOOKUP(K$2,[14]table_male_hkom2_inj.unk!$A$1:$K$36,32,FALSE),0)</f>
        <v>0</v>
      </c>
      <c r="L407">
        <f>IFERROR(HLOOKUP(L$2,[14]table_male_hkom2_inj.unk!$A$1:$K$36,32,FALSE),0)</f>
        <v>0</v>
      </c>
      <c r="M407">
        <f t="shared" si="127"/>
        <v>0</v>
      </c>
      <c r="S407" t="s">
        <v>99</v>
      </c>
      <c r="T407" s="5">
        <f t="shared" si="128"/>
        <v>0</v>
      </c>
      <c r="U407" s="5">
        <f t="shared" si="129"/>
        <v>0</v>
      </c>
      <c r="V407" s="5">
        <f t="shared" si="130"/>
        <v>0</v>
      </c>
      <c r="W407" s="5">
        <f t="shared" si="131"/>
        <v>0</v>
      </c>
      <c r="X407" s="5">
        <f t="shared" si="132"/>
        <v>0</v>
      </c>
      <c r="Y407" s="5">
        <f t="shared" si="133"/>
        <v>0</v>
      </c>
      <c r="Z407" s="5">
        <f t="shared" si="134"/>
        <v>0</v>
      </c>
      <c r="AA407" s="5">
        <f t="shared" si="135"/>
        <v>0</v>
      </c>
      <c r="AB407" s="5">
        <f t="shared" si="136"/>
        <v>0</v>
      </c>
    </row>
    <row r="408" spans="1:29" x14ac:dyDescent="0.25">
      <c r="D408" t="s">
        <v>100</v>
      </c>
      <c r="E408" s="64"/>
      <c r="F408" s="64"/>
      <c r="G408">
        <f>IFERROR(HLOOKUP(G$2,[14]table_male_hkom2_inj.unk!$A$1:$K$36,33,FALSE),0)</f>
        <v>0</v>
      </c>
      <c r="H408">
        <f>IFERROR(HLOOKUP(H$2,[14]table_male_hkom2_inj.unk!$A$1:$K$36,33,FALSE),0)</f>
        <v>0</v>
      </c>
      <c r="I408">
        <f>IFERROR(HLOOKUP(I$2,[14]table_male_hkom2_inj.unk!$A$1:$K$36,33,FALSE),0)</f>
        <v>0</v>
      </c>
      <c r="J408">
        <f>IFERROR(HLOOKUP(J$2,[14]table_male_hkom2_inj.unk!$A$1:$K$36,33,FALSE),0)</f>
        <v>0</v>
      </c>
      <c r="K408">
        <f>IFERROR(HLOOKUP(K$2,[14]table_male_hkom2_inj.unk!$A$1:$K$36,33,FALSE),0)</f>
        <v>0</v>
      </c>
      <c r="L408">
        <f>IFERROR(HLOOKUP(L$2,[14]table_male_hkom2_inj.unk!$A$1:$K$36,33,FALSE),0)</f>
        <v>0</v>
      </c>
      <c r="M408">
        <f t="shared" si="127"/>
        <v>0</v>
      </c>
      <c r="S408" t="s">
        <v>100</v>
      </c>
      <c r="T408" s="5">
        <f t="shared" si="128"/>
        <v>0</v>
      </c>
      <c r="U408" s="5">
        <f t="shared" si="129"/>
        <v>0</v>
      </c>
      <c r="V408" s="5">
        <f t="shared" si="130"/>
        <v>0</v>
      </c>
      <c r="W408" s="5">
        <f t="shared" si="131"/>
        <v>0</v>
      </c>
      <c r="X408" s="5">
        <f t="shared" si="132"/>
        <v>0</v>
      </c>
      <c r="Y408" s="5">
        <f t="shared" si="133"/>
        <v>0</v>
      </c>
      <c r="Z408" s="5">
        <f t="shared" si="134"/>
        <v>0</v>
      </c>
      <c r="AA408" s="5">
        <f t="shared" si="135"/>
        <v>0</v>
      </c>
      <c r="AB408" s="5">
        <f t="shared" si="136"/>
        <v>0</v>
      </c>
    </row>
    <row r="409" spans="1:29" x14ac:dyDescent="0.25">
      <c r="D409" t="s">
        <v>101</v>
      </c>
      <c r="E409" s="64"/>
      <c r="F409" s="64"/>
      <c r="G409">
        <f>IFERROR(HLOOKUP(G$2,[14]table_male_hkom2_inj.unk!$A$1:$K$36,34,FALSE),0)</f>
        <v>0</v>
      </c>
      <c r="H409">
        <f>IFERROR(HLOOKUP(H$2,[14]table_male_hkom2_inj.unk!$A$1:$K$36,34,FALSE),0)</f>
        <v>0</v>
      </c>
      <c r="I409">
        <f>IFERROR(HLOOKUP(I$2,[14]table_male_hkom2_inj.unk!$A$1:$K$36,34,FALSE),0)</f>
        <v>0</v>
      </c>
      <c r="J409">
        <f>IFERROR(HLOOKUP(J$2,[14]table_male_hkom2_inj.unk!$A$1:$K$36,34,FALSE),0)</f>
        <v>0</v>
      </c>
      <c r="K409">
        <f>IFERROR(HLOOKUP(K$2,[14]table_male_hkom2_inj.unk!$A$1:$K$36,34,FALSE),0)</f>
        <v>0</v>
      </c>
      <c r="L409">
        <f>IFERROR(HLOOKUP(L$2,[14]table_male_hkom2_inj.unk!$A$1:$K$36,34,FALSE),0)</f>
        <v>0</v>
      </c>
      <c r="M409">
        <f t="shared" si="127"/>
        <v>0</v>
      </c>
      <c r="S409" t="s">
        <v>101</v>
      </c>
      <c r="T409" s="5">
        <f t="shared" si="128"/>
        <v>0</v>
      </c>
      <c r="U409" s="5">
        <f t="shared" si="129"/>
        <v>0</v>
      </c>
      <c r="V409" s="5">
        <f t="shared" si="130"/>
        <v>0</v>
      </c>
      <c r="W409" s="5">
        <f t="shared" si="131"/>
        <v>0</v>
      </c>
      <c r="X409" s="5">
        <f t="shared" si="132"/>
        <v>0</v>
      </c>
      <c r="Y409" s="5">
        <f t="shared" si="133"/>
        <v>0</v>
      </c>
      <c r="Z409" s="5">
        <f t="shared" si="134"/>
        <v>0</v>
      </c>
      <c r="AA409" s="5">
        <f t="shared" si="135"/>
        <v>0</v>
      </c>
      <c r="AB409" s="5">
        <f t="shared" si="136"/>
        <v>0</v>
      </c>
    </row>
    <row r="410" spans="1:29" x14ac:dyDescent="0.25">
      <c r="D410" t="s">
        <v>102</v>
      </c>
      <c r="E410" s="64"/>
      <c r="F410" s="64"/>
      <c r="G410">
        <f>IFERROR(HLOOKUP(G$2,[14]table_male_hkom2_inj.unk!$A$1:$K$36,35,FALSE),0)</f>
        <v>0</v>
      </c>
      <c r="H410">
        <f>IFERROR(HLOOKUP(H$2,[14]table_male_hkom2_inj.unk!$A$1:$K$36,35,FALSE),0)</f>
        <v>0</v>
      </c>
      <c r="I410">
        <f>IFERROR(HLOOKUP(I$2,[14]table_male_hkom2_inj.unk!$A$1:$K$36,35,FALSE),0)</f>
        <v>0</v>
      </c>
      <c r="J410">
        <f>IFERROR(HLOOKUP(J$2,[14]table_male_hkom2_inj.unk!$A$1:$K$36,35,FALSE),0)</f>
        <v>0</v>
      </c>
      <c r="K410">
        <f>IFERROR(HLOOKUP(K$2,[14]table_male_hkom2_inj.unk!$A$1:$K$36,35,FALSE),0)</f>
        <v>0</v>
      </c>
      <c r="L410">
        <f>IFERROR(HLOOKUP(L$2,[14]table_male_hkom2_inj.unk!$A$1:$K$36,35,FALSE),0)</f>
        <v>0</v>
      </c>
      <c r="M410">
        <f t="shared" si="127"/>
        <v>0</v>
      </c>
      <c r="N410">
        <f>SUM(M377:M410)</f>
        <v>0</v>
      </c>
      <c r="O410" s="8">
        <f>SUM([14]table_male_hkom2_inj.unk!$B$2:$L$36)</f>
        <v>0</v>
      </c>
      <c r="S410" t="s">
        <v>102</v>
      </c>
      <c r="T410" s="7"/>
      <c r="U410" s="7"/>
      <c r="V410" s="7"/>
      <c r="W410" s="7"/>
      <c r="X410" s="7"/>
      <c r="Y410" s="7"/>
      <c r="Z410" s="7"/>
      <c r="AA410" s="7"/>
      <c r="AB410" s="5">
        <f t="shared" si="136"/>
        <v>0</v>
      </c>
      <c r="AC410" s="5">
        <f>SUM(AB377:AB409)</f>
        <v>0</v>
      </c>
    </row>
    <row r="411" spans="1:29" x14ac:dyDescent="0.25">
      <c r="A411" t="s">
        <v>104</v>
      </c>
      <c r="B411" t="s">
        <v>116</v>
      </c>
      <c r="C411" t="s">
        <v>105</v>
      </c>
      <c r="D411" t="s">
        <v>70</v>
      </c>
      <c r="E411" s="64"/>
      <c r="F411" s="64"/>
      <c r="G411">
        <f>IFERROR(HLOOKUP(G$2,[15]table_male_hkom2_inj.V1!$A$1:$K$36,2,FALSE),0)</f>
        <v>0</v>
      </c>
      <c r="H411">
        <f>IFERROR(HLOOKUP(H$2,[15]table_male_hkom2_inj.V1!$A$1:$K$36,2,FALSE),0)</f>
        <v>0</v>
      </c>
      <c r="I411">
        <f>IFERROR(HLOOKUP(I$2,[15]table_male_hkom2_inj.V1!$A$1:$K$36,2,FALSE),0)</f>
        <v>0</v>
      </c>
      <c r="J411">
        <f>IFERROR(HLOOKUP(J$2,[15]table_male_hkom2_inj.V1!$A$1:$K$36,2,FALSE),0)</f>
        <v>0</v>
      </c>
      <c r="K411">
        <f>IFERROR(HLOOKUP(K$2,[15]table_male_hkom2_inj.V1!$A$1:$K$36,2,FALSE),0)</f>
        <v>0</v>
      </c>
      <c r="L411">
        <f>IFERROR(HLOOKUP(L$2,[15]table_male_hkom2_inj.V1!$A$1:$K$36,2,FALSE),0)</f>
        <v>0</v>
      </c>
      <c r="M411">
        <f>SUM(E411:L411)</f>
        <v>0</v>
      </c>
      <c r="P411" t="s">
        <v>104</v>
      </c>
      <c r="Q411" t="s">
        <v>116</v>
      </c>
      <c r="R411" t="s">
        <v>105</v>
      </c>
      <c r="S411" t="s">
        <v>70</v>
      </c>
      <c r="T411" s="5">
        <f>IF(SUM(E$411:E$443)=0,E$444/33,E411+IFERROR(E411/SUM(E$411:E$443)*E$444,0))</f>
        <v>0</v>
      </c>
      <c r="U411" s="5">
        <f t="shared" ref="U411:AA411" si="137">IF(SUM(F$411:F$443)=0,F$444/33,F411+IFERROR(F411/SUM(F$411:F$443)*F$444,0))</f>
        <v>0</v>
      </c>
      <c r="V411" s="5">
        <f t="shared" si="137"/>
        <v>0</v>
      </c>
      <c r="W411" s="5">
        <f t="shared" si="137"/>
        <v>0</v>
      </c>
      <c r="X411" s="5">
        <f t="shared" si="137"/>
        <v>0</v>
      </c>
      <c r="Y411" s="5">
        <f t="shared" si="137"/>
        <v>0</v>
      </c>
      <c r="Z411" s="5">
        <f t="shared" si="137"/>
        <v>0</v>
      </c>
      <c r="AA411" s="5">
        <f t="shared" si="137"/>
        <v>0</v>
      </c>
      <c r="AB411" s="5">
        <f t="shared" si="136"/>
        <v>0</v>
      </c>
    </row>
    <row r="412" spans="1:29" x14ac:dyDescent="0.25">
      <c r="D412" t="s">
        <v>71</v>
      </c>
      <c r="E412" s="64"/>
      <c r="F412" s="64"/>
      <c r="G412">
        <f>IFERROR(HLOOKUP(G$2,[15]table_male_hkom2_inj.V1!$A$1:$K$36,3,FALSE),0)</f>
        <v>0</v>
      </c>
      <c r="H412">
        <f>IFERROR(HLOOKUP(H$2,[15]table_male_hkom2_inj.V1!$A$1:$K$36,3,FALSE),0)</f>
        <v>0</v>
      </c>
      <c r="I412">
        <f>IFERROR(HLOOKUP(I$2,[15]table_male_hkom2_inj.V1!$A$1:$K$36,3,FALSE),0)</f>
        <v>0</v>
      </c>
      <c r="J412">
        <f>IFERROR(HLOOKUP(J$2,[15]table_male_hkom2_inj.V1!$A$1:$K$36,3,FALSE),0)</f>
        <v>0</v>
      </c>
      <c r="K412">
        <f>IFERROR(HLOOKUP(K$2,[15]table_male_hkom2_inj.V1!$A$1:$K$36,3,FALSE),0)</f>
        <v>0</v>
      </c>
      <c r="L412">
        <f>IFERROR(HLOOKUP(L$2,[15]table_male_hkom2_inj.V1!$A$1:$K$36,3,FALSE),0)</f>
        <v>0</v>
      </c>
      <c r="M412">
        <f t="shared" ref="M412:M444" si="138">SUM(E412:L412)</f>
        <v>0</v>
      </c>
      <c r="S412" t="s">
        <v>71</v>
      </c>
      <c r="T412" s="5">
        <f t="shared" ref="T412:T443" si="139">IF(SUM(E$411:E$443)=0,E$444/33,E412+IFERROR(E412/SUM(E$411:E$443)*E$444,0))</f>
        <v>0</v>
      </c>
      <c r="U412" s="5">
        <f t="shared" ref="U412:U443" si="140">IF(SUM(F$411:F$443)=0,F$444/33,F412+IFERROR(F412/SUM(F$411:F$443)*F$444,0))</f>
        <v>0</v>
      </c>
      <c r="V412" s="5">
        <f t="shared" ref="V412:V443" si="141">IF(SUM(G$411:G$443)=0,G$444/33,G412+IFERROR(G412/SUM(G$411:G$443)*G$444,0))</f>
        <v>0</v>
      </c>
      <c r="W412" s="5">
        <f t="shared" ref="W412:W443" si="142">IF(SUM(H$411:H$443)=0,H$444/33,H412+IFERROR(H412/SUM(H$411:H$443)*H$444,0))</f>
        <v>0</v>
      </c>
      <c r="X412" s="5">
        <f t="shared" ref="X412:X443" si="143">IF(SUM(I$411:I$443)=0,I$444/33,I412+IFERROR(I412/SUM(I$411:I$443)*I$444,0))</f>
        <v>0</v>
      </c>
      <c r="Y412" s="5">
        <f t="shared" ref="Y412:Y443" si="144">IF(SUM(J$411:J$443)=0,J$444/33,J412+IFERROR(J412/SUM(J$411:J$443)*J$444,0))</f>
        <v>0</v>
      </c>
      <c r="Z412" s="5">
        <f t="shared" ref="Z412:Z443" si="145">IF(SUM(K$411:K$443)=0,K$444/33,K412+IFERROR(K412/SUM(K$411:K$443)*K$444,0))</f>
        <v>0</v>
      </c>
      <c r="AA412" s="5">
        <f t="shared" ref="AA412:AA443" si="146">IF(SUM(L$411:L$443)=0,L$444/33,L412+IFERROR(L412/SUM(L$411:L$443)*L$444,0))</f>
        <v>0</v>
      </c>
      <c r="AB412" s="5">
        <f t="shared" si="136"/>
        <v>0</v>
      </c>
    </row>
    <row r="413" spans="1:29" x14ac:dyDescent="0.25">
      <c r="D413" t="s">
        <v>72</v>
      </c>
      <c r="E413" s="64"/>
      <c r="F413" s="64"/>
      <c r="G413">
        <f>IFERROR(HLOOKUP(G$2,[15]table_male_hkom2_inj.V1!$A$1:$K$36,4,FALSE),0)</f>
        <v>0</v>
      </c>
      <c r="H413">
        <f>IFERROR(HLOOKUP(H$2,[15]table_male_hkom2_inj.V1!$A$1:$K$36,4,FALSE),0)</f>
        <v>0</v>
      </c>
      <c r="I413">
        <f>IFERROR(HLOOKUP(I$2,[15]table_male_hkom2_inj.V1!$A$1:$K$36,4,FALSE),0)</f>
        <v>0</v>
      </c>
      <c r="J413">
        <f>IFERROR(HLOOKUP(J$2,[15]table_male_hkom2_inj.V1!$A$1:$K$36,4,FALSE),0)</f>
        <v>0</v>
      </c>
      <c r="K413">
        <f>IFERROR(HLOOKUP(K$2,[15]table_male_hkom2_inj.V1!$A$1:$K$36,4,FALSE),0)</f>
        <v>0</v>
      </c>
      <c r="L413">
        <f>IFERROR(HLOOKUP(L$2,[15]table_male_hkom2_inj.V1!$A$1:$K$36,4,FALSE),0)</f>
        <v>0</v>
      </c>
      <c r="M413">
        <f t="shared" si="138"/>
        <v>0</v>
      </c>
      <c r="S413" t="s">
        <v>72</v>
      </c>
      <c r="T413" s="5">
        <f t="shared" si="139"/>
        <v>0</v>
      </c>
      <c r="U413" s="5">
        <f t="shared" si="140"/>
        <v>0</v>
      </c>
      <c r="V413" s="5">
        <f t="shared" si="141"/>
        <v>0</v>
      </c>
      <c r="W413" s="5">
        <f t="shared" si="142"/>
        <v>0</v>
      </c>
      <c r="X413" s="5">
        <f t="shared" si="143"/>
        <v>0</v>
      </c>
      <c r="Y413" s="5">
        <f t="shared" si="144"/>
        <v>0</v>
      </c>
      <c r="Z413" s="5">
        <f t="shared" si="145"/>
        <v>0</v>
      </c>
      <c r="AA413" s="5">
        <f t="shared" si="146"/>
        <v>0</v>
      </c>
      <c r="AB413" s="5">
        <f t="shared" si="136"/>
        <v>0</v>
      </c>
    </row>
    <row r="414" spans="1:29" x14ac:dyDescent="0.25">
      <c r="D414" t="s">
        <v>73</v>
      </c>
      <c r="E414" s="64"/>
      <c r="F414" s="64"/>
      <c r="G414">
        <f>IFERROR(HLOOKUP(G$2,[15]table_male_hkom2_inj.V1!$A$1:$K$36,5,FALSE),0)</f>
        <v>0</v>
      </c>
      <c r="H414">
        <f>IFERROR(HLOOKUP(H$2,[15]table_male_hkom2_inj.V1!$A$1:$K$36,5,FALSE),0)</f>
        <v>0</v>
      </c>
      <c r="I414">
        <f>IFERROR(HLOOKUP(I$2,[15]table_male_hkom2_inj.V1!$A$1:$K$36,5,FALSE),0)</f>
        <v>0</v>
      </c>
      <c r="J414">
        <f>IFERROR(HLOOKUP(J$2,[15]table_male_hkom2_inj.V1!$A$1:$K$36,5,FALSE),0)</f>
        <v>0</v>
      </c>
      <c r="K414">
        <f>IFERROR(HLOOKUP(K$2,[15]table_male_hkom2_inj.V1!$A$1:$K$36,5,FALSE),0)</f>
        <v>0</v>
      </c>
      <c r="L414">
        <f>IFERROR(HLOOKUP(L$2,[15]table_male_hkom2_inj.V1!$A$1:$K$36,5,FALSE),0)</f>
        <v>0</v>
      </c>
      <c r="M414">
        <f t="shared" si="138"/>
        <v>0</v>
      </c>
      <c r="S414" t="s">
        <v>73</v>
      </c>
      <c r="T414" s="5">
        <f t="shared" si="139"/>
        <v>0</v>
      </c>
      <c r="U414" s="5">
        <f t="shared" si="140"/>
        <v>0</v>
      </c>
      <c r="V414" s="5">
        <f t="shared" si="141"/>
        <v>0</v>
      </c>
      <c r="W414" s="5">
        <f t="shared" si="142"/>
        <v>0</v>
      </c>
      <c r="X414" s="5">
        <f t="shared" si="143"/>
        <v>0</v>
      </c>
      <c r="Y414" s="5">
        <f t="shared" si="144"/>
        <v>0</v>
      </c>
      <c r="Z414" s="5">
        <f t="shared" si="145"/>
        <v>0</v>
      </c>
      <c r="AA414" s="5">
        <f t="shared" si="146"/>
        <v>0</v>
      </c>
      <c r="AB414" s="5">
        <f t="shared" si="136"/>
        <v>0</v>
      </c>
    </row>
    <row r="415" spans="1:29" x14ac:dyDescent="0.25">
      <c r="D415" t="s">
        <v>74</v>
      </c>
      <c r="E415" s="64"/>
      <c r="F415" s="64"/>
      <c r="G415">
        <f>IFERROR(HLOOKUP(G$2,[15]table_male_hkom2_inj.V1!$A$1:$K$36,6,FALSE),0)</f>
        <v>0</v>
      </c>
      <c r="H415">
        <f>IFERROR(HLOOKUP(H$2,[15]table_male_hkom2_inj.V1!$A$1:$K$36,6,FALSE),0)</f>
        <v>0</v>
      </c>
      <c r="I415">
        <f>IFERROR(HLOOKUP(I$2,[15]table_male_hkom2_inj.V1!$A$1:$K$36,6,FALSE),0)</f>
        <v>0</v>
      </c>
      <c r="J415">
        <f>IFERROR(HLOOKUP(J$2,[15]table_male_hkom2_inj.V1!$A$1:$K$36,6,FALSE),0)</f>
        <v>0</v>
      </c>
      <c r="K415">
        <f>IFERROR(HLOOKUP(K$2,[15]table_male_hkom2_inj.V1!$A$1:$K$36,6,FALSE),0)</f>
        <v>0</v>
      </c>
      <c r="L415">
        <f>IFERROR(HLOOKUP(L$2,[15]table_male_hkom2_inj.V1!$A$1:$K$36,6,FALSE),0)</f>
        <v>0</v>
      </c>
      <c r="M415">
        <f t="shared" si="138"/>
        <v>0</v>
      </c>
      <c r="S415" t="s">
        <v>74</v>
      </c>
      <c r="T415" s="5">
        <f t="shared" si="139"/>
        <v>0</v>
      </c>
      <c r="U415" s="5">
        <f t="shared" si="140"/>
        <v>0</v>
      </c>
      <c r="V415" s="5">
        <f t="shared" si="141"/>
        <v>0</v>
      </c>
      <c r="W415" s="5">
        <f t="shared" si="142"/>
        <v>0</v>
      </c>
      <c r="X415" s="5">
        <f t="shared" si="143"/>
        <v>0</v>
      </c>
      <c r="Y415" s="5">
        <f t="shared" si="144"/>
        <v>0</v>
      </c>
      <c r="Z415" s="5">
        <f t="shared" si="145"/>
        <v>0</v>
      </c>
      <c r="AA415" s="5">
        <f t="shared" si="146"/>
        <v>0</v>
      </c>
      <c r="AB415" s="5">
        <f t="shared" si="136"/>
        <v>0</v>
      </c>
    </row>
    <row r="416" spans="1:29" x14ac:dyDescent="0.25">
      <c r="D416" t="s">
        <v>75</v>
      </c>
      <c r="E416" s="64"/>
      <c r="F416" s="64"/>
      <c r="G416">
        <f>IFERROR(HLOOKUP(G$2,[15]table_male_hkom2_inj.V1!$A$1:$K$36,7,FALSE),0)</f>
        <v>0</v>
      </c>
      <c r="H416">
        <f>IFERROR(HLOOKUP(H$2,[15]table_male_hkom2_inj.V1!$A$1:$K$36,7,FALSE),0)</f>
        <v>0</v>
      </c>
      <c r="I416">
        <f>IFERROR(HLOOKUP(I$2,[15]table_male_hkom2_inj.V1!$A$1:$K$36,7,FALSE),0)</f>
        <v>0</v>
      </c>
      <c r="J416">
        <f>IFERROR(HLOOKUP(J$2,[15]table_male_hkom2_inj.V1!$A$1:$K$36,7,FALSE),0)</f>
        <v>0</v>
      </c>
      <c r="K416">
        <f>IFERROR(HLOOKUP(K$2,[15]table_male_hkom2_inj.V1!$A$1:$K$36,7,FALSE),0)</f>
        <v>0</v>
      </c>
      <c r="L416">
        <f>IFERROR(HLOOKUP(L$2,[15]table_male_hkom2_inj.V1!$A$1:$K$36,7,FALSE),0)</f>
        <v>0</v>
      </c>
      <c r="M416">
        <f t="shared" si="138"/>
        <v>0</v>
      </c>
      <c r="S416" t="s">
        <v>75</v>
      </c>
      <c r="T416" s="5">
        <f t="shared" si="139"/>
        <v>0</v>
      </c>
      <c r="U416" s="5">
        <f t="shared" si="140"/>
        <v>0</v>
      </c>
      <c r="V416" s="5">
        <f t="shared" si="141"/>
        <v>0</v>
      </c>
      <c r="W416" s="5">
        <f t="shared" si="142"/>
        <v>0</v>
      </c>
      <c r="X416" s="5">
        <f t="shared" si="143"/>
        <v>0</v>
      </c>
      <c r="Y416" s="5">
        <f t="shared" si="144"/>
        <v>0</v>
      </c>
      <c r="Z416" s="5">
        <f t="shared" si="145"/>
        <v>0</v>
      </c>
      <c r="AA416" s="5">
        <f t="shared" si="146"/>
        <v>0</v>
      </c>
      <c r="AB416" s="5">
        <f t="shared" si="136"/>
        <v>0</v>
      </c>
    </row>
    <row r="417" spans="4:28" x14ac:dyDescent="0.25">
      <c r="D417" t="s">
        <v>76</v>
      </c>
      <c r="E417" s="64"/>
      <c r="F417" s="64"/>
      <c r="G417">
        <f>IFERROR(HLOOKUP(G$2,[15]table_male_hkom2_inj.V1!$A$1:$K$36,8,FALSE),0)</f>
        <v>0</v>
      </c>
      <c r="H417">
        <f>IFERROR(HLOOKUP(H$2,[15]table_male_hkom2_inj.V1!$A$1:$K$36,8,FALSE),0)</f>
        <v>0</v>
      </c>
      <c r="I417">
        <f>IFERROR(HLOOKUP(I$2,[15]table_male_hkom2_inj.V1!$A$1:$K$36,8,FALSE),0)</f>
        <v>0</v>
      </c>
      <c r="J417">
        <f>IFERROR(HLOOKUP(J$2,[15]table_male_hkom2_inj.V1!$A$1:$K$36,8,FALSE),0)</f>
        <v>0</v>
      </c>
      <c r="K417">
        <f>IFERROR(HLOOKUP(K$2,[15]table_male_hkom2_inj.V1!$A$1:$K$36,8,FALSE),0)</f>
        <v>0</v>
      </c>
      <c r="L417">
        <f>IFERROR(HLOOKUP(L$2,[15]table_male_hkom2_inj.V1!$A$1:$K$36,8,FALSE),0)</f>
        <v>0</v>
      </c>
      <c r="M417">
        <f t="shared" si="138"/>
        <v>0</v>
      </c>
      <c r="S417" t="s">
        <v>76</v>
      </c>
      <c r="T417" s="5">
        <f t="shared" si="139"/>
        <v>0</v>
      </c>
      <c r="U417" s="5">
        <f t="shared" si="140"/>
        <v>0</v>
      </c>
      <c r="V417" s="5">
        <f t="shared" si="141"/>
        <v>0</v>
      </c>
      <c r="W417" s="5">
        <f t="shared" si="142"/>
        <v>0</v>
      </c>
      <c r="X417" s="5">
        <f t="shared" si="143"/>
        <v>0</v>
      </c>
      <c r="Y417" s="5">
        <f t="shared" si="144"/>
        <v>0</v>
      </c>
      <c r="Z417" s="5">
        <f t="shared" si="145"/>
        <v>0</v>
      </c>
      <c r="AA417" s="5">
        <f t="shared" si="146"/>
        <v>0</v>
      </c>
      <c r="AB417" s="5">
        <f t="shared" si="136"/>
        <v>0</v>
      </c>
    </row>
    <row r="418" spans="4:28" x14ac:dyDescent="0.25">
      <c r="D418" t="s">
        <v>77</v>
      </c>
      <c r="E418" s="64"/>
      <c r="F418" s="64"/>
      <c r="G418">
        <f>IFERROR(HLOOKUP(G$2,[15]table_male_hkom2_inj.V1!$A$1:$K$36,9,FALSE),0)</f>
        <v>0</v>
      </c>
      <c r="H418">
        <f>IFERROR(HLOOKUP(H$2,[15]table_male_hkom2_inj.V1!$A$1:$K$36,9,FALSE),0)</f>
        <v>0</v>
      </c>
      <c r="I418">
        <f>IFERROR(HLOOKUP(I$2,[15]table_male_hkom2_inj.V1!$A$1:$K$36,9,FALSE),0)</f>
        <v>0</v>
      </c>
      <c r="J418">
        <f>IFERROR(HLOOKUP(J$2,[15]table_male_hkom2_inj.V1!$A$1:$K$36,9,FALSE),0)</f>
        <v>0</v>
      </c>
      <c r="K418">
        <f>IFERROR(HLOOKUP(K$2,[15]table_male_hkom2_inj.V1!$A$1:$K$36,9,FALSE),0)</f>
        <v>0</v>
      </c>
      <c r="L418">
        <f>IFERROR(HLOOKUP(L$2,[15]table_male_hkom2_inj.V1!$A$1:$K$36,9,FALSE),0)</f>
        <v>0</v>
      </c>
      <c r="M418">
        <f t="shared" si="138"/>
        <v>0</v>
      </c>
      <c r="S418" t="s">
        <v>77</v>
      </c>
      <c r="T418" s="5">
        <f t="shared" si="139"/>
        <v>0</v>
      </c>
      <c r="U418" s="5">
        <f t="shared" si="140"/>
        <v>0</v>
      </c>
      <c r="V418" s="5">
        <f t="shared" si="141"/>
        <v>0</v>
      </c>
      <c r="W418" s="5">
        <f t="shared" si="142"/>
        <v>0</v>
      </c>
      <c r="X418" s="5">
        <f t="shared" si="143"/>
        <v>0</v>
      </c>
      <c r="Y418" s="5">
        <f t="shared" si="144"/>
        <v>0</v>
      </c>
      <c r="Z418" s="5">
        <f t="shared" si="145"/>
        <v>0</v>
      </c>
      <c r="AA418" s="5">
        <f t="shared" si="146"/>
        <v>0</v>
      </c>
      <c r="AB418" s="5">
        <f t="shared" si="136"/>
        <v>0</v>
      </c>
    </row>
    <row r="419" spans="4:28" x14ac:dyDescent="0.25">
      <c r="D419" t="s">
        <v>78</v>
      </c>
      <c r="E419" s="64"/>
      <c r="F419" s="64"/>
      <c r="G419">
        <f>IFERROR(HLOOKUP(G$2,[15]table_male_hkom2_inj.V1!$A$1:$K$36,10,FALSE),0)</f>
        <v>0</v>
      </c>
      <c r="H419">
        <f>IFERROR(HLOOKUP(H$2,[15]table_male_hkom2_inj.V1!$A$1:$K$36,10,FALSE),0)</f>
        <v>0</v>
      </c>
      <c r="I419">
        <f>IFERROR(HLOOKUP(I$2,[15]table_male_hkom2_inj.V1!$A$1:$K$36,10,FALSE),0)</f>
        <v>0</v>
      </c>
      <c r="J419">
        <f>IFERROR(HLOOKUP(J$2,[15]table_male_hkom2_inj.V1!$A$1:$K$36,10,FALSE),0)</f>
        <v>0</v>
      </c>
      <c r="K419">
        <f>IFERROR(HLOOKUP(K$2,[15]table_male_hkom2_inj.V1!$A$1:$K$36,10,FALSE),0)</f>
        <v>0</v>
      </c>
      <c r="L419">
        <f>IFERROR(HLOOKUP(L$2,[15]table_male_hkom2_inj.V1!$A$1:$K$36,10,FALSE),0)</f>
        <v>0</v>
      </c>
      <c r="M419">
        <f t="shared" si="138"/>
        <v>0</v>
      </c>
      <c r="S419" t="s">
        <v>78</v>
      </c>
      <c r="T419" s="5">
        <f t="shared" si="139"/>
        <v>0</v>
      </c>
      <c r="U419" s="5">
        <f t="shared" si="140"/>
        <v>0</v>
      </c>
      <c r="V419" s="5">
        <f t="shared" si="141"/>
        <v>0</v>
      </c>
      <c r="W419" s="5">
        <f t="shared" si="142"/>
        <v>0</v>
      </c>
      <c r="X419" s="5">
        <f t="shared" si="143"/>
        <v>0</v>
      </c>
      <c r="Y419" s="5">
        <f t="shared" si="144"/>
        <v>0</v>
      </c>
      <c r="Z419" s="5">
        <f t="shared" si="145"/>
        <v>0</v>
      </c>
      <c r="AA419" s="5">
        <f t="shared" si="146"/>
        <v>0</v>
      </c>
      <c r="AB419" s="5">
        <f t="shared" si="136"/>
        <v>0</v>
      </c>
    </row>
    <row r="420" spans="4:28" x14ac:dyDescent="0.25">
      <c r="D420" t="s">
        <v>79</v>
      </c>
      <c r="E420" s="64"/>
      <c r="F420" s="64"/>
      <c r="G420">
        <f>IFERROR(HLOOKUP(G$2,[15]table_male_hkom2_inj.V1!$A$1:$K$36,11,FALSE),0)</f>
        <v>0</v>
      </c>
      <c r="H420">
        <f>IFERROR(HLOOKUP(H$2,[15]table_male_hkom2_inj.V1!$A$1:$K$36,11,FALSE),0)</f>
        <v>0</v>
      </c>
      <c r="I420">
        <f>IFERROR(HLOOKUP(I$2,[15]table_male_hkom2_inj.V1!$A$1:$K$36,11,FALSE),0)</f>
        <v>0</v>
      </c>
      <c r="J420">
        <f>IFERROR(HLOOKUP(J$2,[15]table_male_hkom2_inj.V1!$A$1:$K$36,11,FALSE),0)</f>
        <v>0</v>
      </c>
      <c r="K420">
        <f>IFERROR(HLOOKUP(K$2,[15]table_male_hkom2_inj.V1!$A$1:$K$36,11,FALSE),0)</f>
        <v>0</v>
      </c>
      <c r="L420">
        <f>IFERROR(HLOOKUP(L$2,[15]table_male_hkom2_inj.V1!$A$1:$K$36,11,FALSE),0)</f>
        <v>0</v>
      </c>
      <c r="M420">
        <f t="shared" si="138"/>
        <v>0</v>
      </c>
      <c r="S420" t="s">
        <v>79</v>
      </c>
      <c r="T420" s="5">
        <f t="shared" si="139"/>
        <v>0</v>
      </c>
      <c r="U420" s="5">
        <f t="shared" si="140"/>
        <v>0</v>
      </c>
      <c r="V420" s="5">
        <f t="shared" si="141"/>
        <v>0</v>
      </c>
      <c r="W420" s="5">
        <f t="shared" si="142"/>
        <v>0</v>
      </c>
      <c r="X420" s="5">
        <f t="shared" si="143"/>
        <v>0</v>
      </c>
      <c r="Y420" s="5">
        <f t="shared" si="144"/>
        <v>0</v>
      </c>
      <c r="Z420" s="5">
        <f t="shared" si="145"/>
        <v>0</v>
      </c>
      <c r="AA420" s="5">
        <f t="shared" si="146"/>
        <v>0</v>
      </c>
      <c r="AB420" s="5">
        <f t="shared" si="136"/>
        <v>0</v>
      </c>
    </row>
    <row r="421" spans="4:28" x14ac:dyDescent="0.25">
      <c r="D421" t="s">
        <v>80</v>
      </c>
      <c r="E421" s="64"/>
      <c r="F421" s="64"/>
      <c r="G421">
        <f>IFERROR(HLOOKUP(G$2,[15]table_male_hkom2_inj.V1!$A$1:$K$36,12,FALSE),0)</f>
        <v>0</v>
      </c>
      <c r="H421">
        <f>IFERROR(HLOOKUP(H$2,[15]table_male_hkom2_inj.V1!$A$1:$K$36,12,FALSE),0)</f>
        <v>0</v>
      </c>
      <c r="I421">
        <f>IFERROR(HLOOKUP(I$2,[15]table_male_hkom2_inj.V1!$A$1:$K$36,12,FALSE),0)</f>
        <v>0</v>
      </c>
      <c r="J421">
        <f>IFERROR(HLOOKUP(J$2,[15]table_male_hkom2_inj.V1!$A$1:$K$36,12,FALSE),0)</f>
        <v>0</v>
      </c>
      <c r="K421">
        <f>IFERROR(HLOOKUP(K$2,[15]table_male_hkom2_inj.V1!$A$1:$K$36,12,FALSE),0)</f>
        <v>0</v>
      </c>
      <c r="L421">
        <f>IFERROR(HLOOKUP(L$2,[15]table_male_hkom2_inj.V1!$A$1:$K$36,12,FALSE),0)</f>
        <v>0</v>
      </c>
      <c r="M421">
        <f t="shared" si="138"/>
        <v>0</v>
      </c>
      <c r="S421" t="s">
        <v>80</v>
      </c>
      <c r="T421" s="5">
        <f t="shared" si="139"/>
        <v>0</v>
      </c>
      <c r="U421" s="5">
        <f t="shared" si="140"/>
        <v>0</v>
      </c>
      <c r="V421" s="5">
        <f t="shared" si="141"/>
        <v>0</v>
      </c>
      <c r="W421" s="5">
        <f t="shared" si="142"/>
        <v>0</v>
      </c>
      <c r="X421" s="5">
        <f t="shared" si="143"/>
        <v>0</v>
      </c>
      <c r="Y421" s="5">
        <f t="shared" si="144"/>
        <v>0</v>
      </c>
      <c r="Z421" s="5">
        <f t="shared" si="145"/>
        <v>0</v>
      </c>
      <c r="AA421" s="5">
        <f t="shared" si="146"/>
        <v>0</v>
      </c>
      <c r="AB421" s="5">
        <f t="shared" si="136"/>
        <v>0</v>
      </c>
    </row>
    <row r="422" spans="4:28" x14ac:dyDescent="0.25">
      <c r="D422" t="s">
        <v>81</v>
      </c>
      <c r="E422" s="64"/>
      <c r="F422" s="64"/>
      <c r="G422">
        <f>IFERROR(HLOOKUP(G$2,[15]table_male_hkom2_inj.V1!$A$1:$K$36,13,FALSE),0)</f>
        <v>0</v>
      </c>
      <c r="H422">
        <f>IFERROR(HLOOKUP(H$2,[15]table_male_hkom2_inj.V1!$A$1:$K$36,13,FALSE),0)</f>
        <v>0</v>
      </c>
      <c r="I422">
        <f>IFERROR(HLOOKUP(I$2,[15]table_male_hkom2_inj.V1!$A$1:$K$36,13,FALSE),0)</f>
        <v>0</v>
      </c>
      <c r="J422">
        <f>IFERROR(HLOOKUP(J$2,[15]table_male_hkom2_inj.V1!$A$1:$K$36,13,FALSE),0)</f>
        <v>0</v>
      </c>
      <c r="K422">
        <f>IFERROR(HLOOKUP(K$2,[15]table_male_hkom2_inj.V1!$A$1:$K$36,13,FALSE),0)</f>
        <v>0</v>
      </c>
      <c r="L422">
        <f>IFERROR(HLOOKUP(L$2,[15]table_male_hkom2_inj.V1!$A$1:$K$36,13,FALSE),0)</f>
        <v>0</v>
      </c>
      <c r="M422">
        <f t="shared" si="138"/>
        <v>0</v>
      </c>
      <c r="S422" t="s">
        <v>81</v>
      </c>
      <c r="T422" s="5">
        <f t="shared" si="139"/>
        <v>0</v>
      </c>
      <c r="U422" s="5">
        <f t="shared" si="140"/>
        <v>0</v>
      </c>
      <c r="V422" s="5">
        <f t="shared" si="141"/>
        <v>0</v>
      </c>
      <c r="W422" s="5">
        <f t="shared" si="142"/>
        <v>0</v>
      </c>
      <c r="X422" s="5">
        <f t="shared" si="143"/>
        <v>0</v>
      </c>
      <c r="Y422" s="5">
        <f t="shared" si="144"/>
        <v>0</v>
      </c>
      <c r="Z422" s="5">
        <f t="shared" si="145"/>
        <v>0</v>
      </c>
      <c r="AA422" s="5">
        <f t="shared" si="146"/>
        <v>0</v>
      </c>
      <c r="AB422" s="5">
        <f t="shared" si="136"/>
        <v>0</v>
      </c>
    </row>
    <row r="423" spans="4:28" x14ac:dyDescent="0.25">
      <c r="D423" t="s">
        <v>82</v>
      </c>
      <c r="E423" s="64"/>
      <c r="F423" s="64"/>
      <c r="G423">
        <f>IFERROR(HLOOKUP(G$2,[15]table_male_hkom2_inj.V1!$A$1:$K$36,14,FALSE),0)</f>
        <v>0</v>
      </c>
      <c r="H423">
        <f>IFERROR(HLOOKUP(H$2,[15]table_male_hkom2_inj.V1!$A$1:$K$36,14,FALSE),0)</f>
        <v>0</v>
      </c>
      <c r="I423">
        <f>IFERROR(HLOOKUP(I$2,[15]table_male_hkom2_inj.V1!$A$1:$K$36,14,FALSE),0)</f>
        <v>0</v>
      </c>
      <c r="J423">
        <f>IFERROR(HLOOKUP(J$2,[15]table_male_hkom2_inj.V1!$A$1:$K$36,14,FALSE),0)</f>
        <v>0</v>
      </c>
      <c r="K423">
        <f>IFERROR(HLOOKUP(K$2,[15]table_male_hkom2_inj.V1!$A$1:$K$36,14,FALSE),0)</f>
        <v>0</v>
      </c>
      <c r="L423">
        <f>IFERROR(HLOOKUP(L$2,[15]table_male_hkom2_inj.V1!$A$1:$K$36,14,FALSE),0)</f>
        <v>0</v>
      </c>
      <c r="M423">
        <f t="shared" si="138"/>
        <v>0</v>
      </c>
      <c r="S423" t="s">
        <v>82</v>
      </c>
      <c r="T423" s="5">
        <f t="shared" si="139"/>
        <v>0</v>
      </c>
      <c r="U423" s="5">
        <f t="shared" si="140"/>
        <v>0</v>
      </c>
      <c r="V423" s="5">
        <f t="shared" si="141"/>
        <v>0</v>
      </c>
      <c r="W423" s="5">
        <f t="shared" si="142"/>
        <v>0</v>
      </c>
      <c r="X423" s="5">
        <f t="shared" si="143"/>
        <v>0</v>
      </c>
      <c r="Y423" s="5">
        <f t="shared" si="144"/>
        <v>0</v>
      </c>
      <c r="Z423" s="5">
        <f t="shared" si="145"/>
        <v>0</v>
      </c>
      <c r="AA423" s="5">
        <f t="shared" si="146"/>
        <v>0</v>
      </c>
      <c r="AB423" s="5">
        <f t="shared" si="136"/>
        <v>0</v>
      </c>
    </row>
    <row r="424" spans="4:28" x14ac:dyDescent="0.25">
      <c r="D424" t="s">
        <v>83</v>
      </c>
      <c r="E424" s="64"/>
      <c r="F424" s="64"/>
      <c r="G424">
        <f>IFERROR(HLOOKUP(G$2,[15]table_male_hkom2_inj.V1!$A$1:$K$36,15,FALSE),0)</f>
        <v>0</v>
      </c>
      <c r="H424">
        <f>IFERROR(HLOOKUP(H$2,[15]table_male_hkom2_inj.V1!$A$1:$K$36,15,FALSE),0)</f>
        <v>0</v>
      </c>
      <c r="I424">
        <f>IFERROR(HLOOKUP(I$2,[15]table_male_hkom2_inj.V1!$A$1:$K$36,15,FALSE),0)</f>
        <v>0</v>
      </c>
      <c r="J424">
        <f>IFERROR(HLOOKUP(J$2,[15]table_male_hkom2_inj.V1!$A$1:$K$36,15,FALSE),0)</f>
        <v>0</v>
      </c>
      <c r="K424">
        <f>IFERROR(HLOOKUP(K$2,[15]table_male_hkom2_inj.V1!$A$1:$K$36,15,FALSE),0)</f>
        <v>0</v>
      </c>
      <c r="L424">
        <f>IFERROR(HLOOKUP(L$2,[15]table_male_hkom2_inj.V1!$A$1:$K$36,15,FALSE),0)</f>
        <v>0</v>
      </c>
      <c r="M424">
        <f t="shared" si="138"/>
        <v>0</v>
      </c>
      <c r="S424" t="s">
        <v>83</v>
      </c>
      <c r="T424" s="5">
        <f t="shared" si="139"/>
        <v>0</v>
      </c>
      <c r="U424" s="5">
        <f t="shared" si="140"/>
        <v>0</v>
      </c>
      <c r="V424" s="5">
        <f t="shared" si="141"/>
        <v>0</v>
      </c>
      <c r="W424" s="5">
        <f t="shared" si="142"/>
        <v>0</v>
      </c>
      <c r="X424" s="5">
        <f t="shared" si="143"/>
        <v>0</v>
      </c>
      <c r="Y424" s="5">
        <f t="shared" si="144"/>
        <v>0</v>
      </c>
      <c r="Z424" s="5">
        <f t="shared" si="145"/>
        <v>0</v>
      </c>
      <c r="AA424" s="5">
        <f t="shared" si="146"/>
        <v>0</v>
      </c>
      <c r="AB424" s="5">
        <f t="shared" si="136"/>
        <v>0</v>
      </c>
    </row>
    <row r="425" spans="4:28" x14ac:dyDescent="0.25">
      <c r="D425" t="s">
        <v>84</v>
      </c>
      <c r="E425" s="64"/>
      <c r="F425" s="64"/>
      <c r="G425">
        <f>IFERROR(HLOOKUP(G$2,[15]table_male_hkom2_inj.V1!$A$1:$K$36,16,FALSE),0)</f>
        <v>0</v>
      </c>
      <c r="H425">
        <f>IFERROR(HLOOKUP(H$2,[15]table_male_hkom2_inj.V1!$A$1:$K$36,16,FALSE),0)</f>
        <v>0</v>
      </c>
      <c r="I425">
        <f>IFERROR(HLOOKUP(I$2,[15]table_male_hkom2_inj.V1!$A$1:$K$36,16,FALSE),0)</f>
        <v>0</v>
      </c>
      <c r="J425">
        <f>IFERROR(HLOOKUP(J$2,[15]table_male_hkom2_inj.V1!$A$1:$K$36,16,FALSE),0)</f>
        <v>0</v>
      </c>
      <c r="K425">
        <f>IFERROR(HLOOKUP(K$2,[15]table_male_hkom2_inj.V1!$A$1:$K$36,16,FALSE),0)</f>
        <v>0</v>
      </c>
      <c r="L425">
        <f>IFERROR(HLOOKUP(L$2,[15]table_male_hkom2_inj.V1!$A$1:$K$36,16,FALSE),0)</f>
        <v>0</v>
      </c>
      <c r="M425">
        <f t="shared" si="138"/>
        <v>0</v>
      </c>
      <c r="S425" t="s">
        <v>84</v>
      </c>
      <c r="T425" s="5">
        <f t="shared" si="139"/>
        <v>0</v>
      </c>
      <c r="U425" s="5">
        <f t="shared" si="140"/>
        <v>0</v>
      </c>
      <c r="V425" s="5">
        <f t="shared" si="141"/>
        <v>0</v>
      </c>
      <c r="W425" s="5">
        <f t="shared" si="142"/>
        <v>0</v>
      </c>
      <c r="X425" s="5">
        <f t="shared" si="143"/>
        <v>0</v>
      </c>
      <c r="Y425" s="5">
        <f t="shared" si="144"/>
        <v>0</v>
      </c>
      <c r="Z425" s="5">
        <f t="shared" si="145"/>
        <v>0</v>
      </c>
      <c r="AA425" s="5">
        <f t="shared" si="146"/>
        <v>0</v>
      </c>
      <c r="AB425" s="5">
        <f t="shared" si="136"/>
        <v>0</v>
      </c>
    </row>
    <row r="426" spans="4:28" x14ac:dyDescent="0.25">
      <c r="D426" t="s">
        <v>85</v>
      </c>
      <c r="E426" s="64"/>
      <c r="F426" s="64"/>
      <c r="G426">
        <f>IFERROR(HLOOKUP(G$2,[15]table_male_hkom2_inj.V1!$A$1:$K$36,17,FALSE),0)</f>
        <v>0</v>
      </c>
      <c r="H426">
        <f>IFERROR(HLOOKUP(H$2,[15]table_male_hkom2_inj.V1!$A$1:$K$36,17,FALSE),0)</f>
        <v>0</v>
      </c>
      <c r="I426">
        <f>IFERROR(HLOOKUP(I$2,[15]table_male_hkom2_inj.V1!$A$1:$K$36,17,FALSE),0)</f>
        <v>0</v>
      </c>
      <c r="J426">
        <f>IFERROR(HLOOKUP(J$2,[15]table_male_hkom2_inj.V1!$A$1:$K$36,17,FALSE),0)</f>
        <v>0</v>
      </c>
      <c r="K426">
        <f>IFERROR(HLOOKUP(K$2,[15]table_male_hkom2_inj.V1!$A$1:$K$36,17,FALSE),0)</f>
        <v>0</v>
      </c>
      <c r="L426">
        <f>IFERROR(HLOOKUP(L$2,[15]table_male_hkom2_inj.V1!$A$1:$K$36,17,FALSE),0)</f>
        <v>0</v>
      </c>
      <c r="M426">
        <f t="shared" si="138"/>
        <v>0</v>
      </c>
      <c r="S426" t="s">
        <v>85</v>
      </c>
      <c r="T426" s="5">
        <f t="shared" si="139"/>
        <v>0</v>
      </c>
      <c r="U426" s="5">
        <f t="shared" si="140"/>
        <v>0</v>
      </c>
      <c r="V426" s="5">
        <f t="shared" si="141"/>
        <v>0</v>
      </c>
      <c r="W426" s="5">
        <f t="shared" si="142"/>
        <v>0</v>
      </c>
      <c r="X426" s="5">
        <f t="shared" si="143"/>
        <v>0</v>
      </c>
      <c r="Y426" s="5">
        <f t="shared" si="144"/>
        <v>0</v>
      </c>
      <c r="Z426" s="5">
        <f t="shared" si="145"/>
        <v>0</v>
      </c>
      <c r="AA426" s="5">
        <f t="shared" si="146"/>
        <v>0</v>
      </c>
      <c r="AB426" s="5">
        <f t="shared" si="136"/>
        <v>0</v>
      </c>
    </row>
    <row r="427" spans="4:28" x14ac:dyDescent="0.25">
      <c r="D427" t="s">
        <v>86</v>
      </c>
      <c r="E427" s="64"/>
      <c r="F427" s="64"/>
      <c r="G427">
        <f>IFERROR(HLOOKUP(G$2,[15]table_male_hkom2_inj.V1!$A$1:$K$36,18,FALSE),0)</f>
        <v>1</v>
      </c>
      <c r="H427">
        <f>IFERROR(HLOOKUP(H$2,[15]table_male_hkom2_inj.V1!$A$1:$K$36,18,FALSE),0)</f>
        <v>0</v>
      </c>
      <c r="I427">
        <f>IFERROR(HLOOKUP(I$2,[15]table_male_hkom2_inj.V1!$A$1:$K$36,18,FALSE),0)</f>
        <v>0</v>
      </c>
      <c r="J427">
        <f>IFERROR(HLOOKUP(J$2,[15]table_male_hkom2_inj.V1!$A$1:$K$36,18,FALSE),0)</f>
        <v>0</v>
      </c>
      <c r="K427">
        <f>IFERROR(HLOOKUP(K$2,[15]table_male_hkom2_inj.V1!$A$1:$K$36,18,FALSE),0)</f>
        <v>0</v>
      </c>
      <c r="L427">
        <f>IFERROR(HLOOKUP(L$2,[15]table_male_hkom2_inj.V1!$A$1:$K$36,18,FALSE),0)</f>
        <v>0</v>
      </c>
      <c r="M427">
        <f t="shared" si="138"/>
        <v>1</v>
      </c>
      <c r="S427" t="s">
        <v>86</v>
      </c>
      <c r="T427" s="5">
        <f t="shared" si="139"/>
        <v>0</v>
      </c>
      <c r="U427" s="5">
        <f t="shared" si="140"/>
        <v>0</v>
      </c>
      <c r="V427" s="5">
        <f t="shared" si="141"/>
        <v>1</v>
      </c>
      <c r="W427" s="5">
        <f t="shared" si="142"/>
        <v>0</v>
      </c>
      <c r="X427" s="5">
        <f t="shared" si="143"/>
        <v>0</v>
      </c>
      <c r="Y427" s="5">
        <f t="shared" si="144"/>
        <v>0</v>
      </c>
      <c r="Z427" s="5">
        <f t="shared" si="145"/>
        <v>0</v>
      </c>
      <c r="AA427" s="5">
        <f t="shared" si="146"/>
        <v>0</v>
      </c>
      <c r="AB427" s="5">
        <f t="shared" si="136"/>
        <v>1</v>
      </c>
    </row>
    <row r="428" spans="4:28" x14ac:dyDescent="0.25">
      <c r="D428" t="s">
        <v>87</v>
      </c>
      <c r="E428" s="64"/>
      <c r="F428" s="64"/>
      <c r="G428">
        <f>IFERROR(HLOOKUP(G$2,[15]table_male_hkom2_inj.V1!$A$1:$K$36,19,FALSE),0)</f>
        <v>2</v>
      </c>
      <c r="H428">
        <f>IFERROR(HLOOKUP(H$2,[15]table_male_hkom2_inj.V1!$A$1:$K$36,19,FALSE),0)</f>
        <v>0</v>
      </c>
      <c r="I428">
        <f>IFERROR(HLOOKUP(I$2,[15]table_male_hkom2_inj.V1!$A$1:$K$36,19,FALSE),0)</f>
        <v>0</v>
      </c>
      <c r="J428">
        <f>IFERROR(HLOOKUP(J$2,[15]table_male_hkom2_inj.V1!$A$1:$K$36,19,FALSE),0)</f>
        <v>0</v>
      </c>
      <c r="K428">
        <f>IFERROR(HLOOKUP(K$2,[15]table_male_hkom2_inj.V1!$A$1:$K$36,19,FALSE),0)</f>
        <v>0</v>
      </c>
      <c r="L428">
        <f>IFERROR(HLOOKUP(L$2,[15]table_male_hkom2_inj.V1!$A$1:$K$36,19,FALSE),0)</f>
        <v>0</v>
      </c>
      <c r="M428">
        <f t="shared" si="138"/>
        <v>2</v>
      </c>
      <c r="S428" t="s">
        <v>87</v>
      </c>
      <c r="T428" s="5">
        <f t="shared" si="139"/>
        <v>0</v>
      </c>
      <c r="U428" s="5">
        <f t="shared" si="140"/>
        <v>0</v>
      </c>
      <c r="V428" s="5">
        <f t="shared" si="141"/>
        <v>2</v>
      </c>
      <c r="W428" s="5">
        <f t="shared" si="142"/>
        <v>0</v>
      </c>
      <c r="X428" s="5">
        <f t="shared" si="143"/>
        <v>0</v>
      </c>
      <c r="Y428" s="5">
        <f t="shared" si="144"/>
        <v>0</v>
      </c>
      <c r="Z428" s="5">
        <f t="shared" si="145"/>
        <v>0</v>
      </c>
      <c r="AA428" s="5">
        <f t="shared" si="146"/>
        <v>0</v>
      </c>
      <c r="AB428" s="5">
        <f t="shared" si="136"/>
        <v>2</v>
      </c>
    </row>
    <row r="429" spans="4:28" x14ac:dyDescent="0.25">
      <c r="D429" t="s">
        <v>88</v>
      </c>
      <c r="E429" s="64"/>
      <c r="F429" s="64"/>
      <c r="G429">
        <f>IFERROR(HLOOKUP(G$2,[15]table_male_hkom2_inj.V1!$A$1:$K$36,20,FALSE),0)</f>
        <v>0</v>
      </c>
      <c r="H429">
        <f>IFERROR(HLOOKUP(H$2,[15]table_male_hkom2_inj.V1!$A$1:$K$36,20,FALSE),0)</f>
        <v>0</v>
      </c>
      <c r="I429">
        <f>IFERROR(HLOOKUP(I$2,[15]table_male_hkom2_inj.V1!$A$1:$K$36,20,FALSE),0)</f>
        <v>0</v>
      </c>
      <c r="J429">
        <f>IFERROR(HLOOKUP(J$2,[15]table_male_hkom2_inj.V1!$A$1:$K$36,20,FALSE),0)</f>
        <v>0</v>
      </c>
      <c r="K429">
        <f>IFERROR(HLOOKUP(K$2,[15]table_male_hkom2_inj.V1!$A$1:$K$36,20,FALSE),0)</f>
        <v>0</v>
      </c>
      <c r="L429">
        <f>IFERROR(HLOOKUP(L$2,[15]table_male_hkom2_inj.V1!$A$1:$K$36,20,FALSE),0)</f>
        <v>0</v>
      </c>
      <c r="M429">
        <f t="shared" si="138"/>
        <v>0</v>
      </c>
      <c r="S429" t="s">
        <v>88</v>
      </c>
      <c r="T429" s="5">
        <f t="shared" si="139"/>
        <v>0</v>
      </c>
      <c r="U429" s="5">
        <f t="shared" si="140"/>
        <v>0</v>
      </c>
      <c r="V429" s="5">
        <f t="shared" si="141"/>
        <v>0</v>
      </c>
      <c r="W429" s="5">
        <f t="shared" si="142"/>
        <v>0</v>
      </c>
      <c r="X429" s="5">
        <f t="shared" si="143"/>
        <v>0</v>
      </c>
      <c r="Y429" s="5">
        <f t="shared" si="144"/>
        <v>0</v>
      </c>
      <c r="Z429" s="5">
        <f t="shared" si="145"/>
        <v>0</v>
      </c>
      <c r="AA429" s="5">
        <f t="shared" si="146"/>
        <v>0</v>
      </c>
      <c r="AB429" s="5">
        <f t="shared" si="136"/>
        <v>0</v>
      </c>
    </row>
    <row r="430" spans="4:28" x14ac:dyDescent="0.25">
      <c r="D430" t="s">
        <v>89</v>
      </c>
      <c r="E430" s="64"/>
      <c r="F430" s="64"/>
      <c r="G430">
        <f>IFERROR(HLOOKUP(G$2,[15]table_male_hkom2_inj.V1!$A$1:$K$36,21,FALSE),0)</f>
        <v>0</v>
      </c>
      <c r="H430">
        <f>IFERROR(HLOOKUP(H$2,[15]table_male_hkom2_inj.V1!$A$1:$K$36,21,FALSE),0)</f>
        <v>0</v>
      </c>
      <c r="I430">
        <f>IFERROR(HLOOKUP(I$2,[15]table_male_hkom2_inj.V1!$A$1:$K$36,21,FALSE),0)</f>
        <v>0</v>
      </c>
      <c r="J430">
        <f>IFERROR(HLOOKUP(J$2,[15]table_male_hkom2_inj.V1!$A$1:$K$36,21,FALSE),0)</f>
        <v>0</v>
      </c>
      <c r="K430">
        <f>IFERROR(HLOOKUP(K$2,[15]table_male_hkom2_inj.V1!$A$1:$K$36,21,FALSE),0)</f>
        <v>0</v>
      </c>
      <c r="L430">
        <f>IFERROR(HLOOKUP(L$2,[15]table_male_hkom2_inj.V1!$A$1:$K$36,21,FALSE),0)</f>
        <v>0</v>
      </c>
      <c r="M430">
        <f t="shared" si="138"/>
        <v>0</v>
      </c>
      <c r="S430" t="s">
        <v>89</v>
      </c>
      <c r="T430" s="5">
        <f t="shared" si="139"/>
        <v>0</v>
      </c>
      <c r="U430" s="5">
        <f t="shared" si="140"/>
        <v>0</v>
      </c>
      <c r="V430" s="5">
        <f t="shared" si="141"/>
        <v>0</v>
      </c>
      <c r="W430" s="5">
        <f t="shared" si="142"/>
        <v>0</v>
      </c>
      <c r="X430" s="5">
        <f t="shared" si="143"/>
        <v>0</v>
      </c>
      <c r="Y430" s="5">
        <f t="shared" si="144"/>
        <v>0</v>
      </c>
      <c r="Z430" s="5">
        <f t="shared" si="145"/>
        <v>0</v>
      </c>
      <c r="AA430" s="5">
        <f t="shared" si="146"/>
        <v>0</v>
      </c>
      <c r="AB430" s="5">
        <f t="shared" si="136"/>
        <v>0</v>
      </c>
    </row>
    <row r="431" spans="4:28" x14ac:dyDescent="0.25">
      <c r="D431" t="s">
        <v>90</v>
      </c>
      <c r="E431" s="64"/>
      <c r="F431" s="64"/>
      <c r="G431">
        <f>IFERROR(HLOOKUP(G$2,[15]table_male_hkom2_inj.V1!$A$1:$K$36,22,FALSE),0)</f>
        <v>0</v>
      </c>
      <c r="H431">
        <f>IFERROR(HLOOKUP(H$2,[15]table_male_hkom2_inj.V1!$A$1:$K$36,22,FALSE),0)</f>
        <v>0</v>
      </c>
      <c r="I431">
        <f>IFERROR(HLOOKUP(I$2,[15]table_male_hkom2_inj.V1!$A$1:$K$36,22,FALSE),0)</f>
        <v>0</v>
      </c>
      <c r="J431">
        <f>IFERROR(HLOOKUP(J$2,[15]table_male_hkom2_inj.V1!$A$1:$K$36,22,FALSE),0)</f>
        <v>0</v>
      </c>
      <c r="K431">
        <f>IFERROR(HLOOKUP(K$2,[15]table_male_hkom2_inj.V1!$A$1:$K$36,22,FALSE),0)</f>
        <v>0</v>
      </c>
      <c r="L431">
        <f>IFERROR(HLOOKUP(L$2,[15]table_male_hkom2_inj.V1!$A$1:$K$36,22,FALSE),0)</f>
        <v>0</v>
      </c>
      <c r="M431">
        <f t="shared" si="138"/>
        <v>0</v>
      </c>
      <c r="S431" t="s">
        <v>90</v>
      </c>
      <c r="T431" s="5">
        <f t="shared" si="139"/>
        <v>0</v>
      </c>
      <c r="U431" s="5">
        <f t="shared" si="140"/>
        <v>0</v>
      </c>
      <c r="V431" s="5">
        <f t="shared" si="141"/>
        <v>0</v>
      </c>
      <c r="W431" s="5">
        <f t="shared" si="142"/>
        <v>0</v>
      </c>
      <c r="X431" s="5">
        <f t="shared" si="143"/>
        <v>0</v>
      </c>
      <c r="Y431" s="5">
        <f t="shared" si="144"/>
        <v>0</v>
      </c>
      <c r="Z431" s="5">
        <f t="shared" si="145"/>
        <v>0</v>
      </c>
      <c r="AA431" s="5">
        <f t="shared" si="146"/>
        <v>0</v>
      </c>
      <c r="AB431" s="5">
        <f t="shared" si="136"/>
        <v>0</v>
      </c>
    </row>
    <row r="432" spans="4:28" x14ac:dyDescent="0.25">
      <c r="D432" t="s">
        <v>91</v>
      </c>
      <c r="E432" s="64"/>
      <c r="F432" s="64"/>
      <c r="G432">
        <f>IFERROR(HLOOKUP(G$2,[15]table_male_hkom2_inj.V1!$A$1:$K$36,23,FALSE),0)</f>
        <v>0</v>
      </c>
      <c r="H432">
        <f>IFERROR(HLOOKUP(H$2,[15]table_male_hkom2_inj.V1!$A$1:$K$36,23,FALSE),0)</f>
        <v>0</v>
      </c>
      <c r="I432">
        <f>IFERROR(HLOOKUP(I$2,[15]table_male_hkom2_inj.V1!$A$1:$K$36,23,FALSE),0)</f>
        <v>0</v>
      </c>
      <c r="J432">
        <f>IFERROR(HLOOKUP(J$2,[15]table_male_hkom2_inj.V1!$A$1:$K$36,23,FALSE),0)</f>
        <v>0</v>
      </c>
      <c r="K432">
        <f>IFERROR(HLOOKUP(K$2,[15]table_male_hkom2_inj.V1!$A$1:$K$36,23,FALSE),0)</f>
        <v>0</v>
      </c>
      <c r="L432">
        <f>IFERROR(HLOOKUP(L$2,[15]table_male_hkom2_inj.V1!$A$1:$K$36,23,FALSE),0)</f>
        <v>0</v>
      </c>
      <c r="M432">
        <f t="shared" si="138"/>
        <v>0</v>
      </c>
      <c r="S432" t="s">
        <v>91</v>
      </c>
      <c r="T432" s="5">
        <f t="shared" si="139"/>
        <v>0</v>
      </c>
      <c r="U432" s="5">
        <f t="shared" si="140"/>
        <v>0</v>
      </c>
      <c r="V432" s="5">
        <f t="shared" si="141"/>
        <v>0</v>
      </c>
      <c r="W432" s="5">
        <f t="shared" si="142"/>
        <v>0</v>
      </c>
      <c r="X432" s="5">
        <f t="shared" si="143"/>
        <v>0</v>
      </c>
      <c r="Y432" s="5">
        <f t="shared" si="144"/>
        <v>0</v>
      </c>
      <c r="Z432" s="5">
        <f t="shared" si="145"/>
        <v>0</v>
      </c>
      <c r="AA432" s="5">
        <f t="shared" si="146"/>
        <v>0</v>
      </c>
      <c r="AB432" s="5">
        <f t="shared" si="136"/>
        <v>0</v>
      </c>
    </row>
    <row r="433" spans="1:29" x14ac:dyDescent="0.25">
      <c r="D433" t="s">
        <v>92</v>
      </c>
      <c r="E433" s="64"/>
      <c r="F433" s="64"/>
      <c r="G433">
        <f>IFERROR(HLOOKUP(G$2,[15]table_male_hkom2_inj.V1!$A$1:$K$36,24,FALSE),0)</f>
        <v>0</v>
      </c>
      <c r="H433">
        <f>IFERROR(HLOOKUP(H$2,[15]table_male_hkom2_inj.V1!$A$1:$K$36,24,FALSE),0)</f>
        <v>0</v>
      </c>
      <c r="I433">
        <f>IFERROR(HLOOKUP(I$2,[15]table_male_hkom2_inj.V1!$A$1:$K$36,24,FALSE),0)</f>
        <v>0</v>
      </c>
      <c r="J433">
        <f>IFERROR(HLOOKUP(J$2,[15]table_male_hkom2_inj.V1!$A$1:$K$36,24,FALSE),0)</f>
        <v>0</v>
      </c>
      <c r="K433">
        <f>IFERROR(HLOOKUP(K$2,[15]table_male_hkom2_inj.V1!$A$1:$K$36,24,FALSE),0)</f>
        <v>0</v>
      </c>
      <c r="L433">
        <f>IFERROR(HLOOKUP(L$2,[15]table_male_hkom2_inj.V1!$A$1:$K$36,24,FALSE),0)</f>
        <v>0</v>
      </c>
      <c r="M433">
        <f t="shared" si="138"/>
        <v>0</v>
      </c>
      <c r="S433" t="s">
        <v>92</v>
      </c>
      <c r="T433" s="5">
        <f t="shared" si="139"/>
        <v>0</v>
      </c>
      <c r="U433" s="5">
        <f t="shared" si="140"/>
        <v>0</v>
      </c>
      <c r="V433" s="5">
        <f t="shared" si="141"/>
        <v>0</v>
      </c>
      <c r="W433" s="5">
        <f t="shared" si="142"/>
        <v>0</v>
      </c>
      <c r="X433" s="5">
        <f t="shared" si="143"/>
        <v>0</v>
      </c>
      <c r="Y433" s="5">
        <f t="shared" si="144"/>
        <v>0</v>
      </c>
      <c r="Z433" s="5">
        <f t="shared" si="145"/>
        <v>0</v>
      </c>
      <c r="AA433" s="5">
        <f t="shared" si="146"/>
        <v>0</v>
      </c>
      <c r="AB433" s="5">
        <f t="shared" si="136"/>
        <v>0</v>
      </c>
    </row>
    <row r="434" spans="1:29" x14ac:dyDescent="0.25">
      <c r="D434" t="s">
        <v>93</v>
      </c>
      <c r="E434" s="64"/>
      <c r="F434" s="64"/>
      <c r="G434">
        <f>IFERROR(HLOOKUP(G$2,[15]table_male_hkom2_inj.V1!$A$1:$K$36,25,FALSE),0)</f>
        <v>0</v>
      </c>
      <c r="H434">
        <f>IFERROR(HLOOKUP(H$2,[15]table_male_hkom2_inj.V1!$A$1:$K$36,25,FALSE),0)</f>
        <v>0</v>
      </c>
      <c r="I434">
        <f>IFERROR(HLOOKUP(I$2,[15]table_male_hkom2_inj.V1!$A$1:$K$36,25,FALSE),0)</f>
        <v>0</v>
      </c>
      <c r="J434">
        <f>IFERROR(HLOOKUP(J$2,[15]table_male_hkom2_inj.V1!$A$1:$K$36,25,FALSE),0)</f>
        <v>0</v>
      </c>
      <c r="K434">
        <f>IFERROR(HLOOKUP(K$2,[15]table_male_hkom2_inj.V1!$A$1:$K$36,25,FALSE),0)</f>
        <v>0</v>
      </c>
      <c r="L434">
        <f>IFERROR(HLOOKUP(L$2,[15]table_male_hkom2_inj.V1!$A$1:$K$36,25,FALSE),0)</f>
        <v>0</v>
      </c>
      <c r="M434">
        <f t="shared" si="138"/>
        <v>0</v>
      </c>
      <c r="S434" t="s">
        <v>93</v>
      </c>
      <c r="T434" s="5">
        <f t="shared" si="139"/>
        <v>0</v>
      </c>
      <c r="U434" s="5">
        <f t="shared" si="140"/>
        <v>0</v>
      </c>
      <c r="V434" s="5">
        <f t="shared" si="141"/>
        <v>0</v>
      </c>
      <c r="W434" s="5">
        <f t="shared" si="142"/>
        <v>0</v>
      </c>
      <c r="X434" s="5">
        <f t="shared" si="143"/>
        <v>0</v>
      </c>
      <c r="Y434" s="5">
        <f t="shared" si="144"/>
        <v>0</v>
      </c>
      <c r="Z434" s="5">
        <f t="shared" si="145"/>
        <v>0</v>
      </c>
      <c r="AA434" s="5">
        <f t="shared" si="146"/>
        <v>0</v>
      </c>
      <c r="AB434" s="5">
        <f t="shared" si="136"/>
        <v>0</v>
      </c>
    </row>
    <row r="435" spans="1:29" x14ac:dyDescent="0.25">
      <c r="D435" t="s">
        <v>94</v>
      </c>
      <c r="E435" s="64"/>
      <c r="F435" s="64"/>
      <c r="G435">
        <f>IFERROR(HLOOKUP(G$2,[15]table_male_hkom2_inj.V1!$A$1:$K$36,26,FALSE),0)</f>
        <v>0</v>
      </c>
      <c r="H435">
        <f>IFERROR(HLOOKUP(H$2,[15]table_male_hkom2_inj.V1!$A$1:$K$36,26,FALSE),0)</f>
        <v>0</v>
      </c>
      <c r="I435">
        <f>IFERROR(HLOOKUP(I$2,[15]table_male_hkom2_inj.V1!$A$1:$K$36,26,FALSE),0)</f>
        <v>0</v>
      </c>
      <c r="J435">
        <f>IFERROR(HLOOKUP(J$2,[15]table_male_hkom2_inj.V1!$A$1:$K$36,26,FALSE),0)</f>
        <v>0</v>
      </c>
      <c r="K435">
        <f>IFERROR(HLOOKUP(K$2,[15]table_male_hkom2_inj.V1!$A$1:$K$36,26,FALSE),0)</f>
        <v>0</v>
      </c>
      <c r="L435">
        <f>IFERROR(HLOOKUP(L$2,[15]table_male_hkom2_inj.V1!$A$1:$K$36,26,FALSE),0)</f>
        <v>0</v>
      </c>
      <c r="M435">
        <f t="shared" si="138"/>
        <v>0</v>
      </c>
      <c r="S435" t="s">
        <v>94</v>
      </c>
      <c r="T435" s="5">
        <f t="shared" si="139"/>
        <v>0</v>
      </c>
      <c r="U435" s="5">
        <f t="shared" si="140"/>
        <v>0</v>
      </c>
      <c r="V435" s="5">
        <f t="shared" si="141"/>
        <v>0</v>
      </c>
      <c r="W435" s="5">
        <f t="shared" si="142"/>
        <v>0</v>
      </c>
      <c r="X435" s="5">
        <f t="shared" si="143"/>
        <v>0</v>
      </c>
      <c r="Y435" s="5">
        <f t="shared" si="144"/>
        <v>0</v>
      </c>
      <c r="Z435" s="5">
        <f t="shared" si="145"/>
        <v>0</v>
      </c>
      <c r="AA435" s="5">
        <f t="shared" si="146"/>
        <v>0</v>
      </c>
      <c r="AB435" s="5">
        <f t="shared" si="136"/>
        <v>0</v>
      </c>
    </row>
    <row r="436" spans="1:29" x14ac:dyDescent="0.25">
      <c r="D436" t="s">
        <v>95</v>
      </c>
      <c r="E436" s="64"/>
      <c r="F436" s="64"/>
      <c r="G436">
        <f>IFERROR(HLOOKUP(G$2,[15]table_male_hkom2_inj.V1!$A$1:$K$36,27,FALSE),0)</f>
        <v>0</v>
      </c>
      <c r="H436">
        <f>IFERROR(HLOOKUP(H$2,[15]table_male_hkom2_inj.V1!$A$1:$K$36,27,FALSE),0)</f>
        <v>0</v>
      </c>
      <c r="I436">
        <f>IFERROR(HLOOKUP(I$2,[15]table_male_hkom2_inj.V1!$A$1:$K$36,27,FALSE),0)</f>
        <v>0</v>
      </c>
      <c r="J436">
        <f>IFERROR(HLOOKUP(J$2,[15]table_male_hkom2_inj.V1!$A$1:$K$36,27,FALSE),0)</f>
        <v>0</v>
      </c>
      <c r="K436">
        <f>IFERROR(HLOOKUP(K$2,[15]table_male_hkom2_inj.V1!$A$1:$K$36,27,FALSE),0)</f>
        <v>0</v>
      </c>
      <c r="L436">
        <f>IFERROR(HLOOKUP(L$2,[15]table_male_hkom2_inj.V1!$A$1:$K$36,27,FALSE),0)</f>
        <v>0</v>
      </c>
      <c r="M436">
        <f t="shared" si="138"/>
        <v>0</v>
      </c>
      <c r="S436" t="s">
        <v>95</v>
      </c>
      <c r="T436" s="5">
        <f t="shared" si="139"/>
        <v>0</v>
      </c>
      <c r="U436" s="5">
        <f t="shared" si="140"/>
        <v>0</v>
      </c>
      <c r="V436" s="5">
        <f t="shared" si="141"/>
        <v>0</v>
      </c>
      <c r="W436" s="5">
        <f t="shared" si="142"/>
        <v>0</v>
      </c>
      <c r="X436" s="5">
        <f t="shared" si="143"/>
        <v>0</v>
      </c>
      <c r="Y436" s="5">
        <f t="shared" si="144"/>
        <v>0</v>
      </c>
      <c r="Z436" s="5">
        <f t="shared" si="145"/>
        <v>0</v>
      </c>
      <c r="AA436" s="5">
        <f t="shared" si="146"/>
        <v>0</v>
      </c>
      <c r="AB436" s="5">
        <f t="shared" si="136"/>
        <v>0</v>
      </c>
    </row>
    <row r="437" spans="1:29" x14ac:dyDescent="0.25">
      <c r="D437" t="s">
        <v>96</v>
      </c>
      <c r="E437" s="64"/>
      <c r="F437" s="64"/>
      <c r="G437">
        <f>IFERROR(HLOOKUP(G$2,[15]table_male_hkom2_inj.V1!$A$1:$K$36,28,FALSE),0)</f>
        <v>0</v>
      </c>
      <c r="H437">
        <f>IFERROR(HLOOKUP(H$2,[15]table_male_hkom2_inj.V1!$A$1:$K$36,28,FALSE),0)</f>
        <v>0</v>
      </c>
      <c r="I437">
        <f>IFERROR(HLOOKUP(I$2,[15]table_male_hkom2_inj.V1!$A$1:$K$36,28,FALSE),0)</f>
        <v>0</v>
      </c>
      <c r="J437">
        <f>IFERROR(HLOOKUP(J$2,[15]table_male_hkom2_inj.V1!$A$1:$K$36,28,FALSE),0)</f>
        <v>0</v>
      </c>
      <c r="K437">
        <f>IFERROR(HLOOKUP(K$2,[15]table_male_hkom2_inj.V1!$A$1:$K$36,28,FALSE),0)</f>
        <v>0</v>
      </c>
      <c r="L437">
        <f>IFERROR(HLOOKUP(L$2,[15]table_male_hkom2_inj.V1!$A$1:$K$36,28,FALSE),0)</f>
        <v>0</v>
      </c>
      <c r="M437">
        <f t="shared" si="138"/>
        <v>0</v>
      </c>
      <c r="S437" t="s">
        <v>96</v>
      </c>
      <c r="T437" s="5">
        <f t="shared" si="139"/>
        <v>0</v>
      </c>
      <c r="U437" s="5">
        <f t="shared" si="140"/>
        <v>0</v>
      </c>
      <c r="V437" s="5">
        <f t="shared" si="141"/>
        <v>0</v>
      </c>
      <c r="W437" s="5">
        <f t="shared" si="142"/>
        <v>0</v>
      </c>
      <c r="X437" s="5">
        <f t="shared" si="143"/>
        <v>0</v>
      </c>
      <c r="Y437" s="5">
        <f t="shared" si="144"/>
        <v>0</v>
      </c>
      <c r="Z437" s="5">
        <f t="shared" si="145"/>
        <v>0</v>
      </c>
      <c r="AA437" s="5">
        <f t="shared" si="146"/>
        <v>0</v>
      </c>
      <c r="AB437" s="5">
        <f t="shared" si="136"/>
        <v>0</v>
      </c>
    </row>
    <row r="438" spans="1:29" x14ac:dyDescent="0.25">
      <c r="D438" t="s">
        <v>97</v>
      </c>
      <c r="E438" s="64"/>
      <c r="F438" s="64"/>
      <c r="G438">
        <f>IFERROR(HLOOKUP(G$2,[15]table_male_hkom2_inj.V1!$A$1:$K$36,29,FALSE),0)</f>
        <v>0</v>
      </c>
      <c r="H438">
        <f>IFERROR(HLOOKUP(H$2,[15]table_male_hkom2_inj.V1!$A$1:$K$36,29,FALSE),0)</f>
        <v>0</v>
      </c>
      <c r="I438">
        <f>IFERROR(HLOOKUP(I$2,[15]table_male_hkom2_inj.V1!$A$1:$K$36,29,FALSE),0)</f>
        <v>0</v>
      </c>
      <c r="J438">
        <f>IFERROR(HLOOKUP(J$2,[15]table_male_hkom2_inj.V1!$A$1:$K$36,29,FALSE),0)</f>
        <v>0</v>
      </c>
      <c r="K438">
        <f>IFERROR(HLOOKUP(K$2,[15]table_male_hkom2_inj.V1!$A$1:$K$36,29,FALSE),0)</f>
        <v>0</v>
      </c>
      <c r="L438">
        <f>IFERROR(HLOOKUP(L$2,[15]table_male_hkom2_inj.V1!$A$1:$K$36,29,FALSE),0)</f>
        <v>0</v>
      </c>
      <c r="M438">
        <f t="shared" si="138"/>
        <v>0</v>
      </c>
      <c r="S438" t="s">
        <v>97</v>
      </c>
      <c r="T438" s="5">
        <f t="shared" si="139"/>
        <v>0</v>
      </c>
      <c r="U438" s="5">
        <f t="shared" si="140"/>
        <v>0</v>
      </c>
      <c r="V438" s="5">
        <f t="shared" si="141"/>
        <v>0</v>
      </c>
      <c r="W438" s="5">
        <f t="shared" si="142"/>
        <v>0</v>
      </c>
      <c r="X438" s="5">
        <f t="shared" si="143"/>
        <v>0</v>
      </c>
      <c r="Y438" s="5">
        <f t="shared" si="144"/>
        <v>0</v>
      </c>
      <c r="Z438" s="5">
        <f t="shared" si="145"/>
        <v>0</v>
      </c>
      <c r="AA438" s="5">
        <f t="shared" si="146"/>
        <v>0</v>
      </c>
      <c r="AB438" s="5">
        <f t="shared" si="136"/>
        <v>0</v>
      </c>
    </row>
    <row r="439" spans="1:29" x14ac:dyDescent="0.25">
      <c r="D439" t="s">
        <v>98</v>
      </c>
      <c r="E439" s="64"/>
      <c r="F439" s="64"/>
      <c r="G439">
        <f>IFERROR(HLOOKUP(G$2,[15]table_male_hkom2_inj.V1!$A$1:$K$36,30,FALSE),0)</f>
        <v>0</v>
      </c>
      <c r="H439">
        <f>IFERROR(HLOOKUP(H$2,[15]table_male_hkom2_inj.V1!$A$1:$K$36,30,FALSE),0)</f>
        <v>0</v>
      </c>
      <c r="I439">
        <f>IFERROR(HLOOKUP(I$2,[15]table_male_hkom2_inj.V1!$A$1:$K$36,30,FALSE),0)</f>
        <v>0</v>
      </c>
      <c r="J439">
        <f>IFERROR(HLOOKUP(J$2,[15]table_male_hkom2_inj.V1!$A$1:$K$36,30,FALSE),0)</f>
        <v>0</v>
      </c>
      <c r="K439">
        <f>IFERROR(HLOOKUP(K$2,[15]table_male_hkom2_inj.V1!$A$1:$K$36,30,FALSE),0)</f>
        <v>0</v>
      </c>
      <c r="L439">
        <f>IFERROR(HLOOKUP(L$2,[15]table_male_hkom2_inj.V1!$A$1:$K$36,30,FALSE),0)</f>
        <v>0</v>
      </c>
      <c r="M439">
        <f t="shared" si="138"/>
        <v>0</v>
      </c>
      <c r="S439" t="s">
        <v>98</v>
      </c>
      <c r="T439" s="5">
        <f t="shared" si="139"/>
        <v>0</v>
      </c>
      <c r="U439" s="5">
        <f t="shared" si="140"/>
        <v>0</v>
      </c>
      <c r="V439" s="5">
        <f t="shared" si="141"/>
        <v>0</v>
      </c>
      <c r="W439" s="5">
        <f t="shared" si="142"/>
        <v>0</v>
      </c>
      <c r="X439" s="5">
        <f t="shared" si="143"/>
        <v>0</v>
      </c>
      <c r="Y439" s="5">
        <f t="shared" si="144"/>
        <v>0</v>
      </c>
      <c r="Z439" s="5">
        <f t="shared" si="145"/>
        <v>0</v>
      </c>
      <c r="AA439" s="5">
        <f t="shared" si="146"/>
        <v>0</v>
      </c>
      <c r="AB439" s="5">
        <f t="shared" si="136"/>
        <v>0</v>
      </c>
    </row>
    <row r="440" spans="1:29" x14ac:dyDescent="0.25">
      <c r="D440" t="s">
        <v>119</v>
      </c>
      <c r="E440" s="64"/>
      <c r="F440" s="64"/>
      <c r="G440">
        <f>IFERROR(HLOOKUP(G$2,[15]table_male_hkom2_inj.V1!$A$1:$K$36,31,FALSE),0)</f>
        <v>0</v>
      </c>
      <c r="H440">
        <f>IFERROR(HLOOKUP(H$2,[15]table_male_hkom2_inj.V1!$A$1:$K$36,31,FALSE),0)</f>
        <v>0</v>
      </c>
      <c r="I440">
        <f>IFERROR(HLOOKUP(I$2,[15]table_male_hkom2_inj.V1!$A$1:$K$36,31,FALSE),0)</f>
        <v>0</v>
      </c>
      <c r="J440">
        <f>IFERROR(HLOOKUP(J$2,[15]table_male_hkom2_inj.V1!$A$1:$K$36,31,FALSE),0)</f>
        <v>0</v>
      </c>
      <c r="K440">
        <f>IFERROR(HLOOKUP(K$2,[15]table_male_hkom2_inj.V1!$A$1:$K$36,31,FALSE),0)</f>
        <v>0</v>
      </c>
      <c r="L440">
        <f>IFERROR(HLOOKUP(L$2,[15]table_male_hkom2_inj.V1!$A$1:$K$36,31,FALSE),0)</f>
        <v>0</v>
      </c>
      <c r="M440">
        <f t="shared" si="138"/>
        <v>0</v>
      </c>
      <c r="S440" t="s">
        <v>119</v>
      </c>
      <c r="T440" s="5">
        <f t="shared" si="139"/>
        <v>0</v>
      </c>
      <c r="U440" s="5">
        <f t="shared" si="140"/>
        <v>0</v>
      </c>
      <c r="V440" s="5">
        <f t="shared" si="141"/>
        <v>0</v>
      </c>
      <c r="W440" s="5">
        <f t="shared" si="142"/>
        <v>0</v>
      </c>
      <c r="X440" s="5">
        <f t="shared" si="143"/>
        <v>0</v>
      </c>
      <c r="Y440" s="5">
        <f t="shared" si="144"/>
        <v>0</v>
      </c>
      <c r="Z440" s="5">
        <f t="shared" si="145"/>
        <v>0</v>
      </c>
      <c r="AA440" s="5">
        <f t="shared" si="146"/>
        <v>0</v>
      </c>
      <c r="AB440" s="5">
        <f t="shared" si="136"/>
        <v>0</v>
      </c>
    </row>
    <row r="441" spans="1:29" x14ac:dyDescent="0.25">
      <c r="D441" t="s">
        <v>99</v>
      </c>
      <c r="E441" s="64"/>
      <c r="F441" s="64"/>
      <c r="G441">
        <f>IFERROR(HLOOKUP(G$2,[15]table_male_hkom2_inj.V1!$A$1:$K$36,32,FALSE),0)</f>
        <v>0</v>
      </c>
      <c r="H441">
        <f>IFERROR(HLOOKUP(H$2,[15]table_male_hkom2_inj.V1!$A$1:$K$36,32,FALSE),0)</f>
        <v>0</v>
      </c>
      <c r="I441">
        <f>IFERROR(HLOOKUP(I$2,[15]table_male_hkom2_inj.V1!$A$1:$K$36,32,FALSE),0)</f>
        <v>0</v>
      </c>
      <c r="J441">
        <f>IFERROR(HLOOKUP(J$2,[15]table_male_hkom2_inj.V1!$A$1:$K$36,32,FALSE),0)</f>
        <v>0</v>
      </c>
      <c r="K441">
        <f>IFERROR(HLOOKUP(K$2,[15]table_male_hkom2_inj.V1!$A$1:$K$36,32,FALSE),0)</f>
        <v>0</v>
      </c>
      <c r="L441">
        <f>IFERROR(HLOOKUP(L$2,[15]table_male_hkom2_inj.V1!$A$1:$K$36,32,FALSE),0)</f>
        <v>0</v>
      </c>
      <c r="M441">
        <f t="shared" si="138"/>
        <v>0</v>
      </c>
      <c r="S441" t="s">
        <v>99</v>
      </c>
      <c r="T441" s="5">
        <f t="shared" si="139"/>
        <v>0</v>
      </c>
      <c r="U441" s="5">
        <f t="shared" si="140"/>
        <v>0</v>
      </c>
      <c r="V441" s="5">
        <f t="shared" si="141"/>
        <v>0</v>
      </c>
      <c r="W441" s="5">
        <f t="shared" si="142"/>
        <v>0</v>
      </c>
      <c r="X441" s="5">
        <f t="shared" si="143"/>
        <v>0</v>
      </c>
      <c r="Y441" s="5">
        <f t="shared" si="144"/>
        <v>0</v>
      </c>
      <c r="Z441" s="5">
        <f t="shared" si="145"/>
        <v>0</v>
      </c>
      <c r="AA441" s="5">
        <f t="shared" si="146"/>
        <v>0</v>
      </c>
      <c r="AB441" s="5">
        <f t="shared" si="136"/>
        <v>0</v>
      </c>
    </row>
    <row r="442" spans="1:29" x14ac:dyDescent="0.25">
      <c r="D442" t="s">
        <v>100</v>
      </c>
      <c r="E442" s="64"/>
      <c r="F442" s="64"/>
      <c r="G442">
        <f>IFERROR(HLOOKUP(G$2,[15]table_male_hkom2_inj.V1!$A$1:$K$36,33,FALSE),0)</f>
        <v>7</v>
      </c>
      <c r="H442">
        <f>IFERROR(HLOOKUP(H$2,[15]table_male_hkom2_inj.V1!$A$1:$K$36,33,FALSE),0)</f>
        <v>5</v>
      </c>
      <c r="I442">
        <f>IFERROR(HLOOKUP(I$2,[15]table_male_hkom2_inj.V1!$A$1:$K$36,33,FALSE),0)</f>
        <v>3</v>
      </c>
      <c r="J442">
        <f>IFERROR(HLOOKUP(J$2,[15]table_male_hkom2_inj.V1!$A$1:$K$36,33,FALSE),0)</f>
        <v>0</v>
      </c>
      <c r="K442">
        <f>IFERROR(HLOOKUP(K$2,[15]table_male_hkom2_inj.V1!$A$1:$K$36,33,FALSE),0)</f>
        <v>0</v>
      </c>
      <c r="L442">
        <f>IFERROR(HLOOKUP(L$2,[15]table_male_hkom2_inj.V1!$A$1:$K$36,33,FALSE),0)</f>
        <v>0</v>
      </c>
      <c r="M442">
        <f t="shared" si="138"/>
        <v>15</v>
      </c>
      <c r="S442" t="s">
        <v>100</v>
      </c>
      <c r="T442" s="5">
        <f t="shared" si="139"/>
        <v>0</v>
      </c>
      <c r="U442" s="5">
        <f t="shared" si="140"/>
        <v>0</v>
      </c>
      <c r="V442" s="5">
        <f t="shared" si="141"/>
        <v>7</v>
      </c>
      <c r="W442" s="5">
        <f t="shared" si="142"/>
        <v>7</v>
      </c>
      <c r="X442" s="5">
        <f t="shared" si="143"/>
        <v>3</v>
      </c>
      <c r="Y442" s="5">
        <f t="shared" si="144"/>
        <v>0</v>
      </c>
      <c r="Z442" s="5">
        <f t="shared" si="145"/>
        <v>0</v>
      </c>
      <c r="AA442" s="5">
        <f t="shared" si="146"/>
        <v>0</v>
      </c>
      <c r="AB442" s="5">
        <f t="shared" si="136"/>
        <v>17</v>
      </c>
    </row>
    <row r="443" spans="1:29" x14ac:dyDescent="0.25">
      <c r="D443" t="s">
        <v>101</v>
      </c>
      <c r="E443" s="64"/>
      <c r="F443" s="64"/>
      <c r="G443">
        <f>IFERROR(HLOOKUP(G$2,[15]table_male_hkom2_inj.V1!$A$1:$K$36,34,FALSE),0)</f>
        <v>0</v>
      </c>
      <c r="H443">
        <f>IFERROR(HLOOKUP(H$2,[15]table_male_hkom2_inj.V1!$A$1:$K$36,34,FALSE),0)</f>
        <v>0</v>
      </c>
      <c r="I443">
        <f>IFERROR(HLOOKUP(I$2,[15]table_male_hkom2_inj.V1!$A$1:$K$36,34,FALSE),0)</f>
        <v>0</v>
      </c>
      <c r="J443">
        <f>IFERROR(HLOOKUP(J$2,[15]table_male_hkom2_inj.V1!$A$1:$K$36,34,FALSE),0)</f>
        <v>0</v>
      </c>
      <c r="K443">
        <f>IFERROR(HLOOKUP(K$2,[15]table_male_hkom2_inj.V1!$A$1:$K$36,34,FALSE),0)</f>
        <v>0</v>
      </c>
      <c r="L443">
        <f>IFERROR(HLOOKUP(L$2,[15]table_male_hkom2_inj.V1!$A$1:$K$36,34,FALSE),0)</f>
        <v>0</v>
      </c>
      <c r="M443">
        <f t="shared" si="138"/>
        <v>0</v>
      </c>
      <c r="S443" t="s">
        <v>101</v>
      </c>
      <c r="T443" s="5">
        <f t="shared" si="139"/>
        <v>0</v>
      </c>
      <c r="U443" s="5">
        <f t="shared" si="140"/>
        <v>0</v>
      </c>
      <c r="V443" s="5">
        <f t="shared" si="141"/>
        <v>0</v>
      </c>
      <c r="W443" s="5">
        <f t="shared" si="142"/>
        <v>0</v>
      </c>
      <c r="X443" s="5">
        <f t="shared" si="143"/>
        <v>0</v>
      </c>
      <c r="Y443" s="5">
        <f t="shared" si="144"/>
        <v>0</v>
      </c>
      <c r="Z443" s="5">
        <f t="shared" si="145"/>
        <v>0</v>
      </c>
      <c r="AA443" s="5">
        <f t="shared" si="146"/>
        <v>0</v>
      </c>
      <c r="AB443" s="5">
        <f t="shared" si="136"/>
        <v>0</v>
      </c>
    </row>
    <row r="444" spans="1:29" x14ac:dyDescent="0.25">
      <c r="D444" t="s">
        <v>102</v>
      </c>
      <c r="E444" s="64"/>
      <c r="F444" s="64"/>
      <c r="G444">
        <f>IFERROR(HLOOKUP(G$2,[15]table_male_hkom2_inj.V1!$A$1:$K$36,35,FALSE),0)</f>
        <v>0</v>
      </c>
      <c r="H444">
        <f>IFERROR(HLOOKUP(H$2,[15]table_male_hkom2_inj.V1!$A$1:$K$36,35,FALSE),0)</f>
        <v>2</v>
      </c>
      <c r="I444">
        <f>IFERROR(HLOOKUP(I$2,[15]table_male_hkom2_inj.V1!$A$1:$K$36,35,FALSE),0)</f>
        <v>0</v>
      </c>
      <c r="J444">
        <f>IFERROR(HLOOKUP(J$2,[15]table_male_hkom2_inj.V1!$A$1:$K$36,35,FALSE),0)</f>
        <v>0</v>
      </c>
      <c r="K444">
        <f>IFERROR(HLOOKUP(K$2,[15]table_male_hkom2_inj.V1!$A$1:$K$36,35,FALSE),0)</f>
        <v>0</v>
      </c>
      <c r="L444">
        <f>IFERROR(HLOOKUP(L$2,[15]table_male_hkom2_inj.V1!$A$1:$K$36,35,FALSE),0)</f>
        <v>0</v>
      </c>
      <c r="M444">
        <f t="shared" si="138"/>
        <v>2</v>
      </c>
      <c r="N444">
        <f>SUM(M411:M444)</f>
        <v>20</v>
      </c>
      <c r="O444" s="8">
        <f>SUM([15]table_male_hkom2_inj.V1!$B$2:$L$36)</f>
        <v>20</v>
      </c>
      <c r="S444" t="s">
        <v>102</v>
      </c>
      <c r="T444" s="7"/>
      <c r="U444" s="7"/>
      <c r="V444" s="7"/>
      <c r="W444" s="7"/>
      <c r="X444" s="7"/>
      <c r="Y444" s="7"/>
      <c r="Z444" s="7"/>
      <c r="AA444" s="7"/>
      <c r="AB444" s="5">
        <f t="shared" si="136"/>
        <v>0</v>
      </c>
      <c r="AC444" s="5">
        <f>SUM(AB411:AB443)</f>
        <v>20</v>
      </c>
    </row>
    <row r="445" spans="1:29" x14ac:dyDescent="0.25">
      <c r="A445" t="s">
        <v>104</v>
      </c>
      <c r="B445" t="s">
        <v>116</v>
      </c>
      <c r="C445" t="s">
        <v>106</v>
      </c>
      <c r="D445" t="s">
        <v>70</v>
      </c>
      <c r="E445" s="64"/>
      <c r="F445" s="64"/>
      <c r="G445">
        <f>IFERROR(HLOOKUP(G$2,[16]table_male_hkom2_inj.V2!$A$1:$K$36,2,FALSE),0)</f>
        <v>3</v>
      </c>
      <c r="H445">
        <f>IFERROR(HLOOKUP(H$2,[16]table_male_hkom2_inj.V2!$A$1:$K$36,2,FALSE),0)</f>
        <v>5</v>
      </c>
      <c r="I445">
        <f>IFERROR(HLOOKUP(I$2,[16]table_male_hkom2_inj.V2!$A$1:$K$36,2,FALSE),0)</f>
        <v>1</v>
      </c>
      <c r="J445">
        <f>IFERROR(HLOOKUP(J$2,[16]table_male_hkom2_inj.V2!$A$1:$K$36,2,FALSE),0)</f>
        <v>0</v>
      </c>
      <c r="K445">
        <f>IFERROR(HLOOKUP(K$2,[16]table_male_hkom2_inj.V2!$A$1:$K$36,2,FALSE),0)</f>
        <v>0</v>
      </c>
      <c r="L445">
        <f>IFERROR(HLOOKUP(L$2,[16]table_male_hkom2_inj.V2!$A$1:$K$36,2,FALSE),0)</f>
        <v>0</v>
      </c>
      <c r="M445">
        <f>SUM(E445:L445)</f>
        <v>9</v>
      </c>
      <c r="P445" t="s">
        <v>104</v>
      </c>
      <c r="Q445" t="s">
        <v>116</v>
      </c>
      <c r="R445" t="s">
        <v>106</v>
      </c>
      <c r="S445" t="s">
        <v>70</v>
      </c>
      <c r="T445" s="5">
        <f>IF(SUM(E$445:E$477)=0,E$478/33,E445+IFERROR(E445/SUM(E$445:E$477)*E$478,0))</f>
        <v>0</v>
      </c>
      <c r="U445" s="5">
        <f t="shared" ref="U445:AA445" si="147">IF(SUM(F$445:F$477)=0,F$478/33,F445+IFERROR(F445/SUM(F$445:F$477)*F$478,0))</f>
        <v>0</v>
      </c>
      <c r="V445" s="5">
        <f t="shared" si="147"/>
        <v>3.0909090909090908</v>
      </c>
      <c r="W445" s="5">
        <f t="shared" si="147"/>
        <v>5.4296875</v>
      </c>
      <c r="X445" s="5">
        <f t="shared" si="147"/>
        <v>1.0196078431372548</v>
      </c>
      <c r="Y445" s="5">
        <f t="shared" si="147"/>
        <v>0</v>
      </c>
      <c r="Z445" s="5">
        <f t="shared" si="147"/>
        <v>0</v>
      </c>
      <c r="AA445" s="5">
        <f t="shared" si="147"/>
        <v>0</v>
      </c>
      <c r="AB445" s="5">
        <f t="shared" si="136"/>
        <v>9.5402044340463448</v>
      </c>
    </row>
    <row r="446" spans="1:29" x14ac:dyDescent="0.25">
      <c r="D446" t="s">
        <v>71</v>
      </c>
      <c r="E446" s="64"/>
      <c r="F446" s="64"/>
      <c r="G446">
        <f>IFERROR(HLOOKUP(G$2,[16]table_male_hkom2_inj.V2!$A$1:$K$36,3,FALSE),0)</f>
        <v>18</v>
      </c>
      <c r="H446">
        <f>IFERROR(HLOOKUP(H$2,[16]table_male_hkom2_inj.V2!$A$1:$K$36,3,FALSE),0)</f>
        <v>17</v>
      </c>
      <c r="I446">
        <f>IFERROR(HLOOKUP(I$2,[16]table_male_hkom2_inj.V2!$A$1:$K$36,3,FALSE),0)</f>
        <v>4</v>
      </c>
      <c r="J446">
        <f>IFERROR(HLOOKUP(J$2,[16]table_male_hkom2_inj.V2!$A$1:$K$36,3,FALSE),0)</f>
        <v>0</v>
      </c>
      <c r="K446">
        <f>IFERROR(HLOOKUP(K$2,[16]table_male_hkom2_inj.V2!$A$1:$K$36,3,FALSE),0)</f>
        <v>0</v>
      </c>
      <c r="L446">
        <f>IFERROR(HLOOKUP(L$2,[16]table_male_hkom2_inj.V2!$A$1:$K$36,3,FALSE),0)</f>
        <v>0</v>
      </c>
      <c r="M446">
        <f t="shared" ref="M446:M478" si="148">SUM(E446:L446)</f>
        <v>39</v>
      </c>
      <c r="S446" t="s">
        <v>71</v>
      </c>
      <c r="T446" s="5">
        <f t="shared" ref="T446:T477" si="149">IF(SUM(E$445:E$477)=0,E$478/33,E446+IFERROR(E446/SUM(E$445:E$477)*E$478,0))</f>
        <v>0</v>
      </c>
      <c r="U446" s="5">
        <f t="shared" ref="U446:U477" si="150">IF(SUM(F$445:F$477)=0,F$478/33,F446+IFERROR(F446/SUM(F$445:F$477)*F$478,0))</f>
        <v>0</v>
      </c>
      <c r="V446" s="5">
        <f t="shared" ref="V446:V477" si="151">IF(SUM(G$445:G$477)=0,G$478/33,G446+IFERROR(G446/SUM(G$445:G$477)*G$478,0))</f>
        <v>18.545454545454547</v>
      </c>
      <c r="W446" s="5">
        <f t="shared" ref="W446:W477" si="152">IF(SUM(H$445:H$477)=0,H$478/33,H446+IFERROR(H446/SUM(H$445:H$477)*H$478,0))</f>
        <v>18.4609375</v>
      </c>
      <c r="X446" s="5">
        <f t="shared" ref="X446:X477" si="153">IF(SUM(I$445:I$477)=0,I$478/33,I446+IFERROR(I446/SUM(I$445:I$477)*I$478,0))</f>
        <v>4.0784313725490193</v>
      </c>
      <c r="Y446" s="5">
        <f t="shared" ref="Y446:Y477" si="154">IF(SUM(J$445:J$477)=0,J$478/33,J446+IFERROR(J446/SUM(J$445:J$477)*J$478,0))</f>
        <v>0</v>
      </c>
      <c r="Z446" s="5">
        <f t="shared" ref="Z446:Z477" si="155">IF(SUM(K$445:K$477)=0,K$478/33,K446+IFERROR(K446/SUM(K$445:K$477)*K$478,0))</f>
        <v>0</v>
      </c>
      <c r="AA446" s="5">
        <f t="shared" ref="AA446:AA477" si="156">IF(SUM(L$445:L$477)=0,L$478/33,L446+IFERROR(L446/SUM(L$445:L$477)*L$478,0))</f>
        <v>0</v>
      </c>
      <c r="AB446" s="5">
        <f t="shared" si="136"/>
        <v>41.084823418003566</v>
      </c>
    </row>
    <row r="447" spans="1:29" x14ac:dyDescent="0.25">
      <c r="D447" t="s">
        <v>72</v>
      </c>
      <c r="E447" s="64"/>
      <c r="F447" s="64"/>
      <c r="G447">
        <f>IFERROR(HLOOKUP(G$2,[16]table_male_hkom2_inj.V2!$A$1:$K$36,4,FALSE),0)</f>
        <v>2</v>
      </c>
      <c r="H447">
        <f>IFERROR(HLOOKUP(H$2,[16]table_male_hkom2_inj.V2!$A$1:$K$36,4,FALSE),0)</f>
        <v>1</v>
      </c>
      <c r="I447">
        <f>IFERROR(HLOOKUP(I$2,[16]table_male_hkom2_inj.V2!$A$1:$K$36,4,FALSE),0)</f>
        <v>0</v>
      </c>
      <c r="J447">
        <f>IFERROR(HLOOKUP(J$2,[16]table_male_hkom2_inj.V2!$A$1:$K$36,4,FALSE),0)</f>
        <v>0</v>
      </c>
      <c r="K447">
        <f>IFERROR(HLOOKUP(K$2,[16]table_male_hkom2_inj.V2!$A$1:$K$36,4,FALSE),0)</f>
        <v>0</v>
      </c>
      <c r="L447">
        <f>IFERROR(HLOOKUP(L$2,[16]table_male_hkom2_inj.V2!$A$1:$K$36,4,FALSE),0)</f>
        <v>0</v>
      </c>
      <c r="M447">
        <f t="shared" si="148"/>
        <v>3</v>
      </c>
      <c r="S447" t="s">
        <v>72</v>
      </c>
      <c r="T447" s="5">
        <f t="shared" si="149"/>
        <v>0</v>
      </c>
      <c r="U447" s="5">
        <f t="shared" si="150"/>
        <v>0</v>
      </c>
      <c r="V447" s="5">
        <f t="shared" si="151"/>
        <v>2.0606060606060606</v>
      </c>
      <c r="W447" s="5">
        <f t="shared" si="152"/>
        <v>1.0859375</v>
      </c>
      <c r="X447" s="5">
        <f t="shared" si="153"/>
        <v>0</v>
      </c>
      <c r="Y447" s="5">
        <f t="shared" si="154"/>
        <v>0</v>
      </c>
      <c r="Z447" s="5">
        <f t="shared" si="155"/>
        <v>0</v>
      </c>
      <c r="AA447" s="5">
        <f t="shared" si="156"/>
        <v>0</v>
      </c>
      <c r="AB447" s="5">
        <f t="shared" si="136"/>
        <v>3.1465435606060606</v>
      </c>
    </row>
    <row r="448" spans="1:29" x14ac:dyDescent="0.25">
      <c r="D448" t="s">
        <v>73</v>
      </c>
      <c r="E448" s="64"/>
      <c r="F448" s="64"/>
      <c r="G448">
        <f>IFERROR(HLOOKUP(G$2,[16]table_male_hkom2_inj.V2!$A$1:$K$36,5,FALSE),0)</f>
        <v>0</v>
      </c>
      <c r="H448">
        <f>IFERROR(HLOOKUP(H$2,[16]table_male_hkom2_inj.V2!$A$1:$K$36,5,FALSE),0)</f>
        <v>0</v>
      </c>
      <c r="I448">
        <f>IFERROR(HLOOKUP(I$2,[16]table_male_hkom2_inj.V2!$A$1:$K$36,5,FALSE),0)</f>
        <v>1</v>
      </c>
      <c r="J448">
        <f>IFERROR(HLOOKUP(J$2,[16]table_male_hkom2_inj.V2!$A$1:$K$36,5,FALSE),0)</f>
        <v>1</v>
      </c>
      <c r="K448">
        <f>IFERROR(HLOOKUP(K$2,[16]table_male_hkom2_inj.V2!$A$1:$K$36,5,FALSE),0)</f>
        <v>0</v>
      </c>
      <c r="L448">
        <f>IFERROR(HLOOKUP(L$2,[16]table_male_hkom2_inj.V2!$A$1:$K$36,5,FALSE),0)</f>
        <v>0</v>
      </c>
      <c r="M448">
        <f t="shared" si="148"/>
        <v>2</v>
      </c>
      <c r="S448" t="s">
        <v>73</v>
      </c>
      <c r="T448" s="5">
        <f t="shared" si="149"/>
        <v>0</v>
      </c>
      <c r="U448" s="5">
        <f t="shared" si="150"/>
        <v>0</v>
      </c>
      <c r="V448" s="5">
        <f t="shared" si="151"/>
        <v>0</v>
      </c>
      <c r="W448" s="5">
        <f t="shared" si="152"/>
        <v>0</v>
      </c>
      <c r="X448" s="5">
        <f t="shared" si="153"/>
        <v>1.0196078431372548</v>
      </c>
      <c r="Y448" s="5">
        <f t="shared" si="154"/>
        <v>1</v>
      </c>
      <c r="Z448" s="5">
        <f t="shared" si="155"/>
        <v>0</v>
      </c>
      <c r="AA448" s="5">
        <f t="shared" si="156"/>
        <v>0</v>
      </c>
      <c r="AB448" s="5">
        <f t="shared" si="136"/>
        <v>2.0196078431372548</v>
      </c>
    </row>
    <row r="449" spans="4:28" x14ac:dyDescent="0.25">
      <c r="D449" t="s">
        <v>74</v>
      </c>
      <c r="E449" s="64"/>
      <c r="F449" s="64"/>
      <c r="G449">
        <f>IFERROR(HLOOKUP(G$2,[16]table_male_hkom2_inj.V2!$A$1:$K$36,6,FALSE),0)</f>
        <v>3</v>
      </c>
      <c r="H449">
        <f>IFERROR(HLOOKUP(H$2,[16]table_male_hkom2_inj.V2!$A$1:$K$36,6,FALSE),0)</f>
        <v>1</v>
      </c>
      <c r="I449">
        <f>IFERROR(HLOOKUP(I$2,[16]table_male_hkom2_inj.V2!$A$1:$K$36,6,FALSE),0)</f>
        <v>4</v>
      </c>
      <c r="J449">
        <f>IFERROR(HLOOKUP(J$2,[16]table_male_hkom2_inj.V2!$A$1:$K$36,6,FALSE),0)</f>
        <v>0</v>
      </c>
      <c r="K449">
        <f>IFERROR(HLOOKUP(K$2,[16]table_male_hkom2_inj.V2!$A$1:$K$36,6,FALSE),0)</f>
        <v>0</v>
      </c>
      <c r="L449">
        <f>IFERROR(HLOOKUP(L$2,[16]table_male_hkom2_inj.V2!$A$1:$K$36,6,FALSE),0)</f>
        <v>0</v>
      </c>
      <c r="M449">
        <f t="shared" si="148"/>
        <v>8</v>
      </c>
      <c r="S449" t="s">
        <v>74</v>
      </c>
      <c r="T449" s="5">
        <f t="shared" si="149"/>
        <v>0</v>
      </c>
      <c r="U449" s="5">
        <f t="shared" si="150"/>
        <v>0</v>
      </c>
      <c r="V449" s="5">
        <f t="shared" si="151"/>
        <v>3.0909090909090908</v>
      </c>
      <c r="W449" s="5">
        <f t="shared" si="152"/>
        <v>1.0859375</v>
      </c>
      <c r="X449" s="5">
        <f t="shared" si="153"/>
        <v>4.0784313725490193</v>
      </c>
      <c r="Y449" s="5">
        <f t="shared" si="154"/>
        <v>0</v>
      </c>
      <c r="Z449" s="5">
        <f t="shared" si="155"/>
        <v>0</v>
      </c>
      <c r="AA449" s="5">
        <f t="shared" si="156"/>
        <v>0</v>
      </c>
      <c r="AB449" s="5">
        <f t="shared" si="136"/>
        <v>8.2552779634581093</v>
      </c>
    </row>
    <row r="450" spans="4:28" x14ac:dyDescent="0.25">
      <c r="D450" t="s">
        <v>75</v>
      </c>
      <c r="E450" s="64"/>
      <c r="F450" s="64"/>
      <c r="G450">
        <f>IFERROR(HLOOKUP(G$2,[16]table_male_hkom2_inj.V2!$A$1:$K$36,7,FALSE),0)</f>
        <v>0</v>
      </c>
      <c r="H450">
        <f>IFERROR(HLOOKUP(H$2,[16]table_male_hkom2_inj.V2!$A$1:$K$36,7,FALSE),0)</f>
        <v>0</v>
      </c>
      <c r="I450">
        <f>IFERROR(HLOOKUP(I$2,[16]table_male_hkom2_inj.V2!$A$1:$K$36,7,FALSE),0)</f>
        <v>0</v>
      </c>
      <c r="J450">
        <f>IFERROR(HLOOKUP(J$2,[16]table_male_hkom2_inj.V2!$A$1:$K$36,7,FALSE),0)</f>
        <v>0</v>
      </c>
      <c r="K450">
        <f>IFERROR(HLOOKUP(K$2,[16]table_male_hkom2_inj.V2!$A$1:$K$36,7,FALSE),0)</f>
        <v>0</v>
      </c>
      <c r="L450">
        <f>IFERROR(HLOOKUP(L$2,[16]table_male_hkom2_inj.V2!$A$1:$K$36,7,FALSE),0)</f>
        <v>0</v>
      </c>
      <c r="M450">
        <f t="shared" si="148"/>
        <v>0</v>
      </c>
      <c r="S450" t="s">
        <v>75</v>
      </c>
      <c r="T450" s="5">
        <f t="shared" si="149"/>
        <v>0</v>
      </c>
      <c r="U450" s="5">
        <f t="shared" si="150"/>
        <v>0</v>
      </c>
      <c r="V450" s="5">
        <f t="shared" si="151"/>
        <v>0</v>
      </c>
      <c r="W450" s="5">
        <f t="shared" si="152"/>
        <v>0</v>
      </c>
      <c r="X450" s="5">
        <f t="shared" si="153"/>
        <v>0</v>
      </c>
      <c r="Y450" s="5">
        <f t="shared" si="154"/>
        <v>0</v>
      </c>
      <c r="Z450" s="5">
        <f t="shared" si="155"/>
        <v>0</v>
      </c>
      <c r="AA450" s="5">
        <f t="shared" si="156"/>
        <v>0</v>
      </c>
      <c r="AB450" s="5">
        <f t="shared" si="136"/>
        <v>0</v>
      </c>
    </row>
    <row r="451" spans="4:28" x14ac:dyDescent="0.25">
      <c r="D451" t="s">
        <v>76</v>
      </c>
      <c r="E451" s="64"/>
      <c r="F451" s="64"/>
      <c r="G451">
        <f>IFERROR(HLOOKUP(G$2,[16]table_male_hkom2_inj.V2!$A$1:$K$36,8,FALSE),0)</f>
        <v>0</v>
      </c>
      <c r="H451">
        <f>IFERROR(HLOOKUP(H$2,[16]table_male_hkom2_inj.V2!$A$1:$K$36,8,FALSE),0)</f>
        <v>3</v>
      </c>
      <c r="I451">
        <f>IFERROR(HLOOKUP(I$2,[16]table_male_hkom2_inj.V2!$A$1:$K$36,8,FALSE),0)</f>
        <v>1</v>
      </c>
      <c r="J451">
        <f>IFERROR(HLOOKUP(J$2,[16]table_male_hkom2_inj.V2!$A$1:$K$36,8,FALSE),0)</f>
        <v>0</v>
      </c>
      <c r="K451">
        <f>IFERROR(HLOOKUP(K$2,[16]table_male_hkom2_inj.V2!$A$1:$K$36,8,FALSE),0)</f>
        <v>0</v>
      </c>
      <c r="L451">
        <f>IFERROR(HLOOKUP(L$2,[16]table_male_hkom2_inj.V2!$A$1:$K$36,8,FALSE),0)</f>
        <v>0</v>
      </c>
      <c r="M451">
        <f t="shared" si="148"/>
        <v>4</v>
      </c>
      <c r="S451" t="s">
        <v>76</v>
      </c>
      <c r="T451" s="5">
        <f t="shared" si="149"/>
        <v>0</v>
      </c>
      <c r="U451" s="5">
        <f t="shared" si="150"/>
        <v>0</v>
      </c>
      <c r="V451" s="5">
        <f t="shared" si="151"/>
        <v>0</v>
      </c>
      <c r="W451" s="5">
        <f t="shared" si="152"/>
        <v>3.2578125</v>
      </c>
      <c r="X451" s="5">
        <f t="shared" si="153"/>
        <v>1.0196078431372548</v>
      </c>
      <c r="Y451" s="5">
        <f t="shared" si="154"/>
        <v>0</v>
      </c>
      <c r="Z451" s="5">
        <f t="shared" si="155"/>
        <v>0</v>
      </c>
      <c r="AA451" s="5">
        <f t="shared" si="156"/>
        <v>0</v>
      </c>
      <c r="AB451" s="5">
        <f t="shared" si="136"/>
        <v>4.2774203431372548</v>
      </c>
    </row>
    <row r="452" spans="4:28" x14ac:dyDescent="0.25">
      <c r="D452" t="s">
        <v>77</v>
      </c>
      <c r="E452" s="64"/>
      <c r="F452" s="64"/>
      <c r="G452">
        <f>IFERROR(HLOOKUP(G$2,[16]table_male_hkom2_inj.V2!$A$1:$K$36,9,FALSE),0)</f>
        <v>5</v>
      </c>
      <c r="H452">
        <f>IFERROR(HLOOKUP(H$2,[16]table_male_hkom2_inj.V2!$A$1:$K$36,9,FALSE),0)</f>
        <v>7</v>
      </c>
      <c r="I452">
        <f>IFERROR(HLOOKUP(I$2,[16]table_male_hkom2_inj.V2!$A$1:$K$36,9,FALSE),0)</f>
        <v>1</v>
      </c>
      <c r="J452">
        <f>IFERROR(HLOOKUP(J$2,[16]table_male_hkom2_inj.V2!$A$1:$K$36,9,FALSE),0)</f>
        <v>0</v>
      </c>
      <c r="K452">
        <f>IFERROR(HLOOKUP(K$2,[16]table_male_hkom2_inj.V2!$A$1:$K$36,9,FALSE),0)</f>
        <v>0</v>
      </c>
      <c r="L452">
        <f>IFERROR(HLOOKUP(L$2,[16]table_male_hkom2_inj.V2!$A$1:$K$36,9,FALSE),0)</f>
        <v>0</v>
      </c>
      <c r="M452">
        <f t="shared" si="148"/>
        <v>13</v>
      </c>
      <c r="S452" t="s">
        <v>77</v>
      </c>
      <c r="T452" s="5">
        <f t="shared" si="149"/>
        <v>0</v>
      </c>
      <c r="U452" s="5">
        <f t="shared" si="150"/>
        <v>0</v>
      </c>
      <c r="V452" s="5">
        <f t="shared" si="151"/>
        <v>5.1515151515151514</v>
      </c>
      <c r="W452" s="5">
        <f t="shared" si="152"/>
        <v>7.6015625</v>
      </c>
      <c r="X452" s="5">
        <f t="shared" si="153"/>
        <v>1.0196078431372548</v>
      </c>
      <c r="Y452" s="5">
        <f t="shared" si="154"/>
        <v>0</v>
      </c>
      <c r="Z452" s="5">
        <f t="shared" si="155"/>
        <v>0</v>
      </c>
      <c r="AA452" s="5">
        <f t="shared" si="156"/>
        <v>0</v>
      </c>
      <c r="AB452" s="5">
        <f t="shared" si="136"/>
        <v>13.772685494652407</v>
      </c>
    </row>
    <row r="453" spans="4:28" x14ac:dyDescent="0.25">
      <c r="D453" t="s">
        <v>78</v>
      </c>
      <c r="E453" s="64"/>
      <c r="F453" s="64"/>
      <c r="G453">
        <f>IFERROR(HLOOKUP(G$2,[16]table_male_hkom2_inj.V2!$A$1:$K$36,10,FALSE),0)</f>
        <v>7</v>
      </c>
      <c r="H453">
        <f>IFERROR(HLOOKUP(H$2,[16]table_male_hkom2_inj.V2!$A$1:$K$36,10,FALSE),0)</f>
        <v>7</v>
      </c>
      <c r="I453">
        <f>IFERROR(HLOOKUP(I$2,[16]table_male_hkom2_inj.V2!$A$1:$K$36,10,FALSE),0)</f>
        <v>3</v>
      </c>
      <c r="J453">
        <f>IFERROR(HLOOKUP(J$2,[16]table_male_hkom2_inj.V2!$A$1:$K$36,10,FALSE),0)</f>
        <v>1</v>
      </c>
      <c r="K453">
        <f>IFERROR(HLOOKUP(K$2,[16]table_male_hkom2_inj.V2!$A$1:$K$36,10,FALSE),0)</f>
        <v>0</v>
      </c>
      <c r="L453">
        <f>IFERROR(HLOOKUP(L$2,[16]table_male_hkom2_inj.V2!$A$1:$K$36,10,FALSE),0)</f>
        <v>0</v>
      </c>
      <c r="M453">
        <f t="shared" si="148"/>
        <v>18</v>
      </c>
      <c r="S453" t="s">
        <v>78</v>
      </c>
      <c r="T453" s="5">
        <f t="shared" si="149"/>
        <v>0</v>
      </c>
      <c r="U453" s="5">
        <f t="shared" si="150"/>
        <v>0</v>
      </c>
      <c r="V453" s="5">
        <f t="shared" si="151"/>
        <v>7.2121212121212119</v>
      </c>
      <c r="W453" s="5">
        <f t="shared" si="152"/>
        <v>7.6015625</v>
      </c>
      <c r="X453" s="5">
        <f t="shared" si="153"/>
        <v>3.0588235294117645</v>
      </c>
      <c r="Y453" s="5">
        <f t="shared" si="154"/>
        <v>1</v>
      </c>
      <c r="Z453" s="5">
        <f t="shared" si="155"/>
        <v>0</v>
      </c>
      <c r="AA453" s="5">
        <f t="shared" si="156"/>
        <v>0</v>
      </c>
      <c r="AB453" s="5">
        <f t="shared" si="136"/>
        <v>18.872507241532976</v>
      </c>
    </row>
    <row r="454" spans="4:28" x14ac:dyDescent="0.25">
      <c r="D454" t="s">
        <v>79</v>
      </c>
      <c r="E454" s="64"/>
      <c r="F454" s="64"/>
      <c r="G454">
        <f>IFERROR(HLOOKUP(G$2,[16]table_male_hkom2_inj.V2!$A$1:$K$36,11,FALSE),0)</f>
        <v>2</v>
      </c>
      <c r="H454">
        <f>IFERROR(HLOOKUP(H$2,[16]table_male_hkom2_inj.V2!$A$1:$K$36,11,FALSE),0)</f>
        <v>0</v>
      </c>
      <c r="I454">
        <f>IFERROR(HLOOKUP(I$2,[16]table_male_hkom2_inj.V2!$A$1:$K$36,11,FALSE),0)</f>
        <v>1</v>
      </c>
      <c r="J454">
        <f>IFERROR(HLOOKUP(J$2,[16]table_male_hkom2_inj.V2!$A$1:$K$36,11,FALSE),0)</f>
        <v>0</v>
      </c>
      <c r="K454">
        <f>IFERROR(HLOOKUP(K$2,[16]table_male_hkom2_inj.V2!$A$1:$K$36,11,FALSE),0)</f>
        <v>0</v>
      </c>
      <c r="L454">
        <f>IFERROR(HLOOKUP(L$2,[16]table_male_hkom2_inj.V2!$A$1:$K$36,11,FALSE),0)</f>
        <v>0</v>
      </c>
      <c r="M454">
        <f t="shared" si="148"/>
        <v>3</v>
      </c>
      <c r="S454" t="s">
        <v>79</v>
      </c>
      <c r="T454" s="5">
        <f t="shared" si="149"/>
        <v>0</v>
      </c>
      <c r="U454" s="5">
        <f t="shared" si="150"/>
        <v>0</v>
      </c>
      <c r="V454" s="5">
        <f t="shared" si="151"/>
        <v>2.0606060606060606</v>
      </c>
      <c r="W454" s="5">
        <f t="shared" si="152"/>
        <v>0</v>
      </c>
      <c r="X454" s="5">
        <f t="shared" si="153"/>
        <v>1.0196078431372548</v>
      </c>
      <c r="Y454" s="5">
        <f t="shared" si="154"/>
        <v>0</v>
      </c>
      <c r="Z454" s="5">
        <f t="shared" si="155"/>
        <v>0</v>
      </c>
      <c r="AA454" s="5">
        <f t="shared" si="156"/>
        <v>0</v>
      </c>
      <c r="AB454" s="5">
        <f t="shared" si="136"/>
        <v>3.0802139037433154</v>
      </c>
    </row>
    <row r="455" spans="4:28" x14ac:dyDescent="0.25">
      <c r="D455" t="s">
        <v>80</v>
      </c>
      <c r="E455" s="64"/>
      <c r="F455" s="64"/>
      <c r="G455">
        <f>IFERROR(HLOOKUP(G$2,[16]table_male_hkom2_inj.V2!$A$1:$K$36,12,FALSE),0)</f>
        <v>2</v>
      </c>
      <c r="H455">
        <f>IFERROR(HLOOKUP(H$2,[16]table_male_hkom2_inj.V2!$A$1:$K$36,12,FALSE),0)</f>
        <v>1</v>
      </c>
      <c r="I455">
        <f>IFERROR(HLOOKUP(I$2,[16]table_male_hkom2_inj.V2!$A$1:$K$36,12,FALSE),0)</f>
        <v>1</v>
      </c>
      <c r="J455">
        <f>IFERROR(HLOOKUP(J$2,[16]table_male_hkom2_inj.V2!$A$1:$K$36,12,FALSE),0)</f>
        <v>0</v>
      </c>
      <c r="K455">
        <f>IFERROR(HLOOKUP(K$2,[16]table_male_hkom2_inj.V2!$A$1:$K$36,12,FALSE),0)</f>
        <v>0</v>
      </c>
      <c r="L455">
        <f>IFERROR(HLOOKUP(L$2,[16]table_male_hkom2_inj.V2!$A$1:$K$36,12,FALSE),0)</f>
        <v>0</v>
      </c>
      <c r="M455">
        <f t="shared" si="148"/>
        <v>4</v>
      </c>
      <c r="S455" t="s">
        <v>80</v>
      </c>
      <c r="T455" s="5">
        <f t="shared" si="149"/>
        <v>0</v>
      </c>
      <c r="U455" s="5">
        <f t="shared" si="150"/>
        <v>0</v>
      </c>
      <c r="V455" s="5">
        <f t="shared" si="151"/>
        <v>2.0606060606060606</v>
      </c>
      <c r="W455" s="5">
        <f t="shared" si="152"/>
        <v>1.0859375</v>
      </c>
      <c r="X455" s="5">
        <f t="shared" si="153"/>
        <v>1.0196078431372548</v>
      </c>
      <c r="Y455" s="5">
        <f t="shared" si="154"/>
        <v>0</v>
      </c>
      <c r="Z455" s="5">
        <f t="shared" si="155"/>
        <v>0</v>
      </c>
      <c r="AA455" s="5">
        <f t="shared" si="156"/>
        <v>0</v>
      </c>
      <c r="AB455" s="5">
        <f t="shared" si="136"/>
        <v>4.1661514037433154</v>
      </c>
    </row>
    <row r="456" spans="4:28" x14ac:dyDescent="0.25">
      <c r="D456" t="s">
        <v>81</v>
      </c>
      <c r="E456" s="64"/>
      <c r="F456" s="64"/>
      <c r="G456">
        <f>IFERROR(HLOOKUP(G$2,[16]table_male_hkom2_inj.V2!$A$1:$K$36,13,FALSE),0)</f>
        <v>0</v>
      </c>
      <c r="H456">
        <f>IFERROR(HLOOKUP(H$2,[16]table_male_hkom2_inj.V2!$A$1:$K$36,13,FALSE),0)</f>
        <v>0</v>
      </c>
      <c r="I456">
        <f>IFERROR(HLOOKUP(I$2,[16]table_male_hkom2_inj.V2!$A$1:$K$36,13,FALSE),0)</f>
        <v>0</v>
      </c>
      <c r="J456">
        <f>IFERROR(HLOOKUP(J$2,[16]table_male_hkom2_inj.V2!$A$1:$K$36,13,FALSE),0)</f>
        <v>0</v>
      </c>
      <c r="K456">
        <f>IFERROR(HLOOKUP(K$2,[16]table_male_hkom2_inj.V2!$A$1:$K$36,13,FALSE),0)</f>
        <v>0</v>
      </c>
      <c r="L456">
        <f>IFERROR(HLOOKUP(L$2,[16]table_male_hkom2_inj.V2!$A$1:$K$36,13,FALSE),0)</f>
        <v>0</v>
      </c>
      <c r="M456">
        <f t="shared" si="148"/>
        <v>0</v>
      </c>
      <c r="S456" t="s">
        <v>81</v>
      </c>
      <c r="T456" s="5">
        <f t="shared" si="149"/>
        <v>0</v>
      </c>
      <c r="U456" s="5">
        <f t="shared" si="150"/>
        <v>0</v>
      </c>
      <c r="V456" s="5">
        <f t="shared" si="151"/>
        <v>0</v>
      </c>
      <c r="W456" s="5">
        <f t="shared" si="152"/>
        <v>0</v>
      </c>
      <c r="X456" s="5">
        <f t="shared" si="153"/>
        <v>0</v>
      </c>
      <c r="Y456" s="5">
        <f t="shared" si="154"/>
        <v>0</v>
      </c>
      <c r="Z456" s="5">
        <f t="shared" si="155"/>
        <v>0</v>
      </c>
      <c r="AA456" s="5">
        <f t="shared" si="156"/>
        <v>0</v>
      </c>
      <c r="AB456" s="5">
        <f t="shared" si="136"/>
        <v>0</v>
      </c>
    </row>
    <row r="457" spans="4:28" x14ac:dyDescent="0.25">
      <c r="D457" t="s">
        <v>82</v>
      </c>
      <c r="E457" s="64"/>
      <c r="F457" s="64"/>
      <c r="G457">
        <f>IFERROR(HLOOKUP(G$2,[16]table_male_hkom2_inj.V2!$A$1:$K$36,14,FALSE),0)</f>
        <v>1</v>
      </c>
      <c r="H457">
        <f>IFERROR(HLOOKUP(H$2,[16]table_male_hkom2_inj.V2!$A$1:$K$36,14,FALSE),0)</f>
        <v>0</v>
      </c>
      <c r="I457">
        <f>IFERROR(HLOOKUP(I$2,[16]table_male_hkom2_inj.V2!$A$1:$K$36,14,FALSE),0)</f>
        <v>0</v>
      </c>
      <c r="J457">
        <f>IFERROR(HLOOKUP(J$2,[16]table_male_hkom2_inj.V2!$A$1:$K$36,14,FALSE),0)</f>
        <v>0</v>
      </c>
      <c r="K457">
        <f>IFERROR(HLOOKUP(K$2,[16]table_male_hkom2_inj.V2!$A$1:$K$36,14,FALSE),0)</f>
        <v>0</v>
      </c>
      <c r="L457">
        <f>IFERROR(HLOOKUP(L$2,[16]table_male_hkom2_inj.V2!$A$1:$K$36,14,FALSE),0)</f>
        <v>0</v>
      </c>
      <c r="M457">
        <f t="shared" si="148"/>
        <v>1</v>
      </c>
      <c r="S457" t="s">
        <v>82</v>
      </c>
      <c r="T457" s="5">
        <f t="shared" si="149"/>
        <v>0</v>
      </c>
      <c r="U457" s="5">
        <f t="shared" si="150"/>
        <v>0</v>
      </c>
      <c r="V457" s="5">
        <f t="shared" si="151"/>
        <v>1.0303030303030303</v>
      </c>
      <c r="W457" s="5">
        <f t="shared" si="152"/>
        <v>0</v>
      </c>
      <c r="X457" s="5">
        <f t="shared" si="153"/>
        <v>0</v>
      </c>
      <c r="Y457" s="5">
        <f t="shared" si="154"/>
        <v>0</v>
      </c>
      <c r="Z457" s="5">
        <f t="shared" si="155"/>
        <v>0</v>
      </c>
      <c r="AA457" s="5">
        <f t="shared" si="156"/>
        <v>0</v>
      </c>
      <c r="AB457" s="5">
        <f t="shared" si="136"/>
        <v>1.0303030303030303</v>
      </c>
    </row>
    <row r="458" spans="4:28" x14ac:dyDescent="0.25">
      <c r="D458" t="s">
        <v>83</v>
      </c>
      <c r="E458" s="64"/>
      <c r="F458" s="64"/>
      <c r="G458">
        <f>IFERROR(HLOOKUP(G$2,[16]table_male_hkom2_inj.V2!$A$1:$K$36,15,FALSE),0)</f>
        <v>1</v>
      </c>
      <c r="H458">
        <f>IFERROR(HLOOKUP(H$2,[16]table_male_hkom2_inj.V2!$A$1:$K$36,15,FALSE),0)</f>
        <v>1</v>
      </c>
      <c r="I458">
        <f>IFERROR(HLOOKUP(I$2,[16]table_male_hkom2_inj.V2!$A$1:$K$36,15,FALSE),0)</f>
        <v>1</v>
      </c>
      <c r="J458">
        <f>IFERROR(HLOOKUP(J$2,[16]table_male_hkom2_inj.V2!$A$1:$K$36,15,FALSE),0)</f>
        <v>0</v>
      </c>
      <c r="K458">
        <f>IFERROR(HLOOKUP(K$2,[16]table_male_hkom2_inj.V2!$A$1:$K$36,15,FALSE),0)</f>
        <v>0</v>
      </c>
      <c r="L458">
        <f>IFERROR(HLOOKUP(L$2,[16]table_male_hkom2_inj.V2!$A$1:$K$36,15,FALSE),0)</f>
        <v>0</v>
      </c>
      <c r="M458">
        <f t="shared" si="148"/>
        <v>3</v>
      </c>
      <c r="S458" t="s">
        <v>83</v>
      </c>
      <c r="T458" s="5">
        <f t="shared" si="149"/>
        <v>0</v>
      </c>
      <c r="U458" s="5">
        <f t="shared" si="150"/>
        <v>0</v>
      </c>
      <c r="V458" s="5">
        <f t="shared" si="151"/>
        <v>1.0303030303030303</v>
      </c>
      <c r="W458" s="5">
        <f t="shared" si="152"/>
        <v>1.0859375</v>
      </c>
      <c r="X458" s="5">
        <f t="shared" si="153"/>
        <v>1.0196078431372548</v>
      </c>
      <c r="Y458" s="5">
        <f t="shared" si="154"/>
        <v>0</v>
      </c>
      <c r="Z458" s="5">
        <f t="shared" si="155"/>
        <v>0</v>
      </c>
      <c r="AA458" s="5">
        <f t="shared" si="156"/>
        <v>0</v>
      </c>
      <c r="AB458" s="5">
        <f t="shared" si="136"/>
        <v>3.1358483734402851</v>
      </c>
    </row>
    <row r="459" spans="4:28" x14ac:dyDescent="0.25">
      <c r="D459" t="s">
        <v>84</v>
      </c>
      <c r="E459" s="64"/>
      <c r="F459" s="64"/>
      <c r="G459">
        <f>IFERROR(HLOOKUP(G$2,[16]table_male_hkom2_inj.V2!$A$1:$K$36,16,FALSE),0)</f>
        <v>1</v>
      </c>
      <c r="H459">
        <f>IFERROR(HLOOKUP(H$2,[16]table_male_hkom2_inj.V2!$A$1:$K$36,16,FALSE),0)</f>
        <v>0</v>
      </c>
      <c r="I459">
        <f>IFERROR(HLOOKUP(I$2,[16]table_male_hkom2_inj.V2!$A$1:$K$36,16,FALSE),0)</f>
        <v>0</v>
      </c>
      <c r="J459">
        <f>IFERROR(HLOOKUP(J$2,[16]table_male_hkom2_inj.V2!$A$1:$K$36,16,FALSE),0)</f>
        <v>0</v>
      </c>
      <c r="K459">
        <f>IFERROR(HLOOKUP(K$2,[16]table_male_hkom2_inj.V2!$A$1:$K$36,16,FALSE),0)</f>
        <v>0</v>
      </c>
      <c r="L459">
        <f>IFERROR(HLOOKUP(L$2,[16]table_male_hkom2_inj.V2!$A$1:$K$36,16,FALSE),0)</f>
        <v>0</v>
      </c>
      <c r="M459">
        <f t="shared" si="148"/>
        <v>1</v>
      </c>
      <c r="S459" t="s">
        <v>84</v>
      </c>
      <c r="T459" s="5">
        <f t="shared" si="149"/>
        <v>0</v>
      </c>
      <c r="U459" s="5">
        <f t="shared" si="150"/>
        <v>0</v>
      </c>
      <c r="V459" s="5">
        <f t="shared" si="151"/>
        <v>1.0303030303030303</v>
      </c>
      <c r="W459" s="5">
        <f t="shared" si="152"/>
        <v>0</v>
      </c>
      <c r="X459" s="5">
        <f t="shared" si="153"/>
        <v>0</v>
      </c>
      <c r="Y459" s="5">
        <f t="shared" si="154"/>
        <v>0</v>
      </c>
      <c r="Z459" s="5">
        <f t="shared" si="155"/>
        <v>0</v>
      </c>
      <c r="AA459" s="5">
        <f t="shared" si="156"/>
        <v>0</v>
      </c>
      <c r="AB459" s="5">
        <f t="shared" si="136"/>
        <v>1.0303030303030303</v>
      </c>
    </row>
    <row r="460" spans="4:28" x14ac:dyDescent="0.25">
      <c r="D460" t="s">
        <v>85</v>
      </c>
      <c r="E460" s="64"/>
      <c r="F460" s="64"/>
      <c r="G460">
        <f>IFERROR(HLOOKUP(G$2,[16]table_male_hkom2_inj.V2!$A$1:$K$36,17,FALSE),0)</f>
        <v>0</v>
      </c>
      <c r="H460">
        <f>IFERROR(HLOOKUP(H$2,[16]table_male_hkom2_inj.V2!$A$1:$K$36,17,FALSE),0)</f>
        <v>0</v>
      </c>
      <c r="I460">
        <f>IFERROR(HLOOKUP(I$2,[16]table_male_hkom2_inj.V2!$A$1:$K$36,17,FALSE),0)</f>
        <v>1</v>
      </c>
      <c r="J460">
        <f>IFERROR(HLOOKUP(J$2,[16]table_male_hkom2_inj.V2!$A$1:$K$36,17,FALSE),0)</f>
        <v>0</v>
      </c>
      <c r="K460">
        <f>IFERROR(HLOOKUP(K$2,[16]table_male_hkom2_inj.V2!$A$1:$K$36,17,FALSE),0)</f>
        <v>0</v>
      </c>
      <c r="L460">
        <f>IFERROR(HLOOKUP(L$2,[16]table_male_hkom2_inj.V2!$A$1:$K$36,17,FALSE),0)</f>
        <v>0</v>
      </c>
      <c r="M460">
        <f t="shared" si="148"/>
        <v>1</v>
      </c>
      <c r="S460" t="s">
        <v>85</v>
      </c>
      <c r="T460" s="5">
        <f t="shared" si="149"/>
        <v>0</v>
      </c>
      <c r="U460" s="5">
        <f t="shared" si="150"/>
        <v>0</v>
      </c>
      <c r="V460" s="5">
        <f t="shared" si="151"/>
        <v>0</v>
      </c>
      <c r="W460" s="5">
        <f t="shared" si="152"/>
        <v>0</v>
      </c>
      <c r="X460" s="5">
        <f t="shared" si="153"/>
        <v>1.0196078431372548</v>
      </c>
      <c r="Y460" s="5">
        <f t="shared" si="154"/>
        <v>0</v>
      </c>
      <c r="Z460" s="5">
        <f t="shared" si="155"/>
        <v>0</v>
      </c>
      <c r="AA460" s="5">
        <f t="shared" si="156"/>
        <v>0</v>
      </c>
      <c r="AB460" s="5">
        <f t="shared" si="136"/>
        <v>1.0196078431372548</v>
      </c>
    </row>
    <row r="461" spans="4:28" x14ac:dyDescent="0.25">
      <c r="D461" t="s">
        <v>86</v>
      </c>
      <c r="E461" s="64"/>
      <c r="F461" s="64"/>
      <c r="G461">
        <f>IFERROR(HLOOKUP(G$2,[16]table_male_hkom2_inj.V2!$A$1:$K$36,18,FALSE),0)</f>
        <v>18</v>
      </c>
      <c r="H461">
        <f>IFERROR(HLOOKUP(H$2,[16]table_male_hkom2_inj.V2!$A$1:$K$36,18,FALSE),0)</f>
        <v>25</v>
      </c>
      <c r="I461">
        <f>IFERROR(HLOOKUP(I$2,[16]table_male_hkom2_inj.V2!$A$1:$K$36,18,FALSE),0)</f>
        <v>9</v>
      </c>
      <c r="J461">
        <f>IFERROR(HLOOKUP(J$2,[16]table_male_hkom2_inj.V2!$A$1:$K$36,18,FALSE),0)</f>
        <v>1</v>
      </c>
      <c r="K461">
        <f>IFERROR(HLOOKUP(K$2,[16]table_male_hkom2_inj.V2!$A$1:$K$36,18,FALSE),0)</f>
        <v>0</v>
      </c>
      <c r="L461">
        <f>IFERROR(HLOOKUP(L$2,[16]table_male_hkom2_inj.V2!$A$1:$K$36,18,FALSE),0)</f>
        <v>0</v>
      </c>
      <c r="M461">
        <f t="shared" si="148"/>
        <v>53</v>
      </c>
      <c r="S461" t="s">
        <v>86</v>
      </c>
      <c r="T461" s="5">
        <f t="shared" si="149"/>
        <v>0</v>
      </c>
      <c r="U461" s="5">
        <f t="shared" si="150"/>
        <v>0</v>
      </c>
      <c r="V461" s="5">
        <f t="shared" si="151"/>
        <v>18.545454545454547</v>
      </c>
      <c r="W461" s="5">
        <f t="shared" si="152"/>
        <v>27.1484375</v>
      </c>
      <c r="X461" s="5">
        <f t="shared" si="153"/>
        <v>9.1764705882352935</v>
      </c>
      <c r="Y461" s="5">
        <f t="shared" si="154"/>
        <v>1</v>
      </c>
      <c r="Z461" s="5">
        <f t="shared" si="155"/>
        <v>0</v>
      </c>
      <c r="AA461" s="5">
        <f t="shared" si="156"/>
        <v>0</v>
      </c>
      <c r="AB461" s="5">
        <f t="shared" si="136"/>
        <v>55.870362633689837</v>
      </c>
    </row>
    <row r="462" spans="4:28" x14ac:dyDescent="0.25">
      <c r="D462" t="s">
        <v>87</v>
      </c>
      <c r="E462" s="64"/>
      <c r="F462" s="64"/>
      <c r="G462">
        <f>IFERROR(HLOOKUP(G$2,[16]table_male_hkom2_inj.V2!$A$1:$K$36,19,FALSE),0)</f>
        <v>22</v>
      </c>
      <c r="H462">
        <f>IFERROR(HLOOKUP(H$2,[16]table_male_hkom2_inj.V2!$A$1:$K$36,19,FALSE),0)</f>
        <v>21</v>
      </c>
      <c r="I462">
        <f>IFERROR(HLOOKUP(I$2,[16]table_male_hkom2_inj.V2!$A$1:$K$36,19,FALSE),0)</f>
        <v>9</v>
      </c>
      <c r="J462">
        <f>IFERROR(HLOOKUP(J$2,[16]table_male_hkom2_inj.V2!$A$1:$K$36,19,FALSE),0)</f>
        <v>0</v>
      </c>
      <c r="K462">
        <f>IFERROR(HLOOKUP(K$2,[16]table_male_hkom2_inj.V2!$A$1:$K$36,19,FALSE),0)</f>
        <v>0</v>
      </c>
      <c r="L462">
        <f>IFERROR(HLOOKUP(L$2,[16]table_male_hkom2_inj.V2!$A$1:$K$36,19,FALSE),0)</f>
        <v>0</v>
      </c>
      <c r="M462">
        <f t="shared" si="148"/>
        <v>52</v>
      </c>
      <c r="S462" t="s">
        <v>87</v>
      </c>
      <c r="T462" s="5">
        <f t="shared" si="149"/>
        <v>0</v>
      </c>
      <c r="U462" s="5">
        <f t="shared" si="150"/>
        <v>0</v>
      </c>
      <c r="V462" s="5">
        <f t="shared" si="151"/>
        <v>22.666666666666668</v>
      </c>
      <c r="W462" s="5">
        <f t="shared" si="152"/>
        <v>22.8046875</v>
      </c>
      <c r="X462" s="5">
        <f t="shared" si="153"/>
        <v>9.1764705882352935</v>
      </c>
      <c r="Y462" s="5">
        <f t="shared" si="154"/>
        <v>0</v>
      </c>
      <c r="Z462" s="5">
        <f t="shared" si="155"/>
        <v>0</v>
      </c>
      <c r="AA462" s="5">
        <f t="shared" si="156"/>
        <v>0</v>
      </c>
      <c r="AB462" s="5">
        <f t="shared" si="136"/>
        <v>54.647824754901961</v>
      </c>
    </row>
    <row r="463" spans="4:28" x14ac:dyDescent="0.25">
      <c r="D463" t="s">
        <v>88</v>
      </c>
      <c r="E463" s="64"/>
      <c r="F463" s="64"/>
      <c r="G463">
        <f>IFERROR(HLOOKUP(G$2,[16]table_male_hkom2_inj.V2!$A$1:$K$36,20,FALSE),0)</f>
        <v>33</v>
      </c>
      <c r="H463">
        <f>IFERROR(HLOOKUP(H$2,[16]table_male_hkom2_inj.V2!$A$1:$K$36,20,FALSE),0)</f>
        <v>26</v>
      </c>
      <c r="I463">
        <f>IFERROR(HLOOKUP(I$2,[16]table_male_hkom2_inj.V2!$A$1:$K$36,20,FALSE),0)</f>
        <v>10</v>
      </c>
      <c r="J463">
        <f>IFERROR(HLOOKUP(J$2,[16]table_male_hkom2_inj.V2!$A$1:$K$36,20,FALSE),0)</f>
        <v>0</v>
      </c>
      <c r="K463">
        <f>IFERROR(HLOOKUP(K$2,[16]table_male_hkom2_inj.V2!$A$1:$K$36,20,FALSE),0)</f>
        <v>0</v>
      </c>
      <c r="L463">
        <f>IFERROR(HLOOKUP(L$2,[16]table_male_hkom2_inj.V2!$A$1:$K$36,20,FALSE),0)</f>
        <v>0</v>
      </c>
      <c r="M463">
        <f t="shared" si="148"/>
        <v>69</v>
      </c>
      <c r="S463" t="s">
        <v>88</v>
      </c>
      <c r="T463" s="5">
        <f t="shared" si="149"/>
        <v>0</v>
      </c>
      <c r="U463" s="5">
        <f t="shared" si="150"/>
        <v>0</v>
      </c>
      <c r="V463" s="5">
        <f t="shared" si="151"/>
        <v>34</v>
      </c>
      <c r="W463" s="5">
        <f t="shared" si="152"/>
        <v>28.234375</v>
      </c>
      <c r="X463" s="5">
        <f t="shared" si="153"/>
        <v>10.196078431372548</v>
      </c>
      <c r="Y463" s="5">
        <f t="shared" si="154"/>
        <v>0</v>
      </c>
      <c r="Z463" s="5">
        <f t="shared" si="155"/>
        <v>0</v>
      </c>
      <c r="AA463" s="5">
        <f t="shared" si="156"/>
        <v>0</v>
      </c>
      <c r="AB463" s="5">
        <f t="shared" si="136"/>
        <v>72.430453431372541</v>
      </c>
    </row>
    <row r="464" spans="4:28" x14ac:dyDescent="0.25">
      <c r="D464" t="s">
        <v>89</v>
      </c>
      <c r="E464" s="64"/>
      <c r="F464" s="64"/>
      <c r="G464">
        <f>IFERROR(HLOOKUP(G$2,[16]table_male_hkom2_inj.V2!$A$1:$K$36,21,FALSE),0)</f>
        <v>3</v>
      </c>
      <c r="H464">
        <f>IFERROR(HLOOKUP(H$2,[16]table_male_hkom2_inj.V2!$A$1:$K$36,21,FALSE),0)</f>
        <v>6</v>
      </c>
      <c r="I464">
        <f>IFERROR(HLOOKUP(I$2,[16]table_male_hkom2_inj.V2!$A$1:$K$36,21,FALSE),0)</f>
        <v>0</v>
      </c>
      <c r="J464">
        <f>IFERROR(HLOOKUP(J$2,[16]table_male_hkom2_inj.V2!$A$1:$K$36,21,FALSE),0)</f>
        <v>0</v>
      </c>
      <c r="K464">
        <f>IFERROR(HLOOKUP(K$2,[16]table_male_hkom2_inj.V2!$A$1:$K$36,21,FALSE),0)</f>
        <v>0</v>
      </c>
      <c r="L464">
        <f>IFERROR(HLOOKUP(L$2,[16]table_male_hkom2_inj.V2!$A$1:$K$36,21,FALSE),0)</f>
        <v>0</v>
      </c>
      <c r="M464">
        <f t="shared" si="148"/>
        <v>9</v>
      </c>
      <c r="S464" t="s">
        <v>89</v>
      </c>
      <c r="T464" s="5">
        <f t="shared" si="149"/>
        <v>0</v>
      </c>
      <c r="U464" s="5">
        <f t="shared" si="150"/>
        <v>0</v>
      </c>
      <c r="V464" s="5">
        <f t="shared" si="151"/>
        <v>3.0909090909090908</v>
      </c>
      <c r="W464" s="5">
        <f t="shared" si="152"/>
        <v>6.515625</v>
      </c>
      <c r="X464" s="5">
        <f t="shared" si="153"/>
        <v>0</v>
      </c>
      <c r="Y464" s="5">
        <f t="shared" si="154"/>
        <v>0</v>
      </c>
      <c r="Z464" s="5">
        <f t="shared" si="155"/>
        <v>0</v>
      </c>
      <c r="AA464" s="5">
        <f t="shared" si="156"/>
        <v>0</v>
      </c>
      <c r="AB464" s="5">
        <f t="shared" si="136"/>
        <v>9.6065340909090899</v>
      </c>
    </row>
    <row r="465" spans="1:29" x14ac:dyDescent="0.25">
      <c r="D465" t="s">
        <v>90</v>
      </c>
      <c r="E465" s="64"/>
      <c r="F465" s="64"/>
      <c r="G465">
        <f>IFERROR(HLOOKUP(G$2,[16]table_male_hkom2_inj.V2!$A$1:$K$36,22,FALSE),0)</f>
        <v>0</v>
      </c>
      <c r="H465">
        <f>IFERROR(HLOOKUP(H$2,[16]table_male_hkom2_inj.V2!$A$1:$K$36,22,FALSE),0)</f>
        <v>0</v>
      </c>
      <c r="I465">
        <f>IFERROR(HLOOKUP(I$2,[16]table_male_hkom2_inj.V2!$A$1:$K$36,22,FALSE),0)</f>
        <v>0</v>
      </c>
      <c r="J465">
        <f>IFERROR(HLOOKUP(J$2,[16]table_male_hkom2_inj.V2!$A$1:$K$36,22,FALSE),0)</f>
        <v>0</v>
      </c>
      <c r="K465">
        <f>IFERROR(HLOOKUP(K$2,[16]table_male_hkom2_inj.V2!$A$1:$K$36,22,FALSE),0)</f>
        <v>0</v>
      </c>
      <c r="L465">
        <f>IFERROR(HLOOKUP(L$2,[16]table_male_hkom2_inj.V2!$A$1:$K$36,22,FALSE),0)</f>
        <v>0</v>
      </c>
      <c r="M465">
        <f t="shared" si="148"/>
        <v>0</v>
      </c>
      <c r="S465" t="s">
        <v>90</v>
      </c>
      <c r="T465" s="5">
        <f t="shared" si="149"/>
        <v>0</v>
      </c>
      <c r="U465" s="5">
        <f t="shared" si="150"/>
        <v>0</v>
      </c>
      <c r="V465" s="5">
        <f t="shared" si="151"/>
        <v>0</v>
      </c>
      <c r="W465" s="5">
        <f t="shared" si="152"/>
        <v>0</v>
      </c>
      <c r="X465" s="5">
        <f t="shared" si="153"/>
        <v>0</v>
      </c>
      <c r="Y465" s="5">
        <f t="shared" si="154"/>
        <v>0</v>
      </c>
      <c r="Z465" s="5">
        <f t="shared" si="155"/>
        <v>0</v>
      </c>
      <c r="AA465" s="5">
        <f t="shared" si="156"/>
        <v>0</v>
      </c>
      <c r="AB465" s="5">
        <f t="shared" si="136"/>
        <v>0</v>
      </c>
    </row>
    <row r="466" spans="1:29" x14ac:dyDescent="0.25">
      <c r="D466" t="s">
        <v>91</v>
      </c>
      <c r="E466" s="64"/>
      <c r="F466" s="64"/>
      <c r="G466">
        <f>IFERROR(HLOOKUP(G$2,[16]table_male_hkom2_inj.V2!$A$1:$K$36,23,FALSE),0)</f>
        <v>1</v>
      </c>
      <c r="H466">
        <f>IFERROR(HLOOKUP(H$2,[16]table_male_hkom2_inj.V2!$A$1:$K$36,23,FALSE),0)</f>
        <v>0</v>
      </c>
      <c r="I466">
        <f>IFERROR(HLOOKUP(I$2,[16]table_male_hkom2_inj.V2!$A$1:$K$36,23,FALSE),0)</f>
        <v>0</v>
      </c>
      <c r="J466">
        <f>IFERROR(HLOOKUP(J$2,[16]table_male_hkom2_inj.V2!$A$1:$K$36,23,FALSE),0)</f>
        <v>0</v>
      </c>
      <c r="K466">
        <f>IFERROR(HLOOKUP(K$2,[16]table_male_hkom2_inj.V2!$A$1:$K$36,23,FALSE),0)</f>
        <v>0</v>
      </c>
      <c r="L466">
        <f>IFERROR(HLOOKUP(L$2,[16]table_male_hkom2_inj.V2!$A$1:$K$36,23,FALSE),0)</f>
        <v>0</v>
      </c>
      <c r="M466">
        <f t="shared" si="148"/>
        <v>1</v>
      </c>
      <c r="S466" t="s">
        <v>91</v>
      </c>
      <c r="T466" s="5">
        <f t="shared" si="149"/>
        <v>0</v>
      </c>
      <c r="U466" s="5">
        <f t="shared" si="150"/>
        <v>0</v>
      </c>
      <c r="V466" s="5">
        <f t="shared" si="151"/>
        <v>1.0303030303030303</v>
      </c>
      <c r="W466" s="5">
        <f t="shared" si="152"/>
        <v>0</v>
      </c>
      <c r="X466" s="5">
        <f t="shared" si="153"/>
        <v>0</v>
      </c>
      <c r="Y466" s="5">
        <f t="shared" si="154"/>
        <v>0</v>
      </c>
      <c r="Z466" s="5">
        <f t="shared" si="155"/>
        <v>0</v>
      </c>
      <c r="AA466" s="5">
        <f t="shared" si="156"/>
        <v>0</v>
      </c>
      <c r="AB466" s="5">
        <f t="shared" si="136"/>
        <v>1.0303030303030303</v>
      </c>
    </row>
    <row r="467" spans="1:29" x14ac:dyDescent="0.25">
      <c r="D467" t="s">
        <v>92</v>
      </c>
      <c r="E467" s="64"/>
      <c r="F467" s="64"/>
      <c r="G467">
        <f>IFERROR(HLOOKUP(G$2,[16]table_male_hkom2_inj.V2!$A$1:$K$36,24,FALSE),0)</f>
        <v>0</v>
      </c>
      <c r="H467">
        <f>IFERROR(HLOOKUP(H$2,[16]table_male_hkom2_inj.V2!$A$1:$K$36,24,FALSE),0)</f>
        <v>0</v>
      </c>
      <c r="I467">
        <f>IFERROR(HLOOKUP(I$2,[16]table_male_hkom2_inj.V2!$A$1:$K$36,24,FALSE),0)</f>
        <v>1</v>
      </c>
      <c r="J467">
        <f>IFERROR(HLOOKUP(J$2,[16]table_male_hkom2_inj.V2!$A$1:$K$36,24,FALSE),0)</f>
        <v>0</v>
      </c>
      <c r="K467">
        <f>IFERROR(HLOOKUP(K$2,[16]table_male_hkom2_inj.V2!$A$1:$K$36,24,FALSE),0)</f>
        <v>0</v>
      </c>
      <c r="L467">
        <f>IFERROR(HLOOKUP(L$2,[16]table_male_hkom2_inj.V2!$A$1:$K$36,24,FALSE),0)</f>
        <v>0</v>
      </c>
      <c r="M467">
        <f t="shared" si="148"/>
        <v>1</v>
      </c>
      <c r="S467" t="s">
        <v>92</v>
      </c>
      <c r="T467" s="5">
        <f t="shared" si="149"/>
        <v>0</v>
      </c>
      <c r="U467" s="5">
        <f t="shared" si="150"/>
        <v>0</v>
      </c>
      <c r="V467" s="5">
        <f t="shared" si="151"/>
        <v>0</v>
      </c>
      <c r="W467" s="5">
        <f t="shared" si="152"/>
        <v>0</v>
      </c>
      <c r="X467" s="5">
        <f t="shared" si="153"/>
        <v>1.0196078431372548</v>
      </c>
      <c r="Y467" s="5">
        <f t="shared" si="154"/>
        <v>0</v>
      </c>
      <c r="Z467" s="5">
        <f t="shared" si="155"/>
        <v>0</v>
      </c>
      <c r="AA467" s="5">
        <f t="shared" si="156"/>
        <v>0</v>
      </c>
      <c r="AB467" s="5">
        <f t="shared" si="136"/>
        <v>1.0196078431372548</v>
      </c>
    </row>
    <row r="468" spans="1:29" x14ac:dyDescent="0.25">
      <c r="D468" t="s">
        <v>93</v>
      </c>
      <c r="E468" s="64"/>
      <c r="F468" s="64"/>
      <c r="G468">
        <f>IFERROR(HLOOKUP(G$2,[16]table_male_hkom2_inj.V2!$A$1:$K$36,25,FALSE),0)</f>
        <v>0</v>
      </c>
      <c r="H468">
        <f>IFERROR(HLOOKUP(H$2,[16]table_male_hkom2_inj.V2!$A$1:$K$36,25,FALSE),0)</f>
        <v>0</v>
      </c>
      <c r="I468">
        <f>IFERROR(HLOOKUP(I$2,[16]table_male_hkom2_inj.V2!$A$1:$K$36,25,FALSE),0)</f>
        <v>0</v>
      </c>
      <c r="J468">
        <f>IFERROR(HLOOKUP(J$2,[16]table_male_hkom2_inj.V2!$A$1:$K$36,25,FALSE),0)</f>
        <v>0</v>
      </c>
      <c r="K468">
        <f>IFERROR(HLOOKUP(K$2,[16]table_male_hkom2_inj.V2!$A$1:$K$36,25,FALSE),0)</f>
        <v>0</v>
      </c>
      <c r="L468">
        <f>IFERROR(HLOOKUP(L$2,[16]table_male_hkom2_inj.V2!$A$1:$K$36,25,FALSE),0)</f>
        <v>0</v>
      </c>
      <c r="M468">
        <f t="shared" si="148"/>
        <v>0</v>
      </c>
      <c r="S468" t="s">
        <v>93</v>
      </c>
      <c r="T468" s="5">
        <f t="shared" si="149"/>
        <v>0</v>
      </c>
      <c r="U468" s="5">
        <f t="shared" si="150"/>
        <v>0</v>
      </c>
      <c r="V468" s="5">
        <f t="shared" si="151"/>
        <v>0</v>
      </c>
      <c r="W468" s="5">
        <f t="shared" si="152"/>
        <v>0</v>
      </c>
      <c r="X468" s="5">
        <f t="shared" si="153"/>
        <v>0</v>
      </c>
      <c r="Y468" s="5">
        <f t="shared" si="154"/>
        <v>0</v>
      </c>
      <c r="Z468" s="5">
        <f t="shared" si="155"/>
        <v>0</v>
      </c>
      <c r="AA468" s="5">
        <f t="shared" si="156"/>
        <v>0</v>
      </c>
      <c r="AB468" s="5">
        <f t="shared" ref="AB468:AB531" si="157">SUM(T468:AA468)</f>
        <v>0</v>
      </c>
    </row>
    <row r="469" spans="1:29" x14ac:dyDescent="0.25">
      <c r="D469" t="s">
        <v>94</v>
      </c>
      <c r="E469" s="64"/>
      <c r="F469" s="64"/>
      <c r="G469">
        <f>IFERROR(HLOOKUP(G$2,[16]table_male_hkom2_inj.V2!$A$1:$K$36,26,FALSE),0)</f>
        <v>0</v>
      </c>
      <c r="H469">
        <f>IFERROR(HLOOKUP(H$2,[16]table_male_hkom2_inj.V2!$A$1:$K$36,26,FALSE),0)</f>
        <v>0</v>
      </c>
      <c r="I469">
        <f>IFERROR(HLOOKUP(I$2,[16]table_male_hkom2_inj.V2!$A$1:$K$36,26,FALSE),0)</f>
        <v>0</v>
      </c>
      <c r="J469">
        <f>IFERROR(HLOOKUP(J$2,[16]table_male_hkom2_inj.V2!$A$1:$K$36,26,FALSE),0)</f>
        <v>0</v>
      </c>
      <c r="K469">
        <f>IFERROR(HLOOKUP(K$2,[16]table_male_hkom2_inj.V2!$A$1:$K$36,26,FALSE),0)</f>
        <v>0</v>
      </c>
      <c r="L469">
        <f>IFERROR(HLOOKUP(L$2,[16]table_male_hkom2_inj.V2!$A$1:$K$36,26,FALSE),0)</f>
        <v>0</v>
      </c>
      <c r="M469">
        <f t="shared" si="148"/>
        <v>0</v>
      </c>
      <c r="S469" t="s">
        <v>94</v>
      </c>
      <c r="T469" s="5">
        <f t="shared" si="149"/>
        <v>0</v>
      </c>
      <c r="U469" s="5">
        <f t="shared" si="150"/>
        <v>0</v>
      </c>
      <c r="V469" s="5">
        <f t="shared" si="151"/>
        <v>0</v>
      </c>
      <c r="W469" s="5">
        <f t="shared" si="152"/>
        <v>0</v>
      </c>
      <c r="X469" s="5">
        <f t="shared" si="153"/>
        <v>0</v>
      </c>
      <c r="Y469" s="5">
        <f t="shared" si="154"/>
        <v>0</v>
      </c>
      <c r="Z469" s="5">
        <f t="shared" si="155"/>
        <v>0</v>
      </c>
      <c r="AA469" s="5">
        <f t="shared" si="156"/>
        <v>0</v>
      </c>
      <c r="AB469" s="5">
        <f t="shared" si="157"/>
        <v>0</v>
      </c>
    </row>
    <row r="470" spans="1:29" x14ac:dyDescent="0.25">
      <c r="D470" t="s">
        <v>95</v>
      </c>
      <c r="E470" s="64"/>
      <c r="F470" s="64"/>
      <c r="G470">
        <f>IFERROR(HLOOKUP(G$2,[16]table_male_hkom2_inj.V2!$A$1:$K$36,27,FALSE),0)</f>
        <v>0</v>
      </c>
      <c r="H470">
        <f>IFERROR(HLOOKUP(H$2,[16]table_male_hkom2_inj.V2!$A$1:$K$36,27,FALSE),0)</f>
        <v>0</v>
      </c>
      <c r="I470">
        <f>IFERROR(HLOOKUP(I$2,[16]table_male_hkom2_inj.V2!$A$1:$K$36,27,FALSE),0)</f>
        <v>0</v>
      </c>
      <c r="J470">
        <f>IFERROR(HLOOKUP(J$2,[16]table_male_hkom2_inj.V2!$A$1:$K$36,27,FALSE),0)</f>
        <v>0</v>
      </c>
      <c r="K470">
        <f>IFERROR(HLOOKUP(K$2,[16]table_male_hkom2_inj.V2!$A$1:$K$36,27,FALSE),0)</f>
        <v>0</v>
      </c>
      <c r="L470">
        <f>IFERROR(HLOOKUP(L$2,[16]table_male_hkom2_inj.V2!$A$1:$K$36,27,FALSE),0)</f>
        <v>0</v>
      </c>
      <c r="M470">
        <f t="shared" si="148"/>
        <v>0</v>
      </c>
      <c r="S470" t="s">
        <v>95</v>
      </c>
      <c r="T470" s="5">
        <f t="shared" si="149"/>
        <v>0</v>
      </c>
      <c r="U470" s="5">
        <f t="shared" si="150"/>
        <v>0</v>
      </c>
      <c r="V470" s="5">
        <f t="shared" si="151"/>
        <v>0</v>
      </c>
      <c r="W470" s="5">
        <f t="shared" si="152"/>
        <v>0</v>
      </c>
      <c r="X470" s="5">
        <f t="shared" si="153"/>
        <v>0</v>
      </c>
      <c r="Y470" s="5">
        <f t="shared" si="154"/>
        <v>0</v>
      </c>
      <c r="Z470" s="5">
        <f t="shared" si="155"/>
        <v>0</v>
      </c>
      <c r="AA470" s="5">
        <f t="shared" si="156"/>
        <v>0</v>
      </c>
      <c r="AB470" s="5">
        <f t="shared" si="157"/>
        <v>0</v>
      </c>
    </row>
    <row r="471" spans="1:29" x14ac:dyDescent="0.25">
      <c r="D471" t="s">
        <v>96</v>
      </c>
      <c r="E471" s="64"/>
      <c r="F471" s="64"/>
      <c r="G471">
        <f>IFERROR(HLOOKUP(G$2,[16]table_male_hkom2_inj.V2!$A$1:$K$36,28,FALSE),0)</f>
        <v>0</v>
      </c>
      <c r="H471">
        <f>IFERROR(HLOOKUP(H$2,[16]table_male_hkom2_inj.V2!$A$1:$K$36,28,FALSE),0)</f>
        <v>0</v>
      </c>
      <c r="I471">
        <f>IFERROR(HLOOKUP(I$2,[16]table_male_hkom2_inj.V2!$A$1:$K$36,28,FALSE),0)</f>
        <v>0</v>
      </c>
      <c r="J471">
        <f>IFERROR(HLOOKUP(J$2,[16]table_male_hkom2_inj.V2!$A$1:$K$36,28,FALSE),0)</f>
        <v>0</v>
      </c>
      <c r="K471">
        <f>IFERROR(HLOOKUP(K$2,[16]table_male_hkom2_inj.V2!$A$1:$K$36,28,FALSE),0)</f>
        <v>0</v>
      </c>
      <c r="L471">
        <f>IFERROR(HLOOKUP(L$2,[16]table_male_hkom2_inj.V2!$A$1:$K$36,28,FALSE),0)</f>
        <v>0</v>
      </c>
      <c r="M471">
        <f t="shared" si="148"/>
        <v>0</v>
      </c>
      <c r="S471" t="s">
        <v>96</v>
      </c>
      <c r="T471" s="5">
        <f t="shared" si="149"/>
        <v>0</v>
      </c>
      <c r="U471" s="5">
        <f t="shared" si="150"/>
        <v>0</v>
      </c>
      <c r="V471" s="5">
        <f t="shared" si="151"/>
        <v>0</v>
      </c>
      <c r="W471" s="5">
        <f t="shared" si="152"/>
        <v>0</v>
      </c>
      <c r="X471" s="5">
        <f t="shared" si="153"/>
        <v>0</v>
      </c>
      <c r="Y471" s="5">
        <f t="shared" si="154"/>
        <v>0</v>
      </c>
      <c r="Z471" s="5">
        <f t="shared" si="155"/>
        <v>0</v>
      </c>
      <c r="AA471" s="5">
        <f t="shared" si="156"/>
        <v>0</v>
      </c>
      <c r="AB471" s="5">
        <f t="shared" si="157"/>
        <v>0</v>
      </c>
    </row>
    <row r="472" spans="1:29" x14ac:dyDescent="0.25">
      <c r="D472" t="s">
        <v>97</v>
      </c>
      <c r="E472" s="64"/>
      <c r="F472" s="64"/>
      <c r="G472">
        <f>IFERROR(HLOOKUP(G$2,[16]table_male_hkom2_inj.V2!$A$1:$K$36,29,FALSE),0)</f>
        <v>0</v>
      </c>
      <c r="H472">
        <f>IFERROR(HLOOKUP(H$2,[16]table_male_hkom2_inj.V2!$A$1:$K$36,29,FALSE),0)</f>
        <v>0</v>
      </c>
      <c r="I472">
        <f>IFERROR(HLOOKUP(I$2,[16]table_male_hkom2_inj.V2!$A$1:$K$36,29,FALSE),0)</f>
        <v>0</v>
      </c>
      <c r="J472">
        <f>IFERROR(HLOOKUP(J$2,[16]table_male_hkom2_inj.V2!$A$1:$K$36,29,FALSE),0)</f>
        <v>0</v>
      </c>
      <c r="K472">
        <f>IFERROR(HLOOKUP(K$2,[16]table_male_hkom2_inj.V2!$A$1:$K$36,29,FALSE),0)</f>
        <v>0</v>
      </c>
      <c r="L472">
        <f>IFERROR(HLOOKUP(L$2,[16]table_male_hkom2_inj.V2!$A$1:$K$36,29,FALSE),0)</f>
        <v>0</v>
      </c>
      <c r="M472">
        <f t="shared" si="148"/>
        <v>0</v>
      </c>
      <c r="S472" t="s">
        <v>97</v>
      </c>
      <c r="T472" s="5">
        <f t="shared" si="149"/>
        <v>0</v>
      </c>
      <c r="U472" s="5">
        <f t="shared" si="150"/>
        <v>0</v>
      </c>
      <c r="V472" s="5">
        <f t="shared" si="151"/>
        <v>0</v>
      </c>
      <c r="W472" s="5">
        <f t="shared" si="152"/>
        <v>0</v>
      </c>
      <c r="X472" s="5">
        <f t="shared" si="153"/>
        <v>0</v>
      </c>
      <c r="Y472" s="5">
        <f t="shared" si="154"/>
        <v>0</v>
      </c>
      <c r="Z472" s="5">
        <f t="shared" si="155"/>
        <v>0</v>
      </c>
      <c r="AA472" s="5">
        <f t="shared" si="156"/>
        <v>0</v>
      </c>
      <c r="AB472" s="5">
        <f t="shared" si="157"/>
        <v>0</v>
      </c>
    </row>
    <row r="473" spans="1:29" x14ac:dyDescent="0.25">
      <c r="D473" t="s">
        <v>98</v>
      </c>
      <c r="E473" s="64"/>
      <c r="F473" s="64"/>
      <c r="G473">
        <f>IFERROR(HLOOKUP(G$2,[16]table_male_hkom2_inj.V2!$A$1:$K$36,30,FALSE),0)</f>
        <v>1</v>
      </c>
      <c r="H473">
        <f>IFERROR(HLOOKUP(H$2,[16]table_male_hkom2_inj.V2!$A$1:$K$36,30,FALSE),0)</f>
        <v>1</v>
      </c>
      <c r="I473">
        <f>IFERROR(HLOOKUP(I$2,[16]table_male_hkom2_inj.V2!$A$1:$K$36,30,FALSE),0)</f>
        <v>0</v>
      </c>
      <c r="J473">
        <f>IFERROR(HLOOKUP(J$2,[16]table_male_hkom2_inj.V2!$A$1:$K$36,30,FALSE),0)</f>
        <v>0</v>
      </c>
      <c r="K473">
        <f>IFERROR(HLOOKUP(K$2,[16]table_male_hkom2_inj.V2!$A$1:$K$36,30,FALSE),0)</f>
        <v>0</v>
      </c>
      <c r="L473">
        <f>IFERROR(HLOOKUP(L$2,[16]table_male_hkom2_inj.V2!$A$1:$K$36,30,FALSE),0)</f>
        <v>0</v>
      </c>
      <c r="M473">
        <f t="shared" si="148"/>
        <v>2</v>
      </c>
      <c r="S473" t="s">
        <v>98</v>
      </c>
      <c r="T473" s="5">
        <f t="shared" si="149"/>
        <v>0</v>
      </c>
      <c r="U473" s="5">
        <f t="shared" si="150"/>
        <v>0</v>
      </c>
      <c r="V473" s="5">
        <f t="shared" si="151"/>
        <v>1.0303030303030303</v>
      </c>
      <c r="W473" s="5">
        <f t="shared" si="152"/>
        <v>1.0859375</v>
      </c>
      <c r="X473" s="5">
        <f t="shared" si="153"/>
        <v>0</v>
      </c>
      <c r="Y473" s="5">
        <f t="shared" si="154"/>
        <v>0</v>
      </c>
      <c r="Z473" s="5">
        <f t="shared" si="155"/>
        <v>0</v>
      </c>
      <c r="AA473" s="5">
        <f t="shared" si="156"/>
        <v>0</v>
      </c>
      <c r="AB473" s="5">
        <f t="shared" si="157"/>
        <v>2.1162405303030303</v>
      </c>
    </row>
    <row r="474" spans="1:29" x14ac:dyDescent="0.25">
      <c r="D474" t="s">
        <v>119</v>
      </c>
      <c r="E474" s="64"/>
      <c r="F474" s="64"/>
      <c r="G474">
        <f>IFERROR(HLOOKUP(G$2,[16]table_male_hkom2_inj.V2!$A$1:$K$36,31,FALSE),0)</f>
        <v>0</v>
      </c>
      <c r="H474">
        <f>IFERROR(HLOOKUP(H$2,[16]table_male_hkom2_inj.V2!$A$1:$K$36,31,FALSE),0)</f>
        <v>0</v>
      </c>
      <c r="I474">
        <f>IFERROR(HLOOKUP(I$2,[16]table_male_hkom2_inj.V2!$A$1:$K$36,31,FALSE),0)</f>
        <v>0</v>
      </c>
      <c r="J474">
        <f>IFERROR(HLOOKUP(J$2,[16]table_male_hkom2_inj.V2!$A$1:$K$36,31,FALSE),0)</f>
        <v>0</v>
      </c>
      <c r="K474">
        <f>IFERROR(HLOOKUP(K$2,[16]table_male_hkom2_inj.V2!$A$1:$K$36,31,FALSE),0)</f>
        <v>0</v>
      </c>
      <c r="L474">
        <f>IFERROR(HLOOKUP(L$2,[16]table_male_hkom2_inj.V2!$A$1:$K$36,31,FALSE),0)</f>
        <v>0</v>
      </c>
      <c r="M474">
        <f t="shared" si="148"/>
        <v>0</v>
      </c>
      <c r="S474" t="s">
        <v>119</v>
      </c>
      <c r="T474" s="5">
        <f t="shared" si="149"/>
        <v>0</v>
      </c>
      <c r="U474" s="5">
        <f t="shared" si="150"/>
        <v>0</v>
      </c>
      <c r="V474" s="5">
        <f t="shared" si="151"/>
        <v>0</v>
      </c>
      <c r="W474" s="5">
        <f t="shared" si="152"/>
        <v>0</v>
      </c>
      <c r="X474" s="5">
        <f t="shared" si="153"/>
        <v>0</v>
      </c>
      <c r="Y474" s="5">
        <f t="shared" si="154"/>
        <v>0</v>
      </c>
      <c r="Z474" s="5">
        <f t="shared" si="155"/>
        <v>0</v>
      </c>
      <c r="AA474" s="5">
        <f t="shared" si="156"/>
        <v>0</v>
      </c>
      <c r="AB474" s="5">
        <f t="shared" si="157"/>
        <v>0</v>
      </c>
    </row>
    <row r="475" spans="1:29" x14ac:dyDescent="0.25">
      <c r="D475" t="s">
        <v>99</v>
      </c>
      <c r="E475" s="64"/>
      <c r="F475" s="64"/>
      <c r="G475">
        <f>IFERROR(HLOOKUP(G$2,[16]table_male_hkom2_inj.V2!$A$1:$K$36,32,FALSE),0)</f>
        <v>6</v>
      </c>
      <c r="H475">
        <f>IFERROR(HLOOKUP(H$2,[16]table_male_hkom2_inj.V2!$A$1:$K$36,32,FALSE),0)</f>
        <v>5</v>
      </c>
      <c r="I475">
        <f>IFERROR(HLOOKUP(I$2,[16]table_male_hkom2_inj.V2!$A$1:$K$36,32,FALSE),0)</f>
        <v>0</v>
      </c>
      <c r="J475">
        <f>IFERROR(HLOOKUP(J$2,[16]table_male_hkom2_inj.V2!$A$1:$K$36,32,FALSE),0)</f>
        <v>0</v>
      </c>
      <c r="K475">
        <f>IFERROR(HLOOKUP(K$2,[16]table_male_hkom2_inj.V2!$A$1:$K$36,32,FALSE),0)</f>
        <v>0</v>
      </c>
      <c r="L475">
        <f>IFERROR(HLOOKUP(L$2,[16]table_male_hkom2_inj.V2!$A$1:$K$36,32,FALSE),0)</f>
        <v>0</v>
      </c>
      <c r="M475">
        <f t="shared" si="148"/>
        <v>11</v>
      </c>
      <c r="S475" t="s">
        <v>99</v>
      </c>
      <c r="T475" s="5">
        <f t="shared" si="149"/>
        <v>0</v>
      </c>
      <c r="U475" s="5">
        <f t="shared" si="150"/>
        <v>0</v>
      </c>
      <c r="V475" s="5">
        <f t="shared" si="151"/>
        <v>6.1818181818181817</v>
      </c>
      <c r="W475" s="5">
        <f t="shared" si="152"/>
        <v>5.4296875</v>
      </c>
      <c r="X475" s="5">
        <f t="shared" si="153"/>
        <v>0</v>
      </c>
      <c r="Y475" s="5">
        <f t="shared" si="154"/>
        <v>0</v>
      </c>
      <c r="Z475" s="5">
        <f t="shared" si="155"/>
        <v>0</v>
      </c>
      <c r="AA475" s="5">
        <f t="shared" si="156"/>
        <v>0</v>
      </c>
      <c r="AB475" s="5">
        <f t="shared" si="157"/>
        <v>11.611505681818182</v>
      </c>
    </row>
    <row r="476" spans="1:29" x14ac:dyDescent="0.25">
      <c r="D476" t="s">
        <v>100</v>
      </c>
      <c r="E476" s="64"/>
      <c r="F476" s="64"/>
      <c r="G476">
        <f>IFERROR(HLOOKUP(G$2,[16]table_male_hkom2_inj.V2!$A$1:$K$36,33,FALSE),0)</f>
        <v>0</v>
      </c>
      <c r="H476">
        <f>IFERROR(HLOOKUP(H$2,[16]table_male_hkom2_inj.V2!$A$1:$K$36,33,FALSE),0)</f>
        <v>0</v>
      </c>
      <c r="I476">
        <f>IFERROR(HLOOKUP(I$2,[16]table_male_hkom2_inj.V2!$A$1:$K$36,33,FALSE),0)</f>
        <v>0</v>
      </c>
      <c r="J476">
        <f>IFERROR(HLOOKUP(J$2,[16]table_male_hkom2_inj.V2!$A$1:$K$36,33,FALSE),0)</f>
        <v>0</v>
      </c>
      <c r="K476">
        <f>IFERROR(HLOOKUP(K$2,[16]table_male_hkom2_inj.V2!$A$1:$K$36,33,FALSE),0)</f>
        <v>0</v>
      </c>
      <c r="L476">
        <f>IFERROR(HLOOKUP(L$2,[16]table_male_hkom2_inj.V2!$A$1:$K$36,33,FALSE),0)</f>
        <v>0</v>
      </c>
      <c r="M476">
        <f t="shared" si="148"/>
        <v>0</v>
      </c>
      <c r="S476" t="s">
        <v>100</v>
      </c>
      <c r="T476" s="5">
        <f t="shared" si="149"/>
        <v>0</v>
      </c>
      <c r="U476" s="5">
        <f t="shared" si="150"/>
        <v>0</v>
      </c>
      <c r="V476" s="5">
        <f t="shared" si="151"/>
        <v>0</v>
      </c>
      <c r="W476" s="5">
        <f t="shared" si="152"/>
        <v>0</v>
      </c>
      <c r="X476" s="5">
        <f t="shared" si="153"/>
        <v>0</v>
      </c>
      <c r="Y476" s="5">
        <f t="shared" si="154"/>
        <v>0</v>
      </c>
      <c r="Z476" s="5">
        <f t="shared" si="155"/>
        <v>0</v>
      </c>
      <c r="AA476" s="5">
        <f t="shared" si="156"/>
        <v>0</v>
      </c>
      <c r="AB476" s="5">
        <f t="shared" si="157"/>
        <v>0</v>
      </c>
    </row>
    <row r="477" spans="1:29" x14ac:dyDescent="0.25">
      <c r="D477" t="s">
        <v>101</v>
      </c>
      <c r="E477" s="64"/>
      <c r="F477" s="64"/>
      <c r="G477">
        <f>IFERROR(HLOOKUP(G$2,[16]table_male_hkom2_inj.V2!$A$1:$K$36,34,FALSE),0)</f>
        <v>3</v>
      </c>
      <c r="H477">
        <f>IFERROR(HLOOKUP(H$2,[16]table_male_hkom2_inj.V2!$A$1:$K$36,34,FALSE),0)</f>
        <v>1</v>
      </c>
      <c r="I477">
        <f>IFERROR(HLOOKUP(I$2,[16]table_male_hkom2_inj.V2!$A$1:$K$36,34,FALSE),0)</f>
        <v>3</v>
      </c>
      <c r="J477">
        <f>IFERROR(HLOOKUP(J$2,[16]table_male_hkom2_inj.V2!$A$1:$K$36,34,FALSE),0)</f>
        <v>1</v>
      </c>
      <c r="K477">
        <f>IFERROR(HLOOKUP(K$2,[16]table_male_hkom2_inj.V2!$A$1:$K$36,34,FALSE),0)</f>
        <v>0</v>
      </c>
      <c r="L477">
        <f>IFERROR(HLOOKUP(L$2,[16]table_male_hkom2_inj.V2!$A$1:$K$36,34,FALSE),0)</f>
        <v>0</v>
      </c>
      <c r="M477">
        <f t="shared" si="148"/>
        <v>8</v>
      </c>
      <c r="S477" t="s">
        <v>101</v>
      </c>
      <c r="T477" s="5">
        <f t="shared" si="149"/>
        <v>0</v>
      </c>
      <c r="U477" s="5">
        <f t="shared" si="150"/>
        <v>0</v>
      </c>
      <c r="V477" s="5">
        <f t="shared" si="151"/>
        <v>3.0909090909090908</v>
      </c>
      <c r="W477" s="5">
        <f t="shared" si="152"/>
        <v>1.0859375</v>
      </c>
      <c r="X477" s="5">
        <f t="shared" si="153"/>
        <v>3.0588235294117645</v>
      </c>
      <c r="Y477" s="5">
        <f t="shared" si="154"/>
        <v>1</v>
      </c>
      <c r="Z477" s="5">
        <f t="shared" si="155"/>
        <v>0</v>
      </c>
      <c r="AA477" s="5">
        <f t="shared" si="156"/>
        <v>0</v>
      </c>
      <c r="AB477" s="5">
        <f t="shared" si="157"/>
        <v>8.2356701203208544</v>
      </c>
    </row>
    <row r="478" spans="1:29" x14ac:dyDescent="0.25">
      <c r="D478" t="s">
        <v>102</v>
      </c>
      <c r="E478" s="64"/>
      <c r="F478" s="64"/>
      <c r="G478">
        <f>IFERROR(HLOOKUP(G$2,[16]table_male_hkom2_inj.V2!$A$1:$K$36,35,FALSE),0)</f>
        <v>4</v>
      </c>
      <c r="H478">
        <f>IFERROR(HLOOKUP(H$2,[16]table_male_hkom2_inj.V2!$A$1:$K$36,35,FALSE),0)</f>
        <v>11</v>
      </c>
      <c r="I478">
        <f>IFERROR(HLOOKUP(I$2,[16]table_male_hkom2_inj.V2!$A$1:$K$36,35,FALSE),0)</f>
        <v>1</v>
      </c>
      <c r="J478">
        <f>IFERROR(HLOOKUP(J$2,[16]table_male_hkom2_inj.V2!$A$1:$K$36,35,FALSE),0)</f>
        <v>0</v>
      </c>
      <c r="K478">
        <f>IFERROR(HLOOKUP(K$2,[16]table_male_hkom2_inj.V2!$A$1:$K$36,35,FALSE),0)</f>
        <v>0</v>
      </c>
      <c r="L478">
        <f>IFERROR(HLOOKUP(L$2,[16]table_male_hkom2_inj.V2!$A$1:$K$36,35,FALSE),0)</f>
        <v>0</v>
      </c>
      <c r="M478">
        <f t="shared" si="148"/>
        <v>16</v>
      </c>
      <c r="N478">
        <f>SUM(M445:M478)</f>
        <v>331</v>
      </c>
      <c r="O478" s="8">
        <f>SUM([16]table_male_hkom2_inj.V2!$B$2:$L$36)</f>
        <v>331</v>
      </c>
      <c r="S478" t="s">
        <v>102</v>
      </c>
      <c r="T478" s="7"/>
      <c r="U478" s="7"/>
      <c r="V478" s="7"/>
      <c r="W478" s="7"/>
      <c r="X478" s="7"/>
      <c r="Y478" s="7"/>
      <c r="Z478" s="7"/>
      <c r="AA478" s="7"/>
      <c r="AB478" s="5">
        <f t="shared" si="157"/>
        <v>0</v>
      </c>
      <c r="AC478" s="5">
        <f>SUM(AB445:AB477)</f>
        <v>330.99999999999989</v>
      </c>
    </row>
    <row r="479" spans="1:29" x14ac:dyDescent="0.25">
      <c r="A479" t="s">
        <v>104</v>
      </c>
      <c r="B479" t="s">
        <v>116</v>
      </c>
      <c r="C479" t="s">
        <v>107</v>
      </c>
      <c r="D479" t="s">
        <v>70</v>
      </c>
      <c r="E479" s="64"/>
      <c r="F479" s="64"/>
      <c r="G479">
        <f>IFERROR(HLOOKUP(G$2,[17]table_male_hkom2_inj.V3!$A$1:$K$36,2,FALSE),0)</f>
        <v>0</v>
      </c>
      <c r="H479">
        <f>IFERROR(HLOOKUP(H$2,[17]table_male_hkom2_inj.V3!$A$1:$K$36,2,FALSE),0)</f>
        <v>0</v>
      </c>
      <c r="I479">
        <f>IFERROR(HLOOKUP(I$2,[17]table_male_hkom2_inj.V3!$A$1:$K$36,2,FALSE),0)</f>
        <v>0</v>
      </c>
      <c r="J479">
        <f>IFERROR(HLOOKUP(J$2,[17]table_male_hkom2_inj.V3!$A$1:$K$36,2,FALSE),0)</f>
        <v>0</v>
      </c>
      <c r="K479">
        <f>IFERROR(HLOOKUP(K$2,[17]table_male_hkom2_inj.V3!$A$1:$K$36,2,FALSE),0)</f>
        <v>0</v>
      </c>
      <c r="L479">
        <f>IFERROR(HLOOKUP(L$2,[17]table_male_hkom2_inj.V3!$A$1:$K$36,2,FALSE),0)</f>
        <v>0</v>
      </c>
      <c r="M479">
        <f>SUM(E479:L479)</f>
        <v>0</v>
      </c>
      <c r="P479" t="s">
        <v>104</v>
      </c>
      <c r="Q479" t="s">
        <v>116</v>
      </c>
      <c r="R479" t="s">
        <v>107</v>
      </c>
      <c r="S479" t="s">
        <v>70</v>
      </c>
      <c r="T479" s="5">
        <f>IF(SUM(E$479:E$511)=0,E$512/33,E479+IFERROR(E479/SUM(E$479:E$511)*E$512,0))</f>
        <v>0</v>
      </c>
      <c r="U479" s="5">
        <f t="shared" ref="U479:AA479" si="158">IF(SUM(F$479:F$511)=0,F$512/33,F479+IFERROR(F479/SUM(F$479:F$511)*F$512,0))</f>
        <v>0</v>
      </c>
      <c r="V479" s="5">
        <f t="shared" si="158"/>
        <v>0</v>
      </c>
      <c r="W479" s="5">
        <f t="shared" si="158"/>
        <v>0</v>
      </c>
      <c r="X479" s="5">
        <f t="shared" si="158"/>
        <v>0</v>
      </c>
      <c r="Y479" s="5">
        <f t="shared" si="158"/>
        <v>0</v>
      </c>
      <c r="Z479" s="5">
        <f t="shared" si="158"/>
        <v>0</v>
      </c>
      <c r="AA479" s="5">
        <f t="shared" si="158"/>
        <v>0</v>
      </c>
      <c r="AB479" s="5">
        <f t="shared" si="157"/>
        <v>0</v>
      </c>
    </row>
    <row r="480" spans="1:29" x14ac:dyDescent="0.25">
      <c r="D480" t="s">
        <v>71</v>
      </c>
      <c r="E480" s="64"/>
      <c r="F480" s="64"/>
      <c r="G480">
        <f>IFERROR(HLOOKUP(G$2,[17]table_male_hkom2_inj.V3!$A$1:$K$36,3,FALSE),0)</f>
        <v>0</v>
      </c>
      <c r="H480">
        <f>IFERROR(HLOOKUP(H$2,[17]table_male_hkom2_inj.V3!$A$1:$K$36,3,FALSE),0)</f>
        <v>0</v>
      </c>
      <c r="I480">
        <f>IFERROR(HLOOKUP(I$2,[17]table_male_hkom2_inj.V3!$A$1:$K$36,3,FALSE),0)</f>
        <v>0</v>
      </c>
      <c r="J480">
        <f>IFERROR(HLOOKUP(J$2,[17]table_male_hkom2_inj.V3!$A$1:$K$36,3,FALSE),0)</f>
        <v>0</v>
      </c>
      <c r="K480">
        <f>IFERROR(HLOOKUP(K$2,[17]table_male_hkom2_inj.V3!$A$1:$K$36,3,FALSE),0)</f>
        <v>0</v>
      </c>
      <c r="L480">
        <f>IFERROR(HLOOKUP(L$2,[17]table_male_hkom2_inj.V3!$A$1:$K$36,3,FALSE),0)</f>
        <v>0</v>
      </c>
      <c r="M480">
        <f t="shared" ref="M480:M512" si="159">SUM(E480:L480)</f>
        <v>0</v>
      </c>
      <c r="S480" t="s">
        <v>71</v>
      </c>
      <c r="T480" s="5">
        <f t="shared" ref="T480:T511" si="160">IF(SUM(E$479:E$511)=0,E$512/33,E480+IFERROR(E480/SUM(E$479:E$511)*E$512,0))</f>
        <v>0</v>
      </c>
      <c r="U480" s="5">
        <f t="shared" ref="U480:U511" si="161">IF(SUM(F$479:F$511)=0,F$512/33,F480+IFERROR(F480/SUM(F$479:F$511)*F$512,0))</f>
        <v>0</v>
      </c>
      <c r="V480" s="5">
        <f t="shared" ref="V480:V511" si="162">IF(SUM(G$479:G$511)=0,G$512/33,G480+IFERROR(G480/SUM(G$479:G$511)*G$512,0))</f>
        <v>0</v>
      </c>
      <c r="W480" s="5">
        <f t="shared" ref="W480:W511" si="163">IF(SUM(H$479:H$511)=0,H$512/33,H480+IFERROR(H480/SUM(H$479:H$511)*H$512,0))</f>
        <v>0</v>
      </c>
      <c r="X480" s="5">
        <f t="shared" ref="X480:X511" si="164">IF(SUM(I$479:I$511)=0,I$512/33,I480+IFERROR(I480/SUM(I$479:I$511)*I$512,0))</f>
        <v>0</v>
      </c>
      <c r="Y480" s="5">
        <f t="shared" ref="Y480:Y511" si="165">IF(SUM(J$479:J$511)=0,J$512/33,J480+IFERROR(J480/SUM(J$479:J$511)*J$512,0))</f>
        <v>0</v>
      </c>
      <c r="Z480" s="5">
        <f t="shared" ref="Z480:Z511" si="166">IF(SUM(K$479:K$511)=0,K$512/33,K480+IFERROR(K480/SUM(K$479:K$511)*K$512,0))</f>
        <v>0</v>
      </c>
      <c r="AA480" s="5">
        <f t="shared" ref="AA480:AA511" si="167">IF(SUM(L$479:L$511)=0,L$512/33,L480+IFERROR(L480/SUM(L$479:L$511)*L$512,0))</f>
        <v>0</v>
      </c>
      <c r="AB480" s="5">
        <f t="shared" si="157"/>
        <v>0</v>
      </c>
    </row>
    <row r="481" spans="4:28" x14ac:dyDescent="0.25">
      <c r="D481" t="s">
        <v>72</v>
      </c>
      <c r="E481" s="64"/>
      <c r="F481" s="64"/>
      <c r="G481">
        <f>IFERROR(HLOOKUP(G$2,[17]table_male_hkom2_inj.V3!$A$1:$K$36,4,FALSE),0)</f>
        <v>0</v>
      </c>
      <c r="H481">
        <f>IFERROR(HLOOKUP(H$2,[17]table_male_hkom2_inj.V3!$A$1:$K$36,4,FALSE),0)</f>
        <v>0</v>
      </c>
      <c r="I481">
        <f>IFERROR(HLOOKUP(I$2,[17]table_male_hkom2_inj.V3!$A$1:$K$36,4,FALSE),0)</f>
        <v>0</v>
      </c>
      <c r="J481">
        <f>IFERROR(HLOOKUP(J$2,[17]table_male_hkom2_inj.V3!$A$1:$K$36,4,FALSE),0)</f>
        <v>0</v>
      </c>
      <c r="K481">
        <f>IFERROR(HLOOKUP(K$2,[17]table_male_hkom2_inj.V3!$A$1:$K$36,4,FALSE),0)</f>
        <v>0</v>
      </c>
      <c r="L481">
        <f>IFERROR(HLOOKUP(L$2,[17]table_male_hkom2_inj.V3!$A$1:$K$36,4,FALSE),0)</f>
        <v>0</v>
      </c>
      <c r="M481">
        <f t="shared" si="159"/>
        <v>0</v>
      </c>
      <c r="S481" t="s">
        <v>72</v>
      </c>
      <c r="T481" s="5">
        <f t="shared" si="160"/>
        <v>0</v>
      </c>
      <c r="U481" s="5">
        <f t="shared" si="161"/>
        <v>0</v>
      </c>
      <c r="V481" s="5">
        <f t="shared" si="162"/>
        <v>0</v>
      </c>
      <c r="W481" s="5">
        <f t="shared" si="163"/>
        <v>0</v>
      </c>
      <c r="X481" s="5">
        <f t="shared" si="164"/>
        <v>0</v>
      </c>
      <c r="Y481" s="5">
        <f t="shared" si="165"/>
        <v>0</v>
      </c>
      <c r="Z481" s="5">
        <f t="shared" si="166"/>
        <v>0</v>
      </c>
      <c r="AA481" s="5">
        <f t="shared" si="167"/>
        <v>0</v>
      </c>
      <c r="AB481" s="5">
        <f t="shared" si="157"/>
        <v>0</v>
      </c>
    </row>
    <row r="482" spans="4:28" x14ac:dyDescent="0.25">
      <c r="D482" t="s">
        <v>73</v>
      </c>
      <c r="E482" s="64"/>
      <c r="F482" s="64"/>
      <c r="G482">
        <f>IFERROR(HLOOKUP(G$2,[17]table_male_hkom2_inj.V3!$A$1:$K$36,5,FALSE),0)</f>
        <v>0</v>
      </c>
      <c r="H482">
        <f>IFERROR(HLOOKUP(H$2,[17]table_male_hkom2_inj.V3!$A$1:$K$36,5,FALSE),0)</f>
        <v>0</v>
      </c>
      <c r="I482">
        <f>IFERROR(HLOOKUP(I$2,[17]table_male_hkom2_inj.V3!$A$1:$K$36,5,FALSE),0)</f>
        <v>0</v>
      </c>
      <c r="J482">
        <f>IFERROR(HLOOKUP(J$2,[17]table_male_hkom2_inj.V3!$A$1:$K$36,5,FALSE),0)</f>
        <v>0</v>
      </c>
      <c r="K482">
        <f>IFERROR(HLOOKUP(K$2,[17]table_male_hkom2_inj.V3!$A$1:$K$36,5,FALSE),0)</f>
        <v>0</v>
      </c>
      <c r="L482">
        <f>IFERROR(HLOOKUP(L$2,[17]table_male_hkom2_inj.V3!$A$1:$K$36,5,FALSE),0)</f>
        <v>0</v>
      </c>
      <c r="M482">
        <f t="shared" si="159"/>
        <v>0</v>
      </c>
      <c r="S482" t="s">
        <v>73</v>
      </c>
      <c r="T482" s="5">
        <f t="shared" si="160"/>
        <v>0</v>
      </c>
      <c r="U482" s="5">
        <f t="shared" si="161"/>
        <v>0</v>
      </c>
      <c r="V482" s="5">
        <f t="shared" si="162"/>
        <v>0</v>
      </c>
      <c r="W482" s="5">
        <f t="shared" si="163"/>
        <v>0</v>
      </c>
      <c r="X482" s="5">
        <f t="shared" si="164"/>
        <v>0</v>
      </c>
      <c r="Y482" s="5">
        <f t="shared" si="165"/>
        <v>0</v>
      </c>
      <c r="Z482" s="5">
        <f t="shared" si="166"/>
        <v>0</v>
      </c>
      <c r="AA482" s="5">
        <f t="shared" si="167"/>
        <v>0</v>
      </c>
      <c r="AB482" s="5">
        <f t="shared" si="157"/>
        <v>0</v>
      </c>
    </row>
    <row r="483" spans="4:28" x14ac:dyDescent="0.25">
      <c r="D483" t="s">
        <v>74</v>
      </c>
      <c r="E483" s="64"/>
      <c r="F483" s="64"/>
      <c r="G483">
        <f>IFERROR(HLOOKUP(G$2,[17]table_male_hkom2_inj.V3!$A$1:$K$36,6,FALSE),0)</f>
        <v>0</v>
      </c>
      <c r="H483">
        <f>IFERROR(HLOOKUP(H$2,[17]table_male_hkom2_inj.V3!$A$1:$K$36,6,FALSE),0)</f>
        <v>0</v>
      </c>
      <c r="I483">
        <f>IFERROR(HLOOKUP(I$2,[17]table_male_hkom2_inj.V3!$A$1:$K$36,6,FALSE),0)</f>
        <v>0</v>
      </c>
      <c r="J483">
        <f>IFERROR(HLOOKUP(J$2,[17]table_male_hkom2_inj.V3!$A$1:$K$36,6,FALSE),0)</f>
        <v>0</v>
      </c>
      <c r="K483">
        <f>IFERROR(HLOOKUP(K$2,[17]table_male_hkom2_inj.V3!$A$1:$K$36,6,FALSE),0)</f>
        <v>0</v>
      </c>
      <c r="L483">
        <f>IFERROR(HLOOKUP(L$2,[17]table_male_hkom2_inj.V3!$A$1:$K$36,6,FALSE),0)</f>
        <v>0</v>
      </c>
      <c r="M483">
        <f t="shared" si="159"/>
        <v>0</v>
      </c>
      <c r="S483" t="s">
        <v>74</v>
      </c>
      <c r="T483" s="5">
        <f t="shared" si="160"/>
        <v>0</v>
      </c>
      <c r="U483" s="5">
        <f t="shared" si="161"/>
        <v>0</v>
      </c>
      <c r="V483" s="5">
        <f t="shared" si="162"/>
        <v>0</v>
      </c>
      <c r="W483" s="5">
        <f t="shared" si="163"/>
        <v>0</v>
      </c>
      <c r="X483" s="5">
        <f t="shared" si="164"/>
        <v>0</v>
      </c>
      <c r="Y483" s="5">
        <f t="shared" si="165"/>
        <v>0</v>
      </c>
      <c r="Z483" s="5">
        <f t="shared" si="166"/>
        <v>0</v>
      </c>
      <c r="AA483" s="5">
        <f t="shared" si="167"/>
        <v>0</v>
      </c>
      <c r="AB483" s="5">
        <f t="shared" si="157"/>
        <v>0</v>
      </c>
    </row>
    <row r="484" spans="4:28" x14ac:dyDescent="0.25">
      <c r="D484" t="s">
        <v>75</v>
      </c>
      <c r="E484" s="64"/>
      <c r="F484" s="64"/>
      <c r="G484">
        <f>IFERROR(HLOOKUP(G$2,[17]table_male_hkom2_inj.V3!$A$1:$K$36,7,FALSE),0)</f>
        <v>0</v>
      </c>
      <c r="H484">
        <f>IFERROR(HLOOKUP(H$2,[17]table_male_hkom2_inj.V3!$A$1:$K$36,7,FALSE),0)</f>
        <v>0</v>
      </c>
      <c r="I484">
        <f>IFERROR(HLOOKUP(I$2,[17]table_male_hkom2_inj.V3!$A$1:$K$36,7,FALSE),0)</f>
        <v>0</v>
      </c>
      <c r="J484">
        <f>IFERROR(HLOOKUP(J$2,[17]table_male_hkom2_inj.V3!$A$1:$K$36,7,FALSE),0)</f>
        <v>0</v>
      </c>
      <c r="K484">
        <f>IFERROR(HLOOKUP(K$2,[17]table_male_hkom2_inj.V3!$A$1:$K$36,7,FALSE),0)</f>
        <v>0</v>
      </c>
      <c r="L484">
        <f>IFERROR(HLOOKUP(L$2,[17]table_male_hkom2_inj.V3!$A$1:$K$36,7,FALSE),0)</f>
        <v>0</v>
      </c>
      <c r="M484">
        <f t="shared" si="159"/>
        <v>0</v>
      </c>
      <c r="S484" t="s">
        <v>75</v>
      </c>
      <c r="T484" s="5">
        <f t="shared" si="160"/>
        <v>0</v>
      </c>
      <c r="U484" s="5">
        <f t="shared" si="161"/>
        <v>0</v>
      </c>
      <c r="V484" s="5">
        <f t="shared" si="162"/>
        <v>0</v>
      </c>
      <c r="W484" s="5">
        <f t="shared" si="163"/>
        <v>0</v>
      </c>
      <c r="X484" s="5">
        <f t="shared" si="164"/>
        <v>0</v>
      </c>
      <c r="Y484" s="5">
        <f t="shared" si="165"/>
        <v>0</v>
      </c>
      <c r="Z484" s="5">
        <f t="shared" si="166"/>
        <v>0</v>
      </c>
      <c r="AA484" s="5">
        <f t="shared" si="167"/>
        <v>0</v>
      </c>
      <c r="AB484" s="5">
        <f t="shared" si="157"/>
        <v>0</v>
      </c>
    </row>
    <row r="485" spans="4:28" x14ac:dyDescent="0.25">
      <c r="D485" t="s">
        <v>76</v>
      </c>
      <c r="E485" s="64"/>
      <c r="F485" s="64"/>
      <c r="G485">
        <f>IFERROR(HLOOKUP(G$2,[17]table_male_hkom2_inj.V3!$A$1:$K$36,8,FALSE),0)</f>
        <v>0</v>
      </c>
      <c r="H485">
        <f>IFERROR(HLOOKUP(H$2,[17]table_male_hkom2_inj.V3!$A$1:$K$36,8,FALSE),0)</f>
        <v>1</v>
      </c>
      <c r="I485">
        <f>IFERROR(HLOOKUP(I$2,[17]table_male_hkom2_inj.V3!$A$1:$K$36,8,FALSE),0)</f>
        <v>0</v>
      </c>
      <c r="J485">
        <f>IFERROR(HLOOKUP(J$2,[17]table_male_hkom2_inj.V3!$A$1:$K$36,8,FALSE),0)</f>
        <v>0</v>
      </c>
      <c r="K485">
        <f>IFERROR(HLOOKUP(K$2,[17]table_male_hkom2_inj.V3!$A$1:$K$36,8,FALSE),0)</f>
        <v>0</v>
      </c>
      <c r="L485">
        <f>IFERROR(HLOOKUP(L$2,[17]table_male_hkom2_inj.V3!$A$1:$K$36,8,FALSE),0)</f>
        <v>0</v>
      </c>
      <c r="M485">
        <f t="shared" si="159"/>
        <v>1</v>
      </c>
      <c r="S485" t="s">
        <v>76</v>
      </c>
      <c r="T485" s="5">
        <f t="shared" si="160"/>
        <v>0</v>
      </c>
      <c r="U485" s="5">
        <f t="shared" si="161"/>
        <v>0</v>
      </c>
      <c r="V485" s="5">
        <f t="shared" si="162"/>
        <v>0</v>
      </c>
      <c r="W485" s="5">
        <f t="shared" si="163"/>
        <v>1</v>
      </c>
      <c r="X485" s="5">
        <f t="shared" si="164"/>
        <v>0</v>
      </c>
      <c r="Y485" s="5">
        <f t="shared" si="165"/>
        <v>0</v>
      </c>
      <c r="Z485" s="5">
        <f t="shared" si="166"/>
        <v>0</v>
      </c>
      <c r="AA485" s="5">
        <f t="shared" si="167"/>
        <v>0</v>
      </c>
      <c r="AB485" s="5">
        <f t="shared" si="157"/>
        <v>1</v>
      </c>
    </row>
    <row r="486" spans="4:28" x14ac:dyDescent="0.25">
      <c r="D486" t="s">
        <v>77</v>
      </c>
      <c r="E486" s="64"/>
      <c r="F486" s="64"/>
      <c r="G486">
        <f>IFERROR(HLOOKUP(G$2,[17]table_male_hkom2_inj.V3!$A$1:$K$36,9,FALSE),0)</f>
        <v>0</v>
      </c>
      <c r="H486">
        <f>IFERROR(HLOOKUP(H$2,[17]table_male_hkom2_inj.V3!$A$1:$K$36,9,FALSE),0)</f>
        <v>0</v>
      </c>
      <c r="I486">
        <f>IFERROR(HLOOKUP(I$2,[17]table_male_hkom2_inj.V3!$A$1:$K$36,9,FALSE),0)</f>
        <v>0</v>
      </c>
      <c r="J486">
        <f>IFERROR(HLOOKUP(J$2,[17]table_male_hkom2_inj.V3!$A$1:$K$36,9,FALSE),0)</f>
        <v>0</v>
      </c>
      <c r="K486">
        <f>IFERROR(HLOOKUP(K$2,[17]table_male_hkom2_inj.V3!$A$1:$K$36,9,FALSE),0)</f>
        <v>0</v>
      </c>
      <c r="L486">
        <f>IFERROR(HLOOKUP(L$2,[17]table_male_hkom2_inj.V3!$A$1:$K$36,9,FALSE),0)</f>
        <v>0</v>
      </c>
      <c r="M486">
        <f t="shared" si="159"/>
        <v>0</v>
      </c>
      <c r="S486" t="s">
        <v>77</v>
      </c>
      <c r="T486" s="5">
        <f t="shared" si="160"/>
        <v>0</v>
      </c>
      <c r="U486" s="5">
        <f t="shared" si="161"/>
        <v>0</v>
      </c>
      <c r="V486" s="5">
        <f t="shared" si="162"/>
        <v>0</v>
      </c>
      <c r="W486" s="5">
        <f t="shared" si="163"/>
        <v>0</v>
      </c>
      <c r="X486" s="5">
        <f t="shared" si="164"/>
        <v>0</v>
      </c>
      <c r="Y486" s="5">
        <f t="shared" si="165"/>
        <v>0</v>
      </c>
      <c r="Z486" s="5">
        <f t="shared" si="166"/>
        <v>0</v>
      </c>
      <c r="AA486" s="5">
        <f t="shared" si="167"/>
        <v>0</v>
      </c>
      <c r="AB486" s="5">
        <f t="shared" si="157"/>
        <v>0</v>
      </c>
    </row>
    <row r="487" spans="4:28" x14ac:dyDescent="0.25">
      <c r="D487" t="s">
        <v>78</v>
      </c>
      <c r="E487" s="64"/>
      <c r="F487" s="64"/>
      <c r="G487">
        <f>IFERROR(HLOOKUP(G$2,[17]table_male_hkom2_inj.V3!$A$1:$K$36,10,FALSE),0)</f>
        <v>0</v>
      </c>
      <c r="H487">
        <f>IFERROR(HLOOKUP(H$2,[17]table_male_hkom2_inj.V3!$A$1:$K$36,10,FALSE),0)</f>
        <v>0</v>
      </c>
      <c r="I487">
        <f>IFERROR(HLOOKUP(I$2,[17]table_male_hkom2_inj.V3!$A$1:$K$36,10,FALSE),0)</f>
        <v>0</v>
      </c>
      <c r="J487">
        <f>IFERROR(HLOOKUP(J$2,[17]table_male_hkom2_inj.V3!$A$1:$K$36,10,FALSE),0)</f>
        <v>0</v>
      </c>
      <c r="K487">
        <f>IFERROR(HLOOKUP(K$2,[17]table_male_hkom2_inj.V3!$A$1:$K$36,10,FALSE),0)</f>
        <v>0</v>
      </c>
      <c r="L487">
        <f>IFERROR(HLOOKUP(L$2,[17]table_male_hkom2_inj.V3!$A$1:$K$36,10,FALSE),0)</f>
        <v>0</v>
      </c>
      <c r="M487">
        <f t="shared" si="159"/>
        <v>0</v>
      </c>
      <c r="S487" t="s">
        <v>78</v>
      </c>
      <c r="T487" s="5">
        <f t="shared" si="160"/>
        <v>0</v>
      </c>
      <c r="U487" s="5">
        <f t="shared" si="161"/>
        <v>0</v>
      </c>
      <c r="V487" s="5">
        <f t="shared" si="162"/>
        <v>0</v>
      </c>
      <c r="W487" s="5">
        <f t="shared" si="163"/>
        <v>0</v>
      </c>
      <c r="X487" s="5">
        <f t="shared" si="164"/>
        <v>0</v>
      </c>
      <c r="Y487" s="5">
        <f t="shared" si="165"/>
        <v>0</v>
      </c>
      <c r="Z487" s="5">
        <f t="shared" si="166"/>
        <v>0</v>
      </c>
      <c r="AA487" s="5">
        <f t="shared" si="167"/>
        <v>0</v>
      </c>
      <c r="AB487" s="5">
        <f t="shared" si="157"/>
        <v>0</v>
      </c>
    </row>
    <row r="488" spans="4:28" x14ac:dyDescent="0.25">
      <c r="D488" t="s">
        <v>79</v>
      </c>
      <c r="E488" s="64"/>
      <c r="F488" s="64"/>
      <c r="G488">
        <f>IFERROR(HLOOKUP(G$2,[17]table_male_hkom2_inj.V3!$A$1:$K$36,11,FALSE),0)</f>
        <v>0</v>
      </c>
      <c r="H488">
        <f>IFERROR(HLOOKUP(H$2,[17]table_male_hkom2_inj.V3!$A$1:$K$36,11,FALSE),0)</f>
        <v>0</v>
      </c>
      <c r="I488">
        <f>IFERROR(HLOOKUP(I$2,[17]table_male_hkom2_inj.V3!$A$1:$K$36,11,FALSE),0)</f>
        <v>0</v>
      </c>
      <c r="J488">
        <f>IFERROR(HLOOKUP(J$2,[17]table_male_hkom2_inj.V3!$A$1:$K$36,11,FALSE),0)</f>
        <v>0</v>
      </c>
      <c r="K488">
        <f>IFERROR(HLOOKUP(K$2,[17]table_male_hkom2_inj.V3!$A$1:$K$36,11,FALSE),0)</f>
        <v>0</v>
      </c>
      <c r="L488">
        <f>IFERROR(HLOOKUP(L$2,[17]table_male_hkom2_inj.V3!$A$1:$K$36,11,FALSE),0)</f>
        <v>0</v>
      </c>
      <c r="M488">
        <f t="shared" si="159"/>
        <v>0</v>
      </c>
      <c r="S488" t="s">
        <v>79</v>
      </c>
      <c r="T488" s="5">
        <f t="shared" si="160"/>
        <v>0</v>
      </c>
      <c r="U488" s="5">
        <f t="shared" si="161"/>
        <v>0</v>
      </c>
      <c r="V488" s="5">
        <f t="shared" si="162"/>
        <v>0</v>
      </c>
      <c r="W488" s="5">
        <f t="shared" si="163"/>
        <v>0</v>
      </c>
      <c r="X488" s="5">
        <f t="shared" si="164"/>
        <v>0</v>
      </c>
      <c r="Y488" s="5">
        <f t="shared" si="165"/>
        <v>0</v>
      </c>
      <c r="Z488" s="5">
        <f t="shared" si="166"/>
        <v>0</v>
      </c>
      <c r="AA488" s="5">
        <f t="shared" si="167"/>
        <v>0</v>
      </c>
      <c r="AB488" s="5">
        <f t="shared" si="157"/>
        <v>0</v>
      </c>
    </row>
    <row r="489" spans="4:28" x14ac:dyDescent="0.25">
      <c r="D489" t="s">
        <v>80</v>
      </c>
      <c r="E489" s="64"/>
      <c r="F489" s="64"/>
      <c r="G489">
        <f>IFERROR(HLOOKUP(G$2,[17]table_male_hkom2_inj.V3!$A$1:$K$36,12,FALSE),0)</f>
        <v>0</v>
      </c>
      <c r="H489">
        <f>IFERROR(HLOOKUP(H$2,[17]table_male_hkom2_inj.V3!$A$1:$K$36,12,FALSE),0)</f>
        <v>0</v>
      </c>
      <c r="I489">
        <f>IFERROR(HLOOKUP(I$2,[17]table_male_hkom2_inj.V3!$A$1:$K$36,12,FALSE),0)</f>
        <v>0</v>
      </c>
      <c r="J489">
        <f>IFERROR(HLOOKUP(J$2,[17]table_male_hkom2_inj.V3!$A$1:$K$36,12,FALSE),0)</f>
        <v>0</v>
      </c>
      <c r="K489">
        <f>IFERROR(HLOOKUP(K$2,[17]table_male_hkom2_inj.V3!$A$1:$K$36,12,FALSE),0)</f>
        <v>0</v>
      </c>
      <c r="L489">
        <f>IFERROR(HLOOKUP(L$2,[17]table_male_hkom2_inj.V3!$A$1:$K$36,12,FALSE),0)</f>
        <v>0</v>
      </c>
      <c r="M489">
        <f t="shared" si="159"/>
        <v>0</v>
      </c>
      <c r="S489" t="s">
        <v>80</v>
      </c>
      <c r="T489" s="5">
        <f t="shared" si="160"/>
        <v>0</v>
      </c>
      <c r="U489" s="5">
        <f t="shared" si="161"/>
        <v>0</v>
      </c>
      <c r="V489" s="5">
        <f t="shared" si="162"/>
        <v>0</v>
      </c>
      <c r="W489" s="5">
        <f t="shared" si="163"/>
        <v>0</v>
      </c>
      <c r="X489" s="5">
        <f t="shared" si="164"/>
        <v>0</v>
      </c>
      <c r="Y489" s="5">
        <f t="shared" si="165"/>
        <v>0</v>
      </c>
      <c r="Z489" s="5">
        <f t="shared" si="166"/>
        <v>0</v>
      </c>
      <c r="AA489" s="5">
        <f t="shared" si="167"/>
        <v>0</v>
      </c>
      <c r="AB489" s="5">
        <f t="shared" si="157"/>
        <v>0</v>
      </c>
    </row>
    <row r="490" spans="4:28" x14ac:dyDescent="0.25">
      <c r="D490" t="s">
        <v>81</v>
      </c>
      <c r="E490" s="64"/>
      <c r="F490" s="64"/>
      <c r="G490">
        <f>IFERROR(HLOOKUP(G$2,[17]table_male_hkom2_inj.V3!$A$1:$K$36,13,FALSE),0)</f>
        <v>0</v>
      </c>
      <c r="H490">
        <f>IFERROR(HLOOKUP(H$2,[17]table_male_hkom2_inj.V3!$A$1:$K$36,13,FALSE),0)</f>
        <v>0</v>
      </c>
      <c r="I490">
        <f>IFERROR(HLOOKUP(I$2,[17]table_male_hkom2_inj.V3!$A$1:$K$36,13,FALSE),0)</f>
        <v>0</v>
      </c>
      <c r="J490">
        <f>IFERROR(HLOOKUP(J$2,[17]table_male_hkom2_inj.V3!$A$1:$K$36,13,FALSE),0)</f>
        <v>0</v>
      </c>
      <c r="K490">
        <f>IFERROR(HLOOKUP(K$2,[17]table_male_hkom2_inj.V3!$A$1:$K$36,13,FALSE),0)</f>
        <v>0</v>
      </c>
      <c r="L490">
        <f>IFERROR(HLOOKUP(L$2,[17]table_male_hkom2_inj.V3!$A$1:$K$36,13,FALSE),0)</f>
        <v>0</v>
      </c>
      <c r="M490">
        <f t="shared" si="159"/>
        <v>0</v>
      </c>
      <c r="S490" t="s">
        <v>81</v>
      </c>
      <c r="T490" s="5">
        <f t="shared" si="160"/>
        <v>0</v>
      </c>
      <c r="U490" s="5">
        <f t="shared" si="161"/>
        <v>0</v>
      </c>
      <c r="V490" s="5">
        <f t="shared" si="162"/>
        <v>0</v>
      </c>
      <c r="W490" s="5">
        <f t="shared" si="163"/>
        <v>0</v>
      </c>
      <c r="X490" s="5">
        <f t="shared" si="164"/>
        <v>0</v>
      </c>
      <c r="Y490" s="5">
        <f t="shared" si="165"/>
        <v>0</v>
      </c>
      <c r="Z490" s="5">
        <f t="shared" si="166"/>
        <v>0</v>
      </c>
      <c r="AA490" s="5">
        <f t="shared" si="167"/>
        <v>0</v>
      </c>
      <c r="AB490" s="5">
        <f t="shared" si="157"/>
        <v>0</v>
      </c>
    </row>
    <row r="491" spans="4:28" x14ac:dyDescent="0.25">
      <c r="D491" t="s">
        <v>82</v>
      </c>
      <c r="E491" s="64"/>
      <c r="F491" s="64"/>
      <c r="G491">
        <f>IFERROR(HLOOKUP(G$2,[17]table_male_hkom2_inj.V3!$A$1:$K$36,14,FALSE),0)</f>
        <v>0</v>
      </c>
      <c r="H491">
        <f>IFERROR(HLOOKUP(H$2,[17]table_male_hkom2_inj.V3!$A$1:$K$36,14,FALSE),0)</f>
        <v>0</v>
      </c>
      <c r="I491">
        <f>IFERROR(HLOOKUP(I$2,[17]table_male_hkom2_inj.V3!$A$1:$K$36,14,FALSE),0)</f>
        <v>0</v>
      </c>
      <c r="J491">
        <f>IFERROR(HLOOKUP(J$2,[17]table_male_hkom2_inj.V3!$A$1:$K$36,14,FALSE),0)</f>
        <v>0</v>
      </c>
      <c r="K491">
        <f>IFERROR(HLOOKUP(K$2,[17]table_male_hkom2_inj.V3!$A$1:$K$36,14,FALSE),0)</f>
        <v>0</v>
      </c>
      <c r="L491">
        <f>IFERROR(HLOOKUP(L$2,[17]table_male_hkom2_inj.V3!$A$1:$K$36,14,FALSE),0)</f>
        <v>0</v>
      </c>
      <c r="M491">
        <f t="shared" si="159"/>
        <v>0</v>
      </c>
      <c r="S491" t="s">
        <v>82</v>
      </c>
      <c r="T491" s="5">
        <f t="shared" si="160"/>
        <v>0</v>
      </c>
      <c r="U491" s="5">
        <f t="shared" si="161"/>
        <v>0</v>
      </c>
      <c r="V491" s="5">
        <f t="shared" si="162"/>
        <v>0</v>
      </c>
      <c r="W491" s="5">
        <f t="shared" si="163"/>
        <v>0</v>
      </c>
      <c r="X491" s="5">
        <f t="shared" si="164"/>
        <v>0</v>
      </c>
      <c r="Y491" s="5">
        <f t="shared" si="165"/>
        <v>0</v>
      </c>
      <c r="Z491" s="5">
        <f t="shared" si="166"/>
        <v>0</v>
      </c>
      <c r="AA491" s="5">
        <f t="shared" si="167"/>
        <v>0</v>
      </c>
      <c r="AB491" s="5">
        <f t="shared" si="157"/>
        <v>0</v>
      </c>
    </row>
    <row r="492" spans="4:28" x14ac:dyDescent="0.25">
      <c r="D492" t="s">
        <v>83</v>
      </c>
      <c r="E492" s="64"/>
      <c r="F492" s="64"/>
      <c r="G492">
        <f>IFERROR(HLOOKUP(G$2,[17]table_male_hkom2_inj.V3!$A$1:$K$36,15,FALSE),0)</f>
        <v>0</v>
      </c>
      <c r="H492">
        <f>IFERROR(HLOOKUP(H$2,[17]table_male_hkom2_inj.V3!$A$1:$K$36,15,FALSE),0)</f>
        <v>0</v>
      </c>
      <c r="I492">
        <f>IFERROR(HLOOKUP(I$2,[17]table_male_hkom2_inj.V3!$A$1:$K$36,15,FALSE),0)</f>
        <v>0</v>
      </c>
      <c r="J492">
        <f>IFERROR(HLOOKUP(J$2,[17]table_male_hkom2_inj.V3!$A$1:$K$36,15,FALSE),0)</f>
        <v>0</v>
      </c>
      <c r="K492">
        <f>IFERROR(HLOOKUP(K$2,[17]table_male_hkom2_inj.V3!$A$1:$K$36,15,FALSE),0)</f>
        <v>0</v>
      </c>
      <c r="L492">
        <f>IFERROR(HLOOKUP(L$2,[17]table_male_hkom2_inj.V3!$A$1:$K$36,15,FALSE),0)</f>
        <v>0</v>
      </c>
      <c r="M492">
        <f t="shared" si="159"/>
        <v>0</v>
      </c>
      <c r="S492" t="s">
        <v>83</v>
      </c>
      <c r="T492" s="5">
        <f t="shared" si="160"/>
        <v>0</v>
      </c>
      <c r="U492" s="5">
        <f t="shared" si="161"/>
        <v>0</v>
      </c>
      <c r="V492" s="5">
        <f t="shared" si="162"/>
        <v>0</v>
      </c>
      <c r="W492" s="5">
        <f t="shared" si="163"/>
        <v>0</v>
      </c>
      <c r="X492" s="5">
        <f t="shared" si="164"/>
        <v>0</v>
      </c>
      <c r="Y492" s="5">
        <f t="shared" si="165"/>
        <v>0</v>
      </c>
      <c r="Z492" s="5">
        <f t="shared" si="166"/>
        <v>0</v>
      </c>
      <c r="AA492" s="5">
        <f t="shared" si="167"/>
        <v>0</v>
      </c>
      <c r="AB492" s="5">
        <f t="shared" si="157"/>
        <v>0</v>
      </c>
    </row>
    <row r="493" spans="4:28" x14ac:dyDescent="0.25">
      <c r="D493" t="s">
        <v>84</v>
      </c>
      <c r="E493" s="64"/>
      <c r="F493" s="64"/>
      <c r="G493">
        <f>IFERROR(HLOOKUP(G$2,[17]table_male_hkom2_inj.V3!$A$1:$K$36,16,FALSE),0)</f>
        <v>0</v>
      </c>
      <c r="H493">
        <f>IFERROR(HLOOKUP(H$2,[17]table_male_hkom2_inj.V3!$A$1:$K$36,16,FALSE),0)</f>
        <v>0</v>
      </c>
      <c r="I493">
        <f>IFERROR(HLOOKUP(I$2,[17]table_male_hkom2_inj.V3!$A$1:$K$36,16,FALSE),0)</f>
        <v>0</v>
      </c>
      <c r="J493">
        <f>IFERROR(HLOOKUP(J$2,[17]table_male_hkom2_inj.V3!$A$1:$K$36,16,FALSE),0)</f>
        <v>0</v>
      </c>
      <c r="K493">
        <f>IFERROR(HLOOKUP(K$2,[17]table_male_hkom2_inj.V3!$A$1:$K$36,16,FALSE),0)</f>
        <v>0</v>
      </c>
      <c r="L493">
        <f>IFERROR(HLOOKUP(L$2,[17]table_male_hkom2_inj.V3!$A$1:$K$36,16,FALSE),0)</f>
        <v>0</v>
      </c>
      <c r="M493">
        <f t="shared" si="159"/>
        <v>0</v>
      </c>
      <c r="S493" t="s">
        <v>84</v>
      </c>
      <c r="T493" s="5">
        <f t="shared" si="160"/>
        <v>0</v>
      </c>
      <c r="U493" s="5">
        <f t="shared" si="161"/>
        <v>0</v>
      </c>
      <c r="V493" s="5">
        <f t="shared" si="162"/>
        <v>0</v>
      </c>
      <c r="W493" s="5">
        <f t="shared" si="163"/>
        <v>0</v>
      </c>
      <c r="X493" s="5">
        <f t="shared" si="164"/>
        <v>0</v>
      </c>
      <c r="Y493" s="5">
        <f t="shared" si="165"/>
        <v>0</v>
      </c>
      <c r="Z493" s="5">
        <f t="shared" si="166"/>
        <v>0</v>
      </c>
      <c r="AA493" s="5">
        <f t="shared" si="167"/>
        <v>0</v>
      </c>
      <c r="AB493" s="5">
        <f t="shared" si="157"/>
        <v>0</v>
      </c>
    </row>
    <row r="494" spans="4:28" x14ac:dyDescent="0.25">
      <c r="D494" t="s">
        <v>85</v>
      </c>
      <c r="E494" s="64"/>
      <c r="F494" s="64"/>
      <c r="G494">
        <f>IFERROR(HLOOKUP(G$2,[17]table_male_hkom2_inj.V3!$A$1:$K$36,17,FALSE),0)</f>
        <v>0</v>
      </c>
      <c r="H494">
        <f>IFERROR(HLOOKUP(H$2,[17]table_male_hkom2_inj.V3!$A$1:$K$36,17,FALSE),0)</f>
        <v>0</v>
      </c>
      <c r="I494">
        <f>IFERROR(HLOOKUP(I$2,[17]table_male_hkom2_inj.V3!$A$1:$K$36,17,FALSE),0)</f>
        <v>0</v>
      </c>
      <c r="J494">
        <f>IFERROR(HLOOKUP(J$2,[17]table_male_hkom2_inj.V3!$A$1:$K$36,17,FALSE),0)</f>
        <v>0</v>
      </c>
      <c r="K494">
        <f>IFERROR(HLOOKUP(K$2,[17]table_male_hkom2_inj.V3!$A$1:$K$36,17,FALSE),0)</f>
        <v>0</v>
      </c>
      <c r="L494">
        <f>IFERROR(HLOOKUP(L$2,[17]table_male_hkom2_inj.V3!$A$1:$K$36,17,FALSE),0)</f>
        <v>0</v>
      </c>
      <c r="M494">
        <f t="shared" si="159"/>
        <v>0</v>
      </c>
      <c r="S494" t="s">
        <v>85</v>
      </c>
      <c r="T494" s="5">
        <f t="shared" si="160"/>
        <v>0</v>
      </c>
      <c r="U494" s="5">
        <f t="shared" si="161"/>
        <v>0</v>
      </c>
      <c r="V494" s="5">
        <f t="shared" si="162"/>
        <v>0</v>
      </c>
      <c r="W494" s="5">
        <f t="shared" si="163"/>
        <v>0</v>
      </c>
      <c r="X494" s="5">
        <f t="shared" si="164"/>
        <v>0</v>
      </c>
      <c r="Y494" s="5">
        <f t="shared" si="165"/>
        <v>0</v>
      </c>
      <c r="Z494" s="5">
        <f t="shared" si="166"/>
        <v>0</v>
      </c>
      <c r="AA494" s="5">
        <f t="shared" si="167"/>
        <v>0</v>
      </c>
      <c r="AB494" s="5">
        <f t="shared" si="157"/>
        <v>0</v>
      </c>
    </row>
    <row r="495" spans="4:28" x14ac:dyDescent="0.25">
      <c r="D495" t="s">
        <v>86</v>
      </c>
      <c r="E495" s="64"/>
      <c r="F495" s="64"/>
      <c r="G495">
        <f>IFERROR(HLOOKUP(G$2,[17]table_male_hkom2_inj.V3!$A$1:$K$36,18,FALSE),0)</f>
        <v>0</v>
      </c>
      <c r="H495">
        <f>IFERROR(HLOOKUP(H$2,[17]table_male_hkom2_inj.V3!$A$1:$K$36,18,FALSE),0)</f>
        <v>0</v>
      </c>
      <c r="I495">
        <f>IFERROR(HLOOKUP(I$2,[17]table_male_hkom2_inj.V3!$A$1:$K$36,18,FALSE),0)</f>
        <v>0</v>
      </c>
      <c r="J495">
        <f>IFERROR(HLOOKUP(J$2,[17]table_male_hkom2_inj.V3!$A$1:$K$36,18,FALSE),0)</f>
        <v>0</v>
      </c>
      <c r="K495">
        <f>IFERROR(HLOOKUP(K$2,[17]table_male_hkom2_inj.V3!$A$1:$K$36,18,FALSE),0)</f>
        <v>0</v>
      </c>
      <c r="L495">
        <f>IFERROR(HLOOKUP(L$2,[17]table_male_hkom2_inj.V3!$A$1:$K$36,18,FALSE),0)</f>
        <v>0</v>
      </c>
      <c r="M495">
        <f t="shared" si="159"/>
        <v>0</v>
      </c>
      <c r="S495" t="s">
        <v>86</v>
      </c>
      <c r="T495" s="5">
        <f t="shared" si="160"/>
        <v>0</v>
      </c>
      <c r="U495" s="5">
        <f t="shared" si="161"/>
        <v>0</v>
      </c>
      <c r="V495" s="5">
        <f t="shared" si="162"/>
        <v>0</v>
      </c>
      <c r="W495" s="5">
        <f t="shared" si="163"/>
        <v>0</v>
      </c>
      <c r="X495" s="5">
        <f t="shared" si="164"/>
        <v>0</v>
      </c>
      <c r="Y495" s="5">
        <f t="shared" si="165"/>
        <v>0</v>
      </c>
      <c r="Z495" s="5">
        <f t="shared" si="166"/>
        <v>0</v>
      </c>
      <c r="AA495" s="5">
        <f t="shared" si="167"/>
        <v>0</v>
      </c>
      <c r="AB495" s="5">
        <f t="shared" si="157"/>
        <v>0</v>
      </c>
    </row>
    <row r="496" spans="4:28" x14ac:dyDescent="0.25">
      <c r="D496" t="s">
        <v>87</v>
      </c>
      <c r="E496" s="64"/>
      <c r="F496" s="64"/>
      <c r="G496">
        <f>IFERROR(HLOOKUP(G$2,[17]table_male_hkom2_inj.V3!$A$1:$K$36,19,FALSE),0)</f>
        <v>0</v>
      </c>
      <c r="H496">
        <f>IFERROR(HLOOKUP(H$2,[17]table_male_hkom2_inj.V3!$A$1:$K$36,19,FALSE),0)</f>
        <v>0</v>
      </c>
      <c r="I496">
        <f>IFERROR(HLOOKUP(I$2,[17]table_male_hkom2_inj.V3!$A$1:$K$36,19,FALSE),0)</f>
        <v>0</v>
      </c>
      <c r="J496">
        <f>IFERROR(HLOOKUP(J$2,[17]table_male_hkom2_inj.V3!$A$1:$K$36,19,FALSE),0)</f>
        <v>0</v>
      </c>
      <c r="K496">
        <f>IFERROR(HLOOKUP(K$2,[17]table_male_hkom2_inj.V3!$A$1:$K$36,19,FALSE),0)</f>
        <v>0</v>
      </c>
      <c r="L496">
        <f>IFERROR(HLOOKUP(L$2,[17]table_male_hkom2_inj.V3!$A$1:$K$36,19,FALSE),0)</f>
        <v>0</v>
      </c>
      <c r="M496">
        <f t="shared" si="159"/>
        <v>0</v>
      </c>
      <c r="S496" t="s">
        <v>87</v>
      </c>
      <c r="T496" s="5">
        <f t="shared" si="160"/>
        <v>0</v>
      </c>
      <c r="U496" s="5">
        <f t="shared" si="161"/>
        <v>0</v>
      </c>
      <c r="V496" s="5">
        <f t="shared" si="162"/>
        <v>0</v>
      </c>
      <c r="W496" s="5">
        <f t="shared" si="163"/>
        <v>0</v>
      </c>
      <c r="X496" s="5">
        <f t="shared" si="164"/>
        <v>0</v>
      </c>
      <c r="Y496" s="5">
        <f t="shared" si="165"/>
        <v>0</v>
      </c>
      <c r="Z496" s="5">
        <f t="shared" si="166"/>
        <v>0</v>
      </c>
      <c r="AA496" s="5">
        <f t="shared" si="167"/>
        <v>0</v>
      </c>
      <c r="AB496" s="5">
        <f t="shared" si="157"/>
        <v>0</v>
      </c>
    </row>
    <row r="497" spans="4:29" x14ac:dyDescent="0.25">
      <c r="D497" t="s">
        <v>88</v>
      </c>
      <c r="E497" s="64"/>
      <c r="F497" s="64"/>
      <c r="G497">
        <f>IFERROR(HLOOKUP(G$2,[17]table_male_hkom2_inj.V3!$A$1:$K$36,20,FALSE),0)</f>
        <v>0</v>
      </c>
      <c r="H497">
        <f>IFERROR(HLOOKUP(H$2,[17]table_male_hkom2_inj.V3!$A$1:$K$36,20,FALSE),0)</f>
        <v>1</v>
      </c>
      <c r="I497">
        <f>IFERROR(HLOOKUP(I$2,[17]table_male_hkom2_inj.V3!$A$1:$K$36,20,FALSE),0)</f>
        <v>0</v>
      </c>
      <c r="J497">
        <f>IFERROR(HLOOKUP(J$2,[17]table_male_hkom2_inj.V3!$A$1:$K$36,20,FALSE),0)</f>
        <v>0</v>
      </c>
      <c r="K497">
        <f>IFERROR(HLOOKUP(K$2,[17]table_male_hkom2_inj.V3!$A$1:$K$36,20,FALSE),0)</f>
        <v>0</v>
      </c>
      <c r="L497">
        <f>IFERROR(HLOOKUP(L$2,[17]table_male_hkom2_inj.V3!$A$1:$K$36,20,FALSE),0)</f>
        <v>0</v>
      </c>
      <c r="M497">
        <f t="shared" si="159"/>
        <v>1</v>
      </c>
      <c r="S497" t="s">
        <v>88</v>
      </c>
      <c r="T497" s="5">
        <f t="shared" si="160"/>
        <v>0</v>
      </c>
      <c r="U497" s="5">
        <f t="shared" si="161"/>
        <v>0</v>
      </c>
      <c r="V497" s="5">
        <f t="shared" si="162"/>
        <v>0</v>
      </c>
      <c r="W497" s="5">
        <f t="shared" si="163"/>
        <v>1</v>
      </c>
      <c r="X497" s="5">
        <f t="shared" si="164"/>
        <v>0</v>
      </c>
      <c r="Y497" s="5">
        <f t="shared" si="165"/>
        <v>0</v>
      </c>
      <c r="Z497" s="5">
        <f t="shared" si="166"/>
        <v>0</v>
      </c>
      <c r="AA497" s="5">
        <f t="shared" si="167"/>
        <v>0</v>
      </c>
      <c r="AB497" s="5">
        <f t="shared" si="157"/>
        <v>1</v>
      </c>
    </row>
    <row r="498" spans="4:29" x14ac:dyDescent="0.25">
      <c r="D498" t="s">
        <v>89</v>
      </c>
      <c r="E498" s="64"/>
      <c r="F498" s="64"/>
      <c r="G498">
        <f>IFERROR(HLOOKUP(G$2,[17]table_male_hkom2_inj.V3!$A$1:$K$36,21,FALSE),0)</f>
        <v>0</v>
      </c>
      <c r="H498">
        <f>IFERROR(HLOOKUP(H$2,[17]table_male_hkom2_inj.V3!$A$1:$K$36,21,FALSE),0)</f>
        <v>0</v>
      </c>
      <c r="I498">
        <f>IFERROR(HLOOKUP(I$2,[17]table_male_hkom2_inj.V3!$A$1:$K$36,21,FALSE),0)</f>
        <v>0</v>
      </c>
      <c r="J498">
        <f>IFERROR(HLOOKUP(J$2,[17]table_male_hkom2_inj.V3!$A$1:$K$36,21,FALSE),0)</f>
        <v>0</v>
      </c>
      <c r="K498">
        <f>IFERROR(HLOOKUP(K$2,[17]table_male_hkom2_inj.V3!$A$1:$K$36,21,FALSE),0)</f>
        <v>0</v>
      </c>
      <c r="L498">
        <f>IFERROR(HLOOKUP(L$2,[17]table_male_hkom2_inj.V3!$A$1:$K$36,21,FALSE),0)</f>
        <v>0</v>
      </c>
      <c r="M498">
        <f t="shared" si="159"/>
        <v>0</v>
      </c>
      <c r="S498" t="s">
        <v>89</v>
      </c>
      <c r="T498" s="5">
        <f t="shared" si="160"/>
        <v>0</v>
      </c>
      <c r="U498" s="5">
        <f t="shared" si="161"/>
        <v>0</v>
      </c>
      <c r="V498" s="5">
        <f t="shared" si="162"/>
        <v>0</v>
      </c>
      <c r="W498" s="5">
        <f t="shared" si="163"/>
        <v>0</v>
      </c>
      <c r="X498" s="5">
        <f t="shared" si="164"/>
        <v>0</v>
      </c>
      <c r="Y498" s="5">
        <f t="shared" si="165"/>
        <v>0</v>
      </c>
      <c r="Z498" s="5">
        <f t="shared" si="166"/>
        <v>0</v>
      </c>
      <c r="AA498" s="5">
        <f t="shared" si="167"/>
        <v>0</v>
      </c>
      <c r="AB498" s="5">
        <f t="shared" si="157"/>
        <v>0</v>
      </c>
    </row>
    <row r="499" spans="4:29" x14ac:dyDescent="0.25">
      <c r="D499" t="s">
        <v>90</v>
      </c>
      <c r="E499" s="64"/>
      <c r="F499" s="64"/>
      <c r="G499">
        <f>IFERROR(HLOOKUP(G$2,[17]table_male_hkom2_inj.V3!$A$1:$K$36,22,FALSE),0)</f>
        <v>0</v>
      </c>
      <c r="H499">
        <f>IFERROR(HLOOKUP(H$2,[17]table_male_hkom2_inj.V3!$A$1:$K$36,22,FALSE),0)</f>
        <v>0</v>
      </c>
      <c r="I499">
        <f>IFERROR(HLOOKUP(I$2,[17]table_male_hkom2_inj.V3!$A$1:$K$36,22,FALSE),0)</f>
        <v>0</v>
      </c>
      <c r="J499">
        <f>IFERROR(HLOOKUP(J$2,[17]table_male_hkom2_inj.V3!$A$1:$K$36,22,FALSE),0)</f>
        <v>0</v>
      </c>
      <c r="K499">
        <f>IFERROR(HLOOKUP(K$2,[17]table_male_hkom2_inj.V3!$A$1:$K$36,22,FALSE),0)</f>
        <v>0</v>
      </c>
      <c r="L499">
        <f>IFERROR(HLOOKUP(L$2,[17]table_male_hkom2_inj.V3!$A$1:$K$36,22,FALSE),0)</f>
        <v>0</v>
      </c>
      <c r="M499">
        <f t="shared" si="159"/>
        <v>0</v>
      </c>
      <c r="S499" t="s">
        <v>90</v>
      </c>
      <c r="T499" s="5">
        <f t="shared" si="160"/>
        <v>0</v>
      </c>
      <c r="U499" s="5">
        <f t="shared" si="161"/>
        <v>0</v>
      </c>
      <c r="V499" s="5">
        <f t="shared" si="162"/>
        <v>0</v>
      </c>
      <c r="W499" s="5">
        <f t="shared" si="163"/>
        <v>0</v>
      </c>
      <c r="X499" s="5">
        <f t="shared" si="164"/>
        <v>0</v>
      </c>
      <c r="Y499" s="5">
        <f t="shared" si="165"/>
        <v>0</v>
      </c>
      <c r="Z499" s="5">
        <f t="shared" si="166"/>
        <v>0</v>
      </c>
      <c r="AA499" s="5">
        <f t="shared" si="167"/>
        <v>0</v>
      </c>
      <c r="AB499" s="5">
        <f t="shared" si="157"/>
        <v>0</v>
      </c>
    </row>
    <row r="500" spans="4:29" x14ac:dyDescent="0.25">
      <c r="D500" t="s">
        <v>91</v>
      </c>
      <c r="E500" s="64"/>
      <c r="F500" s="64"/>
      <c r="G500">
        <f>IFERROR(HLOOKUP(G$2,[17]table_male_hkom2_inj.V3!$A$1:$K$36,23,FALSE),0)</f>
        <v>0</v>
      </c>
      <c r="H500">
        <f>IFERROR(HLOOKUP(H$2,[17]table_male_hkom2_inj.V3!$A$1:$K$36,23,FALSE),0)</f>
        <v>0</v>
      </c>
      <c r="I500">
        <f>IFERROR(HLOOKUP(I$2,[17]table_male_hkom2_inj.V3!$A$1:$K$36,23,FALSE),0)</f>
        <v>0</v>
      </c>
      <c r="J500">
        <f>IFERROR(HLOOKUP(J$2,[17]table_male_hkom2_inj.V3!$A$1:$K$36,23,FALSE),0)</f>
        <v>0</v>
      </c>
      <c r="K500">
        <f>IFERROR(HLOOKUP(K$2,[17]table_male_hkom2_inj.V3!$A$1:$K$36,23,FALSE),0)</f>
        <v>0</v>
      </c>
      <c r="L500">
        <f>IFERROR(HLOOKUP(L$2,[17]table_male_hkom2_inj.V3!$A$1:$K$36,23,FALSE),0)</f>
        <v>0</v>
      </c>
      <c r="M500">
        <f t="shared" si="159"/>
        <v>0</v>
      </c>
      <c r="S500" t="s">
        <v>91</v>
      </c>
      <c r="T500" s="5">
        <f t="shared" si="160"/>
        <v>0</v>
      </c>
      <c r="U500" s="5">
        <f t="shared" si="161"/>
        <v>0</v>
      </c>
      <c r="V500" s="5">
        <f t="shared" si="162"/>
        <v>0</v>
      </c>
      <c r="W500" s="5">
        <f t="shared" si="163"/>
        <v>0</v>
      </c>
      <c r="X500" s="5">
        <f t="shared" si="164"/>
        <v>0</v>
      </c>
      <c r="Y500" s="5">
        <f t="shared" si="165"/>
        <v>0</v>
      </c>
      <c r="Z500" s="5">
        <f t="shared" si="166"/>
        <v>0</v>
      </c>
      <c r="AA500" s="5">
        <f t="shared" si="167"/>
        <v>0</v>
      </c>
      <c r="AB500" s="5">
        <f t="shared" si="157"/>
        <v>0</v>
      </c>
    </row>
    <row r="501" spans="4:29" x14ac:dyDescent="0.25">
      <c r="D501" t="s">
        <v>92</v>
      </c>
      <c r="E501" s="64"/>
      <c r="F501" s="64"/>
      <c r="G501">
        <f>IFERROR(HLOOKUP(G$2,[17]table_male_hkom2_inj.V3!$A$1:$K$36,24,FALSE),0)</f>
        <v>0</v>
      </c>
      <c r="H501">
        <f>IFERROR(HLOOKUP(H$2,[17]table_male_hkom2_inj.V3!$A$1:$K$36,24,FALSE),0)</f>
        <v>0</v>
      </c>
      <c r="I501">
        <f>IFERROR(HLOOKUP(I$2,[17]table_male_hkom2_inj.V3!$A$1:$K$36,24,FALSE),0)</f>
        <v>0</v>
      </c>
      <c r="J501">
        <f>IFERROR(HLOOKUP(J$2,[17]table_male_hkom2_inj.V3!$A$1:$K$36,24,FALSE),0)</f>
        <v>0</v>
      </c>
      <c r="K501">
        <f>IFERROR(HLOOKUP(K$2,[17]table_male_hkom2_inj.V3!$A$1:$K$36,24,FALSE),0)</f>
        <v>0</v>
      </c>
      <c r="L501">
        <f>IFERROR(HLOOKUP(L$2,[17]table_male_hkom2_inj.V3!$A$1:$K$36,24,FALSE),0)</f>
        <v>0</v>
      </c>
      <c r="M501">
        <f t="shared" si="159"/>
        <v>0</v>
      </c>
      <c r="S501" t="s">
        <v>92</v>
      </c>
      <c r="T501" s="5">
        <f t="shared" si="160"/>
        <v>0</v>
      </c>
      <c r="U501" s="5">
        <f t="shared" si="161"/>
        <v>0</v>
      </c>
      <c r="V501" s="5">
        <f t="shared" si="162"/>
        <v>0</v>
      </c>
      <c r="W501" s="5">
        <f t="shared" si="163"/>
        <v>0</v>
      </c>
      <c r="X501" s="5">
        <f t="shared" si="164"/>
        <v>0</v>
      </c>
      <c r="Y501" s="5">
        <f t="shared" si="165"/>
        <v>0</v>
      </c>
      <c r="Z501" s="5">
        <f t="shared" si="166"/>
        <v>0</v>
      </c>
      <c r="AA501" s="5">
        <f t="shared" si="167"/>
        <v>0</v>
      </c>
      <c r="AB501" s="5">
        <f t="shared" si="157"/>
        <v>0</v>
      </c>
    </row>
    <row r="502" spans="4:29" x14ac:dyDescent="0.25">
      <c r="D502" t="s">
        <v>93</v>
      </c>
      <c r="E502" s="64"/>
      <c r="F502" s="64"/>
      <c r="G502">
        <f>IFERROR(HLOOKUP(G$2,[17]table_male_hkom2_inj.V3!$A$1:$K$36,25,FALSE),0)</f>
        <v>0</v>
      </c>
      <c r="H502">
        <f>IFERROR(HLOOKUP(H$2,[17]table_male_hkom2_inj.V3!$A$1:$K$36,25,FALSE),0)</f>
        <v>0</v>
      </c>
      <c r="I502">
        <f>IFERROR(HLOOKUP(I$2,[17]table_male_hkom2_inj.V3!$A$1:$K$36,25,FALSE),0)</f>
        <v>0</v>
      </c>
      <c r="J502">
        <f>IFERROR(HLOOKUP(J$2,[17]table_male_hkom2_inj.V3!$A$1:$K$36,25,FALSE),0)</f>
        <v>0</v>
      </c>
      <c r="K502">
        <f>IFERROR(HLOOKUP(K$2,[17]table_male_hkom2_inj.V3!$A$1:$K$36,25,FALSE),0)</f>
        <v>0</v>
      </c>
      <c r="L502">
        <f>IFERROR(HLOOKUP(L$2,[17]table_male_hkom2_inj.V3!$A$1:$K$36,25,FALSE),0)</f>
        <v>0</v>
      </c>
      <c r="M502">
        <f t="shared" si="159"/>
        <v>0</v>
      </c>
      <c r="S502" t="s">
        <v>93</v>
      </c>
      <c r="T502" s="5">
        <f t="shared" si="160"/>
        <v>0</v>
      </c>
      <c r="U502" s="5">
        <f t="shared" si="161"/>
        <v>0</v>
      </c>
      <c r="V502" s="5">
        <f t="shared" si="162"/>
        <v>0</v>
      </c>
      <c r="W502" s="5">
        <f t="shared" si="163"/>
        <v>0</v>
      </c>
      <c r="X502" s="5">
        <f t="shared" si="164"/>
        <v>0</v>
      </c>
      <c r="Y502" s="5">
        <f t="shared" si="165"/>
        <v>0</v>
      </c>
      <c r="Z502" s="5">
        <f t="shared" si="166"/>
        <v>0</v>
      </c>
      <c r="AA502" s="5">
        <f t="shared" si="167"/>
        <v>0</v>
      </c>
      <c r="AB502" s="5">
        <f t="shared" si="157"/>
        <v>0</v>
      </c>
    </row>
    <row r="503" spans="4:29" x14ac:dyDescent="0.25">
      <c r="D503" t="s">
        <v>94</v>
      </c>
      <c r="E503" s="64"/>
      <c r="F503" s="64"/>
      <c r="G503">
        <f>IFERROR(HLOOKUP(G$2,[17]table_male_hkom2_inj.V3!$A$1:$K$36,26,FALSE),0)</f>
        <v>0</v>
      </c>
      <c r="H503">
        <f>IFERROR(HLOOKUP(H$2,[17]table_male_hkom2_inj.V3!$A$1:$K$36,26,FALSE),0)</f>
        <v>0</v>
      </c>
      <c r="I503">
        <f>IFERROR(HLOOKUP(I$2,[17]table_male_hkom2_inj.V3!$A$1:$K$36,26,FALSE),0)</f>
        <v>0</v>
      </c>
      <c r="J503">
        <f>IFERROR(HLOOKUP(J$2,[17]table_male_hkom2_inj.V3!$A$1:$K$36,26,FALSE),0)</f>
        <v>0</v>
      </c>
      <c r="K503">
        <f>IFERROR(HLOOKUP(K$2,[17]table_male_hkom2_inj.V3!$A$1:$K$36,26,FALSE),0)</f>
        <v>0</v>
      </c>
      <c r="L503">
        <f>IFERROR(HLOOKUP(L$2,[17]table_male_hkom2_inj.V3!$A$1:$K$36,26,FALSE),0)</f>
        <v>0</v>
      </c>
      <c r="M503">
        <f t="shared" si="159"/>
        <v>0</v>
      </c>
      <c r="S503" t="s">
        <v>94</v>
      </c>
      <c r="T503" s="5">
        <f t="shared" si="160"/>
        <v>0</v>
      </c>
      <c r="U503" s="5">
        <f t="shared" si="161"/>
        <v>0</v>
      </c>
      <c r="V503" s="5">
        <f t="shared" si="162"/>
        <v>0</v>
      </c>
      <c r="W503" s="5">
        <f t="shared" si="163"/>
        <v>0</v>
      </c>
      <c r="X503" s="5">
        <f t="shared" si="164"/>
        <v>0</v>
      </c>
      <c r="Y503" s="5">
        <f t="shared" si="165"/>
        <v>0</v>
      </c>
      <c r="Z503" s="5">
        <f t="shared" si="166"/>
        <v>0</v>
      </c>
      <c r="AA503" s="5">
        <f t="shared" si="167"/>
        <v>0</v>
      </c>
      <c r="AB503" s="5">
        <f t="shared" si="157"/>
        <v>0</v>
      </c>
    </row>
    <row r="504" spans="4:29" x14ac:dyDescent="0.25">
      <c r="D504" t="s">
        <v>95</v>
      </c>
      <c r="E504" s="64"/>
      <c r="F504" s="64"/>
      <c r="G504">
        <f>IFERROR(HLOOKUP(G$2,[17]table_male_hkom2_inj.V3!$A$1:$K$36,27,FALSE),0)</f>
        <v>0</v>
      </c>
      <c r="H504">
        <f>IFERROR(HLOOKUP(H$2,[17]table_male_hkom2_inj.V3!$A$1:$K$36,27,FALSE),0)</f>
        <v>0</v>
      </c>
      <c r="I504">
        <f>IFERROR(HLOOKUP(I$2,[17]table_male_hkom2_inj.V3!$A$1:$K$36,27,FALSE),0)</f>
        <v>0</v>
      </c>
      <c r="J504">
        <f>IFERROR(HLOOKUP(J$2,[17]table_male_hkom2_inj.V3!$A$1:$K$36,27,FALSE),0)</f>
        <v>0</v>
      </c>
      <c r="K504">
        <f>IFERROR(HLOOKUP(K$2,[17]table_male_hkom2_inj.V3!$A$1:$K$36,27,FALSE),0)</f>
        <v>0</v>
      </c>
      <c r="L504">
        <f>IFERROR(HLOOKUP(L$2,[17]table_male_hkom2_inj.V3!$A$1:$K$36,27,FALSE),0)</f>
        <v>0</v>
      </c>
      <c r="M504">
        <f t="shared" si="159"/>
        <v>0</v>
      </c>
      <c r="S504" t="s">
        <v>95</v>
      </c>
      <c r="T504" s="5">
        <f t="shared" si="160"/>
        <v>0</v>
      </c>
      <c r="U504" s="5">
        <f t="shared" si="161"/>
        <v>0</v>
      </c>
      <c r="V504" s="5">
        <f t="shared" si="162"/>
        <v>0</v>
      </c>
      <c r="W504" s="5">
        <f t="shared" si="163"/>
        <v>0</v>
      </c>
      <c r="X504" s="5">
        <f t="shared" si="164"/>
        <v>0</v>
      </c>
      <c r="Y504" s="5">
        <f t="shared" si="165"/>
        <v>0</v>
      </c>
      <c r="Z504" s="5">
        <f t="shared" si="166"/>
        <v>0</v>
      </c>
      <c r="AA504" s="5">
        <f t="shared" si="167"/>
        <v>0</v>
      </c>
      <c r="AB504" s="5">
        <f t="shared" si="157"/>
        <v>0</v>
      </c>
    </row>
    <row r="505" spans="4:29" x14ac:dyDescent="0.25">
      <c r="D505" t="s">
        <v>96</v>
      </c>
      <c r="E505" s="64"/>
      <c r="F505" s="64"/>
      <c r="G505">
        <f>IFERROR(HLOOKUP(G$2,[17]table_male_hkom2_inj.V3!$A$1:$K$36,28,FALSE),0)</f>
        <v>0</v>
      </c>
      <c r="H505">
        <f>IFERROR(HLOOKUP(H$2,[17]table_male_hkom2_inj.V3!$A$1:$K$36,28,FALSE),0)</f>
        <v>0</v>
      </c>
      <c r="I505">
        <f>IFERROR(HLOOKUP(I$2,[17]table_male_hkom2_inj.V3!$A$1:$K$36,28,FALSE),0)</f>
        <v>0</v>
      </c>
      <c r="J505">
        <f>IFERROR(HLOOKUP(J$2,[17]table_male_hkom2_inj.V3!$A$1:$K$36,28,FALSE),0)</f>
        <v>0</v>
      </c>
      <c r="K505">
        <f>IFERROR(HLOOKUP(K$2,[17]table_male_hkom2_inj.V3!$A$1:$K$36,28,FALSE),0)</f>
        <v>0</v>
      </c>
      <c r="L505">
        <f>IFERROR(HLOOKUP(L$2,[17]table_male_hkom2_inj.V3!$A$1:$K$36,28,FALSE),0)</f>
        <v>0</v>
      </c>
      <c r="M505">
        <f t="shared" si="159"/>
        <v>0</v>
      </c>
      <c r="S505" t="s">
        <v>96</v>
      </c>
      <c r="T505" s="5">
        <f t="shared" si="160"/>
        <v>0</v>
      </c>
      <c r="U505" s="5">
        <f t="shared" si="161"/>
        <v>0</v>
      </c>
      <c r="V505" s="5">
        <f t="shared" si="162"/>
        <v>0</v>
      </c>
      <c r="W505" s="5">
        <f t="shared" si="163"/>
        <v>0</v>
      </c>
      <c r="X505" s="5">
        <f t="shared" si="164"/>
        <v>0</v>
      </c>
      <c r="Y505" s="5">
        <f t="shared" si="165"/>
        <v>0</v>
      </c>
      <c r="Z505" s="5">
        <f t="shared" si="166"/>
        <v>0</v>
      </c>
      <c r="AA505" s="5">
        <f t="shared" si="167"/>
        <v>0</v>
      </c>
      <c r="AB505" s="5">
        <f t="shared" si="157"/>
        <v>0</v>
      </c>
    </row>
    <row r="506" spans="4:29" x14ac:dyDescent="0.25">
      <c r="D506" t="s">
        <v>97</v>
      </c>
      <c r="E506" s="64"/>
      <c r="F506" s="64"/>
      <c r="G506">
        <f>IFERROR(HLOOKUP(G$2,[17]table_male_hkom2_inj.V3!$A$1:$K$36,29,FALSE),0)</f>
        <v>0</v>
      </c>
      <c r="H506">
        <f>IFERROR(HLOOKUP(H$2,[17]table_male_hkom2_inj.V3!$A$1:$K$36,29,FALSE),0)</f>
        <v>0</v>
      </c>
      <c r="I506">
        <f>IFERROR(HLOOKUP(I$2,[17]table_male_hkom2_inj.V3!$A$1:$K$36,29,FALSE),0)</f>
        <v>0</v>
      </c>
      <c r="J506">
        <f>IFERROR(HLOOKUP(J$2,[17]table_male_hkom2_inj.V3!$A$1:$K$36,29,FALSE),0)</f>
        <v>0</v>
      </c>
      <c r="K506">
        <f>IFERROR(HLOOKUP(K$2,[17]table_male_hkom2_inj.V3!$A$1:$K$36,29,FALSE),0)</f>
        <v>0</v>
      </c>
      <c r="L506">
        <f>IFERROR(HLOOKUP(L$2,[17]table_male_hkom2_inj.V3!$A$1:$K$36,29,FALSE),0)</f>
        <v>0</v>
      </c>
      <c r="M506">
        <f t="shared" si="159"/>
        <v>0</v>
      </c>
      <c r="S506" t="s">
        <v>97</v>
      </c>
      <c r="T506" s="5">
        <f t="shared" si="160"/>
        <v>0</v>
      </c>
      <c r="U506" s="5">
        <f t="shared" si="161"/>
        <v>0</v>
      </c>
      <c r="V506" s="5">
        <f t="shared" si="162"/>
        <v>0</v>
      </c>
      <c r="W506" s="5">
        <f t="shared" si="163"/>
        <v>0</v>
      </c>
      <c r="X506" s="5">
        <f t="shared" si="164"/>
        <v>0</v>
      </c>
      <c r="Y506" s="5">
        <f t="shared" si="165"/>
        <v>0</v>
      </c>
      <c r="Z506" s="5">
        <f t="shared" si="166"/>
        <v>0</v>
      </c>
      <c r="AA506" s="5">
        <f t="shared" si="167"/>
        <v>0</v>
      </c>
      <c r="AB506" s="5">
        <f t="shared" si="157"/>
        <v>0</v>
      </c>
    </row>
    <row r="507" spans="4:29" x14ac:dyDescent="0.25">
      <c r="D507" t="s">
        <v>119</v>
      </c>
      <c r="E507" s="64"/>
      <c r="F507" s="64"/>
      <c r="G507">
        <f>IFERROR(HLOOKUP(G$2,[17]table_male_hkom2_inj.V3!$A$1:$K$36,30,FALSE),0)</f>
        <v>0</v>
      </c>
      <c r="H507">
        <f>IFERROR(HLOOKUP(H$2,[17]table_male_hkom2_inj.V3!$A$1:$K$36,30,FALSE),0)</f>
        <v>0</v>
      </c>
      <c r="I507">
        <f>IFERROR(HLOOKUP(I$2,[17]table_male_hkom2_inj.V3!$A$1:$K$36,30,FALSE),0)</f>
        <v>0</v>
      </c>
      <c r="J507">
        <f>IFERROR(HLOOKUP(J$2,[17]table_male_hkom2_inj.V3!$A$1:$K$36,30,FALSE),0)</f>
        <v>0</v>
      </c>
      <c r="K507">
        <f>IFERROR(HLOOKUP(K$2,[17]table_male_hkom2_inj.V3!$A$1:$K$36,30,FALSE),0)</f>
        <v>0</v>
      </c>
      <c r="L507">
        <f>IFERROR(HLOOKUP(L$2,[17]table_male_hkom2_inj.V3!$A$1:$K$36,30,FALSE),0)</f>
        <v>0</v>
      </c>
      <c r="M507">
        <f t="shared" si="159"/>
        <v>0</v>
      </c>
      <c r="S507" t="s">
        <v>119</v>
      </c>
      <c r="T507" s="5">
        <f t="shared" si="160"/>
        <v>0</v>
      </c>
      <c r="U507" s="5">
        <f t="shared" si="161"/>
        <v>0</v>
      </c>
      <c r="V507" s="5">
        <f t="shared" si="162"/>
        <v>0</v>
      </c>
      <c r="W507" s="5">
        <f t="shared" si="163"/>
        <v>0</v>
      </c>
      <c r="X507" s="5">
        <f t="shared" si="164"/>
        <v>0</v>
      </c>
      <c r="Y507" s="5">
        <f t="shared" si="165"/>
        <v>0</v>
      </c>
      <c r="Z507" s="5">
        <f t="shared" si="166"/>
        <v>0</v>
      </c>
      <c r="AA507" s="5">
        <f t="shared" si="167"/>
        <v>0</v>
      </c>
      <c r="AB507" s="5">
        <f t="shared" si="157"/>
        <v>0</v>
      </c>
    </row>
    <row r="508" spans="4:29" x14ac:dyDescent="0.25">
      <c r="D508" t="s">
        <v>98</v>
      </c>
      <c r="E508" s="64"/>
      <c r="F508" s="64"/>
      <c r="G508">
        <f>IFERROR(HLOOKUP(G$2,[17]table_male_hkom2_inj.V3!$A$1:$K$36,31,FALSE),0)</f>
        <v>0</v>
      </c>
      <c r="H508">
        <f>IFERROR(HLOOKUP(H$2,[17]table_male_hkom2_inj.V3!$A$1:$K$36,31,FALSE),0)</f>
        <v>0</v>
      </c>
      <c r="I508">
        <f>IFERROR(HLOOKUP(I$2,[17]table_male_hkom2_inj.V3!$A$1:$K$36,31,FALSE),0)</f>
        <v>0</v>
      </c>
      <c r="J508">
        <f>IFERROR(HLOOKUP(J$2,[17]table_male_hkom2_inj.V3!$A$1:$K$36,31,FALSE),0)</f>
        <v>0</v>
      </c>
      <c r="K508">
        <f>IFERROR(HLOOKUP(K$2,[17]table_male_hkom2_inj.V3!$A$1:$K$36,31,FALSE),0)</f>
        <v>0</v>
      </c>
      <c r="L508">
        <f>IFERROR(HLOOKUP(L$2,[17]table_male_hkom2_inj.V3!$A$1:$K$36,31,FALSE),0)</f>
        <v>0</v>
      </c>
      <c r="M508">
        <f t="shared" si="159"/>
        <v>0</v>
      </c>
      <c r="S508" t="s">
        <v>98</v>
      </c>
      <c r="T508" s="5">
        <f t="shared" si="160"/>
        <v>0</v>
      </c>
      <c r="U508" s="5">
        <f t="shared" si="161"/>
        <v>0</v>
      </c>
      <c r="V508" s="5">
        <f t="shared" si="162"/>
        <v>0</v>
      </c>
      <c r="W508" s="5">
        <f t="shared" si="163"/>
        <v>0</v>
      </c>
      <c r="X508" s="5">
        <f t="shared" si="164"/>
        <v>0</v>
      </c>
      <c r="Y508" s="5">
        <f t="shared" si="165"/>
        <v>0</v>
      </c>
      <c r="Z508" s="5">
        <f t="shared" si="166"/>
        <v>0</v>
      </c>
      <c r="AA508" s="5">
        <f t="shared" si="167"/>
        <v>0</v>
      </c>
      <c r="AB508" s="5">
        <f t="shared" si="157"/>
        <v>0</v>
      </c>
    </row>
    <row r="509" spans="4:29" x14ac:dyDescent="0.25">
      <c r="D509" t="s">
        <v>99</v>
      </c>
      <c r="E509" s="64"/>
      <c r="F509" s="64"/>
      <c r="G509">
        <f>IFERROR(HLOOKUP(G$2,[17]table_male_hkom2_inj.V3!$A$1:$K$36,32,FALSE),0)</f>
        <v>0</v>
      </c>
      <c r="H509">
        <f>IFERROR(HLOOKUP(H$2,[17]table_male_hkom2_inj.V3!$A$1:$K$36,32,FALSE),0)</f>
        <v>1</v>
      </c>
      <c r="I509">
        <f>IFERROR(HLOOKUP(I$2,[17]table_male_hkom2_inj.V3!$A$1:$K$36,32,FALSE),0)</f>
        <v>0</v>
      </c>
      <c r="J509">
        <f>IFERROR(HLOOKUP(J$2,[17]table_male_hkom2_inj.V3!$A$1:$K$36,32,FALSE),0)</f>
        <v>0</v>
      </c>
      <c r="K509">
        <f>IFERROR(HLOOKUP(K$2,[17]table_male_hkom2_inj.V3!$A$1:$K$36,32,FALSE),0)</f>
        <v>0</v>
      </c>
      <c r="L509">
        <f>IFERROR(HLOOKUP(L$2,[17]table_male_hkom2_inj.V3!$A$1:$K$36,32,FALSE),0)</f>
        <v>0</v>
      </c>
      <c r="M509">
        <f t="shared" si="159"/>
        <v>1</v>
      </c>
      <c r="S509" t="s">
        <v>99</v>
      </c>
      <c r="T509" s="5">
        <f t="shared" si="160"/>
        <v>0</v>
      </c>
      <c r="U509" s="5">
        <f t="shared" si="161"/>
        <v>0</v>
      </c>
      <c r="V509" s="5">
        <f t="shared" si="162"/>
        <v>0</v>
      </c>
      <c r="W509" s="5">
        <f t="shared" si="163"/>
        <v>1</v>
      </c>
      <c r="X509" s="5">
        <f t="shared" si="164"/>
        <v>0</v>
      </c>
      <c r="Y509" s="5">
        <f t="shared" si="165"/>
        <v>0</v>
      </c>
      <c r="Z509" s="5">
        <f t="shared" si="166"/>
        <v>0</v>
      </c>
      <c r="AA509" s="5">
        <f t="shared" si="167"/>
        <v>0</v>
      </c>
      <c r="AB509" s="5">
        <f t="shared" si="157"/>
        <v>1</v>
      </c>
    </row>
    <row r="510" spans="4:29" x14ac:dyDescent="0.25">
      <c r="D510" t="s">
        <v>100</v>
      </c>
      <c r="E510" s="64"/>
      <c r="F510" s="64"/>
      <c r="G510">
        <f>IFERROR(HLOOKUP(G$2,[17]table_male_hkom2_inj.V3!$A$1:$K$36,33,FALSE),0)</f>
        <v>0</v>
      </c>
      <c r="H510">
        <f>IFERROR(HLOOKUP(H$2,[17]table_male_hkom2_inj.V3!$A$1:$K$36,33,FALSE),0)</f>
        <v>0</v>
      </c>
      <c r="I510">
        <f>IFERROR(HLOOKUP(I$2,[17]table_male_hkom2_inj.V3!$A$1:$K$36,33,FALSE),0)</f>
        <v>0</v>
      </c>
      <c r="J510">
        <f>IFERROR(HLOOKUP(J$2,[17]table_male_hkom2_inj.V3!$A$1:$K$36,33,FALSE),0)</f>
        <v>0</v>
      </c>
      <c r="K510">
        <f>IFERROR(HLOOKUP(K$2,[17]table_male_hkom2_inj.V3!$A$1:$K$36,33,FALSE),0)</f>
        <v>0</v>
      </c>
      <c r="L510">
        <f>IFERROR(HLOOKUP(L$2,[17]table_male_hkom2_inj.V3!$A$1:$K$36,33,FALSE),0)</f>
        <v>0</v>
      </c>
      <c r="M510">
        <f t="shared" si="159"/>
        <v>0</v>
      </c>
      <c r="S510" t="s">
        <v>100</v>
      </c>
      <c r="T510" s="5">
        <f t="shared" si="160"/>
        <v>0</v>
      </c>
      <c r="U510" s="5">
        <f t="shared" si="161"/>
        <v>0</v>
      </c>
      <c r="V510" s="5">
        <f t="shared" si="162"/>
        <v>0</v>
      </c>
      <c r="W510" s="5">
        <f t="shared" si="163"/>
        <v>0</v>
      </c>
      <c r="X510" s="5">
        <f t="shared" si="164"/>
        <v>0</v>
      </c>
      <c r="Y510" s="5">
        <f t="shared" si="165"/>
        <v>0</v>
      </c>
      <c r="Z510" s="5">
        <f t="shared" si="166"/>
        <v>0</v>
      </c>
      <c r="AA510" s="5">
        <f t="shared" si="167"/>
        <v>0</v>
      </c>
      <c r="AB510" s="5">
        <f t="shared" si="157"/>
        <v>0</v>
      </c>
    </row>
    <row r="511" spans="4:29" x14ac:dyDescent="0.25">
      <c r="D511" t="s">
        <v>101</v>
      </c>
      <c r="E511" s="64"/>
      <c r="F511" s="64"/>
      <c r="G511">
        <f>IFERROR(HLOOKUP(G$2,[17]table_male_hkom2_inj.V3!$A$1:$K$36,34,FALSE),0)</f>
        <v>0</v>
      </c>
      <c r="H511">
        <f>IFERROR(HLOOKUP(H$2,[17]table_male_hkom2_inj.V3!$A$1:$K$36,34,FALSE),0)</f>
        <v>0</v>
      </c>
      <c r="I511">
        <f>IFERROR(HLOOKUP(I$2,[17]table_male_hkom2_inj.V3!$A$1:$K$36,34,FALSE),0)</f>
        <v>0</v>
      </c>
      <c r="J511">
        <f>IFERROR(HLOOKUP(J$2,[17]table_male_hkom2_inj.V3!$A$1:$K$36,34,FALSE),0)</f>
        <v>0</v>
      </c>
      <c r="K511">
        <f>IFERROR(HLOOKUP(K$2,[17]table_male_hkom2_inj.V3!$A$1:$K$36,34,FALSE),0)</f>
        <v>0</v>
      </c>
      <c r="L511">
        <f>IFERROR(HLOOKUP(L$2,[17]table_male_hkom2_inj.V3!$A$1:$K$36,34,FALSE),0)</f>
        <v>0</v>
      </c>
      <c r="M511">
        <f t="shared" si="159"/>
        <v>0</v>
      </c>
      <c r="S511" t="s">
        <v>101</v>
      </c>
      <c r="T511" s="5">
        <f t="shared" si="160"/>
        <v>0</v>
      </c>
      <c r="U511" s="5">
        <f t="shared" si="161"/>
        <v>0</v>
      </c>
      <c r="V511" s="5">
        <f t="shared" si="162"/>
        <v>0</v>
      </c>
      <c r="W511" s="5">
        <f t="shared" si="163"/>
        <v>0</v>
      </c>
      <c r="X511" s="5">
        <f t="shared" si="164"/>
        <v>0</v>
      </c>
      <c r="Y511" s="5">
        <f t="shared" si="165"/>
        <v>0</v>
      </c>
      <c r="Z511" s="5">
        <f t="shared" si="166"/>
        <v>0</v>
      </c>
      <c r="AA511" s="5">
        <f t="shared" si="167"/>
        <v>0</v>
      </c>
      <c r="AB511" s="5">
        <f t="shared" si="157"/>
        <v>0</v>
      </c>
    </row>
    <row r="512" spans="4:29" x14ac:dyDescent="0.25">
      <c r="D512" t="s">
        <v>102</v>
      </c>
      <c r="E512" s="64"/>
      <c r="F512" s="64"/>
      <c r="G512">
        <f>IFERROR(HLOOKUP(G$2,[17]table_male_hkom2_inj.V3!$A$1:$K$36,35,FALSE),0)</f>
        <v>0</v>
      </c>
      <c r="H512">
        <f>IFERROR(HLOOKUP(H$2,[17]table_male_hkom2_inj.V3!$A$1:$K$36,35,FALSE),0)</f>
        <v>0</v>
      </c>
      <c r="I512">
        <f>IFERROR(HLOOKUP(I$2,[17]table_male_hkom2_inj.V3!$A$1:$K$36,35,FALSE),0)</f>
        <v>0</v>
      </c>
      <c r="J512">
        <f>IFERROR(HLOOKUP(J$2,[17]table_male_hkom2_inj.V3!$A$1:$K$36,35,FALSE),0)</f>
        <v>0</v>
      </c>
      <c r="K512">
        <f>IFERROR(HLOOKUP(K$2,[17]table_male_hkom2_inj.V3!$A$1:$K$36,35,FALSE),0)</f>
        <v>0</v>
      </c>
      <c r="L512">
        <f>IFERROR(HLOOKUP(L$2,[17]table_male_hkom2_inj.V3!$A$1:$K$36,35,FALSE),0)</f>
        <v>0</v>
      </c>
      <c r="M512">
        <f t="shared" si="159"/>
        <v>0</v>
      </c>
      <c r="N512">
        <f>SUM(M479:M512)</f>
        <v>3</v>
      </c>
      <c r="O512" s="8">
        <f>SUM([17]table_male_hkom2_inj.V3!$B$2:$L$36)</f>
        <v>3</v>
      </c>
      <c r="S512" t="s">
        <v>102</v>
      </c>
      <c r="T512" s="7"/>
      <c r="U512" s="7"/>
      <c r="V512" s="7"/>
      <c r="W512" s="7"/>
      <c r="X512" s="7"/>
      <c r="Y512" s="7"/>
      <c r="Z512" s="7"/>
      <c r="AA512" s="7"/>
      <c r="AB512" s="5">
        <f t="shared" si="157"/>
        <v>0</v>
      </c>
      <c r="AC512" s="5">
        <f>SUM(AB479:AB511)</f>
        <v>3</v>
      </c>
    </row>
    <row r="513" spans="1:28" x14ac:dyDescent="0.25">
      <c r="A513" t="s">
        <v>104</v>
      </c>
      <c r="B513" t="s">
        <v>116</v>
      </c>
      <c r="C513" t="s">
        <v>108</v>
      </c>
      <c r="D513" t="s">
        <v>70</v>
      </c>
      <c r="E513" s="64"/>
      <c r="F513" s="64"/>
      <c r="G513">
        <f>IFERROR(HLOOKUP(G$2,[18]table_male_hkom2_inj.V4!$A$1:$K$36,2,FALSE),0)</f>
        <v>0</v>
      </c>
      <c r="H513">
        <f>IFERROR(HLOOKUP(H$2,[18]table_male_hkom2_inj.V4!$A$1:$K$36,2,FALSE),0)</f>
        <v>0</v>
      </c>
      <c r="I513">
        <f>IFERROR(HLOOKUP(I$2,[18]table_male_hkom2_inj.V4!$A$1:$K$36,2,FALSE),0)</f>
        <v>0</v>
      </c>
      <c r="J513">
        <f>IFERROR(HLOOKUP(J$2,[18]table_male_hkom2_inj.V4!$A$1:$K$36,2,FALSE),0)</f>
        <v>0</v>
      </c>
      <c r="K513">
        <f>IFERROR(HLOOKUP(K$2,[18]table_male_hkom2_inj.V4!$A$1:$K$36,2,FALSE),0)</f>
        <v>0</v>
      </c>
      <c r="L513">
        <f>IFERROR(HLOOKUP(L$2,[18]table_male_hkom2_inj.V4!$A$1:$K$36,2,FALSE),0)</f>
        <v>0</v>
      </c>
      <c r="M513">
        <f>SUM(E513:L513)</f>
        <v>0</v>
      </c>
      <c r="P513" t="s">
        <v>104</v>
      </c>
      <c r="Q513" t="s">
        <v>116</v>
      </c>
      <c r="R513" t="s">
        <v>108</v>
      </c>
      <c r="S513" t="s">
        <v>70</v>
      </c>
      <c r="T513" s="5">
        <f>IF(SUM(E$513:E$545)=0,E$546/33,E513+IFERROR(E513/SUM(E$513:E$545)*E$546,0))</f>
        <v>0</v>
      </c>
      <c r="U513" s="5">
        <f t="shared" ref="U513:AA513" si="168">IF(SUM(F$513:F$545)=0,F$546/33,F513+IFERROR(F513/SUM(F$513:F$545)*F$546,0))</f>
        <v>0</v>
      </c>
      <c r="V513" s="5">
        <f t="shared" si="168"/>
        <v>0</v>
      </c>
      <c r="W513" s="5">
        <f t="shared" si="168"/>
        <v>0</v>
      </c>
      <c r="X513" s="5">
        <f t="shared" si="168"/>
        <v>0</v>
      </c>
      <c r="Y513" s="5">
        <f t="shared" si="168"/>
        <v>0</v>
      </c>
      <c r="Z513" s="5">
        <f t="shared" si="168"/>
        <v>0</v>
      </c>
      <c r="AA513" s="5">
        <f t="shared" si="168"/>
        <v>0</v>
      </c>
      <c r="AB513" s="5">
        <f t="shared" si="157"/>
        <v>0</v>
      </c>
    </row>
    <row r="514" spans="1:28" x14ac:dyDescent="0.25">
      <c r="D514" t="s">
        <v>71</v>
      </c>
      <c r="E514" s="64"/>
      <c r="F514" s="64"/>
      <c r="G514">
        <f>IFERROR(HLOOKUP(G$2,[18]table_male_hkom2_inj.V4!$A$1:$K$36,3,FALSE),0)</f>
        <v>0</v>
      </c>
      <c r="H514">
        <f>IFERROR(HLOOKUP(H$2,[18]table_male_hkom2_inj.V4!$A$1:$K$36,3,FALSE),0)</f>
        <v>0</v>
      </c>
      <c r="I514">
        <f>IFERROR(HLOOKUP(I$2,[18]table_male_hkom2_inj.V4!$A$1:$K$36,3,FALSE),0)</f>
        <v>0</v>
      </c>
      <c r="J514">
        <f>IFERROR(HLOOKUP(J$2,[18]table_male_hkom2_inj.V4!$A$1:$K$36,3,FALSE),0)</f>
        <v>0</v>
      </c>
      <c r="K514">
        <f>IFERROR(HLOOKUP(K$2,[18]table_male_hkom2_inj.V4!$A$1:$K$36,3,FALSE),0)</f>
        <v>0</v>
      </c>
      <c r="L514">
        <f>IFERROR(HLOOKUP(L$2,[18]table_male_hkom2_inj.V4!$A$1:$K$36,3,FALSE),0)</f>
        <v>0</v>
      </c>
      <c r="M514">
        <f t="shared" ref="M514:M546" si="169">SUM(E514:L514)</f>
        <v>0</v>
      </c>
      <c r="S514" t="s">
        <v>71</v>
      </c>
      <c r="T514" s="5">
        <f t="shared" ref="T514:T545" si="170">IF(SUM(E$513:E$545)=0,E$546/33,E514+IFERROR(E514/SUM(E$513:E$545)*E$546,0))</f>
        <v>0</v>
      </c>
      <c r="U514" s="5">
        <f t="shared" ref="U514:U545" si="171">IF(SUM(F$513:F$545)=0,F$546/33,F514+IFERROR(F514/SUM(F$513:F$545)*F$546,0))</f>
        <v>0</v>
      </c>
      <c r="V514" s="5">
        <f t="shared" ref="V514:V545" si="172">IF(SUM(G$513:G$545)=0,G$546/33,G514+IFERROR(G514/SUM(G$513:G$545)*G$546,0))</f>
        <v>0</v>
      </c>
      <c r="W514" s="5">
        <f t="shared" ref="W514:W545" si="173">IF(SUM(H$513:H$545)=0,H$546/33,H514+IFERROR(H514/SUM(H$513:H$545)*H$546,0))</f>
        <v>0</v>
      </c>
      <c r="X514" s="5">
        <f t="shared" ref="X514:X545" si="174">IF(SUM(I$513:I$545)=0,I$546/33,I514+IFERROR(I514/SUM(I$513:I$545)*I$546,0))</f>
        <v>0</v>
      </c>
      <c r="Y514" s="5">
        <f t="shared" ref="Y514:Y545" si="175">IF(SUM(J$513:J$545)=0,J$546/33,J514+IFERROR(J514/SUM(J$513:J$545)*J$546,0))</f>
        <v>0</v>
      </c>
      <c r="Z514" s="5">
        <f t="shared" ref="Z514:Z545" si="176">IF(SUM(K$513:K$545)=0,K$546/33,K514+IFERROR(K514/SUM(K$513:K$545)*K$546,0))</f>
        <v>0</v>
      </c>
      <c r="AA514" s="5">
        <f t="shared" ref="AA514:AA545" si="177">IF(SUM(L$513:L$545)=0,L$546/33,L514+IFERROR(L514/SUM(L$513:L$545)*L$546,0))</f>
        <v>0</v>
      </c>
      <c r="AB514" s="5">
        <f t="shared" si="157"/>
        <v>0</v>
      </c>
    </row>
    <row r="515" spans="1:28" x14ac:dyDescent="0.25">
      <c r="D515" t="s">
        <v>72</v>
      </c>
      <c r="E515" s="64"/>
      <c r="F515" s="64"/>
      <c r="G515">
        <f>IFERROR(HLOOKUP(G$2,[18]table_male_hkom2_inj.V4!$A$1:$K$36,4,FALSE),0)</f>
        <v>0</v>
      </c>
      <c r="H515">
        <f>IFERROR(HLOOKUP(H$2,[18]table_male_hkom2_inj.V4!$A$1:$K$36,4,FALSE),0)</f>
        <v>1</v>
      </c>
      <c r="I515">
        <f>IFERROR(HLOOKUP(I$2,[18]table_male_hkom2_inj.V4!$A$1:$K$36,4,FALSE),0)</f>
        <v>0</v>
      </c>
      <c r="J515">
        <f>IFERROR(HLOOKUP(J$2,[18]table_male_hkom2_inj.V4!$A$1:$K$36,4,FALSE),0)</f>
        <v>0</v>
      </c>
      <c r="K515">
        <f>IFERROR(HLOOKUP(K$2,[18]table_male_hkom2_inj.V4!$A$1:$K$36,4,FALSE),0)</f>
        <v>0</v>
      </c>
      <c r="L515">
        <f>IFERROR(HLOOKUP(L$2,[18]table_male_hkom2_inj.V4!$A$1:$K$36,4,FALSE),0)</f>
        <v>0</v>
      </c>
      <c r="M515">
        <f t="shared" si="169"/>
        <v>1</v>
      </c>
      <c r="S515" t="s">
        <v>72</v>
      </c>
      <c r="T515" s="5">
        <f t="shared" si="170"/>
        <v>0</v>
      </c>
      <c r="U515" s="5">
        <f t="shared" si="171"/>
        <v>0</v>
      </c>
      <c r="V515" s="5">
        <f t="shared" si="172"/>
        <v>0</v>
      </c>
      <c r="W515" s="5">
        <f t="shared" si="173"/>
        <v>1</v>
      </c>
      <c r="X515" s="5">
        <f t="shared" si="174"/>
        <v>0</v>
      </c>
      <c r="Y515" s="5">
        <f t="shared" si="175"/>
        <v>0</v>
      </c>
      <c r="Z515" s="5">
        <f t="shared" si="176"/>
        <v>0</v>
      </c>
      <c r="AA515" s="5">
        <f t="shared" si="177"/>
        <v>0</v>
      </c>
      <c r="AB515" s="5">
        <f t="shared" si="157"/>
        <v>1</v>
      </c>
    </row>
    <row r="516" spans="1:28" x14ac:dyDescent="0.25">
      <c r="D516" t="s">
        <v>73</v>
      </c>
      <c r="E516" s="64"/>
      <c r="F516" s="64"/>
      <c r="G516">
        <f>IFERROR(HLOOKUP(G$2,[18]table_male_hkom2_inj.V4!$A$1:$K$36,5,FALSE),0)</f>
        <v>0</v>
      </c>
      <c r="H516">
        <f>IFERROR(HLOOKUP(H$2,[18]table_male_hkom2_inj.V4!$A$1:$K$36,5,FALSE),0)</f>
        <v>0</v>
      </c>
      <c r="I516">
        <f>IFERROR(HLOOKUP(I$2,[18]table_male_hkom2_inj.V4!$A$1:$K$36,5,FALSE),0)</f>
        <v>0</v>
      </c>
      <c r="J516">
        <f>IFERROR(HLOOKUP(J$2,[18]table_male_hkom2_inj.V4!$A$1:$K$36,5,FALSE),0)</f>
        <v>0</v>
      </c>
      <c r="K516">
        <f>IFERROR(HLOOKUP(K$2,[18]table_male_hkom2_inj.V4!$A$1:$K$36,5,FALSE),0)</f>
        <v>0</v>
      </c>
      <c r="L516">
        <f>IFERROR(HLOOKUP(L$2,[18]table_male_hkom2_inj.V4!$A$1:$K$36,5,FALSE),0)</f>
        <v>0</v>
      </c>
      <c r="M516">
        <f t="shared" si="169"/>
        <v>0</v>
      </c>
      <c r="S516" t="s">
        <v>73</v>
      </c>
      <c r="T516" s="5">
        <f t="shared" si="170"/>
        <v>0</v>
      </c>
      <c r="U516" s="5">
        <f t="shared" si="171"/>
        <v>0</v>
      </c>
      <c r="V516" s="5">
        <f t="shared" si="172"/>
        <v>0</v>
      </c>
      <c r="W516" s="5">
        <f t="shared" si="173"/>
        <v>0</v>
      </c>
      <c r="X516" s="5">
        <f t="shared" si="174"/>
        <v>0</v>
      </c>
      <c r="Y516" s="5">
        <f t="shared" si="175"/>
        <v>0</v>
      </c>
      <c r="Z516" s="5">
        <f t="shared" si="176"/>
        <v>0</v>
      </c>
      <c r="AA516" s="5">
        <f t="shared" si="177"/>
        <v>0</v>
      </c>
      <c r="AB516" s="5">
        <f t="shared" si="157"/>
        <v>0</v>
      </c>
    </row>
    <row r="517" spans="1:28" x14ac:dyDescent="0.25">
      <c r="D517" t="s">
        <v>74</v>
      </c>
      <c r="E517" s="64"/>
      <c r="F517" s="64"/>
      <c r="G517">
        <f>IFERROR(HLOOKUP(G$2,[18]table_male_hkom2_inj.V4!$A$1:$K$36,6,FALSE),0)</f>
        <v>0</v>
      </c>
      <c r="H517">
        <f>IFERROR(HLOOKUP(H$2,[18]table_male_hkom2_inj.V4!$A$1:$K$36,6,FALSE),0)</f>
        <v>0</v>
      </c>
      <c r="I517">
        <f>IFERROR(HLOOKUP(I$2,[18]table_male_hkom2_inj.V4!$A$1:$K$36,6,FALSE),0)</f>
        <v>0</v>
      </c>
      <c r="J517">
        <f>IFERROR(HLOOKUP(J$2,[18]table_male_hkom2_inj.V4!$A$1:$K$36,6,FALSE),0)</f>
        <v>0</v>
      </c>
      <c r="K517">
        <f>IFERROR(HLOOKUP(K$2,[18]table_male_hkom2_inj.V4!$A$1:$K$36,6,FALSE),0)</f>
        <v>0</v>
      </c>
      <c r="L517">
        <f>IFERROR(HLOOKUP(L$2,[18]table_male_hkom2_inj.V4!$A$1:$K$36,6,FALSE),0)</f>
        <v>0</v>
      </c>
      <c r="M517">
        <f t="shared" si="169"/>
        <v>0</v>
      </c>
      <c r="S517" t="s">
        <v>74</v>
      </c>
      <c r="T517" s="5">
        <f t="shared" si="170"/>
        <v>0</v>
      </c>
      <c r="U517" s="5">
        <f t="shared" si="171"/>
        <v>0</v>
      </c>
      <c r="V517" s="5">
        <f t="shared" si="172"/>
        <v>0</v>
      </c>
      <c r="W517" s="5">
        <f t="shared" si="173"/>
        <v>0</v>
      </c>
      <c r="X517" s="5">
        <f t="shared" si="174"/>
        <v>0</v>
      </c>
      <c r="Y517" s="5">
        <f t="shared" si="175"/>
        <v>0</v>
      </c>
      <c r="Z517" s="5">
        <f t="shared" si="176"/>
        <v>0</v>
      </c>
      <c r="AA517" s="5">
        <f t="shared" si="177"/>
        <v>0</v>
      </c>
      <c r="AB517" s="5">
        <f t="shared" si="157"/>
        <v>0</v>
      </c>
    </row>
    <row r="518" spans="1:28" x14ac:dyDescent="0.25">
      <c r="D518" t="s">
        <v>75</v>
      </c>
      <c r="E518" s="64"/>
      <c r="F518" s="64"/>
      <c r="G518">
        <f>IFERROR(HLOOKUP(G$2,[18]table_male_hkom2_inj.V4!$A$1:$K$36,7,FALSE),0)</f>
        <v>0</v>
      </c>
      <c r="H518">
        <f>IFERROR(HLOOKUP(H$2,[18]table_male_hkom2_inj.V4!$A$1:$K$36,7,FALSE),0)</f>
        <v>0</v>
      </c>
      <c r="I518">
        <f>IFERROR(HLOOKUP(I$2,[18]table_male_hkom2_inj.V4!$A$1:$K$36,7,FALSE),0)</f>
        <v>0</v>
      </c>
      <c r="J518">
        <f>IFERROR(HLOOKUP(J$2,[18]table_male_hkom2_inj.V4!$A$1:$K$36,7,FALSE),0)</f>
        <v>0</v>
      </c>
      <c r="K518">
        <f>IFERROR(HLOOKUP(K$2,[18]table_male_hkom2_inj.V4!$A$1:$K$36,7,FALSE),0)</f>
        <v>0</v>
      </c>
      <c r="L518">
        <f>IFERROR(HLOOKUP(L$2,[18]table_male_hkom2_inj.V4!$A$1:$K$36,7,FALSE),0)</f>
        <v>0</v>
      </c>
      <c r="M518">
        <f t="shared" si="169"/>
        <v>0</v>
      </c>
      <c r="S518" t="s">
        <v>75</v>
      </c>
      <c r="T518" s="5">
        <f t="shared" si="170"/>
        <v>0</v>
      </c>
      <c r="U518" s="5">
        <f t="shared" si="171"/>
        <v>0</v>
      </c>
      <c r="V518" s="5">
        <f t="shared" si="172"/>
        <v>0</v>
      </c>
      <c r="W518" s="5">
        <f t="shared" si="173"/>
        <v>0</v>
      </c>
      <c r="X518" s="5">
        <f t="shared" si="174"/>
        <v>0</v>
      </c>
      <c r="Y518" s="5">
        <f t="shared" si="175"/>
        <v>0</v>
      </c>
      <c r="Z518" s="5">
        <f t="shared" si="176"/>
        <v>0</v>
      </c>
      <c r="AA518" s="5">
        <f t="shared" si="177"/>
        <v>0</v>
      </c>
      <c r="AB518" s="5">
        <f t="shared" si="157"/>
        <v>0</v>
      </c>
    </row>
    <row r="519" spans="1:28" x14ac:dyDescent="0.25">
      <c r="D519" t="s">
        <v>76</v>
      </c>
      <c r="E519" s="64"/>
      <c r="F519" s="64"/>
      <c r="G519">
        <f>IFERROR(HLOOKUP(G$2,[18]table_male_hkom2_inj.V4!$A$1:$K$36,8,FALSE),0)</f>
        <v>0</v>
      </c>
      <c r="H519">
        <f>IFERROR(HLOOKUP(H$2,[18]table_male_hkom2_inj.V4!$A$1:$K$36,8,FALSE),0)</f>
        <v>0</v>
      </c>
      <c r="I519">
        <f>IFERROR(HLOOKUP(I$2,[18]table_male_hkom2_inj.V4!$A$1:$K$36,8,FALSE),0)</f>
        <v>0</v>
      </c>
      <c r="J519">
        <f>IFERROR(HLOOKUP(J$2,[18]table_male_hkom2_inj.V4!$A$1:$K$36,8,FALSE),0)</f>
        <v>0</v>
      </c>
      <c r="K519">
        <f>IFERROR(HLOOKUP(K$2,[18]table_male_hkom2_inj.V4!$A$1:$K$36,8,FALSE),0)</f>
        <v>0</v>
      </c>
      <c r="L519">
        <f>IFERROR(HLOOKUP(L$2,[18]table_male_hkom2_inj.V4!$A$1:$K$36,8,FALSE),0)</f>
        <v>0</v>
      </c>
      <c r="M519">
        <f t="shared" si="169"/>
        <v>0</v>
      </c>
      <c r="S519" t="s">
        <v>76</v>
      </c>
      <c r="T519" s="5">
        <f t="shared" si="170"/>
        <v>0</v>
      </c>
      <c r="U519" s="5">
        <f t="shared" si="171"/>
        <v>0</v>
      </c>
      <c r="V519" s="5">
        <f t="shared" si="172"/>
        <v>0</v>
      </c>
      <c r="W519" s="5">
        <f t="shared" si="173"/>
        <v>0</v>
      </c>
      <c r="X519" s="5">
        <f t="shared" si="174"/>
        <v>0</v>
      </c>
      <c r="Y519" s="5">
        <f t="shared" si="175"/>
        <v>0</v>
      </c>
      <c r="Z519" s="5">
        <f t="shared" si="176"/>
        <v>0</v>
      </c>
      <c r="AA519" s="5">
        <f t="shared" si="177"/>
        <v>0</v>
      </c>
      <c r="AB519" s="5">
        <f t="shared" si="157"/>
        <v>0</v>
      </c>
    </row>
    <row r="520" spans="1:28" x14ac:dyDescent="0.25">
      <c r="D520" t="s">
        <v>77</v>
      </c>
      <c r="E520" s="64"/>
      <c r="F520" s="64"/>
      <c r="G520">
        <f>IFERROR(HLOOKUP(G$2,[18]table_male_hkom2_inj.V4!$A$1:$K$36,9,FALSE),0)</f>
        <v>0</v>
      </c>
      <c r="H520">
        <f>IFERROR(HLOOKUP(H$2,[18]table_male_hkom2_inj.V4!$A$1:$K$36,9,FALSE),0)</f>
        <v>0</v>
      </c>
      <c r="I520">
        <f>IFERROR(HLOOKUP(I$2,[18]table_male_hkom2_inj.V4!$A$1:$K$36,9,FALSE),0)</f>
        <v>0</v>
      </c>
      <c r="J520">
        <f>IFERROR(HLOOKUP(J$2,[18]table_male_hkom2_inj.V4!$A$1:$K$36,9,FALSE),0)</f>
        <v>0</v>
      </c>
      <c r="K520">
        <f>IFERROR(HLOOKUP(K$2,[18]table_male_hkom2_inj.V4!$A$1:$K$36,9,FALSE),0)</f>
        <v>0</v>
      </c>
      <c r="L520">
        <f>IFERROR(HLOOKUP(L$2,[18]table_male_hkom2_inj.V4!$A$1:$K$36,9,FALSE),0)</f>
        <v>0</v>
      </c>
      <c r="M520">
        <f t="shared" si="169"/>
        <v>0</v>
      </c>
      <c r="S520" t="s">
        <v>77</v>
      </c>
      <c r="T520" s="5">
        <f t="shared" si="170"/>
        <v>0</v>
      </c>
      <c r="U520" s="5">
        <f t="shared" si="171"/>
        <v>0</v>
      </c>
      <c r="V520" s="5">
        <f t="shared" si="172"/>
        <v>0</v>
      </c>
      <c r="W520" s="5">
        <f t="shared" si="173"/>
        <v>0</v>
      </c>
      <c r="X520" s="5">
        <f t="shared" si="174"/>
        <v>0</v>
      </c>
      <c r="Y520" s="5">
        <f t="shared" si="175"/>
        <v>0</v>
      </c>
      <c r="Z520" s="5">
        <f t="shared" si="176"/>
        <v>0</v>
      </c>
      <c r="AA520" s="5">
        <f t="shared" si="177"/>
        <v>0</v>
      </c>
      <c r="AB520" s="5">
        <f t="shared" si="157"/>
        <v>0</v>
      </c>
    </row>
    <row r="521" spans="1:28" x14ac:dyDescent="0.25">
      <c r="D521" t="s">
        <v>78</v>
      </c>
      <c r="E521" s="64"/>
      <c r="F521" s="64"/>
      <c r="G521">
        <f>IFERROR(HLOOKUP(G$2,[18]table_male_hkom2_inj.V4!$A$1:$K$36,10,FALSE),0)</f>
        <v>0</v>
      </c>
      <c r="H521">
        <f>IFERROR(HLOOKUP(H$2,[18]table_male_hkom2_inj.V4!$A$1:$K$36,10,FALSE),0)</f>
        <v>0</v>
      </c>
      <c r="I521">
        <f>IFERROR(HLOOKUP(I$2,[18]table_male_hkom2_inj.V4!$A$1:$K$36,10,FALSE),0)</f>
        <v>0</v>
      </c>
      <c r="J521">
        <f>IFERROR(HLOOKUP(J$2,[18]table_male_hkom2_inj.V4!$A$1:$K$36,10,FALSE),0)</f>
        <v>0</v>
      </c>
      <c r="K521">
        <f>IFERROR(HLOOKUP(K$2,[18]table_male_hkom2_inj.V4!$A$1:$K$36,10,FALSE),0)</f>
        <v>0</v>
      </c>
      <c r="L521">
        <f>IFERROR(HLOOKUP(L$2,[18]table_male_hkom2_inj.V4!$A$1:$K$36,10,FALSE),0)</f>
        <v>0</v>
      </c>
      <c r="M521">
        <f t="shared" si="169"/>
        <v>0</v>
      </c>
      <c r="S521" t="s">
        <v>78</v>
      </c>
      <c r="T521" s="5">
        <f t="shared" si="170"/>
        <v>0</v>
      </c>
      <c r="U521" s="5">
        <f t="shared" si="171"/>
        <v>0</v>
      </c>
      <c r="V521" s="5">
        <f t="shared" si="172"/>
        <v>0</v>
      </c>
      <c r="W521" s="5">
        <f t="shared" si="173"/>
        <v>0</v>
      </c>
      <c r="X521" s="5">
        <f t="shared" si="174"/>
        <v>0</v>
      </c>
      <c r="Y521" s="5">
        <f t="shared" si="175"/>
        <v>0</v>
      </c>
      <c r="Z521" s="5">
        <f t="shared" si="176"/>
        <v>0</v>
      </c>
      <c r="AA521" s="5">
        <f t="shared" si="177"/>
        <v>0</v>
      </c>
      <c r="AB521" s="5">
        <f t="shared" si="157"/>
        <v>0</v>
      </c>
    </row>
    <row r="522" spans="1:28" x14ac:dyDescent="0.25">
      <c r="D522" t="s">
        <v>79</v>
      </c>
      <c r="E522" s="64"/>
      <c r="F522" s="64"/>
      <c r="G522">
        <f>IFERROR(HLOOKUP(G$2,[18]table_male_hkom2_inj.V4!$A$1:$K$36,11,FALSE),0)</f>
        <v>0</v>
      </c>
      <c r="H522">
        <f>IFERROR(HLOOKUP(H$2,[18]table_male_hkom2_inj.V4!$A$1:$K$36,11,FALSE),0)</f>
        <v>0</v>
      </c>
      <c r="I522">
        <f>IFERROR(HLOOKUP(I$2,[18]table_male_hkom2_inj.V4!$A$1:$K$36,11,FALSE),0)</f>
        <v>0</v>
      </c>
      <c r="J522">
        <f>IFERROR(HLOOKUP(J$2,[18]table_male_hkom2_inj.V4!$A$1:$K$36,11,FALSE),0)</f>
        <v>0</v>
      </c>
      <c r="K522">
        <f>IFERROR(HLOOKUP(K$2,[18]table_male_hkom2_inj.V4!$A$1:$K$36,11,FALSE),0)</f>
        <v>0</v>
      </c>
      <c r="L522">
        <f>IFERROR(HLOOKUP(L$2,[18]table_male_hkom2_inj.V4!$A$1:$K$36,11,FALSE),0)</f>
        <v>0</v>
      </c>
      <c r="M522">
        <f t="shared" si="169"/>
        <v>0</v>
      </c>
      <c r="S522" t="s">
        <v>79</v>
      </c>
      <c r="T522" s="5">
        <f t="shared" si="170"/>
        <v>0</v>
      </c>
      <c r="U522" s="5">
        <f t="shared" si="171"/>
        <v>0</v>
      </c>
      <c r="V522" s="5">
        <f t="shared" si="172"/>
        <v>0</v>
      </c>
      <c r="W522" s="5">
        <f t="shared" si="173"/>
        <v>0</v>
      </c>
      <c r="X522" s="5">
        <f t="shared" si="174"/>
        <v>0</v>
      </c>
      <c r="Y522" s="5">
        <f t="shared" si="175"/>
        <v>0</v>
      </c>
      <c r="Z522" s="5">
        <f t="shared" si="176"/>
        <v>0</v>
      </c>
      <c r="AA522" s="5">
        <f t="shared" si="177"/>
        <v>0</v>
      </c>
      <c r="AB522" s="5">
        <f t="shared" si="157"/>
        <v>0</v>
      </c>
    </row>
    <row r="523" spans="1:28" x14ac:dyDescent="0.25">
      <c r="D523" t="s">
        <v>80</v>
      </c>
      <c r="E523" s="64"/>
      <c r="F523" s="64"/>
      <c r="G523">
        <f>IFERROR(HLOOKUP(G$2,[18]table_male_hkom2_inj.V4!$A$1:$K$36,12,FALSE),0)</f>
        <v>0</v>
      </c>
      <c r="H523">
        <f>IFERROR(HLOOKUP(H$2,[18]table_male_hkom2_inj.V4!$A$1:$K$36,12,FALSE),0)</f>
        <v>0</v>
      </c>
      <c r="I523">
        <f>IFERROR(HLOOKUP(I$2,[18]table_male_hkom2_inj.V4!$A$1:$K$36,12,FALSE),0)</f>
        <v>0</v>
      </c>
      <c r="J523">
        <f>IFERROR(HLOOKUP(J$2,[18]table_male_hkom2_inj.V4!$A$1:$K$36,12,FALSE),0)</f>
        <v>0</v>
      </c>
      <c r="K523">
        <f>IFERROR(HLOOKUP(K$2,[18]table_male_hkom2_inj.V4!$A$1:$K$36,12,FALSE),0)</f>
        <v>0</v>
      </c>
      <c r="L523">
        <f>IFERROR(HLOOKUP(L$2,[18]table_male_hkom2_inj.V4!$A$1:$K$36,12,FALSE),0)</f>
        <v>0</v>
      </c>
      <c r="M523">
        <f t="shared" si="169"/>
        <v>0</v>
      </c>
      <c r="S523" t="s">
        <v>80</v>
      </c>
      <c r="T523" s="5">
        <f t="shared" si="170"/>
        <v>0</v>
      </c>
      <c r="U523" s="5">
        <f t="shared" si="171"/>
        <v>0</v>
      </c>
      <c r="V523" s="5">
        <f t="shared" si="172"/>
        <v>0</v>
      </c>
      <c r="W523" s="5">
        <f t="shared" si="173"/>
        <v>0</v>
      </c>
      <c r="X523" s="5">
        <f t="shared" si="174"/>
        <v>0</v>
      </c>
      <c r="Y523" s="5">
        <f t="shared" si="175"/>
        <v>0</v>
      </c>
      <c r="Z523" s="5">
        <f t="shared" si="176"/>
        <v>0</v>
      </c>
      <c r="AA523" s="5">
        <f t="shared" si="177"/>
        <v>0</v>
      </c>
      <c r="AB523" s="5">
        <f t="shared" si="157"/>
        <v>0</v>
      </c>
    </row>
    <row r="524" spans="1:28" x14ac:dyDescent="0.25">
      <c r="D524" t="s">
        <v>81</v>
      </c>
      <c r="E524" s="64"/>
      <c r="F524" s="64"/>
      <c r="G524">
        <f>IFERROR(HLOOKUP(G$2,[18]table_male_hkom2_inj.V4!$A$1:$K$36,13,FALSE),0)</f>
        <v>0</v>
      </c>
      <c r="H524">
        <f>IFERROR(HLOOKUP(H$2,[18]table_male_hkom2_inj.V4!$A$1:$K$36,13,FALSE),0)</f>
        <v>0</v>
      </c>
      <c r="I524">
        <f>IFERROR(HLOOKUP(I$2,[18]table_male_hkom2_inj.V4!$A$1:$K$36,13,FALSE),0)</f>
        <v>0</v>
      </c>
      <c r="J524">
        <f>IFERROR(HLOOKUP(J$2,[18]table_male_hkom2_inj.V4!$A$1:$K$36,13,FALSE),0)</f>
        <v>0</v>
      </c>
      <c r="K524">
        <f>IFERROR(HLOOKUP(K$2,[18]table_male_hkom2_inj.V4!$A$1:$K$36,13,FALSE),0)</f>
        <v>0</v>
      </c>
      <c r="L524">
        <f>IFERROR(HLOOKUP(L$2,[18]table_male_hkom2_inj.V4!$A$1:$K$36,13,FALSE),0)</f>
        <v>0</v>
      </c>
      <c r="M524">
        <f t="shared" si="169"/>
        <v>0</v>
      </c>
      <c r="S524" t="s">
        <v>81</v>
      </c>
      <c r="T524" s="5">
        <f t="shared" si="170"/>
        <v>0</v>
      </c>
      <c r="U524" s="5">
        <f t="shared" si="171"/>
        <v>0</v>
      </c>
      <c r="V524" s="5">
        <f t="shared" si="172"/>
        <v>0</v>
      </c>
      <c r="W524" s="5">
        <f t="shared" si="173"/>
        <v>0</v>
      </c>
      <c r="X524" s="5">
        <f t="shared" si="174"/>
        <v>0</v>
      </c>
      <c r="Y524" s="5">
        <f t="shared" si="175"/>
        <v>0</v>
      </c>
      <c r="Z524" s="5">
        <f t="shared" si="176"/>
        <v>0</v>
      </c>
      <c r="AA524" s="5">
        <f t="shared" si="177"/>
        <v>0</v>
      </c>
      <c r="AB524" s="5">
        <f t="shared" si="157"/>
        <v>0</v>
      </c>
    </row>
    <row r="525" spans="1:28" x14ac:dyDescent="0.25">
      <c r="D525" t="s">
        <v>82</v>
      </c>
      <c r="E525" s="64"/>
      <c r="F525" s="64"/>
      <c r="G525">
        <f>IFERROR(HLOOKUP(G$2,[18]table_male_hkom2_inj.V4!$A$1:$K$36,14,FALSE),0)</f>
        <v>0</v>
      </c>
      <c r="H525">
        <f>IFERROR(HLOOKUP(H$2,[18]table_male_hkom2_inj.V4!$A$1:$K$36,14,FALSE),0)</f>
        <v>0</v>
      </c>
      <c r="I525">
        <f>IFERROR(HLOOKUP(I$2,[18]table_male_hkom2_inj.V4!$A$1:$K$36,14,FALSE),0)</f>
        <v>0</v>
      </c>
      <c r="J525">
        <f>IFERROR(HLOOKUP(J$2,[18]table_male_hkom2_inj.V4!$A$1:$K$36,14,FALSE),0)</f>
        <v>0</v>
      </c>
      <c r="K525">
        <f>IFERROR(HLOOKUP(K$2,[18]table_male_hkom2_inj.V4!$A$1:$K$36,14,FALSE),0)</f>
        <v>0</v>
      </c>
      <c r="L525">
        <f>IFERROR(HLOOKUP(L$2,[18]table_male_hkom2_inj.V4!$A$1:$K$36,14,FALSE),0)</f>
        <v>0</v>
      </c>
      <c r="M525">
        <f t="shared" si="169"/>
        <v>0</v>
      </c>
      <c r="S525" t="s">
        <v>82</v>
      </c>
      <c r="T525" s="5">
        <f t="shared" si="170"/>
        <v>0</v>
      </c>
      <c r="U525" s="5">
        <f t="shared" si="171"/>
        <v>0</v>
      </c>
      <c r="V525" s="5">
        <f t="shared" si="172"/>
        <v>0</v>
      </c>
      <c r="W525" s="5">
        <f t="shared" si="173"/>
        <v>0</v>
      </c>
      <c r="X525" s="5">
        <f t="shared" si="174"/>
        <v>0</v>
      </c>
      <c r="Y525" s="5">
        <f t="shared" si="175"/>
        <v>0</v>
      </c>
      <c r="Z525" s="5">
        <f t="shared" si="176"/>
        <v>0</v>
      </c>
      <c r="AA525" s="5">
        <f t="shared" si="177"/>
        <v>0</v>
      </c>
      <c r="AB525" s="5">
        <f t="shared" si="157"/>
        <v>0</v>
      </c>
    </row>
    <row r="526" spans="1:28" x14ac:dyDescent="0.25">
      <c r="D526" t="s">
        <v>83</v>
      </c>
      <c r="E526" s="64"/>
      <c r="F526" s="64"/>
      <c r="G526">
        <f>IFERROR(HLOOKUP(G$2,[18]table_male_hkom2_inj.V4!$A$1:$K$36,15,FALSE),0)</f>
        <v>0</v>
      </c>
      <c r="H526">
        <f>IFERROR(HLOOKUP(H$2,[18]table_male_hkom2_inj.V4!$A$1:$K$36,15,FALSE),0)</f>
        <v>0</v>
      </c>
      <c r="I526">
        <f>IFERROR(HLOOKUP(I$2,[18]table_male_hkom2_inj.V4!$A$1:$K$36,15,FALSE),0)</f>
        <v>0</v>
      </c>
      <c r="J526">
        <f>IFERROR(HLOOKUP(J$2,[18]table_male_hkom2_inj.V4!$A$1:$K$36,15,FALSE),0)</f>
        <v>0</v>
      </c>
      <c r="K526">
        <f>IFERROR(HLOOKUP(K$2,[18]table_male_hkom2_inj.V4!$A$1:$K$36,15,FALSE),0)</f>
        <v>0</v>
      </c>
      <c r="L526">
        <f>IFERROR(HLOOKUP(L$2,[18]table_male_hkom2_inj.V4!$A$1:$K$36,15,FALSE),0)</f>
        <v>0</v>
      </c>
      <c r="M526">
        <f t="shared" si="169"/>
        <v>0</v>
      </c>
      <c r="S526" t="s">
        <v>83</v>
      </c>
      <c r="T526" s="5">
        <f t="shared" si="170"/>
        <v>0</v>
      </c>
      <c r="U526" s="5">
        <f t="shared" si="171"/>
        <v>0</v>
      </c>
      <c r="V526" s="5">
        <f t="shared" si="172"/>
        <v>0</v>
      </c>
      <c r="W526" s="5">
        <f t="shared" si="173"/>
        <v>0</v>
      </c>
      <c r="X526" s="5">
        <f t="shared" si="174"/>
        <v>0</v>
      </c>
      <c r="Y526" s="5">
        <f t="shared" si="175"/>
        <v>0</v>
      </c>
      <c r="Z526" s="5">
        <f t="shared" si="176"/>
        <v>0</v>
      </c>
      <c r="AA526" s="5">
        <f t="shared" si="177"/>
        <v>0</v>
      </c>
      <c r="AB526" s="5">
        <f t="shared" si="157"/>
        <v>0</v>
      </c>
    </row>
    <row r="527" spans="1:28" x14ac:dyDescent="0.25">
      <c r="D527" t="s">
        <v>84</v>
      </c>
      <c r="E527" s="64"/>
      <c r="F527" s="64"/>
      <c r="G527">
        <f>IFERROR(HLOOKUP(G$2,[18]table_male_hkom2_inj.V4!$A$1:$K$36,16,FALSE),0)</f>
        <v>0</v>
      </c>
      <c r="H527">
        <f>IFERROR(HLOOKUP(H$2,[18]table_male_hkom2_inj.V4!$A$1:$K$36,16,FALSE),0)</f>
        <v>0</v>
      </c>
      <c r="I527">
        <f>IFERROR(HLOOKUP(I$2,[18]table_male_hkom2_inj.V4!$A$1:$K$36,16,FALSE),0)</f>
        <v>0</v>
      </c>
      <c r="J527">
        <f>IFERROR(HLOOKUP(J$2,[18]table_male_hkom2_inj.V4!$A$1:$K$36,16,FALSE),0)</f>
        <v>0</v>
      </c>
      <c r="K527">
        <f>IFERROR(HLOOKUP(K$2,[18]table_male_hkom2_inj.V4!$A$1:$K$36,16,FALSE),0)</f>
        <v>0</v>
      </c>
      <c r="L527">
        <f>IFERROR(HLOOKUP(L$2,[18]table_male_hkom2_inj.V4!$A$1:$K$36,16,FALSE),0)</f>
        <v>0</v>
      </c>
      <c r="M527">
        <f t="shared" si="169"/>
        <v>0</v>
      </c>
      <c r="S527" t="s">
        <v>84</v>
      </c>
      <c r="T527" s="5">
        <f t="shared" si="170"/>
        <v>0</v>
      </c>
      <c r="U527" s="5">
        <f t="shared" si="171"/>
        <v>0</v>
      </c>
      <c r="V527" s="5">
        <f t="shared" si="172"/>
        <v>0</v>
      </c>
      <c r="W527" s="5">
        <f t="shared" si="173"/>
        <v>0</v>
      </c>
      <c r="X527" s="5">
        <f t="shared" si="174"/>
        <v>0</v>
      </c>
      <c r="Y527" s="5">
        <f t="shared" si="175"/>
        <v>0</v>
      </c>
      <c r="Z527" s="5">
        <f t="shared" si="176"/>
        <v>0</v>
      </c>
      <c r="AA527" s="5">
        <f t="shared" si="177"/>
        <v>0</v>
      </c>
      <c r="AB527" s="5">
        <f t="shared" si="157"/>
        <v>0</v>
      </c>
    </row>
    <row r="528" spans="1:28" x14ac:dyDescent="0.25">
      <c r="D528" t="s">
        <v>85</v>
      </c>
      <c r="E528" s="64"/>
      <c r="F528" s="64"/>
      <c r="G528">
        <f>IFERROR(HLOOKUP(G$2,[18]table_male_hkom2_inj.V4!$A$1:$K$36,17,FALSE),0)</f>
        <v>0</v>
      </c>
      <c r="H528">
        <f>IFERROR(HLOOKUP(H$2,[18]table_male_hkom2_inj.V4!$A$1:$K$36,17,FALSE),0)</f>
        <v>0</v>
      </c>
      <c r="I528">
        <f>IFERROR(HLOOKUP(I$2,[18]table_male_hkom2_inj.V4!$A$1:$K$36,17,FALSE),0)</f>
        <v>0</v>
      </c>
      <c r="J528">
        <f>IFERROR(HLOOKUP(J$2,[18]table_male_hkom2_inj.V4!$A$1:$K$36,17,FALSE),0)</f>
        <v>0</v>
      </c>
      <c r="K528">
        <f>IFERROR(HLOOKUP(K$2,[18]table_male_hkom2_inj.V4!$A$1:$K$36,17,FALSE),0)</f>
        <v>0</v>
      </c>
      <c r="L528">
        <f>IFERROR(HLOOKUP(L$2,[18]table_male_hkom2_inj.V4!$A$1:$K$36,17,FALSE),0)</f>
        <v>0</v>
      </c>
      <c r="M528">
        <f t="shared" si="169"/>
        <v>0</v>
      </c>
      <c r="S528" t="s">
        <v>85</v>
      </c>
      <c r="T528" s="5">
        <f t="shared" si="170"/>
        <v>0</v>
      </c>
      <c r="U528" s="5">
        <f t="shared" si="171"/>
        <v>0</v>
      </c>
      <c r="V528" s="5">
        <f t="shared" si="172"/>
        <v>0</v>
      </c>
      <c r="W528" s="5">
        <f t="shared" si="173"/>
        <v>0</v>
      </c>
      <c r="X528" s="5">
        <f t="shared" si="174"/>
        <v>0</v>
      </c>
      <c r="Y528" s="5">
        <f t="shared" si="175"/>
        <v>0</v>
      </c>
      <c r="Z528" s="5">
        <f t="shared" si="176"/>
        <v>0</v>
      </c>
      <c r="AA528" s="5">
        <f t="shared" si="177"/>
        <v>0</v>
      </c>
      <c r="AB528" s="5">
        <f t="shared" si="157"/>
        <v>0</v>
      </c>
    </row>
    <row r="529" spans="4:28" x14ac:dyDescent="0.25">
      <c r="D529" t="s">
        <v>86</v>
      </c>
      <c r="E529" s="64"/>
      <c r="F529" s="64"/>
      <c r="G529">
        <f>IFERROR(HLOOKUP(G$2,[18]table_male_hkom2_inj.V4!$A$1:$K$36,18,FALSE),0)</f>
        <v>0</v>
      </c>
      <c r="H529">
        <f>IFERROR(HLOOKUP(H$2,[18]table_male_hkom2_inj.V4!$A$1:$K$36,18,FALSE),0)</f>
        <v>0</v>
      </c>
      <c r="I529">
        <f>IFERROR(HLOOKUP(I$2,[18]table_male_hkom2_inj.V4!$A$1:$K$36,18,FALSE),0)</f>
        <v>0</v>
      </c>
      <c r="J529">
        <f>IFERROR(HLOOKUP(J$2,[18]table_male_hkom2_inj.V4!$A$1:$K$36,18,FALSE),0)</f>
        <v>0</v>
      </c>
      <c r="K529">
        <f>IFERROR(HLOOKUP(K$2,[18]table_male_hkom2_inj.V4!$A$1:$K$36,18,FALSE),0)</f>
        <v>0</v>
      </c>
      <c r="L529">
        <f>IFERROR(HLOOKUP(L$2,[18]table_male_hkom2_inj.V4!$A$1:$K$36,18,FALSE),0)</f>
        <v>0</v>
      </c>
      <c r="M529">
        <f t="shared" si="169"/>
        <v>0</v>
      </c>
      <c r="S529" t="s">
        <v>86</v>
      </c>
      <c r="T529" s="5">
        <f t="shared" si="170"/>
        <v>0</v>
      </c>
      <c r="U529" s="5">
        <f t="shared" si="171"/>
        <v>0</v>
      </c>
      <c r="V529" s="5">
        <f t="shared" si="172"/>
        <v>0</v>
      </c>
      <c r="W529" s="5">
        <f t="shared" si="173"/>
        <v>0</v>
      </c>
      <c r="X529" s="5">
        <f t="shared" si="174"/>
        <v>0</v>
      </c>
      <c r="Y529" s="5">
        <f t="shared" si="175"/>
        <v>0</v>
      </c>
      <c r="Z529" s="5">
        <f t="shared" si="176"/>
        <v>0</v>
      </c>
      <c r="AA529" s="5">
        <f t="shared" si="177"/>
        <v>0</v>
      </c>
      <c r="AB529" s="5">
        <f t="shared" si="157"/>
        <v>0</v>
      </c>
    </row>
    <row r="530" spans="4:28" x14ac:dyDescent="0.25">
      <c r="D530" t="s">
        <v>87</v>
      </c>
      <c r="E530" s="64"/>
      <c r="F530" s="64"/>
      <c r="G530">
        <f>IFERROR(HLOOKUP(G$2,[18]table_male_hkom2_inj.V4!$A$1:$K$36,19,FALSE),0)</f>
        <v>0</v>
      </c>
      <c r="H530">
        <f>IFERROR(HLOOKUP(H$2,[18]table_male_hkom2_inj.V4!$A$1:$K$36,19,FALSE),0)</f>
        <v>0</v>
      </c>
      <c r="I530">
        <f>IFERROR(HLOOKUP(I$2,[18]table_male_hkom2_inj.V4!$A$1:$K$36,19,FALSE),0)</f>
        <v>0</v>
      </c>
      <c r="J530">
        <f>IFERROR(HLOOKUP(J$2,[18]table_male_hkom2_inj.V4!$A$1:$K$36,19,FALSE),0)</f>
        <v>0</v>
      </c>
      <c r="K530">
        <f>IFERROR(HLOOKUP(K$2,[18]table_male_hkom2_inj.V4!$A$1:$K$36,19,FALSE),0)</f>
        <v>0</v>
      </c>
      <c r="L530">
        <f>IFERROR(HLOOKUP(L$2,[18]table_male_hkom2_inj.V4!$A$1:$K$36,19,FALSE),0)</f>
        <v>0</v>
      </c>
      <c r="M530">
        <f t="shared" si="169"/>
        <v>0</v>
      </c>
      <c r="S530" t="s">
        <v>87</v>
      </c>
      <c r="T530" s="5">
        <f t="shared" si="170"/>
        <v>0</v>
      </c>
      <c r="U530" s="5">
        <f t="shared" si="171"/>
        <v>0</v>
      </c>
      <c r="V530" s="5">
        <f t="shared" si="172"/>
        <v>0</v>
      </c>
      <c r="W530" s="5">
        <f t="shared" si="173"/>
        <v>0</v>
      </c>
      <c r="X530" s="5">
        <f t="shared" si="174"/>
        <v>0</v>
      </c>
      <c r="Y530" s="5">
        <f t="shared" si="175"/>
        <v>0</v>
      </c>
      <c r="Z530" s="5">
        <f t="shared" si="176"/>
        <v>0</v>
      </c>
      <c r="AA530" s="5">
        <f t="shared" si="177"/>
        <v>0</v>
      </c>
      <c r="AB530" s="5">
        <f t="shared" si="157"/>
        <v>0</v>
      </c>
    </row>
    <row r="531" spans="4:28" x14ac:dyDescent="0.25">
      <c r="D531" t="s">
        <v>88</v>
      </c>
      <c r="E531" s="64"/>
      <c r="F531" s="64"/>
      <c r="G531">
        <f>IFERROR(HLOOKUP(G$2,[18]table_male_hkom2_inj.V4!$A$1:$K$36,20,FALSE),0)</f>
        <v>0</v>
      </c>
      <c r="H531">
        <f>IFERROR(HLOOKUP(H$2,[18]table_male_hkom2_inj.V4!$A$1:$K$36,20,FALSE),0)</f>
        <v>0</v>
      </c>
      <c r="I531">
        <f>IFERROR(HLOOKUP(I$2,[18]table_male_hkom2_inj.V4!$A$1:$K$36,20,FALSE),0)</f>
        <v>0</v>
      </c>
      <c r="J531">
        <f>IFERROR(HLOOKUP(J$2,[18]table_male_hkom2_inj.V4!$A$1:$K$36,20,FALSE),0)</f>
        <v>0</v>
      </c>
      <c r="K531">
        <f>IFERROR(HLOOKUP(K$2,[18]table_male_hkom2_inj.V4!$A$1:$K$36,20,FALSE),0)</f>
        <v>0</v>
      </c>
      <c r="L531">
        <f>IFERROR(HLOOKUP(L$2,[18]table_male_hkom2_inj.V4!$A$1:$K$36,20,FALSE),0)</f>
        <v>0</v>
      </c>
      <c r="M531">
        <f t="shared" si="169"/>
        <v>0</v>
      </c>
      <c r="S531" t="s">
        <v>88</v>
      </c>
      <c r="T531" s="5">
        <f t="shared" si="170"/>
        <v>0</v>
      </c>
      <c r="U531" s="5">
        <f t="shared" si="171"/>
        <v>0</v>
      </c>
      <c r="V531" s="5">
        <f t="shared" si="172"/>
        <v>0</v>
      </c>
      <c r="W531" s="5">
        <f t="shared" si="173"/>
        <v>0</v>
      </c>
      <c r="X531" s="5">
        <f t="shared" si="174"/>
        <v>0</v>
      </c>
      <c r="Y531" s="5">
        <f t="shared" si="175"/>
        <v>0</v>
      </c>
      <c r="Z531" s="5">
        <f t="shared" si="176"/>
        <v>0</v>
      </c>
      <c r="AA531" s="5">
        <f t="shared" si="177"/>
        <v>0</v>
      </c>
      <c r="AB531" s="5">
        <f t="shared" si="157"/>
        <v>0</v>
      </c>
    </row>
    <row r="532" spans="4:28" x14ac:dyDescent="0.25">
      <c r="D532" t="s">
        <v>89</v>
      </c>
      <c r="E532" s="64"/>
      <c r="F532" s="64"/>
      <c r="G532">
        <f>IFERROR(HLOOKUP(G$2,[18]table_male_hkom2_inj.V4!$A$1:$K$36,21,FALSE),0)</f>
        <v>0</v>
      </c>
      <c r="H532">
        <f>IFERROR(HLOOKUP(H$2,[18]table_male_hkom2_inj.V4!$A$1:$K$36,21,FALSE),0)</f>
        <v>0</v>
      </c>
      <c r="I532">
        <f>IFERROR(HLOOKUP(I$2,[18]table_male_hkom2_inj.V4!$A$1:$K$36,21,FALSE),0)</f>
        <v>0</v>
      </c>
      <c r="J532">
        <f>IFERROR(HLOOKUP(J$2,[18]table_male_hkom2_inj.V4!$A$1:$K$36,21,FALSE),0)</f>
        <v>0</v>
      </c>
      <c r="K532">
        <f>IFERROR(HLOOKUP(K$2,[18]table_male_hkom2_inj.V4!$A$1:$K$36,21,FALSE),0)</f>
        <v>0</v>
      </c>
      <c r="L532">
        <f>IFERROR(HLOOKUP(L$2,[18]table_male_hkom2_inj.V4!$A$1:$K$36,21,FALSE),0)</f>
        <v>0</v>
      </c>
      <c r="M532">
        <f t="shared" si="169"/>
        <v>0</v>
      </c>
      <c r="S532" t="s">
        <v>89</v>
      </c>
      <c r="T532" s="5">
        <f t="shared" si="170"/>
        <v>0</v>
      </c>
      <c r="U532" s="5">
        <f t="shared" si="171"/>
        <v>0</v>
      </c>
      <c r="V532" s="5">
        <f t="shared" si="172"/>
        <v>0</v>
      </c>
      <c r="W532" s="5">
        <f t="shared" si="173"/>
        <v>0</v>
      </c>
      <c r="X532" s="5">
        <f t="shared" si="174"/>
        <v>0</v>
      </c>
      <c r="Y532" s="5">
        <f t="shared" si="175"/>
        <v>0</v>
      </c>
      <c r="Z532" s="5">
        <f t="shared" si="176"/>
        <v>0</v>
      </c>
      <c r="AA532" s="5">
        <f t="shared" si="177"/>
        <v>0</v>
      </c>
      <c r="AB532" s="5">
        <f t="shared" ref="AB532:AB595" si="178">SUM(T532:AA532)</f>
        <v>0</v>
      </c>
    </row>
    <row r="533" spans="4:28" x14ac:dyDescent="0.25">
      <c r="D533" t="s">
        <v>90</v>
      </c>
      <c r="E533" s="64"/>
      <c r="F533" s="64"/>
      <c r="G533">
        <f>IFERROR(HLOOKUP(G$2,[18]table_male_hkom2_inj.V4!$A$1:$K$36,22,FALSE),0)</f>
        <v>0</v>
      </c>
      <c r="H533">
        <f>IFERROR(HLOOKUP(H$2,[18]table_male_hkom2_inj.V4!$A$1:$K$36,22,FALSE),0)</f>
        <v>0</v>
      </c>
      <c r="I533">
        <f>IFERROR(HLOOKUP(I$2,[18]table_male_hkom2_inj.V4!$A$1:$K$36,22,FALSE),0)</f>
        <v>0</v>
      </c>
      <c r="J533">
        <f>IFERROR(HLOOKUP(J$2,[18]table_male_hkom2_inj.V4!$A$1:$K$36,22,FALSE),0)</f>
        <v>0</v>
      </c>
      <c r="K533">
        <f>IFERROR(HLOOKUP(K$2,[18]table_male_hkom2_inj.V4!$A$1:$K$36,22,FALSE),0)</f>
        <v>0</v>
      </c>
      <c r="L533">
        <f>IFERROR(HLOOKUP(L$2,[18]table_male_hkom2_inj.V4!$A$1:$K$36,22,FALSE),0)</f>
        <v>0</v>
      </c>
      <c r="M533">
        <f t="shared" si="169"/>
        <v>0</v>
      </c>
      <c r="S533" t="s">
        <v>90</v>
      </c>
      <c r="T533" s="5">
        <f t="shared" si="170"/>
        <v>0</v>
      </c>
      <c r="U533" s="5">
        <f t="shared" si="171"/>
        <v>0</v>
      </c>
      <c r="V533" s="5">
        <f t="shared" si="172"/>
        <v>0</v>
      </c>
      <c r="W533" s="5">
        <f t="shared" si="173"/>
        <v>0</v>
      </c>
      <c r="X533" s="5">
        <f t="shared" si="174"/>
        <v>0</v>
      </c>
      <c r="Y533" s="5">
        <f t="shared" si="175"/>
        <v>0</v>
      </c>
      <c r="Z533" s="5">
        <f t="shared" si="176"/>
        <v>0</v>
      </c>
      <c r="AA533" s="5">
        <f t="shared" si="177"/>
        <v>0</v>
      </c>
      <c r="AB533" s="5">
        <f t="shared" si="178"/>
        <v>0</v>
      </c>
    </row>
    <row r="534" spans="4:28" x14ac:dyDescent="0.25">
      <c r="D534" t="s">
        <v>91</v>
      </c>
      <c r="E534" s="64"/>
      <c r="F534" s="64"/>
      <c r="G534">
        <f>IFERROR(HLOOKUP(G$2,[18]table_male_hkom2_inj.V4!$A$1:$K$36,23,FALSE),0)</f>
        <v>0</v>
      </c>
      <c r="H534">
        <f>IFERROR(HLOOKUP(H$2,[18]table_male_hkom2_inj.V4!$A$1:$K$36,23,FALSE),0)</f>
        <v>0</v>
      </c>
      <c r="I534">
        <f>IFERROR(HLOOKUP(I$2,[18]table_male_hkom2_inj.V4!$A$1:$K$36,23,FALSE),0)</f>
        <v>0</v>
      </c>
      <c r="J534">
        <f>IFERROR(HLOOKUP(J$2,[18]table_male_hkom2_inj.V4!$A$1:$K$36,23,FALSE),0)</f>
        <v>0</v>
      </c>
      <c r="K534">
        <f>IFERROR(HLOOKUP(K$2,[18]table_male_hkom2_inj.V4!$A$1:$K$36,23,FALSE),0)</f>
        <v>0</v>
      </c>
      <c r="L534">
        <f>IFERROR(HLOOKUP(L$2,[18]table_male_hkom2_inj.V4!$A$1:$K$36,23,FALSE),0)</f>
        <v>0</v>
      </c>
      <c r="M534">
        <f t="shared" si="169"/>
        <v>0</v>
      </c>
      <c r="S534" t="s">
        <v>91</v>
      </c>
      <c r="T534" s="5">
        <f t="shared" si="170"/>
        <v>0</v>
      </c>
      <c r="U534" s="5">
        <f t="shared" si="171"/>
        <v>0</v>
      </c>
      <c r="V534" s="5">
        <f t="shared" si="172"/>
        <v>0</v>
      </c>
      <c r="W534" s="5">
        <f t="shared" si="173"/>
        <v>0</v>
      </c>
      <c r="X534" s="5">
        <f t="shared" si="174"/>
        <v>0</v>
      </c>
      <c r="Y534" s="5">
        <f t="shared" si="175"/>
        <v>0</v>
      </c>
      <c r="Z534" s="5">
        <f t="shared" si="176"/>
        <v>0</v>
      </c>
      <c r="AA534" s="5">
        <f t="shared" si="177"/>
        <v>0</v>
      </c>
      <c r="AB534" s="5">
        <f t="shared" si="178"/>
        <v>0</v>
      </c>
    </row>
    <row r="535" spans="4:28" x14ac:dyDescent="0.25">
      <c r="D535" t="s">
        <v>92</v>
      </c>
      <c r="E535" s="64"/>
      <c r="F535" s="64"/>
      <c r="G535">
        <f>IFERROR(HLOOKUP(G$2,[18]table_male_hkom2_inj.V4!$A$1:$K$36,24,FALSE),0)</f>
        <v>0</v>
      </c>
      <c r="H535">
        <f>IFERROR(HLOOKUP(H$2,[18]table_male_hkom2_inj.V4!$A$1:$K$36,24,FALSE),0)</f>
        <v>0</v>
      </c>
      <c r="I535">
        <f>IFERROR(HLOOKUP(I$2,[18]table_male_hkom2_inj.V4!$A$1:$K$36,24,FALSE),0)</f>
        <v>0</v>
      </c>
      <c r="J535">
        <f>IFERROR(HLOOKUP(J$2,[18]table_male_hkom2_inj.V4!$A$1:$K$36,24,FALSE),0)</f>
        <v>0</v>
      </c>
      <c r="K535">
        <f>IFERROR(HLOOKUP(K$2,[18]table_male_hkom2_inj.V4!$A$1:$K$36,24,FALSE),0)</f>
        <v>0</v>
      </c>
      <c r="L535">
        <f>IFERROR(HLOOKUP(L$2,[18]table_male_hkom2_inj.V4!$A$1:$K$36,24,FALSE),0)</f>
        <v>0</v>
      </c>
      <c r="M535">
        <f t="shared" si="169"/>
        <v>0</v>
      </c>
      <c r="S535" t="s">
        <v>92</v>
      </c>
      <c r="T535" s="5">
        <f t="shared" si="170"/>
        <v>0</v>
      </c>
      <c r="U535" s="5">
        <f t="shared" si="171"/>
        <v>0</v>
      </c>
      <c r="V535" s="5">
        <f t="shared" si="172"/>
        <v>0</v>
      </c>
      <c r="W535" s="5">
        <f t="shared" si="173"/>
        <v>0</v>
      </c>
      <c r="X535" s="5">
        <f t="shared" si="174"/>
        <v>0</v>
      </c>
      <c r="Y535" s="5">
        <f t="shared" si="175"/>
        <v>0</v>
      </c>
      <c r="Z535" s="5">
        <f t="shared" si="176"/>
        <v>0</v>
      </c>
      <c r="AA535" s="5">
        <f t="shared" si="177"/>
        <v>0</v>
      </c>
      <c r="AB535" s="5">
        <f t="shared" si="178"/>
        <v>0</v>
      </c>
    </row>
    <row r="536" spans="4:28" x14ac:dyDescent="0.25">
      <c r="D536" t="s">
        <v>93</v>
      </c>
      <c r="E536" s="64"/>
      <c r="F536" s="64"/>
      <c r="G536">
        <f>IFERROR(HLOOKUP(G$2,[18]table_male_hkom2_inj.V4!$A$1:$K$36,25,FALSE),0)</f>
        <v>0</v>
      </c>
      <c r="H536">
        <f>IFERROR(HLOOKUP(H$2,[18]table_male_hkom2_inj.V4!$A$1:$K$36,25,FALSE),0)</f>
        <v>0</v>
      </c>
      <c r="I536">
        <f>IFERROR(HLOOKUP(I$2,[18]table_male_hkom2_inj.V4!$A$1:$K$36,25,FALSE),0)</f>
        <v>0</v>
      </c>
      <c r="J536">
        <f>IFERROR(HLOOKUP(J$2,[18]table_male_hkom2_inj.V4!$A$1:$K$36,25,FALSE),0)</f>
        <v>0</v>
      </c>
      <c r="K536">
        <f>IFERROR(HLOOKUP(K$2,[18]table_male_hkom2_inj.V4!$A$1:$K$36,25,FALSE),0)</f>
        <v>0</v>
      </c>
      <c r="L536">
        <f>IFERROR(HLOOKUP(L$2,[18]table_male_hkom2_inj.V4!$A$1:$K$36,25,FALSE),0)</f>
        <v>0</v>
      </c>
      <c r="M536">
        <f t="shared" si="169"/>
        <v>0</v>
      </c>
      <c r="S536" t="s">
        <v>93</v>
      </c>
      <c r="T536" s="5">
        <f t="shared" si="170"/>
        <v>0</v>
      </c>
      <c r="U536" s="5">
        <f t="shared" si="171"/>
        <v>0</v>
      </c>
      <c r="V536" s="5">
        <f t="shared" si="172"/>
        <v>0</v>
      </c>
      <c r="W536" s="5">
        <f t="shared" si="173"/>
        <v>0</v>
      </c>
      <c r="X536" s="5">
        <f t="shared" si="174"/>
        <v>0</v>
      </c>
      <c r="Y536" s="5">
        <f t="shared" si="175"/>
        <v>0</v>
      </c>
      <c r="Z536" s="5">
        <f t="shared" si="176"/>
        <v>0</v>
      </c>
      <c r="AA536" s="5">
        <f t="shared" si="177"/>
        <v>0</v>
      </c>
      <c r="AB536" s="5">
        <f t="shared" si="178"/>
        <v>0</v>
      </c>
    </row>
    <row r="537" spans="4:28" x14ac:dyDescent="0.25">
      <c r="D537" t="s">
        <v>94</v>
      </c>
      <c r="E537" s="64"/>
      <c r="F537" s="64"/>
      <c r="G537">
        <f>IFERROR(HLOOKUP(G$2,[18]table_male_hkom2_inj.V4!$A$1:$K$36,26,FALSE),0)</f>
        <v>0</v>
      </c>
      <c r="H537">
        <f>IFERROR(HLOOKUP(H$2,[18]table_male_hkom2_inj.V4!$A$1:$K$36,26,FALSE),0)</f>
        <v>0</v>
      </c>
      <c r="I537">
        <f>IFERROR(HLOOKUP(I$2,[18]table_male_hkom2_inj.V4!$A$1:$K$36,26,FALSE),0)</f>
        <v>0</v>
      </c>
      <c r="J537">
        <f>IFERROR(HLOOKUP(J$2,[18]table_male_hkom2_inj.V4!$A$1:$K$36,26,FALSE),0)</f>
        <v>0</v>
      </c>
      <c r="K537">
        <f>IFERROR(HLOOKUP(K$2,[18]table_male_hkom2_inj.V4!$A$1:$K$36,26,FALSE),0)</f>
        <v>0</v>
      </c>
      <c r="L537">
        <f>IFERROR(HLOOKUP(L$2,[18]table_male_hkom2_inj.V4!$A$1:$K$36,26,FALSE),0)</f>
        <v>0</v>
      </c>
      <c r="M537">
        <f t="shared" si="169"/>
        <v>0</v>
      </c>
      <c r="S537" t="s">
        <v>94</v>
      </c>
      <c r="T537" s="5">
        <f t="shared" si="170"/>
        <v>0</v>
      </c>
      <c r="U537" s="5">
        <f t="shared" si="171"/>
        <v>0</v>
      </c>
      <c r="V537" s="5">
        <f t="shared" si="172"/>
        <v>0</v>
      </c>
      <c r="W537" s="5">
        <f t="shared" si="173"/>
        <v>0</v>
      </c>
      <c r="X537" s="5">
        <f t="shared" si="174"/>
        <v>0</v>
      </c>
      <c r="Y537" s="5">
        <f t="shared" si="175"/>
        <v>0</v>
      </c>
      <c r="Z537" s="5">
        <f t="shared" si="176"/>
        <v>0</v>
      </c>
      <c r="AA537" s="5">
        <f t="shared" si="177"/>
        <v>0</v>
      </c>
      <c r="AB537" s="5">
        <f t="shared" si="178"/>
        <v>0</v>
      </c>
    </row>
    <row r="538" spans="4:28" x14ac:dyDescent="0.25">
      <c r="D538" t="s">
        <v>95</v>
      </c>
      <c r="E538" s="64"/>
      <c r="F538" s="64"/>
      <c r="G538">
        <f>IFERROR(HLOOKUP(G$2,[18]table_male_hkom2_inj.V4!$A$1:$K$36,27,FALSE),0)</f>
        <v>0</v>
      </c>
      <c r="H538">
        <f>IFERROR(HLOOKUP(H$2,[18]table_male_hkom2_inj.V4!$A$1:$K$36,27,FALSE),0)</f>
        <v>0</v>
      </c>
      <c r="I538">
        <f>IFERROR(HLOOKUP(I$2,[18]table_male_hkom2_inj.V4!$A$1:$K$36,27,FALSE),0)</f>
        <v>0</v>
      </c>
      <c r="J538">
        <f>IFERROR(HLOOKUP(J$2,[18]table_male_hkom2_inj.V4!$A$1:$K$36,27,FALSE),0)</f>
        <v>0</v>
      </c>
      <c r="K538">
        <f>IFERROR(HLOOKUP(K$2,[18]table_male_hkom2_inj.V4!$A$1:$K$36,27,FALSE),0)</f>
        <v>0</v>
      </c>
      <c r="L538">
        <f>IFERROR(HLOOKUP(L$2,[18]table_male_hkom2_inj.V4!$A$1:$K$36,27,FALSE),0)</f>
        <v>0</v>
      </c>
      <c r="M538">
        <f t="shared" si="169"/>
        <v>0</v>
      </c>
      <c r="S538" t="s">
        <v>95</v>
      </c>
      <c r="T538" s="5">
        <f t="shared" si="170"/>
        <v>0</v>
      </c>
      <c r="U538" s="5">
        <f t="shared" si="171"/>
        <v>0</v>
      </c>
      <c r="V538" s="5">
        <f t="shared" si="172"/>
        <v>0</v>
      </c>
      <c r="W538" s="5">
        <f t="shared" si="173"/>
        <v>0</v>
      </c>
      <c r="X538" s="5">
        <f t="shared" si="174"/>
        <v>0</v>
      </c>
      <c r="Y538" s="5">
        <f t="shared" si="175"/>
        <v>0</v>
      </c>
      <c r="Z538" s="5">
        <f t="shared" si="176"/>
        <v>0</v>
      </c>
      <c r="AA538" s="5">
        <f t="shared" si="177"/>
        <v>0</v>
      </c>
      <c r="AB538" s="5">
        <f t="shared" si="178"/>
        <v>0</v>
      </c>
    </row>
    <row r="539" spans="4:28" x14ac:dyDescent="0.25">
      <c r="D539" t="s">
        <v>96</v>
      </c>
      <c r="E539" s="64"/>
      <c r="F539" s="64"/>
      <c r="G539">
        <f>IFERROR(HLOOKUP(G$2,[18]table_male_hkom2_inj.V4!$A$1:$K$36,28,FALSE),0)</f>
        <v>0</v>
      </c>
      <c r="H539">
        <f>IFERROR(HLOOKUP(H$2,[18]table_male_hkom2_inj.V4!$A$1:$K$36,28,FALSE),0)</f>
        <v>0</v>
      </c>
      <c r="I539">
        <f>IFERROR(HLOOKUP(I$2,[18]table_male_hkom2_inj.V4!$A$1:$K$36,28,FALSE),0)</f>
        <v>0</v>
      </c>
      <c r="J539">
        <f>IFERROR(HLOOKUP(J$2,[18]table_male_hkom2_inj.V4!$A$1:$K$36,28,FALSE),0)</f>
        <v>0</v>
      </c>
      <c r="K539">
        <f>IFERROR(HLOOKUP(K$2,[18]table_male_hkom2_inj.V4!$A$1:$K$36,28,FALSE),0)</f>
        <v>0</v>
      </c>
      <c r="L539">
        <f>IFERROR(HLOOKUP(L$2,[18]table_male_hkom2_inj.V4!$A$1:$K$36,28,FALSE),0)</f>
        <v>0</v>
      </c>
      <c r="M539">
        <f t="shared" si="169"/>
        <v>0</v>
      </c>
      <c r="S539" t="s">
        <v>96</v>
      </c>
      <c r="T539" s="5">
        <f t="shared" si="170"/>
        <v>0</v>
      </c>
      <c r="U539" s="5">
        <f t="shared" si="171"/>
        <v>0</v>
      </c>
      <c r="V539" s="5">
        <f t="shared" si="172"/>
        <v>0</v>
      </c>
      <c r="W539" s="5">
        <f t="shared" si="173"/>
        <v>0</v>
      </c>
      <c r="X539" s="5">
        <f t="shared" si="174"/>
        <v>0</v>
      </c>
      <c r="Y539" s="5">
        <f t="shared" si="175"/>
        <v>0</v>
      </c>
      <c r="Z539" s="5">
        <f t="shared" si="176"/>
        <v>0</v>
      </c>
      <c r="AA539" s="5">
        <f t="shared" si="177"/>
        <v>0</v>
      </c>
      <c r="AB539" s="5">
        <f t="shared" si="178"/>
        <v>0</v>
      </c>
    </row>
    <row r="540" spans="4:28" x14ac:dyDescent="0.25">
      <c r="D540" t="s">
        <v>97</v>
      </c>
      <c r="E540" s="64"/>
      <c r="F540" s="64"/>
      <c r="G540">
        <f>IFERROR(HLOOKUP(G$2,[18]table_male_hkom2_inj.V4!$A$1:$K$36,29,FALSE),0)</f>
        <v>0</v>
      </c>
      <c r="H540">
        <f>IFERROR(HLOOKUP(H$2,[18]table_male_hkom2_inj.V4!$A$1:$K$36,29,FALSE),0)</f>
        <v>0</v>
      </c>
      <c r="I540">
        <f>IFERROR(HLOOKUP(I$2,[18]table_male_hkom2_inj.V4!$A$1:$K$36,29,FALSE),0)</f>
        <v>0</v>
      </c>
      <c r="J540">
        <f>IFERROR(HLOOKUP(J$2,[18]table_male_hkom2_inj.V4!$A$1:$K$36,29,FALSE),0)</f>
        <v>0</v>
      </c>
      <c r="K540">
        <f>IFERROR(HLOOKUP(K$2,[18]table_male_hkom2_inj.V4!$A$1:$K$36,29,FALSE),0)</f>
        <v>0</v>
      </c>
      <c r="L540">
        <f>IFERROR(HLOOKUP(L$2,[18]table_male_hkom2_inj.V4!$A$1:$K$36,29,FALSE),0)</f>
        <v>0</v>
      </c>
      <c r="M540">
        <f t="shared" si="169"/>
        <v>0</v>
      </c>
      <c r="S540" t="s">
        <v>97</v>
      </c>
      <c r="T540" s="5">
        <f t="shared" si="170"/>
        <v>0</v>
      </c>
      <c r="U540" s="5">
        <f t="shared" si="171"/>
        <v>0</v>
      </c>
      <c r="V540" s="5">
        <f t="shared" si="172"/>
        <v>0</v>
      </c>
      <c r="W540" s="5">
        <f t="shared" si="173"/>
        <v>0</v>
      </c>
      <c r="X540" s="5">
        <f t="shared" si="174"/>
        <v>0</v>
      </c>
      <c r="Y540" s="5">
        <f t="shared" si="175"/>
        <v>0</v>
      </c>
      <c r="Z540" s="5">
        <f t="shared" si="176"/>
        <v>0</v>
      </c>
      <c r="AA540" s="5">
        <f t="shared" si="177"/>
        <v>0</v>
      </c>
      <c r="AB540" s="5">
        <f t="shared" si="178"/>
        <v>0</v>
      </c>
    </row>
    <row r="541" spans="4:28" x14ac:dyDescent="0.25">
      <c r="D541" t="s">
        <v>98</v>
      </c>
      <c r="E541" s="64"/>
      <c r="F541" s="64"/>
      <c r="G541">
        <f>IFERROR(HLOOKUP(G$2,[18]table_male_hkom2_inj.V4!$A$1:$K$36,30,FALSE),0)</f>
        <v>0</v>
      </c>
      <c r="H541">
        <f>IFERROR(HLOOKUP(H$2,[18]table_male_hkom2_inj.V4!$A$1:$K$36,30,FALSE),0)</f>
        <v>0</v>
      </c>
      <c r="I541">
        <f>IFERROR(HLOOKUP(I$2,[18]table_male_hkom2_inj.V4!$A$1:$K$36,30,FALSE),0)</f>
        <v>0</v>
      </c>
      <c r="J541">
        <f>IFERROR(HLOOKUP(J$2,[18]table_male_hkom2_inj.V4!$A$1:$K$36,30,FALSE),0)</f>
        <v>0</v>
      </c>
      <c r="K541">
        <f>IFERROR(HLOOKUP(K$2,[18]table_male_hkom2_inj.V4!$A$1:$K$36,30,FALSE),0)</f>
        <v>0</v>
      </c>
      <c r="L541">
        <f>IFERROR(HLOOKUP(L$2,[18]table_male_hkom2_inj.V4!$A$1:$K$36,30,FALSE),0)</f>
        <v>0</v>
      </c>
      <c r="M541">
        <f t="shared" si="169"/>
        <v>0</v>
      </c>
      <c r="S541" t="s">
        <v>98</v>
      </c>
      <c r="T541" s="5">
        <f t="shared" si="170"/>
        <v>0</v>
      </c>
      <c r="U541" s="5">
        <f t="shared" si="171"/>
        <v>0</v>
      </c>
      <c r="V541" s="5">
        <f t="shared" si="172"/>
        <v>0</v>
      </c>
      <c r="W541" s="5">
        <f t="shared" si="173"/>
        <v>0</v>
      </c>
      <c r="X541" s="5">
        <f t="shared" si="174"/>
        <v>0</v>
      </c>
      <c r="Y541" s="5">
        <f t="shared" si="175"/>
        <v>0</v>
      </c>
      <c r="Z541" s="5">
        <f t="shared" si="176"/>
        <v>0</v>
      </c>
      <c r="AA541" s="5">
        <f t="shared" si="177"/>
        <v>0</v>
      </c>
      <c r="AB541" s="5">
        <f t="shared" si="178"/>
        <v>0</v>
      </c>
    </row>
    <row r="542" spans="4:28" x14ac:dyDescent="0.25">
      <c r="D542" t="s">
        <v>119</v>
      </c>
      <c r="E542" s="64"/>
      <c r="F542" s="64"/>
      <c r="G542">
        <f>IFERROR(HLOOKUP(G$2,[18]table_male_hkom2_inj.V4!$A$1:$K$36,31,FALSE),0)</f>
        <v>0</v>
      </c>
      <c r="H542">
        <f>IFERROR(HLOOKUP(H$2,[18]table_male_hkom2_inj.V4!$A$1:$K$36,31,FALSE),0)</f>
        <v>0</v>
      </c>
      <c r="I542">
        <f>IFERROR(HLOOKUP(I$2,[18]table_male_hkom2_inj.V4!$A$1:$K$36,31,FALSE),0)</f>
        <v>0</v>
      </c>
      <c r="J542">
        <f>IFERROR(HLOOKUP(J$2,[18]table_male_hkom2_inj.V4!$A$1:$K$36,31,FALSE),0)</f>
        <v>0</v>
      </c>
      <c r="K542">
        <f>IFERROR(HLOOKUP(K$2,[18]table_male_hkom2_inj.V4!$A$1:$K$36,31,FALSE),0)</f>
        <v>0</v>
      </c>
      <c r="L542">
        <f>IFERROR(HLOOKUP(L$2,[18]table_male_hkom2_inj.V4!$A$1:$K$36,31,FALSE),0)</f>
        <v>0</v>
      </c>
      <c r="M542">
        <f t="shared" si="169"/>
        <v>0</v>
      </c>
      <c r="S542" t="s">
        <v>119</v>
      </c>
      <c r="T542" s="5">
        <f t="shared" si="170"/>
        <v>0</v>
      </c>
      <c r="U542" s="5">
        <f t="shared" si="171"/>
        <v>0</v>
      </c>
      <c r="V542" s="5">
        <f t="shared" si="172"/>
        <v>0</v>
      </c>
      <c r="W542" s="5">
        <f t="shared" si="173"/>
        <v>0</v>
      </c>
      <c r="X542" s="5">
        <f t="shared" si="174"/>
        <v>0</v>
      </c>
      <c r="Y542" s="5">
        <f t="shared" si="175"/>
        <v>0</v>
      </c>
      <c r="Z542" s="5">
        <f t="shared" si="176"/>
        <v>0</v>
      </c>
      <c r="AA542" s="5">
        <f t="shared" si="177"/>
        <v>0</v>
      </c>
      <c r="AB542" s="5">
        <f t="shared" si="178"/>
        <v>0</v>
      </c>
    </row>
    <row r="543" spans="4:28" x14ac:dyDescent="0.25">
      <c r="D543" t="s">
        <v>99</v>
      </c>
      <c r="E543" s="64"/>
      <c r="F543" s="64"/>
      <c r="G543">
        <f>IFERROR(HLOOKUP(G$2,[18]table_male_hkom2_inj.V4!$A$1:$K$36,32,FALSE),0)</f>
        <v>0</v>
      </c>
      <c r="H543">
        <f>IFERROR(HLOOKUP(H$2,[18]table_male_hkom2_inj.V4!$A$1:$K$36,32,FALSE),0)</f>
        <v>0</v>
      </c>
      <c r="I543">
        <f>IFERROR(HLOOKUP(I$2,[18]table_male_hkom2_inj.V4!$A$1:$K$36,32,FALSE),0)</f>
        <v>0</v>
      </c>
      <c r="J543">
        <f>IFERROR(HLOOKUP(J$2,[18]table_male_hkom2_inj.V4!$A$1:$K$36,32,FALSE),0)</f>
        <v>0</v>
      </c>
      <c r="K543">
        <f>IFERROR(HLOOKUP(K$2,[18]table_male_hkom2_inj.V4!$A$1:$K$36,32,FALSE),0)</f>
        <v>0</v>
      </c>
      <c r="L543">
        <f>IFERROR(HLOOKUP(L$2,[18]table_male_hkom2_inj.V4!$A$1:$K$36,32,FALSE),0)</f>
        <v>0</v>
      </c>
      <c r="M543">
        <f t="shared" si="169"/>
        <v>0</v>
      </c>
      <c r="S543" t="s">
        <v>99</v>
      </c>
      <c r="T543" s="5">
        <f t="shared" si="170"/>
        <v>0</v>
      </c>
      <c r="U543" s="5">
        <f t="shared" si="171"/>
        <v>0</v>
      </c>
      <c r="V543" s="5">
        <f t="shared" si="172"/>
        <v>0</v>
      </c>
      <c r="W543" s="5">
        <f t="shared" si="173"/>
        <v>0</v>
      </c>
      <c r="X543" s="5">
        <f t="shared" si="174"/>
        <v>0</v>
      </c>
      <c r="Y543" s="5">
        <f t="shared" si="175"/>
        <v>0</v>
      </c>
      <c r="Z543" s="5">
        <f t="shared" si="176"/>
        <v>0</v>
      </c>
      <c r="AA543" s="5">
        <f t="shared" si="177"/>
        <v>0</v>
      </c>
      <c r="AB543" s="5">
        <f t="shared" si="178"/>
        <v>0</v>
      </c>
    </row>
    <row r="544" spans="4:28" x14ac:dyDescent="0.25">
      <c r="D544" t="s">
        <v>100</v>
      </c>
      <c r="E544" s="64"/>
      <c r="F544" s="64"/>
      <c r="G544">
        <f>IFERROR(HLOOKUP(G$2,[18]table_male_hkom2_inj.V4!$A$1:$K$36,33,FALSE),0)</f>
        <v>0</v>
      </c>
      <c r="H544">
        <f>IFERROR(HLOOKUP(H$2,[18]table_male_hkom2_inj.V4!$A$1:$K$36,33,FALSE),0)</f>
        <v>0</v>
      </c>
      <c r="I544">
        <f>IFERROR(HLOOKUP(I$2,[18]table_male_hkom2_inj.V4!$A$1:$K$36,33,FALSE),0)</f>
        <v>0</v>
      </c>
      <c r="J544">
        <f>IFERROR(HLOOKUP(J$2,[18]table_male_hkom2_inj.V4!$A$1:$K$36,33,FALSE),0)</f>
        <v>0</v>
      </c>
      <c r="K544">
        <f>IFERROR(HLOOKUP(K$2,[18]table_male_hkom2_inj.V4!$A$1:$K$36,33,FALSE),0)</f>
        <v>0</v>
      </c>
      <c r="L544">
        <f>IFERROR(HLOOKUP(L$2,[18]table_male_hkom2_inj.V4!$A$1:$K$36,33,FALSE),0)</f>
        <v>0</v>
      </c>
      <c r="M544">
        <f t="shared" si="169"/>
        <v>0</v>
      </c>
      <c r="S544" t="s">
        <v>100</v>
      </c>
      <c r="T544" s="5">
        <f t="shared" si="170"/>
        <v>0</v>
      </c>
      <c r="U544" s="5">
        <f t="shared" si="171"/>
        <v>0</v>
      </c>
      <c r="V544" s="5">
        <f t="shared" si="172"/>
        <v>0</v>
      </c>
      <c r="W544" s="5">
        <f t="shared" si="173"/>
        <v>0</v>
      </c>
      <c r="X544" s="5">
        <f t="shared" si="174"/>
        <v>0</v>
      </c>
      <c r="Y544" s="5">
        <f t="shared" si="175"/>
        <v>0</v>
      </c>
      <c r="Z544" s="5">
        <f t="shared" si="176"/>
        <v>0</v>
      </c>
      <c r="AA544" s="5">
        <f t="shared" si="177"/>
        <v>0</v>
      </c>
      <c r="AB544" s="5">
        <f t="shared" si="178"/>
        <v>0</v>
      </c>
    </row>
    <row r="545" spans="1:29" x14ac:dyDescent="0.25">
      <c r="D545" t="s">
        <v>101</v>
      </c>
      <c r="E545" s="64"/>
      <c r="F545" s="64"/>
      <c r="G545">
        <f>IFERROR(HLOOKUP(G$2,[18]table_male_hkom2_inj.V4!$A$1:$K$36,34,FALSE),0)</f>
        <v>0</v>
      </c>
      <c r="H545">
        <f>IFERROR(HLOOKUP(H$2,[18]table_male_hkom2_inj.V4!$A$1:$K$36,34,FALSE),0)</f>
        <v>0</v>
      </c>
      <c r="I545">
        <f>IFERROR(HLOOKUP(I$2,[18]table_male_hkom2_inj.V4!$A$1:$K$36,34,FALSE),0)</f>
        <v>0</v>
      </c>
      <c r="J545">
        <f>IFERROR(HLOOKUP(J$2,[18]table_male_hkom2_inj.V4!$A$1:$K$36,34,FALSE),0)</f>
        <v>0</v>
      </c>
      <c r="K545">
        <f>IFERROR(HLOOKUP(K$2,[18]table_male_hkom2_inj.V4!$A$1:$K$36,34,FALSE),0)</f>
        <v>0</v>
      </c>
      <c r="L545">
        <f>IFERROR(HLOOKUP(L$2,[18]table_male_hkom2_inj.V4!$A$1:$K$36,34,FALSE),0)</f>
        <v>0</v>
      </c>
      <c r="M545">
        <f t="shared" si="169"/>
        <v>0</v>
      </c>
      <c r="S545" t="s">
        <v>101</v>
      </c>
      <c r="T545" s="5">
        <f t="shared" si="170"/>
        <v>0</v>
      </c>
      <c r="U545" s="5">
        <f t="shared" si="171"/>
        <v>0</v>
      </c>
      <c r="V545" s="5">
        <f t="shared" si="172"/>
        <v>0</v>
      </c>
      <c r="W545" s="5">
        <f t="shared" si="173"/>
        <v>0</v>
      </c>
      <c r="X545" s="5">
        <f t="shared" si="174"/>
        <v>0</v>
      </c>
      <c r="Y545" s="5">
        <f t="shared" si="175"/>
        <v>0</v>
      </c>
      <c r="Z545" s="5">
        <f t="shared" si="176"/>
        <v>0</v>
      </c>
      <c r="AA545" s="5">
        <f t="shared" si="177"/>
        <v>0</v>
      </c>
      <c r="AB545" s="5">
        <f t="shared" si="178"/>
        <v>0</v>
      </c>
    </row>
    <row r="546" spans="1:29" x14ac:dyDescent="0.25">
      <c r="D546" t="s">
        <v>102</v>
      </c>
      <c r="E546" s="64"/>
      <c r="F546" s="64"/>
      <c r="G546">
        <f>IFERROR(HLOOKUP(G$2,[18]table_male_hkom2_inj.V4!$A$1:$K$36,35,FALSE),0)</f>
        <v>0</v>
      </c>
      <c r="H546">
        <f>IFERROR(HLOOKUP(H$2,[18]table_male_hkom2_inj.V4!$A$1:$K$36,35,FALSE),0)</f>
        <v>0</v>
      </c>
      <c r="I546">
        <f>IFERROR(HLOOKUP(I$2,[18]table_male_hkom2_inj.V4!$A$1:$K$36,35,FALSE),0)</f>
        <v>0</v>
      </c>
      <c r="J546">
        <f>IFERROR(HLOOKUP(J$2,[18]table_male_hkom2_inj.V4!$A$1:$K$36,35,FALSE),0)</f>
        <v>0</v>
      </c>
      <c r="K546">
        <f>IFERROR(HLOOKUP(K$2,[18]table_male_hkom2_inj.V4!$A$1:$K$36,35,FALSE),0)</f>
        <v>0</v>
      </c>
      <c r="L546">
        <f>IFERROR(HLOOKUP(L$2,[18]table_male_hkom2_inj.V4!$A$1:$K$36,35,FALSE),0)</f>
        <v>0</v>
      </c>
      <c r="M546">
        <f t="shared" si="169"/>
        <v>0</v>
      </c>
      <c r="N546">
        <f>SUM(M513:M546)</f>
        <v>1</v>
      </c>
      <c r="O546" s="8">
        <f>SUM([18]table_male_hkom2_inj.V4!$B$2:$L$36)</f>
        <v>1</v>
      </c>
      <c r="S546" t="s">
        <v>102</v>
      </c>
      <c r="T546" s="7"/>
      <c r="U546" s="7"/>
      <c r="V546" s="7"/>
      <c r="W546" s="7"/>
      <c r="X546" s="7"/>
      <c r="Y546" s="7"/>
      <c r="Z546" s="7"/>
      <c r="AA546" s="7"/>
      <c r="AB546" s="5">
        <f t="shared" si="178"/>
        <v>0</v>
      </c>
      <c r="AC546" s="5">
        <f>SUM(AB513:AB545)</f>
        <v>1</v>
      </c>
    </row>
    <row r="547" spans="1:29" x14ac:dyDescent="0.25">
      <c r="A547" t="s">
        <v>104</v>
      </c>
      <c r="B547" t="s">
        <v>116</v>
      </c>
      <c r="C547" t="s">
        <v>109</v>
      </c>
      <c r="D547" t="s">
        <v>70</v>
      </c>
      <c r="E547" s="64"/>
      <c r="F547" s="64"/>
      <c r="G547">
        <f>IFERROR(HLOOKUP(G$2,[19]table_male_hkom2_inj.U1!$A$1:$K$36,2,FALSE),0)</f>
        <v>22</v>
      </c>
      <c r="H547">
        <f>IFERROR(HLOOKUP(H$2,[19]table_male_hkom2_inj.U1!$A$1:$K$36,2,FALSE),0)</f>
        <v>22</v>
      </c>
      <c r="I547">
        <f>IFERROR(HLOOKUP(I$2,[19]table_male_hkom2_inj.U1!$A$1:$K$36,2,FALSE),0)</f>
        <v>9</v>
      </c>
      <c r="J547">
        <f>IFERROR(HLOOKUP(J$2,[19]table_male_hkom2_inj.U1!$A$1:$K$36,2,FALSE),0)</f>
        <v>0</v>
      </c>
      <c r="K547">
        <f>IFERROR(HLOOKUP(K$2,[19]table_male_hkom2_inj.U1!$A$1:$K$36,2,FALSE),0)</f>
        <v>0</v>
      </c>
      <c r="L547">
        <f>IFERROR(HLOOKUP(L$2,[19]table_male_hkom2_inj.U1!$A$1:$K$36,2,FALSE),0)</f>
        <v>0</v>
      </c>
      <c r="M547">
        <f>SUM(E547:L547)</f>
        <v>53</v>
      </c>
      <c r="P547" t="s">
        <v>104</v>
      </c>
      <c r="Q547" t="s">
        <v>116</v>
      </c>
      <c r="R547" t="s">
        <v>109</v>
      </c>
      <c r="S547" t="s">
        <v>70</v>
      </c>
      <c r="T547" s="5">
        <f>IF(SUM(E$547:E$579)=0,E$580/33,E547+IFERROR(E547/SUM(E$547:E$579)*E$580,0))</f>
        <v>0</v>
      </c>
      <c r="U547" s="5">
        <f t="shared" ref="U547:AA547" si="179">IF(SUM(F$547:F$579)=0,F$580/33,F547+IFERROR(F547/SUM(F$547:F$579)*F$580,0))</f>
        <v>0</v>
      </c>
      <c r="V547" s="5">
        <f t="shared" si="179"/>
        <v>22.934114202049781</v>
      </c>
      <c r="W547" s="5">
        <f t="shared" si="179"/>
        <v>22.804177545691907</v>
      </c>
      <c r="X547" s="5">
        <f t="shared" si="179"/>
        <v>9.3727810650887573</v>
      </c>
      <c r="Y547" s="5">
        <f t="shared" si="179"/>
        <v>0</v>
      </c>
      <c r="Z547" s="5">
        <f t="shared" si="179"/>
        <v>0</v>
      </c>
      <c r="AA547" s="5">
        <f t="shared" si="179"/>
        <v>0</v>
      </c>
      <c r="AB547" s="5">
        <f t="shared" si="178"/>
        <v>55.111072812830443</v>
      </c>
    </row>
    <row r="548" spans="1:29" x14ac:dyDescent="0.25">
      <c r="D548" t="s">
        <v>71</v>
      </c>
      <c r="E548" s="64"/>
      <c r="F548" s="64"/>
      <c r="G548">
        <f>IFERROR(HLOOKUP(G$2,[19]table_male_hkom2_inj.U1!$A$1:$K$36,3,FALSE),0)</f>
        <v>105</v>
      </c>
      <c r="H548">
        <f>IFERROR(HLOOKUP(H$2,[19]table_male_hkom2_inj.U1!$A$1:$K$36,3,FALSE),0)</f>
        <v>81</v>
      </c>
      <c r="I548">
        <f>IFERROR(HLOOKUP(I$2,[19]table_male_hkom2_inj.U1!$A$1:$K$36,3,FALSE),0)</f>
        <v>12</v>
      </c>
      <c r="J548">
        <f>IFERROR(HLOOKUP(J$2,[19]table_male_hkom2_inj.U1!$A$1:$K$36,3,FALSE),0)</f>
        <v>2</v>
      </c>
      <c r="K548">
        <f>IFERROR(HLOOKUP(K$2,[19]table_male_hkom2_inj.U1!$A$1:$K$36,3,FALSE),0)</f>
        <v>1</v>
      </c>
      <c r="L548">
        <f>IFERROR(HLOOKUP(L$2,[19]table_male_hkom2_inj.U1!$A$1:$K$36,3,FALSE),0)</f>
        <v>0</v>
      </c>
      <c r="M548">
        <f t="shared" ref="M548:M580" si="180">SUM(E548:L548)</f>
        <v>201</v>
      </c>
      <c r="S548" t="s">
        <v>71</v>
      </c>
      <c r="T548" s="5">
        <f t="shared" ref="T548:T579" si="181">IF(SUM(E$547:E$579)=0,E$580/33,E548+IFERROR(E548/SUM(E$547:E$579)*E$580,0))</f>
        <v>0</v>
      </c>
      <c r="U548" s="5">
        <f t="shared" ref="U548:U579" si="182">IF(SUM(F$547:F$579)=0,F$580/33,F548+IFERROR(F548/SUM(F$547:F$579)*F$580,0))</f>
        <v>0</v>
      </c>
      <c r="V548" s="5">
        <f t="shared" ref="V548:V579" si="183">IF(SUM(G$547:G$579)=0,G$580/33,G548+IFERROR(G548/SUM(G$547:G$579)*G$580,0))</f>
        <v>109.45827232796486</v>
      </c>
      <c r="W548" s="5">
        <f t="shared" ref="W548:W579" si="184">IF(SUM(H$547:H$579)=0,H$580/33,H548+IFERROR(H548/SUM(H$547:H$579)*H$580,0))</f>
        <v>83.960835509138377</v>
      </c>
      <c r="X548" s="5">
        <f t="shared" ref="X548:X579" si="185">IF(SUM(I$547:I$579)=0,I$580/33,I548+IFERROR(I548/SUM(I$547:I$579)*I$580,0))</f>
        <v>12.497041420118343</v>
      </c>
      <c r="Y548" s="5">
        <f t="shared" ref="Y548:Y579" si="186">IF(SUM(J$547:J$579)=0,J$580/33,J548+IFERROR(J548/SUM(J$547:J$579)*J$580,0))</f>
        <v>2.0499999999999998</v>
      </c>
      <c r="Z548" s="5">
        <f t="shared" ref="Z548:Z579" si="187">IF(SUM(K$547:K$579)=0,K$580/33,K548+IFERROR(K548/SUM(K$547:K$579)*K$580,0))</f>
        <v>1</v>
      </c>
      <c r="AA548" s="5">
        <f t="shared" ref="AA548:AA579" si="188">IF(SUM(L$547:L$579)=0,L$580/33,L548+IFERROR(L548/SUM(L$547:L$579)*L$580,0))</f>
        <v>0</v>
      </c>
      <c r="AB548" s="5">
        <f t="shared" si="178"/>
        <v>208.96614925722159</v>
      </c>
    </row>
    <row r="549" spans="1:29" x14ac:dyDescent="0.25">
      <c r="D549" t="s">
        <v>72</v>
      </c>
      <c r="E549" s="64"/>
      <c r="F549" s="64"/>
      <c r="G549">
        <f>IFERROR(HLOOKUP(G$2,[19]table_male_hkom2_inj.U1!$A$1:$K$36,4,FALSE),0)</f>
        <v>12</v>
      </c>
      <c r="H549">
        <f>IFERROR(HLOOKUP(H$2,[19]table_male_hkom2_inj.U1!$A$1:$K$36,4,FALSE),0)</f>
        <v>20</v>
      </c>
      <c r="I549">
        <f>IFERROR(HLOOKUP(I$2,[19]table_male_hkom2_inj.U1!$A$1:$K$36,4,FALSE),0)</f>
        <v>8</v>
      </c>
      <c r="J549">
        <f>IFERROR(HLOOKUP(J$2,[19]table_male_hkom2_inj.U1!$A$1:$K$36,4,FALSE),0)</f>
        <v>0</v>
      </c>
      <c r="K549">
        <f>IFERROR(HLOOKUP(K$2,[19]table_male_hkom2_inj.U1!$A$1:$K$36,4,FALSE),0)</f>
        <v>0</v>
      </c>
      <c r="L549">
        <f>IFERROR(HLOOKUP(L$2,[19]table_male_hkom2_inj.U1!$A$1:$K$36,4,FALSE),0)</f>
        <v>0</v>
      </c>
      <c r="M549">
        <f t="shared" si="180"/>
        <v>40</v>
      </c>
      <c r="S549" t="s">
        <v>72</v>
      </c>
      <c r="T549" s="5">
        <f t="shared" si="181"/>
        <v>0</v>
      </c>
      <c r="U549" s="5">
        <f t="shared" si="182"/>
        <v>0</v>
      </c>
      <c r="V549" s="5">
        <f t="shared" si="183"/>
        <v>12.509516837481698</v>
      </c>
      <c r="W549" s="5">
        <f t="shared" si="184"/>
        <v>20.73107049608355</v>
      </c>
      <c r="X549" s="5">
        <f t="shared" si="185"/>
        <v>8.331360946745562</v>
      </c>
      <c r="Y549" s="5">
        <f t="shared" si="186"/>
        <v>0</v>
      </c>
      <c r="Z549" s="5">
        <f t="shared" si="187"/>
        <v>0</v>
      </c>
      <c r="AA549" s="5">
        <f t="shared" si="188"/>
        <v>0</v>
      </c>
      <c r="AB549" s="5">
        <f t="shared" si="178"/>
        <v>41.571948280310806</v>
      </c>
    </row>
    <row r="550" spans="1:29" x14ac:dyDescent="0.25">
      <c r="D550" t="s">
        <v>73</v>
      </c>
      <c r="E550" s="64"/>
      <c r="F550" s="64"/>
      <c r="G550">
        <f>IFERROR(HLOOKUP(G$2,[19]table_male_hkom2_inj.U1!$A$1:$K$36,5,FALSE),0)</f>
        <v>0</v>
      </c>
      <c r="H550">
        <f>IFERROR(HLOOKUP(H$2,[19]table_male_hkom2_inj.U1!$A$1:$K$36,5,FALSE),0)</f>
        <v>11</v>
      </c>
      <c r="I550">
        <f>IFERROR(HLOOKUP(I$2,[19]table_male_hkom2_inj.U1!$A$1:$K$36,5,FALSE),0)</f>
        <v>14</v>
      </c>
      <c r="J550">
        <f>IFERROR(HLOOKUP(J$2,[19]table_male_hkom2_inj.U1!$A$1:$K$36,5,FALSE),0)</f>
        <v>1</v>
      </c>
      <c r="K550">
        <f>IFERROR(HLOOKUP(K$2,[19]table_male_hkom2_inj.U1!$A$1:$K$36,5,FALSE),0)</f>
        <v>0</v>
      </c>
      <c r="L550">
        <f>IFERROR(HLOOKUP(L$2,[19]table_male_hkom2_inj.U1!$A$1:$K$36,5,FALSE),0)</f>
        <v>0</v>
      </c>
      <c r="M550">
        <f t="shared" si="180"/>
        <v>26</v>
      </c>
      <c r="S550" t="s">
        <v>73</v>
      </c>
      <c r="T550" s="5">
        <f t="shared" si="181"/>
        <v>0</v>
      </c>
      <c r="U550" s="5">
        <f t="shared" si="182"/>
        <v>0</v>
      </c>
      <c r="V550" s="5">
        <f t="shared" si="183"/>
        <v>0</v>
      </c>
      <c r="W550" s="5">
        <f t="shared" si="184"/>
        <v>11.402088772845953</v>
      </c>
      <c r="X550" s="5">
        <f t="shared" si="185"/>
        <v>14.579881656804734</v>
      </c>
      <c r="Y550" s="5">
        <f t="shared" si="186"/>
        <v>1.0249999999999999</v>
      </c>
      <c r="Z550" s="5">
        <f t="shared" si="187"/>
        <v>0</v>
      </c>
      <c r="AA550" s="5">
        <f t="shared" si="188"/>
        <v>0</v>
      </c>
      <c r="AB550" s="5">
        <f t="shared" si="178"/>
        <v>27.006970429650686</v>
      </c>
    </row>
    <row r="551" spans="1:29" x14ac:dyDescent="0.25">
      <c r="D551" t="s">
        <v>74</v>
      </c>
      <c r="E551" s="64"/>
      <c r="F551" s="64"/>
      <c r="G551">
        <f>IFERROR(HLOOKUP(G$2,[19]table_male_hkom2_inj.U1!$A$1:$K$36,6,FALSE),0)</f>
        <v>15</v>
      </c>
      <c r="H551">
        <f>IFERROR(HLOOKUP(H$2,[19]table_male_hkom2_inj.U1!$A$1:$K$36,6,FALSE),0)</f>
        <v>39</v>
      </c>
      <c r="I551">
        <f>IFERROR(HLOOKUP(I$2,[19]table_male_hkom2_inj.U1!$A$1:$K$36,6,FALSE),0)</f>
        <v>36</v>
      </c>
      <c r="J551">
        <f>IFERROR(HLOOKUP(J$2,[19]table_male_hkom2_inj.U1!$A$1:$K$36,6,FALSE),0)</f>
        <v>10</v>
      </c>
      <c r="K551">
        <f>IFERROR(HLOOKUP(K$2,[19]table_male_hkom2_inj.U1!$A$1:$K$36,6,FALSE),0)</f>
        <v>0</v>
      </c>
      <c r="L551">
        <f>IFERROR(HLOOKUP(L$2,[19]table_male_hkom2_inj.U1!$A$1:$K$36,6,FALSE),0)</f>
        <v>0</v>
      </c>
      <c r="M551">
        <f t="shared" si="180"/>
        <v>100</v>
      </c>
      <c r="S551" t="s">
        <v>74</v>
      </c>
      <c r="T551" s="5">
        <f t="shared" si="181"/>
        <v>0</v>
      </c>
      <c r="U551" s="5">
        <f t="shared" si="182"/>
        <v>0</v>
      </c>
      <c r="V551" s="5">
        <f t="shared" si="183"/>
        <v>15.636896046852122</v>
      </c>
      <c r="W551" s="5">
        <f t="shared" si="184"/>
        <v>40.425587467362924</v>
      </c>
      <c r="X551" s="5">
        <f t="shared" si="185"/>
        <v>37.491124260355029</v>
      </c>
      <c r="Y551" s="5">
        <f t="shared" si="186"/>
        <v>10.25</v>
      </c>
      <c r="Z551" s="5">
        <f t="shared" si="187"/>
        <v>0</v>
      </c>
      <c r="AA551" s="5">
        <f t="shared" si="188"/>
        <v>0</v>
      </c>
      <c r="AB551" s="5">
        <f t="shared" si="178"/>
        <v>103.80360777457008</v>
      </c>
    </row>
    <row r="552" spans="1:29" x14ac:dyDescent="0.25">
      <c r="D552" t="s">
        <v>75</v>
      </c>
      <c r="E552" s="64"/>
      <c r="F552" s="64"/>
      <c r="G552">
        <f>IFERROR(HLOOKUP(G$2,[19]table_male_hkom2_inj.U1!$A$1:$K$36,7,FALSE),0)</f>
        <v>11</v>
      </c>
      <c r="H552">
        <f>IFERROR(HLOOKUP(H$2,[19]table_male_hkom2_inj.U1!$A$1:$K$36,7,FALSE),0)</f>
        <v>8</v>
      </c>
      <c r="I552">
        <f>IFERROR(HLOOKUP(I$2,[19]table_male_hkom2_inj.U1!$A$1:$K$36,7,FALSE),0)</f>
        <v>6</v>
      </c>
      <c r="J552">
        <f>IFERROR(HLOOKUP(J$2,[19]table_male_hkom2_inj.U1!$A$1:$K$36,7,FALSE),0)</f>
        <v>0</v>
      </c>
      <c r="K552">
        <f>IFERROR(HLOOKUP(K$2,[19]table_male_hkom2_inj.U1!$A$1:$K$36,7,FALSE),0)</f>
        <v>0</v>
      </c>
      <c r="L552">
        <f>IFERROR(HLOOKUP(L$2,[19]table_male_hkom2_inj.U1!$A$1:$K$36,7,FALSE),0)</f>
        <v>0</v>
      </c>
      <c r="M552">
        <f t="shared" si="180"/>
        <v>25</v>
      </c>
      <c r="S552" t="s">
        <v>75</v>
      </c>
      <c r="T552" s="5">
        <f t="shared" si="181"/>
        <v>0</v>
      </c>
      <c r="U552" s="5">
        <f t="shared" si="182"/>
        <v>0</v>
      </c>
      <c r="V552" s="5">
        <f t="shared" si="183"/>
        <v>11.46705710102489</v>
      </c>
      <c r="W552" s="5">
        <f t="shared" si="184"/>
        <v>8.2924281984334201</v>
      </c>
      <c r="X552" s="5">
        <f t="shared" si="185"/>
        <v>6.2485207100591715</v>
      </c>
      <c r="Y552" s="5">
        <f t="shared" si="186"/>
        <v>0</v>
      </c>
      <c r="Z552" s="5">
        <f t="shared" si="187"/>
        <v>0</v>
      </c>
      <c r="AA552" s="5">
        <f t="shared" si="188"/>
        <v>0</v>
      </c>
      <c r="AB552" s="5">
        <f t="shared" si="178"/>
        <v>26.008006009517484</v>
      </c>
    </row>
    <row r="553" spans="1:29" x14ac:dyDescent="0.25">
      <c r="D553" t="s">
        <v>76</v>
      </c>
      <c r="E553" s="64"/>
      <c r="F553" s="64"/>
      <c r="G553">
        <f>IFERROR(HLOOKUP(G$2,[19]table_male_hkom2_inj.U1!$A$1:$K$36,8,FALSE),0)</f>
        <v>36</v>
      </c>
      <c r="H553">
        <f>IFERROR(HLOOKUP(H$2,[19]table_male_hkom2_inj.U1!$A$1:$K$36,8,FALSE),0)</f>
        <v>40</v>
      </c>
      <c r="I553">
        <f>IFERROR(HLOOKUP(I$2,[19]table_male_hkom2_inj.U1!$A$1:$K$36,8,FALSE),0)</f>
        <v>27</v>
      </c>
      <c r="J553">
        <f>IFERROR(HLOOKUP(J$2,[19]table_male_hkom2_inj.U1!$A$1:$K$36,8,FALSE),0)</f>
        <v>1</v>
      </c>
      <c r="K553">
        <f>IFERROR(HLOOKUP(K$2,[19]table_male_hkom2_inj.U1!$A$1:$K$36,8,FALSE),0)</f>
        <v>0</v>
      </c>
      <c r="L553">
        <f>IFERROR(HLOOKUP(L$2,[19]table_male_hkom2_inj.U1!$A$1:$K$36,8,FALSE),0)</f>
        <v>0</v>
      </c>
      <c r="M553">
        <f t="shared" si="180"/>
        <v>104</v>
      </c>
      <c r="S553" t="s">
        <v>76</v>
      </c>
      <c r="T553" s="5">
        <f t="shared" si="181"/>
        <v>0</v>
      </c>
      <c r="U553" s="5">
        <f t="shared" si="182"/>
        <v>0</v>
      </c>
      <c r="V553" s="5">
        <f t="shared" si="183"/>
        <v>37.528550512445094</v>
      </c>
      <c r="W553" s="5">
        <f t="shared" si="184"/>
        <v>41.4621409921671</v>
      </c>
      <c r="X553" s="5">
        <f t="shared" si="185"/>
        <v>28.118343195266274</v>
      </c>
      <c r="Y553" s="5">
        <f t="shared" si="186"/>
        <v>1.0249999999999999</v>
      </c>
      <c r="Z553" s="5">
        <f t="shared" si="187"/>
        <v>0</v>
      </c>
      <c r="AA553" s="5">
        <f t="shared" si="188"/>
        <v>0</v>
      </c>
      <c r="AB553" s="5">
        <f t="shared" si="178"/>
        <v>108.13403469987847</v>
      </c>
    </row>
    <row r="554" spans="1:29" x14ac:dyDescent="0.25">
      <c r="D554" t="s">
        <v>77</v>
      </c>
      <c r="E554" s="64"/>
      <c r="F554" s="64"/>
      <c r="G554">
        <f>IFERROR(HLOOKUP(G$2,[19]table_male_hkom2_inj.U1!$A$1:$K$36,9,FALSE),0)</f>
        <v>41</v>
      </c>
      <c r="H554">
        <f>IFERROR(HLOOKUP(H$2,[19]table_male_hkom2_inj.U1!$A$1:$K$36,9,FALSE),0)</f>
        <v>52</v>
      </c>
      <c r="I554">
        <f>IFERROR(HLOOKUP(I$2,[19]table_male_hkom2_inj.U1!$A$1:$K$36,9,FALSE),0)</f>
        <v>21</v>
      </c>
      <c r="J554">
        <f>IFERROR(HLOOKUP(J$2,[19]table_male_hkom2_inj.U1!$A$1:$K$36,9,FALSE),0)</f>
        <v>1</v>
      </c>
      <c r="K554">
        <f>IFERROR(HLOOKUP(K$2,[19]table_male_hkom2_inj.U1!$A$1:$K$36,9,FALSE),0)</f>
        <v>0</v>
      </c>
      <c r="L554">
        <f>IFERROR(HLOOKUP(L$2,[19]table_male_hkom2_inj.U1!$A$1:$K$36,9,FALSE),0)</f>
        <v>0</v>
      </c>
      <c r="M554">
        <f t="shared" si="180"/>
        <v>115</v>
      </c>
      <c r="S554" t="s">
        <v>77</v>
      </c>
      <c r="T554" s="5">
        <f t="shared" si="181"/>
        <v>0</v>
      </c>
      <c r="U554" s="5">
        <f t="shared" si="182"/>
        <v>0</v>
      </c>
      <c r="V554" s="5">
        <f t="shared" si="183"/>
        <v>42.740849194729137</v>
      </c>
      <c r="W554" s="5">
        <f t="shared" si="184"/>
        <v>53.900783289817234</v>
      </c>
      <c r="X554" s="5">
        <f t="shared" si="185"/>
        <v>21.869822485207102</v>
      </c>
      <c r="Y554" s="5">
        <f t="shared" si="186"/>
        <v>1.0249999999999999</v>
      </c>
      <c r="Z554" s="5">
        <f t="shared" si="187"/>
        <v>0</v>
      </c>
      <c r="AA554" s="5">
        <f t="shared" si="188"/>
        <v>0</v>
      </c>
      <c r="AB554" s="5">
        <f t="shared" si="178"/>
        <v>119.53645496975346</v>
      </c>
    </row>
    <row r="555" spans="1:29" x14ac:dyDescent="0.25">
      <c r="D555" t="s">
        <v>78</v>
      </c>
      <c r="E555" s="64"/>
      <c r="F555" s="64"/>
      <c r="G555">
        <f>IFERROR(HLOOKUP(G$2,[19]table_male_hkom2_inj.U1!$A$1:$K$36,10,FALSE),0)</f>
        <v>41</v>
      </c>
      <c r="H555">
        <f>IFERROR(HLOOKUP(H$2,[19]table_male_hkom2_inj.U1!$A$1:$K$36,10,FALSE),0)</f>
        <v>36</v>
      </c>
      <c r="I555">
        <f>IFERROR(HLOOKUP(I$2,[19]table_male_hkom2_inj.U1!$A$1:$K$36,10,FALSE),0)</f>
        <v>16</v>
      </c>
      <c r="J555">
        <f>IFERROR(HLOOKUP(J$2,[19]table_male_hkom2_inj.U1!$A$1:$K$36,10,FALSE),0)</f>
        <v>1</v>
      </c>
      <c r="K555">
        <f>IFERROR(HLOOKUP(K$2,[19]table_male_hkom2_inj.U1!$A$1:$K$36,10,FALSE),0)</f>
        <v>0</v>
      </c>
      <c r="L555">
        <f>IFERROR(HLOOKUP(L$2,[19]table_male_hkom2_inj.U1!$A$1:$K$36,10,FALSE),0)</f>
        <v>0</v>
      </c>
      <c r="M555">
        <f t="shared" si="180"/>
        <v>94</v>
      </c>
      <c r="S555" t="s">
        <v>78</v>
      </c>
      <c r="T555" s="5">
        <f t="shared" si="181"/>
        <v>0</v>
      </c>
      <c r="U555" s="5">
        <f t="shared" si="182"/>
        <v>0</v>
      </c>
      <c r="V555" s="5">
        <f t="shared" si="183"/>
        <v>42.740849194729137</v>
      </c>
      <c r="W555" s="5">
        <f t="shared" si="184"/>
        <v>37.315926892950394</v>
      </c>
      <c r="X555" s="5">
        <f t="shared" si="185"/>
        <v>16.662721893491124</v>
      </c>
      <c r="Y555" s="5">
        <f t="shared" si="186"/>
        <v>1.0249999999999999</v>
      </c>
      <c r="Z555" s="5">
        <f t="shared" si="187"/>
        <v>0</v>
      </c>
      <c r="AA555" s="5">
        <f t="shared" si="188"/>
        <v>0</v>
      </c>
      <c r="AB555" s="5">
        <f t="shared" si="178"/>
        <v>97.744497981170667</v>
      </c>
    </row>
    <row r="556" spans="1:29" x14ac:dyDescent="0.25">
      <c r="D556" t="s">
        <v>79</v>
      </c>
      <c r="E556" s="64"/>
      <c r="F556" s="64"/>
      <c r="G556">
        <f>IFERROR(HLOOKUP(G$2,[19]table_male_hkom2_inj.U1!$A$1:$K$36,11,FALSE),0)</f>
        <v>54</v>
      </c>
      <c r="H556">
        <f>IFERROR(HLOOKUP(H$2,[19]table_male_hkom2_inj.U1!$A$1:$K$36,11,FALSE),0)</f>
        <v>47</v>
      </c>
      <c r="I556">
        <f>IFERROR(HLOOKUP(I$2,[19]table_male_hkom2_inj.U1!$A$1:$K$36,11,FALSE),0)</f>
        <v>14</v>
      </c>
      <c r="J556">
        <f>IFERROR(HLOOKUP(J$2,[19]table_male_hkom2_inj.U1!$A$1:$K$36,11,FALSE),0)</f>
        <v>0</v>
      </c>
      <c r="K556">
        <f>IFERROR(HLOOKUP(K$2,[19]table_male_hkom2_inj.U1!$A$1:$K$36,11,FALSE),0)</f>
        <v>0</v>
      </c>
      <c r="L556">
        <f>IFERROR(HLOOKUP(L$2,[19]table_male_hkom2_inj.U1!$A$1:$K$36,11,FALSE),0)</f>
        <v>0</v>
      </c>
      <c r="M556">
        <f t="shared" si="180"/>
        <v>115</v>
      </c>
      <c r="S556" t="s">
        <v>79</v>
      </c>
      <c r="T556" s="5">
        <f t="shared" si="181"/>
        <v>0</v>
      </c>
      <c r="U556" s="5">
        <f t="shared" si="182"/>
        <v>0</v>
      </c>
      <c r="V556" s="5">
        <f t="shared" si="183"/>
        <v>56.29282576866764</v>
      </c>
      <c r="W556" s="5">
        <f t="shared" si="184"/>
        <v>48.718015665796344</v>
      </c>
      <c r="X556" s="5">
        <f t="shared" si="185"/>
        <v>14.579881656804734</v>
      </c>
      <c r="Y556" s="5">
        <f t="shared" si="186"/>
        <v>0</v>
      </c>
      <c r="Z556" s="5">
        <f t="shared" si="187"/>
        <v>0</v>
      </c>
      <c r="AA556" s="5">
        <f t="shared" si="188"/>
        <v>0</v>
      </c>
      <c r="AB556" s="5">
        <f t="shared" si="178"/>
        <v>119.59072309126871</v>
      </c>
    </row>
    <row r="557" spans="1:29" x14ac:dyDescent="0.25">
      <c r="D557" t="s">
        <v>80</v>
      </c>
      <c r="E557" s="64"/>
      <c r="F557" s="64"/>
      <c r="G557">
        <f>IFERROR(HLOOKUP(G$2,[19]table_male_hkom2_inj.U1!$A$1:$K$36,12,FALSE),0)</f>
        <v>44</v>
      </c>
      <c r="H557">
        <f>IFERROR(HLOOKUP(H$2,[19]table_male_hkom2_inj.U1!$A$1:$K$36,12,FALSE),0)</f>
        <v>82</v>
      </c>
      <c r="I557">
        <f>IFERROR(HLOOKUP(I$2,[19]table_male_hkom2_inj.U1!$A$1:$K$36,12,FALSE),0)</f>
        <v>29</v>
      </c>
      <c r="J557">
        <f>IFERROR(HLOOKUP(J$2,[19]table_male_hkom2_inj.U1!$A$1:$K$36,12,FALSE),0)</f>
        <v>1</v>
      </c>
      <c r="K557">
        <f>IFERROR(HLOOKUP(K$2,[19]table_male_hkom2_inj.U1!$A$1:$K$36,12,FALSE),0)</f>
        <v>0</v>
      </c>
      <c r="L557">
        <f>IFERROR(HLOOKUP(L$2,[19]table_male_hkom2_inj.U1!$A$1:$K$36,12,FALSE),0)</f>
        <v>0</v>
      </c>
      <c r="M557">
        <f t="shared" si="180"/>
        <v>156</v>
      </c>
      <c r="S557" t="s">
        <v>80</v>
      </c>
      <c r="T557" s="5">
        <f t="shared" si="181"/>
        <v>0</v>
      </c>
      <c r="U557" s="5">
        <f t="shared" si="182"/>
        <v>0</v>
      </c>
      <c r="V557" s="5">
        <f t="shared" si="183"/>
        <v>45.868228404099561</v>
      </c>
      <c r="W557" s="5">
        <f t="shared" si="184"/>
        <v>84.997389033942554</v>
      </c>
      <c r="X557" s="5">
        <f t="shared" si="185"/>
        <v>30.201183431952664</v>
      </c>
      <c r="Y557" s="5">
        <f t="shared" si="186"/>
        <v>1.0249999999999999</v>
      </c>
      <c r="Z557" s="5">
        <f t="shared" si="187"/>
        <v>0</v>
      </c>
      <c r="AA557" s="5">
        <f t="shared" si="188"/>
        <v>0</v>
      </c>
      <c r="AB557" s="5">
        <f t="shared" si="178"/>
        <v>162.09180086999478</v>
      </c>
    </row>
    <row r="558" spans="1:29" x14ac:dyDescent="0.25">
      <c r="D558" t="s">
        <v>81</v>
      </c>
      <c r="E558" s="64"/>
      <c r="F558" s="64"/>
      <c r="G558">
        <f>IFERROR(HLOOKUP(G$2,[19]table_male_hkom2_inj.U1!$A$1:$K$36,13,FALSE),0)</f>
        <v>7</v>
      </c>
      <c r="H558">
        <f>IFERROR(HLOOKUP(H$2,[19]table_male_hkom2_inj.U1!$A$1:$K$36,13,FALSE),0)</f>
        <v>11</v>
      </c>
      <c r="I558">
        <f>IFERROR(HLOOKUP(I$2,[19]table_male_hkom2_inj.U1!$A$1:$K$36,13,FALSE),0)</f>
        <v>9</v>
      </c>
      <c r="J558">
        <f>IFERROR(HLOOKUP(J$2,[19]table_male_hkom2_inj.U1!$A$1:$K$36,13,FALSE),0)</f>
        <v>0</v>
      </c>
      <c r="K558">
        <f>IFERROR(HLOOKUP(K$2,[19]table_male_hkom2_inj.U1!$A$1:$K$36,13,FALSE),0)</f>
        <v>0</v>
      </c>
      <c r="L558">
        <f>IFERROR(HLOOKUP(L$2,[19]table_male_hkom2_inj.U1!$A$1:$K$36,13,FALSE),0)</f>
        <v>0</v>
      </c>
      <c r="M558">
        <f t="shared" si="180"/>
        <v>27</v>
      </c>
      <c r="S558" t="s">
        <v>81</v>
      </c>
      <c r="T558" s="5">
        <f t="shared" si="181"/>
        <v>0</v>
      </c>
      <c r="U558" s="5">
        <f t="shared" si="182"/>
        <v>0</v>
      </c>
      <c r="V558" s="5">
        <f t="shared" si="183"/>
        <v>7.2972181551976574</v>
      </c>
      <c r="W558" s="5">
        <f t="shared" si="184"/>
        <v>11.402088772845953</v>
      </c>
      <c r="X558" s="5">
        <f t="shared" si="185"/>
        <v>9.3727810650887573</v>
      </c>
      <c r="Y558" s="5">
        <f t="shared" si="186"/>
        <v>0</v>
      </c>
      <c r="Z558" s="5">
        <f t="shared" si="187"/>
        <v>0</v>
      </c>
      <c r="AA558" s="5">
        <f t="shared" si="188"/>
        <v>0</v>
      </c>
      <c r="AB558" s="5">
        <f t="shared" si="178"/>
        <v>28.072087993132371</v>
      </c>
    </row>
    <row r="559" spans="1:29" x14ac:dyDescent="0.25">
      <c r="D559" t="s">
        <v>82</v>
      </c>
      <c r="E559" s="64"/>
      <c r="F559" s="64"/>
      <c r="G559">
        <f>IFERROR(HLOOKUP(G$2,[19]table_male_hkom2_inj.U1!$A$1:$K$36,14,FALSE),0)</f>
        <v>18</v>
      </c>
      <c r="H559">
        <f>IFERROR(HLOOKUP(H$2,[19]table_male_hkom2_inj.U1!$A$1:$K$36,14,FALSE),0)</f>
        <v>14</v>
      </c>
      <c r="I559">
        <f>IFERROR(HLOOKUP(I$2,[19]table_male_hkom2_inj.U1!$A$1:$K$36,14,FALSE),0)</f>
        <v>11</v>
      </c>
      <c r="J559">
        <f>IFERROR(HLOOKUP(J$2,[19]table_male_hkom2_inj.U1!$A$1:$K$36,14,FALSE),0)</f>
        <v>4</v>
      </c>
      <c r="K559">
        <f>IFERROR(HLOOKUP(K$2,[19]table_male_hkom2_inj.U1!$A$1:$K$36,14,FALSE),0)</f>
        <v>0</v>
      </c>
      <c r="L559">
        <f>IFERROR(HLOOKUP(L$2,[19]table_male_hkom2_inj.U1!$A$1:$K$36,14,FALSE),0)</f>
        <v>0</v>
      </c>
      <c r="M559">
        <f t="shared" si="180"/>
        <v>47</v>
      </c>
      <c r="S559" t="s">
        <v>82</v>
      </c>
      <c r="T559" s="5">
        <f t="shared" si="181"/>
        <v>0</v>
      </c>
      <c r="U559" s="5">
        <f t="shared" si="182"/>
        <v>0</v>
      </c>
      <c r="V559" s="5">
        <f t="shared" si="183"/>
        <v>18.764275256222547</v>
      </c>
      <c r="W559" s="5">
        <f t="shared" si="184"/>
        <v>14.511749347258485</v>
      </c>
      <c r="X559" s="5">
        <f t="shared" si="185"/>
        <v>11.455621301775148</v>
      </c>
      <c r="Y559" s="5">
        <f t="shared" si="186"/>
        <v>4.0999999999999996</v>
      </c>
      <c r="Z559" s="5">
        <f t="shared" si="187"/>
        <v>0</v>
      </c>
      <c r="AA559" s="5">
        <f t="shared" si="188"/>
        <v>0</v>
      </c>
      <c r="AB559" s="5">
        <f t="shared" si="178"/>
        <v>48.831645905256181</v>
      </c>
    </row>
    <row r="560" spans="1:29" x14ac:dyDescent="0.25">
      <c r="D560" t="s">
        <v>83</v>
      </c>
      <c r="E560" s="64"/>
      <c r="F560" s="64"/>
      <c r="G560">
        <f>IFERROR(HLOOKUP(G$2,[19]table_male_hkom2_inj.U1!$A$1:$K$36,15,FALSE),0)</f>
        <v>2</v>
      </c>
      <c r="H560">
        <f>IFERROR(HLOOKUP(H$2,[19]table_male_hkom2_inj.U1!$A$1:$K$36,15,FALSE),0)</f>
        <v>8</v>
      </c>
      <c r="I560">
        <f>IFERROR(HLOOKUP(I$2,[19]table_male_hkom2_inj.U1!$A$1:$K$36,15,FALSE),0)</f>
        <v>4</v>
      </c>
      <c r="J560">
        <f>IFERROR(HLOOKUP(J$2,[19]table_male_hkom2_inj.U1!$A$1:$K$36,15,FALSE),0)</f>
        <v>0</v>
      </c>
      <c r="K560">
        <f>IFERROR(HLOOKUP(K$2,[19]table_male_hkom2_inj.U1!$A$1:$K$36,15,FALSE),0)</f>
        <v>1</v>
      </c>
      <c r="L560">
        <f>IFERROR(HLOOKUP(L$2,[19]table_male_hkom2_inj.U1!$A$1:$K$36,15,FALSE),0)</f>
        <v>0</v>
      </c>
      <c r="M560">
        <f t="shared" si="180"/>
        <v>15</v>
      </c>
      <c r="S560" t="s">
        <v>83</v>
      </c>
      <c r="T560" s="5">
        <f t="shared" si="181"/>
        <v>0</v>
      </c>
      <c r="U560" s="5">
        <f t="shared" si="182"/>
        <v>0</v>
      </c>
      <c r="V560" s="5">
        <f t="shared" si="183"/>
        <v>2.0849194729136165</v>
      </c>
      <c r="W560" s="5">
        <f t="shared" si="184"/>
        <v>8.2924281984334201</v>
      </c>
      <c r="X560" s="5">
        <f t="shared" si="185"/>
        <v>4.165680473372781</v>
      </c>
      <c r="Y560" s="5">
        <f t="shared" si="186"/>
        <v>0</v>
      </c>
      <c r="Z560" s="5">
        <f t="shared" si="187"/>
        <v>1</v>
      </c>
      <c r="AA560" s="5">
        <f t="shared" si="188"/>
        <v>0</v>
      </c>
      <c r="AB560" s="5">
        <f t="shared" si="178"/>
        <v>15.543028144719818</v>
      </c>
    </row>
    <row r="561" spans="4:28" x14ac:dyDescent="0.25">
      <c r="D561" t="s">
        <v>84</v>
      </c>
      <c r="E561" s="64"/>
      <c r="F561" s="64"/>
      <c r="G561">
        <f>IFERROR(HLOOKUP(G$2,[19]table_male_hkom2_inj.U1!$A$1:$K$36,16,FALSE),0)</f>
        <v>5</v>
      </c>
      <c r="H561">
        <f>IFERROR(HLOOKUP(H$2,[19]table_male_hkom2_inj.U1!$A$1:$K$36,16,FALSE),0)</f>
        <v>7</v>
      </c>
      <c r="I561">
        <f>IFERROR(HLOOKUP(I$2,[19]table_male_hkom2_inj.U1!$A$1:$K$36,16,FALSE),0)</f>
        <v>4</v>
      </c>
      <c r="J561">
        <f>IFERROR(HLOOKUP(J$2,[19]table_male_hkom2_inj.U1!$A$1:$K$36,16,FALSE),0)</f>
        <v>1</v>
      </c>
      <c r="K561">
        <f>IFERROR(HLOOKUP(K$2,[19]table_male_hkom2_inj.U1!$A$1:$K$36,16,FALSE),0)</f>
        <v>1</v>
      </c>
      <c r="L561">
        <f>IFERROR(HLOOKUP(L$2,[19]table_male_hkom2_inj.U1!$A$1:$K$36,16,FALSE),0)</f>
        <v>0</v>
      </c>
      <c r="M561">
        <f t="shared" si="180"/>
        <v>18</v>
      </c>
      <c r="S561" t="s">
        <v>84</v>
      </c>
      <c r="T561" s="5">
        <f t="shared" si="181"/>
        <v>0</v>
      </c>
      <c r="U561" s="5">
        <f t="shared" si="182"/>
        <v>0</v>
      </c>
      <c r="V561" s="5">
        <f t="shared" si="183"/>
        <v>5.2122986822840414</v>
      </c>
      <c r="W561" s="5">
        <f t="shared" si="184"/>
        <v>7.2558746736292425</v>
      </c>
      <c r="X561" s="5">
        <f t="shared" si="185"/>
        <v>4.165680473372781</v>
      </c>
      <c r="Y561" s="5">
        <f t="shared" si="186"/>
        <v>1.0249999999999999</v>
      </c>
      <c r="Z561" s="5">
        <f t="shared" si="187"/>
        <v>1</v>
      </c>
      <c r="AA561" s="5">
        <f t="shared" si="188"/>
        <v>0</v>
      </c>
      <c r="AB561" s="5">
        <f t="shared" si="178"/>
        <v>18.658853829286063</v>
      </c>
    </row>
    <row r="562" spans="4:28" x14ac:dyDescent="0.25">
      <c r="D562" t="s">
        <v>85</v>
      </c>
      <c r="E562" s="64"/>
      <c r="F562" s="64"/>
      <c r="G562">
        <f>IFERROR(HLOOKUP(G$2,[19]table_male_hkom2_inj.U1!$A$1:$K$36,17,FALSE),0)</f>
        <v>6</v>
      </c>
      <c r="H562">
        <f>IFERROR(HLOOKUP(H$2,[19]table_male_hkom2_inj.U1!$A$1:$K$36,17,FALSE),0)</f>
        <v>7</v>
      </c>
      <c r="I562">
        <f>IFERROR(HLOOKUP(I$2,[19]table_male_hkom2_inj.U1!$A$1:$K$36,17,FALSE),0)</f>
        <v>2</v>
      </c>
      <c r="J562">
        <f>IFERROR(HLOOKUP(J$2,[19]table_male_hkom2_inj.U1!$A$1:$K$36,17,FALSE),0)</f>
        <v>0</v>
      </c>
      <c r="K562">
        <f>IFERROR(HLOOKUP(K$2,[19]table_male_hkom2_inj.U1!$A$1:$K$36,17,FALSE),0)</f>
        <v>0</v>
      </c>
      <c r="L562">
        <f>IFERROR(HLOOKUP(L$2,[19]table_male_hkom2_inj.U1!$A$1:$K$36,17,FALSE),0)</f>
        <v>0</v>
      </c>
      <c r="M562">
        <f t="shared" si="180"/>
        <v>15</v>
      </c>
      <c r="S562" t="s">
        <v>85</v>
      </c>
      <c r="T562" s="5">
        <f t="shared" si="181"/>
        <v>0</v>
      </c>
      <c r="U562" s="5">
        <f t="shared" si="182"/>
        <v>0</v>
      </c>
      <c r="V562" s="5">
        <f t="shared" si="183"/>
        <v>6.2547584187408489</v>
      </c>
      <c r="W562" s="5">
        <f t="shared" si="184"/>
        <v>7.2558746736292425</v>
      </c>
      <c r="X562" s="5">
        <f t="shared" si="185"/>
        <v>2.0828402366863905</v>
      </c>
      <c r="Y562" s="5">
        <f t="shared" si="186"/>
        <v>0</v>
      </c>
      <c r="Z562" s="5">
        <f t="shared" si="187"/>
        <v>0</v>
      </c>
      <c r="AA562" s="5">
        <f t="shared" si="188"/>
        <v>0</v>
      </c>
      <c r="AB562" s="5">
        <f t="shared" si="178"/>
        <v>15.593473329056483</v>
      </c>
    </row>
    <row r="563" spans="4:28" x14ac:dyDescent="0.25">
      <c r="D563" t="s">
        <v>86</v>
      </c>
      <c r="E563" s="64"/>
      <c r="F563" s="64"/>
      <c r="G563">
        <f>IFERROR(HLOOKUP(G$2,[19]table_male_hkom2_inj.U1!$A$1:$K$36,18,FALSE),0)</f>
        <v>193</v>
      </c>
      <c r="H563">
        <f>IFERROR(HLOOKUP(H$2,[19]table_male_hkom2_inj.U1!$A$1:$K$36,18,FALSE),0)</f>
        <v>209</v>
      </c>
      <c r="I563">
        <f>IFERROR(HLOOKUP(I$2,[19]table_male_hkom2_inj.U1!$A$1:$K$36,18,FALSE),0)</f>
        <v>84</v>
      </c>
      <c r="J563">
        <f>IFERROR(HLOOKUP(J$2,[19]table_male_hkom2_inj.U1!$A$1:$K$36,18,FALSE),0)</f>
        <v>9</v>
      </c>
      <c r="K563">
        <f>IFERROR(HLOOKUP(K$2,[19]table_male_hkom2_inj.U1!$A$1:$K$36,18,FALSE),0)</f>
        <v>0</v>
      </c>
      <c r="L563">
        <f>IFERROR(HLOOKUP(L$2,[19]table_male_hkom2_inj.U1!$A$1:$K$36,18,FALSE),0)</f>
        <v>0</v>
      </c>
      <c r="M563">
        <f t="shared" si="180"/>
        <v>495</v>
      </c>
      <c r="S563" t="s">
        <v>86</v>
      </c>
      <c r="T563" s="5">
        <f t="shared" si="181"/>
        <v>0</v>
      </c>
      <c r="U563" s="5">
        <f t="shared" si="182"/>
        <v>0</v>
      </c>
      <c r="V563" s="5">
        <f t="shared" si="183"/>
        <v>201.19472913616397</v>
      </c>
      <c r="W563" s="5">
        <f t="shared" si="184"/>
        <v>216.6396866840731</v>
      </c>
      <c r="X563" s="5">
        <f t="shared" si="185"/>
        <v>87.479289940828409</v>
      </c>
      <c r="Y563" s="5">
        <f t="shared" si="186"/>
        <v>9.2249999999999996</v>
      </c>
      <c r="Z563" s="5">
        <f t="shared" si="187"/>
        <v>0</v>
      </c>
      <c r="AA563" s="5">
        <f t="shared" si="188"/>
        <v>0</v>
      </c>
      <c r="AB563" s="5">
        <f t="shared" si="178"/>
        <v>514.53870576106544</v>
      </c>
    </row>
    <row r="564" spans="4:28" x14ac:dyDescent="0.25">
      <c r="D564" t="s">
        <v>87</v>
      </c>
      <c r="E564" s="64"/>
      <c r="F564" s="64"/>
      <c r="G564">
        <f>IFERROR(HLOOKUP(G$2,[19]table_male_hkom2_inj.U1!$A$1:$K$36,19,FALSE),0)</f>
        <v>15</v>
      </c>
      <c r="H564">
        <f>IFERROR(HLOOKUP(H$2,[19]table_male_hkom2_inj.U1!$A$1:$K$36,19,FALSE),0)</f>
        <v>15</v>
      </c>
      <c r="I564">
        <f>IFERROR(HLOOKUP(I$2,[19]table_male_hkom2_inj.U1!$A$1:$K$36,19,FALSE),0)</f>
        <v>11</v>
      </c>
      <c r="J564">
        <f>IFERROR(HLOOKUP(J$2,[19]table_male_hkom2_inj.U1!$A$1:$K$36,19,FALSE),0)</f>
        <v>3</v>
      </c>
      <c r="K564">
        <f>IFERROR(HLOOKUP(K$2,[19]table_male_hkom2_inj.U1!$A$1:$K$36,19,FALSE),0)</f>
        <v>0</v>
      </c>
      <c r="L564">
        <f>IFERROR(HLOOKUP(L$2,[19]table_male_hkom2_inj.U1!$A$1:$K$36,19,FALSE),0)</f>
        <v>0</v>
      </c>
      <c r="M564">
        <f t="shared" si="180"/>
        <v>44</v>
      </c>
      <c r="S564" t="s">
        <v>87</v>
      </c>
      <c r="T564" s="5">
        <f t="shared" si="181"/>
        <v>0</v>
      </c>
      <c r="U564" s="5">
        <f t="shared" si="182"/>
        <v>0</v>
      </c>
      <c r="V564" s="5">
        <f t="shared" si="183"/>
        <v>15.636896046852122</v>
      </c>
      <c r="W564" s="5">
        <f t="shared" si="184"/>
        <v>15.548302872062663</v>
      </c>
      <c r="X564" s="5">
        <f t="shared" si="185"/>
        <v>11.455621301775148</v>
      </c>
      <c r="Y564" s="5">
        <f t="shared" si="186"/>
        <v>3.0750000000000002</v>
      </c>
      <c r="Z564" s="5">
        <f t="shared" si="187"/>
        <v>0</v>
      </c>
      <c r="AA564" s="5">
        <f t="shared" si="188"/>
        <v>0</v>
      </c>
      <c r="AB564" s="5">
        <f t="shared" si="178"/>
        <v>45.715820220689935</v>
      </c>
    </row>
    <row r="565" spans="4:28" x14ac:dyDescent="0.25">
      <c r="D565" t="s">
        <v>88</v>
      </c>
      <c r="E565" s="64"/>
      <c r="F565" s="64"/>
      <c r="G565">
        <f>IFERROR(HLOOKUP(G$2,[19]table_male_hkom2_inj.U1!$A$1:$K$36,20,FALSE),0)</f>
        <v>29</v>
      </c>
      <c r="H565">
        <f>IFERROR(HLOOKUP(H$2,[19]table_male_hkom2_inj.U1!$A$1:$K$36,20,FALSE),0)</f>
        <v>31</v>
      </c>
      <c r="I565">
        <f>IFERROR(HLOOKUP(I$2,[19]table_male_hkom2_inj.U1!$A$1:$K$36,20,FALSE),0)</f>
        <v>11</v>
      </c>
      <c r="J565">
        <f>IFERROR(HLOOKUP(J$2,[19]table_male_hkom2_inj.U1!$A$1:$K$36,20,FALSE),0)</f>
        <v>4</v>
      </c>
      <c r="K565">
        <f>IFERROR(HLOOKUP(K$2,[19]table_male_hkom2_inj.U1!$A$1:$K$36,20,FALSE),0)</f>
        <v>1</v>
      </c>
      <c r="L565">
        <f>IFERROR(HLOOKUP(L$2,[19]table_male_hkom2_inj.U1!$A$1:$K$36,20,FALSE),0)</f>
        <v>0</v>
      </c>
      <c r="M565">
        <f t="shared" si="180"/>
        <v>76</v>
      </c>
      <c r="S565" t="s">
        <v>88</v>
      </c>
      <c r="T565" s="5">
        <f t="shared" si="181"/>
        <v>0</v>
      </c>
      <c r="U565" s="5">
        <f t="shared" si="182"/>
        <v>0</v>
      </c>
      <c r="V565" s="5">
        <f t="shared" si="183"/>
        <v>30.231332357247439</v>
      </c>
      <c r="W565" s="5">
        <f t="shared" si="184"/>
        <v>32.133159268929504</v>
      </c>
      <c r="X565" s="5">
        <f t="shared" si="185"/>
        <v>11.455621301775148</v>
      </c>
      <c r="Y565" s="5">
        <f t="shared" si="186"/>
        <v>4.0999999999999996</v>
      </c>
      <c r="Z565" s="5">
        <f t="shared" si="187"/>
        <v>1</v>
      </c>
      <c r="AA565" s="5">
        <f t="shared" si="188"/>
        <v>0</v>
      </c>
      <c r="AB565" s="5">
        <f t="shared" si="178"/>
        <v>78.92011292795209</v>
      </c>
    </row>
    <row r="566" spans="4:28" x14ac:dyDescent="0.25">
      <c r="D566" t="s">
        <v>89</v>
      </c>
      <c r="E566" s="64"/>
      <c r="F566" s="64"/>
      <c r="G566">
        <f>IFERROR(HLOOKUP(G$2,[19]table_male_hkom2_inj.U1!$A$1:$K$36,21,FALSE),0)</f>
        <v>2</v>
      </c>
      <c r="H566">
        <f>IFERROR(HLOOKUP(H$2,[19]table_male_hkom2_inj.U1!$A$1:$K$36,21,FALSE),0)</f>
        <v>2</v>
      </c>
      <c r="I566">
        <f>IFERROR(HLOOKUP(I$2,[19]table_male_hkom2_inj.U1!$A$1:$K$36,21,FALSE),0)</f>
        <v>1</v>
      </c>
      <c r="J566">
        <f>IFERROR(HLOOKUP(J$2,[19]table_male_hkom2_inj.U1!$A$1:$K$36,21,FALSE),0)</f>
        <v>0</v>
      </c>
      <c r="K566">
        <f>IFERROR(HLOOKUP(K$2,[19]table_male_hkom2_inj.U1!$A$1:$K$36,21,FALSE),0)</f>
        <v>0</v>
      </c>
      <c r="L566">
        <f>IFERROR(HLOOKUP(L$2,[19]table_male_hkom2_inj.U1!$A$1:$K$36,21,FALSE),0)</f>
        <v>0</v>
      </c>
      <c r="M566">
        <f t="shared" si="180"/>
        <v>5</v>
      </c>
      <c r="S566" t="s">
        <v>89</v>
      </c>
      <c r="T566" s="5">
        <f t="shared" si="181"/>
        <v>0</v>
      </c>
      <c r="U566" s="5">
        <f t="shared" si="182"/>
        <v>0</v>
      </c>
      <c r="V566" s="5">
        <f t="shared" si="183"/>
        <v>2.0849194729136165</v>
      </c>
      <c r="W566" s="5">
        <f t="shared" si="184"/>
        <v>2.073107049608355</v>
      </c>
      <c r="X566" s="5">
        <f t="shared" si="185"/>
        <v>1.0414201183431953</v>
      </c>
      <c r="Y566" s="5">
        <f t="shared" si="186"/>
        <v>0</v>
      </c>
      <c r="Z566" s="5">
        <f t="shared" si="187"/>
        <v>0</v>
      </c>
      <c r="AA566" s="5">
        <f t="shared" si="188"/>
        <v>0</v>
      </c>
      <c r="AB566" s="5">
        <f t="shared" si="178"/>
        <v>5.1994466408651672</v>
      </c>
    </row>
    <row r="567" spans="4:28" x14ac:dyDescent="0.25">
      <c r="D567" t="s">
        <v>90</v>
      </c>
      <c r="E567" s="64"/>
      <c r="F567" s="64"/>
      <c r="G567">
        <f>IFERROR(HLOOKUP(G$2,[19]table_male_hkom2_inj.U1!$A$1:$K$36,22,FALSE),0)</f>
        <v>0</v>
      </c>
      <c r="H567">
        <f>IFERROR(HLOOKUP(H$2,[19]table_male_hkom2_inj.U1!$A$1:$K$36,22,FALSE),0)</f>
        <v>0</v>
      </c>
      <c r="I567">
        <f>IFERROR(HLOOKUP(I$2,[19]table_male_hkom2_inj.U1!$A$1:$K$36,22,FALSE),0)</f>
        <v>0</v>
      </c>
      <c r="J567">
        <f>IFERROR(HLOOKUP(J$2,[19]table_male_hkom2_inj.U1!$A$1:$K$36,22,FALSE),0)</f>
        <v>1</v>
      </c>
      <c r="K567">
        <f>IFERROR(HLOOKUP(K$2,[19]table_male_hkom2_inj.U1!$A$1:$K$36,22,FALSE),0)</f>
        <v>0</v>
      </c>
      <c r="L567">
        <f>IFERROR(HLOOKUP(L$2,[19]table_male_hkom2_inj.U1!$A$1:$K$36,22,FALSE),0)</f>
        <v>0</v>
      </c>
      <c r="M567">
        <f t="shared" si="180"/>
        <v>1</v>
      </c>
      <c r="S567" t="s">
        <v>90</v>
      </c>
      <c r="T567" s="5">
        <f t="shared" si="181"/>
        <v>0</v>
      </c>
      <c r="U567" s="5">
        <f t="shared" si="182"/>
        <v>0</v>
      </c>
      <c r="V567" s="5">
        <f t="shared" si="183"/>
        <v>0</v>
      </c>
      <c r="W567" s="5">
        <f t="shared" si="184"/>
        <v>0</v>
      </c>
      <c r="X567" s="5">
        <f t="shared" si="185"/>
        <v>0</v>
      </c>
      <c r="Y567" s="5">
        <f t="shared" si="186"/>
        <v>1.0249999999999999</v>
      </c>
      <c r="Z567" s="5">
        <f t="shared" si="187"/>
        <v>0</v>
      </c>
      <c r="AA567" s="5">
        <f t="shared" si="188"/>
        <v>0</v>
      </c>
      <c r="AB567" s="5">
        <f t="shared" si="178"/>
        <v>1.0249999999999999</v>
      </c>
    </row>
    <row r="568" spans="4:28" x14ac:dyDescent="0.25">
      <c r="D568" t="s">
        <v>91</v>
      </c>
      <c r="E568" s="64"/>
      <c r="F568" s="64"/>
      <c r="G568">
        <f>IFERROR(HLOOKUP(G$2,[19]table_male_hkom2_inj.U1!$A$1:$K$36,23,FALSE),0)</f>
        <v>0</v>
      </c>
      <c r="H568">
        <f>IFERROR(HLOOKUP(H$2,[19]table_male_hkom2_inj.U1!$A$1:$K$36,23,FALSE),0)</f>
        <v>0</v>
      </c>
      <c r="I568">
        <f>IFERROR(HLOOKUP(I$2,[19]table_male_hkom2_inj.U1!$A$1:$K$36,23,FALSE),0)</f>
        <v>0</v>
      </c>
      <c r="J568">
        <f>IFERROR(HLOOKUP(J$2,[19]table_male_hkom2_inj.U1!$A$1:$K$36,23,FALSE),0)</f>
        <v>0</v>
      </c>
      <c r="K568">
        <f>IFERROR(HLOOKUP(K$2,[19]table_male_hkom2_inj.U1!$A$1:$K$36,23,FALSE),0)</f>
        <v>0</v>
      </c>
      <c r="L568">
        <f>IFERROR(HLOOKUP(L$2,[19]table_male_hkom2_inj.U1!$A$1:$K$36,23,FALSE),0)</f>
        <v>0</v>
      </c>
      <c r="M568">
        <f t="shared" si="180"/>
        <v>0</v>
      </c>
      <c r="S568" t="s">
        <v>91</v>
      </c>
      <c r="T568" s="5">
        <f t="shared" si="181"/>
        <v>0</v>
      </c>
      <c r="U568" s="5">
        <f t="shared" si="182"/>
        <v>0</v>
      </c>
      <c r="V568" s="5">
        <f t="shared" si="183"/>
        <v>0</v>
      </c>
      <c r="W568" s="5">
        <f t="shared" si="184"/>
        <v>0</v>
      </c>
      <c r="X568" s="5">
        <f t="shared" si="185"/>
        <v>0</v>
      </c>
      <c r="Y568" s="5">
        <f t="shared" si="186"/>
        <v>0</v>
      </c>
      <c r="Z568" s="5">
        <f t="shared" si="187"/>
        <v>0</v>
      </c>
      <c r="AA568" s="5">
        <f t="shared" si="188"/>
        <v>0</v>
      </c>
      <c r="AB568" s="5">
        <f t="shared" si="178"/>
        <v>0</v>
      </c>
    </row>
    <row r="569" spans="4:28" x14ac:dyDescent="0.25">
      <c r="D569" t="s">
        <v>92</v>
      </c>
      <c r="E569" s="64"/>
      <c r="F569" s="64"/>
      <c r="G569">
        <f>IFERROR(HLOOKUP(G$2,[19]table_male_hkom2_inj.U1!$A$1:$K$36,24,FALSE),0)</f>
        <v>0</v>
      </c>
      <c r="H569">
        <f>IFERROR(HLOOKUP(H$2,[19]table_male_hkom2_inj.U1!$A$1:$K$36,24,FALSE),0)</f>
        <v>0</v>
      </c>
      <c r="I569">
        <f>IFERROR(HLOOKUP(I$2,[19]table_male_hkom2_inj.U1!$A$1:$K$36,24,FALSE),0)</f>
        <v>0</v>
      </c>
      <c r="J569">
        <f>IFERROR(HLOOKUP(J$2,[19]table_male_hkom2_inj.U1!$A$1:$K$36,24,FALSE),0)</f>
        <v>0</v>
      </c>
      <c r="K569">
        <f>IFERROR(HLOOKUP(K$2,[19]table_male_hkom2_inj.U1!$A$1:$K$36,24,FALSE),0)</f>
        <v>0</v>
      </c>
      <c r="L569">
        <f>IFERROR(HLOOKUP(L$2,[19]table_male_hkom2_inj.U1!$A$1:$K$36,24,FALSE),0)</f>
        <v>0</v>
      </c>
      <c r="M569">
        <f t="shared" si="180"/>
        <v>0</v>
      </c>
      <c r="S569" t="s">
        <v>92</v>
      </c>
      <c r="T569" s="5">
        <f t="shared" si="181"/>
        <v>0</v>
      </c>
      <c r="U569" s="5">
        <f t="shared" si="182"/>
        <v>0</v>
      </c>
      <c r="V569" s="5">
        <f t="shared" si="183"/>
        <v>0</v>
      </c>
      <c r="W569" s="5">
        <f t="shared" si="184"/>
        <v>0</v>
      </c>
      <c r="X569" s="5">
        <f t="shared" si="185"/>
        <v>0</v>
      </c>
      <c r="Y569" s="5">
        <f t="shared" si="186"/>
        <v>0</v>
      </c>
      <c r="Z569" s="5">
        <f t="shared" si="187"/>
        <v>0</v>
      </c>
      <c r="AA569" s="5">
        <f t="shared" si="188"/>
        <v>0</v>
      </c>
      <c r="AB569" s="5">
        <f t="shared" si="178"/>
        <v>0</v>
      </c>
    </row>
    <row r="570" spans="4:28" x14ac:dyDescent="0.25">
      <c r="D570" t="s">
        <v>93</v>
      </c>
      <c r="E570" s="64"/>
      <c r="F570" s="64"/>
      <c r="G570">
        <f>IFERROR(HLOOKUP(G$2,[19]table_male_hkom2_inj.U1!$A$1:$K$36,25,FALSE),0)</f>
        <v>0</v>
      </c>
      <c r="H570">
        <f>IFERROR(HLOOKUP(H$2,[19]table_male_hkom2_inj.U1!$A$1:$K$36,25,FALSE),0)</f>
        <v>0</v>
      </c>
      <c r="I570">
        <f>IFERROR(HLOOKUP(I$2,[19]table_male_hkom2_inj.U1!$A$1:$K$36,25,FALSE),0)</f>
        <v>0</v>
      </c>
      <c r="J570">
        <f>IFERROR(HLOOKUP(J$2,[19]table_male_hkom2_inj.U1!$A$1:$K$36,25,FALSE),0)</f>
        <v>0</v>
      </c>
      <c r="K570">
        <f>IFERROR(HLOOKUP(K$2,[19]table_male_hkom2_inj.U1!$A$1:$K$36,25,FALSE),0)</f>
        <v>0</v>
      </c>
      <c r="L570">
        <f>IFERROR(HLOOKUP(L$2,[19]table_male_hkom2_inj.U1!$A$1:$K$36,25,FALSE),0)</f>
        <v>0</v>
      </c>
      <c r="M570">
        <f t="shared" si="180"/>
        <v>0</v>
      </c>
      <c r="S570" t="s">
        <v>93</v>
      </c>
      <c r="T570" s="5">
        <f t="shared" si="181"/>
        <v>0</v>
      </c>
      <c r="U570" s="5">
        <f t="shared" si="182"/>
        <v>0</v>
      </c>
      <c r="V570" s="5">
        <f t="shared" si="183"/>
        <v>0</v>
      </c>
      <c r="W570" s="5">
        <f t="shared" si="184"/>
        <v>0</v>
      </c>
      <c r="X570" s="5">
        <f t="shared" si="185"/>
        <v>0</v>
      </c>
      <c r="Y570" s="5">
        <f t="shared" si="186"/>
        <v>0</v>
      </c>
      <c r="Z570" s="5">
        <f t="shared" si="187"/>
        <v>0</v>
      </c>
      <c r="AA570" s="5">
        <f t="shared" si="188"/>
        <v>0</v>
      </c>
      <c r="AB570" s="5">
        <f t="shared" si="178"/>
        <v>0</v>
      </c>
    </row>
    <row r="571" spans="4:28" x14ac:dyDescent="0.25">
      <c r="D571" t="s">
        <v>94</v>
      </c>
      <c r="E571" s="64"/>
      <c r="F571" s="64"/>
      <c r="G571">
        <f>IFERROR(HLOOKUP(G$2,[19]table_male_hkom2_inj.U1!$A$1:$K$36,26,FALSE),0)</f>
        <v>0</v>
      </c>
      <c r="H571">
        <f>IFERROR(HLOOKUP(H$2,[19]table_male_hkom2_inj.U1!$A$1:$K$36,26,FALSE),0)</f>
        <v>0</v>
      </c>
      <c r="I571">
        <f>IFERROR(HLOOKUP(I$2,[19]table_male_hkom2_inj.U1!$A$1:$K$36,26,FALSE),0)</f>
        <v>0</v>
      </c>
      <c r="J571">
        <f>IFERROR(HLOOKUP(J$2,[19]table_male_hkom2_inj.U1!$A$1:$K$36,26,FALSE),0)</f>
        <v>0</v>
      </c>
      <c r="K571">
        <f>IFERROR(HLOOKUP(K$2,[19]table_male_hkom2_inj.U1!$A$1:$K$36,26,FALSE),0)</f>
        <v>0</v>
      </c>
      <c r="L571">
        <f>IFERROR(HLOOKUP(L$2,[19]table_male_hkom2_inj.U1!$A$1:$K$36,26,FALSE),0)</f>
        <v>0</v>
      </c>
      <c r="M571">
        <f t="shared" si="180"/>
        <v>0</v>
      </c>
      <c r="S571" t="s">
        <v>94</v>
      </c>
      <c r="T571" s="5">
        <f t="shared" si="181"/>
        <v>0</v>
      </c>
      <c r="U571" s="5">
        <f t="shared" si="182"/>
        <v>0</v>
      </c>
      <c r="V571" s="5">
        <f t="shared" si="183"/>
        <v>0</v>
      </c>
      <c r="W571" s="5">
        <f t="shared" si="184"/>
        <v>0</v>
      </c>
      <c r="X571" s="5">
        <f t="shared" si="185"/>
        <v>0</v>
      </c>
      <c r="Y571" s="5">
        <f t="shared" si="186"/>
        <v>0</v>
      </c>
      <c r="Z571" s="5">
        <f t="shared" si="187"/>
        <v>0</v>
      </c>
      <c r="AA571" s="5">
        <f t="shared" si="188"/>
        <v>0</v>
      </c>
      <c r="AB571" s="5">
        <f t="shared" si="178"/>
        <v>0</v>
      </c>
    </row>
    <row r="572" spans="4:28" x14ac:dyDescent="0.25">
      <c r="D572" t="s">
        <v>95</v>
      </c>
      <c r="E572" s="64"/>
      <c r="F572" s="64"/>
      <c r="G572">
        <f>IFERROR(HLOOKUP(G$2,[19]table_male_hkom2_inj.U1!$A$1:$K$36,27,FALSE),0)</f>
        <v>0</v>
      </c>
      <c r="H572">
        <f>IFERROR(HLOOKUP(H$2,[19]table_male_hkom2_inj.U1!$A$1:$K$36,27,FALSE),0)</f>
        <v>0</v>
      </c>
      <c r="I572">
        <f>IFERROR(HLOOKUP(I$2,[19]table_male_hkom2_inj.U1!$A$1:$K$36,27,FALSE),0)</f>
        <v>0</v>
      </c>
      <c r="J572">
        <f>IFERROR(HLOOKUP(J$2,[19]table_male_hkom2_inj.U1!$A$1:$K$36,27,FALSE),0)</f>
        <v>0</v>
      </c>
      <c r="K572">
        <f>IFERROR(HLOOKUP(K$2,[19]table_male_hkom2_inj.U1!$A$1:$K$36,27,FALSE),0)</f>
        <v>0</v>
      </c>
      <c r="L572">
        <f>IFERROR(HLOOKUP(L$2,[19]table_male_hkom2_inj.U1!$A$1:$K$36,27,FALSE),0)</f>
        <v>0</v>
      </c>
      <c r="M572">
        <f t="shared" si="180"/>
        <v>0</v>
      </c>
      <c r="S572" t="s">
        <v>95</v>
      </c>
      <c r="T572" s="5">
        <f t="shared" si="181"/>
        <v>0</v>
      </c>
      <c r="U572" s="5">
        <f t="shared" si="182"/>
        <v>0</v>
      </c>
      <c r="V572" s="5">
        <f t="shared" si="183"/>
        <v>0</v>
      </c>
      <c r="W572" s="5">
        <f t="shared" si="184"/>
        <v>0</v>
      </c>
      <c r="X572" s="5">
        <f t="shared" si="185"/>
        <v>0</v>
      </c>
      <c r="Y572" s="5">
        <f t="shared" si="186"/>
        <v>0</v>
      </c>
      <c r="Z572" s="5">
        <f t="shared" si="187"/>
        <v>0</v>
      </c>
      <c r="AA572" s="5">
        <f t="shared" si="188"/>
        <v>0</v>
      </c>
      <c r="AB572" s="5">
        <f t="shared" si="178"/>
        <v>0</v>
      </c>
    </row>
    <row r="573" spans="4:28" x14ac:dyDescent="0.25">
      <c r="D573" t="s">
        <v>96</v>
      </c>
      <c r="E573" s="64"/>
      <c r="F573" s="64"/>
      <c r="G573">
        <f>IFERROR(HLOOKUP(G$2,[19]table_male_hkom2_inj.U1!$A$1:$K$36,28,FALSE),0)</f>
        <v>0</v>
      </c>
      <c r="H573">
        <f>IFERROR(HLOOKUP(H$2,[19]table_male_hkom2_inj.U1!$A$1:$K$36,28,FALSE),0)</f>
        <v>0</v>
      </c>
      <c r="I573">
        <f>IFERROR(HLOOKUP(I$2,[19]table_male_hkom2_inj.U1!$A$1:$K$36,28,FALSE),0)</f>
        <v>0</v>
      </c>
      <c r="J573">
        <f>IFERROR(HLOOKUP(J$2,[19]table_male_hkom2_inj.U1!$A$1:$K$36,28,FALSE),0)</f>
        <v>0</v>
      </c>
      <c r="K573">
        <f>IFERROR(HLOOKUP(K$2,[19]table_male_hkom2_inj.U1!$A$1:$K$36,28,FALSE),0)</f>
        <v>0</v>
      </c>
      <c r="L573">
        <f>IFERROR(HLOOKUP(L$2,[19]table_male_hkom2_inj.U1!$A$1:$K$36,28,FALSE),0)</f>
        <v>0</v>
      </c>
      <c r="M573">
        <f t="shared" si="180"/>
        <v>0</v>
      </c>
      <c r="S573" t="s">
        <v>96</v>
      </c>
      <c r="T573" s="5">
        <f t="shared" si="181"/>
        <v>0</v>
      </c>
      <c r="U573" s="5">
        <f t="shared" si="182"/>
        <v>0</v>
      </c>
      <c r="V573" s="5">
        <f t="shared" si="183"/>
        <v>0</v>
      </c>
      <c r="W573" s="5">
        <f t="shared" si="184"/>
        <v>0</v>
      </c>
      <c r="X573" s="5">
        <f t="shared" si="185"/>
        <v>0</v>
      </c>
      <c r="Y573" s="5">
        <f t="shared" si="186"/>
        <v>0</v>
      </c>
      <c r="Z573" s="5">
        <f t="shared" si="187"/>
        <v>0</v>
      </c>
      <c r="AA573" s="5">
        <f t="shared" si="188"/>
        <v>0</v>
      </c>
      <c r="AB573" s="5">
        <f t="shared" si="178"/>
        <v>0</v>
      </c>
    </row>
    <row r="574" spans="4:28" x14ac:dyDescent="0.25">
      <c r="D574" t="s">
        <v>97</v>
      </c>
      <c r="E574" s="64"/>
      <c r="F574" s="64"/>
      <c r="G574">
        <f>IFERROR(HLOOKUP(G$2,[19]table_male_hkom2_inj.U1!$A$1:$K$36,29,FALSE),0)</f>
        <v>0</v>
      </c>
      <c r="H574">
        <f>IFERROR(HLOOKUP(H$2,[19]table_male_hkom2_inj.U1!$A$1:$K$36,29,FALSE),0)</f>
        <v>0</v>
      </c>
      <c r="I574">
        <f>IFERROR(HLOOKUP(I$2,[19]table_male_hkom2_inj.U1!$A$1:$K$36,29,FALSE),0)</f>
        <v>0</v>
      </c>
      <c r="J574">
        <f>IFERROR(HLOOKUP(J$2,[19]table_male_hkom2_inj.U1!$A$1:$K$36,29,FALSE),0)</f>
        <v>0</v>
      </c>
      <c r="K574">
        <f>IFERROR(HLOOKUP(K$2,[19]table_male_hkom2_inj.U1!$A$1:$K$36,29,FALSE),0)</f>
        <v>0</v>
      </c>
      <c r="L574">
        <f>IFERROR(HLOOKUP(L$2,[19]table_male_hkom2_inj.U1!$A$1:$K$36,29,FALSE),0)</f>
        <v>0</v>
      </c>
      <c r="M574">
        <f t="shared" si="180"/>
        <v>0</v>
      </c>
      <c r="S574" t="s">
        <v>97</v>
      </c>
      <c r="T574" s="5">
        <f t="shared" si="181"/>
        <v>0</v>
      </c>
      <c r="U574" s="5">
        <f t="shared" si="182"/>
        <v>0</v>
      </c>
      <c r="V574" s="5">
        <f t="shared" si="183"/>
        <v>0</v>
      </c>
      <c r="W574" s="5">
        <f t="shared" si="184"/>
        <v>0</v>
      </c>
      <c r="X574" s="5">
        <f t="shared" si="185"/>
        <v>0</v>
      </c>
      <c r="Y574" s="5">
        <f t="shared" si="186"/>
        <v>0</v>
      </c>
      <c r="Z574" s="5">
        <f t="shared" si="187"/>
        <v>0</v>
      </c>
      <c r="AA574" s="5">
        <f t="shared" si="188"/>
        <v>0</v>
      </c>
      <c r="AB574" s="5">
        <f t="shared" si="178"/>
        <v>0</v>
      </c>
    </row>
    <row r="575" spans="4:28" x14ac:dyDescent="0.25">
      <c r="D575" t="s">
        <v>98</v>
      </c>
      <c r="E575" s="64"/>
      <c r="F575" s="64"/>
      <c r="G575">
        <f>IFERROR(HLOOKUP(G$2,[19]table_male_hkom2_inj.U1!$A$1:$K$36,30,FALSE),0)</f>
        <v>0</v>
      </c>
      <c r="H575">
        <f>IFERROR(HLOOKUP(H$2,[19]table_male_hkom2_inj.U1!$A$1:$K$36,30,FALSE),0)</f>
        <v>0</v>
      </c>
      <c r="I575">
        <f>IFERROR(HLOOKUP(I$2,[19]table_male_hkom2_inj.U1!$A$1:$K$36,30,FALSE),0)</f>
        <v>2</v>
      </c>
      <c r="J575">
        <f>IFERROR(HLOOKUP(J$2,[19]table_male_hkom2_inj.U1!$A$1:$K$36,30,FALSE),0)</f>
        <v>0</v>
      </c>
      <c r="K575">
        <f>IFERROR(HLOOKUP(K$2,[19]table_male_hkom2_inj.U1!$A$1:$K$36,30,FALSE),0)</f>
        <v>0</v>
      </c>
      <c r="L575">
        <f>IFERROR(HLOOKUP(L$2,[19]table_male_hkom2_inj.U1!$A$1:$K$36,30,FALSE),0)</f>
        <v>0</v>
      </c>
      <c r="M575">
        <f t="shared" si="180"/>
        <v>2</v>
      </c>
      <c r="S575" t="s">
        <v>98</v>
      </c>
      <c r="T575" s="5">
        <f t="shared" si="181"/>
        <v>0</v>
      </c>
      <c r="U575" s="5">
        <f t="shared" si="182"/>
        <v>0</v>
      </c>
      <c r="V575" s="5">
        <f t="shared" si="183"/>
        <v>0</v>
      </c>
      <c r="W575" s="5">
        <f t="shared" si="184"/>
        <v>0</v>
      </c>
      <c r="X575" s="5">
        <f t="shared" si="185"/>
        <v>2.0828402366863905</v>
      </c>
      <c r="Y575" s="5">
        <f t="shared" si="186"/>
        <v>0</v>
      </c>
      <c r="Z575" s="5">
        <f t="shared" si="187"/>
        <v>0</v>
      </c>
      <c r="AA575" s="5">
        <f t="shared" si="188"/>
        <v>0</v>
      </c>
      <c r="AB575" s="5">
        <f t="shared" si="178"/>
        <v>2.0828402366863905</v>
      </c>
    </row>
    <row r="576" spans="4:28" x14ac:dyDescent="0.25">
      <c r="D576" t="s">
        <v>119</v>
      </c>
      <c r="E576" s="64"/>
      <c r="F576" s="64"/>
      <c r="G576">
        <f>IFERROR(HLOOKUP(G$2,[19]table_male_hkom2_inj.U1!$A$1:$K$36,31,FALSE),0)</f>
        <v>0</v>
      </c>
      <c r="H576">
        <f>IFERROR(HLOOKUP(H$2,[19]table_male_hkom2_inj.U1!$A$1:$K$36,31,FALSE),0)</f>
        <v>0</v>
      </c>
      <c r="I576">
        <f>IFERROR(HLOOKUP(I$2,[19]table_male_hkom2_inj.U1!$A$1:$K$36,31,FALSE),0)</f>
        <v>1</v>
      </c>
      <c r="J576">
        <f>IFERROR(HLOOKUP(J$2,[19]table_male_hkom2_inj.U1!$A$1:$K$36,31,FALSE),0)</f>
        <v>0</v>
      </c>
      <c r="K576">
        <f>IFERROR(HLOOKUP(K$2,[19]table_male_hkom2_inj.U1!$A$1:$K$36,31,FALSE),0)</f>
        <v>0</v>
      </c>
      <c r="L576">
        <f>IFERROR(HLOOKUP(L$2,[19]table_male_hkom2_inj.U1!$A$1:$K$36,31,FALSE),0)</f>
        <v>0</v>
      </c>
      <c r="M576">
        <f t="shared" si="180"/>
        <v>1</v>
      </c>
      <c r="S576" t="s">
        <v>119</v>
      </c>
      <c r="T576" s="5">
        <f t="shared" si="181"/>
        <v>0</v>
      </c>
      <c r="U576" s="5">
        <f t="shared" si="182"/>
        <v>0</v>
      </c>
      <c r="V576" s="5">
        <f t="shared" si="183"/>
        <v>0</v>
      </c>
      <c r="W576" s="5">
        <f t="shared" si="184"/>
        <v>0</v>
      </c>
      <c r="X576" s="5">
        <f t="shared" si="185"/>
        <v>1.0414201183431953</v>
      </c>
      <c r="Y576" s="5">
        <f t="shared" si="186"/>
        <v>0</v>
      </c>
      <c r="Z576" s="5">
        <f t="shared" si="187"/>
        <v>0</v>
      </c>
      <c r="AA576" s="5">
        <f t="shared" si="188"/>
        <v>0</v>
      </c>
      <c r="AB576" s="5">
        <f t="shared" si="178"/>
        <v>1.0414201183431953</v>
      </c>
    </row>
    <row r="577" spans="1:29" x14ac:dyDescent="0.25">
      <c r="D577" t="s">
        <v>99</v>
      </c>
      <c r="E577" s="64"/>
      <c r="F577" s="64"/>
      <c r="G577">
        <f>IFERROR(HLOOKUP(G$2,[19]table_male_hkom2_inj.U1!$A$1:$K$36,32,FALSE),0)</f>
        <v>17</v>
      </c>
      <c r="H577">
        <f>IFERROR(HLOOKUP(H$2,[19]table_male_hkom2_inj.U1!$A$1:$K$36,32,FALSE),0)</f>
        <v>14</v>
      </c>
      <c r="I577">
        <f>IFERROR(HLOOKUP(I$2,[19]table_male_hkom2_inj.U1!$A$1:$K$36,32,FALSE),0)</f>
        <v>6</v>
      </c>
      <c r="J577">
        <f>IFERROR(HLOOKUP(J$2,[19]table_male_hkom2_inj.U1!$A$1:$K$36,32,FALSE),0)</f>
        <v>1</v>
      </c>
      <c r="K577">
        <f>IFERROR(HLOOKUP(K$2,[19]table_male_hkom2_inj.U1!$A$1:$K$36,32,FALSE),0)</f>
        <v>0</v>
      </c>
      <c r="L577">
        <f>IFERROR(HLOOKUP(L$2,[19]table_male_hkom2_inj.U1!$A$1:$K$36,32,FALSE),0)</f>
        <v>0</v>
      </c>
      <c r="M577">
        <f t="shared" si="180"/>
        <v>38</v>
      </c>
      <c r="S577" t="s">
        <v>99</v>
      </c>
      <c r="T577" s="5">
        <f t="shared" si="181"/>
        <v>0</v>
      </c>
      <c r="U577" s="5">
        <f t="shared" si="182"/>
        <v>0</v>
      </c>
      <c r="V577" s="5">
        <f t="shared" si="183"/>
        <v>17.721815519765741</v>
      </c>
      <c r="W577" s="5">
        <f t="shared" si="184"/>
        <v>14.511749347258485</v>
      </c>
      <c r="X577" s="5">
        <f t="shared" si="185"/>
        <v>6.2485207100591715</v>
      </c>
      <c r="Y577" s="5">
        <f t="shared" si="186"/>
        <v>1.0249999999999999</v>
      </c>
      <c r="Z577" s="5">
        <f t="shared" si="187"/>
        <v>0</v>
      </c>
      <c r="AA577" s="5">
        <f t="shared" si="188"/>
        <v>0</v>
      </c>
      <c r="AB577" s="5">
        <f t="shared" si="178"/>
        <v>39.507085577083394</v>
      </c>
    </row>
    <row r="578" spans="1:29" x14ac:dyDescent="0.25">
      <c r="D578" t="s">
        <v>100</v>
      </c>
      <c r="E578" s="64"/>
      <c r="F578" s="64"/>
      <c r="G578">
        <f>IFERROR(HLOOKUP(G$2,[19]table_male_hkom2_inj.U1!$A$1:$K$36,33,FALSE),0)</f>
        <v>0</v>
      </c>
      <c r="H578">
        <f>IFERROR(HLOOKUP(H$2,[19]table_male_hkom2_inj.U1!$A$1:$K$36,33,FALSE),0)</f>
        <v>0</v>
      </c>
      <c r="I578">
        <f>IFERROR(HLOOKUP(I$2,[19]table_male_hkom2_inj.U1!$A$1:$K$36,33,FALSE),0)</f>
        <v>0</v>
      </c>
      <c r="J578">
        <f>IFERROR(HLOOKUP(J$2,[19]table_male_hkom2_inj.U1!$A$1:$K$36,33,FALSE),0)</f>
        <v>0</v>
      </c>
      <c r="K578">
        <f>IFERROR(HLOOKUP(K$2,[19]table_male_hkom2_inj.U1!$A$1:$K$36,33,FALSE),0)</f>
        <v>0</v>
      </c>
      <c r="L578">
        <f>IFERROR(HLOOKUP(L$2,[19]table_male_hkom2_inj.U1!$A$1:$K$36,33,FALSE),0)</f>
        <v>0</v>
      </c>
      <c r="M578">
        <f t="shared" si="180"/>
        <v>0</v>
      </c>
      <c r="S578" t="s">
        <v>100</v>
      </c>
      <c r="T578" s="5">
        <f t="shared" si="181"/>
        <v>0</v>
      </c>
      <c r="U578" s="5">
        <f t="shared" si="182"/>
        <v>0</v>
      </c>
      <c r="V578" s="5">
        <f t="shared" si="183"/>
        <v>0</v>
      </c>
      <c r="W578" s="5">
        <f t="shared" si="184"/>
        <v>0</v>
      </c>
      <c r="X578" s="5">
        <f t="shared" si="185"/>
        <v>0</v>
      </c>
      <c r="Y578" s="5">
        <f t="shared" si="186"/>
        <v>0</v>
      </c>
      <c r="Z578" s="5">
        <f t="shared" si="187"/>
        <v>0</v>
      </c>
      <c r="AA578" s="5">
        <f t="shared" si="188"/>
        <v>0</v>
      </c>
      <c r="AB578" s="5">
        <f t="shared" si="178"/>
        <v>0</v>
      </c>
    </row>
    <row r="579" spans="1:29" x14ac:dyDescent="0.25">
      <c r="D579" t="s">
        <v>101</v>
      </c>
      <c r="E579" s="64"/>
      <c r="F579" s="64"/>
      <c r="G579">
        <f>IFERROR(HLOOKUP(G$2,[19]table_male_hkom2_inj.U1!$A$1:$K$36,34,FALSE),0)</f>
        <v>8</v>
      </c>
      <c r="H579">
        <f>IFERROR(HLOOKUP(H$2,[19]table_male_hkom2_inj.U1!$A$1:$K$36,34,FALSE),0)</f>
        <v>10</v>
      </c>
      <c r="I579">
        <f>IFERROR(HLOOKUP(I$2,[19]table_male_hkom2_inj.U1!$A$1:$K$36,34,FALSE),0)</f>
        <v>0</v>
      </c>
      <c r="J579">
        <f>IFERROR(HLOOKUP(J$2,[19]table_male_hkom2_inj.U1!$A$1:$K$36,34,FALSE),0)</f>
        <v>0</v>
      </c>
      <c r="K579">
        <f>IFERROR(HLOOKUP(K$2,[19]table_male_hkom2_inj.U1!$A$1:$K$36,34,FALSE),0)</f>
        <v>0</v>
      </c>
      <c r="L579">
        <f>IFERROR(HLOOKUP(L$2,[19]table_male_hkom2_inj.U1!$A$1:$K$36,34,FALSE),0)</f>
        <v>0</v>
      </c>
      <c r="M579">
        <f t="shared" si="180"/>
        <v>18</v>
      </c>
      <c r="S579" t="s">
        <v>101</v>
      </c>
      <c r="T579" s="5">
        <f t="shared" si="181"/>
        <v>0</v>
      </c>
      <c r="U579" s="5">
        <f t="shared" si="182"/>
        <v>0</v>
      </c>
      <c r="V579" s="5">
        <f t="shared" si="183"/>
        <v>8.3396778916544658</v>
      </c>
      <c r="W579" s="5">
        <f t="shared" si="184"/>
        <v>10.365535248041775</v>
      </c>
      <c r="X579" s="5">
        <f t="shared" si="185"/>
        <v>0</v>
      </c>
      <c r="Y579" s="5">
        <f t="shared" si="186"/>
        <v>0</v>
      </c>
      <c r="Z579" s="5">
        <f t="shared" si="187"/>
        <v>0</v>
      </c>
      <c r="AA579" s="5">
        <f t="shared" si="188"/>
        <v>0</v>
      </c>
      <c r="AB579" s="5">
        <f t="shared" si="178"/>
        <v>18.705213139696241</v>
      </c>
    </row>
    <row r="580" spans="1:29" x14ac:dyDescent="0.25">
      <c r="D580" t="s">
        <v>102</v>
      </c>
      <c r="E580" s="64"/>
      <c r="F580" s="64"/>
      <c r="G580">
        <f>IFERROR(HLOOKUP(G$2,[19]table_male_hkom2_inj.U1!$A$1:$K$36,35,FALSE),0)</f>
        <v>29</v>
      </c>
      <c r="H580">
        <f>IFERROR(HLOOKUP(H$2,[19]table_male_hkom2_inj.U1!$A$1:$K$36,35,FALSE),0)</f>
        <v>28</v>
      </c>
      <c r="I580">
        <f>IFERROR(HLOOKUP(I$2,[19]table_male_hkom2_inj.U1!$A$1:$K$36,35,FALSE),0)</f>
        <v>14</v>
      </c>
      <c r="J580">
        <f>IFERROR(HLOOKUP(J$2,[19]table_male_hkom2_inj.U1!$A$1:$K$36,35,FALSE),0)</f>
        <v>1</v>
      </c>
      <c r="K580">
        <f>IFERROR(HLOOKUP(K$2,[19]table_male_hkom2_inj.U1!$A$1:$K$36,35,FALSE),0)</f>
        <v>0</v>
      </c>
      <c r="L580">
        <f>IFERROR(HLOOKUP(L$2,[19]table_male_hkom2_inj.U1!$A$1:$K$36,35,FALSE),0)</f>
        <v>0</v>
      </c>
      <c r="M580">
        <f t="shared" si="180"/>
        <v>72</v>
      </c>
      <c r="N580">
        <f>SUM(M547:M580)</f>
        <v>1903</v>
      </c>
      <c r="O580" s="8">
        <f>SUM([19]table_male_hkom2_inj.U1!$B$2:$L$36)</f>
        <v>1903</v>
      </c>
      <c r="S580" t="s">
        <v>102</v>
      </c>
      <c r="T580" s="7"/>
      <c r="U580" s="7"/>
      <c r="V580" s="7"/>
      <c r="W580" s="7"/>
      <c r="X580" s="7"/>
      <c r="Y580" s="7"/>
      <c r="Z580" s="7"/>
      <c r="AA580" s="7"/>
      <c r="AB580" s="5">
        <f t="shared" si="178"/>
        <v>0</v>
      </c>
      <c r="AC580" s="5">
        <f>SUM(AB547:AB579)</f>
        <v>1903</v>
      </c>
    </row>
    <row r="581" spans="1:29" x14ac:dyDescent="0.25">
      <c r="A581" t="s">
        <v>104</v>
      </c>
      <c r="B581" t="s">
        <v>116</v>
      </c>
      <c r="C581" t="s">
        <v>110</v>
      </c>
      <c r="D581" t="s">
        <v>70</v>
      </c>
      <c r="E581" s="64"/>
      <c r="F581" s="64"/>
      <c r="G581">
        <f>IFERROR(HLOOKUP(G$2,[20]table_male_hkom2_inj.U2!$A$1:$K$36,2,FALSE),0)</f>
        <v>0</v>
      </c>
      <c r="H581">
        <f>IFERROR(HLOOKUP(H$2,[20]table_male_hkom2_inj.U2!$A$1:$K$36,2,FALSE),0)</f>
        <v>0</v>
      </c>
      <c r="I581">
        <f>IFERROR(HLOOKUP(I$2,[20]table_male_hkom2_inj.U2!$A$1:$K$36,2,FALSE),0)</f>
        <v>0</v>
      </c>
      <c r="J581">
        <f>IFERROR(HLOOKUP(J$2,[20]table_male_hkom2_inj.U2!$A$1:$K$36,2,FALSE),0)</f>
        <v>0</v>
      </c>
      <c r="K581">
        <f>IFERROR(HLOOKUP(K$2,[20]table_male_hkom2_inj.U2!$A$1:$K$36,2,FALSE),0)</f>
        <v>0</v>
      </c>
      <c r="L581">
        <f>IFERROR(HLOOKUP(L$2,[20]table_male_hkom2_inj.U2!$A$1:$K$36,2,FALSE),0)</f>
        <v>0</v>
      </c>
      <c r="M581">
        <f>SUM(E581:L581)</f>
        <v>0</v>
      </c>
      <c r="P581" t="s">
        <v>104</v>
      </c>
      <c r="Q581" t="s">
        <v>116</v>
      </c>
      <c r="R581" t="s">
        <v>110</v>
      </c>
      <c r="S581" t="s">
        <v>70</v>
      </c>
      <c r="T581" s="5">
        <f>IF(SUM(E$581:E$613)=0,E$614/33,E581+IFERROR(E581/SUM(E$581:E$613)*E$614,0))</f>
        <v>0</v>
      </c>
      <c r="U581" s="5">
        <f t="shared" ref="U581:AA581" si="189">IF(SUM(F$581:F$613)=0,F$614/33,F581+IFERROR(F581/SUM(F$581:F$613)*F$614,0))</f>
        <v>0</v>
      </c>
      <c r="V581" s="5">
        <f t="shared" si="189"/>
        <v>0</v>
      </c>
      <c r="W581" s="5">
        <f t="shared" si="189"/>
        <v>0</v>
      </c>
      <c r="X581" s="5">
        <f t="shared" si="189"/>
        <v>0</v>
      </c>
      <c r="Y581" s="5">
        <f t="shared" si="189"/>
        <v>3.0303030303030304E-2</v>
      </c>
      <c r="Z581" s="5">
        <f t="shared" si="189"/>
        <v>0</v>
      </c>
      <c r="AA581" s="5">
        <f t="shared" si="189"/>
        <v>0</v>
      </c>
      <c r="AB581" s="5">
        <f t="shared" si="178"/>
        <v>3.0303030303030304E-2</v>
      </c>
    </row>
    <row r="582" spans="1:29" x14ac:dyDescent="0.25">
      <c r="D582" t="s">
        <v>71</v>
      </c>
      <c r="E582" s="64"/>
      <c r="F582" s="64"/>
      <c r="G582">
        <f>IFERROR(HLOOKUP(G$2,[20]table_male_hkom2_inj.U2!$A$1:$K$36,3,FALSE),0)</f>
        <v>0</v>
      </c>
      <c r="H582">
        <f>IFERROR(HLOOKUP(H$2,[20]table_male_hkom2_inj.U2!$A$1:$K$36,3,FALSE),0)</f>
        <v>0</v>
      </c>
      <c r="I582">
        <f>IFERROR(HLOOKUP(I$2,[20]table_male_hkom2_inj.U2!$A$1:$K$36,3,FALSE),0)</f>
        <v>0</v>
      </c>
      <c r="J582">
        <f>IFERROR(HLOOKUP(J$2,[20]table_male_hkom2_inj.U2!$A$1:$K$36,3,FALSE),0)</f>
        <v>0</v>
      </c>
      <c r="K582">
        <f>IFERROR(HLOOKUP(K$2,[20]table_male_hkom2_inj.U2!$A$1:$K$36,3,FALSE),0)</f>
        <v>0</v>
      </c>
      <c r="L582">
        <f>IFERROR(HLOOKUP(L$2,[20]table_male_hkom2_inj.U2!$A$1:$K$36,3,FALSE),0)</f>
        <v>0</v>
      </c>
      <c r="M582">
        <f t="shared" ref="M582:M614" si="190">SUM(E582:L582)</f>
        <v>0</v>
      </c>
      <c r="S582" t="s">
        <v>71</v>
      </c>
      <c r="T582" s="5">
        <f t="shared" ref="T582:T613" si="191">IF(SUM(E$581:E$613)=0,E$614/33,E582+IFERROR(E582/SUM(E$581:E$613)*E$614,0))</f>
        <v>0</v>
      </c>
      <c r="U582" s="5">
        <f t="shared" ref="U582:U613" si="192">IF(SUM(F$581:F$613)=0,F$614/33,F582+IFERROR(F582/SUM(F$581:F$613)*F$614,0))</f>
        <v>0</v>
      </c>
      <c r="V582" s="5">
        <f t="shared" ref="V582:V613" si="193">IF(SUM(G$581:G$613)=0,G$614/33,G582+IFERROR(G582/SUM(G$581:G$613)*G$614,0))</f>
        <v>0</v>
      </c>
      <c r="W582" s="5">
        <f t="shared" ref="W582:W613" si="194">IF(SUM(H$581:H$613)=0,H$614/33,H582+IFERROR(H582/SUM(H$581:H$613)*H$614,0))</f>
        <v>0</v>
      </c>
      <c r="X582" s="5">
        <f t="shared" ref="X582:X613" si="195">IF(SUM(I$581:I$613)=0,I$614/33,I582+IFERROR(I582/SUM(I$581:I$613)*I$614,0))</f>
        <v>0</v>
      </c>
      <c r="Y582" s="5">
        <f t="shared" ref="Y582:Y613" si="196">IF(SUM(J$581:J$613)=0,J$614/33,J582+IFERROR(J582/SUM(J$581:J$613)*J$614,0))</f>
        <v>3.0303030303030304E-2</v>
      </c>
      <c r="Z582" s="5">
        <f t="shared" ref="Z582:Z613" si="197">IF(SUM(K$581:K$613)=0,K$614/33,K582+IFERROR(K582/SUM(K$581:K$613)*K$614,0))</f>
        <v>0</v>
      </c>
      <c r="AA582" s="5">
        <f t="shared" ref="AA582:AA613" si="198">IF(SUM(L$581:L$613)=0,L$614/33,L582+IFERROR(L582/SUM(L$581:L$613)*L$614,0))</f>
        <v>0</v>
      </c>
      <c r="AB582" s="5">
        <f t="shared" si="178"/>
        <v>3.0303030303030304E-2</v>
      </c>
    </row>
    <row r="583" spans="1:29" x14ac:dyDescent="0.25">
      <c r="D583" t="s">
        <v>72</v>
      </c>
      <c r="E583" s="64"/>
      <c r="F583" s="64"/>
      <c r="G583">
        <f>IFERROR(HLOOKUP(G$2,[20]table_male_hkom2_inj.U2!$A$1:$K$36,4,FALSE),0)</f>
        <v>0</v>
      </c>
      <c r="H583">
        <f>IFERROR(HLOOKUP(H$2,[20]table_male_hkom2_inj.U2!$A$1:$K$36,4,FALSE),0)</f>
        <v>0</v>
      </c>
      <c r="I583">
        <f>IFERROR(HLOOKUP(I$2,[20]table_male_hkom2_inj.U2!$A$1:$K$36,4,FALSE),0)</f>
        <v>0</v>
      </c>
      <c r="J583">
        <f>IFERROR(HLOOKUP(J$2,[20]table_male_hkom2_inj.U2!$A$1:$K$36,4,FALSE),0)</f>
        <v>0</v>
      </c>
      <c r="K583">
        <f>IFERROR(HLOOKUP(K$2,[20]table_male_hkom2_inj.U2!$A$1:$K$36,4,FALSE),0)</f>
        <v>0</v>
      </c>
      <c r="L583">
        <f>IFERROR(HLOOKUP(L$2,[20]table_male_hkom2_inj.U2!$A$1:$K$36,4,FALSE),0)</f>
        <v>0</v>
      </c>
      <c r="M583">
        <f t="shared" si="190"/>
        <v>0</v>
      </c>
      <c r="S583" t="s">
        <v>72</v>
      </c>
      <c r="T583" s="5">
        <f t="shared" si="191"/>
        <v>0</v>
      </c>
      <c r="U583" s="5">
        <f t="shared" si="192"/>
        <v>0</v>
      </c>
      <c r="V583" s="5">
        <f t="shared" si="193"/>
        <v>0</v>
      </c>
      <c r="W583" s="5">
        <f t="shared" si="194"/>
        <v>0</v>
      </c>
      <c r="X583" s="5">
        <f t="shared" si="195"/>
        <v>0</v>
      </c>
      <c r="Y583" s="5">
        <f t="shared" si="196"/>
        <v>3.0303030303030304E-2</v>
      </c>
      <c r="Z583" s="5">
        <f t="shared" si="197"/>
        <v>0</v>
      </c>
      <c r="AA583" s="5">
        <f t="shared" si="198"/>
        <v>0</v>
      </c>
      <c r="AB583" s="5">
        <f t="shared" si="178"/>
        <v>3.0303030303030304E-2</v>
      </c>
    </row>
    <row r="584" spans="1:29" x14ac:dyDescent="0.25">
      <c r="D584" t="s">
        <v>73</v>
      </c>
      <c r="E584" s="64"/>
      <c r="F584" s="64"/>
      <c r="G584">
        <f>IFERROR(HLOOKUP(G$2,[20]table_male_hkom2_inj.U2!$A$1:$K$36,5,FALSE),0)</f>
        <v>0</v>
      </c>
      <c r="H584">
        <f>IFERROR(HLOOKUP(H$2,[20]table_male_hkom2_inj.U2!$A$1:$K$36,5,FALSE),0)</f>
        <v>0</v>
      </c>
      <c r="I584">
        <f>IFERROR(HLOOKUP(I$2,[20]table_male_hkom2_inj.U2!$A$1:$K$36,5,FALSE),0)</f>
        <v>0</v>
      </c>
      <c r="J584">
        <f>IFERROR(HLOOKUP(J$2,[20]table_male_hkom2_inj.U2!$A$1:$K$36,5,FALSE),0)</f>
        <v>0</v>
      </c>
      <c r="K584">
        <f>IFERROR(HLOOKUP(K$2,[20]table_male_hkom2_inj.U2!$A$1:$K$36,5,FALSE),0)</f>
        <v>0</v>
      </c>
      <c r="L584">
        <f>IFERROR(HLOOKUP(L$2,[20]table_male_hkom2_inj.U2!$A$1:$K$36,5,FALSE),0)</f>
        <v>0</v>
      </c>
      <c r="M584">
        <f t="shared" si="190"/>
        <v>0</v>
      </c>
      <c r="S584" t="s">
        <v>73</v>
      </c>
      <c r="T584" s="5">
        <f t="shared" si="191"/>
        <v>0</v>
      </c>
      <c r="U584" s="5">
        <f t="shared" si="192"/>
        <v>0</v>
      </c>
      <c r="V584" s="5">
        <f t="shared" si="193"/>
        <v>0</v>
      </c>
      <c r="W584" s="5">
        <f t="shared" si="194"/>
        <v>0</v>
      </c>
      <c r="X584" s="5">
        <f t="shared" si="195"/>
        <v>0</v>
      </c>
      <c r="Y584" s="5">
        <f t="shared" si="196"/>
        <v>3.0303030303030304E-2</v>
      </c>
      <c r="Z584" s="5">
        <f t="shared" si="197"/>
        <v>0</v>
      </c>
      <c r="AA584" s="5">
        <f t="shared" si="198"/>
        <v>0</v>
      </c>
      <c r="AB584" s="5">
        <f t="shared" si="178"/>
        <v>3.0303030303030304E-2</v>
      </c>
    </row>
    <row r="585" spans="1:29" x14ac:dyDescent="0.25">
      <c r="D585" t="s">
        <v>74</v>
      </c>
      <c r="E585" s="64"/>
      <c r="F585" s="64"/>
      <c r="G585">
        <f>IFERROR(HLOOKUP(G$2,[20]table_male_hkom2_inj.U2!$A$1:$K$36,6,FALSE),0)</f>
        <v>0</v>
      </c>
      <c r="H585">
        <f>IFERROR(HLOOKUP(H$2,[20]table_male_hkom2_inj.U2!$A$1:$K$36,6,FALSE),0)</f>
        <v>0</v>
      </c>
      <c r="I585">
        <f>IFERROR(HLOOKUP(I$2,[20]table_male_hkom2_inj.U2!$A$1:$K$36,6,FALSE),0)</f>
        <v>0</v>
      </c>
      <c r="J585">
        <f>IFERROR(HLOOKUP(J$2,[20]table_male_hkom2_inj.U2!$A$1:$K$36,6,FALSE),0)</f>
        <v>0</v>
      </c>
      <c r="K585">
        <f>IFERROR(HLOOKUP(K$2,[20]table_male_hkom2_inj.U2!$A$1:$K$36,6,FALSE),0)</f>
        <v>0</v>
      </c>
      <c r="L585">
        <f>IFERROR(HLOOKUP(L$2,[20]table_male_hkom2_inj.U2!$A$1:$K$36,6,FALSE),0)</f>
        <v>0</v>
      </c>
      <c r="M585">
        <f t="shared" si="190"/>
        <v>0</v>
      </c>
      <c r="S585" t="s">
        <v>74</v>
      </c>
      <c r="T585" s="5">
        <f t="shared" si="191"/>
        <v>0</v>
      </c>
      <c r="U585" s="5">
        <f t="shared" si="192"/>
        <v>0</v>
      </c>
      <c r="V585" s="5">
        <f t="shared" si="193"/>
        <v>0</v>
      </c>
      <c r="W585" s="5">
        <f t="shared" si="194"/>
        <v>0</v>
      </c>
      <c r="X585" s="5">
        <f t="shared" si="195"/>
        <v>0</v>
      </c>
      <c r="Y585" s="5">
        <f t="shared" si="196"/>
        <v>3.0303030303030304E-2</v>
      </c>
      <c r="Z585" s="5">
        <f t="shared" si="197"/>
        <v>0</v>
      </c>
      <c r="AA585" s="5">
        <f t="shared" si="198"/>
        <v>0</v>
      </c>
      <c r="AB585" s="5">
        <f t="shared" si="178"/>
        <v>3.0303030303030304E-2</v>
      </c>
    </row>
    <row r="586" spans="1:29" x14ac:dyDescent="0.25">
      <c r="D586" t="s">
        <v>75</v>
      </c>
      <c r="E586" s="64"/>
      <c r="F586" s="64"/>
      <c r="G586">
        <f>IFERROR(HLOOKUP(G$2,[20]table_male_hkom2_inj.U2!$A$1:$K$36,7,FALSE),0)</f>
        <v>0</v>
      </c>
      <c r="H586">
        <f>IFERROR(HLOOKUP(H$2,[20]table_male_hkom2_inj.U2!$A$1:$K$36,7,FALSE),0)</f>
        <v>0</v>
      </c>
      <c r="I586">
        <f>IFERROR(HLOOKUP(I$2,[20]table_male_hkom2_inj.U2!$A$1:$K$36,7,FALSE),0)</f>
        <v>0</v>
      </c>
      <c r="J586">
        <f>IFERROR(HLOOKUP(J$2,[20]table_male_hkom2_inj.U2!$A$1:$K$36,7,FALSE),0)</f>
        <v>0</v>
      </c>
      <c r="K586">
        <f>IFERROR(HLOOKUP(K$2,[20]table_male_hkom2_inj.U2!$A$1:$K$36,7,FALSE),0)</f>
        <v>0</v>
      </c>
      <c r="L586">
        <f>IFERROR(HLOOKUP(L$2,[20]table_male_hkom2_inj.U2!$A$1:$K$36,7,FALSE),0)</f>
        <v>0</v>
      </c>
      <c r="M586">
        <f t="shared" si="190"/>
        <v>0</v>
      </c>
      <c r="S586" t="s">
        <v>75</v>
      </c>
      <c r="T586" s="5">
        <f t="shared" si="191"/>
        <v>0</v>
      </c>
      <c r="U586" s="5">
        <f t="shared" si="192"/>
        <v>0</v>
      </c>
      <c r="V586" s="5">
        <f t="shared" si="193"/>
        <v>0</v>
      </c>
      <c r="W586" s="5">
        <f t="shared" si="194"/>
        <v>0</v>
      </c>
      <c r="X586" s="5">
        <f t="shared" si="195"/>
        <v>0</v>
      </c>
      <c r="Y586" s="5">
        <f t="shared" si="196"/>
        <v>3.0303030303030304E-2</v>
      </c>
      <c r="Z586" s="5">
        <f t="shared" si="197"/>
        <v>0</v>
      </c>
      <c r="AA586" s="5">
        <f t="shared" si="198"/>
        <v>0</v>
      </c>
      <c r="AB586" s="5">
        <f t="shared" si="178"/>
        <v>3.0303030303030304E-2</v>
      </c>
    </row>
    <row r="587" spans="1:29" x14ac:dyDescent="0.25">
      <c r="D587" t="s">
        <v>76</v>
      </c>
      <c r="E587" s="64"/>
      <c r="F587" s="64"/>
      <c r="G587">
        <f>IFERROR(HLOOKUP(G$2,[20]table_male_hkom2_inj.U2!$A$1:$K$36,8,FALSE),0)</f>
        <v>0</v>
      </c>
      <c r="H587">
        <f>IFERROR(HLOOKUP(H$2,[20]table_male_hkom2_inj.U2!$A$1:$K$36,8,FALSE),0)</f>
        <v>0</v>
      </c>
      <c r="I587">
        <f>IFERROR(HLOOKUP(I$2,[20]table_male_hkom2_inj.U2!$A$1:$K$36,8,FALSE),0)</f>
        <v>0</v>
      </c>
      <c r="J587">
        <f>IFERROR(HLOOKUP(J$2,[20]table_male_hkom2_inj.U2!$A$1:$K$36,8,FALSE),0)</f>
        <v>0</v>
      </c>
      <c r="K587">
        <f>IFERROR(HLOOKUP(K$2,[20]table_male_hkom2_inj.U2!$A$1:$K$36,8,FALSE),0)</f>
        <v>0</v>
      </c>
      <c r="L587">
        <f>IFERROR(HLOOKUP(L$2,[20]table_male_hkom2_inj.U2!$A$1:$K$36,8,FALSE),0)</f>
        <v>0</v>
      </c>
      <c r="M587">
        <f t="shared" si="190"/>
        <v>0</v>
      </c>
      <c r="S587" t="s">
        <v>76</v>
      </c>
      <c r="T587" s="5">
        <f t="shared" si="191"/>
        <v>0</v>
      </c>
      <c r="U587" s="5">
        <f t="shared" si="192"/>
        <v>0</v>
      </c>
      <c r="V587" s="5">
        <f t="shared" si="193"/>
        <v>0</v>
      </c>
      <c r="W587" s="5">
        <f t="shared" si="194"/>
        <v>0</v>
      </c>
      <c r="X587" s="5">
        <f t="shared" si="195"/>
        <v>0</v>
      </c>
      <c r="Y587" s="5">
        <f t="shared" si="196"/>
        <v>3.0303030303030304E-2</v>
      </c>
      <c r="Z587" s="5">
        <f t="shared" si="197"/>
        <v>0</v>
      </c>
      <c r="AA587" s="5">
        <f t="shared" si="198"/>
        <v>0</v>
      </c>
      <c r="AB587" s="5">
        <f t="shared" si="178"/>
        <v>3.0303030303030304E-2</v>
      </c>
    </row>
    <row r="588" spans="1:29" x14ac:dyDescent="0.25">
      <c r="D588" t="s">
        <v>77</v>
      </c>
      <c r="E588" s="64"/>
      <c r="F588" s="64"/>
      <c r="G588">
        <f>IFERROR(HLOOKUP(G$2,[20]table_male_hkom2_inj.U2!$A$1:$K$36,9,FALSE),0)</f>
        <v>0</v>
      </c>
      <c r="H588">
        <f>IFERROR(HLOOKUP(H$2,[20]table_male_hkom2_inj.U2!$A$1:$K$36,9,FALSE),0)</f>
        <v>0</v>
      </c>
      <c r="I588">
        <f>IFERROR(HLOOKUP(I$2,[20]table_male_hkom2_inj.U2!$A$1:$K$36,9,FALSE),0)</f>
        <v>0</v>
      </c>
      <c r="J588">
        <f>IFERROR(HLOOKUP(J$2,[20]table_male_hkom2_inj.U2!$A$1:$K$36,9,FALSE),0)</f>
        <v>0</v>
      </c>
      <c r="K588">
        <f>IFERROR(HLOOKUP(K$2,[20]table_male_hkom2_inj.U2!$A$1:$K$36,9,FALSE),0)</f>
        <v>0</v>
      </c>
      <c r="L588">
        <f>IFERROR(HLOOKUP(L$2,[20]table_male_hkom2_inj.U2!$A$1:$K$36,9,FALSE),0)</f>
        <v>0</v>
      </c>
      <c r="M588">
        <f t="shared" si="190"/>
        <v>0</v>
      </c>
      <c r="S588" t="s">
        <v>77</v>
      </c>
      <c r="T588" s="5">
        <f t="shared" si="191"/>
        <v>0</v>
      </c>
      <c r="U588" s="5">
        <f t="shared" si="192"/>
        <v>0</v>
      </c>
      <c r="V588" s="5">
        <f t="shared" si="193"/>
        <v>0</v>
      </c>
      <c r="W588" s="5">
        <f t="shared" si="194"/>
        <v>0</v>
      </c>
      <c r="X588" s="5">
        <f t="shared" si="195"/>
        <v>0</v>
      </c>
      <c r="Y588" s="5">
        <f t="shared" si="196"/>
        <v>3.0303030303030304E-2</v>
      </c>
      <c r="Z588" s="5">
        <f t="shared" si="197"/>
        <v>0</v>
      </c>
      <c r="AA588" s="5">
        <f t="shared" si="198"/>
        <v>0</v>
      </c>
      <c r="AB588" s="5">
        <f t="shared" si="178"/>
        <v>3.0303030303030304E-2</v>
      </c>
    </row>
    <row r="589" spans="1:29" x14ac:dyDescent="0.25">
      <c r="D589" t="s">
        <v>78</v>
      </c>
      <c r="E589" s="64"/>
      <c r="F589" s="64"/>
      <c r="G589">
        <f>IFERROR(HLOOKUP(G$2,[20]table_male_hkom2_inj.U2!$A$1:$K$36,10,FALSE),0)</f>
        <v>0</v>
      </c>
      <c r="H589">
        <f>IFERROR(HLOOKUP(H$2,[20]table_male_hkom2_inj.U2!$A$1:$K$36,10,FALSE),0)</f>
        <v>0</v>
      </c>
      <c r="I589">
        <f>IFERROR(HLOOKUP(I$2,[20]table_male_hkom2_inj.U2!$A$1:$K$36,10,FALSE),0)</f>
        <v>0</v>
      </c>
      <c r="J589">
        <f>IFERROR(HLOOKUP(J$2,[20]table_male_hkom2_inj.U2!$A$1:$K$36,10,FALSE),0)</f>
        <v>0</v>
      </c>
      <c r="K589">
        <f>IFERROR(HLOOKUP(K$2,[20]table_male_hkom2_inj.U2!$A$1:$K$36,10,FALSE),0)</f>
        <v>0</v>
      </c>
      <c r="L589">
        <f>IFERROR(HLOOKUP(L$2,[20]table_male_hkom2_inj.U2!$A$1:$K$36,10,FALSE),0)</f>
        <v>0</v>
      </c>
      <c r="M589">
        <f t="shared" si="190"/>
        <v>0</v>
      </c>
      <c r="S589" t="s">
        <v>78</v>
      </c>
      <c r="T589" s="5">
        <f t="shared" si="191"/>
        <v>0</v>
      </c>
      <c r="U589" s="5">
        <f t="shared" si="192"/>
        <v>0</v>
      </c>
      <c r="V589" s="5">
        <f t="shared" si="193"/>
        <v>0</v>
      </c>
      <c r="W589" s="5">
        <f t="shared" si="194"/>
        <v>0</v>
      </c>
      <c r="X589" s="5">
        <f t="shared" si="195"/>
        <v>0</v>
      </c>
      <c r="Y589" s="5">
        <f t="shared" si="196"/>
        <v>3.0303030303030304E-2</v>
      </c>
      <c r="Z589" s="5">
        <f t="shared" si="197"/>
        <v>0</v>
      </c>
      <c r="AA589" s="5">
        <f t="shared" si="198"/>
        <v>0</v>
      </c>
      <c r="AB589" s="5">
        <f t="shared" si="178"/>
        <v>3.0303030303030304E-2</v>
      </c>
    </row>
    <row r="590" spans="1:29" x14ac:dyDescent="0.25">
      <c r="D590" t="s">
        <v>79</v>
      </c>
      <c r="E590" s="64"/>
      <c r="F590" s="64"/>
      <c r="G590">
        <f>IFERROR(HLOOKUP(G$2,[20]table_male_hkom2_inj.U2!$A$1:$K$36,11,FALSE),0)</f>
        <v>0</v>
      </c>
      <c r="H590">
        <f>IFERROR(HLOOKUP(H$2,[20]table_male_hkom2_inj.U2!$A$1:$K$36,11,FALSE),0)</f>
        <v>0</v>
      </c>
      <c r="I590">
        <f>IFERROR(HLOOKUP(I$2,[20]table_male_hkom2_inj.U2!$A$1:$K$36,11,FALSE),0)</f>
        <v>0</v>
      </c>
      <c r="J590">
        <f>IFERROR(HLOOKUP(J$2,[20]table_male_hkom2_inj.U2!$A$1:$K$36,11,FALSE),0)</f>
        <v>0</v>
      </c>
      <c r="K590">
        <f>IFERROR(HLOOKUP(K$2,[20]table_male_hkom2_inj.U2!$A$1:$K$36,11,FALSE),0)</f>
        <v>0</v>
      </c>
      <c r="L590">
        <f>IFERROR(HLOOKUP(L$2,[20]table_male_hkom2_inj.U2!$A$1:$K$36,11,FALSE),0)</f>
        <v>0</v>
      </c>
      <c r="M590">
        <f t="shared" si="190"/>
        <v>0</v>
      </c>
      <c r="S590" t="s">
        <v>79</v>
      </c>
      <c r="T590" s="5">
        <f t="shared" si="191"/>
        <v>0</v>
      </c>
      <c r="U590" s="5">
        <f t="shared" si="192"/>
        <v>0</v>
      </c>
      <c r="V590" s="5">
        <f t="shared" si="193"/>
        <v>0</v>
      </c>
      <c r="W590" s="5">
        <f t="shared" si="194"/>
        <v>0</v>
      </c>
      <c r="X590" s="5">
        <f t="shared" si="195"/>
        <v>0</v>
      </c>
      <c r="Y590" s="5">
        <f t="shared" si="196"/>
        <v>3.0303030303030304E-2</v>
      </c>
      <c r="Z590" s="5">
        <f t="shared" si="197"/>
        <v>0</v>
      </c>
      <c r="AA590" s="5">
        <f t="shared" si="198"/>
        <v>0</v>
      </c>
      <c r="AB590" s="5">
        <f t="shared" si="178"/>
        <v>3.0303030303030304E-2</v>
      </c>
    </row>
    <row r="591" spans="1:29" x14ac:dyDescent="0.25">
      <c r="D591" t="s">
        <v>80</v>
      </c>
      <c r="E591" s="64"/>
      <c r="F591" s="64"/>
      <c r="G591">
        <f>IFERROR(HLOOKUP(G$2,[20]table_male_hkom2_inj.U2!$A$1:$K$36,12,FALSE),0)</f>
        <v>0</v>
      </c>
      <c r="H591">
        <f>IFERROR(HLOOKUP(H$2,[20]table_male_hkom2_inj.U2!$A$1:$K$36,12,FALSE),0)</f>
        <v>0</v>
      </c>
      <c r="I591">
        <f>IFERROR(HLOOKUP(I$2,[20]table_male_hkom2_inj.U2!$A$1:$K$36,12,FALSE),0)</f>
        <v>0</v>
      </c>
      <c r="J591">
        <f>IFERROR(HLOOKUP(J$2,[20]table_male_hkom2_inj.U2!$A$1:$K$36,12,FALSE),0)</f>
        <v>0</v>
      </c>
      <c r="K591">
        <f>IFERROR(HLOOKUP(K$2,[20]table_male_hkom2_inj.U2!$A$1:$K$36,12,FALSE),0)</f>
        <v>0</v>
      </c>
      <c r="L591">
        <f>IFERROR(HLOOKUP(L$2,[20]table_male_hkom2_inj.U2!$A$1:$K$36,12,FALSE),0)</f>
        <v>0</v>
      </c>
      <c r="M591">
        <f t="shared" si="190"/>
        <v>0</v>
      </c>
      <c r="S591" t="s">
        <v>80</v>
      </c>
      <c r="T591" s="5">
        <f t="shared" si="191"/>
        <v>0</v>
      </c>
      <c r="U591" s="5">
        <f t="shared" si="192"/>
        <v>0</v>
      </c>
      <c r="V591" s="5">
        <f t="shared" si="193"/>
        <v>0</v>
      </c>
      <c r="W591" s="5">
        <f t="shared" si="194"/>
        <v>0</v>
      </c>
      <c r="X591" s="5">
        <f t="shared" si="195"/>
        <v>0</v>
      </c>
      <c r="Y591" s="5">
        <f t="shared" si="196"/>
        <v>3.0303030303030304E-2</v>
      </c>
      <c r="Z591" s="5">
        <f t="shared" si="197"/>
        <v>0</v>
      </c>
      <c r="AA591" s="5">
        <f t="shared" si="198"/>
        <v>0</v>
      </c>
      <c r="AB591" s="5">
        <f t="shared" si="178"/>
        <v>3.0303030303030304E-2</v>
      </c>
    </row>
    <row r="592" spans="1:29" x14ac:dyDescent="0.25">
      <c r="D592" t="s">
        <v>81</v>
      </c>
      <c r="E592" s="64"/>
      <c r="F592" s="64"/>
      <c r="G592">
        <f>IFERROR(HLOOKUP(G$2,[20]table_male_hkom2_inj.U2!$A$1:$K$36,13,FALSE),0)</f>
        <v>0</v>
      </c>
      <c r="H592">
        <f>IFERROR(HLOOKUP(H$2,[20]table_male_hkom2_inj.U2!$A$1:$K$36,13,FALSE),0)</f>
        <v>0</v>
      </c>
      <c r="I592">
        <f>IFERROR(HLOOKUP(I$2,[20]table_male_hkom2_inj.U2!$A$1:$K$36,13,FALSE),0)</f>
        <v>0</v>
      </c>
      <c r="J592">
        <f>IFERROR(HLOOKUP(J$2,[20]table_male_hkom2_inj.U2!$A$1:$K$36,13,FALSE),0)</f>
        <v>0</v>
      </c>
      <c r="K592">
        <f>IFERROR(HLOOKUP(K$2,[20]table_male_hkom2_inj.U2!$A$1:$K$36,13,FALSE),0)</f>
        <v>0</v>
      </c>
      <c r="L592">
        <f>IFERROR(HLOOKUP(L$2,[20]table_male_hkom2_inj.U2!$A$1:$K$36,13,FALSE),0)</f>
        <v>0</v>
      </c>
      <c r="M592">
        <f t="shared" si="190"/>
        <v>0</v>
      </c>
      <c r="S592" t="s">
        <v>81</v>
      </c>
      <c r="T592" s="5">
        <f t="shared" si="191"/>
        <v>0</v>
      </c>
      <c r="U592" s="5">
        <f t="shared" si="192"/>
        <v>0</v>
      </c>
      <c r="V592" s="5">
        <f t="shared" si="193"/>
        <v>0</v>
      </c>
      <c r="W592" s="5">
        <f t="shared" si="194"/>
        <v>0</v>
      </c>
      <c r="X592" s="5">
        <f t="shared" si="195"/>
        <v>0</v>
      </c>
      <c r="Y592" s="5">
        <f t="shared" si="196"/>
        <v>3.0303030303030304E-2</v>
      </c>
      <c r="Z592" s="5">
        <f t="shared" si="197"/>
        <v>0</v>
      </c>
      <c r="AA592" s="5">
        <f t="shared" si="198"/>
        <v>0</v>
      </c>
      <c r="AB592" s="5">
        <f t="shared" si="178"/>
        <v>3.0303030303030304E-2</v>
      </c>
    </row>
    <row r="593" spans="4:28" x14ac:dyDescent="0.25">
      <c r="D593" t="s">
        <v>82</v>
      </c>
      <c r="E593" s="64"/>
      <c r="F593" s="64"/>
      <c r="G593">
        <f>IFERROR(HLOOKUP(G$2,[20]table_male_hkom2_inj.U2!$A$1:$K$36,14,FALSE),0)</f>
        <v>0</v>
      </c>
      <c r="H593">
        <f>IFERROR(HLOOKUP(H$2,[20]table_male_hkom2_inj.U2!$A$1:$K$36,14,FALSE),0)</f>
        <v>0</v>
      </c>
      <c r="I593">
        <f>IFERROR(HLOOKUP(I$2,[20]table_male_hkom2_inj.U2!$A$1:$K$36,14,FALSE),0)</f>
        <v>0</v>
      </c>
      <c r="J593">
        <f>IFERROR(HLOOKUP(J$2,[20]table_male_hkom2_inj.U2!$A$1:$K$36,14,FALSE),0)</f>
        <v>0</v>
      </c>
      <c r="K593">
        <f>IFERROR(HLOOKUP(K$2,[20]table_male_hkom2_inj.U2!$A$1:$K$36,14,FALSE),0)</f>
        <v>0</v>
      </c>
      <c r="L593">
        <f>IFERROR(HLOOKUP(L$2,[20]table_male_hkom2_inj.U2!$A$1:$K$36,14,FALSE),0)</f>
        <v>0</v>
      </c>
      <c r="M593">
        <f t="shared" si="190"/>
        <v>0</v>
      </c>
      <c r="S593" t="s">
        <v>82</v>
      </c>
      <c r="T593" s="5">
        <f t="shared" si="191"/>
        <v>0</v>
      </c>
      <c r="U593" s="5">
        <f t="shared" si="192"/>
        <v>0</v>
      </c>
      <c r="V593" s="5">
        <f t="shared" si="193"/>
        <v>0</v>
      </c>
      <c r="W593" s="5">
        <f t="shared" si="194"/>
        <v>0</v>
      </c>
      <c r="X593" s="5">
        <f t="shared" si="195"/>
        <v>0</v>
      </c>
      <c r="Y593" s="5">
        <f t="shared" si="196"/>
        <v>3.0303030303030304E-2</v>
      </c>
      <c r="Z593" s="5">
        <f t="shared" si="197"/>
        <v>0</v>
      </c>
      <c r="AA593" s="5">
        <f t="shared" si="198"/>
        <v>0</v>
      </c>
      <c r="AB593" s="5">
        <f t="shared" si="178"/>
        <v>3.0303030303030304E-2</v>
      </c>
    </row>
    <row r="594" spans="4:28" x14ac:dyDescent="0.25">
      <c r="D594" t="s">
        <v>83</v>
      </c>
      <c r="E594" s="64"/>
      <c r="F594" s="64"/>
      <c r="G594">
        <f>IFERROR(HLOOKUP(G$2,[20]table_male_hkom2_inj.U2!$A$1:$K$36,15,FALSE),0)</f>
        <v>0</v>
      </c>
      <c r="H594">
        <f>IFERROR(HLOOKUP(H$2,[20]table_male_hkom2_inj.U2!$A$1:$K$36,15,FALSE),0)</f>
        <v>0</v>
      </c>
      <c r="I594">
        <f>IFERROR(HLOOKUP(I$2,[20]table_male_hkom2_inj.U2!$A$1:$K$36,15,FALSE),0)</f>
        <v>0</v>
      </c>
      <c r="J594">
        <f>IFERROR(HLOOKUP(J$2,[20]table_male_hkom2_inj.U2!$A$1:$K$36,15,FALSE),0)</f>
        <v>0</v>
      </c>
      <c r="K594">
        <f>IFERROR(HLOOKUP(K$2,[20]table_male_hkom2_inj.U2!$A$1:$K$36,15,FALSE),0)</f>
        <v>0</v>
      </c>
      <c r="L594">
        <f>IFERROR(HLOOKUP(L$2,[20]table_male_hkom2_inj.U2!$A$1:$K$36,15,FALSE),0)</f>
        <v>0</v>
      </c>
      <c r="M594">
        <f t="shared" si="190"/>
        <v>0</v>
      </c>
      <c r="S594" t="s">
        <v>83</v>
      </c>
      <c r="T594" s="5">
        <f t="shared" si="191"/>
        <v>0</v>
      </c>
      <c r="U594" s="5">
        <f t="shared" si="192"/>
        <v>0</v>
      </c>
      <c r="V594" s="5">
        <f t="shared" si="193"/>
        <v>0</v>
      </c>
      <c r="W594" s="5">
        <f t="shared" si="194"/>
        <v>0</v>
      </c>
      <c r="X594" s="5">
        <f t="shared" si="195"/>
        <v>0</v>
      </c>
      <c r="Y594" s="5">
        <f t="shared" si="196"/>
        <v>3.0303030303030304E-2</v>
      </c>
      <c r="Z594" s="5">
        <f t="shared" si="197"/>
        <v>0</v>
      </c>
      <c r="AA594" s="5">
        <f t="shared" si="198"/>
        <v>0</v>
      </c>
      <c r="AB594" s="5">
        <f t="shared" si="178"/>
        <v>3.0303030303030304E-2</v>
      </c>
    </row>
    <row r="595" spans="4:28" x14ac:dyDescent="0.25">
      <c r="D595" t="s">
        <v>84</v>
      </c>
      <c r="E595" s="64"/>
      <c r="F595" s="64"/>
      <c r="G595">
        <f>IFERROR(HLOOKUP(G$2,[20]table_male_hkom2_inj.U2!$A$1:$K$36,16,FALSE),0)</f>
        <v>0</v>
      </c>
      <c r="H595">
        <f>IFERROR(HLOOKUP(H$2,[20]table_male_hkom2_inj.U2!$A$1:$K$36,16,FALSE),0)</f>
        <v>0</v>
      </c>
      <c r="I595">
        <f>IFERROR(HLOOKUP(I$2,[20]table_male_hkom2_inj.U2!$A$1:$K$36,16,FALSE),0)</f>
        <v>0</v>
      </c>
      <c r="J595">
        <f>IFERROR(HLOOKUP(J$2,[20]table_male_hkom2_inj.U2!$A$1:$K$36,16,FALSE),0)</f>
        <v>0</v>
      </c>
      <c r="K595">
        <f>IFERROR(HLOOKUP(K$2,[20]table_male_hkom2_inj.U2!$A$1:$K$36,16,FALSE),0)</f>
        <v>0</v>
      </c>
      <c r="L595">
        <f>IFERROR(HLOOKUP(L$2,[20]table_male_hkom2_inj.U2!$A$1:$K$36,16,FALSE),0)</f>
        <v>0</v>
      </c>
      <c r="M595">
        <f t="shared" si="190"/>
        <v>0</v>
      </c>
      <c r="S595" t="s">
        <v>84</v>
      </c>
      <c r="T595" s="5">
        <f t="shared" si="191"/>
        <v>0</v>
      </c>
      <c r="U595" s="5">
        <f t="shared" si="192"/>
        <v>0</v>
      </c>
      <c r="V595" s="5">
        <f t="shared" si="193"/>
        <v>0</v>
      </c>
      <c r="W595" s="5">
        <f t="shared" si="194"/>
        <v>0</v>
      </c>
      <c r="X595" s="5">
        <f t="shared" si="195"/>
        <v>0</v>
      </c>
      <c r="Y595" s="5">
        <f t="shared" si="196"/>
        <v>3.0303030303030304E-2</v>
      </c>
      <c r="Z595" s="5">
        <f t="shared" si="197"/>
        <v>0</v>
      </c>
      <c r="AA595" s="5">
        <f t="shared" si="198"/>
        <v>0</v>
      </c>
      <c r="AB595" s="5">
        <f t="shared" si="178"/>
        <v>3.0303030303030304E-2</v>
      </c>
    </row>
    <row r="596" spans="4:28" x14ac:dyDescent="0.25">
      <c r="D596" t="s">
        <v>85</v>
      </c>
      <c r="E596" s="64"/>
      <c r="F596" s="64"/>
      <c r="G596">
        <f>IFERROR(HLOOKUP(G$2,[20]table_male_hkom2_inj.U2!$A$1:$K$36,17,FALSE),0)</f>
        <v>0</v>
      </c>
      <c r="H596">
        <f>IFERROR(HLOOKUP(H$2,[20]table_male_hkom2_inj.U2!$A$1:$K$36,17,FALSE),0)</f>
        <v>0</v>
      </c>
      <c r="I596">
        <f>IFERROR(HLOOKUP(I$2,[20]table_male_hkom2_inj.U2!$A$1:$K$36,17,FALSE),0)</f>
        <v>0</v>
      </c>
      <c r="J596">
        <f>IFERROR(HLOOKUP(J$2,[20]table_male_hkom2_inj.U2!$A$1:$K$36,17,FALSE),0)</f>
        <v>0</v>
      </c>
      <c r="K596">
        <f>IFERROR(HLOOKUP(K$2,[20]table_male_hkom2_inj.U2!$A$1:$K$36,17,FALSE),0)</f>
        <v>0</v>
      </c>
      <c r="L596">
        <f>IFERROR(HLOOKUP(L$2,[20]table_male_hkom2_inj.U2!$A$1:$K$36,17,FALSE),0)</f>
        <v>0</v>
      </c>
      <c r="M596">
        <f t="shared" si="190"/>
        <v>0</v>
      </c>
      <c r="S596" t="s">
        <v>85</v>
      </c>
      <c r="T596" s="5">
        <f t="shared" si="191"/>
        <v>0</v>
      </c>
      <c r="U596" s="5">
        <f t="shared" si="192"/>
        <v>0</v>
      </c>
      <c r="V596" s="5">
        <f t="shared" si="193"/>
        <v>0</v>
      </c>
      <c r="W596" s="5">
        <f t="shared" si="194"/>
        <v>0</v>
      </c>
      <c r="X596" s="5">
        <f t="shared" si="195"/>
        <v>0</v>
      </c>
      <c r="Y596" s="5">
        <f t="shared" si="196"/>
        <v>3.0303030303030304E-2</v>
      </c>
      <c r="Z596" s="5">
        <f t="shared" si="197"/>
        <v>0</v>
      </c>
      <c r="AA596" s="5">
        <f t="shared" si="198"/>
        <v>0</v>
      </c>
      <c r="AB596" s="5">
        <f t="shared" ref="AB596:AB659" si="199">SUM(T596:AA596)</f>
        <v>3.0303030303030304E-2</v>
      </c>
    </row>
    <row r="597" spans="4:28" x14ac:dyDescent="0.25">
      <c r="D597" t="s">
        <v>86</v>
      </c>
      <c r="E597" s="64"/>
      <c r="F597" s="64"/>
      <c r="G597">
        <f>IFERROR(HLOOKUP(G$2,[20]table_male_hkom2_inj.U2!$A$1:$K$36,18,FALSE),0)</f>
        <v>0</v>
      </c>
      <c r="H597">
        <f>IFERROR(HLOOKUP(H$2,[20]table_male_hkom2_inj.U2!$A$1:$K$36,18,FALSE),0)</f>
        <v>0</v>
      </c>
      <c r="I597">
        <f>IFERROR(HLOOKUP(I$2,[20]table_male_hkom2_inj.U2!$A$1:$K$36,18,FALSE),0)</f>
        <v>0</v>
      </c>
      <c r="J597">
        <f>IFERROR(HLOOKUP(J$2,[20]table_male_hkom2_inj.U2!$A$1:$K$36,18,FALSE),0)</f>
        <v>0</v>
      </c>
      <c r="K597">
        <f>IFERROR(HLOOKUP(K$2,[20]table_male_hkom2_inj.U2!$A$1:$K$36,18,FALSE),0)</f>
        <v>0</v>
      </c>
      <c r="L597">
        <f>IFERROR(HLOOKUP(L$2,[20]table_male_hkom2_inj.U2!$A$1:$K$36,18,FALSE),0)</f>
        <v>0</v>
      </c>
      <c r="M597">
        <f t="shared" si="190"/>
        <v>0</v>
      </c>
      <c r="S597" t="s">
        <v>86</v>
      </c>
      <c r="T597" s="5">
        <f t="shared" si="191"/>
        <v>0</v>
      </c>
      <c r="U597" s="5">
        <f t="shared" si="192"/>
        <v>0</v>
      </c>
      <c r="V597" s="5">
        <f t="shared" si="193"/>
        <v>0</v>
      </c>
      <c r="W597" s="5">
        <f t="shared" si="194"/>
        <v>0</v>
      </c>
      <c r="X597" s="5">
        <f t="shared" si="195"/>
        <v>0</v>
      </c>
      <c r="Y597" s="5">
        <f t="shared" si="196"/>
        <v>3.0303030303030304E-2</v>
      </c>
      <c r="Z597" s="5">
        <f t="shared" si="197"/>
        <v>0</v>
      </c>
      <c r="AA597" s="5">
        <f t="shared" si="198"/>
        <v>0</v>
      </c>
      <c r="AB597" s="5">
        <f t="shared" si="199"/>
        <v>3.0303030303030304E-2</v>
      </c>
    </row>
    <row r="598" spans="4:28" x14ac:dyDescent="0.25">
      <c r="D598" t="s">
        <v>87</v>
      </c>
      <c r="E598" s="64"/>
      <c r="F598" s="64"/>
      <c r="G598">
        <f>IFERROR(HLOOKUP(G$2,[20]table_male_hkom2_inj.U2!$A$1:$K$36,19,FALSE),0)</f>
        <v>0</v>
      </c>
      <c r="H598">
        <f>IFERROR(HLOOKUP(H$2,[20]table_male_hkom2_inj.U2!$A$1:$K$36,19,FALSE),0)</f>
        <v>0</v>
      </c>
      <c r="I598">
        <f>IFERROR(HLOOKUP(I$2,[20]table_male_hkom2_inj.U2!$A$1:$K$36,19,FALSE),0)</f>
        <v>0</v>
      </c>
      <c r="J598">
        <f>IFERROR(HLOOKUP(J$2,[20]table_male_hkom2_inj.U2!$A$1:$K$36,19,FALSE),0)</f>
        <v>0</v>
      </c>
      <c r="K598">
        <f>IFERROR(HLOOKUP(K$2,[20]table_male_hkom2_inj.U2!$A$1:$K$36,19,FALSE),0)</f>
        <v>0</v>
      </c>
      <c r="L598">
        <f>IFERROR(HLOOKUP(L$2,[20]table_male_hkom2_inj.U2!$A$1:$K$36,19,FALSE),0)</f>
        <v>0</v>
      </c>
      <c r="M598">
        <f t="shared" si="190"/>
        <v>0</v>
      </c>
      <c r="S598" t="s">
        <v>87</v>
      </c>
      <c r="T598" s="5">
        <f t="shared" si="191"/>
        <v>0</v>
      </c>
      <c r="U598" s="5">
        <f t="shared" si="192"/>
        <v>0</v>
      </c>
      <c r="V598" s="5">
        <f t="shared" si="193"/>
        <v>0</v>
      </c>
      <c r="W598" s="5">
        <f t="shared" si="194"/>
        <v>0</v>
      </c>
      <c r="X598" s="5">
        <f t="shared" si="195"/>
        <v>0</v>
      </c>
      <c r="Y598" s="5">
        <f t="shared" si="196"/>
        <v>3.0303030303030304E-2</v>
      </c>
      <c r="Z598" s="5">
        <f t="shared" si="197"/>
        <v>0</v>
      </c>
      <c r="AA598" s="5">
        <f t="shared" si="198"/>
        <v>0</v>
      </c>
      <c r="AB598" s="5">
        <f t="shared" si="199"/>
        <v>3.0303030303030304E-2</v>
      </c>
    </row>
    <row r="599" spans="4:28" x14ac:dyDescent="0.25">
      <c r="D599" t="s">
        <v>88</v>
      </c>
      <c r="E599" s="64"/>
      <c r="F599" s="64"/>
      <c r="G599">
        <f>IFERROR(HLOOKUP(G$2,[20]table_male_hkom2_inj.U2!$A$1:$K$36,20,FALSE),0)</f>
        <v>0</v>
      </c>
      <c r="H599">
        <f>IFERROR(HLOOKUP(H$2,[20]table_male_hkom2_inj.U2!$A$1:$K$36,20,FALSE),0)</f>
        <v>0</v>
      </c>
      <c r="I599">
        <f>IFERROR(HLOOKUP(I$2,[20]table_male_hkom2_inj.U2!$A$1:$K$36,20,FALSE),0)</f>
        <v>0</v>
      </c>
      <c r="J599">
        <f>IFERROR(HLOOKUP(J$2,[20]table_male_hkom2_inj.U2!$A$1:$K$36,20,FALSE),0)</f>
        <v>0</v>
      </c>
      <c r="K599">
        <f>IFERROR(HLOOKUP(K$2,[20]table_male_hkom2_inj.U2!$A$1:$K$36,20,FALSE),0)</f>
        <v>0</v>
      </c>
      <c r="L599">
        <f>IFERROR(HLOOKUP(L$2,[20]table_male_hkom2_inj.U2!$A$1:$K$36,20,FALSE),0)</f>
        <v>0</v>
      </c>
      <c r="M599">
        <f t="shared" si="190"/>
        <v>0</v>
      </c>
      <c r="S599" t="s">
        <v>88</v>
      </c>
      <c r="T599" s="5">
        <f t="shared" si="191"/>
        <v>0</v>
      </c>
      <c r="U599" s="5">
        <f t="shared" si="192"/>
        <v>0</v>
      </c>
      <c r="V599" s="5">
        <f t="shared" si="193"/>
        <v>0</v>
      </c>
      <c r="W599" s="5">
        <f t="shared" si="194"/>
        <v>0</v>
      </c>
      <c r="X599" s="5">
        <f t="shared" si="195"/>
        <v>0</v>
      </c>
      <c r="Y599" s="5">
        <f t="shared" si="196"/>
        <v>3.0303030303030304E-2</v>
      </c>
      <c r="Z599" s="5">
        <f t="shared" si="197"/>
        <v>0</v>
      </c>
      <c r="AA599" s="5">
        <f t="shared" si="198"/>
        <v>0</v>
      </c>
      <c r="AB599" s="5">
        <f t="shared" si="199"/>
        <v>3.0303030303030304E-2</v>
      </c>
    </row>
    <row r="600" spans="4:28" x14ac:dyDescent="0.25">
      <c r="D600" t="s">
        <v>89</v>
      </c>
      <c r="E600" s="64"/>
      <c r="F600" s="64"/>
      <c r="G600">
        <f>IFERROR(HLOOKUP(G$2,[20]table_male_hkom2_inj.U2!$A$1:$K$36,21,FALSE),0)</f>
        <v>0</v>
      </c>
      <c r="H600">
        <f>IFERROR(HLOOKUP(H$2,[20]table_male_hkom2_inj.U2!$A$1:$K$36,21,FALSE),0)</f>
        <v>1</v>
      </c>
      <c r="I600">
        <f>IFERROR(HLOOKUP(I$2,[20]table_male_hkom2_inj.U2!$A$1:$K$36,21,FALSE),0)</f>
        <v>1</v>
      </c>
      <c r="J600">
        <f>IFERROR(HLOOKUP(J$2,[20]table_male_hkom2_inj.U2!$A$1:$K$36,21,FALSE),0)</f>
        <v>0</v>
      </c>
      <c r="K600">
        <f>IFERROR(HLOOKUP(K$2,[20]table_male_hkom2_inj.U2!$A$1:$K$36,21,FALSE),0)</f>
        <v>0</v>
      </c>
      <c r="L600">
        <f>IFERROR(HLOOKUP(L$2,[20]table_male_hkom2_inj.U2!$A$1:$K$36,21,FALSE),0)</f>
        <v>0</v>
      </c>
      <c r="M600">
        <f t="shared" si="190"/>
        <v>2</v>
      </c>
      <c r="S600" t="s">
        <v>89</v>
      </c>
      <c r="T600" s="5">
        <f t="shared" si="191"/>
        <v>0</v>
      </c>
      <c r="U600" s="5">
        <f t="shared" si="192"/>
        <v>0</v>
      </c>
      <c r="V600" s="5">
        <f t="shared" si="193"/>
        <v>0</v>
      </c>
      <c r="W600" s="5">
        <f t="shared" si="194"/>
        <v>2</v>
      </c>
      <c r="X600" s="5">
        <f t="shared" si="195"/>
        <v>2.75</v>
      </c>
      <c r="Y600" s="5">
        <f t="shared" si="196"/>
        <v>3.0303030303030304E-2</v>
      </c>
      <c r="Z600" s="5">
        <f t="shared" si="197"/>
        <v>0</v>
      </c>
      <c r="AA600" s="5">
        <f t="shared" si="198"/>
        <v>0</v>
      </c>
      <c r="AB600" s="5">
        <f t="shared" si="199"/>
        <v>4.7803030303030303</v>
      </c>
    </row>
    <row r="601" spans="4:28" x14ac:dyDescent="0.25">
      <c r="D601" t="s">
        <v>90</v>
      </c>
      <c r="E601" s="64"/>
      <c r="F601" s="64"/>
      <c r="G601">
        <f>IFERROR(HLOOKUP(G$2,[20]table_male_hkom2_inj.U2!$A$1:$K$36,22,FALSE),0)</f>
        <v>0</v>
      </c>
      <c r="H601">
        <f>IFERROR(HLOOKUP(H$2,[20]table_male_hkom2_inj.U2!$A$1:$K$36,22,FALSE),0)</f>
        <v>0</v>
      </c>
      <c r="I601">
        <f>IFERROR(HLOOKUP(I$2,[20]table_male_hkom2_inj.U2!$A$1:$K$36,22,FALSE),0)</f>
        <v>0</v>
      </c>
      <c r="J601">
        <f>IFERROR(HLOOKUP(J$2,[20]table_male_hkom2_inj.U2!$A$1:$K$36,22,FALSE),0)</f>
        <v>0</v>
      </c>
      <c r="K601">
        <f>IFERROR(HLOOKUP(K$2,[20]table_male_hkom2_inj.U2!$A$1:$K$36,22,FALSE),0)</f>
        <v>0</v>
      </c>
      <c r="L601">
        <f>IFERROR(HLOOKUP(L$2,[20]table_male_hkom2_inj.U2!$A$1:$K$36,22,FALSE),0)</f>
        <v>0</v>
      </c>
      <c r="M601">
        <f t="shared" si="190"/>
        <v>0</v>
      </c>
      <c r="S601" t="s">
        <v>90</v>
      </c>
      <c r="T601" s="5">
        <f t="shared" si="191"/>
        <v>0</v>
      </c>
      <c r="U601" s="5">
        <f t="shared" si="192"/>
        <v>0</v>
      </c>
      <c r="V601" s="5">
        <f t="shared" si="193"/>
        <v>0</v>
      </c>
      <c r="W601" s="5">
        <f t="shared" si="194"/>
        <v>0</v>
      </c>
      <c r="X601" s="5">
        <f t="shared" si="195"/>
        <v>0</v>
      </c>
      <c r="Y601" s="5">
        <f t="shared" si="196"/>
        <v>3.0303030303030304E-2</v>
      </c>
      <c r="Z601" s="5">
        <f t="shared" si="197"/>
        <v>0</v>
      </c>
      <c r="AA601" s="5">
        <f t="shared" si="198"/>
        <v>0</v>
      </c>
      <c r="AB601" s="5">
        <f t="shared" si="199"/>
        <v>3.0303030303030304E-2</v>
      </c>
    </row>
    <row r="602" spans="4:28" x14ac:dyDescent="0.25">
      <c r="D602" t="s">
        <v>91</v>
      </c>
      <c r="E602" s="64"/>
      <c r="F602" s="64"/>
      <c r="G602">
        <f>IFERROR(HLOOKUP(G$2,[20]table_male_hkom2_inj.U2!$A$1:$K$36,23,FALSE),0)</f>
        <v>0</v>
      </c>
      <c r="H602">
        <f>IFERROR(HLOOKUP(H$2,[20]table_male_hkom2_inj.U2!$A$1:$K$36,23,FALSE),0)</f>
        <v>0</v>
      </c>
      <c r="I602">
        <f>IFERROR(HLOOKUP(I$2,[20]table_male_hkom2_inj.U2!$A$1:$K$36,23,FALSE),0)</f>
        <v>0</v>
      </c>
      <c r="J602">
        <f>IFERROR(HLOOKUP(J$2,[20]table_male_hkom2_inj.U2!$A$1:$K$36,23,FALSE),0)</f>
        <v>0</v>
      </c>
      <c r="K602">
        <f>IFERROR(HLOOKUP(K$2,[20]table_male_hkom2_inj.U2!$A$1:$K$36,23,FALSE),0)</f>
        <v>0</v>
      </c>
      <c r="L602">
        <f>IFERROR(HLOOKUP(L$2,[20]table_male_hkom2_inj.U2!$A$1:$K$36,23,FALSE),0)</f>
        <v>0</v>
      </c>
      <c r="M602">
        <f t="shared" si="190"/>
        <v>0</v>
      </c>
      <c r="S602" t="s">
        <v>91</v>
      </c>
      <c r="T602" s="5">
        <f t="shared" si="191"/>
        <v>0</v>
      </c>
      <c r="U602" s="5">
        <f t="shared" si="192"/>
        <v>0</v>
      </c>
      <c r="V602" s="5">
        <f t="shared" si="193"/>
        <v>0</v>
      </c>
      <c r="W602" s="5">
        <f t="shared" si="194"/>
        <v>0</v>
      </c>
      <c r="X602" s="5">
        <f t="shared" si="195"/>
        <v>0</v>
      </c>
      <c r="Y602" s="5">
        <f t="shared" si="196"/>
        <v>3.0303030303030304E-2</v>
      </c>
      <c r="Z602" s="5">
        <f t="shared" si="197"/>
        <v>0</v>
      </c>
      <c r="AA602" s="5">
        <f t="shared" si="198"/>
        <v>0</v>
      </c>
      <c r="AB602" s="5">
        <f t="shared" si="199"/>
        <v>3.0303030303030304E-2</v>
      </c>
    </row>
    <row r="603" spans="4:28" x14ac:dyDescent="0.25">
      <c r="D603" t="s">
        <v>92</v>
      </c>
      <c r="E603" s="64"/>
      <c r="F603" s="64"/>
      <c r="G603">
        <f>IFERROR(HLOOKUP(G$2,[20]table_male_hkom2_inj.U2!$A$1:$K$36,24,FALSE),0)</f>
        <v>0</v>
      </c>
      <c r="H603">
        <f>IFERROR(HLOOKUP(H$2,[20]table_male_hkom2_inj.U2!$A$1:$K$36,24,FALSE),0)</f>
        <v>0</v>
      </c>
      <c r="I603">
        <f>IFERROR(HLOOKUP(I$2,[20]table_male_hkom2_inj.U2!$A$1:$K$36,24,FALSE),0)</f>
        <v>0</v>
      </c>
      <c r="J603">
        <f>IFERROR(HLOOKUP(J$2,[20]table_male_hkom2_inj.U2!$A$1:$K$36,24,FALSE),0)</f>
        <v>0</v>
      </c>
      <c r="K603">
        <f>IFERROR(HLOOKUP(K$2,[20]table_male_hkom2_inj.U2!$A$1:$K$36,24,FALSE),0)</f>
        <v>0</v>
      </c>
      <c r="L603">
        <f>IFERROR(HLOOKUP(L$2,[20]table_male_hkom2_inj.U2!$A$1:$K$36,24,FALSE),0)</f>
        <v>0</v>
      </c>
      <c r="M603">
        <f t="shared" si="190"/>
        <v>0</v>
      </c>
      <c r="S603" t="s">
        <v>92</v>
      </c>
      <c r="T603" s="5">
        <f t="shared" si="191"/>
        <v>0</v>
      </c>
      <c r="U603" s="5">
        <f t="shared" si="192"/>
        <v>0</v>
      </c>
      <c r="V603" s="5">
        <f t="shared" si="193"/>
        <v>0</v>
      </c>
      <c r="W603" s="5">
        <f t="shared" si="194"/>
        <v>0</v>
      </c>
      <c r="X603" s="5">
        <f t="shared" si="195"/>
        <v>0</v>
      </c>
      <c r="Y603" s="5">
        <f t="shared" si="196"/>
        <v>3.0303030303030304E-2</v>
      </c>
      <c r="Z603" s="5">
        <f t="shared" si="197"/>
        <v>0</v>
      </c>
      <c r="AA603" s="5">
        <f t="shared" si="198"/>
        <v>0</v>
      </c>
      <c r="AB603" s="5">
        <f t="shared" si="199"/>
        <v>3.0303030303030304E-2</v>
      </c>
    </row>
    <row r="604" spans="4:28" x14ac:dyDescent="0.25">
      <c r="D604" t="s">
        <v>93</v>
      </c>
      <c r="E604" s="64"/>
      <c r="F604" s="64"/>
      <c r="G604">
        <f>IFERROR(HLOOKUP(G$2,[20]table_male_hkom2_inj.U2!$A$1:$K$36,25,FALSE),0)</f>
        <v>0</v>
      </c>
      <c r="H604">
        <f>IFERROR(HLOOKUP(H$2,[20]table_male_hkom2_inj.U2!$A$1:$K$36,25,FALSE),0)</f>
        <v>0</v>
      </c>
      <c r="I604">
        <f>IFERROR(HLOOKUP(I$2,[20]table_male_hkom2_inj.U2!$A$1:$K$36,25,FALSE),0)</f>
        <v>0</v>
      </c>
      <c r="J604">
        <f>IFERROR(HLOOKUP(J$2,[20]table_male_hkom2_inj.U2!$A$1:$K$36,25,FALSE),0)</f>
        <v>0</v>
      </c>
      <c r="K604">
        <f>IFERROR(HLOOKUP(K$2,[20]table_male_hkom2_inj.U2!$A$1:$K$36,25,FALSE),0)</f>
        <v>0</v>
      </c>
      <c r="L604">
        <f>IFERROR(HLOOKUP(L$2,[20]table_male_hkom2_inj.U2!$A$1:$K$36,25,FALSE),0)</f>
        <v>0</v>
      </c>
      <c r="M604">
        <f t="shared" si="190"/>
        <v>0</v>
      </c>
      <c r="S604" t="s">
        <v>93</v>
      </c>
      <c r="T604" s="5">
        <f t="shared" si="191"/>
        <v>0</v>
      </c>
      <c r="U604" s="5">
        <f t="shared" si="192"/>
        <v>0</v>
      </c>
      <c r="V604" s="5">
        <f t="shared" si="193"/>
        <v>0</v>
      </c>
      <c r="W604" s="5">
        <f t="shared" si="194"/>
        <v>0</v>
      </c>
      <c r="X604" s="5">
        <f t="shared" si="195"/>
        <v>0</v>
      </c>
      <c r="Y604" s="5">
        <f t="shared" si="196"/>
        <v>3.0303030303030304E-2</v>
      </c>
      <c r="Z604" s="5">
        <f t="shared" si="197"/>
        <v>0</v>
      </c>
      <c r="AA604" s="5">
        <f t="shared" si="198"/>
        <v>0</v>
      </c>
      <c r="AB604" s="5">
        <f t="shared" si="199"/>
        <v>3.0303030303030304E-2</v>
      </c>
    </row>
    <row r="605" spans="4:28" x14ac:dyDescent="0.25">
      <c r="D605" t="s">
        <v>94</v>
      </c>
      <c r="E605" s="64"/>
      <c r="F605" s="64"/>
      <c r="G605">
        <f>IFERROR(HLOOKUP(G$2,[20]table_male_hkom2_inj.U2!$A$1:$K$36,26,FALSE),0)</f>
        <v>0</v>
      </c>
      <c r="H605">
        <f>IFERROR(HLOOKUP(H$2,[20]table_male_hkom2_inj.U2!$A$1:$K$36,26,FALSE),0)</f>
        <v>0</v>
      </c>
      <c r="I605">
        <f>IFERROR(HLOOKUP(I$2,[20]table_male_hkom2_inj.U2!$A$1:$K$36,26,FALSE),0)</f>
        <v>0</v>
      </c>
      <c r="J605">
        <f>IFERROR(HLOOKUP(J$2,[20]table_male_hkom2_inj.U2!$A$1:$K$36,26,FALSE),0)</f>
        <v>0</v>
      </c>
      <c r="K605">
        <f>IFERROR(HLOOKUP(K$2,[20]table_male_hkom2_inj.U2!$A$1:$K$36,26,FALSE),0)</f>
        <v>0</v>
      </c>
      <c r="L605">
        <f>IFERROR(HLOOKUP(L$2,[20]table_male_hkom2_inj.U2!$A$1:$K$36,26,FALSE),0)</f>
        <v>0</v>
      </c>
      <c r="M605">
        <f t="shared" si="190"/>
        <v>0</v>
      </c>
      <c r="S605" t="s">
        <v>94</v>
      </c>
      <c r="T605" s="5">
        <f t="shared" si="191"/>
        <v>0</v>
      </c>
      <c r="U605" s="5">
        <f t="shared" si="192"/>
        <v>0</v>
      </c>
      <c r="V605" s="5">
        <f t="shared" si="193"/>
        <v>0</v>
      </c>
      <c r="W605" s="5">
        <f t="shared" si="194"/>
        <v>0</v>
      </c>
      <c r="X605" s="5">
        <f t="shared" si="195"/>
        <v>0</v>
      </c>
      <c r="Y605" s="5">
        <f t="shared" si="196"/>
        <v>3.0303030303030304E-2</v>
      </c>
      <c r="Z605" s="5">
        <f t="shared" si="197"/>
        <v>0</v>
      </c>
      <c r="AA605" s="5">
        <f t="shared" si="198"/>
        <v>0</v>
      </c>
      <c r="AB605" s="5">
        <f t="shared" si="199"/>
        <v>3.0303030303030304E-2</v>
      </c>
    </row>
    <row r="606" spans="4:28" x14ac:dyDescent="0.25">
      <c r="D606" t="s">
        <v>95</v>
      </c>
      <c r="E606" s="64"/>
      <c r="F606" s="64"/>
      <c r="G606">
        <f>IFERROR(HLOOKUP(G$2,[20]table_male_hkom2_inj.U2!$A$1:$K$36,27,FALSE),0)</f>
        <v>0</v>
      </c>
      <c r="H606">
        <f>IFERROR(HLOOKUP(H$2,[20]table_male_hkom2_inj.U2!$A$1:$K$36,27,FALSE),0)</f>
        <v>0</v>
      </c>
      <c r="I606">
        <f>IFERROR(HLOOKUP(I$2,[20]table_male_hkom2_inj.U2!$A$1:$K$36,27,FALSE),0)</f>
        <v>0</v>
      </c>
      <c r="J606">
        <f>IFERROR(HLOOKUP(J$2,[20]table_male_hkom2_inj.U2!$A$1:$K$36,27,FALSE),0)</f>
        <v>0</v>
      </c>
      <c r="K606">
        <f>IFERROR(HLOOKUP(K$2,[20]table_male_hkom2_inj.U2!$A$1:$K$36,27,FALSE),0)</f>
        <v>0</v>
      </c>
      <c r="L606">
        <f>IFERROR(HLOOKUP(L$2,[20]table_male_hkom2_inj.U2!$A$1:$K$36,27,FALSE),0)</f>
        <v>0</v>
      </c>
      <c r="M606">
        <f t="shared" si="190"/>
        <v>0</v>
      </c>
      <c r="S606" t="s">
        <v>95</v>
      </c>
      <c r="T606" s="5">
        <f t="shared" si="191"/>
        <v>0</v>
      </c>
      <c r="U606" s="5">
        <f t="shared" si="192"/>
        <v>0</v>
      </c>
      <c r="V606" s="5">
        <f t="shared" si="193"/>
        <v>0</v>
      </c>
      <c r="W606" s="5">
        <f t="shared" si="194"/>
        <v>0</v>
      </c>
      <c r="X606" s="5">
        <f t="shared" si="195"/>
        <v>0</v>
      </c>
      <c r="Y606" s="5">
        <f t="shared" si="196"/>
        <v>3.0303030303030304E-2</v>
      </c>
      <c r="Z606" s="5">
        <f t="shared" si="197"/>
        <v>0</v>
      </c>
      <c r="AA606" s="5">
        <f t="shared" si="198"/>
        <v>0</v>
      </c>
      <c r="AB606" s="5">
        <f t="shared" si="199"/>
        <v>3.0303030303030304E-2</v>
      </c>
    </row>
    <row r="607" spans="4:28" x14ac:dyDescent="0.25">
      <c r="D607" t="s">
        <v>96</v>
      </c>
      <c r="E607" s="64"/>
      <c r="F607" s="64"/>
      <c r="G607">
        <f>IFERROR(HLOOKUP(G$2,[20]table_male_hkom2_inj.U2!$A$1:$K$36,28,FALSE),0)</f>
        <v>0</v>
      </c>
      <c r="H607">
        <f>IFERROR(HLOOKUP(H$2,[20]table_male_hkom2_inj.U2!$A$1:$K$36,28,FALSE),0)</f>
        <v>0</v>
      </c>
      <c r="I607">
        <f>IFERROR(HLOOKUP(I$2,[20]table_male_hkom2_inj.U2!$A$1:$K$36,28,FALSE),0)</f>
        <v>0</v>
      </c>
      <c r="J607">
        <f>IFERROR(HLOOKUP(J$2,[20]table_male_hkom2_inj.U2!$A$1:$K$36,28,FALSE),0)</f>
        <v>0</v>
      </c>
      <c r="K607">
        <f>IFERROR(HLOOKUP(K$2,[20]table_male_hkom2_inj.U2!$A$1:$K$36,28,FALSE),0)</f>
        <v>0</v>
      </c>
      <c r="L607">
        <f>IFERROR(HLOOKUP(L$2,[20]table_male_hkom2_inj.U2!$A$1:$K$36,28,FALSE),0)</f>
        <v>0</v>
      </c>
      <c r="M607">
        <f t="shared" si="190"/>
        <v>0</v>
      </c>
      <c r="S607" t="s">
        <v>96</v>
      </c>
      <c r="T607" s="5">
        <f t="shared" si="191"/>
        <v>0</v>
      </c>
      <c r="U607" s="5">
        <f t="shared" si="192"/>
        <v>0</v>
      </c>
      <c r="V607" s="5">
        <f t="shared" si="193"/>
        <v>0</v>
      </c>
      <c r="W607" s="5">
        <f t="shared" si="194"/>
        <v>0</v>
      </c>
      <c r="X607" s="5">
        <f t="shared" si="195"/>
        <v>0</v>
      </c>
      <c r="Y607" s="5">
        <f t="shared" si="196"/>
        <v>3.0303030303030304E-2</v>
      </c>
      <c r="Z607" s="5">
        <f t="shared" si="197"/>
        <v>0</v>
      </c>
      <c r="AA607" s="5">
        <f t="shared" si="198"/>
        <v>0</v>
      </c>
      <c r="AB607" s="5">
        <f t="shared" si="199"/>
        <v>3.0303030303030304E-2</v>
      </c>
    </row>
    <row r="608" spans="4:28" x14ac:dyDescent="0.25">
      <c r="D608" t="s">
        <v>97</v>
      </c>
      <c r="E608" s="64"/>
      <c r="F608" s="64"/>
      <c r="G608">
        <f>IFERROR(HLOOKUP(G$2,[20]table_male_hkom2_inj.U2!$A$1:$K$36,29,FALSE),0)</f>
        <v>0</v>
      </c>
      <c r="H608">
        <f>IFERROR(HLOOKUP(H$2,[20]table_male_hkom2_inj.U2!$A$1:$K$36,29,FALSE),0)</f>
        <v>0</v>
      </c>
      <c r="I608">
        <f>IFERROR(HLOOKUP(I$2,[20]table_male_hkom2_inj.U2!$A$1:$K$36,29,FALSE),0)</f>
        <v>0</v>
      </c>
      <c r="J608">
        <f>IFERROR(HLOOKUP(J$2,[20]table_male_hkom2_inj.U2!$A$1:$K$36,29,FALSE),0)</f>
        <v>0</v>
      </c>
      <c r="K608">
        <f>IFERROR(HLOOKUP(K$2,[20]table_male_hkom2_inj.U2!$A$1:$K$36,29,FALSE),0)</f>
        <v>0</v>
      </c>
      <c r="L608">
        <f>IFERROR(HLOOKUP(L$2,[20]table_male_hkom2_inj.U2!$A$1:$K$36,29,FALSE),0)</f>
        <v>0</v>
      </c>
      <c r="M608">
        <f t="shared" si="190"/>
        <v>0</v>
      </c>
      <c r="S608" t="s">
        <v>97</v>
      </c>
      <c r="T608" s="5">
        <f t="shared" si="191"/>
        <v>0</v>
      </c>
      <c r="U608" s="5">
        <f t="shared" si="192"/>
        <v>0</v>
      </c>
      <c r="V608" s="5">
        <f t="shared" si="193"/>
        <v>0</v>
      </c>
      <c r="W608" s="5">
        <f t="shared" si="194"/>
        <v>0</v>
      </c>
      <c r="X608" s="5">
        <f t="shared" si="195"/>
        <v>0</v>
      </c>
      <c r="Y608" s="5">
        <f t="shared" si="196"/>
        <v>3.0303030303030304E-2</v>
      </c>
      <c r="Z608" s="5">
        <f t="shared" si="197"/>
        <v>0</v>
      </c>
      <c r="AA608" s="5">
        <f t="shared" si="198"/>
        <v>0</v>
      </c>
      <c r="AB608" s="5">
        <f t="shared" si="199"/>
        <v>3.0303030303030304E-2</v>
      </c>
    </row>
    <row r="609" spans="1:29" x14ac:dyDescent="0.25">
      <c r="D609" t="s">
        <v>98</v>
      </c>
      <c r="E609" s="64"/>
      <c r="F609" s="64"/>
      <c r="G609">
        <f>IFERROR(HLOOKUP(G$2,[20]table_male_hkom2_inj.U2!$A$1:$K$36,30,FALSE),0)</f>
        <v>0</v>
      </c>
      <c r="H609">
        <f>IFERROR(HLOOKUP(H$2,[20]table_male_hkom2_inj.U2!$A$1:$K$36,30,FALSE),0)</f>
        <v>0</v>
      </c>
      <c r="I609">
        <f>IFERROR(HLOOKUP(I$2,[20]table_male_hkom2_inj.U2!$A$1:$K$36,30,FALSE),0)</f>
        <v>0</v>
      </c>
      <c r="J609">
        <f>IFERROR(HLOOKUP(J$2,[20]table_male_hkom2_inj.U2!$A$1:$K$36,30,FALSE),0)</f>
        <v>0</v>
      </c>
      <c r="K609">
        <f>IFERROR(HLOOKUP(K$2,[20]table_male_hkom2_inj.U2!$A$1:$K$36,30,FALSE),0)</f>
        <v>0</v>
      </c>
      <c r="L609">
        <f>IFERROR(HLOOKUP(L$2,[20]table_male_hkom2_inj.U2!$A$1:$K$36,30,FALSE),0)</f>
        <v>0</v>
      </c>
      <c r="M609">
        <f t="shared" si="190"/>
        <v>0</v>
      </c>
      <c r="S609" t="s">
        <v>98</v>
      </c>
      <c r="T609" s="5">
        <f t="shared" si="191"/>
        <v>0</v>
      </c>
      <c r="U609" s="5">
        <f t="shared" si="192"/>
        <v>0</v>
      </c>
      <c r="V609" s="5">
        <f t="shared" si="193"/>
        <v>0</v>
      </c>
      <c r="W609" s="5">
        <f t="shared" si="194"/>
        <v>0</v>
      </c>
      <c r="X609" s="5">
        <f t="shared" si="195"/>
        <v>0</v>
      </c>
      <c r="Y609" s="5">
        <f t="shared" si="196"/>
        <v>3.0303030303030304E-2</v>
      </c>
      <c r="Z609" s="5">
        <f t="shared" si="197"/>
        <v>0</v>
      </c>
      <c r="AA609" s="5">
        <f t="shared" si="198"/>
        <v>0</v>
      </c>
      <c r="AB609" s="5">
        <f t="shared" si="199"/>
        <v>3.0303030303030304E-2</v>
      </c>
    </row>
    <row r="610" spans="1:29" x14ac:dyDescent="0.25">
      <c r="D610" t="s">
        <v>119</v>
      </c>
      <c r="E610" s="64"/>
      <c r="F610" s="64"/>
      <c r="G610">
        <f>IFERROR(HLOOKUP(G$2,[20]table_male_hkom2_inj.U2!$A$1:$K$36,31,FALSE),0)</f>
        <v>0</v>
      </c>
      <c r="H610">
        <f>IFERROR(HLOOKUP(H$2,[20]table_male_hkom2_inj.U2!$A$1:$K$36,31,FALSE),0)</f>
        <v>0</v>
      </c>
      <c r="I610">
        <f>IFERROR(HLOOKUP(I$2,[20]table_male_hkom2_inj.U2!$A$1:$K$36,31,FALSE),0)</f>
        <v>0</v>
      </c>
      <c r="J610">
        <f>IFERROR(HLOOKUP(J$2,[20]table_male_hkom2_inj.U2!$A$1:$K$36,31,FALSE),0)</f>
        <v>0</v>
      </c>
      <c r="K610">
        <f>IFERROR(HLOOKUP(K$2,[20]table_male_hkom2_inj.U2!$A$1:$K$36,31,FALSE),0)</f>
        <v>0</v>
      </c>
      <c r="L610">
        <f>IFERROR(HLOOKUP(L$2,[20]table_male_hkom2_inj.U2!$A$1:$K$36,31,FALSE),0)</f>
        <v>0</v>
      </c>
      <c r="M610">
        <f t="shared" si="190"/>
        <v>0</v>
      </c>
      <c r="S610" t="s">
        <v>119</v>
      </c>
      <c r="T610" s="5">
        <f t="shared" si="191"/>
        <v>0</v>
      </c>
      <c r="U610" s="5">
        <f t="shared" si="192"/>
        <v>0</v>
      </c>
      <c r="V610" s="5">
        <f t="shared" si="193"/>
        <v>0</v>
      </c>
      <c r="W610" s="5">
        <f t="shared" si="194"/>
        <v>0</v>
      </c>
      <c r="X610" s="5">
        <f t="shared" si="195"/>
        <v>0</v>
      </c>
      <c r="Y610" s="5">
        <f t="shared" si="196"/>
        <v>3.0303030303030304E-2</v>
      </c>
      <c r="Z610" s="5">
        <f t="shared" si="197"/>
        <v>0</v>
      </c>
      <c r="AA610" s="5">
        <f t="shared" si="198"/>
        <v>0</v>
      </c>
      <c r="AB610" s="5">
        <f t="shared" si="199"/>
        <v>3.0303030303030304E-2</v>
      </c>
    </row>
    <row r="611" spans="1:29" x14ac:dyDescent="0.25">
      <c r="D611" t="s">
        <v>99</v>
      </c>
      <c r="E611" s="64"/>
      <c r="F611" s="64"/>
      <c r="G611">
        <f>IFERROR(HLOOKUP(G$2,[20]table_male_hkom2_inj.U2!$A$1:$K$36,32,FALSE),0)</f>
        <v>0</v>
      </c>
      <c r="H611">
        <f>IFERROR(HLOOKUP(H$2,[20]table_male_hkom2_inj.U2!$A$1:$K$36,32,FALSE),0)</f>
        <v>0</v>
      </c>
      <c r="I611">
        <f>IFERROR(HLOOKUP(I$2,[20]table_male_hkom2_inj.U2!$A$1:$K$36,32,FALSE),0)</f>
        <v>0</v>
      </c>
      <c r="J611">
        <f>IFERROR(HLOOKUP(J$2,[20]table_male_hkom2_inj.U2!$A$1:$K$36,32,FALSE),0)</f>
        <v>0</v>
      </c>
      <c r="K611">
        <f>IFERROR(HLOOKUP(K$2,[20]table_male_hkom2_inj.U2!$A$1:$K$36,32,FALSE),0)</f>
        <v>0</v>
      </c>
      <c r="L611">
        <f>IFERROR(HLOOKUP(L$2,[20]table_male_hkom2_inj.U2!$A$1:$K$36,32,FALSE),0)</f>
        <v>0</v>
      </c>
      <c r="M611">
        <f t="shared" si="190"/>
        <v>0</v>
      </c>
      <c r="S611" t="s">
        <v>99</v>
      </c>
      <c r="T611" s="5">
        <f t="shared" si="191"/>
        <v>0</v>
      </c>
      <c r="U611" s="5">
        <f t="shared" si="192"/>
        <v>0</v>
      </c>
      <c r="V611" s="5">
        <f t="shared" si="193"/>
        <v>0</v>
      </c>
      <c r="W611" s="5">
        <f t="shared" si="194"/>
        <v>0</v>
      </c>
      <c r="X611" s="5">
        <f t="shared" si="195"/>
        <v>0</v>
      </c>
      <c r="Y611" s="5">
        <f t="shared" si="196"/>
        <v>3.0303030303030304E-2</v>
      </c>
      <c r="Z611" s="5">
        <f t="shared" si="197"/>
        <v>0</v>
      </c>
      <c r="AA611" s="5">
        <f t="shared" si="198"/>
        <v>0</v>
      </c>
      <c r="AB611" s="5">
        <f t="shared" si="199"/>
        <v>3.0303030303030304E-2</v>
      </c>
    </row>
    <row r="612" spans="1:29" x14ac:dyDescent="0.25">
      <c r="D612" t="s">
        <v>100</v>
      </c>
      <c r="E612" s="64"/>
      <c r="F612" s="64"/>
      <c r="G612">
        <f>IFERROR(HLOOKUP(G$2,[20]table_male_hkom2_inj.U2!$A$1:$K$36,33,FALSE),0)</f>
        <v>7</v>
      </c>
      <c r="H612">
        <f>IFERROR(HLOOKUP(H$2,[20]table_male_hkom2_inj.U2!$A$1:$K$36,33,FALSE),0)</f>
        <v>8</v>
      </c>
      <c r="I612">
        <f>IFERROR(HLOOKUP(I$2,[20]table_male_hkom2_inj.U2!$A$1:$K$36,33,FALSE),0)</f>
        <v>3</v>
      </c>
      <c r="J612">
        <f>IFERROR(HLOOKUP(J$2,[20]table_male_hkom2_inj.U2!$A$1:$K$36,33,FALSE),0)</f>
        <v>0</v>
      </c>
      <c r="K612">
        <f>IFERROR(HLOOKUP(K$2,[20]table_male_hkom2_inj.U2!$A$1:$K$36,33,FALSE),0)</f>
        <v>0</v>
      </c>
      <c r="L612">
        <f>IFERROR(HLOOKUP(L$2,[20]table_male_hkom2_inj.U2!$A$1:$K$36,33,FALSE),0)</f>
        <v>0</v>
      </c>
      <c r="M612">
        <f t="shared" si="190"/>
        <v>18</v>
      </c>
      <c r="S612" t="s">
        <v>100</v>
      </c>
      <c r="T612" s="5">
        <f t="shared" si="191"/>
        <v>0</v>
      </c>
      <c r="U612" s="5">
        <f t="shared" si="192"/>
        <v>0</v>
      </c>
      <c r="V612" s="5">
        <f t="shared" si="193"/>
        <v>15</v>
      </c>
      <c r="W612" s="5">
        <f t="shared" si="194"/>
        <v>16</v>
      </c>
      <c r="X612" s="5">
        <f t="shared" si="195"/>
        <v>8.25</v>
      </c>
      <c r="Y612" s="5">
        <f t="shared" si="196"/>
        <v>3.0303030303030304E-2</v>
      </c>
      <c r="Z612" s="5">
        <f t="shared" si="197"/>
        <v>0</v>
      </c>
      <c r="AA612" s="5">
        <f t="shared" si="198"/>
        <v>0</v>
      </c>
      <c r="AB612" s="5">
        <f t="shared" si="199"/>
        <v>39.280303030303031</v>
      </c>
    </row>
    <row r="613" spans="1:29" x14ac:dyDescent="0.25">
      <c r="D613" t="s">
        <v>101</v>
      </c>
      <c r="E613" s="64"/>
      <c r="F613" s="64"/>
      <c r="G613">
        <f>IFERROR(HLOOKUP(G$2,[20]table_male_hkom2_inj.U2!$A$1:$K$36,34,FALSE),0)</f>
        <v>0</v>
      </c>
      <c r="H613">
        <f>IFERROR(HLOOKUP(H$2,[20]table_male_hkom2_inj.U2!$A$1:$K$36,34,FALSE),0)</f>
        <v>0</v>
      </c>
      <c r="I613">
        <f>IFERROR(HLOOKUP(I$2,[20]table_male_hkom2_inj.U2!$A$1:$K$36,34,FALSE),0)</f>
        <v>0</v>
      </c>
      <c r="J613">
        <f>IFERROR(HLOOKUP(J$2,[20]table_male_hkom2_inj.U2!$A$1:$K$36,34,FALSE),0)</f>
        <v>0</v>
      </c>
      <c r="K613">
        <f>IFERROR(HLOOKUP(K$2,[20]table_male_hkom2_inj.U2!$A$1:$K$36,34,FALSE),0)</f>
        <v>0</v>
      </c>
      <c r="L613">
        <f>IFERROR(HLOOKUP(L$2,[20]table_male_hkom2_inj.U2!$A$1:$K$36,34,FALSE),0)</f>
        <v>0</v>
      </c>
      <c r="M613">
        <f t="shared" si="190"/>
        <v>0</v>
      </c>
      <c r="S613" t="s">
        <v>101</v>
      </c>
      <c r="T613" s="5">
        <f t="shared" si="191"/>
        <v>0</v>
      </c>
      <c r="U613" s="5">
        <f t="shared" si="192"/>
        <v>0</v>
      </c>
      <c r="V613" s="5">
        <f t="shared" si="193"/>
        <v>0</v>
      </c>
      <c r="W613" s="5">
        <f t="shared" si="194"/>
        <v>0</v>
      </c>
      <c r="X613" s="5">
        <f t="shared" si="195"/>
        <v>0</v>
      </c>
      <c r="Y613" s="5">
        <f t="shared" si="196"/>
        <v>3.0303030303030304E-2</v>
      </c>
      <c r="Z613" s="5">
        <f t="shared" si="197"/>
        <v>0</v>
      </c>
      <c r="AA613" s="5">
        <f t="shared" si="198"/>
        <v>0</v>
      </c>
      <c r="AB613" s="5">
        <f t="shared" si="199"/>
        <v>3.0303030303030304E-2</v>
      </c>
    </row>
    <row r="614" spans="1:29" x14ac:dyDescent="0.25">
      <c r="D614" t="s">
        <v>102</v>
      </c>
      <c r="E614" s="64"/>
      <c r="F614" s="64"/>
      <c r="G614">
        <f>IFERROR(HLOOKUP(G$2,[20]table_male_hkom2_inj.U2!$A$1:$K$36,35,FALSE),0)</f>
        <v>8</v>
      </c>
      <c r="H614">
        <f>IFERROR(HLOOKUP(H$2,[20]table_male_hkom2_inj.U2!$A$1:$K$36,35,FALSE),0)</f>
        <v>9</v>
      </c>
      <c r="I614">
        <f>IFERROR(HLOOKUP(I$2,[20]table_male_hkom2_inj.U2!$A$1:$K$36,35,FALSE),0)</f>
        <v>7</v>
      </c>
      <c r="J614">
        <f>IFERROR(HLOOKUP(J$2,[20]table_male_hkom2_inj.U2!$A$1:$K$36,35,FALSE),0)</f>
        <v>1</v>
      </c>
      <c r="K614">
        <f>IFERROR(HLOOKUP(K$2,[20]table_male_hkom2_inj.U2!$A$1:$K$36,35,FALSE),0)</f>
        <v>0</v>
      </c>
      <c r="L614">
        <f>IFERROR(HLOOKUP(L$2,[20]table_male_hkom2_inj.U2!$A$1:$K$36,35,FALSE),0)</f>
        <v>0</v>
      </c>
      <c r="M614">
        <f t="shared" si="190"/>
        <v>25</v>
      </c>
      <c r="N614">
        <f>SUM(M581:M614)</f>
        <v>45</v>
      </c>
      <c r="O614" s="8">
        <f>SUM([20]table_male_hkom2_inj.U2!$B$2:$L$36)</f>
        <v>45</v>
      </c>
      <c r="S614" t="s">
        <v>102</v>
      </c>
      <c r="T614" s="7"/>
      <c r="U614" s="7"/>
      <c r="V614" s="7"/>
      <c r="W614" s="7"/>
      <c r="X614" s="7"/>
      <c r="Y614" s="7"/>
      <c r="Z614" s="7"/>
      <c r="AA614" s="7"/>
      <c r="AB614" s="5">
        <f t="shared" si="199"/>
        <v>0</v>
      </c>
      <c r="AC614" s="5">
        <f>SUM(AB581:AB613)</f>
        <v>45</v>
      </c>
    </row>
    <row r="615" spans="1:29" x14ac:dyDescent="0.25">
      <c r="A615" t="s">
        <v>104</v>
      </c>
      <c r="B615" t="s">
        <v>116</v>
      </c>
      <c r="C615" t="s">
        <v>111</v>
      </c>
      <c r="D615" t="s">
        <v>70</v>
      </c>
      <c r="E615" s="64"/>
      <c r="F615" s="64"/>
      <c r="G615">
        <f>IFERROR(HLOOKUP(G$2,[21]table_male_hkom2_inj.U3!$A$1:$K$36,2,FALSE),0)</f>
        <v>0</v>
      </c>
      <c r="H615">
        <f>IFERROR(HLOOKUP(H$2,[21]table_male_hkom2_inj.U3!$A$1:$K$36,2,FALSE),0)</f>
        <v>0</v>
      </c>
      <c r="I615">
        <f>IFERROR(HLOOKUP(I$2,[21]table_male_hkom2_inj.U3!$A$1:$K$36,2,FALSE),0)</f>
        <v>0</v>
      </c>
      <c r="J615">
        <f>IFERROR(HLOOKUP(J$2,[21]table_male_hkom2_inj.U3!$A$1:$K$36,2,FALSE),0)</f>
        <v>0</v>
      </c>
      <c r="K615">
        <f>IFERROR(HLOOKUP(K$2,[21]table_male_hkom2_inj.U3!$A$1:$K$36,2,FALSE),0)</f>
        <v>0</v>
      </c>
      <c r="L615">
        <f>IFERROR(HLOOKUP(L$2,[21]table_male_hkom2_inj.U3!$A$1:$K$36,2,FALSE),0)</f>
        <v>0</v>
      </c>
      <c r="M615">
        <f>SUM(E615:L615)</f>
        <v>0</v>
      </c>
      <c r="P615" t="s">
        <v>104</v>
      </c>
      <c r="Q615" t="s">
        <v>116</v>
      </c>
      <c r="R615" t="s">
        <v>111</v>
      </c>
      <c r="S615" t="s">
        <v>70</v>
      </c>
      <c r="T615" s="5">
        <f>IF(SUM(E$615:E$647)=0,E$648/33,E615+IFERROR(E615/SUM(E$615:E$647)*E$648,0))</f>
        <v>0</v>
      </c>
      <c r="U615" s="5">
        <f t="shared" ref="U615:AA615" si="200">IF(SUM(F$615:F$647)=0,F$648/33,F615+IFERROR(F615/SUM(F$615:F$647)*F$648,0))</f>
        <v>0</v>
      </c>
      <c r="V615" s="5">
        <f t="shared" si="200"/>
        <v>0</v>
      </c>
      <c r="W615" s="5">
        <f t="shared" si="200"/>
        <v>0</v>
      </c>
      <c r="X615" s="5">
        <f t="shared" si="200"/>
        <v>0</v>
      </c>
      <c r="Y615" s="5">
        <f t="shared" si="200"/>
        <v>0</v>
      </c>
      <c r="Z615" s="5">
        <f t="shared" si="200"/>
        <v>0</v>
      </c>
      <c r="AA615" s="5">
        <f t="shared" si="200"/>
        <v>0</v>
      </c>
      <c r="AB615" s="5">
        <f t="shared" si="199"/>
        <v>0</v>
      </c>
    </row>
    <row r="616" spans="1:29" x14ac:dyDescent="0.25">
      <c r="D616" t="s">
        <v>71</v>
      </c>
      <c r="E616" s="64"/>
      <c r="F616" s="64"/>
      <c r="G616">
        <f>IFERROR(HLOOKUP(G$2,[21]table_male_hkom2_inj.U3!$A$1:$K$36,3,FALSE),0)</f>
        <v>3</v>
      </c>
      <c r="H616">
        <f>IFERROR(HLOOKUP(H$2,[21]table_male_hkom2_inj.U3!$A$1:$K$36,3,FALSE),0)</f>
        <v>2</v>
      </c>
      <c r="I616">
        <f>IFERROR(HLOOKUP(I$2,[21]table_male_hkom2_inj.U3!$A$1:$K$36,3,FALSE),0)</f>
        <v>4</v>
      </c>
      <c r="J616">
        <f>IFERROR(HLOOKUP(J$2,[21]table_male_hkom2_inj.U3!$A$1:$K$36,3,FALSE),0)</f>
        <v>0</v>
      </c>
      <c r="K616">
        <f>IFERROR(HLOOKUP(K$2,[21]table_male_hkom2_inj.U3!$A$1:$K$36,3,FALSE),0)</f>
        <v>0</v>
      </c>
      <c r="L616">
        <f>IFERROR(HLOOKUP(L$2,[21]table_male_hkom2_inj.U3!$A$1:$K$36,3,FALSE),0)</f>
        <v>0</v>
      </c>
      <c r="M616">
        <f t="shared" ref="M616:M648" si="201">SUM(E616:L616)</f>
        <v>9</v>
      </c>
      <c r="S616" t="s">
        <v>71</v>
      </c>
      <c r="T616" s="5">
        <f t="shared" ref="T616:T647" si="202">IF(SUM(E$615:E$647)=0,E$648/33,E616+IFERROR(E616/SUM(E$615:E$647)*E$648,0))</f>
        <v>0</v>
      </c>
      <c r="U616" s="5">
        <f t="shared" ref="U616:U647" si="203">IF(SUM(F$615:F$647)=0,F$648/33,F616+IFERROR(F616/SUM(F$615:F$647)*F$648,0))</f>
        <v>0</v>
      </c>
      <c r="V616" s="5">
        <f t="shared" ref="V616:V647" si="204">IF(SUM(G$615:G$647)=0,G$648/33,G616+IFERROR(G616/SUM(G$615:G$647)*G$648,0))</f>
        <v>3.2696629213483144</v>
      </c>
      <c r="W616" s="5">
        <f t="shared" ref="W616:W647" si="205">IF(SUM(H$615:H$647)=0,H$648/33,H616+IFERROR(H616/SUM(H$615:H$647)*H$648,0))</f>
        <v>2.3472222222222223</v>
      </c>
      <c r="X616" s="5">
        <f t="shared" ref="X616:X647" si="206">IF(SUM(I$615:I$647)=0,I$648/33,I616+IFERROR(I616/SUM(I$615:I$647)*I$648,0))</f>
        <v>4.3278688524590168</v>
      </c>
      <c r="Y616" s="5">
        <f t="shared" ref="Y616:Y647" si="207">IF(SUM(J$615:J$647)=0,J$648/33,J616+IFERROR(J616/SUM(J$615:J$647)*J$648,0))</f>
        <v>0</v>
      </c>
      <c r="Z616" s="5">
        <f t="shared" ref="Z616:Z647" si="208">IF(SUM(K$615:K$647)=0,K$648/33,K616+IFERROR(K616/SUM(K$615:K$647)*K$648,0))</f>
        <v>0</v>
      </c>
      <c r="AA616" s="5">
        <f t="shared" ref="AA616:AA647" si="209">IF(SUM(L$615:L$647)=0,L$648/33,L616+IFERROR(L616/SUM(L$615:L$647)*L$648,0))</f>
        <v>0</v>
      </c>
      <c r="AB616" s="5">
        <f t="shared" si="199"/>
        <v>9.9447539960295543</v>
      </c>
    </row>
    <row r="617" spans="1:29" x14ac:dyDescent="0.25">
      <c r="D617" t="s">
        <v>72</v>
      </c>
      <c r="E617" s="64"/>
      <c r="F617" s="64"/>
      <c r="G617">
        <f>IFERROR(HLOOKUP(G$2,[21]table_male_hkom2_inj.U3!$A$1:$K$36,4,FALSE),0)</f>
        <v>2</v>
      </c>
      <c r="H617">
        <f>IFERROR(HLOOKUP(H$2,[21]table_male_hkom2_inj.U3!$A$1:$K$36,4,FALSE),0)</f>
        <v>7</v>
      </c>
      <c r="I617">
        <f>IFERROR(HLOOKUP(I$2,[21]table_male_hkom2_inj.U3!$A$1:$K$36,4,FALSE),0)</f>
        <v>9</v>
      </c>
      <c r="J617">
        <f>IFERROR(HLOOKUP(J$2,[21]table_male_hkom2_inj.U3!$A$1:$K$36,4,FALSE),0)</f>
        <v>1</v>
      </c>
      <c r="K617">
        <f>IFERROR(HLOOKUP(K$2,[21]table_male_hkom2_inj.U3!$A$1:$K$36,4,FALSE),0)</f>
        <v>0</v>
      </c>
      <c r="L617">
        <f>IFERROR(HLOOKUP(L$2,[21]table_male_hkom2_inj.U3!$A$1:$K$36,4,FALSE),0)</f>
        <v>0</v>
      </c>
      <c r="M617">
        <f t="shared" si="201"/>
        <v>19</v>
      </c>
      <c r="S617" t="s">
        <v>72</v>
      </c>
      <c r="T617" s="5">
        <f t="shared" si="202"/>
        <v>0</v>
      </c>
      <c r="U617" s="5">
        <f t="shared" si="203"/>
        <v>0</v>
      </c>
      <c r="V617" s="5">
        <f t="shared" si="204"/>
        <v>2.1797752808988764</v>
      </c>
      <c r="W617" s="5">
        <f t="shared" si="205"/>
        <v>8.2152777777777786</v>
      </c>
      <c r="X617" s="5">
        <f t="shared" si="206"/>
        <v>9.7377049180327866</v>
      </c>
      <c r="Y617" s="5">
        <f t="shared" si="207"/>
        <v>1.0689655172413792</v>
      </c>
      <c r="Z617" s="5">
        <f t="shared" si="208"/>
        <v>0</v>
      </c>
      <c r="AA617" s="5">
        <f t="shared" si="209"/>
        <v>0</v>
      </c>
      <c r="AB617" s="5">
        <f t="shared" si="199"/>
        <v>21.201723493950823</v>
      </c>
    </row>
    <row r="618" spans="1:29" x14ac:dyDescent="0.25">
      <c r="D618" t="s">
        <v>73</v>
      </c>
      <c r="E618" s="64"/>
      <c r="F618" s="64"/>
      <c r="G618">
        <f>IFERROR(HLOOKUP(G$2,[21]table_male_hkom2_inj.U3!$A$1:$K$36,5,FALSE),0)</f>
        <v>0</v>
      </c>
      <c r="H618">
        <f>IFERROR(HLOOKUP(H$2,[21]table_male_hkom2_inj.U3!$A$1:$K$36,5,FALSE),0)</f>
        <v>0</v>
      </c>
      <c r="I618">
        <f>IFERROR(HLOOKUP(I$2,[21]table_male_hkom2_inj.U3!$A$1:$K$36,5,FALSE),0)</f>
        <v>6</v>
      </c>
      <c r="J618">
        <f>IFERROR(HLOOKUP(J$2,[21]table_male_hkom2_inj.U3!$A$1:$K$36,5,FALSE),0)</f>
        <v>1</v>
      </c>
      <c r="K618">
        <f>IFERROR(HLOOKUP(K$2,[21]table_male_hkom2_inj.U3!$A$1:$K$36,5,FALSE),0)</f>
        <v>0</v>
      </c>
      <c r="L618">
        <f>IFERROR(HLOOKUP(L$2,[21]table_male_hkom2_inj.U3!$A$1:$K$36,5,FALSE),0)</f>
        <v>0</v>
      </c>
      <c r="M618">
        <f t="shared" si="201"/>
        <v>7</v>
      </c>
      <c r="S618" t="s">
        <v>73</v>
      </c>
      <c r="T618" s="5">
        <f t="shared" si="202"/>
        <v>0</v>
      </c>
      <c r="U618" s="5">
        <f t="shared" si="203"/>
        <v>0</v>
      </c>
      <c r="V618" s="5">
        <f t="shared" si="204"/>
        <v>0</v>
      </c>
      <c r="W618" s="5">
        <f t="shared" si="205"/>
        <v>0</v>
      </c>
      <c r="X618" s="5">
        <f t="shared" si="206"/>
        <v>6.4918032786885247</v>
      </c>
      <c r="Y618" s="5">
        <f t="shared" si="207"/>
        <v>1.0689655172413792</v>
      </c>
      <c r="Z618" s="5">
        <f t="shared" si="208"/>
        <v>0</v>
      </c>
      <c r="AA618" s="5">
        <f t="shared" si="209"/>
        <v>0</v>
      </c>
      <c r="AB618" s="5">
        <f t="shared" si="199"/>
        <v>7.5607687959299037</v>
      </c>
    </row>
    <row r="619" spans="1:29" x14ac:dyDescent="0.25">
      <c r="D619" t="s">
        <v>74</v>
      </c>
      <c r="E619" s="64"/>
      <c r="F619" s="64"/>
      <c r="G619">
        <f>IFERROR(HLOOKUP(G$2,[21]table_male_hkom2_inj.U3!$A$1:$K$36,6,FALSE),0)</f>
        <v>1</v>
      </c>
      <c r="H619">
        <f>IFERROR(HLOOKUP(H$2,[21]table_male_hkom2_inj.U3!$A$1:$K$36,6,FALSE),0)</f>
        <v>10</v>
      </c>
      <c r="I619">
        <f>IFERROR(HLOOKUP(I$2,[21]table_male_hkom2_inj.U3!$A$1:$K$36,6,FALSE),0)</f>
        <v>6</v>
      </c>
      <c r="J619">
        <f>IFERROR(HLOOKUP(J$2,[21]table_male_hkom2_inj.U3!$A$1:$K$36,6,FALSE),0)</f>
        <v>4</v>
      </c>
      <c r="K619">
        <f>IFERROR(HLOOKUP(K$2,[21]table_male_hkom2_inj.U3!$A$1:$K$36,6,FALSE),0)</f>
        <v>0</v>
      </c>
      <c r="L619">
        <f>IFERROR(HLOOKUP(L$2,[21]table_male_hkom2_inj.U3!$A$1:$K$36,6,FALSE),0)</f>
        <v>0</v>
      </c>
      <c r="M619">
        <f t="shared" si="201"/>
        <v>21</v>
      </c>
      <c r="S619" t="s">
        <v>74</v>
      </c>
      <c r="T619" s="5">
        <f t="shared" si="202"/>
        <v>0</v>
      </c>
      <c r="U619" s="5">
        <f t="shared" si="203"/>
        <v>0</v>
      </c>
      <c r="V619" s="5">
        <f t="shared" si="204"/>
        <v>1.0898876404494382</v>
      </c>
      <c r="W619" s="5">
        <f t="shared" si="205"/>
        <v>11.736111111111111</v>
      </c>
      <c r="X619" s="5">
        <f t="shared" si="206"/>
        <v>6.4918032786885247</v>
      </c>
      <c r="Y619" s="5">
        <f t="shared" si="207"/>
        <v>4.2758620689655169</v>
      </c>
      <c r="Z619" s="5">
        <f t="shared" si="208"/>
        <v>0</v>
      </c>
      <c r="AA619" s="5">
        <f t="shared" si="209"/>
        <v>0</v>
      </c>
      <c r="AB619" s="5">
        <f t="shared" si="199"/>
        <v>23.593664099214589</v>
      </c>
    </row>
    <row r="620" spans="1:29" x14ac:dyDescent="0.25">
      <c r="D620" t="s">
        <v>75</v>
      </c>
      <c r="E620" s="64"/>
      <c r="F620" s="64"/>
      <c r="G620">
        <f>IFERROR(HLOOKUP(G$2,[21]table_male_hkom2_inj.U3!$A$1:$K$36,7,FALSE),0)</f>
        <v>2</v>
      </c>
      <c r="H620">
        <f>IFERROR(HLOOKUP(H$2,[21]table_male_hkom2_inj.U3!$A$1:$K$36,7,FALSE),0)</f>
        <v>1</v>
      </c>
      <c r="I620">
        <f>IFERROR(HLOOKUP(I$2,[21]table_male_hkom2_inj.U3!$A$1:$K$36,7,FALSE),0)</f>
        <v>5</v>
      </c>
      <c r="J620">
        <f>IFERROR(HLOOKUP(J$2,[21]table_male_hkom2_inj.U3!$A$1:$K$36,7,FALSE),0)</f>
        <v>0</v>
      </c>
      <c r="K620">
        <f>IFERROR(HLOOKUP(K$2,[21]table_male_hkom2_inj.U3!$A$1:$K$36,7,FALSE),0)</f>
        <v>0</v>
      </c>
      <c r="L620">
        <f>IFERROR(HLOOKUP(L$2,[21]table_male_hkom2_inj.U3!$A$1:$K$36,7,FALSE),0)</f>
        <v>0</v>
      </c>
      <c r="M620">
        <f t="shared" si="201"/>
        <v>8</v>
      </c>
      <c r="S620" t="s">
        <v>75</v>
      </c>
      <c r="T620" s="5">
        <f t="shared" si="202"/>
        <v>0</v>
      </c>
      <c r="U620" s="5">
        <f t="shared" si="203"/>
        <v>0</v>
      </c>
      <c r="V620" s="5">
        <f t="shared" si="204"/>
        <v>2.1797752808988764</v>
      </c>
      <c r="W620" s="5">
        <f t="shared" si="205"/>
        <v>1.1736111111111112</v>
      </c>
      <c r="X620" s="5">
        <f t="shared" si="206"/>
        <v>5.4098360655737707</v>
      </c>
      <c r="Y620" s="5">
        <f t="shared" si="207"/>
        <v>0</v>
      </c>
      <c r="Z620" s="5">
        <f t="shared" si="208"/>
        <v>0</v>
      </c>
      <c r="AA620" s="5">
        <f t="shared" si="209"/>
        <v>0</v>
      </c>
      <c r="AB620" s="5">
        <f t="shared" si="199"/>
        <v>8.7632224575837583</v>
      </c>
    </row>
    <row r="621" spans="1:29" x14ac:dyDescent="0.25">
      <c r="D621" t="s">
        <v>76</v>
      </c>
      <c r="E621" s="64"/>
      <c r="F621" s="64"/>
      <c r="G621">
        <f>IFERROR(HLOOKUP(G$2,[21]table_male_hkom2_inj.U3!$A$1:$K$36,8,FALSE),0)</f>
        <v>4</v>
      </c>
      <c r="H621">
        <f>IFERROR(HLOOKUP(H$2,[21]table_male_hkom2_inj.U3!$A$1:$K$36,8,FALSE),0)</f>
        <v>6</v>
      </c>
      <c r="I621">
        <f>IFERROR(HLOOKUP(I$2,[21]table_male_hkom2_inj.U3!$A$1:$K$36,8,FALSE),0)</f>
        <v>8</v>
      </c>
      <c r="J621">
        <f>IFERROR(HLOOKUP(J$2,[21]table_male_hkom2_inj.U3!$A$1:$K$36,8,FALSE),0)</f>
        <v>3</v>
      </c>
      <c r="K621">
        <f>IFERROR(HLOOKUP(K$2,[21]table_male_hkom2_inj.U3!$A$1:$K$36,8,FALSE),0)</f>
        <v>0</v>
      </c>
      <c r="L621">
        <f>IFERROR(HLOOKUP(L$2,[21]table_male_hkom2_inj.U3!$A$1:$K$36,8,FALSE),0)</f>
        <v>0</v>
      </c>
      <c r="M621">
        <f t="shared" si="201"/>
        <v>21</v>
      </c>
      <c r="S621" t="s">
        <v>76</v>
      </c>
      <c r="T621" s="5">
        <f t="shared" si="202"/>
        <v>0</v>
      </c>
      <c r="U621" s="5">
        <f t="shared" si="203"/>
        <v>0</v>
      </c>
      <c r="V621" s="5">
        <f t="shared" si="204"/>
        <v>4.3595505617977528</v>
      </c>
      <c r="W621" s="5">
        <f t="shared" si="205"/>
        <v>7.0416666666666661</v>
      </c>
      <c r="X621" s="5">
        <f t="shared" si="206"/>
        <v>8.6557377049180335</v>
      </c>
      <c r="Y621" s="5">
        <f t="shared" si="207"/>
        <v>3.2068965517241379</v>
      </c>
      <c r="Z621" s="5">
        <f t="shared" si="208"/>
        <v>0</v>
      </c>
      <c r="AA621" s="5">
        <f t="shared" si="209"/>
        <v>0</v>
      </c>
      <c r="AB621" s="5">
        <f t="shared" si="199"/>
        <v>23.263851485106589</v>
      </c>
    </row>
    <row r="622" spans="1:29" x14ac:dyDescent="0.25">
      <c r="D622" t="s">
        <v>77</v>
      </c>
      <c r="E622" s="64"/>
      <c r="F622" s="64"/>
      <c r="G622">
        <f>IFERROR(HLOOKUP(G$2,[21]table_male_hkom2_inj.U3!$A$1:$K$36,9,FALSE),0)</f>
        <v>14</v>
      </c>
      <c r="H622">
        <f>IFERROR(HLOOKUP(H$2,[21]table_male_hkom2_inj.U3!$A$1:$K$36,9,FALSE),0)</f>
        <v>14</v>
      </c>
      <c r="I622">
        <f>IFERROR(HLOOKUP(I$2,[21]table_male_hkom2_inj.U3!$A$1:$K$36,9,FALSE),0)</f>
        <v>12</v>
      </c>
      <c r="J622">
        <f>IFERROR(HLOOKUP(J$2,[21]table_male_hkom2_inj.U3!$A$1:$K$36,9,FALSE),0)</f>
        <v>2</v>
      </c>
      <c r="K622">
        <f>IFERROR(HLOOKUP(K$2,[21]table_male_hkom2_inj.U3!$A$1:$K$36,9,FALSE),0)</f>
        <v>2</v>
      </c>
      <c r="L622">
        <f>IFERROR(HLOOKUP(L$2,[21]table_male_hkom2_inj.U3!$A$1:$K$36,9,FALSE),0)</f>
        <v>0</v>
      </c>
      <c r="M622">
        <f t="shared" si="201"/>
        <v>44</v>
      </c>
      <c r="S622" t="s">
        <v>77</v>
      </c>
      <c r="T622" s="5">
        <f t="shared" si="202"/>
        <v>0</v>
      </c>
      <c r="U622" s="5">
        <f t="shared" si="203"/>
        <v>0</v>
      </c>
      <c r="V622" s="5">
        <f t="shared" si="204"/>
        <v>15.258426966292134</v>
      </c>
      <c r="W622" s="5">
        <f t="shared" si="205"/>
        <v>16.430555555555557</v>
      </c>
      <c r="X622" s="5">
        <f t="shared" si="206"/>
        <v>12.983606557377049</v>
      </c>
      <c r="Y622" s="5">
        <f t="shared" si="207"/>
        <v>2.1379310344827585</v>
      </c>
      <c r="Z622" s="5">
        <f t="shared" si="208"/>
        <v>2.2857142857142856</v>
      </c>
      <c r="AA622" s="5">
        <f t="shared" si="209"/>
        <v>0</v>
      </c>
      <c r="AB622" s="5">
        <f t="shared" si="199"/>
        <v>49.096234399421789</v>
      </c>
    </row>
    <row r="623" spans="1:29" x14ac:dyDescent="0.25">
      <c r="D623" t="s">
        <v>78</v>
      </c>
      <c r="E623" s="64"/>
      <c r="F623" s="64"/>
      <c r="G623">
        <f>IFERROR(HLOOKUP(G$2,[21]table_male_hkom2_inj.U3!$A$1:$K$36,10,FALSE),0)</f>
        <v>6</v>
      </c>
      <c r="H623">
        <f>IFERROR(HLOOKUP(H$2,[21]table_male_hkom2_inj.U3!$A$1:$K$36,10,FALSE),0)</f>
        <v>12</v>
      </c>
      <c r="I623">
        <f>IFERROR(HLOOKUP(I$2,[21]table_male_hkom2_inj.U3!$A$1:$K$36,10,FALSE),0)</f>
        <v>4</v>
      </c>
      <c r="J623">
        <f>IFERROR(HLOOKUP(J$2,[21]table_male_hkom2_inj.U3!$A$1:$K$36,10,FALSE),0)</f>
        <v>0</v>
      </c>
      <c r="K623">
        <f>IFERROR(HLOOKUP(K$2,[21]table_male_hkom2_inj.U3!$A$1:$K$36,10,FALSE),0)</f>
        <v>0</v>
      </c>
      <c r="L623">
        <f>IFERROR(HLOOKUP(L$2,[21]table_male_hkom2_inj.U3!$A$1:$K$36,10,FALSE),0)</f>
        <v>0</v>
      </c>
      <c r="M623">
        <f t="shared" si="201"/>
        <v>22</v>
      </c>
      <c r="S623" t="s">
        <v>78</v>
      </c>
      <c r="T623" s="5">
        <f t="shared" si="202"/>
        <v>0</v>
      </c>
      <c r="U623" s="5">
        <f t="shared" si="203"/>
        <v>0</v>
      </c>
      <c r="V623" s="5">
        <f t="shared" si="204"/>
        <v>6.5393258426966288</v>
      </c>
      <c r="W623" s="5">
        <f t="shared" si="205"/>
        <v>14.083333333333332</v>
      </c>
      <c r="X623" s="5">
        <f t="shared" si="206"/>
        <v>4.3278688524590168</v>
      </c>
      <c r="Y623" s="5">
        <f t="shared" si="207"/>
        <v>0</v>
      </c>
      <c r="Z623" s="5">
        <f t="shared" si="208"/>
        <v>0</v>
      </c>
      <c r="AA623" s="5">
        <f t="shared" si="209"/>
        <v>0</v>
      </c>
      <c r="AB623" s="5">
        <f t="shared" si="199"/>
        <v>24.950528028488979</v>
      </c>
    </row>
    <row r="624" spans="1:29" x14ac:dyDescent="0.25">
      <c r="D624" t="s">
        <v>79</v>
      </c>
      <c r="E624" s="64"/>
      <c r="F624" s="64"/>
      <c r="G624">
        <f>IFERROR(HLOOKUP(G$2,[21]table_male_hkom2_inj.U3!$A$1:$K$36,11,FALSE),0)</f>
        <v>8</v>
      </c>
      <c r="H624">
        <f>IFERROR(HLOOKUP(H$2,[21]table_male_hkom2_inj.U3!$A$1:$K$36,11,FALSE),0)</f>
        <v>7</v>
      </c>
      <c r="I624">
        <f>IFERROR(HLOOKUP(I$2,[21]table_male_hkom2_inj.U3!$A$1:$K$36,11,FALSE),0)</f>
        <v>13</v>
      </c>
      <c r="J624">
        <f>IFERROR(HLOOKUP(J$2,[21]table_male_hkom2_inj.U3!$A$1:$K$36,11,FALSE),0)</f>
        <v>5</v>
      </c>
      <c r="K624">
        <f>IFERROR(HLOOKUP(K$2,[21]table_male_hkom2_inj.U3!$A$1:$K$36,11,FALSE),0)</f>
        <v>2</v>
      </c>
      <c r="L624">
        <f>IFERROR(HLOOKUP(L$2,[21]table_male_hkom2_inj.U3!$A$1:$K$36,11,FALSE),0)</f>
        <v>1</v>
      </c>
      <c r="M624">
        <f t="shared" si="201"/>
        <v>36</v>
      </c>
      <c r="S624" t="s">
        <v>79</v>
      </c>
      <c r="T624" s="5">
        <f t="shared" si="202"/>
        <v>0</v>
      </c>
      <c r="U624" s="5">
        <f t="shared" si="203"/>
        <v>0</v>
      </c>
      <c r="V624" s="5">
        <f t="shared" si="204"/>
        <v>8.7191011235955056</v>
      </c>
      <c r="W624" s="5">
        <f t="shared" si="205"/>
        <v>8.2152777777777786</v>
      </c>
      <c r="X624" s="5">
        <f t="shared" si="206"/>
        <v>14.065573770491802</v>
      </c>
      <c r="Y624" s="5">
        <f t="shared" si="207"/>
        <v>5.3448275862068968</v>
      </c>
      <c r="Z624" s="5">
        <f t="shared" si="208"/>
        <v>2.2857142857142856</v>
      </c>
      <c r="AA624" s="5">
        <f t="shared" si="209"/>
        <v>1</v>
      </c>
      <c r="AB624" s="5">
        <f t="shared" si="199"/>
        <v>39.63049454378627</v>
      </c>
    </row>
    <row r="625" spans="4:28" x14ac:dyDescent="0.25">
      <c r="D625" t="s">
        <v>80</v>
      </c>
      <c r="E625" s="64"/>
      <c r="F625" s="64"/>
      <c r="G625">
        <f>IFERROR(HLOOKUP(G$2,[21]table_male_hkom2_inj.U3!$A$1:$K$36,12,FALSE),0)</f>
        <v>5</v>
      </c>
      <c r="H625">
        <f>IFERROR(HLOOKUP(H$2,[21]table_male_hkom2_inj.U3!$A$1:$K$36,12,FALSE),0)</f>
        <v>9</v>
      </c>
      <c r="I625">
        <f>IFERROR(HLOOKUP(I$2,[21]table_male_hkom2_inj.U3!$A$1:$K$36,12,FALSE),0)</f>
        <v>11</v>
      </c>
      <c r="J625">
        <f>IFERROR(HLOOKUP(J$2,[21]table_male_hkom2_inj.U3!$A$1:$K$36,12,FALSE),0)</f>
        <v>2</v>
      </c>
      <c r="K625">
        <f>IFERROR(HLOOKUP(K$2,[21]table_male_hkom2_inj.U3!$A$1:$K$36,12,FALSE),0)</f>
        <v>0</v>
      </c>
      <c r="L625">
        <f>IFERROR(HLOOKUP(L$2,[21]table_male_hkom2_inj.U3!$A$1:$K$36,12,FALSE),0)</f>
        <v>0</v>
      </c>
      <c r="M625">
        <f t="shared" si="201"/>
        <v>27</v>
      </c>
      <c r="S625" t="s">
        <v>80</v>
      </c>
      <c r="T625" s="5">
        <f t="shared" si="202"/>
        <v>0</v>
      </c>
      <c r="U625" s="5">
        <f t="shared" si="203"/>
        <v>0</v>
      </c>
      <c r="V625" s="5">
        <f t="shared" si="204"/>
        <v>5.4494382022471912</v>
      </c>
      <c r="W625" s="5">
        <f t="shared" si="205"/>
        <v>10.5625</v>
      </c>
      <c r="X625" s="5">
        <f t="shared" si="206"/>
        <v>11.901639344262295</v>
      </c>
      <c r="Y625" s="5">
        <f t="shared" si="207"/>
        <v>2.1379310344827585</v>
      </c>
      <c r="Z625" s="5">
        <f t="shared" si="208"/>
        <v>0</v>
      </c>
      <c r="AA625" s="5">
        <f t="shared" si="209"/>
        <v>0</v>
      </c>
      <c r="AB625" s="5">
        <f t="shared" si="199"/>
        <v>30.051508580992245</v>
      </c>
    </row>
    <row r="626" spans="4:28" x14ac:dyDescent="0.25">
      <c r="D626" t="s">
        <v>81</v>
      </c>
      <c r="E626" s="64"/>
      <c r="F626" s="64"/>
      <c r="G626">
        <f>IFERROR(HLOOKUP(G$2,[21]table_male_hkom2_inj.U3!$A$1:$K$36,13,FALSE),0)</f>
        <v>10</v>
      </c>
      <c r="H626">
        <f>IFERROR(HLOOKUP(H$2,[21]table_male_hkom2_inj.U3!$A$1:$K$36,13,FALSE),0)</f>
        <v>4</v>
      </c>
      <c r="I626">
        <f>IFERROR(HLOOKUP(I$2,[21]table_male_hkom2_inj.U3!$A$1:$K$36,13,FALSE),0)</f>
        <v>4</v>
      </c>
      <c r="J626">
        <f>IFERROR(HLOOKUP(J$2,[21]table_male_hkom2_inj.U3!$A$1:$K$36,13,FALSE),0)</f>
        <v>0</v>
      </c>
      <c r="K626">
        <f>IFERROR(HLOOKUP(K$2,[21]table_male_hkom2_inj.U3!$A$1:$K$36,13,FALSE),0)</f>
        <v>0</v>
      </c>
      <c r="L626">
        <f>IFERROR(HLOOKUP(L$2,[21]table_male_hkom2_inj.U3!$A$1:$K$36,13,FALSE),0)</f>
        <v>0</v>
      </c>
      <c r="M626">
        <f t="shared" si="201"/>
        <v>18</v>
      </c>
      <c r="S626" t="s">
        <v>81</v>
      </c>
      <c r="T626" s="5">
        <f t="shared" si="202"/>
        <v>0</v>
      </c>
      <c r="U626" s="5">
        <f t="shared" si="203"/>
        <v>0</v>
      </c>
      <c r="V626" s="5">
        <f t="shared" si="204"/>
        <v>10.898876404494382</v>
      </c>
      <c r="W626" s="5">
        <f t="shared" si="205"/>
        <v>4.6944444444444446</v>
      </c>
      <c r="X626" s="5">
        <f t="shared" si="206"/>
        <v>4.3278688524590168</v>
      </c>
      <c r="Y626" s="5">
        <f t="shared" si="207"/>
        <v>0</v>
      </c>
      <c r="Z626" s="5">
        <f t="shared" si="208"/>
        <v>0</v>
      </c>
      <c r="AA626" s="5">
        <f t="shared" si="209"/>
        <v>0</v>
      </c>
      <c r="AB626" s="5">
        <f t="shared" si="199"/>
        <v>19.921189701397843</v>
      </c>
    </row>
    <row r="627" spans="4:28" x14ac:dyDescent="0.25">
      <c r="D627" t="s">
        <v>82</v>
      </c>
      <c r="E627" s="64"/>
      <c r="F627" s="64"/>
      <c r="G627">
        <f>IFERROR(HLOOKUP(G$2,[21]table_male_hkom2_inj.U3!$A$1:$K$36,14,FALSE),0)</f>
        <v>6</v>
      </c>
      <c r="H627">
        <f>IFERROR(HLOOKUP(H$2,[21]table_male_hkom2_inj.U3!$A$1:$K$36,14,FALSE),0)</f>
        <v>4</v>
      </c>
      <c r="I627">
        <f>IFERROR(HLOOKUP(I$2,[21]table_male_hkom2_inj.U3!$A$1:$K$36,14,FALSE),0)</f>
        <v>9</v>
      </c>
      <c r="J627">
        <f>IFERROR(HLOOKUP(J$2,[21]table_male_hkom2_inj.U3!$A$1:$K$36,14,FALSE),0)</f>
        <v>1</v>
      </c>
      <c r="K627">
        <f>IFERROR(HLOOKUP(K$2,[21]table_male_hkom2_inj.U3!$A$1:$K$36,14,FALSE),0)</f>
        <v>0</v>
      </c>
      <c r="L627">
        <f>IFERROR(HLOOKUP(L$2,[21]table_male_hkom2_inj.U3!$A$1:$K$36,14,FALSE),0)</f>
        <v>0</v>
      </c>
      <c r="M627">
        <f t="shared" si="201"/>
        <v>20</v>
      </c>
      <c r="S627" t="s">
        <v>82</v>
      </c>
      <c r="T627" s="5">
        <f t="shared" si="202"/>
        <v>0</v>
      </c>
      <c r="U627" s="5">
        <f t="shared" si="203"/>
        <v>0</v>
      </c>
      <c r="V627" s="5">
        <f t="shared" si="204"/>
        <v>6.5393258426966288</v>
      </c>
      <c r="W627" s="5">
        <f t="shared" si="205"/>
        <v>4.6944444444444446</v>
      </c>
      <c r="X627" s="5">
        <f t="shared" si="206"/>
        <v>9.7377049180327866</v>
      </c>
      <c r="Y627" s="5">
        <f t="shared" si="207"/>
        <v>1.0689655172413792</v>
      </c>
      <c r="Z627" s="5">
        <f t="shared" si="208"/>
        <v>0</v>
      </c>
      <c r="AA627" s="5">
        <f t="shared" si="209"/>
        <v>0</v>
      </c>
      <c r="AB627" s="5">
        <f t="shared" si="199"/>
        <v>22.040440722415241</v>
      </c>
    </row>
    <row r="628" spans="4:28" x14ac:dyDescent="0.25">
      <c r="D628" t="s">
        <v>83</v>
      </c>
      <c r="E628" s="64"/>
      <c r="F628" s="64"/>
      <c r="G628">
        <f>IFERROR(HLOOKUP(G$2,[21]table_male_hkom2_inj.U3!$A$1:$K$36,15,FALSE),0)</f>
        <v>1</v>
      </c>
      <c r="H628">
        <f>IFERROR(HLOOKUP(H$2,[21]table_male_hkom2_inj.U3!$A$1:$K$36,15,FALSE),0)</f>
        <v>3</v>
      </c>
      <c r="I628">
        <f>IFERROR(HLOOKUP(I$2,[21]table_male_hkom2_inj.U3!$A$1:$K$36,15,FALSE),0)</f>
        <v>2</v>
      </c>
      <c r="J628">
        <f>IFERROR(HLOOKUP(J$2,[21]table_male_hkom2_inj.U3!$A$1:$K$36,15,FALSE),0)</f>
        <v>1</v>
      </c>
      <c r="K628">
        <f>IFERROR(HLOOKUP(K$2,[21]table_male_hkom2_inj.U3!$A$1:$K$36,15,FALSE),0)</f>
        <v>0</v>
      </c>
      <c r="L628">
        <f>IFERROR(HLOOKUP(L$2,[21]table_male_hkom2_inj.U3!$A$1:$K$36,15,FALSE),0)</f>
        <v>0</v>
      </c>
      <c r="M628">
        <f t="shared" si="201"/>
        <v>7</v>
      </c>
      <c r="S628" t="s">
        <v>83</v>
      </c>
      <c r="T628" s="5">
        <f t="shared" si="202"/>
        <v>0</v>
      </c>
      <c r="U628" s="5">
        <f t="shared" si="203"/>
        <v>0</v>
      </c>
      <c r="V628" s="5">
        <f t="shared" si="204"/>
        <v>1.0898876404494382</v>
      </c>
      <c r="W628" s="5">
        <f t="shared" si="205"/>
        <v>3.520833333333333</v>
      </c>
      <c r="X628" s="5">
        <f t="shared" si="206"/>
        <v>2.1639344262295084</v>
      </c>
      <c r="Y628" s="5">
        <f t="shared" si="207"/>
        <v>1.0689655172413792</v>
      </c>
      <c r="Z628" s="5">
        <f t="shared" si="208"/>
        <v>0</v>
      </c>
      <c r="AA628" s="5">
        <f t="shared" si="209"/>
        <v>0</v>
      </c>
      <c r="AB628" s="5">
        <f t="shared" si="199"/>
        <v>7.8436209172536593</v>
      </c>
    </row>
    <row r="629" spans="4:28" x14ac:dyDescent="0.25">
      <c r="D629" t="s">
        <v>84</v>
      </c>
      <c r="E629" s="64"/>
      <c r="F629" s="64"/>
      <c r="G629">
        <f>IFERROR(HLOOKUP(G$2,[21]table_male_hkom2_inj.U3!$A$1:$K$36,16,FALSE),0)</f>
        <v>0</v>
      </c>
      <c r="H629">
        <f>IFERROR(HLOOKUP(H$2,[21]table_male_hkom2_inj.U3!$A$1:$K$36,16,FALSE),0)</f>
        <v>3</v>
      </c>
      <c r="I629">
        <f>IFERROR(HLOOKUP(I$2,[21]table_male_hkom2_inj.U3!$A$1:$K$36,16,FALSE),0)</f>
        <v>2</v>
      </c>
      <c r="J629">
        <f>IFERROR(HLOOKUP(J$2,[21]table_male_hkom2_inj.U3!$A$1:$K$36,16,FALSE),0)</f>
        <v>0</v>
      </c>
      <c r="K629">
        <f>IFERROR(HLOOKUP(K$2,[21]table_male_hkom2_inj.U3!$A$1:$K$36,16,FALSE),0)</f>
        <v>1</v>
      </c>
      <c r="L629">
        <f>IFERROR(HLOOKUP(L$2,[21]table_male_hkom2_inj.U3!$A$1:$K$36,16,FALSE),0)</f>
        <v>0</v>
      </c>
      <c r="M629">
        <f t="shared" si="201"/>
        <v>6</v>
      </c>
      <c r="S629" t="s">
        <v>84</v>
      </c>
      <c r="T629" s="5">
        <f t="shared" si="202"/>
        <v>0</v>
      </c>
      <c r="U629" s="5">
        <f t="shared" si="203"/>
        <v>0</v>
      </c>
      <c r="V629" s="5">
        <f t="shared" si="204"/>
        <v>0</v>
      </c>
      <c r="W629" s="5">
        <f t="shared" si="205"/>
        <v>3.520833333333333</v>
      </c>
      <c r="X629" s="5">
        <f t="shared" si="206"/>
        <v>2.1639344262295084</v>
      </c>
      <c r="Y629" s="5">
        <f t="shared" si="207"/>
        <v>0</v>
      </c>
      <c r="Z629" s="5">
        <f t="shared" si="208"/>
        <v>1.1428571428571428</v>
      </c>
      <c r="AA629" s="5">
        <f t="shared" si="209"/>
        <v>0</v>
      </c>
      <c r="AB629" s="5">
        <f t="shared" si="199"/>
        <v>6.8276249024199842</v>
      </c>
    </row>
    <row r="630" spans="4:28" x14ac:dyDescent="0.25">
      <c r="D630" t="s">
        <v>85</v>
      </c>
      <c r="E630" s="64"/>
      <c r="F630" s="64"/>
      <c r="G630">
        <f>IFERROR(HLOOKUP(G$2,[21]table_male_hkom2_inj.U3!$A$1:$K$36,17,FALSE),0)</f>
        <v>8</v>
      </c>
      <c r="H630">
        <f>IFERROR(HLOOKUP(H$2,[21]table_male_hkom2_inj.U3!$A$1:$K$36,17,FALSE),0)</f>
        <v>8</v>
      </c>
      <c r="I630">
        <f>IFERROR(HLOOKUP(I$2,[21]table_male_hkom2_inj.U3!$A$1:$K$36,17,FALSE),0)</f>
        <v>2</v>
      </c>
      <c r="J630">
        <f>IFERROR(HLOOKUP(J$2,[21]table_male_hkom2_inj.U3!$A$1:$K$36,17,FALSE),0)</f>
        <v>0</v>
      </c>
      <c r="K630">
        <f>IFERROR(HLOOKUP(K$2,[21]table_male_hkom2_inj.U3!$A$1:$K$36,17,FALSE),0)</f>
        <v>0</v>
      </c>
      <c r="L630">
        <f>IFERROR(HLOOKUP(L$2,[21]table_male_hkom2_inj.U3!$A$1:$K$36,17,FALSE),0)</f>
        <v>0</v>
      </c>
      <c r="M630">
        <f t="shared" si="201"/>
        <v>18</v>
      </c>
      <c r="S630" t="s">
        <v>85</v>
      </c>
      <c r="T630" s="5">
        <f t="shared" si="202"/>
        <v>0</v>
      </c>
      <c r="U630" s="5">
        <f t="shared" si="203"/>
        <v>0</v>
      </c>
      <c r="V630" s="5">
        <f t="shared" si="204"/>
        <v>8.7191011235955056</v>
      </c>
      <c r="W630" s="5">
        <f t="shared" si="205"/>
        <v>9.3888888888888893</v>
      </c>
      <c r="X630" s="5">
        <f t="shared" si="206"/>
        <v>2.1639344262295084</v>
      </c>
      <c r="Y630" s="5">
        <f t="shared" si="207"/>
        <v>0</v>
      </c>
      <c r="Z630" s="5">
        <f t="shared" si="208"/>
        <v>0</v>
      </c>
      <c r="AA630" s="5">
        <f t="shared" si="209"/>
        <v>0</v>
      </c>
      <c r="AB630" s="5">
        <f t="shared" si="199"/>
        <v>20.271924438713903</v>
      </c>
    </row>
    <row r="631" spans="4:28" x14ac:dyDescent="0.25">
      <c r="D631" t="s">
        <v>86</v>
      </c>
      <c r="E631" s="64"/>
      <c r="F631" s="64"/>
      <c r="G631">
        <f>IFERROR(HLOOKUP(G$2,[21]table_male_hkom2_inj.U3!$A$1:$K$36,18,FALSE),0)</f>
        <v>7</v>
      </c>
      <c r="H631">
        <f>IFERROR(HLOOKUP(H$2,[21]table_male_hkom2_inj.U3!$A$1:$K$36,18,FALSE),0)</f>
        <v>31</v>
      </c>
      <c r="I631">
        <f>IFERROR(HLOOKUP(I$2,[21]table_male_hkom2_inj.U3!$A$1:$K$36,18,FALSE),0)</f>
        <v>15</v>
      </c>
      <c r="J631">
        <f>IFERROR(HLOOKUP(J$2,[21]table_male_hkom2_inj.U3!$A$1:$K$36,18,FALSE),0)</f>
        <v>8</v>
      </c>
      <c r="K631">
        <f>IFERROR(HLOOKUP(K$2,[21]table_male_hkom2_inj.U3!$A$1:$K$36,18,FALSE),0)</f>
        <v>1</v>
      </c>
      <c r="L631">
        <f>IFERROR(HLOOKUP(L$2,[21]table_male_hkom2_inj.U3!$A$1:$K$36,18,FALSE),0)</f>
        <v>2</v>
      </c>
      <c r="M631">
        <f t="shared" si="201"/>
        <v>64</v>
      </c>
      <c r="S631" t="s">
        <v>86</v>
      </c>
      <c r="T631" s="5">
        <f t="shared" si="202"/>
        <v>0</v>
      </c>
      <c r="U631" s="5">
        <f t="shared" si="203"/>
        <v>0</v>
      </c>
      <c r="V631" s="5">
        <f t="shared" si="204"/>
        <v>7.6292134831460672</v>
      </c>
      <c r="W631" s="5">
        <f t="shared" si="205"/>
        <v>36.381944444444443</v>
      </c>
      <c r="X631" s="5">
        <f t="shared" si="206"/>
        <v>16.229508196721312</v>
      </c>
      <c r="Y631" s="5">
        <f t="shared" si="207"/>
        <v>8.5517241379310338</v>
      </c>
      <c r="Z631" s="5">
        <f t="shared" si="208"/>
        <v>1.1428571428571428</v>
      </c>
      <c r="AA631" s="5">
        <f t="shared" si="209"/>
        <v>2</v>
      </c>
      <c r="AB631" s="5">
        <f t="shared" si="199"/>
        <v>71.9352474051</v>
      </c>
    </row>
    <row r="632" spans="4:28" x14ac:dyDescent="0.25">
      <c r="D632" t="s">
        <v>87</v>
      </c>
      <c r="E632" s="64"/>
      <c r="F632" s="64"/>
      <c r="G632">
        <f>IFERROR(HLOOKUP(G$2,[21]table_male_hkom2_inj.U3!$A$1:$K$36,19,FALSE),0)</f>
        <v>3</v>
      </c>
      <c r="H632">
        <f>IFERROR(HLOOKUP(H$2,[21]table_male_hkom2_inj.U3!$A$1:$K$36,19,FALSE),0)</f>
        <v>1</v>
      </c>
      <c r="I632">
        <f>IFERROR(HLOOKUP(I$2,[21]table_male_hkom2_inj.U3!$A$1:$K$36,19,FALSE),0)</f>
        <v>1</v>
      </c>
      <c r="J632">
        <f>IFERROR(HLOOKUP(J$2,[21]table_male_hkom2_inj.U3!$A$1:$K$36,19,FALSE),0)</f>
        <v>0</v>
      </c>
      <c r="K632">
        <f>IFERROR(HLOOKUP(K$2,[21]table_male_hkom2_inj.U3!$A$1:$K$36,19,FALSE),0)</f>
        <v>0</v>
      </c>
      <c r="L632">
        <f>IFERROR(HLOOKUP(L$2,[21]table_male_hkom2_inj.U3!$A$1:$K$36,19,FALSE),0)</f>
        <v>0</v>
      </c>
      <c r="M632">
        <f t="shared" si="201"/>
        <v>5</v>
      </c>
      <c r="S632" t="s">
        <v>87</v>
      </c>
      <c r="T632" s="5">
        <f t="shared" si="202"/>
        <v>0</v>
      </c>
      <c r="U632" s="5">
        <f t="shared" si="203"/>
        <v>0</v>
      </c>
      <c r="V632" s="5">
        <f t="shared" si="204"/>
        <v>3.2696629213483144</v>
      </c>
      <c r="W632" s="5">
        <f t="shared" si="205"/>
        <v>1.1736111111111112</v>
      </c>
      <c r="X632" s="5">
        <f t="shared" si="206"/>
        <v>1.0819672131147542</v>
      </c>
      <c r="Y632" s="5">
        <f t="shared" si="207"/>
        <v>0</v>
      </c>
      <c r="Z632" s="5">
        <f t="shared" si="208"/>
        <v>0</v>
      </c>
      <c r="AA632" s="5">
        <f t="shared" si="209"/>
        <v>0</v>
      </c>
      <c r="AB632" s="5">
        <f t="shared" si="199"/>
        <v>5.5252412455741799</v>
      </c>
    </row>
    <row r="633" spans="4:28" x14ac:dyDescent="0.25">
      <c r="D633" t="s">
        <v>88</v>
      </c>
      <c r="E633" s="64"/>
      <c r="F633" s="64"/>
      <c r="G633">
        <f>IFERROR(HLOOKUP(G$2,[21]table_male_hkom2_inj.U3!$A$1:$K$36,20,FALSE),0)</f>
        <v>1</v>
      </c>
      <c r="H633">
        <f>IFERROR(HLOOKUP(H$2,[21]table_male_hkom2_inj.U3!$A$1:$K$36,20,FALSE),0)</f>
        <v>10</v>
      </c>
      <c r="I633">
        <f>IFERROR(HLOOKUP(I$2,[21]table_male_hkom2_inj.U3!$A$1:$K$36,20,FALSE),0)</f>
        <v>5</v>
      </c>
      <c r="J633">
        <f>IFERROR(HLOOKUP(J$2,[21]table_male_hkom2_inj.U3!$A$1:$K$36,20,FALSE),0)</f>
        <v>0</v>
      </c>
      <c r="K633">
        <f>IFERROR(HLOOKUP(K$2,[21]table_male_hkom2_inj.U3!$A$1:$K$36,20,FALSE),0)</f>
        <v>1</v>
      </c>
      <c r="L633">
        <f>IFERROR(HLOOKUP(L$2,[21]table_male_hkom2_inj.U3!$A$1:$K$36,20,FALSE),0)</f>
        <v>0</v>
      </c>
      <c r="M633">
        <f t="shared" si="201"/>
        <v>17</v>
      </c>
      <c r="S633" t="s">
        <v>88</v>
      </c>
      <c r="T633" s="5">
        <f t="shared" si="202"/>
        <v>0</v>
      </c>
      <c r="U633" s="5">
        <f t="shared" si="203"/>
        <v>0</v>
      </c>
      <c r="V633" s="5">
        <f t="shared" si="204"/>
        <v>1.0898876404494382</v>
      </c>
      <c r="W633" s="5">
        <f t="shared" si="205"/>
        <v>11.736111111111111</v>
      </c>
      <c r="X633" s="5">
        <f t="shared" si="206"/>
        <v>5.4098360655737707</v>
      </c>
      <c r="Y633" s="5">
        <f t="shared" si="207"/>
        <v>0</v>
      </c>
      <c r="Z633" s="5">
        <f t="shared" si="208"/>
        <v>1.1428571428571428</v>
      </c>
      <c r="AA633" s="5">
        <f t="shared" si="209"/>
        <v>0</v>
      </c>
      <c r="AB633" s="5">
        <f t="shared" si="199"/>
        <v>19.37869195999146</v>
      </c>
    </row>
    <row r="634" spans="4:28" x14ac:dyDescent="0.25">
      <c r="D634" t="s">
        <v>89</v>
      </c>
      <c r="E634" s="64"/>
      <c r="F634" s="64"/>
      <c r="G634">
        <f>IFERROR(HLOOKUP(G$2,[21]table_male_hkom2_inj.U3!$A$1:$K$36,21,FALSE),0)</f>
        <v>0</v>
      </c>
      <c r="H634">
        <f>IFERROR(HLOOKUP(H$2,[21]table_male_hkom2_inj.U3!$A$1:$K$36,21,FALSE),0)</f>
        <v>0</v>
      </c>
      <c r="I634">
        <f>IFERROR(HLOOKUP(I$2,[21]table_male_hkom2_inj.U3!$A$1:$K$36,21,FALSE),0)</f>
        <v>1</v>
      </c>
      <c r="J634">
        <f>IFERROR(HLOOKUP(J$2,[21]table_male_hkom2_inj.U3!$A$1:$K$36,21,FALSE),0)</f>
        <v>1</v>
      </c>
      <c r="K634">
        <f>IFERROR(HLOOKUP(K$2,[21]table_male_hkom2_inj.U3!$A$1:$K$36,21,FALSE),0)</f>
        <v>0</v>
      </c>
      <c r="L634">
        <f>IFERROR(HLOOKUP(L$2,[21]table_male_hkom2_inj.U3!$A$1:$K$36,21,FALSE),0)</f>
        <v>0</v>
      </c>
      <c r="M634">
        <f t="shared" si="201"/>
        <v>2</v>
      </c>
      <c r="S634" t="s">
        <v>89</v>
      </c>
      <c r="T634" s="5">
        <f t="shared" si="202"/>
        <v>0</v>
      </c>
      <c r="U634" s="5">
        <f t="shared" si="203"/>
        <v>0</v>
      </c>
      <c r="V634" s="5">
        <f t="shared" si="204"/>
        <v>0</v>
      </c>
      <c r="W634" s="5">
        <f t="shared" si="205"/>
        <v>0</v>
      </c>
      <c r="X634" s="5">
        <f t="shared" si="206"/>
        <v>1.0819672131147542</v>
      </c>
      <c r="Y634" s="5">
        <f t="shared" si="207"/>
        <v>1.0689655172413792</v>
      </c>
      <c r="Z634" s="5">
        <f t="shared" si="208"/>
        <v>0</v>
      </c>
      <c r="AA634" s="5">
        <f t="shared" si="209"/>
        <v>0</v>
      </c>
      <c r="AB634" s="5">
        <f t="shared" si="199"/>
        <v>2.1509327303561334</v>
      </c>
    </row>
    <row r="635" spans="4:28" x14ac:dyDescent="0.25">
      <c r="D635" t="s">
        <v>90</v>
      </c>
      <c r="E635" s="64"/>
      <c r="F635" s="64"/>
      <c r="G635">
        <f>IFERROR(HLOOKUP(G$2,[21]table_male_hkom2_inj.U3!$A$1:$K$36,22,FALSE),0)</f>
        <v>0</v>
      </c>
      <c r="H635">
        <f>IFERROR(HLOOKUP(H$2,[21]table_male_hkom2_inj.U3!$A$1:$K$36,22,FALSE),0)</f>
        <v>0</v>
      </c>
      <c r="I635">
        <f>IFERROR(HLOOKUP(I$2,[21]table_male_hkom2_inj.U3!$A$1:$K$36,22,FALSE),0)</f>
        <v>0</v>
      </c>
      <c r="J635">
        <f>IFERROR(HLOOKUP(J$2,[21]table_male_hkom2_inj.U3!$A$1:$K$36,22,FALSE),0)</f>
        <v>0</v>
      </c>
      <c r="K635">
        <f>IFERROR(HLOOKUP(K$2,[21]table_male_hkom2_inj.U3!$A$1:$K$36,22,FALSE),0)</f>
        <v>0</v>
      </c>
      <c r="L635">
        <f>IFERROR(HLOOKUP(L$2,[21]table_male_hkom2_inj.U3!$A$1:$K$36,22,FALSE),0)</f>
        <v>0</v>
      </c>
      <c r="M635">
        <f t="shared" si="201"/>
        <v>0</v>
      </c>
      <c r="S635" t="s">
        <v>90</v>
      </c>
      <c r="T635" s="5">
        <f t="shared" si="202"/>
        <v>0</v>
      </c>
      <c r="U635" s="5">
        <f t="shared" si="203"/>
        <v>0</v>
      </c>
      <c r="V635" s="5">
        <f t="shared" si="204"/>
        <v>0</v>
      </c>
      <c r="W635" s="5">
        <f t="shared" si="205"/>
        <v>0</v>
      </c>
      <c r="X635" s="5">
        <f t="shared" si="206"/>
        <v>0</v>
      </c>
      <c r="Y635" s="5">
        <f t="shared" si="207"/>
        <v>0</v>
      </c>
      <c r="Z635" s="5">
        <f t="shared" si="208"/>
        <v>0</v>
      </c>
      <c r="AA635" s="5">
        <f t="shared" si="209"/>
        <v>0</v>
      </c>
      <c r="AB635" s="5">
        <f t="shared" si="199"/>
        <v>0</v>
      </c>
    </row>
    <row r="636" spans="4:28" x14ac:dyDescent="0.25">
      <c r="D636" t="s">
        <v>91</v>
      </c>
      <c r="E636" s="64"/>
      <c r="F636" s="64"/>
      <c r="G636">
        <f>IFERROR(HLOOKUP(G$2,[21]table_male_hkom2_inj.U3!$A$1:$K$36,23,FALSE),0)</f>
        <v>0</v>
      </c>
      <c r="H636">
        <f>IFERROR(HLOOKUP(H$2,[21]table_male_hkom2_inj.U3!$A$1:$K$36,23,FALSE),0)</f>
        <v>1</v>
      </c>
      <c r="I636">
        <f>IFERROR(HLOOKUP(I$2,[21]table_male_hkom2_inj.U3!$A$1:$K$36,23,FALSE),0)</f>
        <v>0</v>
      </c>
      <c r="J636">
        <f>IFERROR(HLOOKUP(J$2,[21]table_male_hkom2_inj.U3!$A$1:$K$36,23,FALSE),0)</f>
        <v>0</v>
      </c>
      <c r="K636">
        <f>IFERROR(HLOOKUP(K$2,[21]table_male_hkom2_inj.U3!$A$1:$K$36,23,FALSE),0)</f>
        <v>0</v>
      </c>
      <c r="L636">
        <f>IFERROR(HLOOKUP(L$2,[21]table_male_hkom2_inj.U3!$A$1:$K$36,23,FALSE),0)</f>
        <v>0</v>
      </c>
      <c r="M636">
        <f t="shared" si="201"/>
        <v>1</v>
      </c>
      <c r="S636" t="s">
        <v>91</v>
      </c>
      <c r="T636" s="5">
        <f t="shared" si="202"/>
        <v>0</v>
      </c>
      <c r="U636" s="5">
        <f t="shared" si="203"/>
        <v>0</v>
      </c>
      <c r="V636" s="5">
        <f t="shared" si="204"/>
        <v>0</v>
      </c>
      <c r="W636" s="5">
        <f t="shared" si="205"/>
        <v>1.1736111111111112</v>
      </c>
      <c r="X636" s="5">
        <f t="shared" si="206"/>
        <v>0</v>
      </c>
      <c r="Y636" s="5">
        <f t="shared" si="207"/>
        <v>0</v>
      </c>
      <c r="Z636" s="5">
        <f t="shared" si="208"/>
        <v>0</v>
      </c>
      <c r="AA636" s="5">
        <f t="shared" si="209"/>
        <v>0</v>
      </c>
      <c r="AB636" s="5">
        <f t="shared" si="199"/>
        <v>1.1736111111111112</v>
      </c>
    </row>
    <row r="637" spans="4:28" x14ac:dyDescent="0.25">
      <c r="D637" t="s">
        <v>92</v>
      </c>
      <c r="E637" s="64"/>
      <c r="F637" s="64"/>
      <c r="G637">
        <f>IFERROR(HLOOKUP(G$2,[21]table_male_hkom2_inj.U3!$A$1:$K$36,24,FALSE),0)</f>
        <v>0</v>
      </c>
      <c r="H637">
        <f>IFERROR(HLOOKUP(H$2,[21]table_male_hkom2_inj.U3!$A$1:$K$36,24,FALSE),0)</f>
        <v>0</v>
      </c>
      <c r="I637">
        <f>IFERROR(HLOOKUP(I$2,[21]table_male_hkom2_inj.U3!$A$1:$K$36,24,FALSE),0)</f>
        <v>0</v>
      </c>
      <c r="J637">
        <f>IFERROR(HLOOKUP(J$2,[21]table_male_hkom2_inj.U3!$A$1:$K$36,24,FALSE),0)</f>
        <v>0</v>
      </c>
      <c r="K637">
        <f>IFERROR(HLOOKUP(K$2,[21]table_male_hkom2_inj.U3!$A$1:$K$36,24,FALSE),0)</f>
        <v>0</v>
      </c>
      <c r="L637">
        <f>IFERROR(HLOOKUP(L$2,[21]table_male_hkom2_inj.U3!$A$1:$K$36,24,FALSE),0)</f>
        <v>0</v>
      </c>
      <c r="M637">
        <f t="shared" si="201"/>
        <v>0</v>
      </c>
      <c r="S637" t="s">
        <v>92</v>
      </c>
      <c r="T637" s="5">
        <f t="shared" si="202"/>
        <v>0</v>
      </c>
      <c r="U637" s="5">
        <f t="shared" si="203"/>
        <v>0</v>
      </c>
      <c r="V637" s="5">
        <f t="shared" si="204"/>
        <v>0</v>
      </c>
      <c r="W637" s="5">
        <f t="shared" si="205"/>
        <v>0</v>
      </c>
      <c r="X637" s="5">
        <f t="shared" si="206"/>
        <v>0</v>
      </c>
      <c r="Y637" s="5">
        <f t="shared" si="207"/>
        <v>0</v>
      </c>
      <c r="Z637" s="5">
        <f t="shared" si="208"/>
        <v>0</v>
      </c>
      <c r="AA637" s="5">
        <f t="shared" si="209"/>
        <v>0</v>
      </c>
      <c r="AB637" s="5">
        <f t="shared" si="199"/>
        <v>0</v>
      </c>
    </row>
    <row r="638" spans="4:28" x14ac:dyDescent="0.25">
      <c r="D638" t="s">
        <v>93</v>
      </c>
      <c r="E638" s="64"/>
      <c r="F638" s="64"/>
      <c r="G638">
        <f>IFERROR(HLOOKUP(G$2,[21]table_male_hkom2_inj.U3!$A$1:$K$36,25,FALSE),0)</f>
        <v>0</v>
      </c>
      <c r="H638">
        <f>IFERROR(HLOOKUP(H$2,[21]table_male_hkom2_inj.U3!$A$1:$K$36,25,FALSE),0)</f>
        <v>0</v>
      </c>
      <c r="I638">
        <f>IFERROR(HLOOKUP(I$2,[21]table_male_hkom2_inj.U3!$A$1:$K$36,25,FALSE),0)</f>
        <v>0</v>
      </c>
      <c r="J638">
        <f>IFERROR(HLOOKUP(J$2,[21]table_male_hkom2_inj.U3!$A$1:$K$36,25,FALSE),0)</f>
        <v>0</v>
      </c>
      <c r="K638">
        <f>IFERROR(HLOOKUP(K$2,[21]table_male_hkom2_inj.U3!$A$1:$K$36,25,FALSE),0)</f>
        <v>0</v>
      </c>
      <c r="L638">
        <f>IFERROR(HLOOKUP(L$2,[21]table_male_hkom2_inj.U3!$A$1:$K$36,25,FALSE),0)</f>
        <v>0</v>
      </c>
      <c r="M638">
        <f t="shared" si="201"/>
        <v>0</v>
      </c>
      <c r="S638" t="s">
        <v>93</v>
      </c>
      <c r="T638" s="5">
        <f t="shared" si="202"/>
        <v>0</v>
      </c>
      <c r="U638" s="5">
        <f t="shared" si="203"/>
        <v>0</v>
      </c>
      <c r="V638" s="5">
        <f t="shared" si="204"/>
        <v>0</v>
      </c>
      <c r="W638" s="5">
        <f t="shared" si="205"/>
        <v>0</v>
      </c>
      <c r="X638" s="5">
        <f t="shared" si="206"/>
        <v>0</v>
      </c>
      <c r="Y638" s="5">
        <f t="shared" si="207"/>
        <v>0</v>
      </c>
      <c r="Z638" s="5">
        <f t="shared" si="208"/>
        <v>0</v>
      </c>
      <c r="AA638" s="5">
        <f t="shared" si="209"/>
        <v>0</v>
      </c>
      <c r="AB638" s="5">
        <f t="shared" si="199"/>
        <v>0</v>
      </c>
    </row>
    <row r="639" spans="4:28" x14ac:dyDescent="0.25">
      <c r="D639" t="s">
        <v>94</v>
      </c>
      <c r="E639" s="64"/>
      <c r="F639" s="64"/>
      <c r="G639">
        <f>IFERROR(HLOOKUP(G$2,[21]table_male_hkom2_inj.U3!$A$1:$K$36,26,FALSE),0)</f>
        <v>0</v>
      </c>
      <c r="H639">
        <f>IFERROR(HLOOKUP(H$2,[21]table_male_hkom2_inj.U3!$A$1:$K$36,26,FALSE),0)</f>
        <v>0</v>
      </c>
      <c r="I639">
        <f>IFERROR(HLOOKUP(I$2,[21]table_male_hkom2_inj.U3!$A$1:$K$36,26,FALSE),0)</f>
        <v>0</v>
      </c>
      <c r="J639">
        <f>IFERROR(HLOOKUP(J$2,[21]table_male_hkom2_inj.U3!$A$1:$K$36,26,FALSE),0)</f>
        <v>0</v>
      </c>
      <c r="K639">
        <f>IFERROR(HLOOKUP(K$2,[21]table_male_hkom2_inj.U3!$A$1:$K$36,26,FALSE),0)</f>
        <v>0</v>
      </c>
      <c r="L639">
        <f>IFERROR(HLOOKUP(L$2,[21]table_male_hkom2_inj.U3!$A$1:$K$36,26,FALSE),0)</f>
        <v>0</v>
      </c>
      <c r="M639">
        <f t="shared" si="201"/>
        <v>0</v>
      </c>
      <c r="S639" t="s">
        <v>94</v>
      </c>
      <c r="T639" s="5">
        <f t="shared" si="202"/>
        <v>0</v>
      </c>
      <c r="U639" s="5">
        <f t="shared" si="203"/>
        <v>0</v>
      </c>
      <c r="V639" s="5">
        <f t="shared" si="204"/>
        <v>0</v>
      </c>
      <c r="W639" s="5">
        <f t="shared" si="205"/>
        <v>0</v>
      </c>
      <c r="X639" s="5">
        <f t="shared" si="206"/>
        <v>0</v>
      </c>
      <c r="Y639" s="5">
        <f t="shared" si="207"/>
        <v>0</v>
      </c>
      <c r="Z639" s="5">
        <f t="shared" si="208"/>
        <v>0</v>
      </c>
      <c r="AA639" s="5">
        <f t="shared" si="209"/>
        <v>0</v>
      </c>
      <c r="AB639" s="5">
        <f t="shared" si="199"/>
        <v>0</v>
      </c>
    </row>
    <row r="640" spans="4:28" x14ac:dyDescent="0.25">
      <c r="D640" t="s">
        <v>95</v>
      </c>
      <c r="E640" s="64"/>
      <c r="F640" s="64"/>
      <c r="G640">
        <f>IFERROR(HLOOKUP(G$2,[21]table_male_hkom2_inj.U3!$A$1:$K$36,27,FALSE),0)</f>
        <v>0</v>
      </c>
      <c r="H640">
        <f>IFERROR(HLOOKUP(H$2,[21]table_male_hkom2_inj.U3!$A$1:$K$36,27,FALSE),0)</f>
        <v>0</v>
      </c>
      <c r="I640">
        <f>IFERROR(HLOOKUP(I$2,[21]table_male_hkom2_inj.U3!$A$1:$K$36,27,FALSE),0)</f>
        <v>0</v>
      </c>
      <c r="J640">
        <f>IFERROR(HLOOKUP(J$2,[21]table_male_hkom2_inj.U3!$A$1:$K$36,27,FALSE),0)</f>
        <v>0</v>
      </c>
      <c r="K640">
        <f>IFERROR(HLOOKUP(K$2,[21]table_male_hkom2_inj.U3!$A$1:$K$36,27,FALSE),0)</f>
        <v>0</v>
      </c>
      <c r="L640">
        <f>IFERROR(HLOOKUP(L$2,[21]table_male_hkom2_inj.U3!$A$1:$K$36,27,FALSE),0)</f>
        <v>0</v>
      </c>
      <c r="M640">
        <f t="shared" si="201"/>
        <v>0</v>
      </c>
      <c r="S640" t="s">
        <v>95</v>
      </c>
      <c r="T640" s="5">
        <f t="shared" si="202"/>
        <v>0</v>
      </c>
      <c r="U640" s="5">
        <f t="shared" si="203"/>
        <v>0</v>
      </c>
      <c r="V640" s="5">
        <f t="shared" si="204"/>
        <v>0</v>
      </c>
      <c r="W640" s="5">
        <f t="shared" si="205"/>
        <v>0</v>
      </c>
      <c r="X640" s="5">
        <f t="shared" si="206"/>
        <v>0</v>
      </c>
      <c r="Y640" s="5">
        <f t="shared" si="207"/>
        <v>0</v>
      </c>
      <c r="Z640" s="5">
        <f t="shared" si="208"/>
        <v>0</v>
      </c>
      <c r="AA640" s="5">
        <f t="shared" si="209"/>
        <v>0</v>
      </c>
      <c r="AB640" s="5">
        <f t="shared" si="199"/>
        <v>0</v>
      </c>
    </row>
    <row r="641" spans="1:29" x14ac:dyDescent="0.25">
      <c r="D641" t="s">
        <v>96</v>
      </c>
      <c r="E641" s="64"/>
      <c r="F641" s="64"/>
      <c r="G641">
        <f>IFERROR(HLOOKUP(G$2,[21]table_male_hkom2_inj.U3!$A$1:$K$36,28,FALSE),0)</f>
        <v>0</v>
      </c>
      <c r="H641">
        <f>IFERROR(HLOOKUP(H$2,[21]table_male_hkom2_inj.U3!$A$1:$K$36,28,FALSE),0)</f>
        <v>0</v>
      </c>
      <c r="I641">
        <f>IFERROR(HLOOKUP(I$2,[21]table_male_hkom2_inj.U3!$A$1:$K$36,28,FALSE),0)</f>
        <v>0</v>
      </c>
      <c r="J641">
        <f>IFERROR(HLOOKUP(J$2,[21]table_male_hkom2_inj.U3!$A$1:$K$36,28,FALSE),0)</f>
        <v>0</v>
      </c>
      <c r="K641">
        <f>IFERROR(HLOOKUP(K$2,[21]table_male_hkom2_inj.U3!$A$1:$K$36,28,FALSE),0)</f>
        <v>0</v>
      </c>
      <c r="L641">
        <f>IFERROR(HLOOKUP(L$2,[21]table_male_hkom2_inj.U3!$A$1:$K$36,28,FALSE),0)</f>
        <v>0</v>
      </c>
      <c r="M641">
        <f t="shared" si="201"/>
        <v>0</v>
      </c>
      <c r="S641" t="s">
        <v>96</v>
      </c>
      <c r="T641" s="5">
        <f t="shared" si="202"/>
        <v>0</v>
      </c>
      <c r="U641" s="5">
        <f t="shared" si="203"/>
        <v>0</v>
      </c>
      <c r="V641" s="5">
        <f t="shared" si="204"/>
        <v>0</v>
      </c>
      <c r="W641" s="5">
        <f t="shared" si="205"/>
        <v>0</v>
      </c>
      <c r="X641" s="5">
        <f t="shared" si="206"/>
        <v>0</v>
      </c>
      <c r="Y641" s="5">
        <f t="shared" si="207"/>
        <v>0</v>
      </c>
      <c r="Z641" s="5">
        <f t="shared" si="208"/>
        <v>0</v>
      </c>
      <c r="AA641" s="5">
        <f t="shared" si="209"/>
        <v>0</v>
      </c>
      <c r="AB641" s="5">
        <f t="shared" si="199"/>
        <v>0</v>
      </c>
    </row>
    <row r="642" spans="1:29" x14ac:dyDescent="0.25">
      <c r="D642" t="s">
        <v>97</v>
      </c>
      <c r="E642" s="64"/>
      <c r="F642" s="64"/>
      <c r="G642">
        <f>IFERROR(HLOOKUP(G$2,[21]table_male_hkom2_inj.U3!$A$1:$K$36,29,FALSE),0)</f>
        <v>1</v>
      </c>
      <c r="H642">
        <f>IFERROR(HLOOKUP(H$2,[21]table_male_hkom2_inj.U3!$A$1:$K$36,29,FALSE),0)</f>
        <v>0</v>
      </c>
      <c r="I642">
        <f>IFERROR(HLOOKUP(I$2,[21]table_male_hkom2_inj.U3!$A$1:$K$36,29,FALSE),0)</f>
        <v>0</v>
      </c>
      <c r="J642">
        <f>IFERROR(HLOOKUP(J$2,[21]table_male_hkom2_inj.U3!$A$1:$K$36,29,FALSE),0)</f>
        <v>0</v>
      </c>
      <c r="K642">
        <f>IFERROR(HLOOKUP(K$2,[21]table_male_hkom2_inj.U3!$A$1:$K$36,29,FALSE),0)</f>
        <v>0</v>
      </c>
      <c r="L642">
        <f>IFERROR(HLOOKUP(L$2,[21]table_male_hkom2_inj.U3!$A$1:$K$36,29,FALSE),0)</f>
        <v>0</v>
      </c>
      <c r="M642">
        <f t="shared" si="201"/>
        <v>1</v>
      </c>
      <c r="S642" t="s">
        <v>97</v>
      </c>
      <c r="T642" s="5">
        <f t="shared" si="202"/>
        <v>0</v>
      </c>
      <c r="U642" s="5">
        <f t="shared" si="203"/>
        <v>0</v>
      </c>
      <c r="V642" s="5">
        <f t="shared" si="204"/>
        <v>1.0898876404494382</v>
      </c>
      <c r="W642" s="5">
        <f t="shared" si="205"/>
        <v>0</v>
      </c>
      <c r="X642" s="5">
        <f t="shared" si="206"/>
        <v>0</v>
      </c>
      <c r="Y642" s="5">
        <f t="shared" si="207"/>
        <v>0</v>
      </c>
      <c r="Z642" s="5">
        <f t="shared" si="208"/>
        <v>0</v>
      </c>
      <c r="AA642" s="5">
        <f t="shared" si="209"/>
        <v>0</v>
      </c>
      <c r="AB642" s="5">
        <f t="shared" si="199"/>
        <v>1.0898876404494382</v>
      </c>
    </row>
    <row r="643" spans="1:29" x14ac:dyDescent="0.25">
      <c r="D643" t="s">
        <v>98</v>
      </c>
      <c r="E643" s="64"/>
      <c r="F643" s="64"/>
      <c r="G643">
        <f>IFERROR(HLOOKUP(G$2,[21]table_male_hkom2_inj.U3!$A$1:$K$36,30,FALSE),0)</f>
        <v>0</v>
      </c>
      <c r="H643">
        <f>IFERROR(HLOOKUP(H$2,[21]table_male_hkom2_inj.U3!$A$1:$K$36,30,FALSE),0)</f>
        <v>0</v>
      </c>
      <c r="I643">
        <f>IFERROR(HLOOKUP(I$2,[21]table_male_hkom2_inj.U3!$A$1:$K$36,30,FALSE),0)</f>
        <v>0</v>
      </c>
      <c r="J643">
        <f>IFERROR(HLOOKUP(J$2,[21]table_male_hkom2_inj.U3!$A$1:$K$36,30,FALSE),0)</f>
        <v>0</v>
      </c>
      <c r="K643">
        <f>IFERROR(HLOOKUP(K$2,[21]table_male_hkom2_inj.U3!$A$1:$K$36,30,FALSE),0)</f>
        <v>0</v>
      </c>
      <c r="L643">
        <f>IFERROR(HLOOKUP(L$2,[21]table_male_hkom2_inj.U3!$A$1:$K$36,30,FALSE),0)</f>
        <v>0</v>
      </c>
      <c r="M643">
        <f t="shared" si="201"/>
        <v>0</v>
      </c>
      <c r="S643" t="s">
        <v>98</v>
      </c>
      <c r="T643" s="5">
        <f t="shared" si="202"/>
        <v>0</v>
      </c>
      <c r="U643" s="5">
        <f t="shared" si="203"/>
        <v>0</v>
      </c>
      <c r="V643" s="5">
        <f t="shared" si="204"/>
        <v>0</v>
      </c>
      <c r="W643" s="5">
        <f t="shared" si="205"/>
        <v>0</v>
      </c>
      <c r="X643" s="5">
        <f t="shared" si="206"/>
        <v>0</v>
      </c>
      <c r="Y643" s="5">
        <f t="shared" si="207"/>
        <v>0</v>
      </c>
      <c r="Z643" s="5">
        <f t="shared" si="208"/>
        <v>0</v>
      </c>
      <c r="AA643" s="5">
        <f t="shared" si="209"/>
        <v>0</v>
      </c>
      <c r="AB643" s="5">
        <f t="shared" si="199"/>
        <v>0</v>
      </c>
    </row>
    <row r="644" spans="1:29" x14ac:dyDescent="0.25">
      <c r="D644" t="s">
        <v>119</v>
      </c>
      <c r="E644" s="64"/>
      <c r="F644" s="64"/>
      <c r="G644">
        <f>IFERROR(HLOOKUP(G$2,[21]table_male_hkom2_inj.U3!$A$1:$K$36,31,FALSE),0)</f>
        <v>0</v>
      </c>
      <c r="H644">
        <f>IFERROR(HLOOKUP(H$2,[21]table_male_hkom2_inj.U3!$A$1:$K$36,31,FALSE),0)</f>
        <v>0</v>
      </c>
      <c r="I644">
        <f>IFERROR(HLOOKUP(I$2,[21]table_male_hkom2_inj.U3!$A$1:$K$36,31,FALSE),0)</f>
        <v>0</v>
      </c>
      <c r="J644">
        <f>IFERROR(HLOOKUP(J$2,[21]table_male_hkom2_inj.U3!$A$1:$K$36,31,FALSE),0)</f>
        <v>0</v>
      </c>
      <c r="K644">
        <f>IFERROR(HLOOKUP(K$2,[21]table_male_hkom2_inj.U3!$A$1:$K$36,31,FALSE),0)</f>
        <v>0</v>
      </c>
      <c r="L644">
        <f>IFERROR(HLOOKUP(L$2,[21]table_male_hkom2_inj.U3!$A$1:$K$36,31,FALSE),0)</f>
        <v>0</v>
      </c>
      <c r="M644">
        <f t="shared" si="201"/>
        <v>0</v>
      </c>
      <c r="S644" t="s">
        <v>119</v>
      </c>
      <c r="T644" s="5">
        <f t="shared" si="202"/>
        <v>0</v>
      </c>
      <c r="U644" s="5">
        <f t="shared" si="203"/>
        <v>0</v>
      </c>
      <c r="V644" s="5">
        <f t="shared" si="204"/>
        <v>0</v>
      </c>
      <c r="W644" s="5">
        <f t="shared" si="205"/>
        <v>0</v>
      </c>
      <c r="X644" s="5">
        <f t="shared" si="206"/>
        <v>0</v>
      </c>
      <c r="Y644" s="5">
        <f t="shared" si="207"/>
        <v>0</v>
      </c>
      <c r="Z644" s="5">
        <f t="shared" si="208"/>
        <v>0</v>
      </c>
      <c r="AA644" s="5">
        <f t="shared" si="209"/>
        <v>0</v>
      </c>
      <c r="AB644" s="5">
        <f t="shared" si="199"/>
        <v>0</v>
      </c>
    </row>
    <row r="645" spans="1:29" x14ac:dyDescent="0.25">
      <c r="D645" t="s">
        <v>99</v>
      </c>
      <c r="E645" s="64"/>
      <c r="F645" s="64"/>
      <c r="G645">
        <f>IFERROR(HLOOKUP(G$2,[21]table_male_hkom2_inj.U3!$A$1:$K$36,32,FALSE),0)</f>
        <v>2</v>
      </c>
      <c r="H645">
        <f>IFERROR(HLOOKUP(H$2,[21]table_male_hkom2_inj.U3!$A$1:$K$36,32,FALSE),0)</f>
        <v>2</v>
      </c>
      <c r="I645">
        <f>IFERROR(HLOOKUP(I$2,[21]table_male_hkom2_inj.U3!$A$1:$K$36,32,FALSE),0)</f>
        <v>0</v>
      </c>
      <c r="J645">
        <f>IFERROR(HLOOKUP(J$2,[21]table_male_hkom2_inj.U3!$A$1:$K$36,32,FALSE),0)</f>
        <v>0</v>
      </c>
      <c r="K645">
        <f>IFERROR(HLOOKUP(K$2,[21]table_male_hkom2_inj.U3!$A$1:$K$36,32,FALSE),0)</f>
        <v>0</v>
      </c>
      <c r="L645">
        <f>IFERROR(HLOOKUP(L$2,[21]table_male_hkom2_inj.U3!$A$1:$K$36,32,FALSE),0)</f>
        <v>0</v>
      </c>
      <c r="M645">
        <f t="shared" si="201"/>
        <v>4</v>
      </c>
      <c r="S645" t="s">
        <v>99</v>
      </c>
      <c r="T645" s="5">
        <f t="shared" si="202"/>
        <v>0</v>
      </c>
      <c r="U645" s="5">
        <f t="shared" si="203"/>
        <v>0</v>
      </c>
      <c r="V645" s="5">
        <f t="shared" si="204"/>
        <v>2.1797752808988764</v>
      </c>
      <c r="W645" s="5">
        <f t="shared" si="205"/>
        <v>2.3472222222222223</v>
      </c>
      <c r="X645" s="5">
        <f t="shared" si="206"/>
        <v>0</v>
      </c>
      <c r="Y645" s="5">
        <f t="shared" si="207"/>
        <v>0</v>
      </c>
      <c r="Z645" s="5">
        <f t="shared" si="208"/>
        <v>0</v>
      </c>
      <c r="AA645" s="5">
        <f t="shared" si="209"/>
        <v>0</v>
      </c>
      <c r="AB645" s="5">
        <f t="shared" si="199"/>
        <v>4.5269975031210983</v>
      </c>
    </row>
    <row r="646" spans="1:29" x14ac:dyDescent="0.25">
      <c r="D646" t="s">
        <v>100</v>
      </c>
      <c r="E646" s="64"/>
      <c r="F646" s="64"/>
      <c r="G646">
        <f>IFERROR(HLOOKUP(G$2,[21]table_male_hkom2_inj.U3!$A$1:$K$36,33,FALSE),0)</f>
        <v>0</v>
      </c>
      <c r="H646">
        <f>IFERROR(HLOOKUP(H$2,[21]table_male_hkom2_inj.U3!$A$1:$K$36,33,FALSE),0)</f>
        <v>0</v>
      </c>
      <c r="I646">
        <f>IFERROR(HLOOKUP(I$2,[21]table_male_hkom2_inj.U3!$A$1:$K$36,33,FALSE),0)</f>
        <v>0</v>
      </c>
      <c r="J646">
        <f>IFERROR(HLOOKUP(J$2,[21]table_male_hkom2_inj.U3!$A$1:$K$36,33,FALSE),0)</f>
        <v>0</v>
      </c>
      <c r="K646">
        <f>IFERROR(HLOOKUP(K$2,[21]table_male_hkom2_inj.U3!$A$1:$K$36,33,FALSE),0)</f>
        <v>0</v>
      </c>
      <c r="L646">
        <f>IFERROR(HLOOKUP(L$2,[21]table_male_hkom2_inj.U3!$A$1:$K$36,33,FALSE),0)</f>
        <v>0</v>
      </c>
      <c r="M646">
        <f t="shared" si="201"/>
        <v>0</v>
      </c>
      <c r="S646" t="s">
        <v>100</v>
      </c>
      <c r="T646" s="5">
        <f t="shared" si="202"/>
        <v>0</v>
      </c>
      <c r="U646" s="5">
        <f t="shared" si="203"/>
        <v>0</v>
      </c>
      <c r="V646" s="5">
        <f t="shared" si="204"/>
        <v>0</v>
      </c>
      <c r="W646" s="5">
        <f t="shared" si="205"/>
        <v>0</v>
      </c>
      <c r="X646" s="5">
        <f t="shared" si="206"/>
        <v>0</v>
      </c>
      <c r="Y646" s="5">
        <f t="shared" si="207"/>
        <v>0</v>
      </c>
      <c r="Z646" s="5">
        <f t="shared" si="208"/>
        <v>0</v>
      </c>
      <c r="AA646" s="5">
        <f t="shared" si="209"/>
        <v>0</v>
      </c>
      <c r="AB646" s="5">
        <f t="shared" si="199"/>
        <v>0</v>
      </c>
    </row>
    <row r="647" spans="1:29" x14ac:dyDescent="0.25">
      <c r="D647" t="s">
        <v>101</v>
      </c>
      <c r="E647" s="64"/>
      <c r="F647" s="64"/>
      <c r="G647">
        <f>IFERROR(HLOOKUP(G$2,[21]table_male_hkom2_inj.U3!$A$1:$K$36,34,FALSE),0)</f>
        <v>5</v>
      </c>
      <c r="H647">
        <f>IFERROR(HLOOKUP(H$2,[21]table_male_hkom2_inj.U3!$A$1:$K$36,34,FALSE),0)</f>
        <v>9</v>
      </c>
      <c r="I647">
        <f>IFERROR(HLOOKUP(I$2,[21]table_male_hkom2_inj.U3!$A$1:$K$36,34,FALSE),0)</f>
        <v>3</v>
      </c>
      <c r="J647">
        <f>IFERROR(HLOOKUP(J$2,[21]table_male_hkom2_inj.U3!$A$1:$K$36,34,FALSE),0)</f>
        <v>0</v>
      </c>
      <c r="K647">
        <f>IFERROR(HLOOKUP(K$2,[21]table_male_hkom2_inj.U3!$A$1:$K$36,34,FALSE),0)</f>
        <v>0</v>
      </c>
      <c r="L647">
        <f>IFERROR(HLOOKUP(L$2,[21]table_male_hkom2_inj.U3!$A$1:$K$36,34,FALSE),0)</f>
        <v>0</v>
      </c>
      <c r="M647">
        <f t="shared" si="201"/>
        <v>17</v>
      </c>
      <c r="S647" t="s">
        <v>101</v>
      </c>
      <c r="T647" s="5">
        <f t="shared" si="202"/>
        <v>0</v>
      </c>
      <c r="U647" s="5">
        <f t="shared" si="203"/>
        <v>0</v>
      </c>
      <c r="V647" s="5">
        <f t="shared" si="204"/>
        <v>5.4494382022471912</v>
      </c>
      <c r="W647" s="5">
        <f t="shared" si="205"/>
        <v>10.5625</v>
      </c>
      <c r="X647" s="5">
        <f t="shared" si="206"/>
        <v>3.2459016393442623</v>
      </c>
      <c r="Y647" s="5">
        <f t="shared" si="207"/>
        <v>0</v>
      </c>
      <c r="Z647" s="5">
        <f t="shared" si="208"/>
        <v>0</v>
      </c>
      <c r="AA647" s="5">
        <f t="shared" si="209"/>
        <v>0</v>
      </c>
      <c r="AB647" s="5">
        <f t="shared" si="199"/>
        <v>19.257839841591451</v>
      </c>
    </row>
    <row r="648" spans="1:29" x14ac:dyDescent="0.25">
      <c r="D648" t="s">
        <v>102</v>
      </c>
      <c r="E648" s="64"/>
      <c r="F648" s="64"/>
      <c r="G648">
        <f>IFERROR(HLOOKUP(G$2,[21]table_male_hkom2_inj.U3!$A$1:$K$36,35,FALSE),0)</f>
        <v>8</v>
      </c>
      <c r="H648">
        <f>IFERROR(HLOOKUP(H$2,[21]table_male_hkom2_inj.U3!$A$1:$K$36,35,FALSE),0)</f>
        <v>25</v>
      </c>
      <c r="I648">
        <f>IFERROR(HLOOKUP(I$2,[21]table_male_hkom2_inj.U3!$A$1:$K$36,35,FALSE),0)</f>
        <v>10</v>
      </c>
      <c r="J648">
        <f>IFERROR(HLOOKUP(J$2,[21]table_male_hkom2_inj.U3!$A$1:$K$36,35,FALSE),0)</f>
        <v>2</v>
      </c>
      <c r="K648">
        <f>IFERROR(HLOOKUP(K$2,[21]table_male_hkom2_inj.U3!$A$1:$K$36,35,FALSE),0)</f>
        <v>1</v>
      </c>
      <c r="L648">
        <f>IFERROR(HLOOKUP(L$2,[21]table_male_hkom2_inj.U3!$A$1:$K$36,35,FALSE),0)</f>
        <v>0</v>
      </c>
      <c r="M648">
        <f t="shared" si="201"/>
        <v>46</v>
      </c>
      <c r="N648">
        <f>SUM(M615:M648)</f>
        <v>440</v>
      </c>
      <c r="O648" s="8">
        <f>SUM([21]table_male_hkom2_inj.U3!$B$2:$L$36)</f>
        <v>440</v>
      </c>
      <c r="S648" t="s">
        <v>102</v>
      </c>
      <c r="T648" s="7"/>
      <c r="U648" s="7"/>
      <c r="V648" s="7"/>
      <c r="W648" s="7"/>
      <c r="X648" s="7"/>
      <c r="Y648" s="7"/>
      <c r="Z648" s="7"/>
      <c r="AA648" s="7"/>
      <c r="AB648" s="5">
        <f t="shared" si="199"/>
        <v>0</v>
      </c>
      <c r="AC648" s="5">
        <f>SUM(AB615:AB647)</f>
        <v>440</v>
      </c>
    </row>
    <row r="649" spans="1:29" x14ac:dyDescent="0.25">
      <c r="A649" t="s">
        <v>104</v>
      </c>
      <c r="B649" t="s">
        <v>116</v>
      </c>
      <c r="C649" t="s">
        <v>112</v>
      </c>
      <c r="D649" t="s">
        <v>70</v>
      </c>
      <c r="E649" s="64"/>
      <c r="F649" s="64"/>
      <c r="G649">
        <f>IFERROR(HLOOKUP(G$2,[22]table_male_hkom2_inj.U4!$A$1:$K$36,2,FALSE),0)</f>
        <v>0</v>
      </c>
      <c r="H649">
        <f>IFERROR(HLOOKUP(H$2,[22]table_male_hkom2_inj.U4!$A$1:$K$36,2,FALSE),0)</f>
        <v>0</v>
      </c>
      <c r="I649">
        <f>IFERROR(HLOOKUP(I$2,[22]table_male_hkom2_inj.U4!$A$1:$K$36,2,FALSE),0)</f>
        <v>0</v>
      </c>
      <c r="J649">
        <f>IFERROR(HLOOKUP(J$2,[22]table_male_hkom2_inj.U4!$A$1:$K$36,2,FALSE),0)</f>
        <v>0</v>
      </c>
      <c r="K649">
        <f>IFERROR(HLOOKUP(K$2,[22]table_male_hkom2_inj.U4!$A$1:$K$36,2,FALSE),0)</f>
        <v>0</v>
      </c>
      <c r="L649">
        <f>IFERROR(HLOOKUP(L$2,[22]table_male_hkom2_inj.U4!$A$1:$K$36,2,FALSE),0)</f>
        <v>0</v>
      </c>
      <c r="M649">
        <f>SUM(E649:L649)</f>
        <v>0</v>
      </c>
      <c r="P649" t="s">
        <v>104</v>
      </c>
      <c r="Q649" t="s">
        <v>116</v>
      </c>
      <c r="R649" t="s">
        <v>112</v>
      </c>
      <c r="S649" t="s">
        <v>70</v>
      </c>
      <c r="T649" s="5">
        <f>IF(SUM(E$649:E$681)=0,E$682/33,E649+IFERROR(E649/SUM(E$649:E$681)*E$682,0))</f>
        <v>0</v>
      </c>
      <c r="U649" s="5">
        <f t="shared" ref="U649:W649" si="210">IF(SUM(F$649:F$681)=0,F$682/33,F649+IFERROR(F649/SUM(F$649:F$681)*F$682,0))</f>
        <v>0</v>
      </c>
      <c r="V649" s="5">
        <f t="shared" si="210"/>
        <v>0</v>
      </c>
      <c r="W649" s="5">
        <f t="shared" si="210"/>
        <v>0</v>
      </c>
      <c r="X649" s="5">
        <f t="shared" ref="X649" si="211">IF(SUM(I$649:I$681)=0,I$682/33,I649+IFERROR(I649/SUM(I$649:I$681)*I$682,0))</f>
        <v>0</v>
      </c>
      <c r="Y649" s="5">
        <f t="shared" ref="Y649:Z649" si="212">IF(SUM(J$649:J$681)=0,J$682/33,J649+IFERROR(J649/SUM(J$649:J$681)*J$682,0))</f>
        <v>0</v>
      </c>
      <c r="Z649" s="5">
        <f t="shared" si="212"/>
        <v>0</v>
      </c>
      <c r="AA649" s="5">
        <f t="shared" ref="AA649" si="213">IF(SUM(L$649:L$681)=0,L$682/33,L649+IFERROR(L649/SUM(L$649:L$681)*L$682,0))</f>
        <v>0</v>
      </c>
      <c r="AB649" s="5">
        <f t="shared" si="199"/>
        <v>0</v>
      </c>
    </row>
    <row r="650" spans="1:29" x14ac:dyDescent="0.25">
      <c r="D650" t="s">
        <v>71</v>
      </c>
      <c r="E650" s="64"/>
      <c r="F650" s="64"/>
      <c r="G650">
        <f>IFERROR(HLOOKUP(G$2,[22]table_male_hkom2_inj.U4!$A$1:$K$36,3,FALSE),0)</f>
        <v>0</v>
      </c>
      <c r="H650">
        <f>IFERROR(HLOOKUP(H$2,[22]table_male_hkom2_inj.U4!$A$1:$K$36,3,FALSE),0)</f>
        <v>0</v>
      </c>
      <c r="I650">
        <f>IFERROR(HLOOKUP(I$2,[22]table_male_hkom2_inj.U4!$A$1:$K$36,3,FALSE),0)</f>
        <v>0</v>
      </c>
      <c r="J650">
        <f>IFERROR(HLOOKUP(J$2,[22]table_male_hkom2_inj.U4!$A$1:$K$36,3,FALSE),0)</f>
        <v>0</v>
      </c>
      <c r="K650">
        <f>IFERROR(HLOOKUP(K$2,[22]table_male_hkom2_inj.U4!$A$1:$K$36,3,FALSE),0)</f>
        <v>0</v>
      </c>
      <c r="L650">
        <f>IFERROR(HLOOKUP(L$2,[22]table_male_hkom2_inj.U4!$A$1:$K$36,3,FALSE),0)</f>
        <v>0</v>
      </c>
      <c r="M650">
        <f t="shared" ref="M650:M682" si="214">SUM(E650:L650)</f>
        <v>0</v>
      </c>
      <c r="S650" t="s">
        <v>71</v>
      </c>
      <c r="T650" s="5">
        <f t="shared" ref="T650:T681" si="215">IF(SUM(E$649:E$681)=0,E$682/33,E650+IFERROR(E650/SUM(E$649:E$681)*E$682,0))</f>
        <v>0</v>
      </c>
      <c r="U650" s="5">
        <f t="shared" ref="U650:U681" si="216">IF(SUM(F$649:F$681)=0,F$682/33,F650+IFERROR(F650/SUM(F$649:F$681)*F$682,0))</f>
        <v>0</v>
      </c>
      <c r="V650" s="5">
        <f t="shared" ref="V650:V681" si="217">IF(SUM(G$649:G$681)=0,G$682/33,G650+IFERROR(G650/SUM(G$649:G$681)*G$682,0))</f>
        <v>0</v>
      </c>
      <c r="W650" s="5">
        <f t="shared" ref="W650:W681" si="218">IF(SUM(H$649:H$681)=0,H$682/33,H650+IFERROR(H650/SUM(H$649:H$681)*H$682,0))</f>
        <v>0</v>
      </c>
      <c r="X650" s="5">
        <f t="shared" ref="X650:X681" si="219">IF(SUM(I$649:I$681)=0,I$682/33,I650+IFERROR(I650/SUM(I$649:I$681)*I$682,0))</f>
        <v>0</v>
      </c>
      <c r="Y650" s="5">
        <f t="shared" ref="Y650:Y681" si="220">IF(SUM(J$649:J$681)=0,J$682/33,J650+IFERROR(J650/SUM(J$649:J$681)*J$682,0))</f>
        <v>0</v>
      </c>
      <c r="Z650" s="5">
        <f t="shared" ref="Z650:Z681" si="221">IF(SUM(K$649:K$681)=0,K$682/33,K650+IFERROR(K650/SUM(K$649:K$681)*K$682,0))</f>
        <v>0</v>
      </c>
      <c r="AA650" s="5">
        <f t="shared" ref="AA650:AA681" si="222">IF(SUM(L$649:L$681)=0,L$682/33,L650+IFERROR(L650/SUM(L$649:L$681)*L$682,0))</f>
        <v>0</v>
      </c>
      <c r="AB650" s="5">
        <f t="shared" si="199"/>
        <v>0</v>
      </c>
    </row>
    <row r="651" spans="1:29" x14ac:dyDescent="0.25">
      <c r="D651" t="s">
        <v>72</v>
      </c>
      <c r="E651" s="64"/>
      <c r="F651" s="64"/>
      <c r="G651">
        <f>IFERROR(HLOOKUP(G$2,[22]table_male_hkom2_inj.U4!$A$1:$K$36,4,FALSE),0)</f>
        <v>0</v>
      </c>
      <c r="H651">
        <f>IFERROR(HLOOKUP(H$2,[22]table_male_hkom2_inj.U4!$A$1:$K$36,4,FALSE),0)</f>
        <v>0</v>
      </c>
      <c r="I651">
        <f>IFERROR(HLOOKUP(I$2,[22]table_male_hkom2_inj.U4!$A$1:$K$36,4,FALSE),0)</f>
        <v>0</v>
      </c>
      <c r="J651">
        <f>IFERROR(HLOOKUP(J$2,[22]table_male_hkom2_inj.U4!$A$1:$K$36,4,FALSE),0)</f>
        <v>0</v>
      </c>
      <c r="K651">
        <f>IFERROR(HLOOKUP(K$2,[22]table_male_hkom2_inj.U4!$A$1:$K$36,4,FALSE),0)</f>
        <v>0</v>
      </c>
      <c r="L651">
        <f>IFERROR(HLOOKUP(L$2,[22]table_male_hkom2_inj.U4!$A$1:$K$36,4,FALSE),0)</f>
        <v>0</v>
      </c>
      <c r="M651">
        <f t="shared" si="214"/>
        <v>0</v>
      </c>
      <c r="S651" t="s">
        <v>72</v>
      </c>
      <c r="T651" s="5">
        <f t="shared" si="215"/>
        <v>0</v>
      </c>
      <c r="U651" s="5">
        <f t="shared" si="216"/>
        <v>0</v>
      </c>
      <c r="V651" s="5">
        <f t="shared" si="217"/>
        <v>0</v>
      </c>
      <c r="W651" s="5">
        <f t="shared" si="218"/>
        <v>0</v>
      </c>
      <c r="X651" s="5">
        <f t="shared" si="219"/>
        <v>0</v>
      </c>
      <c r="Y651" s="5">
        <f t="shared" si="220"/>
        <v>0</v>
      </c>
      <c r="Z651" s="5">
        <f t="shared" si="221"/>
        <v>0</v>
      </c>
      <c r="AA651" s="5">
        <f t="shared" si="222"/>
        <v>0</v>
      </c>
      <c r="AB651" s="5">
        <f t="shared" si="199"/>
        <v>0</v>
      </c>
    </row>
    <row r="652" spans="1:29" x14ac:dyDescent="0.25">
      <c r="D652" t="s">
        <v>73</v>
      </c>
      <c r="E652" s="64"/>
      <c r="F652" s="64"/>
      <c r="G652">
        <f>IFERROR(HLOOKUP(G$2,[22]table_male_hkom2_inj.U4!$A$1:$K$36,5,FALSE),0)</f>
        <v>0</v>
      </c>
      <c r="H652">
        <f>IFERROR(HLOOKUP(H$2,[22]table_male_hkom2_inj.U4!$A$1:$K$36,5,FALSE),0)</f>
        <v>0</v>
      </c>
      <c r="I652">
        <f>IFERROR(HLOOKUP(I$2,[22]table_male_hkom2_inj.U4!$A$1:$K$36,5,FALSE),0)</f>
        <v>0</v>
      </c>
      <c r="J652">
        <f>IFERROR(HLOOKUP(J$2,[22]table_male_hkom2_inj.U4!$A$1:$K$36,5,FALSE),0)</f>
        <v>0</v>
      </c>
      <c r="K652">
        <f>IFERROR(HLOOKUP(K$2,[22]table_male_hkom2_inj.U4!$A$1:$K$36,5,FALSE),0)</f>
        <v>0</v>
      </c>
      <c r="L652">
        <f>IFERROR(HLOOKUP(L$2,[22]table_male_hkom2_inj.U4!$A$1:$K$36,5,FALSE),0)</f>
        <v>0</v>
      </c>
      <c r="M652">
        <f t="shared" si="214"/>
        <v>0</v>
      </c>
      <c r="S652" t="s">
        <v>73</v>
      </c>
      <c r="T652" s="5">
        <f t="shared" si="215"/>
        <v>0</v>
      </c>
      <c r="U652" s="5">
        <f t="shared" si="216"/>
        <v>0</v>
      </c>
      <c r="V652" s="5">
        <f t="shared" si="217"/>
        <v>0</v>
      </c>
      <c r="W652" s="5">
        <f t="shared" si="218"/>
        <v>0</v>
      </c>
      <c r="X652" s="5">
        <f t="shared" si="219"/>
        <v>0</v>
      </c>
      <c r="Y652" s="5">
        <f t="shared" si="220"/>
        <v>0</v>
      </c>
      <c r="Z652" s="5">
        <f t="shared" si="221"/>
        <v>0</v>
      </c>
      <c r="AA652" s="5">
        <f t="shared" si="222"/>
        <v>0</v>
      </c>
      <c r="AB652" s="5">
        <f t="shared" si="199"/>
        <v>0</v>
      </c>
    </row>
    <row r="653" spans="1:29" x14ac:dyDescent="0.25">
      <c r="D653" t="s">
        <v>74</v>
      </c>
      <c r="E653" s="64"/>
      <c r="F653" s="64"/>
      <c r="G653">
        <f>IFERROR(HLOOKUP(G$2,[22]table_male_hkom2_inj.U4!$A$1:$K$36,6,FALSE),0)</f>
        <v>0</v>
      </c>
      <c r="H653">
        <f>IFERROR(HLOOKUP(H$2,[22]table_male_hkom2_inj.U4!$A$1:$K$36,6,FALSE),0)</f>
        <v>0</v>
      </c>
      <c r="I653">
        <f>IFERROR(HLOOKUP(I$2,[22]table_male_hkom2_inj.U4!$A$1:$K$36,6,FALSE),0)</f>
        <v>0</v>
      </c>
      <c r="J653">
        <f>IFERROR(HLOOKUP(J$2,[22]table_male_hkom2_inj.U4!$A$1:$K$36,6,FALSE),0)</f>
        <v>0</v>
      </c>
      <c r="K653">
        <f>IFERROR(HLOOKUP(K$2,[22]table_male_hkom2_inj.U4!$A$1:$K$36,6,FALSE),0)</f>
        <v>0</v>
      </c>
      <c r="L653">
        <f>IFERROR(HLOOKUP(L$2,[22]table_male_hkom2_inj.U4!$A$1:$K$36,6,FALSE),0)</f>
        <v>0</v>
      </c>
      <c r="M653">
        <f t="shared" si="214"/>
        <v>0</v>
      </c>
      <c r="S653" t="s">
        <v>74</v>
      </c>
      <c r="T653" s="5">
        <f t="shared" si="215"/>
        <v>0</v>
      </c>
      <c r="U653" s="5">
        <f t="shared" si="216"/>
        <v>0</v>
      </c>
      <c r="V653" s="5">
        <f t="shared" si="217"/>
        <v>0</v>
      </c>
      <c r="W653" s="5">
        <f t="shared" si="218"/>
        <v>0</v>
      </c>
      <c r="X653" s="5">
        <f t="shared" si="219"/>
        <v>0</v>
      </c>
      <c r="Y653" s="5">
        <f t="shared" si="220"/>
        <v>0</v>
      </c>
      <c r="Z653" s="5">
        <f t="shared" si="221"/>
        <v>0</v>
      </c>
      <c r="AA653" s="5">
        <f t="shared" si="222"/>
        <v>0</v>
      </c>
      <c r="AB653" s="5">
        <f t="shared" si="199"/>
        <v>0</v>
      </c>
    </row>
    <row r="654" spans="1:29" x14ac:dyDescent="0.25">
      <c r="D654" t="s">
        <v>75</v>
      </c>
      <c r="E654" s="64"/>
      <c r="F654" s="64"/>
      <c r="G654">
        <f>IFERROR(HLOOKUP(G$2,[22]table_male_hkom2_inj.U4!$A$1:$K$36,7,FALSE),0)</f>
        <v>0</v>
      </c>
      <c r="H654">
        <f>IFERROR(HLOOKUP(H$2,[22]table_male_hkom2_inj.U4!$A$1:$K$36,7,FALSE),0)</f>
        <v>0</v>
      </c>
      <c r="I654">
        <f>IFERROR(HLOOKUP(I$2,[22]table_male_hkom2_inj.U4!$A$1:$K$36,7,FALSE),0)</f>
        <v>0</v>
      </c>
      <c r="J654">
        <f>IFERROR(HLOOKUP(J$2,[22]table_male_hkom2_inj.U4!$A$1:$K$36,7,FALSE),0)</f>
        <v>0</v>
      </c>
      <c r="K654">
        <f>IFERROR(HLOOKUP(K$2,[22]table_male_hkom2_inj.U4!$A$1:$K$36,7,FALSE),0)</f>
        <v>0</v>
      </c>
      <c r="L654">
        <f>IFERROR(HLOOKUP(L$2,[22]table_male_hkom2_inj.U4!$A$1:$K$36,7,FALSE),0)</f>
        <v>0</v>
      </c>
      <c r="M654">
        <f t="shared" si="214"/>
        <v>0</v>
      </c>
      <c r="S654" t="s">
        <v>75</v>
      </c>
      <c r="T654" s="5">
        <f t="shared" si="215"/>
        <v>0</v>
      </c>
      <c r="U654" s="5">
        <f t="shared" si="216"/>
        <v>0</v>
      </c>
      <c r="V654" s="5">
        <f t="shared" si="217"/>
        <v>0</v>
      </c>
      <c r="W654" s="5">
        <f t="shared" si="218"/>
        <v>0</v>
      </c>
      <c r="X654" s="5">
        <f t="shared" si="219"/>
        <v>0</v>
      </c>
      <c r="Y654" s="5">
        <f t="shared" si="220"/>
        <v>0</v>
      </c>
      <c r="Z654" s="5">
        <f t="shared" si="221"/>
        <v>0</v>
      </c>
      <c r="AA654" s="5">
        <f t="shared" si="222"/>
        <v>0</v>
      </c>
      <c r="AB654" s="5">
        <f t="shared" si="199"/>
        <v>0</v>
      </c>
    </row>
    <row r="655" spans="1:29" x14ac:dyDescent="0.25">
      <c r="D655" t="s">
        <v>76</v>
      </c>
      <c r="E655" s="64"/>
      <c r="F655" s="64"/>
      <c r="G655">
        <f>IFERROR(HLOOKUP(G$2,[22]table_male_hkom2_inj.U4!$A$1:$K$36,8,FALSE),0)</f>
        <v>0</v>
      </c>
      <c r="H655">
        <f>IFERROR(HLOOKUP(H$2,[22]table_male_hkom2_inj.U4!$A$1:$K$36,8,FALSE),0)</f>
        <v>0</v>
      </c>
      <c r="I655">
        <f>IFERROR(HLOOKUP(I$2,[22]table_male_hkom2_inj.U4!$A$1:$K$36,8,FALSE),0)</f>
        <v>0</v>
      </c>
      <c r="J655">
        <f>IFERROR(HLOOKUP(J$2,[22]table_male_hkom2_inj.U4!$A$1:$K$36,8,FALSE),0)</f>
        <v>0</v>
      </c>
      <c r="K655">
        <f>IFERROR(HLOOKUP(K$2,[22]table_male_hkom2_inj.U4!$A$1:$K$36,8,FALSE),0)</f>
        <v>0</v>
      </c>
      <c r="L655">
        <f>IFERROR(HLOOKUP(L$2,[22]table_male_hkom2_inj.U4!$A$1:$K$36,8,FALSE),0)</f>
        <v>0</v>
      </c>
      <c r="M655">
        <f t="shared" si="214"/>
        <v>0</v>
      </c>
      <c r="S655" t="s">
        <v>76</v>
      </c>
      <c r="T655" s="5">
        <f t="shared" si="215"/>
        <v>0</v>
      </c>
      <c r="U655" s="5">
        <f t="shared" si="216"/>
        <v>0</v>
      </c>
      <c r="V655" s="5">
        <f t="shared" si="217"/>
        <v>0</v>
      </c>
      <c r="W655" s="5">
        <f t="shared" si="218"/>
        <v>0</v>
      </c>
      <c r="X655" s="5">
        <f t="shared" si="219"/>
        <v>0</v>
      </c>
      <c r="Y655" s="5">
        <f t="shared" si="220"/>
        <v>0</v>
      </c>
      <c r="Z655" s="5">
        <f t="shared" si="221"/>
        <v>0</v>
      </c>
      <c r="AA655" s="5">
        <f t="shared" si="222"/>
        <v>0</v>
      </c>
      <c r="AB655" s="5">
        <f t="shared" si="199"/>
        <v>0</v>
      </c>
    </row>
    <row r="656" spans="1:29" x14ac:dyDescent="0.25">
      <c r="D656" t="s">
        <v>77</v>
      </c>
      <c r="E656" s="64"/>
      <c r="F656" s="64"/>
      <c r="G656">
        <f>IFERROR(HLOOKUP(G$2,[22]table_male_hkom2_inj.U4!$A$1:$K$36,9,FALSE),0)</f>
        <v>0</v>
      </c>
      <c r="H656">
        <f>IFERROR(HLOOKUP(H$2,[22]table_male_hkom2_inj.U4!$A$1:$K$36,9,FALSE),0)</f>
        <v>0</v>
      </c>
      <c r="I656">
        <f>IFERROR(HLOOKUP(I$2,[22]table_male_hkom2_inj.U4!$A$1:$K$36,9,FALSE),0)</f>
        <v>0</v>
      </c>
      <c r="J656">
        <f>IFERROR(HLOOKUP(J$2,[22]table_male_hkom2_inj.U4!$A$1:$K$36,9,FALSE),0)</f>
        <v>0</v>
      </c>
      <c r="K656">
        <f>IFERROR(HLOOKUP(K$2,[22]table_male_hkom2_inj.U4!$A$1:$K$36,9,FALSE),0)</f>
        <v>0</v>
      </c>
      <c r="L656">
        <f>IFERROR(HLOOKUP(L$2,[22]table_male_hkom2_inj.U4!$A$1:$K$36,9,FALSE),0)</f>
        <v>0</v>
      </c>
      <c r="M656">
        <f t="shared" si="214"/>
        <v>0</v>
      </c>
      <c r="S656" t="s">
        <v>77</v>
      </c>
      <c r="T656" s="5">
        <f t="shared" si="215"/>
        <v>0</v>
      </c>
      <c r="U656" s="5">
        <f t="shared" si="216"/>
        <v>0</v>
      </c>
      <c r="V656" s="5">
        <f t="shared" si="217"/>
        <v>0</v>
      </c>
      <c r="W656" s="5">
        <f t="shared" si="218"/>
        <v>0</v>
      </c>
      <c r="X656" s="5">
        <f t="shared" si="219"/>
        <v>0</v>
      </c>
      <c r="Y656" s="5">
        <f t="shared" si="220"/>
        <v>0</v>
      </c>
      <c r="Z656" s="5">
        <f t="shared" si="221"/>
        <v>0</v>
      </c>
      <c r="AA656" s="5">
        <f t="shared" si="222"/>
        <v>0</v>
      </c>
      <c r="AB656" s="5">
        <f t="shared" si="199"/>
        <v>0</v>
      </c>
    </row>
    <row r="657" spans="4:28" x14ac:dyDescent="0.25">
      <c r="D657" t="s">
        <v>78</v>
      </c>
      <c r="E657" s="64"/>
      <c r="F657" s="64"/>
      <c r="G657">
        <f>IFERROR(HLOOKUP(G$2,[22]table_male_hkom2_inj.U4!$A$1:$K$36,10,FALSE),0)</f>
        <v>0</v>
      </c>
      <c r="H657">
        <f>IFERROR(HLOOKUP(H$2,[22]table_male_hkom2_inj.U4!$A$1:$K$36,10,FALSE),0)</f>
        <v>0</v>
      </c>
      <c r="I657">
        <f>IFERROR(HLOOKUP(I$2,[22]table_male_hkom2_inj.U4!$A$1:$K$36,10,FALSE),0)</f>
        <v>0</v>
      </c>
      <c r="J657">
        <f>IFERROR(HLOOKUP(J$2,[22]table_male_hkom2_inj.U4!$A$1:$K$36,10,FALSE),0)</f>
        <v>0</v>
      </c>
      <c r="K657">
        <f>IFERROR(HLOOKUP(K$2,[22]table_male_hkom2_inj.U4!$A$1:$K$36,10,FALSE),0)</f>
        <v>0</v>
      </c>
      <c r="L657">
        <f>IFERROR(HLOOKUP(L$2,[22]table_male_hkom2_inj.U4!$A$1:$K$36,10,FALSE),0)</f>
        <v>0</v>
      </c>
      <c r="M657">
        <f t="shared" si="214"/>
        <v>0</v>
      </c>
      <c r="S657" t="s">
        <v>78</v>
      </c>
      <c r="T657" s="5">
        <f t="shared" si="215"/>
        <v>0</v>
      </c>
      <c r="U657" s="5">
        <f t="shared" si="216"/>
        <v>0</v>
      </c>
      <c r="V657" s="5">
        <f t="shared" si="217"/>
        <v>0</v>
      </c>
      <c r="W657" s="5">
        <f t="shared" si="218"/>
        <v>0</v>
      </c>
      <c r="X657" s="5">
        <f t="shared" si="219"/>
        <v>0</v>
      </c>
      <c r="Y657" s="5">
        <f t="shared" si="220"/>
        <v>0</v>
      </c>
      <c r="Z657" s="5">
        <f t="shared" si="221"/>
        <v>0</v>
      </c>
      <c r="AA657" s="5">
        <f t="shared" si="222"/>
        <v>0</v>
      </c>
      <c r="AB657" s="5">
        <f t="shared" si="199"/>
        <v>0</v>
      </c>
    </row>
    <row r="658" spans="4:28" x14ac:dyDescent="0.25">
      <c r="D658" t="s">
        <v>79</v>
      </c>
      <c r="E658" s="64"/>
      <c r="F658" s="64"/>
      <c r="G658">
        <f>IFERROR(HLOOKUP(G$2,[22]table_male_hkom2_inj.U4!$A$1:$K$36,11,FALSE),0)</f>
        <v>1</v>
      </c>
      <c r="H658">
        <f>IFERROR(HLOOKUP(H$2,[22]table_male_hkom2_inj.U4!$A$1:$K$36,11,FALSE),0)</f>
        <v>0</v>
      </c>
      <c r="I658">
        <f>IFERROR(HLOOKUP(I$2,[22]table_male_hkom2_inj.U4!$A$1:$K$36,11,FALSE),0)</f>
        <v>0</v>
      </c>
      <c r="J658">
        <f>IFERROR(HLOOKUP(J$2,[22]table_male_hkom2_inj.U4!$A$1:$K$36,11,FALSE),0)</f>
        <v>0</v>
      </c>
      <c r="K658">
        <f>IFERROR(HLOOKUP(K$2,[22]table_male_hkom2_inj.U4!$A$1:$K$36,11,FALSE),0)</f>
        <v>0</v>
      </c>
      <c r="L658">
        <f>IFERROR(HLOOKUP(L$2,[22]table_male_hkom2_inj.U4!$A$1:$K$36,11,FALSE),0)</f>
        <v>0</v>
      </c>
      <c r="M658">
        <f t="shared" si="214"/>
        <v>1</v>
      </c>
      <c r="S658" t="s">
        <v>79</v>
      </c>
      <c r="T658" s="5">
        <f t="shared" si="215"/>
        <v>0</v>
      </c>
      <c r="U658" s="5">
        <f t="shared" si="216"/>
        <v>0</v>
      </c>
      <c r="V658" s="5">
        <f t="shared" si="217"/>
        <v>1</v>
      </c>
      <c r="W658" s="5">
        <f t="shared" si="218"/>
        <v>0</v>
      </c>
      <c r="X658" s="5">
        <f t="shared" si="219"/>
        <v>0</v>
      </c>
      <c r="Y658" s="5">
        <f t="shared" si="220"/>
        <v>0</v>
      </c>
      <c r="Z658" s="5">
        <f t="shared" si="221"/>
        <v>0</v>
      </c>
      <c r="AA658" s="5">
        <f t="shared" si="222"/>
        <v>0</v>
      </c>
      <c r="AB658" s="5">
        <f t="shared" si="199"/>
        <v>1</v>
      </c>
    </row>
    <row r="659" spans="4:28" x14ac:dyDescent="0.25">
      <c r="D659" t="s">
        <v>80</v>
      </c>
      <c r="E659" s="64"/>
      <c r="F659" s="64"/>
      <c r="G659">
        <f>IFERROR(HLOOKUP(G$2,[22]table_male_hkom2_inj.U4!$A$1:$K$36,12,FALSE),0)</f>
        <v>0</v>
      </c>
      <c r="H659">
        <f>IFERROR(HLOOKUP(H$2,[22]table_male_hkom2_inj.U4!$A$1:$K$36,12,FALSE),0)</f>
        <v>0</v>
      </c>
      <c r="I659">
        <f>IFERROR(HLOOKUP(I$2,[22]table_male_hkom2_inj.U4!$A$1:$K$36,12,FALSE),0)</f>
        <v>0</v>
      </c>
      <c r="J659">
        <f>IFERROR(HLOOKUP(J$2,[22]table_male_hkom2_inj.U4!$A$1:$K$36,12,FALSE),0)</f>
        <v>0</v>
      </c>
      <c r="K659">
        <f>IFERROR(HLOOKUP(K$2,[22]table_male_hkom2_inj.U4!$A$1:$K$36,12,FALSE),0)</f>
        <v>0</v>
      </c>
      <c r="L659">
        <f>IFERROR(HLOOKUP(L$2,[22]table_male_hkom2_inj.U4!$A$1:$K$36,12,FALSE),0)</f>
        <v>0</v>
      </c>
      <c r="M659">
        <f t="shared" si="214"/>
        <v>0</v>
      </c>
      <c r="S659" t="s">
        <v>80</v>
      </c>
      <c r="T659" s="5">
        <f t="shared" si="215"/>
        <v>0</v>
      </c>
      <c r="U659" s="5">
        <f t="shared" si="216"/>
        <v>0</v>
      </c>
      <c r="V659" s="5">
        <f t="shared" si="217"/>
        <v>0</v>
      </c>
      <c r="W659" s="5">
        <f t="shared" si="218"/>
        <v>0</v>
      </c>
      <c r="X659" s="5">
        <f t="shared" si="219"/>
        <v>0</v>
      </c>
      <c r="Y659" s="5">
        <f t="shared" si="220"/>
        <v>0</v>
      </c>
      <c r="Z659" s="5">
        <f t="shared" si="221"/>
        <v>0</v>
      </c>
      <c r="AA659" s="5">
        <f t="shared" si="222"/>
        <v>0</v>
      </c>
      <c r="AB659" s="5">
        <f t="shared" si="199"/>
        <v>0</v>
      </c>
    </row>
    <row r="660" spans="4:28" x14ac:dyDescent="0.25">
      <c r="D660" t="s">
        <v>81</v>
      </c>
      <c r="E660" s="64"/>
      <c r="F660" s="64"/>
      <c r="G660">
        <f>IFERROR(HLOOKUP(G$2,[22]table_male_hkom2_inj.U4!$A$1:$K$36,13,FALSE),0)</f>
        <v>0</v>
      </c>
      <c r="H660">
        <f>IFERROR(HLOOKUP(H$2,[22]table_male_hkom2_inj.U4!$A$1:$K$36,13,FALSE),0)</f>
        <v>0</v>
      </c>
      <c r="I660">
        <f>IFERROR(HLOOKUP(I$2,[22]table_male_hkom2_inj.U4!$A$1:$K$36,13,FALSE),0)</f>
        <v>0</v>
      </c>
      <c r="J660">
        <f>IFERROR(HLOOKUP(J$2,[22]table_male_hkom2_inj.U4!$A$1:$K$36,13,FALSE),0)</f>
        <v>0</v>
      </c>
      <c r="K660">
        <f>IFERROR(HLOOKUP(K$2,[22]table_male_hkom2_inj.U4!$A$1:$K$36,13,FALSE),0)</f>
        <v>0</v>
      </c>
      <c r="L660">
        <f>IFERROR(HLOOKUP(L$2,[22]table_male_hkom2_inj.U4!$A$1:$K$36,13,FALSE),0)</f>
        <v>0</v>
      </c>
      <c r="M660">
        <f t="shared" si="214"/>
        <v>0</v>
      </c>
      <c r="S660" t="s">
        <v>81</v>
      </c>
      <c r="T660" s="5">
        <f t="shared" si="215"/>
        <v>0</v>
      </c>
      <c r="U660" s="5">
        <f t="shared" si="216"/>
        <v>0</v>
      </c>
      <c r="V660" s="5">
        <f t="shared" si="217"/>
        <v>0</v>
      </c>
      <c r="W660" s="5">
        <f t="shared" si="218"/>
        <v>0</v>
      </c>
      <c r="X660" s="5">
        <f t="shared" si="219"/>
        <v>0</v>
      </c>
      <c r="Y660" s="5">
        <f t="shared" si="220"/>
        <v>0</v>
      </c>
      <c r="Z660" s="5">
        <f t="shared" si="221"/>
        <v>0</v>
      </c>
      <c r="AA660" s="5">
        <f t="shared" si="222"/>
        <v>0</v>
      </c>
      <c r="AB660" s="5">
        <f t="shared" ref="AB660:AB723" si="223">SUM(T660:AA660)</f>
        <v>0</v>
      </c>
    </row>
    <row r="661" spans="4:28" x14ac:dyDescent="0.25">
      <c r="D661" t="s">
        <v>82</v>
      </c>
      <c r="E661" s="64"/>
      <c r="F661" s="64"/>
      <c r="G661">
        <f>IFERROR(HLOOKUP(G$2,[22]table_male_hkom2_inj.U4!$A$1:$K$36,14,FALSE),0)</f>
        <v>0</v>
      </c>
      <c r="H661">
        <f>IFERROR(HLOOKUP(H$2,[22]table_male_hkom2_inj.U4!$A$1:$K$36,14,FALSE),0)</f>
        <v>0</v>
      </c>
      <c r="I661">
        <f>IFERROR(HLOOKUP(I$2,[22]table_male_hkom2_inj.U4!$A$1:$K$36,14,FALSE),0)</f>
        <v>0</v>
      </c>
      <c r="J661">
        <f>IFERROR(HLOOKUP(J$2,[22]table_male_hkom2_inj.U4!$A$1:$K$36,14,FALSE),0)</f>
        <v>0</v>
      </c>
      <c r="K661">
        <f>IFERROR(HLOOKUP(K$2,[22]table_male_hkom2_inj.U4!$A$1:$K$36,14,FALSE),0)</f>
        <v>0</v>
      </c>
      <c r="L661">
        <f>IFERROR(HLOOKUP(L$2,[22]table_male_hkom2_inj.U4!$A$1:$K$36,14,FALSE),0)</f>
        <v>0</v>
      </c>
      <c r="M661">
        <f t="shared" si="214"/>
        <v>0</v>
      </c>
      <c r="S661" t="s">
        <v>82</v>
      </c>
      <c r="T661" s="5">
        <f t="shared" si="215"/>
        <v>0</v>
      </c>
      <c r="U661" s="5">
        <f t="shared" si="216"/>
        <v>0</v>
      </c>
      <c r="V661" s="5">
        <f t="shared" si="217"/>
        <v>0</v>
      </c>
      <c r="W661" s="5">
        <f t="shared" si="218"/>
        <v>0</v>
      </c>
      <c r="X661" s="5">
        <f t="shared" si="219"/>
        <v>0</v>
      </c>
      <c r="Y661" s="5">
        <f t="shared" si="220"/>
        <v>0</v>
      </c>
      <c r="Z661" s="5">
        <f t="shared" si="221"/>
        <v>0</v>
      </c>
      <c r="AA661" s="5">
        <f t="shared" si="222"/>
        <v>0</v>
      </c>
      <c r="AB661" s="5">
        <f t="shared" si="223"/>
        <v>0</v>
      </c>
    </row>
    <row r="662" spans="4:28" x14ac:dyDescent="0.25">
      <c r="D662" t="s">
        <v>83</v>
      </c>
      <c r="E662" s="64"/>
      <c r="F662" s="64"/>
      <c r="G662">
        <f>IFERROR(HLOOKUP(G$2,[22]table_male_hkom2_inj.U4!$A$1:$K$36,15,FALSE),0)</f>
        <v>0</v>
      </c>
      <c r="H662">
        <f>IFERROR(HLOOKUP(H$2,[22]table_male_hkom2_inj.U4!$A$1:$K$36,15,FALSE),0)</f>
        <v>0</v>
      </c>
      <c r="I662">
        <f>IFERROR(HLOOKUP(I$2,[22]table_male_hkom2_inj.U4!$A$1:$K$36,15,FALSE),0)</f>
        <v>0</v>
      </c>
      <c r="J662">
        <f>IFERROR(HLOOKUP(J$2,[22]table_male_hkom2_inj.U4!$A$1:$K$36,15,FALSE),0)</f>
        <v>0</v>
      </c>
      <c r="K662">
        <f>IFERROR(HLOOKUP(K$2,[22]table_male_hkom2_inj.U4!$A$1:$K$36,15,FALSE),0)</f>
        <v>0</v>
      </c>
      <c r="L662">
        <f>IFERROR(HLOOKUP(L$2,[22]table_male_hkom2_inj.U4!$A$1:$K$36,15,FALSE),0)</f>
        <v>0</v>
      </c>
      <c r="M662">
        <f t="shared" si="214"/>
        <v>0</v>
      </c>
      <c r="S662" t="s">
        <v>83</v>
      </c>
      <c r="T662" s="5">
        <f t="shared" si="215"/>
        <v>0</v>
      </c>
      <c r="U662" s="5">
        <f t="shared" si="216"/>
        <v>0</v>
      </c>
      <c r="V662" s="5">
        <f t="shared" si="217"/>
        <v>0</v>
      </c>
      <c r="W662" s="5">
        <f t="shared" si="218"/>
        <v>0</v>
      </c>
      <c r="X662" s="5">
        <f t="shared" si="219"/>
        <v>0</v>
      </c>
      <c r="Y662" s="5">
        <f t="shared" si="220"/>
        <v>0</v>
      </c>
      <c r="Z662" s="5">
        <f t="shared" si="221"/>
        <v>0</v>
      </c>
      <c r="AA662" s="5">
        <f t="shared" si="222"/>
        <v>0</v>
      </c>
      <c r="AB662" s="5">
        <f t="shared" si="223"/>
        <v>0</v>
      </c>
    </row>
    <row r="663" spans="4:28" x14ac:dyDescent="0.25">
      <c r="D663" t="s">
        <v>84</v>
      </c>
      <c r="E663" s="64"/>
      <c r="F663" s="64"/>
      <c r="G663">
        <f>IFERROR(HLOOKUP(G$2,[22]table_male_hkom2_inj.U4!$A$1:$K$36,16,FALSE),0)</f>
        <v>0</v>
      </c>
      <c r="H663">
        <f>IFERROR(HLOOKUP(H$2,[22]table_male_hkom2_inj.U4!$A$1:$K$36,16,FALSE),0)</f>
        <v>0</v>
      </c>
      <c r="I663">
        <f>IFERROR(HLOOKUP(I$2,[22]table_male_hkom2_inj.U4!$A$1:$K$36,16,FALSE),0)</f>
        <v>0</v>
      </c>
      <c r="J663">
        <f>IFERROR(HLOOKUP(J$2,[22]table_male_hkom2_inj.U4!$A$1:$K$36,16,FALSE),0)</f>
        <v>0</v>
      </c>
      <c r="K663">
        <f>IFERROR(HLOOKUP(K$2,[22]table_male_hkom2_inj.U4!$A$1:$K$36,16,FALSE),0)</f>
        <v>0</v>
      </c>
      <c r="L663">
        <f>IFERROR(HLOOKUP(L$2,[22]table_male_hkom2_inj.U4!$A$1:$K$36,16,FALSE),0)</f>
        <v>0</v>
      </c>
      <c r="M663">
        <f t="shared" si="214"/>
        <v>0</v>
      </c>
      <c r="S663" t="s">
        <v>84</v>
      </c>
      <c r="T663" s="5">
        <f t="shared" si="215"/>
        <v>0</v>
      </c>
      <c r="U663" s="5">
        <f t="shared" si="216"/>
        <v>0</v>
      </c>
      <c r="V663" s="5">
        <f t="shared" si="217"/>
        <v>0</v>
      </c>
      <c r="W663" s="5">
        <f t="shared" si="218"/>
        <v>0</v>
      </c>
      <c r="X663" s="5">
        <f t="shared" si="219"/>
        <v>0</v>
      </c>
      <c r="Y663" s="5">
        <f t="shared" si="220"/>
        <v>0</v>
      </c>
      <c r="Z663" s="5">
        <f t="shared" si="221"/>
        <v>0</v>
      </c>
      <c r="AA663" s="5">
        <f t="shared" si="222"/>
        <v>0</v>
      </c>
      <c r="AB663" s="5">
        <f t="shared" si="223"/>
        <v>0</v>
      </c>
    </row>
    <row r="664" spans="4:28" x14ac:dyDescent="0.25">
      <c r="D664" t="s">
        <v>85</v>
      </c>
      <c r="E664" s="64"/>
      <c r="F664" s="64"/>
      <c r="G664">
        <f>IFERROR(HLOOKUP(G$2,[22]table_male_hkom2_inj.U4!$A$1:$K$36,17,FALSE),0)</f>
        <v>0</v>
      </c>
      <c r="H664">
        <f>IFERROR(HLOOKUP(H$2,[22]table_male_hkom2_inj.U4!$A$1:$K$36,17,FALSE),0)</f>
        <v>0</v>
      </c>
      <c r="I664">
        <f>IFERROR(HLOOKUP(I$2,[22]table_male_hkom2_inj.U4!$A$1:$K$36,17,FALSE),0)</f>
        <v>0</v>
      </c>
      <c r="J664">
        <f>IFERROR(HLOOKUP(J$2,[22]table_male_hkom2_inj.U4!$A$1:$K$36,17,FALSE),0)</f>
        <v>0</v>
      </c>
      <c r="K664">
        <f>IFERROR(HLOOKUP(K$2,[22]table_male_hkom2_inj.U4!$A$1:$K$36,17,FALSE),0)</f>
        <v>0</v>
      </c>
      <c r="L664">
        <f>IFERROR(HLOOKUP(L$2,[22]table_male_hkom2_inj.U4!$A$1:$K$36,17,FALSE),0)</f>
        <v>0</v>
      </c>
      <c r="M664">
        <f t="shared" si="214"/>
        <v>0</v>
      </c>
      <c r="S664" t="s">
        <v>85</v>
      </c>
      <c r="T664" s="5">
        <f t="shared" si="215"/>
        <v>0</v>
      </c>
      <c r="U664" s="5">
        <f t="shared" si="216"/>
        <v>0</v>
      </c>
      <c r="V664" s="5">
        <f t="shared" si="217"/>
        <v>0</v>
      </c>
      <c r="W664" s="5">
        <f t="shared" si="218"/>
        <v>0</v>
      </c>
      <c r="X664" s="5">
        <f t="shared" si="219"/>
        <v>0</v>
      </c>
      <c r="Y664" s="5">
        <f t="shared" si="220"/>
        <v>0</v>
      </c>
      <c r="Z664" s="5">
        <f t="shared" si="221"/>
        <v>0</v>
      </c>
      <c r="AA664" s="5">
        <f t="shared" si="222"/>
        <v>0</v>
      </c>
      <c r="AB664" s="5">
        <f t="shared" si="223"/>
        <v>0</v>
      </c>
    </row>
    <row r="665" spans="4:28" x14ac:dyDescent="0.25">
      <c r="D665" t="s">
        <v>86</v>
      </c>
      <c r="E665" s="64"/>
      <c r="F665" s="64"/>
      <c r="G665">
        <f>IFERROR(HLOOKUP(G$2,[22]table_male_hkom2_inj.U4!$A$1:$K$36,18,FALSE),0)</f>
        <v>0</v>
      </c>
      <c r="H665">
        <f>IFERROR(HLOOKUP(H$2,[22]table_male_hkom2_inj.U4!$A$1:$K$36,18,FALSE),0)</f>
        <v>0</v>
      </c>
      <c r="I665">
        <f>IFERROR(HLOOKUP(I$2,[22]table_male_hkom2_inj.U4!$A$1:$K$36,18,FALSE),0)</f>
        <v>0</v>
      </c>
      <c r="J665">
        <f>IFERROR(HLOOKUP(J$2,[22]table_male_hkom2_inj.U4!$A$1:$K$36,18,FALSE),0)</f>
        <v>0</v>
      </c>
      <c r="K665">
        <f>IFERROR(HLOOKUP(K$2,[22]table_male_hkom2_inj.U4!$A$1:$K$36,18,FALSE),0)</f>
        <v>0</v>
      </c>
      <c r="L665">
        <f>IFERROR(HLOOKUP(L$2,[22]table_male_hkom2_inj.U4!$A$1:$K$36,18,FALSE),0)</f>
        <v>0</v>
      </c>
      <c r="M665">
        <f t="shared" si="214"/>
        <v>0</v>
      </c>
      <c r="S665" t="s">
        <v>86</v>
      </c>
      <c r="T665" s="5">
        <f t="shared" si="215"/>
        <v>0</v>
      </c>
      <c r="U665" s="5">
        <f t="shared" si="216"/>
        <v>0</v>
      </c>
      <c r="V665" s="5">
        <f t="shared" si="217"/>
        <v>0</v>
      </c>
      <c r="W665" s="5">
        <f t="shared" si="218"/>
        <v>0</v>
      </c>
      <c r="X665" s="5">
        <f t="shared" si="219"/>
        <v>0</v>
      </c>
      <c r="Y665" s="5">
        <f t="shared" si="220"/>
        <v>0</v>
      </c>
      <c r="Z665" s="5">
        <f t="shared" si="221"/>
        <v>0</v>
      </c>
      <c r="AA665" s="5">
        <f t="shared" si="222"/>
        <v>0</v>
      </c>
      <c r="AB665" s="5">
        <f t="shared" si="223"/>
        <v>0</v>
      </c>
    </row>
    <row r="666" spans="4:28" x14ac:dyDescent="0.25">
      <c r="D666" t="s">
        <v>87</v>
      </c>
      <c r="E666" s="64"/>
      <c r="F666" s="64"/>
      <c r="G666">
        <f>IFERROR(HLOOKUP(G$2,[22]table_male_hkom2_inj.U4!$A$1:$K$36,19,FALSE),0)</f>
        <v>0</v>
      </c>
      <c r="H666">
        <f>IFERROR(HLOOKUP(H$2,[22]table_male_hkom2_inj.U4!$A$1:$K$36,19,FALSE),0)</f>
        <v>0</v>
      </c>
      <c r="I666">
        <f>IFERROR(HLOOKUP(I$2,[22]table_male_hkom2_inj.U4!$A$1:$K$36,19,FALSE),0)</f>
        <v>0</v>
      </c>
      <c r="J666">
        <f>IFERROR(HLOOKUP(J$2,[22]table_male_hkom2_inj.U4!$A$1:$K$36,19,FALSE),0)</f>
        <v>0</v>
      </c>
      <c r="K666">
        <f>IFERROR(HLOOKUP(K$2,[22]table_male_hkom2_inj.U4!$A$1:$K$36,19,FALSE),0)</f>
        <v>0</v>
      </c>
      <c r="L666">
        <f>IFERROR(HLOOKUP(L$2,[22]table_male_hkom2_inj.U4!$A$1:$K$36,19,FALSE),0)</f>
        <v>0</v>
      </c>
      <c r="M666">
        <f t="shared" si="214"/>
        <v>0</v>
      </c>
      <c r="S666" t="s">
        <v>87</v>
      </c>
      <c r="T666" s="5">
        <f t="shared" si="215"/>
        <v>0</v>
      </c>
      <c r="U666" s="5">
        <f t="shared" si="216"/>
        <v>0</v>
      </c>
      <c r="V666" s="5">
        <f t="shared" si="217"/>
        <v>0</v>
      </c>
      <c r="W666" s="5">
        <f t="shared" si="218"/>
        <v>0</v>
      </c>
      <c r="X666" s="5">
        <f t="shared" si="219"/>
        <v>0</v>
      </c>
      <c r="Y666" s="5">
        <f t="shared" si="220"/>
        <v>0</v>
      </c>
      <c r="Z666" s="5">
        <f t="shared" si="221"/>
        <v>0</v>
      </c>
      <c r="AA666" s="5">
        <f t="shared" si="222"/>
        <v>0</v>
      </c>
      <c r="AB666" s="5">
        <f t="shared" si="223"/>
        <v>0</v>
      </c>
    </row>
    <row r="667" spans="4:28" x14ac:dyDescent="0.25">
      <c r="D667" t="s">
        <v>88</v>
      </c>
      <c r="E667" s="64"/>
      <c r="F667" s="64"/>
      <c r="G667">
        <f>IFERROR(HLOOKUP(G$2,[22]table_male_hkom2_inj.U4!$A$1:$K$36,20,FALSE),0)</f>
        <v>0</v>
      </c>
      <c r="H667">
        <f>IFERROR(HLOOKUP(H$2,[22]table_male_hkom2_inj.U4!$A$1:$K$36,20,FALSE),0)</f>
        <v>0</v>
      </c>
      <c r="I667">
        <f>IFERROR(HLOOKUP(I$2,[22]table_male_hkom2_inj.U4!$A$1:$K$36,20,FALSE),0)</f>
        <v>0</v>
      </c>
      <c r="J667">
        <f>IFERROR(HLOOKUP(J$2,[22]table_male_hkom2_inj.U4!$A$1:$K$36,20,FALSE),0)</f>
        <v>0</v>
      </c>
      <c r="K667">
        <f>IFERROR(HLOOKUP(K$2,[22]table_male_hkom2_inj.U4!$A$1:$K$36,20,FALSE),0)</f>
        <v>0</v>
      </c>
      <c r="L667">
        <f>IFERROR(HLOOKUP(L$2,[22]table_male_hkom2_inj.U4!$A$1:$K$36,20,FALSE),0)</f>
        <v>0</v>
      </c>
      <c r="M667">
        <f t="shared" si="214"/>
        <v>0</v>
      </c>
      <c r="S667" t="s">
        <v>88</v>
      </c>
      <c r="T667" s="5">
        <f t="shared" si="215"/>
        <v>0</v>
      </c>
      <c r="U667" s="5">
        <f t="shared" si="216"/>
        <v>0</v>
      </c>
      <c r="V667" s="5">
        <f t="shared" si="217"/>
        <v>0</v>
      </c>
      <c r="W667" s="5">
        <f t="shared" si="218"/>
        <v>0</v>
      </c>
      <c r="X667" s="5">
        <f t="shared" si="219"/>
        <v>0</v>
      </c>
      <c r="Y667" s="5">
        <f t="shared" si="220"/>
        <v>0</v>
      </c>
      <c r="Z667" s="5">
        <f t="shared" si="221"/>
        <v>0</v>
      </c>
      <c r="AA667" s="5">
        <f t="shared" si="222"/>
        <v>0</v>
      </c>
      <c r="AB667" s="5">
        <f t="shared" si="223"/>
        <v>0</v>
      </c>
    </row>
    <row r="668" spans="4:28" x14ac:dyDescent="0.25">
      <c r="D668" t="s">
        <v>89</v>
      </c>
      <c r="E668" s="64"/>
      <c r="F668" s="64"/>
      <c r="G668">
        <f>IFERROR(HLOOKUP(G$2,[22]table_male_hkom2_inj.U4!$A$1:$K$36,21,FALSE),0)</f>
        <v>0</v>
      </c>
      <c r="H668">
        <f>IFERROR(HLOOKUP(H$2,[22]table_male_hkom2_inj.U4!$A$1:$K$36,21,FALSE),0)</f>
        <v>0</v>
      </c>
      <c r="I668">
        <f>IFERROR(HLOOKUP(I$2,[22]table_male_hkom2_inj.U4!$A$1:$K$36,21,FALSE),0)</f>
        <v>0</v>
      </c>
      <c r="J668">
        <f>IFERROR(HLOOKUP(J$2,[22]table_male_hkom2_inj.U4!$A$1:$K$36,21,FALSE),0)</f>
        <v>0</v>
      </c>
      <c r="K668">
        <f>IFERROR(HLOOKUP(K$2,[22]table_male_hkom2_inj.U4!$A$1:$K$36,21,FALSE),0)</f>
        <v>0</v>
      </c>
      <c r="L668">
        <f>IFERROR(HLOOKUP(L$2,[22]table_male_hkom2_inj.U4!$A$1:$K$36,21,FALSE),0)</f>
        <v>0</v>
      </c>
      <c r="M668">
        <f t="shared" si="214"/>
        <v>0</v>
      </c>
      <c r="S668" t="s">
        <v>89</v>
      </c>
      <c r="T668" s="5">
        <f t="shared" si="215"/>
        <v>0</v>
      </c>
      <c r="U668" s="5">
        <f t="shared" si="216"/>
        <v>0</v>
      </c>
      <c r="V668" s="5">
        <f t="shared" si="217"/>
        <v>0</v>
      </c>
      <c r="W668" s="5">
        <f t="shared" si="218"/>
        <v>0</v>
      </c>
      <c r="X668" s="5">
        <f t="shared" si="219"/>
        <v>0</v>
      </c>
      <c r="Y668" s="5">
        <f t="shared" si="220"/>
        <v>0</v>
      </c>
      <c r="Z668" s="5">
        <f t="shared" si="221"/>
        <v>0</v>
      </c>
      <c r="AA668" s="5">
        <f t="shared" si="222"/>
        <v>0</v>
      </c>
      <c r="AB668" s="5">
        <f t="shared" si="223"/>
        <v>0</v>
      </c>
    </row>
    <row r="669" spans="4:28" x14ac:dyDescent="0.25">
      <c r="D669" t="s">
        <v>90</v>
      </c>
      <c r="E669" s="64"/>
      <c r="F669" s="64"/>
      <c r="G669">
        <f>IFERROR(HLOOKUP(G$2,[22]table_male_hkom2_inj.U4!$A$1:$K$36,22,FALSE),0)</f>
        <v>0</v>
      </c>
      <c r="H669">
        <f>IFERROR(HLOOKUP(H$2,[22]table_male_hkom2_inj.U4!$A$1:$K$36,22,FALSE),0)</f>
        <v>0</v>
      </c>
      <c r="I669">
        <f>IFERROR(HLOOKUP(I$2,[22]table_male_hkom2_inj.U4!$A$1:$K$36,22,FALSE),0)</f>
        <v>0</v>
      </c>
      <c r="J669">
        <f>IFERROR(HLOOKUP(J$2,[22]table_male_hkom2_inj.U4!$A$1:$K$36,22,FALSE),0)</f>
        <v>0</v>
      </c>
      <c r="K669">
        <f>IFERROR(HLOOKUP(K$2,[22]table_male_hkom2_inj.U4!$A$1:$K$36,22,FALSE),0)</f>
        <v>0</v>
      </c>
      <c r="L669">
        <f>IFERROR(HLOOKUP(L$2,[22]table_male_hkom2_inj.U4!$A$1:$K$36,22,FALSE),0)</f>
        <v>0</v>
      </c>
      <c r="M669">
        <f t="shared" si="214"/>
        <v>0</v>
      </c>
      <c r="S669" t="s">
        <v>90</v>
      </c>
      <c r="T669" s="5">
        <f t="shared" si="215"/>
        <v>0</v>
      </c>
      <c r="U669" s="5">
        <f t="shared" si="216"/>
        <v>0</v>
      </c>
      <c r="V669" s="5">
        <f t="shared" si="217"/>
        <v>0</v>
      </c>
      <c r="W669" s="5">
        <f t="shared" si="218"/>
        <v>0</v>
      </c>
      <c r="X669" s="5">
        <f t="shared" si="219"/>
        <v>0</v>
      </c>
      <c r="Y669" s="5">
        <f t="shared" si="220"/>
        <v>0</v>
      </c>
      <c r="Z669" s="5">
        <f t="shared" si="221"/>
        <v>0</v>
      </c>
      <c r="AA669" s="5">
        <f t="shared" si="222"/>
        <v>0</v>
      </c>
      <c r="AB669" s="5">
        <f t="shared" si="223"/>
        <v>0</v>
      </c>
    </row>
    <row r="670" spans="4:28" x14ac:dyDescent="0.25">
      <c r="D670" t="s">
        <v>91</v>
      </c>
      <c r="E670" s="64"/>
      <c r="F670" s="64"/>
      <c r="G670">
        <f>IFERROR(HLOOKUP(G$2,[22]table_male_hkom2_inj.U4!$A$1:$K$36,23,FALSE),0)</f>
        <v>0</v>
      </c>
      <c r="H670">
        <f>IFERROR(HLOOKUP(H$2,[22]table_male_hkom2_inj.U4!$A$1:$K$36,23,FALSE),0)</f>
        <v>0</v>
      </c>
      <c r="I670">
        <f>IFERROR(HLOOKUP(I$2,[22]table_male_hkom2_inj.U4!$A$1:$K$36,23,FALSE),0)</f>
        <v>0</v>
      </c>
      <c r="J670">
        <f>IFERROR(HLOOKUP(J$2,[22]table_male_hkom2_inj.U4!$A$1:$K$36,23,FALSE),0)</f>
        <v>0</v>
      </c>
      <c r="K670">
        <f>IFERROR(HLOOKUP(K$2,[22]table_male_hkom2_inj.U4!$A$1:$K$36,23,FALSE),0)</f>
        <v>0</v>
      </c>
      <c r="L670">
        <f>IFERROR(HLOOKUP(L$2,[22]table_male_hkom2_inj.U4!$A$1:$K$36,23,FALSE),0)</f>
        <v>0</v>
      </c>
      <c r="M670">
        <f t="shared" si="214"/>
        <v>0</v>
      </c>
      <c r="S670" t="s">
        <v>91</v>
      </c>
      <c r="T670" s="5">
        <f t="shared" si="215"/>
        <v>0</v>
      </c>
      <c r="U670" s="5">
        <f t="shared" si="216"/>
        <v>0</v>
      </c>
      <c r="V670" s="5">
        <f t="shared" si="217"/>
        <v>0</v>
      </c>
      <c r="W670" s="5">
        <f t="shared" si="218"/>
        <v>0</v>
      </c>
      <c r="X670" s="5">
        <f t="shared" si="219"/>
        <v>0</v>
      </c>
      <c r="Y670" s="5">
        <f t="shared" si="220"/>
        <v>0</v>
      </c>
      <c r="Z670" s="5">
        <f t="shared" si="221"/>
        <v>0</v>
      </c>
      <c r="AA670" s="5">
        <f t="shared" si="222"/>
        <v>0</v>
      </c>
      <c r="AB670" s="5">
        <f t="shared" si="223"/>
        <v>0</v>
      </c>
    </row>
    <row r="671" spans="4:28" x14ac:dyDescent="0.25">
      <c r="D671" t="s">
        <v>92</v>
      </c>
      <c r="E671" s="64"/>
      <c r="F671" s="64"/>
      <c r="G671">
        <f>IFERROR(HLOOKUP(G$2,[22]table_male_hkom2_inj.U4!$A$1:$K$36,24,FALSE),0)</f>
        <v>0</v>
      </c>
      <c r="H671">
        <f>IFERROR(HLOOKUP(H$2,[22]table_male_hkom2_inj.U4!$A$1:$K$36,24,FALSE),0)</f>
        <v>0</v>
      </c>
      <c r="I671">
        <f>IFERROR(HLOOKUP(I$2,[22]table_male_hkom2_inj.U4!$A$1:$K$36,24,FALSE),0)</f>
        <v>0</v>
      </c>
      <c r="J671">
        <f>IFERROR(HLOOKUP(J$2,[22]table_male_hkom2_inj.U4!$A$1:$K$36,24,FALSE),0)</f>
        <v>0</v>
      </c>
      <c r="K671">
        <f>IFERROR(HLOOKUP(K$2,[22]table_male_hkom2_inj.U4!$A$1:$K$36,24,FALSE),0)</f>
        <v>0</v>
      </c>
      <c r="L671">
        <f>IFERROR(HLOOKUP(L$2,[22]table_male_hkom2_inj.U4!$A$1:$K$36,24,FALSE),0)</f>
        <v>0</v>
      </c>
      <c r="M671">
        <f t="shared" si="214"/>
        <v>0</v>
      </c>
      <c r="S671" t="s">
        <v>92</v>
      </c>
      <c r="T671" s="5">
        <f t="shared" si="215"/>
        <v>0</v>
      </c>
      <c r="U671" s="5">
        <f t="shared" si="216"/>
        <v>0</v>
      </c>
      <c r="V671" s="5">
        <f t="shared" si="217"/>
        <v>0</v>
      </c>
      <c r="W671" s="5">
        <f t="shared" si="218"/>
        <v>0</v>
      </c>
      <c r="X671" s="5">
        <f t="shared" si="219"/>
        <v>0</v>
      </c>
      <c r="Y671" s="5">
        <f t="shared" si="220"/>
        <v>0</v>
      </c>
      <c r="Z671" s="5">
        <f t="shared" si="221"/>
        <v>0</v>
      </c>
      <c r="AA671" s="5">
        <f t="shared" si="222"/>
        <v>0</v>
      </c>
      <c r="AB671" s="5">
        <f t="shared" si="223"/>
        <v>0</v>
      </c>
    </row>
    <row r="672" spans="4:28" x14ac:dyDescent="0.25">
      <c r="D672" t="s">
        <v>93</v>
      </c>
      <c r="E672" s="64"/>
      <c r="F672" s="64"/>
      <c r="G672">
        <f>IFERROR(HLOOKUP(G$2,[22]table_male_hkom2_inj.U4!$A$1:$K$36,25,FALSE),0)</f>
        <v>0</v>
      </c>
      <c r="H672">
        <f>IFERROR(HLOOKUP(H$2,[22]table_male_hkom2_inj.U4!$A$1:$K$36,25,FALSE),0)</f>
        <v>0</v>
      </c>
      <c r="I672">
        <f>IFERROR(HLOOKUP(I$2,[22]table_male_hkom2_inj.U4!$A$1:$K$36,25,FALSE),0)</f>
        <v>0</v>
      </c>
      <c r="J672">
        <f>IFERROR(HLOOKUP(J$2,[22]table_male_hkom2_inj.U4!$A$1:$K$36,25,FALSE),0)</f>
        <v>0</v>
      </c>
      <c r="K672">
        <f>IFERROR(HLOOKUP(K$2,[22]table_male_hkom2_inj.U4!$A$1:$K$36,25,FALSE),0)</f>
        <v>0</v>
      </c>
      <c r="L672">
        <f>IFERROR(HLOOKUP(L$2,[22]table_male_hkom2_inj.U4!$A$1:$K$36,25,FALSE),0)</f>
        <v>0</v>
      </c>
      <c r="M672">
        <f t="shared" si="214"/>
        <v>0</v>
      </c>
      <c r="S672" t="s">
        <v>93</v>
      </c>
      <c r="T672" s="5">
        <f t="shared" si="215"/>
        <v>0</v>
      </c>
      <c r="U672" s="5">
        <f t="shared" si="216"/>
        <v>0</v>
      </c>
      <c r="V672" s="5">
        <f t="shared" si="217"/>
        <v>0</v>
      </c>
      <c r="W672" s="5">
        <f t="shared" si="218"/>
        <v>0</v>
      </c>
      <c r="X672" s="5">
        <f t="shared" si="219"/>
        <v>0</v>
      </c>
      <c r="Y672" s="5">
        <f t="shared" si="220"/>
        <v>0</v>
      </c>
      <c r="Z672" s="5">
        <f t="shared" si="221"/>
        <v>0</v>
      </c>
      <c r="AA672" s="5">
        <f t="shared" si="222"/>
        <v>0</v>
      </c>
      <c r="AB672" s="5">
        <f t="shared" si="223"/>
        <v>0</v>
      </c>
    </row>
    <row r="673" spans="1:29" x14ac:dyDescent="0.25">
      <c r="D673" t="s">
        <v>94</v>
      </c>
      <c r="E673" s="64"/>
      <c r="F673" s="64"/>
      <c r="G673">
        <f>IFERROR(HLOOKUP(G$2,[22]table_male_hkom2_inj.U4!$A$1:$K$36,26,FALSE),0)</f>
        <v>0</v>
      </c>
      <c r="H673">
        <f>IFERROR(HLOOKUP(H$2,[22]table_male_hkom2_inj.U4!$A$1:$K$36,26,FALSE),0)</f>
        <v>0</v>
      </c>
      <c r="I673">
        <f>IFERROR(HLOOKUP(I$2,[22]table_male_hkom2_inj.U4!$A$1:$K$36,26,FALSE),0)</f>
        <v>0</v>
      </c>
      <c r="J673">
        <f>IFERROR(HLOOKUP(J$2,[22]table_male_hkom2_inj.U4!$A$1:$K$36,26,FALSE),0)</f>
        <v>0</v>
      </c>
      <c r="K673">
        <f>IFERROR(HLOOKUP(K$2,[22]table_male_hkom2_inj.U4!$A$1:$K$36,26,FALSE),0)</f>
        <v>0</v>
      </c>
      <c r="L673">
        <f>IFERROR(HLOOKUP(L$2,[22]table_male_hkom2_inj.U4!$A$1:$K$36,26,FALSE),0)</f>
        <v>0</v>
      </c>
      <c r="M673">
        <f t="shared" si="214"/>
        <v>0</v>
      </c>
      <c r="S673" t="s">
        <v>94</v>
      </c>
      <c r="T673" s="5">
        <f t="shared" si="215"/>
        <v>0</v>
      </c>
      <c r="U673" s="5">
        <f t="shared" si="216"/>
        <v>0</v>
      </c>
      <c r="V673" s="5">
        <f t="shared" si="217"/>
        <v>0</v>
      </c>
      <c r="W673" s="5">
        <f t="shared" si="218"/>
        <v>0</v>
      </c>
      <c r="X673" s="5">
        <f t="shared" si="219"/>
        <v>0</v>
      </c>
      <c r="Y673" s="5">
        <f t="shared" si="220"/>
        <v>0</v>
      </c>
      <c r="Z673" s="5">
        <f t="shared" si="221"/>
        <v>0</v>
      </c>
      <c r="AA673" s="5">
        <f t="shared" si="222"/>
        <v>0</v>
      </c>
      <c r="AB673" s="5">
        <f t="shared" si="223"/>
        <v>0</v>
      </c>
    </row>
    <row r="674" spans="1:29" x14ac:dyDescent="0.25">
      <c r="D674" t="s">
        <v>95</v>
      </c>
      <c r="E674" s="64"/>
      <c r="F674" s="64"/>
      <c r="G674">
        <f>IFERROR(HLOOKUP(G$2,[22]table_male_hkom2_inj.U4!$A$1:$K$36,27,FALSE),0)</f>
        <v>0</v>
      </c>
      <c r="H674">
        <f>IFERROR(HLOOKUP(H$2,[22]table_male_hkom2_inj.U4!$A$1:$K$36,27,FALSE),0)</f>
        <v>0</v>
      </c>
      <c r="I674">
        <f>IFERROR(HLOOKUP(I$2,[22]table_male_hkom2_inj.U4!$A$1:$K$36,27,FALSE),0)</f>
        <v>0</v>
      </c>
      <c r="J674">
        <f>IFERROR(HLOOKUP(J$2,[22]table_male_hkom2_inj.U4!$A$1:$K$36,27,FALSE),0)</f>
        <v>0</v>
      </c>
      <c r="K674">
        <f>IFERROR(HLOOKUP(K$2,[22]table_male_hkom2_inj.U4!$A$1:$K$36,27,FALSE),0)</f>
        <v>0</v>
      </c>
      <c r="L674">
        <f>IFERROR(HLOOKUP(L$2,[22]table_male_hkom2_inj.U4!$A$1:$K$36,27,FALSE),0)</f>
        <v>0</v>
      </c>
      <c r="M674">
        <f t="shared" si="214"/>
        <v>0</v>
      </c>
      <c r="S674" t="s">
        <v>95</v>
      </c>
      <c r="T674" s="5">
        <f t="shared" si="215"/>
        <v>0</v>
      </c>
      <c r="U674" s="5">
        <f t="shared" si="216"/>
        <v>0</v>
      </c>
      <c r="V674" s="5">
        <f t="shared" si="217"/>
        <v>0</v>
      </c>
      <c r="W674" s="5">
        <f t="shared" si="218"/>
        <v>0</v>
      </c>
      <c r="X674" s="5">
        <f t="shared" si="219"/>
        <v>0</v>
      </c>
      <c r="Y674" s="5">
        <f t="shared" si="220"/>
        <v>0</v>
      </c>
      <c r="Z674" s="5">
        <f t="shared" si="221"/>
        <v>0</v>
      </c>
      <c r="AA674" s="5">
        <f t="shared" si="222"/>
        <v>0</v>
      </c>
      <c r="AB674" s="5">
        <f t="shared" si="223"/>
        <v>0</v>
      </c>
    </row>
    <row r="675" spans="1:29" x14ac:dyDescent="0.25">
      <c r="D675" t="s">
        <v>96</v>
      </c>
      <c r="E675" s="64"/>
      <c r="F675" s="64"/>
      <c r="G675">
        <f>IFERROR(HLOOKUP(G$2,[22]table_male_hkom2_inj.U4!$A$1:$K$36,28,FALSE),0)</f>
        <v>0</v>
      </c>
      <c r="H675">
        <f>IFERROR(HLOOKUP(H$2,[22]table_male_hkom2_inj.U4!$A$1:$K$36,28,FALSE),0)</f>
        <v>0</v>
      </c>
      <c r="I675">
        <f>IFERROR(HLOOKUP(I$2,[22]table_male_hkom2_inj.U4!$A$1:$K$36,28,FALSE),0)</f>
        <v>0</v>
      </c>
      <c r="J675">
        <f>IFERROR(HLOOKUP(J$2,[22]table_male_hkom2_inj.U4!$A$1:$K$36,28,FALSE),0)</f>
        <v>0</v>
      </c>
      <c r="K675">
        <f>IFERROR(HLOOKUP(K$2,[22]table_male_hkom2_inj.U4!$A$1:$K$36,28,FALSE),0)</f>
        <v>0</v>
      </c>
      <c r="L675">
        <f>IFERROR(HLOOKUP(L$2,[22]table_male_hkom2_inj.U4!$A$1:$K$36,28,FALSE),0)</f>
        <v>0</v>
      </c>
      <c r="M675">
        <f t="shared" si="214"/>
        <v>0</v>
      </c>
      <c r="S675" t="s">
        <v>96</v>
      </c>
      <c r="T675" s="5">
        <f t="shared" si="215"/>
        <v>0</v>
      </c>
      <c r="U675" s="5">
        <f t="shared" si="216"/>
        <v>0</v>
      </c>
      <c r="V675" s="5">
        <f t="shared" si="217"/>
        <v>0</v>
      </c>
      <c r="W675" s="5">
        <f t="shared" si="218"/>
        <v>0</v>
      </c>
      <c r="X675" s="5">
        <f t="shared" si="219"/>
        <v>0</v>
      </c>
      <c r="Y675" s="5">
        <f t="shared" si="220"/>
        <v>0</v>
      </c>
      <c r="Z675" s="5">
        <f t="shared" si="221"/>
        <v>0</v>
      </c>
      <c r="AA675" s="5">
        <f t="shared" si="222"/>
        <v>0</v>
      </c>
      <c r="AB675" s="5">
        <f t="shared" si="223"/>
        <v>0</v>
      </c>
    </row>
    <row r="676" spans="1:29" x14ac:dyDescent="0.25">
      <c r="D676" t="s">
        <v>97</v>
      </c>
      <c r="E676" s="64"/>
      <c r="F676" s="64"/>
      <c r="G676">
        <f>IFERROR(HLOOKUP(G$2,[22]table_male_hkom2_inj.U4!$A$1:$K$36,29,FALSE),0)</f>
        <v>0</v>
      </c>
      <c r="H676">
        <f>IFERROR(HLOOKUP(H$2,[22]table_male_hkom2_inj.U4!$A$1:$K$36,29,FALSE),0)</f>
        <v>0</v>
      </c>
      <c r="I676">
        <f>IFERROR(HLOOKUP(I$2,[22]table_male_hkom2_inj.U4!$A$1:$K$36,29,FALSE),0)</f>
        <v>0</v>
      </c>
      <c r="J676">
        <f>IFERROR(HLOOKUP(J$2,[22]table_male_hkom2_inj.U4!$A$1:$K$36,29,FALSE),0)</f>
        <v>0</v>
      </c>
      <c r="K676">
        <f>IFERROR(HLOOKUP(K$2,[22]table_male_hkom2_inj.U4!$A$1:$K$36,29,FALSE),0)</f>
        <v>0</v>
      </c>
      <c r="L676">
        <f>IFERROR(HLOOKUP(L$2,[22]table_male_hkom2_inj.U4!$A$1:$K$36,29,FALSE),0)</f>
        <v>0</v>
      </c>
      <c r="M676">
        <f t="shared" si="214"/>
        <v>0</v>
      </c>
      <c r="S676" t="s">
        <v>97</v>
      </c>
      <c r="T676" s="5">
        <f t="shared" si="215"/>
        <v>0</v>
      </c>
      <c r="U676" s="5">
        <f t="shared" si="216"/>
        <v>0</v>
      </c>
      <c r="V676" s="5">
        <f t="shared" si="217"/>
        <v>0</v>
      </c>
      <c r="W676" s="5">
        <f t="shared" si="218"/>
        <v>0</v>
      </c>
      <c r="X676" s="5">
        <f t="shared" si="219"/>
        <v>0</v>
      </c>
      <c r="Y676" s="5">
        <f t="shared" si="220"/>
        <v>0</v>
      </c>
      <c r="Z676" s="5">
        <f t="shared" si="221"/>
        <v>0</v>
      </c>
      <c r="AA676" s="5">
        <f t="shared" si="222"/>
        <v>0</v>
      </c>
      <c r="AB676" s="5">
        <f t="shared" si="223"/>
        <v>0</v>
      </c>
    </row>
    <row r="677" spans="1:29" x14ac:dyDescent="0.25">
      <c r="D677" t="s">
        <v>98</v>
      </c>
      <c r="E677" s="64"/>
      <c r="F677" s="64"/>
      <c r="G677">
        <f>IFERROR(HLOOKUP(G$2,[22]table_male_hkom2_inj.U4!$A$1:$K$36,30,FALSE),0)</f>
        <v>3</v>
      </c>
      <c r="H677">
        <f>IFERROR(HLOOKUP(H$2,[22]table_male_hkom2_inj.U4!$A$1:$K$36,30,FALSE),0)</f>
        <v>1</v>
      </c>
      <c r="I677">
        <f>IFERROR(HLOOKUP(I$2,[22]table_male_hkom2_inj.U4!$A$1:$K$36,30,FALSE),0)</f>
        <v>1</v>
      </c>
      <c r="J677">
        <f>IFERROR(HLOOKUP(J$2,[22]table_male_hkom2_inj.U4!$A$1:$K$36,30,FALSE),0)</f>
        <v>0</v>
      </c>
      <c r="K677">
        <f>IFERROR(HLOOKUP(K$2,[22]table_male_hkom2_inj.U4!$A$1:$K$36,30,FALSE),0)</f>
        <v>0</v>
      </c>
      <c r="L677">
        <f>IFERROR(HLOOKUP(L$2,[22]table_male_hkom2_inj.U4!$A$1:$K$36,30,FALSE),0)</f>
        <v>0</v>
      </c>
      <c r="M677">
        <f t="shared" si="214"/>
        <v>5</v>
      </c>
      <c r="S677" t="s">
        <v>98</v>
      </c>
      <c r="T677" s="5">
        <f t="shared" si="215"/>
        <v>0</v>
      </c>
      <c r="U677" s="5">
        <f t="shared" si="216"/>
        <v>0</v>
      </c>
      <c r="V677" s="5">
        <f t="shared" si="217"/>
        <v>3</v>
      </c>
      <c r="W677" s="5">
        <f t="shared" si="218"/>
        <v>1</v>
      </c>
      <c r="X677" s="5">
        <f t="shared" si="219"/>
        <v>1</v>
      </c>
      <c r="Y677" s="5">
        <f t="shared" si="220"/>
        <v>0</v>
      </c>
      <c r="Z677" s="5">
        <f t="shared" si="221"/>
        <v>0</v>
      </c>
      <c r="AA677" s="5">
        <f t="shared" si="222"/>
        <v>0</v>
      </c>
      <c r="AB677" s="5">
        <f t="shared" si="223"/>
        <v>5</v>
      </c>
    </row>
    <row r="678" spans="1:29" x14ac:dyDescent="0.25">
      <c r="D678" t="s">
        <v>119</v>
      </c>
      <c r="E678" s="64"/>
      <c r="F678" s="64"/>
      <c r="G678">
        <f>IFERROR(HLOOKUP(G$2,[22]table_male_hkom2_inj.U4!$A$1:$K$36,31,FALSE),0)</f>
        <v>0</v>
      </c>
      <c r="H678">
        <f>IFERROR(HLOOKUP(H$2,[22]table_male_hkom2_inj.U4!$A$1:$K$36,31,FALSE),0)</f>
        <v>0</v>
      </c>
      <c r="I678">
        <f>IFERROR(HLOOKUP(I$2,[22]table_male_hkom2_inj.U4!$A$1:$K$36,31,FALSE),0)</f>
        <v>3</v>
      </c>
      <c r="J678">
        <f>IFERROR(HLOOKUP(J$2,[22]table_male_hkom2_inj.U4!$A$1:$K$36,31,FALSE),0)</f>
        <v>0</v>
      </c>
      <c r="K678">
        <f>IFERROR(HLOOKUP(K$2,[22]table_male_hkom2_inj.U4!$A$1:$K$36,31,FALSE),0)</f>
        <v>0</v>
      </c>
      <c r="L678">
        <f>IFERROR(HLOOKUP(L$2,[22]table_male_hkom2_inj.U4!$A$1:$K$36,31,FALSE),0)</f>
        <v>0</v>
      </c>
      <c r="M678">
        <f t="shared" si="214"/>
        <v>3</v>
      </c>
      <c r="S678" t="s">
        <v>119</v>
      </c>
      <c r="T678" s="5">
        <f t="shared" si="215"/>
        <v>0</v>
      </c>
      <c r="U678" s="5">
        <f t="shared" si="216"/>
        <v>0</v>
      </c>
      <c r="V678" s="5">
        <f t="shared" si="217"/>
        <v>0</v>
      </c>
      <c r="W678" s="5">
        <f t="shared" si="218"/>
        <v>0</v>
      </c>
      <c r="X678" s="5">
        <f t="shared" si="219"/>
        <v>3</v>
      </c>
      <c r="Y678" s="5">
        <f t="shared" si="220"/>
        <v>0</v>
      </c>
      <c r="Z678" s="5">
        <f t="shared" si="221"/>
        <v>0</v>
      </c>
      <c r="AA678" s="5">
        <f t="shared" si="222"/>
        <v>0</v>
      </c>
      <c r="AB678" s="5">
        <f t="shared" si="223"/>
        <v>3</v>
      </c>
    </row>
    <row r="679" spans="1:29" x14ac:dyDescent="0.25">
      <c r="D679" t="s">
        <v>99</v>
      </c>
      <c r="E679" s="64"/>
      <c r="F679" s="64"/>
      <c r="G679">
        <f>IFERROR(HLOOKUP(G$2,[22]table_male_hkom2_inj.U4!$A$1:$K$36,32,FALSE),0)</f>
        <v>0</v>
      </c>
      <c r="H679">
        <f>IFERROR(HLOOKUP(H$2,[22]table_male_hkom2_inj.U4!$A$1:$K$36,32,FALSE),0)</f>
        <v>0</v>
      </c>
      <c r="I679">
        <f>IFERROR(HLOOKUP(I$2,[22]table_male_hkom2_inj.U4!$A$1:$K$36,32,FALSE),0)</f>
        <v>0</v>
      </c>
      <c r="J679">
        <f>IFERROR(HLOOKUP(J$2,[22]table_male_hkom2_inj.U4!$A$1:$K$36,32,FALSE),0)</f>
        <v>0</v>
      </c>
      <c r="K679">
        <f>IFERROR(HLOOKUP(K$2,[22]table_male_hkom2_inj.U4!$A$1:$K$36,32,FALSE),0)</f>
        <v>0</v>
      </c>
      <c r="L679">
        <f>IFERROR(HLOOKUP(L$2,[22]table_male_hkom2_inj.U4!$A$1:$K$36,32,FALSE),0)</f>
        <v>0</v>
      </c>
      <c r="M679">
        <f t="shared" si="214"/>
        <v>0</v>
      </c>
      <c r="S679" t="s">
        <v>99</v>
      </c>
      <c r="T679" s="5">
        <f t="shared" si="215"/>
        <v>0</v>
      </c>
      <c r="U679" s="5">
        <f t="shared" si="216"/>
        <v>0</v>
      </c>
      <c r="V679" s="5">
        <f t="shared" si="217"/>
        <v>0</v>
      </c>
      <c r="W679" s="5">
        <f t="shared" si="218"/>
        <v>0</v>
      </c>
      <c r="X679" s="5">
        <f t="shared" si="219"/>
        <v>0</v>
      </c>
      <c r="Y679" s="5">
        <f t="shared" si="220"/>
        <v>0</v>
      </c>
      <c r="Z679" s="5">
        <f t="shared" si="221"/>
        <v>0</v>
      </c>
      <c r="AA679" s="5">
        <f t="shared" si="222"/>
        <v>0</v>
      </c>
      <c r="AB679" s="5">
        <f t="shared" si="223"/>
        <v>0</v>
      </c>
    </row>
    <row r="680" spans="1:29" x14ac:dyDescent="0.25">
      <c r="D680" t="s">
        <v>100</v>
      </c>
      <c r="E680" s="64"/>
      <c r="F680" s="64"/>
      <c r="G680">
        <f>IFERROR(HLOOKUP(G$2,[22]table_male_hkom2_inj.U4!$A$1:$K$36,33,FALSE),0)</f>
        <v>0</v>
      </c>
      <c r="H680">
        <f>IFERROR(HLOOKUP(H$2,[22]table_male_hkom2_inj.U4!$A$1:$K$36,33,FALSE),0)</f>
        <v>0</v>
      </c>
      <c r="I680">
        <f>IFERROR(HLOOKUP(I$2,[22]table_male_hkom2_inj.U4!$A$1:$K$36,33,FALSE),0)</f>
        <v>0</v>
      </c>
      <c r="J680">
        <f>IFERROR(HLOOKUP(J$2,[22]table_male_hkom2_inj.U4!$A$1:$K$36,33,FALSE),0)</f>
        <v>0</v>
      </c>
      <c r="K680">
        <f>IFERROR(HLOOKUP(K$2,[22]table_male_hkom2_inj.U4!$A$1:$K$36,33,FALSE),0)</f>
        <v>0</v>
      </c>
      <c r="L680">
        <f>IFERROR(HLOOKUP(L$2,[22]table_male_hkom2_inj.U4!$A$1:$K$36,33,FALSE),0)</f>
        <v>0</v>
      </c>
      <c r="M680">
        <f t="shared" si="214"/>
        <v>0</v>
      </c>
      <c r="S680" t="s">
        <v>100</v>
      </c>
      <c r="T680" s="5">
        <f t="shared" si="215"/>
        <v>0</v>
      </c>
      <c r="U680" s="5">
        <f t="shared" si="216"/>
        <v>0</v>
      </c>
      <c r="V680" s="5">
        <f t="shared" si="217"/>
        <v>0</v>
      </c>
      <c r="W680" s="5">
        <f t="shared" si="218"/>
        <v>0</v>
      </c>
      <c r="X680" s="5">
        <f t="shared" si="219"/>
        <v>0</v>
      </c>
      <c r="Y680" s="5">
        <f t="shared" si="220"/>
        <v>0</v>
      </c>
      <c r="Z680" s="5">
        <f t="shared" si="221"/>
        <v>0</v>
      </c>
      <c r="AA680" s="5">
        <f t="shared" si="222"/>
        <v>0</v>
      </c>
      <c r="AB680" s="5">
        <f t="shared" si="223"/>
        <v>0</v>
      </c>
    </row>
    <row r="681" spans="1:29" x14ac:dyDescent="0.25">
      <c r="D681" t="s">
        <v>101</v>
      </c>
      <c r="E681" s="64"/>
      <c r="F681" s="64"/>
      <c r="G681">
        <f>IFERROR(HLOOKUP(G$2,[22]table_male_hkom2_inj.U4!$A$1:$K$36,34,FALSE),0)</f>
        <v>0</v>
      </c>
      <c r="H681">
        <f>IFERROR(HLOOKUP(H$2,[22]table_male_hkom2_inj.U4!$A$1:$K$36,34,FALSE),0)</f>
        <v>0</v>
      </c>
      <c r="I681">
        <f>IFERROR(HLOOKUP(I$2,[22]table_male_hkom2_inj.U4!$A$1:$K$36,34,FALSE),0)</f>
        <v>0</v>
      </c>
      <c r="J681">
        <f>IFERROR(HLOOKUP(J$2,[22]table_male_hkom2_inj.U4!$A$1:$K$36,34,FALSE),0)</f>
        <v>0</v>
      </c>
      <c r="K681">
        <f>IFERROR(HLOOKUP(K$2,[22]table_male_hkom2_inj.U4!$A$1:$K$36,34,FALSE),0)</f>
        <v>0</v>
      </c>
      <c r="L681">
        <f>IFERROR(HLOOKUP(L$2,[22]table_male_hkom2_inj.U4!$A$1:$K$36,34,FALSE),0)</f>
        <v>0</v>
      </c>
      <c r="M681">
        <f t="shared" si="214"/>
        <v>0</v>
      </c>
      <c r="S681" t="s">
        <v>101</v>
      </c>
      <c r="T681" s="5">
        <f t="shared" si="215"/>
        <v>0</v>
      </c>
      <c r="U681" s="5">
        <f t="shared" si="216"/>
        <v>0</v>
      </c>
      <c r="V681" s="5">
        <f t="shared" si="217"/>
        <v>0</v>
      </c>
      <c r="W681" s="5">
        <f t="shared" si="218"/>
        <v>0</v>
      </c>
      <c r="X681" s="5">
        <f t="shared" si="219"/>
        <v>0</v>
      </c>
      <c r="Y681" s="5">
        <f t="shared" si="220"/>
        <v>0</v>
      </c>
      <c r="Z681" s="5">
        <f t="shared" si="221"/>
        <v>0</v>
      </c>
      <c r="AA681" s="5">
        <f t="shared" si="222"/>
        <v>0</v>
      </c>
      <c r="AB681" s="5">
        <f t="shared" si="223"/>
        <v>0</v>
      </c>
    </row>
    <row r="682" spans="1:29" x14ac:dyDescent="0.25">
      <c r="D682" t="s">
        <v>102</v>
      </c>
      <c r="E682" s="64"/>
      <c r="F682" s="64"/>
      <c r="G682">
        <f>IFERROR(HLOOKUP(G$2,[22]table_male_hkom2_inj.U4!$A$1:$K$36,35,FALSE),0)</f>
        <v>0</v>
      </c>
      <c r="H682">
        <f>IFERROR(HLOOKUP(H$2,[22]table_male_hkom2_inj.U4!$A$1:$K$36,35,FALSE),0)</f>
        <v>0</v>
      </c>
      <c r="I682">
        <f>IFERROR(HLOOKUP(I$2,[22]table_male_hkom2_inj.U4!$A$1:$K$36,35,FALSE),0)</f>
        <v>0</v>
      </c>
      <c r="J682">
        <f>IFERROR(HLOOKUP(J$2,[22]table_male_hkom2_inj.U4!$A$1:$K$36,35,FALSE),0)</f>
        <v>0</v>
      </c>
      <c r="K682">
        <f>IFERROR(HLOOKUP(K$2,[22]table_male_hkom2_inj.U4!$A$1:$K$36,35,FALSE),0)</f>
        <v>0</v>
      </c>
      <c r="L682">
        <f>IFERROR(HLOOKUP(L$2,[22]table_male_hkom2_inj.U4!$A$1:$K$36,35,FALSE),0)</f>
        <v>0</v>
      </c>
      <c r="M682">
        <f t="shared" si="214"/>
        <v>0</v>
      </c>
      <c r="N682">
        <f>SUM(M649:M682)</f>
        <v>9</v>
      </c>
      <c r="O682" s="8">
        <f>SUM([22]table_male_hkom2_inj.U4!$B$2:$L$36)</f>
        <v>9</v>
      </c>
      <c r="S682" t="s">
        <v>102</v>
      </c>
      <c r="T682" s="7"/>
      <c r="U682" s="7"/>
      <c r="V682" s="7"/>
      <c r="W682" s="7"/>
      <c r="X682" s="7"/>
      <c r="Y682" s="7"/>
      <c r="Z682" s="7"/>
      <c r="AA682" s="7"/>
      <c r="AB682" s="5">
        <f t="shared" si="223"/>
        <v>0</v>
      </c>
      <c r="AC682" s="5">
        <f>SUM(AB649:AB681)</f>
        <v>9</v>
      </c>
    </row>
    <row r="683" spans="1:29" x14ac:dyDescent="0.25">
      <c r="A683" t="s">
        <v>104</v>
      </c>
      <c r="B683" t="s">
        <v>116</v>
      </c>
      <c r="C683" t="s">
        <v>113</v>
      </c>
      <c r="D683" t="s">
        <v>70</v>
      </c>
      <c r="E683" s="64"/>
      <c r="F683" s="64"/>
      <c r="G683">
        <f>IFERROR(HLOOKUP(G$2,[23]table_male_hkom2_inj.U5!$A$1:$K$36,2,FALSE),0)</f>
        <v>0</v>
      </c>
      <c r="H683">
        <f>IFERROR(HLOOKUP(H$2,[23]table_male_hkom2_inj.U5!$A$1:$K$36,2,FALSE),0)</f>
        <v>0</v>
      </c>
      <c r="I683">
        <f>IFERROR(HLOOKUP(I$2,[23]table_male_hkom2_inj.U5!$A$1:$K$36,2,FALSE),0)</f>
        <v>0</v>
      </c>
      <c r="J683">
        <f>IFERROR(HLOOKUP(J$2,[23]table_male_hkom2_inj.U5!$A$1:$K$36,2,FALSE),0)</f>
        <v>0</v>
      </c>
      <c r="K683">
        <f>IFERROR(HLOOKUP(K$2,[23]table_male_hkom2_inj.U5!$A$1:$K$36,2,FALSE),0)</f>
        <v>0</v>
      </c>
      <c r="L683">
        <f>IFERROR(HLOOKUP(L$2,[23]table_male_hkom2_inj.U5!$A$1:$K$36,2,FALSE),0)</f>
        <v>0</v>
      </c>
      <c r="M683">
        <f>SUM(E683:L683)</f>
        <v>0</v>
      </c>
      <c r="P683" t="s">
        <v>104</v>
      </c>
      <c r="Q683" t="s">
        <v>116</v>
      </c>
      <c r="R683" t="s">
        <v>113</v>
      </c>
      <c r="S683" t="s">
        <v>70</v>
      </c>
      <c r="T683" s="5">
        <f>IF(SUM(E$683:E$715)=0,E$716/33,E683+IFERROR(E683/SUM(E$683:E$715)*E$716,0))</f>
        <v>0</v>
      </c>
      <c r="U683" s="5">
        <f t="shared" ref="U683:AA683" si="224">IF(SUM(F$683:F$715)=0,F$716/33,F683+IFERROR(F683/SUM(F$683:F$715)*F$716,0))</f>
        <v>0</v>
      </c>
      <c r="V683" s="5">
        <f t="shared" si="224"/>
        <v>0</v>
      </c>
      <c r="W683" s="5">
        <f t="shared" si="224"/>
        <v>0</v>
      </c>
      <c r="X683" s="5">
        <f t="shared" si="224"/>
        <v>0</v>
      </c>
      <c r="Y683" s="5">
        <f t="shared" si="224"/>
        <v>0</v>
      </c>
      <c r="Z683" s="5">
        <f t="shared" si="224"/>
        <v>0</v>
      </c>
      <c r="AA683" s="5">
        <f t="shared" si="224"/>
        <v>0</v>
      </c>
      <c r="AB683" s="5">
        <f t="shared" si="223"/>
        <v>0</v>
      </c>
    </row>
    <row r="684" spans="1:29" x14ac:dyDescent="0.25">
      <c r="D684" t="s">
        <v>71</v>
      </c>
      <c r="E684" s="64"/>
      <c r="F684" s="64"/>
      <c r="G684">
        <f>IFERROR(HLOOKUP(G$2,[23]table_male_hkom2_inj.U5!$A$1:$K$36,3,FALSE),0)</f>
        <v>0</v>
      </c>
      <c r="H684">
        <f>IFERROR(HLOOKUP(H$2,[23]table_male_hkom2_inj.U5!$A$1:$K$36,3,FALSE),0)</f>
        <v>0</v>
      </c>
      <c r="I684">
        <f>IFERROR(HLOOKUP(I$2,[23]table_male_hkom2_inj.U5!$A$1:$K$36,3,FALSE),0)</f>
        <v>0</v>
      </c>
      <c r="J684">
        <f>IFERROR(HLOOKUP(J$2,[23]table_male_hkom2_inj.U5!$A$1:$K$36,3,FALSE),0)</f>
        <v>0</v>
      </c>
      <c r="K684">
        <f>IFERROR(HLOOKUP(K$2,[23]table_male_hkom2_inj.U5!$A$1:$K$36,3,FALSE),0)</f>
        <v>0</v>
      </c>
      <c r="L684">
        <f>IFERROR(HLOOKUP(L$2,[23]table_male_hkom2_inj.U5!$A$1:$K$36,3,FALSE),0)</f>
        <v>0</v>
      </c>
      <c r="M684">
        <f t="shared" ref="M684:M716" si="225">SUM(E684:L684)</f>
        <v>0</v>
      </c>
      <c r="S684" t="s">
        <v>71</v>
      </c>
      <c r="T684" s="5">
        <f t="shared" ref="T684:T715" si="226">IF(SUM(E$683:E$715)=0,E$716/33,E684+IFERROR(E684/SUM(E$683:E$715)*E$716,0))</f>
        <v>0</v>
      </c>
      <c r="U684" s="5">
        <f t="shared" ref="U684:U715" si="227">IF(SUM(F$683:F$715)=0,F$716/33,F684+IFERROR(F684/SUM(F$683:F$715)*F$716,0))</f>
        <v>0</v>
      </c>
      <c r="V684" s="5">
        <f t="shared" ref="V684:V715" si="228">IF(SUM(G$683:G$715)=0,G$716/33,G684+IFERROR(G684/SUM(G$683:G$715)*G$716,0))</f>
        <v>0</v>
      </c>
      <c r="W684" s="5">
        <f t="shared" ref="W684:W715" si="229">IF(SUM(H$683:H$715)=0,H$716/33,H684+IFERROR(H684/SUM(H$683:H$715)*H$716,0))</f>
        <v>0</v>
      </c>
      <c r="X684" s="5">
        <f t="shared" ref="X684:X715" si="230">IF(SUM(I$683:I$715)=0,I$716/33,I684+IFERROR(I684/SUM(I$683:I$715)*I$716,0))</f>
        <v>0</v>
      </c>
      <c r="Y684" s="5">
        <f t="shared" ref="Y684:Y715" si="231">IF(SUM(J$683:J$715)=0,J$716/33,J684+IFERROR(J684/SUM(J$683:J$715)*J$716,0))</f>
        <v>0</v>
      </c>
      <c r="Z684" s="5">
        <f t="shared" ref="Z684:Z715" si="232">IF(SUM(K$683:K$715)=0,K$716/33,K684+IFERROR(K684/SUM(K$683:K$715)*K$716,0))</f>
        <v>0</v>
      </c>
      <c r="AA684" s="5">
        <f t="shared" ref="AA684:AA715" si="233">IF(SUM(L$683:L$715)=0,L$716/33,L684+IFERROR(L684/SUM(L$683:L$715)*L$716,0))</f>
        <v>0</v>
      </c>
      <c r="AB684" s="5">
        <f t="shared" si="223"/>
        <v>0</v>
      </c>
    </row>
    <row r="685" spans="1:29" x14ac:dyDescent="0.25">
      <c r="D685" t="s">
        <v>72</v>
      </c>
      <c r="E685" s="64"/>
      <c r="F685" s="64"/>
      <c r="G685">
        <f>IFERROR(HLOOKUP(G$2,[23]table_male_hkom2_inj.U5!$A$1:$K$36,4,FALSE),0)</f>
        <v>0</v>
      </c>
      <c r="H685">
        <f>IFERROR(HLOOKUP(H$2,[23]table_male_hkom2_inj.U5!$A$1:$K$36,4,FALSE),0)</f>
        <v>0</v>
      </c>
      <c r="I685">
        <f>IFERROR(HLOOKUP(I$2,[23]table_male_hkom2_inj.U5!$A$1:$K$36,4,FALSE),0)</f>
        <v>0</v>
      </c>
      <c r="J685">
        <f>IFERROR(HLOOKUP(J$2,[23]table_male_hkom2_inj.U5!$A$1:$K$36,4,FALSE),0)</f>
        <v>0</v>
      </c>
      <c r="K685">
        <f>IFERROR(HLOOKUP(K$2,[23]table_male_hkom2_inj.U5!$A$1:$K$36,4,FALSE),0)</f>
        <v>0</v>
      </c>
      <c r="L685">
        <f>IFERROR(HLOOKUP(L$2,[23]table_male_hkom2_inj.U5!$A$1:$K$36,4,FALSE),0)</f>
        <v>0</v>
      </c>
      <c r="M685">
        <f t="shared" si="225"/>
        <v>0</v>
      </c>
      <c r="S685" t="s">
        <v>72</v>
      </c>
      <c r="T685" s="5">
        <f t="shared" si="226"/>
        <v>0</v>
      </c>
      <c r="U685" s="5">
        <f t="shared" si="227"/>
        <v>0</v>
      </c>
      <c r="V685" s="5">
        <f t="shared" si="228"/>
        <v>0</v>
      </c>
      <c r="W685" s="5">
        <f t="shared" si="229"/>
        <v>0</v>
      </c>
      <c r="X685" s="5">
        <f t="shared" si="230"/>
        <v>0</v>
      </c>
      <c r="Y685" s="5">
        <f t="shared" si="231"/>
        <v>0</v>
      </c>
      <c r="Z685" s="5">
        <f t="shared" si="232"/>
        <v>0</v>
      </c>
      <c r="AA685" s="5">
        <f t="shared" si="233"/>
        <v>0</v>
      </c>
      <c r="AB685" s="5">
        <f t="shared" si="223"/>
        <v>0</v>
      </c>
    </row>
    <row r="686" spans="1:29" x14ac:dyDescent="0.25">
      <c r="D686" t="s">
        <v>73</v>
      </c>
      <c r="E686" s="64"/>
      <c r="F686" s="64"/>
      <c r="G686">
        <f>IFERROR(HLOOKUP(G$2,[23]table_male_hkom2_inj.U5!$A$1:$K$36,5,FALSE),0)</f>
        <v>0</v>
      </c>
      <c r="H686">
        <f>IFERROR(HLOOKUP(H$2,[23]table_male_hkom2_inj.U5!$A$1:$K$36,5,FALSE),0)</f>
        <v>0</v>
      </c>
      <c r="I686">
        <f>IFERROR(HLOOKUP(I$2,[23]table_male_hkom2_inj.U5!$A$1:$K$36,5,FALSE),0)</f>
        <v>0</v>
      </c>
      <c r="J686">
        <f>IFERROR(HLOOKUP(J$2,[23]table_male_hkom2_inj.U5!$A$1:$K$36,5,FALSE),0)</f>
        <v>0</v>
      </c>
      <c r="K686">
        <f>IFERROR(HLOOKUP(K$2,[23]table_male_hkom2_inj.U5!$A$1:$K$36,5,FALSE),0)</f>
        <v>0</v>
      </c>
      <c r="L686">
        <f>IFERROR(HLOOKUP(L$2,[23]table_male_hkom2_inj.U5!$A$1:$K$36,5,FALSE),0)</f>
        <v>0</v>
      </c>
      <c r="M686">
        <f t="shared" si="225"/>
        <v>0</v>
      </c>
      <c r="S686" t="s">
        <v>73</v>
      </c>
      <c r="T686" s="5">
        <f t="shared" si="226"/>
        <v>0</v>
      </c>
      <c r="U686" s="5">
        <f t="shared" si="227"/>
        <v>0</v>
      </c>
      <c r="V686" s="5">
        <f t="shared" si="228"/>
        <v>0</v>
      </c>
      <c r="W686" s="5">
        <f t="shared" si="229"/>
        <v>0</v>
      </c>
      <c r="X686" s="5">
        <f t="shared" si="230"/>
        <v>0</v>
      </c>
      <c r="Y686" s="5">
        <f t="shared" si="231"/>
        <v>0</v>
      </c>
      <c r="Z686" s="5">
        <f t="shared" si="232"/>
        <v>0</v>
      </c>
      <c r="AA686" s="5">
        <f t="shared" si="233"/>
        <v>0</v>
      </c>
      <c r="AB686" s="5">
        <f t="shared" si="223"/>
        <v>0</v>
      </c>
    </row>
    <row r="687" spans="1:29" x14ac:dyDescent="0.25">
      <c r="D687" t="s">
        <v>74</v>
      </c>
      <c r="E687" s="64"/>
      <c r="F687" s="64"/>
      <c r="G687">
        <f>IFERROR(HLOOKUP(G$2,[23]table_male_hkom2_inj.U5!$A$1:$K$36,6,FALSE),0)</f>
        <v>0</v>
      </c>
      <c r="H687">
        <f>IFERROR(HLOOKUP(H$2,[23]table_male_hkom2_inj.U5!$A$1:$K$36,6,FALSE),0)</f>
        <v>0</v>
      </c>
      <c r="I687">
        <f>IFERROR(HLOOKUP(I$2,[23]table_male_hkom2_inj.U5!$A$1:$K$36,6,FALSE),0)</f>
        <v>0</v>
      </c>
      <c r="J687">
        <f>IFERROR(HLOOKUP(J$2,[23]table_male_hkom2_inj.U5!$A$1:$K$36,6,FALSE),0)</f>
        <v>0</v>
      </c>
      <c r="K687">
        <f>IFERROR(HLOOKUP(K$2,[23]table_male_hkom2_inj.U5!$A$1:$K$36,6,FALSE),0)</f>
        <v>0</v>
      </c>
      <c r="L687">
        <f>IFERROR(HLOOKUP(L$2,[23]table_male_hkom2_inj.U5!$A$1:$K$36,6,FALSE),0)</f>
        <v>0</v>
      </c>
      <c r="M687">
        <f t="shared" si="225"/>
        <v>0</v>
      </c>
      <c r="S687" t="s">
        <v>74</v>
      </c>
      <c r="T687" s="5">
        <f t="shared" si="226"/>
        <v>0</v>
      </c>
      <c r="U687" s="5">
        <f t="shared" si="227"/>
        <v>0</v>
      </c>
      <c r="V687" s="5">
        <f t="shared" si="228"/>
        <v>0</v>
      </c>
      <c r="W687" s="5">
        <f t="shared" si="229"/>
        <v>0</v>
      </c>
      <c r="X687" s="5">
        <f t="shared" si="230"/>
        <v>0</v>
      </c>
      <c r="Y687" s="5">
        <f t="shared" si="231"/>
        <v>0</v>
      </c>
      <c r="Z687" s="5">
        <f t="shared" si="232"/>
        <v>0</v>
      </c>
      <c r="AA687" s="5">
        <f t="shared" si="233"/>
        <v>0</v>
      </c>
      <c r="AB687" s="5">
        <f t="shared" si="223"/>
        <v>0</v>
      </c>
    </row>
    <row r="688" spans="1:29" x14ac:dyDescent="0.25">
      <c r="D688" t="s">
        <v>75</v>
      </c>
      <c r="E688" s="64"/>
      <c r="F688" s="64"/>
      <c r="G688">
        <f>IFERROR(HLOOKUP(G$2,[23]table_male_hkom2_inj.U5!$A$1:$K$36,7,FALSE),0)</f>
        <v>0</v>
      </c>
      <c r="H688">
        <f>IFERROR(HLOOKUP(H$2,[23]table_male_hkom2_inj.U5!$A$1:$K$36,7,FALSE),0)</f>
        <v>0</v>
      </c>
      <c r="I688">
        <f>IFERROR(HLOOKUP(I$2,[23]table_male_hkom2_inj.U5!$A$1:$K$36,7,FALSE),0)</f>
        <v>0</v>
      </c>
      <c r="J688">
        <f>IFERROR(HLOOKUP(J$2,[23]table_male_hkom2_inj.U5!$A$1:$K$36,7,FALSE),0)</f>
        <v>0</v>
      </c>
      <c r="K688">
        <f>IFERROR(HLOOKUP(K$2,[23]table_male_hkom2_inj.U5!$A$1:$K$36,7,FALSE),0)</f>
        <v>0</v>
      </c>
      <c r="L688">
        <f>IFERROR(HLOOKUP(L$2,[23]table_male_hkom2_inj.U5!$A$1:$K$36,7,FALSE),0)</f>
        <v>0</v>
      </c>
      <c r="M688">
        <f t="shared" si="225"/>
        <v>0</v>
      </c>
      <c r="S688" t="s">
        <v>75</v>
      </c>
      <c r="T688" s="5">
        <f t="shared" si="226"/>
        <v>0</v>
      </c>
      <c r="U688" s="5">
        <f t="shared" si="227"/>
        <v>0</v>
      </c>
      <c r="V688" s="5">
        <f t="shared" si="228"/>
        <v>0</v>
      </c>
      <c r="W688" s="5">
        <f t="shared" si="229"/>
        <v>0</v>
      </c>
      <c r="X688" s="5">
        <f t="shared" si="230"/>
        <v>0</v>
      </c>
      <c r="Y688" s="5">
        <f t="shared" si="231"/>
        <v>0</v>
      </c>
      <c r="Z688" s="5">
        <f t="shared" si="232"/>
        <v>0</v>
      </c>
      <c r="AA688" s="5">
        <f t="shared" si="233"/>
        <v>0</v>
      </c>
      <c r="AB688" s="5">
        <f t="shared" si="223"/>
        <v>0</v>
      </c>
    </row>
    <row r="689" spans="4:28" x14ac:dyDescent="0.25">
      <c r="D689" t="s">
        <v>76</v>
      </c>
      <c r="E689" s="64"/>
      <c r="F689" s="64"/>
      <c r="G689">
        <f>IFERROR(HLOOKUP(G$2,[23]table_male_hkom2_inj.U5!$A$1:$K$36,8,FALSE),0)</f>
        <v>0</v>
      </c>
      <c r="H689">
        <f>IFERROR(HLOOKUP(H$2,[23]table_male_hkom2_inj.U5!$A$1:$K$36,8,FALSE),0)</f>
        <v>0</v>
      </c>
      <c r="I689">
        <f>IFERROR(HLOOKUP(I$2,[23]table_male_hkom2_inj.U5!$A$1:$K$36,8,FALSE),0)</f>
        <v>0</v>
      </c>
      <c r="J689">
        <f>IFERROR(HLOOKUP(J$2,[23]table_male_hkom2_inj.U5!$A$1:$K$36,8,FALSE),0)</f>
        <v>0</v>
      </c>
      <c r="K689">
        <f>IFERROR(HLOOKUP(K$2,[23]table_male_hkom2_inj.U5!$A$1:$K$36,8,FALSE),0)</f>
        <v>0</v>
      </c>
      <c r="L689">
        <f>IFERROR(HLOOKUP(L$2,[23]table_male_hkom2_inj.U5!$A$1:$K$36,8,FALSE),0)</f>
        <v>0</v>
      </c>
      <c r="M689">
        <f t="shared" si="225"/>
        <v>0</v>
      </c>
      <c r="S689" t="s">
        <v>76</v>
      </c>
      <c r="T689" s="5">
        <f t="shared" si="226"/>
        <v>0</v>
      </c>
      <c r="U689" s="5">
        <f t="shared" si="227"/>
        <v>0</v>
      </c>
      <c r="V689" s="5">
        <f t="shared" si="228"/>
        <v>0</v>
      </c>
      <c r="W689" s="5">
        <f t="shared" si="229"/>
        <v>0</v>
      </c>
      <c r="X689" s="5">
        <f t="shared" si="230"/>
        <v>0</v>
      </c>
      <c r="Y689" s="5">
        <f t="shared" si="231"/>
        <v>0</v>
      </c>
      <c r="Z689" s="5">
        <f t="shared" si="232"/>
        <v>0</v>
      </c>
      <c r="AA689" s="5">
        <f t="shared" si="233"/>
        <v>0</v>
      </c>
      <c r="AB689" s="5">
        <f t="shared" si="223"/>
        <v>0</v>
      </c>
    </row>
    <row r="690" spans="4:28" x14ac:dyDescent="0.25">
      <c r="D690" t="s">
        <v>77</v>
      </c>
      <c r="E690" s="64"/>
      <c r="F690" s="64"/>
      <c r="G690">
        <f>IFERROR(HLOOKUP(G$2,[23]table_male_hkom2_inj.U5!$A$1:$K$36,9,FALSE),0)</f>
        <v>0</v>
      </c>
      <c r="H690">
        <f>IFERROR(HLOOKUP(H$2,[23]table_male_hkom2_inj.U5!$A$1:$K$36,9,FALSE),0)</f>
        <v>0</v>
      </c>
      <c r="I690">
        <f>IFERROR(HLOOKUP(I$2,[23]table_male_hkom2_inj.U5!$A$1:$K$36,9,FALSE),0)</f>
        <v>0</v>
      </c>
      <c r="J690">
        <f>IFERROR(HLOOKUP(J$2,[23]table_male_hkom2_inj.U5!$A$1:$K$36,9,FALSE),0)</f>
        <v>0</v>
      </c>
      <c r="K690">
        <f>IFERROR(HLOOKUP(K$2,[23]table_male_hkom2_inj.U5!$A$1:$K$36,9,FALSE),0)</f>
        <v>0</v>
      </c>
      <c r="L690">
        <f>IFERROR(HLOOKUP(L$2,[23]table_male_hkom2_inj.U5!$A$1:$K$36,9,FALSE),0)</f>
        <v>0</v>
      </c>
      <c r="M690">
        <f t="shared" si="225"/>
        <v>0</v>
      </c>
      <c r="S690" t="s">
        <v>77</v>
      </c>
      <c r="T690" s="5">
        <f t="shared" si="226"/>
        <v>0</v>
      </c>
      <c r="U690" s="5">
        <f t="shared" si="227"/>
        <v>0</v>
      </c>
      <c r="V690" s="5">
        <f t="shared" si="228"/>
        <v>0</v>
      </c>
      <c r="W690" s="5">
        <f t="shared" si="229"/>
        <v>0</v>
      </c>
      <c r="X690" s="5">
        <f t="shared" si="230"/>
        <v>0</v>
      </c>
      <c r="Y690" s="5">
        <f t="shared" si="231"/>
        <v>0</v>
      </c>
      <c r="Z690" s="5">
        <f t="shared" si="232"/>
        <v>0</v>
      </c>
      <c r="AA690" s="5">
        <f t="shared" si="233"/>
        <v>0</v>
      </c>
      <c r="AB690" s="5">
        <f t="shared" si="223"/>
        <v>0</v>
      </c>
    </row>
    <row r="691" spans="4:28" x14ac:dyDescent="0.25">
      <c r="D691" t="s">
        <v>78</v>
      </c>
      <c r="E691" s="64"/>
      <c r="F691" s="64"/>
      <c r="G691">
        <f>IFERROR(HLOOKUP(G$2,[23]table_male_hkom2_inj.U5!$A$1:$K$36,10,FALSE),0)</f>
        <v>0</v>
      </c>
      <c r="H691">
        <f>IFERROR(HLOOKUP(H$2,[23]table_male_hkom2_inj.U5!$A$1:$K$36,10,FALSE),0)</f>
        <v>0</v>
      </c>
      <c r="I691">
        <f>IFERROR(HLOOKUP(I$2,[23]table_male_hkom2_inj.U5!$A$1:$K$36,10,FALSE),0)</f>
        <v>0</v>
      </c>
      <c r="J691">
        <f>IFERROR(HLOOKUP(J$2,[23]table_male_hkom2_inj.U5!$A$1:$K$36,10,FALSE),0)</f>
        <v>0</v>
      </c>
      <c r="K691">
        <f>IFERROR(HLOOKUP(K$2,[23]table_male_hkom2_inj.U5!$A$1:$K$36,10,FALSE),0)</f>
        <v>0</v>
      </c>
      <c r="L691">
        <f>IFERROR(HLOOKUP(L$2,[23]table_male_hkom2_inj.U5!$A$1:$K$36,10,FALSE),0)</f>
        <v>0</v>
      </c>
      <c r="M691">
        <f t="shared" si="225"/>
        <v>0</v>
      </c>
      <c r="S691" t="s">
        <v>78</v>
      </c>
      <c r="T691" s="5">
        <f t="shared" si="226"/>
        <v>0</v>
      </c>
      <c r="U691" s="5">
        <f t="shared" si="227"/>
        <v>0</v>
      </c>
      <c r="V691" s="5">
        <f t="shared" si="228"/>
        <v>0</v>
      </c>
      <c r="W691" s="5">
        <f t="shared" si="229"/>
        <v>0</v>
      </c>
      <c r="X691" s="5">
        <f t="shared" si="230"/>
        <v>0</v>
      </c>
      <c r="Y691" s="5">
        <f t="shared" si="231"/>
        <v>0</v>
      </c>
      <c r="Z691" s="5">
        <f t="shared" si="232"/>
        <v>0</v>
      </c>
      <c r="AA691" s="5">
        <f t="shared" si="233"/>
        <v>0</v>
      </c>
      <c r="AB691" s="5">
        <f t="shared" si="223"/>
        <v>0</v>
      </c>
    </row>
    <row r="692" spans="4:28" x14ac:dyDescent="0.25">
      <c r="D692" t="s">
        <v>79</v>
      </c>
      <c r="E692" s="64"/>
      <c r="F692" s="64"/>
      <c r="G692">
        <f>IFERROR(HLOOKUP(G$2,[23]table_male_hkom2_inj.U5!$A$1:$K$36,11,FALSE),0)</f>
        <v>0</v>
      </c>
      <c r="H692">
        <f>IFERROR(HLOOKUP(H$2,[23]table_male_hkom2_inj.U5!$A$1:$K$36,11,FALSE),0)</f>
        <v>0</v>
      </c>
      <c r="I692">
        <f>IFERROR(HLOOKUP(I$2,[23]table_male_hkom2_inj.U5!$A$1:$K$36,11,FALSE),0)</f>
        <v>0</v>
      </c>
      <c r="J692">
        <f>IFERROR(HLOOKUP(J$2,[23]table_male_hkom2_inj.U5!$A$1:$K$36,11,FALSE),0)</f>
        <v>0</v>
      </c>
      <c r="K692">
        <f>IFERROR(HLOOKUP(K$2,[23]table_male_hkom2_inj.U5!$A$1:$K$36,11,FALSE),0)</f>
        <v>0</v>
      </c>
      <c r="L692">
        <f>IFERROR(HLOOKUP(L$2,[23]table_male_hkom2_inj.U5!$A$1:$K$36,11,FALSE),0)</f>
        <v>0</v>
      </c>
      <c r="M692">
        <f t="shared" si="225"/>
        <v>0</v>
      </c>
      <c r="S692" t="s">
        <v>79</v>
      </c>
      <c r="T692" s="5">
        <f t="shared" si="226"/>
        <v>0</v>
      </c>
      <c r="U692" s="5">
        <f t="shared" si="227"/>
        <v>0</v>
      </c>
      <c r="V692" s="5">
        <f t="shared" si="228"/>
        <v>0</v>
      </c>
      <c r="W692" s="5">
        <f t="shared" si="229"/>
        <v>0</v>
      </c>
      <c r="X692" s="5">
        <f t="shared" si="230"/>
        <v>0</v>
      </c>
      <c r="Y692" s="5">
        <f t="shared" si="231"/>
        <v>0</v>
      </c>
      <c r="Z692" s="5">
        <f t="shared" si="232"/>
        <v>0</v>
      </c>
      <c r="AA692" s="5">
        <f t="shared" si="233"/>
        <v>0</v>
      </c>
      <c r="AB692" s="5">
        <f t="shared" si="223"/>
        <v>0</v>
      </c>
    </row>
    <row r="693" spans="4:28" x14ac:dyDescent="0.25">
      <c r="D693" t="s">
        <v>80</v>
      </c>
      <c r="E693" s="64"/>
      <c r="F693" s="64"/>
      <c r="G693">
        <f>IFERROR(HLOOKUP(G$2,[23]table_male_hkom2_inj.U5!$A$1:$K$36,12,FALSE),0)</f>
        <v>0</v>
      </c>
      <c r="H693">
        <f>IFERROR(HLOOKUP(H$2,[23]table_male_hkom2_inj.U5!$A$1:$K$36,12,FALSE),0)</f>
        <v>0</v>
      </c>
      <c r="I693">
        <f>IFERROR(HLOOKUP(I$2,[23]table_male_hkom2_inj.U5!$A$1:$K$36,12,FALSE),0)</f>
        <v>0</v>
      </c>
      <c r="J693">
        <f>IFERROR(HLOOKUP(J$2,[23]table_male_hkom2_inj.U5!$A$1:$K$36,12,FALSE),0)</f>
        <v>0</v>
      </c>
      <c r="K693">
        <f>IFERROR(HLOOKUP(K$2,[23]table_male_hkom2_inj.U5!$A$1:$K$36,12,FALSE),0)</f>
        <v>0</v>
      </c>
      <c r="L693">
        <f>IFERROR(HLOOKUP(L$2,[23]table_male_hkom2_inj.U5!$A$1:$K$36,12,FALSE),0)</f>
        <v>0</v>
      </c>
      <c r="M693">
        <f t="shared" si="225"/>
        <v>0</v>
      </c>
      <c r="S693" t="s">
        <v>80</v>
      </c>
      <c r="T693" s="5">
        <f t="shared" si="226"/>
        <v>0</v>
      </c>
      <c r="U693" s="5">
        <f t="shared" si="227"/>
        <v>0</v>
      </c>
      <c r="V693" s="5">
        <f t="shared" si="228"/>
        <v>0</v>
      </c>
      <c r="W693" s="5">
        <f t="shared" si="229"/>
        <v>0</v>
      </c>
      <c r="X693" s="5">
        <f t="shared" si="230"/>
        <v>0</v>
      </c>
      <c r="Y693" s="5">
        <f t="shared" si="231"/>
        <v>0</v>
      </c>
      <c r="Z693" s="5">
        <f t="shared" si="232"/>
        <v>0</v>
      </c>
      <c r="AA693" s="5">
        <f t="shared" si="233"/>
        <v>0</v>
      </c>
      <c r="AB693" s="5">
        <f t="shared" si="223"/>
        <v>0</v>
      </c>
    </row>
    <row r="694" spans="4:28" x14ac:dyDescent="0.25">
      <c r="D694" t="s">
        <v>81</v>
      </c>
      <c r="E694" s="64"/>
      <c r="F694" s="64"/>
      <c r="G694">
        <f>IFERROR(HLOOKUP(G$2,[23]table_male_hkom2_inj.U5!$A$1:$K$36,13,FALSE),0)</f>
        <v>0</v>
      </c>
      <c r="H694">
        <f>IFERROR(HLOOKUP(H$2,[23]table_male_hkom2_inj.U5!$A$1:$K$36,13,FALSE),0)</f>
        <v>0</v>
      </c>
      <c r="I694">
        <f>IFERROR(HLOOKUP(I$2,[23]table_male_hkom2_inj.U5!$A$1:$K$36,13,FALSE),0)</f>
        <v>0</v>
      </c>
      <c r="J694">
        <f>IFERROR(HLOOKUP(J$2,[23]table_male_hkom2_inj.U5!$A$1:$K$36,13,FALSE),0)</f>
        <v>0</v>
      </c>
      <c r="K694">
        <f>IFERROR(HLOOKUP(K$2,[23]table_male_hkom2_inj.U5!$A$1:$K$36,13,FALSE),0)</f>
        <v>0</v>
      </c>
      <c r="L694">
        <f>IFERROR(HLOOKUP(L$2,[23]table_male_hkom2_inj.U5!$A$1:$K$36,13,FALSE),0)</f>
        <v>0</v>
      </c>
      <c r="M694">
        <f t="shared" si="225"/>
        <v>0</v>
      </c>
      <c r="S694" t="s">
        <v>81</v>
      </c>
      <c r="T694" s="5">
        <f t="shared" si="226"/>
        <v>0</v>
      </c>
      <c r="U694" s="5">
        <f t="shared" si="227"/>
        <v>0</v>
      </c>
      <c r="V694" s="5">
        <f t="shared" si="228"/>
        <v>0</v>
      </c>
      <c r="W694" s="5">
        <f t="shared" si="229"/>
        <v>0</v>
      </c>
      <c r="X694" s="5">
        <f t="shared" si="230"/>
        <v>0</v>
      </c>
      <c r="Y694" s="5">
        <f t="shared" si="231"/>
        <v>0</v>
      </c>
      <c r="Z694" s="5">
        <f t="shared" si="232"/>
        <v>0</v>
      </c>
      <c r="AA694" s="5">
        <f t="shared" si="233"/>
        <v>0</v>
      </c>
      <c r="AB694" s="5">
        <f t="shared" si="223"/>
        <v>0</v>
      </c>
    </row>
    <row r="695" spans="4:28" x14ac:dyDescent="0.25">
      <c r="D695" t="s">
        <v>82</v>
      </c>
      <c r="E695" s="64"/>
      <c r="F695" s="64"/>
      <c r="G695">
        <f>IFERROR(HLOOKUP(G$2,[23]table_male_hkom2_inj.U5!$A$1:$K$36,14,FALSE),0)</f>
        <v>0</v>
      </c>
      <c r="H695">
        <f>IFERROR(HLOOKUP(H$2,[23]table_male_hkom2_inj.U5!$A$1:$K$36,14,FALSE),0)</f>
        <v>0</v>
      </c>
      <c r="I695">
        <f>IFERROR(HLOOKUP(I$2,[23]table_male_hkom2_inj.U5!$A$1:$K$36,14,FALSE),0)</f>
        <v>0</v>
      </c>
      <c r="J695">
        <f>IFERROR(HLOOKUP(J$2,[23]table_male_hkom2_inj.U5!$A$1:$K$36,14,FALSE),0)</f>
        <v>0</v>
      </c>
      <c r="K695">
        <f>IFERROR(HLOOKUP(K$2,[23]table_male_hkom2_inj.U5!$A$1:$K$36,14,FALSE),0)</f>
        <v>0</v>
      </c>
      <c r="L695">
        <f>IFERROR(HLOOKUP(L$2,[23]table_male_hkom2_inj.U5!$A$1:$K$36,14,FALSE),0)</f>
        <v>0</v>
      </c>
      <c r="M695">
        <f t="shared" si="225"/>
        <v>0</v>
      </c>
      <c r="S695" t="s">
        <v>82</v>
      </c>
      <c r="T695" s="5">
        <f t="shared" si="226"/>
        <v>0</v>
      </c>
      <c r="U695" s="5">
        <f t="shared" si="227"/>
        <v>0</v>
      </c>
      <c r="V695" s="5">
        <f t="shared" si="228"/>
        <v>0</v>
      </c>
      <c r="W695" s="5">
        <f t="shared" si="229"/>
        <v>0</v>
      </c>
      <c r="X695" s="5">
        <f t="shared" si="230"/>
        <v>0</v>
      </c>
      <c r="Y695" s="5">
        <f t="shared" si="231"/>
        <v>0</v>
      </c>
      <c r="Z695" s="5">
        <f t="shared" si="232"/>
        <v>0</v>
      </c>
      <c r="AA695" s="5">
        <f t="shared" si="233"/>
        <v>0</v>
      </c>
      <c r="AB695" s="5">
        <f t="shared" si="223"/>
        <v>0</v>
      </c>
    </row>
    <row r="696" spans="4:28" x14ac:dyDescent="0.25">
      <c r="D696" t="s">
        <v>83</v>
      </c>
      <c r="E696" s="64"/>
      <c r="F696" s="64"/>
      <c r="G696">
        <f>IFERROR(HLOOKUP(G$2,[23]table_male_hkom2_inj.U5!$A$1:$K$36,15,FALSE),0)</f>
        <v>0</v>
      </c>
      <c r="H696">
        <f>IFERROR(HLOOKUP(H$2,[23]table_male_hkom2_inj.U5!$A$1:$K$36,15,FALSE),0)</f>
        <v>0</v>
      </c>
      <c r="I696">
        <f>IFERROR(HLOOKUP(I$2,[23]table_male_hkom2_inj.U5!$A$1:$K$36,15,FALSE),0)</f>
        <v>0</v>
      </c>
      <c r="J696">
        <f>IFERROR(HLOOKUP(J$2,[23]table_male_hkom2_inj.U5!$A$1:$K$36,15,FALSE),0)</f>
        <v>0</v>
      </c>
      <c r="K696">
        <f>IFERROR(HLOOKUP(K$2,[23]table_male_hkom2_inj.U5!$A$1:$K$36,15,FALSE),0)</f>
        <v>0</v>
      </c>
      <c r="L696">
        <f>IFERROR(HLOOKUP(L$2,[23]table_male_hkom2_inj.U5!$A$1:$K$36,15,FALSE),0)</f>
        <v>0</v>
      </c>
      <c r="M696">
        <f t="shared" si="225"/>
        <v>0</v>
      </c>
      <c r="S696" t="s">
        <v>83</v>
      </c>
      <c r="T696" s="5">
        <f t="shared" si="226"/>
        <v>0</v>
      </c>
      <c r="U696" s="5">
        <f t="shared" si="227"/>
        <v>0</v>
      </c>
      <c r="V696" s="5">
        <f t="shared" si="228"/>
        <v>0</v>
      </c>
      <c r="W696" s="5">
        <f t="shared" si="229"/>
        <v>0</v>
      </c>
      <c r="X696" s="5">
        <f t="shared" si="230"/>
        <v>0</v>
      </c>
      <c r="Y696" s="5">
        <f t="shared" si="231"/>
        <v>0</v>
      </c>
      <c r="Z696" s="5">
        <f t="shared" si="232"/>
        <v>0</v>
      </c>
      <c r="AA696" s="5">
        <f t="shared" si="233"/>
        <v>0</v>
      </c>
      <c r="AB696" s="5">
        <f t="shared" si="223"/>
        <v>0</v>
      </c>
    </row>
    <row r="697" spans="4:28" x14ac:dyDescent="0.25">
      <c r="D697" t="s">
        <v>84</v>
      </c>
      <c r="E697" s="64"/>
      <c r="F697" s="64"/>
      <c r="G697">
        <f>IFERROR(HLOOKUP(G$2,[23]table_male_hkom2_inj.U5!$A$1:$K$36,16,FALSE),0)</f>
        <v>0</v>
      </c>
      <c r="H697">
        <f>IFERROR(HLOOKUP(H$2,[23]table_male_hkom2_inj.U5!$A$1:$K$36,16,FALSE),0)</f>
        <v>0</v>
      </c>
      <c r="I697">
        <f>IFERROR(HLOOKUP(I$2,[23]table_male_hkom2_inj.U5!$A$1:$K$36,16,FALSE),0)</f>
        <v>0</v>
      </c>
      <c r="J697">
        <f>IFERROR(HLOOKUP(J$2,[23]table_male_hkom2_inj.U5!$A$1:$K$36,16,FALSE),0)</f>
        <v>0</v>
      </c>
      <c r="K697">
        <f>IFERROR(HLOOKUP(K$2,[23]table_male_hkom2_inj.U5!$A$1:$K$36,16,FALSE),0)</f>
        <v>0</v>
      </c>
      <c r="L697">
        <f>IFERROR(HLOOKUP(L$2,[23]table_male_hkom2_inj.U5!$A$1:$K$36,16,FALSE),0)</f>
        <v>0</v>
      </c>
      <c r="M697">
        <f t="shared" si="225"/>
        <v>0</v>
      </c>
      <c r="S697" t="s">
        <v>84</v>
      </c>
      <c r="T697" s="5">
        <f t="shared" si="226"/>
        <v>0</v>
      </c>
      <c r="U697" s="5">
        <f t="shared" si="227"/>
        <v>0</v>
      </c>
      <c r="V697" s="5">
        <f t="shared" si="228"/>
        <v>0</v>
      </c>
      <c r="W697" s="5">
        <f t="shared" si="229"/>
        <v>0</v>
      </c>
      <c r="X697" s="5">
        <f t="shared" si="230"/>
        <v>0</v>
      </c>
      <c r="Y697" s="5">
        <f t="shared" si="231"/>
        <v>0</v>
      </c>
      <c r="Z697" s="5">
        <f t="shared" si="232"/>
        <v>0</v>
      </c>
      <c r="AA697" s="5">
        <f t="shared" si="233"/>
        <v>0</v>
      </c>
      <c r="AB697" s="5">
        <f t="shared" si="223"/>
        <v>0</v>
      </c>
    </row>
    <row r="698" spans="4:28" x14ac:dyDescent="0.25">
      <c r="D698" t="s">
        <v>85</v>
      </c>
      <c r="E698" s="64"/>
      <c r="F698" s="64"/>
      <c r="G698">
        <f>IFERROR(HLOOKUP(G$2,[23]table_male_hkom2_inj.U5!$A$1:$K$36,17,FALSE),0)</f>
        <v>0</v>
      </c>
      <c r="H698">
        <f>IFERROR(HLOOKUP(H$2,[23]table_male_hkom2_inj.U5!$A$1:$K$36,17,FALSE),0)</f>
        <v>0</v>
      </c>
      <c r="I698">
        <f>IFERROR(HLOOKUP(I$2,[23]table_male_hkom2_inj.U5!$A$1:$K$36,17,FALSE),0)</f>
        <v>0</v>
      </c>
      <c r="J698">
        <f>IFERROR(HLOOKUP(J$2,[23]table_male_hkom2_inj.U5!$A$1:$K$36,17,FALSE),0)</f>
        <v>0</v>
      </c>
      <c r="K698">
        <f>IFERROR(HLOOKUP(K$2,[23]table_male_hkom2_inj.U5!$A$1:$K$36,17,FALSE),0)</f>
        <v>0</v>
      </c>
      <c r="L698">
        <f>IFERROR(HLOOKUP(L$2,[23]table_male_hkom2_inj.U5!$A$1:$K$36,17,FALSE),0)</f>
        <v>0</v>
      </c>
      <c r="M698">
        <f t="shared" si="225"/>
        <v>0</v>
      </c>
      <c r="S698" t="s">
        <v>85</v>
      </c>
      <c r="T698" s="5">
        <f t="shared" si="226"/>
        <v>0</v>
      </c>
      <c r="U698" s="5">
        <f t="shared" si="227"/>
        <v>0</v>
      </c>
      <c r="V698" s="5">
        <f t="shared" si="228"/>
        <v>0</v>
      </c>
      <c r="W698" s="5">
        <f t="shared" si="229"/>
        <v>0</v>
      </c>
      <c r="X698" s="5">
        <f t="shared" si="230"/>
        <v>0</v>
      </c>
      <c r="Y698" s="5">
        <f t="shared" si="231"/>
        <v>0</v>
      </c>
      <c r="Z698" s="5">
        <f t="shared" si="232"/>
        <v>0</v>
      </c>
      <c r="AA698" s="5">
        <f t="shared" si="233"/>
        <v>0</v>
      </c>
      <c r="AB698" s="5">
        <f t="shared" si="223"/>
        <v>0</v>
      </c>
    </row>
    <row r="699" spans="4:28" x14ac:dyDescent="0.25">
      <c r="D699" t="s">
        <v>86</v>
      </c>
      <c r="E699" s="64"/>
      <c r="F699" s="64"/>
      <c r="G699">
        <f>IFERROR(HLOOKUP(G$2,[23]table_male_hkom2_inj.U5!$A$1:$K$36,18,FALSE),0)</f>
        <v>0</v>
      </c>
      <c r="H699">
        <f>IFERROR(HLOOKUP(H$2,[23]table_male_hkom2_inj.U5!$A$1:$K$36,18,FALSE),0)</f>
        <v>0</v>
      </c>
      <c r="I699">
        <f>IFERROR(HLOOKUP(I$2,[23]table_male_hkom2_inj.U5!$A$1:$K$36,18,FALSE),0)</f>
        <v>0</v>
      </c>
      <c r="J699">
        <f>IFERROR(HLOOKUP(J$2,[23]table_male_hkom2_inj.U5!$A$1:$K$36,18,FALSE),0)</f>
        <v>0</v>
      </c>
      <c r="K699">
        <f>IFERROR(HLOOKUP(K$2,[23]table_male_hkom2_inj.U5!$A$1:$K$36,18,FALSE),0)</f>
        <v>0</v>
      </c>
      <c r="L699">
        <f>IFERROR(HLOOKUP(L$2,[23]table_male_hkom2_inj.U5!$A$1:$K$36,18,FALSE),0)</f>
        <v>0</v>
      </c>
      <c r="M699">
        <f t="shared" si="225"/>
        <v>0</v>
      </c>
      <c r="S699" t="s">
        <v>86</v>
      </c>
      <c r="T699" s="5">
        <f t="shared" si="226"/>
        <v>0</v>
      </c>
      <c r="U699" s="5">
        <f t="shared" si="227"/>
        <v>0</v>
      </c>
      <c r="V699" s="5">
        <f t="shared" si="228"/>
        <v>0</v>
      </c>
      <c r="W699" s="5">
        <f t="shared" si="229"/>
        <v>0</v>
      </c>
      <c r="X699" s="5">
        <f t="shared" si="230"/>
        <v>0</v>
      </c>
      <c r="Y699" s="5">
        <f t="shared" si="231"/>
        <v>0</v>
      </c>
      <c r="Z699" s="5">
        <f t="shared" si="232"/>
        <v>0</v>
      </c>
      <c r="AA699" s="5">
        <f t="shared" si="233"/>
        <v>0</v>
      </c>
      <c r="AB699" s="5">
        <f t="shared" si="223"/>
        <v>0</v>
      </c>
    </row>
    <row r="700" spans="4:28" x14ac:dyDescent="0.25">
      <c r="D700" t="s">
        <v>87</v>
      </c>
      <c r="E700" s="64"/>
      <c r="F700" s="64"/>
      <c r="G700">
        <f>IFERROR(HLOOKUP(G$2,[23]table_male_hkom2_inj.U5!$A$1:$K$36,19,FALSE),0)</f>
        <v>0</v>
      </c>
      <c r="H700">
        <f>IFERROR(HLOOKUP(H$2,[23]table_male_hkom2_inj.U5!$A$1:$K$36,19,FALSE),0)</f>
        <v>0</v>
      </c>
      <c r="I700">
        <f>IFERROR(HLOOKUP(I$2,[23]table_male_hkom2_inj.U5!$A$1:$K$36,19,FALSE),0)</f>
        <v>0</v>
      </c>
      <c r="J700">
        <f>IFERROR(HLOOKUP(J$2,[23]table_male_hkom2_inj.U5!$A$1:$K$36,19,FALSE),0)</f>
        <v>0</v>
      </c>
      <c r="K700">
        <f>IFERROR(HLOOKUP(K$2,[23]table_male_hkom2_inj.U5!$A$1:$K$36,19,FALSE),0)</f>
        <v>0</v>
      </c>
      <c r="L700">
        <f>IFERROR(HLOOKUP(L$2,[23]table_male_hkom2_inj.U5!$A$1:$K$36,19,FALSE),0)</f>
        <v>0</v>
      </c>
      <c r="M700">
        <f t="shared" si="225"/>
        <v>0</v>
      </c>
      <c r="S700" t="s">
        <v>87</v>
      </c>
      <c r="T700" s="5">
        <f t="shared" si="226"/>
        <v>0</v>
      </c>
      <c r="U700" s="5">
        <f t="shared" si="227"/>
        <v>0</v>
      </c>
      <c r="V700" s="5">
        <f t="shared" si="228"/>
        <v>0</v>
      </c>
      <c r="W700" s="5">
        <f t="shared" si="229"/>
        <v>0</v>
      </c>
      <c r="X700" s="5">
        <f t="shared" si="230"/>
        <v>0</v>
      </c>
      <c r="Y700" s="5">
        <f t="shared" si="231"/>
        <v>0</v>
      </c>
      <c r="Z700" s="5">
        <f t="shared" si="232"/>
        <v>0</v>
      </c>
      <c r="AA700" s="5">
        <f t="shared" si="233"/>
        <v>0</v>
      </c>
      <c r="AB700" s="5">
        <f t="shared" si="223"/>
        <v>0</v>
      </c>
    </row>
    <row r="701" spans="4:28" x14ac:dyDescent="0.25">
      <c r="D701" t="s">
        <v>88</v>
      </c>
      <c r="E701" s="64"/>
      <c r="F701" s="64"/>
      <c r="G701">
        <f>IFERROR(HLOOKUP(G$2,[23]table_male_hkom2_inj.U5!$A$1:$K$36,20,FALSE),0)</f>
        <v>0</v>
      </c>
      <c r="H701">
        <f>IFERROR(HLOOKUP(H$2,[23]table_male_hkom2_inj.U5!$A$1:$K$36,20,FALSE),0)</f>
        <v>0</v>
      </c>
      <c r="I701">
        <f>IFERROR(HLOOKUP(I$2,[23]table_male_hkom2_inj.U5!$A$1:$K$36,20,FALSE),0)</f>
        <v>0</v>
      </c>
      <c r="J701">
        <f>IFERROR(HLOOKUP(J$2,[23]table_male_hkom2_inj.U5!$A$1:$K$36,20,FALSE),0)</f>
        <v>0</v>
      </c>
      <c r="K701">
        <f>IFERROR(HLOOKUP(K$2,[23]table_male_hkom2_inj.U5!$A$1:$K$36,20,FALSE),0)</f>
        <v>0</v>
      </c>
      <c r="L701">
        <f>IFERROR(HLOOKUP(L$2,[23]table_male_hkom2_inj.U5!$A$1:$K$36,20,FALSE),0)</f>
        <v>0</v>
      </c>
      <c r="M701">
        <f t="shared" si="225"/>
        <v>0</v>
      </c>
      <c r="S701" t="s">
        <v>88</v>
      </c>
      <c r="T701" s="5">
        <f t="shared" si="226"/>
        <v>0</v>
      </c>
      <c r="U701" s="5">
        <f t="shared" si="227"/>
        <v>0</v>
      </c>
      <c r="V701" s="5">
        <f t="shared" si="228"/>
        <v>0</v>
      </c>
      <c r="W701" s="5">
        <f t="shared" si="229"/>
        <v>0</v>
      </c>
      <c r="X701" s="5">
        <f t="shared" si="230"/>
        <v>0</v>
      </c>
      <c r="Y701" s="5">
        <f t="shared" si="231"/>
        <v>0</v>
      </c>
      <c r="Z701" s="5">
        <f t="shared" si="232"/>
        <v>0</v>
      </c>
      <c r="AA701" s="5">
        <f t="shared" si="233"/>
        <v>0</v>
      </c>
      <c r="AB701" s="5">
        <f t="shared" si="223"/>
        <v>0</v>
      </c>
    </row>
    <row r="702" spans="4:28" x14ac:dyDescent="0.25">
      <c r="D702" t="s">
        <v>89</v>
      </c>
      <c r="E702" s="64"/>
      <c r="F702" s="64"/>
      <c r="G702">
        <f>IFERROR(HLOOKUP(G$2,[23]table_male_hkom2_inj.U5!$A$1:$K$36,21,FALSE),0)</f>
        <v>0</v>
      </c>
      <c r="H702">
        <f>IFERROR(HLOOKUP(H$2,[23]table_male_hkom2_inj.U5!$A$1:$K$36,21,FALSE),0)</f>
        <v>0</v>
      </c>
      <c r="I702">
        <f>IFERROR(HLOOKUP(I$2,[23]table_male_hkom2_inj.U5!$A$1:$K$36,21,FALSE),0)</f>
        <v>0</v>
      </c>
      <c r="J702">
        <f>IFERROR(HLOOKUP(J$2,[23]table_male_hkom2_inj.U5!$A$1:$K$36,21,FALSE),0)</f>
        <v>0</v>
      </c>
      <c r="K702">
        <f>IFERROR(HLOOKUP(K$2,[23]table_male_hkom2_inj.U5!$A$1:$K$36,21,FALSE),0)</f>
        <v>0</v>
      </c>
      <c r="L702">
        <f>IFERROR(HLOOKUP(L$2,[23]table_male_hkom2_inj.U5!$A$1:$K$36,21,FALSE),0)</f>
        <v>0</v>
      </c>
      <c r="M702">
        <f t="shared" si="225"/>
        <v>0</v>
      </c>
      <c r="S702" t="s">
        <v>89</v>
      </c>
      <c r="T702" s="5">
        <f t="shared" si="226"/>
        <v>0</v>
      </c>
      <c r="U702" s="5">
        <f t="shared" si="227"/>
        <v>0</v>
      </c>
      <c r="V702" s="5">
        <f t="shared" si="228"/>
        <v>0</v>
      </c>
      <c r="W702" s="5">
        <f t="shared" si="229"/>
        <v>0</v>
      </c>
      <c r="X702" s="5">
        <f t="shared" si="230"/>
        <v>0</v>
      </c>
      <c r="Y702" s="5">
        <f t="shared" si="231"/>
        <v>0</v>
      </c>
      <c r="Z702" s="5">
        <f t="shared" si="232"/>
        <v>0</v>
      </c>
      <c r="AA702" s="5">
        <f t="shared" si="233"/>
        <v>0</v>
      </c>
      <c r="AB702" s="5">
        <f t="shared" si="223"/>
        <v>0</v>
      </c>
    </row>
    <row r="703" spans="4:28" x14ac:dyDescent="0.25">
      <c r="D703" t="s">
        <v>90</v>
      </c>
      <c r="E703" s="64"/>
      <c r="F703" s="64"/>
      <c r="G703">
        <f>IFERROR(HLOOKUP(G$2,[23]table_male_hkom2_inj.U5!$A$1:$K$36,22,FALSE),0)</f>
        <v>0</v>
      </c>
      <c r="H703">
        <f>IFERROR(HLOOKUP(H$2,[23]table_male_hkom2_inj.U5!$A$1:$K$36,22,FALSE),0)</f>
        <v>0</v>
      </c>
      <c r="I703">
        <f>IFERROR(HLOOKUP(I$2,[23]table_male_hkom2_inj.U5!$A$1:$K$36,22,FALSE),0)</f>
        <v>0</v>
      </c>
      <c r="J703">
        <f>IFERROR(HLOOKUP(J$2,[23]table_male_hkom2_inj.U5!$A$1:$K$36,22,FALSE),0)</f>
        <v>0</v>
      </c>
      <c r="K703">
        <f>IFERROR(HLOOKUP(K$2,[23]table_male_hkom2_inj.U5!$A$1:$K$36,22,FALSE),0)</f>
        <v>0</v>
      </c>
      <c r="L703">
        <f>IFERROR(HLOOKUP(L$2,[23]table_male_hkom2_inj.U5!$A$1:$K$36,22,FALSE),0)</f>
        <v>0</v>
      </c>
      <c r="M703">
        <f t="shared" si="225"/>
        <v>0</v>
      </c>
      <c r="S703" t="s">
        <v>90</v>
      </c>
      <c r="T703" s="5">
        <f t="shared" si="226"/>
        <v>0</v>
      </c>
      <c r="U703" s="5">
        <f t="shared" si="227"/>
        <v>0</v>
      </c>
      <c r="V703" s="5">
        <f t="shared" si="228"/>
        <v>0</v>
      </c>
      <c r="W703" s="5">
        <f t="shared" si="229"/>
        <v>0</v>
      </c>
      <c r="X703" s="5">
        <f t="shared" si="230"/>
        <v>0</v>
      </c>
      <c r="Y703" s="5">
        <f t="shared" si="231"/>
        <v>0</v>
      </c>
      <c r="Z703" s="5">
        <f t="shared" si="232"/>
        <v>0</v>
      </c>
      <c r="AA703" s="5">
        <f t="shared" si="233"/>
        <v>0</v>
      </c>
      <c r="AB703" s="5">
        <f t="shared" si="223"/>
        <v>0</v>
      </c>
    </row>
    <row r="704" spans="4:28" x14ac:dyDescent="0.25">
      <c r="D704" t="s">
        <v>91</v>
      </c>
      <c r="E704" s="64"/>
      <c r="F704" s="64"/>
      <c r="G704">
        <f>IFERROR(HLOOKUP(G$2,[23]table_male_hkom2_inj.U5!$A$1:$K$36,23,FALSE),0)</f>
        <v>0</v>
      </c>
      <c r="H704">
        <f>IFERROR(HLOOKUP(H$2,[23]table_male_hkom2_inj.U5!$A$1:$K$36,23,FALSE),0)</f>
        <v>0</v>
      </c>
      <c r="I704">
        <f>IFERROR(HLOOKUP(I$2,[23]table_male_hkom2_inj.U5!$A$1:$K$36,23,FALSE),0)</f>
        <v>0</v>
      </c>
      <c r="J704">
        <f>IFERROR(HLOOKUP(J$2,[23]table_male_hkom2_inj.U5!$A$1:$K$36,23,FALSE),0)</f>
        <v>0</v>
      </c>
      <c r="K704">
        <f>IFERROR(HLOOKUP(K$2,[23]table_male_hkom2_inj.U5!$A$1:$K$36,23,FALSE),0)</f>
        <v>0</v>
      </c>
      <c r="L704">
        <f>IFERROR(HLOOKUP(L$2,[23]table_male_hkom2_inj.U5!$A$1:$K$36,23,FALSE),0)</f>
        <v>0</v>
      </c>
      <c r="M704">
        <f t="shared" si="225"/>
        <v>0</v>
      </c>
      <c r="S704" t="s">
        <v>91</v>
      </c>
      <c r="T704" s="5">
        <f t="shared" si="226"/>
        <v>0</v>
      </c>
      <c r="U704" s="5">
        <f t="shared" si="227"/>
        <v>0</v>
      </c>
      <c r="V704" s="5">
        <f t="shared" si="228"/>
        <v>0</v>
      </c>
      <c r="W704" s="5">
        <f t="shared" si="229"/>
        <v>0</v>
      </c>
      <c r="X704" s="5">
        <f t="shared" si="230"/>
        <v>0</v>
      </c>
      <c r="Y704" s="5">
        <f t="shared" si="231"/>
        <v>0</v>
      </c>
      <c r="Z704" s="5">
        <f t="shared" si="232"/>
        <v>0</v>
      </c>
      <c r="AA704" s="5">
        <f t="shared" si="233"/>
        <v>0</v>
      </c>
      <c r="AB704" s="5">
        <f t="shared" si="223"/>
        <v>0</v>
      </c>
    </row>
    <row r="705" spans="1:29" x14ac:dyDescent="0.25">
      <c r="D705" t="s">
        <v>92</v>
      </c>
      <c r="E705" s="64"/>
      <c r="F705" s="64"/>
      <c r="G705">
        <f>IFERROR(HLOOKUP(G$2,[23]table_male_hkom2_inj.U5!$A$1:$K$36,24,FALSE),0)</f>
        <v>0</v>
      </c>
      <c r="H705">
        <f>IFERROR(HLOOKUP(H$2,[23]table_male_hkom2_inj.U5!$A$1:$K$36,24,FALSE),0)</f>
        <v>0</v>
      </c>
      <c r="I705">
        <f>IFERROR(HLOOKUP(I$2,[23]table_male_hkom2_inj.U5!$A$1:$K$36,24,FALSE),0)</f>
        <v>0</v>
      </c>
      <c r="J705">
        <f>IFERROR(HLOOKUP(J$2,[23]table_male_hkom2_inj.U5!$A$1:$K$36,24,FALSE),0)</f>
        <v>0</v>
      </c>
      <c r="K705">
        <f>IFERROR(HLOOKUP(K$2,[23]table_male_hkom2_inj.U5!$A$1:$K$36,24,FALSE),0)</f>
        <v>0</v>
      </c>
      <c r="L705">
        <f>IFERROR(HLOOKUP(L$2,[23]table_male_hkom2_inj.U5!$A$1:$K$36,24,FALSE),0)</f>
        <v>0</v>
      </c>
      <c r="M705">
        <f t="shared" si="225"/>
        <v>0</v>
      </c>
      <c r="S705" t="s">
        <v>92</v>
      </c>
      <c r="T705" s="5">
        <f t="shared" si="226"/>
        <v>0</v>
      </c>
      <c r="U705" s="5">
        <f t="shared" si="227"/>
        <v>0</v>
      </c>
      <c r="V705" s="5">
        <f t="shared" si="228"/>
        <v>0</v>
      </c>
      <c r="W705" s="5">
        <f t="shared" si="229"/>
        <v>0</v>
      </c>
      <c r="X705" s="5">
        <f t="shared" si="230"/>
        <v>0</v>
      </c>
      <c r="Y705" s="5">
        <f t="shared" si="231"/>
        <v>0</v>
      </c>
      <c r="Z705" s="5">
        <f t="shared" si="232"/>
        <v>0</v>
      </c>
      <c r="AA705" s="5">
        <f t="shared" si="233"/>
        <v>0</v>
      </c>
      <c r="AB705" s="5">
        <f t="shared" si="223"/>
        <v>0</v>
      </c>
    </row>
    <row r="706" spans="1:29" x14ac:dyDescent="0.25">
      <c r="D706" t="s">
        <v>93</v>
      </c>
      <c r="E706" s="64"/>
      <c r="F706" s="64"/>
      <c r="G706">
        <f>IFERROR(HLOOKUP(G$2,[23]table_male_hkom2_inj.U5!$A$1:$K$36,25,FALSE),0)</f>
        <v>0</v>
      </c>
      <c r="H706">
        <f>IFERROR(HLOOKUP(H$2,[23]table_male_hkom2_inj.U5!$A$1:$K$36,25,FALSE),0)</f>
        <v>0</v>
      </c>
      <c r="I706">
        <f>IFERROR(HLOOKUP(I$2,[23]table_male_hkom2_inj.U5!$A$1:$K$36,25,FALSE),0)</f>
        <v>0</v>
      </c>
      <c r="J706">
        <f>IFERROR(HLOOKUP(J$2,[23]table_male_hkom2_inj.U5!$A$1:$K$36,25,FALSE),0)</f>
        <v>0</v>
      </c>
      <c r="K706">
        <f>IFERROR(HLOOKUP(K$2,[23]table_male_hkom2_inj.U5!$A$1:$K$36,25,FALSE),0)</f>
        <v>0</v>
      </c>
      <c r="L706">
        <f>IFERROR(HLOOKUP(L$2,[23]table_male_hkom2_inj.U5!$A$1:$K$36,25,FALSE),0)</f>
        <v>0</v>
      </c>
      <c r="M706">
        <f t="shared" si="225"/>
        <v>0</v>
      </c>
      <c r="S706" t="s">
        <v>93</v>
      </c>
      <c r="T706" s="5">
        <f t="shared" si="226"/>
        <v>0</v>
      </c>
      <c r="U706" s="5">
        <f t="shared" si="227"/>
        <v>0</v>
      </c>
      <c r="V706" s="5">
        <f t="shared" si="228"/>
        <v>0</v>
      </c>
      <c r="W706" s="5">
        <f t="shared" si="229"/>
        <v>0</v>
      </c>
      <c r="X706" s="5">
        <f t="shared" si="230"/>
        <v>0</v>
      </c>
      <c r="Y706" s="5">
        <f t="shared" si="231"/>
        <v>0</v>
      </c>
      <c r="Z706" s="5">
        <f t="shared" si="232"/>
        <v>0</v>
      </c>
      <c r="AA706" s="5">
        <f t="shared" si="233"/>
        <v>0</v>
      </c>
      <c r="AB706" s="5">
        <f t="shared" si="223"/>
        <v>0</v>
      </c>
    </row>
    <row r="707" spans="1:29" x14ac:dyDescent="0.25">
      <c r="D707" t="s">
        <v>94</v>
      </c>
      <c r="E707" s="64"/>
      <c r="F707" s="64"/>
      <c r="G707">
        <f>IFERROR(HLOOKUP(G$2,[23]table_male_hkom2_inj.U5!$A$1:$K$36,26,FALSE),0)</f>
        <v>0</v>
      </c>
      <c r="H707">
        <f>IFERROR(HLOOKUP(H$2,[23]table_male_hkom2_inj.U5!$A$1:$K$36,26,FALSE),0)</f>
        <v>0</v>
      </c>
      <c r="I707">
        <f>IFERROR(HLOOKUP(I$2,[23]table_male_hkom2_inj.U5!$A$1:$K$36,26,FALSE),0)</f>
        <v>0</v>
      </c>
      <c r="J707">
        <f>IFERROR(HLOOKUP(J$2,[23]table_male_hkom2_inj.U5!$A$1:$K$36,26,FALSE),0)</f>
        <v>0</v>
      </c>
      <c r="K707">
        <f>IFERROR(HLOOKUP(K$2,[23]table_male_hkom2_inj.U5!$A$1:$K$36,26,FALSE),0)</f>
        <v>0</v>
      </c>
      <c r="L707">
        <f>IFERROR(HLOOKUP(L$2,[23]table_male_hkom2_inj.U5!$A$1:$K$36,26,FALSE),0)</f>
        <v>0</v>
      </c>
      <c r="M707">
        <f t="shared" si="225"/>
        <v>0</v>
      </c>
      <c r="S707" t="s">
        <v>94</v>
      </c>
      <c r="T707" s="5">
        <f t="shared" si="226"/>
        <v>0</v>
      </c>
      <c r="U707" s="5">
        <f t="shared" si="227"/>
        <v>0</v>
      </c>
      <c r="V707" s="5">
        <f t="shared" si="228"/>
        <v>0</v>
      </c>
      <c r="W707" s="5">
        <f t="shared" si="229"/>
        <v>0</v>
      </c>
      <c r="X707" s="5">
        <f t="shared" si="230"/>
        <v>0</v>
      </c>
      <c r="Y707" s="5">
        <f t="shared" si="231"/>
        <v>0</v>
      </c>
      <c r="Z707" s="5">
        <f t="shared" si="232"/>
        <v>0</v>
      </c>
      <c r="AA707" s="5">
        <f t="shared" si="233"/>
        <v>0</v>
      </c>
      <c r="AB707" s="5">
        <f t="shared" si="223"/>
        <v>0</v>
      </c>
    </row>
    <row r="708" spans="1:29" x14ac:dyDescent="0.25">
      <c r="D708" t="s">
        <v>95</v>
      </c>
      <c r="E708" s="64"/>
      <c r="F708" s="64"/>
      <c r="G708">
        <f>IFERROR(HLOOKUP(G$2,[23]table_male_hkom2_inj.U5!$A$1:$K$36,27,FALSE),0)</f>
        <v>0</v>
      </c>
      <c r="H708">
        <f>IFERROR(HLOOKUP(H$2,[23]table_male_hkom2_inj.U5!$A$1:$K$36,27,FALSE),0)</f>
        <v>0</v>
      </c>
      <c r="I708">
        <f>IFERROR(HLOOKUP(I$2,[23]table_male_hkom2_inj.U5!$A$1:$K$36,27,FALSE),0)</f>
        <v>0</v>
      </c>
      <c r="J708">
        <f>IFERROR(HLOOKUP(J$2,[23]table_male_hkom2_inj.U5!$A$1:$K$36,27,FALSE),0)</f>
        <v>0</v>
      </c>
      <c r="K708">
        <f>IFERROR(HLOOKUP(K$2,[23]table_male_hkom2_inj.U5!$A$1:$K$36,27,FALSE),0)</f>
        <v>0</v>
      </c>
      <c r="L708">
        <f>IFERROR(HLOOKUP(L$2,[23]table_male_hkom2_inj.U5!$A$1:$K$36,27,FALSE),0)</f>
        <v>0</v>
      </c>
      <c r="M708">
        <f t="shared" si="225"/>
        <v>0</v>
      </c>
      <c r="S708" t="s">
        <v>95</v>
      </c>
      <c r="T708" s="5">
        <f t="shared" si="226"/>
        <v>0</v>
      </c>
      <c r="U708" s="5">
        <f t="shared" si="227"/>
        <v>0</v>
      </c>
      <c r="V708" s="5">
        <f t="shared" si="228"/>
        <v>0</v>
      </c>
      <c r="W708" s="5">
        <f t="shared" si="229"/>
        <v>0</v>
      </c>
      <c r="X708" s="5">
        <f t="shared" si="230"/>
        <v>0</v>
      </c>
      <c r="Y708" s="5">
        <f t="shared" si="231"/>
        <v>0</v>
      </c>
      <c r="Z708" s="5">
        <f t="shared" si="232"/>
        <v>0</v>
      </c>
      <c r="AA708" s="5">
        <f t="shared" si="233"/>
        <v>0</v>
      </c>
      <c r="AB708" s="5">
        <f t="shared" si="223"/>
        <v>0</v>
      </c>
    </row>
    <row r="709" spans="1:29" x14ac:dyDescent="0.25">
      <c r="D709" t="s">
        <v>96</v>
      </c>
      <c r="E709" s="64"/>
      <c r="F709" s="64"/>
      <c r="G709">
        <f>IFERROR(HLOOKUP(G$2,[23]table_male_hkom2_inj.U5!$A$1:$K$36,28,FALSE),0)</f>
        <v>0</v>
      </c>
      <c r="H709">
        <f>IFERROR(HLOOKUP(H$2,[23]table_male_hkom2_inj.U5!$A$1:$K$36,28,FALSE),0)</f>
        <v>0</v>
      </c>
      <c r="I709">
        <f>IFERROR(HLOOKUP(I$2,[23]table_male_hkom2_inj.U5!$A$1:$K$36,28,FALSE),0)</f>
        <v>0</v>
      </c>
      <c r="J709">
        <f>IFERROR(HLOOKUP(J$2,[23]table_male_hkom2_inj.U5!$A$1:$K$36,28,FALSE),0)</f>
        <v>0</v>
      </c>
      <c r="K709">
        <f>IFERROR(HLOOKUP(K$2,[23]table_male_hkom2_inj.U5!$A$1:$K$36,28,FALSE),0)</f>
        <v>0</v>
      </c>
      <c r="L709">
        <f>IFERROR(HLOOKUP(L$2,[23]table_male_hkom2_inj.U5!$A$1:$K$36,28,FALSE),0)</f>
        <v>0</v>
      </c>
      <c r="M709">
        <f t="shared" si="225"/>
        <v>0</v>
      </c>
      <c r="S709" t="s">
        <v>96</v>
      </c>
      <c r="T709" s="5">
        <f t="shared" si="226"/>
        <v>0</v>
      </c>
      <c r="U709" s="5">
        <f t="shared" si="227"/>
        <v>0</v>
      </c>
      <c r="V709" s="5">
        <f t="shared" si="228"/>
        <v>0</v>
      </c>
      <c r="W709" s="5">
        <f t="shared" si="229"/>
        <v>0</v>
      </c>
      <c r="X709" s="5">
        <f t="shared" si="230"/>
        <v>0</v>
      </c>
      <c r="Y709" s="5">
        <f t="shared" si="231"/>
        <v>0</v>
      </c>
      <c r="Z709" s="5">
        <f t="shared" si="232"/>
        <v>0</v>
      </c>
      <c r="AA709" s="5">
        <f t="shared" si="233"/>
        <v>0</v>
      </c>
      <c r="AB709" s="5">
        <f t="shared" si="223"/>
        <v>0</v>
      </c>
    </row>
    <row r="710" spans="1:29" x14ac:dyDescent="0.25">
      <c r="D710" t="s">
        <v>97</v>
      </c>
      <c r="E710" s="64"/>
      <c r="F710" s="64"/>
      <c r="G710">
        <f>IFERROR(HLOOKUP(G$2,[23]table_male_hkom2_inj.U5!$A$1:$K$36,29,FALSE),0)</f>
        <v>0</v>
      </c>
      <c r="H710">
        <f>IFERROR(HLOOKUP(H$2,[23]table_male_hkom2_inj.U5!$A$1:$K$36,29,FALSE),0)</f>
        <v>0</v>
      </c>
      <c r="I710">
        <f>IFERROR(HLOOKUP(I$2,[23]table_male_hkom2_inj.U5!$A$1:$K$36,29,FALSE),0)</f>
        <v>0</v>
      </c>
      <c r="J710">
        <f>IFERROR(HLOOKUP(J$2,[23]table_male_hkom2_inj.U5!$A$1:$K$36,29,FALSE),0)</f>
        <v>0</v>
      </c>
      <c r="K710">
        <f>IFERROR(HLOOKUP(K$2,[23]table_male_hkom2_inj.U5!$A$1:$K$36,29,FALSE),0)</f>
        <v>0</v>
      </c>
      <c r="L710">
        <f>IFERROR(HLOOKUP(L$2,[23]table_male_hkom2_inj.U5!$A$1:$K$36,29,FALSE),0)</f>
        <v>0</v>
      </c>
      <c r="M710">
        <f t="shared" si="225"/>
        <v>0</v>
      </c>
      <c r="S710" t="s">
        <v>97</v>
      </c>
      <c r="T710" s="5">
        <f t="shared" si="226"/>
        <v>0</v>
      </c>
      <c r="U710" s="5">
        <f t="shared" si="227"/>
        <v>0</v>
      </c>
      <c r="V710" s="5">
        <f t="shared" si="228"/>
        <v>0</v>
      </c>
      <c r="W710" s="5">
        <f t="shared" si="229"/>
        <v>0</v>
      </c>
      <c r="X710" s="5">
        <f t="shared" si="230"/>
        <v>0</v>
      </c>
      <c r="Y710" s="5">
        <f t="shared" si="231"/>
        <v>0</v>
      </c>
      <c r="Z710" s="5">
        <f t="shared" si="232"/>
        <v>0</v>
      </c>
      <c r="AA710" s="5">
        <f t="shared" si="233"/>
        <v>0</v>
      </c>
      <c r="AB710" s="5">
        <f t="shared" si="223"/>
        <v>0</v>
      </c>
    </row>
    <row r="711" spans="1:29" x14ac:dyDescent="0.25">
      <c r="D711" t="s">
        <v>98</v>
      </c>
      <c r="E711" s="64"/>
      <c r="F711" s="64"/>
      <c r="G711">
        <f>IFERROR(HLOOKUP(G$2,[23]table_male_hkom2_inj.U5!$A$1:$K$36,30,FALSE),0)</f>
        <v>0</v>
      </c>
      <c r="H711">
        <f>IFERROR(HLOOKUP(H$2,[23]table_male_hkom2_inj.U5!$A$1:$K$36,30,FALSE),0)</f>
        <v>0</v>
      </c>
      <c r="I711">
        <f>IFERROR(HLOOKUP(I$2,[23]table_male_hkom2_inj.U5!$A$1:$K$36,30,FALSE),0)</f>
        <v>0</v>
      </c>
      <c r="J711">
        <f>IFERROR(HLOOKUP(J$2,[23]table_male_hkom2_inj.U5!$A$1:$K$36,30,FALSE),0)</f>
        <v>0</v>
      </c>
      <c r="K711">
        <f>IFERROR(HLOOKUP(K$2,[23]table_male_hkom2_inj.U5!$A$1:$K$36,30,FALSE),0)</f>
        <v>0</v>
      </c>
      <c r="L711">
        <f>IFERROR(HLOOKUP(L$2,[23]table_male_hkom2_inj.U5!$A$1:$K$36,30,FALSE),0)</f>
        <v>0</v>
      </c>
      <c r="M711">
        <f t="shared" si="225"/>
        <v>0</v>
      </c>
      <c r="S711" t="s">
        <v>98</v>
      </c>
      <c r="T711" s="5">
        <f t="shared" si="226"/>
        <v>0</v>
      </c>
      <c r="U711" s="5">
        <f t="shared" si="227"/>
        <v>0</v>
      </c>
      <c r="V711" s="5">
        <f t="shared" si="228"/>
        <v>0</v>
      </c>
      <c r="W711" s="5">
        <f t="shared" si="229"/>
        <v>0</v>
      </c>
      <c r="X711" s="5">
        <f t="shared" si="230"/>
        <v>0</v>
      </c>
      <c r="Y711" s="5">
        <f t="shared" si="231"/>
        <v>0</v>
      </c>
      <c r="Z711" s="5">
        <f t="shared" si="232"/>
        <v>0</v>
      </c>
      <c r="AA711" s="5">
        <f t="shared" si="233"/>
        <v>0</v>
      </c>
      <c r="AB711" s="5">
        <f t="shared" si="223"/>
        <v>0</v>
      </c>
    </row>
    <row r="712" spans="1:29" x14ac:dyDescent="0.25">
      <c r="D712" t="s">
        <v>119</v>
      </c>
      <c r="E712" s="64"/>
      <c r="F712" s="64"/>
      <c r="G712">
        <f>IFERROR(HLOOKUP(G$2,[23]table_male_hkom2_inj.U5!$A$1:$K$36,31,FALSE),0)</f>
        <v>0</v>
      </c>
      <c r="H712">
        <f>IFERROR(HLOOKUP(H$2,[23]table_male_hkom2_inj.U5!$A$1:$K$36,31,FALSE),0)</f>
        <v>0</v>
      </c>
      <c r="I712">
        <f>IFERROR(HLOOKUP(I$2,[23]table_male_hkom2_inj.U5!$A$1:$K$36,31,FALSE),0)</f>
        <v>0</v>
      </c>
      <c r="J712">
        <f>IFERROR(HLOOKUP(J$2,[23]table_male_hkom2_inj.U5!$A$1:$K$36,31,FALSE),0)</f>
        <v>0</v>
      </c>
      <c r="K712">
        <f>IFERROR(HLOOKUP(K$2,[23]table_male_hkom2_inj.U5!$A$1:$K$36,31,FALSE),0)</f>
        <v>0</v>
      </c>
      <c r="L712">
        <f>IFERROR(HLOOKUP(L$2,[23]table_male_hkom2_inj.U5!$A$1:$K$36,31,FALSE),0)</f>
        <v>0</v>
      </c>
      <c r="M712">
        <f t="shared" si="225"/>
        <v>0</v>
      </c>
      <c r="S712" t="s">
        <v>119</v>
      </c>
      <c r="T712" s="5">
        <f t="shared" si="226"/>
        <v>0</v>
      </c>
      <c r="U712" s="5">
        <f t="shared" si="227"/>
        <v>0</v>
      </c>
      <c r="V712" s="5">
        <f t="shared" si="228"/>
        <v>0</v>
      </c>
      <c r="W712" s="5">
        <f t="shared" si="229"/>
        <v>0</v>
      </c>
      <c r="X712" s="5">
        <f t="shared" si="230"/>
        <v>0</v>
      </c>
      <c r="Y712" s="5">
        <f t="shared" si="231"/>
        <v>0</v>
      </c>
      <c r="Z712" s="5">
        <f t="shared" si="232"/>
        <v>0</v>
      </c>
      <c r="AA712" s="5">
        <f t="shared" si="233"/>
        <v>0</v>
      </c>
      <c r="AB712" s="5">
        <f t="shared" si="223"/>
        <v>0</v>
      </c>
    </row>
    <row r="713" spans="1:29" x14ac:dyDescent="0.25">
      <c r="D713" t="s">
        <v>99</v>
      </c>
      <c r="E713" s="64"/>
      <c r="F713" s="64"/>
      <c r="G713">
        <f>IFERROR(HLOOKUP(G$2,[23]table_male_hkom2_inj.U5!$A$1:$K$36,32,FALSE),0)</f>
        <v>0</v>
      </c>
      <c r="H713">
        <f>IFERROR(HLOOKUP(H$2,[23]table_male_hkom2_inj.U5!$A$1:$K$36,32,FALSE),0)</f>
        <v>0</v>
      </c>
      <c r="I713">
        <f>IFERROR(HLOOKUP(I$2,[23]table_male_hkom2_inj.U5!$A$1:$K$36,32,FALSE),0)</f>
        <v>0</v>
      </c>
      <c r="J713">
        <f>IFERROR(HLOOKUP(J$2,[23]table_male_hkom2_inj.U5!$A$1:$K$36,32,FALSE),0)</f>
        <v>0</v>
      </c>
      <c r="K713">
        <f>IFERROR(HLOOKUP(K$2,[23]table_male_hkom2_inj.U5!$A$1:$K$36,32,FALSE),0)</f>
        <v>0</v>
      </c>
      <c r="L713">
        <f>IFERROR(HLOOKUP(L$2,[23]table_male_hkom2_inj.U5!$A$1:$K$36,32,FALSE),0)</f>
        <v>0</v>
      </c>
      <c r="M713">
        <f t="shared" si="225"/>
        <v>0</v>
      </c>
      <c r="S713" t="s">
        <v>99</v>
      </c>
      <c r="T713" s="5">
        <f t="shared" si="226"/>
        <v>0</v>
      </c>
      <c r="U713" s="5">
        <f t="shared" si="227"/>
        <v>0</v>
      </c>
      <c r="V713" s="5">
        <f t="shared" si="228"/>
        <v>0</v>
      </c>
      <c r="W713" s="5">
        <f t="shared" si="229"/>
        <v>0</v>
      </c>
      <c r="X713" s="5">
        <f t="shared" si="230"/>
        <v>0</v>
      </c>
      <c r="Y713" s="5">
        <f t="shared" si="231"/>
        <v>0</v>
      </c>
      <c r="Z713" s="5">
        <f t="shared" si="232"/>
        <v>0</v>
      </c>
      <c r="AA713" s="5">
        <f t="shared" si="233"/>
        <v>0</v>
      </c>
      <c r="AB713" s="5">
        <f t="shared" si="223"/>
        <v>0</v>
      </c>
    </row>
    <row r="714" spans="1:29" x14ac:dyDescent="0.25">
      <c r="D714" t="s">
        <v>100</v>
      </c>
      <c r="E714" s="64"/>
      <c r="F714" s="64"/>
      <c r="G714">
        <f>IFERROR(HLOOKUP(G$2,[23]table_male_hkom2_inj.U5!$A$1:$K$36,33,FALSE),0)</f>
        <v>0</v>
      </c>
      <c r="H714">
        <f>IFERROR(HLOOKUP(H$2,[23]table_male_hkom2_inj.U5!$A$1:$K$36,33,FALSE),0)</f>
        <v>0</v>
      </c>
      <c r="I714">
        <f>IFERROR(HLOOKUP(I$2,[23]table_male_hkom2_inj.U5!$A$1:$K$36,33,FALSE),0)</f>
        <v>0</v>
      </c>
      <c r="J714">
        <f>IFERROR(HLOOKUP(J$2,[23]table_male_hkom2_inj.U5!$A$1:$K$36,33,FALSE),0)</f>
        <v>0</v>
      </c>
      <c r="K714">
        <f>IFERROR(HLOOKUP(K$2,[23]table_male_hkom2_inj.U5!$A$1:$K$36,33,FALSE),0)</f>
        <v>0</v>
      </c>
      <c r="L714">
        <f>IFERROR(HLOOKUP(L$2,[23]table_male_hkom2_inj.U5!$A$1:$K$36,33,FALSE),0)</f>
        <v>0</v>
      </c>
      <c r="M714">
        <f t="shared" si="225"/>
        <v>0</v>
      </c>
      <c r="S714" t="s">
        <v>100</v>
      </c>
      <c r="T714" s="5">
        <f t="shared" si="226"/>
        <v>0</v>
      </c>
      <c r="U714" s="5">
        <f t="shared" si="227"/>
        <v>0</v>
      </c>
      <c r="V714" s="5">
        <f t="shared" si="228"/>
        <v>0</v>
      </c>
      <c r="W714" s="5">
        <f t="shared" si="229"/>
        <v>0</v>
      </c>
      <c r="X714" s="5">
        <f t="shared" si="230"/>
        <v>0</v>
      </c>
      <c r="Y714" s="5">
        <f t="shared" si="231"/>
        <v>0</v>
      </c>
      <c r="Z714" s="5">
        <f t="shared" si="232"/>
        <v>0</v>
      </c>
      <c r="AA714" s="5">
        <f t="shared" si="233"/>
        <v>0</v>
      </c>
      <c r="AB714" s="5">
        <f t="shared" si="223"/>
        <v>0</v>
      </c>
    </row>
    <row r="715" spans="1:29" x14ac:dyDescent="0.25">
      <c r="D715" t="s">
        <v>101</v>
      </c>
      <c r="E715" s="64"/>
      <c r="F715" s="64"/>
      <c r="G715">
        <f>IFERROR(HLOOKUP(G$2,[23]table_male_hkom2_inj.U5!$A$1:$K$36,34,FALSE),0)</f>
        <v>0</v>
      </c>
      <c r="H715">
        <f>IFERROR(HLOOKUP(H$2,[23]table_male_hkom2_inj.U5!$A$1:$K$36,34,FALSE),0)</f>
        <v>0</v>
      </c>
      <c r="I715">
        <f>IFERROR(HLOOKUP(I$2,[23]table_male_hkom2_inj.U5!$A$1:$K$36,34,FALSE),0)</f>
        <v>0</v>
      </c>
      <c r="J715">
        <f>IFERROR(HLOOKUP(J$2,[23]table_male_hkom2_inj.U5!$A$1:$K$36,34,FALSE),0)</f>
        <v>0</v>
      </c>
      <c r="K715">
        <f>IFERROR(HLOOKUP(K$2,[23]table_male_hkom2_inj.U5!$A$1:$K$36,34,FALSE),0)</f>
        <v>0</v>
      </c>
      <c r="L715">
        <f>IFERROR(HLOOKUP(L$2,[23]table_male_hkom2_inj.U5!$A$1:$K$36,34,FALSE),0)</f>
        <v>0</v>
      </c>
      <c r="M715">
        <f t="shared" si="225"/>
        <v>0</v>
      </c>
      <c r="S715" t="s">
        <v>101</v>
      </c>
      <c r="T715" s="5">
        <f t="shared" si="226"/>
        <v>0</v>
      </c>
      <c r="U715" s="5">
        <f t="shared" si="227"/>
        <v>0</v>
      </c>
      <c r="V715" s="5">
        <f t="shared" si="228"/>
        <v>0</v>
      </c>
      <c r="W715" s="5">
        <f t="shared" si="229"/>
        <v>0</v>
      </c>
      <c r="X715" s="5">
        <f t="shared" si="230"/>
        <v>0</v>
      </c>
      <c r="Y715" s="5">
        <f t="shared" si="231"/>
        <v>0</v>
      </c>
      <c r="Z715" s="5">
        <f t="shared" si="232"/>
        <v>0</v>
      </c>
      <c r="AA715" s="5">
        <f t="shared" si="233"/>
        <v>0</v>
      </c>
      <c r="AB715" s="5">
        <f t="shared" si="223"/>
        <v>0</v>
      </c>
    </row>
    <row r="716" spans="1:29" x14ac:dyDescent="0.25">
      <c r="D716" t="s">
        <v>102</v>
      </c>
      <c r="E716" s="64"/>
      <c r="F716" s="64"/>
      <c r="G716">
        <f>IFERROR(HLOOKUP(G$2,[23]table_male_hkom2_inj.U5!$A$1:$K$36,35,FALSE),0)</f>
        <v>0</v>
      </c>
      <c r="H716">
        <f>IFERROR(HLOOKUP(H$2,[23]table_male_hkom2_inj.U5!$A$1:$K$36,35,FALSE),0)</f>
        <v>0</v>
      </c>
      <c r="I716">
        <f>IFERROR(HLOOKUP(I$2,[23]table_male_hkom2_inj.U5!$A$1:$K$36,35,FALSE),0)</f>
        <v>0</v>
      </c>
      <c r="J716">
        <f>IFERROR(HLOOKUP(J$2,[23]table_male_hkom2_inj.U5!$A$1:$K$36,35,FALSE),0)</f>
        <v>0</v>
      </c>
      <c r="K716">
        <f>IFERROR(HLOOKUP(K$2,[23]table_male_hkom2_inj.U5!$A$1:$K$36,35,FALSE),0)</f>
        <v>0</v>
      </c>
      <c r="L716">
        <f>IFERROR(HLOOKUP(L$2,[23]table_male_hkom2_inj.U5!$A$1:$K$36,35,FALSE),0)</f>
        <v>0</v>
      </c>
      <c r="M716">
        <f t="shared" si="225"/>
        <v>0</v>
      </c>
      <c r="N716">
        <f>SUM(M683:M716)</f>
        <v>0</v>
      </c>
      <c r="O716" s="8">
        <f>SUM([23]table_male_hkom2_inj.U5!$B$2:$L$36)</f>
        <v>0</v>
      </c>
      <c r="S716" t="s">
        <v>102</v>
      </c>
      <c r="T716" s="7"/>
      <c r="U716" s="7"/>
      <c r="V716" s="7"/>
      <c r="W716" s="7"/>
      <c r="X716" s="7"/>
      <c r="Y716" s="7"/>
      <c r="Z716" s="7"/>
      <c r="AA716" s="7"/>
      <c r="AB716" s="5">
        <f t="shared" si="223"/>
        <v>0</v>
      </c>
      <c r="AC716" s="5">
        <f>SUM(AB683:AB715)</f>
        <v>0</v>
      </c>
    </row>
    <row r="717" spans="1:29" x14ac:dyDescent="0.25">
      <c r="A717" t="s">
        <v>104</v>
      </c>
      <c r="B717" t="s">
        <v>116</v>
      </c>
      <c r="C717" t="s">
        <v>114</v>
      </c>
      <c r="D717" t="s">
        <v>70</v>
      </c>
      <c r="E717" s="64"/>
      <c r="F717" s="64"/>
      <c r="G717">
        <f>IFERROR(HLOOKUP(G$2,[24]table_male_hkom2_inj.U6!$A$1:$K$36,2,FALSE),0)</f>
        <v>0</v>
      </c>
      <c r="H717">
        <f>IFERROR(HLOOKUP(H$2,[24]table_male_hkom2_inj.U6!$A$1:$K$36,2,FALSE),0)</f>
        <v>0</v>
      </c>
      <c r="I717">
        <f>IFERROR(HLOOKUP(I$2,[24]table_male_hkom2_inj.U6!$A$1:$K$36,2,FALSE),0)</f>
        <v>0</v>
      </c>
      <c r="J717">
        <f>IFERROR(HLOOKUP(J$2,[24]table_male_hkom2_inj.U6!$A$1:$K$36,2,FALSE),0)</f>
        <v>0</v>
      </c>
      <c r="K717">
        <f>IFERROR(HLOOKUP(K$2,[24]table_male_hkom2_inj.U6!$A$1:$K$36,2,FALSE),0)</f>
        <v>0</v>
      </c>
      <c r="L717">
        <f>IFERROR(HLOOKUP(L$2,[24]table_male_hkom2_inj.U6!$A$1:$K$36,2,FALSE),0)</f>
        <v>0</v>
      </c>
      <c r="M717">
        <f>SUM(E717:L717)</f>
        <v>0</v>
      </c>
      <c r="P717" t="s">
        <v>104</v>
      </c>
      <c r="Q717" t="s">
        <v>116</v>
      </c>
      <c r="R717" t="s">
        <v>114</v>
      </c>
      <c r="S717" t="s">
        <v>70</v>
      </c>
      <c r="T717" s="5">
        <f>IF(SUM(E$717:E$749)=0,E$750/33,E717+IFERROR(E717/SUM(E$717:E$749)*E$750,0))</f>
        <v>0</v>
      </c>
      <c r="U717" s="5">
        <f t="shared" ref="U717:AA717" si="234">IF(SUM(F$717:F$749)=0,F$750/33,F717+IFERROR(F717/SUM(F$717:F$749)*F$750,0))</f>
        <v>0</v>
      </c>
      <c r="V717" s="5">
        <f t="shared" si="234"/>
        <v>0</v>
      </c>
      <c r="W717" s="5">
        <f t="shared" si="234"/>
        <v>0</v>
      </c>
      <c r="X717" s="5">
        <f t="shared" si="234"/>
        <v>0</v>
      </c>
      <c r="Y717" s="5">
        <f t="shared" si="234"/>
        <v>0</v>
      </c>
      <c r="Z717" s="5">
        <f t="shared" si="234"/>
        <v>0</v>
      </c>
      <c r="AA717" s="5">
        <f t="shared" si="234"/>
        <v>9.0909090909090912E-2</v>
      </c>
      <c r="AB717" s="5">
        <f t="shared" si="223"/>
        <v>9.0909090909090912E-2</v>
      </c>
    </row>
    <row r="718" spans="1:29" x14ac:dyDescent="0.25">
      <c r="D718" t="s">
        <v>71</v>
      </c>
      <c r="E718" s="64"/>
      <c r="F718" s="64"/>
      <c r="G718">
        <f>IFERROR(HLOOKUP(G$2,[24]table_male_hkom2_inj.U6!$A$1:$K$36,3,FALSE),0)</f>
        <v>4</v>
      </c>
      <c r="H718">
        <f>IFERROR(HLOOKUP(H$2,[24]table_male_hkom2_inj.U6!$A$1:$K$36,3,FALSE),0)</f>
        <v>11</v>
      </c>
      <c r="I718">
        <f>IFERROR(HLOOKUP(I$2,[24]table_male_hkom2_inj.U6!$A$1:$K$36,3,FALSE),0)</f>
        <v>0</v>
      </c>
      <c r="J718">
        <f>IFERROR(HLOOKUP(J$2,[24]table_male_hkom2_inj.U6!$A$1:$K$36,3,FALSE),0)</f>
        <v>0</v>
      </c>
      <c r="K718">
        <f>IFERROR(HLOOKUP(K$2,[24]table_male_hkom2_inj.U6!$A$1:$K$36,3,FALSE),0)</f>
        <v>0</v>
      </c>
      <c r="L718">
        <f>IFERROR(HLOOKUP(L$2,[24]table_male_hkom2_inj.U6!$A$1:$K$36,3,FALSE),0)</f>
        <v>0</v>
      </c>
      <c r="M718">
        <f t="shared" ref="M718:M750" si="235">SUM(E718:L718)</f>
        <v>15</v>
      </c>
      <c r="S718" t="s">
        <v>71</v>
      </c>
      <c r="T718" s="5">
        <f t="shared" ref="T718:T749" si="236">IF(SUM(E$717:E$749)=0,E$750/33,E718+IFERROR(E718/SUM(E$717:E$749)*E$750,0))</f>
        <v>0</v>
      </c>
      <c r="U718" s="5">
        <f t="shared" ref="U718:U749" si="237">IF(SUM(F$717:F$749)=0,F$750/33,F718+IFERROR(F718/SUM(F$717:F$749)*F$750,0))</f>
        <v>0</v>
      </c>
      <c r="V718" s="5">
        <f t="shared" ref="V718:V749" si="238">IF(SUM(G$717:G$749)=0,G$750/33,G718+IFERROR(G718/SUM(G$717:G$749)*G$750,0))</f>
        <v>8.4740740740740748</v>
      </c>
      <c r="W718" s="5">
        <f t="shared" ref="W718:W749" si="239">IF(SUM(H$717:H$749)=0,H$750/33,H718+IFERROR(H718/SUM(H$717:H$749)*H$750,0))</f>
        <v>28.75</v>
      </c>
      <c r="X718" s="5">
        <f t="shared" ref="X718:X749" si="240">IF(SUM(I$717:I$749)=0,I$750/33,I718+IFERROR(I718/SUM(I$717:I$749)*I$750,0))</f>
        <v>0</v>
      </c>
      <c r="Y718" s="5">
        <f t="shared" ref="Y718:Y749" si="241">IF(SUM(J$717:J$749)=0,J$750/33,J718+IFERROR(J718/SUM(J$717:J$749)*J$750,0))</f>
        <v>0</v>
      </c>
      <c r="Z718" s="5">
        <f t="shared" ref="Z718:Z749" si="242">IF(SUM(K$717:K$749)=0,K$750/33,K718+IFERROR(K718/SUM(K$717:K$749)*K$750,0))</f>
        <v>0</v>
      </c>
      <c r="AA718" s="5">
        <f t="shared" ref="AA718:AA749" si="243">IF(SUM(L$717:L$749)=0,L$750/33,L718+IFERROR(L718/SUM(L$717:L$749)*L$750,0))</f>
        <v>9.0909090909090912E-2</v>
      </c>
      <c r="AB718" s="5">
        <f t="shared" si="223"/>
        <v>37.314983164983168</v>
      </c>
    </row>
    <row r="719" spans="1:29" x14ac:dyDescent="0.25">
      <c r="D719" t="s">
        <v>72</v>
      </c>
      <c r="E719" s="64"/>
      <c r="F719" s="64"/>
      <c r="G719">
        <f>IFERROR(HLOOKUP(G$2,[24]table_male_hkom2_inj.U6!$A$1:$K$36,4,FALSE),0)</f>
        <v>1</v>
      </c>
      <c r="H719">
        <f>IFERROR(HLOOKUP(H$2,[24]table_male_hkom2_inj.U6!$A$1:$K$36,4,FALSE),0)</f>
        <v>2</v>
      </c>
      <c r="I719">
        <f>IFERROR(HLOOKUP(I$2,[24]table_male_hkom2_inj.U6!$A$1:$K$36,4,FALSE),0)</f>
        <v>1</v>
      </c>
      <c r="J719">
        <f>IFERROR(HLOOKUP(J$2,[24]table_male_hkom2_inj.U6!$A$1:$K$36,4,FALSE),0)</f>
        <v>0</v>
      </c>
      <c r="K719">
        <f>IFERROR(HLOOKUP(K$2,[24]table_male_hkom2_inj.U6!$A$1:$K$36,4,FALSE),0)</f>
        <v>0</v>
      </c>
      <c r="L719">
        <f>IFERROR(HLOOKUP(L$2,[24]table_male_hkom2_inj.U6!$A$1:$K$36,4,FALSE),0)</f>
        <v>0</v>
      </c>
      <c r="M719">
        <f t="shared" si="235"/>
        <v>4</v>
      </c>
      <c r="S719" t="s">
        <v>72</v>
      </c>
      <c r="T719" s="5">
        <f t="shared" si="236"/>
        <v>0</v>
      </c>
      <c r="U719" s="5">
        <f t="shared" si="237"/>
        <v>0</v>
      </c>
      <c r="V719" s="5">
        <f t="shared" si="238"/>
        <v>2.1185185185185187</v>
      </c>
      <c r="W719" s="5">
        <f t="shared" si="239"/>
        <v>5.2272727272727266</v>
      </c>
      <c r="X719" s="5">
        <f t="shared" si="240"/>
        <v>3.8231292517006801</v>
      </c>
      <c r="Y719" s="5">
        <f t="shared" si="241"/>
        <v>0</v>
      </c>
      <c r="Z719" s="5">
        <f t="shared" si="242"/>
        <v>0</v>
      </c>
      <c r="AA719" s="5">
        <f t="shared" si="243"/>
        <v>9.0909090909090912E-2</v>
      </c>
      <c r="AB719" s="5">
        <f t="shared" si="223"/>
        <v>11.259829588401017</v>
      </c>
    </row>
    <row r="720" spans="1:29" x14ac:dyDescent="0.25">
      <c r="D720" t="s">
        <v>73</v>
      </c>
      <c r="E720" s="64"/>
      <c r="F720" s="64"/>
      <c r="G720">
        <f>IFERROR(HLOOKUP(G$2,[24]table_male_hkom2_inj.U6!$A$1:$K$36,5,FALSE),0)</f>
        <v>0</v>
      </c>
      <c r="H720">
        <f>IFERROR(HLOOKUP(H$2,[24]table_male_hkom2_inj.U6!$A$1:$K$36,5,FALSE),0)</f>
        <v>1</v>
      </c>
      <c r="I720">
        <f>IFERROR(HLOOKUP(I$2,[24]table_male_hkom2_inj.U6!$A$1:$K$36,5,FALSE),0)</f>
        <v>2</v>
      </c>
      <c r="J720">
        <f>IFERROR(HLOOKUP(J$2,[24]table_male_hkom2_inj.U6!$A$1:$K$36,5,FALSE),0)</f>
        <v>0</v>
      </c>
      <c r="K720">
        <f>IFERROR(HLOOKUP(K$2,[24]table_male_hkom2_inj.U6!$A$1:$K$36,5,FALSE),0)</f>
        <v>0</v>
      </c>
      <c r="L720">
        <f>IFERROR(HLOOKUP(L$2,[24]table_male_hkom2_inj.U6!$A$1:$K$36,5,FALSE),0)</f>
        <v>0</v>
      </c>
      <c r="M720">
        <f t="shared" si="235"/>
        <v>3</v>
      </c>
      <c r="S720" t="s">
        <v>73</v>
      </c>
      <c r="T720" s="5">
        <f t="shared" si="236"/>
        <v>0</v>
      </c>
      <c r="U720" s="5">
        <f t="shared" si="237"/>
        <v>0</v>
      </c>
      <c r="V720" s="5">
        <f t="shared" si="238"/>
        <v>0</v>
      </c>
      <c r="W720" s="5">
        <f t="shared" si="239"/>
        <v>2.6136363636363633</v>
      </c>
      <c r="X720" s="5">
        <f t="shared" si="240"/>
        <v>7.6462585034013602</v>
      </c>
      <c r="Y720" s="5">
        <f t="shared" si="241"/>
        <v>0</v>
      </c>
      <c r="Z720" s="5">
        <f t="shared" si="242"/>
        <v>0</v>
      </c>
      <c r="AA720" s="5">
        <f t="shared" si="243"/>
        <v>9.0909090909090912E-2</v>
      </c>
      <c r="AB720" s="5">
        <f t="shared" si="223"/>
        <v>10.350803957946814</v>
      </c>
    </row>
    <row r="721" spans="4:28" x14ac:dyDescent="0.25">
      <c r="D721" t="s">
        <v>74</v>
      </c>
      <c r="E721" s="64"/>
      <c r="F721" s="64"/>
      <c r="G721">
        <f>IFERROR(HLOOKUP(G$2,[24]table_male_hkom2_inj.U6!$A$1:$K$36,6,FALSE),0)</f>
        <v>0</v>
      </c>
      <c r="H721">
        <f>IFERROR(HLOOKUP(H$2,[24]table_male_hkom2_inj.U6!$A$1:$K$36,6,FALSE),0)</f>
        <v>4</v>
      </c>
      <c r="I721">
        <f>IFERROR(HLOOKUP(I$2,[24]table_male_hkom2_inj.U6!$A$1:$K$36,6,FALSE),0)</f>
        <v>1</v>
      </c>
      <c r="J721">
        <f>IFERROR(HLOOKUP(J$2,[24]table_male_hkom2_inj.U6!$A$1:$K$36,6,FALSE),0)</f>
        <v>0</v>
      </c>
      <c r="K721">
        <f>IFERROR(HLOOKUP(K$2,[24]table_male_hkom2_inj.U6!$A$1:$K$36,6,FALSE),0)</f>
        <v>0</v>
      </c>
      <c r="L721">
        <f>IFERROR(HLOOKUP(L$2,[24]table_male_hkom2_inj.U6!$A$1:$K$36,6,FALSE),0)</f>
        <v>0</v>
      </c>
      <c r="M721">
        <f t="shared" si="235"/>
        <v>5</v>
      </c>
      <c r="S721" t="s">
        <v>74</v>
      </c>
      <c r="T721" s="5">
        <f t="shared" si="236"/>
        <v>0</v>
      </c>
      <c r="U721" s="5">
        <f t="shared" si="237"/>
        <v>0</v>
      </c>
      <c r="V721" s="5">
        <f t="shared" si="238"/>
        <v>0</v>
      </c>
      <c r="W721" s="5">
        <f t="shared" si="239"/>
        <v>10.454545454545453</v>
      </c>
      <c r="X721" s="5">
        <f t="shared" si="240"/>
        <v>3.8231292517006801</v>
      </c>
      <c r="Y721" s="5">
        <f t="shared" si="241"/>
        <v>0</v>
      </c>
      <c r="Z721" s="5">
        <f t="shared" si="242"/>
        <v>0</v>
      </c>
      <c r="AA721" s="5">
        <f t="shared" si="243"/>
        <v>9.0909090909090912E-2</v>
      </c>
      <c r="AB721" s="5">
        <f t="shared" si="223"/>
        <v>14.368583797155225</v>
      </c>
    </row>
    <row r="722" spans="4:28" x14ac:dyDescent="0.25">
      <c r="D722" t="s">
        <v>75</v>
      </c>
      <c r="E722" s="64"/>
      <c r="F722" s="64"/>
      <c r="G722">
        <f>IFERROR(HLOOKUP(G$2,[24]table_male_hkom2_inj.U6!$A$1:$K$36,7,FALSE),0)</f>
        <v>0</v>
      </c>
      <c r="H722">
        <f>IFERROR(HLOOKUP(H$2,[24]table_male_hkom2_inj.U6!$A$1:$K$36,7,FALSE),0)</f>
        <v>1</v>
      </c>
      <c r="I722">
        <f>IFERROR(HLOOKUP(I$2,[24]table_male_hkom2_inj.U6!$A$1:$K$36,7,FALSE),0)</f>
        <v>4</v>
      </c>
      <c r="J722">
        <f>IFERROR(HLOOKUP(J$2,[24]table_male_hkom2_inj.U6!$A$1:$K$36,7,FALSE),0)</f>
        <v>0</v>
      </c>
      <c r="K722">
        <f>IFERROR(HLOOKUP(K$2,[24]table_male_hkom2_inj.U6!$A$1:$K$36,7,FALSE),0)</f>
        <v>0</v>
      </c>
      <c r="L722">
        <f>IFERROR(HLOOKUP(L$2,[24]table_male_hkom2_inj.U6!$A$1:$K$36,7,FALSE),0)</f>
        <v>0</v>
      </c>
      <c r="M722">
        <f t="shared" si="235"/>
        <v>5</v>
      </c>
      <c r="S722" t="s">
        <v>75</v>
      </c>
      <c r="T722" s="5">
        <f t="shared" si="236"/>
        <v>0</v>
      </c>
      <c r="U722" s="5">
        <f t="shared" si="237"/>
        <v>0</v>
      </c>
      <c r="V722" s="5">
        <f t="shared" si="238"/>
        <v>0</v>
      </c>
      <c r="W722" s="5">
        <f t="shared" si="239"/>
        <v>2.6136363636363633</v>
      </c>
      <c r="X722" s="5">
        <f t="shared" si="240"/>
        <v>15.29251700680272</v>
      </c>
      <c r="Y722" s="5">
        <f t="shared" si="241"/>
        <v>0</v>
      </c>
      <c r="Z722" s="5">
        <f t="shared" si="242"/>
        <v>0</v>
      </c>
      <c r="AA722" s="5">
        <f t="shared" si="243"/>
        <v>9.0909090909090912E-2</v>
      </c>
      <c r="AB722" s="5">
        <f t="shared" si="223"/>
        <v>17.997062461348175</v>
      </c>
    </row>
    <row r="723" spans="4:28" x14ac:dyDescent="0.25">
      <c r="D723" t="s">
        <v>76</v>
      </c>
      <c r="E723" s="64"/>
      <c r="F723" s="64"/>
      <c r="G723">
        <f>IFERROR(HLOOKUP(G$2,[24]table_male_hkom2_inj.U6!$A$1:$K$36,8,FALSE),0)</f>
        <v>2</v>
      </c>
      <c r="H723">
        <f>IFERROR(HLOOKUP(H$2,[24]table_male_hkom2_inj.U6!$A$1:$K$36,8,FALSE),0)</f>
        <v>2</v>
      </c>
      <c r="I723">
        <f>IFERROR(HLOOKUP(I$2,[24]table_male_hkom2_inj.U6!$A$1:$K$36,8,FALSE),0)</f>
        <v>0</v>
      </c>
      <c r="J723">
        <f>IFERROR(HLOOKUP(J$2,[24]table_male_hkom2_inj.U6!$A$1:$K$36,8,FALSE),0)</f>
        <v>0</v>
      </c>
      <c r="K723">
        <f>IFERROR(HLOOKUP(K$2,[24]table_male_hkom2_inj.U6!$A$1:$K$36,8,FALSE),0)</f>
        <v>0</v>
      </c>
      <c r="L723">
        <f>IFERROR(HLOOKUP(L$2,[24]table_male_hkom2_inj.U6!$A$1:$K$36,8,FALSE),0)</f>
        <v>0</v>
      </c>
      <c r="M723">
        <f t="shared" si="235"/>
        <v>4</v>
      </c>
      <c r="S723" t="s">
        <v>76</v>
      </c>
      <c r="T723" s="5">
        <f t="shared" si="236"/>
        <v>0</v>
      </c>
      <c r="U723" s="5">
        <f t="shared" si="237"/>
        <v>0</v>
      </c>
      <c r="V723" s="5">
        <f t="shared" si="238"/>
        <v>4.2370370370370374</v>
      </c>
      <c r="W723" s="5">
        <f t="shared" si="239"/>
        <v>5.2272727272727266</v>
      </c>
      <c r="X723" s="5">
        <f t="shared" si="240"/>
        <v>0</v>
      </c>
      <c r="Y723" s="5">
        <f t="shared" si="241"/>
        <v>0</v>
      </c>
      <c r="Z723" s="5">
        <f t="shared" si="242"/>
        <v>0</v>
      </c>
      <c r="AA723" s="5">
        <f t="shared" si="243"/>
        <v>9.0909090909090912E-2</v>
      </c>
      <c r="AB723" s="5">
        <f t="shared" si="223"/>
        <v>9.5552188552188557</v>
      </c>
    </row>
    <row r="724" spans="4:28" x14ac:dyDescent="0.25">
      <c r="D724" t="s">
        <v>77</v>
      </c>
      <c r="E724" s="64"/>
      <c r="F724" s="64"/>
      <c r="G724">
        <f>IFERROR(HLOOKUP(G$2,[24]table_male_hkom2_inj.U6!$A$1:$K$36,9,FALSE),0)</f>
        <v>3</v>
      </c>
      <c r="H724">
        <f>IFERROR(HLOOKUP(H$2,[24]table_male_hkom2_inj.U6!$A$1:$K$36,9,FALSE),0)</f>
        <v>4</v>
      </c>
      <c r="I724">
        <f>IFERROR(HLOOKUP(I$2,[24]table_male_hkom2_inj.U6!$A$1:$K$36,9,FALSE),0)</f>
        <v>0</v>
      </c>
      <c r="J724">
        <f>IFERROR(HLOOKUP(J$2,[24]table_male_hkom2_inj.U6!$A$1:$K$36,9,FALSE),0)</f>
        <v>0</v>
      </c>
      <c r="K724">
        <f>IFERROR(HLOOKUP(K$2,[24]table_male_hkom2_inj.U6!$A$1:$K$36,9,FALSE),0)</f>
        <v>0</v>
      </c>
      <c r="L724">
        <f>IFERROR(HLOOKUP(L$2,[24]table_male_hkom2_inj.U6!$A$1:$K$36,9,FALSE),0)</f>
        <v>0</v>
      </c>
      <c r="M724">
        <f t="shared" si="235"/>
        <v>7</v>
      </c>
      <c r="S724" t="s">
        <v>77</v>
      </c>
      <c r="T724" s="5">
        <f t="shared" si="236"/>
        <v>0</v>
      </c>
      <c r="U724" s="5">
        <f t="shared" si="237"/>
        <v>0</v>
      </c>
      <c r="V724" s="5">
        <f t="shared" si="238"/>
        <v>6.3555555555555561</v>
      </c>
      <c r="W724" s="5">
        <f t="shared" si="239"/>
        <v>10.454545454545453</v>
      </c>
      <c r="X724" s="5">
        <f t="shared" si="240"/>
        <v>0</v>
      </c>
      <c r="Y724" s="5">
        <f t="shared" si="241"/>
        <v>0</v>
      </c>
      <c r="Z724" s="5">
        <f t="shared" si="242"/>
        <v>0</v>
      </c>
      <c r="AA724" s="5">
        <f t="shared" si="243"/>
        <v>9.0909090909090912E-2</v>
      </c>
      <c r="AB724" s="5">
        <f t="shared" ref="AB724:AB787" si="244">SUM(T724:AA724)</f>
        <v>16.901010101010097</v>
      </c>
    </row>
    <row r="725" spans="4:28" x14ac:dyDescent="0.25">
      <c r="D725" t="s">
        <v>78</v>
      </c>
      <c r="E725" s="64"/>
      <c r="F725" s="64"/>
      <c r="G725">
        <f>IFERROR(HLOOKUP(G$2,[24]table_male_hkom2_inj.U6!$A$1:$K$36,10,FALSE),0)</f>
        <v>7</v>
      </c>
      <c r="H725">
        <f>IFERROR(HLOOKUP(H$2,[24]table_male_hkom2_inj.U6!$A$1:$K$36,10,FALSE),0)</f>
        <v>21</v>
      </c>
      <c r="I725">
        <f>IFERROR(HLOOKUP(I$2,[24]table_male_hkom2_inj.U6!$A$1:$K$36,10,FALSE),0)</f>
        <v>9</v>
      </c>
      <c r="J725">
        <f>IFERROR(HLOOKUP(J$2,[24]table_male_hkom2_inj.U6!$A$1:$K$36,10,FALSE),0)</f>
        <v>1</v>
      </c>
      <c r="K725">
        <f>IFERROR(HLOOKUP(K$2,[24]table_male_hkom2_inj.U6!$A$1:$K$36,10,FALSE),0)</f>
        <v>1</v>
      </c>
      <c r="L725">
        <f>IFERROR(HLOOKUP(L$2,[24]table_male_hkom2_inj.U6!$A$1:$K$36,10,FALSE),0)</f>
        <v>0</v>
      </c>
      <c r="M725">
        <f t="shared" si="235"/>
        <v>39</v>
      </c>
      <c r="S725" t="s">
        <v>78</v>
      </c>
      <c r="T725" s="5">
        <f t="shared" si="236"/>
        <v>0</v>
      </c>
      <c r="U725" s="5">
        <f t="shared" si="237"/>
        <v>0</v>
      </c>
      <c r="V725" s="5">
        <f t="shared" si="238"/>
        <v>14.829629629629629</v>
      </c>
      <c r="W725" s="5">
        <f t="shared" si="239"/>
        <v>54.88636363636364</v>
      </c>
      <c r="X725" s="5">
        <f t="shared" si="240"/>
        <v>34.408163265306122</v>
      </c>
      <c r="Y725" s="5">
        <f t="shared" si="241"/>
        <v>8.6666666666666679</v>
      </c>
      <c r="Z725" s="5">
        <f t="shared" si="242"/>
        <v>6.5</v>
      </c>
      <c r="AA725" s="5">
        <f t="shared" si="243"/>
        <v>9.0909090909090912E-2</v>
      </c>
      <c r="AB725" s="5">
        <f t="shared" si="244"/>
        <v>119.38173228887514</v>
      </c>
    </row>
    <row r="726" spans="4:28" x14ac:dyDescent="0.25">
      <c r="D726" t="s">
        <v>79</v>
      </c>
      <c r="E726" s="64"/>
      <c r="F726" s="64"/>
      <c r="G726">
        <f>IFERROR(HLOOKUP(G$2,[24]table_male_hkom2_inj.U6!$A$1:$K$36,11,FALSE),0)</f>
        <v>4</v>
      </c>
      <c r="H726">
        <f>IFERROR(HLOOKUP(H$2,[24]table_male_hkom2_inj.U6!$A$1:$K$36,11,FALSE),0)</f>
        <v>3</v>
      </c>
      <c r="I726">
        <f>IFERROR(HLOOKUP(I$2,[24]table_male_hkom2_inj.U6!$A$1:$K$36,11,FALSE),0)</f>
        <v>3</v>
      </c>
      <c r="J726">
        <f>IFERROR(HLOOKUP(J$2,[24]table_male_hkom2_inj.U6!$A$1:$K$36,11,FALSE),0)</f>
        <v>2</v>
      </c>
      <c r="K726">
        <f>IFERROR(HLOOKUP(K$2,[24]table_male_hkom2_inj.U6!$A$1:$K$36,11,FALSE),0)</f>
        <v>0</v>
      </c>
      <c r="L726">
        <f>IFERROR(HLOOKUP(L$2,[24]table_male_hkom2_inj.U6!$A$1:$K$36,11,FALSE),0)</f>
        <v>0</v>
      </c>
      <c r="M726">
        <f t="shared" si="235"/>
        <v>12</v>
      </c>
      <c r="S726" t="s">
        <v>79</v>
      </c>
      <c r="T726" s="5">
        <f t="shared" si="236"/>
        <v>0</v>
      </c>
      <c r="U726" s="5">
        <f t="shared" si="237"/>
        <v>0</v>
      </c>
      <c r="V726" s="5">
        <f t="shared" si="238"/>
        <v>8.4740740740740748</v>
      </c>
      <c r="W726" s="5">
        <f t="shared" si="239"/>
        <v>7.8409090909090908</v>
      </c>
      <c r="X726" s="5">
        <f t="shared" si="240"/>
        <v>11.469387755102041</v>
      </c>
      <c r="Y726" s="5">
        <f t="shared" si="241"/>
        <v>17.333333333333336</v>
      </c>
      <c r="Z726" s="5">
        <f t="shared" si="242"/>
        <v>0</v>
      </c>
      <c r="AA726" s="5">
        <f t="shared" si="243"/>
        <v>9.0909090909090912E-2</v>
      </c>
      <c r="AB726" s="5">
        <f t="shared" si="244"/>
        <v>45.208613344327631</v>
      </c>
    </row>
    <row r="727" spans="4:28" x14ac:dyDescent="0.25">
      <c r="D727" t="s">
        <v>80</v>
      </c>
      <c r="E727" s="64"/>
      <c r="F727" s="64"/>
      <c r="G727">
        <f>IFERROR(HLOOKUP(G$2,[24]table_male_hkom2_inj.U6!$A$1:$K$36,12,FALSE),0)</f>
        <v>5</v>
      </c>
      <c r="H727">
        <f>IFERROR(HLOOKUP(H$2,[24]table_male_hkom2_inj.U6!$A$1:$K$36,12,FALSE),0)</f>
        <v>7</v>
      </c>
      <c r="I727">
        <f>IFERROR(HLOOKUP(I$2,[24]table_male_hkom2_inj.U6!$A$1:$K$36,12,FALSE),0)</f>
        <v>4</v>
      </c>
      <c r="J727">
        <f>IFERROR(HLOOKUP(J$2,[24]table_male_hkom2_inj.U6!$A$1:$K$36,12,FALSE),0)</f>
        <v>0</v>
      </c>
      <c r="K727">
        <f>IFERROR(HLOOKUP(K$2,[24]table_male_hkom2_inj.U6!$A$1:$K$36,12,FALSE),0)</f>
        <v>0</v>
      </c>
      <c r="L727">
        <f>IFERROR(HLOOKUP(L$2,[24]table_male_hkom2_inj.U6!$A$1:$K$36,12,FALSE),0)</f>
        <v>0</v>
      </c>
      <c r="M727">
        <f t="shared" si="235"/>
        <v>16</v>
      </c>
      <c r="S727" t="s">
        <v>80</v>
      </c>
      <c r="T727" s="5">
        <f t="shared" si="236"/>
        <v>0</v>
      </c>
      <c r="U727" s="5">
        <f t="shared" si="237"/>
        <v>0</v>
      </c>
      <c r="V727" s="5">
        <f t="shared" si="238"/>
        <v>10.592592592592592</v>
      </c>
      <c r="W727" s="5">
        <f t="shared" si="239"/>
        <v>18.295454545454547</v>
      </c>
      <c r="X727" s="5">
        <f t="shared" si="240"/>
        <v>15.29251700680272</v>
      </c>
      <c r="Y727" s="5">
        <f t="shared" si="241"/>
        <v>0</v>
      </c>
      <c r="Z727" s="5">
        <f t="shared" si="242"/>
        <v>0</v>
      </c>
      <c r="AA727" s="5">
        <f t="shared" si="243"/>
        <v>9.0909090909090912E-2</v>
      </c>
      <c r="AB727" s="5">
        <f t="shared" si="244"/>
        <v>44.271473235758954</v>
      </c>
    </row>
    <row r="728" spans="4:28" x14ac:dyDescent="0.25">
      <c r="D728" t="s">
        <v>81</v>
      </c>
      <c r="E728" s="64"/>
      <c r="F728" s="64"/>
      <c r="G728">
        <f>IFERROR(HLOOKUP(G$2,[24]table_male_hkom2_inj.U6!$A$1:$K$36,13,FALSE),0)</f>
        <v>3</v>
      </c>
      <c r="H728">
        <f>IFERROR(HLOOKUP(H$2,[24]table_male_hkom2_inj.U6!$A$1:$K$36,13,FALSE),0)</f>
        <v>0</v>
      </c>
      <c r="I728">
        <f>IFERROR(HLOOKUP(I$2,[24]table_male_hkom2_inj.U6!$A$1:$K$36,13,FALSE),0)</f>
        <v>1</v>
      </c>
      <c r="J728">
        <f>IFERROR(HLOOKUP(J$2,[24]table_male_hkom2_inj.U6!$A$1:$K$36,13,FALSE),0)</f>
        <v>0</v>
      </c>
      <c r="K728">
        <f>IFERROR(HLOOKUP(K$2,[24]table_male_hkom2_inj.U6!$A$1:$K$36,13,FALSE),0)</f>
        <v>0</v>
      </c>
      <c r="L728">
        <f>IFERROR(HLOOKUP(L$2,[24]table_male_hkom2_inj.U6!$A$1:$K$36,13,FALSE),0)</f>
        <v>0</v>
      </c>
      <c r="M728">
        <f t="shared" si="235"/>
        <v>4</v>
      </c>
      <c r="S728" t="s">
        <v>81</v>
      </c>
      <c r="T728" s="5">
        <f t="shared" si="236"/>
        <v>0</v>
      </c>
      <c r="U728" s="5">
        <f t="shared" si="237"/>
        <v>0</v>
      </c>
      <c r="V728" s="5">
        <f t="shared" si="238"/>
        <v>6.3555555555555561</v>
      </c>
      <c r="W728" s="5">
        <f t="shared" si="239"/>
        <v>0</v>
      </c>
      <c r="X728" s="5">
        <f t="shared" si="240"/>
        <v>3.8231292517006801</v>
      </c>
      <c r="Y728" s="5">
        <f t="shared" si="241"/>
        <v>0</v>
      </c>
      <c r="Z728" s="5">
        <f t="shared" si="242"/>
        <v>0</v>
      </c>
      <c r="AA728" s="5">
        <f t="shared" si="243"/>
        <v>9.0909090909090912E-2</v>
      </c>
      <c r="AB728" s="5">
        <f t="shared" si="244"/>
        <v>10.269593898165327</v>
      </c>
    </row>
    <row r="729" spans="4:28" x14ac:dyDescent="0.25">
      <c r="D729" t="s">
        <v>82</v>
      </c>
      <c r="E729" s="64"/>
      <c r="F729" s="64"/>
      <c r="G729">
        <f>IFERROR(HLOOKUP(G$2,[24]table_male_hkom2_inj.U6!$A$1:$K$36,14,FALSE),0)</f>
        <v>9</v>
      </c>
      <c r="H729">
        <f>IFERROR(HLOOKUP(H$2,[24]table_male_hkom2_inj.U6!$A$1:$K$36,14,FALSE),0)</f>
        <v>8</v>
      </c>
      <c r="I729">
        <f>IFERROR(HLOOKUP(I$2,[24]table_male_hkom2_inj.U6!$A$1:$K$36,14,FALSE),0)</f>
        <v>4</v>
      </c>
      <c r="J729">
        <f>IFERROR(HLOOKUP(J$2,[24]table_male_hkom2_inj.U6!$A$1:$K$36,14,FALSE),0)</f>
        <v>1</v>
      </c>
      <c r="K729">
        <f>IFERROR(HLOOKUP(K$2,[24]table_male_hkom2_inj.U6!$A$1:$K$36,14,FALSE),0)</f>
        <v>0</v>
      </c>
      <c r="L729">
        <f>IFERROR(HLOOKUP(L$2,[24]table_male_hkom2_inj.U6!$A$1:$K$36,14,FALSE),0)</f>
        <v>0</v>
      </c>
      <c r="M729">
        <f t="shared" si="235"/>
        <v>22</v>
      </c>
      <c r="S729" t="s">
        <v>82</v>
      </c>
      <c r="T729" s="5">
        <f t="shared" si="236"/>
        <v>0</v>
      </c>
      <c r="U729" s="5">
        <f t="shared" si="237"/>
        <v>0</v>
      </c>
      <c r="V729" s="5">
        <f t="shared" si="238"/>
        <v>19.066666666666666</v>
      </c>
      <c r="W729" s="5">
        <f t="shared" si="239"/>
        <v>20.909090909090907</v>
      </c>
      <c r="X729" s="5">
        <f t="shared" si="240"/>
        <v>15.29251700680272</v>
      </c>
      <c r="Y729" s="5">
        <f t="shared" si="241"/>
        <v>8.6666666666666679</v>
      </c>
      <c r="Z729" s="5">
        <f t="shared" si="242"/>
        <v>0</v>
      </c>
      <c r="AA729" s="5">
        <f t="shared" si="243"/>
        <v>9.0909090909090912E-2</v>
      </c>
      <c r="AB729" s="5">
        <f t="shared" si="244"/>
        <v>64.025850340136046</v>
      </c>
    </row>
    <row r="730" spans="4:28" x14ac:dyDescent="0.25">
      <c r="D730" t="s">
        <v>83</v>
      </c>
      <c r="E730" s="64"/>
      <c r="F730" s="64"/>
      <c r="G730">
        <f>IFERROR(HLOOKUP(G$2,[24]table_male_hkom2_inj.U6!$A$1:$K$36,15,FALSE),0)</f>
        <v>4</v>
      </c>
      <c r="H730">
        <f>IFERROR(HLOOKUP(H$2,[24]table_male_hkom2_inj.U6!$A$1:$K$36,15,FALSE),0)</f>
        <v>5</v>
      </c>
      <c r="I730">
        <f>IFERROR(HLOOKUP(I$2,[24]table_male_hkom2_inj.U6!$A$1:$K$36,15,FALSE),0)</f>
        <v>0</v>
      </c>
      <c r="J730">
        <f>IFERROR(HLOOKUP(J$2,[24]table_male_hkom2_inj.U6!$A$1:$K$36,15,FALSE),0)</f>
        <v>0</v>
      </c>
      <c r="K730">
        <f>IFERROR(HLOOKUP(K$2,[24]table_male_hkom2_inj.U6!$A$1:$K$36,15,FALSE),0)</f>
        <v>0</v>
      </c>
      <c r="L730">
        <f>IFERROR(HLOOKUP(L$2,[24]table_male_hkom2_inj.U6!$A$1:$K$36,15,FALSE),0)</f>
        <v>0</v>
      </c>
      <c r="M730">
        <f t="shared" si="235"/>
        <v>9</v>
      </c>
      <c r="S730" t="s">
        <v>83</v>
      </c>
      <c r="T730" s="5">
        <f t="shared" si="236"/>
        <v>0</v>
      </c>
      <c r="U730" s="5">
        <f t="shared" si="237"/>
        <v>0</v>
      </c>
      <c r="V730" s="5">
        <f t="shared" si="238"/>
        <v>8.4740740740740748</v>
      </c>
      <c r="W730" s="5">
        <f t="shared" si="239"/>
        <v>13.068181818181818</v>
      </c>
      <c r="X730" s="5">
        <f t="shared" si="240"/>
        <v>0</v>
      </c>
      <c r="Y730" s="5">
        <f t="shared" si="241"/>
        <v>0</v>
      </c>
      <c r="Z730" s="5">
        <f t="shared" si="242"/>
        <v>0</v>
      </c>
      <c r="AA730" s="5">
        <f t="shared" si="243"/>
        <v>9.0909090909090912E-2</v>
      </c>
      <c r="AB730" s="5">
        <f t="shared" si="244"/>
        <v>21.633164983164985</v>
      </c>
    </row>
    <row r="731" spans="4:28" x14ac:dyDescent="0.25">
      <c r="D731" t="s">
        <v>84</v>
      </c>
      <c r="E731" s="64"/>
      <c r="F731" s="64"/>
      <c r="G731">
        <f>IFERROR(HLOOKUP(G$2,[24]table_male_hkom2_inj.U6!$A$1:$K$36,16,FALSE),0)</f>
        <v>3</v>
      </c>
      <c r="H731">
        <f>IFERROR(HLOOKUP(H$2,[24]table_male_hkom2_inj.U6!$A$1:$K$36,16,FALSE),0)</f>
        <v>0</v>
      </c>
      <c r="I731">
        <f>IFERROR(HLOOKUP(I$2,[24]table_male_hkom2_inj.U6!$A$1:$K$36,16,FALSE),0)</f>
        <v>2</v>
      </c>
      <c r="J731">
        <f>IFERROR(HLOOKUP(J$2,[24]table_male_hkom2_inj.U6!$A$1:$K$36,16,FALSE),0)</f>
        <v>0</v>
      </c>
      <c r="K731">
        <f>IFERROR(HLOOKUP(K$2,[24]table_male_hkom2_inj.U6!$A$1:$K$36,16,FALSE),0)</f>
        <v>1</v>
      </c>
      <c r="L731">
        <f>IFERROR(HLOOKUP(L$2,[24]table_male_hkom2_inj.U6!$A$1:$K$36,16,FALSE),0)</f>
        <v>0</v>
      </c>
      <c r="M731">
        <f t="shared" si="235"/>
        <v>6</v>
      </c>
      <c r="S731" t="s">
        <v>84</v>
      </c>
      <c r="T731" s="5">
        <f t="shared" si="236"/>
        <v>0</v>
      </c>
      <c r="U731" s="5">
        <f t="shared" si="237"/>
        <v>0</v>
      </c>
      <c r="V731" s="5">
        <f t="shared" si="238"/>
        <v>6.3555555555555561</v>
      </c>
      <c r="W731" s="5">
        <f t="shared" si="239"/>
        <v>0</v>
      </c>
      <c r="X731" s="5">
        <f t="shared" si="240"/>
        <v>7.6462585034013602</v>
      </c>
      <c r="Y731" s="5">
        <f t="shared" si="241"/>
        <v>0</v>
      </c>
      <c r="Z731" s="5">
        <f t="shared" si="242"/>
        <v>6.5</v>
      </c>
      <c r="AA731" s="5">
        <f t="shared" si="243"/>
        <v>9.0909090909090912E-2</v>
      </c>
      <c r="AB731" s="5">
        <f t="shared" si="244"/>
        <v>20.592723149866007</v>
      </c>
    </row>
    <row r="732" spans="4:28" x14ac:dyDescent="0.25">
      <c r="D732" t="s">
        <v>85</v>
      </c>
      <c r="E732" s="64"/>
      <c r="F732" s="64"/>
      <c r="G732">
        <f>IFERROR(HLOOKUP(G$2,[24]table_male_hkom2_inj.U6!$A$1:$K$36,17,FALSE),0)</f>
        <v>2</v>
      </c>
      <c r="H732">
        <f>IFERROR(HLOOKUP(H$2,[24]table_male_hkom2_inj.U6!$A$1:$K$36,17,FALSE),0)</f>
        <v>8</v>
      </c>
      <c r="I732">
        <f>IFERROR(HLOOKUP(I$2,[24]table_male_hkom2_inj.U6!$A$1:$K$36,17,FALSE),0)</f>
        <v>1</v>
      </c>
      <c r="J732">
        <f>IFERROR(HLOOKUP(J$2,[24]table_male_hkom2_inj.U6!$A$1:$K$36,17,FALSE),0)</f>
        <v>0</v>
      </c>
      <c r="K732">
        <f>IFERROR(HLOOKUP(K$2,[24]table_male_hkom2_inj.U6!$A$1:$K$36,17,FALSE),0)</f>
        <v>0</v>
      </c>
      <c r="L732">
        <f>IFERROR(HLOOKUP(L$2,[24]table_male_hkom2_inj.U6!$A$1:$K$36,17,FALSE),0)</f>
        <v>0</v>
      </c>
      <c r="M732">
        <f t="shared" si="235"/>
        <v>11</v>
      </c>
      <c r="S732" t="s">
        <v>85</v>
      </c>
      <c r="T732" s="5">
        <f t="shared" si="236"/>
        <v>0</v>
      </c>
      <c r="U732" s="5">
        <f t="shared" si="237"/>
        <v>0</v>
      </c>
      <c r="V732" s="5">
        <f t="shared" si="238"/>
        <v>4.2370370370370374</v>
      </c>
      <c r="W732" s="5">
        <f t="shared" si="239"/>
        <v>20.909090909090907</v>
      </c>
      <c r="X732" s="5">
        <f t="shared" si="240"/>
        <v>3.8231292517006801</v>
      </c>
      <c r="Y732" s="5">
        <f t="shared" si="241"/>
        <v>0</v>
      </c>
      <c r="Z732" s="5">
        <f t="shared" si="242"/>
        <v>0</v>
      </c>
      <c r="AA732" s="5">
        <f t="shared" si="243"/>
        <v>9.0909090909090912E-2</v>
      </c>
      <c r="AB732" s="5">
        <f t="shared" si="244"/>
        <v>29.060166288737715</v>
      </c>
    </row>
    <row r="733" spans="4:28" x14ac:dyDescent="0.25">
      <c r="D733" t="s">
        <v>86</v>
      </c>
      <c r="E733" s="64"/>
      <c r="F733" s="64"/>
      <c r="G733">
        <f>IFERROR(HLOOKUP(G$2,[24]table_male_hkom2_inj.U6!$A$1:$K$36,18,FALSE),0)</f>
        <v>13</v>
      </c>
      <c r="H733">
        <f>IFERROR(HLOOKUP(H$2,[24]table_male_hkom2_inj.U6!$A$1:$K$36,18,FALSE),0)</f>
        <v>15</v>
      </c>
      <c r="I733">
        <f>IFERROR(HLOOKUP(I$2,[24]table_male_hkom2_inj.U6!$A$1:$K$36,18,FALSE),0)</f>
        <v>8</v>
      </c>
      <c r="J733">
        <f>IFERROR(HLOOKUP(J$2,[24]table_male_hkom2_inj.U6!$A$1:$K$36,18,FALSE),0)</f>
        <v>2</v>
      </c>
      <c r="K733">
        <f>IFERROR(HLOOKUP(K$2,[24]table_male_hkom2_inj.U6!$A$1:$K$36,18,FALSE),0)</f>
        <v>0</v>
      </c>
      <c r="L733">
        <f>IFERROR(HLOOKUP(L$2,[24]table_male_hkom2_inj.U6!$A$1:$K$36,18,FALSE),0)</f>
        <v>0</v>
      </c>
      <c r="M733">
        <f t="shared" si="235"/>
        <v>38</v>
      </c>
      <c r="S733" t="s">
        <v>86</v>
      </c>
      <c r="T733" s="5">
        <f t="shared" si="236"/>
        <v>0</v>
      </c>
      <c r="U733" s="5">
        <f t="shared" si="237"/>
        <v>0</v>
      </c>
      <c r="V733" s="5">
        <f t="shared" si="238"/>
        <v>27.540740740740741</v>
      </c>
      <c r="W733" s="5">
        <f t="shared" si="239"/>
        <v>39.204545454545453</v>
      </c>
      <c r="X733" s="5">
        <f t="shared" si="240"/>
        <v>30.585034013605441</v>
      </c>
      <c r="Y733" s="5">
        <f t="shared" si="241"/>
        <v>17.333333333333336</v>
      </c>
      <c r="Z733" s="5">
        <f t="shared" si="242"/>
        <v>0</v>
      </c>
      <c r="AA733" s="5">
        <f t="shared" si="243"/>
        <v>9.0909090909090912E-2</v>
      </c>
      <c r="AB733" s="5">
        <f t="shared" si="244"/>
        <v>114.75456263313407</v>
      </c>
    </row>
    <row r="734" spans="4:28" x14ac:dyDescent="0.25">
      <c r="D734" t="s">
        <v>87</v>
      </c>
      <c r="E734" s="64"/>
      <c r="F734" s="64"/>
      <c r="G734">
        <f>IFERROR(HLOOKUP(G$2,[24]table_male_hkom2_inj.U6!$A$1:$K$36,19,FALSE),0)</f>
        <v>3</v>
      </c>
      <c r="H734">
        <f>IFERROR(HLOOKUP(H$2,[24]table_male_hkom2_inj.U6!$A$1:$K$36,19,FALSE),0)</f>
        <v>12</v>
      </c>
      <c r="I734">
        <f>IFERROR(HLOOKUP(I$2,[24]table_male_hkom2_inj.U6!$A$1:$K$36,19,FALSE),0)</f>
        <v>13</v>
      </c>
      <c r="J734">
        <f>IFERROR(HLOOKUP(J$2,[24]table_male_hkom2_inj.U6!$A$1:$K$36,19,FALSE),0)</f>
        <v>1</v>
      </c>
      <c r="K734">
        <f>IFERROR(HLOOKUP(K$2,[24]table_male_hkom2_inj.U6!$A$1:$K$36,19,FALSE),0)</f>
        <v>0</v>
      </c>
      <c r="L734">
        <f>IFERROR(HLOOKUP(L$2,[24]table_male_hkom2_inj.U6!$A$1:$K$36,19,FALSE),0)</f>
        <v>0</v>
      </c>
      <c r="M734">
        <f t="shared" si="235"/>
        <v>29</v>
      </c>
      <c r="S734" t="s">
        <v>87</v>
      </c>
      <c r="T734" s="5">
        <f t="shared" si="236"/>
        <v>0</v>
      </c>
      <c r="U734" s="5">
        <f t="shared" si="237"/>
        <v>0</v>
      </c>
      <c r="V734" s="5">
        <f t="shared" si="238"/>
        <v>6.3555555555555561</v>
      </c>
      <c r="W734" s="5">
        <f t="shared" si="239"/>
        <v>31.363636363636363</v>
      </c>
      <c r="X734" s="5">
        <f t="shared" si="240"/>
        <v>49.700680272108841</v>
      </c>
      <c r="Y734" s="5">
        <f t="shared" si="241"/>
        <v>8.6666666666666679</v>
      </c>
      <c r="Z734" s="5">
        <f t="shared" si="242"/>
        <v>0</v>
      </c>
      <c r="AA734" s="5">
        <f t="shared" si="243"/>
        <v>9.0909090909090912E-2</v>
      </c>
      <c r="AB734" s="5">
        <f t="shared" si="244"/>
        <v>96.177447948876519</v>
      </c>
    </row>
    <row r="735" spans="4:28" x14ac:dyDescent="0.25">
      <c r="D735" t="s">
        <v>88</v>
      </c>
      <c r="E735" s="64"/>
      <c r="F735" s="64"/>
      <c r="G735">
        <f>IFERROR(HLOOKUP(G$2,[24]table_male_hkom2_inj.U6!$A$1:$K$36,20,FALSE),0)</f>
        <v>19</v>
      </c>
      <c r="H735">
        <f>IFERROR(HLOOKUP(H$2,[24]table_male_hkom2_inj.U6!$A$1:$K$36,20,FALSE),0)</f>
        <v>27</v>
      </c>
      <c r="I735">
        <f>IFERROR(HLOOKUP(I$2,[24]table_male_hkom2_inj.U6!$A$1:$K$36,20,FALSE),0)</f>
        <v>19</v>
      </c>
      <c r="J735">
        <f>IFERROR(HLOOKUP(J$2,[24]table_male_hkom2_inj.U6!$A$1:$K$36,20,FALSE),0)</f>
        <v>2</v>
      </c>
      <c r="K735">
        <f>IFERROR(HLOOKUP(K$2,[24]table_male_hkom2_inj.U6!$A$1:$K$36,20,FALSE),0)</f>
        <v>1</v>
      </c>
      <c r="L735">
        <f>IFERROR(HLOOKUP(L$2,[24]table_male_hkom2_inj.U6!$A$1:$K$36,20,FALSE),0)</f>
        <v>0</v>
      </c>
      <c r="M735">
        <f t="shared" si="235"/>
        <v>68</v>
      </c>
      <c r="S735" t="s">
        <v>88</v>
      </c>
      <c r="T735" s="5">
        <f t="shared" si="236"/>
        <v>0</v>
      </c>
      <c r="U735" s="5">
        <f t="shared" si="237"/>
        <v>0</v>
      </c>
      <c r="V735" s="5">
        <f t="shared" si="238"/>
        <v>40.251851851851853</v>
      </c>
      <c r="W735" s="5">
        <f t="shared" si="239"/>
        <v>70.568181818181813</v>
      </c>
      <c r="X735" s="5">
        <f t="shared" si="240"/>
        <v>72.639455782312922</v>
      </c>
      <c r="Y735" s="5">
        <f t="shared" si="241"/>
        <v>17.333333333333336</v>
      </c>
      <c r="Z735" s="5">
        <f t="shared" si="242"/>
        <v>6.5</v>
      </c>
      <c r="AA735" s="5">
        <f t="shared" si="243"/>
        <v>9.0909090909090912E-2</v>
      </c>
      <c r="AB735" s="5">
        <f t="shared" si="244"/>
        <v>207.38373187658902</v>
      </c>
    </row>
    <row r="736" spans="4:28" x14ac:dyDescent="0.25">
      <c r="D736" t="s">
        <v>89</v>
      </c>
      <c r="E736" s="64"/>
      <c r="F736" s="64"/>
      <c r="G736">
        <f>IFERROR(HLOOKUP(G$2,[24]table_male_hkom2_inj.U6!$A$1:$K$36,21,FALSE),0)</f>
        <v>12</v>
      </c>
      <c r="H736">
        <f>IFERROR(HLOOKUP(H$2,[24]table_male_hkom2_inj.U6!$A$1:$K$36,21,FALSE),0)</f>
        <v>29</v>
      </c>
      <c r="I736">
        <f>IFERROR(HLOOKUP(I$2,[24]table_male_hkom2_inj.U6!$A$1:$K$36,21,FALSE),0)</f>
        <v>22</v>
      </c>
      <c r="J736">
        <f>IFERROR(HLOOKUP(J$2,[24]table_male_hkom2_inj.U6!$A$1:$K$36,21,FALSE),0)</f>
        <v>4</v>
      </c>
      <c r="K736">
        <f>IFERROR(HLOOKUP(K$2,[24]table_male_hkom2_inj.U6!$A$1:$K$36,21,FALSE),0)</f>
        <v>0</v>
      </c>
      <c r="L736">
        <f>IFERROR(HLOOKUP(L$2,[24]table_male_hkom2_inj.U6!$A$1:$K$36,21,FALSE),0)</f>
        <v>0</v>
      </c>
      <c r="M736">
        <f t="shared" si="235"/>
        <v>67</v>
      </c>
      <c r="S736" t="s">
        <v>89</v>
      </c>
      <c r="T736" s="5">
        <f t="shared" si="236"/>
        <v>0</v>
      </c>
      <c r="U736" s="5">
        <f t="shared" si="237"/>
        <v>0</v>
      </c>
      <c r="V736" s="5">
        <f t="shared" si="238"/>
        <v>25.422222222222224</v>
      </c>
      <c r="W736" s="5">
        <f t="shared" si="239"/>
        <v>75.795454545454533</v>
      </c>
      <c r="X736" s="5">
        <f t="shared" si="240"/>
        <v>84.10884353741497</v>
      </c>
      <c r="Y736" s="5">
        <f t="shared" si="241"/>
        <v>34.666666666666671</v>
      </c>
      <c r="Z736" s="5">
        <f t="shared" si="242"/>
        <v>0</v>
      </c>
      <c r="AA736" s="5">
        <f t="shared" si="243"/>
        <v>9.0909090909090912E-2</v>
      </c>
      <c r="AB736" s="5">
        <f t="shared" si="244"/>
        <v>220.0840960626675</v>
      </c>
    </row>
    <row r="737" spans="1:29" x14ac:dyDescent="0.25">
      <c r="D737" t="s">
        <v>90</v>
      </c>
      <c r="E737" s="64"/>
      <c r="F737" s="64"/>
      <c r="G737">
        <f>IFERROR(HLOOKUP(G$2,[24]table_male_hkom2_inj.U6!$A$1:$K$36,22,FALSE),0)</f>
        <v>0</v>
      </c>
      <c r="H737">
        <f>IFERROR(HLOOKUP(H$2,[24]table_male_hkom2_inj.U6!$A$1:$K$36,22,FALSE),0)</f>
        <v>1</v>
      </c>
      <c r="I737">
        <f>IFERROR(HLOOKUP(I$2,[24]table_male_hkom2_inj.U6!$A$1:$K$36,22,FALSE),0)</f>
        <v>1</v>
      </c>
      <c r="J737">
        <f>IFERROR(HLOOKUP(J$2,[24]table_male_hkom2_inj.U6!$A$1:$K$36,22,FALSE),0)</f>
        <v>0</v>
      </c>
      <c r="K737">
        <f>IFERROR(HLOOKUP(K$2,[24]table_male_hkom2_inj.U6!$A$1:$K$36,22,FALSE),0)</f>
        <v>0</v>
      </c>
      <c r="L737">
        <f>IFERROR(HLOOKUP(L$2,[24]table_male_hkom2_inj.U6!$A$1:$K$36,22,FALSE),0)</f>
        <v>0</v>
      </c>
      <c r="M737">
        <f t="shared" si="235"/>
        <v>2</v>
      </c>
      <c r="S737" t="s">
        <v>90</v>
      </c>
      <c r="T737" s="5">
        <f t="shared" si="236"/>
        <v>0</v>
      </c>
      <c r="U737" s="5">
        <f t="shared" si="237"/>
        <v>0</v>
      </c>
      <c r="V737" s="5">
        <f t="shared" si="238"/>
        <v>0</v>
      </c>
      <c r="W737" s="5">
        <f t="shared" si="239"/>
        <v>2.6136363636363633</v>
      </c>
      <c r="X737" s="5">
        <f t="shared" si="240"/>
        <v>3.8231292517006801</v>
      </c>
      <c r="Y737" s="5">
        <f t="shared" si="241"/>
        <v>0</v>
      </c>
      <c r="Z737" s="5">
        <f t="shared" si="242"/>
        <v>0</v>
      </c>
      <c r="AA737" s="5">
        <f t="shared" si="243"/>
        <v>9.0909090909090912E-2</v>
      </c>
      <c r="AB737" s="5">
        <f t="shared" si="244"/>
        <v>6.5276747062461338</v>
      </c>
    </row>
    <row r="738" spans="1:29" x14ac:dyDescent="0.25">
      <c r="D738" t="s">
        <v>91</v>
      </c>
      <c r="E738" s="64"/>
      <c r="F738" s="64"/>
      <c r="G738">
        <f>IFERROR(HLOOKUP(G$2,[24]table_male_hkom2_inj.U6!$A$1:$K$36,23,FALSE),0)</f>
        <v>2</v>
      </c>
      <c r="H738">
        <f>IFERROR(HLOOKUP(H$2,[24]table_male_hkom2_inj.U6!$A$1:$K$36,23,FALSE),0)</f>
        <v>4</v>
      </c>
      <c r="I738">
        <f>IFERROR(HLOOKUP(I$2,[24]table_male_hkom2_inj.U6!$A$1:$K$36,23,FALSE),0)</f>
        <v>2</v>
      </c>
      <c r="J738">
        <f>IFERROR(HLOOKUP(J$2,[24]table_male_hkom2_inj.U6!$A$1:$K$36,23,FALSE),0)</f>
        <v>0</v>
      </c>
      <c r="K738">
        <f>IFERROR(HLOOKUP(K$2,[24]table_male_hkom2_inj.U6!$A$1:$K$36,23,FALSE),0)</f>
        <v>0</v>
      </c>
      <c r="L738">
        <f>IFERROR(HLOOKUP(L$2,[24]table_male_hkom2_inj.U6!$A$1:$K$36,23,FALSE),0)</f>
        <v>0</v>
      </c>
      <c r="M738">
        <f t="shared" si="235"/>
        <v>8</v>
      </c>
      <c r="S738" t="s">
        <v>91</v>
      </c>
      <c r="T738" s="5">
        <f t="shared" si="236"/>
        <v>0</v>
      </c>
      <c r="U738" s="5">
        <f t="shared" si="237"/>
        <v>0</v>
      </c>
      <c r="V738" s="5">
        <f t="shared" si="238"/>
        <v>4.2370370370370374</v>
      </c>
      <c r="W738" s="5">
        <f t="shared" si="239"/>
        <v>10.454545454545453</v>
      </c>
      <c r="X738" s="5">
        <f t="shared" si="240"/>
        <v>7.6462585034013602</v>
      </c>
      <c r="Y738" s="5">
        <f t="shared" si="241"/>
        <v>0</v>
      </c>
      <c r="Z738" s="5">
        <f t="shared" si="242"/>
        <v>0</v>
      </c>
      <c r="AA738" s="5">
        <f t="shared" si="243"/>
        <v>9.0909090909090912E-2</v>
      </c>
      <c r="AB738" s="5">
        <f t="shared" si="244"/>
        <v>22.42875008589294</v>
      </c>
    </row>
    <row r="739" spans="1:29" x14ac:dyDescent="0.25">
      <c r="D739" t="s">
        <v>92</v>
      </c>
      <c r="E739" s="64"/>
      <c r="F739" s="64"/>
      <c r="G739">
        <f>IFERROR(HLOOKUP(G$2,[24]table_male_hkom2_inj.U6!$A$1:$K$36,24,FALSE),0)</f>
        <v>0</v>
      </c>
      <c r="H739">
        <f>IFERROR(HLOOKUP(H$2,[24]table_male_hkom2_inj.U6!$A$1:$K$36,24,FALSE),0)</f>
        <v>0</v>
      </c>
      <c r="I739">
        <f>IFERROR(HLOOKUP(I$2,[24]table_male_hkom2_inj.U6!$A$1:$K$36,24,FALSE),0)</f>
        <v>0</v>
      </c>
      <c r="J739">
        <f>IFERROR(HLOOKUP(J$2,[24]table_male_hkom2_inj.U6!$A$1:$K$36,24,FALSE),0)</f>
        <v>0</v>
      </c>
      <c r="K739">
        <f>IFERROR(HLOOKUP(K$2,[24]table_male_hkom2_inj.U6!$A$1:$K$36,24,FALSE),0)</f>
        <v>0</v>
      </c>
      <c r="L739">
        <f>IFERROR(HLOOKUP(L$2,[24]table_male_hkom2_inj.U6!$A$1:$K$36,24,FALSE),0)</f>
        <v>0</v>
      </c>
      <c r="M739">
        <f t="shared" si="235"/>
        <v>0</v>
      </c>
      <c r="S739" t="s">
        <v>92</v>
      </c>
      <c r="T739" s="5">
        <f t="shared" si="236"/>
        <v>0</v>
      </c>
      <c r="U739" s="5">
        <f t="shared" si="237"/>
        <v>0</v>
      </c>
      <c r="V739" s="5">
        <f t="shared" si="238"/>
        <v>0</v>
      </c>
      <c r="W739" s="5">
        <f t="shared" si="239"/>
        <v>0</v>
      </c>
      <c r="X739" s="5">
        <f t="shared" si="240"/>
        <v>0</v>
      </c>
      <c r="Y739" s="5">
        <f t="shared" si="241"/>
        <v>0</v>
      </c>
      <c r="Z739" s="5">
        <f t="shared" si="242"/>
        <v>0</v>
      </c>
      <c r="AA739" s="5">
        <f t="shared" si="243"/>
        <v>9.0909090909090912E-2</v>
      </c>
      <c r="AB739" s="5">
        <f t="shared" si="244"/>
        <v>9.0909090909090912E-2</v>
      </c>
    </row>
    <row r="740" spans="1:29" x14ac:dyDescent="0.25">
      <c r="D740" t="s">
        <v>93</v>
      </c>
      <c r="E740" s="64"/>
      <c r="F740" s="64"/>
      <c r="G740">
        <f>IFERROR(HLOOKUP(G$2,[24]table_male_hkom2_inj.U6!$A$1:$K$36,25,FALSE),0)</f>
        <v>0</v>
      </c>
      <c r="H740">
        <f>IFERROR(HLOOKUP(H$2,[24]table_male_hkom2_inj.U6!$A$1:$K$36,25,FALSE),0)</f>
        <v>0</v>
      </c>
      <c r="I740">
        <f>IFERROR(HLOOKUP(I$2,[24]table_male_hkom2_inj.U6!$A$1:$K$36,25,FALSE),0)</f>
        <v>0</v>
      </c>
      <c r="J740">
        <f>IFERROR(HLOOKUP(J$2,[24]table_male_hkom2_inj.U6!$A$1:$K$36,25,FALSE),0)</f>
        <v>0</v>
      </c>
      <c r="K740">
        <f>IFERROR(HLOOKUP(K$2,[24]table_male_hkom2_inj.U6!$A$1:$K$36,25,FALSE),0)</f>
        <v>0</v>
      </c>
      <c r="L740">
        <f>IFERROR(HLOOKUP(L$2,[24]table_male_hkom2_inj.U6!$A$1:$K$36,25,FALSE),0)</f>
        <v>0</v>
      </c>
      <c r="M740">
        <f t="shared" si="235"/>
        <v>0</v>
      </c>
      <c r="S740" t="s">
        <v>93</v>
      </c>
      <c r="T740" s="5">
        <f t="shared" si="236"/>
        <v>0</v>
      </c>
      <c r="U740" s="5">
        <f t="shared" si="237"/>
        <v>0</v>
      </c>
      <c r="V740" s="5">
        <f t="shared" si="238"/>
        <v>0</v>
      </c>
      <c r="W740" s="5">
        <f t="shared" si="239"/>
        <v>0</v>
      </c>
      <c r="X740" s="5">
        <f t="shared" si="240"/>
        <v>0</v>
      </c>
      <c r="Y740" s="5">
        <f t="shared" si="241"/>
        <v>0</v>
      </c>
      <c r="Z740" s="5">
        <f t="shared" si="242"/>
        <v>0</v>
      </c>
      <c r="AA740" s="5">
        <f t="shared" si="243"/>
        <v>9.0909090909090912E-2</v>
      </c>
      <c r="AB740" s="5">
        <f t="shared" si="244"/>
        <v>9.0909090909090912E-2</v>
      </c>
    </row>
    <row r="741" spans="1:29" x14ac:dyDescent="0.25">
      <c r="D741" t="s">
        <v>94</v>
      </c>
      <c r="E741" s="64"/>
      <c r="F741" s="64"/>
      <c r="G741">
        <f>IFERROR(HLOOKUP(G$2,[24]table_male_hkom2_inj.U6!$A$1:$K$36,26,FALSE),0)</f>
        <v>0</v>
      </c>
      <c r="H741">
        <f>IFERROR(HLOOKUP(H$2,[24]table_male_hkom2_inj.U6!$A$1:$K$36,26,FALSE),0)</f>
        <v>0</v>
      </c>
      <c r="I741">
        <f>IFERROR(HLOOKUP(I$2,[24]table_male_hkom2_inj.U6!$A$1:$K$36,26,FALSE),0)</f>
        <v>0</v>
      </c>
      <c r="J741">
        <f>IFERROR(HLOOKUP(J$2,[24]table_male_hkom2_inj.U6!$A$1:$K$36,26,FALSE),0)</f>
        <v>0</v>
      </c>
      <c r="K741">
        <f>IFERROR(HLOOKUP(K$2,[24]table_male_hkom2_inj.U6!$A$1:$K$36,26,FALSE),0)</f>
        <v>0</v>
      </c>
      <c r="L741">
        <f>IFERROR(HLOOKUP(L$2,[24]table_male_hkom2_inj.U6!$A$1:$K$36,26,FALSE),0)</f>
        <v>0</v>
      </c>
      <c r="M741">
        <f t="shared" si="235"/>
        <v>0</v>
      </c>
      <c r="S741" t="s">
        <v>94</v>
      </c>
      <c r="T741" s="5">
        <f t="shared" si="236"/>
        <v>0</v>
      </c>
      <c r="U741" s="5">
        <f t="shared" si="237"/>
        <v>0</v>
      </c>
      <c r="V741" s="5">
        <f t="shared" si="238"/>
        <v>0</v>
      </c>
      <c r="W741" s="5">
        <f t="shared" si="239"/>
        <v>0</v>
      </c>
      <c r="X741" s="5">
        <f t="shared" si="240"/>
        <v>0</v>
      </c>
      <c r="Y741" s="5">
        <f t="shared" si="241"/>
        <v>0</v>
      </c>
      <c r="Z741" s="5">
        <f t="shared" si="242"/>
        <v>0</v>
      </c>
      <c r="AA741" s="5">
        <f t="shared" si="243"/>
        <v>9.0909090909090912E-2</v>
      </c>
      <c r="AB741" s="5">
        <f t="shared" si="244"/>
        <v>9.0909090909090912E-2</v>
      </c>
    </row>
    <row r="742" spans="1:29" x14ac:dyDescent="0.25">
      <c r="D742" t="s">
        <v>95</v>
      </c>
      <c r="E742" s="64"/>
      <c r="F742" s="64"/>
      <c r="G742">
        <f>IFERROR(HLOOKUP(G$2,[24]table_male_hkom2_inj.U6!$A$1:$K$36,27,FALSE),0)</f>
        <v>0</v>
      </c>
      <c r="H742">
        <f>IFERROR(HLOOKUP(H$2,[24]table_male_hkom2_inj.U6!$A$1:$K$36,27,FALSE),0)</f>
        <v>0</v>
      </c>
      <c r="I742">
        <f>IFERROR(HLOOKUP(I$2,[24]table_male_hkom2_inj.U6!$A$1:$K$36,27,FALSE),0)</f>
        <v>0</v>
      </c>
      <c r="J742">
        <f>IFERROR(HLOOKUP(J$2,[24]table_male_hkom2_inj.U6!$A$1:$K$36,27,FALSE),0)</f>
        <v>0</v>
      </c>
      <c r="K742">
        <f>IFERROR(HLOOKUP(K$2,[24]table_male_hkom2_inj.U6!$A$1:$K$36,27,FALSE),0)</f>
        <v>0</v>
      </c>
      <c r="L742">
        <f>IFERROR(HLOOKUP(L$2,[24]table_male_hkom2_inj.U6!$A$1:$K$36,27,FALSE),0)</f>
        <v>0</v>
      </c>
      <c r="M742">
        <f t="shared" si="235"/>
        <v>0</v>
      </c>
      <c r="S742" t="s">
        <v>95</v>
      </c>
      <c r="T742" s="5">
        <f t="shared" si="236"/>
        <v>0</v>
      </c>
      <c r="U742" s="5">
        <f t="shared" si="237"/>
        <v>0</v>
      </c>
      <c r="V742" s="5">
        <f t="shared" si="238"/>
        <v>0</v>
      </c>
      <c r="W742" s="5">
        <f t="shared" si="239"/>
        <v>0</v>
      </c>
      <c r="X742" s="5">
        <f t="shared" si="240"/>
        <v>0</v>
      </c>
      <c r="Y742" s="5">
        <f t="shared" si="241"/>
        <v>0</v>
      </c>
      <c r="Z742" s="5">
        <f t="shared" si="242"/>
        <v>0</v>
      </c>
      <c r="AA742" s="5">
        <f t="shared" si="243"/>
        <v>9.0909090909090912E-2</v>
      </c>
      <c r="AB742" s="5">
        <f t="shared" si="244"/>
        <v>9.0909090909090912E-2</v>
      </c>
    </row>
    <row r="743" spans="1:29" x14ac:dyDescent="0.25">
      <c r="D743" t="s">
        <v>96</v>
      </c>
      <c r="E743" s="64"/>
      <c r="F743" s="64"/>
      <c r="G743">
        <f>IFERROR(HLOOKUP(G$2,[24]table_male_hkom2_inj.U6!$A$1:$K$36,28,FALSE),0)</f>
        <v>0</v>
      </c>
      <c r="H743">
        <f>IFERROR(HLOOKUP(H$2,[24]table_male_hkom2_inj.U6!$A$1:$K$36,28,FALSE),0)</f>
        <v>0</v>
      </c>
      <c r="I743">
        <f>IFERROR(HLOOKUP(I$2,[24]table_male_hkom2_inj.U6!$A$1:$K$36,28,FALSE),0)</f>
        <v>0</v>
      </c>
      <c r="J743">
        <f>IFERROR(HLOOKUP(J$2,[24]table_male_hkom2_inj.U6!$A$1:$K$36,28,FALSE),0)</f>
        <v>0</v>
      </c>
      <c r="K743">
        <f>IFERROR(HLOOKUP(K$2,[24]table_male_hkom2_inj.U6!$A$1:$K$36,28,FALSE),0)</f>
        <v>0</v>
      </c>
      <c r="L743">
        <f>IFERROR(HLOOKUP(L$2,[24]table_male_hkom2_inj.U6!$A$1:$K$36,28,FALSE),0)</f>
        <v>0</v>
      </c>
      <c r="M743">
        <f t="shared" si="235"/>
        <v>0</v>
      </c>
      <c r="S743" t="s">
        <v>96</v>
      </c>
      <c r="T743" s="5">
        <f t="shared" si="236"/>
        <v>0</v>
      </c>
      <c r="U743" s="5">
        <f t="shared" si="237"/>
        <v>0</v>
      </c>
      <c r="V743" s="5">
        <f t="shared" si="238"/>
        <v>0</v>
      </c>
      <c r="W743" s="5">
        <f t="shared" si="239"/>
        <v>0</v>
      </c>
      <c r="X743" s="5">
        <f t="shared" si="240"/>
        <v>0</v>
      </c>
      <c r="Y743" s="5">
        <f t="shared" si="241"/>
        <v>0</v>
      </c>
      <c r="Z743" s="5">
        <f t="shared" si="242"/>
        <v>0</v>
      </c>
      <c r="AA743" s="5">
        <f t="shared" si="243"/>
        <v>9.0909090909090912E-2</v>
      </c>
      <c r="AB743" s="5">
        <f t="shared" si="244"/>
        <v>9.0909090909090912E-2</v>
      </c>
    </row>
    <row r="744" spans="1:29" x14ac:dyDescent="0.25">
      <c r="D744" t="s">
        <v>97</v>
      </c>
      <c r="E744" s="64"/>
      <c r="F744" s="64"/>
      <c r="G744">
        <f>IFERROR(HLOOKUP(G$2,[24]table_male_hkom2_inj.U6!$A$1:$K$36,29,FALSE),0)</f>
        <v>2</v>
      </c>
      <c r="H744">
        <f>IFERROR(HLOOKUP(H$2,[24]table_male_hkom2_inj.U6!$A$1:$K$36,29,FALSE),0)</f>
        <v>2</v>
      </c>
      <c r="I744">
        <f>IFERROR(HLOOKUP(I$2,[24]table_male_hkom2_inj.U6!$A$1:$K$36,29,FALSE),0)</f>
        <v>0</v>
      </c>
      <c r="J744">
        <f>IFERROR(HLOOKUP(J$2,[24]table_male_hkom2_inj.U6!$A$1:$K$36,29,FALSE),0)</f>
        <v>0</v>
      </c>
      <c r="K744">
        <f>IFERROR(HLOOKUP(K$2,[24]table_male_hkom2_inj.U6!$A$1:$K$36,29,FALSE),0)</f>
        <v>0</v>
      </c>
      <c r="L744">
        <f>IFERROR(HLOOKUP(L$2,[24]table_male_hkom2_inj.U6!$A$1:$K$36,29,FALSE),0)</f>
        <v>0</v>
      </c>
      <c r="M744">
        <f t="shared" si="235"/>
        <v>4</v>
      </c>
      <c r="S744" t="s">
        <v>97</v>
      </c>
      <c r="T744" s="5">
        <f t="shared" si="236"/>
        <v>0</v>
      </c>
      <c r="U744" s="5">
        <f t="shared" si="237"/>
        <v>0</v>
      </c>
      <c r="V744" s="5">
        <f t="shared" si="238"/>
        <v>4.2370370370370374</v>
      </c>
      <c r="W744" s="5">
        <f t="shared" si="239"/>
        <v>5.2272727272727266</v>
      </c>
      <c r="X744" s="5">
        <f t="shared" si="240"/>
        <v>0</v>
      </c>
      <c r="Y744" s="5">
        <f t="shared" si="241"/>
        <v>0</v>
      </c>
      <c r="Z744" s="5">
        <f t="shared" si="242"/>
        <v>0</v>
      </c>
      <c r="AA744" s="5">
        <f t="shared" si="243"/>
        <v>9.0909090909090912E-2</v>
      </c>
      <c r="AB744" s="5">
        <f t="shared" si="244"/>
        <v>9.5552188552188557</v>
      </c>
    </row>
    <row r="745" spans="1:29" x14ac:dyDescent="0.25">
      <c r="D745" t="s">
        <v>98</v>
      </c>
      <c r="E745" s="64"/>
      <c r="F745" s="64"/>
      <c r="G745">
        <f>IFERROR(HLOOKUP(G$2,[24]table_male_hkom2_inj.U6!$A$1:$K$36,30,FALSE),0)</f>
        <v>3</v>
      </c>
      <c r="H745">
        <f>IFERROR(HLOOKUP(H$2,[24]table_male_hkom2_inj.U6!$A$1:$K$36,30,FALSE),0)</f>
        <v>5</v>
      </c>
      <c r="I745">
        <f>IFERROR(HLOOKUP(I$2,[24]table_male_hkom2_inj.U6!$A$1:$K$36,30,FALSE),0)</f>
        <v>3</v>
      </c>
      <c r="J745">
        <f>IFERROR(HLOOKUP(J$2,[24]table_male_hkom2_inj.U6!$A$1:$K$36,30,FALSE),0)</f>
        <v>0</v>
      </c>
      <c r="K745">
        <f>IFERROR(HLOOKUP(K$2,[24]table_male_hkom2_inj.U6!$A$1:$K$36,30,FALSE),0)</f>
        <v>0</v>
      </c>
      <c r="L745">
        <f>IFERROR(HLOOKUP(L$2,[24]table_male_hkom2_inj.U6!$A$1:$K$36,30,FALSE),0)</f>
        <v>0</v>
      </c>
      <c r="M745">
        <f t="shared" si="235"/>
        <v>11</v>
      </c>
      <c r="S745" t="s">
        <v>98</v>
      </c>
      <c r="T745" s="5">
        <f t="shared" si="236"/>
        <v>0</v>
      </c>
      <c r="U745" s="5">
        <f t="shared" si="237"/>
        <v>0</v>
      </c>
      <c r="V745" s="5">
        <f t="shared" si="238"/>
        <v>6.3555555555555561</v>
      </c>
      <c r="W745" s="5">
        <f t="shared" si="239"/>
        <v>13.068181818181818</v>
      </c>
      <c r="X745" s="5">
        <f t="shared" si="240"/>
        <v>11.469387755102041</v>
      </c>
      <c r="Y745" s="5">
        <f t="shared" si="241"/>
        <v>0</v>
      </c>
      <c r="Z745" s="5">
        <f t="shared" si="242"/>
        <v>0</v>
      </c>
      <c r="AA745" s="5">
        <f t="shared" si="243"/>
        <v>9.0909090909090912E-2</v>
      </c>
      <c r="AB745" s="5">
        <f t="shared" si="244"/>
        <v>30.984034219748505</v>
      </c>
    </row>
    <row r="746" spans="1:29" x14ac:dyDescent="0.25">
      <c r="D746" t="s">
        <v>119</v>
      </c>
      <c r="E746" s="64"/>
      <c r="F746" s="64"/>
      <c r="G746">
        <f>IFERROR(HLOOKUP(G$2,[24]table_male_hkom2_inj.U6!$A$1:$K$36,31,FALSE),0)</f>
        <v>1</v>
      </c>
      <c r="H746">
        <f>IFERROR(HLOOKUP(H$2,[24]table_male_hkom2_inj.U6!$A$1:$K$36,31,FALSE),0)</f>
        <v>1</v>
      </c>
      <c r="I746">
        <f>IFERROR(HLOOKUP(I$2,[24]table_male_hkom2_inj.U6!$A$1:$K$36,31,FALSE),0)</f>
        <v>3</v>
      </c>
      <c r="J746">
        <f>IFERROR(HLOOKUP(J$2,[24]table_male_hkom2_inj.U6!$A$1:$K$36,31,FALSE),0)</f>
        <v>0</v>
      </c>
      <c r="K746">
        <f>IFERROR(HLOOKUP(K$2,[24]table_male_hkom2_inj.U6!$A$1:$K$36,31,FALSE),0)</f>
        <v>0</v>
      </c>
      <c r="L746">
        <f>IFERROR(HLOOKUP(L$2,[24]table_male_hkom2_inj.U6!$A$1:$K$36,31,FALSE),0)</f>
        <v>0</v>
      </c>
      <c r="M746">
        <f t="shared" si="235"/>
        <v>5</v>
      </c>
      <c r="S746" t="s">
        <v>119</v>
      </c>
      <c r="T746" s="5">
        <f t="shared" si="236"/>
        <v>0</v>
      </c>
      <c r="U746" s="5">
        <f t="shared" si="237"/>
        <v>0</v>
      </c>
      <c r="V746" s="5">
        <f t="shared" si="238"/>
        <v>2.1185185185185187</v>
      </c>
      <c r="W746" s="5">
        <f t="shared" si="239"/>
        <v>2.6136363636363633</v>
      </c>
      <c r="X746" s="5">
        <f t="shared" si="240"/>
        <v>11.469387755102041</v>
      </c>
      <c r="Y746" s="5">
        <f t="shared" si="241"/>
        <v>0</v>
      </c>
      <c r="Z746" s="5">
        <f t="shared" si="242"/>
        <v>0</v>
      </c>
      <c r="AA746" s="5">
        <f t="shared" si="243"/>
        <v>9.0909090909090912E-2</v>
      </c>
      <c r="AB746" s="5">
        <f t="shared" si="244"/>
        <v>16.292451728166011</v>
      </c>
    </row>
    <row r="747" spans="1:29" x14ac:dyDescent="0.25">
      <c r="D747" t="s">
        <v>99</v>
      </c>
      <c r="E747" s="64"/>
      <c r="F747" s="64"/>
      <c r="G747">
        <f>IFERROR(HLOOKUP(G$2,[24]table_male_hkom2_inj.U6!$A$1:$K$36,32,FALSE),0)</f>
        <v>7</v>
      </c>
      <c r="H747">
        <f>IFERROR(HLOOKUP(H$2,[24]table_male_hkom2_inj.U6!$A$1:$K$36,32,FALSE),0)</f>
        <v>5</v>
      </c>
      <c r="I747">
        <f>IFERROR(HLOOKUP(I$2,[24]table_male_hkom2_inj.U6!$A$1:$K$36,32,FALSE),0)</f>
        <v>7</v>
      </c>
      <c r="J747">
        <f>IFERROR(HLOOKUP(J$2,[24]table_male_hkom2_inj.U6!$A$1:$K$36,32,FALSE),0)</f>
        <v>0</v>
      </c>
      <c r="K747">
        <f>IFERROR(HLOOKUP(K$2,[24]table_male_hkom2_inj.U6!$A$1:$K$36,32,FALSE),0)</f>
        <v>0</v>
      </c>
      <c r="L747">
        <f>IFERROR(HLOOKUP(L$2,[24]table_male_hkom2_inj.U6!$A$1:$K$36,32,FALSE),0)</f>
        <v>0</v>
      </c>
      <c r="M747">
        <f t="shared" si="235"/>
        <v>19</v>
      </c>
      <c r="S747" t="s">
        <v>99</v>
      </c>
      <c r="T747" s="5">
        <f t="shared" si="236"/>
        <v>0</v>
      </c>
      <c r="U747" s="5">
        <f t="shared" si="237"/>
        <v>0</v>
      </c>
      <c r="V747" s="5">
        <f t="shared" si="238"/>
        <v>14.829629629629629</v>
      </c>
      <c r="W747" s="5">
        <f t="shared" si="239"/>
        <v>13.068181818181818</v>
      </c>
      <c r="X747" s="5">
        <f t="shared" si="240"/>
        <v>26.761904761904759</v>
      </c>
      <c r="Y747" s="5">
        <f t="shared" si="241"/>
        <v>0</v>
      </c>
      <c r="Z747" s="5">
        <f t="shared" si="242"/>
        <v>0</v>
      </c>
      <c r="AA747" s="5">
        <f t="shared" si="243"/>
        <v>9.0909090909090912E-2</v>
      </c>
      <c r="AB747" s="5">
        <f t="shared" si="244"/>
        <v>54.750625300625302</v>
      </c>
    </row>
    <row r="748" spans="1:29" x14ac:dyDescent="0.25">
      <c r="D748" t="s">
        <v>100</v>
      </c>
      <c r="E748" s="64"/>
      <c r="F748" s="64"/>
      <c r="G748">
        <f>IFERROR(HLOOKUP(G$2,[24]table_male_hkom2_inj.U6!$A$1:$K$36,33,FALSE),0)</f>
        <v>20</v>
      </c>
      <c r="H748">
        <f>IFERROR(HLOOKUP(H$2,[24]table_male_hkom2_inj.U6!$A$1:$K$36,33,FALSE),0)</f>
        <v>31</v>
      </c>
      <c r="I748">
        <f>IFERROR(HLOOKUP(I$2,[24]table_male_hkom2_inj.U6!$A$1:$K$36,33,FALSE),0)</f>
        <v>32</v>
      </c>
      <c r="J748">
        <f>IFERROR(HLOOKUP(J$2,[24]table_male_hkom2_inj.U6!$A$1:$K$36,33,FALSE),0)</f>
        <v>2</v>
      </c>
      <c r="K748">
        <f>IFERROR(HLOOKUP(K$2,[24]table_male_hkom2_inj.U6!$A$1:$K$36,33,FALSE),0)</f>
        <v>1</v>
      </c>
      <c r="L748">
        <f>IFERROR(HLOOKUP(L$2,[24]table_male_hkom2_inj.U6!$A$1:$K$36,33,FALSE),0)</f>
        <v>0</v>
      </c>
      <c r="M748">
        <f t="shared" si="235"/>
        <v>86</v>
      </c>
      <c r="S748" t="s">
        <v>100</v>
      </c>
      <c r="T748" s="5">
        <f t="shared" si="236"/>
        <v>0</v>
      </c>
      <c r="U748" s="5">
        <f t="shared" si="237"/>
        <v>0</v>
      </c>
      <c r="V748" s="5">
        <f t="shared" si="238"/>
        <v>42.370370370370367</v>
      </c>
      <c r="W748" s="5">
        <f t="shared" si="239"/>
        <v>81.022727272727266</v>
      </c>
      <c r="X748" s="5">
        <f t="shared" si="240"/>
        <v>122.34013605442176</v>
      </c>
      <c r="Y748" s="5">
        <f t="shared" si="241"/>
        <v>17.333333333333336</v>
      </c>
      <c r="Z748" s="5">
        <f t="shared" si="242"/>
        <v>6.5</v>
      </c>
      <c r="AA748" s="5">
        <f t="shared" si="243"/>
        <v>9.0909090909090912E-2</v>
      </c>
      <c r="AB748" s="5">
        <f t="shared" si="244"/>
        <v>269.65747612176176</v>
      </c>
    </row>
    <row r="749" spans="1:29" x14ac:dyDescent="0.25">
      <c r="D749" t="s">
        <v>101</v>
      </c>
      <c r="E749" s="64"/>
      <c r="F749" s="64"/>
      <c r="G749">
        <f>IFERROR(HLOOKUP(G$2,[24]table_male_hkom2_inj.U6!$A$1:$K$36,34,FALSE),0)</f>
        <v>6</v>
      </c>
      <c r="H749">
        <f>IFERROR(HLOOKUP(H$2,[24]table_male_hkom2_inj.U6!$A$1:$K$36,34,FALSE),0)</f>
        <v>11</v>
      </c>
      <c r="I749">
        <f>IFERROR(HLOOKUP(I$2,[24]table_male_hkom2_inj.U6!$A$1:$K$36,34,FALSE),0)</f>
        <v>5</v>
      </c>
      <c r="J749">
        <f>IFERROR(HLOOKUP(J$2,[24]table_male_hkom2_inj.U6!$A$1:$K$36,34,FALSE),0)</f>
        <v>0</v>
      </c>
      <c r="K749">
        <f>IFERROR(HLOOKUP(K$2,[24]table_male_hkom2_inj.U6!$A$1:$K$36,34,FALSE),0)</f>
        <v>0</v>
      </c>
      <c r="L749">
        <f>IFERROR(HLOOKUP(L$2,[24]table_male_hkom2_inj.U6!$A$1:$K$36,34,FALSE),0)</f>
        <v>0</v>
      </c>
      <c r="M749">
        <f t="shared" si="235"/>
        <v>22</v>
      </c>
      <c r="S749" t="s">
        <v>101</v>
      </c>
      <c r="T749" s="5">
        <f t="shared" si="236"/>
        <v>0</v>
      </c>
      <c r="U749" s="5">
        <f t="shared" si="237"/>
        <v>0</v>
      </c>
      <c r="V749" s="5">
        <f t="shared" si="238"/>
        <v>12.711111111111112</v>
      </c>
      <c r="W749" s="5">
        <f t="shared" si="239"/>
        <v>28.75</v>
      </c>
      <c r="X749" s="5">
        <f t="shared" si="240"/>
        <v>19.115646258503403</v>
      </c>
      <c r="Y749" s="5">
        <f t="shared" si="241"/>
        <v>0</v>
      </c>
      <c r="Z749" s="5">
        <f t="shared" si="242"/>
        <v>0</v>
      </c>
      <c r="AA749" s="5">
        <f t="shared" si="243"/>
        <v>9.0909090909090912E-2</v>
      </c>
      <c r="AB749" s="5">
        <f t="shared" si="244"/>
        <v>60.667666460523606</v>
      </c>
    </row>
    <row r="750" spans="1:29" x14ac:dyDescent="0.25">
      <c r="D750" t="s">
        <v>102</v>
      </c>
      <c r="E750" s="64"/>
      <c r="F750" s="64"/>
      <c r="G750">
        <f>IFERROR(HLOOKUP(G$2,[24]table_male_hkom2_inj.U6!$A$1:$K$36,35,FALSE),0)</f>
        <v>151</v>
      </c>
      <c r="H750">
        <f>IFERROR(HLOOKUP(H$2,[24]table_male_hkom2_inj.U6!$A$1:$K$36,35,FALSE),0)</f>
        <v>355</v>
      </c>
      <c r="I750">
        <f>IFERROR(HLOOKUP(I$2,[24]table_male_hkom2_inj.U6!$A$1:$K$36,35,FALSE),0)</f>
        <v>415</v>
      </c>
      <c r="J750">
        <f>IFERROR(HLOOKUP(J$2,[24]table_male_hkom2_inj.U6!$A$1:$K$36,35,FALSE),0)</f>
        <v>115</v>
      </c>
      <c r="K750">
        <f>IFERROR(HLOOKUP(K$2,[24]table_male_hkom2_inj.U6!$A$1:$K$36,35,FALSE),0)</f>
        <v>22</v>
      </c>
      <c r="L750">
        <f>IFERROR(HLOOKUP(L$2,[24]table_male_hkom2_inj.U6!$A$1:$K$36,35,FALSE),0)</f>
        <v>3</v>
      </c>
      <c r="M750">
        <f t="shared" si="235"/>
        <v>1061</v>
      </c>
      <c r="N750">
        <f>SUM(M717:M750)</f>
        <v>1582</v>
      </c>
      <c r="O750" s="8">
        <f>SUM([24]table_male_hkom2_inj.U6!$B$2:$L$36)</f>
        <v>1582</v>
      </c>
      <c r="S750" t="s">
        <v>102</v>
      </c>
      <c r="T750" s="7"/>
      <c r="U750" s="7"/>
      <c r="V750" s="7"/>
      <c r="W750" s="7"/>
      <c r="X750" s="7"/>
      <c r="Y750" s="7"/>
      <c r="Z750" s="7"/>
      <c r="AA750" s="7"/>
      <c r="AB750" s="5">
        <f t="shared" si="244"/>
        <v>0</v>
      </c>
      <c r="AC750" s="5">
        <f>SUM(AB717:AB749)</f>
        <v>1581.9999999999993</v>
      </c>
    </row>
    <row r="751" spans="1:29" x14ac:dyDescent="0.25">
      <c r="A751" t="s">
        <v>104</v>
      </c>
      <c r="B751" t="s">
        <v>117</v>
      </c>
      <c r="C751" t="s">
        <v>102</v>
      </c>
      <c r="D751" t="s">
        <v>70</v>
      </c>
      <c r="E751" s="64"/>
      <c r="F751" s="64"/>
      <c r="G751">
        <f>IFERROR(HLOOKUP(G$2,[25]table_male_hkom3_inj.unk!$A$1:$K$36,2,FALSE),0)</f>
        <v>0</v>
      </c>
      <c r="H751">
        <f>IFERROR(HLOOKUP(H$2,[25]table_male_hkom3_inj.unk!$A$1:$K$36,2,FALSE),0)</f>
        <v>0</v>
      </c>
      <c r="I751">
        <f>IFERROR(HLOOKUP(I$2,[25]table_male_hkom3_inj.unk!$A$1:$K$36,2,FALSE),0)</f>
        <v>0</v>
      </c>
      <c r="J751">
        <f>IFERROR(HLOOKUP(J$2,[25]table_male_hkom3_inj.unk!$A$1:$K$36,2,FALSE),0)</f>
        <v>0</v>
      </c>
      <c r="K751">
        <f>IFERROR(HLOOKUP(K$2,[25]table_male_hkom3_inj.unk!$A$1:$K$36,2,FALSE),0)</f>
        <v>0</v>
      </c>
      <c r="L751">
        <f>IFERROR(HLOOKUP(L$2,[25]table_male_hkom3_inj.unk!$A$1:$K$36,2,FALSE),0)</f>
        <v>0</v>
      </c>
      <c r="M751">
        <f>SUM(E751:L751)</f>
        <v>0</v>
      </c>
      <c r="P751" t="s">
        <v>104</v>
      </c>
      <c r="Q751" t="s">
        <v>117</v>
      </c>
      <c r="R751" t="s">
        <v>102</v>
      </c>
      <c r="S751" t="s">
        <v>70</v>
      </c>
      <c r="T751" s="5">
        <f>IF(SUM(E$751:E$783)=0,E$784/33,E751+IFERROR(E751/SUM(E$751:E$783)*E$784,0))</f>
        <v>0</v>
      </c>
      <c r="U751" s="5">
        <f t="shared" ref="U751:AA751" si="245">IF(SUM(F$751:F$783)=0,F$784/33,F751+IFERROR(F751/SUM(F$751:F$783)*F$784,0))</f>
        <v>0</v>
      </c>
      <c r="V751" s="5">
        <f t="shared" si="245"/>
        <v>0</v>
      </c>
      <c r="W751" s="5">
        <f t="shared" si="245"/>
        <v>0</v>
      </c>
      <c r="X751" s="5">
        <f t="shared" si="245"/>
        <v>0</v>
      </c>
      <c r="Y751" s="5">
        <f t="shared" si="245"/>
        <v>0</v>
      </c>
      <c r="Z751" s="5">
        <f t="shared" si="245"/>
        <v>0</v>
      </c>
      <c r="AA751" s="5">
        <f t="shared" si="245"/>
        <v>0</v>
      </c>
      <c r="AB751" s="5">
        <f t="shared" si="244"/>
        <v>0</v>
      </c>
    </row>
    <row r="752" spans="1:29" x14ac:dyDescent="0.25">
      <c r="D752" t="s">
        <v>71</v>
      </c>
      <c r="E752" s="64"/>
      <c r="F752" s="64"/>
      <c r="G752">
        <f>IFERROR(HLOOKUP(G$2,[25]table_male_hkom3_inj.unk!$A$1:$K$36,3,FALSE),0)</f>
        <v>0</v>
      </c>
      <c r="H752">
        <f>IFERROR(HLOOKUP(H$2,[25]table_male_hkom3_inj.unk!$A$1:$K$36,3,FALSE),0)</f>
        <v>0</v>
      </c>
      <c r="I752">
        <f>IFERROR(HLOOKUP(I$2,[25]table_male_hkom3_inj.unk!$A$1:$K$36,3,FALSE),0)</f>
        <v>0</v>
      </c>
      <c r="J752">
        <f>IFERROR(HLOOKUP(J$2,[25]table_male_hkom3_inj.unk!$A$1:$K$36,3,FALSE),0)</f>
        <v>0</v>
      </c>
      <c r="K752">
        <f>IFERROR(HLOOKUP(K$2,[25]table_male_hkom3_inj.unk!$A$1:$K$36,3,FALSE),0)</f>
        <v>0</v>
      </c>
      <c r="L752">
        <f>IFERROR(HLOOKUP(L$2,[25]table_male_hkom3_inj.unk!$A$1:$K$36,3,FALSE),0)</f>
        <v>0</v>
      </c>
      <c r="M752">
        <f t="shared" ref="M752:M784" si="246">SUM(E752:L752)</f>
        <v>0</v>
      </c>
      <c r="S752" t="s">
        <v>71</v>
      </c>
      <c r="T752" s="5">
        <f t="shared" ref="T752:T783" si="247">IF(SUM(E$751:E$783)=0,E$784/33,E752+IFERROR(E752/SUM(E$751:E$783)*E$784,0))</f>
        <v>0</v>
      </c>
      <c r="U752" s="5">
        <f t="shared" ref="U752:U783" si="248">IF(SUM(F$751:F$783)=0,F$784/33,F752+IFERROR(F752/SUM(F$751:F$783)*F$784,0))</f>
        <v>0</v>
      </c>
      <c r="V752" s="5">
        <f t="shared" ref="V752:V783" si="249">IF(SUM(G$751:G$783)=0,G$784/33,G752+IFERROR(G752/SUM(G$751:G$783)*G$784,0))</f>
        <v>0</v>
      </c>
      <c r="W752" s="5">
        <f t="shared" ref="W752:W783" si="250">IF(SUM(H$751:H$783)=0,H$784/33,H752+IFERROR(H752/SUM(H$751:H$783)*H$784,0))</f>
        <v>0</v>
      </c>
      <c r="X752" s="5">
        <f t="shared" ref="X752:X783" si="251">IF(SUM(I$751:I$783)=0,I$784/33,I752+IFERROR(I752/SUM(I$751:I$783)*I$784,0))</f>
        <v>0</v>
      </c>
      <c r="Y752" s="5">
        <f t="shared" ref="Y752:Y783" si="252">IF(SUM(J$751:J$783)=0,J$784/33,J752+IFERROR(J752/SUM(J$751:J$783)*J$784,0))</f>
        <v>0</v>
      </c>
      <c r="Z752" s="5">
        <f t="shared" ref="Z752:Z783" si="253">IF(SUM(K$751:K$783)=0,K$784/33,K752+IFERROR(K752/SUM(K$751:K$783)*K$784,0))</f>
        <v>0</v>
      </c>
      <c r="AA752" s="5">
        <f t="shared" ref="AA752:AA783" si="254">IF(SUM(L$751:L$783)=0,L$784/33,L752+IFERROR(L752/SUM(L$751:L$783)*L$784,0))</f>
        <v>0</v>
      </c>
      <c r="AB752" s="5">
        <f t="shared" si="244"/>
        <v>0</v>
      </c>
    </row>
    <row r="753" spans="4:28" x14ac:dyDescent="0.25">
      <c r="D753" t="s">
        <v>72</v>
      </c>
      <c r="E753" s="64"/>
      <c r="F753" s="64"/>
      <c r="G753">
        <f>IFERROR(HLOOKUP(G$2,[25]table_male_hkom3_inj.unk!$A$1:$K$36,4,FALSE),0)</f>
        <v>0</v>
      </c>
      <c r="H753">
        <f>IFERROR(HLOOKUP(H$2,[25]table_male_hkom3_inj.unk!$A$1:$K$36,4,FALSE),0)</f>
        <v>0</v>
      </c>
      <c r="I753">
        <f>IFERROR(HLOOKUP(I$2,[25]table_male_hkom3_inj.unk!$A$1:$K$36,4,FALSE),0)</f>
        <v>0</v>
      </c>
      <c r="J753">
        <f>IFERROR(HLOOKUP(J$2,[25]table_male_hkom3_inj.unk!$A$1:$K$36,4,FALSE),0)</f>
        <v>0</v>
      </c>
      <c r="K753">
        <f>IFERROR(HLOOKUP(K$2,[25]table_male_hkom3_inj.unk!$A$1:$K$36,4,FALSE),0)</f>
        <v>0</v>
      </c>
      <c r="L753">
        <f>IFERROR(HLOOKUP(L$2,[25]table_male_hkom3_inj.unk!$A$1:$K$36,4,FALSE),0)</f>
        <v>0</v>
      </c>
      <c r="M753">
        <f t="shared" si="246"/>
        <v>0</v>
      </c>
      <c r="S753" t="s">
        <v>72</v>
      </c>
      <c r="T753" s="5">
        <f t="shared" si="247"/>
        <v>0</v>
      </c>
      <c r="U753" s="5">
        <f t="shared" si="248"/>
        <v>0</v>
      </c>
      <c r="V753" s="5">
        <f t="shared" si="249"/>
        <v>0</v>
      </c>
      <c r="W753" s="5">
        <f t="shared" si="250"/>
        <v>0</v>
      </c>
      <c r="X753" s="5">
        <f t="shared" si="251"/>
        <v>0</v>
      </c>
      <c r="Y753" s="5">
        <f t="shared" si="252"/>
        <v>0</v>
      </c>
      <c r="Z753" s="5">
        <f t="shared" si="253"/>
        <v>0</v>
      </c>
      <c r="AA753" s="5">
        <f t="shared" si="254"/>
        <v>0</v>
      </c>
      <c r="AB753" s="5">
        <f t="shared" si="244"/>
        <v>0</v>
      </c>
    </row>
    <row r="754" spans="4:28" x14ac:dyDescent="0.25">
      <c r="D754" t="s">
        <v>73</v>
      </c>
      <c r="E754" s="64"/>
      <c r="F754" s="64"/>
      <c r="G754">
        <f>IFERROR(HLOOKUP(G$2,[25]table_male_hkom3_inj.unk!$A$1:$K$36,5,FALSE),0)</f>
        <v>0</v>
      </c>
      <c r="H754">
        <f>IFERROR(HLOOKUP(H$2,[25]table_male_hkom3_inj.unk!$A$1:$K$36,5,FALSE),0)</f>
        <v>0</v>
      </c>
      <c r="I754">
        <f>IFERROR(HLOOKUP(I$2,[25]table_male_hkom3_inj.unk!$A$1:$K$36,5,FALSE),0)</f>
        <v>0</v>
      </c>
      <c r="J754">
        <f>IFERROR(HLOOKUP(J$2,[25]table_male_hkom3_inj.unk!$A$1:$K$36,5,FALSE),0)</f>
        <v>0</v>
      </c>
      <c r="K754">
        <f>IFERROR(HLOOKUP(K$2,[25]table_male_hkom3_inj.unk!$A$1:$K$36,5,FALSE),0)</f>
        <v>0</v>
      </c>
      <c r="L754">
        <f>IFERROR(HLOOKUP(L$2,[25]table_male_hkom3_inj.unk!$A$1:$K$36,5,FALSE),0)</f>
        <v>0</v>
      </c>
      <c r="M754">
        <f t="shared" si="246"/>
        <v>0</v>
      </c>
      <c r="S754" t="s">
        <v>73</v>
      </c>
      <c r="T754" s="5">
        <f t="shared" si="247"/>
        <v>0</v>
      </c>
      <c r="U754" s="5">
        <f t="shared" si="248"/>
        <v>0</v>
      </c>
      <c r="V754" s="5">
        <f t="shared" si="249"/>
        <v>0</v>
      </c>
      <c r="W754" s="5">
        <f t="shared" si="250"/>
        <v>0</v>
      </c>
      <c r="X754" s="5">
        <f t="shared" si="251"/>
        <v>0</v>
      </c>
      <c r="Y754" s="5">
        <f t="shared" si="252"/>
        <v>0</v>
      </c>
      <c r="Z754" s="5">
        <f t="shared" si="253"/>
        <v>0</v>
      </c>
      <c r="AA754" s="5">
        <f t="shared" si="254"/>
        <v>0</v>
      </c>
      <c r="AB754" s="5">
        <f t="shared" si="244"/>
        <v>0</v>
      </c>
    </row>
    <row r="755" spans="4:28" x14ac:dyDescent="0.25">
      <c r="D755" t="s">
        <v>74</v>
      </c>
      <c r="E755" s="64"/>
      <c r="F755" s="64"/>
      <c r="G755">
        <f>IFERROR(HLOOKUP(G$2,[25]table_male_hkom3_inj.unk!$A$1:$K$36,6,FALSE),0)</f>
        <v>0</v>
      </c>
      <c r="H755">
        <f>IFERROR(HLOOKUP(H$2,[25]table_male_hkom3_inj.unk!$A$1:$K$36,6,FALSE),0)</f>
        <v>0</v>
      </c>
      <c r="I755">
        <f>IFERROR(HLOOKUP(I$2,[25]table_male_hkom3_inj.unk!$A$1:$K$36,6,FALSE),0)</f>
        <v>0</v>
      </c>
      <c r="J755">
        <f>IFERROR(HLOOKUP(J$2,[25]table_male_hkom3_inj.unk!$A$1:$K$36,6,FALSE),0)</f>
        <v>0</v>
      </c>
      <c r="K755">
        <f>IFERROR(HLOOKUP(K$2,[25]table_male_hkom3_inj.unk!$A$1:$K$36,6,FALSE),0)</f>
        <v>0</v>
      </c>
      <c r="L755">
        <f>IFERROR(HLOOKUP(L$2,[25]table_male_hkom3_inj.unk!$A$1:$K$36,6,FALSE),0)</f>
        <v>0</v>
      </c>
      <c r="M755">
        <f t="shared" si="246"/>
        <v>0</v>
      </c>
      <c r="S755" t="s">
        <v>74</v>
      </c>
      <c r="T755" s="5">
        <f t="shared" si="247"/>
        <v>0</v>
      </c>
      <c r="U755" s="5">
        <f t="shared" si="248"/>
        <v>0</v>
      </c>
      <c r="V755" s="5">
        <f t="shared" si="249"/>
        <v>0</v>
      </c>
      <c r="W755" s="5">
        <f t="shared" si="250"/>
        <v>0</v>
      </c>
      <c r="X755" s="5">
        <f t="shared" si="251"/>
        <v>0</v>
      </c>
      <c r="Y755" s="5">
        <f t="shared" si="252"/>
        <v>0</v>
      </c>
      <c r="Z755" s="5">
        <f t="shared" si="253"/>
        <v>0</v>
      </c>
      <c r="AA755" s="5">
        <f t="shared" si="254"/>
        <v>0</v>
      </c>
      <c r="AB755" s="5">
        <f t="shared" si="244"/>
        <v>0</v>
      </c>
    </row>
    <row r="756" spans="4:28" x14ac:dyDescent="0.25">
      <c r="D756" t="s">
        <v>75</v>
      </c>
      <c r="E756" s="64"/>
      <c r="F756" s="64"/>
      <c r="G756">
        <f>IFERROR(HLOOKUP(G$2,[25]table_male_hkom3_inj.unk!$A$1:$K$36,7,FALSE),0)</f>
        <v>0</v>
      </c>
      <c r="H756">
        <f>IFERROR(HLOOKUP(H$2,[25]table_male_hkom3_inj.unk!$A$1:$K$36,7,FALSE),0)</f>
        <v>0</v>
      </c>
      <c r="I756">
        <f>IFERROR(HLOOKUP(I$2,[25]table_male_hkom3_inj.unk!$A$1:$K$36,7,FALSE),0)</f>
        <v>0</v>
      </c>
      <c r="J756">
        <f>IFERROR(HLOOKUP(J$2,[25]table_male_hkom3_inj.unk!$A$1:$K$36,7,FALSE),0)</f>
        <v>0</v>
      </c>
      <c r="K756">
        <f>IFERROR(HLOOKUP(K$2,[25]table_male_hkom3_inj.unk!$A$1:$K$36,7,FALSE),0)</f>
        <v>0</v>
      </c>
      <c r="L756">
        <f>IFERROR(HLOOKUP(L$2,[25]table_male_hkom3_inj.unk!$A$1:$K$36,7,FALSE),0)</f>
        <v>0</v>
      </c>
      <c r="M756">
        <f t="shared" si="246"/>
        <v>0</v>
      </c>
      <c r="S756" t="s">
        <v>75</v>
      </c>
      <c r="T756" s="5">
        <f t="shared" si="247"/>
        <v>0</v>
      </c>
      <c r="U756" s="5">
        <f t="shared" si="248"/>
        <v>0</v>
      </c>
      <c r="V756" s="5">
        <f t="shared" si="249"/>
        <v>0</v>
      </c>
      <c r="W756" s="5">
        <f t="shared" si="250"/>
        <v>0</v>
      </c>
      <c r="X756" s="5">
        <f t="shared" si="251"/>
        <v>0</v>
      </c>
      <c r="Y756" s="5">
        <f t="shared" si="252"/>
        <v>0</v>
      </c>
      <c r="Z756" s="5">
        <f t="shared" si="253"/>
        <v>0</v>
      </c>
      <c r="AA756" s="5">
        <f t="shared" si="254"/>
        <v>0</v>
      </c>
      <c r="AB756" s="5">
        <f t="shared" si="244"/>
        <v>0</v>
      </c>
    </row>
    <row r="757" spans="4:28" x14ac:dyDescent="0.25">
      <c r="D757" t="s">
        <v>76</v>
      </c>
      <c r="E757" s="64"/>
      <c r="F757" s="64"/>
      <c r="G757">
        <f>IFERROR(HLOOKUP(G$2,[25]table_male_hkom3_inj.unk!$A$1:$K$36,8,FALSE),0)</f>
        <v>0</v>
      </c>
      <c r="H757">
        <f>IFERROR(HLOOKUP(H$2,[25]table_male_hkom3_inj.unk!$A$1:$K$36,8,FALSE),0)</f>
        <v>0</v>
      </c>
      <c r="I757">
        <f>IFERROR(HLOOKUP(I$2,[25]table_male_hkom3_inj.unk!$A$1:$K$36,8,FALSE),0)</f>
        <v>0</v>
      </c>
      <c r="J757">
        <f>IFERROR(HLOOKUP(J$2,[25]table_male_hkom3_inj.unk!$A$1:$K$36,8,FALSE),0)</f>
        <v>0</v>
      </c>
      <c r="K757">
        <f>IFERROR(HLOOKUP(K$2,[25]table_male_hkom3_inj.unk!$A$1:$K$36,8,FALSE),0)</f>
        <v>0</v>
      </c>
      <c r="L757">
        <f>IFERROR(HLOOKUP(L$2,[25]table_male_hkom3_inj.unk!$A$1:$K$36,8,FALSE),0)</f>
        <v>0</v>
      </c>
      <c r="M757">
        <f t="shared" si="246"/>
        <v>0</v>
      </c>
      <c r="S757" t="s">
        <v>76</v>
      </c>
      <c r="T757" s="5">
        <f t="shared" si="247"/>
        <v>0</v>
      </c>
      <c r="U757" s="5">
        <f t="shared" si="248"/>
        <v>0</v>
      </c>
      <c r="V757" s="5">
        <f t="shared" si="249"/>
        <v>0</v>
      </c>
      <c r="W757" s="5">
        <f t="shared" si="250"/>
        <v>0</v>
      </c>
      <c r="X757" s="5">
        <f t="shared" si="251"/>
        <v>0</v>
      </c>
      <c r="Y757" s="5">
        <f t="shared" si="252"/>
        <v>0</v>
      </c>
      <c r="Z757" s="5">
        <f t="shared" si="253"/>
        <v>0</v>
      </c>
      <c r="AA757" s="5">
        <f t="shared" si="254"/>
        <v>0</v>
      </c>
      <c r="AB757" s="5">
        <f t="shared" si="244"/>
        <v>0</v>
      </c>
    </row>
    <row r="758" spans="4:28" x14ac:dyDescent="0.25">
      <c r="D758" t="s">
        <v>77</v>
      </c>
      <c r="E758" s="64"/>
      <c r="F758" s="64"/>
      <c r="G758">
        <f>IFERROR(HLOOKUP(G$2,[25]table_male_hkom3_inj.unk!$A$1:$K$36,9,FALSE),0)</f>
        <v>0</v>
      </c>
      <c r="H758">
        <f>IFERROR(HLOOKUP(H$2,[25]table_male_hkom3_inj.unk!$A$1:$K$36,9,FALSE),0)</f>
        <v>0</v>
      </c>
      <c r="I758">
        <f>IFERROR(HLOOKUP(I$2,[25]table_male_hkom3_inj.unk!$A$1:$K$36,9,FALSE),0)</f>
        <v>0</v>
      </c>
      <c r="J758">
        <f>IFERROR(HLOOKUP(J$2,[25]table_male_hkom3_inj.unk!$A$1:$K$36,9,FALSE),0)</f>
        <v>0</v>
      </c>
      <c r="K758">
        <f>IFERROR(HLOOKUP(K$2,[25]table_male_hkom3_inj.unk!$A$1:$K$36,9,FALSE),0)</f>
        <v>0</v>
      </c>
      <c r="L758">
        <f>IFERROR(HLOOKUP(L$2,[25]table_male_hkom3_inj.unk!$A$1:$K$36,9,FALSE),0)</f>
        <v>0</v>
      </c>
      <c r="M758">
        <f t="shared" si="246"/>
        <v>0</v>
      </c>
      <c r="S758" t="s">
        <v>77</v>
      </c>
      <c r="T758" s="5">
        <f t="shared" si="247"/>
        <v>0</v>
      </c>
      <c r="U758" s="5">
        <f t="shared" si="248"/>
        <v>0</v>
      </c>
      <c r="V758" s="5">
        <f t="shared" si="249"/>
        <v>0</v>
      </c>
      <c r="W758" s="5">
        <f t="shared" si="250"/>
        <v>0</v>
      </c>
      <c r="X758" s="5">
        <f t="shared" si="251"/>
        <v>0</v>
      </c>
      <c r="Y758" s="5">
        <f t="shared" si="252"/>
        <v>0</v>
      </c>
      <c r="Z758" s="5">
        <f t="shared" si="253"/>
        <v>0</v>
      </c>
      <c r="AA758" s="5">
        <f t="shared" si="254"/>
        <v>0</v>
      </c>
      <c r="AB758" s="5">
        <f t="shared" si="244"/>
        <v>0</v>
      </c>
    </row>
    <row r="759" spans="4:28" x14ac:dyDescent="0.25">
      <c r="D759" t="s">
        <v>78</v>
      </c>
      <c r="E759" s="64"/>
      <c r="F759" s="64"/>
      <c r="G759">
        <f>IFERROR(HLOOKUP(G$2,[25]table_male_hkom3_inj.unk!$A$1:$K$36,10,FALSE),0)</f>
        <v>0</v>
      </c>
      <c r="H759">
        <f>IFERROR(HLOOKUP(H$2,[25]table_male_hkom3_inj.unk!$A$1:$K$36,10,FALSE),0)</f>
        <v>0</v>
      </c>
      <c r="I759">
        <f>IFERROR(HLOOKUP(I$2,[25]table_male_hkom3_inj.unk!$A$1:$K$36,10,FALSE),0)</f>
        <v>0</v>
      </c>
      <c r="J759">
        <f>IFERROR(HLOOKUP(J$2,[25]table_male_hkom3_inj.unk!$A$1:$K$36,10,FALSE),0)</f>
        <v>0</v>
      </c>
      <c r="K759">
        <f>IFERROR(HLOOKUP(K$2,[25]table_male_hkom3_inj.unk!$A$1:$K$36,10,FALSE),0)</f>
        <v>0</v>
      </c>
      <c r="L759">
        <f>IFERROR(HLOOKUP(L$2,[25]table_male_hkom3_inj.unk!$A$1:$K$36,10,FALSE),0)</f>
        <v>0</v>
      </c>
      <c r="M759">
        <f t="shared" si="246"/>
        <v>0</v>
      </c>
      <c r="S759" t="s">
        <v>78</v>
      </c>
      <c r="T759" s="5">
        <f t="shared" si="247"/>
        <v>0</v>
      </c>
      <c r="U759" s="5">
        <f t="shared" si="248"/>
        <v>0</v>
      </c>
      <c r="V759" s="5">
        <f t="shared" si="249"/>
        <v>0</v>
      </c>
      <c r="W759" s="5">
        <f t="shared" si="250"/>
        <v>0</v>
      </c>
      <c r="X759" s="5">
        <f t="shared" si="251"/>
        <v>0</v>
      </c>
      <c r="Y759" s="5">
        <f t="shared" si="252"/>
        <v>0</v>
      </c>
      <c r="Z759" s="5">
        <f t="shared" si="253"/>
        <v>0</v>
      </c>
      <c r="AA759" s="5">
        <f t="shared" si="254"/>
        <v>0</v>
      </c>
      <c r="AB759" s="5">
        <f t="shared" si="244"/>
        <v>0</v>
      </c>
    </row>
    <row r="760" spans="4:28" x14ac:dyDescent="0.25">
      <c r="D760" t="s">
        <v>79</v>
      </c>
      <c r="E760" s="64"/>
      <c r="F760" s="64"/>
      <c r="G760">
        <f>IFERROR(HLOOKUP(G$2,[25]table_male_hkom3_inj.unk!$A$1:$K$36,11,FALSE),0)</f>
        <v>0</v>
      </c>
      <c r="H760">
        <f>IFERROR(HLOOKUP(H$2,[25]table_male_hkom3_inj.unk!$A$1:$K$36,11,FALSE),0)</f>
        <v>0</v>
      </c>
      <c r="I760">
        <f>IFERROR(HLOOKUP(I$2,[25]table_male_hkom3_inj.unk!$A$1:$K$36,11,FALSE),0)</f>
        <v>0</v>
      </c>
      <c r="J760">
        <f>IFERROR(HLOOKUP(J$2,[25]table_male_hkom3_inj.unk!$A$1:$K$36,11,FALSE),0)</f>
        <v>0</v>
      </c>
      <c r="K760">
        <f>IFERROR(HLOOKUP(K$2,[25]table_male_hkom3_inj.unk!$A$1:$K$36,11,FALSE),0)</f>
        <v>0</v>
      </c>
      <c r="L760">
        <f>IFERROR(HLOOKUP(L$2,[25]table_male_hkom3_inj.unk!$A$1:$K$36,11,FALSE),0)</f>
        <v>0</v>
      </c>
      <c r="M760">
        <f t="shared" si="246"/>
        <v>0</v>
      </c>
      <c r="S760" t="s">
        <v>79</v>
      </c>
      <c r="T760" s="5">
        <f t="shared" si="247"/>
        <v>0</v>
      </c>
      <c r="U760" s="5">
        <f t="shared" si="248"/>
        <v>0</v>
      </c>
      <c r="V760" s="5">
        <f t="shared" si="249"/>
        <v>0</v>
      </c>
      <c r="W760" s="5">
        <f t="shared" si="250"/>
        <v>0</v>
      </c>
      <c r="X760" s="5">
        <f t="shared" si="251"/>
        <v>0</v>
      </c>
      <c r="Y760" s="5">
        <f t="shared" si="252"/>
        <v>0</v>
      </c>
      <c r="Z760" s="5">
        <f t="shared" si="253"/>
        <v>0</v>
      </c>
      <c r="AA760" s="5">
        <f t="shared" si="254"/>
        <v>0</v>
      </c>
      <c r="AB760" s="5">
        <f t="shared" si="244"/>
        <v>0</v>
      </c>
    </row>
    <row r="761" spans="4:28" x14ac:dyDescent="0.25">
      <c r="D761" t="s">
        <v>80</v>
      </c>
      <c r="E761" s="64"/>
      <c r="F761" s="64"/>
      <c r="G761">
        <f>IFERROR(HLOOKUP(G$2,[25]table_male_hkom3_inj.unk!$A$1:$K$36,12,FALSE),0)</f>
        <v>0</v>
      </c>
      <c r="H761">
        <f>IFERROR(HLOOKUP(H$2,[25]table_male_hkom3_inj.unk!$A$1:$K$36,12,FALSE),0)</f>
        <v>0</v>
      </c>
      <c r="I761">
        <f>IFERROR(HLOOKUP(I$2,[25]table_male_hkom3_inj.unk!$A$1:$K$36,12,FALSE),0)</f>
        <v>0</v>
      </c>
      <c r="J761">
        <f>IFERROR(HLOOKUP(J$2,[25]table_male_hkom3_inj.unk!$A$1:$K$36,12,FALSE),0)</f>
        <v>0</v>
      </c>
      <c r="K761">
        <f>IFERROR(HLOOKUP(K$2,[25]table_male_hkom3_inj.unk!$A$1:$K$36,12,FALSE),0)</f>
        <v>0</v>
      </c>
      <c r="L761">
        <f>IFERROR(HLOOKUP(L$2,[25]table_male_hkom3_inj.unk!$A$1:$K$36,12,FALSE),0)</f>
        <v>0</v>
      </c>
      <c r="M761">
        <f t="shared" si="246"/>
        <v>0</v>
      </c>
      <c r="S761" t="s">
        <v>80</v>
      </c>
      <c r="T761" s="5">
        <f t="shared" si="247"/>
        <v>0</v>
      </c>
      <c r="U761" s="5">
        <f t="shared" si="248"/>
        <v>0</v>
      </c>
      <c r="V761" s="5">
        <f t="shared" si="249"/>
        <v>0</v>
      </c>
      <c r="W761" s="5">
        <f t="shared" si="250"/>
        <v>0</v>
      </c>
      <c r="X761" s="5">
        <f t="shared" si="251"/>
        <v>0</v>
      </c>
      <c r="Y761" s="5">
        <f t="shared" si="252"/>
        <v>0</v>
      </c>
      <c r="Z761" s="5">
        <f t="shared" si="253"/>
        <v>0</v>
      </c>
      <c r="AA761" s="5">
        <f t="shared" si="254"/>
        <v>0</v>
      </c>
      <c r="AB761" s="5">
        <f t="shared" si="244"/>
        <v>0</v>
      </c>
    </row>
    <row r="762" spans="4:28" x14ac:dyDescent="0.25">
      <c r="D762" t="s">
        <v>81</v>
      </c>
      <c r="E762" s="64"/>
      <c r="F762" s="64"/>
      <c r="G762">
        <f>IFERROR(HLOOKUP(G$2,[25]table_male_hkom3_inj.unk!$A$1:$K$36,13,FALSE),0)</f>
        <v>0</v>
      </c>
      <c r="H762">
        <f>IFERROR(HLOOKUP(H$2,[25]table_male_hkom3_inj.unk!$A$1:$K$36,13,FALSE),0)</f>
        <v>0</v>
      </c>
      <c r="I762">
        <f>IFERROR(HLOOKUP(I$2,[25]table_male_hkom3_inj.unk!$A$1:$K$36,13,FALSE),0)</f>
        <v>0</v>
      </c>
      <c r="J762">
        <f>IFERROR(HLOOKUP(J$2,[25]table_male_hkom3_inj.unk!$A$1:$K$36,13,FALSE),0)</f>
        <v>0</v>
      </c>
      <c r="K762">
        <f>IFERROR(HLOOKUP(K$2,[25]table_male_hkom3_inj.unk!$A$1:$K$36,13,FALSE),0)</f>
        <v>0</v>
      </c>
      <c r="L762">
        <f>IFERROR(HLOOKUP(L$2,[25]table_male_hkom3_inj.unk!$A$1:$K$36,13,FALSE),0)</f>
        <v>0</v>
      </c>
      <c r="M762">
        <f t="shared" si="246"/>
        <v>0</v>
      </c>
      <c r="S762" t="s">
        <v>81</v>
      </c>
      <c r="T762" s="5">
        <f t="shared" si="247"/>
        <v>0</v>
      </c>
      <c r="U762" s="5">
        <f t="shared" si="248"/>
        <v>0</v>
      </c>
      <c r="V762" s="5">
        <f t="shared" si="249"/>
        <v>0</v>
      </c>
      <c r="W762" s="5">
        <f t="shared" si="250"/>
        <v>0</v>
      </c>
      <c r="X762" s="5">
        <f t="shared" si="251"/>
        <v>0</v>
      </c>
      <c r="Y762" s="5">
        <f t="shared" si="252"/>
        <v>0</v>
      </c>
      <c r="Z762" s="5">
        <f t="shared" si="253"/>
        <v>0</v>
      </c>
      <c r="AA762" s="5">
        <f t="shared" si="254"/>
        <v>0</v>
      </c>
      <c r="AB762" s="5">
        <f t="shared" si="244"/>
        <v>0</v>
      </c>
    </row>
    <row r="763" spans="4:28" x14ac:dyDescent="0.25">
      <c r="D763" t="s">
        <v>82</v>
      </c>
      <c r="E763" s="64"/>
      <c r="F763" s="64"/>
      <c r="G763">
        <f>IFERROR(HLOOKUP(G$2,[25]table_male_hkom3_inj.unk!$A$1:$K$36,14,FALSE),0)</f>
        <v>0</v>
      </c>
      <c r="H763">
        <f>IFERROR(HLOOKUP(H$2,[25]table_male_hkom3_inj.unk!$A$1:$K$36,14,FALSE),0)</f>
        <v>0</v>
      </c>
      <c r="I763">
        <f>IFERROR(HLOOKUP(I$2,[25]table_male_hkom3_inj.unk!$A$1:$K$36,14,FALSE),0)</f>
        <v>0</v>
      </c>
      <c r="J763">
        <f>IFERROR(HLOOKUP(J$2,[25]table_male_hkom3_inj.unk!$A$1:$K$36,14,FALSE),0)</f>
        <v>0</v>
      </c>
      <c r="K763">
        <f>IFERROR(HLOOKUP(K$2,[25]table_male_hkom3_inj.unk!$A$1:$K$36,14,FALSE),0)</f>
        <v>0</v>
      </c>
      <c r="L763">
        <f>IFERROR(HLOOKUP(L$2,[25]table_male_hkom3_inj.unk!$A$1:$K$36,14,FALSE),0)</f>
        <v>0</v>
      </c>
      <c r="M763">
        <f t="shared" si="246"/>
        <v>0</v>
      </c>
      <c r="S763" t="s">
        <v>82</v>
      </c>
      <c r="T763" s="5">
        <f t="shared" si="247"/>
        <v>0</v>
      </c>
      <c r="U763" s="5">
        <f t="shared" si="248"/>
        <v>0</v>
      </c>
      <c r="V763" s="5">
        <f t="shared" si="249"/>
        <v>0</v>
      </c>
      <c r="W763" s="5">
        <f t="shared" si="250"/>
        <v>0</v>
      </c>
      <c r="X763" s="5">
        <f t="shared" si="251"/>
        <v>0</v>
      </c>
      <c r="Y763" s="5">
        <f t="shared" si="252"/>
        <v>0</v>
      </c>
      <c r="Z763" s="5">
        <f t="shared" si="253"/>
        <v>0</v>
      </c>
      <c r="AA763" s="5">
        <f t="shared" si="254"/>
        <v>0</v>
      </c>
      <c r="AB763" s="5">
        <f t="shared" si="244"/>
        <v>0</v>
      </c>
    </row>
    <row r="764" spans="4:28" x14ac:dyDescent="0.25">
      <c r="D764" t="s">
        <v>83</v>
      </c>
      <c r="E764" s="64"/>
      <c r="F764" s="64"/>
      <c r="G764">
        <f>IFERROR(HLOOKUP(G$2,[25]table_male_hkom3_inj.unk!$A$1:$K$36,15,FALSE),0)</f>
        <v>0</v>
      </c>
      <c r="H764">
        <f>IFERROR(HLOOKUP(H$2,[25]table_male_hkom3_inj.unk!$A$1:$K$36,15,FALSE),0)</f>
        <v>0</v>
      </c>
      <c r="I764">
        <f>IFERROR(HLOOKUP(I$2,[25]table_male_hkom3_inj.unk!$A$1:$K$36,15,FALSE),0)</f>
        <v>0</v>
      </c>
      <c r="J764">
        <f>IFERROR(HLOOKUP(J$2,[25]table_male_hkom3_inj.unk!$A$1:$K$36,15,FALSE),0)</f>
        <v>0</v>
      </c>
      <c r="K764">
        <f>IFERROR(HLOOKUP(K$2,[25]table_male_hkom3_inj.unk!$A$1:$K$36,15,FALSE),0)</f>
        <v>0</v>
      </c>
      <c r="L764">
        <f>IFERROR(HLOOKUP(L$2,[25]table_male_hkom3_inj.unk!$A$1:$K$36,15,FALSE),0)</f>
        <v>0</v>
      </c>
      <c r="M764">
        <f t="shared" si="246"/>
        <v>0</v>
      </c>
      <c r="S764" t="s">
        <v>83</v>
      </c>
      <c r="T764" s="5">
        <f t="shared" si="247"/>
        <v>0</v>
      </c>
      <c r="U764" s="5">
        <f t="shared" si="248"/>
        <v>0</v>
      </c>
      <c r="V764" s="5">
        <f t="shared" si="249"/>
        <v>0</v>
      </c>
      <c r="W764" s="5">
        <f t="shared" si="250"/>
        <v>0</v>
      </c>
      <c r="X764" s="5">
        <f t="shared" si="251"/>
        <v>0</v>
      </c>
      <c r="Y764" s="5">
        <f t="shared" si="252"/>
        <v>0</v>
      </c>
      <c r="Z764" s="5">
        <f t="shared" si="253"/>
        <v>0</v>
      </c>
      <c r="AA764" s="5">
        <f t="shared" si="254"/>
        <v>0</v>
      </c>
      <c r="AB764" s="5">
        <f t="shared" si="244"/>
        <v>0</v>
      </c>
    </row>
    <row r="765" spans="4:28" x14ac:dyDescent="0.25">
      <c r="D765" t="s">
        <v>84</v>
      </c>
      <c r="E765" s="64"/>
      <c r="F765" s="64"/>
      <c r="G765">
        <f>IFERROR(HLOOKUP(G$2,[25]table_male_hkom3_inj.unk!$A$1:$K$36,16,FALSE),0)</f>
        <v>0</v>
      </c>
      <c r="H765">
        <f>IFERROR(HLOOKUP(H$2,[25]table_male_hkom3_inj.unk!$A$1:$K$36,16,FALSE),0)</f>
        <v>0</v>
      </c>
      <c r="I765">
        <f>IFERROR(HLOOKUP(I$2,[25]table_male_hkom3_inj.unk!$A$1:$K$36,16,FALSE),0)</f>
        <v>0</v>
      </c>
      <c r="J765">
        <f>IFERROR(HLOOKUP(J$2,[25]table_male_hkom3_inj.unk!$A$1:$K$36,16,FALSE),0)</f>
        <v>0</v>
      </c>
      <c r="K765">
        <f>IFERROR(HLOOKUP(K$2,[25]table_male_hkom3_inj.unk!$A$1:$K$36,16,FALSE),0)</f>
        <v>0</v>
      </c>
      <c r="L765">
        <f>IFERROR(HLOOKUP(L$2,[25]table_male_hkom3_inj.unk!$A$1:$K$36,16,FALSE),0)</f>
        <v>0</v>
      </c>
      <c r="M765">
        <f t="shared" si="246"/>
        <v>0</v>
      </c>
      <c r="S765" t="s">
        <v>84</v>
      </c>
      <c r="T765" s="5">
        <f t="shared" si="247"/>
        <v>0</v>
      </c>
      <c r="U765" s="5">
        <f t="shared" si="248"/>
        <v>0</v>
      </c>
      <c r="V765" s="5">
        <f t="shared" si="249"/>
        <v>0</v>
      </c>
      <c r="W765" s="5">
        <f t="shared" si="250"/>
        <v>0</v>
      </c>
      <c r="X765" s="5">
        <f t="shared" si="251"/>
        <v>0</v>
      </c>
      <c r="Y765" s="5">
        <f t="shared" si="252"/>
        <v>0</v>
      </c>
      <c r="Z765" s="5">
        <f t="shared" si="253"/>
        <v>0</v>
      </c>
      <c r="AA765" s="5">
        <f t="shared" si="254"/>
        <v>0</v>
      </c>
      <c r="AB765" s="5">
        <f t="shared" si="244"/>
        <v>0</v>
      </c>
    </row>
    <row r="766" spans="4:28" x14ac:dyDescent="0.25">
      <c r="D766" t="s">
        <v>85</v>
      </c>
      <c r="E766" s="64"/>
      <c r="F766" s="64"/>
      <c r="G766">
        <f>IFERROR(HLOOKUP(G$2,[25]table_male_hkom3_inj.unk!$A$1:$K$36,17,FALSE),0)</f>
        <v>0</v>
      </c>
      <c r="H766">
        <f>IFERROR(HLOOKUP(H$2,[25]table_male_hkom3_inj.unk!$A$1:$K$36,17,FALSE),0)</f>
        <v>0</v>
      </c>
      <c r="I766">
        <f>IFERROR(HLOOKUP(I$2,[25]table_male_hkom3_inj.unk!$A$1:$K$36,17,FALSE),0)</f>
        <v>0</v>
      </c>
      <c r="J766">
        <f>IFERROR(HLOOKUP(J$2,[25]table_male_hkom3_inj.unk!$A$1:$K$36,17,FALSE),0)</f>
        <v>0</v>
      </c>
      <c r="K766">
        <f>IFERROR(HLOOKUP(K$2,[25]table_male_hkom3_inj.unk!$A$1:$K$36,17,FALSE),0)</f>
        <v>0</v>
      </c>
      <c r="L766">
        <f>IFERROR(HLOOKUP(L$2,[25]table_male_hkom3_inj.unk!$A$1:$K$36,17,FALSE),0)</f>
        <v>0</v>
      </c>
      <c r="M766">
        <f t="shared" si="246"/>
        <v>0</v>
      </c>
      <c r="S766" t="s">
        <v>85</v>
      </c>
      <c r="T766" s="5">
        <f t="shared" si="247"/>
        <v>0</v>
      </c>
      <c r="U766" s="5">
        <f t="shared" si="248"/>
        <v>0</v>
      </c>
      <c r="V766" s="5">
        <f t="shared" si="249"/>
        <v>0</v>
      </c>
      <c r="W766" s="5">
        <f t="shared" si="250"/>
        <v>0</v>
      </c>
      <c r="X766" s="5">
        <f t="shared" si="251"/>
        <v>0</v>
      </c>
      <c r="Y766" s="5">
        <f t="shared" si="252"/>
        <v>0</v>
      </c>
      <c r="Z766" s="5">
        <f t="shared" si="253"/>
        <v>0</v>
      </c>
      <c r="AA766" s="5">
        <f t="shared" si="254"/>
        <v>0</v>
      </c>
      <c r="AB766" s="5">
        <f t="shared" si="244"/>
        <v>0</v>
      </c>
    </row>
    <row r="767" spans="4:28" x14ac:dyDescent="0.25">
      <c r="D767" t="s">
        <v>86</v>
      </c>
      <c r="E767" s="64"/>
      <c r="F767" s="64"/>
      <c r="G767">
        <f>IFERROR(HLOOKUP(G$2,[25]table_male_hkom3_inj.unk!$A$1:$K$36,18,FALSE),0)</f>
        <v>0</v>
      </c>
      <c r="H767">
        <f>IFERROR(HLOOKUP(H$2,[25]table_male_hkom3_inj.unk!$A$1:$K$36,18,FALSE),0)</f>
        <v>0</v>
      </c>
      <c r="I767">
        <f>IFERROR(HLOOKUP(I$2,[25]table_male_hkom3_inj.unk!$A$1:$K$36,18,FALSE),0)</f>
        <v>0</v>
      </c>
      <c r="J767">
        <f>IFERROR(HLOOKUP(J$2,[25]table_male_hkom3_inj.unk!$A$1:$K$36,18,FALSE),0)</f>
        <v>0</v>
      </c>
      <c r="K767">
        <f>IFERROR(HLOOKUP(K$2,[25]table_male_hkom3_inj.unk!$A$1:$K$36,18,FALSE),0)</f>
        <v>0</v>
      </c>
      <c r="L767">
        <f>IFERROR(HLOOKUP(L$2,[25]table_male_hkom3_inj.unk!$A$1:$K$36,18,FALSE),0)</f>
        <v>0</v>
      </c>
      <c r="M767">
        <f t="shared" si="246"/>
        <v>0</v>
      </c>
      <c r="S767" t="s">
        <v>86</v>
      </c>
      <c r="T767" s="5">
        <f t="shared" si="247"/>
        <v>0</v>
      </c>
      <c r="U767" s="5">
        <f t="shared" si="248"/>
        <v>0</v>
      </c>
      <c r="V767" s="5">
        <f t="shared" si="249"/>
        <v>0</v>
      </c>
      <c r="W767" s="5">
        <f t="shared" si="250"/>
        <v>0</v>
      </c>
      <c r="X767" s="5">
        <f t="shared" si="251"/>
        <v>0</v>
      </c>
      <c r="Y767" s="5">
        <f t="shared" si="252"/>
        <v>0</v>
      </c>
      <c r="Z767" s="5">
        <f t="shared" si="253"/>
        <v>0</v>
      </c>
      <c r="AA767" s="5">
        <f t="shared" si="254"/>
        <v>0</v>
      </c>
      <c r="AB767" s="5">
        <f t="shared" si="244"/>
        <v>0</v>
      </c>
    </row>
    <row r="768" spans="4:28" x14ac:dyDescent="0.25">
      <c r="D768" t="s">
        <v>87</v>
      </c>
      <c r="E768" s="64"/>
      <c r="F768" s="64"/>
      <c r="G768">
        <f>IFERROR(HLOOKUP(G$2,[25]table_male_hkom3_inj.unk!$A$1:$K$36,19,FALSE),0)</f>
        <v>0</v>
      </c>
      <c r="H768">
        <f>IFERROR(HLOOKUP(H$2,[25]table_male_hkom3_inj.unk!$A$1:$K$36,19,FALSE),0)</f>
        <v>0</v>
      </c>
      <c r="I768">
        <f>IFERROR(HLOOKUP(I$2,[25]table_male_hkom3_inj.unk!$A$1:$K$36,19,FALSE),0)</f>
        <v>0</v>
      </c>
      <c r="J768">
        <f>IFERROR(HLOOKUP(J$2,[25]table_male_hkom3_inj.unk!$A$1:$K$36,19,FALSE),0)</f>
        <v>0</v>
      </c>
      <c r="K768">
        <f>IFERROR(HLOOKUP(K$2,[25]table_male_hkom3_inj.unk!$A$1:$K$36,19,FALSE),0)</f>
        <v>0</v>
      </c>
      <c r="L768">
        <f>IFERROR(HLOOKUP(L$2,[25]table_male_hkom3_inj.unk!$A$1:$K$36,19,FALSE),0)</f>
        <v>0</v>
      </c>
      <c r="M768">
        <f t="shared" si="246"/>
        <v>0</v>
      </c>
      <c r="S768" t="s">
        <v>87</v>
      </c>
      <c r="T768" s="5">
        <f t="shared" si="247"/>
        <v>0</v>
      </c>
      <c r="U768" s="5">
        <f t="shared" si="248"/>
        <v>0</v>
      </c>
      <c r="V768" s="5">
        <f t="shared" si="249"/>
        <v>0</v>
      </c>
      <c r="W768" s="5">
        <f t="shared" si="250"/>
        <v>0</v>
      </c>
      <c r="X768" s="5">
        <f t="shared" si="251"/>
        <v>0</v>
      </c>
      <c r="Y768" s="5">
        <f t="shared" si="252"/>
        <v>0</v>
      </c>
      <c r="Z768" s="5">
        <f t="shared" si="253"/>
        <v>0</v>
      </c>
      <c r="AA768" s="5">
        <f t="shared" si="254"/>
        <v>0</v>
      </c>
      <c r="AB768" s="5">
        <f t="shared" si="244"/>
        <v>0</v>
      </c>
    </row>
    <row r="769" spans="4:29" x14ac:dyDescent="0.25">
      <c r="D769" t="s">
        <v>88</v>
      </c>
      <c r="E769" s="64"/>
      <c r="F769" s="64"/>
      <c r="G769">
        <f>IFERROR(HLOOKUP(G$2,[25]table_male_hkom3_inj.unk!$A$1:$K$36,20,FALSE),0)</f>
        <v>0</v>
      </c>
      <c r="H769">
        <f>IFERROR(HLOOKUP(H$2,[25]table_male_hkom3_inj.unk!$A$1:$K$36,20,FALSE),0)</f>
        <v>0</v>
      </c>
      <c r="I769">
        <f>IFERROR(HLOOKUP(I$2,[25]table_male_hkom3_inj.unk!$A$1:$K$36,20,FALSE),0)</f>
        <v>0</v>
      </c>
      <c r="J769">
        <f>IFERROR(HLOOKUP(J$2,[25]table_male_hkom3_inj.unk!$A$1:$K$36,20,FALSE),0)</f>
        <v>0</v>
      </c>
      <c r="K769">
        <f>IFERROR(HLOOKUP(K$2,[25]table_male_hkom3_inj.unk!$A$1:$K$36,20,FALSE),0)</f>
        <v>0</v>
      </c>
      <c r="L769">
        <f>IFERROR(HLOOKUP(L$2,[25]table_male_hkom3_inj.unk!$A$1:$K$36,20,FALSE),0)</f>
        <v>0</v>
      </c>
      <c r="M769">
        <f t="shared" si="246"/>
        <v>0</v>
      </c>
      <c r="S769" t="s">
        <v>88</v>
      </c>
      <c r="T769" s="5">
        <f t="shared" si="247"/>
        <v>0</v>
      </c>
      <c r="U769" s="5">
        <f t="shared" si="248"/>
        <v>0</v>
      </c>
      <c r="V769" s="5">
        <f t="shared" si="249"/>
        <v>0</v>
      </c>
      <c r="W769" s="5">
        <f t="shared" si="250"/>
        <v>0</v>
      </c>
      <c r="X769" s="5">
        <f t="shared" si="251"/>
        <v>0</v>
      </c>
      <c r="Y769" s="5">
        <f t="shared" si="252"/>
        <v>0</v>
      </c>
      <c r="Z769" s="5">
        <f t="shared" si="253"/>
        <v>0</v>
      </c>
      <c r="AA769" s="5">
        <f t="shared" si="254"/>
        <v>0</v>
      </c>
      <c r="AB769" s="5">
        <f t="shared" si="244"/>
        <v>0</v>
      </c>
    </row>
    <row r="770" spans="4:29" x14ac:dyDescent="0.25">
      <c r="D770" t="s">
        <v>89</v>
      </c>
      <c r="E770" s="64"/>
      <c r="F770" s="64"/>
      <c r="G770">
        <f>IFERROR(HLOOKUP(G$2,[25]table_male_hkom3_inj.unk!$A$1:$K$36,21,FALSE),0)</f>
        <v>0</v>
      </c>
      <c r="H770">
        <f>IFERROR(HLOOKUP(H$2,[25]table_male_hkom3_inj.unk!$A$1:$K$36,21,FALSE),0)</f>
        <v>0</v>
      </c>
      <c r="I770">
        <f>IFERROR(HLOOKUP(I$2,[25]table_male_hkom3_inj.unk!$A$1:$K$36,21,FALSE),0)</f>
        <v>0</v>
      </c>
      <c r="J770">
        <f>IFERROR(HLOOKUP(J$2,[25]table_male_hkom3_inj.unk!$A$1:$K$36,21,FALSE),0)</f>
        <v>0</v>
      </c>
      <c r="K770">
        <f>IFERROR(HLOOKUP(K$2,[25]table_male_hkom3_inj.unk!$A$1:$K$36,21,FALSE),0)</f>
        <v>0</v>
      </c>
      <c r="L770">
        <f>IFERROR(HLOOKUP(L$2,[25]table_male_hkom3_inj.unk!$A$1:$K$36,21,FALSE),0)</f>
        <v>0</v>
      </c>
      <c r="M770">
        <f t="shared" si="246"/>
        <v>0</v>
      </c>
      <c r="S770" t="s">
        <v>89</v>
      </c>
      <c r="T770" s="5">
        <f t="shared" si="247"/>
        <v>0</v>
      </c>
      <c r="U770" s="5">
        <f t="shared" si="248"/>
        <v>0</v>
      </c>
      <c r="V770" s="5">
        <f t="shared" si="249"/>
        <v>0</v>
      </c>
      <c r="W770" s="5">
        <f t="shared" si="250"/>
        <v>0</v>
      </c>
      <c r="X770" s="5">
        <f t="shared" si="251"/>
        <v>0</v>
      </c>
      <c r="Y770" s="5">
        <f t="shared" si="252"/>
        <v>0</v>
      </c>
      <c r="Z770" s="5">
        <f t="shared" si="253"/>
        <v>0</v>
      </c>
      <c r="AA770" s="5">
        <f t="shared" si="254"/>
        <v>0</v>
      </c>
      <c r="AB770" s="5">
        <f t="shared" si="244"/>
        <v>0</v>
      </c>
    </row>
    <row r="771" spans="4:29" x14ac:dyDescent="0.25">
      <c r="D771" t="s">
        <v>90</v>
      </c>
      <c r="E771" s="64"/>
      <c r="F771" s="64"/>
      <c r="G771">
        <f>IFERROR(HLOOKUP(G$2,[25]table_male_hkom3_inj.unk!$A$1:$K$36,22,FALSE),0)</f>
        <v>0</v>
      </c>
      <c r="H771">
        <f>IFERROR(HLOOKUP(H$2,[25]table_male_hkom3_inj.unk!$A$1:$K$36,22,FALSE),0)</f>
        <v>0</v>
      </c>
      <c r="I771">
        <f>IFERROR(HLOOKUP(I$2,[25]table_male_hkom3_inj.unk!$A$1:$K$36,22,FALSE),0)</f>
        <v>0</v>
      </c>
      <c r="J771">
        <f>IFERROR(HLOOKUP(J$2,[25]table_male_hkom3_inj.unk!$A$1:$K$36,22,FALSE),0)</f>
        <v>0</v>
      </c>
      <c r="K771">
        <f>IFERROR(HLOOKUP(K$2,[25]table_male_hkom3_inj.unk!$A$1:$K$36,22,FALSE),0)</f>
        <v>0</v>
      </c>
      <c r="L771">
        <f>IFERROR(HLOOKUP(L$2,[25]table_male_hkom3_inj.unk!$A$1:$K$36,22,FALSE),0)</f>
        <v>0</v>
      </c>
      <c r="M771">
        <f t="shared" si="246"/>
        <v>0</v>
      </c>
      <c r="S771" t="s">
        <v>90</v>
      </c>
      <c r="T771" s="5">
        <f t="shared" si="247"/>
        <v>0</v>
      </c>
      <c r="U771" s="5">
        <f t="shared" si="248"/>
        <v>0</v>
      </c>
      <c r="V771" s="5">
        <f t="shared" si="249"/>
        <v>0</v>
      </c>
      <c r="W771" s="5">
        <f t="shared" si="250"/>
        <v>0</v>
      </c>
      <c r="X771" s="5">
        <f t="shared" si="251"/>
        <v>0</v>
      </c>
      <c r="Y771" s="5">
        <f t="shared" si="252"/>
        <v>0</v>
      </c>
      <c r="Z771" s="5">
        <f t="shared" si="253"/>
        <v>0</v>
      </c>
      <c r="AA771" s="5">
        <f t="shared" si="254"/>
        <v>0</v>
      </c>
      <c r="AB771" s="5">
        <f t="shared" si="244"/>
        <v>0</v>
      </c>
    </row>
    <row r="772" spans="4:29" x14ac:dyDescent="0.25">
      <c r="D772" t="s">
        <v>91</v>
      </c>
      <c r="E772" s="64"/>
      <c r="F772" s="64"/>
      <c r="G772">
        <f>IFERROR(HLOOKUP(G$2,[25]table_male_hkom3_inj.unk!$A$1:$K$36,23,FALSE),0)</f>
        <v>0</v>
      </c>
      <c r="H772">
        <f>IFERROR(HLOOKUP(H$2,[25]table_male_hkom3_inj.unk!$A$1:$K$36,23,FALSE),0)</f>
        <v>0</v>
      </c>
      <c r="I772">
        <f>IFERROR(HLOOKUP(I$2,[25]table_male_hkom3_inj.unk!$A$1:$K$36,23,FALSE),0)</f>
        <v>0</v>
      </c>
      <c r="J772">
        <f>IFERROR(HLOOKUP(J$2,[25]table_male_hkom3_inj.unk!$A$1:$K$36,23,FALSE),0)</f>
        <v>0</v>
      </c>
      <c r="K772">
        <f>IFERROR(HLOOKUP(K$2,[25]table_male_hkom3_inj.unk!$A$1:$K$36,23,FALSE),0)</f>
        <v>0</v>
      </c>
      <c r="L772">
        <f>IFERROR(HLOOKUP(L$2,[25]table_male_hkom3_inj.unk!$A$1:$K$36,23,FALSE),0)</f>
        <v>0</v>
      </c>
      <c r="M772">
        <f t="shared" si="246"/>
        <v>0</v>
      </c>
      <c r="S772" t="s">
        <v>91</v>
      </c>
      <c r="T772" s="5">
        <f t="shared" si="247"/>
        <v>0</v>
      </c>
      <c r="U772" s="5">
        <f t="shared" si="248"/>
        <v>0</v>
      </c>
      <c r="V772" s="5">
        <f t="shared" si="249"/>
        <v>0</v>
      </c>
      <c r="W772" s="5">
        <f t="shared" si="250"/>
        <v>0</v>
      </c>
      <c r="X772" s="5">
        <f t="shared" si="251"/>
        <v>0</v>
      </c>
      <c r="Y772" s="5">
        <f t="shared" si="252"/>
        <v>0</v>
      </c>
      <c r="Z772" s="5">
        <f t="shared" si="253"/>
        <v>0</v>
      </c>
      <c r="AA772" s="5">
        <f t="shared" si="254"/>
        <v>0</v>
      </c>
      <c r="AB772" s="5">
        <f t="shared" si="244"/>
        <v>0</v>
      </c>
    </row>
    <row r="773" spans="4:29" x14ac:dyDescent="0.25">
      <c r="D773" t="s">
        <v>92</v>
      </c>
      <c r="E773" s="64"/>
      <c r="F773" s="64"/>
      <c r="G773">
        <f>IFERROR(HLOOKUP(G$2,[25]table_male_hkom3_inj.unk!$A$1:$K$36,24,FALSE),0)</f>
        <v>0</v>
      </c>
      <c r="H773">
        <f>IFERROR(HLOOKUP(H$2,[25]table_male_hkom3_inj.unk!$A$1:$K$36,24,FALSE),0)</f>
        <v>0</v>
      </c>
      <c r="I773">
        <f>IFERROR(HLOOKUP(I$2,[25]table_male_hkom3_inj.unk!$A$1:$K$36,24,FALSE),0)</f>
        <v>0</v>
      </c>
      <c r="J773">
        <f>IFERROR(HLOOKUP(J$2,[25]table_male_hkom3_inj.unk!$A$1:$K$36,24,FALSE),0)</f>
        <v>0</v>
      </c>
      <c r="K773">
        <f>IFERROR(HLOOKUP(K$2,[25]table_male_hkom3_inj.unk!$A$1:$K$36,24,FALSE),0)</f>
        <v>0</v>
      </c>
      <c r="L773">
        <f>IFERROR(HLOOKUP(L$2,[25]table_male_hkom3_inj.unk!$A$1:$K$36,24,FALSE),0)</f>
        <v>0</v>
      </c>
      <c r="M773">
        <f t="shared" si="246"/>
        <v>0</v>
      </c>
      <c r="S773" t="s">
        <v>92</v>
      </c>
      <c r="T773" s="5">
        <f t="shared" si="247"/>
        <v>0</v>
      </c>
      <c r="U773" s="5">
        <f t="shared" si="248"/>
        <v>0</v>
      </c>
      <c r="V773" s="5">
        <f t="shared" si="249"/>
        <v>0</v>
      </c>
      <c r="W773" s="5">
        <f t="shared" si="250"/>
        <v>0</v>
      </c>
      <c r="X773" s="5">
        <f t="shared" si="251"/>
        <v>0</v>
      </c>
      <c r="Y773" s="5">
        <f t="shared" si="252"/>
        <v>0</v>
      </c>
      <c r="Z773" s="5">
        <f t="shared" si="253"/>
        <v>0</v>
      </c>
      <c r="AA773" s="5">
        <f t="shared" si="254"/>
        <v>0</v>
      </c>
      <c r="AB773" s="5">
        <f t="shared" si="244"/>
        <v>0</v>
      </c>
    </row>
    <row r="774" spans="4:29" x14ac:dyDescent="0.25">
      <c r="D774" t="s">
        <v>93</v>
      </c>
      <c r="E774" s="64"/>
      <c r="F774" s="64"/>
      <c r="G774">
        <f>IFERROR(HLOOKUP(G$2,[25]table_male_hkom3_inj.unk!$A$1:$K$36,25,FALSE),0)</f>
        <v>0</v>
      </c>
      <c r="H774">
        <f>IFERROR(HLOOKUP(H$2,[25]table_male_hkom3_inj.unk!$A$1:$K$36,25,FALSE),0)</f>
        <v>0</v>
      </c>
      <c r="I774">
        <f>IFERROR(HLOOKUP(I$2,[25]table_male_hkom3_inj.unk!$A$1:$K$36,25,FALSE),0)</f>
        <v>0</v>
      </c>
      <c r="J774">
        <f>IFERROR(HLOOKUP(J$2,[25]table_male_hkom3_inj.unk!$A$1:$K$36,25,FALSE),0)</f>
        <v>0</v>
      </c>
      <c r="K774">
        <f>IFERROR(HLOOKUP(K$2,[25]table_male_hkom3_inj.unk!$A$1:$K$36,25,FALSE),0)</f>
        <v>0</v>
      </c>
      <c r="L774">
        <f>IFERROR(HLOOKUP(L$2,[25]table_male_hkom3_inj.unk!$A$1:$K$36,25,FALSE),0)</f>
        <v>0</v>
      </c>
      <c r="M774">
        <f t="shared" si="246"/>
        <v>0</v>
      </c>
      <c r="S774" t="s">
        <v>93</v>
      </c>
      <c r="T774" s="5">
        <f t="shared" si="247"/>
        <v>0</v>
      </c>
      <c r="U774" s="5">
        <f t="shared" si="248"/>
        <v>0</v>
      </c>
      <c r="V774" s="5">
        <f t="shared" si="249"/>
        <v>0</v>
      </c>
      <c r="W774" s="5">
        <f t="shared" si="250"/>
        <v>0</v>
      </c>
      <c r="X774" s="5">
        <f t="shared" si="251"/>
        <v>0</v>
      </c>
      <c r="Y774" s="5">
        <f t="shared" si="252"/>
        <v>0</v>
      </c>
      <c r="Z774" s="5">
        <f t="shared" si="253"/>
        <v>0</v>
      </c>
      <c r="AA774" s="5">
        <f t="shared" si="254"/>
        <v>0</v>
      </c>
      <c r="AB774" s="5">
        <f t="shared" si="244"/>
        <v>0</v>
      </c>
    </row>
    <row r="775" spans="4:29" x14ac:dyDescent="0.25">
      <c r="D775" t="s">
        <v>94</v>
      </c>
      <c r="E775" s="64"/>
      <c r="F775" s="64"/>
      <c r="G775">
        <f>IFERROR(HLOOKUP(G$2,[25]table_male_hkom3_inj.unk!$A$1:$K$36,26,FALSE),0)</f>
        <v>0</v>
      </c>
      <c r="H775">
        <f>IFERROR(HLOOKUP(H$2,[25]table_male_hkom3_inj.unk!$A$1:$K$36,26,FALSE),0)</f>
        <v>0</v>
      </c>
      <c r="I775">
        <f>IFERROR(HLOOKUP(I$2,[25]table_male_hkom3_inj.unk!$A$1:$K$36,26,FALSE),0)</f>
        <v>0</v>
      </c>
      <c r="J775">
        <f>IFERROR(HLOOKUP(J$2,[25]table_male_hkom3_inj.unk!$A$1:$K$36,26,FALSE),0)</f>
        <v>0</v>
      </c>
      <c r="K775">
        <f>IFERROR(HLOOKUP(K$2,[25]table_male_hkom3_inj.unk!$A$1:$K$36,26,FALSE),0)</f>
        <v>0</v>
      </c>
      <c r="L775">
        <f>IFERROR(HLOOKUP(L$2,[25]table_male_hkom3_inj.unk!$A$1:$K$36,26,FALSE),0)</f>
        <v>0</v>
      </c>
      <c r="M775">
        <f t="shared" si="246"/>
        <v>0</v>
      </c>
      <c r="S775" t="s">
        <v>94</v>
      </c>
      <c r="T775" s="5">
        <f t="shared" si="247"/>
        <v>0</v>
      </c>
      <c r="U775" s="5">
        <f t="shared" si="248"/>
        <v>0</v>
      </c>
      <c r="V775" s="5">
        <f t="shared" si="249"/>
        <v>0</v>
      </c>
      <c r="W775" s="5">
        <f t="shared" si="250"/>
        <v>0</v>
      </c>
      <c r="X775" s="5">
        <f t="shared" si="251"/>
        <v>0</v>
      </c>
      <c r="Y775" s="5">
        <f t="shared" si="252"/>
        <v>0</v>
      </c>
      <c r="Z775" s="5">
        <f t="shared" si="253"/>
        <v>0</v>
      </c>
      <c r="AA775" s="5">
        <f t="shared" si="254"/>
        <v>0</v>
      </c>
      <c r="AB775" s="5">
        <f t="shared" si="244"/>
        <v>0</v>
      </c>
    </row>
    <row r="776" spans="4:29" x14ac:dyDescent="0.25">
      <c r="D776" t="s">
        <v>95</v>
      </c>
      <c r="E776" s="64"/>
      <c r="F776" s="64"/>
      <c r="G776">
        <f>IFERROR(HLOOKUP(G$2,[25]table_male_hkom3_inj.unk!$A$1:$K$36,27,FALSE),0)</f>
        <v>0</v>
      </c>
      <c r="H776">
        <f>IFERROR(HLOOKUP(H$2,[25]table_male_hkom3_inj.unk!$A$1:$K$36,27,FALSE),0)</f>
        <v>0</v>
      </c>
      <c r="I776">
        <f>IFERROR(HLOOKUP(I$2,[25]table_male_hkom3_inj.unk!$A$1:$K$36,27,FALSE),0)</f>
        <v>0</v>
      </c>
      <c r="J776">
        <f>IFERROR(HLOOKUP(J$2,[25]table_male_hkom3_inj.unk!$A$1:$K$36,27,FALSE),0)</f>
        <v>0</v>
      </c>
      <c r="K776">
        <f>IFERROR(HLOOKUP(K$2,[25]table_male_hkom3_inj.unk!$A$1:$K$36,27,FALSE),0)</f>
        <v>0</v>
      </c>
      <c r="L776">
        <f>IFERROR(HLOOKUP(L$2,[25]table_male_hkom3_inj.unk!$A$1:$K$36,27,FALSE),0)</f>
        <v>0</v>
      </c>
      <c r="M776">
        <f t="shared" si="246"/>
        <v>0</v>
      </c>
      <c r="S776" t="s">
        <v>95</v>
      </c>
      <c r="T776" s="5">
        <f t="shared" si="247"/>
        <v>0</v>
      </c>
      <c r="U776" s="5">
        <f t="shared" si="248"/>
        <v>0</v>
      </c>
      <c r="V776" s="5">
        <f t="shared" si="249"/>
        <v>0</v>
      </c>
      <c r="W776" s="5">
        <f t="shared" si="250"/>
        <v>0</v>
      </c>
      <c r="X776" s="5">
        <f t="shared" si="251"/>
        <v>0</v>
      </c>
      <c r="Y776" s="5">
        <f t="shared" si="252"/>
        <v>0</v>
      </c>
      <c r="Z776" s="5">
        <f t="shared" si="253"/>
        <v>0</v>
      </c>
      <c r="AA776" s="5">
        <f t="shared" si="254"/>
        <v>0</v>
      </c>
      <c r="AB776" s="5">
        <f t="shared" si="244"/>
        <v>0</v>
      </c>
    </row>
    <row r="777" spans="4:29" x14ac:dyDescent="0.25">
      <c r="D777" t="s">
        <v>96</v>
      </c>
      <c r="E777" s="64"/>
      <c r="F777" s="64"/>
      <c r="G777">
        <f>IFERROR(HLOOKUP(G$2,[25]table_male_hkom3_inj.unk!$A$1:$K$36,28,FALSE),0)</f>
        <v>0</v>
      </c>
      <c r="H777">
        <f>IFERROR(HLOOKUP(H$2,[25]table_male_hkom3_inj.unk!$A$1:$K$36,28,FALSE),0)</f>
        <v>0</v>
      </c>
      <c r="I777">
        <f>IFERROR(HLOOKUP(I$2,[25]table_male_hkom3_inj.unk!$A$1:$K$36,28,FALSE),0)</f>
        <v>0</v>
      </c>
      <c r="J777">
        <f>IFERROR(HLOOKUP(J$2,[25]table_male_hkom3_inj.unk!$A$1:$K$36,28,FALSE),0)</f>
        <v>0</v>
      </c>
      <c r="K777">
        <f>IFERROR(HLOOKUP(K$2,[25]table_male_hkom3_inj.unk!$A$1:$K$36,28,FALSE),0)</f>
        <v>0</v>
      </c>
      <c r="L777">
        <f>IFERROR(HLOOKUP(L$2,[25]table_male_hkom3_inj.unk!$A$1:$K$36,28,FALSE),0)</f>
        <v>0</v>
      </c>
      <c r="M777">
        <f t="shared" si="246"/>
        <v>0</v>
      </c>
      <c r="S777" t="s">
        <v>96</v>
      </c>
      <c r="T777" s="5">
        <f t="shared" si="247"/>
        <v>0</v>
      </c>
      <c r="U777" s="5">
        <f t="shared" si="248"/>
        <v>0</v>
      </c>
      <c r="V777" s="5">
        <f t="shared" si="249"/>
        <v>0</v>
      </c>
      <c r="W777" s="5">
        <f t="shared" si="250"/>
        <v>0</v>
      </c>
      <c r="X777" s="5">
        <f t="shared" si="251"/>
        <v>0</v>
      </c>
      <c r="Y777" s="5">
        <f t="shared" si="252"/>
        <v>0</v>
      </c>
      <c r="Z777" s="5">
        <f t="shared" si="253"/>
        <v>0</v>
      </c>
      <c r="AA777" s="5">
        <f t="shared" si="254"/>
        <v>0</v>
      </c>
      <c r="AB777" s="5">
        <f t="shared" si="244"/>
        <v>0</v>
      </c>
    </row>
    <row r="778" spans="4:29" x14ac:dyDescent="0.25">
      <c r="D778" t="s">
        <v>97</v>
      </c>
      <c r="E778" s="64"/>
      <c r="F778" s="64"/>
      <c r="G778">
        <f>IFERROR(HLOOKUP(G$2,[25]table_male_hkom3_inj.unk!$A$1:$K$36,29,FALSE),0)</f>
        <v>0</v>
      </c>
      <c r="H778">
        <f>IFERROR(HLOOKUP(H$2,[25]table_male_hkom3_inj.unk!$A$1:$K$36,29,FALSE),0)</f>
        <v>0</v>
      </c>
      <c r="I778">
        <f>IFERROR(HLOOKUP(I$2,[25]table_male_hkom3_inj.unk!$A$1:$K$36,29,FALSE),0)</f>
        <v>0</v>
      </c>
      <c r="J778">
        <f>IFERROR(HLOOKUP(J$2,[25]table_male_hkom3_inj.unk!$A$1:$K$36,29,FALSE),0)</f>
        <v>0</v>
      </c>
      <c r="K778">
        <f>IFERROR(HLOOKUP(K$2,[25]table_male_hkom3_inj.unk!$A$1:$K$36,29,FALSE),0)</f>
        <v>0</v>
      </c>
      <c r="L778">
        <f>IFERROR(HLOOKUP(L$2,[25]table_male_hkom3_inj.unk!$A$1:$K$36,29,FALSE),0)</f>
        <v>0</v>
      </c>
      <c r="M778">
        <f t="shared" si="246"/>
        <v>0</v>
      </c>
      <c r="S778" t="s">
        <v>97</v>
      </c>
      <c r="T778" s="5">
        <f t="shared" si="247"/>
        <v>0</v>
      </c>
      <c r="U778" s="5">
        <f t="shared" si="248"/>
        <v>0</v>
      </c>
      <c r="V778" s="5">
        <f t="shared" si="249"/>
        <v>0</v>
      </c>
      <c r="W778" s="5">
        <f t="shared" si="250"/>
        <v>0</v>
      </c>
      <c r="X778" s="5">
        <f t="shared" si="251"/>
        <v>0</v>
      </c>
      <c r="Y778" s="5">
        <f t="shared" si="252"/>
        <v>0</v>
      </c>
      <c r="Z778" s="5">
        <f t="shared" si="253"/>
        <v>0</v>
      </c>
      <c r="AA778" s="5">
        <f t="shared" si="254"/>
        <v>0</v>
      </c>
      <c r="AB778" s="5">
        <f t="shared" si="244"/>
        <v>0</v>
      </c>
    </row>
    <row r="779" spans="4:29" x14ac:dyDescent="0.25">
      <c r="D779" t="s">
        <v>98</v>
      </c>
      <c r="E779" s="64"/>
      <c r="F779" s="64"/>
      <c r="G779">
        <f>IFERROR(HLOOKUP(G$2,[25]table_male_hkom3_inj.unk!$A$1:$K$36,30,FALSE),0)</f>
        <v>0</v>
      </c>
      <c r="H779">
        <f>IFERROR(HLOOKUP(H$2,[25]table_male_hkom3_inj.unk!$A$1:$K$36,30,FALSE),0)</f>
        <v>0</v>
      </c>
      <c r="I779">
        <f>IFERROR(HLOOKUP(I$2,[25]table_male_hkom3_inj.unk!$A$1:$K$36,30,FALSE),0)</f>
        <v>0</v>
      </c>
      <c r="J779">
        <f>IFERROR(HLOOKUP(J$2,[25]table_male_hkom3_inj.unk!$A$1:$K$36,30,FALSE),0)</f>
        <v>0</v>
      </c>
      <c r="K779">
        <f>IFERROR(HLOOKUP(K$2,[25]table_male_hkom3_inj.unk!$A$1:$K$36,30,FALSE),0)</f>
        <v>0</v>
      </c>
      <c r="L779">
        <f>IFERROR(HLOOKUP(L$2,[25]table_male_hkom3_inj.unk!$A$1:$K$36,30,FALSE),0)</f>
        <v>0</v>
      </c>
      <c r="M779">
        <f t="shared" si="246"/>
        <v>0</v>
      </c>
      <c r="S779" t="s">
        <v>98</v>
      </c>
      <c r="T779" s="5">
        <f t="shared" si="247"/>
        <v>0</v>
      </c>
      <c r="U779" s="5">
        <f t="shared" si="248"/>
        <v>0</v>
      </c>
      <c r="V779" s="5">
        <f t="shared" si="249"/>
        <v>0</v>
      </c>
      <c r="W779" s="5">
        <f t="shared" si="250"/>
        <v>0</v>
      </c>
      <c r="X779" s="5">
        <f t="shared" si="251"/>
        <v>0</v>
      </c>
      <c r="Y779" s="5">
        <f t="shared" si="252"/>
        <v>0</v>
      </c>
      <c r="Z779" s="5">
        <f t="shared" si="253"/>
        <v>0</v>
      </c>
      <c r="AA779" s="5">
        <f t="shared" si="254"/>
        <v>0</v>
      </c>
      <c r="AB779" s="5">
        <f t="shared" si="244"/>
        <v>0</v>
      </c>
    </row>
    <row r="780" spans="4:29" x14ac:dyDescent="0.25">
      <c r="D780" t="s">
        <v>119</v>
      </c>
      <c r="E780" s="64"/>
      <c r="F780" s="64"/>
      <c r="G780">
        <f>IFERROR(HLOOKUP(G$2,[25]table_male_hkom3_inj.unk!$A$1:$K$36,31,FALSE),0)</f>
        <v>0</v>
      </c>
      <c r="H780">
        <f>IFERROR(HLOOKUP(H$2,[25]table_male_hkom3_inj.unk!$A$1:$K$36,31,FALSE),0)</f>
        <v>0</v>
      </c>
      <c r="I780">
        <f>IFERROR(HLOOKUP(I$2,[25]table_male_hkom3_inj.unk!$A$1:$K$36,31,FALSE),0)</f>
        <v>0</v>
      </c>
      <c r="J780">
        <f>IFERROR(HLOOKUP(J$2,[25]table_male_hkom3_inj.unk!$A$1:$K$36,31,FALSE),0)</f>
        <v>0</v>
      </c>
      <c r="K780">
        <f>IFERROR(HLOOKUP(K$2,[25]table_male_hkom3_inj.unk!$A$1:$K$36,31,FALSE),0)</f>
        <v>0</v>
      </c>
      <c r="L780">
        <f>IFERROR(HLOOKUP(L$2,[25]table_male_hkom3_inj.unk!$A$1:$K$36,31,FALSE),0)</f>
        <v>0</v>
      </c>
      <c r="M780">
        <f t="shared" si="246"/>
        <v>0</v>
      </c>
      <c r="S780" t="s">
        <v>119</v>
      </c>
      <c r="T780" s="5">
        <f t="shared" si="247"/>
        <v>0</v>
      </c>
      <c r="U780" s="5">
        <f t="shared" si="248"/>
        <v>0</v>
      </c>
      <c r="V780" s="5">
        <f t="shared" si="249"/>
        <v>0</v>
      </c>
      <c r="W780" s="5">
        <f t="shared" si="250"/>
        <v>0</v>
      </c>
      <c r="X780" s="5">
        <f t="shared" si="251"/>
        <v>0</v>
      </c>
      <c r="Y780" s="5">
        <f t="shared" si="252"/>
        <v>0</v>
      </c>
      <c r="Z780" s="5">
        <f t="shared" si="253"/>
        <v>0</v>
      </c>
      <c r="AA780" s="5">
        <f t="shared" si="254"/>
        <v>0</v>
      </c>
      <c r="AB780" s="5">
        <f t="shared" si="244"/>
        <v>0</v>
      </c>
    </row>
    <row r="781" spans="4:29" x14ac:dyDescent="0.25">
      <c r="D781" t="s">
        <v>99</v>
      </c>
      <c r="E781" s="64"/>
      <c r="F781" s="64"/>
      <c r="G781">
        <f>IFERROR(HLOOKUP(G$2,[25]table_male_hkom3_inj.unk!$A$1:$K$36,32,FALSE),0)</f>
        <v>0</v>
      </c>
      <c r="H781">
        <f>IFERROR(HLOOKUP(H$2,[25]table_male_hkom3_inj.unk!$A$1:$K$36,32,FALSE),0)</f>
        <v>0</v>
      </c>
      <c r="I781">
        <f>IFERROR(HLOOKUP(I$2,[25]table_male_hkom3_inj.unk!$A$1:$K$36,32,FALSE),0)</f>
        <v>0</v>
      </c>
      <c r="J781">
        <f>IFERROR(HLOOKUP(J$2,[25]table_male_hkom3_inj.unk!$A$1:$K$36,32,FALSE),0)</f>
        <v>0</v>
      </c>
      <c r="K781">
        <f>IFERROR(HLOOKUP(K$2,[25]table_male_hkom3_inj.unk!$A$1:$K$36,32,FALSE),0)</f>
        <v>0</v>
      </c>
      <c r="L781">
        <f>IFERROR(HLOOKUP(L$2,[25]table_male_hkom3_inj.unk!$A$1:$K$36,32,FALSE),0)</f>
        <v>0</v>
      </c>
      <c r="M781">
        <f t="shared" si="246"/>
        <v>0</v>
      </c>
      <c r="S781" t="s">
        <v>99</v>
      </c>
      <c r="T781" s="5">
        <f t="shared" si="247"/>
        <v>0</v>
      </c>
      <c r="U781" s="5">
        <f t="shared" si="248"/>
        <v>0</v>
      </c>
      <c r="V781" s="5">
        <f t="shared" si="249"/>
        <v>0</v>
      </c>
      <c r="W781" s="5">
        <f t="shared" si="250"/>
        <v>0</v>
      </c>
      <c r="X781" s="5">
        <f t="shared" si="251"/>
        <v>0</v>
      </c>
      <c r="Y781" s="5">
        <f t="shared" si="252"/>
        <v>0</v>
      </c>
      <c r="Z781" s="5">
        <f t="shared" si="253"/>
        <v>0</v>
      </c>
      <c r="AA781" s="5">
        <f t="shared" si="254"/>
        <v>0</v>
      </c>
      <c r="AB781" s="5">
        <f t="shared" si="244"/>
        <v>0</v>
      </c>
    </row>
    <row r="782" spans="4:29" x14ac:dyDescent="0.25">
      <c r="D782" t="s">
        <v>100</v>
      </c>
      <c r="E782" s="64"/>
      <c r="F782" s="64"/>
      <c r="G782">
        <f>IFERROR(HLOOKUP(G$2,[25]table_male_hkom3_inj.unk!$A$1:$K$36,33,FALSE),0)</f>
        <v>0</v>
      </c>
      <c r="H782">
        <f>IFERROR(HLOOKUP(H$2,[25]table_male_hkom3_inj.unk!$A$1:$K$36,33,FALSE),0)</f>
        <v>0</v>
      </c>
      <c r="I782">
        <f>IFERROR(HLOOKUP(I$2,[25]table_male_hkom3_inj.unk!$A$1:$K$36,33,FALSE),0)</f>
        <v>0</v>
      </c>
      <c r="J782">
        <f>IFERROR(HLOOKUP(J$2,[25]table_male_hkom3_inj.unk!$A$1:$K$36,33,FALSE),0)</f>
        <v>0</v>
      </c>
      <c r="K782">
        <f>IFERROR(HLOOKUP(K$2,[25]table_male_hkom3_inj.unk!$A$1:$K$36,33,FALSE),0)</f>
        <v>0</v>
      </c>
      <c r="L782">
        <f>IFERROR(HLOOKUP(L$2,[25]table_male_hkom3_inj.unk!$A$1:$K$36,33,FALSE),0)</f>
        <v>0</v>
      </c>
      <c r="M782">
        <f t="shared" si="246"/>
        <v>0</v>
      </c>
      <c r="S782" t="s">
        <v>100</v>
      </c>
      <c r="T782" s="5">
        <f t="shared" si="247"/>
        <v>0</v>
      </c>
      <c r="U782" s="5">
        <f t="shared" si="248"/>
        <v>0</v>
      </c>
      <c r="V782" s="5">
        <f t="shared" si="249"/>
        <v>0</v>
      </c>
      <c r="W782" s="5">
        <f t="shared" si="250"/>
        <v>0</v>
      </c>
      <c r="X782" s="5">
        <f t="shared" si="251"/>
        <v>0</v>
      </c>
      <c r="Y782" s="5">
        <f t="shared" si="252"/>
        <v>0</v>
      </c>
      <c r="Z782" s="5">
        <f t="shared" si="253"/>
        <v>0</v>
      </c>
      <c r="AA782" s="5">
        <f t="shared" si="254"/>
        <v>0</v>
      </c>
      <c r="AB782" s="5">
        <f t="shared" si="244"/>
        <v>0</v>
      </c>
    </row>
    <row r="783" spans="4:29" x14ac:dyDescent="0.25">
      <c r="D783" t="s">
        <v>101</v>
      </c>
      <c r="E783" s="64"/>
      <c r="F783" s="64"/>
      <c r="G783">
        <f>IFERROR(HLOOKUP(G$2,[25]table_male_hkom3_inj.unk!$A$1:$K$36,34,FALSE),0)</f>
        <v>0</v>
      </c>
      <c r="H783">
        <f>IFERROR(HLOOKUP(H$2,[25]table_male_hkom3_inj.unk!$A$1:$K$36,34,FALSE),0)</f>
        <v>0</v>
      </c>
      <c r="I783">
        <f>IFERROR(HLOOKUP(I$2,[25]table_male_hkom3_inj.unk!$A$1:$K$36,34,FALSE),0)</f>
        <v>0</v>
      </c>
      <c r="J783">
        <f>IFERROR(HLOOKUP(J$2,[25]table_male_hkom3_inj.unk!$A$1:$K$36,34,FALSE),0)</f>
        <v>0</v>
      </c>
      <c r="K783">
        <f>IFERROR(HLOOKUP(K$2,[25]table_male_hkom3_inj.unk!$A$1:$K$36,34,FALSE),0)</f>
        <v>0</v>
      </c>
      <c r="L783">
        <f>IFERROR(HLOOKUP(L$2,[25]table_male_hkom3_inj.unk!$A$1:$K$36,34,FALSE),0)</f>
        <v>0</v>
      </c>
      <c r="M783">
        <f t="shared" si="246"/>
        <v>0</v>
      </c>
      <c r="S783" t="s">
        <v>101</v>
      </c>
      <c r="T783" s="5">
        <f t="shared" si="247"/>
        <v>0</v>
      </c>
      <c r="U783" s="5">
        <f t="shared" si="248"/>
        <v>0</v>
      </c>
      <c r="V783" s="5">
        <f t="shared" si="249"/>
        <v>0</v>
      </c>
      <c r="W783" s="5">
        <f t="shared" si="250"/>
        <v>0</v>
      </c>
      <c r="X783" s="5">
        <f t="shared" si="251"/>
        <v>0</v>
      </c>
      <c r="Y783" s="5">
        <f t="shared" si="252"/>
        <v>0</v>
      </c>
      <c r="Z783" s="5">
        <f t="shared" si="253"/>
        <v>0</v>
      </c>
      <c r="AA783" s="5">
        <f t="shared" si="254"/>
        <v>0</v>
      </c>
      <c r="AB783" s="5">
        <f t="shared" si="244"/>
        <v>0</v>
      </c>
    </row>
    <row r="784" spans="4:29" x14ac:dyDescent="0.25">
      <c r="D784" t="s">
        <v>102</v>
      </c>
      <c r="E784" s="64"/>
      <c r="F784" s="64"/>
      <c r="G784">
        <f>IFERROR(HLOOKUP(G$2,[25]table_male_hkom3_inj.unk!$A$1:$K$36,35,FALSE),0)</f>
        <v>0</v>
      </c>
      <c r="H784">
        <f>IFERROR(HLOOKUP(H$2,[25]table_male_hkom3_inj.unk!$A$1:$K$36,35,FALSE),0)</f>
        <v>0</v>
      </c>
      <c r="I784">
        <f>IFERROR(HLOOKUP(I$2,[25]table_male_hkom3_inj.unk!$A$1:$K$36,35,FALSE),0)</f>
        <v>0</v>
      </c>
      <c r="J784">
        <f>IFERROR(HLOOKUP(J$2,[25]table_male_hkom3_inj.unk!$A$1:$K$36,35,FALSE),0)</f>
        <v>0</v>
      </c>
      <c r="K784">
        <f>IFERROR(HLOOKUP(K$2,[25]table_male_hkom3_inj.unk!$A$1:$K$36,35,FALSE),0)</f>
        <v>0</v>
      </c>
      <c r="L784">
        <f>IFERROR(HLOOKUP(L$2,[25]table_male_hkom3_inj.unk!$A$1:$K$36,35,FALSE),0)</f>
        <v>0</v>
      </c>
      <c r="M784">
        <f t="shared" si="246"/>
        <v>0</v>
      </c>
      <c r="N784">
        <f>SUM(M751:M784)</f>
        <v>0</v>
      </c>
      <c r="O784" s="8">
        <f>SUM([25]table_male_hkom3_inj.unk!$B$2:$L$36)</f>
        <v>0</v>
      </c>
      <c r="S784" t="s">
        <v>102</v>
      </c>
      <c r="T784" s="7"/>
      <c r="U784" s="7"/>
      <c r="V784" s="7"/>
      <c r="W784" s="7"/>
      <c r="X784" s="7"/>
      <c r="Y784" s="7"/>
      <c r="Z784" s="7"/>
      <c r="AA784" s="7"/>
      <c r="AB784" s="5">
        <f t="shared" si="244"/>
        <v>0</v>
      </c>
      <c r="AC784" s="5">
        <f>SUM(AB751:AB783)</f>
        <v>0</v>
      </c>
    </row>
    <row r="785" spans="1:28" x14ac:dyDescent="0.25">
      <c r="A785" t="s">
        <v>104</v>
      </c>
      <c r="B785" t="s">
        <v>117</v>
      </c>
      <c r="C785" t="s">
        <v>105</v>
      </c>
      <c r="D785" t="s">
        <v>70</v>
      </c>
      <c r="E785" s="64"/>
      <c r="F785" s="64"/>
      <c r="G785">
        <f>IFERROR(HLOOKUP(G$2,[26]table_male_hkom3_inj.V1!$A$1:$K$36,2,FALSE),0)</f>
        <v>0</v>
      </c>
      <c r="H785">
        <f>IFERROR(HLOOKUP(H$2,[26]table_male_hkom3_inj.V1!$A$1:$K$36,2,FALSE),0)</f>
        <v>0</v>
      </c>
      <c r="I785">
        <f>IFERROR(HLOOKUP(I$2,[26]table_male_hkom3_inj.V1!$A$1:$K$36,2,FALSE),0)</f>
        <v>0</v>
      </c>
      <c r="J785">
        <f>IFERROR(HLOOKUP(J$2,[26]table_male_hkom3_inj.V1!$A$1:$K$36,2,FALSE),0)</f>
        <v>0</v>
      </c>
      <c r="K785">
        <f>IFERROR(HLOOKUP(K$2,[26]table_male_hkom3_inj.V1!$A$1:$K$36,2,FALSE),0)</f>
        <v>0</v>
      </c>
      <c r="L785">
        <f>IFERROR(HLOOKUP(L$2,[26]table_male_hkom3_inj.V1!$A$1:$K$36,2,FALSE),0)</f>
        <v>0</v>
      </c>
      <c r="M785">
        <f>SUM(E785:L785)</f>
        <v>0</v>
      </c>
      <c r="P785" t="s">
        <v>104</v>
      </c>
      <c r="Q785" t="s">
        <v>117</v>
      </c>
      <c r="R785" t="s">
        <v>105</v>
      </c>
      <c r="S785" t="s">
        <v>70</v>
      </c>
      <c r="T785" s="5">
        <f>IF(SUM(E$785:E$817)=0,E$818/33,E785+IFERROR(E785/SUM(E$785:E$817)*E$818,0))</f>
        <v>0</v>
      </c>
      <c r="U785" s="5">
        <f t="shared" ref="U785:AA785" si="255">IF(SUM(F$785:F$817)=0,F$818/33,F785+IFERROR(F785/SUM(F$785:F$817)*F$818,0))</f>
        <v>0</v>
      </c>
      <c r="V785" s="5">
        <f t="shared" si="255"/>
        <v>0</v>
      </c>
      <c r="W785" s="5">
        <f t="shared" si="255"/>
        <v>0</v>
      </c>
      <c r="X785" s="5">
        <f t="shared" si="255"/>
        <v>0</v>
      </c>
      <c r="Y785" s="5">
        <f t="shared" si="255"/>
        <v>0</v>
      </c>
      <c r="Z785" s="5">
        <f t="shared" si="255"/>
        <v>0</v>
      </c>
      <c r="AA785" s="5">
        <f t="shared" si="255"/>
        <v>0</v>
      </c>
      <c r="AB785" s="5">
        <f t="shared" si="244"/>
        <v>0</v>
      </c>
    </row>
    <row r="786" spans="1:28" x14ac:dyDescent="0.25">
      <c r="D786" t="s">
        <v>71</v>
      </c>
      <c r="E786" s="64"/>
      <c r="F786" s="64"/>
      <c r="G786">
        <f>IFERROR(HLOOKUP(G$2,[26]table_male_hkom3_inj.V1!$A$1:$K$36,3,FALSE),0)</f>
        <v>1</v>
      </c>
      <c r="H786">
        <f>IFERROR(HLOOKUP(H$2,[26]table_male_hkom3_inj.V1!$A$1:$K$36,3,FALSE),0)</f>
        <v>0</v>
      </c>
      <c r="I786">
        <f>IFERROR(HLOOKUP(I$2,[26]table_male_hkom3_inj.V1!$A$1:$K$36,3,FALSE),0)</f>
        <v>0</v>
      </c>
      <c r="J786">
        <f>IFERROR(HLOOKUP(J$2,[26]table_male_hkom3_inj.V1!$A$1:$K$36,3,FALSE),0)</f>
        <v>0</v>
      </c>
      <c r="K786">
        <f>IFERROR(HLOOKUP(K$2,[26]table_male_hkom3_inj.V1!$A$1:$K$36,3,FALSE),0)</f>
        <v>0</v>
      </c>
      <c r="L786">
        <f>IFERROR(HLOOKUP(L$2,[26]table_male_hkom3_inj.V1!$A$1:$K$36,3,FALSE),0)</f>
        <v>0</v>
      </c>
      <c r="M786">
        <f t="shared" ref="M786:M818" si="256">SUM(E786:L786)</f>
        <v>1</v>
      </c>
      <c r="S786" t="s">
        <v>71</v>
      </c>
      <c r="T786" s="5">
        <f t="shared" ref="T786:T817" si="257">IF(SUM(E$785:E$817)=0,E$818/33,E786+IFERROR(E786/SUM(E$785:E$817)*E$818,0))</f>
        <v>0</v>
      </c>
      <c r="U786" s="5">
        <f t="shared" ref="U786:U817" si="258">IF(SUM(F$785:F$817)=0,F$818/33,F786+IFERROR(F786/SUM(F$785:F$817)*F$818,0))</f>
        <v>0</v>
      </c>
      <c r="V786" s="5">
        <f t="shared" ref="V786:V817" si="259">IF(SUM(G$785:G$817)=0,G$818/33,G786+IFERROR(G786/SUM(G$785:G$817)*G$818,0))</f>
        <v>1</v>
      </c>
      <c r="W786" s="5">
        <f t="shared" ref="W786:W817" si="260">IF(SUM(H$785:H$817)=0,H$818/33,H786+IFERROR(H786/SUM(H$785:H$817)*H$818,0))</f>
        <v>0</v>
      </c>
      <c r="X786" s="5">
        <f t="shared" ref="X786:X817" si="261">IF(SUM(I$785:I$817)=0,I$818/33,I786+IFERROR(I786/SUM(I$785:I$817)*I$818,0))</f>
        <v>0</v>
      </c>
      <c r="Y786" s="5">
        <f t="shared" ref="Y786:Y817" si="262">IF(SUM(J$785:J$817)=0,J$818/33,J786+IFERROR(J786/SUM(J$785:J$817)*J$818,0))</f>
        <v>0</v>
      </c>
      <c r="Z786" s="5">
        <f t="shared" ref="Z786:Z817" si="263">IF(SUM(K$785:K$817)=0,K$818/33,K786+IFERROR(K786/SUM(K$785:K$817)*K$818,0))</f>
        <v>0</v>
      </c>
      <c r="AA786" s="5">
        <f t="shared" ref="AA786:AA817" si="264">IF(SUM(L$785:L$817)=0,L$818/33,L786+IFERROR(L786/SUM(L$785:L$817)*L$818,0))</f>
        <v>0</v>
      </c>
      <c r="AB786" s="5">
        <f t="shared" si="244"/>
        <v>1</v>
      </c>
    </row>
    <row r="787" spans="1:28" x14ac:dyDescent="0.25">
      <c r="D787" t="s">
        <v>72</v>
      </c>
      <c r="E787" s="64"/>
      <c r="F787" s="64"/>
      <c r="G787">
        <f>IFERROR(HLOOKUP(G$2,[26]table_male_hkom3_inj.V1!$A$1:$K$36,4,FALSE),0)</f>
        <v>0</v>
      </c>
      <c r="H787">
        <f>IFERROR(HLOOKUP(H$2,[26]table_male_hkom3_inj.V1!$A$1:$K$36,4,FALSE),0)</f>
        <v>0</v>
      </c>
      <c r="I787">
        <f>IFERROR(HLOOKUP(I$2,[26]table_male_hkom3_inj.V1!$A$1:$K$36,4,FALSE),0)</f>
        <v>0</v>
      </c>
      <c r="J787">
        <f>IFERROR(HLOOKUP(J$2,[26]table_male_hkom3_inj.V1!$A$1:$K$36,4,FALSE),0)</f>
        <v>0</v>
      </c>
      <c r="K787">
        <f>IFERROR(HLOOKUP(K$2,[26]table_male_hkom3_inj.V1!$A$1:$K$36,4,FALSE),0)</f>
        <v>0</v>
      </c>
      <c r="L787">
        <f>IFERROR(HLOOKUP(L$2,[26]table_male_hkom3_inj.V1!$A$1:$K$36,4,FALSE),0)</f>
        <v>0</v>
      </c>
      <c r="M787">
        <f t="shared" si="256"/>
        <v>0</v>
      </c>
      <c r="S787" t="s">
        <v>72</v>
      </c>
      <c r="T787" s="5">
        <f t="shared" si="257"/>
        <v>0</v>
      </c>
      <c r="U787" s="5">
        <f t="shared" si="258"/>
        <v>0</v>
      </c>
      <c r="V787" s="5">
        <f t="shared" si="259"/>
        <v>0</v>
      </c>
      <c r="W787" s="5">
        <f t="shared" si="260"/>
        <v>0</v>
      </c>
      <c r="X787" s="5">
        <f t="shared" si="261"/>
        <v>0</v>
      </c>
      <c r="Y787" s="5">
        <f t="shared" si="262"/>
        <v>0</v>
      </c>
      <c r="Z787" s="5">
        <f t="shared" si="263"/>
        <v>0</v>
      </c>
      <c r="AA787" s="5">
        <f t="shared" si="264"/>
        <v>0</v>
      </c>
      <c r="AB787" s="5">
        <f t="shared" si="244"/>
        <v>0</v>
      </c>
    </row>
    <row r="788" spans="1:28" x14ac:dyDescent="0.25">
      <c r="D788" t="s">
        <v>73</v>
      </c>
      <c r="E788" s="64"/>
      <c r="F788" s="64"/>
      <c r="G788">
        <f>IFERROR(HLOOKUP(G$2,[26]table_male_hkom3_inj.V1!$A$1:$K$36,5,FALSE),0)</f>
        <v>0</v>
      </c>
      <c r="H788">
        <f>IFERROR(HLOOKUP(H$2,[26]table_male_hkom3_inj.V1!$A$1:$K$36,5,FALSE),0)</f>
        <v>0</v>
      </c>
      <c r="I788">
        <f>IFERROR(HLOOKUP(I$2,[26]table_male_hkom3_inj.V1!$A$1:$K$36,5,FALSE),0)</f>
        <v>0</v>
      </c>
      <c r="J788">
        <f>IFERROR(HLOOKUP(J$2,[26]table_male_hkom3_inj.V1!$A$1:$K$36,5,FALSE),0)</f>
        <v>0</v>
      </c>
      <c r="K788">
        <f>IFERROR(HLOOKUP(K$2,[26]table_male_hkom3_inj.V1!$A$1:$K$36,5,FALSE),0)</f>
        <v>0</v>
      </c>
      <c r="L788">
        <f>IFERROR(HLOOKUP(L$2,[26]table_male_hkom3_inj.V1!$A$1:$K$36,5,FALSE),0)</f>
        <v>0</v>
      </c>
      <c r="M788">
        <f t="shared" si="256"/>
        <v>0</v>
      </c>
      <c r="S788" t="s">
        <v>73</v>
      </c>
      <c r="T788" s="5">
        <f t="shared" si="257"/>
        <v>0</v>
      </c>
      <c r="U788" s="5">
        <f t="shared" si="258"/>
        <v>0</v>
      </c>
      <c r="V788" s="5">
        <f t="shared" si="259"/>
        <v>0</v>
      </c>
      <c r="W788" s="5">
        <f t="shared" si="260"/>
        <v>0</v>
      </c>
      <c r="X788" s="5">
        <f t="shared" si="261"/>
        <v>0</v>
      </c>
      <c r="Y788" s="5">
        <f t="shared" si="262"/>
        <v>0</v>
      </c>
      <c r="Z788" s="5">
        <f t="shared" si="263"/>
        <v>0</v>
      </c>
      <c r="AA788" s="5">
        <f t="shared" si="264"/>
        <v>0</v>
      </c>
      <c r="AB788" s="5">
        <f t="shared" ref="AB788:AB851" si="265">SUM(T788:AA788)</f>
        <v>0</v>
      </c>
    </row>
    <row r="789" spans="1:28" x14ac:dyDescent="0.25">
      <c r="D789" t="s">
        <v>74</v>
      </c>
      <c r="E789" s="64"/>
      <c r="F789" s="64"/>
      <c r="G789">
        <f>IFERROR(HLOOKUP(G$2,[26]table_male_hkom3_inj.V1!$A$1:$K$36,6,FALSE),0)</f>
        <v>0</v>
      </c>
      <c r="H789">
        <f>IFERROR(HLOOKUP(H$2,[26]table_male_hkom3_inj.V1!$A$1:$K$36,6,FALSE),0)</f>
        <v>0</v>
      </c>
      <c r="I789">
        <f>IFERROR(HLOOKUP(I$2,[26]table_male_hkom3_inj.V1!$A$1:$K$36,6,FALSE),0)</f>
        <v>0</v>
      </c>
      <c r="J789">
        <f>IFERROR(HLOOKUP(J$2,[26]table_male_hkom3_inj.V1!$A$1:$K$36,6,FALSE),0)</f>
        <v>0</v>
      </c>
      <c r="K789">
        <f>IFERROR(HLOOKUP(K$2,[26]table_male_hkom3_inj.V1!$A$1:$K$36,6,FALSE),0)</f>
        <v>0</v>
      </c>
      <c r="L789">
        <f>IFERROR(HLOOKUP(L$2,[26]table_male_hkom3_inj.V1!$A$1:$K$36,6,FALSE),0)</f>
        <v>0</v>
      </c>
      <c r="M789">
        <f t="shared" si="256"/>
        <v>0</v>
      </c>
      <c r="S789" t="s">
        <v>74</v>
      </c>
      <c r="T789" s="5">
        <f t="shared" si="257"/>
        <v>0</v>
      </c>
      <c r="U789" s="5">
        <f t="shared" si="258"/>
        <v>0</v>
      </c>
      <c r="V789" s="5">
        <f t="shared" si="259"/>
        <v>0</v>
      </c>
      <c r="W789" s="5">
        <f t="shared" si="260"/>
        <v>0</v>
      </c>
      <c r="X789" s="5">
        <f t="shared" si="261"/>
        <v>0</v>
      </c>
      <c r="Y789" s="5">
        <f t="shared" si="262"/>
        <v>0</v>
      </c>
      <c r="Z789" s="5">
        <f t="shared" si="263"/>
        <v>0</v>
      </c>
      <c r="AA789" s="5">
        <f t="shared" si="264"/>
        <v>0</v>
      </c>
      <c r="AB789" s="5">
        <f t="shared" si="265"/>
        <v>0</v>
      </c>
    </row>
    <row r="790" spans="1:28" x14ac:dyDescent="0.25">
      <c r="D790" t="s">
        <v>75</v>
      </c>
      <c r="E790" s="64"/>
      <c r="F790" s="64"/>
      <c r="G790">
        <f>IFERROR(HLOOKUP(G$2,[26]table_male_hkom3_inj.V1!$A$1:$K$36,7,FALSE),0)</f>
        <v>0</v>
      </c>
      <c r="H790">
        <f>IFERROR(HLOOKUP(H$2,[26]table_male_hkom3_inj.V1!$A$1:$K$36,7,FALSE),0)</f>
        <v>0</v>
      </c>
      <c r="I790">
        <f>IFERROR(HLOOKUP(I$2,[26]table_male_hkom3_inj.V1!$A$1:$K$36,7,FALSE),0)</f>
        <v>0</v>
      </c>
      <c r="J790">
        <f>IFERROR(HLOOKUP(J$2,[26]table_male_hkom3_inj.V1!$A$1:$K$36,7,FALSE),0)</f>
        <v>0</v>
      </c>
      <c r="K790">
        <f>IFERROR(HLOOKUP(K$2,[26]table_male_hkom3_inj.V1!$A$1:$K$36,7,FALSE),0)</f>
        <v>0</v>
      </c>
      <c r="L790">
        <f>IFERROR(HLOOKUP(L$2,[26]table_male_hkom3_inj.V1!$A$1:$K$36,7,FALSE),0)</f>
        <v>0</v>
      </c>
      <c r="M790">
        <f t="shared" si="256"/>
        <v>0</v>
      </c>
      <c r="S790" t="s">
        <v>75</v>
      </c>
      <c r="T790" s="5">
        <f t="shared" si="257"/>
        <v>0</v>
      </c>
      <c r="U790" s="5">
        <f t="shared" si="258"/>
        <v>0</v>
      </c>
      <c r="V790" s="5">
        <f t="shared" si="259"/>
        <v>0</v>
      </c>
      <c r="W790" s="5">
        <f t="shared" si="260"/>
        <v>0</v>
      </c>
      <c r="X790" s="5">
        <f t="shared" si="261"/>
        <v>0</v>
      </c>
      <c r="Y790" s="5">
        <f t="shared" si="262"/>
        <v>0</v>
      </c>
      <c r="Z790" s="5">
        <f t="shared" si="263"/>
        <v>0</v>
      </c>
      <c r="AA790" s="5">
        <f t="shared" si="264"/>
        <v>0</v>
      </c>
      <c r="AB790" s="5">
        <f t="shared" si="265"/>
        <v>0</v>
      </c>
    </row>
    <row r="791" spans="1:28" x14ac:dyDescent="0.25">
      <c r="D791" t="s">
        <v>76</v>
      </c>
      <c r="E791" s="64"/>
      <c r="F791" s="64"/>
      <c r="G791">
        <f>IFERROR(HLOOKUP(G$2,[26]table_male_hkom3_inj.V1!$A$1:$K$36,8,FALSE),0)</f>
        <v>0</v>
      </c>
      <c r="H791">
        <f>IFERROR(HLOOKUP(H$2,[26]table_male_hkom3_inj.V1!$A$1:$K$36,8,FALSE),0)</f>
        <v>0</v>
      </c>
      <c r="I791">
        <f>IFERROR(HLOOKUP(I$2,[26]table_male_hkom3_inj.V1!$A$1:$K$36,8,FALSE),0)</f>
        <v>0</v>
      </c>
      <c r="J791">
        <f>IFERROR(HLOOKUP(J$2,[26]table_male_hkom3_inj.V1!$A$1:$K$36,8,FALSE),0)</f>
        <v>0</v>
      </c>
      <c r="K791">
        <f>IFERROR(HLOOKUP(K$2,[26]table_male_hkom3_inj.V1!$A$1:$K$36,8,FALSE),0)</f>
        <v>0</v>
      </c>
      <c r="L791">
        <f>IFERROR(HLOOKUP(L$2,[26]table_male_hkom3_inj.V1!$A$1:$K$36,8,FALSE),0)</f>
        <v>0</v>
      </c>
      <c r="M791">
        <f t="shared" si="256"/>
        <v>0</v>
      </c>
      <c r="S791" t="s">
        <v>76</v>
      </c>
      <c r="T791" s="5">
        <f t="shared" si="257"/>
        <v>0</v>
      </c>
      <c r="U791" s="5">
        <f t="shared" si="258"/>
        <v>0</v>
      </c>
      <c r="V791" s="5">
        <f t="shared" si="259"/>
        <v>0</v>
      </c>
      <c r="W791" s="5">
        <f t="shared" si="260"/>
        <v>0</v>
      </c>
      <c r="X791" s="5">
        <f t="shared" si="261"/>
        <v>0</v>
      </c>
      <c r="Y791" s="5">
        <f t="shared" si="262"/>
        <v>0</v>
      </c>
      <c r="Z791" s="5">
        <f t="shared" si="263"/>
        <v>0</v>
      </c>
      <c r="AA791" s="5">
        <f t="shared" si="264"/>
        <v>0</v>
      </c>
      <c r="AB791" s="5">
        <f t="shared" si="265"/>
        <v>0</v>
      </c>
    </row>
    <row r="792" spans="1:28" x14ac:dyDescent="0.25">
      <c r="D792" t="s">
        <v>77</v>
      </c>
      <c r="E792" s="64"/>
      <c r="F792" s="64"/>
      <c r="G792">
        <f>IFERROR(HLOOKUP(G$2,[26]table_male_hkom3_inj.V1!$A$1:$K$36,9,FALSE),0)</f>
        <v>0</v>
      </c>
      <c r="H792">
        <f>IFERROR(HLOOKUP(H$2,[26]table_male_hkom3_inj.V1!$A$1:$K$36,9,FALSE),0)</f>
        <v>0</v>
      </c>
      <c r="I792">
        <f>IFERROR(HLOOKUP(I$2,[26]table_male_hkom3_inj.V1!$A$1:$K$36,9,FALSE),0)</f>
        <v>0</v>
      </c>
      <c r="J792">
        <f>IFERROR(HLOOKUP(J$2,[26]table_male_hkom3_inj.V1!$A$1:$K$36,9,FALSE),0)</f>
        <v>0</v>
      </c>
      <c r="K792">
        <f>IFERROR(HLOOKUP(K$2,[26]table_male_hkom3_inj.V1!$A$1:$K$36,9,FALSE),0)</f>
        <v>0</v>
      </c>
      <c r="L792">
        <f>IFERROR(HLOOKUP(L$2,[26]table_male_hkom3_inj.V1!$A$1:$K$36,9,FALSE),0)</f>
        <v>0</v>
      </c>
      <c r="M792">
        <f t="shared" si="256"/>
        <v>0</v>
      </c>
      <c r="S792" t="s">
        <v>77</v>
      </c>
      <c r="T792" s="5">
        <f t="shared" si="257"/>
        <v>0</v>
      </c>
      <c r="U792" s="5">
        <f t="shared" si="258"/>
        <v>0</v>
      </c>
      <c r="V792" s="5">
        <f t="shared" si="259"/>
        <v>0</v>
      </c>
      <c r="W792" s="5">
        <f t="shared" si="260"/>
        <v>0</v>
      </c>
      <c r="X792" s="5">
        <f t="shared" si="261"/>
        <v>0</v>
      </c>
      <c r="Y792" s="5">
        <f t="shared" si="262"/>
        <v>0</v>
      </c>
      <c r="Z792" s="5">
        <f t="shared" si="263"/>
        <v>0</v>
      </c>
      <c r="AA792" s="5">
        <f t="shared" si="264"/>
        <v>0</v>
      </c>
      <c r="AB792" s="5">
        <f t="shared" si="265"/>
        <v>0</v>
      </c>
    </row>
    <row r="793" spans="1:28" x14ac:dyDescent="0.25">
      <c r="D793" t="s">
        <v>78</v>
      </c>
      <c r="E793" s="64"/>
      <c r="F793" s="64"/>
      <c r="G793">
        <f>IFERROR(HLOOKUP(G$2,[26]table_male_hkom3_inj.V1!$A$1:$K$36,10,FALSE),0)</f>
        <v>0</v>
      </c>
      <c r="H793">
        <f>IFERROR(HLOOKUP(H$2,[26]table_male_hkom3_inj.V1!$A$1:$K$36,10,FALSE),0)</f>
        <v>0</v>
      </c>
      <c r="I793">
        <f>IFERROR(HLOOKUP(I$2,[26]table_male_hkom3_inj.V1!$A$1:$K$36,10,FALSE),0)</f>
        <v>0</v>
      </c>
      <c r="J793">
        <f>IFERROR(HLOOKUP(J$2,[26]table_male_hkom3_inj.V1!$A$1:$K$36,10,FALSE),0)</f>
        <v>0</v>
      </c>
      <c r="K793">
        <f>IFERROR(HLOOKUP(K$2,[26]table_male_hkom3_inj.V1!$A$1:$K$36,10,FALSE),0)</f>
        <v>0</v>
      </c>
      <c r="L793">
        <f>IFERROR(HLOOKUP(L$2,[26]table_male_hkom3_inj.V1!$A$1:$K$36,10,FALSE),0)</f>
        <v>0</v>
      </c>
      <c r="M793">
        <f t="shared" si="256"/>
        <v>0</v>
      </c>
      <c r="S793" t="s">
        <v>78</v>
      </c>
      <c r="T793" s="5">
        <f t="shared" si="257"/>
        <v>0</v>
      </c>
      <c r="U793" s="5">
        <f t="shared" si="258"/>
        <v>0</v>
      </c>
      <c r="V793" s="5">
        <f t="shared" si="259"/>
        <v>0</v>
      </c>
      <c r="W793" s="5">
        <f t="shared" si="260"/>
        <v>0</v>
      </c>
      <c r="X793" s="5">
        <f t="shared" si="261"/>
        <v>0</v>
      </c>
      <c r="Y793" s="5">
        <f t="shared" si="262"/>
        <v>0</v>
      </c>
      <c r="Z793" s="5">
        <f t="shared" si="263"/>
        <v>0</v>
      </c>
      <c r="AA793" s="5">
        <f t="shared" si="264"/>
        <v>0</v>
      </c>
      <c r="AB793" s="5">
        <f t="shared" si="265"/>
        <v>0</v>
      </c>
    </row>
    <row r="794" spans="1:28" x14ac:dyDescent="0.25">
      <c r="D794" t="s">
        <v>79</v>
      </c>
      <c r="E794" s="64"/>
      <c r="F794" s="64"/>
      <c r="G794">
        <f>IFERROR(HLOOKUP(G$2,[26]table_male_hkom3_inj.V1!$A$1:$K$36,11,FALSE),0)</f>
        <v>0</v>
      </c>
      <c r="H794">
        <f>IFERROR(HLOOKUP(H$2,[26]table_male_hkom3_inj.V1!$A$1:$K$36,11,FALSE),0)</f>
        <v>0</v>
      </c>
      <c r="I794">
        <f>IFERROR(HLOOKUP(I$2,[26]table_male_hkom3_inj.V1!$A$1:$K$36,11,FALSE),0)</f>
        <v>0</v>
      </c>
      <c r="J794">
        <f>IFERROR(HLOOKUP(J$2,[26]table_male_hkom3_inj.V1!$A$1:$K$36,11,FALSE),0)</f>
        <v>0</v>
      </c>
      <c r="K794">
        <f>IFERROR(HLOOKUP(K$2,[26]table_male_hkom3_inj.V1!$A$1:$K$36,11,FALSE),0)</f>
        <v>0</v>
      </c>
      <c r="L794">
        <f>IFERROR(HLOOKUP(L$2,[26]table_male_hkom3_inj.V1!$A$1:$K$36,11,FALSE),0)</f>
        <v>0</v>
      </c>
      <c r="M794">
        <f t="shared" si="256"/>
        <v>0</v>
      </c>
      <c r="S794" t="s">
        <v>79</v>
      </c>
      <c r="T794" s="5">
        <f t="shared" si="257"/>
        <v>0</v>
      </c>
      <c r="U794" s="5">
        <f t="shared" si="258"/>
        <v>0</v>
      </c>
      <c r="V794" s="5">
        <f t="shared" si="259"/>
        <v>0</v>
      </c>
      <c r="W794" s="5">
        <f t="shared" si="260"/>
        <v>0</v>
      </c>
      <c r="X794" s="5">
        <f t="shared" si="261"/>
        <v>0</v>
      </c>
      <c r="Y794" s="5">
        <f t="shared" si="262"/>
        <v>0</v>
      </c>
      <c r="Z794" s="5">
        <f t="shared" si="263"/>
        <v>0</v>
      </c>
      <c r="AA794" s="5">
        <f t="shared" si="264"/>
        <v>0</v>
      </c>
      <c r="AB794" s="5">
        <f t="shared" si="265"/>
        <v>0</v>
      </c>
    </row>
    <row r="795" spans="1:28" x14ac:dyDescent="0.25">
      <c r="D795" t="s">
        <v>80</v>
      </c>
      <c r="E795" s="64"/>
      <c r="F795" s="64"/>
      <c r="G795">
        <f>IFERROR(HLOOKUP(G$2,[26]table_male_hkom3_inj.V1!$A$1:$K$36,12,FALSE),0)</f>
        <v>0</v>
      </c>
      <c r="H795">
        <f>IFERROR(HLOOKUP(H$2,[26]table_male_hkom3_inj.V1!$A$1:$K$36,12,FALSE),0)</f>
        <v>0</v>
      </c>
      <c r="I795">
        <f>IFERROR(HLOOKUP(I$2,[26]table_male_hkom3_inj.V1!$A$1:$K$36,12,FALSE),0)</f>
        <v>0</v>
      </c>
      <c r="J795">
        <f>IFERROR(HLOOKUP(J$2,[26]table_male_hkom3_inj.V1!$A$1:$K$36,12,FALSE),0)</f>
        <v>0</v>
      </c>
      <c r="K795">
        <f>IFERROR(HLOOKUP(K$2,[26]table_male_hkom3_inj.V1!$A$1:$K$36,12,FALSE),0)</f>
        <v>0</v>
      </c>
      <c r="L795">
        <f>IFERROR(HLOOKUP(L$2,[26]table_male_hkom3_inj.V1!$A$1:$K$36,12,FALSE),0)</f>
        <v>0</v>
      </c>
      <c r="M795">
        <f t="shared" si="256"/>
        <v>0</v>
      </c>
      <c r="S795" t="s">
        <v>80</v>
      </c>
      <c r="T795" s="5">
        <f t="shared" si="257"/>
        <v>0</v>
      </c>
      <c r="U795" s="5">
        <f t="shared" si="258"/>
        <v>0</v>
      </c>
      <c r="V795" s="5">
        <f t="shared" si="259"/>
        <v>0</v>
      </c>
      <c r="W795" s="5">
        <f t="shared" si="260"/>
        <v>0</v>
      </c>
      <c r="X795" s="5">
        <f t="shared" si="261"/>
        <v>0</v>
      </c>
      <c r="Y795" s="5">
        <f t="shared" si="262"/>
        <v>0</v>
      </c>
      <c r="Z795" s="5">
        <f t="shared" si="263"/>
        <v>0</v>
      </c>
      <c r="AA795" s="5">
        <f t="shared" si="264"/>
        <v>0</v>
      </c>
      <c r="AB795" s="5">
        <f t="shared" si="265"/>
        <v>0</v>
      </c>
    </row>
    <row r="796" spans="1:28" x14ac:dyDescent="0.25">
      <c r="D796" t="s">
        <v>81</v>
      </c>
      <c r="E796" s="64"/>
      <c r="F796" s="64"/>
      <c r="G796">
        <f>IFERROR(HLOOKUP(G$2,[26]table_male_hkom3_inj.V1!$A$1:$K$36,13,FALSE),0)</f>
        <v>0</v>
      </c>
      <c r="H796">
        <f>IFERROR(HLOOKUP(H$2,[26]table_male_hkom3_inj.V1!$A$1:$K$36,13,FALSE),0)</f>
        <v>0</v>
      </c>
      <c r="I796">
        <f>IFERROR(HLOOKUP(I$2,[26]table_male_hkom3_inj.V1!$A$1:$K$36,13,FALSE),0)</f>
        <v>0</v>
      </c>
      <c r="J796">
        <f>IFERROR(HLOOKUP(J$2,[26]table_male_hkom3_inj.V1!$A$1:$K$36,13,FALSE),0)</f>
        <v>0</v>
      </c>
      <c r="K796">
        <f>IFERROR(HLOOKUP(K$2,[26]table_male_hkom3_inj.V1!$A$1:$K$36,13,FALSE),0)</f>
        <v>0</v>
      </c>
      <c r="L796">
        <f>IFERROR(HLOOKUP(L$2,[26]table_male_hkom3_inj.V1!$A$1:$K$36,13,FALSE),0)</f>
        <v>0</v>
      </c>
      <c r="M796">
        <f t="shared" si="256"/>
        <v>0</v>
      </c>
      <c r="S796" t="s">
        <v>81</v>
      </c>
      <c r="T796" s="5">
        <f t="shared" si="257"/>
        <v>0</v>
      </c>
      <c r="U796" s="5">
        <f t="shared" si="258"/>
        <v>0</v>
      </c>
      <c r="V796" s="5">
        <f t="shared" si="259"/>
        <v>0</v>
      </c>
      <c r="W796" s="5">
        <f t="shared" si="260"/>
        <v>0</v>
      </c>
      <c r="X796" s="5">
        <f t="shared" si="261"/>
        <v>0</v>
      </c>
      <c r="Y796" s="5">
        <f t="shared" si="262"/>
        <v>0</v>
      </c>
      <c r="Z796" s="5">
        <f t="shared" si="263"/>
        <v>0</v>
      </c>
      <c r="AA796" s="5">
        <f t="shared" si="264"/>
        <v>0</v>
      </c>
      <c r="AB796" s="5">
        <f t="shared" si="265"/>
        <v>0</v>
      </c>
    </row>
    <row r="797" spans="1:28" x14ac:dyDescent="0.25">
      <c r="D797" t="s">
        <v>82</v>
      </c>
      <c r="E797" s="64"/>
      <c r="F797" s="64"/>
      <c r="G797">
        <f>IFERROR(HLOOKUP(G$2,[26]table_male_hkom3_inj.V1!$A$1:$K$36,14,FALSE),0)</f>
        <v>0</v>
      </c>
      <c r="H797">
        <f>IFERROR(HLOOKUP(H$2,[26]table_male_hkom3_inj.V1!$A$1:$K$36,14,FALSE),0)</f>
        <v>0</v>
      </c>
      <c r="I797">
        <f>IFERROR(HLOOKUP(I$2,[26]table_male_hkom3_inj.V1!$A$1:$K$36,14,FALSE),0)</f>
        <v>0</v>
      </c>
      <c r="J797">
        <f>IFERROR(HLOOKUP(J$2,[26]table_male_hkom3_inj.V1!$A$1:$K$36,14,FALSE),0)</f>
        <v>0</v>
      </c>
      <c r="K797">
        <f>IFERROR(HLOOKUP(K$2,[26]table_male_hkom3_inj.V1!$A$1:$K$36,14,FALSE),0)</f>
        <v>0</v>
      </c>
      <c r="L797">
        <f>IFERROR(HLOOKUP(L$2,[26]table_male_hkom3_inj.V1!$A$1:$K$36,14,FALSE),0)</f>
        <v>0</v>
      </c>
      <c r="M797">
        <f t="shared" si="256"/>
        <v>0</v>
      </c>
      <c r="S797" t="s">
        <v>82</v>
      </c>
      <c r="T797" s="5">
        <f t="shared" si="257"/>
        <v>0</v>
      </c>
      <c r="U797" s="5">
        <f t="shared" si="258"/>
        <v>0</v>
      </c>
      <c r="V797" s="5">
        <f t="shared" si="259"/>
        <v>0</v>
      </c>
      <c r="W797" s="5">
        <f t="shared" si="260"/>
        <v>0</v>
      </c>
      <c r="X797" s="5">
        <f t="shared" si="261"/>
        <v>0</v>
      </c>
      <c r="Y797" s="5">
        <f t="shared" si="262"/>
        <v>0</v>
      </c>
      <c r="Z797" s="5">
        <f t="shared" si="263"/>
        <v>0</v>
      </c>
      <c r="AA797" s="5">
        <f t="shared" si="264"/>
        <v>0</v>
      </c>
      <c r="AB797" s="5">
        <f t="shared" si="265"/>
        <v>0</v>
      </c>
    </row>
    <row r="798" spans="1:28" x14ac:dyDescent="0.25">
      <c r="D798" t="s">
        <v>83</v>
      </c>
      <c r="E798" s="64"/>
      <c r="F798" s="64"/>
      <c r="G798">
        <f>IFERROR(HLOOKUP(G$2,[26]table_male_hkom3_inj.V1!$A$1:$K$36,15,FALSE),0)</f>
        <v>0</v>
      </c>
      <c r="H798">
        <f>IFERROR(HLOOKUP(H$2,[26]table_male_hkom3_inj.V1!$A$1:$K$36,15,FALSE),0)</f>
        <v>0</v>
      </c>
      <c r="I798">
        <f>IFERROR(HLOOKUP(I$2,[26]table_male_hkom3_inj.V1!$A$1:$K$36,15,FALSE),0)</f>
        <v>0</v>
      </c>
      <c r="J798">
        <f>IFERROR(HLOOKUP(J$2,[26]table_male_hkom3_inj.V1!$A$1:$K$36,15,FALSE),0)</f>
        <v>0</v>
      </c>
      <c r="K798">
        <f>IFERROR(HLOOKUP(K$2,[26]table_male_hkom3_inj.V1!$A$1:$K$36,15,FALSE),0)</f>
        <v>0</v>
      </c>
      <c r="L798">
        <f>IFERROR(HLOOKUP(L$2,[26]table_male_hkom3_inj.V1!$A$1:$K$36,15,FALSE),0)</f>
        <v>0</v>
      </c>
      <c r="M798">
        <f t="shared" si="256"/>
        <v>0</v>
      </c>
      <c r="S798" t="s">
        <v>83</v>
      </c>
      <c r="T798" s="5">
        <f t="shared" si="257"/>
        <v>0</v>
      </c>
      <c r="U798" s="5">
        <f t="shared" si="258"/>
        <v>0</v>
      </c>
      <c r="V798" s="5">
        <f t="shared" si="259"/>
        <v>0</v>
      </c>
      <c r="W798" s="5">
        <f t="shared" si="260"/>
        <v>0</v>
      </c>
      <c r="X798" s="5">
        <f t="shared" si="261"/>
        <v>0</v>
      </c>
      <c r="Y798" s="5">
        <f t="shared" si="262"/>
        <v>0</v>
      </c>
      <c r="Z798" s="5">
        <f t="shared" si="263"/>
        <v>0</v>
      </c>
      <c r="AA798" s="5">
        <f t="shared" si="264"/>
        <v>0</v>
      </c>
      <c r="AB798" s="5">
        <f t="shared" si="265"/>
        <v>0</v>
      </c>
    </row>
    <row r="799" spans="1:28" x14ac:dyDescent="0.25">
      <c r="D799" t="s">
        <v>84</v>
      </c>
      <c r="E799" s="64"/>
      <c r="F799" s="64"/>
      <c r="G799">
        <f>IFERROR(HLOOKUP(G$2,[26]table_male_hkom3_inj.V1!$A$1:$K$36,16,FALSE),0)</f>
        <v>0</v>
      </c>
      <c r="H799">
        <f>IFERROR(HLOOKUP(H$2,[26]table_male_hkom3_inj.V1!$A$1:$K$36,16,FALSE),0)</f>
        <v>0</v>
      </c>
      <c r="I799">
        <f>IFERROR(HLOOKUP(I$2,[26]table_male_hkom3_inj.V1!$A$1:$K$36,16,FALSE),0)</f>
        <v>0</v>
      </c>
      <c r="J799">
        <f>IFERROR(HLOOKUP(J$2,[26]table_male_hkom3_inj.V1!$A$1:$K$36,16,FALSE),0)</f>
        <v>0</v>
      </c>
      <c r="K799">
        <f>IFERROR(HLOOKUP(K$2,[26]table_male_hkom3_inj.V1!$A$1:$K$36,16,FALSE),0)</f>
        <v>0</v>
      </c>
      <c r="L799">
        <f>IFERROR(HLOOKUP(L$2,[26]table_male_hkom3_inj.V1!$A$1:$K$36,16,FALSE),0)</f>
        <v>0</v>
      </c>
      <c r="M799">
        <f t="shared" si="256"/>
        <v>0</v>
      </c>
      <c r="S799" t="s">
        <v>84</v>
      </c>
      <c r="T799" s="5">
        <f t="shared" si="257"/>
        <v>0</v>
      </c>
      <c r="U799" s="5">
        <f t="shared" si="258"/>
        <v>0</v>
      </c>
      <c r="V799" s="5">
        <f t="shared" si="259"/>
        <v>0</v>
      </c>
      <c r="W799" s="5">
        <f t="shared" si="260"/>
        <v>0</v>
      </c>
      <c r="X799" s="5">
        <f t="shared" si="261"/>
        <v>0</v>
      </c>
      <c r="Y799" s="5">
        <f t="shared" si="262"/>
        <v>0</v>
      </c>
      <c r="Z799" s="5">
        <f t="shared" si="263"/>
        <v>0</v>
      </c>
      <c r="AA799" s="5">
        <f t="shared" si="264"/>
        <v>0</v>
      </c>
      <c r="AB799" s="5">
        <f t="shared" si="265"/>
        <v>0</v>
      </c>
    </row>
    <row r="800" spans="1:28" x14ac:dyDescent="0.25">
      <c r="D800" t="s">
        <v>85</v>
      </c>
      <c r="E800" s="64"/>
      <c r="F800" s="64"/>
      <c r="G800">
        <f>IFERROR(HLOOKUP(G$2,[26]table_male_hkom3_inj.V1!$A$1:$K$36,17,FALSE),0)</f>
        <v>0</v>
      </c>
      <c r="H800">
        <f>IFERROR(HLOOKUP(H$2,[26]table_male_hkom3_inj.V1!$A$1:$K$36,17,FALSE),0)</f>
        <v>0</v>
      </c>
      <c r="I800">
        <f>IFERROR(HLOOKUP(I$2,[26]table_male_hkom3_inj.V1!$A$1:$K$36,17,FALSE),0)</f>
        <v>0</v>
      </c>
      <c r="J800">
        <f>IFERROR(HLOOKUP(J$2,[26]table_male_hkom3_inj.V1!$A$1:$K$36,17,FALSE),0)</f>
        <v>0</v>
      </c>
      <c r="K800">
        <f>IFERROR(HLOOKUP(K$2,[26]table_male_hkom3_inj.V1!$A$1:$K$36,17,FALSE),0)</f>
        <v>0</v>
      </c>
      <c r="L800">
        <f>IFERROR(HLOOKUP(L$2,[26]table_male_hkom3_inj.V1!$A$1:$K$36,17,FALSE),0)</f>
        <v>0</v>
      </c>
      <c r="M800">
        <f t="shared" si="256"/>
        <v>0</v>
      </c>
      <c r="S800" t="s">
        <v>85</v>
      </c>
      <c r="T800" s="5">
        <f t="shared" si="257"/>
        <v>0</v>
      </c>
      <c r="U800" s="5">
        <f t="shared" si="258"/>
        <v>0</v>
      </c>
      <c r="V800" s="5">
        <f t="shared" si="259"/>
        <v>0</v>
      </c>
      <c r="W800" s="5">
        <f t="shared" si="260"/>
        <v>0</v>
      </c>
      <c r="X800" s="5">
        <f t="shared" si="261"/>
        <v>0</v>
      </c>
      <c r="Y800" s="5">
        <f t="shared" si="262"/>
        <v>0</v>
      </c>
      <c r="Z800" s="5">
        <f t="shared" si="263"/>
        <v>0</v>
      </c>
      <c r="AA800" s="5">
        <f t="shared" si="264"/>
        <v>0</v>
      </c>
      <c r="AB800" s="5">
        <f t="shared" si="265"/>
        <v>0</v>
      </c>
    </row>
    <row r="801" spans="4:28" x14ac:dyDescent="0.25">
      <c r="D801" t="s">
        <v>86</v>
      </c>
      <c r="E801" s="64"/>
      <c r="F801" s="64"/>
      <c r="G801">
        <f>IFERROR(HLOOKUP(G$2,[26]table_male_hkom3_inj.V1!$A$1:$K$36,18,FALSE),0)</f>
        <v>0</v>
      </c>
      <c r="H801">
        <f>IFERROR(HLOOKUP(H$2,[26]table_male_hkom3_inj.V1!$A$1:$K$36,18,FALSE),0)</f>
        <v>1</v>
      </c>
      <c r="I801">
        <f>IFERROR(HLOOKUP(I$2,[26]table_male_hkom3_inj.V1!$A$1:$K$36,18,FALSE),0)</f>
        <v>0</v>
      </c>
      <c r="J801">
        <f>IFERROR(HLOOKUP(J$2,[26]table_male_hkom3_inj.V1!$A$1:$K$36,18,FALSE),0)</f>
        <v>0</v>
      </c>
      <c r="K801">
        <f>IFERROR(HLOOKUP(K$2,[26]table_male_hkom3_inj.V1!$A$1:$K$36,18,FALSE),0)</f>
        <v>0</v>
      </c>
      <c r="L801">
        <f>IFERROR(HLOOKUP(L$2,[26]table_male_hkom3_inj.V1!$A$1:$K$36,18,FALSE),0)</f>
        <v>0</v>
      </c>
      <c r="M801">
        <f t="shared" si="256"/>
        <v>1</v>
      </c>
      <c r="S801" t="s">
        <v>86</v>
      </c>
      <c r="T801" s="5">
        <f t="shared" si="257"/>
        <v>0</v>
      </c>
      <c r="U801" s="5">
        <f t="shared" si="258"/>
        <v>0</v>
      </c>
      <c r="V801" s="5">
        <f t="shared" si="259"/>
        <v>0</v>
      </c>
      <c r="W801" s="5">
        <f t="shared" si="260"/>
        <v>1.25</v>
      </c>
      <c r="X801" s="5">
        <f t="shared" si="261"/>
        <v>0</v>
      </c>
      <c r="Y801" s="5">
        <f t="shared" si="262"/>
        <v>0</v>
      </c>
      <c r="Z801" s="5">
        <f t="shared" si="263"/>
        <v>0</v>
      </c>
      <c r="AA801" s="5">
        <f t="shared" si="264"/>
        <v>0</v>
      </c>
      <c r="AB801" s="5">
        <f t="shared" si="265"/>
        <v>1.25</v>
      </c>
    </row>
    <row r="802" spans="4:28" x14ac:dyDescent="0.25">
      <c r="D802" t="s">
        <v>87</v>
      </c>
      <c r="E802" s="64"/>
      <c r="F802" s="64"/>
      <c r="G802">
        <f>IFERROR(HLOOKUP(G$2,[26]table_male_hkom3_inj.V1!$A$1:$K$36,19,FALSE),0)</f>
        <v>0</v>
      </c>
      <c r="H802">
        <f>IFERROR(HLOOKUP(H$2,[26]table_male_hkom3_inj.V1!$A$1:$K$36,19,FALSE),0)</f>
        <v>0</v>
      </c>
      <c r="I802">
        <f>IFERROR(HLOOKUP(I$2,[26]table_male_hkom3_inj.V1!$A$1:$K$36,19,FALSE),0)</f>
        <v>1</v>
      </c>
      <c r="J802">
        <f>IFERROR(HLOOKUP(J$2,[26]table_male_hkom3_inj.V1!$A$1:$K$36,19,FALSE),0)</f>
        <v>0</v>
      </c>
      <c r="K802">
        <f>IFERROR(HLOOKUP(K$2,[26]table_male_hkom3_inj.V1!$A$1:$K$36,19,FALSE),0)</f>
        <v>0</v>
      </c>
      <c r="L802">
        <f>IFERROR(HLOOKUP(L$2,[26]table_male_hkom3_inj.V1!$A$1:$K$36,19,FALSE),0)</f>
        <v>0</v>
      </c>
      <c r="M802">
        <f t="shared" si="256"/>
        <v>1</v>
      </c>
      <c r="S802" t="s">
        <v>87</v>
      </c>
      <c r="T802" s="5">
        <f t="shared" si="257"/>
        <v>0</v>
      </c>
      <c r="U802" s="5">
        <f t="shared" si="258"/>
        <v>0</v>
      </c>
      <c r="V802" s="5">
        <f t="shared" si="259"/>
        <v>0</v>
      </c>
      <c r="W802" s="5">
        <f t="shared" si="260"/>
        <v>0</v>
      </c>
      <c r="X802" s="5">
        <f t="shared" si="261"/>
        <v>1.4</v>
      </c>
      <c r="Y802" s="5">
        <f t="shared" si="262"/>
        <v>0</v>
      </c>
      <c r="Z802" s="5">
        <f t="shared" si="263"/>
        <v>0</v>
      </c>
      <c r="AA802" s="5">
        <f t="shared" si="264"/>
        <v>0</v>
      </c>
      <c r="AB802" s="5">
        <f t="shared" si="265"/>
        <v>1.4</v>
      </c>
    </row>
    <row r="803" spans="4:28" x14ac:dyDescent="0.25">
      <c r="D803" t="s">
        <v>88</v>
      </c>
      <c r="E803" s="64"/>
      <c r="F803" s="64"/>
      <c r="G803">
        <f>IFERROR(HLOOKUP(G$2,[26]table_male_hkom3_inj.V1!$A$1:$K$36,20,FALSE),0)</f>
        <v>1</v>
      </c>
      <c r="H803">
        <f>IFERROR(HLOOKUP(H$2,[26]table_male_hkom3_inj.V1!$A$1:$K$36,20,FALSE),0)</f>
        <v>2</v>
      </c>
      <c r="I803">
        <f>IFERROR(HLOOKUP(I$2,[26]table_male_hkom3_inj.V1!$A$1:$K$36,20,FALSE),0)</f>
        <v>0</v>
      </c>
      <c r="J803">
        <f>IFERROR(HLOOKUP(J$2,[26]table_male_hkom3_inj.V1!$A$1:$K$36,20,FALSE),0)</f>
        <v>0</v>
      </c>
      <c r="K803">
        <f>IFERROR(HLOOKUP(K$2,[26]table_male_hkom3_inj.V1!$A$1:$K$36,20,FALSE),0)</f>
        <v>0</v>
      </c>
      <c r="L803">
        <f>IFERROR(HLOOKUP(L$2,[26]table_male_hkom3_inj.V1!$A$1:$K$36,20,FALSE),0)</f>
        <v>0</v>
      </c>
      <c r="M803">
        <f t="shared" si="256"/>
        <v>3</v>
      </c>
      <c r="S803" t="s">
        <v>88</v>
      </c>
      <c r="T803" s="5">
        <f t="shared" si="257"/>
        <v>0</v>
      </c>
      <c r="U803" s="5">
        <f t="shared" si="258"/>
        <v>0</v>
      </c>
      <c r="V803" s="5">
        <f t="shared" si="259"/>
        <v>1</v>
      </c>
      <c r="W803" s="5">
        <f t="shared" si="260"/>
        <v>2.5</v>
      </c>
      <c r="X803" s="5">
        <f t="shared" si="261"/>
        <v>0</v>
      </c>
      <c r="Y803" s="5">
        <f t="shared" si="262"/>
        <v>0</v>
      </c>
      <c r="Z803" s="5">
        <f t="shared" si="263"/>
        <v>0</v>
      </c>
      <c r="AA803" s="5">
        <f t="shared" si="264"/>
        <v>0</v>
      </c>
      <c r="AB803" s="5">
        <f t="shared" si="265"/>
        <v>3.5</v>
      </c>
    </row>
    <row r="804" spans="4:28" x14ac:dyDescent="0.25">
      <c r="D804" t="s">
        <v>89</v>
      </c>
      <c r="E804" s="64"/>
      <c r="F804" s="64"/>
      <c r="G804">
        <f>IFERROR(HLOOKUP(G$2,[26]table_male_hkom3_inj.V1!$A$1:$K$36,21,FALSE),0)</f>
        <v>0</v>
      </c>
      <c r="H804">
        <f>IFERROR(HLOOKUP(H$2,[26]table_male_hkom3_inj.V1!$A$1:$K$36,21,FALSE),0)</f>
        <v>0</v>
      </c>
      <c r="I804">
        <f>IFERROR(HLOOKUP(I$2,[26]table_male_hkom3_inj.V1!$A$1:$K$36,21,FALSE),0)</f>
        <v>0</v>
      </c>
      <c r="J804">
        <f>IFERROR(HLOOKUP(J$2,[26]table_male_hkom3_inj.V1!$A$1:$K$36,21,FALSE),0)</f>
        <v>0</v>
      </c>
      <c r="K804">
        <f>IFERROR(HLOOKUP(K$2,[26]table_male_hkom3_inj.V1!$A$1:$K$36,21,FALSE),0)</f>
        <v>0</v>
      </c>
      <c r="L804">
        <f>IFERROR(HLOOKUP(L$2,[26]table_male_hkom3_inj.V1!$A$1:$K$36,21,FALSE),0)</f>
        <v>0</v>
      </c>
      <c r="M804">
        <f t="shared" si="256"/>
        <v>0</v>
      </c>
      <c r="S804" t="s">
        <v>89</v>
      </c>
      <c r="T804" s="5">
        <f t="shared" si="257"/>
        <v>0</v>
      </c>
      <c r="U804" s="5">
        <f t="shared" si="258"/>
        <v>0</v>
      </c>
      <c r="V804" s="5">
        <f t="shared" si="259"/>
        <v>0</v>
      </c>
      <c r="W804" s="5">
        <f t="shared" si="260"/>
        <v>0</v>
      </c>
      <c r="X804" s="5">
        <f t="shared" si="261"/>
        <v>0</v>
      </c>
      <c r="Y804" s="5">
        <f t="shared" si="262"/>
        <v>0</v>
      </c>
      <c r="Z804" s="5">
        <f t="shared" si="263"/>
        <v>0</v>
      </c>
      <c r="AA804" s="5">
        <f t="shared" si="264"/>
        <v>0</v>
      </c>
      <c r="AB804" s="5">
        <f t="shared" si="265"/>
        <v>0</v>
      </c>
    </row>
    <row r="805" spans="4:28" x14ac:dyDescent="0.25">
      <c r="D805" t="s">
        <v>90</v>
      </c>
      <c r="E805" s="64"/>
      <c r="F805" s="64"/>
      <c r="G805">
        <f>IFERROR(HLOOKUP(G$2,[26]table_male_hkom3_inj.V1!$A$1:$K$36,22,FALSE),0)</f>
        <v>0</v>
      </c>
      <c r="H805">
        <f>IFERROR(HLOOKUP(H$2,[26]table_male_hkom3_inj.V1!$A$1:$K$36,22,FALSE),0)</f>
        <v>0</v>
      </c>
      <c r="I805">
        <f>IFERROR(HLOOKUP(I$2,[26]table_male_hkom3_inj.V1!$A$1:$K$36,22,FALSE),0)</f>
        <v>0</v>
      </c>
      <c r="J805">
        <f>IFERROR(HLOOKUP(J$2,[26]table_male_hkom3_inj.V1!$A$1:$K$36,22,FALSE),0)</f>
        <v>0</v>
      </c>
      <c r="K805">
        <f>IFERROR(HLOOKUP(K$2,[26]table_male_hkom3_inj.V1!$A$1:$K$36,22,FALSE),0)</f>
        <v>0</v>
      </c>
      <c r="L805">
        <f>IFERROR(HLOOKUP(L$2,[26]table_male_hkom3_inj.V1!$A$1:$K$36,22,FALSE),0)</f>
        <v>0</v>
      </c>
      <c r="M805">
        <f t="shared" si="256"/>
        <v>0</v>
      </c>
      <c r="S805" t="s">
        <v>90</v>
      </c>
      <c r="T805" s="5">
        <f t="shared" si="257"/>
        <v>0</v>
      </c>
      <c r="U805" s="5">
        <f t="shared" si="258"/>
        <v>0</v>
      </c>
      <c r="V805" s="5">
        <f t="shared" si="259"/>
        <v>0</v>
      </c>
      <c r="W805" s="5">
        <f t="shared" si="260"/>
        <v>0</v>
      </c>
      <c r="X805" s="5">
        <f t="shared" si="261"/>
        <v>0</v>
      </c>
      <c r="Y805" s="5">
        <f t="shared" si="262"/>
        <v>0</v>
      </c>
      <c r="Z805" s="5">
        <f t="shared" si="263"/>
        <v>0</v>
      </c>
      <c r="AA805" s="5">
        <f t="shared" si="264"/>
        <v>0</v>
      </c>
      <c r="AB805" s="5">
        <f t="shared" si="265"/>
        <v>0</v>
      </c>
    </row>
    <row r="806" spans="4:28" x14ac:dyDescent="0.25">
      <c r="D806" t="s">
        <v>91</v>
      </c>
      <c r="E806" s="64"/>
      <c r="F806" s="64"/>
      <c r="G806">
        <f>IFERROR(HLOOKUP(G$2,[26]table_male_hkom3_inj.V1!$A$1:$K$36,23,FALSE),0)</f>
        <v>0</v>
      </c>
      <c r="H806">
        <f>IFERROR(HLOOKUP(H$2,[26]table_male_hkom3_inj.V1!$A$1:$K$36,23,FALSE),0)</f>
        <v>0</v>
      </c>
      <c r="I806">
        <f>IFERROR(HLOOKUP(I$2,[26]table_male_hkom3_inj.V1!$A$1:$K$36,23,FALSE),0)</f>
        <v>0</v>
      </c>
      <c r="J806">
        <f>IFERROR(HLOOKUP(J$2,[26]table_male_hkom3_inj.V1!$A$1:$K$36,23,FALSE),0)</f>
        <v>0</v>
      </c>
      <c r="K806">
        <f>IFERROR(HLOOKUP(K$2,[26]table_male_hkom3_inj.V1!$A$1:$K$36,23,FALSE),0)</f>
        <v>0</v>
      </c>
      <c r="L806">
        <f>IFERROR(HLOOKUP(L$2,[26]table_male_hkom3_inj.V1!$A$1:$K$36,23,FALSE),0)</f>
        <v>0</v>
      </c>
      <c r="M806">
        <f t="shared" si="256"/>
        <v>0</v>
      </c>
      <c r="S806" t="s">
        <v>91</v>
      </c>
      <c r="T806" s="5">
        <f t="shared" si="257"/>
        <v>0</v>
      </c>
      <c r="U806" s="5">
        <f t="shared" si="258"/>
        <v>0</v>
      </c>
      <c r="V806" s="5">
        <f t="shared" si="259"/>
        <v>0</v>
      </c>
      <c r="W806" s="5">
        <f t="shared" si="260"/>
        <v>0</v>
      </c>
      <c r="X806" s="5">
        <f t="shared" si="261"/>
        <v>0</v>
      </c>
      <c r="Y806" s="5">
        <f t="shared" si="262"/>
        <v>0</v>
      </c>
      <c r="Z806" s="5">
        <f t="shared" si="263"/>
        <v>0</v>
      </c>
      <c r="AA806" s="5">
        <f t="shared" si="264"/>
        <v>0</v>
      </c>
      <c r="AB806" s="5">
        <f t="shared" si="265"/>
        <v>0</v>
      </c>
    </row>
    <row r="807" spans="4:28" x14ac:dyDescent="0.25">
      <c r="D807" t="s">
        <v>92</v>
      </c>
      <c r="E807" s="64"/>
      <c r="F807" s="64"/>
      <c r="G807">
        <f>IFERROR(HLOOKUP(G$2,[26]table_male_hkom3_inj.V1!$A$1:$K$36,24,FALSE),0)</f>
        <v>0</v>
      </c>
      <c r="H807">
        <f>IFERROR(HLOOKUP(H$2,[26]table_male_hkom3_inj.V1!$A$1:$K$36,24,FALSE),0)</f>
        <v>0</v>
      </c>
      <c r="I807">
        <f>IFERROR(HLOOKUP(I$2,[26]table_male_hkom3_inj.V1!$A$1:$K$36,24,FALSE),0)</f>
        <v>0</v>
      </c>
      <c r="J807">
        <f>IFERROR(HLOOKUP(J$2,[26]table_male_hkom3_inj.V1!$A$1:$K$36,24,FALSE),0)</f>
        <v>0</v>
      </c>
      <c r="K807">
        <f>IFERROR(HLOOKUP(K$2,[26]table_male_hkom3_inj.V1!$A$1:$K$36,24,FALSE),0)</f>
        <v>0</v>
      </c>
      <c r="L807">
        <f>IFERROR(HLOOKUP(L$2,[26]table_male_hkom3_inj.V1!$A$1:$K$36,24,FALSE),0)</f>
        <v>0</v>
      </c>
      <c r="M807">
        <f t="shared" si="256"/>
        <v>0</v>
      </c>
      <c r="S807" t="s">
        <v>92</v>
      </c>
      <c r="T807" s="5">
        <f t="shared" si="257"/>
        <v>0</v>
      </c>
      <c r="U807" s="5">
        <f t="shared" si="258"/>
        <v>0</v>
      </c>
      <c r="V807" s="5">
        <f t="shared" si="259"/>
        <v>0</v>
      </c>
      <c r="W807" s="5">
        <f t="shared" si="260"/>
        <v>0</v>
      </c>
      <c r="X807" s="5">
        <f t="shared" si="261"/>
        <v>0</v>
      </c>
      <c r="Y807" s="5">
        <f t="shared" si="262"/>
        <v>0</v>
      </c>
      <c r="Z807" s="5">
        <f t="shared" si="263"/>
        <v>0</v>
      </c>
      <c r="AA807" s="5">
        <f t="shared" si="264"/>
        <v>0</v>
      </c>
      <c r="AB807" s="5">
        <f t="shared" si="265"/>
        <v>0</v>
      </c>
    </row>
    <row r="808" spans="4:28" x14ac:dyDescent="0.25">
      <c r="D808" t="s">
        <v>93</v>
      </c>
      <c r="E808" s="64"/>
      <c r="F808" s="64"/>
      <c r="G808">
        <f>IFERROR(HLOOKUP(G$2,[26]table_male_hkom3_inj.V1!$A$1:$K$36,25,FALSE),0)</f>
        <v>0</v>
      </c>
      <c r="H808">
        <f>IFERROR(HLOOKUP(H$2,[26]table_male_hkom3_inj.V1!$A$1:$K$36,25,FALSE),0)</f>
        <v>0</v>
      </c>
      <c r="I808">
        <f>IFERROR(HLOOKUP(I$2,[26]table_male_hkom3_inj.V1!$A$1:$K$36,25,FALSE),0)</f>
        <v>0</v>
      </c>
      <c r="J808">
        <f>IFERROR(HLOOKUP(J$2,[26]table_male_hkom3_inj.V1!$A$1:$K$36,25,FALSE),0)</f>
        <v>0</v>
      </c>
      <c r="K808">
        <f>IFERROR(HLOOKUP(K$2,[26]table_male_hkom3_inj.V1!$A$1:$K$36,25,FALSE),0)</f>
        <v>0</v>
      </c>
      <c r="L808">
        <f>IFERROR(HLOOKUP(L$2,[26]table_male_hkom3_inj.V1!$A$1:$K$36,25,FALSE),0)</f>
        <v>0</v>
      </c>
      <c r="M808">
        <f t="shared" si="256"/>
        <v>0</v>
      </c>
      <c r="S808" t="s">
        <v>93</v>
      </c>
      <c r="T808" s="5">
        <f t="shared" si="257"/>
        <v>0</v>
      </c>
      <c r="U808" s="5">
        <f t="shared" si="258"/>
        <v>0</v>
      </c>
      <c r="V808" s="5">
        <f t="shared" si="259"/>
        <v>0</v>
      </c>
      <c r="W808" s="5">
        <f t="shared" si="260"/>
        <v>0</v>
      </c>
      <c r="X808" s="5">
        <f t="shared" si="261"/>
        <v>0</v>
      </c>
      <c r="Y808" s="5">
        <f t="shared" si="262"/>
        <v>0</v>
      </c>
      <c r="Z808" s="5">
        <f t="shared" si="263"/>
        <v>0</v>
      </c>
      <c r="AA808" s="5">
        <f t="shared" si="264"/>
        <v>0</v>
      </c>
      <c r="AB808" s="5">
        <f t="shared" si="265"/>
        <v>0</v>
      </c>
    </row>
    <row r="809" spans="4:28" x14ac:dyDescent="0.25">
      <c r="D809" t="s">
        <v>94</v>
      </c>
      <c r="E809" s="64"/>
      <c r="F809" s="64"/>
      <c r="G809">
        <f>IFERROR(HLOOKUP(G$2,[26]table_male_hkom3_inj.V1!$A$1:$K$36,26,FALSE),0)</f>
        <v>0</v>
      </c>
      <c r="H809">
        <f>IFERROR(HLOOKUP(H$2,[26]table_male_hkom3_inj.V1!$A$1:$K$36,26,FALSE),0)</f>
        <v>0</v>
      </c>
      <c r="I809">
        <f>IFERROR(HLOOKUP(I$2,[26]table_male_hkom3_inj.V1!$A$1:$K$36,26,FALSE),0)</f>
        <v>0</v>
      </c>
      <c r="J809">
        <f>IFERROR(HLOOKUP(J$2,[26]table_male_hkom3_inj.V1!$A$1:$K$36,26,FALSE),0)</f>
        <v>0</v>
      </c>
      <c r="K809">
        <f>IFERROR(HLOOKUP(K$2,[26]table_male_hkom3_inj.V1!$A$1:$K$36,26,FALSE),0)</f>
        <v>0</v>
      </c>
      <c r="L809">
        <f>IFERROR(HLOOKUP(L$2,[26]table_male_hkom3_inj.V1!$A$1:$K$36,26,FALSE),0)</f>
        <v>0</v>
      </c>
      <c r="M809">
        <f t="shared" si="256"/>
        <v>0</v>
      </c>
      <c r="S809" t="s">
        <v>94</v>
      </c>
      <c r="T809" s="5">
        <f t="shared" si="257"/>
        <v>0</v>
      </c>
      <c r="U809" s="5">
        <f t="shared" si="258"/>
        <v>0</v>
      </c>
      <c r="V809" s="5">
        <f t="shared" si="259"/>
        <v>0</v>
      </c>
      <c r="W809" s="5">
        <f t="shared" si="260"/>
        <v>0</v>
      </c>
      <c r="X809" s="5">
        <f t="shared" si="261"/>
        <v>0</v>
      </c>
      <c r="Y809" s="5">
        <f t="shared" si="262"/>
        <v>0</v>
      </c>
      <c r="Z809" s="5">
        <f t="shared" si="263"/>
        <v>0</v>
      </c>
      <c r="AA809" s="5">
        <f t="shared" si="264"/>
        <v>0</v>
      </c>
      <c r="AB809" s="5">
        <f t="shared" si="265"/>
        <v>0</v>
      </c>
    </row>
    <row r="810" spans="4:28" x14ac:dyDescent="0.25">
      <c r="D810" t="s">
        <v>95</v>
      </c>
      <c r="E810" s="64"/>
      <c r="F810" s="64"/>
      <c r="G810">
        <f>IFERROR(HLOOKUP(G$2,[26]table_male_hkom3_inj.V1!$A$1:$K$36,27,FALSE),0)</f>
        <v>0</v>
      </c>
      <c r="H810">
        <f>IFERROR(HLOOKUP(H$2,[26]table_male_hkom3_inj.V1!$A$1:$K$36,27,FALSE),0)</f>
        <v>0</v>
      </c>
      <c r="I810">
        <f>IFERROR(HLOOKUP(I$2,[26]table_male_hkom3_inj.V1!$A$1:$K$36,27,FALSE),0)</f>
        <v>0</v>
      </c>
      <c r="J810">
        <f>IFERROR(HLOOKUP(J$2,[26]table_male_hkom3_inj.V1!$A$1:$K$36,27,FALSE),0)</f>
        <v>0</v>
      </c>
      <c r="K810">
        <f>IFERROR(HLOOKUP(K$2,[26]table_male_hkom3_inj.V1!$A$1:$K$36,27,FALSE),0)</f>
        <v>0</v>
      </c>
      <c r="L810">
        <f>IFERROR(HLOOKUP(L$2,[26]table_male_hkom3_inj.V1!$A$1:$K$36,27,FALSE),0)</f>
        <v>0</v>
      </c>
      <c r="M810">
        <f t="shared" si="256"/>
        <v>0</v>
      </c>
      <c r="S810" t="s">
        <v>95</v>
      </c>
      <c r="T810" s="5">
        <f t="shared" si="257"/>
        <v>0</v>
      </c>
      <c r="U810" s="5">
        <f t="shared" si="258"/>
        <v>0</v>
      </c>
      <c r="V810" s="5">
        <f t="shared" si="259"/>
        <v>0</v>
      </c>
      <c r="W810" s="5">
        <f t="shared" si="260"/>
        <v>0</v>
      </c>
      <c r="X810" s="5">
        <f t="shared" si="261"/>
        <v>0</v>
      </c>
      <c r="Y810" s="5">
        <f t="shared" si="262"/>
        <v>0</v>
      </c>
      <c r="Z810" s="5">
        <f t="shared" si="263"/>
        <v>0</v>
      </c>
      <c r="AA810" s="5">
        <f t="shared" si="264"/>
        <v>0</v>
      </c>
      <c r="AB810" s="5">
        <f t="shared" si="265"/>
        <v>0</v>
      </c>
    </row>
    <row r="811" spans="4:28" x14ac:dyDescent="0.25">
      <c r="D811" t="s">
        <v>96</v>
      </c>
      <c r="E811" s="64"/>
      <c r="F811" s="64"/>
      <c r="G811">
        <f>IFERROR(HLOOKUP(G$2,[26]table_male_hkom3_inj.V1!$A$1:$K$36,28,FALSE),0)</f>
        <v>0</v>
      </c>
      <c r="H811">
        <f>IFERROR(HLOOKUP(H$2,[26]table_male_hkom3_inj.V1!$A$1:$K$36,28,FALSE),0)</f>
        <v>0</v>
      </c>
      <c r="I811">
        <f>IFERROR(HLOOKUP(I$2,[26]table_male_hkom3_inj.V1!$A$1:$K$36,28,FALSE),0)</f>
        <v>0</v>
      </c>
      <c r="J811">
        <f>IFERROR(HLOOKUP(J$2,[26]table_male_hkom3_inj.V1!$A$1:$K$36,28,FALSE),0)</f>
        <v>0</v>
      </c>
      <c r="K811">
        <f>IFERROR(HLOOKUP(K$2,[26]table_male_hkom3_inj.V1!$A$1:$K$36,28,FALSE),0)</f>
        <v>0</v>
      </c>
      <c r="L811">
        <f>IFERROR(HLOOKUP(L$2,[26]table_male_hkom3_inj.V1!$A$1:$K$36,28,FALSE),0)</f>
        <v>0</v>
      </c>
      <c r="M811">
        <f t="shared" si="256"/>
        <v>0</v>
      </c>
      <c r="S811" t="s">
        <v>96</v>
      </c>
      <c r="T811" s="5">
        <f t="shared" si="257"/>
        <v>0</v>
      </c>
      <c r="U811" s="5">
        <f t="shared" si="258"/>
        <v>0</v>
      </c>
      <c r="V811" s="5">
        <f t="shared" si="259"/>
        <v>0</v>
      </c>
      <c r="W811" s="5">
        <f t="shared" si="260"/>
        <v>0</v>
      </c>
      <c r="X811" s="5">
        <f t="shared" si="261"/>
        <v>0</v>
      </c>
      <c r="Y811" s="5">
        <f t="shared" si="262"/>
        <v>0</v>
      </c>
      <c r="Z811" s="5">
        <f t="shared" si="263"/>
        <v>0</v>
      </c>
      <c r="AA811" s="5">
        <f t="shared" si="264"/>
        <v>0</v>
      </c>
      <c r="AB811" s="5">
        <f t="shared" si="265"/>
        <v>0</v>
      </c>
    </row>
    <row r="812" spans="4:28" x14ac:dyDescent="0.25">
      <c r="D812" t="s">
        <v>97</v>
      </c>
      <c r="E812" s="64"/>
      <c r="F812" s="64"/>
      <c r="G812">
        <f>IFERROR(HLOOKUP(G$2,[26]table_male_hkom3_inj.V1!$A$1:$K$36,29,FALSE),0)</f>
        <v>0</v>
      </c>
      <c r="H812">
        <f>IFERROR(HLOOKUP(H$2,[26]table_male_hkom3_inj.V1!$A$1:$K$36,29,FALSE),0)</f>
        <v>0</v>
      </c>
      <c r="I812">
        <f>IFERROR(HLOOKUP(I$2,[26]table_male_hkom3_inj.V1!$A$1:$K$36,29,FALSE),0)</f>
        <v>0</v>
      </c>
      <c r="J812">
        <f>IFERROR(HLOOKUP(J$2,[26]table_male_hkom3_inj.V1!$A$1:$K$36,29,FALSE),0)</f>
        <v>0</v>
      </c>
      <c r="K812">
        <f>IFERROR(HLOOKUP(K$2,[26]table_male_hkom3_inj.V1!$A$1:$K$36,29,FALSE),0)</f>
        <v>0</v>
      </c>
      <c r="L812">
        <f>IFERROR(HLOOKUP(L$2,[26]table_male_hkom3_inj.V1!$A$1:$K$36,29,FALSE),0)</f>
        <v>0</v>
      </c>
      <c r="M812">
        <f t="shared" si="256"/>
        <v>0</v>
      </c>
      <c r="S812" t="s">
        <v>97</v>
      </c>
      <c r="T812" s="5">
        <f t="shared" si="257"/>
        <v>0</v>
      </c>
      <c r="U812" s="5">
        <f t="shared" si="258"/>
        <v>0</v>
      </c>
      <c r="V812" s="5">
        <f t="shared" si="259"/>
        <v>0</v>
      </c>
      <c r="W812" s="5">
        <f t="shared" si="260"/>
        <v>0</v>
      </c>
      <c r="X812" s="5">
        <f t="shared" si="261"/>
        <v>0</v>
      </c>
      <c r="Y812" s="5">
        <f t="shared" si="262"/>
        <v>0</v>
      </c>
      <c r="Z812" s="5">
        <f t="shared" si="263"/>
        <v>0</v>
      </c>
      <c r="AA812" s="5">
        <f t="shared" si="264"/>
        <v>0</v>
      </c>
      <c r="AB812" s="5">
        <f t="shared" si="265"/>
        <v>0</v>
      </c>
    </row>
    <row r="813" spans="4:28" x14ac:dyDescent="0.25">
      <c r="D813" t="s">
        <v>98</v>
      </c>
      <c r="E813" s="64"/>
      <c r="F813" s="64"/>
      <c r="G813">
        <f>IFERROR(HLOOKUP(G$2,[26]table_male_hkom3_inj.V1!$A$1:$K$36,30,FALSE),0)</f>
        <v>0</v>
      </c>
      <c r="H813">
        <f>IFERROR(HLOOKUP(H$2,[26]table_male_hkom3_inj.V1!$A$1:$K$36,30,FALSE),0)</f>
        <v>0</v>
      </c>
      <c r="I813">
        <f>IFERROR(HLOOKUP(I$2,[26]table_male_hkom3_inj.V1!$A$1:$K$36,30,FALSE),0)</f>
        <v>0</v>
      </c>
      <c r="J813">
        <f>IFERROR(HLOOKUP(J$2,[26]table_male_hkom3_inj.V1!$A$1:$K$36,30,FALSE),0)</f>
        <v>0</v>
      </c>
      <c r="K813">
        <f>IFERROR(HLOOKUP(K$2,[26]table_male_hkom3_inj.V1!$A$1:$K$36,30,FALSE),0)</f>
        <v>0</v>
      </c>
      <c r="L813">
        <f>IFERROR(HLOOKUP(L$2,[26]table_male_hkom3_inj.V1!$A$1:$K$36,30,FALSE),0)</f>
        <v>0</v>
      </c>
      <c r="M813">
        <f t="shared" si="256"/>
        <v>0</v>
      </c>
      <c r="S813" t="s">
        <v>98</v>
      </c>
      <c r="T813" s="5">
        <f t="shared" si="257"/>
        <v>0</v>
      </c>
      <c r="U813" s="5">
        <f t="shared" si="258"/>
        <v>0</v>
      </c>
      <c r="V813" s="5">
        <f t="shared" si="259"/>
        <v>0</v>
      </c>
      <c r="W813" s="5">
        <f t="shared" si="260"/>
        <v>0</v>
      </c>
      <c r="X813" s="5">
        <f t="shared" si="261"/>
        <v>0</v>
      </c>
      <c r="Y813" s="5">
        <f t="shared" si="262"/>
        <v>0</v>
      </c>
      <c r="Z813" s="5">
        <f t="shared" si="263"/>
        <v>0</v>
      </c>
      <c r="AA813" s="5">
        <f t="shared" si="264"/>
        <v>0</v>
      </c>
      <c r="AB813" s="5">
        <f t="shared" si="265"/>
        <v>0</v>
      </c>
    </row>
    <row r="814" spans="4:28" x14ac:dyDescent="0.25">
      <c r="D814" t="s">
        <v>119</v>
      </c>
      <c r="E814" s="64"/>
      <c r="F814" s="64"/>
      <c r="G814">
        <f>IFERROR(HLOOKUP(G$2,[26]table_male_hkom3_inj.V1!$A$1:$K$36,31,FALSE),0)</f>
        <v>0</v>
      </c>
      <c r="H814">
        <f>IFERROR(HLOOKUP(H$2,[26]table_male_hkom3_inj.V1!$A$1:$K$36,31,FALSE),0)</f>
        <v>0</v>
      </c>
      <c r="I814">
        <f>IFERROR(HLOOKUP(I$2,[26]table_male_hkom3_inj.V1!$A$1:$K$36,31,FALSE),0)</f>
        <v>0</v>
      </c>
      <c r="J814">
        <f>IFERROR(HLOOKUP(J$2,[26]table_male_hkom3_inj.V1!$A$1:$K$36,31,FALSE),0)</f>
        <v>0</v>
      </c>
      <c r="K814">
        <f>IFERROR(HLOOKUP(K$2,[26]table_male_hkom3_inj.V1!$A$1:$K$36,31,FALSE),0)</f>
        <v>0</v>
      </c>
      <c r="L814">
        <f>IFERROR(HLOOKUP(L$2,[26]table_male_hkom3_inj.V1!$A$1:$K$36,31,FALSE),0)</f>
        <v>0</v>
      </c>
      <c r="M814">
        <f t="shared" si="256"/>
        <v>0</v>
      </c>
      <c r="S814" t="s">
        <v>119</v>
      </c>
      <c r="T814" s="5">
        <f t="shared" si="257"/>
        <v>0</v>
      </c>
      <c r="U814" s="5">
        <f t="shared" si="258"/>
        <v>0</v>
      </c>
      <c r="V814" s="5">
        <f t="shared" si="259"/>
        <v>0</v>
      </c>
      <c r="W814" s="5">
        <f t="shared" si="260"/>
        <v>0</v>
      </c>
      <c r="X814" s="5">
        <f t="shared" si="261"/>
        <v>0</v>
      </c>
      <c r="Y814" s="5">
        <f t="shared" si="262"/>
        <v>0</v>
      </c>
      <c r="Z814" s="5">
        <f t="shared" si="263"/>
        <v>0</v>
      </c>
      <c r="AA814" s="5">
        <f t="shared" si="264"/>
        <v>0</v>
      </c>
      <c r="AB814" s="5">
        <f t="shared" si="265"/>
        <v>0</v>
      </c>
    </row>
    <row r="815" spans="4:28" x14ac:dyDescent="0.25">
      <c r="D815" t="s">
        <v>99</v>
      </c>
      <c r="E815" s="64"/>
      <c r="F815" s="64"/>
      <c r="G815">
        <f>IFERROR(HLOOKUP(G$2,[26]table_male_hkom3_inj.V1!$A$1:$K$36,32,FALSE),0)</f>
        <v>0</v>
      </c>
      <c r="H815">
        <f>IFERROR(HLOOKUP(H$2,[26]table_male_hkom3_inj.V1!$A$1:$K$36,32,FALSE),0)</f>
        <v>2</v>
      </c>
      <c r="I815">
        <f>IFERROR(HLOOKUP(I$2,[26]table_male_hkom3_inj.V1!$A$1:$K$36,32,FALSE),0)</f>
        <v>0</v>
      </c>
      <c r="J815">
        <f>IFERROR(HLOOKUP(J$2,[26]table_male_hkom3_inj.V1!$A$1:$K$36,32,FALSE),0)</f>
        <v>0</v>
      </c>
      <c r="K815">
        <f>IFERROR(HLOOKUP(K$2,[26]table_male_hkom3_inj.V1!$A$1:$K$36,32,FALSE),0)</f>
        <v>0</v>
      </c>
      <c r="L815">
        <f>IFERROR(HLOOKUP(L$2,[26]table_male_hkom3_inj.V1!$A$1:$K$36,32,FALSE),0)</f>
        <v>0</v>
      </c>
      <c r="M815">
        <f t="shared" si="256"/>
        <v>2</v>
      </c>
      <c r="S815" t="s">
        <v>99</v>
      </c>
      <c r="T815" s="5">
        <f t="shared" si="257"/>
        <v>0</v>
      </c>
      <c r="U815" s="5">
        <f t="shared" si="258"/>
        <v>0</v>
      </c>
      <c r="V815" s="5">
        <f t="shared" si="259"/>
        <v>0</v>
      </c>
      <c r="W815" s="5">
        <f t="shared" si="260"/>
        <v>2.5</v>
      </c>
      <c r="X815" s="5">
        <f t="shared" si="261"/>
        <v>0</v>
      </c>
      <c r="Y815" s="5">
        <f t="shared" si="262"/>
        <v>0</v>
      </c>
      <c r="Z815" s="5">
        <f t="shared" si="263"/>
        <v>0</v>
      </c>
      <c r="AA815" s="5">
        <f t="shared" si="264"/>
        <v>0</v>
      </c>
      <c r="AB815" s="5">
        <f t="shared" si="265"/>
        <v>2.5</v>
      </c>
    </row>
    <row r="816" spans="4:28" x14ac:dyDescent="0.25">
      <c r="D816" t="s">
        <v>100</v>
      </c>
      <c r="E816" s="64"/>
      <c r="F816" s="64"/>
      <c r="G816">
        <f>IFERROR(HLOOKUP(G$2,[26]table_male_hkom3_inj.V1!$A$1:$K$36,33,FALSE),0)</f>
        <v>6</v>
      </c>
      <c r="H816">
        <f>IFERROR(HLOOKUP(H$2,[26]table_male_hkom3_inj.V1!$A$1:$K$36,33,FALSE),0)</f>
        <v>7</v>
      </c>
      <c r="I816">
        <f>IFERROR(HLOOKUP(I$2,[26]table_male_hkom3_inj.V1!$A$1:$K$36,33,FALSE),0)</f>
        <v>4</v>
      </c>
      <c r="J816">
        <f>IFERROR(HLOOKUP(J$2,[26]table_male_hkom3_inj.V1!$A$1:$K$36,33,FALSE),0)</f>
        <v>0</v>
      </c>
      <c r="K816">
        <f>IFERROR(HLOOKUP(K$2,[26]table_male_hkom3_inj.V1!$A$1:$K$36,33,FALSE),0)</f>
        <v>0</v>
      </c>
      <c r="L816">
        <f>IFERROR(HLOOKUP(L$2,[26]table_male_hkom3_inj.V1!$A$1:$K$36,33,FALSE),0)</f>
        <v>0</v>
      </c>
      <c r="M816">
        <f t="shared" si="256"/>
        <v>17</v>
      </c>
      <c r="S816" t="s">
        <v>100</v>
      </c>
      <c r="T816" s="5">
        <f t="shared" si="257"/>
        <v>0</v>
      </c>
      <c r="U816" s="5">
        <f t="shared" si="258"/>
        <v>0</v>
      </c>
      <c r="V816" s="5">
        <f t="shared" si="259"/>
        <v>6</v>
      </c>
      <c r="W816" s="5">
        <f t="shared" si="260"/>
        <v>8.75</v>
      </c>
      <c r="X816" s="5">
        <f t="shared" si="261"/>
        <v>5.6</v>
      </c>
      <c r="Y816" s="5">
        <f t="shared" si="262"/>
        <v>0</v>
      </c>
      <c r="Z816" s="5">
        <f t="shared" si="263"/>
        <v>0</v>
      </c>
      <c r="AA816" s="5">
        <f t="shared" si="264"/>
        <v>0</v>
      </c>
      <c r="AB816" s="5">
        <f t="shared" si="265"/>
        <v>20.350000000000001</v>
      </c>
    </row>
    <row r="817" spans="1:29" x14ac:dyDescent="0.25">
      <c r="D817" t="s">
        <v>101</v>
      </c>
      <c r="E817" s="64"/>
      <c r="F817" s="64"/>
      <c r="G817">
        <f>IFERROR(HLOOKUP(G$2,[26]table_male_hkom3_inj.V1!$A$1:$K$36,34,FALSE),0)</f>
        <v>1</v>
      </c>
      <c r="H817">
        <f>IFERROR(HLOOKUP(H$2,[26]table_male_hkom3_inj.V1!$A$1:$K$36,34,FALSE),0)</f>
        <v>0</v>
      </c>
      <c r="I817">
        <f>IFERROR(HLOOKUP(I$2,[26]table_male_hkom3_inj.V1!$A$1:$K$36,34,FALSE),0)</f>
        <v>0</v>
      </c>
      <c r="J817">
        <f>IFERROR(HLOOKUP(J$2,[26]table_male_hkom3_inj.V1!$A$1:$K$36,34,FALSE),0)</f>
        <v>0</v>
      </c>
      <c r="K817">
        <f>IFERROR(HLOOKUP(K$2,[26]table_male_hkom3_inj.V1!$A$1:$K$36,34,FALSE),0)</f>
        <v>0</v>
      </c>
      <c r="L817">
        <f>IFERROR(HLOOKUP(L$2,[26]table_male_hkom3_inj.V1!$A$1:$K$36,34,FALSE),0)</f>
        <v>0</v>
      </c>
      <c r="M817">
        <f t="shared" si="256"/>
        <v>1</v>
      </c>
      <c r="S817" t="s">
        <v>101</v>
      </c>
      <c r="T817" s="5">
        <f t="shared" si="257"/>
        <v>0</v>
      </c>
      <c r="U817" s="5">
        <f t="shared" si="258"/>
        <v>0</v>
      </c>
      <c r="V817" s="5">
        <f t="shared" si="259"/>
        <v>1</v>
      </c>
      <c r="W817" s="5">
        <f t="shared" si="260"/>
        <v>0</v>
      </c>
      <c r="X817" s="5">
        <f t="shared" si="261"/>
        <v>0</v>
      </c>
      <c r="Y817" s="5">
        <f t="shared" si="262"/>
        <v>0</v>
      </c>
      <c r="Z817" s="5">
        <f t="shared" si="263"/>
        <v>0</v>
      </c>
      <c r="AA817" s="5">
        <f t="shared" si="264"/>
        <v>0</v>
      </c>
      <c r="AB817" s="5">
        <f t="shared" si="265"/>
        <v>1</v>
      </c>
    </row>
    <row r="818" spans="1:29" x14ac:dyDescent="0.25">
      <c r="D818" t="s">
        <v>102</v>
      </c>
      <c r="E818" s="64"/>
      <c r="F818" s="64"/>
      <c r="G818">
        <f>IFERROR(HLOOKUP(G$2,[26]table_male_hkom3_inj.V1!$A$1:$K$36,35,FALSE),0)</f>
        <v>0</v>
      </c>
      <c r="H818">
        <f>IFERROR(HLOOKUP(H$2,[26]table_male_hkom3_inj.V1!$A$1:$K$36,35,FALSE),0)</f>
        <v>3</v>
      </c>
      <c r="I818">
        <f>IFERROR(HLOOKUP(I$2,[26]table_male_hkom3_inj.V1!$A$1:$K$36,35,FALSE),0)</f>
        <v>2</v>
      </c>
      <c r="J818">
        <f>IFERROR(HLOOKUP(J$2,[26]table_male_hkom3_inj.V1!$A$1:$K$36,35,FALSE),0)</f>
        <v>0</v>
      </c>
      <c r="K818">
        <f>IFERROR(HLOOKUP(K$2,[26]table_male_hkom3_inj.V1!$A$1:$K$36,35,FALSE),0)</f>
        <v>0</v>
      </c>
      <c r="L818">
        <f>IFERROR(HLOOKUP(L$2,[26]table_male_hkom3_inj.V1!$A$1:$K$36,35,FALSE),0)</f>
        <v>0</v>
      </c>
      <c r="M818">
        <f t="shared" si="256"/>
        <v>5</v>
      </c>
      <c r="N818">
        <f>SUM(M785:M818)</f>
        <v>31</v>
      </c>
      <c r="O818" s="8">
        <f>SUM([26]table_male_hkom3_inj.V1!$B$2:$L$36)</f>
        <v>31</v>
      </c>
      <c r="S818" t="s">
        <v>102</v>
      </c>
      <c r="T818" s="7"/>
      <c r="U818" s="7"/>
      <c r="V818" s="7"/>
      <c r="W818" s="7"/>
      <c r="X818" s="7"/>
      <c r="Y818" s="7"/>
      <c r="Z818" s="7"/>
      <c r="AA818" s="7"/>
      <c r="AB818" s="5">
        <f t="shared" si="265"/>
        <v>0</v>
      </c>
      <c r="AC818" s="5">
        <f>SUM(AB785:AB817)</f>
        <v>31</v>
      </c>
    </row>
    <row r="819" spans="1:29" x14ac:dyDescent="0.25">
      <c r="A819" t="s">
        <v>104</v>
      </c>
      <c r="B819" t="s">
        <v>117</v>
      </c>
      <c r="C819" t="s">
        <v>106</v>
      </c>
      <c r="D819" t="s">
        <v>70</v>
      </c>
      <c r="E819" s="64"/>
      <c r="F819" s="64"/>
      <c r="G819">
        <f>IFERROR(HLOOKUP(G$2,[27]table_male_hkom3_inj.V2!$A$1:$K$36,2,FALSE),0)</f>
        <v>26</v>
      </c>
      <c r="H819">
        <f>IFERROR(HLOOKUP(H$2,[27]table_male_hkom3_inj.V2!$A$1:$K$36,2,FALSE),0)</f>
        <v>22</v>
      </c>
      <c r="I819">
        <f>IFERROR(HLOOKUP(I$2,[27]table_male_hkom3_inj.V2!$A$1:$K$36,2,FALSE),0)</f>
        <v>7</v>
      </c>
      <c r="J819">
        <f>IFERROR(HLOOKUP(J$2,[27]table_male_hkom3_inj.V2!$A$1:$K$36,2,FALSE),0)</f>
        <v>0</v>
      </c>
      <c r="K819">
        <f>IFERROR(HLOOKUP(K$2,[27]table_male_hkom3_inj.V2!$A$1:$K$36,2,FALSE),0)</f>
        <v>0</v>
      </c>
      <c r="L819">
        <f>IFERROR(HLOOKUP(L$2,[27]table_male_hkom3_inj.V2!$A$1:$K$36,2,FALSE),0)</f>
        <v>0</v>
      </c>
      <c r="M819">
        <f>SUM(E819:L819)</f>
        <v>55</v>
      </c>
      <c r="P819" t="s">
        <v>104</v>
      </c>
      <c r="Q819" t="s">
        <v>117</v>
      </c>
      <c r="R819" t="s">
        <v>106</v>
      </c>
      <c r="S819" t="s">
        <v>70</v>
      </c>
      <c r="T819" s="5">
        <f>IF(SUM(E$819:E$851)=0,E$852/33,E819+IFERROR(E819/SUM(E$819:E$851)*E$852,0))</f>
        <v>0</v>
      </c>
      <c r="U819" s="5">
        <f t="shared" ref="U819:AA819" si="266">IF(SUM(F$819:F$851)=0,F$852/33,F819+IFERROR(F819/SUM(F$819:F$851)*F$852,0))</f>
        <v>0</v>
      </c>
      <c r="V819" s="5">
        <f t="shared" si="266"/>
        <v>27.83558994197292</v>
      </c>
      <c r="W819" s="5">
        <f t="shared" si="266"/>
        <v>23.731778425655978</v>
      </c>
      <c r="X819" s="5">
        <f t="shared" si="266"/>
        <v>7.6453900709219855</v>
      </c>
      <c r="Y819" s="5">
        <f t="shared" si="266"/>
        <v>0</v>
      </c>
      <c r="Z819" s="5">
        <f t="shared" si="266"/>
        <v>0</v>
      </c>
      <c r="AA819" s="5">
        <f t="shared" si="266"/>
        <v>0</v>
      </c>
      <c r="AB819" s="5">
        <f t="shared" si="265"/>
        <v>59.212758438550885</v>
      </c>
    </row>
    <row r="820" spans="1:29" x14ac:dyDescent="0.25">
      <c r="D820" t="s">
        <v>71</v>
      </c>
      <c r="E820" s="64"/>
      <c r="F820" s="64"/>
      <c r="G820">
        <f>IFERROR(HLOOKUP(G$2,[27]table_male_hkom3_inj.V2!$A$1:$K$36,3,FALSE),0)</f>
        <v>144</v>
      </c>
      <c r="H820">
        <f>IFERROR(HLOOKUP(H$2,[27]table_male_hkom3_inj.V2!$A$1:$K$36,3,FALSE),0)</f>
        <v>160</v>
      </c>
      <c r="I820">
        <f>IFERROR(HLOOKUP(I$2,[27]table_male_hkom3_inj.V2!$A$1:$K$36,3,FALSE),0)</f>
        <v>41</v>
      </c>
      <c r="J820">
        <f>IFERROR(HLOOKUP(J$2,[27]table_male_hkom3_inj.V2!$A$1:$K$36,3,FALSE),0)</f>
        <v>3</v>
      </c>
      <c r="K820">
        <f>IFERROR(HLOOKUP(K$2,[27]table_male_hkom3_inj.V2!$A$1:$K$36,3,FALSE),0)</f>
        <v>0</v>
      </c>
      <c r="L820">
        <f>IFERROR(HLOOKUP(L$2,[27]table_male_hkom3_inj.V2!$A$1:$K$36,3,FALSE),0)</f>
        <v>0</v>
      </c>
      <c r="M820">
        <f t="shared" ref="M820:M852" si="267">SUM(E820:L820)</f>
        <v>348</v>
      </c>
      <c r="S820" t="s">
        <v>71</v>
      </c>
      <c r="T820" s="5">
        <f t="shared" ref="T820:T851" si="268">IF(SUM(E$819:E$851)=0,E$852/33,E820+IFERROR(E820/SUM(E$819:E$851)*E$852,0))</f>
        <v>0</v>
      </c>
      <c r="U820" s="5">
        <f t="shared" ref="U820:U851" si="269">IF(SUM(F$819:F$851)=0,F$852/33,F820+IFERROR(F820/SUM(F$819:F$851)*F$852,0))</f>
        <v>0</v>
      </c>
      <c r="V820" s="5">
        <f t="shared" ref="V820:V851" si="270">IF(SUM(G$819:G$851)=0,G$852/33,G820+IFERROR(G820/SUM(G$819:G$851)*G$852,0))</f>
        <v>154.16634429400386</v>
      </c>
      <c r="W820" s="5">
        <f t="shared" ref="W820:W851" si="271">IF(SUM(H$819:H$851)=0,H$852/33,H820+IFERROR(H820/SUM(H$819:H$851)*H$852,0))</f>
        <v>172.59475218658892</v>
      </c>
      <c r="X820" s="5">
        <f t="shared" ref="X820:X851" si="272">IF(SUM(I$819:I$851)=0,I$852/33,I820+IFERROR(I820/SUM(I$819:I$851)*I$852,0))</f>
        <v>44.780141843971634</v>
      </c>
      <c r="Y820" s="5">
        <f t="shared" ref="Y820:Y851" si="273">IF(SUM(J$819:J$851)=0,J$852/33,J820+IFERROR(J820/SUM(J$819:J$851)*J$852,0))</f>
        <v>3.5</v>
      </c>
      <c r="Z820" s="5">
        <f t="shared" ref="Z820:Z851" si="274">IF(SUM(K$819:K$851)=0,K$852/33,K820+IFERROR(K820/SUM(K$819:K$851)*K$852,0))</f>
        <v>0</v>
      </c>
      <c r="AA820" s="5">
        <f t="shared" ref="AA820:AA851" si="275">IF(SUM(L$819:L$851)=0,L$852/33,L820+IFERROR(L820/SUM(L$819:L$851)*L$852,0))</f>
        <v>0</v>
      </c>
      <c r="AB820" s="5">
        <f t="shared" si="265"/>
        <v>375.0412383245644</v>
      </c>
    </row>
    <row r="821" spans="1:29" x14ac:dyDescent="0.25">
      <c r="D821" t="s">
        <v>72</v>
      </c>
      <c r="E821" s="64"/>
      <c r="F821" s="64"/>
      <c r="G821">
        <f>IFERROR(HLOOKUP(G$2,[27]table_male_hkom3_inj.V2!$A$1:$K$36,4,FALSE),0)</f>
        <v>3</v>
      </c>
      <c r="H821">
        <f>IFERROR(HLOOKUP(H$2,[27]table_male_hkom3_inj.V2!$A$1:$K$36,4,FALSE),0)</f>
        <v>3</v>
      </c>
      <c r="I821">
        <f>IFERROR(HLOOKUP(I$2,[27]table_male_hkom3_inj.V2!$A$1:$K$36,4,FALSE),0)</f>
        <v>1</v>
      </c>
      <c r="J821">
        <f>IFERROR(HLOOKUP(J$2,[27]table_male_hkom3_inj.V2!$A$1:$K$36,4,FALSE),0)</f>
        <v>0</v>
      </c>
      <c r="K821">
        <f>IFERROR(HLOOKUP(K$2,[27]table_male_hkom3_inj.V2!$A$1:$K$36,4,FALSE),0)</f>
        <v>0</v>
      </c>
      <c r="L821">
        <f>IFERROR(HLOOKUP(L$2,[27]table_male_hkom3_inj.V2!$A$1:$K$36,4,FALSE),0)</f>
        <v>0</v>
      </c>
      <c r="M821">
        <f t="shared" si="267"/>
        <v>7</v>
      </c>
      <c r="S821" t="s">
        <v>72</v>
      </c>
      <c r="T821" s="5">
        <f t="shared" si="268"/>
        <v>0</v>
      </c>
      <c r="U821" s="5">
        <f t="shared" si="269"/>
        <v>0</v>
      </c>
      <c r="V821" s="5">
        <f t="shared" si="270"/>
        <v>3.2117988394584138</v>
      </c>
      <c r="W821" s="5">
        <f t="shared" si="271"/>
        <v>3.2361516034985423</v>
      </c>
      <c r="X821" s="5">
        <f t="shared" si="272"/>
        <v>1.0921985815602837</v>
      </c>
      <c r="Y821" s="5">
        <f t="shared" si="273"/>
        <v>0</v>
      </c>
      <c r="Z821" s="5">
        <f t="shared" si="274"/>
        <v>0</v>
      </c>
      <c r="AA821" s="5">
        <f t="shared" si="275"/>
        <v>0</v>
      </c>
      <c r="AB821" s="5">
        <f t="shared" si="265"/>
        <v>7.5401490245172393</v>
      </c>
    </row>
    <row r="822" spans="1:29" x14ac:dyDescent="0.25">
      <c r="D822" t="s">
        <v>73</v>
      </c>
      <c r="E822" s="64"/>
      <c r="F822" s="64"/>
      <c r="G822">
        <f>IFERROR(HLOOKUP(G$2,[27]table_male_hkom3_inj.V2!$A$1:$K$36,5,FALSE),0)</f>
        <v>2</v>
      </c>
      <c r="H822">
        <f>IFERROR(HLOOKUP(H$2,[27]table_male_hkom3_inj.V2!$A$1:$K$36,5,FALSE),0)</f>
        <v>4</v>
      </c>
      <c r="I822">
        <f>IFERROR(HLOOKUP(I$2,[27]table_male_hkom3_inj.V2!$A$1:$K$36,5,FALSE),0)</f>
        <v>3</v>
      </c>
      <c r="J822">
        <f>IFERROR(HLOOKUP(J$2,[27]table_male_hkom3_inj.V2!$A$1:$K$36,5,FALSE),0)</f>
        <v>0</v>
      </c>
      <c r="K822">
        <f>IFERROR(HLOOKUP(K$2,[27]table_male_hkom3_inj.V2!$A$1:$K$36,5,FALSE),0)</f>
        <v>0</v>
      </c>
      <c r="L822">
        <f>IFERROR(HLOOKUP(L$2,[27]table_male_hkom3_inj.V2!$A$1:$K$36,5,FALSE),0)</f>
        <v>0</v>
      </c>
      <c r="M822">
        <f t="shared" si="267"/>
        <v>9</v>
      </c>
      <c r="S822" t="s">
        <v>73</v>
      </c>
      <c r="T822" s="5">
        <f t="shared" si="268"/>
        <v>0</v>
      </c>
      <c r="U822" s="5">
        <f t="shared" si="269"/>
        <v>0</v>
      </c>
      <c r="V822" s="5">
        <f t="shared" si="270"/>
        <v>2.1411992263056092</v>
      </c>
      <c r="W822" s="5">
        <f t="shared" si="271"/>
        <v>4.314868804664723</v>
      </c>
      <c r="X822" s="5">
        <f t="shared" si="272"/>
        <v>3.2765957446808511</v>
      </c>
      <c r="Y822" s="5">
        <f t="shared" si="273"/>
        <v>0</v>
      </c>
      <c r="Z822" s="5">
        <f t="shared" si="274"/>
        <v>0</v>
      </c>
      <c r="AA822" s="5">
        <f t="shared" si="275"/>
        <v>0</v>
      </c>
      <c r="AB822" s="5">
        <f t="shared" si="265"/>
        <v>9.7326637756511829</v>
      </c>
    </row>
    <row r="823" spans="1:29" x14ac:dyDescent="0.25">
      <c r="D823" t="s">
        <v>74</v>
      </c>
      <c r="E823" s="64"/>
      <c r="F823" s="64"/>
      <c r="G823">
        <f>IFERROR(HLOOKUP(G$2,[27]table_male_hkom3_inj.V2!$A$1:$K$36,6,FALSE),0)</f>
        <v>9</v>
      </c>
      <c r="H823">
        <f>IFERROR(HLOOKUP(H$2,[27]table_male_hkom3_inj.V2!$A$1:$K$36,6,FALSE),0)</f>
        <v>14</v>
      </c>
      <c r="I823">
        <f>IFERROR(HLOOKUP(I$2,[27]table_male_hkom3_inj.V2!$A$1:$K$36,6,FALSE),0)</f>
        <v>5</v>
      </c>
      <c r="J823">
        <f>IFERROR(HLOOKUP(J$2,[27]table_male_hkom3_inj.V2!$A$1:$K$36,6,FALSE),0)</f>
        <v>1</v>
      </c>
      <c r="K823">
        <f>IFERROR(HLOOKUP(K$2,[27]table_male_hkom3_inj.V2!$A$1:$K$36,6,FALSE),0)</f>
        <v>0</v>
      </c>
      <c r="L823">
        <f>IFERROR(HLOOKUP(L$2,[27]table_male_hkom3_inj.V2!$A$1:$K$36,6,FALSE),0)</f>
        <v>0</v>
      </c>
      <c r="M823">
        <f t="shared" si="267"/>
        <v>29</v>
      </c>
      <c r="S823" t="s">
        <v>74</v>
      </c>
      <c r="T823" s="5">
        <f t="shared" si="268"/>
        <v>0</v>
      </c>
      <c r="U823" s="5">
        <f t="shared" si="269"/>
        <v>0</v>
      </c>
      <c r="V823" s="5">
        <f t="shared" si="270"/>
        <v>9.6353965183752415</v>
      </c>
      <c r="W823" s="5">
        <f t="shared" si="271"/>
        <v>15.102040816326531</v>
      </c>
      <c r="X823" s="5">
        <f t="shared" si="272"/>
        <v>5.4609929078014181</v>
      </c>
      <c r="Y823" s="5">
        <f t="shared" si="273"/>
        <v>1.1666666666666667</v>
      </c>
      <c r="Z823" s="5">
        <f t="shared" si="274"/>
        <v>0</v>
      </c>
      <c r="AA823" s="5">
        <f t="shared" si="275"/>
        <v>0</v>
      </c>
      <c r="AB823" s="5">
        <f t="shared" si="265"/>
        <v>31.365096909169861</v>
      </c>
    </row>
    <row r="824" spans="1:29" x14ac:dyDescent="0.25">
      <c r="D824" t="s">
        <v>75</v>
      </c>
      <c r="E824" s="64"/>
      <c r="F824" s="64"/>
      <c r="G824">
        <f>IFERROR(HLOOKUP(G$2,[27]table_male_hkom3_inj.V2!$A$1:$K$36,7,FALSE),0)</f>
        <v>1</v>
      </c>
      <c r="H824">
        <f>IFERROR(HLOOKUP(H$2,[27]table_male_hkom3_inj.V2!$A$1:$K$36,7,FALSE),0)</f>
        <v>0</v>
      </c>
      <c r="I824">
        <f>IFERROR(HLOOKUP(I$2,[27]table_male_hkom3_inj.V2!$A$1:$K$36,7,FALSE),0)</f>
        <v>0</v>
      </c>
      <c r="J824">
        <f>IFERROR(HLOOKUP(J$2,[27]table_male_hkom3_inj.V2!$A$1:$K$36,7,FALSE),0)</f>
        <v>0</v>
      </c>
      <c r="K824">
        <f>IFERROR(HLOOKUP(K$2,[27]table_male_hkom3_inj.V2!$A$1:$K$36,7,FALSE),0)</f>
        <v>0</v>
      </c>
      <c r="L824">
        <f>IFERROR(HLOOKUP(L$2,[27]table_male_hkom3_inj.V2!$A$1:$K$36,7,FALSE),0)</f>
        <v>0</v>
      </c>
      <c r="M824">
        <f t="shared" si="267"/>
        <v>1</v>
      </c>
      <c r="S824" t="s">
        <v>75</v>
      </c>
      <c r="T824" s="5">
        <f t="shared" si="268"/>
        <v>0</v>
      </c>
      <c r="U824" s="5">
        <f t="shared" si="269"/>
        <v>0</v>
      </c>
      <c r="V824" s="5">
        <f t="shared" si="270"/>
        <v>1.0705996131528046</v>
      </c>
      <c r="W824" s="5">
        <f t="shared" si="271"/>
        <v>0</v>
      </c>
      <c r="X824" s="5">
        <f t="shared" si="272"/>
        <v>0</v>
      </c>
      <c r="Y824" s="5">
        <f t="shared" si="273"/>
        <v>0</v>
      </c>
      <c r="Z824" s="5">
        <f t="shared" si="274"/>
        <v>0</v>
      </c>
      <c r="AA824" s="5">
        <f t="shared" si="275"/>
        <v>0</v>
      </c>
      <c r="AB824" s="5">
        <f t="shared" si="265"/>
        <v>1.0705996131528046</v>
      </c>
    </row>
    <row r="825" spans="1:29" x14ac:dyDescent="0.25">
      <c r="D825" t="s">
        <v>76</v>
      </c>
      <c r="E825" s="64"/>
      <c r="F825" s="64"/>
      <c r="G825">
        <f>IFERROR(HLOOKUP(G$2,[27]table_male_hkom3_inj.V2!$A$1:$K$36,8,FALSE),0)</f>
        <v>17</v>
      </c>
      <c r="H825">
        <f>IFERROR(HLOOKUP(H$2,[27]table_male_hkom3_inj.V2!$A$1:$K$36,8,FALSE),0)</f>
        <v>11</v>
      </c>
      <c r="I825">
        <f>IFERROR(HLOOKUP(I$2,[27]table_male_hkom3_inj.V2!$A$1:$K$36,8,FALSE),0)</f>
        <v>4</v>
      </c>
      <c r="J825">
        <f>IFERROR(HLOOKUP(J$2,[27]table_male_hkom3_inj.V2!$A$1:$K$36,8,FALSE),0)</f>
        <v>0</v>
      </c>
      <c r="K825">
        <f>IFERROR(HLOOKUP(K$2,[27]table_male_hkom3_inj.V2!$A$1:$K$36,8,FALSE),0)</f>
        <v>0</v>
      </c>
      <c r="L825">
        <f>IFERROR(HLOOKUP(L$2,[27]table_male_hkom3_inj.V2!$A$1:$K$36,8,FALSE),0)</f>
        <v>0</v>
      </c>
      <c r="M825">
        <f t="shared" si="267"/>
        <v>32</v>
      </c>
      <c r="S825" t="s">
        <v>76</v>
      </c>
      <c r="T825" s="5">
        <f t="shared" si="268"/>
        <v>0</v>
      </c>
      <c r="U825" s="5">
        <f t="shared" si="269"/>
        <v>0</v>
      </c>
      <c r="V825" s="5">
        <f t="shared" si="270"/>
        <v>18.200193423597678</v>
      </c>
      <c r="W825" s="5">
        <f t="shared" si="271"/>
        <v>11.865889212827989</v>
      </c>
      <c r="X825" s="5">
        <f t="shared" si="272"/>
        <v>4.3687943262411348</v>
      </c>
      <c r="Y825" s="5">
        <f t="shared" si="273"/>
        <v>0</v>
      </c>
      <c r="Z825" s="5">
        <f t="shared" si="274"/>
        <v>0</v>
      </c>
      <c r="AA825" s="5">
        <f t="shared" si="275"/>
        <v>0</v>
      </c>
      <c r="AB825" s="5">
        <f t="shared" si="265"/>
        <v>34.434876962666806</v>
      </c>
    </row>
    <row r="826" spans="1:29" x14ac:dyDescent="0.25">
      <c r="D826" t="s">
        <v>77</v>
      </c>
      <c r="E826" s="64"/>
      <c r="F826" s="64"/>
      <c r="G826">
        <f>IFERROR(HLOOKUP(G$2,[27]table_male_hkom3_inj.V2!$A$1:$K$36,9,FALSE),0)</f>
        <v>45</v>
      </c>
      <c r="H826">
        <f>IFERROR(HLOOKUP(H$2,[27]table_male_hkom3_inj.V2!$A$1:$K$36,9,FALSE),0)</f>
        <v>42</v>
      </c>
      <c r="I826">
        <f>IFERROR(HLOOKUP(I$2,[27]table_male_hkom3_inj.V2!$A$1:$K$36,9,FALSE),0)</f>
        <v>15</v>
      </c>
      <c r="J826">
        <f>IFERROR(HLOOKUP(J$2,[27]table_male_hkom3_inj.V2!$A$1:$K$36,9,FALSE),0)</f>
        <v>1</v>
      </c>
      <c r="K826">
        <f>IFERROR(HLOOKUP(K$2,[27]table_male_hkom3_inj.V2!$A$1:$K$36,9,FALSE),0)</f>
        <v>0</v>
      </c>
      <c r="L826">
        <f>IFERROR(HLOOKUP(L$2,[27]table_male_hkom3_inj.V2!$A$1:$K$36,9,FALSE),0)</f>
        <v>0</v>
      </c>
      <c r="M826">
        <f t="shared" si="267"/>
        <v>103</v>
      </c>
      <c r="S826" t="s">
        <v>77</v>
      </c>
      <c r="T826" s="5">
        <f t="shared" si="268"/>
        <v>0</v>
      </c>
      <c r="U826" s="5">
        <f t="shared" si="269"/>
        <v>0</v>
      </c>
      <c r="V826" s="5">
        <f t="shared" si="270"/>
        <v>48.176982591876211</v>
      </c>
      <c r="W826" s="5">
        <f t="shared" si="271"/>
        <v>45.306122448979593</v>
      </c>
      <c r="X826" s="5">
        <f t="shared" si="272"/>
        <v>16.382978723404257</v>
      </c>
      <c r="Y826" s="5">
        <f t="shared" si="273"/>
        <v>1.1666666666666667</v>
      </c>
      <c r="Z826" s="5">
        <f t="shared" si="274"/>
        <v>0</v>
      </c>
      <c r="AA826" s="5">
        <f t="shared" si="275"/>
        <v>0</v>
      </c>
      <c r="AB826" s="5">
        <f t="shared" si="265"/>
        <v>111.03275043092673</v>
      </c>
    </row>
    <row r="827" spans="1:29" x14ac:dyDescent="0.25">
      <c r="D827" t="s">
        <v>78</v>
      </c>
      <c r="E827" s="64"/>
      <c r="F827" s="64"/>
      <c r="G827">
        <f>IFERROR(HLOOKUP(G$2,[27]table_male_hkom3_inj.V2!$A$1:$K$36,10,FALSE),0)</f>
        <v>51</v>
      </c>
      <c r="H827">
        <f>IFERROR(HLOOKUP(H$2,[27]table_male_hkom3_inj.V2!$A$1:$K$36,10,FALSE),0)</f>
        <v>46</v>
      </c>
      <c r="I827">
        <f>IFERROR(HLOOKUP(I$2,[27]table_male_hkom3_inj.V2!$A$1:$K$36,10,FALSE),0)</f>
        <v>8</v>
      </c>
      <c r="J827">
        <f>IFERROR(HLOOKUP(J$2,[27]table_male_hkom3_inj.V2!$A$1:$K$36,10,FALSE),0)</f>
        <v>0</v>
      </c>
      <c r="K827">
        <f>IFERROR(HLOOKUP(K$2,[27]table_male_hkom3_inj.V2!$A$1:$K$36,10,FALSE),0)</f>
        <v>0</v>
      </c>
      <c r="L827">
        <f>IFERROR(HLOOKUP(L$2,[27]table_male_hkom3_inj.V2!$A$1:$K$36,10,FALSE),0)</f>
        <v>0</v>
      </c>
      <c r="M827">
        <f t="shared" si="267"/>
        <v>105</v>
      </c>
      <c r="S827" t="s">
        <v>78</v>
      </c>
      <c r="T827" s="5">
        <f t="shared" si="268"/>
        <v>0</v>
      </c>
      <c r="U827" s="5">
        <f t="shared" si="269"/>
        <v>0</v>
      </c>
      <c r="V827" s="5">
        <f t="shared" si="270"/>
        <v>54.600580270793039</v>
      </c>
      <c r="W827" s="5">
        <f t="shared" si="271"/>
        <v>49.620991253644313</v>
      </c>
      <c r="X827" s="5">
        <f t="shared" si="272"/>
        <v>8.7375886524822697</v>
      </c>
      <c r="Y827" s="5">
        <f t="shared" si="273"/>
        <v>0</v>
      </c>
      <c r="Z827" s="5">
        <f t="shared" si="274"/>
        <v>0</v>
      </c>
      <c r="AA827" s="5">
        <f t="shared" si="275"/>
        <v>0</v>
      </c>
      <c r="AB827" s="5">
        <f t="shared" si="265"/>
        <v>112.95916017691962</v>
      </c>
    </row>
    <row r="828" spans="1:29" x14ac:dyDescent="0.25">
      <c r="D828" t="s">
        <v>79</v>
      </c>
      <c r="E828" s="64"/>
      <c r="F828" s="64"/>
      <c r="G828">
        <f>IFERROR(HLOOKUP(G$2,[27]table_male_hkom3_inj.V2!$A$1:$K$36,11,FALSE),0)</f>
        <v>3</v>
      </c>
      <c r="H828">
        <f>IFERROR(HLOOKUP(H$2,[27]table_male_hkom3_inj.V2!$A$1:$K$36,11,FALSE),0)</f>
        <v>7</v>
      </c>
      <c r="I828">
        <f>IFERROR(HLOOKUP(I$2,[27]table_male_hkom3_inj.V2!$A$1:$K$36,11,FALSE),0)</f>
        <v>0</v>
      </c>
      <c r="J828">
        <f>IFERROR(HLOOKUP(J$2,[27]table_male_hkom3_inj.V2!$A$1:$K$36,11,FALSE),0)</f>
        <v>0</v>
      </c>
      <c r="K828">
        <f>IFERROR(HLOOKUP(K$2,[27]table_male_hkom3_inj.V2!$A$1:$K$36,11,FALSE),0)</f>
        <v>0</v>
      </c>
      <c r="L828">
        <f>IFERROR(HLOOKUP(L$2,[27]table_male_hkom3_inj.V2!$A$1:$K$36,11,FALSE),0)</f>
        <v>0</v>
      </c>
      <c r="M828">
        <f t="shared" si="267"/>
        <v>10</v>
      </c>
      <c r="S828" t="s">
        <v>79</v>
      </c>
      <c r="T828" s="5">
        <f t="shared" si="268"/>
        <v>0</v>
      </c>
      <c r="U828" s="5">
        <f t="shared" si="269"/>
        <v>0</v>
      </c>
      <c r="V828" s="5">
        <f t="shared" si="270"/>
        <v>3.2117988394584138</v>
      </c>
      <c r="W828" s="5">
        <f t="shared" si="271"/>
        <v>7.5510204081632653</v>
      </c>
      <c r="X828" s="5">
        <f t="shared" si="272"/>
        <v>0</v>
      </c>
      <c r="Y828" s="5">
        <f t="shared" si="273"/>
        <v>0</v>
      </c>
      <c r="Z828" s="5">
        <f t="shared" si="274"/>
        <v>0</v>
      </c>
      <c r="AA828" s="5">
        <f t="shared" si="275"/>
        <v>0</v>
      </c>
      <c r="AB828" s="5">
        <f t="shared" si="265"/>
        <v>10.762819247621678</v>
      </c>
    </row>
    <row r="829" spans="1:29" x14ac:dyDescent="0.25">
      <c r="D829" t="s">
        <v>80</v>
      </c>
      <c r="E829" s="64"/>
      <c r="F829" s="64"/>
      <c r="G829">
        <f>IFERROR(HLOOKUP(G$2,[27]table_male_hkom3_inj.V2!$A$1:$K$36,12,FALSE),0)</f>
        <v>3</v>
      </c>
      <c r="H829">
        <f>IFERROR(HLOOKUP(H$2,[27]table_male_hkom3_inj.V2!$A$1:$K$36,12,FALSE),0)</f>
        <v>8</v>
      </c>
      <c r="I829">
        <f>IFERROR(HLOOKUP(I$2,[27]table_male_hkom3_inj.V2!$A$1:$K$36,12,FALSE),0)</f>
        <v>2</v>
      </c>
      <c r="J829">
        <f>IFERROR(HLOOKUP(J$2,[27]table_male_hkom3_inj.V2!$A$1:$K$36,12,FALSE),0)</f>
        <v>0</v>
      </c>
      <c r="K829">
        <f>IFERROR(HLOOKUP(K$2,[27]table_male_hkom3_inj.V2!$A$1:$K$36,12,FALSE),0)</f>
        <v>0</v>
      </c>
      <c r="L829">
        <f>IFERROR(HLOOKUP(L$2,[27]table_male_hkom3_inj.V2!$A$1:$K$36,12,FALSE),0)</f>
        <v>0</v>
      </c>
      <c r="M829">
        <f t="shared" si="267"/>
        <v>13</v>
      </c>
      <c r="S829" t="s">
        <v>80</v>
      </c>
      <c r="T829" s="5">
        <f t="shared" si="268"/>
        <v>0</v>
      </c>
      <c r="U829" s="5">
        <f t="shared" si="269"/>
        <v>0</v>
      </c>
      <c r="V829" s="5">
        <f t="shared" si="270"/>
        <v>3.2117988394584138</v>
      </c>
      <c r="W829" s="5">
        <f t="shared" si="271"/>
        <v>8.629737609329446</v>
      </c>
      <c r="X829" s="5">
        <f t="shared" si="272"/>
        <v>2.1843971631205674</v>
      </c>
      <c r="Y829" s="5">
        <f t="shared" si="273"/>
        <v>0</v>
      </c>
      <c r="Z829" s="5">
        <f t="shared" si="274"/>
        <v>0</v>
      </c>
      <c r="AA829" s="5">
        <f t="shared" si="275"/>
        <v>0</v>
      </c>
      <c r="AB829" s="5">
        <f t="shared" si="265"/>
        <v>14.025933611908428</v>
      </c>
    </row>
    <row r="830" spans="1:29" x14ac:dyDescent="0.25">
      <c r="D830" t="s">
        <v>81</v>
      </c>
      <c r="E830" s="64"/>
      <c r="F830" s="64"/>
      <c r="G830">
        <f>IFERROR(HLOOKUP(G$2,[27]table_male_hkom3_inj.V2!$A$1:$K$36,13,FALSE),0)</f>
        <v>0</v>
      </c>
      <c r="H830">
        <f>IFERROR(HLOOKUP(H$2,[27]table_male_hkom3_inj.V2!$A$1:$K$36,13,FALSE),0)</f>
        <v>0</v>
      </c>
      <c r="I830">
        <f>IFERROR(HLOOKUP(I$2,[27]table_male_hkom3_inj.V2!$A$1:$K$36,13,FALSE),0)</f>
        <v>0</v>
      </c>
      <c r="J830">
        <f>IFERROR(HLOOKUP(J$2,[27]table_male_hkom3_inj.V2!$A$1:$K$36,13,FALSE),0)</f>
        <v>0</v>
      </c>
      <c r="K830">
        <f>IFERROR(HLOOKUP(K$2,[27]table_male_hkom3_inj.V2!$A$1:$K$36,13,FALSE),0)</f>
        <v>0</v>
      </c>
      <c r="L830">
        <f>IFERROR(HLOOKUP(L$2,[27]table_male_hkom3_inj.V2!$A$1:$K$36,13,FALSE),0)</f>
        <v>0</v>
      </c>
      <c r="M830">
        <f t="shared" si="267"/>
        <v>0</v>
      </c>
      <c r="S830" t="s">
        <v>81</v>
      </c>
      <c r="T830" s="5">
        <f t="shared" si="268"/>
        <v>0</v>
      </c>
      <c r="U830" s="5">
        <f t="shared" si="269"/>
        <v>0</v>
      </c>
      <c r="V830" s="5">
        <f t="shared" si="270"/>
        <v>0</v>
      </c>
      <c r="W830" s="5">
        <f t="shared" si="271"/>
        <v>0</v>
      </c>
      <c r="X830" s="5">
        <f t="shared" si="272"/>
        <v>0</v>
      </c>
      <c r="Y830" s="5">
        <f t="shared" si="273"/>
        <v>0</v>
      </c>
      <c r="Z830" s="5">
        <f t="shared" si="274"/>
        <v>0</v>
      </c>
      <c r="AA830" s="5">
        <f t="shared" si="275"/>
        <v>0</v>
      </c>
      <c r="AB830" s="5">
        <f t="shared" si="265"/>
        <v>0</v>
      </c>
    </row>
    <row r="831" spans="1:29" x14ac:dyDescent="0.25">
      <c r="D831" t="s">
        <v>82</v>
      </c>
      <c r="E831" s="64"/>
      <c r="F831" s="64"/>
      <c r="G831">
        <f>IFERROR(HLOOKUP(G$2,[27]table_male_hkom3_inj.V2!$A$1:$K$36,14,FALSE),0)</f>
        <v>2</v>
      </c>
      <c r="H831">
        <f>IFERROR(HLOOKUP(H$2,[27]table_male_hkom3_inj.V2!$A$1:$K$36,14,FALSE),0)</f>
        <v>4</v>
      </c>
      <c r="I831">
        <f>IFERROR(HLOOKUP(I$2,[27]table_male_hkom3_inj.V2!$A$1:$K$36,14,FALSE),0)</f>
        <v>1</v>
      </c>
      <c r="J831">
        <f>IFERROR(HLOOKUP(J$2,[27]table_male_hkom3_inj.V2!$A$1:$K$36,14,FALSE),0)</f>
        <v>0</v>
      </c>
      <c r="K831">
        <f>IFERROR(HLOOKUP(K$2,[27]table_male_hkom3_inj.V2!$A$1:$K$36,14,FALSE),0)</f>
        <v>0</v>
      </c>
      <c r="L831">
        <f>IFERROR(HLOOKUP(L$2,[27]table_male_hkom3_inj.V2!$A$1:$K$36,14,FALSE),0)</f>
        <v>0</v>
      </c>
      <c r="M831">
        <f t="shared" si="267"/>
        <v>7</v>
      </c>
      <c r="S831" t="s">
        <v>82</v>
      </c>
      <c r="T831" s="5">
        <f t="shared" si="268"/>
        <v>0</v>
      </c>
      <c r="U831" s="5">
        <f t="shared" si="269"/>
        <v>0</v>
      </c>
      <c r="V831" s="5">
        <f t="shared" si="270"/>
        <v>2.1411992263056092</v>
      </c>
      <c r="W831" s="5">
        <f t="shared" si="271"/>
        <v>4.314868804664723</v>
      </c>
      <c r="X831" s="5">
        <f t="shared" si="272"/>
        <v>1.0921985815602837</v>
      </c>
      <c r="Y831" s="5">
        <f t="shared" si="273"/>
        <v>0</v>
      </c>
      <c r="Z831" s="5">
        <f t="shared" si="274"/>
        <v>0</v>
      </c>
      <c r="AA831" s="5">
        <f t="shared" si="275"/>
        <v>0</v>
      </c>
      <c r="AB831" s="5">
        <f t="shared" si="265"/>
        <v>7.5482666125306164</v>
      </c>
    </row>
    <row r="832" spans="1:29" x14ac:dyDescent="0.25">
      <c r="D832" t="s">
        <v>83</v>
      </c>
      <c r="E832" s="64"/>
      <c r="F832" s="64"/>
      <c r="G832">
        <f>IFERROR(HLOOKUP(G$2,[27]table_male_hkom3_inj.V2!$A$1:$K$36,15,FALSE),0)</f>
        <v>2</v>
      </c>
      <c r="H832">
        <f>IFERROR(HLOOKUP(H$2,[27]table_male_hkom3_inj.V2!$A$1:$K$36,15,FALSE),0)</f>
        <v>2</v>
      </c>
      <c r="I832">
        <f>IFERROR(HLOOKUP(I$2,[27]table_male_hkom3_inj.V2!$A$1:$K$36,15,FALSE),0)</f>
        <v>2</v>
      </c>
      <c r="J832">
        <f>IFERROR(HLOOKUP(J$2,[27]table_male_hkom3_inj.V2!$A$1:$K$36,15,FALSE),0)</f>
        <v>0</v>
      </c>
      <c r="K832">
        <f>IFERROR(HLOOKUP(K$2,[27]table_male_hkom3_inj.V2!$A$1:$K$36,15,FALSE),0)</f>
        <v>0</v>
      </c>
      <c r="L832">
        <f>IFERROR(HLOOKUP(L$2,[27]table_male_hkom3_inj.V2!$A$1:$K$36,15,FALSE),0)</f>
        <v>0</v>
      </c>
      <c r="M832">
        <f t="shared" si="267"/>
        <v>6</v>
      </c>
      <c r="S832" t="s">
        <v>83</v>
      </c>
      <c r="T832" s="5">
        <f t="shared" si="268"/>
        <v>0</v>
      </c>
      <c r="U832" s="5">
        <f t="shared" si="269"/>
        <v>0</v>
      </c>
      <c r="V832" s="5">
        <f t="shared" si="270"/>
        <v>2.1411992263056092</v>
      </c>
      <c r="W832" s="5">
        <f t="shared" si="271"/>
        <v>2.1574344023323615</v>
      </c>
      <c r="X832" s="5">
        <f t="shared" si="272"/>
        <v>2.1843971631205674</v>
      </c>
      <c r="Y832" s="5">
        <f t="shared" si="273"/>
        <v>0</v>
      </c>
      <c r="Z832" s="5">
        <f t="shared" si="274"/>
        <v>0</v>
      </c>
      <c r="AA832" s="5">
        <f t="shared" si="275"/>
        <v>0</v>
      </c>
      <c r="AB832" s="5">
        <f t="shared" si="265"/>
        <v>6.4830307917585381</v>
      </c>
    </row>
    <row r="833" spans="4:28" x14ac:dyDescent="0.25">
      <c r="D833" t="s">
        <v>84</v>
      </c>
      <c r="E833" s="64"/>
      <c r="F833" s="64"/>
      <c r="G833">
        <f>IFERROR(HLOOKUP(G$2,[27]table_male_hkom3_inj.V2!$A$1:$K$36,16,FALSE),0)</f>
        <v>1</v>
      </c>
      <c r="H833">
        <f>IFERROR(HLOOKUP(H$2,[27]table_male_hkom3_inj.V2!$A$1:$K$36,16,FALSE),0)</f>
        <v>1</v>
      </c>
      <c r="I833">
        <f>IFERROR(HLOOKUP(I$2,[27]table_male_hkom3_inj.V2!$A$1:$K$36,16,FALSE),0)</f>
        <v>0</v>
      </c>
      <c r="J833">
        <f>IFERROR(HLOOKUP(J$2,[27]table_male_hkom3_inj.V2!$A$1:$K$36,16,FALSE),0)</f>
        <v>0</v>
      </c>
      <c r="K833">
        <f>IFERROR(HLOOKUP(K$2,[27]table_male_hkom3_inj.V2!$A$1:$K$36,16,FALSE),0)</f>
        <v>0</v>
      </c>
      <c r="L833">
        <f>IFERROR(HLOOKUP(L$2,[27]table_male_hkom3_inj.V2!$A$1:$K$36,16,FALSE),0)</f>
        <v>0</v>
      </c>
      <c r="M833">
        <f t="shared" si="267"/>
        <v>2</v>
      </c>
      <c r="S833" t="s">
        <v>84</v>
      </c>
      <c r="T833" s="5">
        <f t="shared" si="268"/>
        <v>0</v>
      </c>
      <c r="U833" s="5">
        <f t="shared" si="269"/>
        <v>0</v>
      </c>
      <c r="V833" s="5">
        <f t="shared" si="270"/>
        <v>1.0705996131528046</v>
      </c>
      <c r="W833" s="5">
        <f t="shared" si="271"/>
        <v>1.0787172011661808</v>
      </c>
      <c r="X833" s="5">
        <f t="shared" si="272"/>
        <v>0</v>
      </c>
      <c r="Y833" s="5">
        <f t="shared" si="273"/>
        <v>0</v>
      </c>
      <c r="Z833" s="5">
        <f t="shared" si="274"/>
        <v>0</v>
      </c>
      <c r="AA833" s="5">
        <f t="shared" si="275"/>
        <v>0</v>
      </c>
      <c r="AB833" s="5">
        <f t="shared" si="265"/>
        <v>2.1493168143189854</v>
      </c>
    </row>
    <row r="834" spans="4:28" x14ac:dyDescent="0.25">
      <c r="D834" t="s">
        <v>85</v>
      </c>
      <c r="E834" s="64"/>
      <c r="F834" s="64"/>
      <c r="G834">
        <f>IFERROR(HLOOKUP(G$2,[27]table_male_hkom3_inj.V2!$A$1:$K$36,17,FALSE),0)</f>
        <v>3</v>
      </c>
      <c r="H834">
        <f>IFERROR(HLOOKUP(H$2,[27]table_male_hkom3_inj.V2!$A$1:$K$36,17,FALSE),0)</f>
        <v>4</v>
      </c>
      <c r="I834">
        <f>IFERROR(HLOOKUP(I$2,[27]table_male_hkom3_inj.V2!$A$1:$K$36,17,FALSE),0)</f>
        <v>2</v>
      </c>
      <c r="J834">
        <f>IFERROR(HLOOKUP(J$2,[27]table_male_hkom3_inj.V2!$A$1:$K$36,17,FALSE),0)</f>
        <v>0</v>
      </c>
      <c r="K834">
        <f>IFERROR(HLOOKUP(K$2,[27]table_male_hkom3_inj.V2!$A$1:$K$36,17,FALSE),0)</f>
        <v>0</v>
      </c>
      <c r="L834">
        <f>IFERROR(HLOOKUP(L$2,[27]table_male_hkom3_inj.V2!$A$1:$K$36,17,FALSE),0)</f>
        <v>0</v>
      </c>
      <c r="M834">
        <f t="shared" si="267"/>
        <v>9</v>
      </c>
      <c r="S834" t="s">
        <v>85</v>
      </c>
      <c r="T834" s="5">
        <f t="shared" si="268"/>
        <v>0</v>
      </c>
      <c r="U834" s="5">
        <f t="shared" si="269"/>
        <v>0</v>
      </c>
      <c r="V834" s="5">
        <f t="shared" si="270"/>
        <v>3.2117988394584138</v>
      </c>
      <c r="W834" s="5">
        <f t="shared" si="271"/>
        <v>4.314868804664723</v>
      </c>
      <c r="X834" s="5">
        <f t="shared" si="272"/>
        <v>2.1843971631205674</v>
      </c>
      <c r="Y834" s="5">
        <f t="shared" si="273"/>
        <v>0</v>
      </c>
      <c r="Z834" s="5">
        <f t="shared" si="274"/>
        <v>0</v>
      </c>
      <c r="AA834" s="5">
        <f t="shared" si="275"/>
        <v>0</v>
      </c>
      <c r="AB834" s="5">
        <f t="shared" si="265"/>
        <v>9.7110648072437051</v>
      </c>
    </row>
    <row r="835" spans="4:28" x14ac:dyDescent="0.25">
      <c r="D835" t="s">
        <v>86</v>
      </c>
      <c r="E835" s="64"/>
      <c r="F835" s="64"/>
      <c r="G835">
        <f>IFERROR(HLOOKUP(G$2,[27]table_male_hkom3_inj.V2!$A$1:$K$36,18,FALSE),0)</f>
        <v>166</v>
      </c>
      <c r="H835">
        <f>IFERROR(HLOOKUP(H$2,[27]table_male_hkom3_inj.V2!$A$1:$K$36,18,FALSE),0)</f>
        <v>193</v>
      </c>
      <c r="I835">
        <f>IFERROR(HLOOKUP(I$2,[27]table_male_hkom3_inj.V2!$A$1:$K$36,18,FALSE),0)</f>
        <v>48</v>
      </c>
      <c r="J835">
        <f>IFERROR(HLOOKUP(J$2,[27]table_male_hkom3_inj.V2!$A$1:$K$36,18,FALSE),0)</f>
        <v>5</v>
      </c>
      <c r="K835">
        <f>IFERROR(HLOOKUP(K$2,[27]table_male_hkom3_inj.V2!$A$1:$K$36,18,FALSE),0)</f>
        <v>0</v>
      </c>
      <c r="L835">
        <f>IFERROR(HLOOKUP(L$2,[27]table_male_hkom3_inj.V2!$A$1:$K$36,18,FALSE),0)</f>
        <v>0</v>
      </c>
      <c r="M835">
        <f t="shared" si="267"/>
        <v>412</v>
      </c>
      <c r="S835" t="s">
        <v>86</v>
      </c>
      <c r="T835" s="5">
        <f t="shared" si="268"/>
        <v>0</v>
      </c>
      <c r="U835" s="5">
        <f t="shared" si="269"/>
        <v>0</v>
      </c>
      <c r="V835" s="5">
        <f t="shared" si="270"/>
        <v>177.71953578336556</v>
      </c>
      <c r="W835" s="5">
        <f t="shared" si="271"/>
        <v>208.19241982507288</v>
      </c>
      <c r="X835" s="5">
        <f t="shared" si="272"/>
        <v>52.425531914893618</v>
      </c>
      <c r="Y835" s="5">
        <f t="shared" si="273"/>
        <v>5.833333333333333</v>
      </c>
      <c r="Z835" s="5">
        <f t="shared" si="274"/>
        <v>0</v>
      </c>
      <c r="AA835" s="5">
        <f t="shared" si="275"/>
        <v>0</v>
      </c>
      <c r="AB835" s="5">
        <f t="shared" si="265"/>
        <v>444.17082085666539</v>
      </c>
    </row>
    <row r="836" spans="4:28" x14ac:dyDescent="0.25">
      <c r="D836" t="s">
        <v>87</v>
      </c>
      <c r="E836" s="64"/>
      <c r="F836" s="64"/>
      <c r="G836">
        <f>IFERROR(HLOOKUP(G$2,[27]table_male_hkom3_inj.V2!$A$1:$K$36,19,FALSE),0)</f>
        <v>109</v>
      </c>
      <c r="H836">
        <f>IFERROR(HLOOKUP(H$2,[27]table_male_hkom3_inj.V2!$A$1:$K$36,19,FALSE),0)</f>
        <v>80</v>
      </c>
      <c r="I836">
        <f>IFERROR(HLOOKUP(I$2,[27]table_male_hkom3_inj.V2!$A$1:$K$36,19,FALSE),0)</f>
        <v>14</v>
      </c>
      <c r="J836">
        <f>IFERROR(HLOOKUP(J$2,[27]table_male_hkom3_inj.V2!$A$1:$K$36,19,FALSE),0)</f>
        <v>0</v>
      </c>
      <c r="K836">
        <f>IFERROR(HLOOKUP(K$2,[27]table_male_hkom3_inj.V2!$A$1:$K$36,19,FALSE),0)</f>
        <v>0</v>
      </c>
      <c r="L836">
        <f>IFERROR(HLOOKUP(L$2,[27]table_male_hkom3_inj.V2!$A$1:$K$36,19,FALSE),0)</f>
        <v>0</v>
      </c>
      <c r="M836">
        <f t="shared" si="267"/>
        <v>203</v>
      </c>
      <c r="S836" t="s">
        <v>87</v>
      </c>
      <c r="T836" s="5">
        <f t="shared" si="268"/>
        <v>0</v>
      </c>
      <c r="U836" s="5">
        <f t="shared" si="269"/>
        <v>0</v>
      </c>
      <c r="V836" s="5">
        <f t="shared" si="270"/>
        <v>116.69535783365571</v>
      </c>
      <c r="W836" s="5">
        <f t="shared" si="271"/>
        <v>86.29737609329446</v>
      </c>
      <c r="X836" s="5">
        <f t="shared" si="272"/>
        <v>15.290780141843971</v>
      </c>
      <c r="Y836" s="5">
        <f t="shared" si="273"/>
        <v>0</v>
      </c>
      <c r="Z836" s="5">
        <f t="shared" si="274"/>
        <v>0</v>
      </c>
      <c r="AA836" s="5">
        <f t="shared" si="275"/>
        <v>0</v>
      </c>
      <c r="AB836" s="5">
        <f t="shared" si="265"/>
        <v>218.28351406879415</v>
      </c>
    </row>
    <row r="837" spans="4:28" x14ac:dyDescent="0.25">
      <c r="D837" t="s">
        <v>88</v>
      </c>
      <c r="E837" s="64"/>
      <c r="F837" s="64"/>
      <c r="G837">
        <f>IFERROR(HLOOKUP(G$2,[27]table_male_hkom3_inj.V2!$A$1:$K$36,20,FALSE),0)</f>
        <v>374</v>
      </c>
      <c r="H837">
        <f>IFERROR(HLOOKUP(H$2,[27]table_male_hkom3_inj.V2!$A$1:$K$36,20,FALSE),0)</f>
        <v>362</v>
      </c>
      <c r="I837">
        <f>IFERROR(HLOOKUP(I$2,[27]table_male_hkom3_inj.V2!$A$1:$K$36,20,FALSE),0)</f>
        <v>109</v>
      </c>
      <c r="J837">
        <f>IFERROR(HLOOKUP(J$2,[27]table_male_hkom3_inj.V2!$A$1:$K$36,20,FALSE),0)</f>
        <v>6</v>
      </c>
      <c r="K837">
        <f>IFERROR(HLOOKUP(K$2,[27]table_male_hkom3_inj.V2!$A$1:$K$36,20,FALSE),0)</f>
        <v>0</v>
      </c>
      <c r="L837">
        <f>IFERROR(HLOOKUP(L$2,[27]table_male_hkom3_inj.V2!$A$1:$K$36,20,FALSE),0)</f>
        <v>0</v>
      </c>
      <c r="M837">
        <f t="shared" si="267"/>
        <v>851</v>
      </c>
      <c r="S837" t="s">
        <v>88</v>
      </c>
      <c r="T837" s="5">
        <f t="shared" si="268"/>
        <v>0</v>
      </c>
      <c r="U837" s="5">
        <f t="shared" si="269"/>
        <v>0</v>
      </c>
      <c r="V837" s="5">
        <f t="shared" si="270"/>
        <v>400.40425531914894</v>
      </c>
      <c r="W837" s="5">
        <f t="shared" si="271"/>
        <v>390.49562682215742</v>
      </c>
      <c r="X837" s="5">
        <f t="shared" si="272"/>
        <v>119.04964539007092</v>
      </c>
      <c r="Y837" s="5">
        <f t="shared" si="273"/>
        <v>7</v>
      </c>
      <c r="Z837" s="5">
        <f t="shared" si="274"/>
        <v>0</v>
      </c>
      <c r="AA837" s="5">
        <f t="shared" si="275"/>
        <v>0</v>
      </c>
      <c r="AB837" s="5">
        <f t="shared" si="265"/>
        <v>916.94952753137727</v>
      </c>
    </row>
    <row r="838" spans="4:28" x14ac:dyDescent="0.25">
      <c r="D838" t="s">
        <v>89</v>
      </c>
      <c r="E838" s="64"/>
      <c r="F838" s="64"/>
      <c r="G838">
        <f>IFERROR(HLOOKUP(G$2,[27]table_male_hkom3_inj.V2!$A$1:$K$36,21,FALSE),0)</f>
        <v>9</v>
      </c>
      <c r="H838">
        <f>IFERROR(HLOOKUP(H$2,[27]table_male_hkom3_inj.V2!$A$1:$K$36,21,FALSE),0)</f>
        <v>14</v>
      </c>
      <c r="I838">
        <f>IFERROR(HLOOKUP(I$2,[27]table_male_hkom3_inj.V2!$A$1:$K$36,21,FALSE),0)</f>
        <v>9</v>
      </c>
      <c r="J838">
        <f>IFERROR(HLOOKUP(J$2,[27]table_male_hkom3_inj.V2!$A$1:$K$36,21,FALSE),0)</f>
        <v>0</v>
      </c>
      <c r="K838">
        <f>IFERROR(HLOOKUP(K$2,[27]table_male_hkom3_inj.V2!$A$1:$K$36,21,FALSE),0)</f>
        <v>0</v>
      </c>
      <c r="L838">
        <f>IFERROR(HLOOKUP(L$2,[27]table_male_hkom3_inj.V2!$A$1:$K$36,21,FALSE),0)</f>
        <v>0</v>
      </c>
      <c r="M838">
        <f t="shared" si="267"/>
        <v>32</v>
      </c>
      <c r="S838" t="s">
        <v>89</v>
      </c>
      <c r="T838" s="5">
        <f t="shared" si="268"/>
        <v>0</v>
      </c>
      <c r="U838" s="5">
        <f t="shared" si="269"/>
        <v>0</v>
      </c>
      <c r="V838" s="5">
        <f t="shared" si="270"/>
        <v>9.6353965183752415</v>
      </c>
      <c r="W838" s="5">
        <f t="shared" si="271"/>
        <v>15.102040816326531</v>
      </c>
      <c r="X838" s="5">
        <f t="shared" si="272"/>
        <v>9.8297872340425538</v>
      </c>
      <c r="Y838" s="5">
        <f t="shared" si="273"/>
        <v>0</v>
      </c>
      <c r="Z838" s="5">
        <f t="shared" si="274"/>
        <v>0</v>
      </c>
      <c r="AA838" s="5">
        <f t="shared" si="275"/>
        <v>0</v>
      </c>
      <c r="AB838" s="5">
        <f t="shared" si="265"/>
        <v>34.567224568744329</v>
      </c>
    </row>
    <row r="839" spans="4:28" x14ac:dyDescent="0.25">
      <c r="D839" t="s">
        <v>90</v>
      </c>
      <c r="E839" s="64"/>
      <c r="F839" s="64"/>
      <c r="G839">
        <f>IFERROR(HLOOKUP(G$2,[27]table_male_hkom3_inj.V2!$A$1:$K$36,22,FALSE),0)</f>
        <v>0</v>
      </c>
      <c r="H839">
        <f>IFERROR(HLOOKUP(H$2,[27]table_male_hkom3_inj.V2!$A$1:$K$36,22,FALSE),0)</f>
        <v>0</v>
      </c>
      <c r="I839">
        <f>IFERROR(HLOOKUP(I$2,[27]table_male_hkom3_inj.V2!$A$1:$K$36,22,FALSE),0)</f>
        <v>0</v>
      </c>
      <c r="J839">
        <f>IFERROR(HLOOKUP(J$2,[27]table_male_hkom3_inj.V2!$A$1:$K$36,22,FALSE),0)</f>
        <v>0</v>
      </c>
      <c r="K839">
        <f>IFERROR(HLOOKUP(K$2,[27]table_male_hkom3_inj.V2!$A$1:$K$36,22,FALSE),0)</f>
        <v>0</v>
      </c>
      <c r="L839">
        <f>IFERROR(HLOOKUP(L$2,[27]table_male_hkom3_inj.V2!$A$1:$K$36,22,FALSE),0)</f>
        <v>0</v>
      </c>
      <c r="M839">
        <f t="shared" si="267"/>
        <v>0</v>
      </c>
      <c r="S839" t="s">
        <v>90</v>
      </c>
      <c r="T839" s="5">
        <f t="shared" si="268"/>
        <v>0</v>
      </c>
      <c r="U839" s="5">
        <f t="shared" si="269"/>
        <v>0</v>
      </c>
      <c r="V839" s="5">
        <f t="shared" si="270"/>
        <v>0</v>
      </c>
      <c r="W839" s="5">
        <f t="shared" si="271"/>
        <v>0</v>
      </c>
      <c r="X839" s="5">
        <f t="shared" si="272"/>
        <v>0</v>
      </c>
      <c r="Y839" s="5">
        <f t="shared" si="273"/>
        <v>0</v>
      </c>
      <c r="Z839" s="5">
        <f t="shared" si="274"/>
        <v>0</v>
      </c>
      <c r="AA839" s="5">
        <f t="shared" si="275"/>
        <v>0</v>
      </c>
      <c r="AB839" s="5">
        <f t="shared" si="265"/>
        <v>0</v>
      </c>
    </row>
    <row r="840" spans="4:28" x14ac:dyDescent="0.25">
      <c r="D840" t="s">
        <v>91</v>
      </c>
      <c r="E840" s="64"/>
      <c r="F840" s="64"/>
      <c r="G840">
        <f>IFERROR(HLOOKUP(G$2,[27]table_male_hkom3_inj.V2!$A$1:$K$36,23,FALSE),0)</f>
        <v>0</v>
      </c>
      <c r="H840">
        <f>IFERROR(HLOOKUP(H$2,[27]table_male_hkom3_inj.V2!$A$1:$K$36,23,FALSE),0)</f>
        <v>0</v>
      </c>
      <c r="I840">
        <f>IFERROR(HLOOKUP(I$2,[27]table_male_hkom3_inj.V2!$A$1:$K$36,23,FALSE),0)</f>
        <v>1</v>
      </c>
      <c r="J840">
        <f>IFERROR(HLOOKUP(J$2,[27]table_male_hkom3_inj.V2!$A$1:$K$36,23,FALSE),0)</f>
        <v>0</v>
      </c>
      <c r="K840">
        <f>IFERROR(HLOOKUP(K$2,[27]table_male_hkom3_inj.V2!$A$1:$K$36,23,FALSE),0)</f>
        <v>0</v>
      </c>
      <c r="L840">
        <f>IFERROR(HLOOKUP(L$2,[27]table_male_hkom3_inj.V2!$A$1:$K$36,23,FALSE),0)</f>
        <v>0</v>
      </c>
      <c r="M840">
        <f t="shared" si="267"/>
        <v>1</v>
      </c>
      <c r="S840" t="s">
        <v>91</v>
      </c>
      <c r="T840" s="5">
        <f t="shared" si="268"/>
        <v>0</v>
      </c>
      <c r="U840" s="5">
        <f t="shared" si="269"/>
        <v>0</v>
      </c>
      <c r="V840" s="5">
        <f t="shared" si="270"/>
        <v>0</v>
      </c>
      <c r="W840" s="5">
        <f t="shared" si="271"/>
        <v>0</v>
      </c>
      <c r="X840" s="5">
        <f t="shared" si="272"/>
        <v>1.0921985815602837</v>
      </c>
      <c r="Y840" s="5">
        <f t="shared" si="273"/>
        <v>0</v>
      </c>
      <c r="Z840" s="5">
        <f t="shared" si="274"/>
        <v>0</v>
      </c>
      <c r="AA840" s="5">
        <f t="shared" si="275"/>
        <v>0</v>
      </c>
      <c r="AB840" s="5">
        <f t="shared" si="265"/>
        <v>1.0921985815602837</v>
      </c>
    </row>
    <row r="841" spans="4:28" x14ac:dyDescent="0.25">
      <c r="D841" t="s">
        <v>92</v>
      </c>
      <c r="E841" s="64"/>
      <c r="F841" s="64"/>
      <c r="G841">
        <f>IFERROR(HLOOKUP(G$2,[27]table_male_hkom3_inj.V2!$A$1:$K$36,24,FALSE),0)</f>
        <v>0</v>
      </c>
      <c r="H841">
        <f>IFERROR(HLOOKUP(H$2,[27]table_male_hkom3_inj.V2!$A$1:$K$36,24,FALSE),0)</f>
        <v>0</v>
      </c>
      <c r="I841">
        <f>IFERROR(HLOOKUP(I$2,[27]table_male_hkom3_inj.V2!$A$1:$K$36,24,FALSE),0)</f>
        <v>0</v>
      </c>
      <c r="J841">
        <f>IFERROR(HLOOKUP(J$2,[27]table_male_hkom3_inj.V2!$A$1:$K$36,24,FALSE),0)</f>
        <v>0</v>
      </c>
      <c r="K841">
        <f>IFERROR(HLOOKUP(K$2,[27]table_male_hkom3_inj.V2!$A$1:$K$36,24,FALSE),0)</f>
        <v>0</v>
      </c>
      <c r="L841">
        <f>IFERROR(HLOOKUP(L$2,[27]table_male_hkom3_inj.V2!$A$1:$K$36,24,FALSE),0)</f>
        <v>0</v>
      </c>
      <c r="M841">
        <f t="shared" si="267"/>
        <v>0</v>
      </c>
      <c r="S841" t="s">
        <v>92</v>
      </c>
      <c r="T841" s="5">
        <f t="shared" si="268"/>
        <v>0</v>
      </c>
      <c r="U841" s="5">
        <f t="shared" si="269"/>
        <v>0</v>
      </c>
      <c r="V841" s="5">
        <f t="shared" si="270"/>
        <v>0</v>
      </c>
      <c r="W841" s="5">
        <f t="shared" si="271"/>
        <v>0</v>
      </c>
      <c r="X841" s="5">
        <f t="shared" si="272"/>
        <v>0</v>
      </c>
      <c r="Y841" s="5">
        <f t="shared" si="273"/>
        <v>0</v>
      </c>
      <c r="Z841" s="5">
        <f t="shared" si="274"/>
        <v>0</v>
      </c>
      <c r="AA841" s="5">
        <f t="shared" si="275"/>
        <v>0</v>
      </c>
      <c r="AB841" s="5">
        <f t="shared" si="265"/>
        <v>0</v>
      </c>
    </row>
    <row r="842" spans="4:28" x14ac:dyDescent="0.25">
      <c r="D842" t="s">
        <v>93</v>
      </c>
      <c r="E842" s="64"/>
      <c r="F842" s="64"/>
      <c r="G842">
        <f>IFERROR(HLOOKUP(G$2,[27]table_male_hkom3_inj.V2!$A$1:$K$36,25,FALSE),0)</f>
        <v>1</v>
      </c>
      <c r="H842">
        <f>IFERROR(HLOOKUP(H$2,[27]table_male_hkom3_inj.V2!$A$1:$K$36,25,FALSE),0)</f>
        <v>0</v>
      </c>
      <c r="I842">
        <f>IFERROR(HLOOKUP(I$2,[27]table_male_hkom3_inj.V2!$A$1:$K$36,25,FALSE),0)</f>
        <v>0</v>
      </c>
      <c r="J842">
        <f>IFERROR(HLOOKUP(J$2,[27]table_male_hkom3_inj.V2!$A$1:$K$36,25,FALSE),0)</f>
        <v>0</v>
      </c>
      <c r="K842">
        <f>IFERROR(HLOOKUP(K$2,[27]table_male_hkom3_inj.V2!$A$1:$K$36,25,FALSE),0)</f>
        <v>0</v>
      </c>
      <c r="L842">
        <f>IFERROR(HLOOKUP(L$2,[27]table_male_hkom3_inj.V2!$A$1:$K$36,25,FALSE),0)</f>
        <v>0</v>
      </c>
      <c r="M842">
        <f t="shared" si="267"/>
        <v>1</v>
      </c>
      <c r="S842" t="s">
        <v>93</v>
      </c>
      <c r="T842" s="5">
        <f t="shared" si="268"/>
        <v>0</v>
      </c>
      <c r="U842" s="5">
        <f t="shared" si="269"/>
        <v>0</v>
      </c>
      <c r="V842" s="5">
        <f t="shared" si="270"/>
        <v>1.0705996131528046</v>
      </c>
      <c r="W842" s="5">
        <f t="shared" si="271"/>
        <v>0</v>
      </c>
      <c r="X842" s="5">
        <f t="shared" si="272"/>
        <v>0</v>
      </c>
      <c r="Y842" s="5">
        <f t="shared" si="273"/>
        <v>0</v>
      </c>
      <c r="Z842" s="5">
        <f t="shared" si="274"/>
        <v>0</v>
      </c>
      <c r="AA842" s="5">
        <f t="shared" si="275"/>
        <v>0</v>
      </c>
      <c r="AB842" s="5">
        <f t="shared" si="265"/>
        <v>1.0705996131528046</v>
      </c>
    </row>
    <row r="843" spans="4:28" x14ac:dyDescent="0.25">
      <c r="D843" t="s">
        <v>94</v>
      </c>
      <c r="E843" s="64"/>
      <c r="F843" s="64"/>
      <c r="G843">
        <f>IFERROR(HLOOKUP(G$2,[27]table_male_hkom3_inj.V2!$A$1:$K$36,26,FALSE),0)</f>
        <v>0</v>
      </c>
      <c r="H843">
        <f>IFERROR(HLOOKUP(H$2,[27]table_male_hkom3_inj.V2!$A$1:$K$36,26,FALSE),0)</f>
        <v>0</v>
      </c>
      <c r="I843">
        <f>IFERROR(HLOOKUP(I$2,[27]table_male_hkom3_inj.V2!$A$1:$K$36,26,FALSE),0)</f>
        <v>0</v>
      </c>
      <c r="J843">
        <f>IFERROR(HLOOKUP(J$2,[27]table_male_hkom3_inj.V2!$A$1:$K$36,26,FALSE),0)</f>
        <v>0</v>
      </c>
      <c r="K843">
        <f>IFERROR(HLOOKUP(K$2,[27]table_male_hkom3_inj.V2!$A$1:$K$36,26,FALSE),0)</f>
        <v>0</v>
      </c>
      <c r="L843">
        <f>IFERROR(HLOOKUP(L$2,[27]table_male_hkom3_inj.V2!$A$1:$K$36,26,FALSE),0)</f>
        <v>0</v>
      </c>
      <c r="M843">
        <f t="shared" si="267"/>
        <v>0</v>
      </c>
      <c r="S843" t="s">
        <v>94</v>
      </c>
      <c r="T843" s="5">
        <f t="shared" si="268"/>
        <v>0</v>
      </c>
      <c r="U843" s="5">
        <f t="shared" si="269"/>
        <v>0</v>
      </c>
      <c r="V843" s="5">
        <f t="shared" si="270"/>
        <v>0</v>
      </c>
      <c r="W843" s="5">
        <f t="shared" si="271"/>
        <v>0</v>
      </c>
      <c r="X843" s="5">
        <f t="shared" si="272"/>
        <v>0</v>
      </c>
      <c r="Y843" s="5">
        <f t="shared" si="273"/>
        <v>0</v>
      </c>
      <c r="Z843" s="5">
        <f t="shared" si="274"/>
        <v>0</v>
      </c>
      <c r="AA843" s="5">
        <f t="shared" si="275"/>
        <v>0</v>
      </c>
      <c r="AB843" s="5">
        <f t="shared" si="265"/>
        <v>0</v>
      </c>
    </row>
    <row r="844" spans="4:28" x14ac:dyDescent="0.25">
      <c r="D844" t="s">
        <v>95</v>
      </c>
      <c r="E844" s="64"/>
      <c r="F844" s="64"/>
      <c r="G844">
        <f>IFERROR(HLOOKUP(G$2,[27]table_male_hkom3_inj.V2!$A$1:$K$36,27,FALSE),0)</f>
        <v>0</v>
      </c>
      <c r="H844">
        <f>IFERROR(HLOOKUP(H$2,[27]table_male_hkom3_inj.V2!$A$1:$K$36,27,FALSE),0)</f>
        <v>0</v>
      </c>
      <c r="I844">
        <f>IFERROR(HLOOKUP(I$2,[27]table_male_hkom3_inj.V2!$A$1:$K$36,27,FALSE),0)</f>
        <v>0</v>
      </c>
      <c r="J844">
        <f>IFERROR(HLOOKUP(J$2,[27]table_male_hkom3_inj.V2!$A$1:$K$36,27,FALSE),0)</f>
        <v>0</v>
      </c>
      <c r="K844">
        <f>IFERROR(HLOOKUP(K$2,[27]table_male_hkom3_inj.V2!$A$1:$K$36,27,FALSE),0)</f>
        <v>0</v>
      </c>
      <c r="L844">
        <f>IFERROR(HLOOKUP(L$2,[27]table_male_hkom3_inj.V2!$A$1:$K$36,27,FALSE),0)</f>
        <v>0</v>
      </c>
      <c r="M844">
        <f t="shared" si="267"/>
        <v>0</v>
      </c>
      <c r="S844" t="s">
        <v>95</v>
      </c>
      <c r="T844" s="5">
        <f t="shared" si="268"/>
        <v>0</v>
      </c>
      <c r="U844" s="5">
        <f t="shared" si="269"/>
        <v>0</v>
      </c>
      <c r="V844" s="5">
        <f t="shared" si="270"/>
        <v>0</v>
      </c>
      <c r="W844" s="5">
        <f t="shared" si="271"/>
        <v>0</v>
      </c>
      <c r="X844" s="5">
        <f t="shared" si="272"/>
        <v>0</v>
      </c>
      <c r="Y844" s="5">
        <f t="shared" si="273"/>
        <v>0</v>
      </c>
      <c r="Z844" s="5">
        <f t="shared" si="274"/>
        <v>0</v>
      </c>
      <c r="AA844" s="5">
        <f t="shared" si="275"/>
        <v>0</v>
      </c>
      <c r="AB844" s="5">
        <f t="shared" si="265"/>
        <v>0</v>
      </c>
    </row>
    <row r="845" spans="4:28" x14ac:dyDescent="0.25">
      <c r="D845" t="s">
        <v>96</v>
      </c>
      <c r="E845" s="64"/>
      <c r="F845" s="64"/>
      <c r="G845">
        <f>IFERROR(HLOOKUP(G$2,[27]table_male_hkom3_inj.V2!$A$1:$K$36,28,FALSE),0)</f>
        <v>0</v>
      </c>
      <c r="H845">
        <f>IFERROR(HLOOKUP(H$2,[27]table_male_hkom3_inj.V2!$A$1:$K$36,28,FALSE),0)</f>
        <v>1</v>
      </c>
      <c r="I845">
        <f>IFERROR(HLOOKUP(I$2,[27]table_male_hkom3_inj.V2!$A$1:$K$36,28,FALSE),0)</f>
        <v>0</v>
      </c>
      <c r="J845">
        <f>IFERROR(HLOOKUP(J$2,[27]table_male_hkom3_inj.V2!$A$1:$K$36,28,FALSE),0)</f>
        <v>0</v>
      </c>
      <c r="K845">
        <f>IFERROR(HLOOKUP(K$2,[27]table_male_hkom3_inj.V2!$A$1:$K$36,28,FALSE),0)</f>
        <v>0</v>
      </c>
      <c r="L845">
        <f>IFERROR(HLOOKUP(L$2,[27]table_male_hkom3_inj.V2!$A$1:$K$36,28,FALSE),0)</f>
        <v>0</v>
      </c>
      <c r="M845">
        <f t="shared" si="267"/>
        <v>1</v>
      </c>
      <c r="S845" t="s">
        <v>96</v>
      </c>
      <c r="T845" s="5">
        <f t="shared" si="268"/>
        <v>0</v>
      </c>
      <c r="U845" s="5">
        <f t="shared" si="269"/>
        <v>0</v>
      </c>
      <c r="V845" s="5">
        <f t="shared" si="270"/>
        <v>0</v>
      </c>
      <c r="W845" s="5">
        <f t="shared" si="271"/>
        <v>1.0787172011661808</v>
      </c>
      <c r="X845" s="5">
        <f t="shared" si="272"/>
        <v>0</v>
      </c>
      <c r="Y845" s="5">
        <f t="shared" si="273"/>
        <v>0</v>
      </c>
      <c r="Z845" s="5">
        <f t="shared" si="274"/>
        <v>0</v>
      </c>
      <c r="AA845" s="5">
        <f t="shared" si="275"/>
        <v>0</v>
      </c>
      <c r="AB845" s="5">
        <f t="shared" si="265"/>
        <v>1.0787172011661808</v>
      </c>
    </row>
    <row r="846" spans="4:28" x14ac:dyDescent="0.25">
      <c r="D846" t="s">
        <v>97</v>
      </c>
      <c r="E846" s="64"/>
      <c r="F846" s="64"/>
      <c r="G846">
        <f>IFERROR(HLOOKUP(G$2,[27]table_male_hkom3_inj.V2!$A$1:$K$36,29,FALSE),0)</f>
        <v>0</v>
      </c>
      <c r="H846">
        <f>IFERROR(HLOOKUP(H$2,[27]table_male_hkom3_inj.V2!$A$1:$K$36,29,FALSE),0)</f>
        <v>0</v>
      </c>
      <c r="I846">
        <f>IFERROR(HLOOKUP(I$2,[27]table_male_hkom3_inj.V2!$A$1:$K$36,29,FALSE),0)</f>
        <v>0</v>
      </c>
      <c r="J846">
        <f>IFERROR(HLOOKUP(J$2,[27]table_male_hkom3_inj.V2!$A$1:$K$36,29,FALSE),0)</f>
        <v>0</v>
      </c>
      <c r="K846">
        <f>IFERROR(HLOOKUP(K$2,[27]table_male_hkom3_inj.V2!$A$1:$K$36,29,FALSE),0)</f>
        <v>0</v>
      </c>
      <c r="L846">
        <f>IFERROR(HLOOKUP(L$2,[27]table_male_hkom3_inj.V2!$A$1:$K$36,29,FALSE),0)</f>
        <v>0</v>
      </c>
      <c r="M846">
        <f t="shared" si="267"/>
        <v>0</v>
      </c>
      <c r="S846" t="s">
        <v>97</v>
      </c>
      <c r="T846" s="5">
        <f t="shared" si="268"/>
        <v>0</v>
      </c>
      <c r="U846" s="5">
        <f t="shared" si="269"/>
        <v>0</v>
      </c>
      <c r="V846" s="5">
        <f t="shared" si="270"/>
        <v>0</v>
      </c>
      <c r="W846" s="5">
        <f t="shared" si="271"/>
        <v>0</v>
      </c>
      <c r="X846" s="5">
        <f t="shared" si="272"/>
        <v>0</v>
      </c>
      <c r="Y846" s="5">
        <f t="shared" si="273"/>
        <v>0</v>
      </c>
      <c r="Z846" s="5">
        <f t="shared" si="274"/>
        <v>0</v>
      </c>
      <c r="AA846" s="5">
        <f t="shared" si="275"/>
        <v>0</v>
      </c>
      <c r="AB846" s="5">
        <f t="shared" si="265"/>
        <v>0</v>
      </c>
    </row>
    <row r="847" spans="4:28" x14ac:dyDescent="0.25">
      <c r="D847" t="s">
        <v>98</v>
      </c>
      <c r="E847" s="64"/>
      <c r="F847" s="64"/>
      <c r="G847">
        <f>IFERROR(HLOOKUP(G$2,[27]table_male_hkom3_inj.V2!$A$1:$K$36,30,FALSE),0)</f>
        <v>0</v>
      </c>
      <c r="H847">
        <f>IFERROR(HLOOKUP(H$2,[27]table_male_hkom3_inj.V2!$A$1:$K$36,30,FALSE),0)</f>
        <v>1</v>
      </c>
      <c r="I847">
        <f>IFERROR(HLOOKUP(I$2,[27]table_male_hkom3_inj.V2!$A$1:$K$36,30,FALSE),0)</f>
        <v>1</v>
      </c>
      <c r="J847">
        <f>IFERROR(HLOOKUP(J$2,[27]table_male_hkom3_inj.V2!$A$1:$K$36,30,FALSE),0)</f>
        <v>0</v>
      </c>
      <c r="K847">
        <f>IFERROR(HLOOKUP(K$2,[27]table_male_hkom3_inj.V2!$A$1:$K$36,30,FALSE),0)</f>
        <v>0</v>
      </c>
      <c r="L847">
        <f>IFERROR(HLOOKUP(L$2,[27]table_male_hkom3_inj.V2!$A$1:$K$36,30,FALSE),0)</f>
        <v>0</v>
      </c>
      <c r="M847">
        <f t="shared" si="267"/>
        <v>2</v>
      </c>
      <c r="S847" t="s">
        <v>98</v>
      </c>
      <c r="T847" s="5">
        <f t="shared" si="268"/>
        <v>0</v>
      </c>
      <c r="U847" s="5">
        <f t="shared" si="269"/>
        <v>0</v>
      </c>
      <c r="V847" s="5">
        <f t="shared" si="270"/>
        <v>0</v>
      </c>
      <c r="W847" s="5">
        <f t="shared" si="271"/>
        <v>1.0787172011661808</v>
      </c>
      <c r="X847" s="5">
        <f t="shared" si="272"/>
        <v>1.0921985815602837</v>
      </c>
      <c r="Y847" s="5">
        <f t="shared" si="273"/>
        <v>0</v>
      </c>
      <c r="Z847" s="5">
        <f t="shared" si="274"/>
        <v>0</v>
      </c>
      <c r="AA847" s="5">
        <f t="shared" si="275"/>
        <v>0</v>
      </c>
      <c r="AB847" s="5">
        <f t="shared" si="265"/>
        <v>2.1709157827264645</v>
      </c>
    </row>
    <row r="848" spans="4:28" x14ac:dyDescent="0.25">
      <c r="D848" t="s">
        <v>119</v>
      </c>
      <c r="E848" s="64"/>
      <c r="F848" s="64"/>
      <c r="G848">
        <f>IFERROR(HLOOKUP(G$2,[27]table_male_hkom3_inj.V2!$A$1:$K$36,31,FALSE),0)</f>
        <v>1</v>
      </c>
      <c r="H848">
        <f>IFERROR(HLOOKUP(H$2,[27]table_male_hkom3_inj.V2!$A$1:$K$36,31,FALSE),0)</f>
        <v>1</v>
      </c>
      <c r="I848">
        <f>IFERROR(HLOOKUP(I$2,[27]table_male_hkom3_inj.V2!$A$1:$K$36,31,FALSE),0)</f>
        <v>0</v>
      </c>
      <c r="J848">
        <f>IFERROR(HLOOKUP(J$2,[27]table_male_hkom3_inj.V2!$A$1:$K$36,31,FALSE),0)</f>
        <v>0</v>
      </c>
      <c r="K848">
        <f>IFERROR(HLOOKUP(K$2,[27]table_male_hkom3_inj.V2!$A$1:$K$36,31,FALSE),0)</f>
        <v>0</v>
      </c>
      <c r="L848">
        <f>IFERROR(HLOOKUP(L$2,[27]table_male_hkom3_inj.V2!$A$1:$K$36,31,FALSE),0)</f>
        <v>0</v>
      </c>
      <c r="M848">
        <f t="shared" si="267"/>
        <v>2</v>
      </c>
      <c r="S848" t="s">
        <v>119</v>
      </c>
      <c r="T848" s="5">
        <f t="shared" si="268"/>
        <v>0</v>
      </c>
      <c r="U848" s="5">
        <f t="shared" si="269"/>
        <v>0</v>
      </c>
      <c r="V848" s="5">
        <f t="shared" si="270"/>
        <v>1.0705996131528046</v>
      </c>
      <c r="W848" s="5">
        <f t="shared" si="271"/>
        <v>1.0787172011661808</v>
      </c>
      <c r="X848" s="5">
        <f t="shared" si="272"/>
        <v>0</v>
      </c>
      <c r="Y848" s="5">
        <f t="shared" si="273"/>
        <v>0</v>
      </c>
      <c r="Z848" s="5">
        <f t="shared" si="274"/>
        <v>0</v>
      </c>
      <c r="AA848" s="5">
        <f t="shared" si="275"/>
        <v>0</v>
      </c>
      <c r="AB848" s="5">
        <f t="shared" si="265"/>
        <v>2.1493168143189854</v>
      </c>
    </row>
    <row r="849" spans="1:29" x14ac:dyDescent="0.25">
      <c r="D849" t="s">
        <v>99</v>
      </c>
      <c r="E849" s="64"/>
      <c r="F849" s="64"/>
      <c r="G849">
        <f>IFERROR(HLOOKUP(G$2,[27]table_male_hkom3_inj.V2!$A$1:$K$36,32,FALSE),0)</f>
        <v>43</v>
      </c>
      <c r="H849">
        <f>IFERROR(HLOOKUP(H$2,[27]table_male_hkom3_inj.V2!$A$1:$K$36,32,FALSE),0)</f>
        <v>24</v>
      </c>
      <c r="I849">
        <f>IFERROR(HLOOKUP(I$2,[27]table_male_hkom3_inj.V2!$A$1:$K$36,32,FALSE),0)</f>
        <v>5</v>
      </c>
      <c r="J849">
        <f>IFERROR(HLOOKUP(J$2,[27]table_male_hkom3_inj.V2!$A$1:$K$36,32,FALSE),0)</f>
        <v>2</v>
      </c>
      <c r="K849">
        <f>IFERROR(HLOOKUP(K$2,[27]table_male_hkom3_inj.V2!$A$1:$K$36,32,FALSE),0)</f>
        <v>0</v>
      </c>
      <c r="L849">
        <f>IFERROR(HLOOKUP(L$2,[27]table_male_hkom3_inj.V2!$A$1:$K$36,32,FALSE),0)</f>
        <v>0</v>
      </c>
      <c r="M849">
        <f t="shared" si="267"/>
        <v>74</v>
      </c>
      <c r="S849" t="s">
        <v>99</v>
      </c>
      <c r="T849" s="5">
        <f t="shared" si="268"/>
        <v>0</v>
      </c>
      <c r="U849" s="5">
        <f t="shared" si="269"/>
        <v>0</v>
      </c>
      <c r="V849" s="5">
        <f t="shared" si="270"/>
        <v>46.035783365570602</v>
      </c>
      <c r="W849" s="5">
        <f t="shared" si="271"/>
        <v>25.889212827988338</v>
      </c>
      <c r="X849" s="5">
        <f t="shared" si="272"/>
        <v>5.4609929078014181</v>
      </c>
      <c r="Y849" s="5">
        <f t="shared" si="273"/>
        <v>2.3333333333333335</v>
      </c>
      <c r="Z849" s="5">
        <f t="shared" si="274"/>
        <v>0</v>
      </c>
      <c r="AA849" s="5">
        <f t="shared" si="275"/>
        <v>0</v>
      </c>
      <c r="AB849" s="5">
        <f t="shared" si="265"/>
        <v>79.71932243469368</v>
      </c>
    </row>
    <row r="850" spans="1:29" x14ac:dyDescent="0.25">
      <c r="D850" t="s">
        <v>100</v>
      </c>
      <c r="E850" s="64"/>
      <c r="F850" s="64"/>
      <c r="G850">
        <f>IFERROR(HLOOKUP(G$2,[27]table_male_hkom3_inj.V2!$A$1:$K$36,33,FALSE),0)</f>
        <v>1</v>
      </c>
      <c r="H850">
        <f>IFERROR(HLOOKUP(H$2,[27]table_male_hkom3_inj.V2!$A$1:$K$36,33,FALSE),0)</f>
        <v>1</v>
      </c>
      <c r="I850">
        <f>IFERROR(HLOOKUP(I$2,[27]table_male_hkom3_inj.V2!$A$1:$K$36,33,FALSE),0)</f>
        <v>2</v>
      </c>
      <c r="J850">
        <f>IFERROR(HLOOKUP(J$2,[27]table_male_hkom3_inj.V2!$A$1:$K$36,33,FALSE),0)</f>
        <v>0</v>
      </c>
      <c r="K850">
        <f>IFERROR(HLOOKUP(K$2,[27]table_male_hkom3_inj.V2!$A$1:$K$36,33,FALSE),0)</f>
        <v>0</v>
      </c>
      <c r="L850">
        <f>IFERROR(HLOOKUP(L$2,[27]table_male_hkom3_inj.V2!$A$1:$K$36,33,FALSE),0)</f>
        <v>0</v>
      </c>
      <c r="M850">
        <f t="shared" si="267"/>
        <v>4</v>
      </c>
      <c r="S850" t="s">
        <v>100</v>
      </c>
      <c r="T850" s="5">
        <f t="shared" si="268"/>
        <v>0</v>
      </c>
      <c r="U850" s="5">
        <f t="shared" si="269"/>
        <v>0</v>
      </c>
      <c r="V850" s="5">
        <f t="shared" si="270"/>
        <v>1.0705996131528046</v>
      </c>
      <c r="W850" s="5">
        <f t="shared" si="271"/>
        <v>1.0787172011661808</v>
      </c>
      <c r="X850" s="5">
        <f t="shared" si="272"/>
        <v>2.1843971631205674</v>
      </c>
      <c r="Y850" s="5">
        <f t="shared" si="273"/>
        <v>0</v>
      </c>
      <c r="Z850" s="5">
        <f t="shared" si="274"/>
        <v>0</v>
      </c>
      <c r="AA850" s="5">
        <f t="shared" si="275"/>
        <v>0</v>
      </c>
      <c r="AB850" s="5">
        <f t="shared" si="265"/>
        <v>4.3337139774395528</v>
      </c>
    </row>
    <row r="851" spans="1:29" x14ac:dyDescent="0.25">
      <c r="D851" t="s">
        <v>101</v>
      </c>
      <c r="E851" s="64"/>
      <c r="F851" s="64"/>
      <c r="G851">
        <f>IFERROR(HLOOKUP(G$2,[27]table_male_hkom3_inj.V2!$A$1:$K$36,34,FALSE),0)</f>
        <v>18</v>
      </c>
      <c r="H851">
        <f>IFERROR(HLOOKUP(H$2,[27]table_male_hkom3_inj.V2!$A$1:$K$36,34,FALSE),0)</f>
        <v>24</v>
      </c>
      <c r="I851">
        <f>IFERROR(HLOOKUP(I$2,[27]table_male_hkom3_inj.V2!$A$1:$K$36,34,FALSE),0)</f>
        <v>2</v>
      </c>
      <c r="J851">
        <f>IFERROR(HLOOKUP(J$2,[27]table_male_hkom3_inj.V2!$A$1:$K$36,34,FALSE),0)</f>
        <v>0</v>
      </c>
      <c r="K851">
        <f>IFERROR(HLOOKUP(K$2,[27]table_male_hkom3_inj.V2!$A$1:$K$36,34,FALSE),0)</f>
        <v>0</v>
      </c>
      <c r="L851">
        <f>IFERROR(HLOOKUP(L$2,[27]table_male_hkom3_inj.V2!$A$1:$K$36,34,FALSE),0)</f>
        <v>0</v>
      </c>
      <c r="M851">
        <f t="shared" si="267"/>
        <v>44</v>
      </c>
      <c r="S851" t="s">
        <v>101</v>
      </c>
      <c r="T851" s="5">
        <f t="shared" si="268"/>
        <v>0</v>
      </c>
      <c r="U851" s="5">
        <f t="shared" si="269"/>
        <v>0</v>
      </c>
      <c r="V851" s="5">
        <f t="shared" si="270"/>
        <v>19.270793036750483</v>
      </c>
      <c r="W851" s="5">
        <f t="shared" si="271"/>
        <v>25.889212827988338</v>
      </c>
      <c r="X851" s="5">
        <f t="shared" si="272"/>
        <v>2.1843971631205674</v>
      </c>
      <c r="Y851" s="5">
        <f t="shared" si="273"/>
        <v>0</v>
      </c>
      <c r="Z851" s="5">
        <f t="shared" si="274"/>
        <v>0</v>
      </c>
      <c r="AA851" s="5">
        <f t="shared" si="275"/>
        <v>0</v>
      </c>
      <c r="AB851" s="5">
        <f t="shared" si="265"/>
        <v>47.344403027859386</v>
      </c>
    </row>
    <row r="852" spans="1:29" x14ac:dyDescent="0.25">
      <c r="D852" t="s">
        <v>102</v>
      </c>
      <c r="E852" s="64"/>
      <c r="F852" s="64"/>
      <c r="G852">
        <f>IFERROR(HLOOKUP(G$2,[27]table_male_hkom3_inj.V2!$A$1:$K$36,35,FALSE),0)</f>
        <v>73</v>
      </c>
      <c r="H852">
        <f>IFERROR(HLOOKUP(H$2,[27]table_male_hkom3_inj.V2!$A$1:$K$36,35,FALSE),0)</f>
        <v>81</v>
      </c>
      <c r="I852">
        <f>IFERROR(HLOOKUP(I$2,[27]table_male_hkom3_inj.V2!$A$1:$K$36,35,FALSE),0)</f>
        <v>26</v>
      </c>
      <c r="J852">
        <f>IFERROR(HLOOKUP(J$2,[27]table_male_hkom3_inj.V2!$A$1:$K$36,35,FALSE),0)</f>
        <v>3</v>
      </c>
      <c r="K852">
        <f>IFERROR(HLOOKUP(K$2,[27]table_male_hkom3_inj.V2!$A$1:$K$36,35,FALSE),0)</f>
        <v>0</v>
      </c>
      <c r="L852">
        <f>IFERROR(HLOOKUP(L$2,[27]table_male_hkom3_inj.V2!$A$1:$K$36,35,FALSE),0)</f>
        <v>0</v>
      </c>
      <c r="M852">
        <f t="shared" si="267"/>
        <v>183</v>
      </c>
      <c r="N852">
        <f>SUM(M819:M852)</f>
        <v>2546</v>
      </c>
      <c r="O852" s="8">
        <f>SUM([27]table_male_hkom3_inj.V2!$B$2:$L$36)</f>
        <v>2546</v>
      </c>
      <c r="S852" t="s">
        <v>102</v>
      </c>
      <c r="T852" s="7"/>
      <c r="U852" s="7"/>
      <c r="V852" s="7"/>
      <c r="W852" s="7"/>
      <c r="X852" s="7"/>
      <c r="Y852" s="7"/>
      <c r="Z852" s="7"/>
      <c r="AA852" s="7"/>
      <c r="AB852" s="5">
        <f t="shared" ref="AB852:AB915" si="276">SUM(T852:AA852)</f>
        <v>0</v>
      </c>
      <c r="AC852" s="5">
        <f>SUM(AB819:AB851)</f>
        <v>2545.9999999999991</v>
      </c>
    </row>
    <row r="853" spans="1:29" x14ac:dyDescent="0.25">
      <c r="A853" t="s">
        <v>104</v>
      </c>
      <c r="B853" t="s">
        <v>117</v>
      </c>
      <c r="C853" t="s">
        <v>107</v>
      </c>
      <c r="D853" t="s">
        <v>70</v>
      </c>
      <c r="E853" s="64"/>
      <c r="F853" s="64"/>
      <c r="G853">
        <f>IFERROR(HLOOKUP(G$2,[28]table_male_hkom3_inj.V3!$A$1:$K$36,2,FALSE),0)</f>
        <v>0</v>
      </c>
      <c r="H853">
        <f>IFERROR(HLOOKUP(H$2,[28]table_male_hkom3_inj.V3!$A$1:$K$36,2,FALSE),0)</f>
        <v>0</v>
      </c>
      <c r="I853">
        <f>IFERROR(HLOOKUP(I$2,[28]table_male_hkom3_inj.V3!$A$1:$K$36,2,FALSE),0)</f>
        <v>0</v>
      </c>
      <c r="J853">
        <f>IFERROR(HLOOKUP(J$2,[28]table_male_hkom3_inj.V3!$A$1:$K$36,2,FALSE),0)</f>
        <v>0</v>
      </c>
      <c r="K853">
        <f>IFERROR(HLOOKUP(K$2,[28]table_male_hkom3_inj.V3!$A$1:$K$36,2,FALSE),0)</f>
        <v>0</v>
      </c>
      <c r="L853">
        <f>IFERROR(HLOOKUP(L$2,[28]table_male_hkom3_inj.V3!$A$1:$K$36,2,FALSE),0)</f>
        <v>0</v>
      </c>
      <c r="M853">
        <f>SUM(E853:L853)</f>
        <v>0</v>
      </c>
      <c r="P853" t="s">
        <v>104</v>
      </c>
      <c r="Q853" t="s">
        <v>117</v>
      </c>
      <c r="R853" t="s">
        <v>107</v>
      </c>
      <c r="S853" t="s">
        <v>70</v>
      </c>
      <c r="T853" s="5">
        <f>IF(SUM(E$853:E$885)=0,E$886/33,E853+IFERROR(E853/SUM(E$853:E$885)*E$886,0))</f>
        <v>0</v>
      </c>
      <c r="U853" s="5">
        <f t="shared" ref="U853:AA853" si="277">IF(SUM(F$853:F$885)=0,F$886/33,F853+IFERROR(F853/SUM(F$853:F$885)*F$886,0))</f>
        <v>0</v>
      </c>
      <c r="V853" s="5">
        <f t="shared" si="277"/>
        <v>0</v>
      </c>
      <c r="W853" s="5">
        <f t="shared" si="277"/>
        <v>0</v>
      </c>
      <c r="X853" s="5">
        <f t="shared" si="277"/>
        <v>0</v>
      </c>
      <c r="Y853" s="5">
        <f t="shared" si="277"/>
        <v>0</v>
      </c>
      <c r="Z853" s="5">
        <f t="shared" si="277"/>
        <v>0</v>
      </c>
      <c r="AA853" s="5">
        <f t="shared" si="277"/>
        <v>0</v>
      </c>
      <c r="AB853" s="5">
        <f t="shared" si="276"/>
        <v>0</v>
      </c>
    </row>
    <row r="854" spans="1:29" x14ac:dyDescent="0.25">
      <c r="D854" t="s">
        <v>71</v>
      </c>
      <c r="E854" s="64"/>
      <c r="F854" s="64"/>
      <c r="G854">
        <f>IFERROR(HLOOKUP(G$2,[28]table_male_hkom3_inj.V3!$A$1:$K$36,3,FALSE),0)</f>
        <v>0</v>
      </c>
      <c r="H854">
        <f>IFERROR(HLOOKUP(H$2,[28]table_male_hkom3_inj.V3!$A$1:$K$36,3,FALSE),0)</f>
        <v>0</v>
      </c>
      <c r="I854">
        <f>IFERROR(HLOOKUP(I$2,[28]table_male_hkom3_inj.V3!$A$1:$K$36,3,FALSE),0)</f>
        <v>0</v>
      </c>
      <c r="J854">
        <f>IFERROR(HLOOKUP(J$2,[28]table_male_hkom3_inj.V3!$A$1:$K$36,3,FALSE),0)</f>
        <v>0</v>
      </c>
      <c r="K854">
        <f>IFERROR(HLOOKUP(K$2,[28]table_male_hkom3_inj.V3!$A$1:$K$36,3,FALSE),0)</f>
        <v>0</v>
      </c>
      <c r="L854">
        <f>IFERROR(HLOOKUP(L$2,[28]table_male_hkom3_inj.V3!$A$1:$K$36,3,FALSE),0)</f>
        <v>0</v>
      </c>
      <c r="M854">
        <f t="shared" ref="M854:M886" si="278">SUM(E854:L854)</f>
        <v>0</v>
      </c>
      <c r="S854" t="s">
        <v>71</v>
      </c>
      <c r="T854" s="5">
        <f t="shared" ref="T854:T885" si="279">IF(SUM(E$853:E$885)=0,E$886/33,E854+IFERROR(E854/SUM(E$853:E$885)*E$886,0))</f>
        <v>0</v>
      </c>
      <c r="U854" s="5">
        <f t="shared" ref="U854:U885" si="280">IF(SUM(F$853:F$885)=0,F$886/33,F854+IFERROR(F854/SUM(F$853:F$885)*F$886,0))</f>
        <v>0</v>
      </c>
      <c r="V854" s="5">
        <f t="shared" ref="V854:V885" si="281">IF(SUM(G$853:G$885)=0,G$886/33,G854+IFERROR(G854/SUM(G$853:G$885)*G$886,0))</f>
        <v>0</v>
      </c>
      <c r="W854" s="5">
        <f t="shared" ref="W854:W885" si="282">IF(SUM(H$853:H$885)=0,H$886/33,H854+IFERROR(H854/SUM(H$853:H$885)*H$886,0))</f>
        <v>0</v>
      </c>
      <c r="X854" s="5">
        <f t="shared" ref="X854:X885" si="283">IF(SUM(I$853:I$885)=0,I$886/33,I854+IFERROR(I854/SUM(I$853:I$885)*I$886,0))</f>
        <v>0</v>
      </c>
      <c r="Y854" s="5">
        <f t="shared" ref="Y854:Y885" si="284">IF(SUM(J$853:J$885)=0,J$886/33,J854+IFERROR(J854/SUM(J$853:J$885)*J$886,0))</f>
        <v>0</v>
      </c>
      <c r="Z854" s="5">
        <f t="shared" ref="Z854:Z885" si="285">IF(SUM(K$853:K$885)=0,K$886/33,K854+IFERROR(K854/SUM(K$853:K$885)*K$886,0))</f>
        <v>0</v>
      </c>
      <c r="AA854" s="5">
        <f t="shared" ref="AA854:AA885" si="286">IF(SUM(L$853:L$885)=0,L$886/33,L854+IFERROR(L854/SUM(L$853:L$885)*L$886,0))</f>
        <v>0</v>
      </c>
      <c r="AB854" s="5">
        <f t="shared" si="276"/>
        <v>0</v>
      </c>
    </row>
    <row r="855" spans="1:29" x14ac:dyDescent="0.25">
      <c r="D855" t="s">
        <v>72</v>
      </c>
      <c r="E855" s="64"/>
      <c r="F855" s="64"/>
      <c r="G855">
        <f>IFERROR(HLOOKUP(G$2,[28]table_male_hkom3_inj.V3!$A$1:$K$36,4,FALSE),0)</f>
        <v>0</v>
      </c>
      <c r="H855">
        <f>IFERROR(HLOOKUP(H$2,[28]table_male_hkom3_inj.V3!$A$1:$K$36,4,FALSE),0)</f>
        <v>0</v>
      </c>
      <c r="I855">
        <f>IFERROR(HLOOKUP(I$2,[28]table_male_hkom3_inj.V3!$A$1:$K$36,4,FALSE),0)</f>
        <v>0</v>
      </c>
      <c r="J855">
        <f>IFERROR(HLOOKUP(J$2,[28]table_male_hkom3_inj.V3!$A$1:$K$36,4,FALSE),0)</f>
        <v>0</v>
      </c>
      <c r="K855">
        <f>IFERROR(HLOOKUP(K$2,[28]table_male_hkom3_inj.V3!$A$1:$K$36,4,FALSE),0)</f>
        <v>0</v>
      </c>
      <c r="L855">
        <f>IFERROR(HLOOKUP(L$2,[28]table_male_hkom3_inj.V3!$A$1:$K$36,4,FALSE),0)</f>
        <v>0</v>
      </c>
      <c r="M855">
        <f t="shared" si="278"/>
        <v>0</v>
      </c>
      <c r="S855" t="s">
        <v>72</v>
      </c>
      <c r="T855" s="5">
        <f t="shared" si="279"/>
        <v>0</v>
      </c>
      <c r="U855" s="5">
        <f t="shared" si="280"/>
        <v>0</v>
      </c>
      <c r="V855" s="5">
        <f t="shared" si="281"/>
        <v>0</v>
      </c>
      <c r="W855" s="5">
        <f t="shared" si="282"/>
        <v>0</v>
      </c>
      <c r="X855" s="5">
        <f t="shared" si="283"/>
        <v>0</v>
      </c>
      <c r="Y855" s="5">
        <f t="shared" si="284"/>
        <v>0</v>
      </c>
      <c r="Z855" s="5">
        <f t="shared" si="285"/>
        <v>0</v>
      </c>
      <c r="AA855" s="5">
        <f t="shared" si="286"/>
        <v>0</v>
      </c>
      <c r="AB855" s="5">
        <f t="shared" si="276"/>
        <v>0</v>
      </c>
    </row>
    <row r="856" spans="1:29" x14ac:dyDescent="0.25">
      <c r="D856" t="s">
        <v>73</v>
      </c>
      <c r="E856" s="64"/>
      <c r="F856" s="64"/>
      <c r="G856">
        <f>IFERROR(HLOOKUP(G$2,[28]table_male_hkom3_inj.V3!$A$1:$K$36,5,FALSE),0)</f>
        <v>0</v>
      </c>
      <c r="H856">
        <f>IFERROR(HLOOKUP(H$2,[28]table_male_hkom3_inj.V3!$A$1:$K$36,5,FALSE),0)</f>
        <v>0</v>
      </c>
      <c r="I856">
        <f>IFERROR(HLOOKUP(I$2,[28]table_male_hkom3_inj.V3!$A$1:$K$36,5,FALSE),0)</f>
        <v>0</v>
      </c>
      <c r="J856">
        <f>IFERROR(HLOOKUP(J$2,[28]table_male_hkom3_inj.V3!$A$1:$K$36,5,FALSE),0)</f>
        <v>0</v>
      </c>
      <c r="K856">
        <f>IFERROR(HLOOKUP(K$2,[28]table_male_hkom3_inj.V3!$A$1:$K$36,5,FALSE),0)</f>
        <v>0</v>
      </c>
      <c r="L856">
        <f>IFERROR(HLOOKUP(L$2,[28]table_male_hkom3_inj.V3!$A$1:$K$36,5,FALSE),0)</f>
        <v>0</v>
      </c>
      <c r="M856">
        <f t="shared" si="278"/>
        <v>0</v>
      </c>
      <c r="S856" t="s">
        <v>73</v>
      </c>
      <c r="T856" s="5">
        <f t="shared" si="279"/>
        <v>0</v>
      </c>
      <c r="U856" s="5">
        <f t="shared" si="280"/>
        <v>0</v>
      </c>
      <c r="V856" s="5">
        <f t="shared" si="281"/>
        <v>0</v>
      </c>
      <c r="W856" s="5">
        <f t="shared" si="282"/>
        <v>0</v>
      </c>
      <c r="X856" s="5">
        <f t="shared" si="283"/>
        <v>0</v>
      </c>
      <c r="Y856" s="5">
        <f t="shared" si="284"/>
        <v>0</v>
      </c>
      <c r="Z856" s="5">
        <f t="shared" si="285"/>
        <v>0</v>
      </c>
      <c r="AA856" s="5">
        <f t="shared" si="286"/>
        <v>0</v>
      </c>
      <c r="AB856" s="5">
        <f t="shared" si="276"/>
        <v>0</v>
      </c>
    </row>
    <row r="857" spans="1:29" x14ac:dyDescent="0.25">
      <c r="D857" t="s">
        <v>74</v>
      </c>
      <c r="E857" s="64"/>
      <c r="F857" s="64"/>
      <c r="G857">
        <f>IFERROR(HLOOKUP(G$2,[28]table_male_hkom3_inj.V3!$A$1:$K$36,6,FALSE),0)</f>
        <v>0</v>
      </c>
      <c r="H857">
        <f>IFERROR(HLOOKUP(H$2,[28]table_male_hkom3_inj.V3!$A$1:$K$36,6,FALSE),0)</f>
        <v>0</v>
      </c>
      <c r="I857">
        <f>IFERROR(HLOOKUP(I$2,[28]table_male_hkom3_inj.V3!$A$1:$K$36,6,FALSE),0)</f>
        <v>0</v>
      </c>
      <c r="J857">
        <f>IFERROR(HLOOKUP(J$2,[28]table_male_hkom3_inj.V3!$A$1:$K$36,6,FALSE),0)</f>
        <v>0</v>
      </c>
      <c r="K857">
        <f>IFERROR(HLOOKUP(K$2,[28]table_male_hkom3_inj.V3!$A$1:$K$36,6,FALSE),0)</f>
        <v>0</v>
      </c>
      <c r="L857">
        <f>IFERROR(HLOOKUP(L$2,[28]table_male_hkom3_inj.V3!$A$1:$K$36,6,FALSE),0)</f>
        <v>0</v>
      </c>
      <c r="M857">
        <f t="shared" si="278"/>
        <v>0</v>
      </c>
      <c r="S857" t="s">
        <v>74</v>
      </c>
      <c r="T857" s="5">
        <f t="shared" si="279"/>
        <v>0</v>
      </c>
      <c r="U857" s="5">
        <f t="shared" si="280"/>
        <v>0</v>
      </c>
      <c r="V857" s="5">
        <f t="shared" si="281"/>
        <v>0</v>
      </c>
      <c r="W857" s="5">
        <f t="shared" si="282"/>
        <v>0</v>
      </c>
      <c r="X857" s="5">
        <f t="shared" si="283"/>
        <v>0</v>
      </c>
      <c r="Y857" s="5">
        <f t="shared" si="284"/>
        <v>0</v>
      </c>
      <c r="Z857" s="5">
        <f t="shared" si="285"/>
        <v>0</v>
      </c>
      <c r="AA857" s="5">
        <f t="shared" si="286"/>
        <v>0</v>
      </c>
      <c r="AB857" s="5">
        <f t="shared" si="276"/>
        <v>0</v>
      </c>
    </row>
    <row r="858" spans="1:29" x14ac:dyDescent="0.25">
      <c r="D858" t="s">
        <v>75</v>
      </c>
      <c r="E858" s="64"/>
      <c r="F858" s="64"/>
      <c r="G858">
        <f>IFERROR(HLOOKUP(G$2,[28]table_male_hkom3_inj.V3!$A$1:$K$36,7,FALSE),0)</f>
        <v>0</v>
      </c>
      <c r="H858">
        <f>IFERROR(HLOOKUP(H$2,[28]table_male_hkom3_inj.V3!$A$1:$K$36,7,FALSE),0)</f>
        <v>0</v>
      </c>
      <c r="I858">
        <f>IFERROR(HLOOKUP(I$2,[28]table_male_hkom3_inj.V3!$A$1:$K$36,7,FALSE),0)</f>
        <v>0</v>
      </c>
      <c r="J858">
        <f>IFERROR(HLOOKUP(J$2,[28]table_male_hkom3_inj.V3!$A$1:$K$36,7,FALSE),0)</f>
        <v>0</v>
      </c>
      <c r="K858">
        <f>IFERROR(HLOOKUP(K$2,[28]table_male_hkom3_inj.V3!$A$1:$K$36,7,FALSE),0)</f>
        <v>0</v>
      </c>
      <c r="L858">
        <f>IFERROR(HLOOKUP(L$2,[28]table_male_hkom3_inj.V3!$A$1:$K$36,7,FALSE),0)</f>
        <v>0</v>
      </c>
      <c r="M858">
        <f t="shared" si="278"/>
        <v>0</v>
      </c>
      <c r="S858" t="s">
        <v>75</v>
      </c>
      <c r="T858" s="5">
        <f t="shared" si="279"/>
        <v>0</v>
      </c>
      <c r="U858" s="5">
        <f t="shared" si="280"/>
        <v>0</v>
      </c>
      <c r="V858" s="5">
        <f t="shared" si="281"/>
        <v>0</v>
      </c>
      <c r="W858" s="5">
        <f t="shared" si="282"/>
        <v>0</v>
      </c>
      <c r="X858" s="5">
        <f t="shared" si="283"/>
        <v>0</v>
      </c>
      <c r="Y858" s="5">
        <f t="shared" si="284"/>
        <v>0</v>
      </c>
      <c r="Z858" s="5">
        <f t="shared" si="285"/>
        <v>0</v>
      </c>
      <c r="AA858" s="5">
        <f t="shared" si="286"/>
        <v>0</v>
      </c>
      <c r="AB858" s="5">
        <f t="shared" si="276"/>
        <v>0</v>
      </c>
    </row>
    <row r="859" spans="1:29" x14ac:dyDescent="0.25">
      <c r="D859" t="s">
        <v>76</v>
      </c>
      <c r="E859" s="64"/>
      <c r="F859" s="64"/>
      <c r="G859">
        <f>IFERROR(HLOOKUP(G$2,[28]table_male_hkom3_inj.V3!$A$1:$K$36,8,FALSE),0)</f>
        <v>0</v>
      </c>
      <c r="H859">
        <f>IFERROR(HLOOKUP(H$2,[28]table_male_hkom3_inj.V3!$A$1:$K$36,8,FALSE),0)</f>
        <v>0</v>
      </c>
      <c r="I859">
        <f>IFERROR(HLOOKUP(I$2,[28]table_male_hkom3_inj.V3!$A$1:$K$36,8,FALSE),0)</f>
        <v>0</v>
      </c>
      <c r="J859">
        <f>IFERROR(HLOOKUP(J$2,[28]table_male_hkom3_inj.V3!$A$1:$K$36,8,FALSE),0)</f>
        <v>0</v>
      </c>
      <c r="K859">
        <f>IFERROR(HLOOKUP(K$2,[28]table_male_hkom3_inj.V3!$A$1:$K$36,8,FALSE),0)</f>
        <v>0</v>
      </c>
      <c r="L859">
        <f>IFERROR(HLOOKUP(L$2,[28]table_male_hkom3_inj.V3!$A$1:$K$36,8,FALSE),0)</f>
        <v>0</v>
      </c>
      <c r="M859">
        <f t="shared" si="278"/>
        <v>0</v>
      </c>
      <c r="S859" t="s">
        <v>76</v>
      </c>
      <c r="T859" s="5">
        <f t="shared" si="279"/>
        <v>0</v>
      </c>
      <c r="U859" s="5">
        <f t="shared" si="280"/>
        <v>0</v>
      </c>
      <c r="V859" s="5">
        <f t="shared" si="281"/>
        <v>0</v>
      </c>
      <c r="W859" s="5">
        <f t="shared" si="282"/>
        <v>0</v>
      </c>
      <c r="X859" s="5">
        <f t="shared" si="283"/>
        <v>0</v>
      </c>
      <c r="Y859" s="5">
        <f t="shared" si="284"/>
        <v>0</v>
      </c>
      <c r="Z859" s="5">
        <f t="shared" si="285"/>
        <v>0</v>
      </c>
      <c r="AA859" s="5">
        <f t="shared" si="286"/>
        <v>0</v>
      </c>
      <c r="AB859" s="5">
        <f t="shared" si="276"/>
        <v>0</v>
      </c>
    </row>
    <row r="860" spans="1:29" x14ac:dyDescent="0.25">
      <c r="D860" t="s">
        <v>77</v>
      </c>
      <c r="E860" s="64"/>
      <c r="F860" s="64"/>
      <c r="G860">
        <f>IFERROR(HLOOKUP(G$2,[28]table_male_hkom3_inj.V3!$A$1:$K$36,9,FALSE),0)</f>
        <v>0</v>
      </c>
      <c r="H860">
        <f>IFERROR(HLOOKUP(H$2,[28]table_male_hkom3_inj.V3!$A$1:$K$36,9,FALSE),0)</f>
        <v>0</v>
      </c>
      <c r="I860">
        <f>IFERROR(HLOOKUP(I$2,[28]table_male_hkom3_inj.V3!$A$1:$K$36,9,FALSE),0)</f>
        <v>0</v>
      </c>
      <c r="J860">
        <f>IFERROR(HLOOKUP(J$2,[28]table_male_hkom3_inj.V3!$A$1:$K$36,9,FALSE),0)</f>
        <v>0</v>
      </c>
      <c r="K860">
        <f>IFERROR(HLOOKUP(K$2,[28]table_male_hkom3_inj.V3!$A$1:$K$36,9,FALSE),0)</f>
        <v>0</v>
      </c>
      <c r="L860">
        <f>IFERROR(HLOOKUP(L$2,[28]table_male_hkom3_inj.V3!$A$1:$K$36,9,FALSE),0)</f>
        <v>0</v>
      </c>
      <c r="M860">
        <f t="shared" si="278"/>
        <v>0</v>
      </c>
      <c r="S860" t="s">
        <v>77</v>
      </c>
      <c r="T860" s="5">
        <f t="shared" si="279"/>
        <v>0</v>
      </c>
      <c r="U860" s="5">
        <f t="shared" si="280"/>
        <v>0</v>
      </c>
      <c r="V860" s="5">
        <f t="shared" si="281"/>
        <v>0</v>
      </c>
      <c r="W860" s="5">
        <f t="shared" si="282"/>
        <v>0</v>
      </c>
      <c r="X860" s="5">
        <f t="shared" si="283"/>
        <v>0</v>
      </c>
      <c r="Y860" s="5">
        <f t="shared" si="284"/>
        <v>0</v>
      </c>
      <c r="Z860" s="5">
        <f t="shared" si="285"/>
        <v>0</v>
      </c>
      <c r="AA860" s="5">
        <f t="shared" si="286"/>
        <v>0</v>
      </c>
      <c r="AB860" s="5">
        <f t="shared" si="276"/>
        <v>0</v>
      </c>
    </row>
    <row r="861" spans="1:29" x14ac:dyDescent="0.25">
      <c r="D861" t="s">
        <v>78</v>
      </c>
      <c r="E861" s="64"/>
      <c r="F861" s="64"/>
      <c r="G861">
        <f>IFERROR(HLOOKUP(G$2,[28]table_male_hkom3_inj.V3!$A$1:$K$36,10,FALSE),0)</f>
        <v>0</v>
      </c>
      <c r="H861">
        <f>IFERROR(HLOOKUP(H$2,[28]table_male_hkom3_inj.V3!$A$1:$K$36,10,FALSE),0)</f>
        <v>0</v>
      </c>
      <c r="I861">
        <f>IFERROR(HLOOKUP(I$2,[28]table_male_hkom3_inj.V3!$A$1:$K$36,10,FALSE),0)</f>
        <v>0</v>
      </c>
      <c r="J861">
        <f>IFERROR(HLOOKUP(J$2,[28]table_male_hkom3_inj.V3!$A$1:$K$36,10,FALSE),0)</f>
        <v>0</v>
      </c>
      <c r="K861">
        <f>IFERROR(HLOOKUP(K$2,[28]table_male_hkom3_inj.V3!$A$1:$K$36,10,FALSE),0)</f>
        <v>0</v>
      </c>
      <c r="L861">
        <f>IFERROR(HLOOKUP(L$2,[28]table_male_hkom3_inj.V3!$A$1:$K$36,10,FALSE),0)</f>
        <v>0</v>
      </c>
      <c r="M861">
        <f t="shared" si="278"/>
        <v>0</v>
      </c>
      <c r="S861" t="s">
        <v>78</v>
      </c>
      <c r="T861" s="5">
        <f t="shared" si="279"/>
        <v>0</v>
      </c>
      <c r="U861" s="5">
        <f t="shared" si="280"/>
        <v>0</v>
      </c>
      <c r="V861" s="5">
        <f t="shared" si="281"/>
        <v>0</v>
      </c>
      <c r="W861" s="5">
        <f t="shared" si="282"/>
        <v>0</v>
      </c>
      <c r="X861" s="5">
        <f t="shared" si="283"/>
        <v>0</v>
      </c>
      <c r="Y861" s="5">
        <f t="shared" si="284"/>
        <v>0</v>
      </c>
      <c r="Z861" s="5">
        <f t="shared" si="285"/>
        <v>0</v>
      </c>
      <c r="AA861" s="5">
        <f t="shared" si="286"/>
        <v>0</v>
      </c>
      <c r="AB861" s="5">
        <f t="shared" si="276"/>
        <v>0</v>
      </c>
    </row>
    <row r="862" spans="1:29" x14ac:dyDescent="0.25">
      <c r="D862" t="s">
        <v>79</v>
      </c>
      <c r="E862" s="64"/>
      <c r="F862" s="64"/>
      <c r="G862">
        <f>IFERROR(HLOOKUP(G$2,[28]table_male_hkom3_inj.V3!$A$1:$K$36,11,FALSE),0)</f>
        <v>0</v>
      </c>
      <c r="H862">
        <f>IFERROR(HLOOKUP(H$2,[28]table_male_hkom3_inj.V3!$A$1:$K$36,11,FALSE),0)</f>
        <v>0</v>
      </c>
      <c r="I862">
        <f>IFERROR(HLOOKUP(I$2,[28]table_male_hkom3_inj.V3!$A$1:$K$36,11,FALSE),0)</f>
        <v>0</v>
      </c>
      <c r="J862">
        <f>IFERROR(HLOOKUP(J$2,[28]table_male_hkom3_inj.V3!$A$1:$K$36,11,FALSE),0)</f>
        <v>0</v>
      </c>
      <c r="K862">
        <f>IFERROR(HLOOKUP(K$2,[28]table_male_hkom3_inj.V3!$A$1:$K$36,11,FALSE),0)</f>
        <v>0</v>
      </c>
      <c r="L862">
        <f>IFERROR(HLOOKUP(L$2,[28]table_male_hkom3_inj.V3!$A$1:$K$36,11,FALSE),0)</f>
        <v>0</v>
      </c>
      <c r="M862">
        <f t="shared" si="278"/>
        <v>0</v>
      </c>
      <c r="S862" t="s">
        <v>79</v>
      </c>
      <c r="T862" s="5">
        <f t="shared" si="279"/>
        <v>0</v>
      </c>
      <c r="U862" s="5">
        <f t="shared" si="280"/>
        <v>0</v>
      </c>
      <c r="V862" s="5">
        <f t="shared" si="281"/>
        <v>0</v>
      </c>
      <c r="W862" s="5">
        <f t="shared" si="282"/>
        <v>0</v>
      </c>
      <c r="X862" s="5">
        <f t="shared" si="283"/>
        <v>0</v>
      </c>
      <c r="Y862" s="5">
        <f t="shared" si="284"/>
        <v>0</v>
      </c>
      <c r="Z862" s="5">
        <f t="shared" si="285"/>
        <v>0</v>
      </c>
      <c r="AA862" s="5">
        <f t="shared" si="286"/>
        <v>0</v>
      </c>
      <c r="AB862" s="5">
        <f t="shared" si="276"/>
        <v>0</v>
      </c>
    </row>
    <row r="863" spans="1:29" x14ac:dyDescent="0.25">
      <c r="D863" t="s">
        <v>80</v>
      </c>
      <c r="E863" s="64"/>
      <c r="F863" s="64"/>
      <c r="G863">
        <f>IFERROR(HLOOKUP(G$2,[28]table_male_hkom3_inj.V3!$A$1:$K$36,12,FALSE),0)</f>
        <v>0</v>
      </c>
      <c r="H863">
        <f>IFERROR(HLOOKUP(H$2,[28]table_male_hkom3_inj.V3!$A$1:$K$36,12,FALSE),0)</f>
        <v>0</v>
      </c>
      <c r="I863">
        <f>IFERROR(HLOOKUP(I$2,[28]table_male_hkom3_inj.V3!$A$1:$K$36,12,FALSE),0)</f>
        <v>0</v>
      </c>
      <c r="J863">
        <f>IFERROR(HLOOKUP(J$2,[28]table_male_hkom3_inj.V3!$A$1:$K$36,12,FALSE),0)</f>
        <v>0</v>
      </c>
      <c r="K863">
        <f>IFERROR(HLOOKUP(K$2,[28]table_male_hkom3_inj.V3!$A$1:$K$36,12,FALSE),0)</f>
        <v>0</v>
      </c>
      <c r="L863">
        <f>IFERROR(HLOOKUP(L$2,[28]table_male_hkom3_inj.V3!$A$1:$K$36,12,FALSE),0)</f>
        <v>0</v>
      </c>
      <c r="M863">
        <f t="shared" si="278"/>
        <v>0</v>
      </c>
      <c r="S863" t="s">
        <v>80</v>
      </c>
      <c r="T863" s="5">
        <f t="shared" si="279"/>
        <v>0</v>
      </c>
      <c r="U863" s="5">
        <f t="shared" si="280"/>
        <v>0</v>
      </c>
      <c r="V863" s="5">
        <f t="shared" si="281"/>
        <v>0</v>
      </c>
      <c r="W863" s="5">
        <f t="shared" si="282"/>
        <v>0</v>
      </c>
      <c r="X863" s="5">
        <f t="shared" si="283"/>
        <v>0</v>
      </c>
      <c r="Y863" s="5">
        <f t="shared" si="284"/>
        <v>0</v>
      </c>
      <c r="Z863" s="5">
        <f t="shared" si="285"/>
        <v>0</v>
      </c>
      <c r="AA863" s="5">
        <f t="shared" si="286"/>
        <v>0</v>
      </c>
      <c r="AB863" s="5">
        <f t="shared" si="276"/>
        <v>0</v>
      </c>
    </row>
    <row r="864" spans="1:29" x14ac:dyDescent="0.25">
      <c r="D864" t="s">
        <v>81</v>
      </c>
      <c r="E864" s="64"/>
      <c r="F864" s="64"/>
      <c r="G864">
        <f>IFERROR(HLOOKUP(G$2,[28]table_male_hkom3_inj.V3!$A$1:$K$36,13,FALSE),0)</f>
        <v>0</v>
      </c>
      <c r="H864">
        <f>IFERROR(HLOOKUP(H$2,[28]table_male_hkom3_inj.V3!$A$1:$K$36,13,FALSE),0)</f>
        <v>0</v>
      </c>
      <c r="I864">
        <f>IFERROR(HLOOKUP(I$2,[28]table_male_hkom3_inj.V3!$A$1:$K$36,13,FALSE),0)</f>
        <v>0</v>
      </c>
      <c r="J864">
        <f>IFERROR(HLOOKUP(J$2,[28]table_male_hkom3_inj.V3!$A$1:$K$36,13,FALSE),0)</f>
        <v>0</v>
      </c>
      <c r="K864">
        <f>IFERROR(HLOOKUP(K$2,[28]table_male_hkom3_inj.V3!$A$1:$K$36,13,FALSE),0)</f>
        <v>0</v>
      </c>
      <c r="L864">
        <f>IFERROR(HLOOKUP(L$2,[28]table_male_hkom3_inj.V3!$A$1:$K$36,13,FALSE),0)</f>
        <v>0</v>
      </c>
      <c r="M864">
        <f t="shared" si="278"/>
        <v>0</v>
      </c>
      <c r="S864" t="s">
        <v>81</v>
      </c>
      <c r="T864" s="5">
        <f t="shared" si="279"/>
        <v>0</v>
      </c>
      <c r="U864" s="5">
        <f t="shared" si="280"/>
        <v>0</v>
      </c>
      <c r="V864" s="5">
        <f t="shared" si="281"/>
        <v>0</v>
      </c>
      <c r="W864" s="5">
        <f t="shared" si="282"/>
        <v>0</v>
      </c>
      <c r="X864" s="5">
        <f t="shared" si="283"/>
        <v>0</v>
      </c>
      <c r="Y864" s="5">
        <f t="shared" si="284"/>
        <v>0</v>
      </c>
      <c r="Z864" s="5">
        <f t="shared" si="285"/>
        <v>0</v>
      </c>
      <c r="AA864" s="5">
        <f t="shared" si="286"/>
        <v>0</v>
      </c>
      <c r="AB864" s="5">
        <f t="shared" si="276"/>
        <v>0</v>
      </c>
    </row>
    <row r="865" spans="4:28" x14ac:dyDescent="0.25">
      <c r="D865" t="s">
        <v>82</v>
      </c>
      <c r="E865" s="64"/>
      <c r="F865" s="64"/>
      <c r="G865">
        <f>IFERROR(HLOOKUP(G$2,[28]table_male_hkom3_inj.V3!$A$1:$K$36,14,FALSE),0)</f>
        <v>0</v>
      </c>
      <c r="H865">
        <f>IFERROR(HLOOKUP(H$2,[28]table_male_hkom3_inj.V3!$A$1:$K$36,14,FALSE),0)</f>
        <v>0</v>
      </c>
      <c r="I865">
        <f>IFERROR(HLOOKUP(I$2,[28]table_male_hkom3_inj.V3!$A$1:$K$36,14,FALSE),0)</f>
        <v>0</v>
      </c>
      <c r="J865">
        <f>IFERROR(HLOOKUP(J$2,[28]table_male_hkom3_inj.V3!$A$1:$K$36,14,FALSE),0)</f>
        <v>0</v>
      </c>
      <c r="K865">
        <f>IFERROR(HLOOKUP(K$2,[28]table_male_hkom3_inj.V3!$A$1:$K$36,14,FALSE),0)</f>
        <v>0</v>
      </c>
      <c r="L865">
        <f>IFERROR(HLOOKUP(L$2,[28]table_male_hkom3_inj.V3!$A$1:$K$36,14,FALSE),0)</f>
        <v>0</v>
      </c>
      <c r="M865">
        <f t="shared" si="278"/>
        <v>0</v>
      </c>
      <c r="S865" t="s">
        <v>82</v>
      </c>
      <c r="T865" s="5">
        <f t="shared" si="279"/>
        <v>0</v>
      </c>
      <c r="U865" s="5">
        <f t="shared" si="280"/>
        <v>0</v>
      </c>
      <c r="V865" s="5">
        <f t="shared" si="281"/>
        <v>0</v>
      </c>
      <c r="W865" s="5">
        <f t="shared" si="282"/>
        <v>0</v>
      </c>
      <c r="X865" s="5">
        <f t="shared" si="283"/>
        <v>0</v>
      </c>
      <c r="Y865" s="5">
        <f t="shared" si="284"/>
        <v>0</v>
      </c>
      <c r="Z865" s="5">
        <f t="shared" si="285"/>
        <v>0</v>
      </c>
      <c r="AA865" s="5">
        <f t="shared" si="286"/>
        <v>0</v>
      </c>
      <c r="AB865" s="5">
        <f t="shared" si="276"/>
        <v>0</v>
      </c>
    </row>
    <row r="866" spans="4:28" x14ac:dyDescent="0.25">
      <c r="D866" t="s">
        <v>83</v>
      </c>
      <c r="E866" s="64"/>
      <c r="F866" s="64"/>
      <c r="G866">
        <f>IFERROR(HLOOKUP(G$2,[28]table_male_hkom3_inj.V3!$A$1:$K$36,15,FALSE),0)</f>
        <v>0</v>
      </c>
      <c r="H866">
        <f>IFERROR(HLOOKUP(H$2,[28]table_male_hkom3_inj.V3!$A$1:$K$36,15,FALSE),0)</f>
        <v>0</v>
      </c>
      <c r="I866">
        <f>IFERROR(HLOOKUP(I$2,[28]table_male_hkom3_inj.V3!$A$1:$K$36,15,FALSE),0)</f>
        <v>0</v>
      </c>
      <c r="J866">
        <f>IFERROR(HLOOKUP(J$2,[28]table_male_hkom3_inj.V3!$A$1:$K$36,15,FALSE),0)</f>
        <v>0</v>
      </c>
      <c r="K866">
        <f>IFERROR(HLOOKUP(K$2,[28]table_male_hkom3_inj.V3!$A$1:$K$36,15,FALSE),0)</f>
        <v>0</v>
      </c>
      <c r="L866">
        <f>IFERROR(HLOOKUP(L$2,[28]table_male_hkom3_inj.V3!$A$1:$K$36,15,FALSE),0)</f>
        <v>0</v>
      </c>
      <c r="M866">
        <f t="shared" si="278"/>
        <v>0</v>
      </c>
      <c r="S866" t="s">
        <v>83</v>
      </c>
      <c r="T866" s="5">
        <f t="shared" si="279"/>
        <v>0</v>
      </c>
      <c r="U866" s="5">
        <f t="shared" si="280"/>
        <v>0</v>
      </c>
      <c r="V866" s="5">
        <f t="shared" si="281"/>
        <v>0</v>
      </c>
      <c r="W866" s="5">
        <f t="shared" si="282"/>
        <v>0</v>
      </c>
      <c r="X866" s="5">
        <f t="shared" si="283"/>
        <v>0</v>
      </c>
      <c r="Y866" s="5">
        <f t="shared" si="284"/>
        <v>0</v>
      </c>
      <c r="Z866" s="5">
        <f t="shared" si="285"/>
        <v>0</v>
      </c>
      <c r="AA866" s="5">
        <f t="shared" si="286"/>
        <v>0</v>
      </c>
      <c r="AB866" s="5">
        <f t="shared" si="276"/>
        <v>0</v>
      </c>
    </row>
    <row r="867" spans="4:28" x14ac:dyDescent="0.25">
      <c r="D867" t="s">
        <v>84</v>
      </c>
      <c r="E867" s="64"/>
      <c r="F867" s="64"/>
      <c r="G867">
        <f>IFERROR(HLOOKUP(G$2,[28]table_male_hkom3_inj.V3!$A$1:$K$36,16,FALSE),0)</f>
        <v>0</v>
      </c>
      <c r="H867">
        <f>IFERROR(HLOOKUP(H$2,[28]table_male_hkom3_inj.V3!$A$1:$K$36,16,FALSE),0)</f>
        <v>0</v>
      </c>
      <c r="I867">
        <f>IFERROR(HLOOKUP(I$2,[28]table_male_hkom3_inj.V3!$A$1:$K$36,16,FALSE),0)</f>
        <v>0</v>
      </c>
      <c r="J867">
        <f>IFERROR(HLOOKUP(J$2,[28]table_male_hkom3_inj.V3!$A$1:$K$36,16,FALSE),0)</f>
        <v>0</v>
      </c>
      <c r="K867">
        <f>IFERROR(HLOOKUP(K$2,[28]table_male_hkom3_inj.V3!$A$1:$K$36,16,FALSE),0)</f>
        <v>0</v>
      </c>
      <c r="L867">
        <f>IFERROR(HLOOKUP(L$2,[28]table_male_hkom3_inj.V3!$A$1:$K$36,16,FALSE),0)</f>
        <v>0</v>
      </c>
      <c r="M867">
        <f t="shared" si="278"/>
        <v>0</v>
      </c>
      <c r="S867" t="s">
        <v>84</v>
      </c>
      <c r="T867" s="5">
        <f t="shared" si="279"/>
        <v>0</v>
      </c>
      <c r="U867" s="5">
        <f t="shared" si="280"/>
        <v>0</v>
      </c>
      <c r="V867" s="5">
        <f t="shared" si="281"/>
        <v>0</v>
      </c>
      <c r="W867" s="5">
        <f t="shared" si="282"/>
        <v>0</v>
      </c>
      <c r="X867" s="5">
        <f t="shared" si="283"/>
        <v>0</v>
      </c>
      <c r="Y867" s="5">
        <f t="shared" si="284"/>
        <v>0</v>
      </c>
      <c r="Z867" s="5">
        <f t="shared" si="285"/>
        <v>0</v>
      </c>
      <c r="AA867" s="5">
        <f t="shared" si="286"/>
        <v>0</v>
      </c>
      <c r="AB867" s="5">
        <f t="shared" si="276"/>
        <v>0</v>
      </c>
    </row>
    <row r="868" spans="4:28" x14ac:dyDescent="0.25">
      <c r="D868" t="s">
        <v>85</v>
      </c>
      <c r="E868" s="64"/>
      <c r="F868" s="64"/>
      <c r="G868">
        <f>IFERROR(HLOOKUP(G$2,[28]table_male_hkom3_inj.V3!$A$1:$K$36,17,FALSE),0)</f>
        <v>0</v>
      </c>
      <c r="H868">
        <f>IFERROR(HLOOKUP(H$2,[28]table_male_hkom3_inj.V3!$A$1:$K$36,17,FALSE),0)</f>
        <v>0</v>
      </c>
      <c r="I868">
        <f>IFERROR(HLOOKUP(I$2,[28]table_male_hkom3_inj.V3!$A$1:$K$36,17,FALSE),0)</f>
        <v>0</v>
      </c>
      <c r="J868">
        <f>IFERROR(HLOOKUP(J$2,[28]table_male_hkom3_inj.V3!$A$1:$K$36,17,FALSE),0)</f>
        <v>0</v>
      </c>
      <c r="K868">
        <f>IFERROR(HLOOKUP(K$2,[28]table_male_hkom3_inj.V3!$A$1:$K$36,17,FALSE),0)</f>
        <v>0</v>
      </c>
      <c r="L868">
        <f>IFERROR(HLOOKUP(L$2,[28]table_male_hkom3_inj.V3!$A$1:$K$36,17,FALSE),0)</f>
        <v>0</v>
      </c>
      <c r="M868">
        <f t="shared" si="278"/>
        <v>0</v>
      </c>
      <c r="S868" t="s">
        <v>85</v>
      </c>
      <c r="T868" s="5">
        <f t="shared" si="279"/>
        <v>0</v>
      </c>
      <c r="U868" s="5">
        <f t="shared" si="280"/>
        <v>0</v>
      </c>
      <c r="V868" s="5">
        <f t="shared" si="281"/>
        <v>0</v>
      </c>
      <c r="W868" s="5">
        <f t="shared" si="282"/>
        <v>0</v>
      </c>
      <c r="X868" s="5">
        <f t="shared" si="283"/>
        <v>0</v>
      </c>
      <c r="Y868" s="5">
        <f t="shared" si="284"/>
        <v>0</v>
      </c>
      <c r="Z868" s="5">
        <f t="shared" si="285"/>
        <v>0</v>
      </c>
      <c r="AA868" s="5">
        <f t="shared" si="286"/>
        <v>0</v>
      </c>
      <c r="AB868" s="5">
        <f t="shared" si="276"/>
        <v>0</v>
      </c>
    </row>
    <row r="869" spans="4:28" x14ac:dyDescent="0.25">
      <c r="D869" t="s">
        <v>86</v>
      </c>
      <c r="E869" s="64"/>
      <c r="F869" s="64"/>
      <c r="G869">
        <f>IFERROR(HLOOKUP(G$2,[28]table_male_hkom3_inj.V3!$A$1:$K$36,18,FALSE),0)</f>
        <v>0</v>
      </c>
      <c r="H869">
        <f>IFERROR(HLOOKUP(H$2,[28]table_male_hkom3_inj.V3!$A$1:$K$36,18,FALSE),0)</f>
        <v>0</v>
      </c>
      <c r="I869">
        <f>IFERROR(HLOOKUP(I$2,[28]table_male_hkom3_inj.V3!$A$1:$K$36,18,FALSE),0)</f>
        <v>0</v>
      </c>
      <c r="J869">
        <f>IFERROR(HLOOKUP(J$2,[28]table_male_hkom3_inj.V3!$A$1:$K$36,18,FALSE),0)</f>
        <v>0</v>
      </c>
      <c r="K869">
        <f>IFERROR(HLOOKUP(K$2,[28]table_male_hkom3_inj.V3!$A$1:$K$36,18,FALSE),0)</f>
        <v>0</v>
      </c>
      <c r="L869">
        <f>IFERROR(HLOOKUP(L$2,[28]table_male_hkom3_inj.V3!$A$1:$K$36,18,FALSE),0)</f>
        <v>0</v>
      </c>
      <c r="M869">
        <f t="shared" si="278"/>
        <v>0</v>
      </c>
      <c r="S869" t="s">
        <v>86</v>
      </c>
      <c r="T869" s="5">
        <f t="shared" si="279"/>
        <v>0</v>
      </c>
      <c r="U869" s="5">
        <f t="shared" si="280"/>
        <v>0</v>
      </c>
      <c r="V869" s="5">
        <f t="shared" si="281"/>
        <v>0</v>
      </c>
      <c r="W869" s="5">
        <f t="shared" si="282"/>
        <v>0</v>
      </c>
      <c r="X869" s="5">
        <f t="shared" si="283"/>
        <v>0</v>
      </c>
      <c r="Y869" s="5">
        <f t="shared" si="284"/>
        <v>0</v>
      </c>
      <c r="Z869" s="5">
        <f t="shared" si="285"/>
        <v>0</v>
      </c>
      <c r="AA869" s="5">
        <f t="shared" si="286"/>
        <v>0</v>
      </c>
      <c r="AB869" s="5">
        <f t="shared" si="276"/>
        <v>0</v>
      </c>
    </row>
    <row r="870" spans="4:28" x14ac:dyDescent="0.25">
      <c r="D870" t="s">
        <v>87</v>
      </c>
      <c r="E870" s="64"/>
      <c r="F870" s="64"/>
      <c r="G870">
        <f>IFERROR(HLOOKUP(G$2,[28]table_male_hkom3_inj.V3!$A$1:$K$36,19,FALSE),0)</f>
        <v>0</v>
      </c>
      <c r="H870">
        <f>IFERROR(HLOOKUP(H$2,[28]table_male_hkom3_inj.V3!$A$1:$K$36,19,FALSE),0)</f>
        <v>0</v>
      </c>
      <c r="I870">
        <f>IFERROR(HLOOKUP(I$2,[28]table_male_hkom3_inj.V3!$A$1:$K$36,19,FALSE),0)</f>
        <v>0</v>
      </c>
      <c r="J870">
        <f>IFERROR(HLOOKUP(J$2,[28]table_male_hkom3_inj.V3!$A$1:$K$36,19,FALSE),0)</f>
        <v>0</v>
      </c>
      <c r="K870">
        <f>IFERROR(HLOOKUP(K$2,[28]table_male_hkom3_inj.V3!$A$1:$K$36,19,FALSE),0)</f>
        <v>0</v>
      </c>
      <c r="L870">
        <f>IFERROR(HLOOKUP(L$2,[28]table_male_hkom3_inj.V3!$A$1:$K$36,19,FALSE),0)</f>
        <v>0</v>
      </c>
      <c r="M870">
        <f t="shared" si="278"/>
        <v>0</v>
      </c>
      <c r="S870" t="s">
        <v>87</v>
      </c>
      <c r="T870" s="5">
        <f t="shared" si="279"/>
        <v>0</v>
      </c>
      <c r="U870" s="5">
        <f t="shared" si="280"/>
        <v>0</v>
      </c>
      <c r="V870" s="5">
        <f t="shared" si="281"/>
        <v>0</v>
      </c>
      <c r="W870" s="5">
        <f t="shared" si="282"/>
        <v>0</v>
      </c>
      <c r="X870" s="5">
        <f t="shared" si="283"/>
        <v>0</v>
      </c>
      <c r="Y870" s="5">
        <f t="shared" si="284"/>
        <v>0</v>
      </c>
      <c r="Z870" s="5">
        <f t="shared" si="285"/>
        <v>0</v>
      </c>
      <c r="AA870" s="5">
        <f t="shared" si="286"/>
        <v>0</v>
      </c>
      <c r="AB870" s="5">
        <f t="shared" si="276"/>
        <v>0</v>
      </c>
    </row>
    <row r="871" spans="4:28" x14ac:dyDescent="0.25">
      <c r="D871" t="s">
        <v>88</v>
      </c>
      <c r="E871" s="64"/>
      <c r="F871" s="64"/>
      <c r="G871">
        <f>IFERROR(HLOOKUP(G$2,[28]table_male_hkom3_inj.V3!$A$1:$K$36,20,FALSE),0)</f>
        <v>0</v>
      </c>
      <c r="H871">
        <f>IFERROR(HLOOKUP(H$2,[28]table_male_hkom3_inj.V3!$A$1:$K$36,20,FALSE),0)</f>
        <v>0</v>
      </c>
      <c r="I871">
        <f>IFERROR(HLOOKUP(I$2,[28]table_male_hkom3_inj.V3!$A$1:$K$36,20,FALSE),0)</f>
        <v>0</v>
      </c>
      <c r="J871">
        <f>IFERROR(HLOOKUP(J$2,[28]table_male_hkom3_inj.V3!$A$1:$K$36,20,FALSE),0)</f>
        <v>0</v>
      </c>
      <c r="K871">
        <f>IFERROR(HLOOKUP(K$2,[28]table_male_hkom3_inj.V3!$A$1:$K$36,20,FALSE),0)</f>
        <v>0</v>
      </c>
      <c r="L871">
        <f>IFERROR(HLOOKUP(L$2,[28]table_male_hkom3_inj.V3!$A$1:$K$36,20,FALSE),0)</f>
        <v>0</v>
      </c>
      <c r="M871">
        <f t="shared" si="278"/>
        <v>0</v>
      </c>
      <c r="S871" t="s">
        <v>88</v>
      </c>
      <c r="T871" s="5">
        <f t="shared" si="279"/>
        <v>0</v>
      </c>
      <c r="U871" s="5">
        <f t="shared" si="280"/>
        <v>0</v>
      </c>
      <c r="V871" s="5">
        <f t="shared" si="281"/>
        <v>0</v>
      </c>
      <c r="W871" s="5">
        <f t="shared" si="282"/>
        <v>0</v>
      </c>
      <c r="X871" s="5">
        <f t="shared" si="283"/>
        <v>0</v>
      </c>
      <c r="Y871" s="5">
        <f t="shared" si="284"/>
        <v>0</v>
      </c>
      <c r="Z871" s="5">
        <f t="shared" si="285"/>
        <v>0</v>
      </c>
      <c r="AA871" s="5">
        <f t="shared" si="286"/>
        <v>0</v>
      </c>
      <c r="AB871" s="5">
        <f t="shared" si="276"/>
        <v>0</v>
      </c>
    </row>
    <row r="872" spans="4:28" x14ac:dyDescent="0.25">
      <c r="D872" t="s">
        <v>89</v>
      </c>
      <c r="E872" s="64"/>
      <c r="F872" s="64"/>
      <c r="G872">
        <f>IFERROR(HLOOKUP(G$2,[28]table_male_hkom3_inj.V3!$A$1:$K$36,21,FALSE),0)</f>
        <v>0</v>
      </c>
      <c r="H872">
        <f>IFERROR(HLOOKUP(H$2,[28]table_male_hkom3_inj.V3!$A$1:$K$36,21,FALSE),0)</f>
        <v>0</v>
      </c>
      <c r="I872">
        <f>IFERROR(HLOOKUP(I$2,[28]table_male_hkom3_inj.V3!$A$1:$K$36,21,FALSE),0)</f>
        <v>0</v>
      </c>
      <c r="J872">
        <f>IFERROR(HLOOKUP(J$2,[28]table_male_hkom3_inj.V3!$A$1:$K$36,21,FALSE),0)</f>
        <v>0</v>
      </c>
      <c r="K872">
        <f>IFERROR(HLOOKUP(K$2,[28]table_male_hkom3_inj.V3!$A$1:$K$36,21,FALSE),0)</f>
        <v>0</v>
      </c>
      <c r="L872">
        <f>IFERROR(HLOOKUP(L$2,[28]table_male_hkom3_inj.V3!$A$1:$K$36,21,FALSE),0)</f>
        <v>0</v>
      </c>
      <c r="M872">
        <f t="shared" si="278"/>
        <v>0</v>
      </c>
      <c r="S872" t="s">
        <v>89</v>
      </c>
      <c r="T872" s="5">
        <f t="shared" si="279"/>
        <v>0</v>
      </c>
      <c r="U872" s="5">
        <f t="shared" si="280"/>
        <v>0</v>
      </c>
      <c r="V872" s="5">
        <f t="shared" si="281"/>
        <v>0</v>
      </c>
      <c r="W872" s="5">
        <f t="shared" si="282"/>
        <v>0</v>
      </c>
      <c r="X872" s="5">
        <f t="shared" si="283"/>
        <v>0</v>
      </c>
      <c r="Y872" s="5">
        <f t="shared" si="284"/>
        <v>0</v>
      </c>
      <c r="Z872" s="5">
        <f t="shared" si="285"/>
        <v>0</v>
      </c>
      <c r="AA872" s="5">
        <f t="shared" si="286"/>
        <v>0</v>
      </c>
      <c r="AB872" s="5">
        <f t="shared" si="276"/>
        <v>0</v>
      </c>
    </row>
    <row r="873" spans="4:28" x14ac:dyDescent="0.25">
      <c r="D873" t="s">
        <v>90</v>
      </c>
      <c r="E873" s="64"/>
      <c r="F873" s="64"/>
      <c r="G873">
        <f>IFERROR(HLOOKUP(G$2,[28]table_male_hkom3_inj.V3!$A$1:$K$36,22,FALSE),0)</f>
        <v>0</v>
      </c>
      <c r="H873">
        <f>IFERROR(HLOOKUP(H$2,[28]table_male_hkom3_inj.V3!$A$1:$K$36,22,FALSE),0)</f>
        <v>0</v>
      </c>
      <c r="I873">
        <f>IFERROR(HLOOKUP(I$2,[28]table_male_hkom3_inj.V3!$A$1:$K$36,22,FALSE),0)</f>
        <v>0</v>
      </c>
      <c r="J873">
        <f>IFERROR(HLOOKUP(J$2,[28]table_male_hkom3_inj.V3!$A$1:$K$36,22,FALSE),0)</f>
        <v>0</v>
      </c>
      <c r="K873">
        <f>IFERROR(HLOOKUP(K$2,[28]table_male_hkom3_inj.V3!$A$1:$K$36,22,FALSE),0)</f>
        <v>0</v>
      </c>
      <c r="L873">
        <f>IFERROR(HLOOKUP(L$2,[28]table_male_hkom3_inj.V3!$A$1:$K$36,22,FALSE),0)</f>
        <v>0</v>
      </c>
      <c r="M873">
        <f t="shared" si="278"/>
        <v>0</v>
      </c>
      <c r="S873" t="s">
        <v>90</v>
      </c>
      <c r="T873" s="5">
        <f t="shared" si="279"/>
        <v>0</v>
      </c>
      <c r="U873" s="5">
        <f t="shared" si="280"/>
        <v>0</v>
      </c>
      <c r="V873" s="5">
        <f t="shared" si="281"/>
        <v>0</v>
      </c>
      <c r="W873" s="5">
        <f t="shared" si="282"/>
        <v>0</v>
      </c>
      <c r="X873" s="5">
        <f t="shared" si="283"/>
        <v>0</v>
      </c>
      <c r="Y873" s="5">
        <f t="shared" si="284"/>
        <v>0</v>
      </c>
      <c r="Z873" s="5">
        <f t="shared" si="285"/>
        <v>0</v>
      </c>
      <c r="AA873" s="5">
        <f t="shared" si="286"/>
        <v>0</v>
      </c>
      <c r="AB873" s="5">
        <f t="shared" si="276"/>
        <v>0</v>
      </c>
    </row>
    <row r="874" spans="4:28" x14ac:dyDescent="0.25">
      <c r="D874" t="s">
        <v>91</v>
      </c>
      <c r="E874" s="64"/>
      <c r="F874" s="64"/>
      <c r="G874">
        <f>IFERROR(HLOOKUP(G$2,[28]table_male_hkom3_inj.V3!$A$1:$K$36,23,FALSE),0)</f>
        <v>0</v>
      </c>
      <c r="H874">
        <f>IFERROR(HLOOKUP(H$2,[28]table_male_hkom3_inj.V3!$A$1:$K$36,23,FALSE),0)</f>
        <v>0</v>
      </c>
      <c r="I874">
        <f>IFERROR(HLOOKUP(I$2,[28]table_male_hkom3_inj.V3!$A$1:$K$36,23,FALSE),0)</f>
        <v>0</v>
      </c>
      <c r="J874">
        <f>IFERROR(HLOOKUP(J$2,[28]table_male_hkom3_inj.V3!$A$1:$K$36,23,FALSE),0)</f>
        <v>0</v>
      </c>
      <c r="K874">
        <f>IFERROR(HLOOKUP(K$2,[28]table_male_hkom3_inj.V3!$A$1:$K$36,23,FALSE),0)</f>
        <v>0</v>
      </c>
      <c r="L874">
        <f>IFERROR(HLOOKUP(L$2,[28]table_male_hkom3_inj.V3!$A$1:$K$36,23,FALSE),0)</f>
        <v>0</v>
      </c>
      <c r="M874">
        <f t="shared" si="278"/>
        <v>0</v>
      </c>
      <c r="S874" t="s">
        <v>91</v>
      </c>
      <c r="T874" s="5">
        <f t="shared" si="279"/>
        <v>0</v>
      </c>
      <c r="U874" s="5">
        <f t="shared" si="280"/>
        <v>0</v>
      </c>
      <c r="V874" s="5">
        <f t="shared" si="281"/>
        <v>0</v>
      </c>
      <c r="W874" s="5">
        <f t="shared" si="282"/>
        <v>0</v>
      </c>
      <c r="X874" s="5">
        <f t="shared" si="283"/>
        <v>0</v>
      </c>
      <c r="Y874" s="5">
        <f t="shared" si="284"/>
        <v>0</v>
      </c>
      <c r="Z874" s="5">
        <f t="shared" si="285"/>
        <v>0</v>
      </c>
      <c r="AA874" s="5">
        <f t="shared" si="286"/>
        <v>0</v>
      </c>
      <c r="AB874" s="5">
        <f t="shared" si="276"/>
        <v>0</v>
      </c>
    </row>
    <row r="875" spans="4:28" x14ac:dyDescent="0.25">
      <c r="D875" t="s">
        <v>92</v>
      </c>
      <c r="E875" s="64"/>
      <c r="F875" s="64"/>
      <c r="G875">
        <f>IFERROR(HLOOKUP(G$2,[28]table_male_hkom3_inj.V3!$A$1:$K$36,24,FALSE),0)</f>
        <v>0</v>
      </c>
      <c r="H875">
        <f>IFERROR(HLOOKUP(H$2,[28]table_male_hkom3_inj.V3!$A$1:$K$36,24,FALSE),0)</f>
        <v>0</v>
      </c>
      <c r="I875">
        <f>IFERROR(HLOOKUP(I$2,[28]table_male_hkom3_inj.V3!$A$1:$K$36,24,FALSE),0)</f>
        <v>0</v>
      </c>
      <c r="J875">
        <f>IFERROR(HLOOKUP(J$2,[28]table_male_hkom3_inj.V3!$A$1:$K$36,24,FALSE),0)</f>
        <v>0</v>
      </c>
      <c r="K875">
        <f>IFERROR(HLOOKUP(K$2,[28]table_male_hkom3_inj.V3!$A$1:$K$36,24,FALSE),0)</f>
        <v>0</v>
      </c>
      <c r="L875">
        <f>IFERROR(HLOOKUP(L$2,[28]table_male_hkom3_inj.V3!$A$1:$K$36,24,FALSE),0)</f>
        <v>0</v>
      </c>
      <c r="M875">
        <f t="shared" si="278"/>
        <v>0</v>
      </c>
      <c r="S875" t="s">
        <v>92</v>
      </c>
      <c r="T875" s="5">
        <f t="shared" si="279"/>
        <v>0</v>
      </c>
      <c r="U875" s="5">
        <f t="shared" si="280"/>
        <v>0</v>
      </c>
      <c r="V875" s="5">
        <f t="shared" si="281"/>
        <v>0</v>
      </c>
      <c r="W875" s="5">
        <f t="shared" si="282"/>
        <v>0</v>
      </c>
      <c r="X875" s="5">
        <f t="shared" si="283"/>
        <v>0</v>
      </c>
      <c r="Y875" s="5">
        <f t="shared" si="284"/>
        <v>0</v>
      </c>
      <c r="Z875" s="5">
        <f t="shared" si="285"/>
        <v>0</v>
      </c>
      <c r="AA875" s="5">
        <f t="shared" si="286"/>
        <v>0</v>
      </c>
      <c r="AB875" s="5">
        <f t="shared" si="276"/>
        <v>0</v>
      </c>
    </row>
    <row r="876" spans="4:28" x14ac:dyDescent="0.25">
      <c r="D876" t="s">
        <v>93</v>
      </c>
      <c r="E876" s="64"/>
      <c r="F876" s="64"/>
      <c r="G876">
        <f>IFERROR(HLOOKUP(G$2,[28]table_male_hkom3_inj.V3!$A$1:$K$36,25,FALSE),0)</f>
        <v>0</v>
      </c>
      <c r="H876">
        <f>IFERROR(HLOOKUP(H$2,[28]table_male_hkom3_inj.V3!$A$1:$K$36,25,FALSE),0)</f>
        <v>0</v>
      </c>
      <c r="I876">
        <f>IFERROR(HLOOKUP(I$2,[28]table_male_hkom3_inj.V3!$A$1:$K$36,25,FALSE),0)</f>
        <v>0</v>
      </c>
      <c r="J876">
        <f>IFERROR(HLOOKUP(J$2,[28]table_male_hkom3_inj.V3!$A$1:$K$36,25,FALSE),0)</f>
        <v>0</v>
      </c>
      <c r="K876">
        <f>IFERROR(HLOOKUP(K$2,[28]table_male_hkom3_inj.V3!$A$1:$K$36,25,FALSE),0)</f>
        <v>0</v>
      </c>
      <c r="L876">
        <f>IFERROR(HLOOKUP(L$2,[28]table_male_hkom3_inj.V3!$A$1:$K$36,25,FALSE),0)</f>
        <v>0</v>
      </c>
      <c r="M876">
        <f t="shared" si="278"/>
        <v>0</v>
      </c>
      <c r="S876" t="s">
        <v>93</v>
      </c>
      <c r="T876" s="5">
        <f t="shared" si="279"/>
        <v>0</v>
      </c>
      <c r="U876" s="5">
        <f t="shared" si="280"/>
        <v>0</v>
      </c>
      <c r="V876" s="5">
        <f t="shared" si="281"/>
        <v>0</v>
      </c>
      <c r="W876" s="5">
        <f t="shared" si="282"/>
        <v>0</v>
      </c>
      <c r="X876" s="5">
        <f t="shared" si="283"/>
        <v>0</v>
      </c>
      <c r="Y876" s="5">
        <f t="shared" si="284"/>
        <v>0</v>
      </c>
      <c r="Z876" s="5">
        <f t="shared" si="285"/>
        <v>0</v>
      </c>
      <c r="AA876" s="5">
        <f t="shared" si="286"/>
        <v>0</v>
      </c>
      <c r="AB876" s="5">
        <f t="shared" si="276"/>
        <v>0</v>
      </c>
    </row>
    <row r="877" spans="4:28" x14ac:dyDescent="0.25">
      <c r="D877" t="s">
        <v>94</v>
      </c>
      <c r="E877" s="64"/>
      <c r="F877" s="64"/>
      <c r="G877">
        <f>IFERROR(HLOOKUP(G$2,[28]table_male_hkom3_inj.V3!$A$1:$K$36,26,FALSE),0)</f>
        <v>0</v>
      </c>
      <c r="H877">
        <f>IFERROR(HLOOKUP(H$2,[28]table_male_hkom3_inj.V3!$A$1:$K$36,26,FALSE),0)</f>
        <v>0</v>
      </c>
      <c r="I877">
        <f>IFERROR(HLOOKUP(I$2,[28]table_male_hkom3_inj.V3!$A$1:$K$36,26,FALSE),0)</f>
        <v>0</v>
      </c>
      <c r="J877">
        <f>IFERROR(HLOOKUP(J$2,[28]table_male_hkom3_inj.V3!$A$1:$K$36,26,FALSE),0)</f>
        <v>0</v>
      </c>
      <c r="K877">
        <f>IFERROR(HLOOKUP(K$2,[28]table_male_hkom3_inj.V3!$A$1:$K$36,26,FALSE),0)</f>
        <v>0</v>
      </c>
      <c r="L877">
        <f>IFERROR(HLOOKUP(L$2,[28]table_male_hkom3_inj.V3!$A$1:$K$36,26,FALSE),0)</f>
        <v>0</v>
      </c>
      <c r="M877">
        <f t="shared" si="278"/>
        <v>0</v>
      </c>
      <c r="S877" t="s">
        <v>94</v>
      </c>
      <c r="T877" s="5">
        <f t="shared" si="279"/>
        <v>0</v>
      </c>
      <c r="U877" s="5">
        <f t="shared" si="280"/>
        <v>0</v>
      </c>
      <c r="V877" s="5">
        <f t="shared" si="281"/>
        <v>0</v>
      </c>
      <c r="W877" s="5">
        <f t="shared" si="282"/>
        <v>0</v>
      </c>
      <c r="X877" s="5">
        <f t="shared" si="283"/>
        <v>0</v>
      </c>
      <c r="Y877" s="5">
        <f t="shared" si="284"/>
        <v>0</v>
      </c>
      <c r="Z877" s="5">
        <f t="shared" si="285"/>
        <v>0</v>
      </c>
      <c r="AA877" s="5">
        <f t="shared" si="286"/>
        <v>0</v>
      </c>
      <c r="AB877" s="5">
        <f t="shared" si="276"/>
        <v>0</v>
      </c>
    </row>
    <row r="878" spans="4:28" x14ac:dyDescent="0.25">
      <c r="D878" t="s">
        <v>95</v>
      </c>
      <c r="E878" s="64"/>
      <c r="F878" s="64"/>
      <c r="G878">
        <f>IFERROR(HLOOKUP(G$2,[28]table_male_hkom3_inj.V3!$A$1:$K$36,27,FALSE),0)</f>
        <v>0</v>
      </c>
      <c r="H878">
        <f>IFERROR(HLOOKUP(H$2,[28]table_male_hkom3_inj.V3!$A$1:$K$36,27,FALSE),0)</f>
        <v>0</v>
      </c>
      <c r="I878">
        <f>IFERROR(HLOOKUP(I$2,[28]table_male_hkom3_inj.V3!$A$1:$K$36,27,FALSE),0)</f>
        <v>0</v>
      </c>
      <c r="J878">
        <f>IFERROR(HLOOKUP(J$2,[28]table_male_hkom3_inj.V3!$A$1:$K$36,27,FALSE),0)</f>
        <v>0</v>
      </c>
      <c r="K878">
        <f>IFERROR(HLOOKUP(K$2,[28]table_male_hkom3_inj.V3!$A$1:$K$36,27,FALSE),0)</f>
        <v>0</v>
      </c>
      <c r="L878">
        <f>IFERROR(HLOOKUP(L$2,[28]table_male_hkom3_inj.V3!$A$1:$K$36,27,FALSE),0)</f>
        <v>0</v>
      </c>
      <c r="M878">
        <f t="shared" si="278"/>
        <v>0</v>
      </c>
      <c r="S878" t="s">
        <v>95</v>
      </c>
      <c r="T878" s="5">
        <f t="shared" si="279"/>
        <v>0</v>
      </c>
      <c r="U878" s="5">
        <f t="shared" si="280"/>
        <v>0</v>
      </c>
      <c r="V878" s="5">
        <f t="shared" si="281"/>
        <v>0</v>
      </c>
      <c r="W878" s="5">
        <f t="shared" si="282"/>
        <v>0</v>
      </c>
      <c r="X878" s="5">
        <f t="shared" si="283"/>
        <v>0</v>
      </c>
      <c r="Y878" s="5">
        <f t="shared" si="284"/>
        <v>0</v>
      </c>
      <c r="Z878" s="5">
        <f t="shared" si="285"/>
        <v>0</v>
      </c>
      <c r="AA878" s="5">
        <f t="shared" si="286"/>
        <v>0</v>
      </c>
      <c r="AB878" s="5">
        <f t="shared" si="276"/>
        <v>0</v>
      </c>
    </row>
    <row r="879" spans="4:28" x14ac:dyDescent="0.25">
      <c r="D879" t="s">
        <v>96</v>
      </c>
      <c r="E879" s="64"/>
      <c r="F879" s="64"/>
      <c r="G879">
        <f>IFERROR(HLOOKUP(G$2,[28]table_male_hkom3_inj.V3!$A$1:$K$36,28,FALSE),0)</f>
        <v>0</v>
      </c>
      <c r="H879">
        <f>IFERROR(HLOOKUP(H$2,[28]table_male_hkom3_inj.V3!$A$1:$K$36,28,FALSE),0)</f>
        <v>0</v>
      </c>
      <c r="I879">
        <f>IFERROR(HLOOKUP(I$2,[28]table_male_hkom3_inj.V3!$A$1:$K$36,28,FALSE),0)</f>
        <v>0</v>
      </c>
      <c r="J879">
        <f>IFERROR(HLOOKUP(J$2,[28]table_male_hkom3_inj.V3!$A$1:$K$36,28,FALSE),0)</f>
        <v>0</v>
      </c>
      <c r="K879">
        <f>IFERROR(HLOOKUP(K$2,[28]table_male_hkom3_inj.V3!$A$1:$K$36,28,FALSE),0)</f>
        <v>0</v>
      </c>
      <c r="L879">
        <f>IFERROR(HLOOKUP(L$2,[28]table_male_hkom3_inj.V3!$A$1:$K$36,28,FALSE),0)</f>
        <v>0</v>
      </c>
      <c r="M879">
        <f t="shared" si="278"/>
        <v>0</v>
      </c>
      <c r="S879" t="s">
        <v>96</v>
      </c>
      <c r="T879" s="5">
        <f t="shared" si="279"/>
        <v>0</v>
      </c>
      <c r="U879" s="5">
        <f t="shared" si="280"/>
        <v>0</v>
      </c>
      <c r="V879" s="5">
        <f t="shared" si="281"/>
        <v>0</v>
      </c>
      <c r="W879" s="5">
        <f t="shared" si="282"/>
        <v>0</v>
      </c>
      <c r="X879" s="5">
        <f t="shared" si="283"/>
        <v>0</v>
      </c>
      <c r="Y879" s="5">
        <f t="shared" si="284"/>
        <v>0</v>
      </c>
      <c r="Z879" s="5">
        <f t="shared" si="285"/>
        <v>0</v>
      </c>
      <c r="AA879" s="5">
        <f t="shared" si="286"/>
        <v>0</v>
      </c>
      <c r="AB879" s="5">
        <f t="shared" si="276"/>
        <v>0</v>
      </c>
    </row>
    <row r="880" spans="4:28" x14ac:dyDescent="0.25">
      <c r="D880" t="s">
        <v>97</v>
      </c>
      <c r="E880" s="64"/>
      <c r="F880" s="64"/>
      <c r="G880">
        <f>IFERROR(HLOOKUP(G$2,[28]table_male_hkom3_inj.V3!$A$1:$K$36,29,FALSE),0)</f>
        <v>0</v>
      </c>
      <c r="H880">
        <f>IFERROR(HLOOKUP(H$2,[28]table_male_hkom3_inj.V3!$A$1:$K$36,29,FALSE),0)</f>
        <v>0</v>
      </c>
      <c r="I880">
        <f>IFERROR(HLOOKUP(I$2,[28]table_male_hkom3_inj.V3!$A$1:$K$36,29,FALSE),0)</f>
        <v>0</v>
      </c>
      <c r="J880">
        <f>IFERROR(HLOOKUP(J$2,[28]table_male_hkom3_inj.V3!$A$1:$K$36,29,FALSE),0)</f>
        <v>0</v>
      </c>
      <c r="K880">
        <f>IFERROR(HLOOKUP(K$2,[28]table_male_hkom3_inj.V3!$A$1:$K$36,29,FALSE),0)</f>
        <v>0</v>
      </c>
      <c r="L880">
        <f>IFERROR(HLOOKUP(L$2,[28]table_male_hkom3_inj.V3!$A$1:$K$36,29,FALSE),0)</f>
        <v>0</v>
      </c>
      <c r="M880">
        <f t="shared" si="278"/>
        <v>0</v>
      </c>
      <c r="S880" t="s">
        <v>97</v>
      </c>
      <c r="T880" s="5">
        <f t="shared" si="279"/>
        <v>0</v>
      </c>
      <c r="U880" s="5">
        <f t="shared" si="280"/>
        <v>0</v>
      </c>
      <c r="V880" s="5">
        <f t="shared" si="281"/>
        <v>0</v>
      </c>
      <c r="W880" s="5">
        <f t="shared" si="282"/>
        <v>0</v>
      </c>
      <c r="X880" s="5">
        <f t="shared" si="283"/>
        <v>0</v>
      </c>
      <c r="Y880" s="5">
        <f t="shared" si="284"/>
        <v>0</v>
      </c>
      <c r="Z880" s="5">
        <f t="shared" si="285"/>
        <v>0</v>
      </c>
      <c r="AA880" s="5">
        <f t="shared" si="286"/>
        <v>0</v>
      </c>
      <c r="AB880" s="5">
        <f t="shared" si="276"/>
        <v>0</v>
      </c>
    </row>
    <row r="881" spans="1:29" x14ac:dyDescent="0.25">
      <c r="D881" t="s">
        <v>98</v>
      </c>
      <c r="E881" s="64"/>
      <c r="F881" s="64"/>
      <c r="G881">
        <f>IFERROR(HLOOKUP(G$2,[28]table_male_hkom3_inj.V3!$A$1:$K$36,30,FALSE),0)</f>
        <v>0</v>
      </c>
      <c r="H881">
        <f>IFERROR(HLOOKUP(H$2,[28]table_male_hkom3_inj.V3!$A$1:$K$36,30,FALSE),0)</f>
        <v>0</v>
      </c>
      <c r="I881">
        <f>IFERROR(HLOOKUP(I$2,[28]table_male_hkom3_inj.V3!$A$1:$K$36,30,FALSE),0)</f>
        <v>0</v>
      </c>
      <c r="J881">
        <f>IFERROR(HLOOKUP(J$2,[28]table_male_hkom3_inj.V3!$A$1:$K$36,30,FALSE),0)</f>
        <v>0</v>
      </c>
      <c r="K881">
        <f>IFERROR(HLOOKUP(K$2,[28]table_male_hkom3_inj.V3!$A$1:$K$36,30,FALSE),0)</f>
        <v>0</v>
      </c>
      <c r="L881">
        <f>IFERROR(HLOOKUP(L$2,[28]table_male_hkom3_inj.V3!$A$1:$K$36,30,FALSE),0)</f>
        <v>0</v>
      </c>
      <c r="M881">
        <f t="shared" si="278"/>
        <v>0</v>
      </c>
      <c r="S881" t="s">
        <v>98</v>
      </c>
      <c r="T881" s="5">
        <f t="shared" si="279"/>
        <v>0</v>
      </c>
      <c r="U881" s="5">
        <f t="shared" si="280"/>
        <v>0</v>
      </c>
      <c r="V881" s="5">
        <f t="shared" si="281"/>
        <v>0</v>
      </c>
      <c r="W881" s="5">
        <f t="shared" si="282"/>
        <v>0</v>
      </c>
      <c r="X881" s="5">
        <f t="shared" si="283"/>
        <v>0</v>
      </c>
      <c r="Y881" s="5">
        <f t="shared" si="284"/>
        <v>0</v>
      </c>
      <c r="Z881" s="5">
        <f t="shared" si="285"/>
        <v>0</v>
      </c>
      <c r="AA881" s="5">
        <f t="shared" si="286"/>
        <v>0</v>
      </c>
      <c r="AB881" s="5">
        <f t="shared" si="276"/>
        <v>0</v>
      </c>
    </row>
    <row r="882" spans="1:29" x14ac:dyDescent="0.25">
      <c r="D882" t="s">
        <v>119</v>
      </c>
      <c r="E882" s="64"/>
      <c r="F882" s="64"/>
      <c r="G882">
        <f>IFERROR(HLOOKUP(G$2,[28]table_male_hkom3_inj.V3!$A$1:$K$36,31,FALSE),0)</f>
        <v>0</v>
      </c>
      <c r="H882">
        <f>IFERROR(HLOOKUP(H$2,[28]table_male_hkom3_inj.V3!$A$1:$K$36,31,FALSE),0)</f>
        <v>0</v>
      </c>
      <c r="I882">
        <f>IFERROR(HLOOKUP(I$2,[28]table_male_hkom3_inj.V3!$A$1:$K$36,31,FALSE),0)</f>
        <v>0</v>
      </c>
      <c r="J882">
        <f>IFERROR(HLOOKUP(J$2,[28]table_male_hkom3_inj.V3!$A$1:$K$36,31,FALSE),0)</f>
        <v>0</v>
      </c>
      <c r="K882">
        <f>IFERROR(HLOOKUP(K$2,[28]table_male_hkom3_inj.V3!$A$1:$K$36,31,FALSE),0)</f>
        <v>0</v>
      </c>
      <c r="L882">
        <f>IFERROR(HLOOKUP(L$2,[28]table_male_hkom3_inj.V3!$A$1:$K$36,31,FALSE),0)</f>
        <v>0</v>
      </c>
      <c r="M882">
        <f t="shared" si="278"/>
        <v>0</v>
      </c>
      <c r="S882" t="s">
        <v>119</v>
      </c>
      <c r="T882" s="5">
        <f t="shared" si="279"/>
        <v>0</v>
      </c>
      <c r="U882" s="5">
        <f t="shared" si="280"/>
        <v>0</v>
      </c>
      <c r="V882" s="5">
        <f t="shared" si="281"/>
        <v>0</v>
      </c>
      <c r="W882" s="5">
        <f t="shared" si="282"/>
        <v>0</v>
      </c>
      <c r="X882" s="5">
        <f t="shared" si="283"/>
        <v>0</v>
      </c>
      <c r="Y882" s="5">
        <f t="shared" si="284"/>
        <v>0</v>
      </c>
      <c r="Z882" s="5">
        <f t="shared" si="285"/>
        <v>0</v>
      </c>
      <c r="AA882" s="5">
        <f t="shared" si="286"/>
        <v>0</v>
      </c>
      <c r="AB882" s="5">
        <f t="shared" si="276"/>
        <v>0</v>
      </c>
    </row>
    <row r="883" spans="1:29" x14ac:dyDescent="0.25">
      <c r="D883" t="s">
        <v>99</v>
      </c>
      <c r="E883" s="64"/>
      <c r="F883" s="64"/>
      <c r="G883">
        <f>IFERROR(HLOOKUP(G$2,[28]table_male_hkom3_inj.V3!$A$1:$K$36,32,FALSE),0)</f>
        <v>0</v>
      </c>
      <c r="H883">
        <f>IFERROR(HLOOKUP(H$2,[28]table_male_hkom3_inj.V3!$A$1:$K$36,32,FALSE),0)</f>
        <v>0</v>
      </c>
      <c r="I883">
        <f>IFERROR(HLOOKUP(I$2,[28]table_male_hkom3_inj.V3!$A$1:$K$36,32,FALSE),0)</f>
        <v>0</v>
      </c>
      <c r="J883">
        <f>IFERROR(HLOOKUP(J$2,[28]table_male_hkom3_inj.V3!$A$1:$K$36,32,FALSE),0)</f>
        <v>0</v>
      </c>
      <c r="K883">
        <f>IFERROR(HLOOKUP(K$2,[28]table_male_hkom3_inj.V3!$A$1:$K$36,32,FALSE),0)</f>
        <v>0</v>
      </c>
      <c r="L883">
        <f>IFERROR(HLOOKUP(L$2,[28]table_male_hkom3_inj.V3!$A$1:$K$36,32,FALSE),0)</f>
        <v>0</v>
      </c>
      <c r="M883">
        <f t="shared" si="278"/>
        <v>0</v>
      </c>
      <c r="S883" t="s">
        <v>99</v>
      </c>
      <c r="T883" s="5">
        <f t="shared" si="279"/>
        <v>0</v>
      </c>
      <c r="U883" s="5">
        <f t="shared" si="280"/>
        <v>0</v>
      </c>
      <c r="V883" s="5">
        <f t="shared" si="281"/>
        <v>0</v>
      </c>
      <c r="W883" s="5">
        <f t="shared" si="282"/>
        <v>0</v>
      </c>
      <c r="X883" s="5">
        <f t="shared" si="283"/>
        <v>0</v>
      </c>
      <c r="Y883" s="5">
        <f t="shared" si="284"/>
        <v>0</v>
      </c>
      <c r="Z883" s="5">
        <f t="shared" si="285"/>
        <v>0</v>
      </c>
      <c r="AA883" s="5">
        <f t="shared" si="286"/>
        <v>0</v>
      </c>
      <c r="AB883" s="5">
        <f t="shared" si="276"/>
        <v>0</v>
      </c>
    </row>
    <row r="884" spans="1:29" x14ac:dyDescent="0.25">
      <c r="D884" t="s">
        <v>100</v>
      </c>
      <c r="E884" s="64"/>
      <c r="F884" s="64"/>
      <c r="G884">
        <f>IFERROR(HLOOKUP(G$2,[28]table_male_hkom3_inj.V3!$A$1:$K$36,33,FALSE),0)</f>
        <v>0</v>
      </c>
      <c r="H884">
        <f>IFERROR(HLOOKUP(H$2,[28]table_male_hkom3_inj.V3!$A$1:$K$36,33,FALSE),0)</f>
        <v>0</v>
      </c>
      <c r="I884">
        <f>IFERROR(HLOOKUP(I$2,[28]table_male_hkom3_inj.V3!$A$1:$K$36,33,FALSE),0)</f>
        <v>0</v>
      </c>
      <c r="J884">
        <f>IFERROR(HLOOKUP(J$2,[28]table_male_hkom3_inj.V3!$A$1:$K$36,33,FALSE),0)</f>
        <v>0</v>
      </c>
      <c r="K884">
        <f>IFERROR(HLOOKUP(K$2,[28]table_male_hkom3_inj.V3!$A$1:$K$36,33,FALSE),0)</f>
        <v>0</v>
      </c>
      <c r="L884">
        <f>IFERROR(HLOOKUP(L$2,[28]table_male_hkom3_inj.V3!$A$1:$K$36,33,FALSE),0)</f>
        <v>0</v>
      </c>
      <c r="M884">
        <f t="shared" si="278"/>
        <v>0</v>
      </c>
      <c r="S884" t="s">
        <v>100</v>
      </c>
      <c r="T884" s="5">
        <f t="shared" si="279"/>
        <v>0</v>
      </c>
      <c r="U884" s="5">
        <f t="shared" si="280"/>
        <v>0</v>
      </c>
      <c r="V884" s="5">
        <f t="shared" si="281"/>
        <v>0</v>
      </c>
      <c r="W884" s="5">
        <f t="shared" si="282"/>
        <v>0</v>
      </c>
      <c r="X884" s="5">
        <f t="shared" si="283"/>
        <v>0</v>
      </c>
      <c r="Y884" s="5">
        <f t="shared" si="284"/>
        <v>0</v>
      </c>
      <c r="Z884" s="5">
        <f t="shared" si="285"/>
        <v>0</v>
      </c>
      <c r="AA884" s="5">
        <f t="shared" si="286"/>
        <v>0</v>
      </c>
      <c r="AB884" s="5">
        <f t="shared" si="276"/>
        <v>0</v>
      </c>
    </row>
    <row r="885" spans="1:29" x14ac:dyDescent="0.25">
      <c r="D885" t="s">
        <v>101</v>
      </c>
      <c r="E885" s="64"/>
      <c r="F885" s="64"/>
      <c r="G885">
        <f>IFERROR(HLOOKUP(G$2,[28]table_male_hkom3_inj.V3!$A$1:$K$36,34,FALSE),0)</f>
        <v>0</v>
      </c>
      <c r="H885">
        <f>IFERROR(HLOOKUP(H$2,[28]table_male_hkom3_inj.V3!$A$1:$K$36,34,FALSE),0)</f>
        <v>0</v>
      </c>
      <c r="I885">
        <f>IFERROR(HLOOKUP(I$2,[28]table_male_hkom3_inj.V3!$A$1:$K$36,34,FALSE),0)</f>
        <v>0</v>
      </c>
      <c r="J885">
        <f>IFERROR(HLOOKUP(J$2,[28]table_male_hkom3_inj.V3!$A$1:$K$36,34,FALSE),0)</f>
        <v>0</v>
      </c>
      <c r="K885">
        <f>IFERROR(HLOOKUP(K$2,[28]table_male_hkom3_inj.V3!$A$1:$K$36,34,FALSE),0)</f>
        <v>0</v>
      </c>
      <c r="L885">
        <f>IFERROR(HLOOKUP(L$2,[28]table_male_hkom3_inj.V3!$A$1:$K$36,34,FALSE),0)</f>
        <v>0</v>
      </c>
      <c r="M885">
        <f t="shared" si="278"/>
        <v>0</v>
      </c>
      <c r="S885" t="s">
        <v>101</v>
      </c>
      <c r="T885" s="5">
        <f t="shared" si="279"/>
        <v>0</v>
      </c>
      <c r="U885" s="5">
        <f t="shared" si="280"/>
        <v>0</v>
      </c>
      <c r="V885" s="5">
        <f t="shared" si="281"/>
        <v>0</v>
      </c>
      <c r="W885" s="5">
        <f t="shared" si="282"/>
        <v>0</v>
      </c>
      <c r="X885" s="5">
        <f t="shared" si="283"/>
        <v>0</v>
      </c>
      <c r="Y885" s="5">
        <f t="shared" si="284"/>
        <v>0</v>
      </c>
      <c r="Z885" s="5">
        <f t="shared" si="285"/>
        <v>0</v>
      </c>
      <c r="AA885" s="5">
        <f t="shared" si="286"/>
        <v>0</v>
      </c>
      <c r="AB885" s="5">
        <f t="shared" si="276"/>
        <v>0</v>
      </c>
    </row>
    <row r="886" spans="1:29" x14ac:dyDescent="0.25">
      <c r="D886" t="s">
        <v>102</v>
      </c>
      <c r="E886" s="64"/>
      <c r="F886" s="64"/>
      <c r="G886">
        <f>IFERROR(HLOOKUP(G$2,[28]table_male_hkom3_inj.V3!$A$1:$K$36,35,FALSE),0)</f>
        <v>0</v>
      </c>
      <c r="H886">
        <f>IFERROR(HLOOKUP(H$2,[28]table_male_hkom3_inj.V3!$A$1:$K$36,35,FALSE),0)</f>
        <v>0</v>
      </c>
      <c r="I886">
        <f>IFERROR(HLOOKUP(I$2,[28]table_male_hkom3_inj.V3!$A$1:$K$36,35,FALSE),0)</f>
        <v>0</v>
      </c>
      <c r="J886">
        <f>IFERROR(HLOOKUP(J$2,[28]table_male_hkom3_inj.V3!$A$1:$K$36,35,FALSE),0)</f>
        <v>0</v>
      </c>
      <c r="K886">
        <f>IFERROR(HLOOKUP(K$2,[28]table_male_hkom3_inj.V3!$A$1:$K$36,35,FALSE),0)</f>
        <v>0</v>
      </c>
      <c r="L886">
        <f>IFERROR(HLOOKUP(L$2,[28]table_male_hkom3_inj.V3!$A$1:$K$36,35,FALSE),0)</f>
        <v>0</v>
      </c>
      <c r="M886">
        <f t="shared" si="278"/>
        <v>0</v>
      </c>
      <c r="N886">
        <f>SUM(M853:M886)</f>
        <v>0</v>
      </c>
      <c r="O886" s="8">
        <f>SUM([28]table_male_hkom3_inj.V3!$B$2:$L$36)</f>
        <v>0</v>
      </c>
      <c r="S886" t="s">
        <v>102</v>
      </c>
      <c r="T886" s="7"/>
      <c r="U886" s="7"/>
      <c r="V886" s="7"/>
      <c r="W886" s="7"/>
      <c r="X886" s="7"/>
      <c r="Y886" s="7"/>
      <c r="Z886" s="7"/>
      <c r="AA886" s="7"/>
      <c r="AB886" s="5">
        <f t="shared" si="276"/>
        <v>0</v>
      </c>
      <c r="AC886" s="5">
        <f>SUM(AB853:AB885)</f>
        <v>0</v>
      </c>
    </row>
    <row r="887" spans="1:29" x14ac:dyDescent="0.25">
      <c r="A887" t="s">
        <v>104</v>
      </c>
      <c r="B887" t="s">
        <v>117</v>
      </c>
      <c r="C887" t="s">
        <v>108</v>
      </c>
      <c r="D887" t="s">
        <v>70</v>
      </c>
      <c r="E887" s="64"/>
      <c r="F887" s="64"/>
      <c r="G887">
        <f>IFERROR(HLOOKUP(G$2,[29]table_male_hkom3_inj.V4!$A$1:$K$36,2,FALSE),0)</f>
        <v>0</v>
      </c>
      <c r="H887">
        <f>IFERROR(HLOOKUP(H$2,[29]table_male_hkom3_inj.V4!$A$1:$K$36,2,FALSE),0)</f>
        <v>0</v>
      </c>
      <c r="I887">
        <f>IFERROR(HLOOKUP(I$2,[29]table_male_hkom3_inj.V4!$A$1:$K$36,2,FALSE),0)</f>
        <v>0</v>
      </c>
      <c r="J887">
        <f>IFERROR(HLOOKUP(J$2,[29]table_male_hkom3_inj.V4!$A$1:$K$36,2,FALSE),0)</f>
        <v>0</v>
      </c>
      <c r="K887">
        <f>IFERROR(HLOOKUP(K$2,[29]table_male_hkom3_inj.V4!$A$1:$K$36,2,FALSE),0)</f>
        <v>0</v>
      </c>
      <c r="L887">
        <f>IFERROR(HLOOKUP(L$2,[29]table_male_hkom3_inj.V4!$A$1:$K$36,2,FALSE),0)</f>
        <v>0</v>
      </c>
      <c r="M887">
        <f>SUM(E887:L887)</f>
        <v>0</v>
      </c>
      <c r="P887" t="s">
        <v>104</v>
      </c>
      <c r="Q887" t="s">
        <v>117</v>
      </c>
      <c r="R887" t="s">
        <v>108</v>
      </c>
      <c r="S887" t="s">
        <v>70</v>
      </c>
      <c r="T887" s="5">
        <f>IF(SUM(E$887:E$919)=0,E$920/33,E887+IFERROR(E887/SUM(E$887:E$919)*E$920,0))</f>
        <v>0</v>
      </c>
      <c r="U887" s="5">
        <f t="shared" ref="U887:AA887" si="287">IF(SUM(F$887:F$919)=0,F$920/33,F887+IFERROR(F887/SUM(F$887:F$919)*F$920,0))</f>
        <v>0</v>
      </c>
      <c r="V887" s="5">
        <f t="shared" si="287"/>
        <v>0</v>
      </c>
      <c r="W887" s="5">
        <f t="shared" si="287"/>
        <v>0</v>
      </c>
      <c r="X887" s="5">
        <f t="shared" si="287"/>
        <v>0</v>
      </c>
      <c r="Y887" s="5">
        <f t="shared" si="287"/>
        <v>0</v>
      </c>
      <c r="Z887" s="5">
        <f t="shared" si="287"/>
        <v>0</v>
      </c>
      <c r="AA887" s="5">
        <f t="shared" si="287"/>
        <v>0</v>
      </c>
      <c r="AB887" s="5">
        <f t="shared" si="276"/>
        <v>0</v>
      </c>
    </row>
    <row r="888" spans="1:29" x14ac:dyDescent="0.25">
      <c r="D888" t="s">
        <v>71</v>
      </c>
      <c r="E888" s="64"/>
      <c r="F888" s="64"/>
      <c r="G888">
        <f>IFERROR(HLOOKUP(G$2,[29]table_male_hkom3_inj.V4!$A$1:$K$36,3,FALSE),0)</f>
        <v>0</v>
      </c>
      <c r="H888">
        <f>IFERROR(HLOOKUP(H$2,[29]table_male_hkom3_inj.V4!$A$1:$K$36,3,FALSE),0)</f>
        <v>0</v>
      </c>
      <c r="I888">
        <f>IFERROR(HLOOKUP(I$2,[29]table_male_hkom3_inj.V4!$A$1:$K$36,3,FALSE),0)</f>
        <v>0</v>
      </c>
      <c r="J888">
        <f>IFERROR(HLOOKUP(J$2,[29]table_male_hkom3_inj.V4!$A$1:$K$36,3,FALSE),0)</f>
        <v>0</v>
      </c>
      <c r="K888">
        <f>IFERROR(HLOOKUP(K$2,[29]table_male_hkom3_inj.V4!$A$1:$K$36,3,FALSE),0)</f>
        <v>0</v>
      </c>
      <c r="L888">
        <f>IFERROR(HLOOKUP(L$2,[29]table_male_hkom3_inj.V4!$A$1:$K$36,3,FALSE),0)</f>
        <v>0</v>
      </c>
      <c r="M888">
        <f t="shared" ref="M888:M920" si="288">SUM(E888:L888)</f>
        <v>0</v>
      </c>
      <c r="S888" t="s">
        <v>71</v>
      </c>
      <c r="T888" s="5">
        <f t="shared" ref="T888:T919" si="289">IF(SUM(E$887:E$919)=0,E$920/33,E888+IFERROR(E888/SUM(E$887:E$919)*E$920,0))</f>
        <v>0</v>
      </c>
      <c r="U888" s="5">
        <f t="shared" ref="U888:U919" si="290">IF(SUM(F$887:F$919)=0,F$920/33,F888+IFERROR(F888/SUM(F$887:F$919)*F$920,0))</f>
        <v>0</v>
      </c>
      <c r="V888" s="5">
        <f t="shared" ref="V888:V919" si="291">IF(SUM(G$887:G$919)=0,G$920/33,G888+IFERROR(G888/SUM(G$887:G$919)*G$920,0))</f>
        <v>0</v>
      </c>
      <c r="W888" s="5">
        <f t="shared" ref="W888:W919" si="292">IF(SUM(H$887:H$919)=0,H$920/33,H888+IFERROR(H888/SUM(H$887:H$919)*H$920,0))</f>
        <v>0</v>
      </c>
      <c r="X888" s="5">
        <f t="shared" ref="X888:X919" si="293">IF(SUM(I$887:I$919)=0,I$920/33,I888+IFERROR(I888/SUM(I$887:I$919)*I$920,0))</f>
        <v>0</v>
      </c>
      <c r="Y888" s="5">
        <f t="shared" ref="Y888:Y919" si="294">IF(SUM(J$887:J$919)=0,J$920/33,J888+IFERROR(J888/SUM(J$887:J$919)*J$920,0))</f>
        <v>0</v>
      </c>
      <c r="Z888" s="5">
        <f t="shared" ref="Z888:Z919" si="295">IF(SUM(K$887:K$919)=0,K$920/33,K888+IFERROR(K888/SUM(K$887:K$919)*K$920,0))</f>
        <v>0</v>
      </c>
      <c r="AA888" s="5">
        <f t="shared" ref="AA888:AA919" si="296">IF(SUM(L$887:L$919)=0,L$920/33,L888+IFERROR(L888/SUM(L$887:L$919)*L$920,0))</f>
        <v>0</v>
      </c>
      <c r="AB888" s="5">
        <f t="shared" si="276"/>
        <v>0</v>
      </c>
    </row>
    <row r="889" spans="1:29" x14ac:dyDescent="0.25">
      <c r="D889" t="s">
        <v>72</v>
      </c>
      <c r="E889" s="64"/>
      <c r="F889" s="64"/>
      <c r="G889">
        <f>IFERROR(HLOOKUP(G$2,[29]table_male_hkom3_inj.V4!$A$1:$K$36,4,FALSE),0)</f>
        <v>0</v>
      </c>
      <c r="H889">
        <f>IFERROR(HLOOKUP(H$2,[29]table_male_hkom3_inj.V4!$A$1:$K$36,4,FALSE),0)</f>
        <v>0</v>
      </c>
      <c r="I889">
        <f>IFERROR(HLOOKUP(I$2,[29]table_male_hkom3_inj.V4!$A$1:$K$36,4,FALSE),0)</f>
        <v>0</v>
      </c>
      <c r="J889">
        <f>IFERROR(HLOOKUP(J$2,[29]table_male_hkom3_inj.V4!$A$1:$K$36,4,FALSE),0)</f>
        <v>0</v>
      </c>
      <c r="K889">
        <f>IFERROR(HLOOKUP(K$2,[29]table_male_hkom3_inj.V4!$A$1:$K$36,4,FALSE),0)</f>
        <v>0</v>
      </c>
      <c r="L889">
        <f>IFERROR(HLOOKUP(L$2,[29]table_male_hkom3_inj.V4!$A$1:$K$36,4,FALSE),0)</f>
        <v>0</v>
      </c>
      <c r="M889">
        <f t="shared" si="288"/>
        <v>0</v>
      </c>
      <c r="S889" t="s">
        <v>72</v>
      </c>
      <c r="T889" s="5">
        <f t="shared" si="289"/>
        <v>0</v>
      </c>
      <c r="U889" s="5">
        <f t="shared" si="290"/>
        <v>0</v>
      </c>
      <c r="V889" s="5">
        <f t="shared" si="291"/>
        <v>0</v>
      </c>
      <c r="W889" s="5">
        <f t="shared" si="292"/>
        <v>0</v>
      </c>
      <c r="X889" s="5">
        <f t="shared" si="293"/>
        <v>0</v>
      </c>
      <c r="Y889" s="5">
        <f t="shared" si="294"/>
        <v>0</v>
      </c>
      <c r="Z889" s="5">
        <f t="shared" si="295"/>
        <v>0</v>
      </c>
      <c r="AA889" s="5">
        <f t="shared" si="296"/>
        <v>0</v>
      </c>
      <c r="AB889" s="5">
        <f t="shared" si="276"/>
        <v>0</v>
      </c>
    </row>
    <row r="890" spans="1:29" x14ac:dyDescent="0.25">
      <c r="D890" t="s">
        <v>73</v>
      </c>
      <c r="E890" s="64"/>
      <c r="F890" s="64"/>
      <c r="G890">
        <f>IFERROR(HLOOKUP(G$2,[29]table_male_hkom3_inj.V4!$A$1:$K$36,5,FALSE),0)</f>
        <v>0</v>
      </c>
      <c r="H890">
        <f>IFERROR(HLOOKUP(H$2,[29]table_male_hkom3_inj.V4!$A$1:$K$36,5,FALSE),0)</f>
        <v>0</v>
      </c>
      <c r="I890">
        <f>IFERROR(HLOOKUP(I$2,[29]table_male_hkom3_inj.V4!$A$1:$K$36,5,FALSE),0)</f>
        <v>0</v>
      </c>
      <c r="J890">
        <f>IFERROR(HLOOKUP(J$2,[29]table_male_hkom3_inj.V4!$A$1:$K$36,5,FALSE),0)</f>
        <v>0</v>
      </c>
      <c r="K890">
        <f>IFERROR(HLOOKUP(K$2,[29]table_male_hkom3_inj.V4!$A$1:$K$36,5,FALSE),0)</f>
        <v>0</v>
      </c>
      <c r="L890">
        <f>IFERROR(HLOOKUP(L$2,[29]table_male_hkom3_inj.V4!$A$1:$K$36,5,FALSE),0)</f>
        <v>0</v>
      </c>
      <c r="M890">
        <f t="shared" si="288"/>
        <v>0</v>
      </c>
      <c r="S890" t="s">
        <v>73</v>
      </c>
      <c r="T890" s="5">
        <f t="shared" si="289"/>
        <v>0</v>
      </c>
      <c r="U890" s="5">
        <f t="shared" si="290"/>
        <v>0</v>
      </c>
      <c r="V890" s="5">
        <f t="shared" si="291"/>
        <v>0</v>
      </c>
      <c r="W890" s="5">
        <f t="shared" si="292"/>
        <v>0</v>
      </c>
      <c r="X890" s="5">
        <f t="shared" si="293"/>
        <v>0</v>
      </c>
      <c r="Y890" s="5">
        <f t="shared" si="294"/>
        <v>0</v>
      </c>
      <c r="Z890" s="5">
        <f t="shared" si="295"/>
        <v>0</v>
      </c>
      <c r="AA890" s="5">
        <f t="shared" si="296"/>
        <v>0</v>
      </c>
      <c r="AB890" s="5">
        <f t="shared" si="276"/>
        <v>0</v>
      </c>
    </row>
    <row r="891" spans="1:29" x14ac:dyDescent="0.25">
      <c r="D891" t="s">
        <v>74</v>
      </c>
      <c r="E891" s="64"/>
      <c r="F891" s="64"/>
      <c r="G891">
        <f>IFERROR(HLOOKUP(G$2,[29]table_male_hkom3_inj.V4!$A$1:$K$36,6,FALSE),0)</f>
        <v>0</v>
      </c>
      <c r="H891">
        <f>IFERROR(HLOOKUP(H$2,[29]table_male_hkom3_inj.V4!$A$1:$K$36,6,FALSE),0)</f>
        <v>0</v>
      </c>
      <c r="I891">
        <f>IFERROR(HLOOKUP(I$2,[29]table_male_hkom3_inj.V4!$A$1:$K$36,6,FALSE),0)</f>
        <v>0</v>
      </c>
      <c r="J891">
        <f>IFERROR(HLOOKUP(J$2,[29]table_male_hkom3_inj.V4!$A$1:$K$36,6,FALSE),0)</f>
        <v>0</v>
      </c>
      <c r="K891">
        <f>IFERROR(HLOOKUP(K$2,[29]table_male_hkom3_inj.V4!$A$1:$K$36,6,FALSE),0)</f>
        <v>0</v>
      </c>
      <c r="L891">
        <f>IFERROR(HLOOKUP(L$2,[29]table_male_hkom3_inj.V4!$A$1:$K$36,6,FALSE),0)</f>
        <v>0</v>
      </c>
      <c r="M891">
        <f t="shared" si="288"/>
        <v>0</v>
      </c>
      <c r="S891" t="s">
        <v>74</v>
      </c>
      <c r="T891" s="5">
        <f t="shared" si="289"/>
        <v>0</v>
      </c>
      <c r="U891" s="5">
        <f t="shared" si="290"/>
        <v>0</v>
      </c>
      <c r="V891" s="5">
        <f t="shared" si="291"/>
        <v>0</v>
      </c>
      <c r="W891" s="5">
        <f t="shared" si="292"/>
        <v>0</v>
      </c>
      <c r="X891" s="5">
        <f t="shared" si="293"/>
        <v>0</v>
      </c>
      <c r="Y891" s="5">
        <f t="shared" si="294"/>
        <v>0</v>
      </c>
      <c r="Z891" s="5">
        <f t="shared" si="295"/>
        <v>0</v>
      </c>
      <c r="AA891" s="5">
        <f t="shared" si="296"/>
        <v>0</v>
      </c>
      <c r="AB891" s="5">
        <f t="shared" si="276"/>
        <v>0</v>
      </c>
    </row>
    <row r="892" spans="1:29" x14ac:dyDescent="0.25">
      <c r="D892" t="s">
        <v>75</v>
      </c>
      <c r="E892" s="64"/>
      <c r="F892" s="64"/>
      <c r="G892">
        <f>IFERROR(HLOOKUP(G$2,[29]table_male_hkom3_inj.V4!$A$1:$K$36,7,FALSE),0)</f>
        <v>0</v>
      </c>
      <c r="H892">
        <f>IFERROR(HLOOKUP(H$2,[29]table_male_hkom3_inj.V4!$A$1:$K$36,7,FALSE),0)</f>
        <v>0</v>
      </c>
      <c r="I892">
        <f>IFERROR(HLOOKUP(I$2,[29]table_male_hkom3_inj.V4!$A$1:$K$36,7,FALSE),0)</f>
        <v>0</v>
      </c>
      <c r="J892">
        <f>IFERROR(HLOOKUP(J$2,[29]table_male_hkom3_inj.V4!$A$1:$K$36,7,FALSE),0)</f>
        <v>0</v>
      </c>
      <c r="K892">
        <f>IFERROR(HLOOKUP(K$2,[29]table_male_hkom3_inj.V4!$A$1:$K$36,7,FALSE),0)</f>
        <v>0</v>
      </c>
      <c r="L892">
        <f>IFERROR(HLOOKUP(L$2,[29]table_male_hkom3_inj.V4!$A$1:$K$36,7,FALSE),0)</f>
        <v>0</v>
      </c>
      <c r="M892">
        <f t="shared" si="288"/>
        <v>0</v>
      </c>
      <c r="S892" t="s">
        <v>75</v>
      </c>
      <c r="T892" s="5">
        <f t="shared" si="289"/>
        <v>0</v>
      </c>
      <c r="U892" s="5">
        <f t="shared" si="290"/>
        <v>0</v>
      </c>
      <c r="V892" s="5">
        <f t="shared" si="291"/>
        <v>0</v>
      </c>
      <c r="W892" s="5">
        <f t="shared" si="292"/>
        <v>0</v>
      </c>
      <c r="X892" s="5">
        <f t="shared" si="293"/>
        <v>0</v>
      </c>
      <c r="Y892" s="5">
        <f t="shared" si="294"/>
        <v>0</v>
      </c>
      <c r="Z892" s="5">
        <f t="shared" si="295"/>
        <v>0</v>
      </c>
      <c r="AA892" s="5">
        <f t="shared" si="296"/>
        <v>0</v>
      </c>
      <c r="AB892" s="5">
        <f t="shared" si="276"/>
        <v>0</v>
      </c>
    </row>
    <row r="893" spans="1:29" x14ac:dyDescent="0.25">
      <c r="D893" t="s">
        <v>76</v>
      </c>
      <c r="E893" s="64"/>
      <c r="F893" s="64"/>
      <c r="G893">
        <f>IFERROR(HLOOKUP(G$2,[29]table_male_hkom3_inj.V4!$A$1:$K$36,8,FALSE),0)</f>
        <v>0</v>
      </c>
      <c r="H893">
        <f>IFERROR(HLOOKUP(H$2,[29]table_male_hkom3_inj.V4!$A$1:$K$36,8,FALSE),0)</f>
        <v>0</v>
      </c>
      <c r="I893">
        <f>IFERROR(HLOOKUP(I$2,[29]table_male_hkom3_inj.V4!$A$1:$K$36,8,FALSE),0)</f>
        <v>0</v>
      </c>
      <c r="J893">
        <f>IFERROR(HLOOKUP(J$2,[29]table_male_hkom3_inj.V4!$A$1:$K$36,8,FALSE),0)</f>
        <v>0</v>
      </c>
      <c r="K893">
        <f>IFERROR(HLOOKUP(K$2,[29]table_male_hkom3_inj.V4!$A$1:$K$36,8,FALSE),0)</f>
        <v>0</v>
      </c>
      <c r="L893">
        <f>IFERROR(HLOOKUP(L$2,[29]table_male_hkom3_inj.V4!$A$1:$K$36,8,FALSE),0)</f>
        <v>0</v>
      </c>
      <c r="M893">
        <f t="shared" si="288"/>
        <v>0</v>
      </c>
      <c r="S893" t="s">
        <v>76</v>
      </c>
      <c r="T893" s="5">
        <f t="shared" si="289"/>
        <v>0</v>
      </c>
      <c r="U893" s="5">
        <f t="shared" si="290"/>
        <v>0</v>
      </c>
      <c r="V893" s="5">
        <f t="shared" si="291"/>
        <v>0</v>
      </c>
      <c r="W893" s="5">
        <f t="shared" si="292"/>
        <v>0</v>
      </c>
      <c r="X893" s="5">
        <f t="shared" si="293"/>
        <v>0</v>
      </c>
      <c r="Y893" s="5">
        <f t="shared" si="294"/>
        <v>0</v>
      </c>
      <c r="Z893" s="5">
        <f t="shared" si="295"/>
        <v>0</v>
      </c>
      <c r="AA893" s="5">
        <f t="shared" si="296"/>
        <v>0</v>
      </c>
      <c r="AB893" s="5">
        <f t="shared" si="276"/>
        <v>0</v>
      </c>
    </row>
    <row r="894" spans="1:29" x14ac:dyDescent="0.25">
      <c r="D894" t="s">
        <v>77</v>
      </c>
      <c r="E894" s="64"/>
      <c r="F894" s="64"/>
      <c r="G894">
        <f>IFERROR(HLOOKUP(G$2,[29]table_male_hkom3_inj.V4!$A$1:$K$36,9,FALSE),0)</f>
        <v>0</v>
      </c>
      <c r="H894">
        <f>IFERROR(HLOOKUP(H$2,[29]table_male_hkom3_inj.V4!$A$1:$K$36,9,FALSE),0)</f>
        <v>0</v>
      </c>
      <c r="I894">
        <f>IFERROR(HLOOKUP(I$2,[29]table_male_hkom3_inj.V4!$A$1:$K$36,9,FALSE),0)</f>
        <v>0</v>
      </c>
      <c r="J894">
        <f>IFERROR(HLOOKUP(J$2,[29]table_male_hkom3_inj.V4!$A$1:$K$36,9,FALSE),0)</f>
        <v>0</v>
      </c>
      <c r="K894">
        <f>IFERROR(HLOOKUP(K$2,[29]table_male_hkom3_inj.V4!$A$1:$K$36,9,FALSE),0)</f>
        <v>0</v>
      </c>
      <c r="L894">
        <f>IFERROR(HLOOKUP(L$2,[29]table_male_hkom3_inj.V4!$A$1:$K$36,9,FALSE),0)</f>
        <v>0</v>
      </c>
      <c r="M894">
        <f t="shared" si="288"/>
        <v>0</v>
      </c>
      <c r="S894" t="s">
        <v>77</v>
      </c>
      <c r="T894" s="5">
        <f t="shared" si="289"/>
        <v>0</v>
      </c>
      <c r="U894" s="5">
        <f t="shared" si="290"/>
        <v>0</v>
      </c>
      <c r="V894" s="5">
        <f t="shared" si="291"/>
        <v>0</v>
      </c>
      <c r="W894" s="5">
        <f t="shared" si="292"/>
        <v>0</v>
      </c>
      <c r="X894" s="5">
        <f t="shared" si="293"/>
        <v>0</v>
      </c>
      <c r="Y894" s="5">
        <f t="shared" si="294"/>
        <v>0</v>
      </c>
      <c r="Z894" s="5">
        <f t="shared" si="295"/>
        <v>0</v>
      </c>
      <c r="AA894" s="5">
        <f t="shared" si="296"/>
        <v>0</v>
      </c>
      <c r="AB894" s="5">
        <f t="shared" si="276"/>
        <v>0</v>
      </c>
    </row>
    <row r="895" spans="1:29" x14ac:dyDescent="0.25">
      <c r="D895" t="s">
        <v>78</v>
      </c>
      <c r="E895" s="64"/>
      <c r="F895" s="64"/>
      <c r="G895">
        <f>IFERROR(HLOOKUP(G$2,[29]table_male_hkom3_inj.V4!$A$1:$K$36,10,FALSE),0)</f>
        <v>0</v>
      </c>
      <c r="H895">
        <f>IFERROR(HLOOKUP(H$2,[29]table_male_hkom3_inj.V4!$A$1:$K$36,10,FALSE),0)</f>
        <v>0</v>
      </c>
      <c r="I895">
        <f>IFERROR(HLOOKUP(I$2,[29]table_male_hkom3_inj.V4!$A$1:$K$36,10,FALSE),0)</f>
        <v>0</v>
      </c>
      <c r="J895">
        <f>IFERROR(HLOOKUP(J$2,[29]table_male_hkom3_inj.V4!$A$1:$K$36,10,FALSE),0)</f>
        <v>0</v>
      </c>
      <c r="K895">
        <f>IFERROR(HLOOKUP(K$2,[29]table_male_hkom3_inj.V4!$A$1:$K$36,10,FALSE),0)</f>
        <v>0</v>
      </c>
      <c r="L895">
        <f>IFERROR(HLOOKUP(L$2,[29]table_male_hkom3_inj.V4!$A$1:$K$36,10,FALSE),0)</f>
        <v>0</v>
      </c>
      <c r="M895">
        <f t="shared" si="288"/>
        <v>0</v>
      </c>
      <c r="S895" t="s">
        <v>78</v>
      </c>
      <c r="T895" s="5">
        <f t="shared" si="289"/>
        <v>0</v>
      </c>
      <c r="U895" s="5">
        <f t="shared" si="290"/>
        <v>0</v>
      </c>
      <c r="V895" s="5">
        <f t="shared" si="291"/>
        <v>0</v>
      </c>
      <c r="W895" s="5">
        <f t="shared" si="292"/>
        <v>0</v>
      </c>
      <c r="X895" s="5">
        <f t="shared" si="293"/>
        <v>0</v>
      </c>
      <c r="Y895" s="5">
        <f t="shared" si="294"/>
        <v>0</v>
      </c>
      <c r="Z895" s="5">
        <f t="shared" si="295"/>
        <v>0</v>
      </c>
      <c r="AA895" s="5">
        <f t="shared" si="296"/>
        <v>0</v>
      </c>
      <c r="AB895" s="5">
        <f t="shared" si="276"/>
        <v>0</v>
      </c>
    </row>
    <row r="896" spans="1:29" x14ac:dyDescent="0.25">
      <c r="D896" t="s">
        <v>79</v>
      </c>
      <c r="E896" s="64"/>
      <c r="F896" s="64"/>
      <c r="G896">
        <f>IFERROR(HLOOKUP(G$2,[29]table_male_hkom3_inj.V4!$A$1:$K$36,11,FALSE),0)</f>
        <v>0</v>
      </c>
      <c r="H896">
        <f>IFERROR(HLOOKUP(H$2,[29]table_male_hkom3_inj.V4!$A$1:$K$36,11,FALSE),0)</f>
        <v>0</v>
      </c>
      <c r="I896">
        <f>IFERROR(HLOOKUP(I$2,[29]table_male_hkom3_inj.V4!$A$1:$K$36,11,FALSE),0)</f>
        <v>0</v>
      </c>
      <c r="J896">
        <f>IFERROR(HLOOKUP(J$2,[29]table_male_hkom3_inj.V4!$A$1:$K$36,11,FALSE),0)</f>
        <v>0</v>
      </c>
      <c r="K896">
        <f>IFERROR(HLOOKUP(K$2,[29]table_male_hkom3_inj.V4!$A$1:$K$36,11,FALSE),0)</f>
        <v>0</v>
      </c>
      <c r="L896">
        <f>IFERROR(HLOOKUP(L$2,[29]table_male_hkom3_inj.V4!$A$1:$K$36,11,FALSE),0)</f>
        <v>0</v>
      </c>
      <c r="M896">
        <f t="shared" si="288"/>
        <v>0</v>
      </c>
      <c r="S896" t="s">
        <v>79</v>
      </c>
      <c r="T896" s="5">
        <f t="shared" si="289"/>
        <v>0</v>
      </c>
      <c r="U896" s="5">
        <f t="shared" si="290"/>
        <v>0</v>
      </c>
      <c r="V896" s="5">
        <f t="shared" si="291"/>
        <v>0</v>
      </c>
      <c r="W896" s="5">
        <f t="shared" si="292"/>
        <v>0</v>
      </c>
      <c r="X896" s="5">
        <f t="shared" si="293"/>
        <v>0</v>
      </c>
      <c r="Y896" s="5">
        <f t="shared" si="294"/>
        <v>0</v>
      </c>
      <c r="Z896" s="5">
        <f t="shared" si="295"/>
        <v>0</v>
      </c>
      <c r="AA896" s="5">
        <f t="shared" si="296"/>
        <v>0</v>
      </c>
      <c r="AB896" s="5">
        <f t="shared" si="276"/>
        <v>0</v>
      </c>
    </row>
    <row r="897" spans="4:28" x14ac:dyDescent="0.25">
      <c r="D897" t="s">
        <v>80</v>
      </c>
      <c r="E897" s="64"/>
      <c r="F897" s="64"/>
      <c r="G897">
        <f>IFERROR(HLOOKUP(G$2,[29]table_male_hkom3_inj.V4!$A$1:$K$36,12,FALSE),0)</f>
        <v>0</v>
      </c>
      <c r="H897">
        <f>IFERROR(HLOOKUP(H$2,[29]table_male_hkom3_inj.V4!$A$1:$K$36,12,FALSE),0)</f>
        <v>0</v>
      </c>
      <c r="I897">
        <f>IFERROR(HLOOKUP(I$2,[29]table_male_hkom3_inj.V4!$A$1:$K$36,12,FALSE),0)</f>
        <v>0</v>
      </c>
      <c r="J897">
        <f>IFERROR(HLOOKUP(J$2,[29]table_male_hkom3_inj.V4!$A$1:$K$36,12,FALSE),0)</f>
        <v>0</v>
      </c>
      <c r="K897">
        <f>IFERROR(HLOOKUP(K$2,[29]table_male_hkom3_inj.V4!$A$1:$K$36,12,FALSE),0)</f>
        <v>0</v>
      </c>
      <c r="L897">
        <f>IFERROR(HLOOKUP(L$2,[29]table_male_hkom3_inj.V4!$A$1:$K$36,12,FALSE),0)</f>
        <v>0</v>
      </c>
      <c r="M897">
        <f t="shared" si="288"/>
        <v>0</v>
      </c>
      <c r="S897" t="s">
        <v>80</v>
      </c>
      <c r="T897" s="5">
        <f t="shared" si="289"/>
        <v>0</v>
      </c>
      <c r="U897" s="5">
        <f t="shared" si="290"/>
        <v>0</v>
      </c>
      <c r="V897" s="5">
        <f t="shared" si="291"/>
        <v>0</v>
      </c>
      <c r="W897" s="5">
        <f t="shared" si="292"/>
        <v>0</v>
      </c>
      <c r="X897" s="5">
        <f t="shared" si="293"/>
        <v>0</v>
      </c>
      <c r="Y897" s="5">
        <f t="shared" si="294"/>
        <v>0</v>
      </c>
      <c r="Z897" s="5">
        <f t="shared" si="295"/>
        <v>0</v>
      </c>
      <c r="AA897" s="5">
        <f t="shared" si="296"/>
        <v>0</v>
      </c>
      <c r="AB897" s="5">
        <f t="shared" si="276"/>
        <v>0</v>
      </c>
    </row>
    <row r="898" spans="4:28" x14ac:dyDescent="0.25">
      <c r="D898" t="s">
        <v>81</v>
      </c>
      <c r="E898" s="64"/>
      <c r="F898" s="64"/>
      <c r="G898">
        <f>IFERROR(HLOOKUP(G$2,[29]table_male_hkom3_inj.V4!$A$1:$K$36,13,FALSE),0)</f>
        <v>0</v>
      </c>
      <c r="H898">
        <f>IFERROR(HLOOKUP(H$2,[29]table_male_hkom3_inj.V4!$A$1:$K$36,13,FALSE),0)</f>
        <v>0</v>
      </c>
      <c r="I898">
        <f>IFERROR(HLOOKUP(I$2,[29]table_male_hkom3_inj.V4!$A$1:$K$36,13,FALSE),0)</f>
        <v>0</v>
      </c>
      <c r="J898">
        <f>IFERROR(HLOOKUP(J$2,[29]table_male_hkom3_inj.V4!$A$1:$K$36,13,FALSE),0)</f>
        <v>0</v>
      </c>
      <c r="K898">
        <f>IFERROR(HLOOKUP(K$2,[29]table_male_hkom3_inj.V4!$A$1:$K$36,13,FALSE),0)</f>
        <v>0</v>
      </c>
      <c r="L898">
        <f>IFERROR(HLOOKUP(L$2,[29]table_male_hkom3_inj.V4!$A$1:$K$36,13,FALSE),0)</f>
        <v>0</v>
      </c>
      <c r="M898">
        <f t="shared" si="288"/>
        <v>0</v>
      </c>
      <c r="S898" t="s">
        <v>81</v>
      </c>
      <c r="T898" s="5">
        <f t="shared" si="289"/>
        <v>0</v>
      </c>
      <c r="U898" s="5">
        <f t="shared" si="290"/>
        <v>0</v>
      </c>
      <c r="V898" s="5">
        <f t="shared" si="291"/>
        <v>0</v>
      </c>
      <c r="W898" s="5">
        <f t="shared" si="292"/>
        <v>0</v>
      </c>
      <c r="X898" s="5">
        <f t="shared" si="293"/>
        <v>0</v>
      </c>
      <c r="Y898" s="5">
        <f t="shared" si="294"/>
        <v>0</v>
      </c>
      <c r="Z898" s="5">
        <f t="shared" si="295"/>
        <v>0</v>
      </c>
      <c r="AA898" s="5">
        <f t="shared" si="296"/>
        <v>0</v>
      </c>
      <c r="AB898" s="5">
        <f t="shared" si="276"/>
        <v>0</v>
      </c>
    </row>
    <row r="899" spans="4:28" x14ac:dyDescent="0.25">
      <c r="D899" t="s">
        <v>82</v>
      </c>
      <c r="E899" s="64"/>
      <c r="F899" s="64"/>
      <c r="G899">
        <f>IFERROR(HLOOKUP(G$2,[29]table_male_hkom3_inj.V4!$A$1:$K$36,14,FALSE),0)</f>
        <v>0</v>
      </c>
      <c r="H899">
        <f>IFERROR(HLOOKUP(H$2,[29]table_male_hkom3_inj.V4!$A$1:$K$36,14,FALSE),0)</f>
        <v>0</v>
      </c>
      <c r="I899">
        <f>IFERROR(HLOOKUP(I$2,[29]table_male_hkom3_inj.V4!$A$1:$K$36,14,FALSE),0)</f>
        <v>0</v>
      </c>
      <c r="J899">
        <f>IFERROR(HLOOKUP(J$2,[29]table_male_hkom3_inj.V4!$A$1:$K$36,14,FALSE),0)</f>
        <v>0</v>
      </c>
      <c r="K899">
        <f>IFERROR(HLOOKUP(K$2,[29]table_male_hkom3_inj.V4!$A$1:$K$36,14,FALSE),0)</f>
        <v>0</v>
      </c>
      <c r="L899">
        <f>IFERROR(HLOOKUP(L$2,[29]table_male_hkom3_inj.V4!$A$1:$K$36,14,FALSE),0)</f>
        <v>0</v>
      </c>
      <c r="M899">
        <f t="shared" si="288"/>
        <v>0</v>
      </c>
      <c r="S899" t="s">
        <v>82</v>
      </c>
      <c r="T899" s="5">
        <f t="shared" si="289"/>
        <v>0</v>
      </c>
      <c r="U899" s="5">
        <f t="shared" si="290"/>
        <v>0</v>
      </c>
      <c r="V899" s="5">
        <f t="shared" si="291"/>
        <v>0</v>
      </c>
      <c r="W899" s="5">
        <f t="shared" si="292"/>
        <v>0</v>
      </c>
      <c r="X899" s="5">
        <f t="shared" si="293"/>
        <v>0</v>
      </c>
      <c r="Y899" s="5">
        <f t="shared" si="294"/>
        <v>0</v>
      </c>
      <c r="Z899" s="5">
        <f t="shared" si="295"/>
        <v>0</v>
      </c>
      <c r="AA899" s="5">
        <f t="shared" si="296"/>
        <v>0</v>
      </c>
      <c r="AB899" s="5">
        <f t="shared" si="276"/>
        <v>0</v>
      </c>
    </row>
    <row r="900" spans="4:28" x14ac:dyDescent="0.25">
      <c r="D900" t="s">
        <v>83</v>
      </c>
      <c r="E900" s="64"/>
      <c r="F900" s="64"/>
      <c r="G900">
        <f>IFERROR(HLOOKUP(G$2,[29]table_male_hkom3_inj.V4!$A$1:$K$36,15,FALSE),0)</f>
        <v>0</v>
      </c>
      <c r="H900">
        <f>IFERROR(HLOOKUP(H$2,[29]table_male_hkom3_inj.V4!$A$1:$K$36,15,FALSE),0)</f>
        <v>0</v>
      </c>
      <c r="I900">
        <f>IFERROR(HLOOKUP(I$2,[29]table_male_hkom3_inj.V4!$A$1:$K$36,15,FALSE),0)</f>
        <v>0</v>
      </c>
      <c r="J900">
        <f>IFERROR(HLOOKUP(J$2,[29]table_male_hkom3_inj.V4!$A$1:$K$36,15,FALSE),0)</f>
        <v>0</v>
      </c>
      <c r="K900">
        <f>IFERROR(HLOOKUP(K$2,[29]table_male_hkom3_inj.V4!$A$1:$K$36,15,FALSE),0)</f>
        <v>0</v>
      </c>
      <c r="L900">
        <f>IFERROR(HLOOKUP(L$2,[29]table_male_hkom3_inj.V4!$A$1:$K$36,15,FALSE),0)</f>
        <v>0</v>
      </c>
      <c r="M900">
        <f t="shared" si="288"/>
        <v>0</v>
      </c>
      <c r="S900" t="s">
        <v>83</v>
      </c>
      <c r="T900" s="5">
        <f t="shared" si="289"/>
        <v>0</v>
      </c>
      <c r="U900" s="5">
        <f t="shared" si="290"/>
        <v>0</v>
      </c>
      <c r="V900" s="5">
        <f t="shared" si="291"/>
        <v>0</v>
      </c>
      <c r="W900" s="5">
        <f t="shared" si="292"/>
        <v>0</v>
      </c>
      <c r="X900" s="5">
        <f t="shared" si="293"/>
        <v>0</v>
      </c>
      <c r="Y900" s="5">
        <f t="shared" si="294"/>
        <v>0</v>
      </c>
      <c r="Z900" s="5">
        <f t="shared" si="295"/>
        <v>0</v>
      </c>
      <c r="AA900" s="5">
        <f t="shared" si="296"/>
        <v>0</v>
      </c>
      <c r="AB900" s="5">
        <f t="shared" si="276"/>
        <v>0</v>
      </c>
    </row>
    <row r="901" spans="4:28" x14ac:dyDescent="0.25">
      <c r="D901" t="s">
        <v>84</v>
      </c>
      <c r="E901" s="64"/>
      <c r="F901" s="64"/>
      <c r="G901">
        <f>IFERROR(HLOOKUP(G$2,[29]table_male_hkom3_inj.V4!$A$1:$K$36,16,FALSE),0)</f>
        <v>0</v>
      </c>
      <c r="H901">
        <f>IFERROR(HLOOKUP(H$2,[29]table_male_hkom3_inj.V4!$A$1:$K$36,16,FALSE),0)</f>
        <v>0</v>
      </c>
      <c r="I901">
        <f>IFERROR(HLOOKUP(I$2,[29]table_male_hkom3_inj.V4!$A$1:$K$36,16,FALSE),0)</f>
        <v>0</v>
      </c>
      <c r="J901">
        <f>IFERROR(HLOOKUP(J$2,[29]table_male_hkom3_inj.V4!$A$1:$K$36,16,FALSE),0)</f>
        <v>0</v>
      </c>
      <c r="K901">
        <f>IFERROR(HLOOKUP(K$2,[29]table_male_hkom3_inj.V4!$A$1:$K$36,16,FALSE),0)</f>
        <v>0</v>
      </c>
      <c r="L901">
        <f>IFERROR(HLOOKUP(L$2,[29]table_male_hkom3_inj.V4!$A$1:$K$36,16,FALSE),0)</f>
        <v>0</v>
      </c>
      <c r="M901">
        <f t="shared" si="288"/>
        <v>0</v>
      </c>
      <c r="S901" t="s">
        <v>84</v>
      </c>
      <c r="T901" s="5">
        <f t="shared" si="289"/>
        <v>0</v>
      </c>
      <c r="U901" s="5">
        <f t="shared" si="290"/>
        <v>0</v>
      </c>
      <c r="V901" s="5">
        <f t="shared" si="291"/>
        <v>0</v>
      </c>
      <c r="W901" s="5">
        <f t="shared" si="292"/>
        <v>0</v>
      </c>
      <c r="X901" s="5">
        <f t="shared" si="293"/>
        <v>0</v>
      </c>
      <c r="Y901" s="5">
        <f t="shared" si="294"/>
        <v>0</v>
      </c>
      <c r="Z901" s="5">
        <f t="shared" si="295"/>
        <v>0</v>
      </c>
      <c r="AA901" s="5">
        <f t="shared" si="296"/>
        <v>0</v>
      </c>
      <c r="AB901" s="5">
        <f t="shared" si="276"/>
        <v>0</v>
      </c>
    </row>
    <row r="902" spans="4:28" x14ac:dyDescent="0.25">
      <c r="D902" t="s">
        <v>85</v>
      </c>
      <c r="E902" s="64"/>
      <c r="F902" s="64"/>
      <c r="G902">
        <f>IFERROR(HLOOKUP(G$2,[29]table_male_hkom3_inj.V4!$A$1:$K$36,17,FALSE),0)</f>
        <v>0</v>
      </c>
      <c r="H902">
        <f>IFERROR(HLOOKUP(H$2,[29]table_male_hkom3_inj.V4!$A$1:$K$36,17,FALSE),0)</f>
        <v>0</v>
      </c>
      <c r="I902">
        <f>IFERROR(HLOOKUP(I$2,[29]table_male_hkom3_inj.V4!$A$1:$K$36,17,FALSE),0)</f>
        <v>0</v>
      </c>
      <c r="J902">
        <f>IFERROR(HLOOKUP(J$2,[29]table_male_hkom3_inj.V4!$A$1:$K$36,17,FALSE),0)</f>
        <v>0</v>
      </c>
      <c r="K902">
        <f>IFERROR(HLOOKUP(K$2,[29]table_male_hkom3_inj.V4!$A$1:$K$36,17,FALSE),0)</f>
        <v>0</v>
      </c>
      <c r="L902">
        <f>IFERROR(HLOOKUP(L$2,[29]table_male_hkom3_inj.V4!$A$1:$K$36,17,FALSE),0)</f>
        <v>0</v>
      </c>
      <c r="M902">
        <f t="shared" si="288"/>
        <v>0</v>
      </c>
      <c r="S902" t="s">
        <v>85</v>
      </c>
      <c r="T902" s="5">
        <f t="shared" si="289"/>
        <v>0</v>
      </c>
      <c r="U902" s="5">
        <f t="shared" si="290"/>
        <v>0</v>
      </c>
      <c r="V902" s="5">
        <f t="shared" si="291"/>
        <v>0</v>
      </c>
      <c r="W902" s="5">
        <f t="shared" si="292"/>
        <v>0</v>
      </c>
      <c r="X902" s="5">
        <f t="shared" si="293"/>
        <v>0</v>
      </c>
      <c r="Y902" s="5">
        <f t="shared" si="294"/>
        <v>0</v>
      </c>
      <c r="Z902" s="5">
        <f t="shared" si="295"/>
        <v>0</v>
      </c>
      <c r="AA902" s="5">
        <f t="shared" si="296"/>
        <v>0</v>
      </c>
      <c r="AB902" s="5">
        <f t="shared" si="276"/>
        <v>0</v>
      </c>
    </row>
    <row r="903" spans="4:28" x14ac:dyDescent="0.25">
      <c r="D903" t="s">
        <v>86</v>
      </c>
      <c r="E903" s="64"/>
      <c r="F903" s="64"/>
      <c r="G903">
        <f>IFERROR(HLOOKUP(G$2,[29]table_male_hkom3_inj.V4!$A$1:$K$36,18,FALSE),0)</f>
        <v>0</v>
      </c>
      <c r="H903">
        <f>IFERROR(HLOOKUP(H$2,[29]table_male_hkom3_inj.V4!$A$1:$K$36,18,FALSE),0)</f>
        <v>0</v>
      </c>
      <c r="I903">
        <f>IFERROR(HLOOKUP(I$2,[29]table_male_hkom3_inj.V4!$A$1:$K$36,18,FALSE),0)</f>
        <v>0</v>
      </c>
      <c r="J903">
        <f>IFERROR(HLOOKUP(J$2,[29]table_male_hkom3_inj.V4!$A$1:$K$36,18,FALSE),0)</f>
        <v>0</v>
      </c>
      <c r="K903">
        <f>IFERROR(HLOOKUP(K$2,[29]table_male_hkom3_inj.V4!$A$1:$K$36,18,FALSE),0)</f>
        <v>0</v>
      </c>
      <c r="L903">
        <f>IFERROR(HLOOKUP(L$2,[29]table_male_hkom3_inj.V4!$A$1:$K$36,18,FALSE),0)</f>
        <v>0</v>
      </c>
      <c r="M903">
        <f t="shared" si="288"/>
        <v>0</v>
      </c>
      <c r="S903" t="s">
        <v>86</v>
      </c>
      <c r="T903" s="5">
        <f t="shared" si="289"/>
        <v>0</v>
      </c>
      <c r="U903" s="5">
        <f t="shared" si="290"/>
        <v>0</v>
      </c>
      <c r="V903" s="5">
        <f t="shared" si="291"/>
        <v>0</v>
      </c>
      <c r="W903" s="5">
        <f t="shared" si="292"/>
        <v>0</v>
      </c>
      <c r="X903" s="5">
        <f t="shared" si="293"/>
        <v>0</v>
      </c>
      <c r="Y903" s="5">
        <f t="shared" si="294"/>
        <v>0</v>
      </c>
      <c r="Z903" s="5">
        <f t="shared" si="295"/>
        <v>0</v>
      </c>
      <c r="AA903" s="5">
        <f t="shared" si="296"/>
        <v>0</v>
      </c>
      <c r="AB903" s="5">
        <f t="shared" si="276"/>
        <v>0</v>
      </c>
    </row>
    <row r="904" spans="4:28" x14ac:dyDescent="0.25">
      <c r="D904" t="s">
        <v>87</v>
      </c>
      <c r="E904" s="64"/>
      <c r="F904" s="64"/>
      <c r="G904">
        <f>IFERROR(HLOOKUP(G$2,[29]table_male_hkom3_inj.V4!$A$1:$K$36,19,FALSE),0)</f>
        <v>0</v>
      </c>
      <c r="H904">
        <f>IFERROR(HLOOKUP(H$2,[29]table_male_hkom3_inj.V4!$A$1:$K$36,19,FALSE),0)</f>
        <v>0</v>
      </c>
      <c r="I904">
        <f>IFERROR(HLOOKUP(I$2,[29]table_male_hkom3_inj.V4!$A$1:$K$36,19,FALSE),0)</f>
        <v>0</v>
      </c>
      <c r="J904">
        <f>IFERROR(HLOOKUP(J$2,[29]table_male_hkom3_inj.V4!$A$1:$K$36,19,FALSE),0)</f>
        <v>0</v>
      </c>
      <c r="K904">
        <f>IFERROR(HLOOKUP(K$2,[29]table_male_hkom3_inj.V4!$A$1:$K$36,19,FALSE),0)</f>
        <v>0</v>
      </c>
      <c r="L904">
        <f>IFERROR(HLOOKUP(L$2,[29]table_male_hkom3_inj.V4!$A$1:$K$36,19,FALSE),0)</f>
        <v>0</v>
      </c>
      <c r="M904">
        <f t="shared" si="288"/>
        <v>0</v>
      </c>
      <c r="S904" t="s">
        <v>87</v>
      </c>
      <c r="T904" s="5">
        <f t="shared" si="289"/>
        <v>0</v>
      </c>
      <c r="U904" s="5">
        <f t="shared" si="290"/>
        <v>0</v>
      </c>
      <c r="V904" s="5">
        <f t="shared" si="291"/>
        <v>0</v>
      </c>
      <c r="W904" s="5">
        <f t="shared" si="292"/>
        <v>0</v>
      </c>
      <c r="X904" s="5">
        <f t="shared" si="293"/>
        <v>0</v>
      </c>
      <c r="Y904" s="5">
        <f t="shared" si="294"/>
        <v>0</v>
      </c>
      <c r="Z904" s="5">
        <f t="shared" si="295"/>
        <v>0</v>
      </c>
      <c r="AA904" s="5">
        <f t="shared" si="296"/>
        <v>0</v>
      </c>
      <c r="AB904" s="5">
        <f t="shared" si="276"/>
        <v>0</v>
      </c>
    </row>
    <row r="905" spans="4:28" x14ac:dyDescent="0.25">
      <c r="D905" t="s">
        <v>88</v>
      </c>
      <c r="E905" s="64"/>
      <c r="F905" s="64"/>
      <c r="G905">
        <f>IFERROR(HLOOKUP(G$2,[29]table_male_hkom3_inj.V4!$A$1:$K$36,20,FALSE),0)</f>
        <v>0</v>
      </c>
      <c r="H905">
        <f>IFERROR(HLOOKUP(H$2,[29]table_male_hkom3_inj.V4!$A$1:$K$36,20,FALSE),0)</f>
        <v>0</v>
      </c>
      <c r="I905">
        <f>IFERROR(HLOOKUP(I$2,[29]table_male_hkom3_inj.V4!$A$1:$K$36,20,FALSE),0)</f>
        <v>0</v>
      </c>
      <c r="J905">
        <f>IFERROR(HLOOKUP(J$2,[29]table_male_hkom3_inj.V4!$A$1:$K$36,20,FALSE),0)</f>
        <v>0</v>
      </c>
      <c r="K905">
        <f>IFERROR(HLOOKUP(K$2,[29]table_male_hkom3_inj.V4!$A$1:$K$36,20,FALSE),0)</f>
        <v>0</v>
      </c>
      <c r="L905">
        <f>IFERROR(HLOOKUP(L$2,[29]table_male_hkom3_inj.V4!$A$1:$K$36,20,FALSE),0)</f>
        <v>0</v>
      </c>
      <c r="M905">
        <f t="shared" si="288"/>
        <v>0</v>
      </c>
      <c r="S905" t="s">
        <v>88</v>
      </c>
      <c r="T905" s="5">
        <f t="shared" si="289"/>
        <v>0</v>
      </c>
      <c r="U905" s="5">
        <f t="shared" si="290"/>
        <v>0</v>
      </c>
      <c r="V905" s="5">
        <f t="shared" si="291"/>
        <v>0</v>
      </c>
      <c r="W905" s="5">
        <f t="shared" si="292"/>
        <v>0</v>
      </c>
      <c r="X905" s="5">
        <f t="shared" si="293"/>
        <v>0</v>
      </c>
      <c r="Y905" s="5">
        <f t="shared" si="294"/>
        <v>0</v>
      </c>
      <c r="Z905" s="5">
        <f t="shared" si="295"/>
        <v>0</v>
      </c>
      <c r="AA905" s="5">
        <f t="shared" si="296"/>
        <v>0</v>
      </c>
      <c r="AB905" s="5">
        <f t="shared" si="276"/>
        <v>0</v>
      </c>
    </row>
    <row r="906" spans="4:28" x14ac:dyDescent="0.25">
      <c r="D906" t="s">
        <v>89</v>
      </c>
      <c r="E906" s="64"/>
      <c r="F906" s="64"/>
      <c r="G906">
        <f>IFERROR(HLOOKUP(G$2,[29]table_male_hkom3_inj.V4!$A$1:$K$36,21,FALSE),0)</f>
        <v>0</v>
      </c>
      <c r="H906">
        <f>IFERROR(HLOOKUP(H$2,[29]table_male_hkom3_inj.V4!$A$1:$K$36,21,FALSE),0)</f>
        <v>0</v>
      </c>
      <c r="I906">
        <f>IFERROR(HLOOKUP(I$2,[29]table_male_hkom3_inj.V4!$A$1:$K$36,21,FALSE),0)</f>
        <v>0</v>
      </c>
      <c r="J906">
        <f>IFERROR(HLOOKUP(J$2,[29]table_male_hkom3_inj.V4!$A$1:$K$36,21,FALSE),0)</f>
        <v>0</v>
      </c>
      <c r="K906">
        <f>IFERROR(HLOOKUP(K$2,[29]table_male_hkom3_inj.V4!$A$1:$K$36,21,FALSE),0)</f>
        <v>0</v>
      </c>
      <c r="L906">
        <f>IFERROR(HLOOKUP(L$2,[29]table_male_hkom3_inj.V4!$A$1:$K$36,21,FALSE),0)</f>
        <v>0</v>
      </c>
      <c r="M906">
        <f t="shared" si="288"/>
        <v>0</v>
      </c>
      <c r="S906" t="s">
        <v>89</v>
      </c>
      <c r="T906" s="5">
        <f t="shared" si="289"/>
        <v>0</v>
      </c>
      <c r="U906" s="5">
        <f t="shared" si="290"/>
        <v>0</v>
      </c>
      <c r="V906" s="5">
        <f t="shared" si="291"/>
        <v>0</v>
      </c>
      <c r="W906" s="5">
        <f t="shared" si="292"/>
        <v>0</v>
      </c>
      <c r="X906" s="5">
        <f t="shared" si="293"/>
        <v>0</v>
      </c>
      <c r="Y906" s="5">
        <f t="shared" si="294"/>
        <v>0</v>
      </c>
      <c r="Z906" s="5">
        <f t="shared" si="295"/>
        <v>0</v>
      </c>
      <c r="AA906" s="5">
        <f t="shared" si="296"/>
        <v>0</v>
      </c>
      <c r="AB906" s="5">
        <f t="shared" si="276"/>
        <v>0</v>
      </c>
    </row>
    <row r="907" spans="4:28" x14ac:dyDescent="0.25">
      <c r="D907" t="s">
        <v>90</v>
      </c>
      <c r="E907" s="64"/>
      <c r="F907" s="64"/>
      <c r="G907">
        <f>IFERROR(HLOOKUP(G$2,[29]table_male_hkom3_inj.V4!$A$1:$K$36,22,FALSE),0)</f>
        <v>0</v>
      </c>
      <c r="H907">
        <f>IFERROR(HLOOKUP(H$2,[29]table_male_hkom3_inj.V4!$A$1:$K$36,22,FALSE),0)</f>
        <v>0</v>
      </c>
      <c r="I907">
        <f>IFERROR(HLOOKUP(I$2,[29]table_male_hkom3_inj.V4!$A$1:$K$36,22,FALSE),0)</f>
        <v>0</v>
      </c>
      <c r="J907">
        <f>IFERROR(HLOOKUP(J$2,[29]table_male_hkom3_inj.V4!$A$1:$K$36,22,FALSE),0)</f>
        <v>0</v>
      </c>
      <c r="K907">
        <f>IFERROR(HLOOKUP(K$2,[29]table_male_hkom3_inj.V4!$A$1:$K$36,22,FALSE),0)</f>
        <v>0</v>
      </c>
      <c r="L907">
        <f>IFERROR(HLOOKUP(L$2,[29]table_male_hkom3_inj.V4!$A$1:$K$36,22,FALSE),0)</f>
        <v>0</v>
      </c>
      <c r="M907">
        <f t="shared" si="288"/>
        <v>0</v>
      </c>
      <c r="S907" t="s">
        <v>90</v>
      </c>
      <c r="T907" s="5">
        <f t="shared" si="289"/>
        <v>0</v>
      </c>
      <c r="U907" s="5">
        <f t="shared" si="290"/>
        <v>0</v>
      </c>
      <c r="V907" s="5">
        <f t="shared" si="291"/>
        <v>0</v>
      </c>
      <c r="W907" s="5">
        <f t="shared" si="292"/>
        <v>0</v>
      </c>
      <c r="X907" s="5">
        <f t="shared" si="293"/>
        <v>0</v>
      </c>
      <c r="Y907" s="5">
        <f t="shared" si="294"/>
        <v>0</v>
      </c>
      <c r="Z907" s="5">
        <f t="shared" si="295"/>
        <v>0</v>
      </c>
      <c r="AA907" s="5">
        <f t="shared" si="296"/>
        <v>0</v>
      </c>
      <c r="AB907" s="5">
        <f t="shared" si="276"/>
        <v>0</v>
      </c>
    </row>
    <row r="908" spans="4:28" x14ac:dyDescent="0.25">
      <c r="D908" t="s">
        <v>91</v>
      </c>
      <c r="E908" s="64"/>
      <c r="F908" s="64"/>
      <c r="G908">
        <f>IFERROR(HLOOKUP(G$2,[29]table_male_hkom3_inj.V4!$A$1:$K$36,23,FALSE),0)</f>
        <v>0</v>
      </c>
      <c r="H908">
        <f>IFERROR(HLOOKUP(H$2,[29]table_male_hkom3_inj.V4!$A$1:$K$36,23,FALSE),0)</f>
        <v>0</v>
      </c>
      <c r="I908">
        <f>IFERROR(HLOOKUP(I$2,[29]table_male_hkom3_inj.V4!$A$1:$K$36,23,FALSE),0)</f>
        <v>0</v>
      </c>
      <c r="J908">
        <f>IFERROR(HLOOKUP(J$2,[29]table_male_hkom3_inj.V4!$A$1:$K$36,23,FALSE),0)</f>
        <v>0</v>
      </c>
      <c r="K908">
        <f>IFERROR(HLOOKUP(K$2,[29]table_male_hkom3_inj.V4!$A$1:$K$36,23,FALSE),0)</f>
        <v>0</v>
      </c>
      <c r="L908">
        <f>IFERROR(HLOOKUP(L$2,[29]table_male_hkom3_inj.V4!$A$1:$K$36,23,FALSE),0)</f>
        <v>0</v>
      </c>
      <c r="M908">
        <f t="shared" si="288"/>
        <v>0</v>
      </c>
      <c r="S908" t="s">
        <v>91</v>
      </c>
      <c r="T908" s="5">
        <f t="shared" si="289"/>
        <v>0</v>
      </c>
      <c r="U908" s="5">
        <f t="shared" si="290"/>
        <v>0</v>
      </c>
      <c r="V908" s="5">
        <f t="shared" si="291"/>
        <v>0</v>
      </c>
      <c r="W908" s="5">
        <f t="shared" si="292"/>
        <v>0</v>
      </c>
      <c r="X908" s="5">
        <f t="shared" si="293"/>
        <v>0</v>
      </c>
      <c r="Y908" s="5">
        <f t="shared" si="294"/>
        <v>0</v>
      </c>
      <c r="Z908" s="5">
        <f t="shared" si="295"/>
        <v>0</v>
      </c>
      <c r="AA908" s="5">
        <f t="shared" si="296"/>
        <v>0</v>
      </c>
      <c r="AB908" s="5">
        <f t="shared" si="276"/>
        <v>0</v>
      </c>
    </row>
    <row r="909" spans="4:28" x14ac:dyDescent="0.25">
      <c r="D909" t="s">
        <v>92</v>
      </c>
      <c r="E909" s="64"/>
      <c r="F909" s="64"/>
      <c r="G909">
        <f>IFERROR(HLOOKUP(G$2,[29]table_male_hkom3_inj.V4!$A$1:$K$36,24,FALSE),0)</f>
        <v>0</v>
      </c>
      <c r="H909">
        <f>IFERROR(HLOOKUP(H$2,[29]table_male_hkom3_inj.V4!$A$1:$K$36,24,FALSE),0)</f>
        <v>0</v>
      </c>
      <c r="I909">
        <f>IFERROR(HLOOKUP(I$2,[29]table_male_hkom3_inj.V4!$A$1:$K$36,24,FALSE),0)</f>
        <v>0</v>
      </c>
      <c r="J909">
        <f>IFERROR(HLOOKUP(J$2,[29]table_male_hkom3_inj.V4!$A$1:$K$36,24,FALSE),0)</f>
        <v>0</v>
      </c>
      <c r="K909">
        <f>IFERROR(HLOOKUP(K$2,[29]table_male_hkom3_inj.V4!$A$1:$K$36,24,FALSE),0)</f>
        <v>0</v>
      </c>
      <c r="L909">
        <f>IFERROR(HLOOKUP(L$2,[29]table_male_hkom3_inj.V4!$A$1:$K$36,24,FALSE),0)</f>
        <v>0</v>
      </c>
      <c r="M909">
        <f t="shared" si="288"/>
        <v>0</v>
      </c>
      <c r="S909" t="s">
        <v>92</v>
      </c>
      <c r="T909" s="5">
        <f t="shared" si="289"/>
        <v>0</v>
      </c>
      <c r="U909" s="5">
        <f t="shared" si="290"/>
        <v>0</v>
      </c>
      <c r="V909" s="5">
        <f t="shared" si="291"/>
        <v>0</v>
      </c>
      <c r="W909" s="5">
        <f t="shared" si="292"/>
        <v>0</v>
      </c>
      <c r="X909" s="5">
        <f t="shared" si="293"/>
        <v>0</v>
      </c>
      <c r="Y909" s="5">
        <f t="shared" si="294"/>
        <v>0</v>
      </c>
      <c r="Z909" s="5">
        <f t="shared" si="295"/>
        <v>0</v>
      </c>
      <c r="AA909" s="5">
        <f t="shared" si="296"/>
        <v>0</v>
      </c>
      <c r="AB909" s="5">
        <f t="shared" si="276"/>
        <v>0</v>
      </c>
    </row>
    <row r="910" spans="4:28" x14ac:dyDescent="0.25">
      <c r="D910" t="s">
        <v>93</v>
      </c>
      <c r="E910" s="64"/>
      <c r="F910" s="64"/>
      <c r="G910">
        <f>IFERROR(HLOOKUP(G$2,[29]table_male_hkom3_inj.V4!$A$1:$K$36,25,FALSE),0)</f>
        <v>0</v>
      </c>
      <c r="H910">
        <f>IFERROR(HLOOKUP(H$2,[29]table_male_hkom3_inj.V4!$A$1:$K$36,25,FALSE),0)</f>
        <v>0</v>
      </c>
      <c r="I910">
        <f>IFERROR(HLOOKUP(I$2,[29]table_male_hkom3_inj.V4!$A$1:$K$36,25,FALSE),0)</f>
        <v>0</v>
      </c>
      <c r="J910">
        <f>IFERROR(HLOOKUP(J$2,[29]table_male_hkom3_inj.V4!$A$1:$K$36,25,FALSE),0)</f>
        <v>0</v>
      </c>
      <c r="K910">
        <f>IFERROR(HLOOKUP(K$2,[29]table_male_hkom3_inj.V4!$A$1:$K$36,25,FALSE),0)</f>
        <v>0</v>
      </c>
      <c r="L910">
        <f>IFERROR(HLOOKUP(L$2,[29]table_male_hkom3_inj.V4!$A$1:$K$36,25,FALSE),0)</f>
        <v>0</v>
      </c>
      <c r="M910">
        <f t="shared" si="288"/>
        <v>0</v>
      </c>
      <c r="S910" t="s">
        <v>93</v>
      </c>
      <c r="T910" s="5">
        <f t="shared" si="289"/>
        <v>0</v>
      </c>
      <c r="U910" s="5">
        <f t="shared" si="290"/>
        <v>0</v>
      </c>
      <c r="V910" s="5">
        <f t="shared" si="291"/>
        <v>0</v>
      </c>
      <c r="W910" s="5">
        <f t="shared" si="292"/>
        <v>0</v>
      </c>
      <c r="X910" s="5">
        <f t="shared" si="293"/>
        <v>0</v>
      </c>
      <c r="Y910" s="5">
        <f t="shared" si="294"/>
        <v>0</v>
      </c>
      <c r="Z910" s="5">
        <f t="shared" si="295"/>
        <v>0</v>
      </c>
      <c r="AA910" s="5">
        <f t="shared" si="296"/>
        <v>0</v>
      </c>
      <c r="AB910" s="5">
        <f t="shared" si="276"/>
        <v>0</v>
      </c>
    </row>
    <row r="911" spans="4:28" x14ac:dyDescent="0.25">
      <c r="D911" t="s">
        <v>94</v>
      </c>
      <c r="E911" s="64"/>
      <c r="F911" s="64"/>
      <c r="G911">
        <f>IFERROR(HLOOKUP(G$2,[29]table_male_hkom3_inj.V4!$A$1:$K$36,26,FALSE),0)</f>
        <v>0</v>
      </c>
      <c r="H911">
        <f>IFERROR(HLOOKUP(H$2,[29]table_male_hkom3_inj.V4!$A$1:$K$36,26,FALSE),0)</f>
        <v>0</v>
      </c>
      <c r="I911">
        <f>IFERROR(HLOOKUP(I$2,[29]table_male_hkom3_inj.V4!$A$1:$K$36,26,FALSE),0)</f>
        <v>0</v>
      </c>
      <c r="J911">
        <f>IFERROR(HLOOKUP(J$2,[29]table_male_hkom3_inj.V4!$A$1:$K$36,26,FALSE),0)</f>
        <v>0</v>
      </c>
      <c r="K911">
        <f>IFERROR(HLOOKUP(K$2,[29]table_male_hkom3_inj.V4!$A$1:$K$36,26,FALSE),0)</f>
        <v>0</v>
      </c>
      <c r="L911">
        <f>IFERROR(HLOOKUP(L$2,[29]table_male_hkom3_inj.V4!$A$1:$K$36,26,FALSE),0)</f>
        <v>0</v>
      </c>
      <c r="M911">
        <f t="shared" si="288"/>
        <v>0</v>
      </c>
      <c r="S911" t="s">
        <v>94</v>
      </c>
      <c r="T911" s="5">
        <f t="shared" si="289"/>
        <v>0</v>
      </c>
      <c r="U911" s="5">
        <f t="shared" si="290"/>
        <v>0</v>
      </c>
      <c r="V911" s="5">
        <f t="shared" si="291"/>
        <v>0</v>
      </c>
      <c r="W911" s="5">
        <f t="shared" si="292"/>
        <v>0</v>
      </c>
      <c r="X911" s="5">
        <f t="shared" si="293"/>
        <v>0</v>
      </c>
      <c r="Y911" s="5">
        <f t="shared" si="294"/>
        <v>0</v>
      </c>
      <c r="Z911" s="5">
        <f t="shared" si="295"/>
        <v>0</v>
      </c>
      <c r="AA911" s="5">
        <f t="shared" si="296"/>
        <v>0</v>
      </c>
      <c r="AB911" s="5">
        <f t="shared" si="276"/>
        <v>0</v>
      </c>
    </row>
    <row r="912" spans="4:28" x14ac:dyDescent="0.25">
      <c r="D912" t="s">
        <v>95</v>
      </c>
      <c r="E912" s="64"/>
      <c r="F912" s="64"/>
      <c r="G912">
        <f>IFERROR(HLOOKUP(G$2,[29]table_male_hkom3_inj.V4!$A$1:$K$36,27,FALSE),0)</f>
        <v>0</v>
      </c>
      <c r="H912">
        <f>IFERROR(HLOOKUP(H$2,[29]table_male_hkom3_inj.V4!$A$1:$K$36,27,FALSE),0)</f>
        <v>0</v>
      </c>
      <c r="I912">
        <f>IFERROR(HLOOKUP(I$2,[29]table_male_hkom3_inj.V4!$A$1:$K$36,27,FALSE),0)</f>
        <v>0</v>
      </c>
      <c r="J912">
        <f>IFERROR(HLOOKUP(J$2,[29]table_male_hkom3_inj.V4!$A$1:$K$36,27,FALSE),0)</f>
        <v>0</v>
      </c>
      <c r="K912">
        <f>IFERROR(HLOOKUP(K$2,[29]table_male_hkom3_inj.V4!$A$1:$K$36,27,FALSE),0)</f>
        <v>0</v>
      </c>
      <c r="L912">
        <f>IFERROR(HLOOKUP(L$2,[29]table_male_hkom3_inj.V4!$A$1:$K$36,27,FALSE),0)</f>
        <v>0</v>
      </c>
      <c r="M912">
        <f t="shared" si="288"/>
        <v>0</v>
      </c>
      <c r="S912" t="s">
        <v>95</v>
      </c>
      <c r="T912" s="5">
        <f t="shared" si="289"/>
        <v>0</v>
      </c>
      <c r="U912" s="5">
        <f t="shared" si="290"/>
        <v>0</v>
      </c>
      <c r="V912" s="5">
        <f t="shared" si="291"/>
        <v>0</v>
      </c>
      <c r="W912" s="5">
        <f t="shared" si="292"/>
        <v>0</v>
      </c>
      <c r="X912" s="5">
        <f t="shared" si="293"/>
        <v>0</v>
      </c>
      <c r="Y912" s="5">
        <f t="shared" si="294"/>
        <v>0</v>
      </c>
      <c r="Z912" s="5">
        <f t="shared" si="295"/>
        <v>0</v>
      </c>
      <c r="AA912" s="5">
        <f t="shared" si="296"/>
        <v>0</v>
      </c>
      <c r="AB912" s="5">
        <f t="shared" si="276"/>
        <v>0</v>
      </c>
    </row>
    <row r="913" spans="1:29" x14ac:dyDescent="0.25">
      <c r="D913" t="s">
        <v>96</v>
      </c>
      <c r="E913" s="64"/>
      <c r="F913" s="64"/>
      <c r="G913">
        <f>IFERROR(HLOOKUP(G$2,[29]table_male_hkom3_inj.V4!$A$1:$K$36,28,FALSE),0)</f>
        <v>0</v>
      </c>
      <c r="H913">
        <f>IFERROR(HLOOKUP(H$2,[29]table_male_hkom3_inj.V4!$A$1:$K$36,28,FALSE),0)</f>
        <v>0</v>
      </c>
      <c r="I913">
        <f>IFERROR(HLOOKUP(I$2,[29]table_male_hkom3_inj.V4!$A$1:$K$36,28,FALSE),0)</f>
        <v>0</v>
      </c>
      <c r="J913">
        <f>IFERROR(HLOOKUP(J$2,[29]table_male_hkom3_inj.V4!$A$1:$K$36,28,FALSE),0)</f>
        <v>0</v>
      </c>
      <c r="K913">
        <f>IFERROR(HLOOKUP(K$2,[29]table_male_hkom3_inj.V4!$A$1:$K$36,28,FALSE),0)</f>
        <v>0</v>
      </c>
      <c r="L913">
        <f>IFERROR(HLOOKUP(L$2,[29]table_male_hkom3_inj.V4!$A$1:$K$36,28,FALSE),0)</f>
        <v>0</v>
      </c>
      <c r="M913">
        <f t="shared" si="288"/>
        <v>0</v>
      </c>
      <c r="S913" t="s">
        <v>96</v>
      </c>
      <c r="T913" s="5">
        <f t="shared" si="289"/>
        <v>0</v>
      </c>
      <c r="U913" s="5">
        <f t="shared" si="290"/>
        <v>0</v>
      </c>
      <c r="V913" s="5">
        <f t="shared" si="291"/>
        <v>0</v>
      </c>
      <c r="W913" s="5">
        <f t="shared" si="292"/>
        <v>0</v>
      </c>
      <c r="X913" s="5">
        <f t="shared" si="293"/>
        <v>0</v>
      </c>
      <c r="Y913" s="5">
        <f t="shared" si="294"/>
        <v>0</v>
      </c>
      <c r="Z913" s="5">
        <f t="shared" si="295"/>
        <v>0</v>
      </c>
      <c r="AA913" s="5">
        <f t="shared" si="296"/>
        <v>0</v>
      </c>
      <c r="AB913" s="5">
        <f t="shared" si="276"/>
        <v>0</v>
      </c>
    </row>
    <row r="914" spans="1:29" x14ac:dyDescent="0.25">
      <c r="D914" t="s">
        <v>97</v>
      </c>
      <c r="E914" s="64"/>
      <c r="F914" s="64"/>
      <c r="G914">
        <f>IFERROR(HLOOKUP(G$2,[29]table_male_hkom3_inj.V4!$A$1:$K$36,29,FALSE),0)</f>
        <v>0</v>
      </c>
      <c r="H914">
        <f>IFERROR(HLOOKUP(H$2,[29]table_male_hkom3_inj.V4!$A$1:$K$36,29,FALSE),0)</f>
        <v>0</v>
      </c>
      <c r="I914">
        <f>IFERROR(HLOOKUP(I$2,[29]table_male_hkom3_inj.V4!$A$1:$K$36,29,FALSE),0)</f>
        <v>0</v>
      </c>
      <c r="J914">
        <f>IFERROR(HLOOKUP(J$2,[29]table_male_hkom3_inj.V4!$A$1:$K$36,29,FALSE),0)</f>
        <v>0</v>
      </c>
      <c r="K914">
        <f>IFERROR(HLOOKUP(K$2,[29]table_male_hkom3_inj.V4!$A$1:$K$36,29,FALSE),0)</f>
        <v>0</v>
      </c>
      <c r="L914">
        <f>IFERROR(HLOOKUP(L$2,[29]table_male_hkom3_inj.V4!$A$1:$K$36,29,FALSE),0)</f>
        <v>0</v>
      </c>
      <c r="M914">
        <f t="shared" si="288"/>
        <v>0</v>
      </c>
      <c r="S914" t="s">
        <v>97</v>
      </c>
      <c r="T914" s="5">
        <f t="shared" si="289"/>
        <v>0</v>
      </c>
      <c r="U914" s="5">
        <f t="shared" si="290"/>
        <v>0</v>
      </c>
      <c r="V914" s="5">
        <f t="shared" si="291"/>
        <v>0</v>
      </c>
      <c r="W914" s="5">
        <f t="shared" si="292"/>
        <v>0</v>
      </c>
      <c r="X914" s="5">
        <f t="shared" si="293"/>
        <v>0</v>
      </c>
      <c r="Y914" s="5">
        <f t="shared" si="294"/>
        <v>0</v>
      </c>
      <c r="Z914" s="5">
        <f t="shared" si="295"/>
        <v>0</v>
      </c>
      <c r="AA914" s="5">
        <f t="shared" si="296"/>
        <v>0</v>
      </c>
      <c r="AB914" s="5">
        <f t="shared" si="276"/>
        <v>0</v>
      </c>
    </row>
    <row r="915" spans="1:29" x14ac:dyDescent="0.25">
      <c r="D915" t="s">
        <v>98</v>
      </c>
      <c r="E915" s="64"/>
      <c r="F915" s="64"/>
      <c r="G915">
        <f>IFERROR(HLOOKUP(G$2,[29]table_male_hkom3_inj.V4!$A$1:$K$36,30,FALSE),0)</f>
        <v>0</v>
      </c>
      <c r="H915">
        <f>IFERROR(HLOOKUP(H$2,[29]table_male_hkom3_inj.V4!$A$1:$K$36,30,FALSE),0)</f>
        <v>0</v>
      </c>
      <c r="I915">
        <f>IFERROR(HLOOKUP(I$2,[29]table_male_hkom3_inj.V4!$A$1:$K$36,30,FALSE),0)</f>
        <v>0</v>
      </c>
      <c r="J915">
        <f>IFERROR(HLOOKUP(J$2,[29]table_male_hkom3_inj.V4!$A$1:$K$36,30,FALSE),0)</f>
        <v>0</v>
      </c>
      <c r="K915">
        <f>IFERROR(HLOOKUP(K$2,[29]table_male_hkom3_inj.V4!$A$1:$K$36,30,FALSE),0)</f>
        <v>0</v>
      </c>
      <c r="L915">
        <f>IFERROR(HLOOKUP(L$2,[29]table_male_hkom3_inj.V4!$A$1:$K$36,30,FALSE),0)</f>
        <v>0</v>
      </c>
      <c r="M915">
        <f t="shared" si="288"/>
        <v>0</v>
      </c>
      <c r="S915" t="s">
        <v>98</v>
      </c>
      <c r="T915" s="5">
        <f t="shared" si="289"/>
        <v>0</v>
      </c>
      <c r="U915" s="5">
        <f t="shared" si="290"/>
        <v>0</v>
      </c>
      <c r="V915" s="5">
        <f t="shared" si="291"/>
        <v>0</v>
      </c>
      <c r="W915" s="5">
        <f t="shared" si="292"/>
        <v>0</v>
      </c>
      <c r="X915" s="5">
        <f t="shared" si="293"/>
        <v>0</v>
      </c>
      <c r="Y915" s="5">
        <f t="shared" si="294"/>
        <v>0</v>
      </c>
      <c r="Z915" s="5">
        <f t="shared" si="295"/>
        <v>0</v>
      </c>
      <c r="AA915" s="5">
        <f t="shared" si="296"/>
        <v>0</v>
      </c>
      <c r="AB915" s="5">
        <f t="shared" si="276"/>
        <v>0</v>
      </c>
    </row>
    <row r="916" spans="1:29" x14ac:dyDescent="0.25">
      <c r="D916" t="s">
        <v>119</v>
      </c>
      <c r="E916" s="64"/>
      <c r="F916" s="64"/>
      <c r="G916">
        <f>IFERROR(HLOOKUP(G$2,[29]table_male_hkom3_inj.V4!$A$1:$K$36,31,FALSE),0)</f>
        <v>0</v>
      </c>
      <c r="H916">
        <f>IFERROR(HLOOKUP(H$2,[29]table_male_hkom3_inj.V4!$A$1:$K$36,31,FALSE),0)</f>
        <v>0</v>
      </c>
      <c r="I916">
        <f>IFERROR(HLOOKUP(I$2,[29]table_male_hkom3_inj.V4!$A$1:$K$36,31,FALSE),0)</f>
        <v>0</v>
      </c>
      <c r="J916">
        <f>IFERROR(HLOOKUP(J$2,[29]table_male_hkom3_inj.V4!$A$1:$K$36,31,FALSE),0)</f>
        <v>0</v>
      </c>
      <c r="K916">
        <f>IFERROR(HLOOKUP(K$2,[29]table_male_hkom3_inj.V4!$A$1:$K$36,31,FALSE),0)</f>
        <v>0</v>
      </c>
      <c r="L916">
        <f>IFERROR(HLOOKUP(L$2,[29]table_male_hkom3_inj.V4!$A$1:$K$36,31,FALSE),0)</f>
        <v>0</v>
      </c>
      <c r="M916">
        <f t="shared" si="288"/>
        <v>0</v>
      </c>
      <c r="S916" t="s">
        <v>119</v>
      </c>
      <c r="T916" s="5">
        <f t="shared" si="289"/>
        <v>0</v>
      </c>
      <c r="U916" s="5">
        <f t="shared" si="290"/>
        <v>0</v>
      </c>
      <c r="V916" s="5">
        <f t="shared" si="291"/>
        <v>0</v>
      </c>
      <c r="W916" s="5">
        <f t="shared" si="292"/>
        <v>0</v>
      </c>
      <c r="X916" s="5">
        <f t="shared" si="293"/>
        <v>0</v>
      </c>
      <c r="Y916" s="5">
        <f t="shared" si="294"/>
        <v>0</v>
      </c>
      <c r="Z916" s="5">
        <f t="shared" si="295"/>
        <v>0</v>
      </c>
      <c r="AA916" s="5">
        <f t="shared" si="296"/>
        <v>0</v>
      </c>
      <c r="AB916" s="5">
        <f t="shared" ref="AB916:AB979" si="297">SUM(T916:AA916)</f>
        <v>0</v>
      </c>
    </row>
    <row r="917" spans="1:29" x14ac:dyDescent="0.25">
      <c r="D917" t="s">
        <v>99</v>
      </c>
      <c r="E917" s="64"/>
      <c r="F917" s="64"/>
      <c r="G917">
        <f>IFERROR(HLOOKUP(G$2,[29]table_male_hkom3_inj.V4!$A$1:$K$36,32,FALSE),0)</f>
        <v>0</v>
      </c>
      <c r="H917">
        <f>IFERROR(HLOOKUP(H$2,[29]table_male_hkom3_inj.V4!$A$1:$K$36,32,FALSE),0)</f>
        <v>0</v>
      </c>
      <c r="I917">
        <f>IFERROR(HLOOKUP(I$2,[29]table_male_hkom3_inj.V4!$A$1:$K$36,32,FALSE),0)</f>
        <v>0</v>
      </c>
      <c r="J917">
        <f>IFERROR(HLOOKUP(J$2,[29]table_male_hkom3_inj.V4!$A$1:$K$36,32,FALSE),0)</f>
        <v>0</v>
      </c>
      <c r="K917">
        <f>IFERROR(HLOOKUP(K$2,[29]table_male_hkom3_inj.V4!$A$1:$K$36,32,FALSE),0)</f>
        <v>0</v>
      </c>
      <c r="L917">
        <f>IFERROR(HLOOKUP(L$2,[29]table_male_hkom3_inj.V4!$A$1:$K$36,32,FALSE),0)</f>
        <v>0</v>
      </c>
      <c r="M917">
        <f t="shared" si="288"/>
        <v>0</v>
      </c>
      <c r="S917" t="s">
        <v>99</v>
      </c>
      <c r="T917" s="5">
        <f t="shared" si="289"/>
        <v>0</v>
      </c>
      <c r="U917" s="5">
        <f t="shared" si="290"/>
        <v>0</v>
      </c>
      <c r="V917" s="5">
        <f t="shared" si="291"/>
        <v>0</v>
      </c>
      <c r="W917" s="5">
        <f t="shared" si="292"/>
        <v>0</v>
      </c>
      <c r="X917" s="5">
        <f t="shared" si="293"/>
        <v>0</v>
      </c>
      <c r="Y917" s="5">
        <f t="shared" si="294"/>
        <v>0</v>
      </c>
      <c r="Z917" s="5">
        <f t="shared" si="295"/>
        <v>0</v>
      </c>
      <c r="AA917" s="5">
        <f t="shared" si="296"/>
        <v>0</v>
      </c>
      <c r="AB917" s="5">
        <f t="shared" si="297"/>
        <v>0</v>
      </c>
    </row>
    <row r="918" spans="1:29" x14ac:dyDescent="0.25">
      <c r="D918" t="s">
        <v>100</v>
      </c>
      <c r="E918" s="64"/>
      <c r="F918" s="64"/>
      <c r="G918">
        <f>IFERROR(HLOOKUP(G$2,[29]table_male_hkom3_inj.V4!$A$1:$K$36,33,FALSE),0)</f>
        <v>0</v>
      </c>
      <c r="H918">
        <f>IFERROR(HLOOKUP(H$2,[29]table_male_hkom3_inj.V4!$A$1:$K$36,33,FALSE),0)</f>
        <v>0</v>
      </c>
      <c r="I918">
        <f>IFERROR(HLOOKUP(I$2,[29]table_male_hkom3_inj.V4!$A$1:$K$36,33,FALSE),0)</f>
        <v>0</v>
      </c>
      <c r="J918">
        <f>IFERROR(HLOOKUP(J$2,[29]table_male_hkom3_inj.V4!$A$1:$K$36,33,FALSE),0)</f>
        <v>0</v>
      </c>
      <c r="K918">
        <f>IFERROR(HLOOKUP(K$2,[29]table_male_hkom3_inj.V4!$A$1:$K$36,33,FALSE),0)</f>
        <v>0</v>
      </c>
      <c r="L918">
        <f>IFERROR(HLOOKUP(L$2,[29]table_male_hkom3_inj.V4!$A$1:$K$36,33,FALSE),0)</f>
        <v>0</v>
      </c>
      <c r="M918">
        <f t="shared" si="288"/>
        <v>0</v>
      </c>
      <c r="S918" t="s">
        <v>100</v>
      </c>
      <c r="T918" s="5">
        <f t="shared" si="289"/>
        <v>0</v>
      </c>
      <c r="U918" s="5">
        <f t="shared" si="290"/>
        <v>0</v>
      </c>
      <c r="V918" s="5">
        <f t="shared" si="291"/>
        <v>0</v>
      </c>
      <c r="W918" s="5">
        <f t="shared" si="292"/>
        <v>0</v>
      </c>
      <c r="X918" s="5">
        <f t="shared" si="293"/>
        <v>0</v>
      </c>
      <c r="Y918" s="5">
        <f t="shared" si="294"/>
        <v>0</v>
      </c>
      <c r="Z918" s="5">
        <f t="shared" si="295"/>
        <v>0</v>
      </c>
      <c r="AA918" s="5">
        <f t="shared" si="296"/>
        <v>0</v>
      </c>
      <c r="AB918" s="5">
        <f t="shared" si="297"/>
        <v>0</v>
      </c>
    </row>
    <row r="919" spans="1:29" x14ac:dyDescent="0.25">
      <c r="D919" t="s">
        <v>101</v>
      </c>
      <c r="E919" s="64"/>
      <c r="F919" s="64"/>
      <c r="G919">
        <f>IFERROR(HLOOKUP(G$2,[29]table_male_hkom3_inj.V4!$A$1:$K$36,34,FALSE),0)</f>
        <v>0</v>
      </c>
      <c r="H919">
        <f>IFERROR(HLOOKUP(H$2,[29]table_male_hkom3_inj.V4!$A$1:$K$36,34,FALSE),0)</f>
        <v>0</v>
      </c>
      <c r="I919">
        <f>IFERROR(HLOOKUP(I$2,[29]table_male_hkom3_inj.V4!$A$1:$K$36,34,FALSE),0)</f>
        <v>0</v>
      </c>
      <c r="J919">
        <f>IFERROR(HLOOKUP(J$2,[29]table_male_hkom3_inj.V4!$A$1:$K$36,34,FALSE),0)</f>
        <v>0</v>
      </c>
      <c r="K919">
        <f>IFERROR(HLOOKUP(K$2,[29]table_male_hkom3_inj.V4!$A$1:$K$36,34,FALSE),0)</f>
        <v>0</v>
      </c>
      <c r="L919">
        <f>IFERROR(HLOOKUP(L$2,[29]table_male_hkom3_inj.V4!$A$1:$K$36,34,FALSE),0)</f>
        <v>0</v>
      </c>
      <c r="M919">
        <f t="shared" si="288"/>
        <v>0</v>
      </c>
      <c r="S919" t="s">
        <v>101</v>
      </c>
      <c r="T919" s="5">
        <f t="shared" si="289"/>
        <v>0</v>
      </c>
      <c r="U919" s="5">
        <f t="shared" si="290"/>
        <v>0</v>
      </c>
      <c r="V919" s="5">
        <f t="shared" si="291"/>
        <v>0</v>
      </c>
      <c r="W919" s="5">
        <f t="shared" si="292"/>
        <v>0</v>
      </c>
      <c r="X919" s="5">
        <f t="shared" si="293"/>
        <v>0</v>
      </c>
      <c r="Y919" s="5">
        <f t="shared" si="294"/>
        <v>0</v>
      </c>
      <c r="Z919" s="5">
        <f t="shared" si="295"/>
        <v>0</v>
      </c>
      <c r="AA919" s="5">
        <f t="shared" si="296"/>
        <v>0</v>
      </c>
      <c r="AB919" s="5">
        <f t="shared" si="297"/>
        <v>0</v>
      </c>
    </row>
    <row r="920" spans="1:29" x14ac:dyDescent="0.25">
      <c r="D920" t="s">
        <v>102</v>
      </c>
      <c r="E920" s="64"/>
      <c r="F920" s="64"/>
      <c r="G920">
        <f>IFERROR(HLOOKUP(G$2,[29]table_male_hkom3_inj.V4!$A$1:$K$36,35,FALSE),0)</f>
        <v>0</v>
      </c>
      <c r="H920">
        <f>IFERROR(HLOOKUP(H$2,[29]table_male_hkom3_inj.V4!$A$1:$K$36,35,FALSE),0)</f>
        <v>0</v>
      </c>
      <c r="I920">
        <f>IFERROR(HLOOKUP(I$2,[29]table_male_hkom3_inj.V4!$A$1:$K$36,35,FALSE),0)</f>
        <v>0</v>
      </c>
      <c r="J920">
        <f>IFERROR(HLOOKUP(J$2,[29]table_male_hkom3_inj.V4!$A$1:$K$36,35,FALSE),0)</f>
        <v>0</v>
      </c>
      <c r="K920">
        <f>IFERROR(HLOOKUP(K$2,[29]table_male_hkom3_inj.V4!$A$1:$K$36,35,FALSE),0)</f>
        <v>0</v>
      </c>
      <c r="L920">
        <f>IFERROR(HLOOKUP(L$2,[29]table_male_hkom3_inj.V4!$A$1:$K$36,35,FALSE),0)</f>
        <v>0</v>
      </c>
      <c r="M920">
        <f t="shared" si="288"/>
        <v>0</v>
      </c>
      <c r="N920">
        <f>SUM(M887:M920)</f>
        <v>0</v>
      </c>
      <c r="O920" s="8">
        <f>SUM([29]table_male_hkom3_inj.V4!$B$2:$L$36)</f>
        <v>0</v>
      </c>
      <c r="S920" t="s">
        <v>102</v>
      </c>
      <c r="T920" s="6"/>
      <c r="U920" s="7"/>
      <c r="V920" s="7"/>
      <c r="W920" s="7"/>
      <c r="X920" s="7"/>
      <c r="Y920" s="7"/>
      <c r="Z920" s="7"/>
      <c r="AA920" s="7"/>
      <c r="AB920" s="5">
        <f t="shared" si="297"/>
        <v>0</v>
      </c>
      <c r="AC920" s="5">
        <f>SUM(AB887:AB919)</f>
        <v>0</v>
      </c>
    </row>
    <row r="921" spans="1:29" x14ac:dyDescent="0.25">
      <c r="A921" t="s">
        <v>104</v>
      </c>
      <c r="B921" t="s">
        <v>117</v>
      </c>
      <c r="C921" t="s">
        <v>109</v>
      </c>
      <c r="D921" t="s">
        <v>70</v>
      </c>
      <c r="E921" s="64"/>
      <c r="F921" s="64"/>
      <c r="G921">
        <f>IFERROR(HLOOKUP(G$2,[30]table_male_hkom3_inj.U1!$A$1:$K$36,2,FALSE),0)</f>
        <v>82</v>
      </c>
      <c r="H921">
        <f>IFERROR(HLOOKUP(H$2,[30]table_male_hkom3_inj.U1!$A$1:$K$36,2,FALSE),0)</f>
        <v>77</v>
      </c>
      <c r="I921">
        <f>IFERROR(HLOOKUP(I$2,[30]table_male_hkom3_inj.U1!$A$1:$K$36,2,FALSE),0)</f>
        <v>29</v>
      </c>
      <c r="J921">
        <f>IFERROR(HLOOKUP(J$2,[30]table_male_hkom3_inj.U1!$A$1:$K$36,2,FALSE),0)</f>
        <v>1</v>
      </c>
      <c r="K921">
        <f>IFERROR(HLOOKUP(K$2,[30]table_male_hkom3_inj.U1!$A$1:$K$36,2,FALSE),0)</f>
        <v>0</v>
      </c>
      <c r="L921">
        <f>IFERROR(HLOOKUP(L$2,[30]table_male_hkom3_inj.U1!$A$1:$K$36,2,FALSE),0)</f>
        <v>0</v>
      </c>
      <c r="M921">
        <f>SUM(E921:L921)</f>
        <v>189</v>
      </c>
      <c r="P921" t="s">
        <v>104</v>
      </c>
      <c r="Q921" t="s">
        <v>117</v>
      </c>
      <c r="R921" t="s">
        <v>109</v>
      </c>
      <c r="S921" t="s">
        <v>70</v>
      </c>
      <c r="T921" s="5">
        <f>IF(SUM(E$921:E$953)=0,E$954/33,E921+IFERROR(E921/SUM(E$921:E$953)*E$954,0))</f>
        <v>0</v>
      </c>
      <c r="U921" s="5">
        <f t="shared" ref="U921:AA921" si="298">IF(SUM(F$921:F$953)=0,F$954/33,F921+IFERROR(F921/SUM(F$921:F$953)*F$954,0))</f>
        <v>0</v>
      </c>
      <c r="V921" s="5">
        <f t="shared" si="298"/>
        <v>91.229798493791975</v>
      </c>
      <c r="W921" s="5">
        <f t="shared" si="298"/>
        <v>86.185343411107453</v>
      </c>
      <c r="X921" s="5">
        <f t="shared" si="298"/>
        <v>32.1047531149054</v>
      </c>
      <c r="Y921" s="5">
        <f t="shared" si="298"/>
        <v>1.0863636363636364</v>
      </c>
      <c r="Z921" s="5">
        <f t="shared" si="298"/>
        <v>0</v>
      </c>
      <c r="AA921" s="5">
        <f t="shared" si="298"/>
        <v>0</v>
      </c>
      <c r="AB921" s="5">
        <f t="shared" si="297"/>
        <v>210.60625865616848</v>
      </c>
    </row>
    <row r="922" spans="1:29" x14ac:dyDescent="0.25">
      <c r="D922" t="s">
        <v>71</v>
      </c>
      <c r="E922" s="64"/>
      <c r="F922" s="64"/>
      <c r="G922">
        <f>IFERROR(HLOOKUP(G$2,[30]table_male_hkom3_inj.U1!$A$1:$K$36,3,FALSE),0)</f>
        <v>424</v>
      </c>
      <c r="H922">
        <f>IFERROR(HLOOKUP(H$2,[30]table_male_hkom3_inj.U1!$A$1:$K$36,3,FALSE),0)</f>
        <v>478</v>
      </c>
      <c r="I922">
        <f>IFERROR(HLOOKUP(I$2,[30]table_male_hkom3_inj.U1!$A$1:$K$36,3,FALSE),0)</f>
        <v>129</v>
      </c>
      <c r="J922">
        <f>IFERROR(HLOOKUP(J$2,[30]table_male_hkom3_inj.U1!$A$1:$K$36,3,FALSE),0)</f>
        <v>6</v>
      </c>
      <c r="K922">
        <f>IFERROR(HLOOKUP(K$2,[30]table_male_hkom3_inj.U1!$A$1:$K$36,3,FALSE),0)</f>
        <v>0</v>
      </c>
      <c r="L922">
        <f>IFERROR(HLOOKUP(L$2,[30]table_male_hkom3_inj.U1!$A$1:$K$36,3,FALSE),0)</f>
        <v>0</v>
      </c>
      <c r="M922">
        <f t="shared" ref="M922:M954" si="299">SUM(E922:L922)</f>
        <v>1037</v>
      </c>
      <c r="S922" t="s">
        <v>71</v>
      </c>
      <c r="T922" s="5">
        <f t="shared" ref="T922:T953" si="300">IF(SUM(E$921:E$953)=0,E$954/33,E922+IFERROR(E922/SUM(E$921:E$953)*E$954,0))</f>
        <v>0</v>
      </c>
      <c r="U922" s="5">
        <f t="shared" ref="U922:U953" si="301">IF(SUM(F$921:F$953)=0,F$954/33,F922+IFERROR(F922/SUM(F$921:F$953)*F$954,0))</f>
        <v>0</v>
      </c>
      <c r="V922" s="5">
        <f t="shared" ref="V922:V953" si="302">IF(SUM(G$921:G$953)=0,G$954/33,G922+IFERROR(G922/SUM(G$921:G$953)*G$954,0))</f>
        <v>471.72481172399756</v>
      </c>
      <c r="W922" s="5">
        <f t="shared" ref="W922:W953" si="303">IF(SUM(H$921:H$953)=0,H$954/33,H922+IFERROR(H922/SUM(H$921:H$953)*H$954,0))</f>
        <v>535.02070325336842</v>
      </c>
      <c r="X922" s="5">
        <f t="shared" ref="X922:X953" si="304">IF(SUM(I$921:I$953)=0,I$954/33,I922+IFERROR(I922/SUM(I$921:I$953)*I$954,0))</f>
        <v>142.81079833871712</v>
      </c>
      <c r="Y922" s="5">
        <f t="shared" ref="Y922:Y953" si="305">IF(SUM(J$921:J$953)=0,J$954/33,J922+IFERROR(J922/SUM(J$921:J$953)*J$954,0))</f>
        <v>6.5181818181818185</v>
      </c>
      <c r="Z922" s="5">
        <f t="shared" ref="Z922:Z953" si="306">IF(SUM(K$921:K$953)=0,K$954/33,K922+IFERROR(K922/SUM(K$921:K$953)*K$954,0))</f>
        <v>0</v>
      </c>
      <c r="AA922" s="5">
        <f t="shared" ref="AA922:AA953" si="307">IF(SUM(L$921:L$953)=0,L$954/33,L922+IFERROR(L922/SUM(L$921:L$953)*L$954,0))</f>
        <v>0</v>
      </c>
      <c r="AB922" s="5">
        <f t="shared" si="297"/>
        <v>1156.0744951342649</v>
      </c>
    </row>
    <row r="923" spans="1:29" x14ac:dyDescent="0.25">
      <c r="D923" t="s">
        <v>72</v>
      </c>
      <c r="E923" s="64"/>
      <c r="F923" s="64"/>
      <c r="G923">
        <f>IFERROR(HLOOKUP(G$2,[30]table_male_hkom3_inj.U1!$A$1:$K$36,4,FALSE),0)</f>
        <v>51</v>
      </c>
      <c r="H923">
        <f>IFERROR(HLOOKUP(H$2,[30]table_male_hkom3_inj.U1!$A$1:$K$36,4,FALSE),0)</f>
        <v>95</v>
      </c>
      <c r="I923">
        <f>IFERROR(HLOOKUP(I$2,[30]table_male_hkom3_inj.U1!$A$1:$K$36,4,FALSE),0)</f>
        <v>47</v>
      </c>
      <c r="J923">
        <f>IFERROR(HLOOKUP(J$2,[30]table_male_hkom3_inj.U1!$A$1:$K$36,4,FALSE),0)</f>
        <v>5</v>
      </c>
      <c r="K923">
        <f>IFERROR(HLOOKUP(K$2,[30]table_male_hkom3_inj.U1!$A$1:$K$36,4,FALSE),0)</f>
        <v>0</v>
      </c>
      <c r="L923">
        <f>IFERROR(HLOOKUP(L$2,[30]table_male_hkom3_inj.U1!$A$1:$K$36,4,FALSE),0)</f>
        <v>0</v>
      </c>
      <c r="M923">
        <f t="shared" si="299"/>
        <v>198</v>
      </c>
      <c r="S923" t="s">
        <v>72</v>
      </c>
      <c r="T923" s="5">
        <f t="shared" si="300"/>
        <v>0</v>
      </c>
      <c r="U923" s="5">
        <f t="shared" si="301"/>
        <v>0</v>
      </c>
      <c r="V923" s="5">
        <f t="shared" si="302"/>
        <v>56.740484429065745</v>
      </c>
      <c r="W923" s="5">
        <f t="shared" si="303"/>
        <v>106.33256654617153</v>
      </c>
      <c r="X923" s="5">
        <f t="shared" si="304"/>
        <v>52.031841255191509</v>
      </c>
      <c r="Y923" s="5">
        <f t="shared" si="305"/>
        <v>5.4318181818181817</v>
      </c>
      <c r="Z923" s="5">
        <f t="shared" si="306"/>
        <v>0</v>
      </c>
      <c r="AA923" s="5">
        <f t="shared" si="307"/>
        <v>0</v>
      </c>
      <c r="AB923" s="5">
        <f t="shared" si="297"/>
        <v>220.53671041224698</v>
      </c>
    </row>
    <row r="924" spans="1:29" x14ac:dyDescent="0.25">
      <c r="D924" t="s">
        <v>73</v>
      </c>
      <c r="E924" s="64"/>
      <c r="F924" s="64"/>
      <c r="G924">
        <f>IFERROR(HLOOKUP(G$2,[30]table_male_hkom3_inj.U1!$A$1:$K$36,5,FALSE),0)</f>
        <v>13</v>
      </c>
      <c r="H924">
        <f>IFERROR(HLOOKUP(H$2,[30]table_male_hkom3_inj.U1!$A$1:$K$36,5,FALSE),0)</f>
        <v>29</v>
      </c>
      <c r="I924">
        <f>IFERROR(HLOOKUP(I$2,[30]table_male_hkom3_inj.U1!$A$1:$K$36,5,FALSE),0)</f>
        <v>16</v>
      </c>
      <c r="J924">
        <f>IFERROR(HLOOKUP(J$2,[30]table_male_hkom3_inj.U1!$A$1:$K$36,5,FALSE),0)</f>
        <v>2</v>
      </c>
      <c r="K924">
        <f>IFERROR(HLOOKUP(K$2,[30]table_male_hkom3_inj.U1!$A$1:$K$36,5,FALSE),0)</f>
        <v>1</v>
      </c>
      <c r="L924">
        <f>IFERROR(HLOOKUP(L$2,[30]table_male_hkom3_inj.U1!$A$1:$K$36,5,FALSE),0)</f>
        <v>0</v>
      </c>
      <c r="M924">
        <f t="shared" si="299"/>
        <v>61</v>
      </c>
      <c r="S924" t="s">
        <v>73</v>
      </c>
      <c r="T924" s="5">
        <f t="shared" si="300"/>
        <v>0</v>
      </c>
      <c r="U924" s="5">
        <f t="shared" si="301"/>
        <v>0</v>
      </c>
      <c r="V924" s="5">
        <f t="shared" si="302"/>
        <v>14.463260736820679</v>
      </c>
      <c r="W924" s="5">
        <f t="shared" si="303"/>
        <v>32.459415050936578</v>
      </c>
      <c r="X924" s="5">
        <f t="shared" si="304"/>
        <v>17.712967235809874</v>
      </c>
      <c r="Y924" s="5">
        <f t="shared" si="305"/>
        <v>2.1727272727272728</v>
      </c>
      <c r="Z924" s="5">
        <f t="shared" si="306"/>
        <v>1.0588235294117647</v>
      </c>
      <c r="AA924" s="5">
        <f t="shared" si="307"/>
        <v>0</v>
      </c>
      <c r="AB924" s="5">
        <f t="shared" si="297"/>
        <v>67.867193825706167</v>
      </c>
    </row>
    <row r="925" spans="1:29" x14ac:dyDescent="0.25">
      <c r="D925" t="s">
        <v>74</v>
      </c>
      <c r="E925" s="64"/>
      <c r="F925" s="64"/>
      <c r="G925">
        <f>IFERROR(HLOOKUP(G$2,[30]table_male_hkom3_inj.U1!$A$1:$K$36,6,FALSE),0)</f>
        <v>92</v>
      </c>
      <c r="H925">
        <f>IFERROR(HLOOKUP(H$2,[30]table_male_hkom3_inj.U1!$A$1:$K$36,6,FALSE),0)</f>
        <v>303</v>
      </c>
      <c r="I925">
        <f>IFERROR(HLOOKUP(I$2,[30]table_male_hkom3_inj.U1!$A$1:$K$36,6,FALSE),0)</f>
        <v>228</v>
      </c>
      <c r="J925">
        <f>IFERROR(HLOOKUP(J$2,[30]table_male_hkom3_inj.U1!$A$1:$K$36,6,FALSE),0)</f>
        <v>29</v>
      </c>
      <c r="K925">
        <f>IFERROR(HLOOKUP(K$2,[30]table_male_hkom3_inj.U1!$A$1:$K$36,6,FALSE),0)</f>
        <v>3</v>
      </c>
      <c r="L925">
        <f>IFERROR(HLOOKUP(L$2,[30]table_male_hkom3_inj.U1!$A$1:$K$36,6,FALSE),0)</f>
        <v>0</v>
      </c>
      <c r="M925">
        <f t="shared" si="299"/>
        <v>655</v>
      </c>
      <c r="S925" t="s">
        <v>74</v>
      </c>
      <c r="T925" s="5">
        <f t="shared" si="300"/>
        <v>0</v>
      </c>
      <c r="U925" s="5">
        <f t="shared" si="301"/>
        <v>0</v>
      </c>
      <c r="V925" s="5">
        <f t="shared" si="302"/>
        <v>102.35538367596173</v>
      </c>
      <c r="W925" s="5">
        <f t="shared" si="303"/>
        <v>339.14492277357868</v>
      </c>
      <c r="X925" s="5">
        <f t="shared" si="304"/>
        <v>252.40978311029073</v>
      </c>
      <c r="Y925" s="5">
        <f t="shared" si="305"/>
        <v>31.504545454545454</v>
      </c>
      <c r="Z925" s="5">
        <f t="shared" si="306"/>
        <v>3.1764705882352939</v>
      </c>
      <c r="AA925" s="5">
        <f t="shared" si="307"/>
        <v>0</v>
      </c>
      <c r="AB925" s="5">
        <f t="shared" si="297"/>
        <v>728.59110560261183</v>
      </c>
    </row>
    <row r="926" spans="1:29" x14ac:dyDescent="0.25">
      <c r="D926" t="s">
        <v>75</v>
      </c>
      <c r="E926" s="64"/>
      <c r="F926" s="64"/>
      <c r="G926">
        <f>IFERROR(HLOOKUP(G$2,[30]table_male_hkom3_inj.U1!$A$1:$K$36,7,FALSE),0)</f>
        <v>43</v>
      </c>
      <c r="H926">
        <f>IFERROR(HLOOKUP(H$2,[30]table_male_hkom3_inj.U1!$A$1:$K$36,7,FALSE),0)</f>
        <v>39</v>
      </c>
      <c r="I926">
        <f>IFERROR(HLOOKUP(I$2,[30]table_male_hkom3_inj.U1!$A$1:$K$36,7,FALSE),0)</f>
        <v>20</v>
      </c>
      <c r="J926">
        <f>IFERROR(HLOOKUP(J$2,[30]table_male_hkom3_inj.U1!$A$1:$K$36,7,FALSE),0)</f>
        <v>5</v>
      </c>
      <c r="K926">
        <f>IFERROR(HLOOKUP(K$2,[30]table_male_hkom3_inj.U1!$A$1:$K$36,7,FALSE),0)</f>
        <v>0</v>
      </c>
      <c r="L926">
        <f>IFERROR(HLOOKUP(L$2,[30]table_male_hkom3_inj.U1!$A$1:$K$36,7,FALSE),0)</f>
        <v>0</v>
      </c>
      <c r="M926">
        <f t="shared" si="299"/>
        <v>107</v>
      </c>
      <c r="S926" t="s">
        <v>75</v>
      </c>
      <c r="T926" s="5">
        <f t="shared" si="300"/>
        <v>0</v>
      </c>
      <c r="U926" s="5">
        <f t="shared" si="301"/>
        <v>0</v>
      </c>
      <c r="V926" s="5">
        <f t="shared" si="302"/>
        <v>47.840016283329945</v>
      </c>
      <c r="W926" s="5">
        <f t="shared" si="303"/>
        <v>43.652316792638842</v>
      </c>
      <c r="X926" s="5">
        <f t="shared" si="304"/>
        <v>22.141209044762345</v>
      </c>
      <c r="Y926" s="5">
        <f t="shared" si="305"/>
        <v>5.4318181818181817</v>
      </c>
      <c r="Z926" s="5">
        <f t="shared" si="306"/>
        <v>0</v>
      </c>
      <c r="AA926" s="5">
        <f t="shared" si="307"/>
        <v>0</v>
      </c>
      <c r="AB926" s="5">
        <f t="shared" si="297"/>
        <v>119.06536030254932</v>
      </c>
    </row>
    <row r="927" spans="1:29" x14ac:dyDescent="0.25">
      <c r="D927" t="s">
        <v>76</v>
      </c>
      <c r="E927" s="64"/>
      <c r="F927" s="64"/>
      <c r="G927">
        <f>IFERROR(HLOOKUP(G$2,[30]table_male_hkom3_inj.U1!$A$1:$K$36,8,FALSE),0)</f>
        <v>251</v>
      </c>
      <c r="H927">
        <f>IFERROR(HLOOKUP(H$2,[30]table_male_hkom3_inj.U1!$A$1:$K$36,8,FALSE),0)</f>
        <v>481</v>
      </c>
      <c r="I927">
        <f>IFERROR(HLOOKUP(I$2,[30]table_male_hkom3_inj.U1!$A$1:$K$36,8,FALSE),0)</f>
        <v>171</v>
      </c>
      <c r="J927">
        <f>IFERROR(HLOOKUP(J$2,[30]table_male_hkom3_inj.U1!$A$1:$K$36,8,FALSE),0)</f>
        <v>11</v>
      </c>
      <c r="K927">
        <f>IFERROR(HLOOKUP(K$2,[30]table_male_hkom3_inj.U1!$A$1:$K$36,8,FALSE),0)</f>
        <v>0</v>
      </c>
      <c r="L927">
        <f>IFERROR(HLOOKUP(L$2,[30]table_male_hkom3_inj.U1!$A$1:$K$36,8,FALSE),0)</f>
        <v>0</v>
      </c>
      <c r="M927">
        <f t="shared" si="299"/>
        <v>914</v>
      </c>
      <c r="S927" t="s">
        <v>76</v>
      </c>
      <c r="T927" s="5">
        <f t="shared" si="300"/>
        <v>0</v>
      </c>
      <c r="U927" s="5">
        <f t="shared" si="301"/>
        <v>0</v>
      </c>
      <c r="V927" s="5">
        <f t="shared" si="302"/>
        <v>279.2521880724608</v>
      </c>
      <c r="W927" s="5">
        <f t="shared" si="303"/>
        <v>538.37857377587909</v>
      </c>
      <c r="X927" s="5">
        <f t="shared" si="304"/>
        <v>189.30733733271805</v>
      </c>
      <c r="Y927" s="5">
        <f t="shared" si="305"/>
        <v>11.95</v>
      </c>
      <c r="Z927" s="5">
        <f t="shared" si="306"/>
        <v>0</v>
      </c>
      <c r="AA927" s="5">
        <f t="shared" si="307"/>
        <v>0</v>
      </c>
      <c r="AB927" s="5">
        <f t="shared" si="297"/>
        <v>1018.888099181058</v>
      </c>
    </row>
    <row r="928" spans="1:29" x14ac:dyDescent="0.25">
      <c r="D928" t="s">
        <v>77</v>
      </c>
      <c r="E928" s="64"/>
      <c r="F928" s="64"/>
      <c r="G928">
        <f>IFERROR(HLOOKUP(G$2,[30]table_male_hkom3_inj.U1!$A$1:$K$36,9,FALSE),0)</f>
        <v>247</v>
      </c>
      <c r="H928">
        <f>IFERROR(HLOOKUP(H$2,[30]table_male_hkom3_inj.U1!$A$1:$K$36,9,FALSE),0)</f>
        <v>335</v>
      </c>
      <c r="I928">
        <f>IFERROR(HLOOKUP(I$2,[30]table_male_hkom3_inj.U1!$A$1:$K$36,9,FALSE),0)</f>
        <v>92</v>
      </c>
      <c r="J928">
        <f>IFERROR(HLOOKUP(J$2,[30]table_male_hkom3_inj.U1!$A$1:$K$36,9,FALSE),0)</f>
        <v>10</v>
      </c>
      <c r="K928">
        <f>IFERROR(HLOOKUP(K$2,[30]table_male_hkom3_inj.U1!$A$1:$K$36,9,FALSE),0)</f>
        <v>0</v>
      </c>
      <c r="L928">
        <f>IFERROR(HLOOKUP(L$2,[30]table_male_hkom3_inj.U1!$A$1:$K$36,9,FALSE),0)</f>
        <v>0</v>
      </c>
      <c r="M928">
        <f t="shared" si="299"/>
        <v>684</v>
      </c>
      <c r="S928" t="s">
        <v>77</v>
      </c>
      <c r="T928" s="5">
        <f t="shared" si="300"/>
        <v>0</v>
      </c>
      <c r="U928" s="5">
        <f t="shared" si="301"/>
        <v>0</v>
      </c>
      <c r="V928" s="5">
        <f t="shared" si="302"/>
        <v>274.80195399959291</v>
      </c>
      <c r="W928" s="5">
        <f t="shared" si="303"/>
        <v>374.96220834702598</v>
      </c>
      <c r="X928" s="5">
        <f t="shared" si="304"/>
        <v>101.84956160590679</v>
      </c>
      <c r="Y928" s="5">
        <f t="shared" si="305"/>
        <v>10.863636363636363</v>
      </c>
      <c r="Z928" s="5">
        <f t="shared" si="306"/>
        <v>0</v>
      </c>
      <c r="AA928" s="5">
        <f t="shared" si="307"/>
        <v>0</v>
      </c>
      <c r="AB928" s="5">
        <f t="shared" si="297"/>
        <v>762.47736031616193</v>
      </c>
    </row>
    <row r="929" spans="4:28" x14ac:dyDescent="0.25">
      <c r="D929" t="s">
        <v>78</v>
      </c>
      <c r="E929" s="64"/>
      <c r="F929" s="64"/>
      <c r="G929">
        <f>IFERROR(HLOOKUP(G$2,[30]table_male_hkom3_inj.U1!$A$1:$K$36,10,FALSE),0)</f>
        <v>297</v>
      </c>
      <c r="H929">
        <f>IFERROR(HLOOKUP(H$2,[30]table_male_hkom3_inj.U1!$A$1:$K$36,10,FALSE),0)</f>
        <v>375</v>
      </c>
      <c r="I929">
        <f>IFERROR(HLOOKUP(I$2,[30]table_male_hkom3_inj.U1!$A$1:$K$36,10,FALSE),0)</f>
        <v>111</v>
      </c>
      <c r="J929">
        <f>IFERROR(HLOOKUP(J$2,[30]table_male_hkom3_inj.U1!$A$1:$K$36,10,FALSE),0)</f>
        <v>12</v>
      </c>
      <c r="K929">
        <f>IFERROR(HLOOKUP(K$2,[30]table_male_hkom3_inj.U1!$A$1:$K$36,10,FALSE),0)</f>
        <v>1</v>
      </c>
      <c r="L929">
        <f>IFERROR(HLOOKUP(L$2,[30]table_male_hkom3_inj.U1!$A$1:$K$36,10,FALSE),0)</f>
        <v>0</v>
      </c>
      <c r="M929">
        <f t="shared" si="299"/>
        <v>796</v>
      </c>
      <c r="S929" t="s">
        <v>78</v>
      </c>
      <c r="T929" s="5">
        <f t="shared" si="300"/>
        <v>0</v>
      </c>
      <c r="U929" s="5">
        <f t="shared" si="301"/>
        <v>0</v>
      </c>
      <c r="V929" s="5">
        <f t="shared" si="302"/>
        <v>330.42987991044168</v>
      </c>
      <c r="W929" s="5">
        <f t="shared" si="303"/>
        <v>419.73381531383501</v>
      </c>
      <c r="X929" s="5">
        <f t="shared" si="304"/>
        <v>122.883710198431</v>
      </c>
      <c r="Y929" s="5">
        <f t="shared" si="305"/>
        <v>13.036363636363637</v>
      </c>
      <c r="Z929" s="5">
        <f t="shared" si="306"/>
        <v>1.0588235294117647</v>
      </c>
      <c r="AA929" s="5">
        <f t="shared" si="307"/>
        <v>0</v>
      </c>
      <c r="AB929" s="5">
        <f t="shared" si="297"/>
        <v>887.14259258848301</v>
      </c>
    </row>
    <row r="930" spans="4:28" x14ac:dyDescent="0.25">
      <c r="D930" t="s">
        <v>79</v>
      </c>
      <c r="E930" s="64"/>
      <c r="F930" s="64"/>
      <c r="G930">
        <f>IFERROR(HLOOKUP(G$2,[30]table_male_hkom3_inj.U1!$A$1:$K$36,11,FALSE),0)</f>
        <v>247</v>
      </c>
      <c r="H930">
        <f>IFERROR(HLOOKUP(H$2,[30]table_male_hkom3_inj.U1!$A$1:$K$36,11,FALSE),0)</f>
        <v>210</v>
      </c>
      <c r="I930">
        <f>IFERROR(HLOOKUP(I$2,[30]table_male_hkom3_inj.U1!$A$1:$K$36,11,FALSE),0)</f>
        <v>73</v>
      </c>
      <c r="J930">
        <f>IFERROR(HLOOKUP(J$2,[30]table_male_hkom3_inj.U1!$A$1:$K$36,11,FALSE),0)</f>
        <v>10</v>
      </c>
      <c r="K930">
        <f>IFERROR(HLOOKUP(K$2,[30]table_male_hkom3_inj.U1!$A$1:$K$36,11,FALSE),0)</f>
        <v>2</v>
      </c>
      <c r="L930">
        <f>IFERROR(HLOOKUP(L$2,[30]table_male_hkom3_inj.U1!$A$1:$K$36,11,FALSE),0)</f>
        <v>0</v>
      </c>
      <c r="M930">
        <f t="shared" si="299"/>
        <v>542</v>
      </c>
      <c r="S930" t="s">
        <v>79</v>
      </c>
      <c r="T930" s="5">
        <f t="shared" si="300"/>
        <v>0</v>
      </c>
      <c r="U930" s="5">
        <f t="shared" si="301"/>
        <v>0</v>
      </c>
      <c r="V930" s="5">
        <f t="shared" si="302"/>
        <v>274.80195399959291</v>
      </c>
      <c r="W930" s="5">
        <f t="shared" si="303"/>
        <v>235.05093657574761</v>
      </c>
      <c r="X930" s="5">
        <f t="shared" si="304"/>
        <v>80.815413013382553</v>
      </c>
      <c r="Y930" s="5">
        <f t="shared" si="305"/>
        <v>10.863636363636363</v>
      </c>
      <c r="Z930" s="5">
        <f t="shared" si="306"/>
        <v>2.1176470588235294</v>
      </c>
      <c r="AA930" s="5">
        <f t="shared" si="307"/>
        <v>0</v>
      </c>
      <c r="AB930" s="5">
        <f t="shared" si="297"/>
        <v>603.64958701118303</v>
      </c>
    </row>
    <row r="931" spans="4:28" x14ac:dyDescent="0.25">
      <c r="D931" t="s">
        <v>80</v>
      </c>
      <c r="E931" s="64"/>
      <c r="F931" s="64"/>
      <c r="G931">
        <f>IFERROR(HLOOKUP(G$2,[30]table_male_hkom3_inj.U1!$A$1:$K$36,12,FALSE),0)</f>
        <v>257</v>
      </c>
      <c r="H931">
        <f>IFERROR(HLOOKUP(H$2,[30]table_male_hkom3_inj.U1!$A$1:$K$36,12,FALSE),0)</f>
        <v>400</v>
      </c>
      <c r="I931">
        <f>IFERROR(HLOOKUP(I$2,[30]table_male_hkom3_inj.U1!$A$1:$K$36,12,FALSE),0)</f>
        <v>170</v>
      </c>
      <c r="J931">
        <f>IFERROR(HLOOKUP(J$2,[30]table_male_hkom3_inj.U1!$A$1:$K$36,12,FALSE),0)</f>
        <v>14</v>
      </c>
      <c r="K931">
        <f>IFERROR(HLOOKUP(K$2,[30]table_male_hkom3_inj.U1!$A$1:$K$36,12,FALSE),0)</f>
        <v>2</v>
      </c>
      <c r="L931">
        <f>IFERROR(HLOOKUP(L$2,[30]table_male_hkom3_inj.U1!$A$1:$K$36,12,FALSE),0)</f>
        <v>0</v>
      </c>
      <c r="M931">
        <f t="shared" si="299"/>
        <v>843</v>
      </c>
      <c r="S931" t="s">
        <v>80</v>
      </c>
      <c r="T931" s="5">
        <f t="shared" si="300"/>
        <v>0</v>
      </c>
      <c r="U931" s="5">
        <f t="shared" si="301"/>
        <v>0</v>
      </c>
      <c r="V931" s="5">
        <f t="shared" si="302"/>
        <v>285.92753918176265</v>
      </c>
      <c r="W931" s="5">
        <f t="shared" si="303"/>
        <v>447.71606966809071</v>
      </c>
      <c r="X931" s="5">
        <f t="shared" si="304"/>
        <v>188.20027688047992</v>
      </c>
      <c r="Y931" s="5">
        <f t="shared" si="305"/>
        <v>15.209090909090909</v>
      </c>
      <c r="Z931" s="5">
        <f t="shared" si="306"/>
        <v>2.1176470588235294</v>
      </c>
      <c r="AA931" s="5">
        <f t="shared" si="307"/>
        <v>0</v>
      </c>
      <c r="AB931" s="5">
        <f t="shared" si="297"/>
        <v>939.17062369824771</v>
      </c>
    </row>
    <row r="932" spans="4:28" x14ac:dyDescent="0.25">
      <c r="D932" t="s">
        <v>81</v>
      </c>
      <c r="E932" s="64"/>
      <c r="F932" s="64"/>
      <c r="G932">
        <f>IFERROR(HLOOKUP(G$2,[30]table_male_hkom3_inj.U1!$A$1:$K$36,13,FALSE),0)</f>
        <v>44</v>
      </c>
      <c r="H932">
        <f>IFERROR(HLOOKUP(H$2,[30]table_male_hkom3_inj.U1!$A$1:$K$36,13,FALSE),0)</f>
        <v>70</v>
      </c>
      <c r="I932">
        <f>IFERROR(HLOOKUP(I$2,[30]table_male_hkom3_inj.U1!$A$1:$K$36,13,FALSE),0)</f>
        <v>25</v>
      </c>
      <c r="J932">
        <f>IFERROR(HLOOKUP(J$2,[30]table_male_hkom3_inj.U1!$A$1:$K$36,13,FALSE),0)</f>
        <v>4</v>
      </c>
      <c r="K932">
        <f>IFERROR(HLOOKUP(K$2,[30]table_male_hkom3_inj.U1!$A$1:$K$36,13,FALSE),0)</f>
        <v>1</v>
      </c>
      <c r="L932">
        <f>IFERROR(HLOOKUP(L$2,[30]table_male_hkom3_inj.U1!$A$1:$K$36,13,FALSE),0)</f>
        <v>0</v>
      </c>
      <c r="M932">
        <f t="shared" si="299"/>
        <v>144</v>
      </c>
      <c r="S932" t="s">
        <v>81</v>
      </c>
      <c r="T932" s="5">
        <f t="shared" si="300"/>
        <v>0</v>
      </c>
      <c r="U932" s="5">
        <f t="shared" si="301"/>
        <v>0</v>
      </c>
      <c r="V932" s="5">
        <f t="shared" si="302"/>
        <v>48.952574801546916</v>
      </c>
      <c r="W932" s="5">
        <f t="shared" si="303"/>
        <v>78.350312191915876</v>
      </c>
      <c r="X932" s="5">
        <f t="shared" si="304"/>
        <v>27.676511305952928</v>
      </c>
      <c r="Y932" s="5">
        <f t="shared" si="305"/>
        <v>4.3454545454545457</v>
      </c>
      <c r="Z932" s="5">
        <f t="shared" si="306"/>
        <v>1.0588235294117647</v>
      </c>
      <c r="AA932" s="5">
        <f t="shared" si="307"/>
        <v>0</v>
      </c>
      <c r="AB932" s="5">
        <f t="shared" si="297"/>
        <v>160.38367637428203</v>
      </c>
    </row>
    <row r="933" spans="4:28" x14ac:dyDescent="0.25">
      <c r="D933" t="s">
        <v>82</v>
      </c>
      <c r="E933" s="64"/>
      <c r="F933" s="64"/>
      <c r="G933">
        <f>IFERROR(HLOOKUP(G$2,[30]table_male_hkom3_inj.U1!$A$1:$K$36,14,FALSE),0)</f>
        <v>146</v>
      </c>
      <c r="H933">
        <f>IFERROR(HLOOKUP(H$2,[30]table_male_hkom3_inj.U1!$A$1:$K$36,14,FALSE),0)</f>
        <v>164</v>
      </c>
      <c r="I933">
        <f>IFERROR(HLOOKUP(I$2,[30]table_male_hkom3_inj.U1!$A$1:$K$36,14,FALSE),0)</f>
        <v>78</v>
      </c>
      <c r="J933">
        <f>IFERROR(HLOOKUP(J$2,[30]table_male_hkom3_inj.U1!$A$1:$K$36,14,FALSE),0)</f>
        <v>5</v>
      </c>
      <c r="K933">
        <f>IFERROR(HLOOKUP(K$2,[30]table_male_hkom3_inj.U1!$A$1:$K$36,14,FALSE),0)</f>
        <v>0</v>
      </c>
      <c r="L933">
        <f>IFERROR(HLOOKUP(L$2,[30]table_male_hkom3_inj.U1!$A$1:$K$36,14,FALSE),0)</f>
        <v>0</v>
      </c>
      <c r="M933">
        <f t="shared" si="299"/>
        <v>393</v>
      </c>
      <c r="S933" t="s">
        <v>82</v>
      </c>
      <c r="T933" s="5">
        <f t="shared" si="300"/>
        <v>0</v>
      </c>
      <c r="U933" s="5">
        <f t="shared" si="301"/>
        <v>0</v>
      </c>
      <c r="V933" s="5">
        <f t="shared" si="302"/>
        <v>162.43354365967841</v>
      </c>
      <c r="W933" s="5">
        <f t="shared" si="303"/>
        <v>183.56358856391719</v>
      </c>
      <c r="X933" s="5">
        <f t="shared" si="304"/>
        <v>86.350715274573147</v>
      </c>
      <c r="Y933" s="5">
        <f t="shared" si="305"/>
        <v>5.4318181818181817</v>
      </c>
      <c r="Z933" s="5">
        <f t="shared" si="306"/>
        <v>0</v>
      </c>
      <c r="AA933" s="5">
        <f t="shared" si="307"/>
        <v>0</v>
      </c>
      <c r="AB933" s="5">
        <f t="shared" si="297"/>
        <v>437.77966567998692</v>
      </c>
    </row>
    <row r="934" spans="4:28" x14ac:dyDescent="0.25">
      <c r="D934" t="s">
        <v>83</v>
      </c>
      <c r="E934" s="64"/>
      <c r="F934" s="64"/>
      <c r="G934">
        <f>IFERROR(HLOOKUP(G$2,[30]table_male_hkom3_inj.U1!$A$1:$K$36,15,FALSE),0)</f>
        <v>33</v>
      </c>
      <c r="H934">
        <f>IFERROR(HLOOKUP(H$2,[30]table_male_hkom3_inj.U1!$A$1:$K$36,15,FALSE),0)</f>
        <v>38</v>
      </c>
      <c r="I934">
        <f>IFERROR(HLOOKUP(I$2,[30]table_male_hkom3_inj.U1!$A$1:$K$36,15,FALSE),0)</f>
        <v>15</v>
      </c>
      <c r="J934">
        <f>IFERROR(HLOOKUP(J$2,[30]table_male_hkom3_inj.U1!$A$1:$K$36,15,FALSE),0)</f>
        <v>3</v>
      </c>
      <c r="K934">
        <f>IFERROR(HLOOKUP(K$2,[30]table_male_hkom3_inj.U1!$A$1:$K$36,15,FALSE),0)</f>
        <v>0</v>
      </c>
      <c r="L934">
        <f>IFERROR(HLOOKUP(L$2,[30]table_male_hkom3_inj.U1!$A$1:$K$36,15,FALSE),0)</f>
        <v>0</v>
      </c>
      <c r="M934">
        <f t="shared" si="299"/>
        <v>89</v>
      </c>
      <c r="S934" t="s">
        <v>83</v>
      </c>
      <c r="T934" s="5">
        <f t="shared" si="300"/>
        <v>0</v>
      </c>
      <c r="U934" s="5">
        <f t="shared" si="301"/>
        <v>0</v>
      </c>
      <c r="V934" s="5">
        <f t="shared" si="302"/>
        <v>36.714431101160187</v>
      </c>
      <c r="W934" s="5">
        <f t="shared" si="303"/>
        <v>42.533026618468618</v>
      </c>
      <c r="X934" s="5">
        <f t="shared" si="304"/>
        <v>16.605906783571758</v>
      </c>
      <c r="Y934" s="5">
        <f t="shared" si="305"/>
        <v>3.2590909090909093</v>
      </c>
      <c r="Z934" s="5">
        <f t="shared" si="306"/>
        <v>0</v>
      </c>
      <c r="AA934" s="5">
        <f t="shared" si="307"/>
        <v>0</v>
      </c>
      <c r="AB934" s="5">
        <f t="shared" si="297"/>
        <v>99.112455412291482</v>
      </c>
    </row>
    <row r="935" spans="4:28" x14ac:dyDescent="0.25">
      <c r="D935" t="s">
        <v>84</v>
      </c>
      <c r="E935" s="64"/>
      <c r="F935" s="64"/>
      <c r="G935">
        <f>IFERROR(HLOOKUP(G$2,[30]table_male_hkom3_inj.U1!$A$1:$K$36,16,FALSE),0)</f>
        <v>45</v>
      </c>
      <c r="H935">
        <f>IFERROR(HLOOKUP(H$2,[30]table_male_hkom3_inj.U1!$A$1:$K$36,16,FALSE),0)</f>
        <v>85</v>
      </c>
      <c r="I935">
        <f>IFERROR(HLOOKUP(I$2,[30]table_male_hkom3_inj.U1!$A$1:$K$36,16,FALSE),0)</f>
        <v>43</v>
      </c>
      <c r="J935">
        <f>IFERROR(HLOOKUP(J$2,[30]table_male_hkom3_inj.U1!$A$1:$K$36,16,FALSE),0)</f>
        <v>2</v>
      </c>
      <c r="K935">
        <f>IFERROR(HLOOKUP(K$2,[30]table_male_hkom3_inj.U1!$A$1:$K$36,16,FALSE),0)</f>
        <v>0</v>
      </c>
      <c r="L935">
        <f>IFERROR(HLOOKUP(L$2,[30]table_male_hkom3_inj.U1!$A$1:$K$36,16,FALSE),0)</f>
        <v>0</v>
      </c>
      <c r="M935">
        <f t="shared" si="299"/>
        <v>175</v>
      </c>
      <c r="S935" t="s">
        <v>84</v>
      </c>
      <c r="T935" s="5">
        <f t="shared" si="300"/>
        <v>0</v>
      </c>
      <c r="U935" s="5">
        <f t="shared" si="301"/>
        <v>0</v>
      </c>
      <c r="V935" s="5">
        <f t="shared" si="302"/>
        <v>50.065133319763895</v>
      </c>
      <c r="W935" s="5">
        <f t="shared" si="303"/>
        <v>95.139664804469277</v>
      </c>
      <c r="X935" s="5">
        <f t="shared" si="304"/>
        <v>47.603599446239038</v>
      </c>
      <c r="Y935" s="5">
        <f t="shared" si="305"/>
        <v>2.1727272727272728</v>
      </c>
      <c r="Z935" s="5">
        <f t="shared" si="306"/>
        <v>0</v>
      </c>
      <c r="AA935" s="5">
        <f t="shared" si="307"/>
        <v>0</v>
      </c>
      <c r="AB935" s="5">
        <f t="shared" si="297"/>
        <v>194.9811248431995</v>
      </c>
    </row>
    <row r="936" spans="4:28" x14ac:dyDescent="0.25">
      <c r="D936" t="s">
        <v>85</v>
      </c>
      <c r="E936" s="64"/>
      <c r="F936" s="64"/>
      <c r="G936">
        <f>IFERROR(HLOOKUP(G$2,[30]table_male_hkom3_inj.U1!$A$1:$K$36,17,FALSE),0)</f>
        <v>176</v>
      </c>
      <c r="H936">
        <f>IFERROR(HLOOKUP(H$2,[30]table_male_hkom3_inj.U1!$A$1:$K$36,17,FALSE),0)</f>
        <v>197</v>
      </c>
      <c r="I936">
        <f>IFERROR(HLOOKUP(I$2,[30]table_male_hkom3_inj.U1!$A$1:$K$36,17,FALSE),0)</f>
        <v>77</v>
      </c>
      <c r="J936">
        <f>IFERROR(HLOOKUP(J$2,[30]table_male_hkom3_inj.U1!$A$1:$K$36,17,FALSE),0)</f>
        <v>5</v>
      </c>
      <c r="K936">
        <f>IFERROR(HLOOKUP(K$2,[30]table_male_hkom3_inj.U1!$A$1:$K$36,17,FALSE),0)</f>
        <v>0</v>
      </c>
      <c r="L936">
        <f>IFERROR(HLOOKUP(L$2,[30]table_male_hkom3_inj.U1!$A$1:$K$36,17,FALSE),0)</f>
        <v>0</v>
      </c>
      <c r="M936">
        <f t="shared" si="299"/>
        <v>455</v>
      </c>
      <c r="S936" t="s">
        <v>85</v>
      </c>
      <c r="T936" s="5">
        <f t="shared" si="300"/>
        <v>0</v>
      </c>
      <c r="U936" s="5">
        <f t="shared" si="301"/>
        <v>0</v>
      </c>
      <c r="V936" s="5">
        <f t="shared" si="302"/>
        <v>195.81029920618766</v>
      </c>
      <c r="W936" s="5">
        <f t="shared" si="303"/>
        <v>220.50016431153466</v>
      </c>
      <c r="X936" s="5">
        <f t="shared" si="304"/>
        <v>85.243654822335031</v>
      </c>
      <c r="Y936" s="5">
        <f t="shared" si="305"/>
        <v>5.4318181818181817</v>
      </c>
      <c r="Z936" s="5">
        <f t="shared" si="306"/>
        <v>0</v>
      </c>
      <c r="AA936" s="5">
        <f t="shared" si="307"/>
        <v>0</v>
      </c>
      <c r="AB936" s="5">
        <f t="shared" si="297"/>
        <v>506.98593652187554</v>
      </c>
    </row>
    <row r="937" spans="4:28" x14ac:dyDescent="0.25">
      <c r="D937" t="s">
        <v>86</v>
      </c>
      <c r="E937" s="64"/>
      <c r="F937" s="64"/>
      <c r="G937">
        <f>IFERROR(HLOOKUP(G$2,[30]table_male_hkom3_inj.U1!$A$1:$K$36,18,FALSE),0)</f>
        <v>1377</v>
      </c>
      <c r="H937">
        <f>IFERROR(HLOOKUP(H$2,[30]table_male_hkom3_inj.U1!$A$1:$K$36,18,FALSE),0)</f>
        <v>1546</v>
      </c>
      <c r="I937">
        <f>IFERROR(HLOOKUP(I$2,[30]table_male_hkom3_inj.U1!$A$1:$K$36,18,FALSE),0)</f>
        <v>463</v>
      </c>
      <c r="J937">
        <f>IFERROR(HLOOKUP(J$2,[30]table_male_hkom3_inj.U1!$A$1:$K$36,18,FALSE),0)</f>
        <v>56</v>
      </c>
      <c r="K937">
        <f>IFERROR(HLOOKUP(K$2,[30]table_male_hkom3_inj.U1!$A$1:$K$36,18,FALSE),0)</f>
        <v>4</v>
      </c>
      <c r="L937">
        <f>IFERROR(HLOOKUP(L$2,[30]table_male_hkom3_inj.U1!$A$1:$K$36,18,FALSE),0)</f>
        <v>0</v>
      </c>
      <c r="M937">
        <f t="shared" si="299"/>
        <v>3446</v>
      </c>
      <c r="S937" t="s">
        <v>86</v>
      </c>
      <c r="T937" s="5">
        <f t="shared" si="300"/>
        <v>0</v>
      </c>
      <c r="U937" s="5">
        <f t="shared" si="301"/>
        <v>0</v>
      </c>
      <c r="V937" s="5">
        <f t="shared" si="302"/>
        <v>1531.9930795847752</v>
      </c>
      <c r="W937" s="5">
        <f t="shared" si="303"/>
        <v>1730.4226092671706</v>
      </c>
      <c r="X937" s="5">
        <f t="shared" si="304"/>
        <v>512.56898938624829</v>
      </c>
      <c r="Y937" s="5">
        <f t="shared" si="305"/>
        <v>60.836363636363636</v>
      </c>
      <c r="Z937" s="5">
        <f t="shared" si="306"/>
        <v>4.2352941176470589</v>
      </c>
      <c r="AA937" s="5">
        <f t="shared" si="307"/>
        <v>0</v>
      </c>
      <c r="AB937" s="5">
        <f t="shared" si="297"/>
        <v>3840.0563359922044</v>
      </c>
    </row>
    <row r="938" spans="4:28" x14ac:dyDescent="0.25">
      <c r="D938" t="s">
        <v>87</v>
      </c>
      <c r="E938" s="64"/>
      <c r="F938" s="64"/>
      <c r="G938">
        <f>IFERROR(HLOOKUP(G$2,[30]table_male_hkom3_inj.U1!$A$1:$K$36,19,FALSE),0)</f>
        <v>68</v>
      </c>
      <c r="H938">
        <f>IFERROR(HLOOKUP(H$2,[30]table_male_hkom3_inj.U1!$A$1:$K$36,19,FALSE),0)</f>
        <v>83</v>
      </c>
      <c r="I938">
        <f>IFERROR(HLOOKUP(I$2,[30]table_male_hkom3_inj.U1!$A$1:$K$36,19,FALSE),0)</f>
        <v>25</v>
      </c>
      <c r="J938">
        <f>IFERROR(HLOOKUP(J$2,[30]table_male_hkom3_inj.U1!$A$1:$K$36,19,FALSE),0)</f>
        <v>5</v>
      </c>
      <c r="K938">
        <f>IFERROR(HLOOKUP(K$2,[30]table_male_hkom3_inj.U1!$A$1:$K$36,19,FALSE),0)</f>
        <v>0</v>
      </c>
      <c r="L938">
        <f>IFERROR(HLOOKUP(L$2,[30]table_male_hkom3_inj.U1!$A$1:$K$36,19,FALSE),0)</f>
        <v>0</v>
      </c>
      <c r="M938">
        <f t="shared" si="299"/>
        <v>181</v>
      </c>
      <c r="S938" t="s">
        <v>87</v>
      </c>
      <c r="T938" s="5">
        <f t="shared" si="300"/>
        <v>0</v>
      </c>
      <c r="U938" s="5">
        <f t="shared" si="301"/>
        <v>0</v>
      </c>
      <c r="V938" s="5">
        <f t="shared" si="302"/>
        <v>75.653979238754332</v>
      </c>
      <c r="W938" s="5">
        <f t="shared" si="303"/>
        <v>92.901084456128814</v>
      </c>
      <c r="X938" s="5">
        <f t="shared" si="304"/>
        <v>27.676511305952928</v>
      </c>
      <c r="Y938" s="5">
        <f t="shared" si="305"/>
        <v>5.4318181818181817</v>
      </c>
      <c r="Z938" s="5">
        <f t="shared" si="306"/>
        <v>0</v>
      </c>
      <c r="AA938" s="5">
        <f t="shared" si="307"/>
        <v>0</v>
      </c>
      <c r="AB938" s="5">
        <f t="shared" si="297"/>
        <v>201.66339318265426</v>
      </c>
    </row>
    <row r="939" spans="4:28" x14ac:dyDescent="0.25">
      <c r="D939" t="s">
        <v>88</v>
      </c>
      <c r="E939" s="64"/>
      <c r="F939" s="64"/>
      <c r="G939">
        <f>IFERROR(HLOOKUP(G$2,[30]table_male_hkom3_inj.U1!$A$1:$K$36,20,FALSE),0)</f>
        <v>847</v>
      </c>
      <c r="H939">
        <f>IFERROR(HLOOKUP(H$2,[30]table_male_hkom3_inj.U1!$A$1:$K$36,20,FALSE),0)</f>
        <v>879</v>
      </c>
      <c r="I939">
        <f>IFERROR(HLOOKUP(I$2,[30]table_male_hkom3_inj.U1!$A$1:$K$36,20,FALSE),0)</f>
        <v>293</v>
      </c>
      <c r="J939">
        <f>IFERROR(HLOOKUP(J$2,[30]table_male_hkom3_inj.U1!$A$1:$K$36,20,FALSE),0)</f>
        <v>27</v>
      </c>
      <c r="K939">
        <f>IFERROR(HLOOKUP(K$2,[30]table_male_hkom3_inj.U1!$A$1:$K$36,20,FALSE),0)</f>
        <v>3</v>
      </c>
      <c r="L939">
        <f>IFERROR(HLOOKUP(L$2,[30]table_male_hkom3_inj.U1!$A$1:$K$36,20,FALSE),0)</f>
        <v>0</v>
      </c>
      <c r="M939">
        <f t="shared" si="299"/>
        <v>2049</v>
      </c>
      <c r="S939" t="s">
        <v>88</v>
      </c>
      <c r="T939" s="5">
        <f t="shared" si="300"/>
        <v>0</v>
      </c>
      <c r="U939" s="5">
        <f t="shared" si="301"/>
        <v>0</v>
      </c>
      <c r="V939" s="5">
        <f t="shared" si="302"/>
        <v>942.33706492977819</v>
      </c>
      <c r="W939" s="5">
        <f t="shared" si="303"/>
        <v>983.85606309562934</v>
      </c>
      <c r="X939" s="5">
        <f t="shared" si="304"/>
        <v>324.36871250576837</v>
      </c>
      <c r="Y939" s="5">
        <f t="shared" si="305"/>
        <v>29.331818181818182</v>
      </c>
      <c r="Z939" s="5">
        <f t="shared" si="306"/>
        <v>3.1764705882352939</v>
      </c>
      <c r="AA939" s="5">
        <f t="shared" si="307"/>
        <v>0</v>
      </c>
      <c r="AB939" s="5">
        <f t="shared" si="297"/>
        <v>2283.0701293012294</v>
      </c>
    </row>
    <row r="940" spans="4:28" x14ac:dyDescent="0.25">
      <c r="D940" t="s">
        <v>89</v>
      </c>
      <c r="E940" s="64"/>
      <c r="F940" s="64"/>
      <c r="G940">
        <f>IFERROR(HLOOKUP(G$2,[30]table_male_hkom3_inj.U1!$A$1:$K$36,21,FALSE),0)</f>
        <v>10</v>
      </c>
      <c r="H940">
        <f>IFERROR(HLOOKUP(H$2,[30]table_male_hkom3_inj.U1!$A$1:$K$36,21,FALSE),0)</f>
        <v>11</v>
      </c>
      <c r="I940">
        <f>IFERROR(HLOOKUP(I$2,[30]table_male_hkom3_inj.U1!$A$1:$K$36,21,FALSE),0)</f>
        <v>4</v>
      </c>
      <c r="J940">
        <f>IFERROR(HLOOKUP(J$2,[30]table_male_hkom3_inj.U1!$A$1:$K$36,21,FALSE),0)</f>
        <v>1</v>
      </c>
      <c r="K940">
        <f>IFERROR(HLOOKUP(K$2,[30]table_male_hkom3_inj.U1!$A$1:$K$36,21,FALSE),0)</f>
        <v>0</v>
      </c>
      <c r="L940">
        <f>IFERROR(HLOOKUP(L$2,[30]table_male_hkom3_inj.U1!$A$1:$K$36,21,FALSE),0)</f>
        <v>0</v>
      </c>
      <c r="M940">
        <f t="shared" si="299"/>
        <v>26</v>
      </c>
      <c r="S940" t="s">
        <v>89</v>
      </c>
      <c r="T940" s="5">
        <f t="shared" si="300"/>
        <v>0</v>
      </c>
      <c r="U940" s="5">
        <f t="shared" si="301"/>
        <v>0</v>
      </c>
      <c r="V940" s="5">
        <f t="shared" si="302"/>
        <v>11.125585182169754</v>
      </c>
      <c r="W940" s="5">
        <f t="shared" si="303"/>
        <v>12.312191915872495</v>
      </c>
      <c r="X940" s="5">
        <f t="shared" si="304"/>
        <v>4.4282418089524684</v>
      </c>
      <c r="Y940" s="5">
        <f t="shared" si="305"/>
        <v>1.0863636363636364</v>
      </c>
      <c r="Z940" s="5">
        <f t="shared" si="306"/>
        <v>0</v>
      </c>
      <c r="AA940" s="5">
        <f t="shared" si="307"/>
        <v>0</v>
      </c>
      <c r="AB940" s="5">
        <f t="shared" si="297"/>
        <v>28.95238254335835</v>
      </c>
    </row>
    <row r="941" spans="4:28" x14ac:dyDescent="0.25">
      <c r="D941" t="s">
        <v>90</v>
      </c>
      <c r="E941" s="64"/>
      <c r="F941" s="64"/>
      <c r="G941">
        <f>IFERROR(HLOOKUP(G$2,[30]table_male_hkom3_inj.U1!$A$1:$K$36,22,FALSE),0)</f>
        <v>0</v>
      </c>
      <c r="H941">
        <f>IFERROR(HLOOKUP(H$2,[30]table_male_hkom3_inj.U1!$A$1:$K$36,22,FALSE),0)</f>
        <v>0</v>
      </c>
      <c r="I941">
        <f>IFERROR(HLOOKUP(I$2,[30]table_male_hkom3_inj.U1!$A$1:$K$36,22,FALSE),0)</f>
        <v>0</v>
      </c>
      <c r="J941">
        <f>IFERROR(HLOOKUP(J$2,[30]table_male_hkom3_inj.U1!$A$1:$K$36,22,FALSE),0)</f>
        <v>0</v>
      </c>
      <c r="K941">
        <f>IFERROR(HLOOKUP(K$2,[30]table_male_hkom3_inj.U1!$A$1:$K$36,22,FALSE),0)</f>
        <v>0</v>
      </c>
      <c r="L941">
        <f>IFERROR(HLOOKUP(L$2,[30]table_male_hkom3_inj.U1!$A$1:$K$36,22,FALSE),0)</f>
        <v>0</v>
      </c>
      <c r="M941">
        <f t="shared" si="299"/>
        <v>0</v>
      </c>
      <c r="S941" t="s">
        <v>90</v>
      </c>
      <c r="T941" s="5">
        <f t="shared" si="300"/>
        <v>0</v>
      </c>
      <c r="U941" s="5">
        <f t="shared" si="301"/>
        <v>0</v>
      </c>
      <c r="V941" s="5">
        <f t="shared" si="302"/>
        <v>0</v>
      </c>
      <c r="W941" s="5">
        <f t="shared" si="303"/>
        <v>0</v>
      </c>
      <c r="X941" s="5">
        <f t="shared" si="304"/>
        <v>0</v>
      </c>
      <c r="Y941" s="5">
        <f t="shared" si="305"/>
        <v>0</v>
      </c>
      <c r="Z941" s="5">
        <f t="shared" si="306"/>
        <v>0</v>
      </c>
      <c r="AA941" s="5">
        <f t="shared" si="307"/>
        <v>0</v>
      </c>
      <c r="AB941" s="5">
        <f t="shared" si="297"/>
        <v>0</v>
      </c>
    </row>
    <row r="942" spans="4:28" x14ac:dyDescent="0.25">
      <c r="D942" t="s">
        <v>91</v>
      </c>
      <c r="E942" s="64"/>
      <c r="F942" s="64"/>
      <c r="G942">
        <f>IFERROR(HLOOKUP(G$2,[30]table_male_hkom3_inj.U1!$A$1:$K$36,23,FALSE),0)</f>
        <v>4</v>
      </c>
      <c r="H942">
        <f>IFERROR(HLOOKUP(H$2,[30]table_male_hkom3_inj.U1!$A$1:$K$36,23,FALSE),0)</f>
        <v>8</v>
      </c>
      <c r="I942">
        <f>IFERROR(HLOOKUP(I$2,[30]table_male_hkom3_inj.U1!$A$1:$K$36,23,FALSE),0)</f>
        <v>2</v>
      </c>
      <c r="J942">
        <f>IFERROR(HLOOKUP(J$2,[30]table_male_hkom3_inj.U1!$A$1:$K$36,23,FALSE),0)</f>
        <v>1</v>
      </c>
      <c r="K942">
        <f>IFERROR(HLOOKUP(K$2,[30]table_male_hkom3_inj.U1!$A$1:$K$36,23,FALSE),0)</f>
        <v>0</v>
      </c>
      <c r="L942">
        <f>IFERROR(HLOOKUP(L$2,[30]table_male_hkom3_inj.U1!$A$1:$K$36,23,FALSE),0)</f>
        <v>0</v>
      </c>
      <c r="M942">
        <f t="shared" si="299"/>
        <v>15</v>
      </c>
      <c r="S942" t="s">
        <v>91</v>
      </c>
      <c r="T942" s="5">
        <f t="shared" si="300"/>
        <v>0</v>
      </c>
      <c r="U942" s="5">
        <f t="shared" si="301"/>
        <v>0</v>
      </c>
      <c r="V942" s="5">
        <f t="shared" si="302"/>
        <v>4.4502340728679011</v>
      </c>
      <c r="W942" s="5">
        <f t="shared" si="303"/>
        <v>8.9543213933618144</v>
      </c>
      <c r="X942" s="5">
        <f t="shared" si="304"/>
        <v>2.2141209044762342</v>
      </c>
      <c r="Y942" s="5">
        <f t="shared" si="305"/>
        <v>1.0863636363636364</v>
      </c>
      <c r="Z942" s="5">
        <f t="shared" si="306"/>
        <v>0</v>
      </c>
      <c r="AA942" s="5">
        <f t="shared" si="307"/>
        <v>0</v>
      </c>
      <c r="AB942" s="5">
        <f t="shared" si="297"/>
        <v>16.705040007069588</v>
      </c>
    </row>
    <row r="943" spans="4:28" x14ac:dyDescent="0.25">
      <c r="D943" t="s">
        <v>92</v>
      </c>
      <c r="E943" s="64"/>
      <c r="F943" s="64"/>
      <c r="G943">
        <f>IFERROR(HLOOKUP(G$2,[30]table_male_hkom3_inj.U1!$A$1:$K$36,24,FALSE),0)</f>
        <v>0</v>
      </c>
      <c r="H943">
        <f>IFERROR(HLOOKUP(H$2,[30]table_male_hkom3_inj.U1!$A$1:$K$36,24,FALSE),0)</f>
        <v>0</v>
      </c>
      <c r="I943">
        <f>IFERROR(HLOOKUP(I$2,[30]table_male_hkom3_inj.U1!$A$1:$K$36,24,FALSE),0)</f>
        <v>0</v>
      </c>
      <c r="J943">
        <f>IFERROR(HLOOKUP(J$2,[30]table_male_hkom3_inj.U1!$A$1:$K$36,24,FALSE),0)</f>
        <v>0</v>
      </c>
      <c r="K943">
        <f>IFERROR(HLOOKUP(K$2,[30]table_male_hkom3_inj.U1!$A$1:$K$36,24,FALSE),0)</f>
        <v>0</v>
      </c>
      <c r="L943">
        <f>IFERROR(HLOOKUP(L$2,[30]table_male_hkom3_inj.U1!$A$1:$K$36,24,FALSE),0)</f>
        <v>0</v>
      </c>
      <c r="M943">
        <f t="shared" si="299"/>
        <v>0</v>
      </c>
      <c r="S943" t="s">
        <v>92</v>
      </c>
      <c r="T943" s="5">
        <f t="shared" si="300"/>
        <v>0</v>
      </c>
      <c r="U943" s="5">
        <f t="shared" si="301"/>
        <v>0</v>
      </c>
      <c r="V943" s="5">
        <f t="shared" si="302"/>
        <v>0</v>
      </c>
      <c r="W943" s="5">
        <f t="shared" si="303"/>
        <v>0</v>
      </c>
      <c r="X943" s="5">
        <f t="shared" si="304"/>
        <v>0</v>
      </c>
      <c r="Y943" s="5">
        <f t="shared" si="305"/>
        <v>0</v>
      </c>
      <c r="Z943" s="5">
        <f t="shared" si="306"/>
        <v>0</v>
      </c>
      <c r="AA943" s="5">
        <f t="shared" si="307"/>
        <v>0</v>
      </c>
      <c r="AB943" s="5">
        <f t="shared" si="297"/>
        <v>0</v>
      </c>
    </row>
    <row r="944" spans="4:28" x14ac:dyDescent="0.25">
      <c r="D944" t="s">
        <v>93</v>
      </c>
      <c r="E944" s="64"/>
      <c r="F944" s="64"/>
      <c r="G944">
        <f>IFERROR(HLOOKUP(G$2,[30]table_male_hkom3_inj.U1!$A$1:$K$36,25,FALSE),0)</f>
        <v>5</v>
      </c>
      <c r="H944">
        <f>IFERROR(HLOOKUP(H$2,[30]table_male_hkom3_inj.U1!$A$1:$K$36,25,FALSE),0)</f>
        <v>4</v>
      </c>
      <c r="I944">
        <f>IFERROR(HLOOKUP(I$2,[30]table_male_hkom3_inj.U1!$A$1:$K$36,25,FALSE),0)</f>
        <v>3</v>
      </c>
      <c r="J944">
        <f>IFERROR(HLOOKUP(J$2,[30]table_male_hkom3_inj.U1!$A$1:$K$36,25,FALSE),0)</f>
        <v>0</v>
      </c>
      <c r="K944">
        <f>IFERROR(HLOOKUP(K$2,[30]table_male_hkom3_inj.U1!$A$1:$K$36,25,FALSE),0)</f>
        <v>0</v>
      </c>
      <c r="L944">
        <f>IFERROR(HLOOKUP(L$2,[30]table_male_hkom3_inj.U1!$A$1:$K$36,25,FALSE),0)</f>
        <v>0</v>
      </c>
      <c r="M944">
        <f t="shared" si="299"/>
        <v>12</v>
      </c>
      <c r="S944" t="s">
        <v>93</v>
      </c>
      <c r="T944" s="5">
        <f t="shared" si="300"/>
        <v>0</v>
      </c>
      <c r="U944" s="5">
        <f t="shared" si="301"/>
        <v>0</v>
      </c>
      <c r="V944" s="5">
        <f t="shared" si="302"/>
        <v>5.562792591084877</v>
      </c>
      <c r="W944" s="5">
        <f t="shared" si="303"/>
        <v>4.4771606966809072</v>
      </c>
      <c r="X944" s="5">
        <f t="shared" si="304"/>
        <v>3.3211813567143516</v>
      </c>
      <c r="Y944" s="5">
        <f t="shared" si="305"/>
        <v>0</v>
      </c>
      <c r="Z944" s="5">
        <f t="shared" si="306"/>
        <v>0</v>
      </c>
      <c r="AA944" s="5">
        <f t="shared" si="307"/>
        <v>0</v>
      </c>
      <c r="AB944" s="5">
        <f t="shared" si="297"/>
        <v>13.361134644480135</v>
      </c>
    </row>
    <row r="945" spans="1:29" x14ac:dyDescent="0.25">
      <c r="D945" t="s">
        <v>94</v>
      </c>
      <c r="E945" s="64"/>
      <c r="F945" s="64"/>
      <c r="G945">
        <f>IFERROR(HLOOKUP(G$2,[30]table_male_hkom3_inj.U1!$A$1:$K$36,26,FALSE),0)</f>
        <v>0</v>
      </c>
      <c r="H945">
        <f>IFERROR(HLOOKUP(H$2,[30]table_male_hkom3_inj.U1!$A$1:$K$36,26,FALSE),0)</f>
        <v>0</v>
      </c>
      <c r="I945">
        <f>IFERROR(HLOOKUP(I$2,[30]table_male_hkom3_inj.U1!$A$1:$K$36,26,FALSE),0)</f>
        <v>1</v>
      </c>
      <c r="J945">
        <f>IFERROR(HLOOKUP(J$2,[30]table_male_hkom3_inj.U1!$A$1:$K$36,26,FALSE),0)</f>
        <v>0</v>
      </c>
      <c r="K945">
        <f>IFERROR(HLOOKUP(K$2,[30]table_male_hkom3_inj.U1!$A$1:$K$36,26,FALSE),0)</f>
        <v>0</v>
      </c>
      <c r="L945">
        <f>IFERROR(HLOOKUP(L$2,[30]table_male_hkom3_inj.U1!$A$1:$K$36,26,FALSE),0)</f>
        <v>0</v>
      </c>
      <c r="M945">
        <f t="shared" si="299"/>
        <v>1</v>
      </c>
      <c r="S945" t="s">
        <v>94</v>
      </c>
      <c r="T945" s="5">
        <f t="shared" si="300"/>
        <v>0</v>
      </c>
      <c r="U945" s="5">
        <f t="shared" si="301"/>
        <v>0</v>
      </c>
      <c r="V945" s="5">
        <f t="shared" si="302"/>
        <v>0</v>
      </c>
      <c r="W945" s="5">
        <f t="shared" si="303"/>
        <v>0</v>
      </c>
      <c r="X945" s="5">
        <f t="shared" si="304"/>
        <v>1.1070604522381171</v>
      </c>
      <c r="Y945" s="5">
        <f t="shared" si="305"/>
        <v>0</v>
      </c>
      <c r="Z945" s="5">
        <f t="shared" si="306"/>
        <v>0</v>
      </c>
      <c r="AA945" s="5">
        <f t="shared" si="307"/>
        <v>0</v>
      </c>
      <c r="AB945" s="5">
        <f t="shared" si="297"/>
        <v>1.1070604522381171</v>
      </c>
    </row>
    <row r="946" spans="1:29" x14ac:dyDescent="0.25">
      <c r="D946" t="s">
        <v>95</v>
      </c>
      <c r="E946" s="64"/>
      <c r="F946" s="64"/>
      <c r="G946">
        <f>IFERROR(HLOOKUP(G$2,[30]table_male_hkom3_inj.U1!$A$1:$K$36,27,FALSE),0)</f>
        <v>0</v>
      </c>
      <c r="H946">
        <f>IFERROR(HLOOKUP(H$2,[30]table_male_hkom3_inj.U1!$A$1:$K$36,27,FALSE),0)</f>
        <v>1</v>
      </c>
      <c r="I946">
        <f>IFERROR(HLOOKUP(I$2,[30]table_male_hkom3_inj.U1!$A$1:$K$36,27,FALSE),0)</f>
        <v>0</v>
      </c>
      <c r="J946">
        <f>IFERROR(HLOOKUP(J$2,[30]table_male_hkom3_inj.U1!$A$1:$K$36,27,FALSE),0)</f>
        <v>0</v>
      </c>
      <c r="K946">
        <f>IFERROR(HLOOKUP(K$2,[30]table_male_hkom3_inj.U1!$A$1:$K$36,27,FALSE),0)</f>
        <v>0</v>
      </c>
      <c r="L946">
        <f>IFERROR(HLOOKUP(L$2,[30]table_male_hkom3_inj.U1!$A$1:$K$36,27,FALSE),0)</f>
        <v>0</v>
      </c>
      <c r="M946">
        <f t="shared" si="299"/>
        <v>1</v>
      </c>
      <c r="S946" t="s">
        <v>95</v>
      </c>
      <c r="T946" s="5">
        <f t="shared" si="300"/>
        <v>0</v>
      </c>
      <c r="U946" s="5">
        <f t="shared" si="301"/>
        <v>0</v>
      </c>
      <c r="V946" s="5">
        <f t="shared" si="302"/>
        <v>0</v>
      </c>
      <c r="W946" s="5">
        <f t="shared" si="303"/>
        <v>1.1192901741702268</v>
      </c>
      <c r="X946" s="5">
        <f t="shared" si="304"/>
        <v>0</v>
      </c>
      <c r="Y946" s="5">
        <f t="shared" si="305"/>
        <v>0</v>
      </c>
      <c r="Z946" s="5">
        <f t="shared" si="306"/>
        <v>0</v>
      </c>
      <c r="AA946" s="5">
        <f t="shared" si="307"/>
        <v>0</v>
      </c>
      <c r="AB946" s="5">
        <f t="shared" si="297"/>
        <v>1.1192901741702268</v>
      </c>
    </row>
    <row r="947" spans="1:29" x14ac:dyDescent="0.25">
      <c r="D947" t="s">
        <v>96</v>
      </c>
      <c r="E947" s="64"/>
      <c r="F947" s="64"/>
      <c r="G947">
        <f>IFERROR(HLOOKUP(G$2,[30]table_male_hkom3_inj.U1!$A$1:$K$36,28,FALSE),0)</f>
        <v>25</v>
      </c>
      <c r="H947">
        <f>IFERROR(HLOOKUP(H$2,[30]table_male_hkom3_inj.U1!$A$1:$K$36,28,FALSE),0)</f>
        <v>35</v>
      </c>
      <c r="I947">
        <f>IFERROR(HLOOKUP(I$2,[30]table_male_hkom3_inj.U1!$A$1:$K$36,28,FALSE),0)</f>
        <v>12</v>
      </c>
      <c r="J947">
        <f>IFERROR(HLOOKUP(J$2,[30]table_male_hkom3_inj.U1!$A$1:$K$36,28,FALSE),0)</f>
        <v>1</v>
      </c>
      <c r="K947">
        <f>IFERROR(HLOOKUP(K$2,[30]table_male_hkom3_inj.U1!$A$1:$K$36,28,FALSE),0)</f>
        <v>0</v>
      </c>
      <c r="L947">
        <f>IFERROR(HLOOKUP(L$2,[30]table_male_hkom3_inj.U1!$A$1:$K$36,28,FALSE),0)</f>
        <v>0</v>
      </c>
      <c r="M947">
        <f t="shared" si="299"/>
        <v>73</v>
      </c>
      <c r="S947" t="s">
        <v>96</v>
      </c>
      <c r="T947" s="5">
        <f t="shared" si="300"/>
        <v>0</v>
      </c>
      <c r="U947" s="5">
        <f t="shared" si="301"/>
        <v>0</v>
      </c>
      <c r="V947" s="5">
        <f t="shared" si="302"/>
        <v>27.813962955424383</v>
      </c>
      <c r="W947" s="5">
        <f t="shared" si="303"/>
        <v>39.175156095957938</v>
      </c>
      <c r="X947" s="5">
        <f t="shared" si="304"/>
        <v>13.284725426857406</v>
      </c>
      <c r="Y947" s="5">
        <f t="shared" si="305"/>
        <v>1.0863636363636364</v>
      </c>
      <c r="Z947" s="5">
        <f t="shared" si="306"/>
        <v>0</v>
      </c>
      <c r="AA947" s="5">
        <f t="shared" si="307"/>
        <v>0</v>
      </c>
      <c r="AB947" s="5">
        <f t="shared" si="297"/>
        <v>81.360208114603367</v>
      </c>
    </row>
    <row r="948" spans="1:29" x14ac:dyDescent="0.25">
      <c r="D948" t="s">
        <v>97</v>
      </c>
      <c r="E948" s="64"/>
      <c r="F948" s="64"/>
      <c r="G948">
        <f>IFERROR(HLOOKUP(G$2,[30]table_male_hkom3_inj.U1!$A$1:$K$36,29,FALSE),0)</f>
        <v>1</v>
      </c>
      <c r="H948">
        <f>IFERROR(HLOOKUP(H$2,[30]table_male_hkom3_inj.U1!$A$1:$K$36,29,FALSE),0)</f>
        <v>1</v>
      </c>
      <c r="I948">
        <f>IFERROR(HLOOKUP(I$2,[30]table_male_hkom3_inj.U1!$A$1:$K$36,29,FALSE),0)</f>
        <v>0</v>
      </c>
      <c r="J948">
        <f>IFERROR(HLOOKUP(J$2,[30]table_male_hkom3_inj.U1!$A$1:$K$36,29,FALSE),0)</f>
        <v>0</v>
      </c>
      <c r="K948">
        <f>IFERROR(HLOOKUP(K$2,[30]table_male_hkom3_inj.U1!$A$1:$K$36,29,FALSE),0)</f>
        <v>0</v>
      </c>
      <c r="L948">
        <f>IFERROR(HLOOKUP(L$2,[30]table_male_hkom3_inj.U1!$A$1:$K$36,29,FALSE),0)</f>
        <v>0</v>
      </c>
      <c r="M948">
        <f t="shared" si="299"/>
        <v>2</v>
      </c>
      <c r="S948" t="s">
        <v>97</v>
      </c>
      <c r="T948" s="5">
        <f t="shared" si="300"/>
        <v>0</v>
      </c>
      <c r="U948" s="5">
        <f t="shared" si="301"/>
        <v>0</v>
      </c>
      <c r="V948" s="5">
        <f t="shared" si="302"/>
        <v>1.1125585182169753</v>
      </c>
      <c r="W948" s="5">
        <f t="shared" si="303"/>
        <v>1.1192901741702268</v>
      </c>
      <c r="X948" s="5">
        <f t="shared" si="304"/>
        <v>0</v>
      </c>
      <c r="Y948" s="5">
        <f t="shared" si="305"/>
        <v>0</v>
      </c>
      <c r="Z948" s="5">
        <f t="shared" si="306"/>
        <v>0</v>
      </c>
      <c r="AA948" s="5">
        <f t="shared" si="307"/>
        <v>0</v>
      </c>
      <c r="AB948" s="5">
        <f t="shared" si="297"/>
        <v>2.2318486923872021</v>
      </c>
    </row>
    <row r="949" spans="1:29" x14ac:dyDescent="0.25">
      <c r="D949" t="s">
        <v>98</v>
      </c>
      <c r="E949" s="64"/>
      <c r="F949" s="64"/>
      <c r="G949">
        <f>IFERROR(HLOOKUP(G$2,[30]table_male_hkom3_inj.U1!$A$1:$K$36,30,FALSE),0)</f>
        <v>2</v>
      </c>
      <c r="H949">
        <f>IFERROR(HLOOKUP(H$2,[30]table_male_hkom3_inj.U1!$A$1:$K$36,30,FALSE),0)</f>
        <v>10</v>
      </c>
      <c r="I949">
        <f>IFERROR(HLOOKUP(I$2,[30]table_male_hkom3_inj.U1!$A$1:$K$36,30,FALSE),0)</f>
        <v>2</v>
      </c>
      <c r="J949">
        <f>IFERROR(HLOOKUP(J$2,[30]table_male_hkom3_inj.U1!$A$1:$K$36,30,FALSE),0)</f>
        <v>1</v>
      </c>
      <c r="K949">
        <f>IFERROR(HLOOKUP(K$2,[30]table_male_hkom3_inj.U1!$A$1:$K$36,30,FALSE),0)</f>
        <v>0</v>
      </c>
      <c r="L949">
        <f>IFERROR(HLOOKUP(L$2,[30]table_male_hkom3_inj.U1!$A$1:$K$36,30,FALSE),0)</f>
        <v>0</v>
      </c>
      <c r="M949">
        <f t="shared" si="299"/>
        <v>15</v>
      </c>
      <c r="S949" t="s">
        <v>98</v>
      </c>
      <c r="T949" s="5">
        <f t="shared" si="300"/>
        <v>0</v>
      </c>
      <c r="U949" s="5">
        <f t="shared" si="301"/>
        <v>0</v>
      </c>
      <c r="V949" s="5">
        <f t="shared" si="302"/>
        <v>2.2251170364339505</v>
      </c>
      <c r="W949" s="5">
        <f t="shared" si="303"/>
        <v>11.192901741702267</v>
      </c>
      <c r="X949" s="5">
        <f t="shared" si="304"/>
        <v>2.2141209044762342</v>
      </c>
      <c r="Y949" s="5">
        <f t="shared" si="305"/>
        <v>1.0863636363636364</v>
      </c>
      <c r="Z949" s="5">
        <f t="shared" si="306"/>
        <v>0</v>
      </c>
      <c r="AA949" s="5">
        <f t="shared" si="307"/>
        <v>0</v>
      </c>
      <c r="AB949" s="5">
        <f t="shared" si="297"/>
        <v>16.718503318976087</v>
      </c>
    </row>
    <row r="950" spans="1:29" x14ac:dyDescent="0.25">
      <c r="D950" t="s">
        <v>119</v>
      </c>
      <c r="E950" s="64"/>
      <c r="F950" s="64"/>
      <c r="G950">
        <f>IFERROR(HLOOKUP(G$2,[30]table_male_hkom3_inj.U1!$A$1:$K$36,31,FALSE),0)</f>
        <v>9</v>
      </c>
      <c r="H950">
        <f>IFERROR(HLOOKUP(H$2,[30]table_male_hkom3_inj.U1!$A$1:$K$36,31,FALSE),0)</f>
        <v>5</v>
      </c>
      <c r="I950">
        <f>IFERROR(HLOOKUP(I$2,[30]table_male_hkom3_inj.U1!$A$1:$K$36,31,FALSE),0)</f>
        <v>1</v>
      </c>
      <c r="J950">
        <f>IFERROR(HLOOKUP(J$2,[30]table_male_hkom3_inj.U1!$A$1:$K$36,31,FALSE),0)</f>
        <v>0</v>
      </c>
      <c r="K950">
        <f>IFERROR(HLOOKUP(K$2,[30]table_male_hkom3_inj.U1!$A$1:$K$36,31,FALSE),0)</f>
        <v>0</v>
      </c>
      <c r="L950">
        <f>IFERROR(HLOOKUP(L$2,[30]table_male_hkom3_inj.U1!$A$1:$K$36,31,FALSE),0)</f>
        <v>0</v>
      </c>
      <c r="M950">
        <f t="shared" si="299"/>
        <v>15</v>
      </c>
      <c r="S950" t="s">
        <v>119</v>
      </c>
      <c r="T950" s="5">
        <f t="shared" si="300"/>
        <v>0</v>
      </c>
      <c r="U950" s="5">
        <f t="shared" si="301"/>
        <v>0</v>
      </c>
      <c r="V950" s="5">
        <f t="shared" si="302"/>
        <v>10.013026663952779</v>
      </c>
      <c r="W950" s="5">
        <f t="shared" si="303"/>
        <v>5.5964508708511334</v>
      </c>
      <c r="X950" s="5">
        <f t="shared" si="304"/>
        <v>1.1070604522381171</v>
      </c>
      <c r="Y950" s="5">
        <f t="shared" si="305"/>
        <v>0</v>
      </c>
      <c r="Z950" s="5">
        <f t="shared" si="306"/>
        <v>0</v>
      </c>
      <c r="AA950" s="5">
        <f t="shared" si="307"/>
        <v>0</v>
      </c>
      <c r="AB950" s="5">
        <f t="shared" si="297"/>
        <v>16.716537987042027</v>
      </c>
    </row>
    <row r="951" spans="1:29" x14ac:dyDescent="0.25">
      <c r="D951" t="s">
        <v>99</v>
      </c>
      <c r="E951" s="64"/>
      <c r="F951" s="64"/>
      <c r="G951">
        <f>IFERROR(HLOOKUP(G$2,[30]table_male_hkom3_inj.U1!$A$1:$K$36,32,FALSE),0)</f>
        <v>50</v>
      </c>
      <c r="H951">
        <f>IFERROR(HLOOKUP(H$2,[30]table_male_hkom3_inj.U1!$A$1:$K$36,32,FALSE),0)</f>
        <v>33</v>
      </c>
      <c r="I951">
        <f>IFERROR(HLOOKUP(I$2,[30]table_male_hkom3_inj.U1!$A$1:$K$36,32,FALSE),0)</f>
        <v>10</v>
      </c>
      <c r="J951">
        <f>IFERROR(HLOOKUP(J$2,[30]table_male_hkom3_inj.U1!$A$1:$K$36,32,FALSE),0)</f>
        <v>2</v>
      </c>
      <c r="K951">
        <f>IFERROR(HLOOKUP(K$2,[30]table_male_hkom3_inj.U1!$A$1:$K$36,32,FALSE),0)</f>
        <v>0</v>
      </c>
      <c r="L951">
        <f>IFERROR(HLOOKUP(L$2,[30]table_male_hkom3_inj.U1!$A$1:$K$36,32,FALSE),0)</f>
        <v>0</v>
      </c>
      <c r="M951">
        <f t="shared" si="299"/>
        <v>95</v>
      </c>
      <c r="S951" t="s">
        <v>99</v>
      </c>
      <c r="T951" s="5">
        <f t="shared" si="300"/>
        <v>0</v>
      </c>
      <c r="U951" s="5">
        <f t="shared" si="301"/>
        <v>0</v>
      </c>
      <c r="V951" s="5">
        <f t="shared" si="302"/>
        <v>55.627925910848766</v>
      </c>
      <c r="W951" s="5">
        <f t="shared" si="303"/>
        <v>36.936575747617482</v>
      </c>
      <c r="X951" s="5">
        <f t="shared" si="304"/>
        <v>11.070604522381172</v>
      </c>
      <c r="Y951" s="5">
        <f t="shared" si="305"/>
        <v>2.1727272727272728</v>
      </c>
      <c r="Z951" s="5">
        <f t="shared" si="306"/>
        <v>0</v>
      </c>
      <c r="AA951" s="5">
        <f t="shared" si="307"/>
        <v>0</v>
      </c>
      <c r="AB951" s="5">
        <f t="shared" si="297"/>
        <v>105.80783345357469</v>
      </c>
    </row>
    <row r="952" spans="1:29" x14ac:dyDescent="0.25">
      <c r="D952" t="s">
        <v>100</v>
      </c>
      <c r="E952" s="64"/>
      <c r="F952" s="64"/>
      <c r="G952">
        <f>IFERROR(HLOOKUP(G$2,[30]table_male_hkom3_inj.U1!$A$1:$K$36,33,FALSE),0)</f>
        <v>1</v>
      </c>
      <c r="H952">
        <f>IFERROR(HLOOKUP(H$2,[30]table_male_hkom3_inj.U1!$A$1:$K$36,33,FALSE),0)</f>
        <v>0</v>
      </c>
      <c r="I952">
        <f>IFERROR(HLOOKUP(I$2,[30]table_male_hkom3_inj.U1!$A$1:$K$36,33,FALSE),0)</f>
        <v>0</v>
      </c>
      <c r="J952">
        <f>IFERROR(HLOOKUP(J$2,[30]table_male_hkom3_inj.U1!$A$1:$K$36,33,FALSE),0)</f>
        <v>0</v>
      </c>
      <c r="K952">
        <f>IFERROR(HLOOKUP(K$2,[30]table_male_hkom3_inj.U1!$A$1:$K$36,33,FALSE),0)</f>
        <v>0</v>
      </c>
      <c r="L952">
        <f>IFERROR(HLOOKUP(L$2,[30]table_male_hkom3_inj.U1!$A$1:$K$36,33,FALSE),0)</f>
        <v>0</v>
      </c>
      <c r="M952">
        <f t="shared" si="299"/>
        <v>1</v>
      </c>
      <c r="S952" t="s">
        <v>100</v>
      </c>
      <c r="T952" s="5">
        <f t="shared" si="300"/>
        <v>0</v>
      </c>
      <c r="U952" s="5">
        <f t="shared" si="301"/>
        <v>0</v>
      </c>
      <c r="V952" s="5">
        <f t="shared" si="302"/>
        <v>1.1125585182169753</v>
      </c>
      <c r="W952" s="5">
        <f t="shared" si="303"/>
        <v>0</v>
      </c>
      <c r="X952" s="5">
        <f t="shared" si="304"/>
        <v>0</v>
      </c>
      <c r="Y952" s="5">
        <f t="shared" si="305"/>
        <v>0</v>
      </c>
      <c r="Z952" s="5">
        <f t="shared" si="306"/>
        <v>0</v>
      </c>
      <c r="AA952" s="5">
        <f t="shared" si="307"/>
        <v>0</v>
      </c>
      <c r="AB952" s="5">
        <f t="shared" si="297"/>
        <v>1.1125585182169753</v>
      </c>
    </row>
    <row r="953" spans="1:29" x14ac:dyDescent="0.25">
      <c r="D953" t="s">
        <v>101</v>
      </c>
      <c r="E953" s="64"/>
      <c r="F953" s="64"/>
      <c r="G953">
        <f>IFERROR(HLOOKUP(G$2,[30]table_male_hkom3_inj.U1!$A$1:$K$36,34,FALSE),0)</f>
        <v>66</v>
      </c>
      <c r="H953">
        <f>IFERROR(HLOOKUP(H$2,[30]table_male_hkom3_inj.U1!$A$1:$K$36,34,FALSE),0)</f>
        <v>94</v>
      </c>
      <c r="I953">
        <f>IFERROR(HLOOKUP(I$2,[30]table_male_hkom3_inj.U1!$A$1:$K$36,34,FALSE),0)</f>
        <v>27</v>
      </c>
      <c r="J953">
        <f>IFERROR(HLOOKUP(J$2,[30]table_male_hkom3_inj.U1!$A$1:$K$36,34,FALSE),0)</f>
        <v>2</v>
      </c>
      <c r="K953">
        <f>IFERROR(HLOOKUP(K$2,[30]table_male_hkom3_inj.U1!$A$1:$K$36,34,FALSE),0)</f>
        <v>0</v>
      </c>
      <c r="L953">
        <f>IFERROR(HLOOKUP(L$2,[30]table_male_hkom3_inj.U1!$A$1:$K$36,34,FALSE),0)</f>
        <v>0</v>
      </c>
      <c r="M953">
        <f t="shared" si="299"/>
        <v>189</v>
      </c>
      <c r="S953" t="s">
        <v>101</v>
      </c>
      <c r="T953" s="5">
        <f t="shared" si="300"/>
        <v>0</v>
      </c>
      <c r="U953" s="5">
        <f t="shared" si="301"/>
        <v>0</v>
      </c>
      <c r="V953" s="5">
        <f t="shared" si="302"/>
        <v>73.428862202320374</v>
      </c>
      <c r="W953" s="5">
        <f t="shared" si="303"/>
        <v>105.21327637200132</v>
      </c>
      <c r="X953" s="5">
        <f t="shared" si="304"/>
        <v>29.890632210429164</v>
      </c>
      <c r="Y953" s="5">
        <f t="shared" si="305"/>
        <v>2.1727272727272728</v>
      </c>
      <c r="Z953" s="5">
        <f t="shared" si="306"/>
        <v>0</v>
      </c>
      <c r="AA953" s="5">
        <f t="shared" si="307"/>
        <v>0</v>
      </c>
      <c r="AB953" s="5">
        <f t="shared" si="297"/>
        <v>210.70549805747814</v>
      </c>
    </row>
    <row r="954" spans="1:29" x14ac:dyDescent="0.25">
      <c r="D954" t="s">
        <v>102</v>
      </c>
      <c r="E954" s="64"/>
      <c r="F954" s="64"/>
      <c r="G954">
        <f>IFERROR(HLOOKUP(G$2,[30]table_male_hkom3_inj.U1!$A$1:$K$36,35,FALSE),0)</f>
        <v>553</v>
      </c>
      <c r="H954">
        <f>IFERROR(HLOOKUP(H$2,[30]table_male_hkom3_inj.U1!$A$1:$K$36,35,FALSE),0)</f>
        <v>726</v>
      </c>
      <c r="I954">
        <f>IFERROR(HLOOKUP(I$2,[30]table_male_hkom3_inj.U1!$A$1:$K$36,35,FALSE),0)</f>
        <v>232</v>
      </c>
      <c r="J954">
        <f>IFERROR(HLOOKUP(J$2,[30]table_male_hkom3_inj.U1!$A$1:$K$36,35,FALSE),0)</f>
        <v>19</v>
      </c>
      <c r="K954">
        <f>IFERROR(HLOOKUP(K$2,[30]table_male_hkom3_inj.U1!$A$1:$K$36,35,FALSE),0)</f>
        <v>1</v>
      </c>
      <c r="L954">
        <f>IFERROR(HLOOKUP(L$2,[30]table_male_hkom3_inj.U1!$A$1:$K$36,35,FALSE),0)</f>
        <v>0</v>
      </c>
      <c r="M954">
        <f t="shared" si="299"/>
        <v>1531</v>
      </c>
      <c r="N954">
        <f>SUM(M921:M954)</f>
        <v>14934</v>
      </c>
      <c r="O954" s="8">
        <f>SUM([30]table_male_hkom3_inj.U1!$B$2:$L$36)</f>
        <v>14934</v>
      </c>
      <c r="S954" t="s">
        <v>102</v>
      </c>
      <c r="T954" s="7"/>
      <c r="U954" s="7"/>
      <c r="V954" s="7"/>
      <c r="W954" s="7"/>
      <c r="X954" s="7"/>
      <c r="Y954" s="7"/>
      <c r="Z954" s="7"/>
      <c r="AA954" s="7"/>
      <c r="AB954" s="5">
        <f t="shared" si="297"/>
        <v>0</v>
      </c>
      <c r="AC954" s="5">
        <f>SUM(AB921:AB953)</f>
        <v>14933.999999999998</v>
      </c>
    </row>
    <row r="955" spans="1:29" x14ac:dyDescent="0.25">
      <c r="A955" t="s">
        <v>104</v>
      </c>
      <c r="B955" t="s">
        <v>117</v>
      </c>
      <c r="C955" t="s">
        <v>110</v>
      </c>
      <c r="D955" t="s">
        <v>70</v>
      </c>
      <c r="E955" s="64"/>
      <c r="F955" s="64"/>
      <c r="G955">
        <f>IFERROR(HLOOKUP(G$2,[31]table_male_hkom3_inj.U2!$A$1:$K$36,2,FALSE),0)</f>
        <v>0</v>
      </c>
      <c r="H955">
        <f>IFERROR(HLOOKUP(H$2,[31]table_male_hkom3_inj.U2!$A$1:$K$36,2,FALSE),0)</f>
        <v>0</v>
      </c>
      <c r="I955">
        <f>IFERROR(HLOOKUP(I$2,[31]table_male_hkom3_inj.U2!$A$1:$K$36,2,FALSE),0)</f>
        <v>0</v>
      </c>
      <c r="J955">
        <f>IFERROR(HLOOKUP(J$2,[31]table_male_hkom3_inj.U2!$A$1:$K$36,2,FALSE),0)</f>
        <v>0</v>
      </c>
      <c r="K955">
        <f>IFERROR(HLOOKUP(K$2,[31]table_male_hkom3_inj.U2!$A$1:$K$36,2,FALSE),0)</f>
        <v>0</v>
      </c>
      <c r="L955">
        <f>IFERROR(HLOOKUP(L$2,[31]table_male_hkom3_inj.U2!$A$1:$K$36,2,FALSE),0)</f>
        <v>0</v>
      </c>
      <c r="M955">
        <f>SUM(E955:L955)</f>
        <v>0</v>
      </c>
      <c r="P955" t="s">
        <v>104</v>
      </c>
      <c r="Q955" t="s">
        <v>117</v>
      </c>
      <c r="R955" t="s">
        <v>110</v>
      </c>
      <c r="S955" t="s">
        <v>70</v>
      </c>
      <c r="T955" s="5">
        <f>IF(SUM(E$955:E$987)=0,E$988/33,E955+IFERROR(E955/SUM(E$955:E$987)*E$988,0))</f>
        <v>0</v>
      </c>
      <c r="U955" s="5">
        <f t="shared" ref="U955:AA955" si="308">IF(SUM(F$955:F$987)=0,F$988/33,F955+IFERROR(F955/SUM(F$955:F$987)*F$988,0))</f>
        <v>0</v>
      </c>
      <c r="V955" s="5">
        <f t="shared" si="308"/>
        <v>0</v>
      </c>
      <c r="W955" s="5">
        <f t="shared" si="308"/>
        <v>0</v>
      </c>
      <c r="X955" s="5">
        <f t="shared" si="308"/>
        <v>0</v>
      </c>
      <c r="Y955" s="5">
        <f t="shared" si="308"/>
        <v>0</v>
      </c>
      <c r="Z955" s="5">
        <f t="shared" si="308"/>
        <v>0</v>
      </c>
      <c r="AA955" s="5">
        <f t="shared" si="308"/>
        <v>0</v>
      </c>
      <c r="AB955" s="5">
        <f t="shared" si="297"/>
        <v>0</v>
      </c>
    </row>
    <row r="956" spans="1:29" x14ac:dyDescent="0.25">
      <c r="D956" t="s">
        <v>71</v>
      </c>
      <c r="E956" s="64"/>
      <c r="F956" s="64"/>
      <c r="G956">
        <f>IFERROR(HLOOKUP(G$2,[31]table_male_hkom3_inj.U2!$A$1:$K$36,3,FALSE),0)</f>
        <v>0</v>
      </c>
      <c r="H956">
        <f>IFERROR(HLOOKUP(H$2,[31]table_male_hkom3_inj.U2!$A$1:$K$36,3,FALSE),0)</f>
        <v>0</v>
      </c>
      <c r="I956">
        <f>IFERROR(HLOOKUP(I$2,[31]table_male_hkom3_inj.U2!$A$1:$K$36,3,FALSE),0)</f>
        <v>0</v>
      </c>
      <c r="J956">
        <f>IFERROR(HLOOKUP(J$2,[31]table_male_hkom3_inj.U2!$A$1:$K$36,3,FALSE),0)</f>
        <v>0</v>
      </c>
      <c r="K956">
        <f>IFERROR(HLOOKUP(K$2,[31]table_male_hkom3_inj.U2!$A$1:$K$36,3,FALSE),0)</f>
        <v>0</v>
      </c>
      <c r="L956">
        <f>IFERROR(HLOOKUP(L$2,[31]table_male_hkom3_inj.U2!$A$1:$K$36,3,FALSE),0)</f>
        <v>0</v>
      </c>
      <c r="M956">
        <f t="shared" ref="M956:M988" si="309">SUM(E956:L956)</f>
        <v>0</v>
      </c>
      <c r="S956" t="s">
        <v>71</v>
      </c>
      <c r="T956" s="5">
        <f t="shared" ref="T956:T987" si="310">IF(SUM(E$955:E$987)=0,E$988/33,E956+IFERROR(E956/SUM(E$955:E$987)*E$988,0))</f>
        <v>0</v>
      </c>
      <c r="U956" s="5">
        <f t="shared" ref="U956:U987" si="311">IF(SUM(F$955:F$987)=0,F$988/33,F956+IFERROR(F956/SUM(F$955:F$987)*F$988,0))</f>
        <v>0</v>
      </c>
      <c r="V956" s="5">
        <f t="shared" ref="V956:V987" si="312">IF(SUM(G$955:G$987)=0,G$988/33,G956+IFERROR(G956/SUM(G$955:G$987)*G$988,0))</f>
        <v>0</v>
      </c>
      <c r="W956" s="5">
        <f t="shared" ref="W956:W987" si="313">IF(SUM(H$955:H$987)=0,H$988/33,H956+IFERROR(H956/SUM(H$955:H$987)*H$988,0))</f>
        <v>0</v>
      </c>
      <c r="X956" s="5">
        <f t="shared" ref="X956:X987" si="314">IF(SUM(I$955:I$987)=0,I$988/33,I956+IFERROR(I956/SUM(I$955:I$987)*I$988,0))</f>
        <v>0</v>
      </c>
      <c r="Y956" s="5">
        <f t="shared" ref="Y956:Y987" si="315">IF(SUM(J$955:J$987)=0,J$988/33,J956+IFERROR(J956/SUM(J$955:J$987)*J$988,0))</f>
        <v>0</v>
      </c>
      <c r="Z956" s="5">
        <f t="shared" ref="Z956:Z987" si="316">IF(SUM(K$955:K$987)=0,K$988/33,K956+IFERROR(K956/SUM(K$955:K$987)*K$988,0))</f>
        <v>0</v>
      </c>
      <c r="AA956" s="5">
        <f t="shared" ref="AA956:AA987" si="317">IF(SUM(L$955:L$987)=0,L$988/33,L956+IFERROR(L956/SUM(L$955:L$987)*L$988,0))</f>
        <v>0</v>
      </c>
      <c r="AB956" s="5">
        <f t="shared" si="297"/>
        <v>0</v>
      </c>
    </row>
    <row r="957" spans="1:29" x14ac:dyDescent="0.25">
      <c r="D957" t="s">
        <v>72</v>
      </c>
      <c r="E957" s="64"/>
      <c r="F957" s="64"/>
      <c r="G957">
        <f>IFERROR(HLOOKUP(G$2,[31]table_male_hkom3_inj.U2!$A$1:$K$36,4,FALSE),0)</f>
        <v>0</v>
      </c>
      <c r="H957">
        <f>IFERROR(HLOOKUP(H$2,[31]table_male_hkom3_inj.U2!$A$1:$K$36,4,FALSE),0)</f>
        <v>0</v>
      </c>
      <c r="I957">
        <f>IFERROR(HLOOKUP(I$2,[31]table_male_hkom3_inj.U2!$A$1:$K$36,4,FALSE),0)</f>
        <v>0</v>
      </c>
      <c r="J957">
        <f>IFERROR(HLOOKUP(J$2,[31]table_male_hkom3_inj.U2!$A$1:$K$36,4,FALSE),0)</f>
        <v>0</v>
      </c>
      <c r="K957">
        <f>IFERROR(HLOOKUP(K$2,[31]table_male_hkom3_inj.U2!$A$1:$K$36,4,FALSE),0)</f>
        <v>0</v>
      </c>
      <c r="L957">
        <f>IFERROR(HLOOKUP(L$2,[31]table_male_hkom3_inj.U2!$A$1:$K$36,4,FALSE),0)</f>
        <v>0</v>
      </c>
      <c r="M957">
        <f t="shared" si="309"/>
        <v>0</v>
      </c>
      <c r="S957" t="s">
        <v>72</v>
      </c>
      <c r="T957" s="5">
        <f t="shared" si="310"/>
        <v>0</v>
      </c>
      <c r="U957" s="5">
        <f t="shared" si="311"/>
        <v>0</v>
      </c>
      <c r="V957" s="5">
        <f t="shared" si="312"/>
        <v>0</v>
      </c>
      <c r="W957" s="5">
        <f t="shared" si="313"/>
        <v>0</v>
      </c>
      <c r="X957" s="5">
        <f t="shared" si="314"/>
        <v>0</v>
      </c>
      <c r="Y957" s="5">
        <f t="shared" si="315"/>
        <v>0</v>
      </c>
      <c r="Z957" s="5">
        <f t="shared" si="316"/>
        <v>0</v>
      </c>
      <c r="AA957" s="5">
        <f t="shared" si="317"/>
        <v>0</v>
      </c>
      <c r="AB957" s="5">
        <f t="shared" si="297"/>
        <v>0</v>
      </c>
    </row>
    <row r="958" spans="1:29" x14ac:dyDescent="0.25">
      <c r="D958" t="s">
        <v>73</v>
      </c>
      <c r="E958" s="64"/>
      <c r="F958" s="64"/>
      <c r="G958">
        <f>IFERROR(HLOOKUP(G$2,[31]table_male_hkom3_inj.U2!$A$1:$K$36,5,FALSE),0)</f>
        <v>0</v>
      </c>
      <c r="H958">
        <f>IFERROR(HLOOKUP(H$2,[31]table_male_hkom3_inj.U2!$A$1:$K$36,5,FALSE),0)</f>
        <v>0</v>
      </c>
      <c r="I958">
        <f>IFERROR(HLOOKUP(I$2,[31]table_male_hkom3_inj.U2!$A$1:$K$36,5,FALSE),0)</f>
        <v>0</v>
      </c>
      <c r="J958">
        <f>IFERROR(HLOOKUP(J$2,[31]table_male_hkom3_inj.U2!$A$1:$K$36,5,FALSE),0)</f>
        <v>0</v>
      </c>
      <c r="K958">
        <f>IFERROR(HLOOKUP(K$2,[31]table_male_hkom3_inj.U2!$A$1:$K$36,5,FALSE),0)</f>
        <v>0</v>
      </c>
      <c r="L958">
        <f>IFERROR(HLOOKUP(L$2,[31]table_male_hkom3_inj.U2!$A$1:$K$36,5,FALSE),0)</f>
        <v>0</v>
      </c>
      <c r="M958">
        <f t="shared" si="309"/>
        <v>0</v>
      </c>
      <c r="S958" t="s">
        <v>73</v>
      </c>
      <c r="T958" s="5">
        <f t="shared" si="310"/>
        <v>0</v>
      </c>
      <c r="U958" s="5">
        <f t="shared" si="311"/>
        <v>0</v>
      </c>
      <c r="V958" s="5">
        <f t="shared" si="312"/>
        <v>0</v>
      </c>
      <c r="W958" s="5">
        <f t="shared" si="313"/>
        <v>0</v>
      </c>
      <c r="X958" s="5">
        <f t="shared" si="314"/>
        <v>0</v>
      </c>
      <c r="Y958" s="5">
        <f t="shared" si="315"/>
        <v>0</v>
      </c>
      <c r="Z958" s="5">
        <f t="shared" si="316"/>
        <v>0</v>
      </c>
      <c r="AA958" s="5">
        <f t="shared" si="317"/>
        <v>0</v>
      </c>
      <c r="AB958" s="5">
        <f t="shared" si="297"/>
        <v>0</v>
      </c>
    </row>
    <row r="959" spans="1:29" x14ac:dyDescent="0.25">
      <c r="D959" t="s">
        <v>74</v>
      </c>
      <c r="E959" s="64"/>
      <c r="F959" s="64"/>
      <c r="G959">
        <f>IFERROR(HLOOKUP(G$2,[31]table_male_hkom3_inj.U2!$A$1:$K$36,6,FALSE),0)</f>
        <v>0</v>
      </c>
      <c r="H959">
        <f>IFERROR(HLOOKUP(H$2,[31]table_male_hkom3_inj.U2!$A$1:$K$36,6,FALSE),0)</f>
        <v>0</v>
      </c>
      <c r="I959">
        <f>IFERROR(HLOOKUP(I$2,[31]table_male_hkom3_inj.U2!$A$1:$K$36,6,FALSE),0)</f>
        <v>0</v>
      </c>
      <c r="J959">
        <f>IFERROR(HLOOKUP(J$2,[31]table_male_hkom3_inj.U2!$A$1:$K$36,6,FALSE),0)</f>
        <v>0</v>
      </c>
      <c r="K959">
        <f>IFERROR(HLOOKUP(K$2,[31]table_male_hkom3_inj.U2!$A$1:$K$36,6,FALSE),0)</f>
        <v>0</v>
      </c>
      <c r="L959">
        <f>IFERROR(HLOOKUP(L$2,[31]table_male_hkom3_inj.U2!$A$1:$K$36,6,FALSE),0)</f>
        <v>0</v>
      </c>
      <c r="M959">
        <f t="shared" si="309"/>
        <v>0</v>
      </c>
      <c r="S959" t="s">
        <v>74</v>
      </c>
      <c r="T959" s="5">
        <f t="shared" si="310"/>
        <v>0</v>
      </c>
      <c r="U959" s="5">
        <f t="shared" si="311"/>
        <v>0</v>
      </c>
      <c r="V959" s="5">
        <f t="shared" si="312"/>
        <v>0</v>
      </c>
      <c r="W959" s="5">
        <f t="shared" si="313"/>
        <v>0</v>
      </c>
      <c r="X959" s="5">
        <f t="shared" si="314"/>
        <v>0</v>
      </c>
      <c r="Y959" s="5">
        <f t="shared" si="315"/>
        <v>0</v>
      </c>
      <c r="Z959" s="5">
        <f t="shared" si="316"/>
        <v>0</v>
      </c>
      <c r="AA959" s="5">
        <f t="shared" si="317"/>
        <v>0</v>
      </c>
      <c r="AB959" s="5">
        <f t="shared" si="297"/>
        <v>0</v>
      </c>
    </row>
    <row r="960" spans="1:29" x14ac:dyDescent="0.25">
      <c r="D960" t="s">
        <v>75</v>
      </c>
      <c r="E960" s="64"/>
      <c r="F960" s="64"/>
      <c r="G960">
        <f>IFERROR(HLOOKUP(G$2,[31]table_male_hkom3_inj.U2!$A$1:$K$36,7,FALSE),0)</f>
        <v>0</v>
      </c>
      <c r="H960">
        <f>IFERROR(HLOOKUP(H$2,[31]table_male_hkom3_inj.U2!$A$1:$K$36,7,FALSE),0)</f>
        <v>0</v>
      </c>
      <c r="I960">
        <f>IFERROR(HLOOKUP(I$2,[31]table_male_hkom3_inj.U2!$A$1:$K$36,7,FALSE),0)</f>
        <v>0</v>
      </c>
      <c r="J960">
        <f>IFERROR(HLOOKUP(J$2,[31]table_male_hkom3_inj.U2!$A$1:$K$36,7,FALSE),0)</f>
        <v>0</v>
      </c>
      <c r="K960">
        <f>IFERROR(HLOOKUP(K$2,[31]table_male_hkom3_inj.U2!$A$1:$K$36,7,FALSE),0)</f>
        <v>0</v>
      </c>
      <c r="L960">
        <f>IFERROR(HLOOKUP(L$2,[31]table_male_hkom3_inj.U2!$A$1:$K$36,7,FALSE),0)</f>
        <v>0</v>
      </c>
      <c r="M960">
        <f t="shared" si="309"/>
        <v>0</v>
      </c>
      <c r="S960" t="s">
        <v>75</v>
      </c>
      <c r="T960" s="5">
        <f t="shared" si="310"/>
        <v>0</v>
      </c>
      <c r="U960" s="5">
        <f t="shared" si="311"/>
        <v>0</v>
      </c>
      <c r="V960" s="5">
        <f t="shared" si="312"/>
        <v>0</v>
      </c>
      <c r="W960" s="5">
        <f t="shared" si="313"/>
        <v>0</v>
      </c>
      <c r="X960" s="5">
        <f t="shared" si="314"/>
        <v>0</v>
      </c>
      <c r="Y960" s="5">
        <f t="shared" si="315"/>
        <v>0</v>
      </c>
      <c r="Z960" s="5">
        <f t="shared" si="316"/>
        <v>0</v>
      </c>
      <c r="AA960" s="5">
        <f t="shared" si="317"/>
        <v>0</v>
      </c>
      <c r="AB960" s="5">
        <f t="shared" si="297"/>
        <v>0</v>
      </c>
    </row>
    <row r="961" spans="4:28" x14ac:dyDescent="0.25">
      <c r="D961" t="s">
        <v>76</v>
      </c>
      <c r="E961" s="64"/>
      <c r="F961" s="64"/>
      <c r="G961">
        <f>IFERROR(HLOOKUP(G$2,[31]table_male_hkom3_inj.U2!$A$1:$K$36,8,FALSE),0)</f>
        <v>0</v>
      </c>
      <c r="H961">
        <f>IFERROR(HLOOKUP(H$2,[31]table_male_hkom3_inj.U2!$A$1:$K$36,8,FALSE),0)</f>
        <v>0</v>
      </c>
      <c r="I961">
        <f>IFERROR(HLOOKUP(I$2,[31]table_male_hkom3_inj.U2!$A$1:$K$36,8,FALSE),0)</f>
        <v>0</v>
      </c>
      <c r="J961">
        <f>IFERROR(HLOOKUP(J$2,[31]table_male_hkom3_inj.U2!$A$1:$K$36,8,FALSE),0)</f>
        <v>0</v>
      </c>
      <c r="K961">
        <f>IFERROR(HLOOKUP(K$2,[31]table_male_hkom3_inj.U2!$A$1:$K$36,8,FALSE),0)</f>
        <v>0</v>
      </c>
      <c r="L961">
        <f>IFERROR(HLOOKUP(L$2,[31]table_male_hkom3_inj.U2!$A$1:$K$36,8,FALSE),0)</f>
        <v>0</v>
      </c>
      <c r="M961">
        <f t="shared" si="309"/>
        <v>0</v>
      </c>
      <c r="S961" t="s">
        <v>76</v>
      </c>
      <c r="T961" s="5">
        <f t="shared" si="310"/>
        <v>0</v>
      </c>
      <c r="U961" s="5">
        <f t="shared" si="311"/>
        <v>0</v>
      </c>
      <c r="V961" s="5">
        <f t="shared" si="312"/>
        <v>0</v>
      </c>
      <c r="W961" s="5">
        <f t="shared" si="313"/>
        <v>0</v>
      </c>
      <c r="X961" s="5">
        <f t="shared" si="314"/>
        <v>0</v>
      </c>
      <c r="Y961" s="5">
        <f t="shared" si="315"/>
        <v>0</v>
      </c>
      <c r="Z961" s="5">
        <f t="shared" si="316"/>
        <v>0</v>
      </c>
      <c r="AA961" s="5">
        <f t="shared" si="317"/>
        <v>0</v>
      </c>
      <c r="AB961" s="5">
        <f t="shared" si="297"/>
        <v>0</v>
      </c>
    </row>
    <row r="962" spans="4:28" x14ac:dyDescent="0.25">
      <c r="D962" t="s">
        <v>77</v>
      </c>
      <c r="E962" s="64"/>
      <c r="F962" s="64"/>
      <c r="G962">
        <f>IFERROR(HLOOKUP(G$2,[31]table_male_hkom3_inj.U2!$A$1:$K$36,9,FALSE),0)</f>
        <v>0</v>
      </c>
      <c r="H962">
        <f>IFERROR(HLOOKUP(H$2,[31]table_male_hkom3_inj.U2!$A$1:$K$36,9,FALSE),0)</f>
        <v>0</v>
      </c>
      <c r="I962">
        <f>IFERROR(HLOOKUP(I$2,[31]table_male_hkom3_inj.U2!$A$1:$K$36,9,FALSE),0)</f>
        <v>0</v>
      </c>
      <c r="J962">
        <f>IFERROR(HLOOKUP(J$2,[31]table_male_hkom3_inj.U2!$A$1:$K$36,9,FALSE),0)</f>
        <v>0</v>
      </c>
      <c r="K962">
        <f>IFERROR(HLOOKUP(K$2,[31]table_male_hkom3_inj.U2!$A$1:$K$36,9,FALSE),0)</f>
        <v>0</v>
      </c>
      <c r="L962">
        <f>IFERROR(HLOOKUP(L$2,[31]table_male_hkom3_inj.U2!$A$1:$K$36,9,FALSE),0)</f>
        <v>0</v>
      </c>
      <c r="M962">
        <f t="shared" si="309"/>
        <v>0</v>
      </c>
      <c r="S962" t="s">
        <v>77</v>
      </c>
      <c r="T962" s="5">
        <f t="shared" si="310"/>
        <v>0</v>
      </c>
      <c r="U962" s="5">
        <f t="shared" si="311"/>
        <v>0</v>
      </c>
      <c r="V962" s="5">
        <f t="shared" si="312"/>
        <v>0</v>
      </c>
      <c r="W962" s="5">
        <f t="shared" si="313"/>
        <v>0</v>
      </c>
      <c r="X962" s="5">
        <f t="shared" si="314"/>
        <v>0</v>
      </c>
      <c r="Y962" s="5">
        <f t="shared" si="315"/>
        <v>0</v>
      </c>
      <c r="Z962" s="5">
        <f t="shared" si="316"/>
        <v>0</v>
      </c>
      <c r="AA962" s="5">
        <f t="shared" si="317"/>
        <v>0</v>
      </c>
      <c r="AB962" s="5">
        <f t="shared" si="297"/>
        <v>0</v>
      </c>
    </row>
    <row r="963" spans="4:28" x14ac:dyDescent="0.25">
      <c r="D963" t="s">
        <v>78</v>
      </c>
      <c r="E963" s="64"/>
      <c r="F963" s="64"/>
      <c r="G963">
        <f>IFERROR(HLOOKUP(G$2,[31]table_male_hkom3_inj.U2!$A$1:$K$36,10,FALSE),0)</f>
        <v>0</v>
      </c>
      <c r="H963">
        <f>IFERROR(HLOOKUP(H$2,[31]table_male_hkom3_inj.U2!$A$1:$K$36,10,FALSE),0)</f>
        <v>0</v>
      </c>
      <c r="I963">
        <f>IFERROR(HLOOKUP(I$2,[31]table_male_hkom3_inj.U2!$A$1:$K$36,10,FALSE),0)</f>
        <v>0</v>
      </c>
      <c r="J963">
        <f>IFERROR(HLOOKUP(J$2,[31]table_male_hkom3_inj.U2!$A$1:$K$36,10,FALSE),0)</f>
        <v>0</v>
      </c>
      <c r="K963">
        <f>IFERROR(HLOOKUP(K$2,[31]table_male_hkom3_inj.U2!$A$1:$K$36,10,FALSE),0)</f>
        <v>0</v>
      </c>
      <c r="L963">
        <f>IFERROR(HLOOKUP(L$2,[31]table_male_hkom3_inj.U2!$A$1:$K$36,10,FALSE),0)</f>
        <v>0</v>
      </c>
      <c r="M963">
        <f t="shared" si="309"/>
        <v>0</v>
      </c>
      <c r="S963" t="s">
        <v>78</v>
      </c>
      <c r="T963" s="5">
        <f t="shared" si="310"/>
        <v>0</v>
      </c>
      <c r="U963" s="5">
        <f t="shared" si="311"/>
        <v>0</v>
      </c>
      <c r="V963" s="5">
        <f t="shared" si="312"/>
        <v>0</v>
      </c>
      <c r="W963" s="5">
        <f t="shared" si="313"/>
        <v>0</v>
      </c>
      <c r="X963" s="5">
        <f t="shared" si="314"/>
        <v>0</v>
      </c>
      <c r="Y963" s="5">
        <f t="shared" si="315"/>
        <v>0</v>
      </c>
      <c r="Z963" s="5">
        <f t="shared" si="316"/>
        <v>0</v>
      </c>
      <c r="AA963" s="5">
        <f t="shared" si="317"/>
        <v>0</v>
      </c>
      <c r="AB963" s="5">
        <f t="shared" si="297"/>
        <v>0</v>
      </c>
    </row>
    <row r="964" spans="4:28" x14ac:dyDescent="0.25">
      <c r="D964" t="s">
        <v>79</v>
      </c>
      <c r="E964" s="64"/>
      <c r="F964" s="64"/>
      <c r="G964">
        <f>IFERROR(HLOOKUP(G$2,[31]table_male_hkom3_inj.U2!$A$1:$K$36,11,FALSE),0)</f>
        <v>0</v>
      </c>
      <c r="H964">
        <f>IFERROR(HLOOKUP(H$2,[31]table_male_hkom3_inj.U2!$A$1:$K$36,11,FALSE),0)</f>
        <v>0</v>
      </c>
      <c r="I964">
        <f>IFERROR(HLOOKUP(I$2,[31]table_male_hkom3_inj.U2!$A$1:$K$36,11,FALSE),0)</f>
        <v>0</v>
      </c>
      <c r="J964">
        <f>IFERROR(HLOOKUP(J$2,[31]table_male_hkom3_inj.U2!$A$1:$K$36,11,FALSE),0)</f>
        <v>0</v>
      </c>
      <c r="K964">
        <f>IFERROR(HLOOKUP(K$2,[31]table_male_hkom3_inj.U2!$A$1:$K$36,11,FALSE),0)</f>
        <v>0</v>
      </c>
      <c r="L964">
        <f>IFERROR(HLOOKUP(L$2,[31]table_male_hkom3_inj.U2!$A$1:$K$36,11,FALSE),0)</f>
        <v>0</v>
      </c>
      <c r="M964">
        <f t="shared" si="309"/>
        <v>0</v>
      </c>
      <c r="S964" t="s">
        <v>79</v>
      </c>
      <c r="T964" s="5">
        <f t="shared" si="310"/>
        <v>0</v>
      </c>
      <c r="U964" s="5">
        <f t="shared" si="311"/>
        <v>0</v>
      </c>
      <c r="V964" s="5">
        <f t="shared" si="312"/>
        <v>0</v>
      </c>
      <c r="W964" s="5">
        <f t="shared" si="313"/>
        <v>0</v>
      </c>
      <c r="X964" s="5">
        <f t="shared" si="314"/>
        <v>0</v>
      </c>
      <c r="Y964" s="5">
        <f t="shared" si="315"/>
        <v>0</v>
      </c>
      <c r="Z964" s="5">
        <f t="shared" si="316"/>
        <v>0</v>
      </c>
      <c r="AA964" s="5">
        <f t="shared" si="317"/>
        <v>0</v>
      </c>
      <c r="AB964" s="5">
        <f t="shared" si="297"/>
        <v>0</v>
      </c>
    </row>
    <row r="965" spans="4:28" x14ac:dyDescent="0.25">
      <c r="D965" t="s">
        <v>80</v>
      </c>
      <c r="E965" s="64"/>
      <c r="F965" s="64"/>
      <c r="G965">
        <f>IFERROR(HLOOKUP(G$2,[31]table_male_hkom3_inj.U2!$A$1:$K$36,12,FALSE),0)</f>
        <v>0</v>
      </c>
      <c r="H965">
        <f>IFERROR(HLOOKUP(H$2,[31]table_male_hkom3_inj.U2!$A$1:$K$36,12,FALSE),0)</f>
        <v>0</v>
      </c>
      <c r="I965">
        <f>IFERROR(HLOOKUP(I$2,[31]table_male_hkom3_inj.U2!$A$1:$K$36,12,FALSE),0)</f>
        <v>0</v>
      </c>
      <c r="J965">
        <f>IFERROR(HLOOKUP(J$2,[31]table_male_hkom3_inj.U2!$A$1:$K$36,12,FALSE),0)</f>
        <v>0</v>
      </c>
      <c r="K965">
        <f>IFERROR(HLOOKUP(K$2,[31]table_male_hkom3_inj.U2!$A$1:$K$36,12,FALSE),0)</f>
        <v>0</v>
      </c>
      <c r="L965">
        <f>IFERROR(HLOOKUP(L$2,[31]table_male_hkom3_inj.U2!$A$1:$K$36,12,FALSE),0)</f>
        <v>0</v>
      </c>
      <c r="M965">
        <f t="shared" si="309"/>
        <v>0</v>
      </c>
      <c r="S965" t="s">
        <v>80</v>
      </c>
      <c r="T965" s="5">
        <f t="shared" si="310"/>
        <v>0</v>
      </c>
      <c r="U965" s="5">
        <f t="shared" si="311"/>
        <v>0</v>
      </c>
      <c r="V965" s="5">
        <f t="shared" si="312"/>
        <v>0</v>
      </c>
      <c r="W965" s="5">
        <f t="shared" si="313"/>
        <v>0</v>
      </c>
      <c r="X965" s="5">
        <f t="shared" si="314"/>
        <v>0</v>
      </c>
      <c r="Y965" s="5">
        <f t="shared" si="315"/>
        <v>0</v>
      </c>
      <c r="Z965" s="5">
        <f t="shared" si="316"/>
        <v>0</v>
      </c>
      <c r="AA965" s="5">
        <f t="shared" si="317"/>
        <v>0</v>
      </c>
      <c r="AB965" s="5">
        <f t="shared" si="297"/>
        <v>0</v>
      </c>
    </row>
    <row r="966" spans="4:28" x14ac:dyDescent="0.25">
      <c r="D966" t="s">
        <v>81</v>
      </c>
      <c r="E966" s="64"/>
      <c r="F966" s="64"/>
      <c r="G966">
        <f>IFERROR(HLOOKUP(G$2,[31]table_male_hkom3_inj.U2!$A$1:$K$36,13,FALSE),0)</f>
        <v>0</v>
      </c>
      <c r="H966">
        <f>IFERROR(HLOOKUP(H$2,[31]table_male_hkom3_inj.U2!$A$1:$K$36,13,FALSE),0)</f>
        <v>0</v>
      </c>
      <c r="I966">
        <f>IFERROR(HLOOKUP(I$2,[31]table_male_hkom3_inj.U2!$A$1:$K$36,13,FALSE),0)</f>
        <v>0</v>
      </c>
      <c r="J966">
        <f>IFERROR(HLOOKUP(J$2,[31]table_male_hkom3_inj.U2!$A$1:$K$36,13,FALSE),0)</f>
        <v>0</v>
      </c>
      <c r="K966">
        <f>IFERROR(HLOOKUP(K$2,[31]table_male_hkom3_inj.U2!$A$1:$K$36,13,FALSE),0)</f>
        <v>0</v>
      </c>
      <c r="L966">
        <f>IFERROR(HLOOKUP(L$2,[31]table_male_hkom3_inj.U2!$A$1:$K$36,13,FALSE),0)</f>
        <v>0</v>
      </c>
      <c r="M966">
        <f t="shared" si="309"/>
        <v>0</v>
      </c>
      <c r="S966" t="s">
        <v>81</v>
      </c>
      <c r="T966" s="5">
        <f t="shared" si="310"/>
        <v>0</v>
      </c>
      <c r="U966" s="5">
        <f t="shared" si="311"/>
        <v>0</v>
      </c>
      <c r="V966" s="5">
        <f t="shared" si="312"/>
        <v>0</v>
      </c>
      <c r="W966" s="5">
        <f t="shared" si="313"/>
        <v>0</v>
      </c>
      <c r="X966" s="5">
        <f t="shared" si="314"/>
        <v>0</v>
      </c>
      <c r="Y966" s="5">
        <f t="shared" si="315"/>
        <v>0</v>
      </c>
      <c r="Z966" s="5">
        <f t="shared" si="316"/>
        <v>0</v>
      </c>
      <c r="AA966" s="5">
        <f t="shared" si="317"/>
        <v>0</v>
      </c>
      <c r="AB966" s="5">
        <f t="shared" si="297"/>
        <v>0</v>
      </c>
    </row>
    <row r="967" spans="4:28" x14ac:dyDescent="0.25">
      <c r="D967" t="s">
        <v>82</v>
      </c>
      <c r="E967" s="64"/>
      <c r="F967" s="64"/>
      <c r="G967">
        <f>IFERROR(HLOOKUP(G$2,[31]table_male_hkom3_inj.U2!$A$1:$K$36,14,FALSE),0)</f>
        <v>0</v>
      </c>
      <c r="H967">
        <f>IFERROR(HLOOKUP(H$2,[31]table_male_hkom3_inj.U2!$A$1:$K$36,14,FALSE),0)</f>
        <v>0</v>
      </c>
      <c r="I967">
        <f>IFERROR(HLOOKUP(I$2,[31]table_male_hkom3_inj.U2!$A$1:$K$36,14,FALSE),0)</f>
        <v>0</v>
      </c>
      <c r="J967">
        <f>IFERROR(HLOOKUP(J$2,[31]table_male_hkom3_inj.U2!$A$1:$K$36,14,FALSE),0)</f>
        <v>0</v>
      </c>
      <c r="K967">
        <f>IFERROR(HLOOKUP(K$2,[31]table_male_hkom3_inj.U2!$A$1:$K$36,14,FALSE),0)</f>
        <v>0</v>
      </c>
      <c r="L967">
        <f>IFERROR(HLOOKUP(L$2,[31]table_male_hkom3_inj.U2!$A$1:$K$36,14,FALSE),0)</f>
        <v>0</v>
      </c>
      <c r="M967">
        <f t="shared" si="309"/>
        <v>0</v>
      </c>
      <c r="S967" t="s">
        <v>82</v>
      </c>
      <c r="T967" s="5">
        <f t="shared" si="310"/>
        <v>0</v>
      </c>
      <c r="U967" s="5">
        <f t="shared" si="311"/>
        <v>0</v>
      </c>
      <c r="V967" s="5">
        <f t="shared" si="312"/>
        <v>0</v>
      </c>
      <c r="W967" s="5">
        <f t="shared" si="313"/>
        <v>0</v>
      </c>
      <c r="X967" s="5">
        <f t="shared" si="314"/>
        <v>0</v>
      </c>
      <c r="Y967" s="5">
        <f t="shared" si="315"/>
        <v>0</v>
      </c>
      <c r="Z967" s="5">
        <f t="shared" si="316"/>
        <v>0</v>
      </c>
      <c r="AA967" s="5">
        <f t="shared" si="317"/>
        <v>0</v>
      </c>
      <c r="AB967" s="5">
        <f t="shared" si="297"/>
        <v>0</v>
      </c>
    </row>
    <row r="968" spans="4:28" x14ac:dyDescent="0.25">
      <c r="D968" t="s">
        <v>83</v>
      </c>
      <c r="E968" s="64"/>
      <c r="F968" s="64"/>
      <c r="G968">
        <f>IFERROR(HLOOKUP(G$2,[31]table_male_hkom3_inj.U2!$A$1:$K$36,15,FALSE),0)</f>
        <v>0</v>
      </c>
      <c r="H968">
        <f>IFERROR(HLOOKUP(H$2,[31]table_male_hkom3_inj.U2!$A$1:$K$36,15,FALSE),0)</f>
        <v>0</v>
      </c>
      <c r="I968">
        <f>IFERROR(HLOOKUP(I$2,[31]table_male_hkom3_inj.U2!$A$1:$K$36,15,FALSE),0)</f>
        <v>0</v>
      </c>
      <c r="J968">
        <f>IFERROR(HLOOKUP(J$2,[31]table_male_hkom3_inj.U2!$A$1:$K$36,15,FALSE),0)</f>
        <v>0</v>
      </c>
      <c r="K968">
        <f>IFERROR(HLOOKUP(K$2,[31]table_male_hkom3_inj.U2!$A$1:$K$36,15,FALSE),0)</f>
        <v>0</v>
      </c>
      <c r="L968">
        <f>IFERROR(HLOOKUP(L$2,[31]table_male_hkom3_inj.U2!$A$1:$K$36,15,FALSE),0)</f>
        <v>0</v>
      </c>
      <c r="M968">
        <f t="shared" si="309"/>
        <v>0</v>
      </c>
      <c r="S968" t="s">
        <v>83</v>
      </c>
      <c r="T968" s="5">
        <f t="shared" si="310"/>
        <v>0</v>
      </c>
      <c r="U968" s="5">
        <f t="shared" si="311"/>
        <v>0</v>
      </c>
      <c r="V968" s="5">
        <f t="shared" si="312"/>
        <v>0</v>
      </c>
      <c r="W968" s="5">
        <f t="shared" si="313"/>
        <v>0</v>
      </c>
      <c r="X968" s="5">
        <f t="shared" si="314"/>
        <v>0</v>
      </c>
      <c r="Y968" s="5">
        <f t="shared" si="315"/>
        <v>0</v>
      </c>
      <c r="Z968" s="5">
        <f t="shared" si="316"/>
        <v>0</v>
      </c>
      <c r="AA968" s="5">
        <f t="shared" si="317"/>
        <v>0</v>
      </c>
      <c r="AB968" s="5">
        <f t="shared" si="297"/>
        <v>0</v>
      </c>
    </row>
    <row r="969" spans="4:28" x14ac:dyDescent="0.25">
      <c r="D969" t="s">
        <v>84</v>
      </c>
      <c r="E969" s="64"/>
      <c r="F969" s="64"/>
      <c r="G969">
        <f>IFERROR(HLOOKUP(G$2,[31]table_male_hkom3_inj.U2!$A$1:$K$36,16,FALSE),0)</f>
        <v>0</v>
      </c>
      <c r="H969">
        <f>IFERROR(HLOOKUP(H$2,[31]table_male_hkom3_inj.U2!$A$1:$K$36,16,FALSE),0)</f>
        <v>0</v>
      </c>
      <c r="I969">
        <f>IFERROR(HLOOKUP(I$2,[31]table_male_hkom3_inj.U2!$A$1:$K$36,16,FALSE),0)</f>
        <v>0</v>
      </c>
      <c r="J969">
        <f>IFERROR(HLOOKUP(J$2,[31]table_male_hkom3_inj.U2!$A$1:$K$36,16,FALSE),0)</f>
        <v>0</v>
      </c>
      <c r="K969">
        <f>IFERROR(HLOOKUP(K$2,[31]table_male_hkom3_inj.U2!$A$1:$K$36,16,FALSE),0)</f>
        <v>0</v>
      </c>
      <c r="L969">
        <f>IFERROR(HLOOKUP(L$2,[31]table_male_hkom3_inj.U2!$A$1:$K$36,16,FALSE),0)</f>
        <v>0</v>
      </c>
      <c r="M969">
        <f t="shared" si="309"/>
        <v>0</v>
      </c>
      <c r="S969" t="s">
        <v>84</v>
      </c>
      <c r="T969" s="5">
        <f t="shared" si="310"/>
        <v>0</v>
      </c>
      <c r="U969" s="5">
        <f t="shared" si="311"/>
        <v>0</v>
      </c>
      <c r="V969" s="5">
        <f t="shared" si="312"/>
        <v>0</v>
      </c>
      <c r="W969" s="5">
        <f t="shared" si="313"/>
        <v>0</v>
      </c>
      <c r="X969" s="5">
        <f t="shared" si="314"/>
        <v>0</v>
      </c>
      <c r="Y969" s="5">
        <f t="shared" si="315"/>
        <v>0</v>
      </c>
      <c r="Z969" s="5">
        <f t="shared" si="316"/>
        <v>0</v>
      </c>
      <c r="AA969" s="5">
        <f t="shared" si="317"/>
        <v>0</v>
      </c>
      <c r="AB969" s="5">
        <f t="shared" si="297"/>
        <v>0</v>
      </c>
    </row>
    <row r="970" spans="4:28" x14ac:dyDescent="0.25">
      <c r="D970" t="s">
        <v>85</v>
      </c>
      <c r="E970" s="64"/>
      <c r="F970" s="64"/>
      <c r="G970">
        <f>IFERROR(HLOOKUP(G$2,[31]table_male_hkom3_inj.U2!$A$1:$K$36,17,FALSE),0)</f>
        <v>0</v>
      </c>
      <c r="H970">
        <f>IFERROR(HLOOKUP(H$2,[31]table_male_hkom3_inj.U2!$A$1:$K$36,17,FALSE),0)</f>
        <v>0</v>
      </c>
      <c r="I970">
        <f>IFERROR(HLOOKUP(I$2,[31]table_male_hkom3_inj.U2!$A$1:$K$36,17,FALSE),0)</f>
        <v>1</v>
      </c>
      <c r="J970">
        <f>IFERROR(HLOOKUP(J$2,[31]table_male_hkom3_inj.U2!$A$1:$K$36,17,FALSE),0)</f>
        <v>0</v>
      </c>
      <c r="K970">
        <f>IFERROR(HLOOKUP(K$2,[31]table_male_hkom3_inj.U2!$A$1:$K$36,17,FALSE),0)</f>
        <v>0</v>
      </c>
      <c r="L970">
        <f>IFERROR(HLOOKUP(L$2,[31]table_male_hkom3_inj.U2!$A$1:$K$36,17,FALSE),0)</f>
        <v>0</v>
      </c>
      <c r="M970">
        <f t="shared" si="309"/>
        <v>1</v>
      </c>
      <c r="S970" t="s">
        <v>85</v>
      </c>
      <c r="T970" s="5">
        <f t="shared" si="310"/>
        <v>0</v>
      </c>
      <c r="U970" s="5">
        <f t="shared" si="311"/>
        <v>0</v>
      </c>
      <c r="V970" s="5">
        <f t="shared" si="312"/>
        <v>0</v>
      </c>
      <c r="W970" s="5">
        <f t="shared" si="313"/>
        <v>0</v>
      </c>
      <c r="X970" s="5">
        <f t="shared" si="314"/>
        <v>2.3055555555555554</v>
      </c>
      <c r="Y970" s="5">
        <f t="shared" si="315"/>
        <v>0</v>
      </c>
      <c r="Z970" s="5">
        <f t="shared" si="316"/>
        <v>0</v>
      </c>
      <c r="AA970" s="5">
        <f t="shared" si="317"/>
        <v>0</v>
      </c>
      <c r="AB970" s="5">
        <f t="shared" si="297"/>
        <v>2.3055555555555554</v>
      </c>
    </row>
    <row r="971" spans="4:28" x14ac:dyDescent="0.25">
      <c r="D971" t="s">
        <v>86</v>
      </c>
      <c r="E971" s="64"/>
      <c r="F971" s="64"/>
      <c r="G971">
        <f>IFERROR(HLOOKUP(G$2,[31]table_male_hkom3_inj.U2!$A$1:$K$36,18,FALSE),0)</f>
        <v>0</v>
      </c>
      <c r="H971">
        <f>IFERROR(HLOOKUP(H$2,[31]table_male_hkom3_inj.U2!$A$1:$K$36,18,FALSE),0)</f>
        <v>0</v>
      </c>
      <c r="I971">
        <f>IFERROR(HLOOKUP(I$2,[31]table_male_hkom3_inj.U2!$A$1:$K$36,18,FALSE),0)</f>
        <v>0</v>
      </c>
      <c r="J971">
        <f>IFERROR(HLOOKUP(J$2,[31]table_male_hkom3_inj.U2!$A$1:$K$36,18,FALSE),0)</f>
        <v>0</v>
      </c>
      <c r="K971">
        <f>IFERROR(HLOOKUP(K$2,[31]table_male_hkom3_inj.U2!$A$1:$K$36,18,FALSE),0)</f>
        <v>0</v>
      </c>
      <c r="L971">
        <f>IFERROR(HLOOKUP(L$2,[31]table_male_hkom3_inj.U2!$A$1:$K$36,18,FALSE),0)</f>
        <v>0</v>
      </c>
      <c r="M971">
        <f t="shared" si="309"/>
        <v>0</v>
      </c>
      <c r="S971" t="s">
        <v>86</v>
      </c>
      <c r="T971" s="5">
        <f t="shared" si="310"/>
        <v>0</v>
      </c>
      <c r="U971" s="5">
        <f t="shared" si="311"/>
        <v>0</v>
      </c>
      <c r="V971" s="5">
        <f t="shared" si="312"/>
        <v>0</v>
      </c>
      <c r="W971" s="5">
        <f t="shared" si="313"/>
        <v>0</v>
      </c>
      <c r="X971" s="5">
        <f t="shared" si="314"/>
        <v>0</v>
      </c>
      <c r="Y971" s="5">
        <f t="shared" si="315"/>
        <v>0</v>
      </c>
      <c r="Z971" s="5">
        <f t="shared" si="316"/>
        <v>0</v>
      </c>
      <c r="AA971" s="5">
        <f t="shared" si="317"/>
        <v>0</v>
      </c>
      <c r="AB971" s="5">
        <f t="shared" si="297"/>
        <v>0</v>
      </c>
    </row>
    <row r="972" spans="4:28" x14ac:dyDescent="0.25">
      <c r="D972" t="s">
        <v>87</v>
      </c>
      <c r="E972" s="64"/>
      <c r="F972" s="64"/>
      <c r="G972">
        <f>IFERROR(HLOOKUP(G$2,[31]table_male_hkom3_inj.U2!$A$1:$K$36,19,FALSE),0)</f>
        <v>1</v>
      </c>
      <c r="H972">
        <f>IFERROR(HLOOKUP(H$2,[31]table_male_hkom3_inj.U2!$A$1:$K$36,19,FALSE),0)</f>
        <v>2</v>
      </c>
      <c r="I972">
        <f>IFERROR(HLOOKUP(I$2,[31]table_male_hkom3_inj.U2!$A$1:$K$36,19,FALSE),0)</f>
        <v>0</v>
      </c>
      <c r="J972">
        <f>IFERROR(HLOOKUP(J$2,[31]table_male_hkom3_inj.U2!$A$1:$K$36,19,FALSE),0)</f>
        <v>0</v>
      </c>
      <c r="K972">
        <f>IFERROR(HLOOKUP(K$2,[31]table_male_hkom3_inj.U2!$A$1:$K$36,19,FALSE),0)</f>
        <v>0</v>
      </c>
      <c r="L972">
        <f>IFERROR(HLOOKUP(L$2,[31]table_male_hkom3_inj.U2!$A$1:$K$36,19,FALSE),0)</f>
        <v>0</v>
      </c>
      <c r="M972">
        <f t="shared" si="309"/>
        <v>3</v>
      </c>
      <c r="S972" t="s">
        <v>87</v>
      </c>
      <c r="T972" s="5">
        <f t="shared" si="310"/>
        <v>0</v>
      </c>
      <c r="U972" s="5">
        <f t="shared" si="311"/>
        <v>0</v>
      </c>
      <c r="V972" s="5">
        <f t="shared" si="312"/>
        <v>2.4375</v>
      </c>
      <c r="W972" s="5">
        <f t="shared" si="313"/>
        <v>4.973684210526315</v>
      </c>
      <c r="X972" s="5">
        <f t="shared" si="314"/>
        <v>0</v>
      </c>
      <c r="Y972" s="5">
        <f t="shared" si="315"/>
        <v>0</v>
      </c>
      <c r="Z972" s="5">
        <f t="shared" si="316"/>
        <v>0</v>
      </c>
      <c r="AA972" s="5">
        <f t="shared" si="317"/>
        <v>0</v>
      </c>
      <c r="AB972" s="5">
        <f t="shared" si="297"/>
        <v>7.411184210526315</v>
      </c>
    </row>
    <row r="973" spans="4:28" x14ac:dyDescent="0.25">
      <c r="D973" t="s">
        <v>88</v>
      </c>
      <c r="E973" s="64"/>
      <c r="F973" s="64"/>
      <c r="G973">
        <f>IFERROR(HLOOKUP(G$2,[31]table_male_hkom3_inj.U2!$A$1:$K$36,20,FALSE),0)</f>
        <v>0</v>
      </c>
      <c r="H973">
        <f>IFERROR(HLOOKUP(H$2,[31]table_male_hkom3_inj.U2!$A$1:$K$36,20,FALSE),0)</f>
        <v>1</v>
      </c>
      <c r="I973">
        <f>IFERROR(HLOOKUP(I$2,[31]table_male_hkom3_inj.U2!$A$1:$K$36,20,FALSE),0)</f>
        <v>1</v>
      </c>
      <c r="J973">
        <f>IFERROR(HLOOKUP(J$2,[31]table_male_hkom3_inj.U2!$A$1:$K$36,20,FALSE),0)</f>
        <v>1</v>
      </c>
      <c r="K973">
        <f>IFERROR(HLOOKUP(K$2,[31]table_male_hkom3_inj.U2!$A$1:$K$36,20,FALSE),0)</f>
        <v>0</v>
      </c>
      <c r="L973">
        <f>IFERROR(HLOOKUP(L$2,[31]table_male_hkom3_inj.U2!$A$1:$K$36,20,FALSE),0)</f>
        <v>0</v>
      </c>
      <c r="M973">
        <f t="shared" si="309"/>
        <v>3</v>
      </c>
      <c r="S973" t="s">
        <v>88</v>
      </c>
      <c r="T973" s="5">
        <f t="shared" si="310"/>
        <v>0</v>
      </c>
      <c r="U973" s="5">
        <f t="shared" si="311"/>
        <v>0</v>
      </c>
      <c r="V973" s="5">
        <f t="shared" si="312"/>
        <v>0</v>
      </c>
      <c r="W973" s="5">
        <f t="shared" si="313"/>
        <v>2.4868421052631575</v>
      </c>
      <c r="X973" s="5">
        <f t="shared" si="314"/>
        <v>2.3055555555555554</v>
      </c>
      <c r="Y973" s="5">
        <f t="shared" si="315"/>
        <v>1.9</v>
      </c>
      <c r="Z973" s="5">
        <f t="shared" si="316"/>
        <v>0</v>
      </c>
      <c r="AA973" s="5">
        <f t="shared" si="317"/>
        <v>0</v>
      </c>
      <c r="AB973" s="5">
        <f t="shared" si="297"/>
        <v>6.6923976608187132</v>
      </c>
    </row>
    <row r="974" spans="4:28" x14ac:dyDescent="0.25">
      <c r="D974" t="s">
        <v>89</v>
      </c>
      <c r="E974" s="64"/>
      <c r="F974" s="64"/>
      <c r="G974">
        <f>IFERROR(HLOOKUP(G$2,[31]table_male_hkom3_inj.U2!$A$1:$K$36,21,FALSE),0)</f>
        <v>2</v>
      </c>
      <c r="H974">
        <f>IFERROR(HLOOKUP(H$2,[31]table_male_hkom3_inj.U2!$A$1:$K$36,21,FALSE),0)</f>
        <v>3</v>
      </c>
      <c r="I974">
        <f>IFERROR(HLOOKUP(I$2,[31]table_male_hkom3_inj.U2!$A$1:$K$36,21,FALSE),0)</f>
        <v>3</v>
      </c>
      <c r="J974">
        <f>IFERROR(HLOOKUP(J$2,[31]table_male_hkom3_inj.U2!$A$1:$K$36,21,FALSE),0)</f>
        <v>0</v>
      </c>
      <c r="K974">
        <f>IFERROR(HLOOKUP(K$2,[31]table_male_hkom3_inj.U2!$A$1:$K$36,21,FALSE),0)</f>
        <v>0</v>
      </c>
      <c r="L974">
        <f>IFERROR(HLOOKUP(L$2,[31]table_male_hkom3_inj.U2!$A$1:$K$36,21,FALSE),0)</f>
        <v>0</v>
      </c>
      <c r="M974">
        <f t="shared" si="309"/>
        <v>8</v>
      </c>
      <c r="S974" t="s">
        <v>89</v>
      </c>
      <c r="T974" s="5">
        <f t="shared" si="310"/>
        <v>0</v>
      </c>
      <c r="U974" s="5">
        <f t="shared" si="311"/>
        <v>0</v>
      </c>
      <c r="V974" s="5">
        <f t="shared" si="312"/>
        <v>4.875</v>
      </c>
      <c r="W974" s="5">
        <f t="shared" si="313"/>
        <v>7.4605263157894735</v>
      </c>
      <c r="X974" s="5">
        <f t="shared" si="314"/>
        <v>6.9166666666666661</v>
      </c>
      <c r="Y974" s="5">
        <f t="shared" si="315"/>
        <v>0</v>
      </c>
      <c r="Z974" s="5">
        <f t="shared" si="316"/>
        <v>0</v>
      </c>
      <c r="AA974" s="5">
        <f t="shared" si="317"/>
        <v>0</v>
      </c>
      <c r="AB974" s="5">
        <f t="shared" si="297"/>
        <v>19.252192982456137</v>
      </c>
    </row>
    <row r="975" spans="4:28" x14ac:dyDescent="0.25">
      <c r="D975" t="s">
        <v>90</v>
      </c>
      <c r="E975" s="64"/>
      <c r="F975" s="64"/>
      <c r="G975">
        <f>IFERROR(HLOOKUP(G$2,[31]table_male_hkom3_inj.U2!$A$1:$K$36,22,FALSE),0)</f>
        <v>0</v>
      </c>
      <c r="H975">
        <f>IFERROR(HLOOKUP(H$2,[31]table_male_hkom3_inj.U2!$A$1:$K$36,22,FALSE),0)</f>
        <v>0</v>
      </c>
      <c r="I975">
        <f>IFERROR(HLOOKUP(I$2,[31]table_male_hkom3_inj.U2!$A$1:$K$36,22,FALSE),0)</f>
        <v>0</v>
      </c>
      <c r="J975">
        <f>IFERROR(HLOOKUP(J$2,[31]table_male_hkom3_inj.U2!$A$1:$K$36,22,FALSE),0)</f>
        <v>0</v>
      </c>
      <c r="K975">
        <f>IFERROR(HLOOKUP(K$2,[31]table_male_hkom3_inj.U2!$A$1:$K$36,22,FALSE),0)</f>
        <v>0</v>
      </c>
      <c r="L975">
        <f>IFERROR(HLOOKUP(L$2,[31]table_male_hkom3_inj.U2!$A$1:$K$36,22,FALSE),0)</f>
        <v>0</v>
      </c>
      <c r="M975">
        <f t="shared" si="309"/>
        <v>0</v>
      </c>
      <c r="S975" t="s">
        <v>90</v>
      </c>
      <c r="T975" s="5">
        <f t="shared" si="310"/>
        <v>0</v>
      </c>
      <c r="U975" s="5">
        <f t="shared" si="311"/>
        <v>0</v>
      </c>
      <c r="V975" s="5">
        <f t="shared" si="312"/>
        <v>0</v>
      </c>
      <c r="W975" s="5">
        <f t="shared" si="313"/>
        <v>0</v>
      </c>
      <c r="X975" s="5">
        <f t="shared" si="314"/>
        <v>0</v>
      </c>
      <c r="Y975" s="5">
        <f t="shared" si="315"/>
        <v>0</v>
      </c>
      <c r="Z975" s="5">
        <f t="shared" si="316"/>
        <v>0</v>
      </c>
      <c r="AA975" s="5">
        <f t="shared" si="317"/>
        <v>0</v>
      </c>
      <c r="AB975" s="5">
        <f t="shared" si="297"/>
        <v>0</v>
      </c>
    </row>
    <row r="976" spans="4:28" x14ac:dyDescent="0.25">
      <c r="D976" t="s">
        <v>91</v>
      </c>
      <c r="E976" s="64"/>
      <c r="F976" s="64"/>
      <c r="G976">
        <f>IFERROR(HLOOKUP(G$2,[31]table_male_hkom3_inj.U2!$A$1:$K$36,23,FALSE),0)</f>
        <v>0</v>
      </c>
      <c r="H976">
        <f>IFERROR(HLOOKUP(H$2,[31]table_male_hkom3_inj.U2!$A$1:$K$36,23,FALSE),0)</f>
        <v>0</v>
      </c>
      <c r="I976">
        <f>IFERROR(HLOOKUP(I$2,[31]table_male_hkom3_inj.U2!$A$1:$K$36,23,FALSE),0)</f>
        <v>0</v>
      </c>
      <c r="J976">
        <f>IFERROR(HLOOKUP(J$2,[31]table_male_hkom3_inj.U2!$A$1:$K$36,23,FALSE),0)</f>
        <v>0</v>
      </c>
      <c r="K976">
        <f>IFERROR(HLOOKUP(K$2,[31]table_male_hkom3_inj.U2!$A$1:$K$36,23,FALSE),0)</f>
        <v>0</v>
      </c>
      <c r="L976">
        <f>IFERROR(HLOOKUP(L$2,[31]table_male_hkom3_inj.U2!$A$1:$K$36,23,FALSE),0)</f>
        <v>0</v>
      </c>
      <c r="M976">
        <f t="shared" si="309"/>
        <v>0</v>
      </c>
      <c r="S976" t="s">
        <v>91</v>
      </c>
      <c r="T976" s="5">
        <f t="shared" si="310"/>
        <v>0</v>
      </c>
      <c r="U976" s="5">
        <f t="shared" si="311"/>
        <v>0</v>
      </c>
      <c r="V976" s="5">
        <f t="shared" si="312"/>
        <v>0</v>
      </c>
      <c r="W976" s="5">
        <f t="shared" si="313"/>
        <v>0</v>
      </c>
      <c r="X976" s="5">
        <f t="shared" si="314"/>
        <v>0</v>
      </c>
      <c r="Y976" s="5">
        <f t="shared" si="315"/>
        <v>0</v>
      </c>
      <c r="Z976" s="5">
        <f t="shared" si="316"/>
        <v>0</v>
      </c>
      <c r="AA976" s="5">
        <f t="shared" si="317"/>
        <v>0</v>
      </c>
      <c r="AB976" s="5">
        <f t="shared" si="297"/>
        <v>0</v>
      </c>
    </row>
    <row r="977" spans="1:29" x14ac:dyDescent="0.25">
      <c r="D977" t="s">
        <v>92</v>
      </c>
      <c r="E977" s="64"/>
      <c r="F977" s="64"/>
      <c r="G977">
        <f>IFERROR(HLOOKUP(G$2,[31]table_male_hkom3_inj.U2!$A$1:$K$36,24,FALSE),0)</f>
        <v>0</v>
      </c>
      <c r="H977">
        <f>IFERROR(HLOOKUP(H$2,[31]table_male_hkom3_inj.U2!$A$1:$K$36,24,FALSE),0)</f>
        <v>0</v>
      </c>
      <c r="I977">
        <f>IFERROR(HLOOKUP(I$2,[31]table_male_hkom3_inj.U2!$A$1:$K$36,24,FALSE),0)</f>
        <v>0</v>
      </c>
      <c r="J977">
        <f>IFERROR(HLOOKUP(J$2,[31]table_male_hkom3_inj.U2!$A$1:$K$36,24,FALSE),0)</f>
        <v>0</v>
      </c>
      <c r="K977">
        <f>IFERROR(HLOOKUP(K$2,[31]table_male_hkom3_inj.U2!$A$1:$K$36,24,FALSE),0)</f>
        <v>0</v>
      </c>
      <c r="L977">
        <f>IFERROR(HLOOKUP(L$2,[31]table_male_hkom3_inj.U2!$A$1:$K$36,24,FALSE),0)</f>
        <v>0</v>
      </c>
      <c r="M977">
        <f t="shared" si="309"/>
        <v>0</v>
      </c>
      <c r="S977" t="s">
        <v>92</v>
      </c>
      <c r="T977" s="5">
        <f t="shared" si="310"/>
        <v>0</v>
      </c>
      <c r="U977" s="5">
        <f t="shared" si="311"/>
        <v>0</v>
      </c>
      <c r="V977" s="5">
        <f t="shared" si="312"/>
        <v>0</v>
      </c>
      <c r="W977" s="5">
        <f t="shared" si="313"/>
        <v>0</v>
      </c>
      <c r="X977" s="5">
        <f t="shared" si="314"/>
        <v>0</v>
      </c>
      <c r="Y977" s="5">
        <f t="shared" si="315"/>
        <v>0</v>
      </c>
      <c r="Z977" s="5">
        <f t="shared" si="316"/>
        <v>0</v>
      </c>
      <c r="AA977" s="5">
        <f t="shared" si="317"/>
        <v>0</v>
      </c>
      <c r="AB977" s="5">
        <f t="shared" si="297"/>
        <v>0</v>
      </c>
    </row>
    <row r="978" spans="1:29" x14ac:dyDescent="0.25">
      <c r="D978" t="s">
        <v>93</v>
      </c>
      <c r="E978" s="64"/>
      <c r="F978" s="64"/>
      <c r="G978">
        <f>IFERROR(HLOOKUP(G$2,[31]table_male_hkom3_inj.U2!$A$1:$K$36,25,FALSE),0)</f>
        <v>0</v>
      </c>
      <c r="H978">
        <f>IFERROR(HLOOKUP(H$2,[31]table_male_hkom3_inj.U2!$A$1:$K$36,25,FALSE),0)</f>
        <v>0</v>
      </c>
      <c r="I978">
        <f>IFERROR(HLOOKUP(I$2,[31]table_male_hkom3_inj.U2!$A$1:$K$36,25,FALSE),0)</f>
        <v>0</v>
      </c>
      <c r="J978">
        <f>IFERROR(HLOOKUP(J$2,[31]table_male_hkom3_inj.U2!$A$1:$K$36,25,FALSE),0)</f>
        <v>0</v>
      </c>
      <c r="K978">
        <f>IFERROR(HLOOKUP(K$2,[31]table_male_hkom3_inj.U2!$A$1:$K$36,25,FALSE),0)</f>
        <v>0</v>
      </c>
      <c r="L978">
        <f>IFERROR(HLOOKUP(L$2,[31]table_male_hkom3_inj.U2!$A$1:$K$36,25,FALSE),0)</f>
        <v>0</v>
      </c>
      <c r="M978">
        <f t="shared" si="309"/>
        <v>0</v>
      </c>
      <c r="S978" t="s">
        <v>93</v>
      </c>
      <c r="T978" s="5">
        <f t="shared" si="310"/>
        <v>0</v>
      </c>
      <c r="U978" s="5">
        <f t="shared" si="311"/>
        <v>0</v>
      </c>
      <c r="V978" s="5">
        <f t="shared" si="312"/>
        <v>0</v>
      </c>
      <c r="W978" s="5">
        <f t="shared" si="313"/>
        <v>0</v>
      </c>
      <c r="X978" s="5">
        <f t="shared" si="314"/>
        <v>0</v>
      </c>
      <c r="Y978" s="5">
        <f t="shared" si="315"/>
        <v>0</v>
      </c>
      <c r="Z978" s="5">
        <f t="shared" si="316"/>
        <v>0</v>
      </c>
      <c r="AA978" s="5">
        <f t="shared" si="317"/>
        <v>0</v>
      </c>
      <c r="AB978" s="5">
        <f t="shared" si="297"/>
        <v>0</v>
      </c>
    </row>
    <row r="979" spans="1:29" x14ac:dyDescent="0.25">
      <c r="D979" t="s">
        <v>94</v>
      </c>
      <c r="E979" s="64"/>
      <c r="F979" s="64"/>
      <c r="G979">
        <f>IFERROR(HLOOKUP(G$2,[31]table_male_hkom3_inj.U2!$A$1:$K$36,26,FALSE),0)</f>
        <v>0</v>
      </c>
      <c r="H979">
        <f>IFERROR(HLOOKUP(H$2,[31]table_male_hkom3_inj.U2!$A$1:$K$36,26,FALSE),0)</f>
        <v>0</v>
      </c>
      <c r="I979">
        <f>IFERROR(HLOOKUP(I$2,[31]table_male_hkom3_inj.U2!$A$1:$K$36,26,FALSE),0)</f>
        <v>0</v>
      </c>
      <c r="J979">
        <f>IFERROR(HLOOKUP(J$2,[31]table_male_hkom3_inj.U2!$A$1:$K$36,26,FALSE),0)</f>
        <v>0</v>
      </c>
      <c r="K979">
        <f>IFERROR(HLOOKUP(K$2,[31]table_male_hkom3_inj.U2!$A$1:$K$36,26,FALSE),0)</f>
        <v>0</v>
      </c>
      <c r="L979">
        <f>IFERROR(HLOOKUP(L$2,[31]table_male_hkom3_inj.U2!$A$1:$K$36,26,FALSE),0)</f>
        <v>0</v>
      </c>
      <c r="M979">
        <f t="shared" si="309"/>
        <v>0</v>
      </c>
      <c r="S979" t="s">
        <v>94</v>
      </c>
      <c r="T979" s="5">
        <f t="shared" si="310"/>
        <v>0</v>
      </c>
      <c r="U979" s="5">
        <f t="shared" si="311"/>
        <v>0</v>
      </c>
      <c r="V979" s="5">
        <f t="shared" si="312"/>
        <v>0</v>
      </c>
      <c r="W979" s="5">
        <f t="shared" si="313"/>
        <v>0</v>
      </c>
      <c r="X979" s="5">
        <f t="shared" si="314"/>
        <v>0</v>
      </c>
      <c r="Y979" s="5">
        <f t="shared" si="315"/>
        <v>0</v>
      </c>
      <c r="Z979" s="5">
        <f t="shared" si="316"/>
        <v>0</v>
      </c>
      <c r="AA979" s="5">
        <f t="shared" si="317"/>
        <v>0</v>
      </c>
      <c r="AB979" s="5">
        <f t="shared" si="297"/>
        <v>0</v>
      </c>
    </row>
    <row r="980" spans="1:29" x14ac:dyDescent="0.25">
      <c r="D980" t="s">
        <v>95</v>
      </c>
      <c r="E980" s="64"/>
      <c r="F980" s="64"/>
      <c r="G980">
        <f>IFERROR(HLOOKUP(G$2,[31]table_male_hkom3_inj.U2!$A$1:$K$36,27,FALSE),0)</f>
        <v>0</v>
      </c>
      <c r="H980">
        <f>IFERROR(HLOOKUP(H$2,[31]table_male_hkom3_inj.U2!$A$1:$K$36,27,FALSE),0)</f>
        <v>0</v>
      </c>
      <c r="I980">
        <f>IFERROR(HLOOKUP(I$2,[31]table_male_hkom3_inj.U2!$A$1:$K$36,27,FALSE),0)</f>
        <v>0</v>
      </c>
      <c r="J980">
        <f>IFERROR(HLOOKUP(J$2,[31]table_male_hkom3_inj.U2!$A$1:$K$36,27,FALSE),0)</f>
        <v>0</v>
      </c>
      <c r="K980">
        <f>IFERROR(HLOOKUP(K$2,[31]table_male_hkom3_inj.U2!$A$1:$K$36,27,FALSE),0)</f>
        <v>0</v>
      </c>
      <c r="L980">
        <f>IFERROR(HLOOKUP(L$2,[31]table_male_hkom3_inj.U2!$A$1:$K$36,27,FALSE),0)</f>
        <v>0</v>
      </c>
      <c r="M980">
        <f t="shared" si="309"/>
        <v>0</v>
      </c>
      <c r="S980" t="s">
        <v>95</v>
      </c>
      <c r="T980" s="5">
        <f t="shared" si="310"/>
        <v>0</v>
      </c>
      <c r="U980" s="5">
        <f t="shared" si="311"/>
        <v>0</v>
      </c>
      <c r="V980" s="5">
        <f t="shared" si="312"/>
        <v>0</v>
      </c>
      <c r="W980" s="5">
        <f t="shared" si="313"/>
        <v>0</v>
      </c>
      <c r="X980" s="5">
        <f t="shared" si="314"/>
        <v>0</v>
      </c>
      <c r="Y980" s="5">
        <f t="shared" si="315"/>
        <v>0</v>
      </c>
      <c r="Z980" s="5">
        <f t="shared" si="316"/>
        <v>0</v>
      </c>
      <c r="AA980" s="5">
        <f t="shared" si="317"/>
        <v>0</v>
      </c>
      <c r="AB980" s="5">
        <f t="shared" ref="AB980:AB1043" si="318">SUM(T980:AA980)</f>
        <v>0</v>
      </c>
    </row>
    <row r="981" spans="1:29" x14ac:dyDescent="0.25">
      <c r="D981" t="s">
        <v>96</v>
      </c>
      <c r="E981" s="64"/>
      <c r="F981" s="64"/>
      <c r="G981">
        <f>IFERROR(HLOOKUP(G$2,[31]table_male_hkom3_inj.U2!$A$1:$K$36,28,FALSE),0)</f>
        <v>0</v>
      </c>
      <c r="H981">
        <f>IFERROR(HLOOKUP(H$2,[31]table_male_hkom3_inj.U2!$A$1:$K$36,28,FALSE),0)</f>
        <v>0</v>
      </c>
      <c r="I981">
        <f>IFERROR(HLOOKUP(I$2,[31]table_male_hkom3_inj.U2!$A$1:$K$36,28,FALSE),0)</f>
        <v>0</v>
      </c>
      <c r="J981">
        <f>IFERROR(HLOOKUP(J$2,[31]table_male_hkom3_inj.U2!$A$1:$K$36,28,FALSE),0)</f>
        <v>0</v>
      </c>
      <c r="K981">
        <f>IFERROR(HLOOKUP(K$2,[31]table_male_hkom3_inj.U2!$A$1:$K$36,28,FALSE),0)</f>
        <v>0</v>
      </c>
      <c r="L981">
        <f>IFERROR(HLOOKUP(L$2,[31]table_male_hkom3_inj.U2!$A$1:$K$36,28,FALSE),0)</f>
        <v>0</v>
      </c>
      <c r="M981">
        <f t="shared" si="309"/>
        <v>0</v>
      </c>
      <c r="S981" t="s">
        <v>96</v>
      </c>
      <c r="T981" s="5">
        <f t="shared" si="310"/>
        <v>0</v>
      </c>
      <c r="U981" s="5">
        <f t="shared" si="311"/>
        <v>0</v>
      </c>
      <c r="V981" s="5">
        <f t="shared" si="312"/>
        <v>0</v>
      </c>
      <c r="W981" s="5">
        <f t="shared" si="313"/>
        <v>0</v>
      </c>
      <c r="X981" s="5">
        <f t="shared" si="314"/>
        <v>0</v>
      </c>
      <c r="Y981" s="5">
        <f t="shared" si="315"/>
        <v>0</v>
      </c>
      <c r="Z981" s="5">
        <f t="shared" si="316"/>
        <v>0</v>
      </c>
      <c r="AA981" s="5">
        <f t="shared" si="317"/>
        <v>0</v>
      </c>
      <c r="AB981" s="5">
        <f t="shared" si="318"/>
        <v>0</v>
      </c>
    </row>
    <row r="982" spans="1:29" x14ac:dyDescent="0.25">
      <c r="D982" t="s">
        <v>97</v>
      </c>
      <c r="E982" s="64"/>
      <c r="F982" s="64"/>
      <c r="G982">
        <f>IFERROR(HLOOKUP(G$2,[31]table_male_hkom3_inj.U2!$A$1:$K$36,29,FALSE),0)</f>
        <v>3</v>
      </c>
      <c r="H982">
        <f>IFERROR(HLOOKUP(H$2,[31]table_male_hkom3_inj.U2!$A$1:$K$36,29,FALSE),0)</f>
        <v>4</v>
      </c>
      <c r="I982">
        <f>IFERROR(HLOOKUP(I$2,[31]table_male_hkom3_inj.U2!$A$1:$K$36,29,FALSE),0)</f>
        <v>0</v>
      </c>
      <c r="J982">
        <f>IFERROR(HLOOKUP(J$2,[31]table_male_hkom3_inj.U2!$A$1:$K$36,29,FALSE),0)</f>
        <v>0</v>
      </c>
      <c r="K982">
        <f>IFERROR(HLOOKUP(K$2,[31]table_male_hkom3_inj.U2!$A$1:$K$36,29,FALSE),0)</f>
        <v>0</v>
      </c>
      <c r="L982">
        <f>IFERROR(HLOOKUP(L$2,[31]table_male_hkom3_inj.U2!$A$1:$K$36,29,FALSE),0)</f>
        <v>0</v>
      </c>
      <c r="M982">
        <f t="shared" si="309"/>
        <v>7</v>
      </c>
      <c r="S982" t="s">
        <v>97</v>
      </c>
      <c r="T982" s="5">
        <f t="shared" si="310"/>
        <v>0</v>
      </c>
      <c r="U982" s="5">
        <f t="shared" si="311"/>
        <v>0</v>
      </c>
      <c r="V982" s="5">
        <f t="shared" si="312"/>
        <v>7.3125</v>
      </c>
      <c r="W982" s="5">
        <f t="shared" si="313"/>
        <v>9.9473684210526301</v>
      </c>
      <c r="X982" s="5">
        <f t="shared" si="314"/>
        <v>0</v>
      </c>
      <c r="Y982" s="5">
        <f t="shared" si="315"/>
        <v>0</v>
      </c>
      <c r="Z982" s="5">
        <f t="shared" si="316"/>
        <v>0</v>
      </c>
      <c r="AA982" s="5">
        <f t="shared" si="317"/>
        <v>0</v>
      </c>
      <c r="AB982" s="5">
        <f t="shared" si="318"/>
        <v>17.25986842105263</v>
      </c>
    </row>
    <row r="983" spans="1:29" x14ac:dyDescent="0.25">
      <c r="D983" t="s">
        <v>98</v>
      </c>
      <c r="E983" s="64"/>
      <c r="F983" s="64"/>
      <c r="G983">
        <f>IFERROR(HLOOKUP(G$2,[31]table_male_hkom3_inj.U2!$A$1:$K$36,30,FALSE),0)</f>
        <v>0</v>
      </c>
      <c r="H983">
        <f>IFERROR(HLOOKUP(H$2,[31]table_male_hkom3_inj.U2!$A$1:$K$36,30,FALSE),0)</f>
        <v>0</v>
      </c>
      <c r="I983">
        <f>IFERROR(HLOOKUP(I$2,[31]table_male_hkom3_inj.U2!$A$1:$K$36,30,FALSE),0)</f>
        <v>2</v>
      </c>
      <c r="J983">
        <f>IFERROR(HLOOKUP(J$2,[31]table_male_hkom3_inj.U2!$A$1:$K$36,30,FALSE),0)</f>
        <v>0</v>
      </c>
      <c r="K983">
        <f>IFERROR(HLOOKUP(K$2,[31]table_male_hkom3_inj.U2!$A$1:$K$36,30,FALSE),0)</f>
        <v>0</v>
      </c>
      <c r="L983">
        <f>IFERROR(HLOOKUP(L$2,[31]table_male_hkom3_inj.U2!$A$1:$K$36,30,FALSE),0)</f>
        <v>0</v>
      </c>
      <c r="M983">
        <f t="shared" si="309"/>
        <v>2</v>
      </c>
      <c r="S983" t="s">
        <v>98</v>
      </c>
      <c r="T983" s="5">
        <f t="shared" si="310"/>
        <v>0</v>
      </c>
      <c r="U983" s="5">
        <f t="shared" si="311"/>
        <v>0</v>
      </c>
      <c r="V983" s="5">
        <f t="shared" si="312"/>
        <v>0</v>
      </c>
      <c r="W983" s="5">
        <f t="shared" si="313"/>
        <v>0</v>
      </c>
      <c r="X983" s="5">
        <f t="shared" si="314"/>
        <v>4.6111111111111107</v>
      </c>
      <c r="Y983" s="5">
        <f t="shared" si="315"/>
        <v>0</v>
      </c>
      <c r="Z983" s="5">
        <f t="shared" si="316"/>
        <v>0</v>
      </c>
      <c r="AA983" s="5">
        <f t="shared" si="317"/>
        <v>0</v>
      </c>
      <c r="AB983" s="5">
        <f t="shared" si="318"/>
        <v>4.6111111111111107</v>
      </c>
    </row>
    <row r="984" spans="1:29" x14ac:dyDescent="0.25">
      <c r="D984" t="s">
        <v>119</v>
      </c>
      <c r="E984" s="64"/>
      <c r="F984" s="64"/>
      <c r="G984">
        <f>IFERROR(HLOOKUP(G$2,[31]table_male_hkom3_inj.U2!$A$1:$K$36,31,FALSE),0)</f>
        <v>0</v>
      </c>
      <c r="H984">
        <f>IFERROR(HLOOKUP(H$2,[31]table_male_hkom3_inj.U2!$A$1:$K$36,31,FALSE),0)</f>
        <v>0</v>
      </c>
      <c r="I984">
        <f>IFERROR(HLOOKUP(I$2,[31]table_male_hkom3_inj.U2!$A$1:$K$36,31,FALSE),0)</f>
        <v>0</v>
      </c>
      <c r="J984">
        <f>IFERROR(HLOOKUP(J$2,[31]table_male_hkom3_inj.U2!$A$1:$K$36,31,FALSE),0)</f>
        <v>0</v>
      </c>
      <c r="K984">
        <f>IFERROR(HLOOKUP(K$2,[31]table_male_hkom3_inj.U2!$A$1:$K$36,31,FALSE),0)</f>
        <v>0</v>
      </c>
      <c r="L984">
        <f>IFERROR(HLOOKUP(L$2,[31]table_male_hkom3_inj.U2!$A$1:$K$36,31,FALSE),0)</f>
        <v>0</v>
      </c>
      <c r="M984">
        <f t="shared" si="309"/>
        <v>0</v>
      </c>
      <c r="S984" t="s">
        <v>119</v>
      </c>
      <c r="T984" s="5">
        <f t="shared" si="310"/>
        <v>0</v>
      </c>
      <c r="U984" s="5">
        <f t="shared" si="311"/>
        <v>0</v>
      </c>
      <c r="V984" s="5">
        <f t="shared" si="312"/>
        <v>0</v>
      </c>
      <c r="W984" s="5">
        <f t="shared" si="313"/>
        <v>0</v>
      </c>
      <c r="X984" s="5">
        <f t="shared" si="314"/>
        <v>0</v>
      </c>
      <c r="Y984" s="5">
        <f t="shared" si="315"/>
        <v>0</v>
      </c>
      <c r="Z984" s="5">
        <f t="shared" si="316"/>
        <v>0</v>
      </c>
      <c r="AA984" s="5">
        <f t="shared" si="317"/>
        <v>0</v>
      </c>
      <c r="AB984" s="5">
        <f t="shared" si="318"/>
        <v>0</v>
      </c>
    </row>
    <row r="985" spans="1:29" x14ac:dyDescent="0.25">
      <c r="D985" t="s">
        <v>99</v>
      </c>
      <c r="E985" s="64"/>
      <c r="F985" s="64"/>
      <c r="G985">
        <f>IFERROR(HLOOKUP(G$2,[31]table_male_hkom3_inj.U2!$A$1:$K$36,32,FALSE),0)</f>
        <v>0</v>
      </c>
      <c r="H985">
        <f>IFERROR(HLOOKUP(H$2,[31]table_male_hkom3_inj.U2!$A$1:$K$36,32,FALSE),0)</f>
        <v>0</v>
      </c>
      <c r="I985">
        <f>IFERROR(HLOOKUP(I$2,[31]table_male_hkom3_inj.U2!$A$1:$K$36,32,FALSE),0)</f>
        <v>0</v>
      </c>
      <c r="J985">
        <f>IFERROR(HLOOKUP(J$2,[31]table_male_hkom3_inj.U2!$A$1:$K$36,32,FALSE),0)</f>
        <v>0</v>
      </c>
      <c r="K985">
        <f>IFERROR(HLOOKUP(K$2,[31]table_male_hkom3_inj.U2!$A$1:$K$36,32,FALSE),0)</f>
        <v>0</v>
      </c>
      <c r="L985">
        <f>IFERROR(HLOOKUP(L$2,[31]table_male_hkom3_inj.U2!$A$1:$K$36,32,FALSE),0)</f>
        <v>0</v>
      </c>
      <c r="M985">
        <f t="shared" si="309"/>
        <v>0</v>
      </c>
      <c r="S985" t="s">
        <v>99</v>
      </c>
      <c r="T985" s="5">
        <f t="shared" si="310"/>
        <v>0</v>
      </c>
      <c r="U985" s="5">
        <f t="shared" si="311"/>
        <v>0</v>
      </c>
      <c r="V985" s="5">
        <f t="shared" si="312"/>
        <v>0</v>
      </c>
      <c r="W985" s="5">
        <f t="shared" si="313"/>
        <v>0</v>
      </c>
      <c r="X985" s="5">
        <f t="shared" si="314"/>
        <v>0</v>
      </c>
      <c r="Y985" s="5">
        <f t="shared" si="315"/>
        <v>0</v>
      </c>
      <c r="Z985" s="5">
        <f t="shared" si="316"/>
        <v>0</v>
      </c>
      <c r="AA985" s="5">
        <f t="shared" si="317"/>
        <v>0</v>
      </c>
      <c r="AB985" s="5">
        <f t="shared" si="318"/>
        <v>0</v>
      </c>
    </row>
    <row r="986" spans="1:29" x14ac:dyDescent="0.25">
      <c r="D986" t="s">
        <v>100</v>
      </c>
      <c r="E986" s="64"/>
      <c r="F986" s="64"/>
      <c r="G986">
        <f>IFERROR(HLOOKUP(G$2,[31]table_male_hkom3_inj.U2!$A$1:$K$36,33,FALSE),0)</f>
        <v>42</v>
      </c>
      <c r="H986">
        <f>IFERROR(HLOOKUP(H$2,[31]table_male_hkom3_inj.U2!$A$1:$K$36,33,FALSE),0)</f>
        <v>66</v>
      </c>
      <c r="I986">
        <f>IFERROR(HLOOKUP(I$2,[31]table_male_hkom3_inj.U2!$A$1:$K$36,33,FALSE),0)</f>
        <v>29</v>
      </c>
      <c r="J986">
        <f>IFERROR(HLOOKUP(J$2,[31]table_male_hkom3_inj.U2!$A$1:$K$36,33,FALSE),0)</f>
        <v>9</v>
      </c>
      <c r="K986">
        <f>IFERROR(HLOOKUP(K$2,[31]table_male_hkom3_inj.U2!$A$1:$K$36,33,FALSE),0)</f>
        <v>1</v>
      </c>
      <c r="L986">
        <f>IFERROR(HLOOKUP(L$2,[31]table_male_hkom3_inj.U2!$A$1:$K$36,33,FALSE),0)</f>
        <v>1</v>
      </c>
      <c r="M986">
        <f t="shared" si="309"/>
        <v>148</v>
      </c>
      <c r="S986" t="s">
        <v>100</v>
      </c>
      <c r="T986" s="5">
        <f t="shared" si="310"/>
        <v>0</v>
      </c>
      <c r="U986" s="5">
        <f t="shared" si="311"/>
        <v>0</v>
      </c>
      <c r="V986" s="5">
        <f t="shared" si="312"/>
        <v>102.375</v>
      </c>
      <c r="W986" s="5">
        <f t="shared" si="313"/>
        <v>164.13157894736844</v>
      </c>
      <c r="X986" s="5">
        <f t="shared" si="314"/>
        <v>66.861111111111114</v>
      </c>
      <c r="Y986" s="5">
        <f t="shared" si="315"/>
        <v>17.100000000000001</v>
      </c>
      <c r="Z986" s="5">
        <f t="shared" si="316"/>
        <v>3</v>
      </c>
      <c r="AA986" s="5">
        <f t="shared" si="317"/>
        <v>1</v>
      </c>
      <c r="AB986" s="5">
        <f t="shared" si="318"/>
        <v>354.46769005847955</v>
      </c>
    </row>
    <row r="987" spans="1:29" x14ac:dyDescent="0.25">
      <c r="D987" t="s">
        <v>101</v>
      </c>
      <c r="E987" s="64"/>
      <c r="F987" s="64"/>
      <c r="G987">
        <f>IFERROR(HLOOKUP(G$2,[31]table_male_hkom3_inj.U2!$A$1:$K$36,34,FALSE),0)</f>
        <v>0</v>
      </c>
      <c r="H987">
        <f>IFERROR(HLOOKUP(H$2,[31]table_male_hkom3_inj.U2!$A$1:$K$36,34,FALSE),0)</f>
        <v>0</v>
      </c>
      <c r="I987">
        <f>IFERROR(HLOOKUP(I$2,[31]table_male_hkom3_inj.U2!$A$1:$K$36,34,FALSE),0)</f>
        <v>0</v>
      </c>
      <c r="J987">
        <f>IFERROR(HLOOKUP(J$2,[31]table_male_hkom3_inj.U2!$A$1:$K$36,34,FALSE),0)</f>
        <v>0</v>
      </c>
      <c r="K987">
        <f>IFERROR(HLOOKUP(K$2,[31]table_male_hkom3_inj.U2!$A$1:$K$36,34,FALSE),0)</f>
        <v>0</v>
      </c>
      <c r="L987">
        <f>IFERROR(HLOOKUP(L$2,[31]table_male_hkom3_inj.U2!$A$1:$K$36,34,FALSE),0)</f>
        <v>0</v>
      </c>
      <c r="M987">
        <f t="shared" si="309"/>
        <v>0</v>
      </c>
      <c r="S987" t="s">
        <v>101</v>
      </c>
      <c r="T987" s="5">
        <f t="shared" si="310"/>
        <v>0</v>
      </c>
      <c r="U987" s="5">
        <f t="shared" si="311"/>
        <v>0</v>
      </c>
      <c r="V987" s="5">
        <f t="shared" si="312"/>
        <v>0</v>
      </c>
      <c r="W987" s="5">
        <f t="shared" si="313"/>
        <v>0</v>
      </c>
      <c r="X987" s="5">
        <f t="shared" si="314"/>
        <v>0</v>
      </c>
      <c r="Y987" s="5">
        <f t="shared" si="315"/>
        <v>0</v>
      </c>
      <c r="Z987" s="5">
        <f t="shared" si="316"/>
        <v>0</v>
      </c>
      <c r="AA987" s="5">
        <f t="shared" si="317"/>
        <v>0</v>
      </c>
      <c r="AB987" s="5">
        <f t="shared" si="318"/>
        <v>0</v>
      </c>
    </row>
    <row r="988" spans="1:29" x14ac:dyDescent="0.25">
      <c r="D988" t="s">
        <v>102</v>
      </c>
      <c r="E988" s="64"/>
      <c r="F988" s="64"/>
      <c r="G988">
        <f>IFERROR(HLOOKUP(G$2,[31]table_male_hkom3_inj.U2!$A$1:$K$36,35,FALSE),0)</f>
        <v>69</v>
      </c>
      <c r="H988">
        <f>IFERROR(HLOOKUP(H$2,[31]table_male_hkom3_inj.U2!$A$1:$K$36,35,FALSE),0)</f>
        <v>113</v>
      </c>
      <c r="I988">
        <f>IFERROR(HLOOKUP(I$2,[31]table_male_hkom3_inj.U2!$A$1:$K$36,35,FALSE),0)</f>
        <v>47</v>
      </c>
      <c r="J988">
        <f>IFERROR(HLOOKUP(J$2,[31]table_male_hkom3_inj.U2!$A$1:$K$36,35,FALSE),0)</f>
        <v>9</v>
      </c>
      <c r="K988">
        <f>IFERROR(HLOOKUP(K$2,[31]table_male_hkom3_inj.U2!$A$1:$K$36,35,FALSE),0)</f>
        <v>2</v>
      </c>
      <c r="L988">
        <f>IFERROR(HLOOKUP(L$2,[31]table_male_hkom3_inj.U2!$A$1:$K$36,35,FALSE),0)</f>
        <v>0</v>
      </c>
      <c r="M988">
        <f t="shared" si="309"/>
        <v>240</v>
      </c>
      <c r="N988">
        <f>SUM(M955:M988)</f>
        <v>412</v>
      </c>
      <c r="O988" s="8">
        <f>SUM([31]table_male_hkom3_inj.U2!$B$2:$L$36)</f>
        <v>412</v>
      </c>
      <c r="S988" t="s">
        <v>102</v>
      </c>
      <c r="T988" s="7"/>
      <c r="U988" s="7"/>
      <c r="V988" s="7"/>
      <c r="W988" s="7"/>
      <c r="X988" s="7"/>
      <c r="Y988" s="7"/>
      <c r="Z988" s="7"/>
      <c r="AA988" s="7"/>
      <c r="AB988" s="5">
        <f>SUM(T988:AA988)</f>
        <v>0</v>
      </c>
      <c r="AC988" s="5">
        <f>SUM(AB955:AB987)</f>
        <v>412</v>
      </c>
    </row>
    <row r="989" spans="1:29" x14ac:dyDescent="0.25">
      <c r="A989" t="s">
        <v>104</v>
      </c>
      <c r="B989" t="s">
        <v>117</v>
      </c>
      <c r="C989" t="s">
        <v>111</v>
      </c>
      <c r="D989" t="s">
        <v>70</v>
      </c>
      <c r="E989" s="64"/>
      <c r="F989" s="64"/>
      <c r="G989">
        <f>IFERROR(HLOOKUP(G$2,[32]table_male_hkom3_inj.U3!$A$1:$K$36,2,FALSE),0)</f>
        <v>3</v>
      </c>
      <c r="H989">
        <f>IFERROR(HLOOKUP(H$2,[32]table_male_hkom3_inj.U3!$A$1:$K$36,2,FALSE),0)</f>
        <v>13</v>
      </c>
      <c r="I989">
        <f>IFERROR(HLOOKUP(I$2,[32]table_male_hkom3_inj.U3!$A$1:$K$36,2,FALSE),0)</f>
        <v>5</v>
      </c>
      <c r="J989">
        <f>IFERROR(HLOOKUP(J$2,[32]table_male_hkom3_inj.U3!$A$1:$K$36,2,FALSE),0)</f>
        <v>2</v>
      </c>
      <c r="K989">
        <f>IFERROR(HLOOKUP(K$2,[32]table_male_hkom3_inj.U3!$A$1:$K$36,2,FALSE),0)</f>
        <v>1</v>
      </c>
      <c r="L989">
        <f>IFERROR(HLOOKUP(L$2,[32]table_male_hkom3_inj.U3!$A$1:$K$36,2,FALSE),0)</f>
        <v>0</v>
      </c>
      <c r="M989">
        <f>SUM(E989:L989)</f>
        <v>24</v>
      </c>
      <c r="P989" t="s">
        <v>104</v>
      </c>
      <c r="Q989" t="s">
        <v>117</v>
      </c>
      <c r="R989" t="s">
        <v>111</v>
      </c>
      <c r="S989" t="s">
        <v>70</v>
      </c>
      <c r="T989" s="5">
        <f>IF(SUM(E$989:E$1021)=0,E$1022/33,E989+IFERROR(E989/SUM(E$989:E$1021)*E$1022,0))</f>
        <v>0</v>
      </c>
      <c r="U989" s="5">
        <f t="shared" ref="U989:AA989" si="319">IF(SUM(F$989:F$1021)=0,F$1022/33,F989+IFERROR(F989/SUM(F$989:F$1021)*F$1022,0))</f>
        <v>0</v>
      </c>
      <c r="V989" s="5">
        <f t="shared" si="319"/>
        <v>3.531772575250836</v>
      </c>
      <c r="W989" s="5">
        <f t="shared" si="319"/>
        <v>15.87627365356623</v>
      </c>
      <c r="X989" s="5">
        <f t="shared" si="319"/>
        <v>6.1052631578947363</v>
      </c>
      <c r="Y989" s="5">
        <f t="shared" si="319"/>
        <v>2.4406779661016951</v>
      </c>
      <c r="Z989" s="5">
        <f t="shared" si="319"/>
        <v>1.2407407407407407</v>
      </c>
      <c r="AA989" s="5">
        <f t="shared" si="319"/>
        <v>0</v>
      </c>
      <c r="AB989" s="5">
        <f t="shared" si="318"/>
        <v>29.194728093554239</v>
      </c>
    </row>
    <row r="990" spans="1:29" x14ac:dyDescent="0.25">
      <c r="D990" t="s">
        <v>71</v>
      </c>
      <c r="E990" s="64"/>
      <c r="F990" s="64"/>
      <c r="G990">
        <f>IFERROR(HLOOKUP(G$2,[32]table_male_hkom3_inj.U3!$A$1:$K$36,3,FALSE),0)</f>
        <v>27</v>
      </c>
      <c r="H990">
        <f>IFERROR(HLOOKUP(H$2,[32]table_male_hkom3_inj.U3!$A$1:$K$36,3,FALSE),0)</f>
        <v>52</v>
      </c>
      <c r="I990">
        <f>IFERROR(HLOOKUP(I$2,[32]table_male_hkom3_inj.U3!$A$1:$K$36,3,FALSE),0)</f>
        <v>20</v>
      </c>
      <c r="J990">
        <f>IFERROR(HLOOKUP(J$2,[32]table_male_hkom3_inj.U3!$A$1:$K$36,3,FALSE),0)</f>
        <v>5</v>
      </c>
      <c r="K990">
        <f>IFERROR(HLOOKUP(K$2,[32]table_male_hkom3_inj.U3!$A$1:$K$36,3,FALSE),0)</f>
        <v>4</v>
      </c>
      <c r="L990">
        <f>IFERROR(HLOOKUP(L$2,[32]table_male_hkom3_inj.U3!$A$1:$K$36,3,FALSE),0)</f>
        <v>0</v>
      </c>
      <c r="M990">
        <f t="shared" ref="M990:M1022" si="320">SUM(E990:L990)</f>
        <v>108</v>
      </c>
      <c r="S990" t="s">
        <v>71</v>
      </c>
      <c r="T990" s="5">
        <f t="shared" ref="T990:T1021" si="321">IF(SUM(E$989:E$1021)=0,E$1022/33,E990+IFERROR(E990/SUM(E$989:E$1021)*E$1022,0))</f>
        <v>0</v>
      </c>
      <c r="U990" s="5">
        <f t="shared" ref="U990:U1021" si="322">IF(SUM(F$989:F$1021)=0,F$1022/33,F990+IFERROR(F990/SUM(F$989:F$1021)*F$1022,0))</f>
        <v>0</v>
      </c>
      <c r="V990" s="5">
        <f t="shared" ref="V990:V1021" si="323">IF(SUM(G$989:G$1021)=0,G$1022/33,G990+IFERROR(G990/SUM(G$989:G$1021)*G$1022,0))</f>
        <v>31.785953177257525</v>
      </c>
      <c r="W990" s="5">
        <f t="shared" ref="W990:W1021" si="324">IF(SUM(H$989:H$1021)=0,H$1022/33,H990+IFERROR(H990/SUM(H$989:H$1021)*H$1022,0))</f>
        <v>63.50509461426492</v>
      </c>
      <c r="X990" s="5">
        <f t="shared" ref="X990:X1021" si="325">IF(SUM(I$989:I$1021)=0,I$1022/33,I990+IFERROR(I990/SUM(I$989:I$1021)*I$1022,0))</f>
        <v>24.421052631578945</v>
      </c>
      <c r="Y990" s="5">
        <f t="shared" ref="Y990:Y1021" si="326">IF(SUM(J$989:J$1021)=0,J$1022/33,J990+IFERROR(J990/SUM(J$989:J$1021)*J$1022,0))</f>
        <v>6.101694915254237</v>
      </c>
      <c r="Z990" s="5">
        <f t="shared" ref="Z990:Z1021" si="327">IF(SUM(K$989:K$1021)=0,K$1022/33,K990+IFERROR(K990/SUM(K$989:K$1021)*K$1022,0))</f>
        <v>4.9629629629629628</v>
      </c>
      <c r="AA990" s="5">
        <f t="shared" ref="AA990:AA1021" si="328">IF(SUM(L$989:L$1021)=0,L$1022/33,L990+IFERROR(L990/SUM(L$989:L$1021)*L$1022,0))</f>
        <v>0</v>
      </c>
      <c r="AB990" s="5">
        <f t="shared" si="318"/>
        <v>130.77675830131861</v>
      </c>
    </row>
    <row r="991" spans="1:29" x14ac:dyDescent="0.25">
      <c r="D991" t="s">
        <v>72</v>
      </c>
      <c r="E991" s="64"/>
      <c r="F991" s="64"/>
      <c r="G991">
        <f>IFERROR(HLOOKUP(G$2,[32]table_male_hkom3_inj.U3!$A$1:$K$36,4,FALSE),0)</f>
        <v>15</v>
      </c>
      <c r="H991">
        <f>IFERROR(HLOOKUP(H$2,[32]table_male_hkom3_inj.U3!$A$1:$K$36,4,FALSE),0)</f>
        <v>55</v>
      </c>
      <c r="I991">
        <f>IFERROR(HLOOKUP(I$2,[32]table_male_hkom3_inj.U3!$A$1:$K$36,4,FALSE),0)</f>
        <v>61</v>
      </c>
      <c r="J991">
        <f>IFERROR(HLOOKUP(J$2,[32]table_male_hkom3_inj.U3!$A$1:$K$36,4,FALSE),0)</f>
        <v>19</v>
      </c>
      <c r="K991">
        <f>IFERROR(HLOOKUP(K$2,[32]table_male_hkom3_inj.U3!$A$1:$K$36,4,FALSE),0)</f>
        <v>6</v>
      </c>
      <c r="L991">
        <f>IFERROR(HLOOKUP(L$2,[32]table_male_hkom3_inj.U3!$A$1:$K$36,4,FALSE),0)</f>
        <v>0</v>
      </c>
      <c r="M991">
        <f t="shared" si="320"/>
        <v>156</v>
      </c>
      <c r="S991" t="s">
        <v>72</v>
      </c>
      <c r="T991" s="5">
        <f t="shared" si="321"/>
        <v>0</v>
      </c>
      <c r="U991" s="5">
        <f t="shared" si="322"/>
        <v>0</v>
      </c>
      <c r="V991" s="5">
        <f t="shared" si="323"/>
        <v>17.658862876254179</v>
      </c>
      <c r="W991" s="5">
        <f t="shared" si="324"/>
        <v>67.168850072780202</v>
      </c>
      <c r="X991" s="5">
        <f t="shared" si="325"/>
        <v>74.484210526315792</v>
      </c>
      <c r="Y991" s="5">
        <f t="shared" si="326"/>
        <v>23.1864406779661</v>
      </c>
      <c r="Z991" s="5">
        <f t="shared" si="327"/>
        <v>7.4444444444444446</v>
      </c>
      <c r="AA991" s="5">
        <f t="shared" si="328"/>
        <v>0</v>
      </c>
      <c r="AB991" s="5">
        <f t="shared" si="318"/>
        <v>189.94280859776072</v>
      </c>
    </row>
    <row r="992" spans="1:29" x14ac:dyDescent="0.25">
      <c r="D992" t="s">
        <v>73</v>
      </c>
      <c r="E992" s="64"/>
      <c r="F992" s="64"/>
      <c r="G992">
        <f>IFERROR(HLOOKUP(G$2,[32]table_male_hkom3_inj.U3!$A$1:$K$36,5,FALSE),0)</f>
        <v>2</v>
      </c>
      <c r="H992">
        <f>IFERROR(HLOOKUP(H$2,[32]table_male_hkom3_inj.U3!$A$1:$K$36,5,FALSE),0)</f>
        <v>13</v>
      </c>
      <c r="I992">
        <f>IFERROR(HLOOKUP(I$2,[32]table_male_hkom3_inj.U3!$A$1:$K$36,5,FALSE),0)</f>
        <v>14</v>
      </c>
      <c r="J992">
        <f>IFERROR(HLOOKUP(J$2,[32]table_male_hkom3_inj.U3!$A$1:$K$36,5,FALSE),0)</f>
        <v>1</v>
      </c>
      <c r="K992">
        <f>IFERROR(HLOOKUP(K$2,[32]table_male_hkom3_inj.U3!$A$1:$K$36,5,FALSE),0)</f>
        <v>0</v>
      </c>
      <c r="L992">
        <f>IFERROR(HLOOKUP(L$2,[32]table_male_hkom3_inj.U3!$A$1:$K$36,5,FALSE),0)</f>
        <v>0</v>
      </c>
      <c r="M992">
        <f t="shared" si="320"/>
        <v>30</v>
      </c>
      <c r="S992" t="s">
        <v>73</v>
      </c>
      <c r="T992" s="5">
        <f t="shared" si="321"/>
        <v>0</v>
      </c>
      <c r="U992" s="5">
        <f t="shared" si="322"/>
        <v>0</v>
      </c>
      <c r="V992" s="5">
        <f t="shared" si="323"/>
        <v>2.3545150501672243</v>
      </c>
      <c r="W992" s="5">
        <f t="shared" si="324"/>
        <v>15.87627365356623</v>
      </c>
      <c r="X992" s="5">
        <f t="shared" si="325"/>
        <v>17.094736842105263</v>
      </c>
      <c r="Y992" s="5">
        <f t="shared" si="326"/>
        <v>1.2203389830508475</v>
      </c>
      <c r="Z992" s="5">
        <f t="shared" si="327"/>
        <v>0</v>
      </c>
      <c r="AA992" s="5">
        <f t="shared" si="328"/>
        <v>0</v>
      </c>
      <c r="AB992" s="5">
        <f t="shared" si="318"/>
        <v>36.54586452888956</v>
      </c>
    </row>
    <row r="993" spans="4:28" x14ac:dyDescent="0.25">
      <c r="D993" t="s">
        <v>74</v>
      </c>
      <c r="E993" s="64"/>
      <c r="F993" s="64"/>
      <c r="G993">
        <f>IFERROR(HLOOKUP(G$2,[32]table_male_hkom3_inj.U3!$A$1:$K$36,6,FALSE),0)</f>
        <v>4</v>
      </c>
      <c r="H993">
        <f>IFERROR(HLOOKUP(H$2,[32]table_male_hkom3_inj.U3!$A$1:$K$36,6,FALSE),0)</f>
        <v>35</v>
      </c>
      <c r="I993">
        <f>IFERROR(HLOOKUP(I$2,[32]table_male_hkom3_inj.U3!$A$1:$K$36,6,FALSE),0)</f>
        <v>60</v>
      </c>
      <c r="J993">
        <f>IFERROR(HLOOKUP(J$2,[32]table_male_hkom3_inj.U3!$A$1:$K$36,6,FALSE),0)</f>
        <v>14</v>
      </c>
      <c r="K993">
        <f>IFERROR(HLOOKUP(K$2,[32]table_male_hkom3_inj.U3!$A$1:$K$36,6,FALSE),0)</f>
        <v>2</v>
      </c>
      <c r="L993">
        <f>IFERROR(HLOOKUP(L$2,[32]table_male_hkom3_inj.U3!$A$1:$K$36,6,FALSE),0)</f>
        <v>0</v>
      </c>
      <c r="M993">
        <f t="shared" si="320"/>
        <v>115</v>
      </c>
      <c r="S993" t="s">
        <v>74</v>
      </c>
      <c r="T993" s="5">
        <f t="shared" si="321"/>
        <v>0</v>
      </c>
      <c r="U993" s="5">
        <f t="shared" si="322"/>
        <v>0</v>
      </c>
      <c r="V993" s="5">
        <f t="shared" si="323"/>
        <v>4.7090301003344486</v>
      </c>
      <c r="W993" s="5">
        <f t="shared" si="324"/>
        <v>42.743813682678308</v>
      </c>
      <c r="X993" s="5">
        <f t="shared" si="325"/>
        <v>73.263157894736835</v>
      </c>
      <c r="Y993" s="5">
        <f t="shared" si="326"/>
        <v>17.084745762711865</v>
      </c>
      <c r="Z993" s="5">
        <f t="shared" si="327"/>
        <v>2.4814814814814814</v>
      </c>
      <c r="AA993" s="5">
        <f t="shared" si="328"/>
        <v>0</v>
      </c>
      <c r="AB993" s="5">
        <f t="shared" si="318"/>
        <v>140.28222892194296</v>
      </c>
    </row>
    <row r="994" spans="4:28" x14ac:dyDescent="0.25">
      <c r="D994" t="s">
        <v>75</v>
      </c>
      <c r="E994" s="64"/>
      <c r="F994" s="64"/>
      <c r="G994">
        <f>IFERROR(HLOOKUP(G$2,[32]table_male_hkom3_inj.U3!$A$1:$K$36,7,FALSE),0)</f>
        <v>4</v>
      </c>
      <c r="H994">
        <f>IFERROR(HLOOKUP(H$2,[32]table_male_hkom3_inj.U3!$A$1:$K$36,7,FALSE),0)</f>
        <v>10</v>
      </c>
      <c r="I994">
        <f>IFERROR(HLOOKUP(I$2,[32]table_male_hkom3_inj.U3!$A$1:$K$36,7,FALSE),0)</f>
        <v>9</v>
      </c>
      <c r="J994">
        <f>IFERROR(HLOOKUP(J$2,[32]table_male_hkom3_inj.U3!$A$1:$K$36,7,FALSE),0)</f>
        <v>2</v>
      </c>
      <c r="K994">
        <f>IFERROR(HLOOKUP(K$2,[32]table_male_hkom3_inj.U3!$A$1:$K$36,7,FALSE),0)</f>
        <v>0</v>
      </c>
      <c r="L994">
        <f>IFERROR(HLOOKUP(L$2,[32]table_male_hkom3_inj.U3!$A$1:$K$36,7,FALSE),0)</f>
        <v>0</v>
      </c>
      <c r="M994">
        <f t="shared" si="320"/>
        <v>25</v>
      </c>
      <c r="S994" t="s">
        <v>75</v>
      </c>
      <c r="T994" s="5">
        <f t="shared" si="321"/>
        <v>0</v>
      </c>
      <c r="U994" s="5">
        <f t="shared" si="322"/>
        <v>0</v>
      </c>
      <c r="V994" s="5">
        <f t="shared" si="323"/>
        <v>4.7090301003344486</v>
      </c>
      <c r="W994" s="5">
        <f t="shared" si="324"/>
        <v>12.212518195050947</v>
      </c>
      <c r="X994" s="5">
        <f t="shared" si="325"/>
        <v>10.989473684210527</v>
      </c>
      <c r="Y994" s="5">
        <f t="shared" si="326"/>
        <v>2.4406779661016951</v>
      </c>
      <c r="Z994" s="5">
        <f t="shared" si="327"/>
        <v>0</v>
      </c>
      <c r="AA994" s="5">
        <f t="shared" si="328"/>
        <v>0</v>
      </c>
      <c r="AB994" s="5">
        <f t="shared" si="318"/>
        <v>30.351699945697618</v>
      </c>
    </row>
    <row r="995" spans="4:28" x14ac:dyDescent="0.25">
      <c r="D995" t="s">
        <v>76</v>
      </c>
      <c r="E995" s="64"/>
      <c r="F995" s="64"/>
      <c r="G995">
        <f>IFERROR(HLOOKUP(G$2,[32]table_male_hkom3_inj.U3!$A$1:$K$36,8,FALSE),0)</f>
        <v>14</v>
      </c>
      <c r="H995">
        <f>IFERROR(HLOOKUP(H$2,[32]table_male_hkom3_inj.U3!$A$1:$K$36,8,FALSE),0)</f>
        <v>49</v>
      </c>
      <c r="I995">
        <f>IFERROR(HLOOKUP(I$2,[32]table_male_hkom3_inj.U3!$A$1:$K$36,8,FALSE),0)</f>
        <v>18</v>
      </c>
      <c r="J995">
        <f>IFERROR(HLOOKUP(J$2,[32]table_male_hkom3_inj.U3!$A$1:$K$36,8,FALSE),0)</f>
        <v>4</v>
      </c>
      <c r="K995">
        <f>IFERROR(HLOOKUP(K$2,[32]table_male_hkom3_inj.U3!$A$1:$K$36,8,FALSE),0)</f>
        <v>0</v>
      </c>
      <c r="L995">
        <f>IFERROR(HLOOKUP(L$2,[32]table_male_hkom3_inj.U3!$A$1:$K$36,8,FALSE),0)</f>
        <v>0</v>
      </c>
      <c r="M995">
        <f t="shared" si="320"/>
        <v>85</v>
      </c>
      <c r="S995" t="s">
        <v>76</v>
      </c>
      <c r="T995" s="5">
        <f t="shared" si="321"/>
        <v>0</v>
      </c>
      <c r="U995" s="5">
        <f t="shared" si="322"/>
        <v>0</v>
      </c>
      <c r="V995" s="5">
        <f t="shared" si="323"/>
        <v>16.481605351170568</v>
      </c>
      <c r="W995" s="5">
        <f t="shared" si="324"/>
        <v>59.841339155749637</v>
      </c>
      <c r="X995" s="5">
        <f t="shared" si="325"/>
        <v>21.978947368421053</v>
      </c>
      <c r="Y995" s="5">
        <f t="shared" si="326"/>
        <v>4.8813559322033901</v>
      </c>
      <c r="Z995" s="5">
        <f t="shared" si="327"/>
        <v>0</v>
      </c>
      <c r="AA995" s="5">
        <f t="shared" si="328"/>
        <v>0</v>
      </c>
      <c r="AB995" s="5">
        <f t="shared" si="318"/>
        <v>103.18324780754465</v>
      </c>
    </row>
    <row r="996" spans="4:28" x14ac:dyDescent="0.25">
      <c r="D996" t="s">
        <v>77</v>
      </c>
      <c r="E996" s="64"/>
      <c r="F996" s="64"/>
      <c r="G996">
        <f>IFERROR(HLOOKUP(G$2,[32]table_male_hkom3_inj.U3!$A$1:$K$36,9,FALSE),0)</f>
        <v>41</v>
      </c>
      <c r="H996">
        <f>IFERROR(HLOOKUP(H$2,[32]table_male_hkom3_inj.U3!$A$1:$K$36,9,FALSE),0)</f>
        <v>147</v>
      </c>
      <c r="I996">
        <f>IFERROR(HLOOKUP(I$2,[32]table_male_hkom3_inj.U3!$A$1:$K$36,9,FALSE),0)</f>
        <v>53</v>
      </c>
      <c r="J996">
        <f>IFERROR(HLOOKUP(J$2,[32]table_male_hkom3_inj.U3!$A$1:$K$36,9,FALSE),0)</f>
        <v>9</v>
      </c>
      <c r="K996">
        <f>IFERROR(HLOOKUP(K$2,[32]table_male_hkom3_inj.U3!$A$1:$K$36,9,FALSE),0)</f>
        <v>1</v>
      </c>
      <c r="L996">
        <f>IFERROR(HLOOKUP(L$2,[32]table_male_hkom3_inj.U3!$A$1:$K$36,9,FALSE),0)</f>
        <v>0</v>
      </c>
      <c r="M996">
        <f t="shared" si="320"/>
        <v>251</v>
      </c>
      <c r="S996" t="s">
        <v>77</v>
      </c>
      <c r="T996" s="5">
        <f t="shared" si="321"/>
        <v>0</v>
      </c>
      <c r="U996" s="5">
        <f t="shared" si="322"/>
        <v>0</v>
      </c>
      <c r="V996" s="5">
        <f t="shared" si="323"/>
        <v>48.267558528428097</v>
      </c>
      <c r="W996" s="5">
        <f t="shared" si="324"/>
        <v>179.52401746724891</v>
      </c>
      <c r="X996" s="5">
        <f t="shared" si="325"/>
        <v>64.715789473684211</v>
      </c>
      <c r="Y996" s="5">
        <f t="shared" si="326"/>
        <v>10.983050847457626</v>
      </c>
      <c r="Z996" s="5">
        <f t="shared" si="327"/>
        <v>1.2407407407407407</v>
      </c>
      <c r="AA996" s="5">
        <f t="shared" si="328"/>
        <v>0</v>
      </c>
      <c r="AB996" s="5">
        <f t="shared" si="318"/>
        <v>304.73115705755959</v>
      </c>
    </row>
    <row r="997" spans="4:28" x14ac:dyDescent="0.25">
      <c r="D997" t="s">
        <v>78</v>
      </c>
      <c r="E997" s="64"/>
      <c r="F997" s="64"/>
      <c r="G997">
        <f>IFERROR(HLOOKUP(G$2,[32]table_male_hkom3_inj.U3!$A$1:$K$36,10,FALSE),0)</f>
        <v>56</v>
      </c>
      <c r="H997">
        <f>IFERROR(HLOOKUP(H$2,[32]table_male_hkom3_inj.U3!$A$1:$K$36,10,FALSE),0)</f>
        <v>79</v>
      </c>
      <c r="I997">
        <f>IFERROR(HLOOKUP(I$2,[32]table_male_hkom3_inj.U3!$A$1:$K$36,10,FALSE),0)</f>
        <v>18</v>
      </c>
      <c r="J997">
        <f>IFERROR(HLOOKUP(J$2,[32]table_male_hkom3_inj.U3!$A$1:$K$36,10,FALSE),0)</f>
        <v>1</v>
      </c>
      <c r="K997">
        <f>IFERROR(HLOOKUP(K$2,[32]table_male_hkom3_inj.U3!$A$1:$K$36,10,FALSE),0)</f>
        <v>1</v>
      </c>
      <c r="L997">
        <f>IFERROR(HLOOKUP(L$2,[32]table_male_hkom3_inj.U3!$A$1:$K$36,10,FALSE),0)</f>
        <v>0</v>
      </c>
      <c r="M997">
        <f t="shared" si="320"/>
        <v>155</v>
      </c>
      <c r="S997" t="s">
        <v>78</v>
      </c>
      <c r="T997" s="5">
        <f t="shared" si="321"/>
        <v>0</v>
      </c>
      <c r="U997" s="5">
        <f t="shared" si="322"/>
        <v>0</v>
      </c>
      <c r="V997" s="5">
        <f t="shared" si="323"/>
        <v>65.926421404682273</v>
      </c>
      <c r="W997" s="5">
        <f t="shared" si="324"/>
        <v>96.478893740902478</v>
      </c>
      <c r="X997" s="5">
        <f t="shared" si="325"/>
        <v>21.978947368421053</v>
      </c>
      <c r="Y997" s="5">
        <f t="shared" si="326"/>
        <v>1.2203389830508475</v>
      </c>
      <c r="Z997" s="5">
        <f t="shared" si="327"/>
        <v>1.2407407407407407</v>
      </c>
      <c r="AA997" s="5">
        <f t="shared" si="328"/>
        <v>0</v>
      </c>
      <c r="AB997" s="5">
        <f t="shared" si="318"/>
        <v>186.84534223779738</v>
      </c>
    </row>
    <row r="998" spans="4:28" x14ac:dyDescent="0.25">
      <c r="D998" t="s">
        <v>79</v>
      </c>
      <c r="E998" s="64"/>
      <c r="F998" s="64"/>
      <c r="G998">
        <f>IFERROR(HLOOKUP(G$2,[32]table_male_hkom3_inj.U3!$A$1:$K$36,11,FALSE),0)</f>
        <v>10</v>
      </c>
      <c r="H998">
        <f>IFERROR(HLOOKUP(H$2,[32]table_male_hkom3_inj.U3!$A$1:$K$36,11,FALSE),0)</f>
        <v>24</v>
      </c>
      <c r="I998">
        <f>IFERROR(HLOOKUP(I$2,[32]table_male_hkom3_inj.U3!$A$1:$K$36,11,FALSE),0)</f>
        <v>41</v>
      </c>
      <c r="J998">
        <f>IFERROR(HLOOKUP(J$2,[32]table_male_hkom3_inj.U3!$A$1:$K$36,11,FALSE),0)</f>
        <v>16</v>
      </c>
      <c r="K998">
        <f>IFERROR(HLOOKUP(K$2,[32]table_male_hkom3_inj.U3!$A$1:$K$36,11,FALSE),0)</f>
        <v>9</v>
      </c>
      <c r="L998">
        <f>IFERROR(HLOOKUP(L$2,[32]table_male_hkom3_inj.U3!$A$1:$K$36,11,FALSE),0)</f>
        <v>2</v>
      </c>
      <c r="M998">
        <f t="shared" si="320"/>
        <v>102</v>
      </c>
      <c r="S998" t="s">
        <v>79</v>
      </c>
      <c r="T998" s="5">
        <f t="shared" si="321"/>
        <v>0</v>
      </c>
      <c r="U998" s="5">
        <f t="shared" si="322"/>
        <v>0</v>
      </c>
      <c r="V998" s="5">
        <f t="shared" si="323"/>
        <v>11.77257525083612</v>
      </c>
      <c r="W998" s="5">
        <f t="shared" si="324"/>
        <v>29.310043668122269</v>
      </c>
      <c r="X998" s="5">
        <f t="shared" si="325"/>
        <v>50.063157894736847</v>
      </c>
      <c r="Y998" s="5">
        <f t="shared" si="326"/>
        <v>19.525423728813561</v>
      </c>
      <c r="Z998" s="5">
        <f t="shared" si="327"/>
        <v>11.166666666666666</v>
      </c>
      <c r="AA998" s="5">
        <f t="shared" si="328"/>
        <v>2.4</v>
      </c>
      <c r="AB998" s="5">
        <f t="shared" si="318"/>
        <v>124.23786720917548</v>
      </c>
    </row>
    <row r="999" spans="4:28" x14ac:dyDescent="0.25">
      <c r="D999" t="s">
        <v>80</v>
      </c>
      <c r="E999" s="64"/>
      <c r="F999" s="64"/>
      <c r="G999">
        <f>IFERROR(HLOOKUP(G$2,[32]table_male_hkom3_inj.U3!$A$1:$K$36,12,FALSE),0)</f>
        <v>37</v>
      </c>
      <c r="H999">
        <f>IFERROR(HLOOKUP(H$2,[32]table_male_hkom3_inj.U3!$A$1:$K$36,12,FALSE),0)</f>
        <v>65</v>
      </c>
      <c r="I999">
        <f>IFERROR(HLOOKUP(I$2,[32]table_male_hkom3_inj.U3!$A$1:$K$36,12,FALSE),0)</f>
        <v>42</v>
      </c>
      <c r="J999">
        <f>IFERROR(HLOOKUP(J$2,[32]table_male_hkom3_inj.U3!$A$1:$K$36,12,FALSE),0)</f>
        <v>10</v>
      </c>
      <c r="K999">
        <f>IFERROR(HLOOKUP(K$2,[32]table_male_hkom3_inj.U3!$A$1:$K$36,12,FALSE),0)</f>
        <v>1</v>
      </c>
      <c r="L999">
        <f>IFERROR(HLOOKUP(L$2,[32]table_male_hkom3_inj.U3!$A$1:$K$36,12,FALSE),0)</f>
        <v>2</v>
      </c>
      <c r="M999">
        <f t="shared" si="320"/>
        <v>157</v>
      </c>
      <c r="S999" t="s">
        <v>80</v>
      </c>
      <c r="T999" s="5">
        <f t="shared" si="321"/>
        <v>0</v>
      </c>
      <c r="U999" s="5">
        <f t="shared" si="322"/>
        <v>0</v>
      </c>
      <c r="V999" s="5">
        <f t="shared" si="323"/>
        <v>43.558528428093645</v>
      </c>
      <c r="W999" s="5">
        <f t="shared" si="324"/>
        <v>79.381368267831149</v>
      </c>
      <c r="X999" s="5">
        <f t="shared" si="325"/>
        <v>51.284210526315789</v>
      </c>
      <c r="Y999" s="5">
        <f t="shared" si="326"/>
        <v>12.203389830508474</v>
      </c>
      <c r="Z999" s="5">
        <f t="shared" si="327"/>
        <v>1.2407407407407407</v>
      </c>
      <c r="AA999" s="5">
        <f t="shared" si="328"/>
        <v>2.4</v>
      </c>
      <c r="AB999" s="5">
        <f t="shared" si="318"/>
        <v>190.06823779348983</v>
      </c>
    </row>
    <row r="1000" spans="4:28" x14ac:dyDescent="0.25">
      <c r="D1000" t="s">
        <v>81</v>
      </c>
      <c r="E1000" s="64"/>
      <c r="F1000" s="64"/>
      <c r="G1000">
        <f>IFERROR(HLOOKUP(G$2,[32]table_male_hkom3_inj.U3!$A$1:$K$36,13,FALSE),0)</f>
        <v>22</v>
      </c>
      <c r="H1000">
        <f>IFERROR(HLOOKUP(H$2,[32]table_male_hkom3_inj.U3!$A$1:$K$36,13,FALSE),0)</f>
        <v>36</v>
      </c>
      <c r="I1000">
        <f>IFERROR(HLOOKUP(I$2,[32]table_male_hkom3_inj.U3!$A$1:$K$36,13,FALSE),0)</f>
        <v>14</v>
      </c>
      <c r="J1000">
        <f>IFERROR(HLOOKUP(J$2,[32]table_male_hkom3_inj.U3!$A$1:$K$36,13,FALSE),0)</f>
        <v>2</v>
      </c>
      <c r="K1000">
        <f>IFERROR(HLOOKUP(K$2,[32]table_male_hkom3_inj.U3!$A$1:$K$36,13,FALSE),0)</f>
        <v>1</v>
      </c>
      <c r="L1000">
        <f>IFERROR(HLOOKUP(L$2,[32]table_male_hkom3_inj.U3!$A$1:$K$36,13,FALSE),0)</f>
        <v>0</v>
      </c>
      <c r="M1000">
        <f t="shared" si="320"/>
        <v>75</v>
      </c>
      <c r="S1000" t="s">
        <v>81</v>
      </c>
      <c r="T1000" s="5">
        <f t="shared" si="321"/>
        <v>0</v>
      </c>
      <c r="U1000" s="5">
        <f t="shared" si="322"/>
        <v>0</v>
      </c>
      <c r="V1000" s="5">
        <f t="shared" si="323"/>
        <v>25.899665551839465</v>
      </c>
      <c r="W1000" s="5">
        <f t="shared" si="324"/>
        <v>43.965065502183407</v>
      </c>
      <c r="X1000" s="5">
        <f t="shared" si="325"/>
        <v>17.094736842105263</v>
      </c>
      <c r="Y1000" s="5">
        <f t="shared" si="326"/>
        <v>2.4406779661016951</v>
      </c>
      <c r="Z1000" s="5">
        <f t="shared" si="327"/>
        <v>1.2407407407407407</v>
      </c>
      <c r="AA1000" s="5">
        <f t="shared" si="328"/>
        <v>0</v>
      </c>
      <c r="AB1000" s="5">
        <f t="shared" si="318"/>
        <v>90.640886602970568</v>
      </c>
    </row>
    <row r="1001" spans="4:28" x14ac:dyDescent="0.25">
      <c r="D1001" t="s">
        <v>82</v>
      </c>
      <c r="E1001" s="64"/>
      <c r="F1001" s="64"/>
      <c r="G1001">
        <f>IFERROR(HLOOKUP(G$2,[32]table_male_hkom3_inj.U3!$A$1:$K$36,14,FALSE),0)</f>
        <v>27</v>
      </c>
      <c r="H1001">
        <f>IFERROR(HLOOKUP(H$2,[32]table_male_hkom3_inj.U3!$A$1:$K$36,14,FALSE),0)</f>
        <v>58</v>
      </c>
      <c r="I1001">
        <f>IFERROR(HLOOKUP(I$2,[32]table_male_hkom3_inj.U3!$A$1:$K$36,14,FALSE),0)</f>
        <v>40</v>
      </c>
      <c r="J1001">
        <f>IFERROR(HLOOKUP(J$2,[32]table_male_hkom3_inj.U3!$A$1:$K$36,14,FALSE),0)</f>
        <v>5</v>
      </c>
      <c r="K1001">
        <f>IFERROR(HLOOKUP(K$2,[32]table_male_hkom3_inj.U3!$A$1:$K$36,14,FALSE),0)</f>
        <v>1</v>
      </c>
      <c r="L1001">
        <f>IFERROR(HLOOKUP(L$2,[32]table_male_hkom3_inj.U3!$A$1:$K$36,14,FALSE),0)</f>
        <v>0</v>
      </c>
      <c r="M1001">
        <f t="shared" si="320"/>
        <v>131</v>
      </c>
      <c r="S1001" t="s">
        <v>82</v>
      </c>
      <c r="T1001" s="5">
        <f t="shared" si="321"/>
        <v>0</v>
      </c>
      <c r="U1001" s="5">
        <f t="shared" si="322"/>
        <v>0</v>
      </c>
      <c r="V1001" s="5">
        <f t="shared" si="323"/>
        <v>31.785953177257525</v>
      </c>
      <c r="W1001" s="5">
        <f t="shared" si="324"/>
        <v>70.832605531295485</v>
      </c>
      <c r="X1001" s="5">
        <f t="shared" si="325"/>
        <v>48.84210526315789</v>
      </c>
      <c r="Y1001" s="5">
        <f t="shared" si="326"/>
        <v>6.101694915254237</v>
      </c>
      <c r="Z1001" s="5">
        <f t="shared" si="327"/>
        <v>1.2407407407407407</v>
      </c>
      <c r="AA1001" s="5">
        <f t="shared" si="328"/>
        <v>0</v>
      </c>
      <c r="AB1001" s="5">
        <f t="shared" si="318"/>
        <v>158.80309962770588</v>
      </c>
    </row>
    <row r="1002" spans="4:28" x14ac:dyDescent="0.25">
      <c r="D1002" t="s">
        <v>83</v>
      </c>
      <c r="E1002" s="64"/>
      <c r="F1002" s="64"/>
      <c r="G1002">
        <f>IFERROR(HLOOKUP(G$2,[32]table_male_hkom3_inj.U3!$A$1:$K$36,15,FALSE),0)</f>
        <v>13</v>
      </c>
      <c r="H1002">
        <f>IFERROR(HLOOKUP(H$2,[32]table_male_hkom3_inj.U3!$A$1:$K$36,15,FALSE),0)</f>
        <v>21</v>
      </c>
      <c r="I1002">
        <f>IFERROR(HLOOKUP(I$2,[32]table_male_hkom3_inj.U3!$A$1:$K$36,15,FALSE),0)</f>
        <v>7</v>
      </c>
      <c r="J1002">
        <f>IFERROR(HLOOKUP(J$2,[32]table_male_hkom3_inj.U3!$A$1:$K$36,15,FALSE),0)</f>
        <v>0</v>
      </c>
      <c r="K1002">
        <f>IFERROR(HLOOKUP(K$2,[32]table_male_hkom3_inj.U3!$A$1:$K$36,15,FALSE),0)</f>
        <v>0</v>
      </c>
      <c r="L1002">
        <f>IFERROR(HLOOKUP(L$2,[32]table_male_hkom3_inj.U3!$A$1:$K$36,15,FALSE),0)</f>
        <v>0</v>
      </c>
      <c r="M1002">
        <f t="shared" si="320"/>
        <v>41</v>
      </c>
      <c r="S1002" t="s">
        <v>83</v>
      </c>
      <c r="T1002" s="5">
        <f t="shared" si="321"/>
        <v>0</v>
      </c>
      <c r="U1002" s="5">
        <f t="shared" si="322"/>
        <v>0</v>
      </c>
      <c r="V1002" s="5">
        <f t="shared" si="323"/>
        <v>15.304347826086957</v>
      </c>
      <c r="W1002" s="5">
        <f t="shared" si="324"/>
        <v>25.646288209606986</v>
      </c>
      <c r="X1002" s="5">
        <f t="shared" si="325"/>
        <v>8.5473684210526315</v>
      </c>
      <c r="Y1002" s="5">
        <f t="shared" si="326"/>
        <v>0</v>
      </c>
      <c r="Z1002" s="5">
        <f t="shared" si="327"/>
        <v>0</v>
      </c>
      <c r="AA1002" s="5">
        <f t="shared" si="328"/>
        <v>0</v>
      </c>
      <c r="AB1002" s="5">
        <f t="shared" si="318"/>
        <v>49.498004456746578</v>
      </c>
    </row>
    <row r="1003" spans="4:28" x14ac:dyDescent="0.25">
      <c r="D1003" t="s">
        <v>84</v>
      </c>
      <c r="E1003" s="64"/>
      <c r="F1003" s="64"/>
      <c r="G1003">
        <f>IFERROR(HLOOKUP(G$2,[32]table_male_hkom3_inj.U3!$A$1:$K$36,16,FALSE),0)</f>
        <v>26</v>
      </c>
      <c r="H1003">
        <f>IFERROR(HLOOKUP(H$2,[32]table_male_hkom3_inj.U3!$A$1:$K$36,16,FALSE),0)</f>
        <v>26</v>
      </c>
      <c r="I1003">
        <f>IFERROR(HLOOKUP(I$2,[32]table_male_hkom3_inj.U3!$A$1:$K$36,16,FALSE),0)</f>
        <v>12</v>
      </c>
      <c r="J1003">
        <f>IFERROR(HLOOKUP(J$2,[32]table_male_hkom3_inj.U3!$A$1:$K$36,16,FALSE),0)</f>
        <v>4</v>
      </c>
      <c r="K1003">
        <f>IFERROR(HLOOKUP(K$2,[32]table_male_hkom3_inj.U3!$A$1:$K$36,16,FALSE),0)</f>
        <v>1</v>
      </c>
      <c r="L1003">
        <f>IFERROR(HLOOKUP(L$2,[32]table_male_hkom3_inj.U3!$A$1:$K$36,16,FALSE),0)</f>
        <v>0</v>
      </c>
      <c r="M1003">
        <f t="shared" si="320"/>
        <v>69</v>
      </c>
      <c r="S1003" t="s">
        <v>84</v>
      </c>
      <c r="T1003" s="5">
        <f t="shared" si="321"/>
        <v>0</v>
      </c>
      <c r="U1003" s="5">
        <f t="shared" si="322"/>
        <v>0</v>
      </c>
      <c r="V1003" s="5">
        <f t="shared" si="323"/>
        <v>30.608695652173914</v>
      </c>
      <c r="W1003" s="5">
        <f t="shared" si="324"/>
        <v>31.75254730713246</v>
      </c>
      <c r="X1003" s="5">
        <f t="shared" si="325"/>
        <v>14.652631578947368</v>
      </c>
      <c r="Y1003" s="5">
        <f t="shared" si="326"/>
        <v>4.8813559322033901</v>
      </c>
      <c r="Z1003" s="5">
        <f t="shared" si="327"/>
        <v>1.2407407407407407</v>
      </c>
      <c r="AA1003" s="5">
        <f t="shared" si="328"/>
        <v>0</v>
      </c>
      <c r="AB1003" s="5">
        <f t="shared" si="318"/>
        <v>83.135971211197884</v>
      </c>
    </row>
    <row r="1004" spans="4:28" x14ac:dyDescent="0.25">
      <c r="D1004" t="s">
        <v>85</v>
      </c>
      <c r="E1004" s="64"/>
      <c r="F1004" s="64"/>
      <c r="G1004">
        <f>IFERROR(HLOOKUP(G$2,[32]table_male_hkom3_inj.U3!$A$1:$K$36,17,FALSE),0)</f>
        <v>74</v>
      </c>
      <c r="H1004">
        <f>IFERROR(HLOOKUP(H$2,[32]table_male_hkom3_inj.U3!$A$1:$K$36,17,FALSE),0)</f>
        <v>145</v>
      </c>
      <c r="I1004">
        <f>IFERROR(HLOOKUP(I$2,[32]table_male_hkom3_inj.U3!$A$1:$K$36,17,FALSE),0)</f>
        <v>31</v>
      </c>
      <c r="J1004">
        <f>IFERROR(HLOOKUP(J$2,[32]table_male_hkom3_inj.U3!$A$1:$K$36,17,FALSE),0)</f>
        <v>3</v>
      </c>
      <c r="K1004">
        <f>IFERROR(HLOOKUP(K$2,[32]table_male_hkom3_inj.U3!$A$1:$K$36,17,FALSE),0)</f>
        <v>2</v>
      </c>
      <c r="L1004">
        <f>IFERROR(HLOOKUP(L$2,[32]table_male_hkom3_inj.U3!$A$1:$K$36,17,FALSE),0)</f>
        <v>1</v>
      </c>
      <c r="M1004">
        <f t="shared" si="320"/>
        <v>256</v>
      </c>
      <c r="S1004" t="s">
        <v>85</v>
      </c>
      <c r="T1004" s="5">
        <f t="shared" si="321"/>
        <v>0</v>
      </c>
      <c r="U1004" s="5">
        <f t="shared" si="322"/>
        <v>0</v>
      </c>
      <c r="V1004" s="5">
        <f t="shared" si="323"/>
        <v>87.11705685618729</v>
      </c>
      <c r="W1004" s="5">
        <f t="shared" si="324"/>
        <v>177.08151382823871</v>
      </c>
      <c r="X1004" s="5">
        <f t="shared" si="325"/>
        <v>37.852631578947367</v>
      </c>
      <c r="Y1004" s="5">
        <f t="shared" si="326"/>
        <v>3.6610169491525424</v>
      </c>
      <c r="Z1004" s="5">
        <f t="shared" si="327"/>
        <v>2.4814814814814814</v>
      </c>
      <c r="AA1004" s="5">
        <f t="shared" si="328"/>
        <v>1.2</v>
      </c>
      <c r="AB1004" s="5">
        <f t="shared" si="318"/>
        <v>309.39370069400735</v>
      </c>
    </row>
    <row r="1005" spans="4:28" x14ac:dyDescent="0.25">
      <c r="D1005" t="s">
        <v>86</v>
      </c>
      <c r="E1005" s="64"/>
      <c r="F1005" s="64"/>
      <c r="G1005">
        <f>IFERROR(HLOOKUP(G$2,[32]table_male_hkom3_inj.U3!$A$1:$K$36,18,FALSE),0)</f>
        <v>101</v>
      </c>
      <c r="H1005">
        <f>IFERROR(HLOOKUP(H$2,[32]table_male_hkom3_inj.U3!$A$1:$K$36,18,FALSE),0)</f>
        <v>252</v>
      </c>
      <c r="I1005">
        <f>IFERROR(HLOOKUP(I$2,[32]table_male_hkom3_inj.U3!$A$1:$K$36,18,FALSE),0)</f>
        <v>138</v>
      </c>
      <c r="J1005">
        <f>IFERROR(HLOOKUP(J$2,[32]table_male_hkom3_inj.U3!$A$1:$K$36,18,FALSE),0)</f>
        <v>45</v>
      </c>
      <c r="K1005">
        <f>IFERROR(HLOOKUP(K$2,[32]table_male_hkom3_inj.U3!$A$1:$K$36,18,FALSE),0)</f>
        <v>12</v>
      </c>
      <c r="L1005">
        <f>IFERROR(HLOOKUP(L$2,[32]table_male_hkom3_inj.U3!$A$1:$K$36,18,FALSE),0)</f>
        <v>4</v>
      </c>
      <c r="M1005">
        <f t="shared" si="320"/>
        <v>552</v>
      </c>
      <c r="S1005" t="s">
        <v>86</v>
      </c>
      <c r="T1005" s="5">
        <f t="shared" si="321"/>
        <v>0</v>
      </c>
      <c r="U1005" s="5">
        <f t="shared" si="322"/>
        <v>0</v>
      </c>
      <c r="V1005" s="5">
        <f t="shared" si="323"/>
        <v>118.90301003344482</v>
      </c>
      <c r="W1005" s="5">
        <f t="shared" si="324"/>
        <v>307.75545851528386</v>
      </c>
      <c r="X1005" s="5">
        <f t="shared" si="325"/>
        <v>168.50526315789475</v>
      </c>
      <c r="Y1005" s="5">
        <f t="shared" si="326"/>
        <v>54.915254237288138</v>
      </c>
      <c r="Z1005" s="5">
        <f t="shared" si="327"/>
        <v>14.888888888888889</v>
      </c>
      <c r="AA1005" s="5">
        <f t="shared" si="328"/>
        <v>4.8</v>
      </c>
      <c r="AB1005" s="5">
        <f t="shared" si="318"/>
        <v>669.76787483280054</v>
      </c>
    </row>
    <row r="1006" spans="4:28" x14ac:dyDescent="0.25">
      <c r="D1006" t="s">
        <v>87</v>
      </c>
      <c r="E1006" s="64"/>
      <c r="F1006" s="64"/>
      <c r="G1006">
        <f>IFERROR(HLOOKUP(G$2,[32]table_male_hkom3_inj.U3!$A$1:$K$36,19,FALSE),0)</f>
        <v>2</v>
      </c>
      <c r="H1006">
        <f>IFERROR(HLOOKUP(H$2,[32]table_male_hkom3_inj.U3!$A$1:$K$36,19,FALSE),0)</f>
        <v>17</v>
      </c>
      <c r="I1006">
        <f>IFERROR(HLOOKUP(I$2,[32]table_male_hkom3_inj.U3!$A$1:$K$36,19,FALSE),0)</f>
        <v>7</v>
      </c>
      <c r="J1006">
        <f>IFERROR(HLOOKUP(J$2,[32]table_male_hkom3_inj.U3!$A$1:$K$36,19,FALSE),0)</f>
        <v>0</v>
      </c>
      <c r="K1006">
        <f>IFERROR(HLOOKUP(K$2,[32]table_male_hkom3_inj.U3!$A$1:$K$36,19,FALSE),0)</f>
        <v>0</v>
      </c>
      <c r="L1006">
        <f>IFERROR(HLOOKUP(L$2,[32]table_male_hkom3_inj.U3!$A$1:$K$36,19,FALSE),0)</f>
        <v>0</v>
      </c>
      <c r="M1006">
        <f t="shared" si="320"/>
        <v>26</v>
      </c>
      <c r="S1006" t="s">
        <v>87</v>
      </c>
      <c r="T1006" s="5">
        <f t="shared" si="321"/>
        <v>0</v>
      </c>
      <c r="U1006" s="5">
        <f t="shared" si="322"/>
        <v>0</v>
      </c>
      <c r="V1006" s="5">
        <f t="shared" si="323"/>
        <v>2.3545150501672243</v>
      </c>
      <c r="W1006" s="5">
        <f t="shared" si="324"/>
        <v>20.761280931586608</v>
      </c>
      <c r="X1006" s="5">
        <f t="shared" si="325"/>
        <v>8.5473684210526315</v>
      </c>
      <c r="Y1006" s="5">
        <f t="shared" si="326"/>
        <v>0</v>
      </c>
      <c r="Z1006" s="5">
        <f t="shared" si="327"/>
        <v>0</v>
      </c>
      <c r="AA1006" s="5">
        <f t="shared" si="328"/>
        <v>0</v>
      </c>
      <c r="AB1006" s="5">
        <f t="shared" si="318"/>
        <v>31.663164402806466</v>
      </c>
    </row>
    <row r="1007" spans="4:28" x14ac:dyDescent="0.25">
      <c r="D1007" t="s">
        <v>88</v>
      </c>
      <c r="E1007" s="64"/>
      <c r="F1007" s="64"/>
      <c r="G1007">
        <f>IFERROR(HLOOKUP(G$2,[32]table_male_hkom3_inj.U3!$A$1:$K$36,20,FALSE),0)</f>
        <v>91</v>
      </c>
      <c r="H1007">
        <f>IFERROR(HLOOKUP(H$2,[32]table_male_hkom3_inj.U3!$A$1:$K$36,20,FALSE),0)</f>
        <v>203</v>
      </c>
      <c r="I1007">
        <f>IFERROR(HLOOKUP(I$2,[32]table_male_hkom3_inj.U3!$A$1:$K$36,20,FALSE),0)</f>
        <v>151</v>
      </c>
      <c r="J1007">
        <f>IFERROR(HLOOKUP(J$2,[32]table_male_hkom3_inj.U3!$A$1:$K$36,20,FALSE),0)</f>
        <v>30</v>
      </c>
      <c r="K1007">
        <f>IFERROR(HLOOKUP(K$2,[32]table_male_hkom3_inj.U3!$A$1:$K$36,20,FALSE),0)</f>
        <v>11</v>
      </c>
      <c r="L1007">
        <f>IFERROR(HLOOKUP(L$2,[32]table_male_hkom3_inj.U3!$A$1:$K$36,20,FALSE),0)</f>
        <v>6</v>
      </c>
      <c r="M1007">
        <f t="shared" si="320"/>
        <v>492</v>
      </c>
      <c r="S1007" t="s">
        <v>88</v>
      </c>
      <c r="T1007" s="5">
        <f t="shared" si="321"/>
        <v>0</v>
      </c>
      <c r="U1007" s="5">
        <f t="shared" si="322"/>
        <v>0</v>
      </c>
      <c r="V1007" s="5">
        <f t="shared" si="323"/>
        <v>107.13043478260869</v>
      </c>
      <c r="W1007" s="5">
        <f t="shared" si="324"/>
        <v>247.9141193595342</v>
      </c>
      <c r="X1007" s="5">
        <f t="shared" si="325"/>
        <v>184.37894736842105</v>
      </c>
      <c r="Y1007" s="5">
        <f t="shared" si="326"/>
        <v>36.610169491525426</v>
      </c>
      <c r="Z1007" s="5">
        <f t="shared" si="327"/>
        <v>13.648148148148149</v>
      </c>
      <c r="AA1007" s="5">
        <f t="shared" si="328"/>
        <v>7.2</v>
      </c>
      <c r="AB1007" s="5">
        <f t="shared" si="318"/>
        <v>596.88181915023756</v>
      </c>
    </row>
    <row r="1008" spans="4:28" x14ac:dyDescent="0.25">
      <c r="D1008" t="s">
        <v>89</v>
      </c>
      <c r="E1008" s="64"/>
      <c r="F1008" s="64"/>
      <c r="G1008">
        <f>IFERROR(HLOOKUP(G$2,[32]table_male_hkom3_inj.U3!$A$1:$K$36,21,FALSE),0)</f>
        <v>4</v>
      </c>
      <c r="H1008">
        <f>IFERROR(HLOOKUP(H$2,[32]table_male_hkom3_inj.U3!$A$1:$K$36,21,FALSE),0)</f>
        <v>5</v>
      </c>
      <c r="I1008">
        <f>IFERROR(HLOOKUP(I$2,[32]table_male_hkom3_inj.U3!$A$1:$K$36,21,FALSE),0)</f>
        <v>3</v>
      </c>
      <c r="J1008">
        <f>IFERROR(HLOOKUP(J$2,[32]table_male_hkom3_inj.U3!$A$1:$K$36,21,FALSE),0)</f>
        <v>1</v>
      </c>
      <c r="K1008">
        <f>IFERROR(HLOOKUP(K$2,[32]table_male_hkom3_inj.U3!$A$1:$K$36,21,FALSE),0)</f>
        <v>0</v>
      </c>
      <c r="L1008">
        <f>IFERROR(HLOOKUP(L$2,[32]table_male_hkom3_inj.U3!$A$1:$K$36,21,FALSE),0)</f>
        <v>0</v>
      </c>
      <c r="M1008">
        <f t="shared" si="320"/>
        <v>13</v>
      </c>
      <c r="S1008" t="s">
        <v>89</v>
      </c>
      <c r="T1008" s="5">
        <f t="shared" si="321"/>
        <v>0</v>
      </c>
      <c r="U1008" s="5">
        <f t="shared" si="322"/>
        <v>0</v>
      </c>
      <c r="V1008" s="5">
        <f t="shared" si="323"/>
        <v>4.7090301003344486</v>
      </c>
      <c r="W1008" s="5">
        <f t="shared" si="324"/>
        <v>6.1062590975254736</v>
      </c>
      <c r="X1008" s="5">
        <f t="shared" si="325"/>
        <v>3.6631578947368419</v>
      </c>
      <c r="Y1008" s="5">
        <f t="shared" si="326"/>
        <v>1.2203389830508475</v>
      </c>
      <c r="Z1008" s="5">
        <f t="shared" si="327"/>
        <v>0</v>
      </c>
      <c r="AA1008" s="5">
        <f t="shared" si="328"/>
        <v>0</v>
      </c>
      <c r="AB1008" s="5">
        <f t="shared" si="318"/>
        <v>15.698786075647611</v>
      </c>
    </row>
    <row r="1009" spans="1:29" x14ac:dyDescent="0.25">
      <c r="D1009" t="s">
        <v>90</v>
      </c>
      <c r="E1009" s="64"/>
      <c r="F1009" s="64"/>
      <c r="G1009">
        <f>IFERROR(HLOOKUP(G$2,[32]table_male_hkom3_inj.U3!$A$1:$K$36,22,FALSE),0)</f>
        <v>0</v>
      </c>
      <c r="H1009">
        <f>IFERROR(HLOOKUP(H$2,[32]table_male_hkom3_inj.U3!$A$1:$K$36,22,FALSE),0)</f>
        <v>0</v>
      </c>
      <c r="I1009">
        <f>IFERROR(HLOOKUP(I$2,[32]table_male_hkom3_inj.U3!$A$1:$K$36,22,FALSE),0)</f>
        <v>0</v>
      </c>
      <c r="J1009">
        <f>IFERROR(HLOOKUP(J$2,[32]table_male_hkom3_inj.U3!$A$1:$K$36,22,FALSE),0)</f>
        <v>0</v>
      </c>
      <c r="K1009">
        <f>IFERROR(HLOOKUP(K$2,[32]table_male_hkom3_inj.U3!$A$1:$K$36,22,FALSE),0)</f>
        <v>0</v>
      </c>
      <c r="L1009">
        <f>IFERROR(HLOOKUP(L$2,[32]table_male_hkom3_inj.U3!$A$1:$K$36,22,FALSE),0)</f>
        <v>0</v>
      </c>
      <c r="M1009">
        <f t="shared" si="320"/>
        <v>0</v>
      </c>
      <c r="S1009" t="s">
        <v>90</v>
      </c>
      <c r="T1009" s="5">
        <f t="shared" si="321"/>
        <v>0</v>
      </c>
      <c r="U1009" s="5">
        <f t="shared" si="322"/>
        <v>0</v>
      </c>
      <c r="V1009" s="5">
        <f t="shared" si="323"/>
        <v>0</v>
      </c>
      <c r="W1009" s="5">
        <f t="shared" si="324"/>
        <v>0</v>
      </c>
      <c r="X1009" s="5">
        <f t="shared" si="325"/>
        <v>0</v>
      </c>
      <c r="Y1009" s="5">
        <f t="shared" si="326"/>
        <v>0</v>
      </c>
      <c r="Z1009" s="5">
        <f t="shared" si="327"/>
        <v>0</v>
      </c>
      <c r="AA1009" s="5">
        <f t="shared" si="328"/>
        <v>0</v>
      </c>
      <c r="AB1009" s="5">
        <f t="shared" si="318"/>
        <v>0</v>
      </c>
    </row>
    <row r="1010" spans="1:29" x14ac:dyDescent="0.25">
      <c r="D1010" t="s">
        <v>91</v>
      </c>
      <c r="E1010" s="64"/>
      <c r="F1010" s="64"/>
      <c r="G1010">
        <f>IFERROR(HLOOKUP(G$2,[32]table_male_hkom3_inj.U3!$A$1:$K$36,23,FALSE),0)</f>
        <v>0</v>
      </c>
      <c r="H1010">
        <f>IFERROR(HLOOKUP(H$2,[32]table_male_hkom3_inj.U3!$A$1:$K$36,23,FALSE),0)</f>
        <v>1</v>
      </c>
      <c r="I1010">
        <f>IFERROR(HLOOKUP(I$2,[32]table_male_hkom3_inj.U3!$A$1:$K$36,23,FALSE),0)</f>
        <v>0</v>
      </c>
      <c r="J1010">
        <f>IFERROR(HLOOKUP(J$2,[32]table_male_hkom3_inj.U3!$A$1:$K$36,23,FALSE),0)</f>
        <v>0</v>
      </c>
      <c r="K1010">
        <f>IFERROR(HLOOKUP(K$2,[32]table_male_hkom3_inj.U3!$A$1:$K$36,23,FALSE),0)</f>
        <v>0</v>
      </c>
      <c r="L1010">
        <f>IFERROR(HLOOKUP(L$2,[32]table_male_hkom3_inj.U3!$A$1:$K$36,23,FALSE),0)</f>
        <v>0</v>
      </c>
      <c r="M1010">
        <f t="shared" si="320"/>
        <v>1</v>
      </c>
      <c r="S1010" t="s">
        <v>91</v>
      </c>
      <c r="T1010" s="5">
        <f t="shared" si="321"/>
        <v>0</v>
      </c>
      <c r="U1010" s="5">
        <f t="shared" si="322"/>
        <v>0</v>
      </c>
      <c r="V1010" s="5">
        <f t="shared" si="323"/>
        <v>0</v>
      </c>
      <c r="W1010" s="5">
        <f t="shared" si="324"/>
        <v>1.2212518195050945</v>
      </c>
      <c r="X1010" s="5">
        <f t="shared" si="325"/>
        <v>0</v>
      </c>
      <c r="Y1010" s="5">
        <f t="shared" si="326"/>
        <v>0</v>
      </c>
      <c r="Z1010" s="5">
        <f t="shared" si="327"/>
        <v>0</v>
      </c>
      <c r="AA1010" s="5">
        <f t="shared" si="328"/>
        <v>0</v>
      </c>
      <c r="AB1010" s="5">
        <f t="shared" si="318"/>
        <v>1.2212518195050945</v>
      </c>
    </row>
    <row r="1011" spans="1:29" x14ac:dyDescent="0.25">
      <c r="D1011" t="s">
        <v>92</v>
      </c>
      <c r="E1011" s="64"/>
      <c r="F1011" s="64"/>
      <c r="G1011">
        <f>IFERROR(HLOOKUP(G$2,[32]table_male_hkom3_inj.U3!$A$1:$K$36,24,FALSE),0)</f>
        <v>0</v>
      </c>
      <c r="H1011">
        <f>IFERROR(HLOOKUP(H$2,[32]table_male_hkom3_inj.U3!$A$1:$K$36,24,FALSE),0)</f>
        <v>0</v>
      </c>
      <c r="I1011">
        <f>IFERROR(HLOOKUP(I$2,[32]table_male_hkom3_inj.U3!$A$1:$K$36,24,FALSE),0)</f>
        <v>0</v>
      </c>
      <c r="J1011">
        <f>IFERROR(HLOOKUP(J$2,[32]table_male_hkom3_inj.U3!$A$1:$K$36,24,FALSE),0)</f>
        <v>0</v>
      </c>
      <c r="K1011">
        <f>IFERROR(HLOOKUP(K$2,[32]table_male_hkom3_inj.U3!$A$1:$K$36,24,FALSE),0)</f>
        <v>0</v>
      </c>
      <c r="L1011">
        <f>IFERROR(HLOOKUP(L$2,[32]table_male_hkom3_inj.U3!$A$1:$K$36,24,FALSE),0)</f>
        <v>0</v>
      </c>
      <c r="M1011">
        <f t="shared" si="320"/>
        <v>0</v>
      </c>
      <c r="S1011" t="s">
        <v>92</v>
      </c>
      <c r="T1011" s="5">
        <f t="shared" si="321"/>
        <v>0</v>
      </c>
      <c r="U1011" s="5">
        <f t="shared" si="322"/>
        <v>0</v>
      </c>
      <c r="V1011" s="5">
        <f t="shared" si="323"/>
        <v>0</v>
      </c>
      <c r="W1011" s="5">
        <f t="shared" si="324"/>
        <v>0</v>
      </c>
      <c r="X1011" s="5">
        <f t="shared" si="325"/>
        <v>0</v>
      </c>
      <c r="Y1011" s="5">
        <f t="shared" si="326"/>
        <v>0</v>
      </c>
      <c r="Z1011" s="5">
        <f t="shared" si="327"/>
        <v>0</v>
      </c>
      <c r="AA1011" s="5">
        <f t="shared" si="328"/>
        <v>0</v>
      </c>
      <c r="AB1011" s="5">
        <f t="shared" si="318"/>
        <v>0</v>
      </c>
    </row>
    <row r="1012" spans="1:29" x14ac:dyDescent="0.25">
      <c r="D1012" t="s">
        <v>93</v>
      </c>
      <c r="E1012" s="64"/>
      <c r="F1012" s="64"/>
      <c r="G1012">
        <f>IFERROR(HLOOKUP(G$2,[32]table_male_hkom3_inj.U3!$A$1:$K$36,25,FALSE),0)</f>
        <v>0</v>
      </c>
      <c r="H1012">
        <f>IFERROR(HLOOKUP(H$2,[32]table_male_hkom3_inj.U3!$A$1:$K$36,25,FALSE),0)</f>
        <v>0</v>
      </c>
      <c r="I1012">
        <f>IFERROR(HLOOKUP(I$2,[32]table_male_hkom3_inj.U3!$A$1:$K$36,25,FALSE),0)</f>
        <v>0</v>
      </c>
      <c r="J1012">
        <f>IFERROR(HLOOKUP(J$2,[32]table_male_hkom3_inj.U3!$A$1:$K$36,25,FALSE),0)</f>
        <v>0</v>
      </c>
      <c r="K1012">
        <f>IFERROR(HLOOKUP(K$2,[32]table_male_hkom3_inj.U3!$A$1:$K$36,25,FALSE),0)</f>
        <v>0</v>
      </c>
      <c r="L1012">
        <f>IFERROR(HLOOKUP(L$2,[32]table_male_hkom3_inj.U3!$A$1:$K$36,25,FALSE),0)</f>
        <v>0</v>
      </c>
      <c r="M1012">
        <f t="shared" si="320"/>
        <v>0</v>
      </c>
      <c r="S1012" t="s">
        <v>93</v>
      </c>
      <c r="T1012" s="5">
        <f t="shared" si="321"/>
        <v>0</v>
      </c>
      <c r="U1012" s="5">
        <f t="shared" si="322"/>
        <v>0</v>
      </c>
      <c r="V1012" s="5">
        <f t="shared" si="323"/>
        <v>0</v>
      </c>
      <c r="W1012" s="5">
        <f t="shared" si="324"/>
        <v>0</v>
      </c>
      <c r="X1012" s="5">
        <f t="shared" si="325"/>
        <v>0</v>
      </c>
      <c r="Y1012" s="5">
        <f t="shared" si="326"/>
        <v>0</v>
      </c>
      <c r="Z1012" s="5">
        <f t="shared" si="327"/>
        <v>0</v>
      </c>
      <c r="AA1012" s="5">
        <f t="shared" si="328"/>
        <v>0</v>
      </c>
      <c r="AB1012" s="5">
        <f t="shared" si="318"/>
        <v>0</v>
      </c>
    </row>
    <row r="1013" spans="1:29" x14ac:dyDescent="0.25">
      <c r="D1013" t="s">
        <v>94</v>
      </c>
      <c r="E1013" s="64"/>
      <c r="F1013" s="64"/>
      <c r="G1013">
        <f>IFERROR(HLOOKUP(G$2,[32]table_male_hkom3_inj.U3!$A$1:$K$36,26,FALSE),0)</f>
        <v>0</v>
      </c>
      <c r="H1013">
        <f>IFERROR(HLOOKUP(H$2,[32]table_male_hkom3_inj.U3!$A$1:$K$36,26,FALSE),0)</f>
        <v>0</v>
      </c>
      <c r="I1013">
        <f>IFERROR(HLOOKUP(I$2,[32]table_male_hkom3_inj.U3!$A$1:$K$36,26,FALSE),0)</f>
        <v>0</v>
      </c>
      <c r="J1013">
        <f>IFERROR(HLOOKUP(J$2,[32]table_male_hkom3_inj.U3!$A$1:$K$36,26,FALSE),0)</f>
        <v>0</v>
      </c>
      <c r="K1013">
        <f>IFERROR(HLOOKUP(K$2,[32]table_male_hkom3_inj.U3!$A$1:$K$36,26,FALSE),0)</f>
        <v>0</v>
      </c>
      <c r="L1013">
        <f>IFERROR(HLOOKUP(L$2,[32]table_male_hkom3_inj.U3!$A$1:$K$36,26,FALSE),0)</f>
        <v>0</v>
      </c>
      <c r="M1013">
        <f t="shared" si="320"/>
        <v>0</v>
      </c>
      <c r="S1013" t="s">
        <v>94</v>
      </c>
      <c r="T1013" s="5">
        <f t="shared" si="321"/>
        <v>0</v>
      </c>
      <c r="U1013" s="5">
        <f t="shared" si="322"/>
        <v>0</v>
      </c>
      <c r="V1013" s="5">
        <f t="shared" si="323"/>
        <v>0</v>
      </c>
      <c r="W1013" s="5">
        <f t="shared" si="324"/>
        <v>0</v>
      </c>
      <c r="X1013" s="5">
        <f t="shared" si="325"/>
        <v>0</v>
      </c>
      <c r="Y1013" s="5">
        <f t="shared" si="326"/>
        <v>0</v>
      </c>
      <c r="Z1013" s="5">
        <f t="shared" si="327"/>
        <v>0</v>
      </c>
      <c r="AA1013" s="5">
        <f t="shared" si="328"/>
        <v>0</v>
      </c>
      <c r="AB1013" s="5">
        <f t="shared" si="318"/>
        <v>0</v>
      </c>
    </row>
    <row r="1014" spans="1:29" x14ac:dyDescent="0.25">
      <c r="D1014" t="s">
        <v>95</v>
      </c>
      <c r="E1014" s="64"/>
      <c r="F1014" s="64"/>
      <c r="G1014">
        <f>IFERROR(HLOOKUP(G$2,[32]table_male_hkom3_inj.U3!$A$1:$K$36,27,FALSE),0)</f>
        <v>0</v>
      </c>
      <c r="H1014">
        <f>IFERROR(HLOOKUP(H$2,[32]table_male_hkom3_inj.U3!$A$1:$K$36,27,FALSE),0)</f>
        <v>0</v>
      </c>
      <c r="I1014">
        <f>IFERROR(HLOOKUP(I$2,[32]table_male_hkom3_inj.U3!$A$1:$K$36,27,FALSE),0)</f>
        <v>0</v>
      </c>
      <c r="J1014">
        <f>IFERROR(HLOOKUP(J$2,[32]table_male_hkom3_inj.U3!$A$1:$K$36,27,FALSE),0)</f>
        <v>0</v>
      </c>
      <c r="K1014">
        <f>IFERROR(HLOOKUP(K$2,[32]table_male_hkom3_inj.U3!$A$1:$K$36,27,FALSE),0)</f>
        <v>0</v>
      </c>
      <c r="L1014">
        <f>IFERROR(HLOOKUP(L$2,[32]table_male_hkom3_inj.U3!$A$1:$K$36,27,FALSE),0)</f>
        <v>0</v>
      </c>
      <c r="M1014">
        <f t="shared" si="320"/>
        <v>0</v>
      </c>
      <c r="S1014" t="s">
        <v>95</v>
      </c>
      <c r="T1014" s="5">
        <f t="shared" si="321"/>
        <v>0</v>
      </c>
      <c r="U1014" s="5">
        <f t="shared" si="322"/>
        <v>0</v>
      </c>
      <c r="V1014" s="5">
        <f t="shared" si="323"/>
        <v>0</v>
      </c>
      <c r="W1014" s="5">
        <f t="shared" si="324"/>
        <v>0</v>
      </c>
      <c r="X1014" s="5">
        <f t="shared" si="325"/>
        <v>0</v>
      </c>
      <c r="Y1014" s="5">
        <f t="shared" si="326"/>
        <v>0</v>
      </c>
      <c r="Z1014" s="5">
        <f t="shared" si="327"/>
        <v>0</v>
      </c>
      <c r="AA1014" s="5">
        <f t="shared" si="328"/>
        <v>0</v>
      </c>
      <c r="AB1014" s="5">
        <f t="shared" si="318"/>
        <v>0</v>
      </c>
    </row>
    <row r="1015" spans="1:29" x14ac:dyDescent="0.25">
      <c r="D1015" t="s">
        <v>96</v>
      </c>
      <c r="E1015" s="64"/>
      <c r="F1015" s="64"/>
      <c r="G1015">
        <f>IFERROR(HLOOKUP(G$2,[32]table_male_hkom3_inj.U3!$A$1:$K$36,28,FALSE),0)</f>
        <v>0</v>
      </c>
      <c r="H1015">
        <f>IFERROR(HLOOKUP(H$2,[32]table_male_hkom3_inj.U3!$A$1:$K$36,28,FALSE),0)</f>
        <v>4</v>
      </c>
      <c r="I1015">
        <f>IFERROR(HLOOKUP(I$2,[32]table_male_hkom3_inj.U3!$A$1:$K$36,28,FALSE),0)</f>
        <v>1</v>
      </c>
      <c r="J1015">
        <f>IFERROR(HLOOKUP(J$2,[32]table_male_hkom3_inj.U3!$A$1:$K$36,28,FALSE),0)</f>
        <v>1</v>
      </c>
      <c r="K1015">
        <f>IFERROR(HLOOKUP(K$2,[32]table_male_hkom3_inj.U3!$A$1:$K$36,28,FALSE),0)</f>
        <v>0</v>
      </c>
      <c r="L1015">
        <f>IFERROR(HLOOKUP(L$2,[32]table_male_hkom3_inj.U3!$A$1:$K$36,28,FALSE),0)</f>
        <v>0</v>
      </c>
      <c r="M1015">
        <f t="shared" si="320"/>
        <v>6</v>
      </c>
      <c r="S1015" t="s">
        <v>96</v>
      </c>
      <c r="T1015" s="5">
        <f t="shared" si="321"/>
        <v>0</v>
      </c>
      <c r="U1015" s="5">
        <f t="shared" si="322"/>
        <v>0</v>
      </c>
      <c r="V1015" s="5">
        <f t="shared" si="323"/>
        <v>0</v>
      </c>
      <c r="W1015" s="5">
        <f t="shared" si="324"/>
        <v>4.8850072780203782</v>
      </c>
      <c r="X1015" s="5">
        <f t="shared" si="325"/>
        <v>1.2210526315789474</v>
      </c>
      <c r="Y1015" s="5">
        <f t="shared" si="326"/>
        <v>1.2203389830508475</v>
      </c>
      <c r="Z1015" s="5">
        <f t="shared" si="327"/>
        <v>0</v>
      </c>
      <c r="AA1015" s="5">
        <f t="shared" si="328"/>
        <v>0</v>
      </c>
      <c r="AB1015" s="5">
        <f t="shared" si="318"/>
        <v>7.3263988926501735</v>
      </c>
    </row>
    <row r="1016" spans="1:29" x14ac:dyDescent="0.25">
      <c r="D1016" t="s">
        <v>97</v>
      </c>
      <c r="E1016" s="64"/>
      <c r="F1016" s="64"/>
      <c r="G1016">
        <f>IFERROR(HLOOKUP(G$2,[32]table_male_hkom3_inj.U3!$A$1:$K$36,29,FALSE),0)</f>
        <v>0</v>
      </c>
      <c r="H1016">
        <f>IFERROR(HLOOKUP(H$2,[32]table_male_hkom3_inj.U3!$A$1:$K$36,29,FALSE),0)</f>
        <v>0</v>
      </c>
      <c r="I1016">
        <f>IFERROR(HLOOKUP(I$2,[32]table_male_hkom3_inj.U3!$A$1:$K$36,29,FALSE),0)</f>
        <v>0</v>
      </c>
      <c r="J1016">
        <f>IFERROR(HLOOKUP(J$2,[32]table_male_hkom3_inj.U3!$A$1:$K$36,29,FALSE),0)</f>
        <v>0</v>
      </c>
      <c r="K1016">
        <f>IFERROR(HLOOKUP(K$2,[32]table_male_hkom3_inj.U3!$A$1:$K$36,29,FALSE),0)</f>
        <v>0</v>
      </c>
      <c r="L1016">
        <f>IFERROR(HLOOKUP(L$2,[32]table_male_hkom3_inj.U3!$A$1:$K$36,29,FALSE),0)</f>
        <v>0</v>
      </c>
      <c r="M1016">
        <f t="shared" si="320"/>
        <v>0</v>
      </c>
      <c r="S1016" t="s">
        <v>97</v>
      </c>
      <c r="T1016" s="5">
        <f t="shared" si="321"/>
        <v>0</v>
      </c>
      <c r="U1016" s="5">
        <f t="shared" si="322"/>
        <v>0</v>
      </c>
      <c r="V1016" s="5">
        <f t="shared" si="323"/>
        <v>0</v>
      </c>
      <c r="W1016" s="5">
        <f t="shared" si="324"/>
        <v>0</v>
      </c>
      <c r="X1016" s="5">
        <f t="shared" si="325"/>
        <v>0</v>
      </c>
      <c r="Y1016" s="5">
        <f t="shared" si="326"/>
        <v>0</v>
      </c>
      <c r="Z1016" s="5">
        <f t="shared" si="327"/>
        <v>0</v>
      </c>
      <c r="AA1016" s="5">
        <f t="shared" si="328"/>
        <v>0</v>
      </c>
      <c r="AB1016" s="5">
        <f t="shared" si="318"/>
        <v>0</v>
      </c>
    </row>
    <row r="1017" spans="1:29" x14ac:dyDescent="0.25">
      <c r="D1017" t="s">
        <v>98</v>
      </c>
      <c r="E1017" s="64"/>
      <c r="F1017" s="64"/>
      <c r="G1017">
        <f>IFERROR(HLOOKUP(G$2,[32]table_male_hkom3_inj.U3!$A$1:$K$36,30,FALSE),0)</f>
        <v>0</v>
      </c>
      <c r="H1017">
        <f>IFERROR(HLOOKUP(H$2,[32]table_male_hkom3_inj.U3!$A$1:$K$36,30,FALSE),0)</f>
        <v>0</v>
      </c>
      <c r="I1017">
        <f>IFERROR(HLOOKUP(I$2,[32]table_male_hkom3_inj.U3!$A$1:$K$36,30,FALSE),0)</f>
        <v>0</v>
      </c>
      <c r="J1017">
        <f>IFERROR(HLOOKUP(J$2,[32]table_male_hkom3_inj.U3!$A$1:$K$36,30,FALSE),0)</f>
        <v>0</v>
      </c>
      <c r="K1017">
        <f>IFERROR(HLOOKUP(K$2,[32]table_male_hkom3_inj.U3!$A$1:$K$36,30,FALSE),0)</f>
        <v>0</v>
      </c>
      <c r="L1017">
        <f>IFERROR(HLOOKUP(L$2,[32]table_male_hkom3_inj.U3!$A$1:$K$36,30,FALSE),0)</f>
        <v>0</v>
      </c>
      <c r="M1017">
        <f t="shared" si="320"/>
        <v>0</v>
      </c>
      <c r="S1017" t="s">
        <v>98</v>
      </c>
      <c r="T1017" s="5">
        <f t="shared" si="321"/>
        <v>0</v>
      </c>
      <c r="U1017" s="5">
        <f t="shared" si="322"/>
        <v>0</v>
      </c>
      <c r="V1017" s="5">
        <f t="shared" si="323"/>
        <v>0</v>
      </c>
      <c r="W1017" s="5">
        <f t="shared" si="324"/>
        <v>0</v>
      </c>
      <c r="X1017" s="5">
        <f t="shared" si="325"/>
        <v>0</v>
      </c>
      <c r="Y1017" s="5">
        <f t="shared" si="326"/>
        <v>0</v>
      </c>
      <c r="Z1017" s="5">
        <f t="shared" si="327"/>
        <v>0</v>
      </c>
      <c r="AA1017" s="5">
        <f t="shared" si="328"/>
        <v>0</v>
      </c>
      <c r="AB1017" s="5">
        <f t="shared" si="318"/>
        <v>0</v>
      </c>
    </row>
    <row r="1018" spans="1:29" x14ac:dyDescent="0.25">
      <c r="D1018" t="s">
        <v>119</v>
      </c>
      <c r="E1018" s="64"/>
      <c r="F1018" s="64"/>
      <c r="G1018">
        <f>IFERROR(HLOOKUP(G$2,[32]table_male_hkom3_inj.U3!$A$1:$K$36,31,FALSE),0)</f>
        <v>0</v>
      </c>
      <c r="H1018">
        <f>IFERROR(HLOOKUP(H$2,[32]table_male_hkom3_inj.U3!$A$1:$K$36,31,FALSE),0)</f>
        <v>0</v>
      </c>
      <c r="I1018">
        <f>IFERROR(HLOOKUP(I$2,[32]table_male_hkom3_inj.U3!$A$1:$K$36,31,FALSE),0)</f>
        <v>1</v>
      </c>
      <c r="J1018">
        <f>IFERROR(HLOOKUP(J$2,[32]table_male_hkom3_inj.U3!$A$1:$K$36,31,FALSE),0)</f>
        <v>0</v>
      </c>
      <c r="K1018">
        <f>IFERROR(HLOOKUP(K$2,[32]table_male_hkom3_inj.U3!$A$1:$K$36,31,FALSE),0)</f>
        <v>0</v>
      </c>
      <c r="L1018">
        <f>IFERROR(HLOOKUP(L$2,[32]table_male_hkom3_inj.U3!$A$1:$K$36,31,FALSE),0)</f>
        <v>0</v>
      </c>
      <c r="M1018">
        <f t="shared" si="320"/>
        <v>1</v>
      </c>
      <c r="S1018" t="s">
        <v>119</v>
      </c>
      <c r="T1018" s="5">
        <f t="shared" si="321"/>
        <v>0</v>
      </c>
      <c r="U1018" s="5">
        <f t="shared" si="322"/>
        <v>0</v>
      </c>
      <c r="V1018" s="5">
        <f t="shared" si="323"/>
        <v>0</v>
      </c>
      <c r="W1018" s="5">
        <f t="shared" si="324"/>
        <v>0</v>
      </c>
      <c r="X1018" s="5">
        <f t="shared" si="325"/>
        <v>1.2210526315789474</v>
      </c>
      <c r="Y1018" s="5">
        <f t="shared" si="326"/>
        <v>0</v>
      </c>
      <c r="Z1018" s="5">
        <f t="shared" si="327"/>
        <v>0</v>
      </c>
      <c r="AA1018" s="5">
        <f t="shared" si="328"/>
        <v>0</v>
      </c>
      <c r="AB1018" s="5">
        <f t="shared" si="318"/>
        <v>1.2210526315789474</v>
      </c>
    </row>
    <row r="1019" spans="1:29" x14ac:dyDescent="0.25">
      <c r="D1019" t="s">
        <v>99</v>
      </c>
      <c r="E1019" s="64"/>
      <c r="F1019" s="64"/>
      <c r="G1019">
        <f>IFERROR(HLOOKUP(G$2,[32]table_male_hkom3_inj.U3!$A$1:$K$36,32,FALSE),0)</f>
        <v>5</v>
      </c>
      <c r="H1019">
        <f>IFERROR(HLOOKUP(H$2,[32]table_male_hkom3_inj.U3!$A$1:$K$36,32,FALSE),0)</f>
        <v>13</v>
      </c>
      <c r="I1019">
        <f>IFERROR(HLOOKUP(I$2,[32]table_male_hkom3_inj.U3!$A$1:$K$36,32,FALSE),0)</f>
        <v>3</v>
      </c>
      <c r="J1019">
        <f>IFERROR(HLOOKUP(J$2,[32]table_male_hkom3_inj.U3!$A$1:$K$36,32,FALSE),0)</f>
        <v>0</v>
      </c>
      <c r="K1019">
        <f>IFERROR(HLOOKUP(K$2,[32]table_male_hkom3_inj.U3!$A$1:$K$36,32,FALSE),0)</f>
        <v>1</v>
      </c>
      <c r="L1019">
        <f>IFERROR(HLOOKUP(L$2,[32]table_male_hkom3_inj.U3!$A$1:$K$36,32,FALSE),0)</f>
        <v>0</v>
      </c>
      <c r="M1019">
        <f t="shared" si="320"/>
        <v>22</v>
      </c>
      <c r="S1019" t="s">
        <v>99</v>
      </c>
      <c r="T1019" s="5">
        <f t="shared" si="321"/>
        <v>0</v>
      </c>
      <c r="U1019" s="5">
        <f t="shared" si="322"/>
        <v>0</v>
      </c>
      <c r="V1019" s="5">
        <f t="shared" si="323"/>
        <v>5.8862876254180598</v>
      </c>
      <c r="W1019" s="5">
        <f t="shared" si="324"/>
        <v>15.87627365356623</v>
      </c>
      <c r="X1019" s="5">
        <f t="shared" si="325"/>
        <v>3.6631578947368419</v>
      </c>
      <c r="Y1019" s="5">
        <f t="shared" si="326"/>
        <v>0</v>
      </c>
      <c r="Z1019" s="5">
        <f t="shared" si="327"/>
        <v>1.2407407407407407</v>
      </c>
      <c r="AA1019" s="5">
        <f t="shared" si="328"/>
        <v>0</v>
      </c>
      <c r="AB1019" s="5">
        <f t="shared" si="318"/>
        <v>26.666459914461871</v>
      </c>
    </row>
    <row r="1020" spans="1:29" x14ac:dyDescent="0.25">
      <c r="D1020" t="s">
        <v>100</v>
      </c>
      <c r="E1020" s="64"/>
      <c r="F1020" s="64"/>
      <c r="G1020">
        <f>IFERROR(HLOOKUP(G$2,[32]table_male_hkom3_inj.U3!$A$1:$K$36,33,FALSE),0)</f>
        <v>0</v>
      </c>
      <c r="H1020">
        <f>IFERROR(HLOOKUP(H$2,[32]table_male_hkom3_inj.U3!$A$1:$K$36,33,FALSE),0)</f>
        <v>0</v>
      </c>
      <c r="I1020">
        <f>IFERROR(HLOOKUP(I$2,[32]table_male_hkom3_inj.U3!$A$1:$K$36,33,FALSE),0)</f>
        <v>1</v>
      </c>
      <c r="J1020">
        <f>IFERROR(HLOOKUP(J$2,[32]table_male_hkom3_inj.U3!$A$1:$K$36,33,FALSE),0)</f>
        <v>0</v>
      </c>
      <c r="K1020">
        <f>IFERROR(HLOOKUP(K$2,[32]table_male_hkom3_inj.U3!$A$1:$K$36,33,FALSE),0)</f>
        <v>0</v>
      </c>
      <c r="L1020">
        <f>IFERROR(HLOOKUP(L$2,[32]table_male_hkom3_inj.U3!$A$1:$K$36,33,FALSE),0)</f>
        <v>0</v>
      </c>
      <c r="M1020">
        <f t="shared" si="320"/>
        <v>1</v>
      </c>
      <c r="S1020" t="s">
        <v>100</v>
      </c>
      <c r="T1020" s="5">
        <f t="shared" si="321"/>
        <v>0</v>
      </c>
      <c r="U1020" s="5">
        <f t="shared" si="322"/>
        <v>0</v>
      </c>
      <c r="V1020" s="5">
        <f t="shared" si="323"/>
        <v>0</v>
      </c>
      <c r="W1020" s="5">
        <f t="shared" si="324"/>
        <v>0</v>
      </c>
      <c r="X1020" s="5">
        <f t="shared" si="325"/>
        <v>1.2210526315789474</v>
      </c>
      <c r="Y1020" s="5">
        <f t="shared" si="326"/>
        <v>0</v>
      </c>
      <c r="Z1020" s="5">
        <f t="shared" si="327"/>
        <v>0</v>
      </c>
      <c r="AA1020" s="5">
        <f t="shared" si="328"/>
        <v>0</v>
      </c>
      <c r="AB1020" s="5">
        <f t="shared" si="318"/>
        <v>1.2210526315789474</v>
      </c>
    </row>
    <row r="1021" spans="1:29" x14ac:dyDescent="0.25">
      <c r="D1021" t="s">
        <v>101</v>
      </c>
      <c r="E1021" s="64"/>
      <c r="F1021" s="64"/>
      <c r="G1021">
        <f>IFERROR(HLOOKUP(G$2,[32]table_male_hkom3_inj.U3!$A$1:$K$36,34,FALSE),0)</f>
        <v>20</v>
      </c>
      <c r="H1021">
        <f>IFERROR(HLOOKUP(H$2,[32]table_male_hkom3_inj.U3!$A$1:$K$36,34,FALSE),0)</f>
        <v>51</v>
      </c>
      <c r="I1021">
        <f>IFERROR(HLOOKUP(I$2,[32]table_male_hkom3_inj.U3!$A$1:$K$36,34,FALSE),0)</f>
        <v>10</v>
      </c>
      <c r="J1021">
        <f>IFERROR(HLOOKUP(J$2,[32]table_male_hkom3_inj.U3!$A$1:$K$36,34,FALSE),0)</f>
        <v>3</v>
      </c>
      <c r="K1021">
        <f>IFERROR(HLOOKUP(K$2,[32]table_male_hkom3_inj.U3!$A$1:$K$36,34,FALSE),0)</f>
        <v>0</v>
      </c>
      <c r="L1021">
        <f>IFERROR(HLOOKUP(L$2,[32]table_male_hkom3_inj.U3!$A$1:$K$36,34,FALSE),0)</f>
        <v>0</v>
      </c>
      <c r="M1021">
        <f t="shared" si="320"/>
        <v>84</v>
      </c>
      <c r="S1021" t="s">
        <v>101</v>
      </c>
      <c r="T1021" s="5">
        <f t="shared" si="321"/>
        <v>0</v>
      </c>
      <c r="U1021" s="5">
        <f t="shared" si="322"/>
        <v>0</v>
      </c>
      <c r="V1021" s="5">
        <f t="shared" si="323"/>
        <v>23.545150501672239</v>
      </c>
      <c r="W1021" s="5">
        <f t="shared" si="324"/>
        <v>62.283842794759828</v>
      </c>
      <c r="X1021" s="5">
        <f t="shared" si="325"/>
        <v>12.210526315789473</v>
      </c>
      <c r="Y1021" s="5">
        <f t="shared" si="326"/>
        <v>3.6610169491525424</v>
      </c>
      <c r="Z1021" s="5">
        <f t="shared" si="327"/>
        <v>0</v>
      </c>
      <c r="AA1021" s="5">
        <f t="shared" si="328"/>
        <v>0</v>
      </c>
      <c r="AB1021" s="5">
        <f t="shared" si="318"/>
        <v>101.70053656137408</v>
      </c>
    </row>
    <row r="1022" spans="1:29" x14ac:dyDescent="0.25">
      <c r="D1022" t="s">
        <v>102</v>
      </c>
      <c r="E1022" s="64"/>
      <c r="F1022" s="64"/>
      <c r="G1022">
        <f>IFERROR(HLOOKUP(G$2,[32]table_male_hkom3_inj.U3!$A$1:$K$36,35,FALSE),0)</f>
        <v>106</v>
      </c>
      <c r="H1022">
        <f>IFERROR(HLOOKUP(H$2,[32]table_male_hkom3_inj.U3!$A$1:$K$36,35,FALSE),0)</f>
        <v>304</v>
      </c>
      <c r="I1022">
        <f>IFERROR(HLOOKUP(I$2,[32]table_male_hkom3_inj.U3!$A$1:$K$36,35,FALSE),0)</f>
        <v>168</v>
      </c>
      <c r="J1022">
        <f>IFERROR(HLOOKUP(J$2,[32]table_male_hkom3_inj.U3!$A$1:$K$36,35,FALSE),0)</f>
        <v>39</v>
      </c>
      <c r="K1022">
        <f>IFERROR(HLOOKUP(K$2,[32]table_male_hkom3_inj.U3!$A$1:$K$36,35,FALSE),0)</f>
        <v>13</v>
      </c>
      <c r="L1022">
        <f>IFERROR(HLOOKUP(L$2,[32]table_male_hkom3_inj.U3!$A$1:$K$36,35,FALSE),0)</f>
        <v>3</v>
      </c>
      <c r="M1022">
        <f t="shared" si="320"/>
        <v>633</v>
      </c>
      <c r="N1022">
        <f>SUM(M989:M1022)</f>
        <v>3611</v>
      </c>
      <c r="O1022" s="8">
        <f>SUM([32]table_male_hkom3_inj.U3!$B$2:$L$36)</f>
        <v>3611</v>
      </c>
      <c r="S1022" t="s">
        <v>102</v>
      </c>
      <c r="T1022" s="7"/>
      <c r="U1022" s="7"/>
      <c r="V1022" s="7"/>
      <c r="W1022" s="7"/>
      <c r="X1022" s="7"/>
      <c r="Y1022" s="7"/>
      <c r="Z1022" s="7"/>
      <c r="AA1022" s="7"/>
      <c r="AB1022" s="5">
        <f t="shared" si="318"/>
        <v>0</v>
      </c>
      <c r="AC1022" s="5">
        <f>SUM(AB989:AB1021)</f>
        <v>3611.0000000000005</v>
      </c>
    </row>
    <row r="1023" spans="1:29" x14ac:dyDescent="0.25">
      <c r="A1023" t="s">
        <v>104</v>
      </c>
      <c r="B1023" t="s">
        <v>117</v>
      </c>
      <c r="C1023" t="s">
        <v>112</v>
      </c>
      <c r="D1023" t="s">
        <v>70</v>
      </c>
      <c r="E1023" s="64"/>
      <c r="F1023" s="64"/>
      <c r="G1023">
        <f>IFERROR(HLOOKUP(G$2,[33]table_male_hkom3_inj.U4!$A$1:$K$36,2,FALSE),0)</f>
        <v>0</v>
      </c>
      <c r="H1023">
        <f>IFERROR(HLOOKUP(H$2,[33]table_male_hkom3_inj.U4!$A$1:$K$36,2,FALSE),0)</f>
        <v>0</v>
      </c>
      <c r="I1023">
        <f>IFERROR(HLOOKUP(I$2,[33]table_male_hkom3_inj.U4!$A$1:$K$36,2,FALSE),0)</f>
        <v>0</v>
      </c>
      <c r="J1023">
        <f>IFERROR(HLOOKUP(J$2,[33]table_male_hkom3_inj.U4!$A$1:$K$36,2,FALSE),0)</f>
        <v>0</v>
      </c>
      <c r="K1023">
        <f>IFERROR(HLOOKUP(K$2,[33]table_male_hkom3_inj.U4!$A$1:$K$36,2,FALSE),0)</f>
        <v>0</v>
      </c>
      <c r="L1023">
        <f>IFERROR(HLOOKUP(L$2,[33]table_male_hkom3_inj.U4!$A$1:$K$36,2,FALSE),0)</f>
        <v>0</v>
      </c>
      <c r="M1023">
        <f>SUM(E1023:L1023)</f>
        <v>0</v>
      </c>
      <c r="P1023" t="s">
        <v>104</v>
      </c>
      <c r="Q1023" t="s">
        <v>117</v>
      </c>
      <c r="R1023" t="s">
        <v>112</v>
      </c>
      <c r="S1023" t="s">
        <v>70</v>
      </c>
      <c r="T1023" s="5">
        <f>IF(SUM(E$1023:E$1055)=0,E$1056/33,E1023+IFERROR(E1023/SUM(E$1023:E$1055)*E$1056,0))</f>
        <v>0</v>
      </c>
      <c r="U1023" s="5">
        <f t="shared" ref="U1023:AA1023" si="329">IF(SUM(F$1023:F$1055)=0,F$1056/33,F1023+IFERROR(F1023/SUM(F$1023:F$1055)*F$1056,0))</f>
        <v>0</v>
      </c>
      <c r="V1023" s="5">
        <f t="shared" si="329"/>
        <v>0</v>
      </c>
      <c r="W1023" s="5">
        <f t="shared" si="329"/>
        <v>0</v>
      </c>
      <c r="X1023" s="5">
        <f t="shared" si="329"/>
        <v>0</v>
      </c>
      <c r="Y1023" s="5">
        <f t="shared" si="329"/>
        <v>0</v>
      </c>
      <c r="Z1023" s="5">
        <f t="shared" si="329"/>
        <v>0</v>
      </c>
      <c r="AA1023" s="5">
        <f t="shared" si="329"/>
        <v>0</v>
      </c>
      <c r="AB1023" s="5">
        <f t="shared" si="318"/>
        <v>0</v>
      </c>
    </row>
    <row r="1024" spans="1:29" x14ac:dyDescent="0.25">
      <c r="D1024" t="s">
        <v>71</v>
      </c>
      <c r="E1024" s="64"/>
      <c r="F1024" s="64"/>
      <c r="G1024">
        <f>IFERROR(HLOOKUP(G$2,[33]table_male_hkom3_inj.U4!$A$1:$K$36,3,FALSE),0)</f>
        <v>0</v>
      </c>
      <c r="H1024">
        <f>IFERROR(HLOOKUP(H$2,[33]table_male_hkom3_inj.U4!$A$1:$K$36,3,FALSE),0)</f>
        <v>0</v>
      </c>
      <c r="I1024">
        <f>IFERROR(HLOOKUP(I$2,[33]table_male_hkom3_inj.U4!$A$1:$K$36,3,FALSE),0)</f>
        <v>0</v>
      </c>
      <c r="J1024">
        <f>IFERROR(HLOOKUP(J$2,[33]table_male_hkom3_inj.U4!$A$1:$K$36,3,FALSE),0)</f>
        <v>0</v>
      </c>
      <c r="K1024">
        <f>IFERROR(HLOOKUP(K$2,[33]table_male_hkom3_inj.U4!$A$1:$K$36,3,FALSE),0)</f>
        <v>0</v>
      </c>
      <c r="L1024">
        <f>IFERROR(HLOOKUP(L$2,[33]table_male_hkom3_inj.U4!$A$1:$K$36,3,FALSE),0)</f>
        <v>0</v>
      </c>
      <c r="M1024">
        <f t="shared" ref="M1024:M1056" si="330">SUM(E1024:L1024)</f>
        <v>0</v>
      </c>
      <c r="S1024" t="s">
        <v>71</v>
      </c>
      <c r="T1024" s="5">
        <f t="shared" ref="T1024:T1055" si="331">IF(SUM(E$1023:E$1055)=0,E$1056/33,E1024+IFERROR(E1024/SUM(E$1023:E$1055)*E$1056,0))</f>
        <v>0</v>
      </c>
      <c r="U1024" s="5">
        <f t="shared" ref="U1024:U1055" si="332">IF(SUM(F$1023:F$1055)=0,F$1056/33,F1024+IFERROR(F1024/SUM(F$1023:F$1055)*F$1056,0))</f>
        <v>0</v>
      </c>
      <c r="V1024" s="5">
        <f t="shared" ref="V1024:V1055" si="333">IF(SUM(G$1023:G$1055)=0,G$1056/33,G1024+IFERROR(G1024/SUM(G$1023:G$1055)*G$1056,0))</f>
        <v>0</v>
      </c>
      <c r="W1024" s="5">
        <f t="shared" ref="W1024:W1055" si="334">IF(SUM(H$1023:H$1055)=0,H$1056/33,H1024+IFERROR(H1024/SUM(H$1023:H$1055)*H$1056,0))</f>
        <v>0</v>
      </c>
      <c r="X1024" s="5">
        <f t="shared" ref="X1024:X1055" si="335">IF(SUM(I$1023:I$1055)=0,I$1056/33,I1024+IFERROR(I1024/SUM(I$1023:I$1055)*I$1056,0))</f>
        <v>0</v>
      </c>
      <c r="Y1024" s="5">
        <f t="shared" ref="Y1024:Y1055" si="336">IF(SUM(J$1023:J$1055)=0,J$1056/33,J1024+IFERROR(J1024/SUM(J$1023:J$1055)*J$1056,0))</f>
        <v>0</v>
      </c>
      <c r="Z1024" s="5">
        <f t="shared" ref="Z1024:Z1055" si="337">IF(SUM(K$1023:K$1055)=0,K$1056/33,K1024+IFERROR(K1024/SUM(K$1023:K$1055)*K$1056,0))</f>
        <v>0</v>
      </c>
      <c r="AA1024" s="5">
        <f t="shared" ref="AA1024:AA1055" si="338">IF(SUM(L$1023:L$1055)=0,L$1056/33,L1024+IFERROR(L1024/SUM(L$1023:L$1055)*L$1056,0))</f>
        <v>0</v>
      </c>
      <c r="AB1024" s="5">
        <f t="shared" si="318"/>
        <v>0</v>
      </c>
    </row>
    <row r="1025" spans="4:28" x14ac:dyDescent="0.25">
      <c r="D1025" t="s">
        <v>72</v>
      </c>
      <c r="E1025" s="64"/>
      <c r="F1025" s="64"/>
      <c r="G1025">
        <f>IFERROR(HLOOKUP(G$2,[33]table_male_hkom3_inj.U4!$A$1:$K$36,4,FALSE),0)</f>
        <v>0</v>
      </c>
      <c r="H1025">
        <f>IFERROR(HLOOKUP(H$2,[33]table_male_hkom3_inj.U4!$A$1:$K$36,4,FALSE),0)</f>
        <v>0</v>
      </c>
      <c r="I1025">
        <f>IFERROR(HLOOKUP(I$2,[33]table_male_hkom3_inj.U4!$A$1:$K$36,4,FALSE),0)</f>
        <v>0</v>
      </c>
      <c r="J1025">
        <f>IFERROR(HLOOKUP(J$2,[33]table_male_hkom3_inj.U4!$A$1:$K$36,4,FALSE),0)</f>
        <v>0</v>
      </c>
      <c r="K1025">
        <f>IFERROR(HLOOKUP(K$2,[33]table_male_hkom3_inj.U4!$A$1:$K$36,4,FALSE),0)</f>
        <v>0</v>
      </c>
      <c r="L1025">
        <f>IFERROR(HLOOKUP(L$2,[33]table_male_hkom3_inj.U4!$A$1:$K$36,4,FALSE),0)</f>
        <v>0</v>
      </c>
      <c r="M1025">
        <f t="shared" si="330"/>
        <v>0</v>
      </c>
      <c r="S1025" t="s">
        <v>72</v>
      </c>
      <c r="T1025" s="5">
        <f t="shared" si="331"/>
        <v>0</v>
      </c>
      <c r="U1025" s="5">
        <f t="shared" si="332"/>
        <v>0</v>
      </c>
      <c r="V1025" s="5">
        <f t="shared" si="333"/>
        <v>0</v>
      </c>
      <c r="W1025" s="5">
        <f t="shared" si="334"/>
        <v>0</v>
      </c>
      <c r="X1025" s="5">
        <f t="shared" si="335"/>
        <v>0</v>
      </c>
      <c r="Y1025" s="5">
        <f t="shared" si="336"/>
        <v>0</v>
      </c>
      <c r="Z1025" s="5">
        <f t="shared" si="337"/>
        <v>0</v>
      </c>
      <c r="AA1025" s="5">
        <f t="shared" si="338"/>
        <v>0</v>
      </c>
      <c r="AB1025" s="5">
        <f t="shared" si="318"/>
        <v>0</v>
      </c>
    </row>
    <row r="1026" spans="4:28" x14ac:dyDescent="0.25">
      <c r="D1026" t="s">
        <v>73</v>
      </c>
      <c r="E1026" s="64"/>
      <c r="F1026" s="64"/>
      <c r="G1026">
        <f>IFERROR(HLOOKUP(G$2,[33]table_male_hkom3_inj.U4!$A$1:$K$36,5,FALSE),0)</f>
        <v>0</v>
      </c>
      <c r="H1026">
        <f>IFERROR(HLOOKUP(H$2,[33]table_male_hkom3_inj.U4!$A$1:$K$36,5,FALSE),0)</f>
        <v>0</v>
      </c>
      <c r="I1026">
        <f>IFERROR(HLOOKUP(I$2,[33]table_male_hkom3_inj.U4!$A$1:$K$36,5,FALSE),0)</f>
        <v>0</v>
      </c>
      <c r="J1026">
        <f>IFERROR(HLOOKUP(J$2,[33]table_male_hkom3_inj.U4!$A$1:$K$36,5,FALSE),0)</f>
        <v>0</v>
      </c>
      <c r="K1026">
        <f>IFERROR(HLOOKUP(K$2,[33]table_male_hkom3_inj.U4!$A$1:$K$36,5,FALSE),0)</f>
        <v>0</v>
      </c>
      <c r="L1026">
        <f>IFERROR(HLOOKUP(L$2,[33]table_male_hkom3_inj.U4!$A$1:$K$36,5,FALSE),0)</f>
        <v>0</v>
      </c>
      <c r="M1026">
        <f t="shared" si="330"/>
        <v>0</v>
      </c>
      <c r="S1026" t="s">
        <v>73</v>
      </c>
      <c r="T1026" s="5">
        <f t="shared" si="331"/>
        <v>0</v>
      </c>
      <c r="U1026" s="5">
        <f t="shared" si="332"/>
        <v>0</v>
      </c>
      <c r="V1026" s="5">
        <f t="shared" si="333"/>
        <v>0</v>
      </c>
      <c r="W1026" s="5">
        <f t="shared" si="334"/>
        <v>0</v>
      </c>
      <c r="X1026" s="5">
        <f t="shared" si="335"/>
        <v>0</v>
      </c>
      <c r="Y1026" s="5">
        <f t="shared" si="336"/>
        <v>0</v>
      </c>
      <c r="Z1026" s="5">
        <f t="shared" si="337"/>
        <v>0</v>
      </c>
      <c r="AA1026" s="5">
        <f t="shared" si="338"/>
        <v>0</v>
      </c>
      <c r="AB1026" s="5">
        <f t="shared" si="318"/>
        <v>0</v>
      </c>
    </row>
    <row r="1027" spans="4:28" x14ac:dyDescent="0.25">
      <c r="D1027" t="s">
        <v>74</v>
      </c>
      <c r="E1027" s="64"/>
      <c r="F1027" s="64"/>
      <c r="G1027">
        <f>IFERROR(HLOOKUP(G$2,[33]table_male_hkom3_inj.U4!$A$1:$K$36,6,FALSE),0)</f>
        <v>0</v>
      </c>
      <c r="H1027">
        <f>IFERROR(HLOOKUP(H$2,[33]table_male_hkom3_inj.U4!$A$1:$K$36,6,FALSE),0)</f>
        <v>0</v>
      </c>
      <c r="I1027">
        <f>IFERROR(HLOOKUP(I$2,[33]table_male_hkom3_inj.U4!$A$1:$K$36,6,FALSE),0)</f>
        <v>0</v>
      </c>
      <c r="J1027">
        <f>IFERROR(HLOOKUP(J$2,[33]table_male_hkom3_inj.U4!$A$1:$K$36,6,FALSE),0)</f>
        <v>0</v>
      </c>
      <c r="K1027">
        <f>IFERROR(HLOOKUP(K$2,[33]table_male_hkom3_inj.U4!$A$1:$K$36,6,FALSE),0)</f>
        <v>0</v>
      </c>
      <c r="L1027">
        <f>IFERROR(HLOOKUP(L$2,[33]table_male_hkom3_inj.U4!$A$1:$K$36,6,FALSE),0)</f>
        <v>0</v>
      </c>
      <c r="M1027">
        <f t="shared" si="330"/>
        <v>0</v>
      </c>
      <c r="S1027" t="s">
        <v>74</v>
      </c>
      <c r="T1027" s="5">
        <f t="shared" si="331"/>
        <v>0</v>
      </c>
      <c r="U1027" s="5">
        <f t="shared" si="332"/>
        <v>0</v>
      </c>
      <c r="V1027" s="5">
        <f t="shared" si="333"/>
        <v>0</v>
      </c>
      <c r="W1027" s="5">
        <f t="shared" si="334"/>
        <v>0</v>
      </c>
      <c r="X1027" s="5">
        <f t="shared" si="335"/>
        <v>0</v>
      </c>
      <c r="Y1027" s="5">
        <f t="shared" si="336"/>
        <v>0</v>
      </c>
      <c r="Z1027" s="5">
        <f t="shared" si="337"/>
        <v>0</v>
      </c>
      <c r="AA1027" s="5">
        <f t="shared" si="338"/>
        <v>0</v>
      </c>
      <c r="AB1027" s="5">
        <f t="shared" si="318"/>
        <v>0</v>
      </c>
    </row>
    <row r="1028" spans="4:28" x14ac:dyDescent="0.25">
      <c r="D1028" t="s">
        <v>75</v>
      </c>
      <c r="E1028" s="64"/>
      <c r="F1028" s="64"/>
      <c r="G1028">
        <f>IFERROR(HLOOKUP(G$2,[33]table_male_hkom3_inj.U4!$A$1:$K$36,7,FALSE),0)</f>
        <v>0</v>
      </c>
      <c r="H1028">
        <f>IFERROR(HLOOKUP(H$2,[33]table_male_hkom3_inj.U4!$A$1:$K$36,7,FALSE),0)</f>
        <v>0</v>
      </c>
      <c r="I1028">
        <f>IFERROR(HLOOKUP(I$2,[33]table_male_hkom3_inj.U4!$A$1:$K$36,7,FALSE),0)</f>
        <v>0</v>
      </c>
      <c r="J1028">
        <f>IFERROR(HLOOKUP(J$2,[33]table_male_hkom3_inj.U4!$A$1:$K$36,7,FALSE),0)</f>
        <v>0</v>
      </c>
      <c r="K1028">
        <f>IFERROR(HLOOKUP(K$2,[33]table_male_hkom3_inj.U4!$A$1:$K$36,7,FALSE),0)</f>
        <v>0</v>
      </c>
      <c r="L1028">
        <f>IFERROR(HLOOKUP(L$2,[33]table_male_hkom3_inj.U4!$A$1:$K$36,7,FALSE),0)</f>
        <v>0</v>
      </c>
      <c r="M1028">
        <f t="shared" si="330"/>
        <v>0</v>
      </c>
      <c r="S1028" t="s">
        <v>75</v>
      </c>
      <c r="T1028" s="5">
        <f t="shared" si="331"/>
        <v>0</v>
      </c>
      <c r="U1028" s="5">
        <f t="shared" si="332"/>
        <v>0</v>
      </c>
      <c r="V1028" s="5">
        <f t="shared" si="333"/>
        <v>0</v>
      </c>
      <c r="W1028" s="5">
        <f t="shared" si="334"/>
        <v>0</v>
      </c>
      <c r="X1028" s="5">
        <f t="shared" si="335"/>
        <v>0</v>
      </c>
      <c r="Y1028" s="5">
        <f t="shared" si="336"/>
        <v>0</v>
      </c>
      <c r="Z1028" s="5">
        <f t="shared" si="337"/>
        <v>0</v>
      </c>
      <c r="AA1028" s="5">
        <f t="shared" si="338"/>
        <v>0</v>
      </c>
      <c r="AB1028" s="5">
        <f t="shared" si="318"/>
        <v>0</v>
      </c>
    </row>
    <row r="1029" spans="4:28" x14ac:dyDescent="0.25">
      <c r="D1029" t="s">
        <v>76</v>
      </c>
      <c r="E1029" s="64"/>
      <c r="F1029" s="64"/>
      <c r="G1029">
        <f>IFERROR(HLOOKUP(G$2,[33]table_male_hkom3_inj.U4!$A$1:$K$36,8,FALSE),0)</f>
        <v>0</v>
      </c>
      <c r="H1029">
        <f>IFERROR(HLOOKUP(H$2,[33]table_male_hkom3_inj.U4!$A$1:$K$36,8,FALSE),0)</f>
        <v>0</v>
      </c>
      <c r="I1029">
        <f>IFERROR(HLOOKUP(I$2,[33]table_male_hkom3_inj.U4!$A$1:$K$36,8,FALSE),0)</f>
        <v>0</v>
      </c>
      <c r="J1029">
        <f>IFERROR(HLOOKUP(J$2,[33]table_male_hkom3_inj.U4!$A$1:$K$36,8,FALSE),0)</f>
        <v>0</v>
      </c>
      <c r="K1029">
        <f>IFERROR(HLOOKUP(K$2,[33]table_male_hkom3_inj.U4!$A$1:$K$36,8,FALSE),0)</f>
        <v>0</v>
      </c>
      <c r="L1029">
        <f>IFERROR(HLOOKUP(L$2,[33]table_male_hkom3_inj.U4!$A$1:$K$36,8,FALSE),0)</f>
        <v>0</v>
      </c>
      <c r="M1029">
        <f t="shared" si="330"/>
        <v>0</v>
      </c>
      <c r="S1029" t="s">
        <v>76</v>
      </c>
      <c r="T1029" s="5">
        <f t="shared" si="331"/>
        <v>0</v>
      </c>
      <c r="U1029" s="5">
        <f t="shared" si="332"/>
        <v>0</v>
      </c>
      <c r="V1029" s="5">
        <f t="shared" si="333"/>
        <v>0</v>
      </c>
      <c r="W1029" s="5">
        <f t="shared" si="334"/>
        <v>0</v>
      </c>
      <c r="X1029" s="5">
        <f t="shared" si="335"/>
        <v>0</v>
      </c>
      <c r="Y1029" s="5">
        <f t="shared" si="336"/>
        <v>0</v>
      </c>
      <c r="Z1029" s="5">
        <f t="shared" si="337"/>
        <v>0</v>
      </c>
      <c r="AA1029" s="5">
        <f t="shared" si="338"/>
        <v>0</v>
      </c>
      <c r="AB1029" s="5">
        <f t="shared" si="318"/>
        <v>0</v>
      </c>
    </row>
    <row r="1030" spans="4:28" x14ac:dyDescent="0.25">
      <c r="D1030" t="s">
        <v>77</v>
      </c>
      <c r="E1030" s="64"/>
      <c r="F1030" s="64"/>
      <c r="G1030">
        <f>IFERROR(HLOOKUP(G$2,[33]table_male_hkom3_inj.U4!$A$1:$K$36,9,FALSE),0)</f>
        <v>0</v>
      </c>
      <c r="H1030">
        <f>IFERROR(HLOOKUP(H$2,[33]table_male_hkom3_inj.U4!$A$1:$K$36,9,FALSE),0)</f>
        <v>0</v>
      </c>
      <c r="I1030">
        <f>IFERROR(HLOOKUP(I$2,[33]table_male_hkom3_inj.U4!$A$1:$K$36,9,FALSE),0)</f>
        <v>0</v>
      </c>
      <c r="J1030">
        <f>IFERROR(HLOOKUP(J$2,[33]table_male_hkom3_inj.U4!$A$1:$K$36,9,FALSE),0)</f>
        <v>0</v>
      </c>
      <c r="K1030">
        <f>IFERROR(HLOOKUP(K$2,[33]table_male_hkom3_inj.U4!$A$1:$K$36,9,FALSE),0)</f>
        <v>0</v>
      </c>
      <c r="L1030">
        <f>IFERROR(HLOOKUP(L$2,[33]table_male_hkom3_inj.U4!$A$1:$K$36,9,FALSE),0)</f>
        <v>0</v>
      </c>
      <c r="M1030">
        <f t="shared" si="330"/>
        <v>0</v>
      </c>
      <c r="S1030" t="s">
        <v>77</v>
      </c>
      <c r="T1030" s="5">
        <f t="shared" si="331"/>
        <v>0</v>
      </c>
      <c r="U1030" s="5">
        <f t="shared" si="332"/>
        <v>0</v>
      </c>
      <c r="V1030" s="5">
        <f t="shared" si="333"/>
        <v>0</v>
      </c>
      <c r="W1030" s="5">
        <f t="shared" si="334"/>
        <v>0</v>
      </c>
      <c r="X1030" s="5">
        <f t="shared" si="335"/>
        <v>0</v>
      </c>
      <c r="Y1030" s="5">
        <f t="shared" si="336"/>
        <v>0</v>
      </c>
      <c r="Z1030" s="5">
        <f t="shared" si="337"/>
        <v>0</v>
      </c>
      <c r="AA1030" s="5">
        <f t="shared" si="338"/>
        <v>0</v>
      </c>
      <c r="AB1030" s="5">
        <f t="shared" si="318"/>
        <v>0</v>
      </c>
    </row>
    <row r="1031" spans="4:28" x14ac:dyDescent="0.25">
      <c r="D1031" t="s">
        <v>78</v>
      </c>
      <c r="E1031" s="64"/>
      <c r="F1031" s="64"/>
      <c r="G1031">
        <f>IFERROR(HLOOKUP(G$2,[33]table_male_hkom3_inj.U4!$A$1:$K$36,10,FALSE),0)</f>
        <v>0</v>
      </c>
      <c r="H1031">
        <f>IFERROR(HLOOKUP(H$2,[33]table_male_hkom3_inj.U4!$A$1:$K$36,10,FALSE),0)</f>
        <v>0</v>
      </c>
      <c r="I1031">
        <f>IFERROR(HLOOKUP(I$2,[33]table_male_hkom3_inj.U4!$A$1:$K$36,10,FALSE),0)</f>
        <v>0</v>
      </c>
      <c r="J1031">
        <f>IFERROR(HLOOKUP(J$2,[33]table_male_hkom3_inj.U4!$A$1:$K$36,10,FALSE),0)</f>
        <v>0</v>
      </c>
      <c r="K1031">
        <f>IFERROR(HLOOKUP(K$2,[33]table_male_hkom3_inj.U4!$A$1:$K$36,10,FALSE),0)</f>
        <v>0</v>
      </c>
      <c r="L1031">
        <f>IFERROR(HLOOKUP(L$2,[33]table_male_hkom3_inj.U4!$A$1:$K$36,10,FALSE),0)</f>
        <v>0</v>
      </c>
      <c r="M1031">
        <f t="shared" si="330"/>
        <v>0</v>
      </c>
      <c r="S1031" t="s">
        <v>78</v>
      </c>
      <c r="T1031" s="5">
        <f t="shared" si="331"/>
        <v>0</v>
      </c>
      <c r="U1031" s="5">
        <f t="shared" si="332"/>
        <v>0</v>
      </c>
      <c r="V1031" s="5">
        <f t="shared" si="333"/>
        <v>0</v>
      </c>
      <c r="W1031" s="5">
        <f t="shared" si="334"/>
        <v>0</v>
      </c>
      <c r="X1031" s="5">
        <f t="shared" si="335"/>
        <v>0</v>
      </c>
      <c r="Y1031" s="5">
        <f t="shared" si="336"/>
        <v>0</v>
      </c>
      <c r="Z1031" s="5">
        <f t="shared" si="337"/>
        <v>0</v>
      </c>
      <c r="AA1031" s="5">
        <f t="shared" si="338"/>
        <v>0</v>
      </c>
      <c r="AB1031" s="5">
        <f t="shared" si="318"/>
        <v>0</v>
      </c>
    </row>
    <row r="1032" spans="4:28" x14ac:dyDescent="0.25">
      <c r="D1032" t="s">
        <v>79</v>
      </c>
      <c r="E1032" s="64"/>
      <c r="F1032" s="64"/>
      <c r="G1032">
        <f>IFERROR(HLOOKUP(G$2,[33]table_male_hkom3_inj.U4!$A$1:$K$36,11,FALSE),0)</f>
        <v>0</v>
      </c>
      <c r="H1032">
        <f>IFERROR(HLOOKUP(H$2,[33]table_male_hkom3_inj.U4!$A$1:$K$36,11,FALSE),0)</f>
        <v>0</v>
      </c>
      <c r="I1032">
        <f>IFERROR(HLOOKUP(I$2,[33]table_male_hkom3_inj.U4!$A$1:$K$36,11,FALSE),0)</f>
        <v>0</v>
      </c>
      <c r="J1032">
        <f>IFERROR(HLOOKUP(J$2,[33]table_male_hkom3_inj.U4!$A$1:$K$36,11,FALSE),0)</f>
        <v>0</v>
      </c>
      <c r="K1032">
        <f>IFERROR(HLOOKUP(K$2,[33]table_male_hkom3_inj.U4!$A$1:$K$36,11,FALSE),0)</f>
        <v>0</v>
      </c>
      <c r="L1032">
        <f>IFERROR(HLOOKUP(L$2,[33]table_male_hkom3_inj.U4!$A$1:$K$36,11,FALSE),0)</f>
        <v>0</v>
      </c>
      <c r="M1032">
        <f t="shared" si="330"/>
        <v>0</v>
      </c>
      <c r="S1032" t="s">
        <v>79</v>
      </c>
      <c r="T1032" s="5">
        <f t="shared" si="331"/>
        <v>0</v>
      </c>
      <c r="U1032" s="5">
        <f t="shared" si="332"/>
        <v>0</v>
      </c>
      <c r="V1032" s="5">
        <f t="shared" si="333"/>
        <v>0</v>
      </c>
      <c r="W1032" s="5">
        <f t="shared" si="334"/>
        <v>0</v>
      </c>
      <c r="X1032" s="5">
        <f t="shared" si="335"/>
        <v>0</v>
      </c>
      <c r="Y1032" s="5">
        <f t="shared" si="336"/>
        <v>0</v>
      </c>
      <c r="Z1032" s="5">
        <f t="shared" si="337"/>
        <v>0</v>
      </c>
      <c r="AA1032" s="5">
        <f t="shared" si="338"/>
        <v>0</v>
      </c>
      <c r="AB1032" s="5">
        <f t="shared" si="318"/>
        <v>0</v>
      </c>
    </row>
    <row r="1033" spans="4:28" x14ac:dyDescent="0.25">
      <c r="D1033" t="s">
        <v>80</v>
      </c>
      <c r="E1033" s="64"/>
      <c r="F1033" s="64"/>
      <c r="G1033">
        <f>IFERROR(HLOOKUP(G$2,[33]table_male_hkom3_inj.U4!$A$1:$K$36,12,FALSE),0)</f>
        <v>0</v>
      </c>
      <c r="H1033">
        <f>IFERROR(HLOOKUP(H$2,[33]table_male_hkom3_inj.U4!$A$1:$K$36,12,FALSE),0)</f>
        <v>0</v>
      </c>
      <c r="I1033">
        <f>IFERROR(HLOOKUP(I$2,[33]table_male_hkom3_inj.U4!$A$1:$K$36,12,FALSE),0)</f>
        <v>0</v>
      </c>
      <c r="J1033">
        <f>IFERROR(HLOOKUP(J$2,[33]table_male_hkom3_inj.U4!$A$1:$K$36,12,FALSE),0)</f>
        <v>0</v>
      </c>
      <c r="K1033">
        <f>IFERROR(HLOOKUP(K$2,[33]table_male_hkom3_inj.U4!$A$1:$K$36,12,FALSE),0)</f>
        <v>0</v>
      </c>
      <c r="L1033">
        <f>IFERROR(HLOOKUP(L$2,[33]table_male_hkom3_inj.U4!$A$1:$K$36,12,FALSE),0)</f>
        <v>0</v>
      </c>
      <c r="M1033">
        <f t="shared" si="330"/>
        <v>0</v>
      </c>
      <c r="S1033" t="s">
        <v>80</v>
      </c>
      <c r="T1033" s="5">
        <f t="shared" si="331"/>
        <v>0</v>
      </c>
      <c r="U1033" s="5">
        <f t="shared" si="332"/>
        <v>0</v>
      </c>
      <c r="V1033" s="5">
        <f t="shared" si="333"/>
        <v>0</v>
      </c>
      <c r="W1033" s="5">
        <f t="shared" si="334"/>
        <v>0</v>
      </c>
      <c r="X1033" s="5">
        <f t="shared" si="335"/>
        <v>0</v>
      </c>
      <c r="Y1033" s="5">
        <f t="shared" si="336"/>
        <v>0</v>
      </c>
      <c r="Z1033" s="5">
        <f t="shared" si="337"/>
        <v>0</v>
      </c>
      <c r="AA1033" s="5">
        <f t="shared" si="338"/>
        <v>0</v>
      </c>
      <c r="AB1033" s="5">
        <f t="shared" si="318"/>
        <v>0</v>
      </c>
    </row>
    <row r="1034" spans="4:28" x14ac:dyDescent="0.25">
      <c r="D1034" t="s">
        <v>81</v>
      </c>
      <c r="E1034" s="64"/>
      <c r="F1034" s="64"/>
      <c r="G1034">
        <f>IFERROR(HLOOKUP(G$2,[33]table_male_hkom3_inj.U4!$A$1:$K$36,13,FALSE),0)</f>
        <v>0</v>
      </c>
      <c r="H1034">
        <f>IFERROR(HLOOKUP(H$2,[33]table_male_hkom3_inj.U4!$A$1:$K$36,13,FALSE),0)</f>
        <v>0</v>
      </c>
      <c r="I1034">
        <f>IFERROR(HLOOKUP(I$2,[33]table_male_hkom3_inj.U4!$A$1:$K$36,13,FALSE),0)</f>
        <v>0</v>
      </c>
      <c r="J1034">
        <f>IFERROR(HLOOKUP(J$2,[33]table_male_hkom3_inj.U4!$A$1:$K$36,13,FALSE),0)</f>
        <v>0</v>
      </c>
      <c r="K1034">
        <f>IFERROR(HLOOKUP(K$2,[33]table_male_hkom3_inj.U4!$A$1:$K$36,13,FALSE),0)</f>
        <v>0</v>
      </c>
      <c r="L1034">
        <f>IFERROR(HLOOKUP(L$2,[33]table_male_hkom3_inj.U4!$A$1:$K$36,13,FALSE),0)</f>
        <v>0</v>
      </c>
      <c r="M1034">
        <f t="shared" si="330"/>
        <v>0</v>
      </c>
      <c r="S1034" t="s">
        <v>81</v>
      </c>
      <c r="T1034" s="5">
        <f t="shared" si="331"/>
        <v>0</v>
      </c>
      <c r="U1034" s="5">
        <f t="shared" si="332"/>
        <v>0</v>
      </c>
      <c r="V1034" s="5">
        <f t="shared" si="333"/>
        <v>0</v>
      </c>
      <c r="W1034" s="5">
        <f t="shared" si="334"/>
        <v>0</v>
      </c>
      <c r="X1034" s="5">
        <f t="shared" si="335"/>
        <v>0</v>
      </c>
      <c r="Y1034" s="5">
        <f t="shared" si="336"/>
        <v>0</v>
      </c>
      <c r="Z1034" s="5">
        <f t="shared" si="337"/>
        <v>0</v>
      </c>
      <c r="AA1034" s="5">
        <f t="shared" si="338"/>
        <v>0</v>
      </c>
      <c r="AB1034" s="5">
        <f t="shared" si="318"/>
        <v>0</v>
      </c>
    </row>
    <row r="1035" spans="4:28" x14ac:dyDescent="0.25">
      <c r="D1035" t="s">
        <v>82</v>
      </c>
      <c r="E1035" s="64"/>
      <c r="F1035" s="64"/>
      <c r="G1035">
        <f>IFERROR(HLOOKUP(G$2,[33]table_male_hkom3_inj.U4!$A$1:$K$36,14,FALSE),0)</f>
        <v>0</v>
      </c>
      <c r="H1035">
        <f>IFERROR(HLOOKUP(H$2,[33]table_male_hkom3_inj.U4!$A$1:$K$36,14,FALSE),0)</f>
        <v>0</v>
      </c>
      <c r="I1035">
        <f>IFERROR(HLOOKUP(I$2,[33]table_male_hkom3_inj.U4!$A$1:$K$36,14,FALSE),0)</f>
        <v>0</v>
      </c>
      <c r="J1035">
        <f>IFERROR(HLOOKUP(J$2,[33]table_male_hkom3_inj.U4!$A$1:$K$36,14,FALSE),0)</f>
        <v>0</v>
      </c>
      <c r="K1035">
        <f>IFERROR(HLOOKUP(K$2,[33]table_male_hkom3_inj.U4!$A$1:$K$36,14,FALSE),0)</f>
        <v>0</v>
      </c>
      <c r="L1035">
        <f>IFERROR(HLOOKUP(L$2,[33]table_male_hkom3_inj.U4!$A$1:$K$36,14,FALSE),0)</f>
        <v>0</v>
      </c>
      <c r="M1035">
        <f t="shared" si="330"/>
        <v>0</v>
      </c>
      <c r="S1035" t="s">
        <v>82</v>
      </c>
      <c r="T1035" s="5">
        <f t="shared" si="331"/>
        <v>0</v>
      </c>
      <c r="U1035" s="5">
        <f t="shared" si="332"/>
        <v>0</v>
      </c>
      <c r="V1035" s="5">
        <f t="shared" si="333"/>
        <v>0</v>
      </c>
      <c r="W1035" s="5">
        <f t="shared" si="334"/>
        <v>0</v>
      </c>
      <c r="X1035" s="5">
        <f t="shared" si="335"/>
        <v>0</v>
      </c>
      <c r="Y1035" s="5">
        <f t="shared" si="336"/>
        <v>0</v>
      </c>
      <c r="Z1035" s="5">
        <f t="shared" si="337"/>
        <v>0</v>
      </c>
      <c r="AA1035" s="5">
        <f t="shared" si="338"/>
        <v>0</v>
      </c>
      <c r="AB1035" s="5">
        <f t="shared" si="318"/>
        <v>0</v>
      </c>
    </row>
    <row r="1036" spans="4:28" x14ac:dyDescent="0.25">
      <c r="D1036" t="s">
        <v>83</v>
      </c>
      <c r="E1036" s="64"/>
      <c r="F1036" s="64"/>
      <c r="G1036">
        <f>IFERROR(HLOOKUP(G$2,[33]table_male_hkom3_inj.U4!$A$1:$K$36,15,FALSE),0)</f>
        <v>0</v>
      </c>
      <c r="H1036">
        <f>IFERROR(HLOOKUP(H$2,[33]table_male_hkom3_inj.U4!$A$1:$K$36,15,FALSE),0)</f>
        <v>0</v>
      </c>
      <c r="I1036">
        <f>IFERROR(HLOOKUP(I$2,[33]table_male_hkom3_inj.U4!$A$1:$K$36,15,FALSE),0)</f>
        <v>0</v>
      </c>
      <c r="J1036">
        <f>IFERROR(HLOOKUP(J$2,[33]table_male_hkom3_inj.U4!$A$1:$K$36,15,FALSE),0)</f>
        <v>0</v>
      </c>
      <c r="K1036">
        <f>IFERROR(HLOOKUP(K$2,[33]table_male_hkom3_inj.U4!$A$1:$K$36,15,FALSE),0)</f>
        <v>0</v>
      </c>
      <c r="L1036">
        <f>IFERROR(HLOOKUP(L$2,[33]table_male_hkom3_inj.U4!$A$1:$K$36,15,FALSE),0)</f>
        <v>0</v>
      </c>
      <c r="M1036">
        <f t="shared" si="330"/>
        <v>0</v>
      </c>
      <c r="S1036" t="s">
        <v>83</v>
      </c>
      <c r="T1036" s="5">
        <f t="shared" si="331"/>
        <v>0</v>
      </c>
      <c r="U1036" s="5">
        <f t="shared" si="332"/>
        <v>0</v>
      </c>
      <c r="V1036" s="5">
        <f t="shared" si="333"/>
        <v>0</v>
      </c>
      <c r="W1036" s="5">
        <f t="shared" si="334"/>
        <v>0</v>
      </c>
      <c r="X1036" s="5">
        <f t="shared" si="335"/>
        <v>0</v>
      </c>
      <c r="Y1036" s="5">
        <f t="shared" si="336"/>
        <v>0</v>
      </c>
      <c r="Z1036" s="5">
        <f t="shared" si="337"/>
        <v>0</v>
      </c>
      <c r="AA1036" s="5">
        <f t="shared" si="338"/>
        <v>0</v>
      </c>
      <c r="AB1036" s="5">
        <f t="shared" si="318"/>
        <v>0</v>
      </c>
    </row>
    <row r="1037" spans="4:28" x14ac:dyDescent="0.25">
      <c r="D1037" t="s">
        <v>84</v>
      </c>
      <c r="E1037" s="64"/>
      <c r="F1037" s="64"/>
      <c r="G1037">
        <f>IFERROR(HLOOKUP(G$2,[33]table_male_hkom3_inj.U4!$A$1:$K$36,16,FALSE),0)</f>
        <v>0</v>
      </c>
      <c r="H1037">
        <f>IFERROR(HLOOKUP(H$2,[33]table_male_hkom3_inj.U4!$A$1:$K$36,16,FALSE),0)</f>
        <v>0</v>
      </c>
      <c r="I1037">
        <f>IFERROR(HLOOKUP(I$2,[33]table_male_hkom3_inj.U4!$A$1:$K$36,16,FALSE),0)</f>
        <v>0</v>
      </c>
      <c r="J1037">
        <f>IFERROR(HLOOKUP(J$2,[33]table_male_hkom3_inj.U4!$A$1:$K$36,16,FALSE),0)</f>
        <v>0</v>
      </c>
      <c r="K1037">
        <f>IFERROR(HLOOKUP(K$2,[33]table_male_hkom3_inj.U4!$A$1:$K$36,16,FALSE),0)</f>
        <v>0</v>
      </c>
      <c r="L1037">
        <f>IFERROR(HLOOKUP(L$2,[33]table_male_hkom3_inj.U4!$A$1:$K$36,16,FALSE),0)</f>
        <v>0</v>
      </c>
      <c r="M1037">
        <f t="shared" si="330"/>
        <v>0</v>
      </c>
      <c r="S1037" t="s">
        <v>84</v>
      </c>
      <c r="T1037" s="5">
        <f t="shared" si="331"/>
        <v>0</v>
      </c>
      <c r="U1037" s="5">
        <f t="shared" si="332"/>
        <v>0</v>
      </c>
      <c r="V1037" s="5">
        <f t="shared" si="333"/>
        <v>0</v>
      </c>
      <c r="W1037" s="5">
        <f t="shared" si="334"/>
        <v>0</v>
      </c>
      <c r="X1037" s="5">
        <f t="shared" si="335"/>
        <v>0</v>
      </c>
      <c r="Y1037" s="5">
        <f t="shared" si="336"/>
        <v>0</v>
      </c>
      <c r="Z1037" s="5">
        <f t="shared" si="337"/>
        <v>0</v>
      </c>
      <c r="AA1037" s="5">
        <f t="shared" si="338"/>
        <v>0</v>
      </c>
      <c r="AB1037" s="5">
        <f t="shared" si="318"/>
        <v>0</v>
      </c>
    </row>
    <row r="1038" spans="4:28" x14ac:dyDescent="0.25">
      <c r="D1038" t="s">
        <v>85</v>
      </c>
      <c r="E1038" s="64"/>
      <c r="F1038" s="64"/>
      <c r="G1038">
        <f>IFERROR(HLOOKUP(G$2,[33]table_male_hkom3_inj.U4!$A$1:$K$36,17,FALSE),0)</f>
        <v>0</v>
      </c>
      <c r="H1038">
        <f>IFERROR(HLOOKUP(H$2,[33]table_male_hkom3_inj.U4!$A$1:$K$36,17,FALSE),0)</f>
        <v>0</v>
      </c>
      <c r="I1038">
        <f>IFERROR(HLOOKUP(I$2,[33]table_male_hkom3_inj.U4!$A$1:$K$36,17,FALSE),0)</f>
        <v>0</v>
      </c>
      <c r="J1038">
        <f>IFERROR(HLOOKUP(J$2,[33]table_male_hkom3_inj.U4!$A$1:$K$36,17,FALSE),0)</f>
        <v>0</v>
      </c>
      <c r="K1038">
        <f>IFERROR(HLOOKUP(K$2,[33]table_male_hkom3_inj.U4!$A$1:$K$36,17,FALSE),0)</f>
        <v>0</v>
      </c>
      <c r="L1038">
        <f>IFERROR(HLOOKUP(L$2,[33]table_male_hkom3_inj.U4!$A$1:$K$36,17,FALSE),0)</f>
        <v>0</v>
      </c>
      <c r="M1038">
        <f t="shared" si="330"/>
        <v>0</v>
      </c>
      <c r="S1038" t="s">
        <v>85</v>
      </c>
      <c r="T1038" s="5">
        <f t="shared" si="331"/>
        <v>0</v>
      </c>
      <c r="U1038" s="5">
        <f t="shared" si="332"/>
        <v>0</v>
      </c>
      <c r="V1038" s="5">
        <f t="shared" si="333"/>
        <v>0</v>
      </c>
      <c r="W1038" s="5">
        <f t="shared" si="334"/>
        <v>0</v>
      </c>
      <c r="X1038" s="5">
        <f t="shared" si="335"/>
        <v>0</v>
      </c>
      <c r="Y1038" s="5">
        <f t="shared" si="336"/>
        <v>0</v>
      </c>
      <c r="Z1038" s="5">
        <f t="shared" si="337"/>
        <v>0</v>
      </c>
      <c r="AA1038" s="5">
        <f t="shared" si="338"/>
        <v>0</v>
      </c>
      <c r="AB1038" s="5">
        <f t="shared" si="318"/>
        <v>0</v>
      </c>
    </row>
    <row r="1039" spans="4:28" x14ac:dyDescent="0.25">
      <c r="D1039" t="s">
        <v>86</v>
      </c>
      <c r="E1039" s="64"/>
      <c r="F1039" s="64"/>
      <c r="G1039">
        <f>IFERROR(HLOOKUP(G$2,[33]table_male_hkom3_inj.U4!$A$1:$K$36,18,FALSE),0)</f>
        <v>0</v>
      </c>
      <c r="H1039">
        <f>IFERROR(HLOOKUP(H$2,[33]table_male_hkom3_inj.U4!$A$1:$K$36,18,FALSE),0)</f>
        <v>0</v>
      </c>
      <c r="I1039">
        <f>IFERROR(HLOOKUP(I$2,[33]table_male_hkom3_inj.U4!$A$1:$K$36,18,FALSE),0)</f>
        <v>0</v>
      </c>
      <c r="J1039">
        <f>IFERROR(HLOOKUP(J$2,[33]table_male_hkom3_inj.U4!$A$1:$K$36,18,FALSE),0)</f>
        <v>0</v>
      </c>
      <c r="K1039">
        <f>IFERROR(HLOOKUP(K$2,[33]table_male_hkom3_inj.U4!$A$1:$K$36,18,FALSE),0)</f>
        <v>0</v>
      </c>
      <c r="L1039">
        <f>IFERROR(HLOOKUP(L$2,[33]table_male_hkom3_inj.U4!$A$1:$K$36,18,FALSE),0)</f>
        <v>0</v>
      </c>
      <c r="M1039">
        <f t="shared" si="330"/>
        <v>0</v>
      </c>
      <c r="S1039" t="s">
        <v>86</v>
      </c>
      <c r="T1039" s="5">
        <f t="shared" si="331"/>
        <v>0</v>
      </c>
      <c r="U1039" s="5">
        <f t="shared" si="332"/>
        <v>0</v>
      </c>
      <c r="V1039" s="5">
        <f t="shared" si="333"/>
        <v>0</v>
      </c>
      <c r="W1039" s="5">
        <f t="shared" si="334"/>
        <v>0</v>
      </c>
      <c r="X1039" s="5">
        <f t="shared" si="335"/>
        <v>0</v>
      </c>
      <c r="Y1039" s="5">
        <f t="shared" si="336"/>
        <v>0</v>
      </c>
      <c r="Z1039" s="5">
        <f t="shared" si="337"/>
        <v>0</v>
      </c>
      <c r="AA1039" s="5">
        <f t="shared" si="338"/>
        <v>0</v>
      </c>
      <c r="AB1039" s="5">
        <f t="shared" si="318"/>
        <v>0</v>
      </c>
    </row>
    <row r="1040" spans="4:28" x14ac:dyDescent="0.25">
      <c r="D1040" t="s">
        <v>87</v>
      </c>
      <c r="E1040" s="64"/>
      <c r="F1040" s="64"/>
      <c r="G1040">
        <f>IFERROR(HLOOKUP(G$2,[33]table_male_hkom3_inj.U4!$A$1:$K$36,19,FALSE),0)</f>
        <v>0</v>
      </c>
      <c r="H1040">
        <f>IFERROR(HLOOKUP(H$2,[33]table_male_hkom3_inj.U4!$A$1:$K$36,19,FALSE),0)</f>
        <v>0</v>
      </c>
      <c r="I1040">
        <f>IFERROR(HLOOKUP(I$2,[33]table_male_hkom3_inj.U4!$A$1:$K$36,19,FALSE),0)</f>
        <v>0</v>
      </c>
      <c r="J1040">
        <f>IFERROR(HLOOKUP(J$2,[33]table_male_hkom3_inj.U4!$A$1:$K$36,19,FALSE),0)</f>
        <v>0</v>
      </c>
      <c r="K1040">
        <f>IFERROR(HLOOKUP(K$2,[33]table_male_hkom3_inj.U4!$A$1:$K$36,19,FALSE),0)</f>
        <v>0</v>
      </c>
      <c r="L1040">
        <f>IFERROR(HLOOKUP(L$2,[33]table_male_hkom3_inj.U4!$A$1:$K$36,19,FALSE),0)</f>
        <v>0</v>
      </c>
      <c r="M1040">
        <f t="shared" si="330"/>
        <v>0</v>
      </c>
      <c r="S1040" t="s">
        <v>87</v>
      </c>
      <c r="T1040" s="5">
        <f t="shared" si="331"/>
        <v>0</v>
      </c>
      <c r="U1040" s="5">
        <f t="shared" si="332"/>
        <v>0</v>
      </c>
      <c r="V1040" s="5">
        <f t="shared" si="333"/>
        <v>0</v>
      </c>
      <c r="W1040" s="5">
        <f t="shared" si="334"/>
        <v>0</v>
      </c>
      <c r="X1040" s="5">
        <f t="shared" si="335"/>
        <v>0</v>
      </c>
      <c r="Y1040" s="5">
        <f t="shared" si="336"/>
        <v>0</v>
      </c>
      <c r="Z1040" s="5">
        <f t="shared" si="337"/>
        <v>0</v>
      </c>
      <c r="AA1040" s="5">
        <f t="shared" si="338"/>
        <v>0</v>
      </c>
      <c r="AB1040" s="5">
        <f t="shared" si="318"/>
        <v>0</v>
      </c>
    </row>
    <row r="1041" spans="4:29" x14ac:dyDescent="0.25">
      <c r="D1041" t="s">
        <v>88</v>
      </c>
      <c r="E1041" s="64"/>
      <c r="F1041" s="64"/>
      <c r="G1041">
        <f>IFERROR(HLOOKUP(G$2,[33]table_male_hkom3_inj.U4!$A$1:$K$36,20,FALSE),0)</f>
        <v>0</v>
      </c>
      <c r="H1041">
        <f>IFERROR(HLOOKUP(H$2,[33]table_male_hkom3_inj.U4!$A$1:$K$36,20,FALSE),0)</f>
        <v>1</v>
      </c>
      <c r="I1041">
        <f>IFERROR(HLOOKUP(I$2,[33]table_male_hkom3_inj.U4!$A$1:$K$36,20,FALSE),0)</f>
        <v>0</v>
      </c>
      <c r="J1041">
        <f>IFERROR(HLOOKUP(J$2,[33]table_male_hkom3_inj.U4!$A$1:$K$36,20,FALSE),0)</f>
        <v>0</v>
      </c>
      <c r="K1041">
        <f>IFERROR(HLOOKUP(K$2,[33]table_male_hkom3_inj.U4!$A$1:$K$36,20,FALSE),0)</f>
        <v>0</v>
      </c>
      <c r="L1041">
        <f>IFERROR(HLOOKUP(L$2,[33]table_male_hkom3_inj.U4!$A$1:$K$36,20,FALSE),0)</f>
        <v>0</v>
      </c>
      <c r="M1041">
        <f t="shared" si="330"/>
        <v>1</v>
      </c>
      <c r="S1041" t="s">
        <v>88</v>
      </c>
      <c r="T1041" s="5">
        <f t="shared" si="331"/>
        <v>0</v>
      </c>
      <c r="U1041" s="5">
        <f t="shared" si="332"/>
        <v>0</v>
      </c>
      <c r="V1041" s="5">
        <f t="shared" si="333"/>
        <v>0</v>
      </c>
      <c r="W1041" s="5">
        <f t="shared" si="334"/>
        <v>1</v>
      </c>
      <c r="X1041" s="5">
        <f t="shared" si="335"/>
        <v>0</v>
      </c>
      <c r="Y1041" s="5">
        <f t="shared" si="336"/>
        <v>0</v>
      </c>
      <c r="Z1041" s="5">
        <f t="shared" si="337"/>
        <v>0</v>
      </c>
      <c r="AA1041" s="5">
        <f t="shared" si="338"/>
        <v>0</v>
      </c>
      <c r="AB1041" s="5">
        <f t="shared" si="318"/>
        <v>1</v>
      </c>
    </row>
    <row r="1042" spans="4:29" x14ac:dyDescent="0.25">
      <c r="D1042" t="s">
        <v>89</v>
      </c>
      <c r="E1042" s="64"/>
      <c r="F1042" s="64"/>
      <c r="G1042">
        <f>IFERROR(HLOOKUP(G$2,[33]table_male_hkom3_inj.U4!$A$1:$K$36,21,FALSE),0)</f>
        <v>0</v>
      </c>
      <c r="H1042">
        <f>IFERROR(HLOOKUP(H$2,[33]table_male_hkom3_inj.U4!$A$1:$K$36,21,FALSE),0)</f>
        <v>0</v>
      </c>
      <c r="I1042">
        <f>IFERROR(HLOOKUP(I$2,[33]table_male_hkom3_inj.U4!$A$1:$K$36,21,FALSE),0)</f>
        <v>0</v>
      </c>
      <c r="J1042">
        <f>IFERROR(HLOOKUP(J$2,[33]table_male_hkom3_inj.U4!$A$1:$K$36,21,FALSE),0)</f>
        <v>0</v>
      </c>
      <c r="K1042">
        <f>IFERROR(HLOOKUP(K$2,[33]table_male_hkom3_inj.U4!$A$1:$K$36,21,FALSE),0)</f>
        <v>0</v>
      </c>
      <c r="L1042">
        <f>IFERROR(HLOOKUP(L$2,[33]table_male_hkom3_inj.U4!$A$1:$K$36,21,FALSE),0)</f>
        <v>0</v>
      </c>
      <c r="M1042">
        <f t="shared" si="330"/>
        <v>0</v>
      </c>
      <c r="S1042" t="s">
        <v>89</v>
      </c>
      <c r="T1042" s="5">
        <f t="shared" si="331"/>
        <v>0</v>
      </c>
      <c r="U1042" s="5">
        <f t="shared" si="332"/>
        <v>0</v>
      </c>
      <c r="V1042" s="5">
        <f t="shared" si="333"/>
        <v>0</v>
      </c>
      <c r="W1042" s="5">
        <f t="shared" si="334"/>
        <v>0</v>
      </c>
      <c r="X1042" s="5">
        <f t="shared" si="335"/>
        <v>0</v>
      </c>
      <c r="Y1042" s="5">
        <f t="shared" si="336"/>
        <v>0</v>
      </c>
      <c r="Z1042" s="5">
        <f t="shared" si="337"/>
        <v>0</v>
      </c>
      <c r="AA1042" s="5">
        <f t="shared" si="338"/>
        <v>0</v>
      </c>
      <c r="AB1042" s="5">
        <f t="shared" si="318"/>
        <v>0</v>
      </c>
    </row>
    <row r="1043" spans="4:29" x14ac:dyDescent="0.25">
      <c r="D1043" t="s">
        <v>90</v>
      </c>
      <c r="E1043" s="64"/>
      <c r="F1043" s="64"/>
      <c r="G1043">
        <f>IFERROR(HLOOKUP(G$2,[33]table_male_hkom3_inj.U4!$A$1:$K$36,22,FALSE),0)</f>
        <v>0</v>
      </c>
      <c r="H1043">
        <f>IFERROR(HLOOKUP(H$2,[33]table_male_hkom3_inj.U4!$A$1:$K$36,22,FALSE),0)</f>
        <v>0</v>
      </c>
      <c r="I1043">
        <f>IFERROR(HLOOKUP(I$2,[33]table_male_hkom3_inj.U4!$A$1:$K$36,22,FALSE),0)</f>
        <v>0</v>
      </c>
      <c r="J1043">
        <f>IFERROR(HLOOKUP(J$2,[33]table_male_hkom3_inj.U4!$A$1:$K$36,22,FALSE),0)</f>
        <v>0</v>
      </c>
      <c r="K1043">
        <f>IFERROR(HLOOKUP(K$2,[33]table_male_hkom3_inj.U4!$A$1:$K$36,22,FALSE),0)</f>
        <v>0</v>
      </c>
      <c r="L1043">
        <f>IFERROR(HLOOKUP(L$2,[33]table_male_hkom3_inj.U4!$A$1:$K$36,22,FALSE),0)</f>
        <v>0</v>
      </c>
      <c r="M1043">
        <f t="shared" si="330"/>
        <v>0</v>
      </c>
      <c r="S1043" t="s">
        <v>90</v>
      </c>
      <c r="T1043" s="5">
        <f t="shared" si="331"/>
        <v>0</v>
      </c>
      <c r="U1043" s="5">
        <f t="shared" si="332"/>
        <v>0</v>
      </c>
      <c r="V1043" s="5">
        <f t="shared" si="333"/>
        <v>0</v>
      </c>
      <c r="W1043" s="5">
        <f t="shared" si="334"/>
        <v>0</v>
      </c>
      <c r="X1043" s="5">
        <f t="shared" si="335"/>
        <v>0</v>
      </c>
      <c r="Y1043" s="5">
        <f t="shared" si="336"/>
        <v>0</v>
      </c>
      <c r="Z1043" s="5">
        <f t="shared" si="337"/>
        <v>0</v>
      </c>
      <c r="AA1043" s="5">
        <f t="shared" si="338"/>
        <v>0</v>
      </c>
      <c r="AB1043" s="5">
        <f t="shared" si="318"/>
        <v>0</v>
      </c>
    </row>
    <row r="1044" spans="4:29" x14ac:dyDescent="0.25">
      <c r="D1044" t="s">
        <v>91</v>
      </c>
      <c r="E1044" s="64"/>
      <c r="F1044" s="64"/>
      <c r="G1044">
        <f>IFERROR(HLOOKUP(G$2,[33]table_male_hkom3_inj.U4!$A$1:$K$36,23,FALSE),0)</f>
        <v>0</v>
      </c>
      <c r="H1044">
        <f>IFERROR(HLOOKUP(H$2,[33]table_male_hkom3_inj.U4!$A$1:$K$36,23,FALSE),0)</f>
        <v>0</v>
      </c>
      <c r="I1044">
        <f>IFERROR(HLOOKUP(I$2,[33]table_male_hkom3_inj.U4!$A$1:$K$36,23,FALSE),0)</f>
        <v>0</v>
      </c>
      <c r="J1044">
        <f>IFERROR(HLOOKUP(J$2,[33]table_male_hkom3_inj.U4!$A$1:$K$36,23,FALSE),0)</f>
        <v>0</v>
      </c>
      <c r="K1044">
        <f>IFERROR(HLOOKUP(K$2,[33]table_male_hkom3_inj.U4!$A$1:$K$36,23,FALSE),0)</f>
        <v>0</v>
      </c>
      <c r="L1044">
        <f>IFERROR(HLOOKUP(L$2,[33]table_male_hkom3_inj.U4!$A$1:$K$36,23,FALSE),0)</f>
        <v>0</v>
      </c>
      <c r="M1044">
        <f t="shared" si="330"/>
        <v>0</v>
      </c>
      <c r="S1044" t="s">
        <v>91</v>
      </c>
      <c r="T1044" s="5">
        <f t="shared" si="331"/>
        <v>0</v>
      </c>
      <c r="U1044" s="5">
        <f t="shared" si="332"/>
        <v>0</v>
      </c>
      <c r="V1044" s="5">
        <f t="shared" si="333"/>
        <v>0</v>
      </c>
      <c r="W1044" s="5">
        <f t="shared" si="334"/>
        <v>0</v>
      </c>
      <c r="X1044" s="5">
        <f t="shared" si="335"/>
        <v>0</v>
      </c>
      <c r="Y1044" s="5">
        <f t="shared" si="336"/>
        <v>0</v>
      </c>
      <c r="Z1044" s="5">
        <f t="shared" si="337"/>
        <v>0</v>
      </c>
      <c r="AA1044" s="5">
        <f t="shared" si="338"/>
        <v>0</v>
      </c>
      <c r="AB1044" s="5">
        <f t="shared" ref="AB1044:AB1107" si="339">SUM(T1044:AA1044)</f>
        <v>0</v>
      </c>
    </row>
    <row r="1045" spans="4:29" x14ac:dyDescent="0.25">
      <c r="D1045" t="s">
        <v>92</v>
      </c>
      <c r="E1045" s="64"/>
      <c r="F1045" s="64"/>
      <c r="G1045">
        <f>IFERROR(HLOOKUP(G$2,[33]table_male_hkom3_inj.U4!$A$1:$K$36,24,FALSE),0)</f>
        <v>0</v>
      </c>
      <c r="H1045">
        <f>IFERROR(HLOOKUP(H$2,[33]table_male_hkom3_inj.U4!$A$1:$K$36,24,FALSE),0)</f>
        <v>0</v>
      </c>
      <c r="I1045">
        <f>IFERROR(HLOOKUP(I$2,[33]table_male_hkom3_inj.U4!$A$1:$K$36,24,FALSE),0)</f>
        <v>0</v>
      </c>
      <c r="J1045">
        <f>IFERROR(HLOOKUP(J$2,[33]table_male_hkom3_inj.U4!$A$1:$K$36,24,FALSE),0)</f>
        <v>0</v>
      </c>
      <c r="K1045">
        <f>IFERROR(HLOOKUP(K$2,[33]table_male_hkom3_inj.U4!$A$1:$K$36,24,FALSE),0)</f>
        <v>0</v>
      </c>
      <c r="L1045">
        <f>IFERROR(HLOOKUP(L$2,[33]table_male_hkom3_inj.U4!$A$1:$K$36,24,FALSE),0)</f>
        <v>0</v>
      </c>
      <c r="M1045">
        <f t="shared" si="330"/>
        <v>0</v>
      </c>
      <c r="S1045" t="s">
        <v>92</v>
      </c>
      <c r="T1045" s="5">
        <f t="shared" si="331"/>
        <v>0</v>
      </c>
      <c r="U1045" s="5">
        <f t="shared" si="332"/>
        <v>0</v>
      </c>
      <c r="V1045" s="5">
        <f t="shared" si="333"/>
        <v>0</v>
      </c>
      <c r="W1045" s="5">
        <f t="shared" si="334"/>
        <v>0</v>
      </c>
      <c r="X1045" s="5">
        <f t="shared" si="335"/>
        <v>0</v>
      </c>
      <c r="Y1045" s="5">
        <f t="shared" si="336"/>
        <v>0</v>
      </c>
      <c r="Z1045" s="5">
        <f t="shared" si="337"/>
        <v>0</v>
      </c>
      <c r="AA1045" s="5">
        <f t="shared" si="338"/>
        <v>0</v>
      </c>
      <c r="AB1045" s="5">
        <f t="shared" si="339"/>
        <v>0</v>
      </c>
    </row>
    <row r="1046" spans="4:29" x14ac:dyDescent="0.25">
      <c r="D1046" t="s">
        <v>93</v>
      </c>
      <c r="E1046" s="64"/>
      <c r="F1046" s="64"/>
      <c r="G1046">
        <f>IFERROR(HLOOKUP(G$2,[33]table_male_hkom3_inj.U4!$A$1:$K$36,25,FALSE),0)</f>
        <v>0</v>
      </c>
      <c r="H1046">
        <f>IFERROR(HLOOKUP(H$2,[33]table_male_hkom3_inj.U4!$A$1:$K$36,25,FALSE),0)</f>
        <v>0</v>
      </c>
      <c r="I1046">
        <f>IFERROR(HLOOKUP(I$2,[33]table_male_hkom3_inj.U4!$A$1:$K$36,25,FALSE),0)</f>
        <v>0</v>
      </c>
      <c r="J1046">
        <f>IFERROR(HLOOKUP(J$2,[33]table_male_hkom3_inj.U4!$A$1:$K$36,25,FALSE),0)</f>
        <v>0</v>
      </c>
      <c r="K1046">
        <f>IFERROR(HLOOKUP(K$2,[33]table_male_hkom3_inj.U4!$A$1:$K$36,25,FALSE),0)</f>
        <v>0</v>
      </c>
      <c r="L1046">
        <f>IFERROR(HLOOKUP(L$2,[33]table_male_hkom3_inj.U4!$A$1:$K$36,25,FALSE),0)</f>
        <v>0</v>
      </c>
      <c r="M1046">
        <f t="shared" si="330"/>
        <v>0</v>
      </c>
      <c r="S1046" t="s">
        <v>93</v>
      </c>
      <c r="T1046" s="5">
        <f t="shared" si="331"/>
        <v>0</v>
      </c>
      <c r="U1046" s="5">
        <f t="shared" si="332"/>
        <v>0</v>
      </c>
      <c r="V1046" s="5">
        <f t="shared" si="333"/>
        <v>0</v>
      </c>
      <c r="W1046" s="5">
        <f t="shared" si="334"/>
        <v>0</v>
      </c>
      <c r="X1046" s="5">
        <f t="shared" si="335"/>
        <v>0</v>
      </c>
      <c r="Y1046" s="5">
        <f t="shared" si="336"/>
        <v>0</v>
      </c>
      <c r="Z1046" s="5">
        <f t="shared" si="337"/>
        <v>0</v>
      </c>
      <c r="AA1046" s="5">
        <f t="shared" si="338"/>
        <v>0</v>
      </c>
      <c r="AB1046" s="5">
        <f t="shared" si="339"/>
        <v>0</v>
      </c>
    </row>
    <row r="1047" spans="4:29" x14ac:dyDescent="0.25">
      <c r="D1047" t="s">
        <v>94</v>
      </c>
      <c r="E1047" s="64"/>
      <c r="F1047" s="64"/>
      <c r="G1047">
        <f>IFERROR(HLOOKUP(G$2,[33]table_male_hkom3_inj.U4!$A$1:$K$36,26,FALSE),0)</f>
        <v>0</v>
      </c>
      <c r="H1047">
        <f>IFERROR(HLOOKUP(H$2,[33]table_male_hkom3_inj.U4!$A$1:$K$36,26,FALSE),0)</f>
        <v>0</v>
      </c>
      <c r="I1047">
        <f>IFERROR(HLOOKUP(I$2,[33]table_male_hkom3_inj.U4!$A$1:$K$36,26,FALSE),0)</f>
        <v>0</v>
      </c>
      <c r="J1047">
        <f>IFERROR(HLOOKUP(J$2,[33]table_male_hkom3_inj.U4!$A$1:$K$36,26,FALSE),0)</f>
        <v>0</v>
      </c>
      <c r="K1047">
        <f>IFERROR(HLOOKUP(K$2,[33]table_male_hkom3_inj.U4!$A$1:$K$36,26,FALSE),0)</f>
        <v>0</v>
      </c>
      <c r="L1047">
        <f>IFERROR(HLOOKUP(L$2,[33]table_male_hkom3_inj.U4!$A$1:$K$36,26,FALSE),0)</f>
        <v>0</v>
      </c>
      <c r="M1047">
        <f t="shared" si="330"/>
        <v>0</v>
      </c>
      <c r="S1047" t="s">
        <v>94</v>
      </c>
      <c r="T1047" s="5">
        <f t="shared" si="331"/>
        <v>0</v>
      </c>
      <c r="U1047" s="5">
        <f t="shared" si="332"/>
        <v>0</v>
      </c>
      <c r="V1047" s="5">
        <f t="shared" si="333"/>
        <v>0</v>
      </c>
      <c r="W1047" s="5">
        <f t="shared" si="334"/>
        <v>0</v>
      </c>
      <c r="X1047" s="5">
        <f t="shared" si="335"/>
        <v>0</v>
      </c>
      <c r="Y1047" s="5">
        <f t="shared" si="336"/>
        <v>0</v>
      </c>
      <c r="Z1047" s="5">
        <f t="shared" si="337"/>
        <v>0</v>
      </c>
      <c r="AA1047" s="5">
        <f t="shared" si="338"/>
        <v>0</v>
      </c>
      <c r="AB1047" s="5">
        <f t="shared" si="339"/>
        <v>0</v>
      </c>
    </row>
    <row r="1048" spans="4:29" x14ac:dyDescent="0.25">
      <c r="D1048" t="s">
        <v>95</v>
      </c>
      <c r="E1048" s="64"/>
      <c r="F1048" s="64"/>
      <c r="G1048">
        <f>IFERROR(HLOOKUP(G$2,[33]table_male_hkom3_inj.U4!$A$1:$K$36,27,FALSE),0)</f>
        <v>0</v>
      </c>
      <c r="H1048">
        <f>IFERROR(HLOOKUP(H$2,[33]table_male_hkom3_inj.U4!$A$1:$K$36,27,FALSE),0)</f>
        <v>0</v>
      </c>
      <c r="I1048">
        <f>IFERROR(HLOOKUP(I$2,[33]table_male_hkom3_inj.U4!$A$1:$K$36,27,FALSE),0)</f>
        <v>0</v>
      </c>
      <c r="J1048">
        <f>IFERROR(HLOOKUP(J$2,[33]table_male_hkom3_inj.U4!$A$1:$K$36,27,FALSE),0)</f>
        <v>0</v>
      </c>
      <c r="K1048">
        <f>IFERROR(HLOOKUP(K$2,[33]table_male_hkom3_inj.U4!$A$1:$K$36,27,FALSE),0)</f>
        <v>0</v>
      </c>
      <c r="L1048">
        <f>IFERROR(HLOOKUP(L$2,[33]table_male_hkom3_inj.U4!$A$1:$K$36,27,FALSE),0)</f>
        <v>0</v>
      </c>
      <c r="M1048">
        <f t="shared" si="330"/>
        <v>0</v>
      </c>
      <c r="S1048" t="s">
        <v>95</v>
      </c>
      <c r="T1048" s="5">
        <f t="shared" si="331"/>
        <v>0</v>
      </c>
      <c r="U1048" s="5">
        <f t="shared" si="332"/>
        <v>0</v>
      </c>
      <c r="V1048" s="5">
        <f t="shared" si="333"/>
        <v>0</v>
      </c>
      <c r="W1048" s="5">
        <f t="shared" si="334"/>
        <v>0</v>
      </c>
      <c r="X1048" s="5">
        <f t="shared" si="335"/>
        <v>0</v>
      </c>
      <c r="Y1048" s="5">
        <f t="shared" si="336"/>
        <v>0</v>
      </c>
      <c r="Z1048" s="5">
        <f t="shared" si="337"/>
        <v>0</v>
      </c>
      <c r="AA1048" s="5">
        <f t="shared" si="338"/>
        <v>0</v>
      </c>
      <c r="AB1048" s="5">
        <f t="shared" si="339"/>
        <v>0</v>
      </c>
    </row>
    <row r="1049" spans="4:29" x14ac:dyDescent="0.25">
      <c r="D1049" t="s">
        <v>96</v>
      </c>
      <c r="E1049" s="64"/>
      <c r="F1049" s="64"/>
      <c r="G1049">
        <f>IFERROR(HLOOKUP(G$2,[33]table_male_hkom3_inj.U4!$A$1:$K$36,28,FALSE),0)</f>
        <v>0</v>
      </c>
      <c r="H1049">
        <f>IFERROR(HLOOKUP(H$2,[33]table_male_hkom3_inj.U4!$A$1:$K$36,28,FALSE),0)</f>
        <v>0</v>
      </c>
      <c r="I1049">
        <f>IFERROR(HLOOKUP(I$2,[33]table_male_hkom3_inj.U4!$A$1:$K$36,28,FALSE),0)</f>
        <v>0</v>
      </c>
      <c r="J1049">
        <f>IFERROR(HLOOKUP(J$2,[33]table_male_hkom3_inj.U4!$A$1:$K$36,28,FALSE),0)</f>
        <v>0</v>
      </c>
      <c r="K1049">
        <f>IFERROR(HLOOKUP(K$2,[33]table_male_hkom3_inj.U4!$A$1:$K$36,28,FALSE),0)</f>
        <v>0</v>
      </c>
      <c r="L1049">
        <f>IFERROR(HLOOKUP(L$2,[33]table_male_hkom3_inj.U4!$A$1:$K$36,28,FALSE),0)</f>
        <v>0</v>
      </c>
      <c r="M1049">
        <f t="shared" si="330"/>
        <v>0</v>
      </c>
      <c r="S1049" t="s">
        <v>96</v>
      </c>
      <c r="T1049" s="5">
        <f t="shared" si="331"/>
        <v>0</v>
      </c>
      <c r="U1049" s="5">
        <f t="shared" si="332"/>
        <v>0</v>
      </c>
      <c r="V1049" s="5">
        <f t="shared" si="333"/>
        <v>0</v>
      </c>
      <c r="W1049" s="5">
        <f t="shared" si="334"/>
        <v>0</v>
      </c>
      <c r="X1049" s="5">
        <f t="shared" si="335"/>
        <v>0</v>
      </c>
      <c r="Y1049" s="5">
        <f t="shared" si="336"/>
        <v>0</v>
      </c>
      <c r="Z1049" s="5">
        <f t="shared" si="337"/>
        <v>0</v>
      </c>
      <c r="AA1049" s="5">
        <f t="shared" si="338"/>
        <v>0</v>
      </c>
      <c r="AB1049" s="5">
        <f t="shared" si="339"/>
        <v>0</v>
      </c>
    </row>
    <row r="1050" spans="4:29" x14ac:dyDescent="0.25">
      <c r="D1050" t="s">
        <v>97</v>
      </c>
      <c r="E1050" s="64"/>
      <c r="F1050" s="64"/>
      <c r="G1050">
        <f>IFERROR(HLOOKUP(G$2,[33]table_male_hkom3_inj.U4!$A$1:$K$36,29,FALSE),0)</f>
        <v>2</v>
      </c>
      <c r="H1050">
        <f>IFERROR(HLOOKUP(H$2,[33]table_male_hkom3_inj.U4!$A$1:$K$36,29,FALSE),0)</f>
        <v>1</v>
      </c>
      <c r="I1050">
        <f>IFERROR(HLOOKUP(I$2,[33]table_male_hkom3_inj.U4!$A$1:$K$36,29,FALSE),0)</f>
        <v>2</v>
      </c>
      <c r="J1050">
        <f>IFERROR(HLOOKUP(J$2,[33]table_male_hkom3_inj.U4!$A$1:$K$36,29,FALSE),0)</f>
        <v>0</v>
      </c>
      <c r="K1050">
        <f>IFERROR(HLOOKUP(K$2,[33]table_male_hkom3_inj.U4!$A$1:$K$36,29,FALSE),0)</f>
        <v>0</v>
      </c>
      <c r="L1050">
        <f>IFERROR(HLOOKUP(L$2,[33]table_male_hkom3_inj.U4!$A$1:$K$36,29,FALSE),0)</f>
        <v>0</v>
      </c>
      <c r="M1050">
        <f t="shared" si="330"/>
        <v>5</v>
      </c>
      <c r="S1050" t="s">
        <v>97</v>
      </c>
      <c r="T1050" s="5">
        <f t="shared" si="331"/>
        <v>0</v>
      </c>
      <c r="U1050" s="5">
        <f t="shared" si="332"/>
        <v>0</v>
      </c>
      <c r="V1050" s="5">
        <f t="shared" si="333"/>
        <v>2</v>
      </c>
      <c r="W1050" s="5">
        <f t="shared" si="334"/>
        <v>1</v>
      </c>
      <c r="X1050" s="5">
        <f t="shared" si="335"/>
        <v>2.2000000000000002</v>
      </c>
      <c r="Y1050" s="5">
        <f t="shared" si="336"/>
        <v>0</v>
      </c>
      <c r="Z1050" s="5">
        <f t="shared" si="337"/>
        <v>0</v>
      </c>
      <c r="AA1050" s="5">
        <f t="shared" si="338"/>
        <v>0</v>
      </c>
      <c r="AB1050" s="5">
        <f t="shared" si="339"/>
        <v>5.2</v>
      </c>
    </row>
    <row r="1051" spans="4:29" x14ac:dyDescent="0.25">
      <c r="D1051" t="s">
        <v>98</v>
      </c>
      <c r="E1051" s="64"/>
      <c r="F1051" s="64"/>
      <c r="G1051">
        <f>IFERROR(HLOOKUP(G$2,[33]table_male_hkom3_inj.U4!$A$1:$K$36,30,FALSE),0)</f>
        <v>8</v>
      </c>
      <c r="H1051">
        <f>IFERROR(HLOOKUP(H$2,[33]table_male_hkom3_inj.U4!$A$1:$K$36,30,FALSE),0)</f>
        <v>12</v>
      </c>
      <c r="I1051">
        <f>IFERROR(HLOOKUP(I$2,[33]table_male_hkom3_inj.U4!$A$1:$K$36,30,FALSE),0)</f>
        <v>6</v>
      </c>
      <c r="J1051">
        <f>IFERROR(HLOOKUP(J$2,[33]table_male_hkom3_inj.U4!$A$1:$K$36,30,FALSE),0)</f>
        <v>0</v>
      </c>
      <c r="K1051">
        <f>IFERROR(HLOOKUP(K$2,[33]table_male_hkom3_inj.U4!$A$1:$K$36,30,FALSE),0)</f>
        <v>0</v>
      </c>
      <c r="L1051">
        <f>IFERROR(HLOOKUP(L$2,[33]table_male_hkom3_inj.U4!$A$1:$K$36,30,FALSE),0)</f>
        <v>0</v>
      </c>
      <c r="M1051">
        <f t="shared" si="330"/>
        <v>26</v>
      </c>
      <c r="S1051" t="s">
        <v>98</v>
      </c>
      <c r="T1051" s="5">
        <f t="shared" si="331"/>
        <v>0</v>
      </c>
      <c r="U1051" s="5">
        <f t="shared" si="332"/>
        <v>0</v>
      </c>
      <c r="V1051" s="5">
        <f t="shared" si="333"/>
        <v>8</v>
      </c>
      <c r="W1051" s="5">
        <f t="shared" si="334"/>
        <v>12</v>
      </c>
      <c r="X1051" s="5">
        <f t="shared" si="335"/>
        <v>6.6</v>
      </c>
      <c r="Y1051" s="5">
        <f t="shared" si="336"/>
        <v>0</v>
      </c>
      <c r="Z1051" s="5">
        <f t="shared" si="337"/>
        <v>0</v>
      </c>
      <c r="AA1051" s="5">
        <f t="shared" si="338"/>
        <v>0</v>
      </c>
      <c r="AB1051" s="5">
        <f t="shared" si="339"/>
        <v>26.6</v>
      </c>
    </row>
    <row r="1052" spans="4:29" x14ac:dyDescent="0.25">
      <c r="D1052" t="s">
        <v>119</v>
      </c>
      <c r="E1052" s="64"/>
      <c r="F1052" s="64"/>
      <c r="G1052">
        <f>IFERROR(HLOOKUP(G$2,[33]table_male_hkom3_inj.U4!$A$1:$K$36,31,FALSE),0)</f>
        <v>1</v>
      </c>
      <c r="H1052">
        <f>IFERROR(HLOOKUP(H$2,[33]table_male_hkom3_inj.U4!$A$1:$K$36,31,FALSE),0)</f>
        <v>0</v>
      </c>
      <c r="I1052">
        <f>IFERROR(HLOOKUP(I$2,[33]table_male_hkom3_inj.U4!$A$1:$K$36,31,FALSE),0)</f>
        <v>2</v>
      </c>
      <c r="J1052">
        <f>IFERROR(HLOOKUP(J$2,[33]table_male_hkom3_inj.U4!$A$1:$K$36,31,FALSE),0)</f>
        <v>1</v>
      </c>
      <c r="K1052">
        <f>IFERROR(HLOOKUP(K$2,[33]table_male_hkom3_inj.U4!$A$1:$K$36,31,FALSE),0)</f>
        <v>0</v>
      </c>
      <c r="L1052">
        <f>IFERROR(HLOOKUP(L$2,[33]table_male_hkom3_inj.U4!$A$1:$K$36,31,FALSE),0)</f>
        <v>0</v>
      </c>
      <c r="M1052">
        <f t="shared" si="330"/>
        <v>4</v>
      </c>
      <c r="S1052" t="s">
        <v>119</v>
      </c>
      <c r="T1052" s="5">
        <f t="shared" si="331"/>
        <v>0</v>
      </c>
      <c r="U1052" s="5">
        <f t="shared" si="332"/>
        <v>0</v>
      </c>
      <c r="V1052" s="5">
        <f t="shared" si="333"/>
        <v>1</v>
      </c>
      <c r="W1052" s="5">
        <f t="shared" si="334"/>
        <v>0</v>
      </c>
      <c r="X1052" s="5">
        <f t="shared" si="335"/>
        <v>2.2000000000000002</v>
      </c>
      <c r="Y1052" s="5">
        <f t="shared" si="336"/>
        <v>2</v>
      </c>
      <c r="Z1052" s="5">
        <f t="shared" si="337"/>
        <v>0</v>
      </c>
      <c r="AA1052" s="5">
        <f t="shared" si="338"/>
        <v>0</v>
      </c>
      <c r="AB1052" s="5">
        <f t="shared" si="339"/>
        <v>5.2</v>
      </c>
    </row>
    <row r="1053" spans="4:29" x14ac:dyDescent="0.25">
      <c r="D1053" t="s">
        <v>99</v>
      </c>
      <c r="E1053" s="64"/>
      <c r="F1053" s="64"/>
      <c r="G1053">
        <f>IFERROR(HLOOKUP(G$2,[33]table_male_hkom3_inj.U4!$A$1:$K$36,32,FALSE),0)</f>
        <v>0</v>
      </c>
      <c r="H1053">
        <f>IFERROR(HLOOKUP(H$2,[33]table_male_hkom3_inj.U4!$A$1:$K$36,32,FALSE),0)</f>
        <v>0</v>
      </c>
      <c r="I1053">
        <f>IFERROR(HLOOKUP(I$2,[33]table_male_hkom3_inj.U4!$A$1:$K$36,32,FALSE),0)</f>
        <v>0</v>
      </c>
      <c r="J1053">
        <f>IFERROR(HLOOKUP(J$2,[33]table_male_hkom3_inj.U4!$A$1:$K$36,32,FALSE),0)</f>
        <v>0</v>
      </c>
      <c r="K1053">
        <f>IFERROR(HLOOKUP(K$2,[33]table_male_hkom3_inj.U4!$A$1:$K$36,32,FALSE),0)</f>
        <v>0</v>
      </c>
      <c r="L1053">
        <f>IFERROR(HLOOKUP(L$2,[33]table_male_hkom3_inj.U4!$A$1:$K$36,32,FALSE),0)</f>
        <v>0</v>
      </c>
      <c r="M1053">
        <f t="shared" si="330"/>
        <v>0</v>
      </c>
      <c r="S1053" t="s">
        <v>99</v>
      </c>
      <c r="T1053" s="5">
        <f t="shared" si="331"/>
        <v>0</v>
      </c>
      <c r="U1053" s="5">
        <f t="shared" si="332"/>
        <v>0</v>
      </c>
      <c r="V1053" s="5">
        <f t="shared" si="333"/>
        <v>0</v>
      </c>
      <c r="W1053" s="5">
        <f t="shared" si="334"/>
        <v>0</v>
      </c>
      <c r="X1053" s="5">
        <f t="shared" si="335"/>
        <v>0</v>
      </c>
      <c r="Y1053" s="5">
        <f t="shared" si="336"/>
        <v>0</v>
      </c>
      <c r="Z1053" s="5">
        <f t="shared" si="337"/>
        <v>0</v>
      </c>
      <c r="AA1053" s="5">
        <f t="shared" si="338"/>
        <v>0</v>
      </c>
      <c r="AB1053" s="5">
        <f t="shared" si="339"/>
        <v>0</v>
      </c>
    </row>
    <row r="1054" spans="4:29" x14ac:dyDescent="0.25">
      <c r="D1054" t="s">
        <v>100</v>
      </c>
      <c r="E1054" s="64"/>
      <c r="F1054" s="64"/>
      <c r="G1054">
        <f>IFERROR(HLOOKUP(G$2,[33]table_male_hkom3_inj.U4!$A$1:$K$36,33,FALSE),0)</f>
        <v>0</v>
      </c>
      <c r="H1054">
        <f>IFERROR(HLOOKUP(H$2,[33]table_male_hkom3_inj.U4!$A$1:$K$36,33,FALSE),0)</f>
        <v>0</v>
      </c>
      <c r="I1054">
        <f>IFERROR(HLOOKUP(I$2,[33]table_male_hkom3_inj.U4!$A$1:$K$36,33,FALSE),0)</f>
        <v>0</v>
      </c>
      <c r="J1054">
        <f>IFERROR(HLOOKUP(J$2,[33]table_male_hkom3_inj.U4!$A$1:$K$36,33,FALSE),0)</f>
        <v>0</v>
      </c>
      <c r="K1054">
        <f>IFERROR(HLOOKUP(K$2,[33]table_male_hkom3_inj.U4!$A$1:$K$36,33,FALSE),0)</f>
        <v>0</v>
      </c>
      <c r="L1054">
        <f>IFERROR(HLOOKUP(L$2,[33]table_male_hkom3_inj.U4!$A$1:$K$36,33,FALSE),0)</f>
        <v>0</v>
      </c>
      <c r="M1054">
        <f t="shared" si="330"/>
        <v>0</v>
      </c>
      <c r="S1054" t="s">
        <v>100</v>
      </c>
      <c r="T1054" s="5">
        <f t="shared" si="331"/>
        <v>0</v>
      </c>
      <c r="U1054" s="5">
        <f t="shared" si="332"/>
        <v>0</v>
      </c>
      <c r="V1054" s="5">
        <f t="shared" si="333"/>
        <v>0</v>
      </c>
      <c r="W1054" s="5">
        <f t="shared" si="334"/>
        <v>0</v>
      </c>
      <c r="X1054" s="5">
        <f t="shared" si="335"/>
        <v>0</v>
      </c>
      <c r="Y1054" s="5">
        <f t="shared" si="336"/>
        <v>0</v>
      </c>
      <c r="Z1054" s="5">
        <f t="shared" si="337"/>
        <v>0</v>
      </c>
      <c r="AA1054" s="5">
        <f t="shared" si="338"/>
        <v>0</v>
      </c>
      <c r="AB1054" s="5">
        <f t="shared" si="339"/>
        <v>0</v>
      </c>
    </row>
    <row r="1055" spans="4:29" x14ac:dyDescent="0.25">
      <c r="D1055" t="s">
        <v>101</v>
      </c>
      <c r="E1055" s="64"/>
      <c r="F1055" s="64"/>
      <c r="G1055">
        <f>IFERROR(HLOOKUP(G$2,[33]table_male_hkom3_inj.U4!$A$1:$K$36,34,FALSE),0)</f>
        <v>0</v>
      </c>
      <c r="H1055">
        <f>IFERROR(HLOOKUP(H$2,[33]table_male_hkom3_inj.U4!$A$1:$K$36,34,FALSE),0)</f>
        <v>0</v>
      </c>
      <c r="I1055">
        <f>IFERROR(HLOOKUP(I$2,[33]table_male_hkom3_inj.U4!$A$1:$K$36,34,FALSE),0)</f>
        <v>0</v>
      </c>
      <c r="J1055">
        <f>IFERROR(HLOOKUP(J$2,[33]table_male_hkom3_inj.U4!$A$1:$K$36,34,FALSE),0)</f>
        <v>0</v>
      </c>
      <c r="K1055">
        <f>IFERROR(HLOOKUP(K$2,[33]table_male_hkom3_inj.U4!$A$1:$K$36,34,FALSE),0)</f>
        <v>0</v>
      </c>
      <c r="L1055">
        <f>IFERROR(HLOOKUP(L$2,[33]table_male_hkom3_inj.U4!$A$1:$K$36,34,FALSE),0)</f>
        <v>0</v>
      </c>
      <c r="M1055">
        <f t="shared" si="330"/>
        <v>0</v>
      </c>
      <c r="S1055" t="s">
        <v>101</v>
      </c>
      <c r="T1055" s="5">
        <f t="shared" si="331"/>
        <v>0</v>
      </c>
      <c r="U1055" s="5">
        <f t="shared" si="332"/>
        <v>0</v>
      </c>
      <c r="V1055" s="5">
        <f t="shared" si="333"/>
        <v>0</v>
      </c>
      <c r="W1055" s="5">
        <f t="shared" si="334"/>
        <v>0</v>
      </c>
      <c r="X1055" s="5">
        <f t="shared" si="335"/>
        <v>0</v>
      </c>
      <c r="Y1055" s="5">
        <f t="shared" si="336"/>
        <v>0</v>
      </c>
      <c r="Z1055" s="5">
        <f t="shared" si="337"/>
        <v>0</v>
      </c>
      <c r="AA1055" s="5">
        <f t="shared" si="338"/>
        <v>0</v>
      </c>
      <c r="AB1055" s="5">
        <f t="shared" si="339"/>
        <v>0</v>
      </c>
    </row>
    <row r="1056" spans="4:29" x14ac:dyDescent="0.25">
      <c r="D1056" t="s">
        <v>102</v>
      </c>
      <c r="E1056" s="64"/>
      <c r="F1056" s="64"/>
      <c r="G1056">
        <f>IFERROR(HLOOKUP(G$2,[33]table_male_hkom3_inj.U4!$A$1:$K$36,35,FALSE),0)</f>
        <v>0</v>
      </c>
      <c r="H1056">
        <f>IFERROR(HLOOKUP(H$2,[33]table_male_hkom3_inj.U4!$A$1:$K$36,35,FALSE),0)</f>
        <v>0</v>
      </c>
      <c r="I1056">
        <f>IFERROR(HLOOKUP(I$2,[33]table_male_hkom3_inj.U4!$A$1:$K$36,35,FALSE),0)</f>
        <v>1</v>
      </c>
      <c r="J1056">
        <f>IFERROR(HLOOKUP(J$2,[33]table_male_hkom3_inj.U4!$A$1:$K$36,35,FALSE),0)</f>
        <v>1</v>
      </c>
      <c r="K1056">
        <f>IFERROR(HLOOKUP(K$2,[33]table_male_hkom3_inj.U4!$A$1:$K$36,35,FALSE),0)</f>
        <v>0</v>
      </c>
      <c r="L1056">
        <f>IFERROR(HLOOKUP(L$2,[33]table_male_hkom3_inj.U4!$A$1:$K$36,35,FALSE),0)</f>
        <v>0</v>
      </c>
      <c r="M1056">
        <f t="shared" si="330"/>
        <v>2</v>
      </c>
      <c r="N1056">
        <f>SUM(M1023:M1056)</f>
        <v>38</v>
      </c>
      <c r="O1056" s="8">
        <f>SUM([33]table_male_hkom3_inj.U4!$B$2:$L$36)</f>
        <v>38</v>
      </c>
      <c r="S1056" t="s">
        <v>102</v>
      </c>
      <c r="T1056" s="7"/>
      <c r="U1056" s="7"/>
      <c r="V1056" s="7"/>
      <c r="W1056" s="7"/>
      <c r="X1056" s="7"/>
      <c r="Y1056" s="7"/>
      <c r="Z1056" s="7"/>
      <c r="AA1056" s="7"/>
      <c r="AB1056" s="5">
        <f t="shared" si="339"/>
        <v>0</v>
      </c>
      <c r="AC1056" s="5">
        <f>SUM(AB1023:AB1055)</f>
        <v>38.000000000000007</v>
      </c>
    </row>
    <row r="1057" spans="1:28" x14ac:dyDescent="0.25">
      <c r="A1057" t="s">
        <v>104</v>
      </c>
      <c r="B1057" t="s">
        <v>117</v>
      </c>
      <c r="C1057" t="s">
        <v>113</v>
      </c>
      <c r="D1057" t="s">
        <v>70</v>
      </c>
      <c r="E1057" s="64"/>
      <c r="F1057" s="64"/>
      <c r="G1057">
        <f>IFERROR(HLOOKUP(G$2,[34]table_male_hkom3_inj.U5!$A$1:$K$36,2,FALSE),0)</f>
        <v>0</v>
      </c>
      <c r="H1057">
        <f>IFERROR(HLOOKUP(H$2,[34]table_male_hkom3_inj.U5!$A$1:$K$36,2,FALSE),0)</f>
        <v>0</v>
      </c>
      <c r="I1057">
        <f>IFERROR(HLOOKUP(I$2,[34]table_male_hkom3_inj.U5!$A$1:$K$36,2,FALSE),0)</f>
        <v>0</v>
      </c>
      <c r="J1057">
        <f>IFERROR(HLOOKUP(J$2,[34]table_male_hkom3_inj.U5!$A$1:$K$36,2,FALSE),0)</f>
        <v>0</v>
      </c>
      <c r="K1057">
        <f>IFERROR(HLOOKUP(K$2,[34]table_male_hkom3_inj.U5!$A$1:$K$36,2,FALSE),0)</f>
        <v>0</v>
      </c>
      <c r="L1057">
        <f>IFERROR(HLOOKUP(L$2,[34]table_male_hkom3_inj.U5!$A$1:$K$36,2,FALSE),0)</f>
        <v>0</v>
      </c>
      <c r="M1057">
        <f>SUM(E1057:L1057)</f>
        <v>0</v>
      </c>
      <c r="P1057" t="s">
        <v>104</v>
      </c>
      <c r="Q1057" t="s">
        <v>117</v>
      </c>
      <c r="R1057" t="s">
        <v>113</v>
      </c>
      <c r="S1057" t="s">
        <v>70</v>
      </c>
      <c r="T1057" s="5">
        <f>IF(SUM(E$1057:E$1089)=0,E$1090/33,E1057+IFERROR(E1057/SUM(E$1057:E$1089)*E$1090,0))</f>
        <v>0</v>
      </c>
      <c r="U1057" s="5">
        <f t="shared" ref="U1057:AA1057" si="340">IF(SUM(F$1057:F$1089)=0,F$1090/33,F1057+IFERROR(F1057/SUM(F$1057:F$1089)*F$1090,0))</f>
        <v>0</v>
      </c>
      <c r="V1057" s="5">
        <f t="shared" si="340"/>
        <v>6.0606060606060608E-2</v>
      </c>
      <c r="W1057" s="5">
        <f t="shared" si="340"/>
        <v>0</v>
      </c>
      <c r="X1057" s="5">
        <f t="shared" si="340"/>
        <v>0</v>
      </c>
      <c r="Y1057" s="5">
        <f t="shared" si="340"/>
        <v>0</v>
      </c>
      <c r="Z1057" s="5">
        <f t="shared" si="340"/>
        <v>0</v>
      </c>
      <c r="AA1057" s="5">
        <f t="shared" si="340"/>
        <v>0</v>
      </c>
      <c r="AB1057" s="5">
        <f t="shared" si="339"/>
        <v>6.0606060606060608E-2</v>
      </c>
    </row>
    <row r="1058" spans="1:28" x14ac:dyDescent="0.25">
      <c r="D1058" t="s">
        <v>71</v>
      </c>
      <c r="E1058" s="64"/>
      <c r="F1058" s="64"/>
      <c r="G1058">
        <f>IFERROR(HLOOKUP(G$2,[34]table_male_hkom3_inj.U5!$A$1:$K$36,3,FALSE),0)</f>
        <v>0</v>
      </c>
      <c r="H1058">
        <f>IFERROR(HLOOKUP(H$2,[34]table_male_hkom3_inj.U5!$A$1:$K$36,3,FALSE),0)</f>
        <v>0</v>
      </c>
      <c r="I1058">
        <f>IFERROR(HLOOKUP(I$2,[34]table_male_hkom3_inj.U5!$A$1:$K$36,3,FALSE),0)</f>
        <v>0</v>
      </c>
      <c r="J1058">
        <f>IFERROR(HLOOKUP(J$2,[34]table_male_hkom3_inj.U5!$A$1:$K$36,3,FALSE),0)</f>
        <v>0</v>
      </c>
      <c r="K1058">
        <f>IFERROR(HLOOKUP(K$2,[34]table_male_hkom3_inj.U5!$A$1:$K$36,3,FALSE),0)</f>
        <v>0</v>
      </c>
      <c r="L1058">
        <f>IFERROR(HLOOKUP(L$2,[34]table_male_hkom3_inj.U5!$A$1:$K$36,3,FALSE),0)</f>
        <v>0</v>
      </c>
      <c r="M1058">
        <f t="shared" ref="M1058:M1090" si="341">SUM(E1058:L1058)</f>
        <v>0</v>
      </c>
      <c r="S1058" t="s">
        <v>71</v>
      </c>
      <c r="T1058" s="5">
        <f t="shared" ref="T1058:T1089" si="342">IF(SUM(E$1057:E$1089)=0,E$1090/33,E1058+IFERROR(E1058/SUM(E$1057:E$1089)*E$1090,0))</f>
        <v>0</v>
      </c>
      <c r="U1058" s="5">
        <f t="shared" ref="U1058:U1089" si="343">IF(SUM(F$1057:F$1089)=0,F$1090/33,F1058+IFERROR(F1058/SUM(F$1057:F$1089)*F$1090,0))</f>
        <v>0</v>
      </c>
      <c r="V1058" s="5">
        <f t="shared" ref="V1058:V1089" si="344">IF(SUM(G$1057:G$1089)=0,G$1090/33,G1058+IFERROR(G1058/SUM(G$1057:G$1089)*G$1090,0))</f>
        <v>6.0606060606060608E-2</v>
      </c>
      <c r="W1058" s="5">
        <f t="shared" ref="W1058:W1089" si="345">IF(SUM(H$1057:H$1089)=0,H$1090/33,H1058+IFERROR(H1058/SUM(H$1057:H$1089)*H$1090,0))</f>
        <v>0</v>
      </c>
      <c r="X1058" s="5">
        <f t="shared" ref="X1058:X1089" si="346">IF(SUM(I$1057:I$1089)=0,I$1090/33,I1058+IFERROR(I1058/SUM(I$1057:I$1089)*I$1090,0))</f>
        <v>0</v>
      </c>
      <c r="Y1058" s="5">
        <f t="shared" ref="Y1058:Y1089" si="347">IF(SUM(J$1057:J$1089)=0,J$1090/33,J1058+IFERROR(J1058/SUM(J$1057:J$1089)*J$1090,0))</f>
        <v>0</v>
      </c>
      <c r="Z1058" s="5">
        <f t="shared" ref="Z1058:Z1089" si="348">IF(SUM(K$1057:K$1089)=0,K$1090/33,K1058+IFERROR(K1058/SUM(K$1057:K$1089)*K$1090,0))</f>
        <v>0</v>
      </c>
      <c r="AA1058" s="5">
        <f t="shared" ref="AA1058:AA1089" si="349">IF(SUM(L$1057:L$1089)=0,L$1090/33,L1058+IFERROR(L1058/SUM(L$1057:L$1089)*L$1090,0))</f>
        <v>0</v>
      </c>
      <c r="AB1058" s="5">
        <f t="shared" si="339"/>
        <v>6.0606060606060608E-2</v>
      </c>
    </row>
    <row r="1059" spans="1:28" x14ac:dyDescent="0.25">
      <c r="D1059" t="s">
        <v>72</v>
      </c>
      <c r="E1059" s="64"/>
      <c r="F1059" s="64"/>
      <c r="G1059">
        <f>IFERROR(HLOOKUP(G$2,[34]table_male_hkom3_inj.U5!$A$1:$K$36,4,FALSE),0)</f>
        <v>0</v>
      </c>
      <c r="H1059">
        <f>IFERROR(HLOOKUP(H$2,[34]table_male_hkom3_inj.U5!$A$1:$K$36,4,FALSE),0)</f>
        <v>0</v>
      </c>
      <c r="I1059">
        <f>IFERROR(HLOOKUP(I$2,[34]table_male_hkom3_inj.U5!$A$1:$K$36,4,FALSE),0)</f>
        <v>0</v>
      </c>
      <c r="J1059">
        <f>IFERROR(HLOOKUP(J$2,[34]table_male_hkom3_inj.U5!$A$1:$K$36,4,FALSE),0)</f>
        <v>0</v>
      </c>
      <c r="K1059">
        <f>IFERROR(HLOOKUP(K$2,[34]table_male_hkom3_inj.U5!$A$1:$K$36,4,FALSE),0)</f>
        <v>0</v>
      </c>
      <c r="L1059">
        <f>IFERROR(HLOOKUP(L$2,[34]table_male_hkom3_inj.U5!$A$1:$K$36,4,FALSE),0)</f>
        <v>0</v>
      </c>
      <c r="M1059">
        <f t="shared" si="341"/>
        <v>0</v>
      </c>
      <c r="S1059" t="s">
        <v>72</v>
      </c>
      <c r="T1059" s="5">
        <f t="shared" si="342"/>
        <v>0</v>
      </c>
      <c r="U1059" s="5">
        <f t="shared" si="343"/>
        <v>0</v>
      </c>
      <c r="V1059" s="5">
        <f t="shared" si="344"/>
        <v>6.0606060606060608E-2</v>
      </c>
      <c r="W1059" s="5">
        <f t="shared" si="345"/>
        <v>0</v>
      </c>
      <c r="X1059" s="5">
        <f t="shared" si="346"/>
        <v>0</v>
      </c>
      <c r="Y1059" s="5">
        <f t="shared" si="347"/>
        <v>0</v>
      </c>
      <c r="Z1059" s="5">
        <f t="shared" si="348"/>
        <v>0</v>
      </c>
      <c r="AA1059" s="5">
        <f t="shared" si="349"/>
        <v>0</v>
      </c>
      <c r="AB1059" s="5">
        <f t="shared" si="339"/>
        <v>6.0606060606060608E-2</v>
      </c>
    </row>
    <row r="1060" spans="1:28" x14ac:dyDescent="0.25">
      <c r="D1060" t="s">
        <v>73</v>
      </c>
      <c r="E1060" s="64"/>
      <c r="F1060" s="64"/>
      <c r="G1060">
        <f>IFERROR(HLOOKUP(G$2,[34]table_male_hkom3_inj.U5!$A$1:$K$36,5,FALSE),0)</f>
        <v>0</v>
      </c>
      <c r="H1060">
        <f>IFERROR(HLOOKUP(H$2,[34]table_male_hkom3_inj.U5!$A$1:$K$36,5,FALSE),0)</f>
        <v>0</v>
      </c>
      <c r="I1060">
        <f>IFERROR(HLOOKUP(I$2,[34]table_male_hkom3_inj.U5!$A$1:$K$36,5,FALSE),0)</f>
        <v>0</v>
      </c>
      <c r="J1060">
        <f>IFERROR(HLOOKUP(J$2,[34]table_male_hkom3_inj.U5!$A$1:$K$36,5,FALSE),0)</f>
        <v>0</v>
      </c>
      <c r="K1060">
        <f>IFERROR(HLOOKUP(K$2,[34]table_male_hkom3_inj.U5!$A$1:$K$36,5,FALSE),0)</f>
        <v>0</v>
      </c>
      <c r="L1060">
        <f>IFERROR(HLOOKUP(L$2,[34]table_male_hkom3_inj.U5!$A$1:$K$36,5,FALSE),0)</f>
        <v>0</v>
      </c>
      <c r="M1060">
        <f t="shared" si="341"/>
        <v>0</v>
      </c>
      <c r="S1060" t="s">
        <v>73</v>
      </c>
      <c r="T1060" s="5">
        <f t="shared" si="342"/>
        <v>0</v>
      </c>
      <c r="U1060" s="5">
        <f t="shared" si="343"/>
        <v>0</v>
      </c>
      <c r="V1060" s="5">
        <f t="shared" si="344"/>
        <v>6.0606060606060608E-2</v>
      </c>
      <c r="W1060" s="5">
        <f t="shared" si="345"/>
        <v>0</v>
      </c>
      <c r="X1060" s="5">
        <f t="shared" si="346"/>
        <v>0</v>
      </c>
      <c r="Y1060" s="5">
        <f t="shared" si="347"/>
        <v>0</v>
      </c>
      <c r="Z1060" s="5">
        <f t="shared" si="348"/>
        <v>0</v>
      </c>
      <c r="AA1060" s="5">
        <f t="shared" si="349"/>
        <v>0</v>
      </c>
      <c r="AB1060" s="5">
        <f t="shared" si="339"/>
        <v>6.0606060606060608E-2</v>
      </c>
    </row>
    <row r="1061" spans="1:28" x14ac:dyDescent="0.25">
      <c r="D1061" t="s">
        <v>74</v>
      </c>
      <c r="E1061" s="64"/>
      <c r="F1061" s="64"/>
      <c r="G1061">
        <f>IFERROR(HLOOKUP(G$2,[34]table_male_hkom3_inj.U5!$A$1:$K$36,6,FALSE),0)</f>
        <v>0</v>
      </c>
      <c r="H1061">
        <f>IFERROR(HLOOKUP(H$2,[34]table_male_hkom3_inj.U5!$A$1:$K$36,6,FALSE),0)</f>
        <v>0</v>
      </c>
      <c r="I1061">
        <f>IFERROR(HLOOKUP(I$2,[34]table_male_hkom3_inj.U5!$A$1:$K$36,6,FALSE),0)</f>
        <v>0</v>
      </c>
      <c r="J1061">
        <f>IFERROR(HLOOKUP(J$2,[34]table_male_hkom3_inj.U5!$A$1:$K$36,6,FALSE),0)</f>
        <v>0</v>
      </c>
      <c r="K1061">
        <f>IFERROR(HLOOKUP(K$2,[34]table_male_hkom3_inj.U5!$A$1:$K$36,6,FALSE),0)</f>
        <v>0</v>
      </c>
      <c r="L1061">
        <f>IFERROR(HLOOKUP(L$2,[34]table_male_hkom3_inj.U5!$A$1:$K$36,6,FALSE),0)</f>
        <v>0</v>
      </c>
      <c r="M1061">
        <f t="shared" si="341"/>
        <v>0</v>
      </c>
      <c r="S1061" t="s">
        <v>74</v>
      </c>
      <c r="T1061" s="5">
        <f t="shared" si="342"/>
        <v>0</v>
      </c>
      <c r="U1061" s="5">
        <f t="shared" si="343"/>
        <v>0</v>
      </c>
      <c r="V1061" s="5">
        <f t="shared" si="344"/>
        <v>6.0606060606060608E-2</v>
      </c>
      <c r="W1061" s="5">
        <f t="shared" si="345"/>
        <v>0</v>
      </c>
      <c r="X1061" s="5">
        <f t="shared" si="346"/>
        <v>0</v>
      </c>
      <c r="Y1061" s="5">
        <f t="shared" si="347"/>
        <v>0</v>
      </c>
      <c r="Z1061" s="5">
        <f t="shared" si="348"/>
        <v>0</v>
      </c>
      <c r="AA1061" s="5">
        <f t="shared" si="349"/>
        <v>0</v>
      </c>
      <c r="AB1061" s="5">
        <f t="shared" si="339"/>
        <v>6.0606060606060608E-2</v>
      </c>
    </row>
    <row r="1062" spans="1:28" x14ac:dyDescent="0.25">
      <c r="D1062" t="s">
        <v>75</v>
      </c>
      <c r="E1062" s="64"/>
      <c r="F1062" s="64"/>
      <c r="G1062">
        <f>IFERROR(HLOOKUP(G$2,[34]table_male_hkom3_inj.U5!$A$1:$K$36,7,FALSE),0)</f>
        <v>0</v>
      </c>
      <c r="H1062">
        <f>IFERROR(HLOOKUP(H$2,[34]table_male_hkom3_inj.U5!$A$1:$K$36,7,FALSE),0)</f>
        <v>0</v>
      </c>
      <c r="I1062">
        <f>IFERROR(HLOOKUP(I$2,[34]table_male_hkom3_inj.U5!$A$1:$K$36,7,FALSE),0)</f>
        <v>0</v>
      </c>
      <c r="J1062">
        <f>IFERROR(HLOOKUP(J$2,[34]table_male_hkom3_inj.U5!$A$1:$K$36,7,FALSE),0)</f>
        <v>0</v>
      </c>
      <c r="K1062">
        <f>IFERROR(HLOOKUP(K$2,[34]table_male_hkom3_inj.U5!$A$1:$K$36,7,FALSE),0)</f>
        <v>0</v>
      </c>
      <c r="L1062">
        <f>IFERROR(HLOOKUP(L$2,[34]table_male_hkom3_inj.U5!$A$1:$K$36,7,FALSE),0)</f>
        <v>0</v>
      </c>
      <c r="M1062">
        <f t="shared" si="341"/>
        <v>0</v>
      </c>
      <c r="S1062" t="s">
        <v>75</v>
      </c>
      <c r="T1062" s="5">
        <f t="shared" si="342"/>
        <v>0</v>
      </c>
      <c r="U1062" s="5">
        <f t="shared" si="343"/>
        <v>0</v>
      </c>
      <c r="V1062" s="5">
        <f t="shared" si="344"/>
        <v>6.0606060606060608E-2</v>
      </c>
      <c r="W1062" s="5">
        <f t="shared" si="345"/>
        <v>0</v>
      </c>
      <c r="X1062" s="5">
        <f t="shared" si="346"/>
        <v>0</v>
      </c>
      <c r="Y1062" s="5">
        <f t="shared" si="347"/>
        <v>0</v>
      </c>
      <c r="Z1062" s="5">
        <f t="shared" si="348"/>
        <v>0</v>
      </c>
      <c r="AA1062" s="5">
        <f t="shared" si="349"/>
        <v>0</v>
      </c>
      <c r="AB1062" s="5">
        <f t="shared" si="339"/>
        <v>6.0606060606060608E-2</v>
      </c>
    </row>
    <row r="1063" spans="1:28" x14ac:dyDescent="0.25">
      <c r="D1063" t="s">
        <v>76</v>
      </c>
      <c r="E1063" s="64"/>
      <c r="F1063" s="64"/>
      <c r="G1063">
        <f>IFERROR(HLOOKUP(G$2,[34]table_male_hkom3_inj.U5!$A$1:$K$36,8,FALSE),0)</f>
        <v>0</v>
      </c>
      <c r="H1063">
        <f>IFERROR(HLOOKUP(H$2,[34]table_male_hkom3_inj.U5!$A$1:$K$36,8,FALSE),0)</f>
        <v>0</v>
      </c>
      <c r="I1063">
        <f>IFERROR(HLOOKUP(I$2,[34]table_male_hkom3_inj.U5!$A$1:$K$36,8,FALSE),0)</f>
        <v>0</v>
      </c>
      <c r="J1063">
        <f>IFERROR(HLOOKUP(J$2,[34]table_male_hkom3_inj.U5!$A$1:$K$36,8,FALSE),0)</f>
        <v>0</v>
      </c>
      <c r="K1063">
        <f>IFERROR(HLOOKUP(K$2,[34]table_male_hkom3_inj.U5!$A$1:$K$36,8,FALSE),0)</f>
        <v>0</v>
      </c>
      <c r="L1063">
        <f>IFERROR(HLOOKUP(L$2,[34]table_male_hkom3_inj.U5!$A$1:$K$36,8,FALSE),0)</f>
        <v>0</v>
      </c>
      <c r="M1063">
        <f t="shared" si="341"/>
        <v>0</v>
      </c>
      <c r="S1063" t="s">
        <v>76</v>
      </c>
      <c r="T1063" s="5">
        <f t="shared" si="342"/>
        <v>0</v>
      </c>
      <c r="U1063" s="5">
        <f t="shared" si="343"/>
        <v>0</v>
      </c>
      <c r="V1063" s="5">
        <f t="shared" si="344"/>
        <v>6.0606060606060608E-2</v>
      </c>
      <c r="W1063" s="5">
        <f t="shared" si="345"/>
        <v>0</v>
      </c>
      <c r="X1063" s="5">
        <f t="shared" si="346"/>
        <v>0</v>
      </c>
      <c r="Y1063" s="5">
        <f t="shared" si="347"/>
        <v>0</v>
      </c>
      <c r="Z1063" s="5">
        <f t="shared" si="348"/>
        <v>0</v>
      </c>
      <c r="AA1063" s="5">
        <f t="shared" si="349"/>
        <v>0</v>
      </c>
      <c r="AB1063" s="5">
        <f t="shared" si="339"/>
        <v>6.0606060606060608E-2</v>
      </c>
    </row>
    <row r="1064" spans="1:28" x14ac:dyDescent="0.25">
      <c r="D1064" t="s">
        <v>77</v>
      </c>
      <c r="E1064" s="64"/>
      <c r="F1064" s="64"/>
      <c r="G1064">
        <f>IFERROR(HLOOKUP(G$2,[34]table_male_hkom3_inj.U5!$A$1:$K$36,9,FALSE),0)</f>
        <v>0</v>
      </c>
      <c r="H1064">
        <f>IFERROR(HLOOKUP(H$2,[34]table_male_hkom3_inj.U5!$A$1:$K$36,9,FALSE),0)</f>
        <v>0</v>
      </c>
      <c r="I1064">
        <f>IFERROR(HLOOKUP(I$2,[34]table_male_hkom3_inj.U5!$A$1:$K$36,9,FALSE),0)</f>
        <v>0</v>
      </c>
      <c r="J1064">
        <f>IFERROR(HLOOKUP(J$2,[34]table_male_hkom3_inj.U5!$A$1:$K$36,9,FALSE),0)</f>
        <v>0</v>
      </c>
      <c r="K1064">
        <f>IFERROR(HLOOKUP(K$2,[34]table_male_hkom3_inj.U5!$A$1:$K$36,9,FALSE),0)</f>
        <v>0</v>
      </c>
      <c r="L1064">
        <f>IFERROR(HLOOKUP(L$2,[34]table_male_hkom3_inj.U5!$A$1:$K$36,9,FALSE),0)</f>
        <v>0</v>
      </c>
      <c r="M1064">
        <f t="shared" si="341"/>
        <v>0</v>
      </c>
      <c r="S1064" t="s">
        <v>77</v>
      </c>
      <c r="T1064" s="5">
        <f t="shared" si="342"/>
        <v>0</v>
      </c>
      <c r="U1064" s="5">
        <f t="shared" si="343"/>
        <v>0</v>
      </c>
      <c r="V1064" s="5">
        <f t="shared" si="344"/>
        <v>6.0606060606060608E-2</v>
      </c>
      <c r="W1064" s="5">
        <f t="shared" si="345"/>
        <v>0</v>
      </c>
      <c r="X1064" s="5">
        <f t="shared" si="346"/>
        <v>0</v>
      </c>
      <c r="Y1064" s="5">
        <f t="shared" si="347"/>
        <v>0</v>
      </c>
      <c r="Z1064" s="5">
        <f t="shared" si="348"/>
        <v>0</v>
      </c>
      <c r="AA1064" s="5">
        <f t="shared" si="349"/>
        <v>0</v>
      </c>
      <c r="AB1064" s="5">
        <f t="shared" si="339"/>
        <v>6.0606060606060608E-2</v>
      </c>
    </row>
    <row r="1065" spans="1:28" x14ac:dyDescent="0.25">
      <c r="D1065" t="s">
        <v>78</v>
      </c>
      <c r="E1065" s="64"/>
      <c r="F1065" s="64"/>
      <c r="G1065">
        <f>IFERROR(HLOOKUP(G$2,[34]table_male_hkom3_inj.U5!$A$1:$K$36,10,FALSE),0)</f>
        <v>0</v>
      </c>
      <c r="H1065">
        <f>IFERROR(HLOOKUP(H$2,[34]table_male_hkom3_inj.U5!$A$1:$K$36,10,FALSE),0)</f>
        <v>0</v>
      </c>
      <c r="I1065">
        <f>IFERROR(HLOOKUP(I$2,[34]table_male_hkom3_inj.U5!$A$1:$K$36,10,FALSE),0)</f>
        <v>0</v>
      </c>
      <c r="J1065">
        <f>IFERROR(HLOOKUP(J$2,[34]table_male_hkom3_inj.U5!$A$1:$K$36,10,FALSE),0)</f>
        <v>0</v>
      </c>
      <c r="K1065">
        <f>IFERROR(HLOOKUP(K$2,[34]table_male_hkom3_inj.U5!$A$1:$K$36,10,FALSE),0)</f>
        <v>0</v>
      </c>
      <c r="L1065">
        <f>IFERROR(HLOOKUP(L$2,[34]table_male_hkom3_inj.U5!$A$1:$K$36,10,FALSE),0)</f>
        <v>0</v>
      </c>
      <c r="M1065">
        <f t="shared" si="341"/>
        <v>0</v>
      </c>
      <c r="S1065" t="s">
        <v>78</v>
      </c>
      <c r="T1065" s="5">
        <f t="shared" si="342"/>
        <v>0</v>
      </c>
      <c r="U1065" s="5">
        <f t="shared" si="343"/>
        <v>0</v>
      </c>
      <c r="V1065" s="5">
        <f t="shared" si="344"/>
        <v>6.0606060606060608E-2</v>
      </c>
      <c r="W1065" s="5">
        <f t="shared" si="345"/>
        <v>0</v>
      </c>
      <c r="X1065" s="5">
        <f t="shared" si="346"/>
        <v>0</v>
      </c>
      <c r="Y1065" s="5">
        <f t="shared" si="347"/>
        <v>0</v>
      </c>
      <c r="Z1065" s="5">
        <f t="shared" si="348"/>
        <v>0</v>
      </c>
      <c r="AA1065" s="5">
        <f t="shared" si="349"/>
        <v>0</v>
      </c>
      <c r="AB1065" s="5">
        <f t="shared" si="339"/>
        <v>6.0606060606060608E-2</v>
      </c>
    </row>
    <row r="1066" spans="1:28" x14ac:dyDescent="0.25">
      <c r="D1066" t="s">
        <v>79</v>
      </c>
      <c r="E1066" s="64"/>
      <c r="F1066" s="64"/>
      <c r="G1066">
        <f>IFERROR(HLOOKUP(G$2,[34]table_male_hkom3_inj.U5!$A$1:$K$36,11,FALSE),0)</f>
        <v>0</v>
      </c>
      <c r="H1066">
        <f>IFERROR(HLOOKUP(H$2,[34]table_male_hkom3_inj.U5!$A$1:$K$36,11,FALSE),0)</f>
        <v>0</v>
      </c>
      <c r="I1066">
        <f>IFERROR(HLOOKUP(I$2,[34]table_male_hkom3_inj.U5!$A$1:$K$36,11,FALSE),0)</f>
        <v>0</v>
      </c>
      <c r="J1066">
        <f>IFERROR(HLOOKUP(J$2,[34]table_male_hkom3_inj.U5!$A$1:$K$36,11,FALSE),0)</f>
        <v>0</v>
      </c>
      <c r="K1066">
        <f>IFERROR(HLOOKUP(K$2,[34]table_male_hkom3_inj.U5!$A$1:$K$36,11,FALSE),0)</f>
        <v>0</v>
      </c>
      <c r="L1066">
        <f>IFERROR(HLOOKUP(L$2,[34]table_male_hkom3_inj.U5!$A$1:$K$36,11,FALSE),0)</f>
        <v>0</v>
      </c>
      <c r="M1066">
        <f t="shared" si="341"/>
        <v>0</v>
      </c>
      <c r="S1066" t="s">
        <v>79</v>
      </c>
      <c r="T1066" s="5">
        <f t="shared" si="342"/>
        <v>0</v>
      </c>
      <c r="U1066" s="5">
        <f t="shared" si="343"/>
        <v>0</v>
      </c>
      <c r="V1066" s="5">
        <f t="shared" si="344"/>
        <v>6.0606060606060608E-2</v>
      </c>
      <c r="W1066" s="5">
        <f t="shared" si="345"/>
        <v>0</v>
      </c>
      <c r="X1066" s="5">
        <f t="shared" si="346"/>
        <v>0</v>
      </c>
      <c r="Y1066" s="5">
        <f t="shared" si="347"/>
        <v>0</v>
      </c>
      <c r="Z1066" s="5">
        <f t="shared" si="348"/>
        <v>0</v>
      </c>
      <c r="AA1066" s="5">
        <f t="shared" si="349"/>
        <v>0</v>
      </c>
      <c r="AB1066" s="5">
        <f t="shared" si="339"/>
        <v>6.0606060606060608E-2</v>
      </c>
    </row>
    <row r="1067" spans="1:28" x14ac:dyDescent="0.25">
      <c r="D1067" t="s">
        <v>80</v>
      </c>
      <c r="E1067" s="64"/>
      <c r="F1067" s="64"/>
      <c r="G1067">
        <f>IFERROR(HLOOKUP(G$2,[34]table_male_hkom3_inj.U5!$A$1:$K$36,12,FALSE),0)</f>
        <v>0</v>
      </c>
      <c r="H1067">
        <f>IFERROR(HLOOKUP(H$2,[34]table_male_hkom3_inj.U5!$A$1:$K$36,12,FALSE),0)</f>
        <v>0</v>
      </c>
      <c r="I1067">
        <f>IFERROR(HLOOKUP(I$2,[34]table_male_hkom3_inj.U5!$A$1:$K$36,12,FALSE),0)</f>
        <v>0</v>
      </c>
      <c r="J1067">
        <f>IFERROR(HLOOKUP(J$2,[34]table_male_hkom3_inj.U5!$A$1:$K$36,12,FALSE),0)</f>
        <v>0</v>
      </c>
      <c r="K1067">
        <f>IFERROR(HLOOKUP(K$2,[34]table_male_hkom3_inj.U5!$A$1:$K$36,12,FALSE),0)</f>
        <v>0</v>
      </c>
      <c r="L1067">
        <f>IFERROR(HLOOKUP(L$2,[34]table_male_hkom3_inj.U5!$A$1:$K$36,12,FALSE),0)</f>
        <v>0</v>
      </c>
      <c r="M1067">
        <f t="shared" si="341"/>
        <v>0</v>
      </c>
      <c r="S1067" t="s">
        <v>80</v>
      </c>
      <c r="T1067" s="5">
        <f t="shared" si="342"/>
        <v>0</v>
      </c>
      <c r="U1067" s="5">
        <f t="shared" si="343"/>
        <v>0</v>
      </c>
      <c r="V1067" s="5">
        <f t="shared" si="344"/>
        <v>6.0606060606060608E-2</v>
      </c>
      <c r="W1067" s="5">
        <f t="shared" si="345"/>
        <v>0</v>
      </c>
      <c r="X1067" s="5">
        <f t="shared" si="346"/>
        <v>0</v>
      </c>
      <c r="Y1067" s="5">
        <f t="shared" si="347"/>
        <v>0</v>
      </c>
      <c r="Z1067" s="5">
        <f t="shared" si="348"/>
        <v>0</v>
      </c>
      <c r="AA1067" s="5">
        <f t="shared" si="349"/>
        <v>0</v>
      </c>
      <c r="AB1067" s="5">
        <f t="shared" si="339"/>
        <v>6.0606060606060608E-2</v>
      </c>
    </row>
    <row r="1068" spans="1:28" x14ac:dyDescent="0.25">
      <c r="D1068" t="s">
        <v>81</v>
      </c>
      <c r="E1068" s="64"/>
      <c r="F1068" s="64"/>
      <c r="G1068">
        <f>IFERROR(HLOOKUP(G$2,[34]table_male_hkom3_inj.U5!$A$1:$K$36,13,FALSE),0)</f>
        <v>0</v>
      </c>
      <c r="H1068">
        <f>IFERROR(HLOOKUP(H$2,[34]table_male_hkom3_inj.U5!$A$1:$K$36,13,FALSE),0)</f>
        <v>0</v>
      </c>
      <c r="I1068">
        <f>IFERROR(HLOOKUP(I$2,[34]table_male_hkom3_inj.U5!$A$1:$K$36,13,FALSE),0)</f>
        <v>0</v>
      </c>
      <c r="J1068">
        <f>IFERROR(HLOOKUP(J$2,[34]table_male_hkom3_inj.U5!$A$1:$K$36,13,FALSE),0)</f>
        <v>0</v>
      </c>
      <c r="K1068">
        <f>IFERROR(HLOOKUP(K$2,[34]table_male_hkom3_inj.U5!$A$1:$K$36,13,FALSE),0)</f>
        <v>0</v>
      </c>
      <c r="L1068">
        <f>IFERROR(HLOOKUP(L$2,[34]table_male_hkom3_inj.U5!$A$1:$K$36,13,FALSE),0)</f>
        <v>0</v>
      </c>
      <c r="M1068">
        <f t="shared" si="341"/>
        <v>0</v>
      </c>
      <c r="S1068" t="s">
        <v>81</v>
      </c>
      <c r="T1068" s="5">
        <f t="shared" si="342"/>
        <v>0</v>
      </c>
      <c r="U1068" s="5">
        <f t="shared" si="343"/>
        <v>0</v>
      </c>
      <c r="V1068" s="5">
        <f t="shared" si="344"/>
        <v>6.0606060606060608E-2</v>
      </c>
      <c r="W1068" s="5">
        <f t="shared" si="345"/>
        <v>0</v>
      </c>
      <c r="X1068" s="5">
        <f t="shared" si="346"/>
        <v>0</v>
      </c>
      <c r="Y1068" s="5">
        <f t="shared" si="347"/>
        <v>0</v>
      </c>
      <c r="Z1068" s="5">
        <f t="shared" si="348"/>
        <v>0</v>
      </c>
      <c r="AA1068" s="5">
        <f t="shared" si="349"/>
        <v>0</v>
      </c>
      <c r="AB1068" s="5">
        <f t="shared" si="339"/>
        <v>6.0606060606060608E-2</v>
      </c>
    </row>
    <row r="1069" spans="1:28" x14ac:dyDescent="0.25">
      <c r="D1069" t="s">
        <v>82</v>
      </c>
      <c r="E1069" s="64"/>
      <c r="F1069" s="64"/>
      <c r="G1069">
        <f>IFERROR(HLOOKUP(G$2,[34]table_male_hkom3_inj.U5!$A$1:$K$36,14,FALSE),0)</f>
        <v>0</v>
      </c>
      <c r="H1069">
        <f>IFERROR(HLOOKUP(H$2,[34]table_male_hkom3_inj.U5!$A$1:$K$36,14,FALSE),0)</f>
        <v>0</v>
      </c>
      <c r="I1069">
        <f>IFERROR(HLOOKUP(I$2,[34]table_male_hkom3_inj.U5!$A$1:$K$36,14,FALSE),0)</f>
        <v>0</v>
      </c>
      <c r="J1069">
        <f>IFERROR(HLOOKUP(J$2,[34]table_male_hkom3_inj.U5!$A$1:$K$36,14,FALSE),0)</f>
        <v>0</v>
      </c>
      <c r="K1069">
        <f>IFERROR(HLOOKUP(K$2,[34]table_male_hkom3_inj.U5!$A$1:$K$36,14,FALSE),0)</f>
        <v>0</v>
      </c>
      <c r="L1069">
        <f>IFERROR(HLOOKUP(L$2,[34]table_male_hkom3_inj.U5!$A$1:$K$36,14,FALSE),0)</f>
        <v>0</v>
      </c>
      <c r="M1069">
        <f t="shared" si="341"/>
        <v>0</v>
      </c>
      <c r="S1069" t="s">
        <v>82</v>
      </c>
      <c r="T1069" s="5">
        <f t="shared" si="342"/>
        <v>0</v>
      </c>
      <c r="U1069" s="5">
        <f t="shared" si="343"/>
        <v>0</v>
      </c>
      <c r="V1069" s="5">
        <f t="shared" si="344"/>
        <v>6.0606060606060608E-2</v>
      </c>
      <c r="W1069" s="5">
        <f t="shared" si="345"/>
        <v>0</v>
      </c>
      <c r="X1069" s="5">
        <f t="shared" si="346"/>
        <v>0</v>
      </c>
      <c r="Y1069" s="5">
        <f t="shared" si="347"/>
        <v>0</v>
      </c>
      <c r="Z1069" s="5">
        <f t="shared" si="348"/>
        <v>0</v>
      </c>
      <c r="AA1069" s="5">
        <f t="shared" si="349"/>
        <v>0</v>
      </c>
      <c r="AB1069" s="5">
        <f t="shared" si="339"/>
        <v>6.0606060606060608E-2</v>
      </c>
    </row>
    <row r="1070" spans="1:28" x14ac:dyDescent="0.25">
      <c r="D1070" t="s">
        <v>83</v>
      </c>
      <c r="E1070" s="64"/>
      <c r="F1070" s="64"/>
      <c r="G1070">
        <f>IFERROR(HLOOKUP(G$2,[34]table_male_hkom3_inj.U5!$A$1:$K$36,15,FALSE),0)</f>
        <v>0</v>
      </c>
      <c r="H1070">
        <f>IFERROR(HLOOKUP(H$2,[34]table_male_hkom3_inj.U5!$A$1:$K$36,15,FALSE),0)</f>
        <v>0</v>
      </c>
      <c r="I1070">
        <f>IFERROR(HLOOKUP(I$2,[34]table_male_hkom3_inj.U5!$A$1:$K$36,15,FALSE),0)</f>
        <v>0</v>
      </c>
      <c r="J1070">
        <f>IFERROR(HLOOKUP(J$2,[34]table_male_hkom3_inj.U5!$A$1:$K$36,15,FALSE),0)</f>
        <v>0</v>
      </c>
      <c r="K1070">
        <f>IFERROR(HLOOKUP(K$2,[34]table_male_hkom3_inj.U5!$A$1:$K$36,15,FALSE),0)</f>
        <v>0</v>
      </c>
      <c r="L1070">
        <f>IFERROR(HLOOKUP(L$2,[34]table_male_hkom3_inj.U5!$A$1:$K$36,15,FALSE),0)</f>
        <v>0</v>
      </c>
      <c r="M1070">
        <f t="shared" si="341"/>
        <v>0</v>
      </c>
      <c r="S1070" t="s">
        <v>83</v>
      </c>
      <c r="T1070" s="5">
        <f t="shared" si="342"/>
        <v>0</v>
      </c>
      <c r="U1070" s="5">
        <f t="shared" si="343"/>
        <v>0</v>
      </c>
      <c r="V1070" s="5">
        <f t="shared" si="344"/>
        <v>6.0606060606060608E-2</v>
      </c>
      <c r="W1070" s="5">
        <f t="shared" si="345"/>
        <v>0</v>
      </c>
      <c r="X1070" s="5">
        <f t="shared" si="346"/>
        <v>0</v>
      </c>
      <c r="Y1070" s="5">
        <f t="shared" si="347"/>
        <v>0</v>
      </c>
      <c r="Z1070" s="5">
        <f t="shared" si="348"/>
        <v>0</v>
      </c>
      <c r="AA1070" s="5">
        <f t="shared" si="349"/>
        <v>0</v>
      </c>
      <c r="AB1070" s="5">
        <f t="shared" si="339"/>
        <v>6.0606060606060608E-2</v>
      </c>
    </row>
    <row r="1071" spans="1:28" x14ac:dyDescent="0.25">
      <c r="D1071" t="s">
        <v>84</v>
      </c>
      <c r="E1071" s="64"/>
      <c r="F1071" s="64"/>
      <c r="G1071">
        <f>IFERROR(HLOOKUP(G$2,[34]table_male_hkom3_inj.U5!$A$1:$K$36,16,FALSE),0)</f>
        <v>0</v>
      </c>
      <c r="H1071">
        <f>IFERROR(HLOOKUP(H$2,[34]table_male_hkom3_inj.U5!$A$1:$K$36,16,FALSE),0)</f>
        <v>0</v>
      </c>
      <c r="I1071">
        <f>IFERROR(HLOOKUP(I$2,[34]table_male_hkom3_inj.U5!$A$1:$K$36,16,FALSE),0)</f>
        <v>0</v>
      </c>
      <c r="J1071">
        <f>IFERROR(HLOOKUP(J$2,[34]table_male_hkom3_inj.U5!$A$1:$K$36,16,FALSE),0)</f>
        <v>0</v>
      </c>
      <c r="K1071">
        <f>IFERROR(HLOOKUP(K$2,[34]table_male_hkom3_inj.U5!$A$1:$K$36,16,FALSE),0)</f>
        <v>0</v>
      </c>
      <c r="L1071">
        <f>IFERROR(HLOOKUP(L$2,[34]table_male_hkom3_inj.U5!$A$1:$K$36,16,FALSE),0)</f>
        <v>0</v>
      </c>
      <c r="M1071">
        <f t="shared" si="341"/>
        <v>0</v>
      </c>
      <c r="S1071" t="s">
        <v>84</v>
      </c>
      <c r="T1071" s="5">
        <f t="shared" si="342"/>
        <v>0</v>
      </c>
      <c r="U1071" s="5">
        <f t="shared" si="343"/>
        <v>0</v>
      </c>
      <c r="V1071" s="5">
        <f t="shared" si="344"/>
        <v>6.0606060606060608E-2</v>
      </c>
      <c r="W1071" s="5">
        <f t="shared" si="345"/>
        <v>0</v>
      </c>
      <c r="X1071" s="5">
        <f t="shared" si="346"/>
        <v>0</v>
      </c>
      <c r="Y1071" s="5">
        <f t="shared" si="347"/>
        <v>0</v>
      </c>
      <c r="Z1071" s="5">
        <f t="shared" si="348"/>
        <v>0</v>
      </c>
      <c r="AA1071" s="5">
        <f t="shared" si="349"/>
        <v>0</v>
      </c>
      <c r="AB1071" s="5">
        <f t="shared" si="339"/>
        <v>6.0606060606060608E-2</v>
      </c>
    </row>
    <row r="1072" spans="1:28" x14ac:dyDescent="0.25">
      <c r="D1072" t="s">
        <v>85</v>
      </c>
      <c r="E1072" s="64"/>
      <c r="F1072" s="64"/>
      <c r="G1072">
        <f>IFERROR(HLOOKUP(G$2,[34]table_male_hkom3_inj.U5!$A$1:$K$36,17,FALSE),0)</f>
        <v>0</v>
      </c>
      <c r="H1072">
        <f>IFERROR(HLOOKUP(H$2,[34]table_male_hkom3_inj.U5!$A$1:$K$36,17,FALSE),0)</f>
        <v>0</v>
      </c>
      <c r="I1072">
        <f>IFERROR(HLOOKUP(I$2,[34]table_male_hkom3_inj.U5!$A$1:$K$36,17,FALSE),0)</f>
        <v>0</v>
      </c>
      <c r="J1072">
        <f>IFERROR(HLOOKUP(J$2,[34]table_male_hkom3_inj.U5!$A$1:$K$36,17,FALSE),0)</f>
        <v>0</v>
      </c>
      <c r="K1072">
        <f>IFERROR(HLOOKUP(K$2,[34]table_male_hkom3_inj.U5!$A$1:$K$36,17,FALSE),0)</f>
        <v>0</v>
      </c>
      <c r="L1072">
        <f>IFERROR(HLOOKUP(L$2,[34]table_male_hkom3_inj.U5!$A$1:$K$36,17,FALSE),0)</f>
        <v>0</v>
      </c>
      <c r="M1072">
        <f t="shared" si="341"/>
        <v>0</v>
      </c>
      <c r="S1072" t="s">
        <v>85</v>
      </c>
      <c r="T1072" s="5">
        <f t="shared" si="342"/>
        <v>0</v>
      </c>
      <c r="U1072" s="5">
        <f t="shared" si="343"/>
        <v>0</v>
      </c>
      <c r="V1072" s="5">
        <f t="shared" si="344"/>
        <v>6.0606060606060608E-2</v>
      </c>
      <c r="W1072" s="5">
        <f t="shared" si="345"/>
        <v>0</v>
      </c>
      <c r="X1072" s="5">
        <f t="shared" si="346"/>
        <v>0</v>
      </c>
      <c r="Y1072" s="5">
        <f t="shared" si="347"/>
        <v>0</v>
      </c>
      <c r="Z1072" s="5">
        <f t="shared" si="348"/>
        <v>0</v>
      </c>
      <c r="AA1072" s="5">
        <f t="shared" si="349"/>
        <v>0</v>
      </c>
      <c r="AB1072" s="5">
        <f t="shared" si="339"/>
        <v>6.0606060606060608E-2</v>
      </c>
    </row>
    <row r="1073" spans="4:28" x14ac:dyDescent="0.25">
      <c r="D1073" t="s">
        <v>86</v>
      </c>
      <c r="E1073" s="64"/>
      <c r="F1073" s="64"/>
      <c r="G1073">
        <f>IFERROR(HLOOKUP(G$2,[34]table_male_hkom3_inj.U5!$A$1:$K$36,18,FALSE),0)</f>
        <v>0</v>
      </c>
      <c r="H1073">
        <f>IFERROR(HLOOKUP(H$2,[34]table_male_hkom3_inj.U5!$A$1:$K$36,18,FALSE),0)</f>
        <v>0</v>
      </c>
      <c r="I1073">
        <f>IFERROR(HLOOKUP(I$2,[34]table_male_hkom3_inj.U5!$A$1:$K$36,18,FALSE),0)</f>
        <v>0</v>
      </c>
      <c r="J1073">
        <f>IFERROR(HLOOKUP(J$2,[34]table_male_hkom3_inj.U5!$A$1:$K$36,18,FALSE),0)</f>
        <v>0</v>
      </c>
      <c r="K1073">
        <f>IFERROR(HLOOKUP(K$2,[34]table_male_hkom3_inj.U5!$A$1:$K$36,18,FALSE),0)</f>
        <v>0</v>
      </c>
      <c r="L1073">
        <f>IFERROR(HLOOKUP(L$2,[34]table_male_hkom3_inj.U5!$A$1:$K$36,18,FALSE),0)</f>
        <v>0</v>
      </c>
      <c r="M1073">
        <f t="shared" si="341"/>
        <v>0</v>
      </c>
      <c r="S1073" t="s">
        <v>86</v>
      </c>
      <c r="T1073" s="5">
        <f t="shared" si="342"/>
        <v>0</v>
      </c>
      <c r="U1073" s="5">
        <f t="shared" si="343"/>
        <v>0</v>
      </c>
      <c r="V1073" s="5">
        <f t="shared" si="344"/>
        <v>6.0606060606060608E-2</v>
      </c>
      <c r="W1073" s="5">
        <f t="shared" si="345"/>
        <v>0</v>
      </c>
      <c r="X1073" s="5">
        <f t="shared" si="346"/>
        <v>0</v>
      </c>
      <c r="Y1073" s="5">
        <f t="shared" si="347"/>
        <v>0</v>
      </c>
      <c r="Z1073" s="5">
        <f t="shared" si="348"/>
        <v>0</v>
      </c>
      <c r="AA1073" s="5">
        <f t="shared" si="349"/>
        <v>0</v>
      </c>
      <c r="AB1073" s="5">
        <f t="shared" si="339"/>
        <v>6.0606060606060608E-2</v>
      </c>
    </row>
    <row r="1074" spans="4:28" x14ac:dyDescent="0.25">
      <c r="D1074" t="s">
        <v>87</v>
      </c>
      <c r="E1074" s="64"/>
      <c r="F1074" s="64"/>
      <c r="G1074">
        <f>IFERROR(HLOOKUP(G$2,[34]table_male_hkom3_inj.U5!$A$1:$K$36,19,FALSE),0)</f>
        <v>0</v>
      </c>
      <c r="H1074">
        <f>IFERROR(HLOOKUP(H$2,[34]table_male_hkom3_inj.U5!$A$1:$K$36,19,FALSE),0)</f>
        <v>0</v>
      </c>
      <c r="I1074">
        <f>IFERROR(HLOOKUP(I$2,[34]table_male_hkom3_inj.U5!$A$1:$K$36,19,FALSE),0)</f>
        <v>0</v>
      </c>
      <c r="J1074">
        <f>IFERROR(HLOOKUP(J$2,[34]table_male_hkom3_inj.U5!$A$1:$K$36,19,FALSE),0)</f>
        <v>0</v>
      </c>
      <c r="K1074">
        <f>IFERROR(HLOOKUP(K$2,[34]table_male_hkom3_inj.U5!$A$1:$K$36,19,FALSE),0)</f>
        <v>0</v>
      </c>
      <c r="L1074">
        <f>IFERROR(HLOOKUP(L$2,[34]table_male_hkom3_inj.U5!$A$1:$K$36,19,FALSE),0)</f>
        <v>0</v>
      </c>
      <c r="M1074">
        <f t="shared" si="341"/>
        <v>0</v>
      </c>
      <c r="S1074" t="s">
        <v>87</v>
      </c>
      <c r="T1074" s="5">
        <f t="shared" si="342"/>
        <v>0</v>
      </c>
      <c r="U1074" s="5">
        <f t="shared" si="343"/>
        <v>0</v>
      </c>
      <c r="V1074" s="5">
        <f t="shared" si="344"/>
        <v>6.0606060606060608E-2</v>
      </c>
      <c r="W1074" s="5">
        <f t="shared" si="345"/>
        <v>0</v>
      </c>
      <c r="X1074" s="5">
        <f t="shared" si="346"/>
        <v>0</v>
      </c>
      <c r="Y1074" s="5">
        <f t="shared" si="347"/>
        <v>0</v>
      </c>
      <c r="Z1074" s="5">
        <f t="shared" si="348"/>
        <v>0</v>
      </c>
      <c r="AA1074" s="5">
        <f t="shared" si="349"/>
        <v>0</v>
      </c>
      <c r="AB1074" s="5">
        <f t="shared" si="339"/>
        <v>6.0606060606060608E-2</v>
      </c>
    </row>
    <row r="1075" spans="4:28" x14ac:dyDescent="0.25">
      <c r="D1075" t="s">
        <v>88</v>
      </c>
      <c r="E1075" s="64"/>
      <c r="F1075" s="64"/>
      <c r="G1075">
        <f>IFERROR(HLOOKUP(G$2,[34]table_male_hkom3_inj.U5!$A$1:$K$36,20,FALSE),0)</f>
        <v>0</v>
      </c>
      <c r="H1075">
        <f>IFERROR(HLOOKUP(H$2,[34]table_male_hkom3_inj.U5!$A$1:$K$36,20,FALSE),0)</f>
        <v>1</v>
      </c>
      <c r="I1075">
        <f>IFERROR(HLOOKUP(I$2,[34]table_male_hkom3_inj.U5!$A$1:$K$36,20,FALSE),0)</f>
        <v>0</v>
      </c>
      <c r="J1075">
        <f>IFERROR(HLOOKUP(J$2,[34]table_male_hkom3_inj.U5!$A$1:$K$36,20,FALSE),0)</f>
        <v>0</v>
      </c>
      <c r="K1075">
        <f>IFERROR(HLOOKUP(K$2,[34]table_male_hkom3_inj.U5!$A$1:$K$36,20,FALSE),0)</f>
        <v>0</v>
      </c>
      <c r="L1075">
        <f>IFERROR(HLOOKUP(L$2,[34]table_male_hkom3_inj.U5!$A$1:$K$36,20,FALSE),0)</f>
        <v>0</v>
      </c>
      <c r="M1075">
        <f t="shared" si="341"/>
        <v>1</v>
      </c>
      <c r="S1075" t="s">
        <v>88</v>
      </c>
      <c r="T1075" s="5">
        <f t="shared" si="342"/>
        <v>0</v>
      </c>
      <c r="U1075" s="5">
        <f t="shared" si="343"/>
        <v>0</v>
      </c>
      <c r="V1075" s="5">
        <f t="shared" si="344"/>
        <v>6.0606060606060608E-2</v>
      </c>
      <c r="W1075" s="5">
        <f t="shared" si="345"/>
        <v>4</v>
      </c>
      <c r="X1075" s="5">
        <f t="shared" si="346"/>
        <v>0</v>
      </c>
      <c r="Y1075" s="5">
        <f t="shared" si="347"/>
        <v>0</v>
      </c>
      <c r="Z1075" s="5">
        <f t="shared" si="348"/>
        <v>0</v>
      </c>
      <c r="AA1075" s="5">
        <f t="shared" si="349"/>
        <v>0</v>
      </c>
      <c r="AB1075" s="5">
        <f t="shared" si="339"/>
        <v>4.0606060606060606</v>
      </c>
    </row>
    <row r="1076" spans="4:28" x14ac:dyDescent="0.25">
      <c r="D1076" t="s">
        <v>89</v>
      </c>
      <c r="E1076" s="64"/>
      <c r="F1076" s="64"/>
      <c r="G1076">
        <f>IFERROR(HLOOKUP(G$2,[34]table_male_hkom3_inj.U5!$A$1:$K$36,21,FALSE),0)</f>
        <v>0</v>
      </c>
      <c r="H1076">
        <f>IFERROR(HLOOKUP(H$2,[34]table_male_hkom3_inj.U5!$A$1:$K$36,21,FALSE),0)</f>
        <v>0</v>
      </c>
      <c r="I1076">
        <f>IFERROR(HLOOKUP(I$2,[34]table_male_hkom3_inj.U5!$A$1:$K$36,21,FALSE),0)</f>
        <v>0</v>
      </c>
      <c r="J1076">
        <f>IFERROR(HLOOKUP(J$2,[34]table_male_hkom3_inj.U5!$A$1:$K$36,21,FALSE),0)</f>
        <v>0</v>
      </c>
      <c r="K1076">
        <f>IFERROR(HLOOKUP(K$2,[34]table_male_hkom3_inj.U5!$A$1:$K$36,21,FALSE),0)</f>
        <v>0</v>
      </c>
      <c r="L1076">
        <f>IFERROR(HLOOKUP(L$2,[34]table_male_hkom3_inj.U5!$A$1:$K$36,21,FALSE),0)</f>
        <v>0</v>
      </c>
      <c r="M1076">
        <f t="shared" si="341"/>
        <v>0</v>
      </c>
      <c r="S1076" t="s">
        <v>89</v>
      </c>
      <c r="T1076" s="5">
        <f t="shared" si="342"/>
        <v>0</v>
      </c>
      <c r="U1076" s="5">
        <f t="shared" si="343"/>
        <v>0</v>
      </c>
      <c r="V1076" s="5">
        <f t="shared" si="344"/>
        <v>6.0606060606060608E-2</v>
      </c>
      <c r="W1076" s="5">
        <f t="shared" si="345"/>
        <v>0</v>
      </c>
      <c r="X1076" s="5">
        <f t="shared" si="346"/>
        <v>0</v>
      </c>
      <c r="Y1076" s="5">
        <f t="shared" si="347"/>
        <v>0</v>
      </c>
      <c r="Z1076" s="5">
        <f t="shared" si="348"/>
        <v>0</v>
      </c>
      <c r="AA1076" s="5">
        <f t="shared" si="349"/>
        <v>0</v>
      </c>
      <c r="AB1076" s="5">
        <f t="shared" si="339"/>
        <v>6.0606060606060608E-2</v>
      </c>
    </row>
    <row r="1077" spans="4:28" x14ac:dyDescent="0.25">
      <c r="D1077" t="s">
        <v>90</v>
      </c>
      <c r="E1077" s="64"/>
      <c r="F1077" s="64"/>
      <c r="G1077">
        <f>IFERROR(HLOOKUP(G$2,[34]table_male_hkom3_inj.U5!$A$1:$K$36,22,FALSE),0)</f>
        <v>0</v>
      </c>
      <c r="H1077">
        <f>IFERROR(HLOOKUP(H$2,[34]table_male_hkom3_inj.U5!$A$1:$K$36,22,FALSE),0)</f>
        <v>0</v>
      </c>
      <c r="I1077">
        <f>IFERROR(HLOOKUP(I$2,[34]table_male_hkom3_inj.U5!$A$1:$K$36,22,FALSE),0)</f>
        <v>0</v>
      </c>
      <c r="J1077">
        <f>IFERROR(HLOOKUP(J$2,[34]table_male_hkom3_inj.U5!$A$1:$K$36,22,FALSE),0)</f>
        <v>0</v>
      </c>
      <c r="K1077">
        <f>IFERROR(HLOOKUP(K$2,[34]table_male_hkom3_inj.U5!$A$1:$K$36,22,FALSE),0)</f>
        <v>0</v>
      </c>
      <c r="L1077">
        <f>IFERROR(HLOOKUP(L$2,[34]table_male_hkom3_inj.U5!$A$1:$K$36,22,FALSE),0)</f>
        <v>0</v>
      </c>
      <c r="M1077">
        <f t="shared" si="341"/>
        <v>0</v>
      </c>
      <c r="S1077" t="s">
        <v>90</v>
      </c>
      <c r="T1077" s="5">
        <f t="shared" si="342"/>
        <v>0</v>
      </c>
      <c r="U1077" s="5">
        <f t="shared" si="343"/>
        <v>0</v>
      </c>
      <c r="V1077" s="5">
        <f t="shared" si="344"/>
        <v>6.0606060606060608E-2</v>
      </c>
      <c r="W1077" s="5">
        <f t="shared" si="345"/>
        <v>0</v>
      </c>
      <c r="X1077" s="5">
        <f t="shared" si="346"/>
        <v>0</v>
      </c>
      <c r="Y1077" s="5">
        <f t="shared" si="347"/>
        <v>0</v>
      </c>
      <c r="Z1077" s="5">
        <f t="shared" si="348"/>
        <v>0</v>
      </c>
      <c r="AA1077" s="5">
        <f t="shared" si="349"/>
        <v>0</v>
      </c>
      <c r="AB1077" s="5">
        <f t="shared" si="339"/>
        <v>6.0606060606060608E-2</v>
      </c>
    </row>
    <row r="1078" spans="4:28" x14ac:dyDescent="0.25">
      <c r="D1078" t="s">
        <v>91</v>
      </c>
      <c r="E1078" s="64"/>
      <c r="F1078" s="64"/>
      <c r="G1078">
        <f>IFERROR(HLOOKUP(G$2,[34]table_male_hkom3_inj.U5!$A$1:$K$36,23,FALSE),0)</f>
        <v>0</v>
      </c>
      <c r="H1078">
        <f>IFERROR(HLOOKUP(H$2,[34]table_male_hkom3_inj.U5!$A$1:$K$36,23,FALSE),0)</f>
        <v>0</v>
      </c>
      <c r="I1078">
        <f>IFERROR(HLOOKUP(I$2,[34]table_male_hkom3_inj.U5!$A$1:$K$36,23,FALSE),0)</f>
        <v>0</v>
      </c>
      <c r="J1078">
        <f>IFERROR(HLOOKUP(J$2,[34]table_male_hkom3_inj.U5!$A$1:$K$36,23,FALSE),0)</f>
        <v>0</v>
      </c>
      <c r="K1078">
        <f>IFERROR(HLOOKUP(K$2,[34]table_male_hkom3_inj.U5!$A$1:$K$36,23,FALSE),0)</f>
        <v>0</v>
      </c>
      <c r="L1078">
        <f>IFERROR(HLOOKUP(L$2,[34]table_male_hkom3_inj.U5!$A$1:$K$36,23,FALSE),0)</f>
        <v>0</v>
      </c>
      <c r="M1078">
        <f t="shared" si="341"/>
        <v>0</v>
      </c>
      <c r="S1078" t="s">
        <v>91</v>
      </c>
      <c r="T1078" s="5">
        <f t="shared" si="342"/>
        <v>0</v>
      </c>
      <c r="U1078" s="5">
        <f t="shared" si="343"/>
        <v>0</v>
      </c>
      <c r="V1078" s="5">
        <f t="shared" si="344"/>
        <v>6.0606060606060608E-2</v>
      </c>
      <c r="W1078" s="5">
        <f t="shared" si="345"/>
        <v>0</v>
      </c>
      <c r="X1078" s="5">
        <f t="shared" si="346"/>
        <v>0</v>
      </c>
      <c r="Y1078" s="5">
        <f t="shared" si="347"/>
        <v>0</v>
      </c>
      <c r="Z1078" s="5">
        <f t="shared" si="348"/>
        <v>0</v>
      </c>
      <c r="AA1078" s="5">
        <f t="shared" si="349"/>
        <v>0</v>
      </c>
      <c r="AB1078" s="5">
        <f t="shared" si="339"/>
        <v>6.0606060606060608E-2</v>
      </c>
    </row>
    <row r="1079" spans="4:28" x14ac:dyDescent="0.25">
      <c r="D1079" t="s">
        <v>92</v>
      </c>
      <c r="E1079" s="64"/>
      <c r="F1079" s="64"/>
      <c r="G1079">
        <f>IFERROR(HLOOKUP(G$2,[34]table_male_hkom3_inj.U5!$A$1:$K$36,24,FALSE),0)</f>
        <v>0</v>
      </c>
      <c r="H1079">
        <f>IFERROR(HLOOKUP(H$2,[34]table_male_hkom3_inj.U5!$A$1:$K$36,24,FALSE),0)</f>
        <v>0</v>
      </c>
      <c r="I1079">
        <f>IFERROR(HLOOKUP(I$2,[34]table_male_hkom3_inj.U5!$A$1:$K$36,24,FALSE),0)</f>
        <v>0</v>
      </c>
      <c r="J1079">
        <f>IFERROR(HLOOKUP(J$2,[34]table_male_hkom3_inj.U5!$A$1:$K$36,24,FALSE),0)</f>
        <v>0</v>
      </c>
      <c r="K1079">
        <f>IFERROR(HLOOKUP(K$2,[34]table_male_hkom3_inj.U5!$A$1:$K$36,24,FALSE),0)</f>
        <v>0</v>
      </c>
      <c r="L1079">
        <f>IFERROR(HLOOKUP(L$2,[34]table_male_hkom3_inj.U5!$A$1:$K$36,24,FALSE),0)</f>
        <v>0</v>
      </c>
      <c r="M1079">
        <f t="shared" si="341"/>
        <v>0</v>
      </c>
      <c r="S1079" t="s">
        <v>92</v>
      </c>
      <c r="T1079" s="5">
        <f t="shared" si="342"/>
        <v>0</v>
      </c>
      <c r="U1079" s="5">
        <f t="shared" si="343"/>
        <v>0</v>
      </c>
      <c r="V1079" s="5">
        <f t="shared" si="344"/>
        <v>6.0606060606060608E-2</v>
      </c>
      <c r="W1079" s="5">
        <f t="shared" si="345"/>
        <v>0</v>
      </c>
      <c r="X1079" s="5">
        <f t="shared" si="346"/>
        <v>0</v>
      </c>
      <c r="Y1079" s="5">
        <f t="shared" si="347"/>
        <v>0</v>
      </c>
      <c r="Z1079" s="5">
        <f t="shared" si="348"/>
        <v>0</v>
      </c>
      <c r="AA1079" s="5">
        <f t="shared" si="349"/>
        <v>0</v>
      </c>
      <c r="AB1079" s="5">
        <f t="shared" si="339"/>
        <v>6.0606060606060608E-2</v>
      </c>
    </row>
    <row r="1080" spans="4:28" x14ac:dyDescent="0.25">
      <c r="D1080" t="s">
        <v>93</v>
      </c>
      <c r="E1080" s="64"/>
      <c r="F1080" s="64"/>
      <c r="G1080">
        <f>IFERROR(HLOOKUP(G$2,[34]table_male_hkom3_inj.U5!$A$1:$K$36,25,FALSE),0)</f>
        <v>0</v>
      </c>
      <c r="H1080">
        <f>IFERROR(HLOOKUP(H$2,[34]table_male_hkom3_inj.U5!$A$1:$K$36,25,FALSE),0)</f>
        <v>0</v>
      </c>
      <c r="I1080">
        <f>IFERROR(HLOOKUP(I$2,[34]table_male_hkom3_inj.U5!$A$1:$K$36,25,FALSE),0)</f>
        <v>0</v>
      </c>
      <c r="J1080">
        <f>IFERROR(HLOOKUP(J$2,[34]table_male_hkom3_inj.U5!$A$1:$K$36,25,FALSE),0)</f>
        <v>0</v>
      </c>
      <c r="K1080">
        <f>IFERROR(HLOOKUP(K$2,[34]table_male_hkom3_inj.U5!$A$1:$K$36,25,FALSE),0)</f>
        <v>0</v>
      </c>
      <c r="L1080">
        <f>IFERROR(HLOOKUP(L$2,[34]table_male_hkom3_inj.U5!$A$1:$K$36,25,FALSE),0)</f>
        <v>0</v>
      </c>
      <c r="M1080">
        <f t="shared" si="341"/>
        <v>0</v>
      </c>
      <c r="S1080" t="s">
        <v>93</v>
      </c>
      <c r="T1080" s="5">
        <f t="shared" si="342"/>
        <v>0</v>
      </c>
      <c r="U1080" s="5">
        <f t="shared" si="343"/>
        <v>0</v>
      </c>
      <c r="V1080" s="5">
        <f t="shared" si="344"/>
        <v>6.0606060606060608E-2</v>
      </c>
      <c r="W1080" s="5">
        <f t="shared" si="345"/>
        <v>0</v>
      </c>
      <c r="X1080" s="5">
        <f t="shared" si="346"/>
        <v>0</v>
      </c>
      <c r="Y1080" s="5">
        <f t="shared" si="347"/>
        <v>0</v>
      </c>
      <c r="Z1080" s="5">
        <f t="shared" si="348"/>
        <v>0</v>
      </c>
      <c r="AA1080" s="5">
        <f t="shared" si="349"/>
        <v>0</v>
      </c>
      <c r="AB1080" s="5">
        <f t="shared" si="339"/>
        <v>6.0606060606060608E-2</v>
      </c>
    </row>
    <row r="1081" spans="4:28" x14ac:dyDescent="0.25">
      <c r="D1081" t="s">
        <v>94</v>
      </c>
      <c r="E1081" s="64"/>
      <c r="F1081" s="64"/>
      <c r="G1081">
        <f>IFERROR(HLOOKUP(G$2,[34]table_male_hkom3_inj.U5!$A$1:$K$36,26,FALSE),0)</f>
        <v>0</v>
      </c>
      <c r="H1081">
        <f>IFERROR(HLOOKUP(H$2,[34]table_male_hkom3_inj.U5!$A$1:$K$36,26,FALSE),0)</f>
        <v>0</v>
      </c>
      <c r="I1081">
        <f>IFERROR(HLOOKUP(I$2,[34]table_male_hkom3_inj.U5!$A$1:$K$36,26,FALSE),0)</f>
        <v>0</v>
      </c>
      <c r="J1081">
        <f>IFERROR(HLOOKUP(J$2,[34]table_male_hkom3_inj.U5!$A$1:$K$36,26,FALSE),0)</f>
        <v>0</v>
      </c>
      <c r="K1081">
        <f>IFERROR(HLOOKUP(K$2,[34]table_male_hkom3_inj.U5!$A$1:$K$36,26,FALSE),0)</f>
        <v>0</v>
      </c>
      <c r="L1081">
        <f>IFERROR(HLOOKUP(L$2,[34]table_male_hkom3_inj.U5!$A$1:$K$36,26,FALSE),0)</f>
        <v>0</v>
      </c>
      <c r="M1081">
        <f t="shared" si="341"/>
        <v>0</v>
      </c>
      <c r="S1081" t="s">
        <v>94</v>
      </c>
      <c r="T1081" s="5">
        <f t="shared" si="342"/>
        <v>0</v>
      </c>
      <c r="U1081" s="5">
        <f t="shared" si="343"/>
        <v>0</v>
      </c>
      <c r="V1081" s="5">
        <f t="shared" si="344"/>
        <v>6.0606060606060608E-2</v>
      </c>
      <c r="W1081" s="5">
        <f t="shared" si="345"/>
        <v>0</v>
      </c>
      <c r="X1081" s="5">
        <f t="shared" si="346"/>
        <v>0</v>
      </c>
      <c r="Y1081" s="5">
        <f t="shared" si="347"/>
        <v>0</v>
      </c>
      <c r="Z1081" s="5">
        <f t="shared" si="348"/>
        <v>0</v>
      </c>
      <c r="AA1081" s="5">
        <f t="shared" si="349"/>
        <v>0</v>
      </c>
      <c r="AB1081" s="5">
        <f t="shared" si="339"/>
        <v>6.0606060606060608E-2</v>
      </c>
    </row>
    <row r="1082" spans="4:28" x14ac:dyDescent="0.25">
      <c r="D1082" t="s">
        <v>95</v>
      </c>
      <c r="E1082" s="64"/>
      <c r="F1082" s="64"/>
      <c r="G1082">
        <f>IFERROR(HLOOKUP(G$2,[34]table_male_hkom3_inj.U5!$A$1:$K$36,27,FALSE),0)</f>
        <v>0</v>
      </c>
      <c r="H1082">
        <f>IFERROR(HLOOKUP(H$2,[34]table_male_hkom3_inj.U5!$A$1:$K$36,27,FALSE),0)</f>
        <v>0</v>
      </c>
      <c r="I1082">
        <f>IFERROR(HLOOKUP(I$2,[34]table_male_hkom3_inj.U5!$A$1:$K$36,27,FALSE),0)</f>
        <v>0</v>
      </c>
      <c r="J1082">
        <f>IFERROR(HLOOKUP(J$2,[34]table_male_hkom3_inj.U5!$A$1:$K$36,27,FALSE),0)</f>
        <v>0</v>
      </c>
      <c r="K1082">
        <f>IFERROR(HLOOKUP(K$2,[34]table_male_hkom3_inj.U5!$A$1:$K$36,27,FALSE),0)</f>
        <v>0</v>
      </c>
      <c r="L1082">
        <f>IFERROR(HLOOKUP(L$2,[34]table_male_hkom3_inj.U5!$A$1:$K$36,27,FALSE),0)</f>
        <v>0</v>
      </c>
      <c r="M1082">
        <f t="shared" si="341"/>
        <v>0</v>
      </c>
      <c r="S1082" t="s">
        <v>95</v>
      </c>
      <c r="T1082" s="5">
        <f t="shared" si="342"/>
        <v>0</v>
      </c>
      <c r="U1082" s="5">
        <f t="shared" si="343"/>
        <v>0</v>
      </c>
      <c r="V1082" s="5">
        <f t="shared" si="344"/>
        <v>6.0606060606060608E-2</v>
      </c>
      <c r="W1082" s="5">
        <f t="shared" si="345"/>
        <v>0</v>
      </c>
      <c r="X1082" s="5">
        <f t="shared" si="346"/>
        <v>0</v>
      </c>
      <c r="Y1082" s="5">
        <f t="shared" si="347"/>
        <v>0</v>
      </c>
      <c r="Z1082" s="5">
        <f t="shared" si="348"/>
        <v>0</v>
      </c>
      <c r="AA1082" s="5">
        <f t="shared" si="349"/>
        <v>0</v>
      </c>
      <c r="AB1082" s="5">
        <f t="shared" si="339"/>
        <v>6.0606060606060608E-2</v>
      </c>
    </row>
    <row r="1083" spans="4:28" x14ac:dyDescent="0.25">
      <c r="D1083" t="s">
        <v>96</v>
      </c>
      <c r="E1083" s="64"/>
      <c r="F1083" s="64"/>
      <c r="G1083">
        <f>IFERROR(HLOOKUP(G$2,[34]table_male_hkom3_inj.U5!$A$1:$K$36,28,FALSE),0)</f>
        <v>0</v>
      </c>
      <c r="H1083">
        <f>IFERROR(HLOOKUP(H$2,[34]table_male_hkom3_inj.U5!$A$1:$K$36,28,FALSE),0)</f>
        <v>0</v>
      </c>
      <c r="I1083">
        <f>IFERROR(HLOOKUP(I$2,[34]table_male_hkom3_inj.U5!$A$1:$K$36,28,FALSE),0)</f>
        <v>0</v>
      </c>
      <c r="J1083">
        <f>IFERROR(HLOOKUP(J$2,[34]table_male_hkom3_inj.U5!$A$1:$K$36,28,FALSE),0)</f>
        <v>0</v>
      </c>
      <c r="K1083">
        <f>IFERROR(HLOOKUP(K$2,[34]table_male_hkom3_inj.U5!$A$1:$K$36,28,FALSE),0)</f>
        <v>0</v>
      </c>
      <c r="L1083">
        <f>IFERROR(HLOOKUP(L$2,[34]table_male_hkom3_inj.U5!$A$1:$K$36,28,FALSE),0)</f>
        <v>0</v>
      </c>
      <c r="M1083">
        <f t="shared" si="341"/>
        <v>0</v>
      </c>
      <c r="S1083" t="s">
        <v>96</v>
      </c>
      <c r="T1083" s="5">
        <f t="shared" si="342"/>
        <v>0</v>
      </c>
      <c r="U1083" s="5">
        <f t="shared" si="343"/>
        <v>0</v>
      </c>
      <c r="V1083" s="5">
        <f t="shared" si="344"/>
        <v>6.0606060606060608E-2</v>
      </c>
      <c r="W1083" s="5">
        <f t="shared" si="345"/>
        <v>0</v>
      </c>
      <c r="X1083" s="5">
        <f t="shared" si="346"/>
        <v>0</v>
      </c>
      <c r="Y1083" s="5">
        <f t="shared" si="347"/>
        <v>0</v>
      </c>
      <c r="Z1083" s="5">
        <f t="shared" si="348"/>
        <v>0</v>
      </c>
      <c r="AA1083" s="5">
        <f t="shared" si="349"/>
        <v>0</v>
      </c>
      <c r="AB1083" s="5">
        <f t="shared" si="339"/>
        <v>6.0606060606060608E-2</v>
      </c>
    </row>
    <row r="1084" spans="4:28" x14ac:dyDescent="0.25">
      <c r="D1084" t="s">
        <v>97</v>
      </c>
      <c r="E1084" s="64"/>
      <c r="F1084" s="64"/>
      <c r="G1084">
        <f>IFERROR(HLOOKUP(G$2,[34]table_male_hkom3_inj.U5!$A$1:$K$36,29,FALSE),0)</f>
        <v>0</v>
      </c>
      <c r="H1084">
        <f>IFERROR(HLOOKUP(H$2,[34]table_male_hkom3_inj.U5!$A$1:$K$36,29,FALSE),0)</f>
        <v>0</v>
      </c>
      <c r="I1084">
        <f>IFERROR(HLOOKUP(I$2,[34]table_male_hkom3_inj.U5!$A$1:$K$36,29,FALSE),0)</f>
        <v>0</v>
      </c>
      <c r="J1084">
        <f>IFERROR(HLOOKUP(J$2,[34]table_male_hkom3_inj.U5!$A$1:$K$36,29,FALSE),0)</f>
        <v>0</v>
      </c>
      <c r="K1084">
        <f>IFERROR(HLOOKUP(K$2,[34]table_male_hkom3_inj.U5!$A$1:$K$36,29,FALSE),0)</f>
        <v>0</v>
      </c>
      <c r="L1084">
        <f>IFERROR(HLOOKUP(L$2,[34]table_male_hkom3_inj.U5!$A$1:$K$36,29,FALSE),0)</f>
        <v>0</v>
      </c>
      <c r="M1084">
        <f t="shared" si="341"/>
        <v>0</v>
      </c>
      <c r="S1084" t="s">
        <v>97</v>
      </c>
      <c r="T1084" s="5">
        <f t="shared" si="342"/>
        <v>0</v>
      </c>
      <c r="U1084" s="5">
        <f t="shared" si="343"/>
        <v>0</v>
      </c>
      <c r="V1084" s="5">
        <f t="shared" si="344"/>
        <v>6.0606060606060608E-2</v>
      </c>
      <c r="W1084" s="5">
        <f t="shared" si="345"/>
        <v>0</v>
      </c>
      <c r="X1084" s="5">
        <f t="shared" si="346"/>
        <v>0</v>
      </c>
      <c r="Y1084" s="5">
        <f t="shared" si="347"/>
        <v>0</v>
      </c>
      <c r="Z1084" s="5">
        <f t="shared" si="348"/>
        <v>0</v>
      </c>
      <c r="AA1084" s="5">
        <f t="shared" si="349"/>
        <v>0</v>
      </c>
      <c r="AB1084" s="5">
        <f t="shared" si="339"/>
        <v>6.0606060606060608E-2</v>
      </c>
    </row>
    <row r="1085" spans="4:28" x14ac:dyDescent="0.25">
      <c r="D1085" t="s">
        <v>98</v>
      </c>
      <c r="E1085" s="64"/>
      <c r="F1085" s="64"/>
      <c r="G1085">
        <f>IFERROR(HLOOKUP(G$2,[34]table_male_hkom3_inj.U5!$A$1:$K$36,30,FALSE),0)</f>
        <v>0</v>
      </c>
      <c r="H1085">
        <f>IFERROR(HLOOKUP(H$2,[34]table_male_hkom3_inj.U5!$A$1:$K$36,30,FALSE),0)</f>
        <v>0</v>
      </c>
      <c r="I1085">
        <f>IFERROR(HLOOKUP(I$2,[34]table_male_hkom3_inj.U5!$A$1:$K$36,30,FALSE),0)</f>
        <v>0</v>
      </c>
      <c r="J1085">
        <f>IFERROR(HLOOKUP(J$2,[34]table_male_hkom3_inj.U5!$A$1:$K$36,30,FALSE),0)</f>
        <v>0</v>
      </c>
      <c r="K1085">
        <f>IFERROR(HLOOKUP(K$2,[34]table_male_hkom3_inj.U5!$A$1:$K$36,30,FALSE),0)</f>
        <v>0</v>
      </c>
      <c r="L1085">
        <f>IFERROR(HLOOKUP(L$2,[34]table_male_hkom3_inj.U5!$A$1:$K$36,30,FALSE),0)</f>
        <v>0</v>
      </c>
      <c r="M1085">
        <f t="shared" si="341"/>
        <v>0</v>
      </c>
      <c r="S1085" t="s">
        <v>98</v>
      </c>
      <c r="T1085" s="5">
        <f t="shared" si="342"/>
        <v>0</v>
      </c>
      <c r="U1085" s="5">
        <f t="shared" si="343"/>
        <v>0</v>
      </c>
      <c r="V1085" s="5">
        <f t="shared" si="344"/>
        <v>6.0606060606060608E-2</v>
      </c>
      <c r="W1085" s="5">
        <f t="shared" si="345"/>
        <v>0</v>
      </c>
      <c r="X1085" s="5">
        <f t="shared" si="346"/>
        <v>0</v>
      </c>
      <c r="Y1085" s="5">
        <f t="shared" si="347"/>
        <v>0</v>
      </c>
      <c r="Z1085" s="5">
        <f t="shared" si="348"/>
        <v>0</v>
      </c>
      <c r="AA1085" s="5">
        <f t="shared" si="349"/>
        <v>0</v>
      </c>
      <c r="AB1085" s="5">
        <f t="shared" si="339"/>
        <v>6.0606060606060608E-2</v>
      </c>
    </row>
    <row r="1086" spans="4:28" x14ac:dyDescent="0.25">
      <c r="D1086" t="s">
        <v>119</v>
      </c>
      <c r="E1086" s="64"/>
      <c r="F1086" s="64"/>
      <c r="G1086">
        <f>IFERROR(HLOOKUP(G$2,[34]table_male_hkom3_inj.U5!$A$1:$K$36,31,FALSE),0)</f>
        <v>0</v>
      </c>
      <c r="H1086">
        <f>IFERROR(HLOOKUP(H$2,[34]table_male_hkom3_inj.U5!$A$1:$K$36,31,FALSE),0)</f>
        <v>0</v>
      </c>
      <c r="I1086">
        <f>IFERROR(HLOOKUP(I$2,[34]table_male_hkom3_inj.U5!$A$1:$K$36,31,FALSE),0)</f>
        <v>0</v>
      </c>
      <c r="J1086">
        <f>IFERROR(HLOOKUP(J$2,[34]table_male_hkom3_inj.U5!$A$1:$K$36,31,FALSE),0)</f>
        <v>0</v>
      </c>
      <c r="K1086">
        <f>IFERROR(HLOOKUP(K$2,[34]table_male_hkom3_inj.U5!$A$1:$K$36,31,FALSE),0)</f>
        <v>0</v>
      </c>
      <c r="L1086">
        <f>IFERROR(HLOOKUP(L$2,[34]table_male_hkom3_inj.U5!$A$1:$K$36,31,FALSE),0)</f>
        <v>0</v>
      </c>
      <c r="M1086">
        <f t="shared" si="341"/>
        <v>0</v>
      </c>
      <c r="S1086" t="s">
        <v>119</v>
      </c>
      <c r="T1086" s="5">
        <f t="shared" si="342"/>
        <v>0</v>
      </c>
      <c r="U1086" s="5">
        <f t="shared" si="343"/>
        <v>0</v>
      </c>
      <c r="V1086" s="5">
        <f t="shared" si="344"/>
        <v>6.0606060606060608E-2</v>
      </c>
      <c r="W1086" s="5">
        <f t="shared" si="345"/>
        <v>0</v>
      </c>
      <c r="X1086" s="5">
        <f t="shared" si="346"/>
        <v>0</v>
      </c>
      <c r="Y1086" s="5">
        <f t="shared" si="347"/>
        <v>0</v>
      </c>
      <c r="Z1086" s="5">
        <f t="shared" si="348"/>
        <v>0</v>
      </c>
      <c r="AA1086" s="5">
        <f t="shared" si="349"/>
        <v>0</v>
      </c>
      <c r="AB1086" s="5">
        <f t="shared" si="339"/>
        <v>6.0606060606060608E-2</v>
      </c>
    </row>
    <row r="1087" spans="4:28" x14ac:dyDescent="0.25">
      <c r="D1087" t="s">
        <v>99</v>
      </c>
      <c r="E1087" s="64"/>
      <c r="F1087" s="64"/>
      <c r="G1087">
        <f>IFERROR(HLOOKUP(G$2,[34]table_male_hkom3_inj.U5!$A$1:$K$36,32,FALSE),0)</f>
        <v>0</v>
      </c>
      <c r="H1087">
        <f>IFERROR(HLOOKUP(H$2,[34]table_male_hkom3_inj.U5!$A$1:$K$36,32,FALSE),0)</f>
        <v>0</v>
      </c>
      <c r="I1087">
        <f>IFERROR(HLOOKUP(I$2,[34]table_male_hkom3_inj.U5!$A$1:$K$36,32,FALSE),0)</f>
        <v>0</v>
      </c>
      <c r="J1087">
        <f>IFERROR(HLOOKUP(J$2,[34]table_male_hkom3_inj.U5!$A$1:$K$36,32,FALSE),0)</f>
        <v>0</v>
      </c>
      <c r="K1087">
        <f>IFERROR(HLOOKUP(K$2,[34]table_male_hkom3_inj.U5!$A$1:$K$36,32,FALSE),0)</f>
        <v>0</v>
      </c>
      <c r="L1087">
        <f>IFERROR(HLOOKUP(L$2,[34]table_male_hkom3_inj.U5!$A$1:$K$36,32,FALSE),0)</f>
        <v>0</v>
      </c>
      <c r="M1087">
        <f t="shared" si="341"/>
        <v>0</v>
      </c>
      <c r="S1087" t="s">
        <v>99</v>
      </c>
      <c r="T1087" s="5">
        <f t="shared" si="342"/>
        <v>0</v>
      </c>
      <c r="U1087" s="5">
        <f t="shared" si="343"/>
        <v>0</v>
      </c>
      <c r="V1087" s="5">
        <f t="shared" si="344"/>
        <v>6.0606060606060608E-2</v>
      </c>
      <c r="W1087" s="5">
        <f t="shared" si="345"/>
        <v>0</v>
      </c>
      <c r="X1087" s="5">
        <f t="shared" si="346"/>
        <v>0</v>
      </c>
      <c r="Y1087" s="5">
        <f t="shared" si="347"/>
        <v>0</v>
      </c>
      <c r="Z1087" s="5">
        <f t="shared" si="348"/>
        <v>0</v>
      </c>
      <c r="AA1087" s="5">
        <f t="shared" si="349"/>
        <v>0</v>
      </c>
      <c r="AB1087" s="5">
        <f t="shared" si="339"/>
        <v>6.0606060606060608E-2</v>
      </c>
    </row>
    <row r="1088" spans="4:28" x14ac:dyDescent="0.25">
      <c r="D1088" t="s">
        <v>100</v>
      </c>
      <c r="E1088" s="64"/>
      <c r="F1088" s="64"/>
      <c r="G1088">
        <f>IFERROR(HLOOKUP(G$2,[34]table_male_hkom3_inj.U5!$A$1:$K$36,33,FALSE),0)</f>
        <v>0</v>
      </c>
      <c r="H1088">
        <f>IFERROR(HLOOKUP(H$2,[34]table_male_hkom3_inj.U5!$A$1:$K$36,33,FALSE),0)</f>
        <v>0</v>
      </c>
      <c r="I1088">
        <f>IFERROR(HLOOKUP(I$2,[34]table_male_hkom3_inj.U5!$A$1:$K$36,33,FALSE),0)</f>
        <v>0</v>
      </c>
      <c r="J1088">
        <f>IFERROR(HLOOKUP(J$2,[34]table_male_hkom3_inj.U5!$A$1:$K$36,33,FALSE),0)</f>
        <v>0</v>
      </c>
      <c r="K1088">
        <f>IFERROR(HLOOKUP(K$2,[34]table_male_hkom3_inj.U5!$A$1:$K$36,33,FALSE),0)</f>
        <v>0</v>
      </c>
      <c r="L1088">
        <f>IFERROR(HLOOKUP(L$2,[34]table_male_hkom3_inj.U5!$A$1:$K$36,33,FALSE),0)</f>
        <v>0</v>
      </c>
      <c r="M1088">
        <f t="shared" si="341"/>
        <v>0</v>
      </c>
      <c r="S1088" t="s">
        <v>100</v>
      </c>
      <c r="T1088" s="5">
        <f t="shared" si="342"/>
        <v>0</v>
      </c>
      <c r="U1088" s="5">
        <f t="shared" si="343"/>
        <v>0</v>
      </c>
      <c r="V1088" s="5">
        <f t="shared" si="344"/>
        <v>6.0606060606060608E-2</v>
      </c>
      <c r="W1088" s="5">
        <f t="shared" si="345"/>
        <v>0</v>
      </c>
      <c r="X1088" s="5">
        <f t="shared" si="346"/>
        <v>0</v>
      </c>
      <c r="Y1088" s="5">
        <f t="shared" si="347"/>
        <v>0</v>
      </c>
      <c r="Z1088" s="5">
        <f t="shared" si="348"/>
        <v>0</v>
      </c>
      <c r="AA1088" s="5">
        <f t="shared" si="349"/>
        <v>0</v>
      </c>
      <c r="AB1088" s="5">
        <f t="shared" si="339"/>
        <v>6.0606060606060608E-2</v>
      </c>
    </row>
    <row r="1089" spans="1:29" x14ac:dyDescent="0.25">
      <c r="D1089" t="s">
        <v>101</v>
      </c>
      <c r="E1089" s="64"/>
      <c r="F1089" s="64"/>
      <c r="G1089">
        <f>IFERROR(HLOOKUP(G$2,[34]table_male_hkom3_inj.U5!$A$1:$K$36,34,FALSE),0)</f>
        <v>0</v>
      </c>
      <c r="H1089">
        <f>IFERROR(HLOOKUP(H$2,[34]table_male_hkom3_inj.U5!$A$1:$K$36,34,FALSE),0)</f>
        <v>0</v>
      </c>
      <c r="I1089">
        <f>IFERROR(HLOOKUP(I$2,[34]table_male_hkom3_inj.U5!$A$1:$K$36,34,FALSE),0)</f>
        <v>0</v>
      </c>
      <c r="J1089">
        <f>IFERROR(HLOOKUP(J$2,[34]table_male_hkom3_inj.U5!$A$1:$K$36,34,FALSE),0)</f>
        <v>0</v>
      </c>
      <c r="K1089">
        <f>IFERROR(HLOOKUP(K$2,[34]table_male_hkom3_inj.U5!$A$1:$K$36,34,FALSE),0)</f>
        <v>0</v>
      </c>
      <c r="L1089">
        <f>IFERROR(HLOOKUP(L$2,[34]table_male_hkom3_inj.U5!$A$1:$K$36,34,FALSE),0)</f>
        <v>0</v>
      </c>
      <c r="M1089">
        <f t="shared" si="341"/>
        <v>0</v>
      </c>
      <c r="S1089" t="s">
        <v>101</v>
      </c>
      <c r="T1089" s="5">
        <f t="shared" si="342"/>
        <v>0</v>
      </c>
      <c r="U1089" s="5">
        <f t="shared" si="343"/>
        <v>0</v>
      </c>
      <c r="V1089" s="5">
        <f t="shared" si="344"/>
        <v>6.0606060606060608E-2</v>
      </c>
      <c r="W1089" s="5">
        <f t="shared" si="345"/>
        <v>0</v>
      </c>
      <c r="X1089" s="5">
        <f t="shared" si="346"/>
        <v>0</v>
      </c>
      <c r="Y1089" s="5">
        <f t="shared" si="347"/>
        <v>0</v>
      </c>
      <c r="Z1089" s="5">
        <f t="shared" si="348"/>
        <v>0</v>
      </c>
      <c r="AA1089" s="5">
        <f t="shared" si="349"/>
        <v>0</v>
      </c>
      <c r="AB1089" s="5">
        <f t="shared" si="339"/>
        <v>6.0606060606060608E-2</v>
      </c>
    </row>
    <row r="1090" spans="1:29" x14ac:dyDescent="0.25">
      <c r="D1090" t="s">
        <v>102</v>
      </c>
      <c r="E1090" s="64"/>
      <c r="F1090" s="64"/>
      <c r="G1090">
        <f>IFERROR(HLOOKUP(G$2,[34]table_male_hkom3_inj.U5!$A$1:$K$36,35,FALSE),0)</f>
        <v>2</v>
      </c>
      <c r="H1090">
        <f>IFERROR(HLOOKUP(H$2,[34]table_male_hkom3_inj.U5!$A$1:$K$36,35,FALSE),0)</f>
        <v>3</v>
      </c>
      <c r="I1090">
        <f>IFERROR(HLOOKUP(I$2,[34]table_male_hkom3_inj.U5!$A$1:$K$36,35,FALSE),0)</f>
        <v>0</v>
      </c>
      <c r="J1090">
        <f>IFERROR(HLOOKUP(J$2,[34]table_male_hkom3_inj.U5!$A$1:$K$36,35,FALSE),0)</f>
        <v>0</v>
      </c>
      <c r="K1090">
        <f>IFERROR(HLOOKUP(K$2,[34]table_male_hkom3_inj.U5!$A$1:$K$36,35,FALSE),0)</f>
        <v>0</v>
      </c>
      <c r="L1090">
        <f>IFERROR(HLOOKUP(L$2,[34]table_male_hkom3_inj.U5!$A$1:$K$36,35,FALSE),0)</f>
        <v>0</v>
      </c>
      <c r="M1090">
        <f t="shared" si="341"/>
        <v>5</v>
      </c>
      <c r="N1090">
        <f>SUM(M1057:M1090)</f>
        <v>6</v>
      </c>
      <c r="O1090" s="8">
        <f>SUM([34]table_male_hkom3_inj.U5!$B$2:$L$36)</f>
        <v>6</v>
      </c>
      <c r="S1090" t="s">
        <v>102</v>
      </c>
      <c r="T1090" s="7"/>
      <c r="U1090" s="7"/>
      <c r="V1090" s="7"/>
      <c r="W1090" s="7"/>
      <c r="X1090" s="7"/>
      <c r="Y1090" s="7"/>
      <c r="Z1090" s="7"/>
      <c r="AA1090" s="7"/>
      <c r="AB1090" s="5">
        <f t="shared" si="339"/>
        <v>0</v>
      </c>
      <c r="AC1090" s="5">
        <f>SUM(AB1057:AB1089)</f>
        <v>5.9999999999999982</v>
      </c>
    </row>
    <row r="1091" spans="1:29" x14ac:dyDescent="0.25">
      <c r="A1091" t="s">
        <v>104</v>
      </c>
      <c r="B1091" t="s">
        <v>117</v>
      </c>
      <c r="C1091" t="s">
        <v>114</v>
      </c>
      <c r="D1091" t="s">
        <v>70</v>
      </c>
      <c r="E1091" s="64"/>
      <c r="F1091" s="64"/>
      <c r="G1091">
        <f>IFERROR(HLOOKUP(G$2,[35]table_male_hkom3_inj.U6!$A$1:$K$36,2,FALSE),0)</f>
        <v>9</v>
      </c>
      <c r="H1091">
        <f>IFERROR(HLOOKUP(H$2,[35]table_male_hkom3_inj.U6!$A$1:$K$36,2,FALSE),0)</f>
        <v>5</v>
      </c>
      <c r="I1091">
        <f>IFERROR(HLOOKUP(I$2,[35]table_male_hkom3_inj.U6!$A$1:$K$36,2,FALSE),0)</f>
        <v>3</v>
      </c>
      <c r="J1091">
        <f>IFERROR(HLOOKUP(J$2,[35]table_male_hkom3_inj.U6!$A$1:$K$36,2,FALSE),0)</f>
        <v>0</v>
      </c>
      <c r="K1091">
        <f>IFERROR(HLOOKUP(K$2,[35]table_male_hkom3_inj.U6!$A$1:$K$36,2,FALSE),0)</f>
        <v>0</v>
      </c>
      <c r="L1091">
        <f>IFERROR(HLOOKUP(L$2,[35]table_male_hkom3_inj.U6!$A$1:$K$36,2,FALSE),0)</f>
        <v>0</v>
      </c>
      <c r="M1091">
        <f>SUM(E1091:L1091)</f>
        <v>17</v>
      </c>
      <c r="P1091" t="s">
        <v>104</v>
      </c>
      <c r="Q1091" t="s">
        <v>117</v>
      </c>
      <c r="R1091" t="s">
        <v>114</v>
      </c>
      <c r="S1091" t="s">
        <v>70</v>
      </c>
      <c r="T1091" s="5">
        <f>IF(SUM(E$1091:E$1123)=0,E$1124/33,E1091+IFERROR(E1091/SUM(E$1091:E$1123)*E$1124,0))</f>
        <v>0</v>
      </c>
      <c r="U1091" s="5">
        <f t="shared" ref="U1091:AA1091" si="350">IF(SUM(F$1091:F$1123)=0,F$1124/33,F1091+IFERROR(F1091/SUM(F$1091:F$1123)*F$1124,0))</f>
        <v>0</v>
      </c>
      <c r="V1091" s="5">
        <f t="shared" si="350"/>
        <v>14.455021834061135</v>
      </c>
      <c r="W1091" s="5">
        <f t="shared" si="350"/>
        <v>9.3319734829168794</v>
      </c>
      <c r="X1091" s="5">
        <f t="shared" si="350"/>
        <v>6.8668098818474759</v>
      </c>
      <c r="Y1091" s="5">
        <f t="shared" si="350"/>
        <v>0</v>
      </c>
      <c r="Z1091" s="5">
        <f t="shared" si="350"/>
        <v>0</v>
      </c>
      <c r="AA1091" s="5">
        <f t="shared" si="350"/>
        <v>0</v>
      </c>
      <c r="AB1091" s="5">
        <f t="shared" si="339"/>
        <v>30.653805198825491</v>
      </c>
    </row>
    <row r="1092" spans="1:29" x14ac:dyDescent="0.25">
      <c r="D1092" t="s">
        <v>71</v>
      </c>
      <c r="E1092" s="64"/>
      <c r="F1092" s="64"/>
      <c r="G1092">
        <f>IFERROR(HLOOKUP(G$2,[35]table_male_hkom3_inj.U6!$A$1:$K$36,3,FALSE),0)</f>
        <v>56</v>
      </c>
      <c r="H1092">
        <f>IFERROR(HLOOKUP(H$2,[35]table_male_hkom3_inj.U6!$A$1:$K$36,3,FALSE),0)</f>
        <v>66</v>
      </c>
      <c r="I1092">
        <f>IFERROR(HLOOKUP(I$2,[35]table_male_hkom3_inj.U6!$A$1:$K$36,3,FALSE),0)</f>
        <v>9</v>
      </c>
      <c r="J1092">
        <f>IFERROR(HLOOKUP(J$2,[35]table_male_hkom3_inj.U6!$A$1:$K$36,3,FALSE),0)</f>
        <v>0</v>
      </c>
      <c r="K1092">
        <f>IFERROR(HLOOKUP(K$2,[35]table_male_hkom3_inj.U6!$A$1:$K$36,3,FALSE),0)</f>
        <v>0</v>
      </c>
      <c r="L1092">
        <f>IFERROR(HLOOKUP(L$2,[35]table_male_hkom3_inj.U6!$A$1:$K$36,3,FALSE),0)</f>
        <v>0</v>
      </c>
      <c r="M1092">
        <f t="shared" ref="M1092:M1124" si="351">SUM(E1092:L1092)</f>
        <v>131</v>
      </c>
      <c r="S1092" t="s">
        <v>71</v>
      </c>
      <c r="T1092" s="5">
        <f t="shared" ref="T1092:T1123" si="352">IF(SUM(E$1091:E$1123)=0,E$1124/33,E1092+IFERROR(E1092/SUM(E$1091:E$1123)*E$1124,0))</f>
        <v>0</v>
      </c>
      <c r="U1092" s="5">
        <f t="shared" ref="U1092:U1123" si="353">IF(SUM(F$1091:F$1123)=0,F$1124/33,F1092+IFERROR(F1092/SUM(F$1091:F$1123)*F$1124,0))</f>
        <v>0</v>
      </c>
      <c r="V1092" s="5">
        <f t="shared" ref="V1092:V1123" si="354">IF(SUM(G$1091:G$1123)=0,G$1124/33,G1092+IFERROR(G1092/SUM(G$1091:G$1123)*G$1124,0))</f>
        <v>89.942358078602624</v>
      </c>
      <c r="W1092" s="5">
        <f t="shared" ref="W1092:W1123" si="355">IF(SUM(H$1091:H$1123)=0,H$1124/33,H1092+IFERROR(H1092/SUM(H$1091:H$1123)*H$1124,0))</f>
        <v>123.1820499745028</v>
      </c>
      <c r="X1092" s="5">
        <f t="shared" ref="X1092:X1123" si="356">IF(SUM(I$1091:I$1123)=0,I$1124/33,I1092+IFERROR(I1092/SUM(I$1091:I$1123)*I$1124,0))</f>
        <v>20.600429645542427</v>
      </c>
      <c r="Y1092" s="5">
        <f t="shared" ref="Y1092:Y1123" si="357">IF(SUM(J$1091:J$1123)=0,J$1124/33,J1092+IFERROR(J1092/SUM(J$1091:J$1123)*J$1124,0))</f>
        <v>0</v>
      </c>
      <c r="Z1092" s="5">
        <f t="shared" ref="Z1092:Z1123" si="358">IF(SUM(K$1091:K$1123)=0,K$1124/33,K1092+IFERROR(K1092/SUM(K$1091:K$1123)*K$1124,0))</f>
        <v>0</v>
      </c>
      <c r="AA1092" s="5">
        <f t="shared" ref="AA1092:AA1123" si="359">IF(SUM(L$1091:L$1123)=0,L$1124/33,L1092+IFERROR(L1092/SUM(L$1091:L$1123)*L$1124,0))</f>
        <v>0</v>
      </c>
      <c r="AB1092" s="5">
        <f t="shared" si="339"/>
        <v>233.72483769864783</v>
      </c>
    </row>
    <row r="1093" spans="1:29" x14ac:dyDescent="0.25">
      <c r="D1093" t="s">
        <v>72</v>
      </c>
      <c r="E1093" s="64"/>
      <c r="F1093" s="64"/>
      <c r="G1093">
        <f>IFERROR(HLOOKUP(G$2,[35]table_male_hkom3_inj.U6!$A$1:$K$36,4,FALSE),0)</f>
        <v>7</v>
      </c>
      <c r="H1093">
        <f>IFERROR(HLOOKUP(H$2,[35]table_male_hkom3_inj.U6!$A$1:$K$36,4,FALSE),0)</f>
        <v>14</v>
      </c>
      <c r="I1093">
        <f>IFERROR(HLOOKUP(I$2,[35]table_male_hkom3_inj.U6!$A$1:$K$36,4,FALSE),0)</f>
        <v>12</v>
      </c>
      <c r="J1093">
        <f>IFERROR(HLOOKUP(J$2,[35]table_male_hkom3_inj.U6!$A$1:$K$36,4,FALSE),0)</f>
        <v>1</v>
      </c>
      <c r="K1093">
        <f>IFERROR(HLOOKUP(K$2,[35]table_male_hkom3_inj.U6!$A$1:$K$36,4,FALSE),0)</f>
        <v>0</v>
      </c>
      <c r="L1093">
        <f>IFERROR(HLOOKUP(L$2,[35]table_male_hkom3_inj.U6!$A$1:$K$36,4,FALSE),0)</f>
        <v>0</v>
      </c>
      <c r="M1093">
        <f t="shared" si="351"/>
        <v>34</v>
      </c>
      <c r="S1093" t="s">
        <v>72</v>
      </c>
      <c r="T1093" s="5">
        <f t="shared" si="352"/>
        <v>0</v>
      </c>
      <c r="U1093" s="5">
        <f t="shared" si="353"/>
        <v>0</v>
      </c>
      <c r="V1093" s="5">
        <f t="shared" si="354"/>
        <v>11.242794759825328</v>
      </c>
      <c r="W1093" s="5">
        <f t="shared" si="355"/>
        <v>26.129525752167261</v>
      </c>
      <c r="X1093" s="5">
        <f t="shared" si="356"/>
        <v>27.467239527389903</v>
      </c>
      <c r="Y1093" s="5">
        <f t="shared" si="357"/>
        <v>3.0723684210526314</v>
      </c>
      <c r="Z1093" s="5">
        <f t="shared" si="358"/>
        <v>0</v>
      </c>
      <c r="AA1093" s="5">
        <f t="shared" si="359"/>
        <v>0</v>
      </c>
      <c r="AB1093" s="5">
        <f t="shared" si="339"/>
        <v>67.911928460435121</v>
      </c>
    </row>
    <row r="1094" spans="1:29" x14ac:dyDescent="0.25">
      <c r="D1094" t="s">
        <v>73</v>
      </c>
      <c r="E1094" s="64"/>
      <c r="F1094" s="64"/>
      <c r="G1094">
        <f>IFERROR(HLOOKUP(G$2,[35]table_male_hkom3_inj.U6!$A$1:$K$36,5,FALSE),0)</f>
        <v>5</v>
      </c>
      <c r="H1094">
        <f>IFERROR(HLOOKUP(H$2,[35]table_male_hkom3_inj.U6!$A$1:$K$36,5,FALSE),0)</f>
        <v>11</v>
      </c>
      <c r="I1094">
        <f>IFERROR(HLOOKUP(I$2,[35]table_male_hkom3_inj.U6!$A$1:$K$36,5,FALSE),0)</f>
        <v>5</v>
      </c>
      <c r="J1094">
        <f>IFERROR(HLOOKUP(J$2,[35]table_male_hkom3_inj.U6!$A$1:$K$36,5,FALSE),0)</f>
        <v>3</v>
      </c>
      <c r="K1094">
        <f>IFERROR(HLOOKUP(K$2,[35]table_male_hkom3_inj.U6!$A$1:$K$36,5,FALSE),0)</f>
        <v>1</v>
      </c>
      <c r="L1094">
        <f>IFERROR(HLOOKUP(L$2,[35]table_male_hkom3_inj.U6!$A$1:$K$36,5,FALSE),0)</f>
        <v>0</v>
      </c>
      <c r="M1094">
        <f t="shared" si="351"/>
        <v>25</v>
      </c>
      <c r="S1094" t="s">
        <v>73</v>
      </c>
      <c r="T1094" s="5">
        <f t="shared" si="352"/>
        <v>0</v>
      </c>
      <c r="U1094" s="5">
        <f t="shared" si="353"/>
        <v>0</v>
      </c>
      <c r="V1094" s="5">
        <f t="shared" si="354"/>
        <v>8.0305676855895189</v>
      </c>
      <c r="W1094" s="5">
        <f t="shared" si="355"/>
        <v>20.530341662417133</v>
      </c>
      <c r="X1094" s="5">
        <f t="shared" si="356"/>
        <v>11.444683136412459</v>
      </c>
      <c r="Y1094" s="5">
        <f t="shared" si="357"/>
        <v>9.2171052631578938</v>
      </c>
      <c r="Z1094" s="5">
        <f t="shared" si="358"/>
        <v>3.0769230769230771</v>
      </c>
      <c r="AA1094" s="5">
        <f t="shared" si="359"/>
        <v>0</v>
      </c>
      <c r="AB1094" s="5">
        <f t="shared" si="339"/>
        <v>52.299620824500082</v>
      </c>
    </row>
    <row r="1095" spans="1:29" x14ac:dyDescent="0.25">
      <c r="D1095" t="s">
        <v>74</v>
      </c>
      <c r="E1095" s="64"/>
      <c r="F1095" s="64"/>
      <c r="G1095">
        <f>IFERROR(HLOOKUP(G$2,[35]table_male_hkom3_inj.U6!$A$1:$K$36,6,FALSE),0)</f>
        <v>9</v>
      </c>
      <c r="H1095">
        <f>IFERROR(HLOOKUP(H$2,[35]table_male_hkom3_inj.U6!$A$1:$K$36,6,FALSE),0)</f>
        <v>11</v>
      </c>
      <c r="I1095">
        <f>IFERROR(HLOOKUP(I$2,[35]table_male_hkom3_inj.U6!$A$1:$K$36,6,FALSE),0)</f>
        <v>7</v>
      </c>
      <c r="J1095">
        <f>IFERROR(HLOOKUP(J$2,[35]table_male_hkom3_inj.U6!$A$1:$K$36,6,FALSE),0)</f>
        <v>5</v>
      </c>
      <c r="K1095">
        <f>IFERROR(HLOOKUP(K$2,[35]table_male_hkom3_inj.U6!$A$1:$K$36,6,FALSE),0)</f>
        <v>0</v>
      </c>
      <c r="L1095">
        <f>IFERROR(HLOOKUP(L$2,[35]table_male_hkom3_inj.U6!$A$1:$K$36,6,FALSE),0)</f>
        <v>0</v>
      </c>
      <c r="M1095">
        <f t="shared" si="351"/>
        <v>32</v>
      </c>
      <c r="S1095" t="s">
        <v>74</v>
      </c>
      <c r="T1095" s="5">
        <f t="shared" si="352"/>
        <v>0</v>
      </c>
      <c r="U1095" s="5">
        <f t="shared" si="353"/>
        <v>0</v>
      </c>
      <c r="V1095" s="5">
        <f t="shared" si="354"/>
        <v>14.455021834061135</v>
      </c>
      <c r="W1095" s="5">
        <f t="shared" si="355"/>
        <v>20.530341662417133</v>
      </c>
      <c r="X1095" s="5">
        <f t="shared" si="356"/>
        <v>16.022556390977442</v>
      </c>
      <c r="Y1095" s="5">
        <f t="shared" si="357"/>
        <v>15.361842105263158</v>
      </c>
      <c r="Z1095" s="5">
        <f t="shared" si="358"/>
        <v>0</v>
      </c>
      <c r="AA1095" s="5">
        <f t="shared" si="359"/>
        <v>0</v>
      </c>
      <c r="AB1095" s="5">
        <f t="shared" si="339"/>
        <v>66.369761992718878</v>
      </c>
    </row>
    <row r="1096" spans="1:29" x14ac:dyDescent="0.25">
      <c r="D1096" t="s">
        <v>75</v>
      </c>
      <c r="E1096" s="64"/>
      <c r="F1096" s="64"/>
      <c r="G1096">
        <f>IFERROR(HLOOKUP(G$2,[35]table_male_hkom3_inj.U6!$A$1:$K$36,7,FALSE),0)</f>
        <v>2</v>
      </c>
      <c r="H1096">
        <f>IFERROR(HLOOKUP(H$2,[35]table_male_hkom3_inj.U6!$A$1:$K$36,7,FALSE),0)</f>
        <v>5</v>
      </c>
      <c r="I1096">
        <f>IFERROR(HLOOKUP(I$2,[35]table_male_hkom3_inj.U6!$A$1:$K$36,7,FALSE),0)</f>
        <v>3</v>
      </c>
      <c r="J1096">
        <f>IFERROR(HLOOKUP(J$2,[35]table_male_hkom3_inj.U6!$A$1:$K$36,7,FALSE),0)</f>
        <v>1</v>
      </c>
      <c r="K1096">
        <f>IFERROR(HLOOKUP(K$2,[35]table_male_hkom3_inj.U6!$A$1:$K$36,7,FALSE),0)</f>
        <v>0</v>
      </c>
      <c r="L1096">
        <f>IFERROR(HLOOKUP(L$2,[35]table_male_hkom3_inj.U6!$A$1:$K$36,7,FALSE),0)</f>
        <v>0</v>
      </c>
      <c r="M1096">
        <f t="shared" si="351"/>
        <v>11</v>
      </c>
      <c r="S1096" t="s">
        <v>75</v>
      </c>
      <c r="T1096" s="5">
        <f t="shared" si="352"/>
        <v>0</v>
      </c>
      <c r="U1096" s="5">
        <f t="shared" si="353"/>
        <v>0</v>
      </c>
      <c r="V1096" s="5">
        <f t="shared" si="354"/>
        <v>3.2122270742358081</v>
      </c>
      <c r="W1096" s="5">
        <f t="shared" si="355"/>
        <v>9.3319734829168794</v>
      </c>
      <c r="X1096" s="5">
        <f t="shared" si="356"/>
        <v>6.8668098818474759</v>
      </c>
      <c r="Y1096" s="5">
        <f t="shared" si="357"/>
        <v>3.0723684210526314</v>
      </c>
      <c r="Z1096" s="5">
        <f t="shared" si="358"/>
        <v>0</v>
      </c>
      <c r="AA1096" s="5">
        <f t="shared" si="359"/>
        <v>0</v>
      </c>
      <c r="AB1096" s="5">
        <f t="shared" si="339"/>
        <v>22.483378860052795</v>
      </c>
    </row>
    <row r="1097" spans="1:29" x14ac:dyDescent="0.25">
      <c r="D1097" t="s">
        <v>76</v>
      </c>
      <c r="E1097" s="64"/>
      <c r="F1097" s="64"/>
      <c r="G1097">
        <f>IFERROR(HLOOKUP(G$2,[35]table_male_hkom3_inj.U6!$A$1:$K$36,8,FALSE),0)</f>
        <v>13</v>
      </c>
      <c r="H1097">
        <f>IFERROR(HLOOKUP(H$2,[35]table_male_hkom3_inj.U6!$A$1:$K$36,8,FALSE),0)</f>
        <v>23</v>
      </c>
      <c r="I1097">
        <f>IFERROR(HLOOKUP(I$2,[35]table_male_hkom3_inj.U6!$A$1:$K$36,8,FALSE),0)</f>
        <v>8</v>
      </c>
      <c r="J1097">
        <f>IFERROR(HLOOKUP(J$2,[35]table_male_hkom3_inj.U6!$A$1:$K$36,8,FALSE),0)</f>
        <v>1</v>
      </c>
      <c r="K1097">
        <f>IFERROR(HLOOKUP(K$2,[35]table_male_hkom3_inj.U6!$A$1:$K$36,8,FALSE),0)</f>
        <v>0</v>
      </c>
      <c r="L1097">
        <f>IFERROR(HLOOKUP(L$2,[35]table_male_hkom3_inj.U6!$A$1:$K$36,8,FALSE),0)</f>
        <v>0</v>
      </c>
      <c r="M1097">
        <f t="shared" si="351"/>
        <v>45</v>
      </c>
      <c r="S1097" t="s">
        <v>76</v>
      </c>
      <c r="T1097" s="5">
        <f t="shared" si="352"/>
        <v>0</v>
      </c>
      <c r="U1097" s="5">
        <f t="shared" si="353"/>
        <v>0</v>
      </c>
      <c r="V1097" s="5">
        <f t="shared" si="354"/>
        <v>20.879475982532753</v>
      </c>
      <c r="W1097" s="5">
        <f t="shared" si="355"/>
        <v>42.927078021417643</v>
      </c>
      <c r="X1097" s="5">
        <f t="shared" si="356"/>
        <v>18.311493018259934</v>
      </c>
      <c r="Y1097" s="5">
        <f t="shared" si="357"/>
        <v>3.0723684210526314</v>
      </c>
      <c r="Z1097" s="5">
        <f t="shared" si="358"/>
        <v>0</v>
      </c>
      <c r="AA1097" s="5">
        <f t="shared" si="359"/>
        <v>0</v>
      </c>
      <c r="AB1097" s="5">
        <f t="shared" si="339"/>
        <v>85.190415443262964</v>
      </c>
    </row>
    <row r="1098" spans="1:29" x14ac:dyDescent="0.25">
      <c r="D1098" t="s">
        <v>77</v>
      </c>
      <c r="E1098" s="64"/>
      <c r="F1098" s="64"/>
      <c r="G1098">
        <f>IFERROR(HLOOKUP(G$2,[35]table_male_hkom3_inj.U6!$A$1:$K$36,9,FALSE),0)</f>
        <v>22</v>
      </c>
      <c r="H1098">
        <f>IFERROR(HLOOKUP(H$2,[35]table_male_hkom3_inj.U6!$A$1:$K$36,9,FALSE),0)</f>
        <v>26</v>
      </c>
      <c r="I1098">
        <f>IFERROR(HLOOKUP(I$2,[35]table_male_hkom3_inj.U6!$A$1:$K$36,9,FALSE),0)</f>
        <v>15</v>
      </c>
      <c r="J1098">
        <f>IFERROR(HLOOKUP(J$2,[35]table_male_hkom3_inj.U6!$A$1:$K$36,9,FALSE),0)</f>
        <v>0</v>
      </c>
      <c r="K1098">
        <f>IFERROR(HLOOKUP(K$2,[35]table_male_hkom3_inj.U6!$A$1:$K$36,9,FALSE),0)</f>
        <v>1</v>
      </c>
      <c r="L1098">
        <f>IFERROR(HLOOKUP(L$2,[35]table_male_hkom3_inj.U6!$A$1:$K$36,9,FALSE),0)</f>
        <v>0</v>
      </c>
      <c r="M1098">
        <f t="shared" si="351"/>
        <v>64</v>
      </c>
      <c r="S1098" t="s">
        <v>77</v>
      </c>
      <c r="T1098" s="5">
        <f t="shared" si="352"/>
        <v>0</v>
      </c>
      <c r="U1098" s="5">
        <f t="shared" si="353"/>
        <v>0</v>
      </c>
      <c r="V1098" s="5">
        <f t="shared" si="354"/>
        <v>35.334497816593888</v>
      </c>
      <c r="W1098" s="5">
        <f t="shared" si="355"/>
        <v>48.526262111167767</v>
      </c>
      <c r="X1098" s="5">
        <f t="shared" si="356"/>
        <v>34.33404940923738</v>
      </c>
      <c r="Y1098" s="5">
        <f t="shared" si="357"/>
        <v>0</v>
      </c>
      <c r="Z1098" s="5">
        <f t="shared" si="358"/>
        <v>3.0769230769230771</v>
      </c>
      <c r="AA1098" s="5">
        <f t="shared" si="359"/>
        <v>0</v>
      </c>
      <c r="AB1098" s="5">
        <f t="shared" si="339"/>
        <v>121.27173241392211</v>
      </c>
    </row>
    <row r="1099" spans="1:29" x14ac:dyDescent="0.25">
      <c r="D1099" t="s">
        <v>78</v>
      </c>
      <c r="E1099" s="64"/>
      <c r="F1099" s="64"/>
      <c r="G1099">
        <f>IFERROR(HLOOKUP(G$2,[35]table_male_hkom3_inj.U6!$A$1:$K$36,10,FALSE),0)</f>
        <v>121</v>
      </c>
      <c r="H1099">
        <f>IFERROR(HLOOKUP(H$2,[35]table_male_hkom3_inj.U6!$A$1:$K$36,10,FALSE),0)</f>
        <v>192</v>
      </c>
      <c r="I1099">
        <f>IFERROR(HLOOKUP(I$2,[35]table_male_hkom3_inj.U6!$A$1:$K$36,10,FALSE),0)</f>
        <v>83</v>
      </c>
      <c r="J1099">
        <f>IFERROR(HLOOKUP(J$2,[35]table_male_hkom3_inj.U6!$A$1:$K$36,10,FALSE),0)</f>
        <v>10</v>
      </c>
      <c r="K1099">
        <f>IFERROR(HLOOKUP(K$2,[35]table_male_hkom3_inj.U6!$A$1:$K$36,10,FALSE),0)</f>
        <v>1</v>
      </c>
      <c r="L1099">
        <f>IFERROR(HLOOKUP(L$2,[35]table_male_hkom3_inj.U6!$A$1:$K$36,10,FALSE),0)</f>
        <v>0</v>
      </c>
      <c r="M1099">
        <f t="shared" si="351"/>
        <v>407</v>
      </c>
      <c r="S1099" t="s">
        <v>78</v>
      </c>
      <c r="T1099" s="5">
        <f t="shared" si="352"/>
        <v>0</v>
      </c>
      <c r="U1099" s="5">
        <f t="shared" si="353"/>
        <v>0</v>
      </c>
      <c r="V1099" s="5">
        <f t="shared" si="354"/>
        <v>194.33973799126636</v>
      </c>
      <c r="W1099" s="5">
        <f t="shared" si="355"/>
        <v>358.34778174400816</v>
      </c>
      <c r="X1099" s="5">
        <f t="shared" si="356"/>
        <v>189.98174006444683</v>
      </c>
      <c r="Y1099" s="5">
        <f t="shared" si="357"/>
        <v>30.723684210526315</v>
      </c>
      <c r="Z1099" s="5">
        <f t="shared" si="358"/>
        <v>3.0769230769230771</v>
      </c>
      <c r="AA1099" s="5">
        <f t="shared" si="359"/>
        <v>0</v>
      </c>
      <c r="AB1099" s="5">
        <f t="shared" si="339"/>
        <v>776.46986708717077</v>
      </c>
    </row>
    <row r="1100" spans="1:29" x14ac:dyDescent="0.25">
      <c r="D1100" t="s">
        <v>79</v>
      </c>
      <c r="E1100" s="64"/>
      <c r="F1100" s="64"/>
      <c r="G1100">
        <f>IFERROR(HLOOKUP(G$2,[35]table_male_hkom3_inj.U6!$A$1:$K$36,11,FALSE),0)</f>
        <v>26</v>
      </c>
      <c r="H1100">
        <f>IFERROR(HLOOKUP(H$2,[35]table_male_hkom3_inj.U6!$A$1:$K$36,11,FALSE),0)</f>
        <v>24</v>
      </c>
      <c r="I1100">
        <f>IFERROR(HLOOKUP(I$2,[35]table_male_hkom3_inj.U6!$A$1:$K$36,11,FALSE),0)</f>
        <v>20</v>
      </c>
      <c r="J1100">
        <f>IFERROR(HLOOKUP(J$2,[35]table_male_hkom3_inj.U6!$A$1:$K$36,11,FALSE),0)</f>
        <v>1</v>
      </c>
      <c r="K1100">
        <f>IFERROR(HLOOKUP(K$2,[35]table_male_hkom3_inj.U6!$A$1:$K$36,11,FALSE),0)</f>
        <v>2</v>
      </c>
      <c r="L1100">
        <f>IFERROR(HLOOKUP(L$2,[35]table_male_hkom3_inj.U6!$A$1:$K$36,11,FALSE),0)</f>
        <v>0</v>
      </c>
      <c r="M1100">
        <f t="shared" si="351"/>
        <v>73</v>
      </c>
      <c r="S1100" t="s">
        <v>79</v>
      </c>
      <c r="T1100" s="5">
        <f t="shared" si="352"/>
        <v>0</v>
      </c>
      <c r="U1100" s="5">
        <f t="shared" si="353"/>
        <v>0</v>
      </c>
      <c r="V1100" s="5">
        <f t="shared" si="354"/>
        <v>41.758951965065506</v>
      </c>
      <c r="W1100" s="5">
        <f t="shared" si="355"/>
        <v>44.79347271800102</v>
      </c>
      <c r="X1100" s="5">
        <f t="shared" si="356"/>
        <v>45.778732545649838</v>
      </c>
      <c r="Y1100" s="5">
        <f t="shared" si="357"/>
        <v>3.0723684210526314</v>
      </c>
      <c r="Z1100" s="5">
        <f t="shared" si="358"/>
        <v>6.1538461538461542</v>
      </c>
      <c r="AA1100" s="5">
        <f t="shared" si="359"/>
        <v>0</v>
      </c>
      <c r="AB1100" s="5">
        <f t="shared" si="339"/>
        <v>141.55737180361515</v>
      </c>
    </row>
    <row r="1101" spans="1:29" x14ac:dyDescent="0.25">
      <c r="D1101" t="s">
        <v>80</v>
      </c>
      <c r="E1101" s="64"/>
      <c r="F1101" s="64"/>
      <c r="G1101">
        <f>IFERROR(HLOOKUP(G$2,[35]table_male_hkom3_inj.U6!$A$1:$K$36,12,FALSE),0)</f>
        <v>36</v>
      </c>
      <c r="H1101">
        <f>IFERROR(HLOOKUP(H$2,[35]table_male_hkom3_inj.U6!$A$1:$K$36,12,FALSE),0)</f>
        <v>48</v>
      </c>
      <c r="I1101">
        <f>IFERROR(HLOOKUP(I$2,[35]table_male_hkom3_inj.U6!$A$1:$K$36,12,FALSE),0)</f>
        <v>26</v>
      </c>
      <c r="J1101">
        <f>IFERROR(HLOOKUP(J$2,[35]table_male_hkom3_inj.U6!$A$1:$K$36,12,FALSE),0)</f>
        <v>3</v>
      </c>
      <c r="K1101">
        <f>IFERROR(HLOOKUP(K$2,[35]table_male_hkom3_inj.U6!$A$1:$K$36,12,FALSE),0)</f>
        <v>0</v>
      </c>
      <c r="L1101">
        <f>IFERROR(HLOOKUP(L$2,[35]table_male_hkom3_inj.U6!$A$1:$K$36,12,FALSE),0)</f>
        <v>0</v>
      </c>
      <c r="M1101">
        <f t="shared" si="351"/>
        <v>113</v>
      </c>
      <c r="S1101" t="s">
        <v>80</v>
      </c>
      <c r="T1101" s="5">
        <f t="shared" si="352"/>
        <v>0</v>
      </c>
      <c r="U1101" s="5">
        <f t="shared" si="353"/>
        <v>0</v>
      </c>
      <c r="V1101" s="5">
        <f t="shared" si="354"/>
        <v>57.820087336244541</v>
      </c>
      <c r="W1101" s="5">
        <f t="shared" si="355"/>
        <v>89.58694543600204</v>
      </c>
      <c r="X1101" s="5">
        <f t="shared" si="356"/>
        <v>59.512352309344791</v>
      </c>
      <c r="Y1101" s="5">
        <f t="shared" si="357"/>
        <v>9.2171052631578938</v>
      </c>
      <c r="Z1101" s="5">
        <f t="shared" si="358"/>
        <v>0</v>
      </c>
      <c r="AA1101" s="5">
        <f t="shared" si="359"/>
        <v>0</v>
      </c>
      <c r="AB1101" s="5">
        <f t="shared" si="339"/>
        <v>216.13649034474926</v>
      </c>
    </row>
    <row r="1102" spans="1:29" x14ac:dyDescent="0.25">
      <c r="D1102" t="s">
        <v>81</v>
      </c>
      <c r="E1102" s="64"/>
      <c r="F1102" s="64"/>
      <c r="G1102">
        <f>IFERROR(HLOOKUP(G$2,[35]table_male_hkom3_inj.U6!$A$1:$K$36,13,FALSE),0)</f>
        <v>9</v>
      </c>
      <c r="H1102">
        <f>IFERROR(HLOOKUP(H$2,[35]table_male_hkom3_inj.U6!$A$1:$K$36,13,FALSE),0)</f>
        <v>11</v>
      </c>
      <c r="I1102">
        <f>IFERROR(HLOOKUP(I$2,[35]table_male_hkom3_inj.U6!$A$1:$K$36,13,FALSE),0)</f>
        <v>3</v>
      </c>
      <c r="J1102">
        <f>IFERROR(HLOOKUP(J$2,[35]table_male_hkom3_inj.U6!$A$1:$K$36,13,FALSE),0)</f>
        <v>1</v>
      </c>
      <c r="K1102">
        <f>IFERROR(HLOOKUP(K$2,[35]table_male_hkom3_inj.U6!$A$1:$K$36,13,FALSE),0)</f>
        <v>0</v>
      </c>
      <c r="L1102">
        <f>IFERROR(HLOOKUP(L$2,[35]table_male_hkom3_inj.U6!$A$1:$K$36,13,FALSE),0)</f>
        <v>0</v>
      </c>
      <c r="M1102">
        <f t="shared" si="351"/>
        <v>24</v>
      </c>
      <c r="S1102" t="s">
        <v>81</v>
      </c>
      <c r="T1102" s="5">
        <f t="shared" si="352"/>
        <v>0</v>
      </c>
      <c r="U1102" s="5">
        <f t="shared" si="353"/>
        <v>0</v>
      </c>
      <c r="V1102" s="5">
        <f t="shared" si="354"/>
        <v>14.455021834061135</v>
      </c>
      <c r="W1102" s="5">
        <f t="shared" si="355"/>
        <v>20.530341662417133</v>
      </c>
      <c r="X1102" s="5">
        <f t="shared" si="356"/>
        <v>6.8668098818474759</v>
      </c>
      <c r="Y1102" s="5">
        <f t="shared" si="357"/>
        <v>3.0723684210526314</v>
      </c>
      <c r="Z1102" s="5">
        <f t="shared" si="358"/>
        <v>0</v>
      </c>
      <c r="AA1102" s="5">
        <f t="shared" si="359"/>
        <v>0</v>
      </c>
      <c r="AB1102" s="5">
        <f t="shared" si="339"/>
        <v>44.924541799378375</v>
      </c>
    </row>
    <row r="1103" spans="1:29" x14ac:dyDescent="0.25">
      <c r="D1103" t="s">
        <v>82</v>
      </c>
      <c r="E1103" s="64"/>
      <c r="F1103" s="64"/>
      <c r="G1103">
        <f>IFERROR(HLOOKUP(G$2,[35]table_male_hkom3_inj.U6!$A$1:$K$36,14,FALSE),0)</f>
        <v>32</v>
      </c>
      <c r="H1103">
        <f>IFERROR(HLOOKUP(H$2,[35]table_male_hkom3_inj.U6!$A$1:$K$36,14,FALSE),0)</f>
        <v>50</v>
      </c>
      <c r="I1103">
        <f>IFERROR(HLOOKUP(I$2,[35]table_male_hkom3_inj.U6!$A$1:$K$36,14,FALSE),0)</f>
        <v>44</v>
      </c>
      <c r="J1103">
        <f>IFERROR(HLOOKUP(J$2,[35]table_male_hkom3_inj.U6!$A$1:$K$36,14,FALSE),0)</f>
        <v>6</v>
      </c>
      <c r="K1103">
        <f>IFERROR(HLOOKUP(K$2,[35]table_male_hkom3_inj.U6!$A$1:$K$36,14,FALSE),0)</f>
        <v>0</v>
      </c>
      <c r="L1103">
        <f>IFERROR(HLOOKUP(L$2,[35]table_male_hkom3_inj.U6!$A$1:$K$36,14,FALSE),0)</f>
        <v>0</v>
      </c>
      <c r="M1103">
        <f t="shared" si="351"/>
        <v>132</v>
      </c>
      <c r="S1103" t="s">
        <v>82</v>
      </c>
      <c r="T1103" s="5">
        <f t="shared" si="352"/>
        <v>0</v>
      </c>
      <c r="U1103" s="5">
        <f t="shared" si="353"/>
        <v>0</v>
      </c>
      <c r="V1103" s="5">
        <f t="shared" si="354"/>
        <v>51.39563318777293</v>
      </c>
      <c r="W1103" s="5">
        <f t="shared" si="355"/>
        <v>93.319734829168794</v>
      </c>
      <c r="X1103" s="5">
        <f t="shared" si="356"/>
        <v>100.71321160042964</v>
      </c>
      <c r="Y1103" s="5">
        <f t="shared" si="357"/>
        <v>18.434210526315788</v>
      </c>
      <c r="Z1103" s="5">
        <f t="shared" si="358"/>
        <v>0</v>
      </c>
      <c r="AA1103" s="5">
        <f t="shared" si="359"/>
        <v>0</v>
      </c>
      <c r="AB1103" s="5">
        <f t="shared" si="339"/>
        <v>263.86279014368716</v>
      </c>
    </row>
    <row r="1104" spans="1:29" x14ac:dyDescent="0.25">
      <c r="D1104" t="s">
        <v>83</v>
      </c>
      <c r="E1104" s="64"/>
      <c r="F1104" s="64"/>
      <c r="G1104">
        <f>IFERROR(HLOOKUP(G$2,[35]table_male_hkom3_inj.U6!$A$1:$K$36,15,FALSE),0)</f>
        <v>9</v>
      </c>
      <c r="H1104">
        <f>IFERROR(HLOOKUP(H$2,[35]table_male_hkom3_inj.U6!$A$1:$K$36,15,FALSE),0)</f>
        <v>13</v>
      </c>
      <c r="I1104">
        <f>IFERROR(HLOOKUP(I$2,[35]table_male_hkom3_inj.U6!$A$1:$K$36,15,FALSE),0)</f>
        <v>5</v>
      </c>
      <c r="J1104">
        <f>IFERROR(HLOOKUP(J$2,[35]table_male_hkom3_inj.U6!$A$1:$K$36,15,FALSE),0)</f>
        <v>0</v>
      </c>
      <c r="K1104">
        <f>IFERROR(HLOOKUP(K$2,[35]table_male_hkom3_inj.U6!$A$1:$K$36,15,FALSE),0)</f>
        <v>0</v>
      </c>
      <c r="L1104">
        <f>IFERROR(HLOOKUP(L$2,[35]table_male_hkom3_inj.U6!$A$1:$K$36,15,FALSE),0)</f>
        <v>0</v>
      </c>
      <c r="M1104">
        <f t="shared" si="351"/>
        <v>27</v>
      </c>
      <c r="S1104" t="s">
        <v>83</v>
      </c>
      <c r="T1104" s="5">
        <f t="shared" si="352"/>
        <v>0</v>
      </c>
      <c r="U1104" s="5">
        <f t="shared" si="353"/>
        <v>0</v>
      </c>
      <c r="V1104" s="5">
        <f t="shared" si="354"/>
        <v>14.455021834061135</v>
      </c>
      <c r="W1104" s="5">
        <f t="shared" si="355"/>
        <v>24.263131055583884</v>
      </c>
      <c r="X1104" s="5">
        <f t="shared" si="356"/>
        <v>11.444683136412459</v>
      </c>
      <c r="Y1104" s="5">
        <f t="shared" si="357"/>
        <v>0</v>
      </c>
      <c r="Z1104" s="5">
        <f t="shared" si="358"/>
        <v>0</v>
      </c>
      <c r="AA1104" s="5">
        <f t="shared" si="359"/>
        <v>0</v>
      </c>
      <c r="AB1104" s="5">
        <f t="shared" si="339"/>
        <v>50.162836026057477</v>
      </c>
    </row>
    <row r="1105" spans="4:28" x14ac:dyDescent="0.25">
      <c r="D1105" t="s">
        <v>84</v>
      </c>
      <c r="E1105" s="64"/>
      <c r="F1105" s="64"/>
      <c r="G1105">
        <f>IFERROR(HLOOKUP(G$2,[35]table_male_hkom3_inj.U6!$A$1:$K$36,16,FALSE),0)</f>
        <v>14</v>
      </c>
      <c r="H1105">
        <f>IFERROR(HLOOKUP(H$2,[35]table_male_hkom3_inj.U6!$A$1:$K$36,16,FALSE),0)</f>
        <v>22</v>
      </c>
      <c r="I1105">
        <f>IFERROR(HLOOKUP(I$2,[35]table_male_hkom3_inj.U6!$A$1:$K$36,16,FALSE),0)</f>
        <v>6</v>
      </c>
      <c r="J1105">
        <f>IFERROR(HLOOKUP(J$2,[35]table_male_hkom3_inj.U6!$A$1:$K$36,16,FALSE),0)</f>
        <v>0</v>
      </c>
      <c r="K1105">
        <f>IFERROR(HLOOKUP(K$2,[35]table_male_hkom3_inj.U6!$A$1:$K$36,16,FALSE),0)</f>
        <v>1</v>
      </c>
      <c r="L1105">
        <f>IFERROR(HLOOKUP(L$2,[35]table_male_hkom3_inj.U6!$A$1:$K$36,16,FALSE),0)</f>
        <v>0</v>
      </c>
      <c r="M1105">
        <f t="shared" si="351"/>
        <v>43</v>
      </c>
      <c r="S1105" t="s">
        <v>84</v>
      </c>
      <c r="T1105" s="5">
        <f t="shared" si="352"/>
        <v>0</v>
      </c>
      <c r="U1105" s="5">
        <f t="shared" si="353"/>
        <v>0</v>
      </c>
      <c r="V1105" s="5">
        <f t="shared" si="354"/>
        <v>22.485589519650656</v>
      </c>
      <c r="W1105" s="5">
        <f t="shared" si="355"/>
        <v>41.060683324834265</v>
      </c>
      <c r="X1105" s="5">
        <f t="shared" si="356"/>
        <v>13.733619763694952</v>
      </c>
      <c r="Y1105" s="5">
        <f t="shared" si="357"/>
        <v>0</v>
      </c>
      <c r="Z1105" s="5">
        <f t="shared" si="358"/>
        <v>3.0769230769230771</v>
      </c>
      <c r="AA1105" s="5">
        <f t="shared" si="359"/>
        <v>0</v>
      </c>
      <c r="AB1105" s="5">
        <f t="shared" si="339"/>
        <v>80.356815685102944</v>
      </c>
    </row>
    <row r="1106" spans="4:28" x14ac:dyDescent="0.25">
      <c r="D1106" t="s">
        <v>85</v>
      </c>
      <c r="E1106" s="64"/>
      <c r="F1106" s="64"/>
      <c r="G1106">
        <f>IFERROR(HLOOKUP(G$2,[35]table_male_hkom3_inj.U6!$A$1:$K$36,17,FALSE),0)</f>
        <v>31</v>
      </c>
      <c r="H1106">
        <f>IFERROR(HLOOKUP(H$2,[35]table_male_hkom3_inj.U6!$A$1:$K$36,17,FALSE),0)</f>
        <v>47</v>
      </c>
      <c r="I1106">
        <f>IFERROR(HLOOKUP(I$2,[35]table_male_hkom3_inj.U6!$A$1:$K$36,17,FALSE),0)</f>
        <v>10</v>
      </c>
      <c r="J1106">
        <f>IFERROR(HLOOKUP(J$2,[35]table_male_hkom3_inj.U6!$A$1:$K$36,17,FALSE),0)</f>
        <v>2</v>
      </c>
      <c r="K1106">
        <f>IFERROR(HLOOKUP(K$2,[35]table_male_hkom3_inj.U6!$A$1:$K$36,17,FALSE),0)</f>
        <v>1</v>
      </c>
      <c r="L1106">
        <f>IFERROR(HLOOKUP(L$2,[35]table_male_hkom3_inj.U6!$A$1:$K$36,17,FALSE),0)</f>
        <v>0</v>
      </c>
      <c r="M1106">
        <f t="shared" si="351"/>
        <v>91</v>
      </c>
      <c r="S1106" t="s">
        <v>85</v>
      </c>
      <c r="T1106" s="5">
        <f t="shared" si="352"/>
        <v>0</v>
      </c>
      <c r="U1106" s="5">
        <f t="shared" si="353"/>
        <v>0</v>
      </c>
      <c r="V1106" s="5">
        <f t="shared" si="354"/>
        <v>49.789519650655023</v>
      </c>
      <c r="W1106" s="5">
        <f t="shared" si="355"/>
        <v>87.720550739418655</v>
      </c>
      <c r="X1106" s="5">
        <f t="shared" si="356"/>
        <v>22.889366272824919</v>
      </c>
      <c r="Y1106" s="5">
        <f t="shared" si="357"/>
        <v>6.1447368421052628</v>
      </c>
      <c r="Z1106" s="5">
        <f t="shared" si="358"/>
        <v>3.0769230769230771</v>
      </c>
      <c r="AA1106" s="5">
        <f t="shared" si="359"/>
        <v>0</v>
      </c>
      <c r="AB1106" s="5">
        <f t="shared" si="339"/>
        <v>169.62109658192693</v>
      </c>
    </row>
    <row r="1107" spans="4:28" x14ac:dyDescent="0.25">
      <c r="D1107" t="s">
        <v>86</v>
      </c>
      <c r="E1107" s="64"/>
      <c r="F1107" s="64"/>
      <c r="G1107">
        <f>IFERROR(HLOOKUP(G$2,[35]table_male_hkom3_inj.U6!$A$1:$K$36,18,FALSE),0)</f>
        <v>84</v>
      </c>
      <c r="H1107">
        <f>IFERROR(HLOOKUP(H$2,[35]table_male_hkom3_inj.U6!$A$1:$K$36,18,FALSE),0)</f>
        <v>82</v>
      </c>
      <c r="I1107">
        <f>IFERROR(HLOOKUP(I$2,[35]table_male_hkom3_inj.U6!$A$1:$K$36,18,FALSE),0)</f>
        <v>33</v>
      </c>
      <c r="J1107">
        <f>IFERROR(HLOOKUP(J$2,[35]table_male_hkom3_inj.U6!$A$1:$K$36,18,FALSE),0)</f>
        <v>5</v>
      </c>
      <c r="K1107">
        <f>IFERROR(HLOOKUP(K$2,[35]table_male_hkom3_inj.U6!$A$1:$K$36,18,FALSE),0)</f>
        <v>0</v>
      </c>
      <c r="L1107">
        <f>IFERROR(HLOOKUP(L$2,[35]table_male_hkom3_inj.U6!$A$1:$K$36,18,FALSE),0)</f>
        <v>0</v>
      </c>
      <c r="M1107">
        <f t="shared" si="351"/>
        <v>204</v>
      </c>
      <c r="S1107" t="s">
        <v>86</v>
      </c>
      <c r="T1107" s="5">
        <f t="shared" si="352"/>
        <v>0</v>
      </c>
      <c r="U1107" s="5">
        <f t="shared" si="353"/>
        <v>0</v>
      </c>
      <c r="V1107" s="5">
        <f t="shared" si="354"/>
        <v>134.91353711790393</v>
      </c>
      <c r="W1107" s="5">
        <f t="shared" si="355"/>
        <v>153.04436511983681</v>
      </c>
      <c r="X1107" s="5">
        <f t="shared" si="356"/>
        <v>75.534908700322234</v>
      </c>
      <c r="Y1107" s="5">
        <f t="shared" si="357"/>
        <v>15.361842105263158</v>
      </c>
      <c r="Z1107" s="5">
        <f t="shared" si="358"/>
        <v>0</v>
      </c>
      <c r="AA1107" s="5">
        <f t="shared" si="359"/>
        <v>0</v>
      </c>
      <c r="AB1107" s="5">
        <f t="shared" si="339"/>
        <v>378.85465304332621</v>
      </c>
    </row>
    <row r="1108" spans="4:28" x14ac:dyDescent="0.25">
      <c r="D1108" t="s">
        <v>87</v>
      </c>
      <c r="E1108" s="64"/>
      <c r="F1108" s="64"/>
      <c r="G1108">
        <f>IFERROR(HLOOKUP(G$2,[35]table_male_hkom3_inj.U6!$A$1:$K$36,19,FALSE),0)</f>
        <v>27</v>
      </c>
      <c r="H1108">
        <f>IFERROR(HLOOKUP(H$2,[35]table_male_hkom3_inj.U6!$A$1:$K$36,19,FALSE),0)</f>
        <v>53</v>
      </c>
      <c r="I1108">
        <f>IFERROR(HLOOKUP(I$2,[35]table_male_hkom3_inj.U6!$A$1:$K$36,19,FALSE),0)</f>
        <v>18</v>
      </c>
      <c r="J1108">
        <f>IFERROR(HLOOKUP(J$2,[35]table_male_hkom3_inj.U6!$A$1:$K$36,19,FALSE),0)</f>
        <v>3</v>
      </c>
      <c r="K1108">
        <f>IFERROR(HLOOKUP(K$2,[35]table_male_hkom3_inj.U6!$A$1:$K$36,19,FALSE),0)</f>
        <v>1</v>
      </c>
      <c r="L1108">
        <f>IFERROR(HLOOKUP(L$2,[35]table_male_hkom3_inj.U6!$A$1:$K$36,19,FALSE),0)</f>
        <v>0</v>
      </c>
      <c r="M1108">
        <f t="shared" si="351"/>
        <v>102</v>
      </c>
      <c r="S1108" t="s">
        <v>87</v>
      </c>
      <c r="T1108" s="5">
        <f t="shared" si="352"/>
        <v>0</v>
      </c>
      <c r="U1108" s="5">
        <f t="shared" si="353"/>
        <v>0</v>
      </c>
      <c r="V1108" s="5">
        <f t="shared" si="354"/>
        <v>43.365065502183405</v>
      </c>
      <c r="W1108" s="5">
        <f t="shared" si="355"/>
        <v>98.918918918918919</v>
      </c>
      <c r="X1108" s="5">
        <f t="shared" si="356"/>
        <v>41.200859291084853</v>
      </c>
      <c r="Y1108" s="5">
        <f t="shared" si="357"/>
        <v>9.2171052631578938</v>
      </c>
      <c r="Z1108" s="5">
        <f t="shared" si="358"/>
        <v>3.0769230769230771</v>
      </c>
      <c r="AA1108" s="5">
        <f t="shared" si="359"/>
        <v>0</v>
      </c>
      <c r="AB1108" s="5">
        <f t="shared" ref="AB1108:AB1171" si="360">SUM(T1108:AA1108)</f>
        <v>195.77887205226813</v>
      </c>
    </row>
    <row r="1109" spans="4:28" x14ac:dyDescent="0.25">
      <c r="D1109" t="s">
        <v>88</v>
      </c>
      <c r="E1109" s="64"/>
      <c r="F1109" s="64"/>
      <c r="G1109">
        <f>IFERROR(HLOOKUP(G$2,[35]table_male_hkom3_inj.U6!$A$1:$K$36,20,FALSE),0)</f>
        <v>295</v>
      </c>
      <c r="H1109">
        <f>IFERROR(HLOOKUP(H$2,[35]table_male_hkom3_inj.U6!$A$1:$K$36,20,FALSE),0)</f>
        <v>612</v>
      </c>
      <c r="I1109">
        <f>IFERROR(HLOOKUP(I$2,[35]table_male_hkom3_inj.U6!$A$1:$K$36,20,FALSE),0)</f>
        <v>268</v>
      </c>
      <c r="J1109">
        <f>IFERROR(HLOOKUP(J$2,[35]table_male_hkom3_inj.U6!$A$1:$K$36,20,FALSE),0)</f>
        <v>47</v>
      </c>
      <c r="K1109">
        <f>IFERROR(HLOOKUP(K$2,[35]table_male_hkom3_inj.U6!$A$1:$K$36,20,FALSE),0)</f>
        <v>5</v>
      </c>
      <c r="L1109">
        <f>IFERROR(HLOOKUP(L$2,[35]table_male_hkom3_inj.U6!$A$1:$K$36,20,FALSE),0)</f>
        <v>0</v>
      </c>
      <c r="M1109">
        <f t="shared" si="351"/>
        <v>1227</v>
      </c>
      <c r="S1109" t="s">
        <v>88</v>
      </c>
      <c r="T1109" s="5">
        <f t="shared" si="352"/>
        <v>0</v>
      </c>
      <c r="U1109" s="5">
        <f t="shared" si="353"/>
        <v>0</v>
      </c>
      <c r="V1109" s="5">
        <f t="shared" si="354"/>
        <v>473.80349344978163</v>
      </c>
      <c r="W1109" s="5">
        <f t="shared" si="355"/>
        <v>1142.233554309026</v>
      </c>
      <c r="X1109" s="5">
        <f t="shared" si="356"/>
        <v>613.43501611170791</v>
      </c>
      <c r="Y1109" s="5">
        <f t="shared" si="357"/>
        <v>144.4013157894737</v>
      </c>
      <c r="Z1109" s="5">
        <f t="shared" si="358"/>
        <v>15.384615384615385</v>
      </c>
      <c r="AA1109" s="5">
        <f t="shared" si="359"/>
        <v>0</v>
      </c>
      <c r="AB1109" s="5">
        <f t="shared" si="360"/>
        <v>2389.2579950446047</v>
      </c>
    </row>
    <row r="1110" spans="4:28" x14ac:dyDescent="0.25">
      <c r="D1110" t="s">
        <v>89</v>
      </c>
      <c r="E1110" s="64"/>
      <c r="F1110" s="64"/>
      <c r="G1110">
        <f>IFERROR(HLOOKUP(G$2,[35]table_male_hkom3_inj.U6!$A$1:$K$36,21,FALSE),0)</f>
        <v>30</v>
      </c>
      <c r="H1110">
        <f>IFERROR(HLOOKUP(H$2,[35]table_male_hkom3_inj.U6!$A$1:$K$36,21,FALSE),0)</f>
        <v>55</v>
      </c>
      <c r="I1110">
        <f>IFERROR(HLOOKUP(I$2,[35]table_male_hkom3_inj.U6!$A$1:$K$36,21,FALSE),0)</f>
        <v>22</v>
      </c>
      <c r="J1110">
        <f>IFERROR(HLOOKUP(J$2,[35]table_male_hkom3_inj.U6!$A$1:$K$36,21,FALSE),0)</f>
        <v>7</v>
      </c>
      <c r="K1110">
        <f>IFERROR(HLOOKUP(K$2,[35]table_male_hkom3_inj.U6!$A$1:$K$36,21,FALSE),0)</f>
        <v>1</v>
      </c>
      <c r="L1110">
        <f>IFERROR(HLOOKUP(L$2,[35]table_male_hkom3_inj.U6!$A$1:$K$36,21,FALSE),0)</f>
        <v>0</v>
      </c>
      <c r="M1110">
        <f t="shared" si="351"/>
        <v>115</v>
      </c>
      <c r="S1110" t="s">
        <v>89</v>
      </c>
      <c r="T1110" s="5">
        <f t="shared" si="352"/>
        <v>0</v>
      </c>
      <c r="U1110" s="5">
        <f t="shared" si="353"/>
        <v>0</v>
      </c>
      <c r="V1110" s="5">
        <f t="shared" si="354"/>
        <v>48.183406113537117</v>
      </c>
      <c r="W1110" s="5">
        <f t="shared" si="355"/>
        <v>102.65170831208567</v>
      </c>
      <c r="X1110" s="5">
        <f t="shared" si="356"/>
        <v>50.356605800214822</v>
      </c>
      <c r="Y1110" s="5">
        <f t="shared" si="357"/>
        <v>21.506578947368418</v>
      </c>
      <c r="Z1110" s="5">
        <f t="shared" si="358"/>
        <v>3.0769230769230771</v>
      </c>
      <c r="AA1110" s="5">
        <f t="shared" si="359"/>
        <v>0</v>
      </c>
      <c r="AB1110" s="5">
        <f t="shared" si="360"/>
        <v>225.7752222501291</v>
      </c>
    </row>
    <row r="1111" spans="4:28" x14ac:dyDescent="0.25">
      <c r="D1111" t="s">
        <v>90</v>
      </c>
      <c r="E1111" s="64"/>
      <c r="F1111" s="64"/>
      <c r="G1111">
        <f>IFERROR(HLOOKUP(G$2,[35]table_male_hkom3_inj.U6!$A$1:$K$36,22,FALSE),0)</f>
        <v>1</v>
      </c>
      <c r="H1111">
        <f>IFERROR(HLOOKUP(H$2,[35]table_male_hkom3_inj.U6!$A$1:$K$36,22,FALSE),0)</f>
        <v>1</v>
      </c>
      <c r="I1111">
        <f>IFERROR(HLOOKUP(I$2,[35]table_male_hkom3_inj.U6!$A$1:$K$36,22,FALSE),0)</f>
        <v>2</v>
      </c>
      <c r="J1111">
        <f>IFERROR(HLOOKUP(J$2,[35]table_male_hkom3_inj.U6!$A$1:$K$36,22,FALSE),0)</f>
        <v>1</v>
      </c>
      <c r="K1111">
        <f>IFERROR(HLOOKUP(K$2,[35]table_male_hkom3_inj.U6!$A$1:$K$36,22,FALSE),0)</f>
        <v>0</v>
      </c>
      <c r="L1111">
        <f>IFERROR(HLOOKUP(L$2,[35]table_male_hkom3_inj.U6!$A$1:$K$36,22,FALSE),0)</f>
        <v>0</v>
      </c>
      <c r="M1111">
        <f t="shared" si="351"/>
        <v>5</v>
      </c>
      <c r="S1111" t="s">
        <v>90</v>
      </c>
      <c r="T1111" s="5">
        <f t="shared" si="352"/>
        <v>0</v>
      </c>
      <c r="U1111" s="5">
        <f t="shared" si="353"/>
        <v>0</v>
      </c>
      <c r="V1111" s="5">
        <f t="shared" si="354"/>
        <v>1.6061135371179041</v>
      </c>
      <c r="W1111" s="5">
        <f t="shared" si="355"/>
        <v>1.866394696583376</v>
      </c>
      <c r="X1111" s="5">
        <f t="shared" si="356"/>
        <v>4.5778732545649836</v>
      </c>
      <c r="Y1111" s="5">
        <f t="shared" si="357"/>
        <v>3.0723684210526314</v>
      </c>
      <c r="Z1111" s="5">
        <f t="shared" si="358"/>
        <v>0</v>
      </c>
      <c r="AA1111" s="5">
        <f t="shared" si="359"/>
        <v>0</v>
      </c>
      <c r="AB1111" s="5">
        <f t="shared" si="360"/>
        <v>11.122749909318896</v>
      </c>
    </row>
    <row r="1112" spans="4:28" x14ac:dyDescent="0.25">
      <c r="D1112" t="s">
        <v>91</v>
      </c>
      <c r="E1112" s="64"/>
      <c r="F1112" s="64"/>
      <c r="G1112">
        <f>IFERROR(HLOOKUP(G$2,[35]table_male_hkom3_inj.U6!$A$1:$K$36,23,FALSE),0)</f>
        <v>8</v>
      </c>
      <c r="H1112">
        <f>IFERROR(HLOOKUP(H$2,[35]table_male_hkom3_inj.U6!$A$1:$K$36,23,FALSE),0)</f>
        <v>18</v>
      </c>
      <c r="I1112">
        <f>IFERROR(HLOOKUP(I$2,[35]table_male_hkom3_inj.U6!$A$1:$K$36,23,FALSE),0)</f>
        <v>8</v>
      </c>
      <c r="J1112">
        <f>IFERROR(HLOOKUP(J$2,[35]table_male_hkom3_inj.U6!$A$1:$K$36,23,FALSE),0)</f>
        <v>1</v>
      </c>
      <c r="K1112">
        <f>IFERROR(HLOOKUP(K$2,[35]table_male_hkom3_inj.U6!$A$1:$K$36,23,FALSE),0)</f>
        <v>0</v>
      </c>
      <c r="L1112">
        <f>IFERROR(HLOOKUP(L$2,[35]table_male_hkom3_inj.U6!$A$1:$K$36,23,FALSE),0)</f>
        <v>0</v>
      </c>
      <c r="M1112">
        <f t="shared" si="351"/>
        <v>35</v>
      </c>
      <c r="S1112" t="s">
        <v>91</v>
      </c>
      <c r="T1112" s="5">
        <f t="shared" si="352"/>
        <v>0</v>
      </c>
      <c r="U1112" s="5">
        <f t="shared" si="353"/>
        <v>0</v>
      </c>
      <c r="V1112" s="5">
        <f t="shared" si="354"/>
        <v>12.848908296943232</v>
      </c>
      <c r="W1112" s="5">
        <f t="shared" si="355"/>
        <v>33.595104538500763</v>
      </c>
      <c r="X1112" s="5">
        <f t="shared" si="356"/>
        <v>18.311493018259934</v>
      </c>
      <c r="Y1112" s="5">
        <f t="shared" si="357"/>
        <v>3.0723684210526314</v>
      </c>
      <c r="Z1112" s="5">
        <f t="shared" si="358"/>
        <v>0</v>
      </c>
      <c r="AA1112" s="5">
        <f t="shared" si="359"/>
        <v>0</v>
      </c>
      <c r="AB1112" s="5">
        <f t="shared" si="360"/>
        <v>67.827874274756567</v>
      </c>
    </row>
    <row r="1113" spans="4:28" x14ac:dyDescent="0.25">
      <c r="D1113" t="s">
        <v>92</v>
      </c>
      <c r="E1113" s="64"/>
      <c r="F1113" s="64"/>
      <c r="G1113">
        <f>IFERROR(HLOOKUP(G$2,[35]table_male_hkom3_inj.U6!$A$1:$K$36,24,FALSE),0)</f>
        <v>0</v>
      </c>
      <c r="H1113">
        <f>IFERROR(HLOOKUP(H$2,[35]table_male_hkom3_inj.U6!$A$1:$K$36,24,FALSE),0)</f>
        <v>0</v>
      </c>
      <c r="I1113">
        <f>IFERROR(HLOOKUP(I$2,[35]table_male_hkom3_inj.U6!$A$1:$K$36,24,FALSE),0)</f>
        <v>0</v>
      </c>
      <c r="J1113">
        <f>IFERROR(HLOOKUP(J$2,[35]table_male_hkom3_inj.U6!$A$1:$K$36,24,FALSE),0)</f>
        <v>0</v>
      </c>
      <c r="K1113">
        <f>IFERROR(HLOOKUP(K$2,[35]table_male_hkom3_inj.U6!$A$1:$K$36,24,FALSE),0)</f>
        <v>0</v>
      </c>
      <c r="L1113">
        <f>IFERROR(HLOOKUP(L$2,[35]table_male_hkom3_inj.U6!$A$1:$K$36,24,FALSE),0)</f>
        <v>0</v>
      </c>
      <c r="M1113">
        <f t="shared" si="351"/>
        <v>0</v>
      </c>
      <c r="S1113" t="s">
        <v>92</v>
      </c>
      <c r="T1113" s="5">
        <f t="shared" si="352"/>
        <v>0</v>
      </c>
      <c r="U1113" s="5">
        <f t="shared" si="353"/>
        <v>0</v>
      </c>
      <c r="V1113" s="5">
        <f t="shared" si="354"/>
        <v>0</v>
      </c>
      <c r="W1113" s="5">
        <f t="shared" si="355"/>
        <v>0</v>
      </c>
      <c r="X1113" s="5">
        <f t="shared" si="356"/>
        <v>0</v>
      </c>
      <c r="Y1113" s="5">
        <f t="shared" si="357"/>
        <v>0</v>
      </c>
      <c r="Z1113" s="5">
        <f t="shared" si="358"/>
        <v>0</v>
      </c>
      <c r="AA1113" s="5">
        <f t="shared" si="359"/>
        <v>0</v>
      </c>
      <c r="AB1113" s="5">
        <f t="shared" si="360"/>
        <v>0</v>
      </c>
    </row>
    <row r="1114" spans="4:28" x14ac:dyDescent="0.25">
      <c r="D1114" t="s">
        <v>93</v>
      </c>
      <c r="E1114" s="64"/>
      <c r="F1114" s="64"/>
      <c r="G1114">
        <f>IFERROR(HLOOKUP(G$2,[35]table_male_hkom3_inj.U6!$A$1:$K$36,25,FALSE),0)</f>
        <v>0</v>
      </c>
      <c r="H1114">
        <f>IFERROR(HLOOKUP(H$2,[35]table_male_hkom3_inj.U6!$A$1:$K$36,25,FALSE),0)</f>
        <v>1</v>
      </c>
      <c r="I1114">
        <f>IFERROR(HLOOKUP(I$2,[35]table_male_hkom3_inj.U6!$A$1:$K$36,25,FALSE),0)</f>
        <v>2</v>
      </c>
      <c r="J1114">
        <f>IFERROR(HLOOKUP(J$2,[35]table_male_hkom3_inj.U6!$A$1:$K$36,25,FALSE),0)</f>
        <v>0</v>
      </c>
      <c r="K1114">
        <f>IFERROR(HLOOKUP(K$2,[35]table_male_hkom3_inj.U6!$A$1:$K$36,25,FALSE),0)</f>
        <v>0</v>
      </c>
      <c r="L1114">
        <f>IFERROR(HLOOKUP(L$2,[35]table_male_hkom3_inj.U6!$A$1:$K$36,25,FALSE),0)</f>
        <v>0</v>
      </c>
      <c r="M1114">
        <f t="shared" si="351"/>
        <v>3</v>
      </c>
      <c r="S1114" t="s">
        <v>93</v>
      </c>
      <c r="T1114" s="5">
        <f t="shared" si="352"/>
        <v>0</v>
      </c>
      <c r="U1114" s="5">
        <f t="shared" si="353"/>
        <v>0</v>
      </c>
      <c r="V1114" s="5">
        <f t="shared" si="354"/>
        <v>0</v>
      </c>
      <c r="W1114" s="5">
        <f t="shared" si="355"/>
        <v>1.866394696583376</v>
      </c>
      <c r="X1114" s="5">
        <f t="shared" si="356"/>
        <v>4.5778732545649836</v>
      </c>
      <c r="Y1114" s="5">
        <f t="shared" si="357"/>
        <v>0</v>
      </c>
      <c r="Z1114" s="5">
        <f t="shared" si="358"/>
        <v>0</v>
      </c>
      <c r="AA1114" s="5">
        <f t="shared" si="359"/>
        <v>0</v>
      </c>
      <c r="AB1114" s="5">
        <f t="shared" si="360"/>
        <v>6.44426795114836</v>
      </c>
    </row>
    <row r="1115" spans="4:28" x14ac:dyDescent="0.25">
      <c r="D1115" t="s">
        <v>94</v>
      </c>
      <c r="E1115" s="64"/>
      <c r="F1115" s="64"/>
      <c r="G1115">
        <f>IFERROR(HLOOKUP(G$2,[35]table_male_hkom3_inj.U6!$A$1:$K$36,26,FALSE),0)</f>
        <v>0</v>
      </c>
      <c r="H1115">
        <f>IFERROR(HLOOKUP(H$2,[35]table_male_hkom3_inj.U6!$A$1:$K$36,26,FALSE),0)</f>
        <v>0</v>
      </c>
      <c r="I1115">
        <f>IFERROR(HLOOKUP(I$2,[35]table_male_hkom3_inj.U6!$A$1:$K$36,26,FALSE),0)</f>
        <v>0</v>
      </c>
      <c r="J1115">
        <f>IFERROR(HLOOKUP(J$2,[35]table_male_hkom3_inj.U6!$A$1:$K$36,26,FALSE),0)</f>
        <v>0</v>
      </c>
      <c r="K1115">
        <f>IFERROR(HLOOKUP(K$2,[35]table_male_hkom3_inj.U6!$A$1:$K$36,26,FALSE),0)</f>
        <v>0</v>
      </c>
      <c r="L1115">
        <f>IFERROR(HLOOKUP(L$2,[35]table_male_hkom3_inj.U6!$A$1:$K$36,26,FALSE),0)</f>
        <v>0</v>
      </c>
      <c r="M1115">
        <f t="shared" si="351"/>
        <v>0</v>
      </c>
      <c r="S1115" t="s">
        <v>94</v>
      </c>
      <c r="T1115" s="5">
        <f t="shared" si="352"/>
        <v>0</v>
      </c>
      <c r="U1115" s="5">
        <f t="shared" si="353"/>
        <v>0</v>
      </c>
      <c r="V1115" s="5">
        <f t="shared" si="354"/>
        <v>0</v>
      </c>
      <c r="W1115" s="5">
        <f t="shared" si="355"/>
        <v>0</v>
      </c>
      <c r="X1115" s="5">
        <f t="shared" si="356"/>
        <v>0</v>
      </c>
      <c r="Y1115" s="5">
        <f t="shared" si="357"/>
        <v>0</v>
      </c>
      <c r="Z1115" s="5">
        <f t="shared" si="358"/>
        <v>0</v>
      </c>
      <c r="AA1115" s="5">
        <f t="shared" si="359"/>
        <v>0</v>
      </c>
      <c r="AB1115" s="5">
        <f t="shared" si="360"/>
        <v>0</v>
      </c>
    </row>
    <row r="1116" spans="4:28" x14ac:dyDescent="0.25">
      <c r="D1116" t="s">
        <v>95</v>
      </c>
      <c r="E1116" s="64"/>
      <c r="F1116" s="64"/>
      <c r="G1116">
        <f>IFERROR(HLOOKUP(G$2,[35]table_male_hkom3_inj.U6!$A$1:$K$36,27,FALSE),0)</f>
        <v>0</v>
      </c>
      <c r="H1116">
        <f>IFERROR(HLOOKUP(H$2,[35]table_male_hkom3_inj.U6!$A$1:$K$36,27,FALSE),0)</f>
        <v>0</v>
      </c>
      <c r="I1116">
        <f>IFERROR(HLOOKUP(I$2,[35]table_male_hkom3_inj.U6!$A$1:$K$36,27,FALSE),0)</f>
        <v>0</v>
      </c>
      <c r="J1116">
        <f>IFERROR(HLOOKUP(J$2,[35]table_male_hkom3_inj.U6!$A$1:$K$36,27,FALSE),0)</f>
        <v>0</v>
      </c>
      <c r="K1116">
        <f>IFERROR(HLOOKUP(K$2,[35]table_male_hkom3_inj.U6!$A$1:$K$36,27,FALSE),0)</f>
        <v>0</v>
      </c>
      <c r="L1116">
        <f>IFERROR(HLOOKUP(L$2,[35]table_male_hkom3_inj.U6!$A$1:$K$36,27,FALSE),0)</f>
        <v>0</v>
      </c>
      <c r="M1116">
        <f t="shared" si="351"/>
        <v>0</v>
      </c>
      <c r="S1116" t="s">
        <v>95</v>
      </c>
      <c r="T1116" s="5">
        <f t="shared" si="352"/>
        <v>0</v>
      </c>
      <c r="U1116" s="5">
        <f t="shared" si="353"/>
        <v>0</v>
      </c>
      <c r="V1116" s="5">
        <f t="shared" si="354"/>
        <v>0</v>
      </c>
      <c r="W1116" s="5">
        <f t="shared" si="355"/>
        <v>0</v>
      </c>
      <c r="X1116" s="5">
        <f t="shared" si="356"/>
        <v>0</v>
      </c>
      <c r="Y1116" s="5">
        <f t="shared" si="357"/>
        <v>0</v>
      </c>
      <c r="Z1116" s="5">
        <f t="shared" si="358"/>
        <v>0</v>
      </c>
      <c r="AA1116" s="5">
        <f t="shared" si="359"/>
        <v>0</v>
      </c>
      <c r="AB1116" s="5">
        <f t="shared" si="360"/>
        <v>0</v>
      </c>
    </row>
    <row r="1117" spans="4:28" x14ac:dyDescent="0.25">
      <c r="D1117" t="s">
        <v>96</v>
      </c>
      <c r="E1117" s="64"/>
      <c r="F1117" s="64"/>
      <c r="G1117">
        <f>IFERROR(HLOOKUP(G$2,[35]table_male_hkom3_inj.U6!$A$1:$K$36,28,FALSE),0)</f>
        <v>3</v>
      </c>
      <c r="H1117">
        <f>IFERROR(HLOOKUP(H$2,[35]table_male_hkom3_inj.U6!$A$1:$K$36,28,FALSE),0)</f>
        <v>9</v>
      </c>
      <c r="I1117">
        <f>IFERROR(HLOOKUP(I$2,[35]table_male_hkom3_inj.U6!$A$1:$K$36,28,FALSE),0)</f>
        <v>6</v>
      </c>
      <c r="J1117">
        <f>IFERROR(HLOOKUP(J$2,[35]table_male_hkom3_inj.U6!$A$1:$K$36,28,FALSE),0)</f>
        <v>0</v>
      </c>
      <c r="K1117">
        <f>IFERROR(HLOOKUP(K$2,[35]table_male_hkom3_inj.U6!$A$1:$K$36,28,FALSE),0)</f>
        <v>0</v>
      </c>
      <c r="L1117">
        <f>IFERROR(HLOOKUP(L$2,[35]table_male_hkom3_inj.U6!$A$1:$K$36,28,FALSE),0)</f>
        <v>0</v>
      </c>
      <c r="M1117">
        <f t="shared" si="351"/>
        <v>18</v>
      </c>
      <c r="S1117" t="s">
        <v>96</v>
      </c>
      <c r="T1117" s="5">
        <f t="shared" si="352"/>
        <v>0</v>
      </c>
      <c r="U1117" s="5">
        <f t="shared" si="353"/>
        <v>0</v>
      </c>
      <c r="V1117" s="5">
        <f t="shared" si="354"/>
        <v>4.8183406113537117</v>
      </c>
      <c r="W1117" s="5">
        <f t="shared" si="355"/>
        <v>16.797552269250382</v>
      </c>
      <c r="X1117" s="5">
        <f t="shared" si="356"/>
        <v>13.733619763694952</v>
      </c>
      <c r="Y1117" s="5">
        <f t="shared" si="357"/>
        <v>0</v>
      </c>
      <c r="Z1117" s="5">
        <f t="shared" si="358"/>
        <v>0</v>
      </c>
      <c r="AA1117" s="5">
        <f t="shared" si="359"/>
        <v>0</v>
      </c>
      <c r="AB1117" s="5">
        <f t="shared" si="360"/>
        <v>35.349512644299047</v>
      </c>
    </row>
    <row r="1118" spans="4:28" x14ac:dyDescent="0.25">
      <c r="D1118" t="s">
        <v>97</v>
      </c>
      <c r="E1118" s="64"/>
      <c r="F1118" s="64"/>
      <c r="G1118">
        <f>IFERROR(HLOOKUP(G$2,[35]table_male_hkom3_inj.U6!$A$1:$K$36,29,FALSE),0)</f>
        <v>11</v>
      </c>
      <c r="H1118">
        <f>IFERROR(HLOOKUP(H$2,[35]table_male_hkom3_inj.U6!$A$1:$K$36,29,FALSE),0)</f>
        <v>10</v>
      </c>
      <c r="I1118">
        <f>IFERROR(HLOOKUP(I$2,[35]table_male_hkom3_inj.U6!$A$1:$K$36,29,FALSE),0)</f>
        <v>2</v>
      </c>
      <c r="J1118">
        <f>IFERROR(HLOOKUP(J$2,[35]table_male_hkom3_inj.U6!$A$1:$K$36,29,FALSE),0)</f>
        <v>0</v>
      </c>
      <c r="K1118">
        <f>IFERROR(HLOOKUP(K$2,[35]table_male_hkom3_inj.U6!$A$1:$K$36,29,FALSE),0)</f>
        <v>0</v>
      </c>
      <c r="L1118">
        <f>IFERROR(HLOOKUP(L$2,[35]table_male_hkom3_inj.U6!$A$1:$K$36,29,FALSE),0)</f>
        <v>0</v>
      </c>
      <c r="M1118">
        <f t="shared" si="351"/>
        <v>23</v>
      </c>
      <c r="S1118" t="s">
        <v>97</v>
      </c>
      <c r="T1118" s="5">
        <f t="shared" si="352"/>
        <v>0</v>
      </c>
      <c r="U1118" s="5">
        <f t="shared" si="353"/>
        <v>0</v>
      </c>
      <c r="V1118" s="5">
        <f t="shared" si="354"/>
        <v>17.667248908296944</v>
      </c>
      <c r="W1118" s="5">
        <f t="shared" si="355"/>
        <v>18.663946965833759</v>
      </c>
      <c r="X1118" s="5">
        <f t="shared" si="356"/>
        <v>4.5778732545649836</v>
      </c>
      <c r="Y1118" s="5">
        <f t="shared" si="357"/>
        <v>0</v>
      </c>
      <c r="Z1118" s="5">
        <f t="shared" si="358"/>
        <v>0</v>
      </c>
      <c r="AA1118" s="5">
        <f t="shared" si="359"/>
        <v>0</v>
      </c>
      <c r="AB1118" s="5">
        <f t="shared" si="360"/>
        <v>40.909069128695684</v>
      </c>
    </row>
    <row r="1119" spans="4:28" x14ac:dyDescent="0.25">
      <c r="D1119" t="s">
        <v>98</v>
      </c>
      <c r="E1119" s="64"/>
      <c r="F1119" s="64"/>
      <c r="G1119">
        <f>IFERROR(HLOOKUP(G$2,[35]table_male_hkom3_inj.U6!$A$1:$K$36,30,FALSE),0)</f>
        <v>16</v>
      </c>
      <c r="H1119">
        <f>IFERROR(HLOOKUP(H$2,[35]table_male_hkom3_inj.U6!$A$1:$K$36,30,FALSE),0)</f>
        <v>51</v>
      </c>
      <c r="I1119">
        <f>IFERROR(HLOOKUP(I$2,[35]table_male_hkom3_inj.U6!$A$1:$K$36,30,FALSE),0)</f>
        <v>21</v>
      </c>
      <c r="J1119">
        <f>IFERROR(HLOOKUP(J$2,[35]table_male_hkom3_inj.U6!$A$1:$K$36,30,FALSE),0)</f>
        <v>4</v>
      </c>
      <c r="K1119">
        <f>IFERROR(HLOOKUP(K$2,[35]table_male_hkom3_inj.U6!$A$1:$K$36,30,FALSE),0)</f>
        <v>0</v>
      </c>
      <c r="L1119">
        <f>IFERROR(HLOOKUP(L$2,[35]table_male_hkom3_inj.U6!$A$1:$K$36,30,FALSE),0)</f>
        <v>1</v>
      </c>
      <c r="M1119">
        <f t="shared" si="351"/>
        <v>93</v>
      </c>
      <c r="S1119" t="s">
        <v>98</v>
      </c>
      <c r="T1119" s="5">
        <f t="shared" si="352"/>
        <v>0</v>
      </c>
      <c r="U1119" s="5">
        <f t="shared" si="353"/>
        <v>0</v>
      </c>
      <c r="V1119" s="5">
        <f t="shared" si="354"/>
        <v>25.697816593886465</v>
      </c>
      <c r="W1119" s="5">
        <f t="shared" si="355"/>
        <v>95.186129525752165</v>
      </c>
      <c r="X1119" s="5">
        <f t="shared" si="356"/>
        <v>48.067669172932327</v>
      </c>
      <c r="Y1119" s="5">
        <f t="shared" si="357"/>
        <v>12.289473684210526</v>
      </c>
      <c r="Z1119" s="5">
        <f t="shared" si="358"/>
        <v>0</v>
      </c>
      <c r="AA1119" s="5">
        <f t="shared" si="359"/>
        <v>4</v>
      </c>
      <c r="AB1119" s="5">
        <f t="shared" si="360"/>
        <v>185.2410889767815</v>
      </c>
    </row>
    <row r="1120" spans="4:28" x14ac:dyDescent="0.25">
      <c r="D1120" t="s">
        <v>119</v>
      </c>
      <c r="E1120" s="64"/>
      <c r="F1120" s="64"/>
      <c r="G1120">
        <f>IFERROR(HLOOKUP(G$2,[35]table_male_hkom3_inj.U6!$A$1:$K$36,31,FALSE),0)</f>
        <v>6</v>
      </c>
      <c r="H1120">
        <f>IFERROR(HLOOKUP(H$2,[35]table_male_hkom3_inj.U6!$A$1:$K$36,31,FALSE),0)</f>
        <v>9</v>
      </c>
      <c r="I1120">
        <f>IFERROR(HLOOKUP(I$2,[35]table_male_hkom3_inj.U6!$A$1:$K$36,31,FALSE),0)</f>
        <v>8</v>
      </c>
      <c r="J1120">
        <f>IFERROR(HLOOKUP(J$2,[35]table_male_hkom3_inj.U6!$A$1:$K$36,31,FALSE),0)</f>
        <v>1</v>
      </c>
      <c r="K1120">
        <f>IFERROR(HLOOKUP(K$2,[35]table_male_hkom3_inj.U6!$A$1:$K$36,31,FALSE),0)</f>
        <v>0</v>
      </c>
      <c r="L1120">
        <f>IFERROR(HLOOKUP(L$2,[35]table_male_hkom3_inj.U6!$A$1:$K$36,31,FALSE),0)</f>
        <v>0</v>
      </c>
      <c r="M1120">
        <f t="shared" si="351"/>
        <v>24</v>
      </c>
      <c r="S1120" t="s">
        <v>119</v>
      </c>
      <c r="T1120" s="5">
        <f t="shared" si="352"/>
        <v>0</v>
      </c>
      <c r="U1120" s="5">
        <f t="shared" si="353"/>
        <v>0</v>
      </c>
      <c r="V1120" s="5">
        <f t="shared" si="354"/>
        <v>9.6366812227074234</v>
      </c>
      <c r="W1120" s="5">
        <f t="shared" si="355"/>
        <v>16.797552269250382</v>
      </c>
      <c r="X1120" s="5">
        <f t="shared" si="356"/>
        <v>18.311493018259934</v>
      </c>
      <c r="Y1120" s="5">
        <f t="shared" si="357"/>
        <v>3.0723684210526314</v>
      </c>
      <c r="Z1120" s="5">
        <f t="shared" si="358"/>
        <v>0</v>
      </c>
      <c r="AA1120" s="5">
        <f t="shared" si="359"/>
        <v>0</v>
      </c>
      <c r="AB1120" s="5">
        <f t="shared" si="360"/>
        <v>47.818094931270366</v>
      </c>
    </row>
    <row r="1121" spans="1:29" x14ac:dyDescent="0.25">
      <c r="D1121" t="s">
        <v>99</v>
      </c>
      <c r="E1121" s="64"/>
      <c r="F1121" s="64"/>
      <c r="G1121">
        <f>IFERROR(HLOOKUP(G$2,[35]table_male_hkom3_inj.U6!$A$1:$K$36,32,FALSE),0)</f>
        <v>49</v>
      </c>
      <c r="H1121">
        <f>IFERROR(HLOOKUP(H$2,[35]table_male_hkom3_inj.U6!$A$1:$K$36,32,FALSE),0)</f>
        <v>54</v>
      </c>
      <c r="I1121">
        <f>IFERROR(HLOOKUP(I$2,[35]table_male_hkom3_inj.U6!$A$1:$K$36,32,FALSE),0)</f>
        <v>26</v>
      </c>
      <c r="J1121">
        <f>IFERROR(HLOOKUP(J$2,[35]table_male_hkom3_inj.U6!$A$1:$K$36,32,FALSE),0)</f>
        <v>3</v>
      </c>
      <c r="K1121">
        <f>IFERROR(HLOOKUP(K$2,[35]table_male_hkom3_inj.U6!$A$1:$K$36,32,FALSE),0)</f>
        <v>0</v>
      </c>
      <c r="L1121">
        <f>IFERROR(HLOOKUP(L$2,[35]table_male_hkom3_inj.U6!$A$1:$K$36,32,FALSE),0)</f>
        <v>0</v>
      </c>
      <c r="M1121">
        <f t="shared" si="351"/>
        <v>132</v>
      </c>
      <c r="S1121" t="s">
        <v>99</v>
      </c>
      <c r="T1121" s="5">
        <f t="shared" si="352"/>
        <v>0</v>
      </c>
      <c r="U1121" s="5">
        <f t="shared" si="353"/>
        <v>0</v>
      </c>
      <c r="V1121" s="5">
        <f t="shared" si="354"/>
        <v>78.699563318777294</v>
      </c>
      <c r="W1121" s="5">
        <f t="shared" si="355"/>
        <v>100.78531361550229</v>
      </c>
      <c r="X1121" s="5">
        <f t="shared" si="356"/>
        <v>59.512352309344791</v>
      </c>
      <c r="Y1121" s="5">
        <f t="shared" si="357"/>
        <v>9.2171052631578938</v>
      </c>
      <c r="Z1121" s="5">
        <f t="shared" si="358"/>
        <v>0</v>
      </c>
      <c r="AA1121" s="5">
        <f t="shared" si="359"/>
        <v>0</v>
      </c>
      <c r="AB1121" s="5">
        <f t="shared" si="360"/>
        <v>248.21433450678225</v>
      </c>
    </row>
    <row r="1122" spans="1:29" x14ac:dyDescent="0.25">
      <c r="D1122" t="s">
        <v>100</v>
      </c>
      <c r="E1122" s="64"/>
      <c r="F1122" s="64"/>
      <c r="G1122">
        <f>IFERROR(HLOOKUP(G$2,[35]table_male_hkom3_inj.U6!$A$1:$K$36,33,FALSE),0)</f>
        <v>184</v>
      </c>
      <c r="H1122">
        <f>IFERROR(HLOOKUP(H$2,[35]table_male_hkom3_inj.U6!$A$1:$K$36,33,FALSE),0)</f>
        <v>382</v>
      </c>
      <c r="I1122">
        <f>IFERROR(HLOOKUP(I$2,[35]table_male_hkom3_inj.U6!$A$1:$K$36,33,FALSE),0)</f>
        <v>226</v>
      </c>
      <c r="J1122">
        <f>IFERROR(HLOOKUP(J$2,[35]table_male_hkom3_inj.U6!$A$1:$K$36,33,FALSE),0)</f>
        <v>43</v>
      </c>
      <c r="K1122">
        <f>IFERROR(HLOOKUP(K$2,[35]table_male_hkom3_inj.U6!$A$1:$K$36,33,FALSE),0)</f>
        <v>12</v>
      </c>
      <c r="L1122">
        <f>IFERROR(HLOOKUP(L$2,[35]table_male_hkom3_inj.U6!$A$1:$K$36,33,FALSE),0)</f>
        <v>1</v>
      </c>
      <c r="M1122">
        <f t="shared" si="351"/>
        <v>848</v>
      </c>
      <c r="S1122" t="s">
        <v>100</v>
      </c>
      <c r="T1122" s="5">
        <f t="shared" si="352"/>
        <v>0</v>
      </c>
      <c r="U1122" s="5">
        <f t="shared" si="353"/>
        <v>0</v>
      </c>
      <c r="V1122" s="5">
        <f t="shared" si="354"/>
        <v>295.5248908296943</v>
      </c>
      <c r="W1122" s="5">
        <f t="shared" si="355"/>
        <v>712.96277409484958</v>
      </c>
      <c r="X1122" s="5">
        <f t="shared" si="356"/>
        <v>517.29967776584317</v>
      </c>
      <c r="Y1122" s="5">
        <f t="shared" si="357"/>
        <v>132.11184210526315</v>
      </c>
      <c r="Z1122" s="5">
        <f t="shared" si="358"/>
        <v>36.92307692307692</v>
      </c>
      <c r="AA1122" s="5">
        <f t="shared" si="359"/>
        <v>4</v>
      </c>
      <c r="AB1122" s="5">
        <f t="shared" si="360"/>
        <v>1698.8222617187271</v>
      </c>
    </row>
    <row r="1123" spans="1:29" x14ac:dyDescent="0.25">
      <c r="D1123" t="s">
        <v>101</v>
      </c>
      <c r="E1123" s="64"/>
      <c r="F1123" s="64"/>
      <c r="G1123">
        <f>IFERROR(HLOOKUP(G$2,[35]table_male_hkom3_inj.U6!$A$1:$K$36,34,FALSE),0)</f>
        <v>30</v>
      </c>
      <c r="H1123">
        <f>IFERROR(HLOOKUP(H$2,[35]table_male_hkom3_inj.U6!$A$1:$K$36,34,FALSE),0)</f>
        <v>56</v>
      </c>
      <c r="I1123">
        <f>IFERROR(HLOOKUP(I$2,[35]table_male_hkom3_inj.U6!$A$1:$K$36,34,FALSE),0)</f>
        <v>30</v>
      </c>
      <c r="J1123">
        <f>IFERROR(HLOOKUP(J$2,[35]table_male_hkom3_inj.U6!$A$1:$K$36,34,FALSE),0)</f>
        <v>3</v>
      </c>
      <c r="K1123">
        <f>IFERROR(HLOOKUP(K$2,[35]table_male_hkom3_inj.U6!$A$1:$K$36,34,FALSE),0)</f>
        <v>0</v>
      </c>
      <c r="L1123">
        <f>IFERROR(HLOOKUP(L$2,[35]table_male_hkom3_inj.U6!$A$1:$K$36,34,FALSE),0)</f>
        <v>0</v>
      </c>
      <c r="M1123">
        <f t="shared" si="351"/>
        <v>119</v>
      </c>
      <c r="S1123" t="s">
        <v>101</v>
      </c>
      <c r="T1123" s="5">
        <f t="shared" si="352"/>
        <v>0</v>
      </c>
      <c r="U1123" s="5">
        <f t="shared" si="353"/>
        <v>0</v>
      </c>
      <c r="V1123" s="5">
        <f t="shared" si="354"/>
        <v>48.183406113537117</v>
      </c>
      <c r="W1123" s="5">
        <f t="shared" si="355"/>
        <v>104.51810300866904</v>
      </c>
      <c r="X1123" s="5">
        <f t="shared" si="356"/>
        <v>68.66809881847476</v>
      </c>
      <c r="Y1123" s="5">
        <f t="shared" si="357"/>
        <v>9.2171052631578938</v>
      </c>
      <c r="Z1123" s="5">
        <f t="shared" si="358"/>
        <v>0</v>
      </c>
      <c r="AA1123" s="5">
        <f t="shared" si="359"/>
        <v>0</v>
      </c>
      <c r="AB1123" s="5">
        <f t="shared" si="360"/>
        <v>230.58671320383883</v>
      </c>
    </row>
    <row r="1124" spans="1:29" x14ac:dyDescent="0.25">
      <c r="D1124" t="s">
        <v>102</v>
      </c>
      <c r="E1124" s="64"/>
      <c r="F1124" s="64"/>
      <c r="G1124">
        <f>IFERROR(HLOOKUP(G$2,[35]table_male_hkom3_inj.U6!$A$1:$K$36,35,FALSE),0)</f>
        <v>694</v>
      </c>
      <c r="H1124">
        <f>IFERROR(HLOOKUP(H$2,[35]table_male_hkom3_inj.U6!$A$1:$K$36,35,FALSE),0)</f>
        <v>1699</v>
      </c>
      <c r="I1124">
        <f>IFERROR(HLOOKUP(I$2,[35]table_male_hkom3_inj.U6!$A$1:$K$36,35,FALSE),0)</f>
        <v>1200</v>
      </c>
      <c r="J1124">
        <f>IFERROR(HLOOKUP(J$2,[35]table_male_hkom3_inj.U6!$A$1:$K$36,35,FALSE),0)</f>
        <v>315</v>
      </c>
      <c r="K1124">
        <f>IFERROR(HLOOKUP(K$2,[35]table_male_hkom3_inj.U6!$A$1:$K$36,35,FALSE),0)</f>
        <v>54</v>
      </c>
      <c r="L1124">
        <f>IFERROR(HLOOKUP(L$2,[35]table_male_hkom3_inj.U6!$A$1:$K$36,35,FALSE),0)</f>
        <v>6</v>
      </c>
      <c r="M1124">
        <f t="shared" si="351"/>
        <v>3968</v>
      </c>
      <c r="N1124">
        <f>SUM(M1091:M1124)</f>
        <v>8185</v>
      </c>
      <c r="O1124" s="8">
        <f>SUM([35]table_male_hkom3_inj.U6!$B$2:$L$36)</f>
        <v>8185</v>
      </c>
      <c r="S1124" t="s">
        <v>102</v>
      </c>
      <c r="T1124" s="7"/>
      <c r="U1124" s="7"/>
      <c r="V1124" s="7"/>
      <c r="W1124" s="7"/>
      <c r="X1124" s="7"/>
      <c r="Y1124" s="7"/>
      <c r="Z1124" s="7"/>
      <c r="AA1124" s="7"/>
      <c r="AB1124" s="5">
        <f t="shared" si="360"/>
        <v>0</v>
      </c>
      <c r="AC1124" s="5">
        <f>SUM(AB1091:AB1123)</f>
        <v>8185</v>
      </c>
    </row>
    <row r="1125" spans="1:29" x14ac:dyDescent="0.25">
      <c r="A1125" t="s">
        <v>115</v>
      </c>
      <c r="B1125" t="s">
        <v>103</v>
      </c>
      <c r="C1125" t="s">
        <v>102</v>
      </c>
      <c r="D1125" t="s">
        <v>70</v>
      </c>
      <c r="E1125" s="64"/>
      <c r="F1125" s="64"/>
      <c r="G1125">
        <f>IFERROR(HLOOKUP(G$2,[36]table_female_hkom1_inj.unk!$A$1:$K$36,2,FALSE),0)</f>
        <v>0</v>
      </c>
      <c r="H1125">
        <f>IFERROR(HLOOKUP(H$2,[36]table_female_hkom1_inj.unk!$A$1:$K$36,2,FALSE),0)</f>
        <v>0</v>
      </c>
      <c r="I1125">
        <f>IFERROR(HLOOKUP(I$2,[36]table_female_hkom1_inj.unk!$A$1:$K$36,2,FALSE),0)</f>
        <v>0</v>
      </c>
      <c r="J1125">
        <f>IFERROR(HLOOKUP(J$2,[36]table_female_hkom1_inj.unk!$A$1:$K$36,2,FALSE),0)</f>
        <v>0</v>
      </c>
      <c r="K1125">
        <f>IFERROR(HLOOKUP(K$2,[36]table_female_hkom1_inj.unk!$A$1:$K$36,2,FALSE),0)</f>
        <v>0</v>
      </c>
      <c r="L1125">
        <f>IFERROR(HLOOKUP(L$2,[36]table_female_hkom1_inj.unk!$A$1:$K$36,2,FALSE),0)</f>
        <v>0</v>
      </c>
      <c r="M1125">
        <f>SUM(E1125:L1125)</f>
        <v>0</v>
      </c>
      <c r="P1125" t="s">
        <v>115</v>
      </c>
      <c r="Q1125" t="s">
        <v>103</v>
      </c>
      <c r="R1125" t="s">
        <v>102</v>
      </c>
      <c r="S1125" t="s">
        <v>70</v>
      </c>
      <c r="T1125" s="5">
        <f>IF(SUM(E$1125:E$1157)=0,E$1158/33,E1125+IFERROR(E1125/SUM(E$1125:E$1157)*E$1158,0))</f>
        <v>0</v>
      </c>
      <c r="U1125" s="5">
        <f t="shared" ref="U1125:AA1125" si="361">IF(SUM(F$1125:F$1157)=0,F$1158/33,F1125+IFERROR(F1125/SUM(F$1125:F$1157)*F$1158,0))</f>
        <v>0</v>
      </c>
      <c r="V1125" s="5">
        <f t="shared" si="361"/>
        <v>0</v>
      </c>
      <c r="W1125" s="5">
        <f t="shared" si="361"/>
        <v>0</v>
      </c>
      <c r="X1125" s="5">
        <f t="shared" si="361"/>
        <v>0</v>
      </c>
      <c r="Y1125" s="5">
        <f t="shared" si="361"/>
        <v>0</v>
      </c>
      <c r="Z1125" s="5">
        <f t="shared" si="361"/>
        <v>0</v>
      </c>
      <c r="AA1125" s="5">
        <f t="shared" si="361"/>
        <v>0</v>
      </c>
      <c r="AB1125" s="5">
        <f t="shared" si="360"/>
        <v>0</v>
      </c>
    </row>
    <row r="1126" spans="1:29" x14ac:dyDescent="0.25">
      <c r="D1126" t="s">
        <v>71</v>
      </c>
      <c r="E1126" s="64"/>
      <c r="F1126" s="64"/>
      <c r="G1126">
        <f>IFERROR(HLOOKUP(G$2,[36]table_female_hkom1_inj.unk!$A$1:$K$36,3,FALSE),0)</f>
        <v>0</v>
      </c>
      <c r="H1126">
        <f>IFERROR(HLOOKUP(H$2,[36]table_female_hkom1_inj.unk!$A$1:$K$36,3,FALSE),0)</f>
        <v>0</v>
      </c>
      <c r="I1126">
        <f>IFERROR(HLOOKUP(I$2,[36]table_female_hkom1_inj.unk!$A$1:$K$36,3,FALSE),0)</f>
        <v>0</v>
      </c>
      <c r="J1126">
        <f>IFERROR(HLOOKUP(J$2,[36]table_female_hkom1_inj.unk!$A$1:$K$36,3,FALSE),0)</f>
        <v>0</v>
      </c>
      <c r="K1126">
        <f>IFERROR(HLOOKUP(K$2,[36]table_female_hkom1_inj.unk!$A$1:$K$36,3,FALSE),0)</f>
        <v>0</v>
      </c>
      <c r="L1126">
        <f>IFERROR(HLOOKUP(L$2,[36]table_female_hkom1_inj.unk!$A$1:$K$36,3,FALSE),0)</f>
        <v>0</v>
      </c>
      <c r="M1126">
        <f t="shared" ref="M1126:M1189" si="362">SUM(E1126:L1126)</f>
        <v>0</v>
      </c>
      <c r="S1126" t="s">
        <v>71</v>
      </c>
      <c r="T1126" s="5">
        <f t="shared" ref="T1126:T1157" si="363">IF(SUM(E$1125:E$1157)=0,E$1158/33,E1126+IFERROR(E1126/SUM(E$1125:E$1157)*E$1158,0))</f>
        <v>0</v>
      </c>
      <c r="U1126" s="5">
        <f t="shared" ref="U1126:U1157" si="364">IF(SUM(F$1125:F$1157)=0,F$1158/33,F1126+IFERROR(F1126/SUM(F$1125:F$1157)*F$1158,0))</f>
        <v>0</v>
      </c>
      <c r="V1126" s="5">
        <f t="shared" ref="V1126:V1157" si="365">IF(SUM(G$1125:G$1157)=0,G$1158/33,G1126+IFERROR(G1126/SUM(G$1125:G$1157)*G$1158,0))</f>
        <v>0</v>
      </c>
      <c r="W1126" s="5">
        <f t="shared" ref="W1126:W1157" si="366">IF(SUM(H$1125:H$1157)=0,H$1158/33,H1126+IFERROR(H1126/SUM(H$1125:H$1157)*H$1158,0))</f>
        <v>0</v>
      </c>
      <c r="X1126" s="5">
        <f t="shared" ref="X1126:X1157" si="367">IF(SUM(I$1125:I$1157)=0,I$1158/33,I1126+IFERROR(I1126/SUM(I$1125:I$1157)*I$1158,0))</f>
        <v>0</v>
      </c>
      <c r="Y1126" s="5">
        <f t="shared" ref="Y1126:Y1157" si="368">IF(SUM(J$1125:J$1157)=0,J$1158/33,J1126+IFERROR(J1126/SUM(J$1125:J$1157)*J$1158,0))</f>
        <v>0</v>
      </c>
      <c r="Z1126" s="5">
        <f t="shared" ref="Z1126:Z1157" si="369">IF(SUM(K$1125:K$1157)=0,K$1158/33,K1126+IFERROR(K1126/SUM(K$1125:K$1157)*K$1158,0))</f>
        <v>0</v>
      </c>
      <c r="AA1126" s="5">
        <f t="shared" ref="AA1126:AA1157" si="370">IF(SUM(L$1125:L$1157)=0,L$1158/33,L1126+IFERROR(L1126/SUM(L$1125:L$1157)*L$1158,0))</f>
        <v>0</v>
      </c>
      <c r="AB1126" s="5">
        <f t="shared" si="360"/>
        <v>0</v>
      </c>
    </row>
    <row r="1127" spans="1:29" x14ac:dyDescent="0.25">
      <c r="D1127" t="s">
        <v>72</v>
      </c>
      <c r="E1127" s="64"/>
      <c r="F1127" s="64"/>
      <c r="G1127">
        <f>IFERROR(HLOOKUP(G$2,[36]table_female_hkom1_inj.unk!$A$1:$K$36,4,FALSE),0)</f>
        <v>0</v>
      </c>
      <c r="H1127">
        <f>IFERROR(HLOOKUP(H$2,[36]table_female_hkom1_inj.unk!$A$1:$K$36,4,FALSE),0)</f>
        <v>0</v>
      </c>
      <c r="I1127">
        <f>IFERROR(HLOOKUP(I$2,[36]table_female_hkom1_inj.unk!$A$1:$K$36,4,FALSE),0)</f>
        <v>0</v>
      </c>
      <c r="J1127">
        <f>IFERROR(HLOOKUP(J$2,[36]table_female_hkom1_inj.unk!$A$1:$K$36,4,FALSE),0)</f>
        <v>0</v>
      </c>
      <c r="K1127">
        <f>IFERROR(HLOOKUP(K$2,[36]table_female_hkom1_inj.unk!$A$1:$K$36,4,FALSE),0)</f>
        <v>0</v>
      </c>
      <c r="L1127">
        <f>IFERROR(HLOOKUP(L$2,[36]table_female_hkom1_inj.unk!$A$1:$K$36,4,FALSE),0)</f>
        <v>0</v>
      </c>
      <c r="M1127">
        <f t="shared" si="362"/>
        <v>0</v>
      </c>
      <c r="S1127" t="s">
        <v>72</v>
      </c>
      <c r="T1127" s="5">
        <f t="shared" si="363"/>
        <v>0</v>
      </c>
      <c r="U1127" s="5">
        <f t="shared" si="364"/>
        <v>0</v>
      </c>
      <c r="V1127" s="5">
        <f t="shared" si="365"/>
        <v>0</v>
      </c>
      <c r="W1127" s="5">
        <f t="shared" si="366"/>
        <v>0</v>
      </c>
      <c r="X1127" s="5">
        <f t="shared" si="367"/>
        <v>0</v>
      </c>
      <c r="Y1127" s="5">
        <f t="shared" si="368"/>
        <v>0</v>
      </c>
      <c r="Z1127" s="5">
        <f t="shared" si="369"/>
        <v>0</v>
      </c>
      <c r="AA1127" s="5">
        <f t="shared" si="370"/>
        <v>0</v>
      </c>
      <c r="AB1127" s="5">
        <f t="shared" si="360"/>
        <v>0</v>
      </c>
    </row>
    <row r="1128" spans="1:29" x14ac:dyDescent="0.25">
      <c r="D1128" t="s">
        <v>73</v>
      </c>
      <c r="E1128" s="64"/>
      <c r="F1128" s="64"/>
      <c r="G1128">
        <f>IFERROR(HLOOKUP(G$2,[36]table_female_hkom1_inj.unk!$A$1:$K$36,5,FALSE),0)</f>
        <v>0</v>
      </c>
      <c r="H1128">
        <f>IFERROR(HLOOKUP(H$2,[36]table_female_hkom1_inj.unk!$A$1:$K$36,5,FALSE),0)</f>
        <v>0</v>
      </c>
      <c r="I1128">
        <f>IFERROR(HLOOKUP(I$2,[36]table_female_hkom1_inj.unk!$A$1:$K$36,5,FALSE),0)</f>
        <v>0</v>
      </c>
      <c r="J1128">
        <f>IFERROR(HLOOKUP(J$2,[36]table_female_hkom1_inj.unk!$A$1:$K$36,5,FALSE),0)</f>
        <v>0</v>
      </c>
      <c r="K1128">
        <f>IFERROR(HLOOKUP(K$2,[36]table_female_hkom1_inj.unk!$A$1:$K$36,5,FALSE),0)</f>
        <v>0</v>
      </c>
      <c r="L1128">
        <f>IFERROR(HLOOKUP(L$2,[36]table_female_hkom1_inj.unk!$A$1:$K$36,5,FALSE),0)</f>
        <v>0</v>
      </c>
      <c r="M1128">
        <f t="shared" si="362"/>
        <v>0</v>
      </c>
      <c r="S1128" t="s">
        <v>73</v>
      </c>
      <c r="T1128" s="5">
        <f t="shared" si="363"/>
        <v>0</v>
      </c>
      <c r="U1128" s="5">
        <f t="shared" si="364"/>
        <v>0</v>
      </c>
      <c r="V1128" s="5">
        <f t="shared" si="365"/>
        <v>0</v>
      </c>
      <c r="W1128" s="5">
        <f t="shared" si="366"/>
        <v>0</v>
      </c>
      <c r="X1128" s="5">
        <f t="shared" si="367"/>
        <v>0</v>
      </c>
      <c r="Y1128" s="5">
        <f t="shared" si="368"/>
        <v>0</v>
      </c>
      <c r="Z1128" s="5">
        <f t="shared" si="369"/>
        <v>0</v>
      </c>
      <c r="AA1128" s="5">
        <f t="shared" si="370"/>
        <v>0</v>
      </c>
      <c r="AB1128" s="5">
        <f t="shared" si="360"/>
        <v>0</v>
      </c>
    </row>
    <row r="1129" spans="1:29" x14ac:dyDescent="0.25">
      <c r="D1129" t="s">
        <v>74</v>
      </c>
      <c r="E1129" s="64"/>
      <c r="F1129" s="64"/>
      <c r="G1129">
        <f>IFERROR(HLOOKUP(G$2,[36]table_female_hkom1_inj.unk!$A$1:$K$36,6,FALSE),0)</f>
        <v>0</v>
      </c>
      <c r="H1129">
        <f>IFERROR(HLOOKUP(H$2,[36]table_female_hkom1_inj.unk!$A$1:$K$36,6,FALSE),0)</f>
        <v>0</v>
      </c>
      <c r="I1129">
        <f>IFERROR(HLOOKUP(I$2,[36]table_female_hkom1_inj.unk!$A$1:$K$36,6,FALSE),0)</f>
        <v>0</v>
      </c>
      <c r="J1129">
        <f>IFERROR(HLOOKUP(J$2,[36]table_female_hkom1_inj.unk!$A$1:$K$36,6,FALSE),0)</f>
        <v>0</v>
      </c>
      <c r="K1129">
        <f>IFERROR(HLOOKUP(K$2,[36]table_female_hkom1_inj.unk!$A$1:$K$36,6,FALSE),0)</f>
        <v>0</v>
      </c>
      <c r="L1129">
        <f>IFERROR(HLOOKUP(L$2,[36]table_female_hkom1_inj.unk!$A$1:$K$36,6,FALSE),0)</f>
        <v>0</v>
      </c>
      <c r="M1129">
        <f t="shared" si="362"/>
        <v>0</v>
      </c>
      <c r="S1129" t="s">
        <v>74</v>
      </c>
      <c r="T1129" s="5">
        <f t="shared" si="363"/>
        <v>0</v>
      </c>
      <c r="U1129" s="5">
        <f t="shared" si="364"/>
        <v>0</v>
      </c>
      <c r="V1129" s="5">
        <f t="shared" si="365"/>
        <v>0</v>
      </c>
      <c r="W1129" s="5">
        <f t="shared" si="366"/>
        <v>0</v>
      </c>
      <c r="X1129" s="5">
        <f t="shared" si="367"/>
        <v>0</v>
      </c>
      <c r="Y1129" s="5">
        <f t="shared" si="368"/>
        <v>0</v>
      </c>
      <c r="Z1129" s="5">
        <f t="shared" si="369"/>
        <v>0</v>
      </c>
      <c r="AA1129" s="5">
        <f t="shared" si="370"/>
        <v>0</v>
      </c>
      <c r="AB1129" s="5">
        <f t="shared" si="360"/>
        <v>0</v>
      </c>
    </row>
    <row r="1130" spans="1:29" x14ac:dyDescent="0.25">
      <c r="D1130" t="s">
        <v>75</v>
      </c>
      <c r="E1130" s="64"/>
      <c r="F1130" s="64"/>
      <c r="G1130">
        <f>IFERROR(HLOOKUP(G$2,[36]table_female_hkom1_inj.unk!$A$1:$K$36,7,FALSE),0)</f>
        <v>0</v>
      </c>
      <c r="H1130">
        <f>IFERROR(HLOOKUP(H$2,[36]table_female_hkom1_inj.unk!$A$1:$K$36,7,FALSE),0)</f>
        <v>0</v>
      </c>
      <c r="I1130">
        <f>IFERROR(HLOOKUP(I$2,[36]table_female_hkom1_inj.unk!$A$1:$K$36,7,FALSE),0)</f>
        <v>0</v>
      </c>
      <c r="J1130">
        <f>IFERROR(HLOOKUP(J$2,[36]table_female_hkom1_inj.unk!$A$1:$K$36,7,FALSE),0)</f>
        <v>0</v>
      </c>
      <c r="K1130">
        <f>IFERROR(HLOOKUP(K$2,[36]table_female_hkom1_inj.unk!$A$1:$K$36,7,FALSE),0)</f>
        <v>0</v>
      </c>
      <c r="L1130">
        <f>IFERROR(HLOOKUP(L$2,[36]table_female_hkom1_inj.unk!$A$1:$K$36,7,FALSE),0)</f>
        <v>0</v>
      </c>
      <c r="M1130">
        <f t="shared" si="362"/>
        <v>0</v>
      </c>
      <c r="S1130" t="s">
        <v>75</v>
      </c>
      <c r="T1130" s="5">
        <f t="shared" si="363"/>
        <v>0</v>
      </c>
      <c r="U1130" s="5">
        <f t="shared" si="364"/>
        <v>0</v>
      </c>
      <c r="V1130" s="5">
        <f t="shared" si="365"/>
        <v>0</v>
      </c>
      <c r="W1130" s="5">
        <f t="shared" si="366"/>
        <v>0</v>
      </c>
      <c r="X1130" s="5">
        <f t="shared" si="367"/>
        <v>0</v>
      </c>
      <c r="Y1130" s="5">
        <f t="shared" si="368"/>
        <v>0</v>
      </c>
      <c r="Z1130" s="5">
        <f t="shared" si="369"/>
        <v>0</v>
      </c>
      <c r="AA1130" s="5">
        <f t="shared" si="370"/>
        <v>0</v>
      </c>
      <c r="AB1130" s="5">
        <f t="shared" si="360"/>
        <v>0</v>
      </c>
    </row>
    <row r="1131" spans="1:29" x14ac:dyDescent="0.25">
      <c r="D1131" t="s">
        <v>76</v>
      </c>
      <c r="E1131" s="64"/>
      <c r="F1131" s="64"/>
      <c r="G1131">
        <f>IFERROR(HLOOKUP(G$2,[36]table_female_hkom1_inj.unk!$A$1:$K$36,8,FALSE),0)</f>
        <v>0</v>
      </c>
      <c r="H1131">
        <f>IFERROR(HLOOKUP(H$2,[36]table_female_hkom1_inj.unk!$A$1:$K$36,8,FALSE),0)</f>
        <v>0</v>
      </c>
      <c r="I1131">
        <f>IFERROR(HLOOKUP(I$2,[36]table_female_hkom1_inj.unk!$A$1:$K$36,8,FALSE),0)</f>
        <v>0</v>
      </c>
      <c r="J1131">
        <f>IFERROR(HLOOKUP(J$2,[36]table_female_hkom1_inj.unk!$A$1:$K$36,8,FALSE),0)</f>
        <v>0</v>
      </c>
      <c r="K1131">
        <f>IFERROR(HLOOKUP(K$2,[36]table_female_hkom1_inj.unk!$A$1:$K$36,8,FALSE),0)</f>
        <v>0</v>
      </c>
      <c r="L1131">
        <f>IFERROR(HLOOKUP(L$2,[36]table_female_hkom1_inj.unk!$A$1:$K$36,8,FALSE),0)</f>
        <v>0</v>
      </c>
      <c r="M1131">
        <f t="shared" si="362"/>
        <v>0</v>
      </c>
      <c r="S1131" t="s">
        <v>76</v>
      </c>
      <c r="T1131" s="5">
        <f t="shared" si="363"/>
        <v>0</v>
      </c>
      <c r="U1131" s="5">
        <f t="shared" si="364"/>
        <v>0</v>
      </c>
      <c r="V1131" s="5">
        <f t="shared" si="365"/>
        <v>0</v>
      </c>
      <c r="W1131" s="5">
        <f t="shared" si="366"/>
        <v>0</v>
      </c>
      <c r="X1131" s="5">
        <f t="shared" si="367"/>
        <v>0</v>
      </c>
      <c r="Y1131" s="5">
        <f t="shared" si="368"/>
        <v>0</v>
      </c>
      <c r="Z1131" s="5">
        <f t="shared" si="369"/>
        <v>0</v>
      </c>
      <c r="AA1131" s="5">
        <f t="shared" si="370"/>
        <v>0</v>
      </c>
      <c r="AB1131" s="5">
        <f t="shared" si="360"/>
        <v>0</v>
      </c>
    </row>
    <row r="1132" spans="1:29" x14ac:dyDescent="0.25">
      <c r="D1132" t="s">
        <v>77</v>
      </c>
      <c r="E1132" s="64"/>
      <c r="F1132" s="64"/>
      <c r="G1132">
        <f>IFERROR(HLOOKUP(G$2,[36]table_female_hkom1_inj.unk!$A$1:$K$36,9,FALSE),0)</f>
        <v>0</v>
      </c>
      <c r="H1132">
        <f>IFERROR(HLOOKUP(H$2,[36]table_female_hkom1_inj.unk!$A$1:$K$36,9,FALSE),0)</f>
        <v>0</v>
      </c>
      <c r="I1132">
        <f>IFERROR(HLOOKUP(I$2,[36]table_female_hkom1_inj.unk!$A$1:$K$36,9,FALSE),0)</f>
        <v>0</v>
      </c>
      <c r="J1132">
        <f>IFERROR(HLOOKUP(J$2,[36]table_female_hkom1_inj.unk!$A$1:$K$36,9,FALSE),0)</f>
        <v>0</v>
      </c>
      <c r="K1132">
        <f>IFERROR(HLOOKUP(K$2,[36]table_female_hkom1_inj.unk!$A$1:$K$36,9,FALSE),0)</f>
        <v>0</v>
      </c>
      <c r="L1132">
        <f>IFERROR(HLOOKUP(L$2,[36]table_female_hkom1_inj.unk!$A$1:$K$36,9,FALSE),0)</f>
        <v>0</v>
      </c>
      <c r="M1132">
        <f t="shared" si="362"/>
        <v>0</v>
      </c>
      <c r="S1132" t="s">
        <v>77</v>
      </c>
      <c r="T1132" s="5">
        <f t="shared" si="363"/>
        <v>0</v>
      </c>
      <c r="U1132" s="5">
        <f t="shared" si="364"/>
        <v>0</v>
      </c>
      <c r="V1132" s="5">
        <f t="shared" si="365"/>
        <v>0</v>
      </c>
      <c r="W1132" s="5">
        <f t="shared" si="366"/>
        <v>0</v>
      </c>
      <c r="X1132" s="5">
        <f t="shared" si="367"/>
        <v>0</v>
      </c>
      <c r="Y1132" s="5">
        <f t="shared" si="368"/>
        <v>0</v>
      </c>
      <c r="Z1132" s="5">
        <f t="shared" si="369"/>
        <v>0</v>
      </c>
      <c r="AA1132" s="5">
        <f t="shared" si="370"/>
        <v>0</v>
      </c>
      <c r="AB1132" s="5">
        <f t="shared" si="360"/>
        <v>0</v>
      </c>
    </row>
    <row r="1133" spans="1:29" x14ac:dyDescent="0.25">
      <c r="D1133" t="s">
        <v>78</v>
      </c>
      <c r="E1133" s="64"/>
      <c r="F1133" s="64"/>
      <c r="G1133">
        <f>IFERROR(HLOOKUP(G$2,[36]table_female_hkom1_inj.unk!$A$1:$K$36,10,FALSE),0)</f>
        <v>0</v>
      </c>
      <c r="H1133">
        <f>IFERROR(HLOOKUP(H$2,[36]table_female_hkom1_inj.unk!$A$1:$K$36,10,FALSE),0)</f>
        <v>0</v>
      </c>
      <c r="I1133">
        <f>IFERROR(HLOOKUP(I$2,[36]table_female_hkom1_inj.unk!$A$1:$K$36,10,FALSE),0)</f>
        <v>0</v>
      </c>
      <c r="J1133">
        <f>IFERROR(HLOOKUP(J$2,[36]table_female_hkom1_inj.unk!$A$1:$K$36,10,FALSE),0)</f>
        <v>0</v>
      </c>
      <c r="K1133">
        <f>IFERROR(HLOOKUP(K$2,[36]table_female_hkom1_inj.unk!$A$1:$K$36,10,FALSE),0)</f>
        <v>0</v>
      </c>
      <c r="L1133">
        <f>IFERROR(HLOOKUP(L$2,[36]table_female_hkom1_inj.unk!$A$1:$K$36,10,FALSE),0)</f>
        <v>0</v>
      </c>
      <c r="M1133">
        <f t="shared" si="362"/>
        <v>0</v>
      </c>
      <c r="S1133" t="s">
        <v>78</v>
      </c>
      <c r="T1133" s="5">
        <f t="shared" si="363"/>
        <v>0</v>
      </c>
      <c r="U1133" s="5">
        <f t="shared" si="364"/>
        <v>0</v>
      </c>
      <c r="V1133" s="5">
        <f t="shared" si="365"/>
        <v>0</v>
      </c>
      <c r="W1133" s="5">
        <f t="shared" si="366"/>
        <v>0</v>
      </c>
      <c r="X1133" s="5">
        <f t="shared" si="367"/>
        <v>0</v>
      </c>
      <c r="Y1133" s="5">
        <f t="shared" si="368"/>
        <v>0</v>
      </c>
      <c r="Z1133" s="5">
        <f t="shared" si="369"/>
        <v>0</v>
      </c>
      <c r="AA1133" s="5">
        <f t="shared" si="370"/>
        <v>0</v>
      </c>
      <c r="AB1133" s="5">
        <f t="shared" si="360"/>
        <v>0</v>
      </c>
    </row>
    <row r="1134" spans="1:29" x14ac:dyDescent="0.25">
      <c r="D1134" t="s">
        <v>79</v>
      </c>
      <c r="E1134" s="64"/>
      <c r="F1134" s="64"/>
      <c r="G1134">
        <f>IFERROR(HLOOKUP(G$2,[36]table_female_hkom1_inj.unk!$A$1:$K$36,11,FALSE),0)</f>
        <v>0</v>
      </c>
      <c r="H1134">
        <f>IFERROR(HLOOKUP(H$2,[36]table_female_hkom1_inj.unk!$A$1:$K$36,11,FALSE),0)</f>
        <v>0</v>
      </c>
      <c r="I1134">
        <f>IFERROR(HLOOKUP(I$2,[36]table_female_hkom1_inj.unk!$A$1:$K$36,11,FALSE),0)</f>
        <v>0</v>
      </c>
      <c r="J1134">
        <f>IFERROR(HLOOKUP(J$2,[36]table_female_hkom1_inj.unk!$A$1:$K$36,11,FALSE),0)</f>
        <v>0</v>
      </c>
      <c r="K1134">
        <f>IFERROR(HLOOKUP(K$2,[36]table_female_hkom1_inj.unk!$A$1:$K$36,11,FALSE),0)</f>
        <v>0</v>
      </c>
      <c r="L1134">
        <f>IFERROR(HLOOKUP(L$2,[36]table_female_hkom1_inj.unk!$A$1:$K$36,11,FALSE),0)</f>
        <v>0</v>
      </c>
      <c r="M1134">
        <f t="shared" si="362"/>
        <v>0</v>
      </c>
      <c r="S1134" t="s">
        <v>79</v>
      </c>
      <c r="T1134" s="5">
        <f t="shared" si="363"/>
        <v>0</v>
      </c>
      <c r="U1134" s="5">
        <f t="shared" si="364"/>
        <v>0</v>
      </c>
      <c r="V1134" s="5">
        <f t="shared" si="365"/>
        <v>0</v>
      </c>
      <c r="W1134" s="5">
        <f t="shared" si="366"/>
        <v>0</v>
      </c>
      <c r="X1134" s="5">
        <f t="shared" si="367"/>
        <v>0</v>
      </c>
      <c r="Y1134" s="5">
        <f t="shared" si="368"/>
        <v>0</v>
      </c>
      <c r="Z1134" s="5">
        <f t="shared" si="369"/>
        <v>0</v>
      </c>
      <c r="AA1134" s="5">
        <f t="shared" si="370"/>
        <v>0</v>
      </c>
      <c r="AB1134" s="5">
        <f t="shared" si="360"/>
        <v>0</v>
      </c>
    </row>
    <row r="1135" spans="1:29" x14ac:dyDescent="0.25">
      <c r="D1135" t="s">
        <v>80</v>
      </c>
      <c r="E1135" s="64"/>
      <c r="F1135" s="64"/>
      <c r="G1135">
        <f>IFERROR(HLOOKUP(G$2,[36]table_female_hkom1_inj.unk!$A$1:$K$36,12,FALSE),0)</f>
        <v>0</v>
      </c>
      <c r="H1135">
        <f>IFERROR(HLOOKUP(H$2,[36]table_female_hkom1_inj.unk!$A$1:$K$36,12,FALSE),0)</f>
        <v>0</v>
      </c>
      <c r="I1135">
        <f>IFERROR(HLOOKUP(I$2,[36]table_female_hkom1_inj.unk!$A$1:$K$36,12,FALSE),0)</f>
        <v>0</v>
      </c>
      <c r="J1135">
        <f>IFERROR(HLOOKUP(J$2,[36]table_female_hkom1_inj.unk!$A$1:$K$36,12,FALSE),0)</f>
        <v>0</v>
      </c>
      <c r="K1135">
        <f>IFERROR(HLOOKUP(K$2,[36]table_female_hkom1_inj.unk!$A$1:$K$36,12,FALSE),0)</f>
        <v>0</v>
      </c>
      <c r="L1135">
        <f>IFERROR(HLOOKUP(L$2,[36]table_female_hkom1_inj.unk!$A$1:$K$36,12,FALSE),0)</f>
        <v>0</v>
      </c>
      <c r="M1135">
        <f t="shared" si="362"/>
        <v>0</v>
      </c>
      <c r="S1135" t="s">
        <v>80</v>
      </c>
      <c r="T1135" s="5">
        <f t="shared" si="363"/>
        <v>0</v>
      </c>
      <c r="U1135" s="5">
        <f t="shared" si="364"/>
        <v>0</v>
      </c>
      <c r="V1135" s="5">
        <f t="shared" si="365"/>
        <v>0</v>
      </c>
      <c r="W1135" s="5">
        <f t="shared" si="366"/>
        <v>0</v>
      </c>
      <c r="X1135" s="5">
        <f t="shared" si="367"/>
        <v>0</v>
      </c>
      <c r="Y1135" s="5">
        <f t="shared" si="368"/>
        <v>0</v>
      </c>
      <c r="Z1135" s="5">
        <f t="shared" si="369"/>
        <v>0</v>
      </c>
      <c r="AA1135" s="5">
        <f t="shared" si="370"/>
        <v>0</v>
      </c>
      <c r="AB1135" s="5">
        <f t="shared" si="360"/>
        <v>0</v>
      </c>
    </row>
    <row r="1136" spans="1:29" x14ac:dyDescent="0.25">
      <c r="D1136" t="s">
        <v>81</v>
      </c>
      <c r="E1136" s="64"/>
      <c r="F1136" s="64"/>
      <c r="G1136">
        <f>IFERROR(HLOOKUP(G$2,[36]table_female_hkom1_inj.unk!$A$1:$K$36,13,FALSE),0)</f>
        <v>0</v>
      </c>
      <c r="H1136">
        <f>IFERROR(HLOOKUP(H$2,[36]table_female_hkom1_inj.unk!$A$1:$K$36,13,FALSE),0)</f>
        <v>0</v>
      </c>
      <c r="I1136">
        <f>IFERROR(HLOOKUP(I$2,[36]table_female_hkom1_inj.unk!$A$1:$K$36,13,FALSE),0)</f>
        <v>0</v>
      </c>
      <c r="J1136">
        <f>IFERROR(HLOOKUP(J$2,[36]table_female_hkom1_inj.unk!$A$1:$K$36,13,FALSE),0)</f>
        <v>0</v>
      </c>
      <c r="K1136">
        <f>IFERROR(HLOOKUP(K$2,[36]table_female_hkom1_inj.unk!$A$1:$K$36,13,FALSE),0)</f>
        <v>0</v>
      </c>
      <c r="L1136">
        <f>IFERROR(HLOOKUP(L$2,[36]table_female_hkom1_inj.unk!$A$1:$K$36,13,FALSE),0)</f>
        <v>0</v>
      </c>
      <c r="M1136">
        <f t="shared" si="362"/>
        <v>0</v>
      </c>
      <c r="S1136" t="s">
        <v>81</v>
      </c>
      <c r="T1136" s="5">
        <f t="shared" si="363"/>
        <v>0</v>
      </c>
      <c r="U1136" s="5">
        <f t="shared" si="364"/>
        <v>0</v>
      </c>
      <c r="V1136" s="5">
        <f t="shared" si="365"/>
        <v>0</v>
      </c>
      <c r="W1136" s="5">
        <f t="shared" si="366"/>
        <v>0</v>
      </c>
      <c r="X1136" s="5">
        <f t="shared" si="367"/>
        <v>0</v>
      </c>
      <c r="Y1136" s="5">
        <f t="shared" si="368"/>
        <v>0</v>
      </c>
      <c r="Z1136" s="5">
        <f t="shared" si="369"/>
        <v>0</v>
      </c>
      <c r="AA1136" s="5">
        <f t="shared" si="370"/>
        <v>0</v>
      </c>
      <c r="AB1136" s="5">
        <f t="shared" si="360"/>
        <v>0</v>
      </c>
    </row>
    <row r="1137" spans="4:28" x14ac:dyDescent="0.25">
      <c r="D1137" t="s">
        <v>82</v>
      </c>
      <c r="E1137" s="64"/>
      <c r="F1137" s="64"/>
      <c r="G1137">
        <f>IFERROR(HLOOKUP(G$2,[36]table_female_hkom1_inj.unk!$A$1:$K$36,14,FALSE),0)</f>
        <v>0</v>
      </c>
      <c r="H1137">
        <f>IFERROR(HLOOKUP(H$2,[36]table_female_hkom1_inj.unk!$A$1:$K$36,14,FALSE),0)</f>
        <v>0</v>
      </c>
      <c r="I1137">
        <f>IFERROR(HLOOKUP(I$2,[36]table_female_hkom1_inj.unk!$A$1:$K$36,14,FALSE),0)</f>
        <v>0</v>
      </c>
      <c r="J1137">
        <f>IFERROR(HLOOKUP(J$2,[36]table_female_hkom1_inj.unk!$A$1:$K$36,14,FALSE),0)</f>
        <v>0</v>
      </c>
      <c r="K1137">
        <f>IFERROR(HLOOKUP(K$2,[36]table_female_hkom1_inj.unk!$A$1:$K$36,14,FALSE),0)</f>
        <v>0</v>
      </c>
      <c r="L1137">
        <f>IFERROR(HLOOKUP(L$2,[36]table_female_hkom1_inj.unk!$A$1:$K$36,14,FALSE),0)</f>
        <v>0</v>
      </c>
      <c r="M1137">
        <f t="shared" si="362"/>
        <v>0</v>
      </c>
      <c r="S1137" t="s">
        <v>82</v>
      </c>
      <c r="T1137" s="5">
        <f t="shared" si="363"/>
        <v>0</v>
      </c>
      <c r="U1137" s="5">
        <f t="shared" si="364"/>
        <v>0</v>
      </c>
      <c r="V1137" s="5">
        <f t="shared" si="365"/>
        <v>0</v>
      </c>
      <c r="W1137" s="5">
        <f t="shared" si="366"/>
        <v>0</v>
      </c>
      <c r="X1137" s="5">
        <f t="shared" si="367"/>
        <v>0</v>
      </c>
      <c r="Y1137" s="5">
        <f t="shared" si="368"/>
        <v>0</v>
      </c>
      <c r="Z1137" s="5">
        <f t="shared" si="369"/>
        <v>0</v>
      </c>
      <c r="AA1137" s="5">
        <f t="shared" si="370"/>
        <v>0</v>
      </c>
      <c r="AB1137" s="5">
        <f t="shared" si="360"/>
        <v>0</v>
      </c>
    </row>
    <row r="1138" spans="4:28" x14ac:dyDescent="0.25">
      <c r="D1138" t="s">
        <v>83</v>
      </c>
      <c r="E1138" s="64"/>
      <c r="F1138" s="64"/>
      <c r="G1138">
        <f>IFERROR(HLOOKUP(G$2,[36]table_female_hkom1_inj.unk!$A$1:$K$36,15,FALSE),0)</f>
        <v>0</v>
      </c>
      <c r="H1138">
        <f>IFERROR(HLOOKUP(H$2,[36]table_female_hkom1_inj.unk!$A$1:$K$36,15,FALSE),0)</f>
        <v>0</v>
      </c>
      <c r="I1138">
        <f>IFERROR(HLOOKUP(I$2,[36]table_female_hkom1_inj.unk!$A$1:$K$36,15,FALSE),0)</f>
        <v>0</v>
      </c>
      <c r="J1138">
        <f>IFERROR(HLOOKUP(J$2,[36]table_female_hkom1_inj.unk!$A$1:$K$36,15,FALSE),0)</f>
        <v>0</v>
      </c>
      <c r="K1138">
        <f>IFERROR(HLOOKUP(K$2,[36]table_female_hkom1_inj.unk!$A$1:$K$36,15,FALSE),0)</f>
        <v>0</v>
      </c>
      <c r="L1138">
        <f>IFERROR(HLOOKUP(L$2,[36]table_female_hkom1_inj.unk!$A$1:$K$36,15,FALSE),0)</f>
        <v>0</v>
      </c>
      <c r="M1138">
        <f t="shared" si="362"/>
        <v>0</v>
      </c>
      <c r="S1138" t="s">
        <v>83</v>
      </c>
      <c r="T1138" s="5">
        <f t="shared" si="363"/>
        <v>0</v>
      </c>
      <c r="U1138" s="5">
        <f t="shared" si="364"/>
        <v>0</v>
      </c>
      <c r="V1138" s="5">
        <f t="shared" si="365"/>
        <v>0</v>
      </c>
      <c r="W1138" s="5">
        <f t="shared" si="366"/>
        <v>0</v>
      </c>
      <c r="X1138" s="5">
        <f t="shared" si="367"/>
        <v>0</v>
      </c>
      <c r="Y1138" s="5">
        <f t="shared" si="368"/>
        <v>0</v>
      </c>
      <c r="Z1138" s="5">
        <f t="shared" si="369"/>
        <v>0</v>
      </c>
      <c r="AA1138" s="5">
        <f t="shared" si="370"/>
        <v>0</v>
      </c>
      <c r="AB1138" s="5">
        <f t="shared" si="360"/>
        <v>0</v>
      </c>
    </row>
    <row r="1139" spans="4:28" x14ac:dyDescent="0.25">
      <c r="D1139" t="s">
        <v>84</v>
      </c>
      <c r="E1139" s="64"/>
      <c r="F1139" s="64"/>
      <c r="G1139">
        <f>IFERROR(HLOOKUP(G$2,[36]table_female_hkom1_inj.unk!$A$1:$K$36,16,FALSE),0)</f>
        <v>0</v>
      </c>
      <c r="H1139">
        <f>IFERROR(HLOOKUP(H$2,[36]table_female_hkom1_inj.unk!$A$1:$K$36,16,FALSE),0)</f>
        <v>0</v>
      </c>
      <c r="I1139">
        <f>IFERROR(HLOOKUP(I$2,[36]table_female_hkom1_inj.unk!$A$1:$K$36,16,FALSE),0)</f>
        <v>0</v>
      </c>
      <c r="J1139">
        <f>IFERROR(HLOOKUP(J$2,[36]table_female_hkom1_inj.unk!$A$1:$K$36,16,FALSE),0)</f>
        <v>0</v>
      </c>
      <c r="K1139">
        <f>IFERROR(HLOOKUP(K$2,[36]table_female_hkom1_inj.unk!$A$1:$K$36,16,FALSE),0)</f>
        <v>0</v>
      </c>
      <c r="L1139">
        <f>IFERROR(HLOOKUP(L$2,[36]table_female_hkom1_inj.unk!$A$1:$K$36,16,FALSE),0)</f>
        <v>0</v>
      </c>
      <c r="M1139">
        <f t="shared" si="362"/>
        <v>0</v>
      </c>
      <c r="S1139" t="s">
        <v>84</v>
      </c>
      <c r="T1139" s="5">
        <f t="shared" si="363"/>
        <v>0</v>
      </c>
      <c r="U1139" s="5">
        <f t="shared" si="364"/>
        <v>0</v>
      </c>
      <c r="V1139" s="5">
        <f t="shared" si="365"/>
        <v>0</v>
      </c>
      <c r="W1139" s="5">
        <f t="shared" si="366"/>
        <v>0</v>
      </c>
      <c r="X1139" s="5">
        <f t="shared" si="367"/>
        <v>0</v>
      </c>
      <c r="Y1139" s="5">
        <f t="shared" si="368"/>
        <v>0</v>
      </c>
      <c r="Z1139" s="5">
        <f t="shared" si="369"/>
        <v>0</v>
      </c>
      <c r="AA1139" s="5">
        <f t="shared" si="370"/>
        <v>0</v>
      </c>
      <c r="AB1139" s="5">
        <f t="shared" si="360"/>
        <v>0</v>
      </c>
    </row>
    <row r="1140" spans="4:28" x14ac:dyDescent="0.25">
      <c r="D1140" t="s">
        <v>85</v>
      </c>
      <c r="E1140" s="64"/>
      <c r="F1140" s="64"/>
      <c r="G1140">
        <f>IFERROR(HLOOKUP(G$2,[36]table_female_hkom1_inj.unk!$A$1:$K$36,17,FALSE),0)</f>
        <v>0</v>
      </c>
      <c r="H1140">
        <f>IFERROR(HLOOKUP(H$2,[36]table_female_hkom1_inj.unk!$A$1:$K$36,17,FALSE),0)</f>
        <v>0</v>
      </c>
      <c r="I1140">
        <f>IFERROR(HLOOKUP(I$2,[36]table_female_hkom1_inj.unk!$A$1:$K$36,17,FALSE),0)</f>
        <v>0</v>
      </c>
      <c r="J1140">
        <f>IFERROR(HLOOKUP(J$2,[36]table_female_hkom1_inj.unk!$A$1:$K$36,17,FALSE),0)</f>
        <v>0</v>
      </c>
      <c r="K1140">
        <f>IFERROR(HLOOKUP(K$2,[36]table_female_hkom1_inj.unk!$A$1:$K$36,17,FALSE),0)</f>
        <v>0</v>
      </c>
      <c r="L1140">
        <f>IFERROR(HLOOKUP(L$2,[36]table_female_hkom1_inj.unk!$A$1:$K$36,17,FALSE),0)</f>
        <v>0</v>
      </c>
      <c r="M1140">
        <f t="shared" si="362"/>
        <v>0</v>
      </c>
      <c r="S1140" t="s">
        <v>85</v>
      </c>
      <c r="T1140" s="5">
        <f t="shared" si="363"/>
        <v>0</v>
      </c>
      <c r="U1140" s="5">
        <f t="shared" si="364"/>
        <v>0</v>
      </c>
      <c r="V1140" s="5">
        <f t="shared" si="365"/>
        <v>0</v>
      </c>
      <c r="W1140" s="5">
        <f t="shared" si="366"/>
        <v>0</v>
      </c>
      <c r="X1140" s="5">
        <f t="shared" si="367"/>
        <v>0</v>
      </c>
      <c r="Y1140" s="5">
        <f t="shared" si="368"/>
        <v>0</v>
      </c>
      <c r="Z1140" s="5">
        <f t="shared" si="369"/>
        <v>0</v>
      </c>
      <c r="AA1140" s="5">
        <f t="shared" si="370"/>
        <v>0</v>
      </c>
      <c r="AB1140" s="5">
        <f t="shared" si="360"/>
        <v>0</v>
      </c>
    </row>
    <row r="1141" spans="4:28" x14ac:dyDescent="0.25">
      <c r="D1141" t="s">
        <v>86</v>
      </c>
      <c r="E1141" s="64"/>
      <c r="F1141" s="64"/>
      <c r="G1141">
        <f>IFERROR(HLOOKUP(G$2,[36]table_female_hkom1_inj.unk!$A$1:$K$36,18,FALSE),0)</f>
        <v>0</v>
      </c>
      <c r="H1141">
        <f>IFERROR(HLOOKUP(H$2,[36]table_female_hkom1_inj.unk!$A$1:$K$36,18,FALSE),0)</f>
        <v>0</v>
      </c>
      <c r="I1141">
        <f>IFERROR(HLOOKUP(I$2,[36]table_female_hkom1_inj.unk!$A$1:$K$36,18,FALSE),0)</f>
        <v>0</v>
      </c>
      <c r="J1141">
        <f>IFERROR(HLOOKUP(J$2,[36]table_female_hkom1_inj.unk!$A$1:$K$36,18,FALSE),0)</f>
        <v>0</v>
      </c>
      <c r="K1141">
        <f>IFERROR(HLOOKUP(K$2,[36]table_female_hkom1_inj.unk!$A$1:$K$36,18,FALSE),0)</f>
        <v>0</v>
      </c>
      <c r="L1141">
        <f>IFERROR(HLOOKUP(L$2,[36]table_female_hkom1_inj.unk!$A$1:$K$36,18,FALSE),0)</f>
        <v>0</v>
      </c>
      <c r="M1141">
        <f t="shared" si="362"/>
        <v>0</v>
      </c>
      <c r="S1141" t="s">
        <v>86</v>
      </c>
      <c r="T1141" s="5">
        <f t="shared" si="363"/>
        <v>0</v>
      </c>
      <c r="U1141" s="5">
        <f t="shared" si="364"/>
        <v>0</v>
      </c>
      <c r="V1141" s="5">
        <f t="shared" si="365"/>
        <v>0</v>
      </c>
      <c r="W1141" s="5">
        <f t="shared" si="366"/>
        <v>0</v>
      </c>
      <c r="X1141" s="5">
        <f t="shared" si="367"/>
        <v>0</v>
      </c>
      <c r="Y1141" s="5">
        <f t="shared" si="368"/>
        <v>0</v>
      </c>
      <c r="Z1141" s="5">
        <f t="shared" si="369"/>
        <v>0</v>
      </c>
      <c r="AA1141" s="5">
        <f t="shared" si="370"/>
        <v>0</v>
      </c>
      <c r="AB1141" s="5">
        <f t="shared" si="360"/>
        <v>0</v>
      </c>
    </row>
    <row r="1142" spans="4:28" x14ac:dyDescent="0.25">
      <c r="D1142" t="s">
        <v>87</v>
      </c>
      <c r="E1142" s="64"/>
      <c r="F1142" s="64"/>
      <c r="G1142">
        <f>IFERROR(HLOOKUP(G$2,[36]table_female_hkom1_inj.unk!$A$1:$K$36,19,FALSE),0)</f>
        <v>0</v>
      </c>
      <c r="H1142">
        <f>IFERROR(HLOOKUP(H$2,[36]table_female_hkom1_inj.unk!$A$1:$K$36,19,FALSE),0)</f>
        <v>0</v>
      </c>
      <c r="I1142">
        <f>IFERROR(HLOOKUP(I$2,[36]table_female_hkom1_inj.unk!$A$1:$K$36,19,FALSE),0)</f>
        <v>0</v>
      </c>
      <c r="J1142">
        <f>IFERROR(HLOOKUP(J$2,[36]table_female_hkom1_inj.unk!$A$1:$K$36,19,FALSE),0)</f>
        <v>0</v>
      </c>
      <c r="K1142">
        <f>IFERROR(HLOOKUP(K$2,[36]table_female_hkom1_inj.unk!$A$1:$K$36,19,FALSE),0)</f>
        <v>0</v>
      </c>
      <c r="L1142">
        <f>IFERROR(HLOOKUP(L$2,[36]table_female_hkom1_inj.unk!$A$1:$K$36,19,FALSE),0)</f>
        <v>0</v>
      </c>
      <c r="M1142">
        <f t="shared" si="362"/>
        <v>0</v>
      </c>
      <c r="S1142" t="s">
        <v>87</v>
      </c>
      <c r="T1142" s="5">
        <f t="shared" si="363"/>
        <v>0</v>
      </c>
      <c r="U1142" s="5">
        <f t="shared" si="364"/>
        <v>0</v>
      </c>
      <c r="V1142" s="5">
        <f t="shared" si="365"/>
        <v>0</v>
      </c>
      <c r="W1142" s="5">
        <f t="shared" si="366"/>
        <v>0</v>
      </c>
      <c r="X1142" s="5">
        <f t="shared" si="367"/>
        <v>0</v>
      </c>
      <c r="Y1142" s="5">
        <f t="shared" si="368"/>
        <v>0</v>
      </c>
      <c r="Z1142" s="5">
        <f t="shared" si="369"/>
        <v>0</v>
      </c>
      <c r="AA1142" s="5">
        <f t="shared" si="370"/>
        <v>0</v>
      </c>
      <c r="AB1142" s="5">
        <f t="shared" si="360"/>
        <v>0</v>
      </c>
    </row>
    <row r="1143" spans="4:28" x14ac:dyDescent="0.25">
      <c r="D1143" t="s">
        <v>88</v>
      </c>
      <c r="E1143" s="64"/>
      <c r="F1143" s="64"/>
      <c r="G1143">
        <f>IFERROR(HLOOKUP(G$2,[36]table_female_hkom1_inj.unk!$A$1:$K$36,20,FALSE),0)</f>
        <v>0</v>
      </c>
      <c r="H1143">
        <f>IFERROR(HLOOKUP(H$2,[36]table_female_hkom1_inj.unk!$A$1:$K$36,20,FALSE),0)</f>
        <v>0</v>
      </c>
      <c r="I1143">
        <f>IFERROR(HLOOKUP(I$2,[36]table_female_hkom1_inj.unk!$A$1:$K$36,20,FALSE),0)</f>
        <v>0</v>
      </c>
      <c r="J1143">
        <f>IFERROR(HLOOKUP(J$2,[36]table_female_hkom1_inj.unk!$A$1:$K$36,20,FALSE),0)</f>
        <v>0</v>
      </c>
      <c r="K1143">
        <f>IFERROR(HLOOKUP(K$2,[36]table_female_hkom1_inj.unk!$A$1:$K$36,20,FALSE),0)</f>
        <v>0</v>
      </c>
      <c r="L1143">
        <f>IFERROR(HLOOKUP(L$2,[36]table_female_hkom1_inj.unk!$A$1:$K$36,20,FALSE),0)</f>
        <v>0</v>
      </c>
      <c r="M1143">
        <f t="shared" si="362"/>
        <v>0</v>
      </c>
      <c r="S1143" t="s">
        <v>88</v>
      </c>
      <c r="T1143" s="5">
        <f t="shared" si="363"/>
        <v>0</v>
      </c>
      <c r="U1143" s="5">
        <f t="shared" si="364"/>
        <v>0</v>
      </c>
      <c r="V1143" s="5">
        <f t="shared" si="365"/>
        <v>0</v>
      </c>
      <c r="W1143" s="5">
        <f t="shared" si="366"/>
        <v>0</v>
      </c>
      <c r="X1143" s="5">
        <f t="shared" si="367"/>
        <v>0</v>
      </c>
      <c r="Y1143" s="5">
        <f t="shared" si="368"/>
        <v>0</v>
      </c>
      <c r="Z1143" s="5">
        <f t="shared" si="369"/>
        <v>0</v>
      </c>
      <c r="AA1143" s="5">
        <f t="shared" si="370"/>
        <v>0</v>
      </c>
      <c r="AB1143" s="5">
        <f t="shared" si="360"/>
        <v>0</v>
      </c>
    </row>
    <row r="1144" spans="4:28" x14ac:dyDescent="0.25">
      <c r="D1144" t="s">
        <v>89</v>
      </c>
      <c r="E1144" s="64"/>
      <c r="F1144" s="64"/>
      <c r="G1144">
        <f>IFERROR(HLOOKUP(G$2,[36]table_female_hkom1_inj.unk!$A$1:$K$36,21,FALSE),0)</f>
        <v>0</v>
      </c>
      <c r="H1144">
        <f>IFERROR(HLOOKUP(H$2,[36]table_female_hkom1_inj.unk!$A$1:$K$36,21,FALSE),0)</f>
        <v>0</v>
      </c>
      <c r="I1144">
        <f>IFERROR(HLOOKUP(I$2,[36]table_female_hkom1_inj.unk!$A$1:$K$36,21,FALSE),0)</f>
        <v>0</v>
      </c>
      <c r="J1144">
        <f>IFERROR(HLOOKUP(J$2,[36]table_female_hkom1_inj.unk!$A$1:$K$36,21,FALSE),0)</f>
        <v>0</v>
      </c>
      <c r="K1144">
        <f>IFERROR(HLOOKUP(K$2,[36]table_female_hkom1_inj.unk!$A$1:$K$36,21,FALSE),0)</f>
        <v>0</v>
      </c>
      <c r="L1144">
        <f>IFERROR(HLOOKUP(L$2,[36]table_female_hkom1_inj.unk!$A$1:$K$36,21,FALSE),0)</f>
        <v>0</v>
      </c>
      <c r="M1144">
        <f t="shared" si="362"/>
        <v>0</v>
      </c>
      <c r="S1144" t="s">
        <v>89</v>
      </c>
      <c r="T1144" s="5">
        <f t="shared" si="363"/>
        <v>0</v>
      </c>
      <c r="U1144" s="5">
        <f t="shared" si="364"/>
        <v>0</v>
      </c>
      <c r="V1144" s="5">
        <f t="shared" si="365"/>
        <v>0</v>
      </c>
      <c r="W1144" s="5">
        <f t="shared" si="366"/>
        <v>0</v>
      </c>
      <c r="X1144" s="5">
        <f t="shared" si="367"/>
        <v>0</v>
      </c>
      <c r="Y1144" s="5">
        <f t="shared" si="368"/>
        <v>0</v>
      </c>
      <c r="Z1144" s="5">
        <f t="shared" si="369"/>
        <v>0</v>
      </c>
      <c r="AA1144" s="5">
        <f t="shared" si="370"/>
        <v>0</v>
      </c>
      <c r="AB1144" s="5">
        <f t="shared" si="360"/>
        <v>0</v>
      </c>
    </row>
    <row r="1145" spans="4:28" x14ac:dyDescent="0.25">
      <c r="D1145" t="s">
        <v>90</v>
      </c>
      <c r="E1145" s="64"/>
      <c r="F1145" s="64"/>
      <c r="G1145">
        <f>IFERROR(HLOOKUP(G$2,[36]table_female_hkom1_inj.unk!$A$1:$K$36,22,FALSE),0)</f>
        <v>0</v>
      </c>
      <c r="H1145">
        <f>IFERROR(HLOOKUP(H$2,[36]table_female_hkom1_inj.unk!$A$1:$K$36,22,FALSE),0)</f>
        <v>0</v>
      </c>
      <c r="I1145">
        <f>IFERROR(HLOOKUP(I$2,[36]table_female_hkom1_inj.unk!$A$1:$K$36,22,FALSE),0)</f>
        <v>0</v>
      </c>
      <c r="J1145">
        <f>IFERROR(HLOOKUP(J$2,[36]table_female_hkom1_inj.unk!$A$1:$K$36,22,FALSE),0)</f>
        <v>0</v>
      </c>
      <c r="K1145">
        <f>IFERROR(HLOOKUP(K$2,[36]table_female_hkom1_inj.unk!$A$1:$K$36,22,FALSE),0)</f>
        <v>0</v>
      </c>
      <c r="L1145">
        <f>IFERROR(HLOOKUP(L$2,[36]table_female_hkom1_inj.unk!$A$1:$K$36,22,FALSE),0)</f>
        <v>0</v>
      </c>
      <c r="M1145">
        <f t="shared" si="362"/>
        <v>0</v>
      </c>
      <c r="S1145" t="s">
        <v>90</v>
      </c>
      <c r="T1145" s="5">
        <f t="shared" si="363"/>
        <v>0</v>
      </c>
      <c r="U1145" s="5">
        <f t="shared" si="364"/>
        <v>0</v>
      </c>
      <c r="V1145" s="5">
        <f t="shared" si="365"/>
        <v>0</v>
      </c>
      <c r="W1145" s="5">
        <f t="shared" si="366"/>
        <v>0</v>
      </c>
      <c r="X1145" s="5">
        <f t="shared" si="367"/>
        <v>0</v>
      </c>
      <c r="Y1145" s="5">
        <f t="shared" si="368"/>
        <v>0</v>
      </c>
      <c r="Z1145" s="5">
        <f t="shared" si="369"/>
        <v>0</v>
      </c>
      <c r="AA1145" s="5">
        <f t="shared" si="370"/>
        <v>0</v>
      </c>
      <c r="AB1145" s="5">
        <f t="shared" si="360"/>
        <v>0</v>
      </c>
    </row>
    <row r="1146" spans="4:28" x14ac:dyDescent="0.25">
      <c r="D1146" t="s">
        <v>91</v>
      </c>
      <c r="E1146" s="64"/>
      <c r="F1146" s="64"/>
      <c r="G1146">
        <f>IFERROR(HLOOKUP(G$2,[36]table_female_hkom1_inj.unk!$A$1:$K$36,23,FALSE),0)</f>
        <v>0</v>
      </c>
      <c r="H1146">
        <f>IFERROR(HLOOKUP(H$2,[36]table_female_hkom1_inj.unk!$A$1:$K$36,23,FALSE),0)</f>
        <v>0</v>
      </c>
      <c r="I1146">
        <f>IFERROR(HLOOKUP(I$2,[36]table_female_hkom1_inj.unk!$A$1:$K$36,23,FALSE),0)</f>
        <v>0</v>
      </c>
      <c r="J1146">
        <f>IFERROR(HLOOKUP(J$2,[36]table_female_hkom1_inj.unk!$A$1:$K$36,23,FALSE),0)</f>
        <v>0</v>
      </c>
      <c r="K1146">
        <f>IFERROR(HLOOKUP(K$2,[36]table_female_hkom1_inj.unk!$A$1:$K$36,23,FALSE),0)</f>
        <v>0</v>
      </c>
      <c r="L1146">
        <f>IFERROR(HLOOKUP(L$2,[36]table_female_hkom1_inj.unk!$A$1:$K$36,23,FALSE),0)</f>
        <v>0</v>
      </c>
      <c r="M1146">
        <f t="shared" si="362"/>
        <v>0</v>
      </c>
      <c r="S1146" t="s">
        <v>91</v>
      </c>
      <c r="T1146" s="5">
        <f t="shared" si="363"/>
        <v>0</v>
      </c>
      <c r="U1146" s="5">
        <f t="shared" si="364"/>
        <v>0</v>
      </c>
      <c r="V1146" s="5">
        <f t="shared" si="365"/>
        <v>0</v>
      </c>
      <c r="W1146" s="5">
        <f t="shared" si="366"/>
        <v>0</v>
      </c>
      <c r="X1146" s="5">
        <f t="shared" si="367"/>
        <v>0</v>
      </c>
      <c r="Y1146" s="5">
        <f t="shared" si="368"/>
        <v>0</v>
      </c>
      <c r="Z1146" s="5">
        <f t="shared" si="369"/>
        <v>0</v>
      </c>
      <c r="AA1146" s="5">
        <f t="shared" si="370"/>
        <v>0</v>
      </c>
      <c r="AB1146" s="5">
        <f t="shared" si="360"/>
        <v>0</v>
      </c>
    </row>
    <row r="1147" spans="4:28" x14ac:dyDescent="0.25">
      <c r="D1147" t="s">
        <v>92</v>
      </c>
      <c r="E1147" s="64"/>
      <c r="F1147" s="64"/>
      <c r="G1147">
        <f>IFERROR(HLOOKUP(G$2,[36]table_female_hkom1_inj.unk!$A$1:$K$36,24,FALSE),0)</f>
        <v>0</v>
      </c>
      <c r="H1147">
        <f>IFERROR(HLOOKUP(H$2,[36]table_female_hkom1_inj.unk!$A$1:$K$36,24,FALSE),0)</f>
        <v>0</v>
      </c>
      <c r="I1147">
        <f>IFERROR(HLOOKUP(I$2,[36]table_female_hkom1_inj.unk!$A$1:$K$36,24,FALSE),0)</f>
        <v>0</v>
      </c>
      <c r="J1147">
        <f>IFERROR(HLOOKUP(J$2,[36]table_female_hkom1_inj.unk!$A$1:$K$36,24,FALSE),0)</f>
        <v>0</v>
      </c>
      <c r="K1147">
        <f>IFERROR(HLOOKUP(K$2,[36]table_female_hkom1_inj.unk!$A$1:$K$36,24,FALSE),0)</f>
        <v>0</v>
      </c>
      <c r="L1147">
        <f>IFERROR(HLOOKUP(L$2,[36]table_female_hkom1_inj.unk!$A$1:$K$36,24,FALSE),0)</f>
        <v>0</v>
      </c>
      <c r="M1147">
        <f t="shared" si="362"/>
        <v>0</v>
      </c>
      <c r="S1147" t="s">
        <v>92</v>
      </c>
      <c r="T1147" s="5">
        <f t="shared" si="363"/>
        <v>0</v>
      </c>
      <c r="U1147" s="5">
        <f t="shared" si="364"/>
        <v>0</v>
      </c>
      <c r="V1147" s="5">
        <f t="shared" si="365"/>
        <v>0</v>
      </c>
      <c r="W1147" s="5">
        <f t="shared" si="366"/>
        <v>0</v>
      </c>
      <c r="X1147" s="5">
        <f t="shared" si="367"/>
        <v>0</v>
      </c>
      <c r="Y1147" s="5">
        <f t="shared" si="368"/>
        <v>0</v>
      </c>
      <c r="Z1147" s="5">
        <f t="shared" si="369"/>
        <v>0</v>
      </c>
      <c r="AA1147" s="5">
        <f t="shared" si="370"/>
        <v>0</v>
      </c>
      <c r="AB1147" s="5">
        <f t="shared" si="360"/>
        <v>0</v>
      </c>
    </row>
    <row r="1148" spans="4:28" x14ac:dyDescent="0.25">
      <c r="D1148" t="s">
        <v>93</v>
      </c>
      <c r="E1148" s="64"/>
      <c r="F1148" s="64"/>
      <c r="G1148">
        <f>IFERROR(HLOOKUP(G$2,[36]table_female_hkom1_inj.unk!$A$1:$K$36,25,FALSE),0)</f>
        <v>0</v>
      </c>
      <c r="H1148">
        <f>IFERROR(HLOOKUP(H$2,[36]table_female_hkom1_inj.unk!$A$1:$K$36,25,FALSE),0)</f>
        <v>0</v>
      </c>
      <c r="I1148">
        <f>IFERROR(HLOOKUP(I$2,[36]table_female_hkom1_inj.unk!$A$1:$K$36,25,FALSE),0)</f>
        <v>0</v>
      </c>
      <c r="J1148">
        <f>IFERROR(HLOOKUP(J$2,[36]table_female_hkom1_inj.unk!$A$1:$K$36,25,FALSE),0)</f>
        <v>0</v>
      </c>
      <c r="K1148">
        <f>IFERROR(HLOOKUP(K$2,[36]table_female_hkom1_inj.unk!$A$1:$K$36,25,FALSE),0)</f>
        <v>0</v>
      </c>
      <c r="L1148">
        <f>IFERROR(HLOOKUP(L$2,[36]table_female_hkom1_inj.unk!$A$1:$K$36,25,FALSE),0)</f>
        <v>0</v>
      </c>
      <c r="M1148">
        <f t="shared" si="362"/>
        <v>0</v>
      </c>
      <c r="S1148" t="s">
        <v>93</v>
      </c>
      <c r="T1148" s="5">
        <f t="shared" si="363"/>
        <v>0</v>
      </c>
      <c r="U1148" s="5">
        <f t="shared" si="364"/>
        <v>0</v>
      </c>
      <c r="V1148" s="5">
        <f t="shared" si="365"/>
        <v>0</v>
      </c>
      <c r="W1148" s="5">
        <f t="shared" si="366"/>
        <v>0</v>
      </c>
      <c r="X1148" s="5">
        <f t="shared" si="367"/>
        <v>0</v>
      </c>
      <c r="Y1148" s="5">
        <f t="shared" si="368"/>
        <v>0</v>
      </c>
      <c r="Z1148" s="5">
        <f t="shared" si="369"/>
        <v>0</v>
      </c>
      <c r="AA1148" s="5">
        <f t="shared" si="370"/>
        <v>0</v>
      </c>
      <c r="AB1148" s="5">
        <f t="shared" si="360"/>
        <v>0</v>
      </c>
    </row>
    <row r="1149" spans="4:28" x14ac:dyDescent="0.25">
      <c r="D1149" t="s">
        <v>94</v>
      </c>
      <c r="E1149" s="64"/>
      <c r="F1149" s="64"/>
      <c r="G1149">
        <f>IFERROR(HLOOKUP(G$2,[36]table_female_hkom1_inj.unk!$A$1:$K$36,26,FALSE),0)</f>
        <v>0</v>
      </c>
      <c r="H1149">
        <f>IFERROR(HLOOKUP(H$2,[36]table_female_hkom1_inj.unk!$A$1:$K$36,26,FALSE),0)</f>
        <v>0</v>
      </c>
      <c r="I1149">
        <f>IFERROR(HLOOKUP(I$2,[36]table_female_hkom1_inj.unk!$A$1:$K$36,26,FALSE),0)</f>
        <v>0</v>
      </c>
      <c r="J1149">
        <f>IFERROR(HLOOKUP(J$2,[36]table_female_hkom1_inj.unk!$A$1:$K$36,26,FALSE),0)</f>
        <v>0</v>
      </c>
      <c r="K1149">
        <f>IFERROR(HLOOKUP(K$2,[36]table_female_hkom1_inj.unk!$A$1:$K$36,26,FALSE),0)</f>
        <v>0</v>
      </c>
      <c r="L1149">
        <f>IFERROR(HLOOKUP(L$2,[36]table_female_hkom1_inj.unk!$A$1:$K$36,26,FALSE),0)</f>
        <v>0</v>
      </c>
      <c r="M1149">
        <f t="shared" si="362"/>
        <v>0</v>
      </c>
      <c r="S1149" t="s">
        <v>94</v>
      </c>
      <c r="T1149" s="5">
        <f t="shared" si="363"/>
        <v>0</v>
      </c>
      <c r="U1149" s="5">
        <f t="shared" si="364"/>
        <v>0</v>
      </c>
      <c r="V1149" s="5">
        <f t="shared" si="365"/>
        <v>0</v>
      </c>
      <c r="W1149" s="5">
        <f t="shared" si="366"/>
        <v>0</v>
      </c>
      <c r="X1149" s="5">
        <f t="shared" si="367"/>
        <v>0</v>
      </c>
      <c r="Y1149" s="5">
        <f t="shared" si="368"/>
        <v>0</v>
      </c>
      <c r="Z1149" s="5">
        <f t="shared" si="369"/>
        <v>0</v>
      </c>
      <c r="AA1149" s="5">
        <f t="shared" si="370"/>
        <v>0</v>
      </c>
      <c r="AB1149" s="5">
        <f t="shared" si="360"/>
        <v>0</v>
      </c>
    </row>
    <row r="1150" spans="4:28" x14ac:dyDescent="0.25">
      <c r="D1150" t="s">
        <v>95</v>
      </c>
      <c r="E1150" s="64"/>
      <c r="F1150" s="64"/>
      <c r="G1150">
        <f>IFERROR(HLOOKUP(G$2,[36]table_female_hkom1_inj.unk!$A$1:$K$36,27,FALSE),0)</f>
        <v>0</v>
      </c>
      <c r="H1150">
        <f>IFERROR(HLOOKUP(H$2,[36]table_female_hkom1_inj.unk!$A$1:$K$36,27,FALSE),0)</f>
        <v>0</v>
      </c>
      <c r="I1150">
        <f>IFERROR(HLOOKUP(I$2,[36]table_female_hkom1_inj.unk!$A$1:$K$36,27,FALSE),0)</f>
        <v>0</v>
      </c>
      <c r="J1150">
        <f>IFERROR(HLOOKUP(J$2,[36]table_female_hkom1_inj.unk!$A$1:$K$36,27,FALSE),0)</f>
        <v>0</v>
      </c>
      <c r="K1150">
        <f>IFERROR(HLOOKUP(K$2,[36]table_female_hkom1_inj.unk!$A$1:$K$36,27,FALSE),0)</f>
        <v>0</v>
      </c>
      <c r="L1150">
        <f>IFERROR(HLOOKUP(L$2,[36]table_female_hkom1_inj.unk!$A$1:$K$36,27,FALSE),0)</f>
        <v>0</v>
      </c>
      <c r="M1150">
        <f t="shared" si="362"/>
        <v>0</v>
      </c>
      <c r="S1150" t="s">
        <v>95</v>
      </c>
      <c r="T1150" s="5">
        <f t="shared" si="363"/>
        <v>0</v>
      </c>
      <c r="U1150" s="5">
        <f t="shared" si="364"/>
        <v>0</v>
      </c>
      <c r="V1150" s="5">
        <f t="shared" si="365"/>
        <v>0</v>
      </c>
      <c r="W1150" s="5">
        <f t="shared" si="366"/>
        <v>0</v>
      </c>
      <c r="X1150" s="5">
        <f t="shared" si="367"/>
        <v>0</v>
      </c>
      <c r="Y1150" s="5">
        <f t="shared" si="368"/>
        <v>0</v>
      </c>
      <c r="Z1150" s="5">
        <f t="shared" si="369"/>
        <v>0</v>
      </c>
      <c r="AA1150" s="5">
        <f t="shared" si="370"/>
        <v>0</v>
      </c>
      <c r="AB1150" s="5">
        <f t="shared" si="360"/>
        <v>0</v>
      </c>
    </row>
    <row r="1151" spans="4:28" x14ac:dyDescent="0.25">
      <c r="D1151" t="s">
        <v>96</v>
      </c>
      <c r="E1151" s="64"/>
      <c r="F1151" s="64"/>
      <c r="G1151">
        <f>IFERROR(HLOOKUP(G$2,[36]table_female_hkom1_inj.unk!$A$1:$K$36,28,FALSE),0)</f>
        <v>0</v>
      </c>
      <c r="H1151">
        <f>IFERROR(HLOOKUP(H$2,[36]table_female_hkom1_inj.unk!$A$1:$K$36,28,FALSE),0)</f>
        <v>0</v>
      </c>
      <c r="I1151">
        <f>IFERROR(HLOOKUP(I$2,[36]table_female_hkom1_inj.unk!$A$1:$K$36,28,FALSE),0)</f>
        <v>0</v>
      </c>
      <c r="J1151">
        <f>IFERROR(HLOOKUP(J$2,[36]table_female_hkom1_inj.unk!$A$1:$K$36,28,FALSE),0)</f>
        <v>0</v>
      </c>
      <c r="K1151">
        <f>IFERROR(HLOOKUP(K$2,[36]table_female_hkom1_inj.unk!$A$1:$K$36,28,FALSE),0)</f>
        <v>0</v>
      </c>
      <c r="L1151">
        <f>IFERROR(HLOOKUP(L$2,[36]table_female_hkom1_inj.unk!$A$1:$K$36,28,FALSE),0)</f>
        <v>0</v>
      </c>
      <c r="M1151">
        <f t="shared" si="362"/>
        <v>0</v>
      </c>
      <c r="S1151" t="s">
        <v>96</v>
      </c>
      <c r="T1151" s="5">
        <f t="shared" si="363"/>
        <v>0</v>
      </c>
      <c r="U1151" s="5">
        <f t="shared" si="364"/>
        <v>0</v>
      </c>
      <c r="V1151" s="5">
        <f t="shared" si="365"/>
        <v>0</v>
      </c>
      <c r="W1151" s="5">
        <f t="shared" si="366"/>
        <v>0</v>
      </c>
      <c r="X1151" s="5">
        <f t="shared" si="367"/>
        <v>0</v>
      </c>
      <c r="Y1151" s="5">
        <f t="shared" si="368"/>
        <v>0</v>
      </c>
      <c r="Z1151" s="5">
        <f t="shared" si="369"/>
        <v>0</v>
      </c>
      <c r="AA1151" s="5">
        <f t="shared" si="370"/>
        <v>0</v>
      </c>
      <c r="AB1151" s="5">
        <f t="shared" si="360"/>
        <v>0</v>
      </c>
    </row>
    <row r="1152" spans="4:28" x14ac:dyDescent="0.25">
      <c r="D1152" t="s">
        <v>97</v>
      </c>
      <c r="E1152" s="64"/>
      <c r="F1152" s="64"/>
      <c r="G1152">
        <f>IFERROR(HLOOKUP(G$2,[36]table_female_hkom1_inj.unk!$A$1:$K$36,29,FALSE),0)</f>
        <v>0</v>
      </c>
      <c r="H1152">
        <f>IFERROR(HLOOKUP(H$2,[36]table_female_hkom1_inj.unk!$A$1:$K$36,29,FALSE),0)</f>
        <v>0</v>
      </c>
      <c r="I1152">
        <f>IFERROR(HLOOKUP(I$2,[36]table_female_hkom1_inj.unk!$A$1:$K$36,29,FALSE),0)</f>
        <v>0</v>
      </c>
      <c r="J1152">
        <f>IFERROR(HLOOKUP(J$2,[36]table_female_hkom1_inj.unk!$A$1:$K$36,29,FALSE),0)</f>
        <v>0</v>
      </c>
      <c r="K1152">
        <f>IFERROR(HLOOKUP(K$2,[36]table_female_hkom1_inj.unk!$A$1:$K$36,29,FALSE),0)</f>
        <v>0</v>
      </c>
      <c r="L1152">
        <f>IFERROR(HLOOKUP(L$2,[36]table_female_hkom1_inj.unk!$A$1:$K$36,29,FALSE),0)</f>
        <v>0</v>
      </c>
      <c r="M1152">
        <f t="shared" si="362"/>
        <v>0</v>
      </c>
      <c r="S1152" t="s">
        <v>97</v>
      </c>
      <c r="T1152" s="5">
        <f t="shared" si="363"/>
        <v>0</v>
      </c>
      <c r="U1152" s="5">
        <f t="shared" si="364"/>
        <v>0</v>
      </c>
      <c r="V1152" s="5">
        <f t="shared" si="365"/>
        <v>0</v>
      </c>
      <c r="W1152" s="5">
        <f t="shared" si="366"/>
        <v>0</v>
      </c>
      <c r="X1152" s="5">
        <f t="shared" si="367"/>
        <v>0</v>
      </c>
      <c r="Y1152" s="5">
        <f t="shared" si="368"/>
        <v>0</v>
      </c>
      <c r="Z1152" s="5">
        <f t="shared" si="369"/>
        <v>0</v>
      </c>
      <c r="AA1152" s="5">
        <f t="shared" si="370"/>
        <v>0</v>
      </c>
      <c r="AB1152" s="5">
        <f t="shared" si="360"/>
        <v>0</v>
      </c>
    </row>
    <row r="1153" spans="1:29" x14ac:dyDescent="0.25">
      <c r="D1153" t="s">
        <v>98</v>
      </c>
      <c r="E1153" s="64"/>
      <c r="F1153" s="64"/>
      <c r="G1153">
        <f>IFERROR(HLOOKUP(G$2,[36]table_female_hkom1_inj.unk!$A$1:$K$36,30,FALSE),0)</f>
        <v>0</v>
      </c>
      <c r="H1153">
        <f>IFERROR(HLOOKUP(H$2,[36]table_female_hkom1_inj.unk!$A$1:$K$36,30,FALSE),0)</f>
        <v>0</v>
      </c>
      <c r="I1153">
        <f>IFERROR(HLOOKUP(I$2,[36]table_female_hkom1_inj.unk!$A$1:$K$36,30,FALSE),0)</f>
        <v>0</v>
      </c>
      <c r="J1153">
        <f>IFERROR(HLOOKUP(J$2,[36]table_female_hkom1_inj.unk!$A$1:$K$36,30,FALSE),0)</f>
        <v>0</v>
      </c>
      <c r="K1153">
        <f>IFERROR(HLOOKUP(K$2,[36]table_female_hkom1_inj.unk!$A$1:$K$36,30,FALSE),0)</f>
        <v>0</v>
      </c>
      <c r="L1153">
        <f>IFERROR(HLOOKUP(L$2,[36]table_female_hkom1_inj.unk!$A$1:$K$36,30,FALSE),0)</f>
        <v>0</v>
      </c>
      <c r="M1153">
        <f t="shared" si="362"/>
        <v>0</v>
      </c>
      <c r="S1153" t="s">
        <v>98</v>
      </c>
      <c r="T1153" s="5">
        <f t="shared" si="363"/>
        <v>0</v>
      </c>
      <c r="U1153" s="5">
        <f t="shared" si="364"/>
        <v>0</v>
      </c>
      <c r="V1153" s="5">
        <f t="shared" si="365"/>
        <v>0</v>
      </c>
      <c r="W1153" s="5">
        <f t="shared" si="366"/>
        <v>0</v>
      </c>
      <c r="X1153" s="5">
        <f t="shared" si="367"/>
        <v>0</v>
      </c>
      <c r="Y1153" s="5">
        <f t="shared" si="368"/>
        <v>0</v>
      </c>
      <c r="Z1153" s="5">
        <f t="shared" si="369"/>
        <v>0</v>
      </c>
      <c r="AA1153" s="5">
        <f t="shared" si="370"/>
        <v>0</v>
      </c>
      <c r="AB1153" s="5">
        <f t="shared" si="360"/>
        <v>0</v>
      </c>
    </row>
    <row r="1154" spans="1:29" x14ac:dyDescent="0.25">
      <c r="D1154" t="s">
        <v>119</v>
      </c>
      <c r="E1154" s="64"/>
      <c r="F1154" s="64"/>
      <c r="G1154">
        <f>IFERROR(HLOOKUP(G$2,[36]table_female_hkom1_inj.unk!$A$1:$K$36,31,FALSE),0)</f>
        <v>0</v>
      </c>
      <c r="H1154">
        <f>IFERROR(HLOOKUP(H$2,[36]table_female_hkom1_inj.unk!$A$1:$K$36,31,FALSE),0)</f>
        <v>0</v>
      </c>
      <c r="I1154">
        <f>IFERROR(HLOOKUP(I$2,[36]table_female_hkom1_inj.unk!$A$1:$K$36,31,FALSE),0)</f>
        <v>0</v>
      </c>
      <c r="J1154">
        <f>IFERROR(HLOOKUP(J$2,[36]table_female_hkom1_inj.unk!$A$1:$K$36,31,FALSE),0)</f>
        <v>0</v>
      </c>
      <c r="K1154">
        <f>IFERROR(HLOOKUP(K$2,[36]table_female_hkom1_inj.unk!$A$1:$K$36,31,FALSE),0)</f>
        <v>0</v>
      </c>
      <c r="L1154">
        <f>IFERROR(HLOOKUP(L$2,[36]table_female_hkom1_inj.unk!$A$1:$K$36,31,FALSE),0)</f>
        <v>0</v>
      </c>
      <c r="M1154">
        <f t="shared" si="362"/>
        <v>0</v>
      </c>
      <c r="S1154" t="s">
        <v>119</v>
      </c>
      <c r="T1154" s="5">
        <f t="shared" si="363"/>
        <v>0</v>
      </c>
      <c r="U1154" s="5">
        <f t="shared" si="364"/>
        <v>0</v>
      </c>
      <c r="V1154" s="5">
        <f t="shared" si="365"/>
        <v>0</v>
      </c>
      <c r="W1154" s="5">
        <f t="shared" si="366"/>
        <v>0</v>
      </c>
      <c r="X1154" s="5">
        <f t="shared" si="367"/>
        <v>0</v>
      </c>
      <c r="Y1154" s="5">
        <f t="shared" si="368"/>
        <v>0</v>
      </c>
      <c r="Z1154" s="5">
        <f t="shared" si="369"/>
        <v>0</v>
      </c>
      <c r="AA1154" s="5">
        <f t="shared" si="370"/>
        <v>0</v>
      </c>
      <c r="AB1154" s="5">
        <f t="shared" si="360"/>
        <v>0</v>
      </c>
    </row>
    <row r="1155" spans="1:29" x14ac:dyDescent="0.25">
      <c r="D1155" t="s">
        <v>99</v>
      </c>
      <c r="E1155" s="64"/>
      <c r="F1155" s="64"/>
      <c r="G1155">
        <f>IFERROR(HLOOKUP(G$2,[36]table_female_hkom1_inj.unk!$A$1:$K$36,32,FALSE),0)</f>
        <v>0</v>
      </c>
      <c r="H1155">
        <f>IFERROR(HLOOKUP(H$2,[36]table_female_hkom1_inj.unk!$A$1:$K$36,32,FALSE),0)</f>
        <v>0</v>
      </c>
      <c r="I1155">
        <f>IFERROR(HLOOKUP(I$2,[36]table_female_hkom1_inj.unk!$A$1:$K$36,32,FALSE),0)</f>
        <v>0</v>
      </c>
      <c r="J1155">
        <f>IFERROR(HLOOKUP(J$2,[36]table_female_hkom1_inj.unk!$A$1:$K$36,32,FALSE),0)</f>
        <v>0</v>
      </c>
      <c r="K1155">
        <f>IFERROR(HLOOKUP(K$2,[36]table_female_hkom1_inj.unk!$A$1:$K$36,32,FALSE),0)</f>
        <v>0</v>
      </c>
      <c r="L1155">
        <f>IFERROR(HLOOKUP(L$2,[36]table_female_hkom1_inj.unk!$A$1:$K$36,32,FALSE),0)</f>
        <v>0</v>
      </c>
      <c r="M1155">
        <f t="shared" si="362"/>
        <v>0</v>
      </c>
      <c r="S1155" t="s">
        <v>99</v>
      </c>
      <c r="T1155" s="5">
        <f t="shared" si="363"/>
        <v>0</v>
      </c>
      <c r="U1155" s="5">
        <f t="shared" si="364"/>
        <v>0</v>
      </c>
      <c r="V1155" s="5">
        <f t="shared" si="365"/>
        <v>0</v>
      </c>
      <c r="W1155" s="5">
        <f t="shared" si="366"/>
        <v>0</v>
      </c>
      <c r="X1155" s="5">
        <f t="shared" si="367"/>
        <v>0</v>
      </c>
      <c r="Y1155" s="5">
        <f t="shared" si="368"/>
        <v>0</v>
      </c>
      <c r="Z1155" s="5">
        <f t="shared" si="369"/>
        <v>0</v>
      </c>
      <c r="AA1155" s="5">
        <f t="shared" si="370"/>
        <v>0</v>
      </c>
      <c r="AB1155" s="5">
        <f t="shared" si="360"/>
        <v>0</v>
      </c>
    </row>
    <row r="1156" spans="1:29" x14ac:dyDescent="0.25">
      <c r="D1156" t="s">
        <v>100</v>
      </c>
      <c r="E1156" s="64"/>
      <c r="F1156" s="64"/>
      <c r="G1156">
        <f>IFERROR(HLOOKUP(G$2,[36]table_female_hkom1_inj.unk!$A$1:$K$36,33,FALSE),0)</f>
        <v>0</v>
      </c>
      <c r="H1156">
        <f>IFERROR(HLOOKUP(H$2,[36]table_female_hkom1_inj.unk!$A$1:$K$36,33,FALSE),0)</f>
        <v>0</v>
      </c>
      <c r="I1156">
        <f>IFERROR(HLOOKUP(I$2,[36]table_female_hkom1_inj.unk!$A$1:$K$36,33,FALSE),0)</f>
        <v>0</v>
      </c>
      <c r="J1156">
        <f>IFERROR(HLOOKUP(J$2,[36]table_female_hkom1_inj.unk!$A$1:$K$36,33,FALSE),0)</f>
        <v>0</v>
      </c>
      <c r="K1156">
        <f>IFERROR(HLOOKUP(K$2,[36]table_female_hkom1_inj.unk!$A$1:$K$36,33,FALSE),0)</f>
        <v>0</v>
      </c>
      <c r="L1156">
        <f>IFERROR(HLOOKUP(L$2,[36]table_female_hkom1_inj.unk!$A$1:$K$36,33,FALSE),0)</f>
        <v>0</v>
      </c>
      <c r="M1156">
        <f t="shared" si="362"/>
        <v>0</v>
      </c>
      <c r="S1156" t="s">
        <v>100</v>
      </c>
      <c r="T1156" s="5">
        <f t="shared" si="363"/>
        <v>0</v>
      </c>
      <c r="U1156" s="5">
        <f t="shared" si="364"/>
        <v>0</v>
      </c>
      <c r="V1156" s="5">
        <f t="shared" si="365"/>
        <v>0</v>
      </c>
      <c r="W1156" s="5">
        <f t="shared" si="366"/>
        <v>0</v>
      </c>
      <c r="X1156" s="5">
        <f t="shared" si="367"/>
        <v>0</v>
      </c>
      <c r="Y1156" s="5">
        <f t="shared" si="368"/>
        <v>0</v>
      </c>
      <c r="Z1156" s="5">
        <f t="shared" si="369"/>
        <v>0</v>
      </c>
      <c r="AA1156" s="5">
        <f t="shared" si="370"/>
        <v>0</v>
      </c>
      <c r="AB1156" s="5">
        <f t="shared" si="360"/>
        <v>0</v>
      </c>
    </row>
    <row r="1157" spans="1:29" x14ac:dyDescent="0.25">
      <c r="D1157" t="s">
        <v>101</v>
      </c>
      <c r="E1157" s="64"/>
      <c r="F1157" s="64"/>
      <c r="G1157">
        <f>IFERROR(HLOOKUP(G$2,[36]table_female_hkom1_inj.unk!$A$1:$K$36,34,FALSE),0)</f>
        <v>0</v>
      </c>
      <c r="H1157">
        <f>IFERROR(HLOOKUP(H$2,[36]table_female_hkom1_inj.unk!$A$1:$K$36,34,FALSE),0)</f>
        <v>0</v>
      </c>
      <c r="I1157">
        <f>IFERROR(HLOOKUP(I$2,[36]table_female_hkom1_inj.unk!$A$1:$K$36,34,FALSE),0)</f>
        <v>0</v>
      </c>
      <c r="J1157">
        <f>IFERROR(HLOOKUP(J$2,[36]table_female_hkom1_inj.unk!$A$1:$K$36,34,FALSE),0)</f>
        <v>0</v>
      </c>
      <c r="K1157">
        <f>IFERROR(HLOOKUP(K$2,[36]table_female_hkom1_inj.unk!$A$1:$K$36,34,FALSE),0)</f>
        <v>0</v>
      </c>
      <c r="L1157">
        <f>IFERROR(HLOOKUP(L$2,[36]table_female_hkom1_inj.unk!$A$1:$K$36,34,FALSE),0)</f>
        <v>0</v>
      </c>
      <c r="M1157">
        <f t="shared" si="362"/>
        <v>0</v>
      </c>
      <c r="S1157" t="s">
        <v>101</v>
      </c>
      <c r="T1157" s="5">
        <f t="shared" si="363"/>
        <v>0</v>
      </c>
      <c r="U1157" s="5">
        <f t="shared" si="364"/>
        <v>0</v>
      </c>
      <c r="V1157" s="5">
        <f t="shared" si="365"/>
        <v>0</v>
      </c>
      <c r="W1157" s="5">
        <f t="shared" si="366"/>
        <v>0</v>
      </c>
      <c r="X1157" s="5">
        <f t="shared" si="367"/>
        <v>0</v>
      </c>
      <c r="Y1157" s="5">
        <f t="shared" si="368"/>
        <v>0</v>
      </c>
      <c r="Z1157" s="5">
        <f t="shared" si="369"/>
        <v>0</v>
      </c>
      <c r="AA1157" s="5">
        <f t="shared" si="370"/>
        <v>0</v>
      </c>
      <c r="AB1157" s="5">
        <f t="shared" si="360"/>
        <v>0</v>
      </c>
    </row>
    <row r="1158" spans="1:29" x14ac:dyDescent="0.25">
      <c r="D1158" t="s">
        <v>102</v>
      </c>
      <c r="E1158" s="64"/>
      <c r="F1158" s="64"/>
      <c r="G1158">
        <f>IFERROR(HLOOKUP(G$2,[36]table_female_hkom1_inj.unk!$A$1:$K$36,35,FALSE),0)</f>
        <v>0</v>
      </c>
      <c r="H1158">
        <f>IFERROR(HLOOKUP(H$2,[36]table_female_hkom1_inj.unk!$A$1:$K$36,35,FALSE),0)</f>
        <v>0</v>
      </c>
      <c r="I1158">
        <f>IFERROR(HLOOKUP(I$2,[36]table_female_hkom1_inj.unk!$A$1:$K$36,35,FALSE),0)</f>
        <v>0</v>
      </c>
      <c r="J1158">
        <f>IFERROR(HLOOKUP(J$2,[36]table_female_hkom1_inj.unk!$A$1:$K$36,35,FALSE),0)</f>
        <v>0</v>
      </c>
      <c r="K1158">
        <f>IFERROR(HLOOKUP(K$2,[36]table_female_hkom1_inj.unk!$A$1:$K$36,35,FALSE),0)</f>
        <v>0</v>
      </c>
      <c r="L1158">
        <f>IFERROR(HLOOKUP(L$2,[36]table_female_hkom1_inj.unk!$A$1:$K$36,35,FALSE),0)</f>
        <v>0</v>
      </c>
      <c r="M1158">
        <f t="shared" si="362"/>
        <v>0</v>
      </c>
      <c r="N1158">
        <f>SUM(M1125:M1158)</f>
        <v>0</v>
      </c>
      <c r="O1158" s="8">
        <f>SUM([36]table_female_hkom1_inj.unk!$B$2:$L$37)</f>
        <v>0</v>
      </c>
      <c r="S1158" t="s">
        <v>102</v>
      </c>
      <c r="T1158" s="7"/>
      <c r="U1158" s="7"/>
      <c r="V1158" s="7"/>
      <c r="W1158" s="7"/>
      <c r="X1158" s="7"/>
      <c r="Y1158" s="7"/>
      <c r="Z1158" s="7"/>
      <c r="AA1158" s="7"/>
      <c r="AB1158" s="5">
        <f t="shared" si="360"/>
        <v>0</v>
      </c>
      <c r="AC1158" s="5">
        <f>SUM(AB1125:AB1157)</f>
        <v>0</v>
      </c>
    </row>
    <row r="1159" spans="1:29" x14ac:dyDescent="0.25">
      <c r="A1159" t="s">
        <v>115</v>
      </c>
      <c r="B1159" t="s">
        <v>103</v>
      </c>
      <c r="C1159" t="s">
        <v>105</v>
      </c>
      <c r="D1159" t="s">
        <v>70</v>
      </c>
      <c r="E1159" s="64"/>
      <c r="F1159" s="64"/>
      <c r="G1159">
        <f>IFERROR(HLOOKUP(G$2,[37]table_female_hkom1_inj.V1!$A$1:$K$36,2,FALSE),0)</f>
        <v>0</v>
      </c>
      <c r="H1159">
        <f>IFERROR(HLOOKUP(H$2,[37]table_female_hkom1_inj.V1!$A$1:$K$36,2,FALSE),0)</f>
        <v>0</v>
      </c>
      <c r="I1159">
        <f>IFERROR(HLOOKUP(I$2,[37]table_female_hkom1_inj.V1!$A$1:$K$36,2,FALSE),0)</f>
        <v>0</v>
      </c>
      <c r="J1159">
        <f>IFERROR(HLOOKUP(J$2,[37]table_female_hkom1_inj.V1!$A$1:$K$36,2,FALSE),0)</f>
        <v>0</v>
      </c>
      <c r="K1159">
        <f>IFERROR(HLOOKUP(K$2,[37]table_female_hkom1_inj.V1!$A$1:$K$36,2,FALSE),0)</f>
        <v>0</v>
      </c>
      <c r="L1159">
        <f>IFERROR(HLOOKUP(L$2,[37]table_female_hkom1_inj.V1!$A$1:$K$36,2,FALSE),0)</f>
        <v>0</v>
      </c>
      <c r="M1159">
        <f t="shared" si="362"/>
        <v>0</v>
      </c>
      <c r="P1159" t="s">
        <v>115</v>
      </c>
      <c r="Q1159" t="s">
        <v>103</v>
      </c>
      <c r="R1159" t="s">
        <v>105</v>
      </c>
      <c r="S1159" t="s">
        <v>70</v>
      </c>
      <c r="T1159" s="5">
        <f>IF(SUM(E$1159:E$1191)=0,E$1192/33,E1159+IFERROR(E1159/SUM(E$1159:E$1191)*E$1192,0))</f>
        <v>0</v>
      </c>
      <c r="U1159" s="5">
        <f t="shared" ref="U1159:AA1159" si="371">IF(SUM(F$1159:F$1191)=0,F$1192/33,F1159+IFERROR(F1159/SUM(F$1159:F$1191)*F$1192,0))</f>
        <v>0</v>
      </c>
      <c r="V1159" s="5">
        <f t="shared" si="371"/>
        <v>0</v>
      </c>
      <c r="W1159" s="5">
        <f t="shared" si="371"/>
        <v>0</v>
      </c>
      <c r="X1159" s="5">
        <f t="shared" si="371"/>
        <v>0</v>
      </c>
      <c r="Y1159" s="5">
        <f t="shared" si="371"/>
        <v>0</v>
      </c>
      <c r="Z1159" s="5">
        <f t="shared" si="371"/>
        <v>0</v>
      </c>
      <c r="AA1159" s="5">
        <f t="shared" si="371"/>
        <v>0</v>
      </c>
      <c r="AB1159" s="5">
        <f t="shared" si="360"/>
        <v>0</v>
      </c>
    </row>
    <row r="1160" spans="1:29" x14ac:dyDescent="0.25">
      <c r="D1160" t="s">
        <v>71</v>
      </c>
      <c r="E1160" s="64"/>
      <c r="F1160" s="64"/>
      <c r="G1160">
        <f>IFERROR(HLOOKUP(G$2,[37]table_female_hkom1_inj.V1!$A$1:$K$36,3,FALSE),0)</f>
        <v>0</v>
      </c>
      <c r="H1160">
        <f>IFERROR(HLOOKUP(H$2,[37]table_female_hkom1_inj.V1!$A$1:$K$36,3,FALSE),0)</f>
        <v>0</v>
      </c>
      <c r="I1160">
        <f>IFERROR(HLOOKUP(I$2,[37]table_female_hkom1_inj.V1!$A$1:$K$36,3,FALSE),0)</f>
        <v>0</v>
      </c>
      <c r="J1160">
        <f>IFERROR(HLOOKUP(J$2,[37]table_female_hkom1_inj.V1!$A$1:$K$36,3,FALSE),0)</f>
        <v>0</v>
      </c>
      <c r="K1160">
        <f>IFERROR(HLOOKUP(K$2,[37]table_female_hkom1_inj.V1!$A$1:$K$36,3,FALSE),0)</f>
        <v>0</v>
      </c>
      <c r="L1160">
        <f>IFERROR(HLOOKUP(L$2,[37]table_female_hkom1_inj.V1!$A$1:$K$36,3,FALSE),0)</f>
        <v>0</v>
      </c>
      <c r="M1160">
        <f t="shared" si="362"/>
        <v>0</v>
      </c>
      <c r="S1160" t="s">
        <v>71</v>
      </c>
      <c r="T1160" s="5">
        <f t="shared" ref="T1160:T1191" si="372">IF(SUM(E$1159:E$1191)=0,E$1192/33,E1160+IFERROR(E1160/SUM(E$1159:E$1191)*E$1192,0))</f>
        <v>0</v>
      </c>
      <c r="U1160" s="5">
        <f t="shared" ref="U1160:U1191" si="373">IF(SUM(F$1159:F$1191)=0,F$1192/33,F1160+IFERROR(F1160/SUM(F$1159:F$1191)*F$1192,0))</f>
        <v>0</v>
      </c>
      <c r="V1160" s="5">
        <f t="shared" ref="V1160:V1191" si="374">IF(SUM(G$1159:G$1191)=0,G$1192/33,G1160+IFERROR(G1160/SUM(G$1159:G$1191)*G$1192,0))</f>
        <v>0</v>
      </c>
      <c r="W1160" s="5">
        <f t="shared" ref="W1160:W1191" si="375">IF(SUM(H$1159:H$1191)=0,H$1192/33,H1160+IFERROR(H1160/SUM(H$1159:H$1191)*H$1192,0))</f>
        <v>0</v>
      </c>
      <c r="X1160" s="5">
        <f t="shared" ref="X1160:X1191" si="376">IF(SUM(I$1159:I$1191)=0,I$1192/33,I1160+IFERROR(I1160/SUM(I$1159:I$1191)*I$1192,0))</f>
        <v>0</v>
      </c>
      <c r="Y1160" s="5">
        <f t="shared" ref="Y1160:Y1191" si="377">IF(SUM(J$1159:J$1191)=0,J$1192/33,J1160+IFERROR(J1160/SUM(J$1159:J$1191)*J$1192,0))</f>
        <v>0</v>
      </c>
      <c r="Z1160" s="5">
        <f t="shared" ref="Z1160:Z1191" si="378">IF(SUM(K$1159:K$1191)=0,K$1192/33,K1160+IFERROR(K1160/SUM(K$1159:K$1191)*K$1192,0))</f>
        <v>0</v>
      </c>
      <c r="AA1160" s="5">
        <f t="shared" ref="AA1160:AA1191" si="379">IF(SUM(L$1159:L$1191)=0,L$1192/33,L1160+IFERROR(L1160/SUM(L$1159:L$1191)*L$1192,0))</f>
        <v>0</v>
      </c>
      <c r="AB1160" s="5">
        <f t="shared" si="360"/>
        <v>0</v>
      </c>
    </row>
    <row r="1161" spans="1:29" x14ac:dyDescent="0.25">
      <c r="D1161" t="s">
        <v>72</v>
      </c>
      <c r="E1161" s="64"/>
      <c r="F1161" s="64"/>
      <c r="G1161">
        <f>IFERROR(HLOOKUP(G$2,[37]table_female_hkom1_inj.V1!$A$1:$K$36,4,FALSE),0)</f>
        <v>0</v>
      </c>
      <c r="H1161">
        <f>IFERROR(HLOOKUP(H$2,[37]table_female_hkom1_inj.V1!$A$1:$K$36,4,FALSE),0)</f>
        <v>0</v>
      </c>
      <c r="I1161">
        <f>IFERROR(HLOOKUP(I$2,[37]table_female_hkom1_inj.V1!$A$1:$K$36,4,FALSE),0)</f>
        <v>0</v>
      </c>
      <c r="J1161">
        <f>IFERROR(HLOOKUP(J$2,[37]table_female_hkom1_inj.V1!$A$1:$K$36,4,FALSE),0)</f>
        <v>0</v>
      </c>
      <c r="K1161">
        <f>IFERROR(HLOOKUP(K$2,[37]table_female_hkom1_inj.V1!$A$1:$K$36,4,FALSE),0)</f>
        <v>0</v>
      </c>
      <c r="L1161">
        <f>IFERROR(HLOOKUP(L$2,[37]table_female_hkom1_inj.V1!$A$1:$K$36,4,FALSE),0)</f>
        <v>0</v>
      </c>
      <c r="M1161">
        <f t="shared" si="362"/>
        <v>0</v>
      </c>
      <c r="S1161" t="s">
        <v>72</v>
      </c>
      <c r="T1161" s="5">
        <f t="shared" si="372"/>
        <v>0</v>
      </c>
      <c r="U1161" s="5">
        <f t="shared" si="373"/>
        <v>0</v>
      </c>
      <c r="V1161" s="5">
        <f t="shared" si="374"/>
        <v>0</v>
      </c>
      <c r="W1161" s="5">
        <f t="shared" si="375"/>
        <v>0</v>
      </c>
      <c r="X1161" s="5">
        <f t="shared" si="376"/>
        <v>0</v>
      </c>
      <c r="Y1161" s="5">
        <f t="shared" si="377"/>
        <v>0</v>
      </c>
      <c r="Z1161" s="5">
        <f t="shared" si="378"/>
        <v>0</v>
      </c>
      <c r="AA1161" s="5">
        <f t="shared" si="379"/>
        <v>0</v>
      </c>
      <c r="AB1161" s="5">
        <f t="shared" si="360"/>
        <v>0</v>
      </c>
    </row>
    <row r="1162" spans="1:29" x14ac:dyDescent="0.25">
      <c r="D1162" t="s">
        <v>73</v>
      </c>
      <c r="E1162" s="64"/>
      <c r="F1162" s="64"/>
      <c r="G1162">
        <f>IFERROR(HLOOKUP(G$2,[37]table_female_hkom1_inj.V1!$A$1:$K$36,5,FALSE),0)</f>
        <v>0</v>
      </c>
      <c r="H1162">
        <f>IFERROR(HLOOKUP(H$2,[37]table_female_hkom1_inj.V1!$A$1:$K$36,5,FALSE),0)</f>
        <v>0</v>
      </c>
      <c r="I1162">
        <f>IFERROR(HLOOKUP(I$2,[37]table_female_hkom1_inj.V1!$A$1:$K$36,5,FALSE),0)</f>
        <v>0</v>
      </c>
      <c r="J1162">
        <f>IFERROR(HLOOKUP(J$2,[37]table_female_hkom1_inj.V1!$A$1:$K$36,5,FALSE),0)</f>
        <v>0</v>
      </c>
      <c r="K1162">
        <f>IFERROR(HLOOKUP(K$2,[37]table_female_hkom1_inj.V1!$A$1:$K$36,5,FALSE),0)</f>
        <v>0</v>
      </c>
      <c r="L1162">
        <f>IFERROR(HLOOKUP(L$2,[37]table_female_hkom1_inj.V1!$A$1:$K$36,5,FALSE),0)</f>
        <v>0</v>
      </c>
      <c r="M1162">
        <f t="shared" si="362"/>
        <v>0</v>
      </c>
      <c r="S1162" t="s">
        <v>73</v>
      </c>
      <c r="T1162" s="5">
        <f t="shared" si="372"/>
        <v>0</v>
      </c>
      <c r="U1162" s="5">
        <f t="shared" si="373"/>
        <v>0</v>
      </c>
      <c r="V1162" s="5">
        <f t="shared" si="374"/>
        <v>0</v>
      </c>
      <c r="W1162" s="5">
        <f t="shared" si="375"/>
        <v>0</v>
      </c>
      <c r="X1162" s="5">
        <f t="shared" si="376"/>
        <v>0</v>
      </c>
      <c r="Y1162" s="5">
        <f t="shared" si="377"/>
        <v>0</v>
      </c>
      <c r="Z1162" s="5">
        <f t="shared" si="378"/>
        <v>0</v>
      </c>
      <c r="AA1162" s="5">
        <f t="shared" si="379"/>
        <v>0</v>
      </c>
      <c r="AB1162" s="5">
        <f t="shared" si="360"/>
        <v>0</v>
      </c>
    </row>
    <row r="1163" spans="1:29" x14ac:dyDescent="0.25">
      <c r="D1163" t="s">
        <v>74</v>
      </c>
      <c r="E1163" s="64"/>
      <c r="F1163" s="64"/>
      <c r="G1163">
        <f>IFERROR(HLOOKUP(G$2,[37]table_female_hkom1_inj.V1!$A$1:$K$36,6,FALSE),0)</f>
        <v>0</v>
      </c>
      <c r="H1163">
        <f>IFERROR(HLOOKUP(H$2,[37]table_female_hkom1_inj.V1!$A$1:$K$36,6,FALSE),0)</f>
        <v>0</v>
      </c>
      <c r="I1163">
        <f>IFERROR(HLOOKUP(I$2,[37]table_female_hkom1_inj.V1!$A$1:$K$36,6,FALSE),0)</f>
        <v>0</v>
      </c>
      <c r="J1163">
        <f>IFERROR(HLOOKUP(J$2,[37]table_female_hkom1_inj.V1!$A$1:$K$36,6,FALSE),0)</f>
        <v>0</v>
      </c>
      <c r="K1163">
        <f>IFERROR(HLOOKUP(K$2,[37]table_female_hkom1_inj.V1!$A$1:$K$36,6,FALSE),0)</f>
        <v>0</v>
      </c>
      <c r="L1163">
        <f>IFERROR(HLOOKUP(L$2,[37]table_female_hkom1_inj.V1!$A$1:$K$36,6,FALSE),0)</f>
        <v>0</v>
      </c>
      <c r="M1163">
        <f t="shared" si="362"/>
        <v>0</v>
      </c>
      <c r="S1163" t="s">
        <v>74</v>
      </c>
      <c r="T1163" s="5">
        <f t="shared" si="372"/>
        <v>0</v>
      </c>
      <c r="U1163" s="5">
        <f t="shared" si="373"/>
        <v>0</v>
      </c>
      <c r="V1163" s="5">
        <f t="shared" si="374"/>
        <v>0</v>
      </c>
      <c r="W1163" s="5">
        <f t="shared" si="375"/>
        <v>0</v>
      </c>
      <c r="X1163" s="5">
        <f t="shared" si="376"/>
        <v>0</v>
      </c>
      <c r="Y1163" s="5">
        <f t="shared" si="377"/>
        <v>0</v>
      </c>
      <c r="Z1163" s="5">
        <f t="shared" si="378"/>
        <v>0</v>
      </c>
      <c r="AA1163" s="5">
        <f t="shared" si="379"/>
        <v>0</v>
      </c>
      <c r="AB1163" s="5">
        <f t="shared" si="360"/>
        <v>0</v>
      </c>
    </row>
    <row r="1164" spans="1:29" x14ac:dyDescent="0.25">
      <c r="D1164" t="s">
        <v>75</v>
      </c>
      <c r="E1164" s="64"/>
      <c r="F1164" s="64"/>
      <c r="G1164">
        <f>IFERROR(HLOOKUP(G$2,[37]table_female_hkom1_inj.V1!$A$1:$K$36,7,FALSE),0)</f>
        <v>0</v>
      </c>
      <c r="H1164">
        <f>IFERROR(HLOOKUP(H$2,[37]table_female_hkom1_inj.V1!$A$1:$K$36,7,FALSE),0)</f>
        <v>0</v>
      </c>
      <c r="I1164">
        <f>IFERROR(HLOOKUP(I$2,[37]table_female_hkom1_inj.V1!$A$1:$K$36,7,FALSE),0)</f>
        <v>0</v>
      </c>
      <c r="J1164">
        <f>IFERROR(HLOOKUP(J$2,[37]table_female_hkom1_inj.V1!$A$1:$K$36,7,FALSE),0)</f>
        <v>0</v>
      </c>
      <c r="K1164">
        <f>IFERROR(HLOOKUP(K$2,[37]table_female_hkom1_inj.V1!$A$1:$K$36,7,FALSE),0)</f>
        <v>0</v>
      </c>
      <c r="L1164">
        <f>IFERROR(HLOOKUP(L$2,[37]table_female_hkom1_inj.V1!$A$1:$K$36,7,FALSE),0)</f>
        <v>0</v>
      </c>
      <c r="M1164">
        <f t="shared" si="362"/>
        <v>0</v>
      </c>
      <c r="S1164" t="s">
        <v>75</v>
      </c>
      <c r="T1164" s="5">
        <f t="shared" si="372"/>
        <v>0</v>
      </c>
      <c r="U1164" s="5">
        <f t="shared" si="373"/>
        <v>0</v>
      </c>
      <c r="V1164" s="5">
        <f t="shared" si="374"/>
        <v>0</v>
      </c>
      <c r="W1164" s="5">
        <f t="shared" si="375"/>
        <v>0</v>
      </c>
      <c r="X1164" s="5">
        <f t="shared" si="376"/>
        <v>0</v>
      </c>
      <c r="Y1164" s="5">
        <f t="shared" si="377"/>
        <v>0</v>
      </c>
      <c r="Z1164" s="5">
        <f t="shared" si="378"/>
        <v>0</v>
      </c>
      <c r="AA1164" s="5">
        <f t="shared" si="379"/>
        <v>0</v>
      </c>
      <c r="AB1164" s="5">
        <f t="shared" si="360"/>
        <v>0</v>
      </c>
    </row>
    <row r="1165" spans="1:29" x14ac:dyDescent="0.25">
      <c r="D1165" t="s">
        <v>76</v>
      </c>
      <c r="E1165" s="64"/>
      <c r="F1165" s="64"/>
      <c r="G1165">
        <f>IFERROR(HLOOKUP(G$2,[37]table_female_hkom1_inj.V1!$A$1:$K$36,8,FALSE),0)</f>
        <v>0</v>
      </c>
      <c r="H1165">
        <f>IFERROR(HLOOKUP(H$2,[37]table_female_hkom1_inj.V1!$A$1:$K$36,8,FALSE),0)</f>
        <v>0</v>
      </c>
      <c r="I1165">
        <f>IFERROR(HLOOKUP(I$2,[37]table_female_hkom1_inj.V1!$A$1:$K$36,8,FALSE),0)</f>
        <v>0</v>
      </c>
      <c r="J1165">
        <f>IFERROR(HLOOKUP(J$2,[37]table_female_hkom1_inj.V1!$A$1:$K$36,8,FALSE),0)</f>
        <v>0</v>
      </c>
      <c r="K1165">
        <f>IFERROR(HLOOKUP(K$2,[37]table_female_hkom1_inj.V1!$A$1:$K$36,8,FALSE),0)</f>
        <v>0</v>
      </c>
      <c r="L1165">
        <f>IFERROR(HLOOKUP(L$2,[37]table_female_hkom1_inj.V1!$A$1:$K$36,8,FALSE),0)</f>
        <v>0</v>
      </c>
      <c r="M1165">
        <f t="shared" si="362"/>
        <v>0</v>
      </c>
      <c r="S1165" t="s">
        <v>76</v>
      </c>
      <c r="T1165" s="5">
        <f t="shared" si="372"/>
        <v>0</v>
      </c>
      <c r="U1165" s="5">
        <f t="shared" si="373"/>
        <v>0</v>
      </c>
      <c r="V1165" s="5">
        <f t="shared" si="374"/>
        <v>0</v>
      </c>
      <c r="W1165" s="5">
        <f t="shared" si="375"/>
        <v>0</v>
      </c>
      <c r="X1165" s="5">
        <f t="shared" si="376"/>
        <v>0</v>
      </c>
      <c r="Y1165" s="5">
        <f t="shared" si="377"/>
        <v>0</v>
      </c>
      <c r="Z1165" s="5">
        <f t="shared" si="378"/>
        <v>0</v>
      </c>
      <c r="AA1165" s="5">
        <f t="shared" si="379"/>
        <v>0</v>
      </c>
      <c r="AB1165" s="5">
        <f t="shared" si="360"/>
        <v>0</v>
      </c>
    </row>
    <row r="1166" spans="1:29" x14ac:dyDescent="0.25">
      <c r="D1166" t="s">
        <v>77</v>
      </c>
      <c r="E1166" s="64"/>
      <c r="F1166" s="64"/>
      <c r="G1166">
        <f>IFERROR(HLOOKUP(G$2,[37]table_female_hkom1_inj.V1!$A$1:$K$36,9,FALSE),0)</f>
        <v>0</v>
      </c>
      <c r="H1166">
        <f>IFERROR(HLOOKUP(H$2,[37]table_female_hkom1_inj.V1!$A$1:$K$36,9,FALSE),0)</f>
        <v>0</v>
      </c>
      <c r="I1166">
        <f>IFERROR(HLOOKUP(I$2,[37]table_female_hkom1_inj.V1!$A$1:$K$36,9,FALSE),0)</f>
        <v>0</v>
      </c>
      <c r="J1166">
        <f>IFERROR(HLOOKUP(J$2,[37]table_female_hkom1_inj.V1!$A$1:$K$36,9,FALSE),0)</f>
        <v>0</v>
      </c>
      <c r="K1166">
        <f>IFERROR(HLOOKUP(K$2,[37]table_female_hkom1_inj.V1!$A$1:$K$36,9,FALSE),0)</f>
        <v>0</v>
      </c>
      <c r="L1166">
        <f>IFERROR(HLOOKUP(L$2,[37]table_female_hkom1_inj.V1!$A$1:$K$36,9,FALSE),0)</f>
        <v>0</v>
      </c>
      <c r="M1166">
        <f t="shared" si="362"/>
        <v>0</v>
      </c>
      <c r="S1166" t="s">
        <v>77</v>
      </c>
      <c r="T1166" s="5">
        <f t="shared" si="372"/>
        <v>0</v>
      </c>
      <c r="U1166" s="5">
        <f t="shared" si="373"/>
        <v>0</v>
      </c>
      <c r="V1166" s="5">
        <f t="shared" si="374"/>
        <v>0</v>
      </c>
      <c r="W1166" s="5">
        <f t="shared" si="375"/>
        <v>0</v>
      </c>
      <c r="X1166" s="5">
        <f t="shared" si="376"/>
        <v>0</v>
      </c>
      <c r="Y1166" s="5">
        <f t="shared" si="377"/>
        <v>0</v>
      </c>
      <c r="Z1166" s="5">
        <f t="shared" si="378"/>
        <v>0</v>
      </c>
      <c r="AA1166" s="5">
        <f t="shared" si="379"/>
        <v>0</v>
      </c>
      <c r="AB1166" s="5">
        <f t="shared" si="360"/>
        <v>0</v>
      </c>
    </row>
    <row r="1167" spans="1:29" x14ac:dyDescent="0.25">
      <c r="D1167" t="s">
        <v>78</v>
      </c>
      <c r="E1167" s="64"/>
      <c r="F1167" s="64"/>
      <c r="G1167">
        <f>IFERROR(HLOOKUP(G$2,[37]table_female_hkom1_inj.V1!$A$1:$K$36,10,FALSE),0)</f>
        <v>0</v>
      </c>
      <c r="H1167">
        <f>IFERROR(HLOOKUP(H$2,[37]table_female_hkom1_inj.V1!$A$1:$K$36,10,FALSE),0)</f>
        <v>0</v>
      </c>
      <c r="I1167">
        <f>IFERROR(HLOOKUP(I$2,[37]table_female_hkom1_inj.V1!$A$1:$K$36,10,FALSE),0)</f>
        <v>0</v>
      </c>
      <c r="J1167">
        <f>IFERROR(HLOOKUP(J$2,[37]table_female_hkom1_inj.V1!$A$1:$K$36,10,FALSE),0)</f>
        <v>0</v>
      </c>
      <c r="K1167">
        <f>IFERROR(HLOOKUP(K$2,[37]table_female_hkom1_inj.V1!$A$1:$K$36,10,FALSE),0)</f>
        <v>0</v>
      </c>
      <c r="L1167">
        <f>IFERROR(HLOOKUP(L$2,[37]table_female_hkom1_inj.V1!$A$1:$K$36,10,FALSE),0)</f>
        <v>0</v>
      </c>
      <c r="M1167">
        <f t="shared" si="362"/>
        <v>0</v>
      </c>
      <c r="S1167" t="s">
        <v>78</v>
      </c>
      <c r="T1167" s="5">
        <f t="shared" si="372"/>
        <v>0</v>
      </c>
      <c r="U1167" s="5">
        <f t="shared" si="373"/>
        <v>0</v>
      </c>
      <c r="V1167" s="5">
        <f t="shared" si="374"/>
        <v>0</v>
      </c>
      <c r="W1167" s="5">
        <f t="shared" si="375"/>
        <v>0</v>
      </c>
      <c r="X1167" s="5">
        <f t="shared" si="376"/>
        <v>0</v>
      </c>
      <c r="Y1167" s="5">
        <f t="shared" si="377"/>
        <v>0</v>
      </c>
      <c r="Z1167" s="5">
        <f t="shared" si="378"/>
        <v>0</v>
      </c>
      <c r="AA1167" s="5">
        <f t="shared" si="379"/>
        <v>0</v>
      </c>
      <c r="AB1167" s="5">
        <f t="shared" si="360"/>
        <v>0</v>
      </c>
    </row>
    <row r="1168" spans="1:29" x14ac:dyDescent="0.25">
      <c r="D1168" t="s">
        <v>79</v>
      </c>
      <c r="E1168" s="64"/>
      <c r="F1168" s="64"/>
      <c r="G1168">
        <f>IFERROR(HLOOKUP(G$2,[37]table_female_hkom1_inj.V1!$A$1:$K$36,11,FALSE),0)</f>
        <v>0</v>
      </c>
      <c r="H1168">
        <f>IFERROR(HLOOKUP(H$2,[37]table_female_hkom1_inj.V1!$A$1:$K$36,11,FALSE),0)</f>
        <v>0</v>
      </c>
      <c r="I1168">
        <f>IFERROR(HLOOKUP(I$2,[37]table_female_hkom1_inj.V1!$A$1:$K$36,11,FALSE),0)</f>
        <v>0</v>
      </c>
      <c r="J1168">
        <f>IFERROR(HLOOKUP(J$2,[37]table_female_hkom1_inj.V1!$A$1:$K$36,11,FALSE),0)</f>
        <v>0</v>
      </c>
      <c r="K1168">
        <f>IFERROR(HLOOKUP(K$2,[37]table_female_hkom1_inj.V1!$A$1:$K$36,11,FALSE),0)</f>
        <v>0</v>
      </c>
      <c r="L1168">
        <f>IFERROR(HLOOKUP(L$2,[37]table_female_hkom1_inj.V1!$A$1:$K$36,11,FALSE),0)</f>
        <v>0</v>
      </c>
      <c r="M1168">
        <f t="shared" si="362"/>
        <v>0</v>
      </c>
      <c r="S1168" t="s">
        <v>79</v>
      </c>
      <c r="T1168" s="5">
        <f t="shared" si="372"/>
        <v>0</v>
      </c>
      <c r="U1168" s="5">
        <f t="shared" si="373"/>
        <v>0</v>
      </c>
      <c r="V1168" s="5">
        <f t="shared" si="374"/>
        <v>0</v>
      </c>
      <c r="W1168" s="5">
        <f t="shared" si="375"/>
        <v>0</v>
      </c>
      <c r="X1168" s="5">
        <f t="shared" si="376"/>
        <v>0</v>
      </c>
      <c r="Y1168" s="5">
        <f t="shared" si="377"/>
        <v>0</v>
      </c>
      <c r="Z1168" s="5">
        <f t="shared" si="378"/>
        <v>0</v>
      </c>
      <c r="AA1168" s="5">
        <f t="shared" si="379"/>
        <v>0</v>
      </c>
      <c r="AB1168" s="5">
        <f t="shared" si="360"/>
        <v>0</v>
      </c>
    </row>
    <row r="1169" spans="4:28" x14ac:dyDescent="0.25">
      <c r="D1169" t="s">
        <v>80</v>
      </c>
      <c r="E1169" s="64"/>
      <c r="F1169" s="64"/>
      <c r="G1169">
        <f>IFERROR(HLOOKUP(G$2,[37]table_female_hkom1_inj.V1!$A$1:$K$36,12,FALSE),0)</f>
        <v>0</v>
      </c>
      <c r="H1169">
        <f>IFERROR(HLOOKUP(H$2,[37]table_female_hkom1_inj.V1!$A$1:$K$36,12,FALSE),0)</f>
        <v>0</v>
      </c>
      <c r="I1169">
        <f>IFERROR(HLOOKUP(I$2,[37]table_female_hkom1_inj.V1!$A$1:$K$36,12,FALSE),0)</f>
        <v>0</v>
      </c>
      <c r="J1169">
        <f>IFERROR(HLOOKUP(J$2,[37]table_female_hkom1_inj.V1!$A$1:$K$36,12,FALSE),0)</f>
        <v>0</v>
      </c>
      <c r="K1169">
        <f>IFERROR(HLOOKUP(K$2,[37]table_female_hkom1_inj.V1!$A$1:$K$36,12,FALSE),0)</f>
        <v>0</v>
      </c>
      <c r="L1169">
        <f>IFERROR(HLOOKUP(L$2,[37]table_female_hkom1_inj.V1!$A$1:$K$36,12,FALSE),0)</f>
        <v>0</v>
      </c>
      <c r="M1169">
        <f t="shared" si="362"/>
        <v>0</v>
      </c>
      <c r="S1169" t="s">
        <v>80</v>
      </c>
      <c r="T1169" s="5">
        <f t="shared" si="372"/>
        <v>0</v>
      </c>
      <c r="U1169" s="5">
        <f t="shared" si="373"/>
        <v>0</v>
      </c>
      <c r="V1169" s="5">
        <f t="shared" si="374"/>
        <v>0</v>
      </c>
      <c r="W1169" s="5">
        <f t="shared" si="375"/>
        <v>0</v>
      </c>
      <c r="X1169" s="5">
        <f t="shared" si="376"/>
        <v>0</v>
      </c>
      <c r="Y1169" s="5">
        <f t="shared" si="377"/>
        <v>0</v>
      </c>
      <c r="Z1169" s="5">
        <f t="shared" si="378"/>
        <v>0</v>
      </c>
      <c r="AA1169" s="5">
        <f t="shared" si="379"/>
        <v>0</v>
      </c>
      <c r="AB1169" s="5">
        <f t="shared" si="360"/>
        <v>0</v>
      </c>
    </row>
    <row r="1170" spans="4:28" x14ac:dyDescent="0.25">
      <c r="D1170" t="s">
        <v>81</v>
      </c>
      <c r="E1170" s="64"/>
      <c r="F1170" s="64"/>
      <c r="G1170">
        <f>IFERROR(HLOOKUP(G$2,[37]table_female_hkom1_inj.V1!$A$1:$K$36,13,FALSE),0)</f>
        <v>0</v>
      </c>
      <c r="H1170">
        <f>IFERROR(HLOOKUP(H$2,[37]table_female_hkom1_inj.V1!$A$1:$K$36,13,FALSE),0)</f>
        <v>0</v>
      </c>
      <c r="I1170">
        <f>IFERROR(HLOOKUP(I$2,[37]table_female_hkom1_inj.V1!$A$1:$K$36,13,FALSE),0)</f>
        <v>0</v>
      </c>
      <c r="J1170">
        <f>IFERROR(HLOOKUP(J$2,[37]table_female_hkom1_inj.V1!$A$1:$K$36,13,FALSE),0)</f>
        <v>0</v>
      </c>
      <c r="K1170">
        <f>IFERROR(HLOOKUP(K$2,[37]table_female_hkom1_inj.V1!$A$1:$K$36,13,FALSE),0)</f>
        <v>0</v>
      </c>
      <c r="L1170">
        <f>IFERROR(HLOOKUP(L$2,[37]table_female_hkom1_inj.V1!$A$1:$K$36,13,FALSE),0)</f>
        <v>0</v>
      </c>
      <c r="M1170">
        <f t="shared" si="362"/>
        <v>0</v>
      </c>
      <c r="S1170" t="s">
        <v>81</v>
      </c>
      <c r="T1170" s="5">
        <f t="shared" si="372"/>
        <v>0</v>
      </c>
      <c r="U1170" s="5">
        <f t="shared" si="373"/>
        <v>0</v>
      </c>
      <c r="V1170" s="5">
        <f t="shared" si="374"/>
        <v>0</v>
      </c>
      <c r="W1170" s="5">
        <f t="shared" si="375"/>
        <v>0</v>
      </c>
      <c r="X1170" s="5">
        <f t="shared" si="376"/>
        <v>0</v>
      </c>
      <c r="Y1170" s="5">
        <f t="shared" si="377"/>
        <v>0</v>
      </c>
      <c r="Z1170" s="5">
        <f t="shared" si="378"/>
        <v>0</v>
      </c>
      <c r="AA1170" s="5">
        <f t="shared" si="379"/>
        <v>0</v>
      </c>
      <c r="AB1170" s="5">
        <f t="shared" si="360"/>
        <v>0</v>
      </c>
    </row>
    <row r="1171" spans="4:28" x14ac:dyDescent="0.25">
      <c r="D1171" t="s">
        <v>82</v>
      </c>
      <c r="E1171" s="64"/>
      <c r="F1171" s="64"/>
      <c r="G1171">
        <f>IFERROR(HLOOKUP(G$2,[37]table_female_hkom1_inj.V1!$A$1:$K$36,14,FALSE),0)</f>
        <v>0</v>
      </c>
      <c r="H1171">
        <f>IFERROR(HLOOKUP(H$2,[37]table_female_hkom1_inj.V1!$A$1:$K$36,14,FALSE),0)</f>
        <v>0</v>
      </c>
      <c r="I1171">
        <f>IFERROR(HLOOKUP(I$2,[37]table_female_hkom1_inj.V1!$A$1:$K$36,14,FALSE),0)</f>
        <v>1</v>
      </c>
      <c r="J1171">
        <f>IFERROR(HLOOKUP(J$2,[37]table_female_hkom1_inj.V1!$A$1:$K$36,14,FALSE),0)</f>
        <v>0</v>
      </c>
      <c r="K1171">
        <f>IFERROR(HLOOKUP(K$2,[37]table_female_hkom1_inj.V1!$A$1:$K$36,14,FALSE),0)</f>
        <v>0</v>
      </c>
      <c r="L1171">
        <f>IFERROR(HLOOKUP(L$2,[37]table_female_hkom1_inj.V1!$A$1:$K$36,14,FALSE),0)</f>
        <v>0</v>
      </c>
      <c r="M1171">
        <f t="shared" si="362"/>
        <v>1</v>
      </c>
      <c r="S1171" t="s">
        <v>82</v>
      </c>
      <c r="T1171" s="5">
        <f t="shared" si="372"/>
        <v>0</v>
      </c>
      <c r="U1171" s="5">
        <f t="shared" si="373"/>
        <v>0</v>
      </c>
      <c r="V1171" s="5">
        <f t="shared" si="374"/>
        <v>0</v>
      </c>
      <c r="W1171" s="5">
        <f t="shared" si="375"/>
        <v>0</v>
      </c>
      <c r="X1171" s="5">
        <f t="shared" si="376"/>
        <v>1.1200000000000001</v>
      </c>
      <c r="Y1171" s="5">
        <f t="shared" si="377"/>
        <v>0</v>
      </c>
      <c r="Z1171" s="5">
        <f t="shared" si="378"/>
        <v>0</v>
      </c>
      <c r="AA1171" s="5">
        <f t="shared" si="379"/>
        <v>0</v>
      </c>
      <c r="AB1171" s="5">
        <f t="shared" si="360"/>
        <v>1.1200000000000001</v>
      </c>
    </row>
    <row r="1172" spans="4:28" x14ac:dyDescent="0.25">
      <c r="D1172" t="s">
        <v>83</v>
      </c>
      <c r="E1172" s="64"/>
      <c r="F1172" s="64"/>
      <c r="G1172">
        <f>IFERROR(HLOOKUP(G$2,[37]table_female_hkom1_inj.V1!$A$1:$K$36,15,FALSE),0)</f>
        <v>0</v>
      </c>
      <c r="H1172">
        <f>IFERROR(HLOOKUP(H$2,[37]table_female_hkom1_inj.V1!$A$1:$K$36,15,FALSE),0)</f>
        <v>0</v>
      </c>
      <c r="I1172">
        <f>IFERROR(HLOOKUP(I$2,[37]table_female_hkom1_inj.V1!$A$1:$K$36,15,FALSE),0)</f>
        <v>0</v>
      </c>
      <c r="J1172">
        <f>IFERROR(HLOOKUP(J$2,[37]table_female_hkom1_inj.V1!$A$1:$K$36,15,FALSE),0)</f>
        <v>0</v>
      </c>
      <c r="K1172">
        <f>IFERROR(HLOOKUP(K$2,[37]table_female_hkom1_inj.V1!$A$1:$K$36,15,FALSE),0)</f>
        <v>0</v>
      </c>
      <c r="L1172">
        <f>IFERROR(HLOOKUP(L$2,[37]table_female_hkom1_inj.V1!$A$1:$K$36,15,FALSE),0)</f>
        <v>0</v>
      </c>
      <c r="M1172">
        <f t="shared" si="362"/>
        <v>0</v>
      </c>
      <c r="S1172" t="s">
        <v>83</v>
      </c>
      <c r="T1172" s="5">
        <f t="shared" si="372"/>
        <v>0</v>
      </c>
      <c r="U1172" s="5">
        <f t="shared" si="373"/>
        <v>0</v>
      </c>
      <c r="V1172" s="5">
        <f t="shared" si="374"/>
        <v>0</v>
      </c>
      <c r="W1172" s="5">
        <f t="shared" si="375"/>
        <v>0</v>
      </c>
      <c r="X1172" s="5">
        <f t="shared" si="376"/>
        <v>0</v>
      </c>
      <c r="Y1172" s="5">
        <f t="shared" si="377"/>
        <v>0</v>
      </c>
      <c r="Z1172" s="5">
        <f t="shared" si="378"/>
        <v>0</v>
      </c>
      <c r="AA1172" s="5">
        <f t="shared" si="379"/>
        <v>0</v>
      </c>
      <c r="AB1172" s="5">
        <f t="shared" ref="AB1172:AB1235" si="380">SUM(T1172:AA1172)</f>
        <v>0</v>
      </c>
    </row>
    <row r="1173" spans="4:28" x14ac:dyDescent="0.25">
      <c r="D1173" t="s">
        <v>84</v>
      </c>
      <c r="E1173" s="64"/>
      <c r="F1173" s="64"/>
      <c r="G1173">
        <f>IFERROR(HLOOKUP(G$2,[37]table_female_hkom1_inj.V1!$A$1:$K$36,16,FALSE),0)</f>
        <v>0</v>
      </c>
      <c r="H1173">
        <f>IFERROR(HLOOKUP(H$2,[37]table_female_hkom1_inj.V1!$A$1:$K$36,16,FALSE),0)</f>
        <v>0</v>
      </c>
      <c r="I1173">
        <f>IFERROR(HLOOKUP(I$2,[37]table_female_hkom1_inj.V1!$A$1:$K$36,16,FALSE),0)</f>
        <v>0</v>
      </c>
      <c r="J1173">
        <f>IFERROR(HLOOKUP(J$2,[37]table_female_hkom1_inj.V1!$A$1:$K$36,16,FALSE),0)</f>
        <v>0</v>
      </c>
      <c r="K1173">
        <f>IFERROR(HLOOKUP(K$2,[37]table_female_hkom1_inj.V1!$A$1:$K$36,16,FALSE),0)</f>
        <v>0</v>
      </c>
      <c r="L1173">
        <f>IFERROR(HLOOKUP(L$2,[37]table_female_hkom1_inj.V1!$A$1:$K$36,16,FALSE),0)</f>
        <v>0</v>
      </c>
      <c r="M1173">
        <f t="shared" si="362"/>
        <v>0</v>
      </c>
      <c r="S1173" t="s">
        <v>84</v>
      </c>
      <c r="T1173" s="5">
        <f t="shared" si="372"/>
        <v>0</v>
      </c>
      <c r="U1173" s="5">
        <f t="shared" si="373"/>
        <v>0</v>
      </c>
      <c r="V1173" s="5">
        <f t="shared" si="374"/>
        <v>0</v>
      </c>
      <c r="W1173" s="5">
        <f t="shared" si="375"/>
        <v>0</v>
      </c>
      <c r="X1173" s="5">
        <f t="shared" si="376"/>
        <v>0</v>
      </c>
      <c r="Y1173" s="5">
        <f t="shared" si="377"/>
        <v>0</v>
      </c>
      <c r="Z1173" s="5">
        <f t="shared" si="378"/>
        <v>0</v>
      </c>
      <c r="AA1173" s="5">
        <f t="shared" si="379"/>
        <v>0</v>
      </c>
      <c r="AB1173" s="5">
        <f t="shared" si="380"/>
        <v>0</v>
      </c>
    </row>
    <row r="1174" spans="4:28" x14ac:dyDescent="0.25">
      <c r="D1174" t="s">
        <v>85</v>
      </c>
      <c r="E1174" s="64"/>
      <c r="F1174" s="64"/>
      <c r="G1174">
        <f>IFERROR(HLOOKUP(G$2,[37]table_female_hkom1_inj.V1!$A$1:$K$36,17,FALSE),0)</f>
        <v>0</v>
      </c>
      <c r="H1174">
        <f>IFERROR(HLOOKUP(H$2,[37]table_female_hkom1_inj.V1!$A$1:$K$36,17,FALSE),0)</f>
        <v>0</v>
      </c>
      <c r="I1174">
        <f>IFERROR(HLOOKUP(I$2,[37]table_female_hkom1_inj.V1!$A$1:$K$36,17,FALSE),0)</f>
        <v>0</v>
      </c>
      <c r="J1174">
        <f>IFERROR(HLOOKUP(J$2,[37]table_female_hkom1_inj.V1!$A$1:$K$36,17,FALSE),0)</f>
        <v>0</v>
      </c>
      <c r="K1174">
        <f>IFERROR(HLOOKUP(K$2,[37]table_female_hkom1_inj.V1!$A$1:$K$36,17,FALSE),0)</f>
        <v>0</v>
      </c>
      <c r="L1174">
        <f>IFERROR(HLOOKUP(L$2,[37]table_female_hkom1_inj.V1!$A$1:$K$36,17,FALSE),0)</f>
        <v>0</v>
      </c>
      <c r="M1174">
        <f t="shared" si="362"/>
        <v>0</v>
      </c>
      <c r="S1174" t="s">
        <v>85</v>
      </c>
      <c r="T1174" s="5">
        <f t="shared" si="372"/>
        <v>0</v>
      </c>
      <c r="U1174" s="5">
        <f t="shared" si="373"/>
        <v>0</v>
      </c>
      <c r="V1174" s="5">
        <f t="shared" si="374"/>
        <v>0</v>
      </c>
      <c r="W1174" s="5">
        <f t="shared" si="375"/>
        <v>0</v>
      </c>
      <c r="X1174" s="5">
        <f t="shared" si="376"/>
        <v>0</v>
      </c>
      <c r="Y1174" s="5">
        <f t="shared" si="377"/>
        <v>0</v>
      </c>
      <c r="Z1174" s="5">
        <f t="shared" si="378"/>
        <v>0</v>
      </c>
      <c r="AA1174" s="5">
        <f t="shared" si="379"/>
        <v>0</v>
      </c>
      <c r="AB1174" s="5">
        <f t="shared" si="380"/>
        <v>0</v>
      </c>
    </row>
    <row r="1175" spans="4:28" x14ac:dyDescent="0.25">
      <c r="D1175" t="s">
        <v>86</v>
      </c>
      <c r="E1175" s="64"/>
      <c r="F1175" s="64"/>
      <c r="G1175">
        <f>IFERROR(HLOOKUP(G$2,[37]table_female_hkom1_inj.V1!$A$1:$K$36,18,FALSE),0)</f>
        <v>0</v>
      </c>
      <c r="H1175">
        <f>IFERROR(HLOOKUP(H$2,[37]table_female_hkom1_inj.V1!$A$1:$K$36,18,FALSE),0)</f>
        <v>0</v>
      </c>
      <c r="I1175">
        <f>IFERROR(HLOOKUP(I$2,[37]table_female_hkom1_inj.V1!$A$1:$K$36,18,FALSE),0)</f>
        <v>0</v>
      </c>
      <c r="J1175">
        <f>IFERROR(HLOOKUP(J$2,[37]table_female_hkom1_inj.V1!$A$1:$K$36,18,FALSE),0)</f>
        <v>0</v>
      </c>
      <c r="K1175">
        <f>IFERROR(HLOOKUP(K$2,[37]table_female_hkom1_inj.V1!$A$1:$K$36,18,FALSE),0)</f>
        <v>0</v>
      </c>
      <c r="L1175">
        <f>IFERROR(HLOOKUP(L$2,[37]table_female_hkom1_inj.V1!$A$1:$K$36,18,FALSE),0)</f>
        <v>0</v>
      </c>
      <c r="M1175">
        <f t="shared" si="362"/>
        <v>0</v>
      </c>
      <c r="S1175" t="s">
        <v>86</v>
      </c>
      <c r="T1175" s="5">
        <f t="shared" si="372"/>
        <v>0</v>
      </c>
      <c r="U1175" s="5">
        <f t="shared" si="373"/>
        <v>0</v>
      </c>
      <c r="V1175" s="5">
        <f t="shared" si="374"/>
        <v>0</v>
      </c>
      <c r="W1175" s="5">
        <f t="shared" si="375"/>
        <v>0</v>
      </c>
      <c r="X1175" s="5">
        <f t="shared" si="376"/>
        <v>0</v>
      </c>
      <c r="Y1175" s="5">
        <f t="shared" si="377"/>
        <v>0</v>
      </c>
      <c r="Z1175" s="5">
        <f t="shared" si="378"/>
        <v>0</v>
      </c>
      <c r="AA1175" s="5">
        <f t="shared" si="379"/>
        <v>0</v>
      </c>
      <c r="AB1175" s="5">
        <f t="shared" si="380"/>
        <v>0</v>
      </c>
    </row>
    <row r="1176" spans="4:28" x14ac:dyDescent="0.25">
      <c r="D1176" t="s">
        <v>87</v>
      </c>
      <c r="E1176" s="64"/>
      <c r="F1176" s="64"/>
      <c r="G1176">
        <f>IFERROR(HLOOKUP(G$2,[37]table_female_hkom1_inj.V1!$A$1:$K$36,19,FALSE),0)</f>
        <v>2</v>
      </c>
      <c r="H1176">
        <f>IFERROR(HLOOKUP(H$2,[37]table_female_hkom1_inj.V1!$A$1:$K$36,19,FALSE),0)</f>
        <v>0</v>
      </c>
      <c r="I1176">
        <f>IFERROR(HLOOKUP(I$2,[37]table_female_hkom1_inj.V1!$A$1:$K$36,19,FALSE),0)</f>
        <v>0</v>
      </c>
      <c r="J1176">
        <f>IFERROR(HLOOKUP(J$2,[37]table_female_hkom1_inj.V1!$A$1:$K$36,19,FALSE),0)</f>
        <v>0</v>
      </c>
      <c r="K1176">
        <f>IFERROR(HLOOKUP(K$2,[37]table_female_hkom1_inj.V1!$A$1:$K$36,19,FALSE),0)</f>
        <v>0</v>
      </c>
      <c r="L1176">
        <f>IFERROR(HLOOKUP(L$2,[37]table_female_hkom1_inj.V1!$A$1:$K$36,19,FALSE),0)</f>
        <v>0</v>
      </c>
      <c r="M1176">
        <f t="shared" si="362"/>
        <v>2</v>
      </c>
      <c r="S1176" t="s">
        <v>87</v>
      </c>
      <c r="T1176" s="5">
        <f t="shared" si="372"/>
        <v>0</v>
      </c>
      <c r="U1176" s="5">
        <f t="shared" si="373"/>
        <v>0</v>
      </c>
      <c r="V1176" s="5">
        <f t="shared" si="374"/>
        <v>2.1276595744680851</v>
      </c>
      <c r="W1176" s="5">
        <f t="shared" si="375"/>
        <v>0</v>
      </c>
      <c r="X1176" s="5">
        <f t="shared" si="376"/>
        <v>0</v>
      </c>
      <c r="Y1176" s="5">
        <f t="shared" si="377"/>
        <v>0</v>
      </c>
      <c r="Z1176" s="5">
        <f t="shared" si="378"/>
        <v>0</v>
      </c>
      <c r="AA1176" s="5">
        <f t="shared" si="379"/>
        <v>0</v>
      </c>
      <c r="AB1176" s="5">
        <f t="shared" si="380"/>
        <v>2.1276595744680851</v>
      </c>
    </row>
    <row r="1177" spans="4:28" x14ac:dyDescent="0.25">
      <c r="D1177" t="s">
        <v>88</v>
      </c>
      <c r="E1177" s="64"/>
      <c r="F1177" s="64"/>
      <c r="G1177">
        <f>IFERROR(HLOOKUP(G$2,[37]table_female_hkom1_inj.V1!$A$1:$K$36,20,FALSE),0)</f>
        <v>3</v>
      </c>
      <c r="H1177">
        <f>IFERROR(HLOOKUP(H$2,[37]table_female_hkom1_inj.V1!$A$1:$K$36,20,FALSE),0)</f>
        <v>4</v>
      </c>
      <c r="I1177">
        <f>IFERROR(HLOOKUP(I$2,[37]table_female_hkom1_inj.V1!$A$1:$K$36,20,FALSE),0)</f>
        <v>0</v>
      </c>
      <c r="J1177">
        <f>IFERROR(HLOOKUP(J$2,[37]table_female_hkom1_inj.V1!$A$1:$K$36,20,FALSE),0)</f>
        <v>0</v>
      </c>
      <c r="K1177">
        <f>IFERROR(HLOOKUP(K$2,[37]table_female_hkom1_inj.V1!$A$1:$K$36,20,FALSE),0)</f>
        <v>0</v>
      </c>
      <c r="L1177">
        <f>IFERROR(HLOOKUP(L$2,[37]table_female_hkom1_inj.V1!$A$1:$K$36,20,FALSE),0)</f>
        <v>0</v>
      </c>
      <c r="M1177">
        <f t="shared" si="362"/>
        <v>7</v>
      </c>
      <c r="S1177" t="s">
        <v>88</v>
      </c>
      <c r="T1177" s="5">
        <f t="shared" si="372"/>
        <v>0</v>
      </c>
      <c r="U1177" s="5">
        <f t="shared" si="373"/>
        <v>0</v>
      </c>
      <c r="V1177" s="5">
        <f t="shared" si="374"/>
        <v>3.1914893617021276</v>
      </c>
      <c r="W1177" s="5">
        <f t="shared" si="375"/>
        <v>4.24</v>
      </c>
      <c r="X1177" s="5">
        <f t="shared" si="376"/>
        <v>0</v>
      </c>
      <c r="Y1177" s="5">
        <f t="shared" si="377"/>
        <v>0</v>
      </c>
      <c r="Z1177" s="5">
        <f t="shared" si="378"/>
        <v>0</v>
      </c>
      <c r="AA1177" s="5">
        <f t="shared" si="379"/>
        <v>0</v>
      </c>
      <c r="AB1177" s="5">
        <f t="shared" si="380"/>
        <v>7.4314893617021278</v>
      </c>
    </row>
    <row r="1178" spans="4:28" x14ac:dyDescent="0.25">
      <c r="D1178" t="s">
        <v>89</v>
      </c>
      <c r="E1178" s="64"/>
      <c r="F1178" s="64"/>
      <c r="G1178">
        <f>IFERROR(HLOOKUP(G$2,[37]table_female_hkom1_inj.V1!$A$1:$K$36,21,FALSE),0)</f>
        <v>0</v>
      </c>
      <c r="H1178">
        <f>IFERROR(HLOOKUP(H$2,[37]table_female_hkom1_inj.V1!$A$1:$K$36,21,FALSE),0)</f>
        <v>1</v>
      </c>
      <c r="I1178">
        <f>IFERROR(HLOOKUP(I$2,[37]table_female_hkom1_inj.V1!$A$1:$K$36,21,FALSE),0)</f>
        <v>0</v>
      </c>
      <c r="J1178">
        <f>IFERROR(HLOOKUP(J$2,[37]table_female_hkom1_inj.V1!$A$1:$K$36,21,FALSE),0)</f>
        <v>0</v>
      </c>
      <c r="K1178">
        <f>IFERROR(HLOOKUP(K$2,[37]table_female_hkom1_inj.V1!$A$1:$K$36,21,FALSE),0)</f>
        <v>0</v>
      </c>
      <c r="L1178">
        <f>IFERROR(HLOOKUP(L$2,[37]table_female_hkom1_inj.V1!$A$1:$K$36,21,FALSE),0)</f>
        <v>0</v>
      </c>
      <c r="M1178">
        <f t="shared" si="362"/>
        <v>1</v>
      </c>
      <c r="S1178" t="s">
        <v>89</v>
      </c>
      <c r="T1178" s="5">
        <f t="shared" si="372"/>
        <v>0</v>
      </c>
      <c r="U1178" s="5">
        <f t="shared" si="373"/>
        <v>0</v>
      </c>
      <c r="V1178" s="5">
        <f t="shared" si="374"/>
        <v>0</v>
      </c>
      <c r="W1178" s="5">
        <f t="shared" si="375"/>
        <v>1.06</v>
      </c>
      <c r="X1178" s="5">
        <f t="shared" si="376"/>
        <v>0</v>
      </c>
      <c r="Y1178" s="5">
        <f t="shared" si="377"/>
        <v>0</v>
      </c>
      <c r="Z1178" s="5">
        <f t="shared" si="378"/>
        <v>0</v>
      </c>
      <c r="AA1178" s="5">
        <f t="shared" si="379"/>
        <v>0</v>
      </c>
      <c r="AB1178" s="5">
        <f t="shared" si="380"/>
        <v>1.06</v>
      </c>
    </row>
    <row r="1179" spans="4:28" x14ac:dyDescent="0.25">
      <c r="D1179" t="s">
        <v>90</v>
      </c>
      <c r="E1179" s="64"/>
      <c r="F1179" s="64"/>
      <c r="G1179">
        <f>IFERROR(HLOOKUP(G$2,[37]table_female_hkom1_inj.V1!$A$1:$K$36,22,FALSE),0)</f>
        <v>0</v>
      </c>
      <c r="H1179">
        <f>IFERROR(HLOOKUP(H$2,[37]table_female_hkom1_inj.V1!$A$1:$K$36,22,FALSE),0)</f>
        <v>0</v>
      </c>
      <c r="I1179">
        <f>IFERROR(HLOOKUP(I$2,[37]table_female_hkom1_inj.V1!$A$1:$K$36,22,FALSE),0)</f>
        <v>0</v>
      </c>
      <c r="J1179">
        <f>IFERROR(HLOOKUP(J$2,[37]table_female_hkom1_inj.V1!$A$1:$K$36,22,FALSE),0)</f>
        <v>0</v>
      </c>
      <c r="K1179">
        <f>IFERROR(HLOOKUP(K$2,[37]table_female_hkom1_inj.V1!$A$1:$K$36,22,FALSE),0)</f>
        <v>0</v>
      </c>
      <c r="L1179">
        <f>IFERROR(HLOOKUP(L$2,[37]table_female_hkom1_inj.V1!$A$1:$K$36,22,FALSE),0)</f>
        <v>0</v>
      </c>
      <c r="M1179">
        <f t="shared" si="362"/>
        <v>0</v>
      </c>
      <c r="S1179" t="s">
        <v>90</v>
      </c>
      <c r="T1179" s="5">
        <f t="shared" si="372"/>
        <v>0</v>
      </c>
      <c r="U1179" s="5">
        <f t="shared" si="373"/>
        <v>0</v>
      </c>
      <c r="V1179" s="5">
        <f t="shared" si="374"/>
        <v>0</v>
      </c>
      <c r="W1179" s="5">
        <f t="shared" si="375"/>
        <v>0</v>
      </c>
      <c r="X1179" s="5">
        <f t="shared" si="376"/>
        <v>0</v>
      </c>
      <c r="Y1179" s="5">
        <f t="shared" si="377"/>
        <v>0</v>
      </c>
      <c r="Z1179" s="5">
        <f t="shared" si="378"/>
        <v>0</v>
      </c>
      <c r="AA1179" s="5">
        <f t="shared" si="379"/>
        <v>0</v>
      </c>
      <c r="AB1179" s="5">
        <f t="shared" si="380"/>
        <v>0</v>
      </c>
    </row>
    <row r="1180" spans="4:28" x14ac:dyDescent="0.25">
      <c r="D1180" t="s">
        <v>91</v>
      </c>
      <c r="E1180" s="64"/>
      <c r="F1180" s="64"/>
      <c r="G1180">
        <f>IFERROR(HLOOKUP(G$2,[37]table_female_hkom1_inj.V1!$A$1:$K$36,23,FALSE),0)</f>
        <v>0</v>
      </c>
      <c r="H1180">
        <f>IFERROR(HLOOKUP(H$2,[37]table_female_hkom1_inj.V1!$A$1:$K$36,23,FALSE),0)</f>
        <v>0</v>
      </c>
      <c r="I1180">
        <f>IFERROR(HLOOKUP(I$2,[37]table_female_hkom1_inj.V1!$A$1:$K$36,23,FALSE),0)</f>
        <v>0</v>
      </c>
      <c r="J1180">
        <f>IFERROR(HLOOKUP(J$2,[37]table_female_hkom1_inj.V1!$A$1:$K$36,23,FALSE),0)</f>
        <v>0</v>
      </c>
      <c r="K1180">
        <f>IFERROR(HLOOKUP(K$2,[37]table_female_hkom1_inj.V1!$A$1:$K$36,23,FALSE),0)</f>
        <v>0</v>
      </c>
      <c r="L1180">
        <f>IFERROR(HLOOKUP(L$2,[37]table_female_hkom1_inj.V1!$A$1:$K$36,23,FALSE),0)</f>
        <v>0</v>
      </c>
      <c r="M1180">
        <f t="shared" si="362"/>
        <v>0</v>
      </c>
      <c r="S1180" t="s">
        <v>91</v>
      </c>
      <c r="T1180" s="5">
        <f t="shared" si="372"/>
        <v>0</v>
      </c>
      <c r="U1180" s="5">
        <f t="shared" si="373"/>
        <v>0</v>
      </c>
      <c r="V1180" s="5">
        <f t="shared" si="374"/>
        <v>0</v>
      </c>
      <c r="W1180" s="5">
        <f t="shared" si="375"/>
        <v>0</v>
      </c>
      <c r="X1180" s="5">
        <f t="shared" si="376"/>
        <v>0</v>
      </c>
      <c r="Y1180" s="5">
        <f t="shared" si="377"/>
        <v>0</v>
      </c>
      <c r="Z1180" s="5">
        <f t="shared" si="378"/>
        <v>0</v>
      </c>
      <c r="AA1180" s="5">
        <f t="shared" si="379"/>
        <v>0</v>
      </c>
      <c r="AB1180" s="5">
        <f t="shared" si="380"/>
        <v>0</v>
      </c>
    </row>
    <row r="1181" spans="4:28" x14ac:dyDescent="0.25">
      <c r="D1181" t="s">
        <v>92</v>
      </c>
      <c r="E1181" s="64"/>
      <c r="F1181" s="64"/>
      <c r="G1181">
        <f>IFERROR(HLOOKUP(G$2,[37]table_female_hkom1_inj.V1!$A$1:$K$36,24,FALSE),0)</f>
        <v>0</v>
      </c>
      <c r="H1181">
        <f>IFERROR(HLOOKUP(H$2,[37]table_female_hkom1_inj.V1!$A$1:$K$36,24,FALSE),0)</f>
        <v>0</v>
      </c>
      <c r="I1181">
        <f>IFERROR(HLOOKUP(I$2,[37]table_female_hkom1_inj.V1!$A$1:$K$36,24,FALSE),0)</f>
        <v>0</v>
      </c>
      <c r="J1181">
        <f>IFERROR(HLOOKUP(J$2,[37]table_female_hkom1_inj.V1!$A$1:$K$36,24,FALSE),0)</f>
        <v>0</v>
      </c>
      <c r="K1181">
        <f>IFERROR(HLOOKUP(K$2,[37]table_female_hkom1_inj.V1!$A$1:$K$36,24,FALSE),0)</f>
        <v>0</v>
      </c>
      <c r="L1181">
        <f>IFERROR(HLOOKUP(L$2,[37]table_female_hkom1_inj.V1!$A$1:$K$36,24,FALSE),0)</f>
        <v>0</v>
      </c>
      <c r="M1181">
        <f t="shared" si="362"/>
        <v>0</v>
      </c>
      <c r="S1181" t="s">
        <v>92</v>
      </c>
      <c r="T1181" s="5">
        <f t="shared" si="372"/>
        <v>0</v>
      </c>
      <c r="U1181" s="5">
        <f t="shared" si="373"/>
        <v>0</v>
      </c>
      <c r="V1181" s="5">
        <f t="shared" si="374"/>
        <v>0</v>
      </c>
      <c r="W1181" s="5">
        <f t="shared" si="375"/>
        <v>0</v>
      </c>
      <c r="X1181" s="5">
        <f t="shared" si="376"/>
        <v>0</v>
      </c>
      <c r="Y1181" s="5">
        <f t="shared" si="377"/>
        <v>0</v>
      </c>
      <c r="Z1181" s="5">
        <f t="shared" si="378"/>
        <v>0</v>
      </c>
      <c r="AA1181" s="5">
        <f t="shared" si="379"/>
        <v>0</v>
      </c>
      <c r="AB1181" s="5">
        <f t="shared" si="380"/>
        <v>0</v>
      </c>
    </row>
    <row r="1182" spans="4:28" x14ac:dyDescent="0.25">
      <c r="D1182" t="s">
        <v>93</v>
      </c>
      <c r="E1182" s="64"/>
      <c r="F1182" s="64"/>
      <c r="G1182">
        <f>IFERROR(HLOOKUP(G$2,[37]table_female_hkom1_inj.V1!$A$1:$K$36,25,FALSE),0)</f>
        <v>0</v>
      </c>
      <c r="H1182">
        <f>IFERROR(HLOOKUP(H$2,[37]table_female_hkom1_inj.V1!$A$1:$K$36,25,FALSE),0)</f>
        <v>0</v>
      </c>
      <c r="I1182">
        <f>IFERROR(HLOOKUP(I$2,[37]table_female_hkom1_inj.V1!$A$1:$K$36,25,FALSE),0)</f>
        <v>0</v>
      </c>
      <c r="J1182">
        <f>IFERROR(HLOOKUP(J$2,[37]table_female_hkom1_inj.V1!$A$1:$K$36,25,FALSE),0)</f>
        <v>0</v>
      </c>
      <c r="K1182">
        <f>IFERROR(HLOOKUP(K$2,[37]table_female_hkom1_inj.V1!$A$1:$K$36,25,FALSE),0)</f>
        <v>0</v>
      </c>
      <c r="L1182">
        <f>IFERROR(HLOOKUP(L$2,[37]table_female_hkom1_inj.V1!$A$1:$K$36,25,FALSE),0)</f>
        <v>0</v>
      </c>
      <c r="M1182">
        <f t="shared" si="362"/>
        <v>0</v>
      </c>
      <c r="S1182" t="s">
        <v>93</v>
      </c>
      <c r="T1182" s="5">
        <f t="shared" si="372"/>
        <v>0</v>
      </c>
      <c r="U1182" s="5">
        <f t="shared" si="373"/>
        <v>0</v>
      </c>
      <c r="V1182" s="5">
        <f t="shared" si="374"/>
        <v>0</v>
      </c>
      <c r="W1182" s="5">
        <f t="shared" si="375"/>
        <v>0</v>
      </c>
      <c r="X1182" s="5">
        <f t="shared" si="376"/>
        <v>0</v>
      </c>
      <c r="Y1182" s="5">
        <f t="shared" si="377"/>
        <v>0</v>
      </c>
      <c r="Z1182" s="5">
        <f t="shared" si="378"/>
        <v>0</v>
      </c>
      <c r="AA1182" s="5">
        <f t="shared" si="379"/>
        <v>0</v>
      </c>
      <c r="AB1182" s="5">
        <f t="shared" si="380"/>
        <v>0</v>
      </c>
    </row>
    <row r="1183" spans="4:28" x14ac:dyDescent="0.25">
      <c r="D1183" t="s">
        <v>94</v>
      </c>
      <c r="E1183" s="64"/>
      <c r="F1183" s="64"/>
      <c r="G1183">
        <f>IFERROR(HLOOKUP(G$2,[37]table_female_hkom1_inj.V1!$A$1:$K$36,26,FALSE),0)</f>
        <v>0</v>
      </c>
      <c r="H1183">
        <f>IFERROR(HLOOKUP(H$2,[37]table_female_hkom1_inj.V1!$A$1:$K$36,26,FALSE),0)</f>
        <v>0</v>
      </c>
      <c r="I1183">
        <f>IFERROR(HLOOKUP(I$2,[37]table_female_hkom1_inj.V1!$A$1:$K$36,26,FALSE),0)</f>
        <v>0</v>
      </c>
      <c r="J1183">
        <f>IFERROR(HLOOKUP(J$2,[37]table_female_hkom1_inj.V1!$A$1:$K$36,26,FALSE),0)</f>
        <v>0</v>
      </c>
      <c r="K1183">
        <f>IFERROR(HLOOKUP(K$2,[37]table_female_hkom1_inj.V1!$A$1:$K$36,26,FALSE),0)</f>
        <v>0</v>
      </c>
      <c r="L1183">
        <f>IFERROR(HLOOKUP(L$2,[37]table_female_hkom1_inj.V1!$A$1:$K$36,26,FALSE),0)</f>
        <v>0</v>
      </c>
      <c r="M1183">
        <f t="shared" si="362"/>
        <v>0</v>
      </c>
      <c r="S1183" t="s">
        <v>94</v>
      </c>
      <c r="T1183" s="5">
        <f t="shared" si="372"/>
        <v>0</v>
      </c>
      <c r="U1183" s="5">
        <f t="shared" si="373"/>
        <v>0</v>
      </c>
      <c r="V1183" s="5">
        <f t="shared" si="374"/>
        <v>0</v>
      </c>
      <c r="W1183" s="5">
        <f t="shared" si="375"/>
        <v>0</v>
      </c>
      <c r="X1183" s="5">
        <f t="shared" si="376"/>
        <v>0</v>
      </c>
      <c r="Y1183" s="5">
        <f t="shared" si="377"/>
        <v>0</v>
      </c>
      <c r="Z1183" s="5">
        <f t="shared" si="378"/>
        <v>0</v>
      </c>
      <c r="AA1183" s="5">
        <f t="shared" si="379"/>
        <v>0</v>
      </c>
      <c r="AB1183" s="5">
        <f t="shared" si="380"/>
        <v>0</v>
      </c>
    </row>
    <row r="1184" spans="4:28" x14ac:dyDescent="0.25">
      <c r="D1184" t="s">
        <v>95</v>
      </c>
      <c r="E1184" s="64"/>
      <c r="F1184" s="64"/>
      <c r="G1184">
        <f>IFERROR(HLOOKUP(G$2,[37]table_female_hkom1_inj.V1!$A$1:$K$36,27,FALSE),0)</f>
        <v>0</v>
      </c>
      <c r="H1184">
        <f>IFERROR(HLOOKUP(H$2,[37]table_female_hkom1_inj.V1!$A$1:$K$36,27,FALSE),0)</f>
        <v>0</v>
      </c>
      <c r="I1184">
        <f>IFERROR(HLOOKUP(I$2,[37]table_female_hkom1_inj.V1!$A$1:$K$36,27,FALSE),0)</f>
        <v>0</v>
      </c>
      <c r="J1184">
        <f>IFERROR(HLOOKUP(J$2,[37]table_female_hkom1_inj.V1!$A$1:$K$36,27,FALSE),0)</f>
        <v>0</v>
      </c>
      <c r="K1184">
        <f>IFERROR(HLOOKUP(K$2,[37]table_female_hkom1_inj.V1!$A$1:$K$36,27,FALSE),0)</f>
        <v>0</v>
      </c>
      <c r="L1184">
        <f>IFERROR(HLOOKUP(L$2,[37]table_female_hkom1_inj.V1!$A$1:$K$36,27,FALSE),0)</f>
        <v>0</v>
      </c>
      <c r="M1184">
        <f t="shared" si="362"/>
        <v>0</v>
      </c>
      <c r="S1184" t="s">
        <v>95</v>
      </c>
      <c r="T1184" s="5">
        <f t="shared" si="372"/>
        <v>0</v>
      </c>
      <c r="U1184" s="5">
        <f t="shared" si="373"/>
        <v>0</v>
      </c>
      <c r="V1184" s="5">
        <f t="shared" si="374"/>
        <v>0</v>
      </c>
      <c r="W1184" s="5">
        <f t="shared" si="375"/>
        <v>0</v>
      </c>
      <c r="X1184" s="5">
        <f t="shared" si="376"/>
        <v>0</v>
      </c>
      <c r="Y1184" s="5">
        <f t="shared" si="377"/>
        <v>0</v>
      </c>
      <c r="Z1184" s="5">
        <f t="shared" si="378"/>
        <v>0</v>
      </c>
      <c r="AA1184" s="5">
        <f t="shared" si="379"/>
        <v>0</v>
      </c>
      <c r="AB1184" s="5">
        <f t="shared" si="380"/>
        <v>0</v>
      </c>
    </row>
    <row r="1185" spans="1:29" x14ac:dyDescent="0.25">
      <c r="D1185" t="s">
        <v>96</v>
      </c>
      <c r="E1185" s="64"/>
      <c r="F1185" s="64"/>
      <c r="G1185">
        <f>IFERROR(HLOOKUP(G$2,[37]table_female_hkom1_inj.V1!$A$1:$K$36,28,FALSE),0)</f>
        <v>0</v>
      </c>
      <c r="H1185">
        <f>IFERROR(HLOOKUP(H$2,[37]table_female_hkom1_inj.V1!$A$1:$K$36,28,FALSE),0)</f>
        <v>0</v>
      </c>
      <c r="I1185">
        <f>IFERROR(HLOOKUP(I$2,[37]table_female_hkom1_inj.V1!$A$1:$K$36,28,FALSE),0)</f>
        <v>0</v>
      </c>
      <c r="J1185">
        <f>IFERROR(HLOOKUP(J$2,[37]table_female_hkom1_inj.V1!$A$1:$K$36,28,FALSE),0)</f>
        <v>0</v>
      </c>
      <c r="K1185">
        <f>IFERROR(HLOOKUP(K$2,[37]table_female_hkom1_inj.V1!$A$1:$K$36,28,FALSE),0)</f>
        <v>0</v>
      </c>
      <c r="L1185">
        <f>IFERROR(HLOOKUP(L$2,[37]table_female_hkom1_inj.V1!$A$1:$K$36,28,FALSE),0)</f>
        <v>0</v>
      </c>
      <c r="M1185">
        <f t="shared" si="362"/>
        <v>0</v>
      </c>
      <c r="S1185" t="s">
        <v>96</v>
      </c>
      <c r="T1185" s="5">
        <f t="shared" si="372"/>
        <v>0</v>
      </c>
      <c r="U1185" s="5">
        <f t="shared" si="373"/>
        <v>0</v>
      </c>
      <c r="V1185" s="5">
        <f t="shared" si="374"/>
        <v>0</v>
      </c>
      <c r="W1185" s="5">
        <f t="shared" si="375"/>
        <v>0</v>
      </c>
      <c r="X1185" s="5">
        <f t="shared" si="376"/>
        <v>0</v>
      </c>
      <c r="Y1185" s="5">
        <f t="shared" si="377"/>
        <v>0</v>
      </c>
      <c r="Z1185" s="5">
        <f t="shared" si="378"/>
        <v>0</v>
      </c>
      <c r="AA1185" s="5">
        <f t="shared" si="379"/>
        <v>0</v>
      </c>
      <c r="AB1185" s="5">
        <f t="shared" si="380"/>
        <v>0</v>
      </c>
    </row>
    <row r="1186" spans="1:29" x14ac:dyDescent="0.25">
      <c r="D1186" t="s">
        <v>97</v>
      </c>
      <c r="E1186" s="64"/>
      <c r="F1186" s="64"/>
      <c r="G1186">
        <f>IFERROR(HLOOKUP(G$2,[37]table_female_hkom1_inj.V1!$A$1:$K$36,29,FALSE),0)</f>
        <v>0</v>
      </c>
      <c r="H1186">
        <f>IFERROR(HLOOKUP(H$2,[37]table_female_hkom1_inj.V1!$A$1:$K$36,29,FALSE),0)</f>
        <v>0</v>
      </c>
      <c r="I1186">
        <f>IFERROR(HLOOKUP(I$2,[37]table_female_hkom1_inj.V1!$A$1:$K$36,29,FALSE),0)</f>
        <v>0</v>
      </c>
      <c r="J1186">
        <f>IFERROR(HLOOKUP(J$2,[37]table_female_hkom1_inj.V1!$A$1:$K$36,29,FALSE),0)</f>
        <v>0</v>
      </c>
      <c r="K1186">
        <f>IFERROR(HLOOKUP(K$2,[37]table_female_hkom1_inj.V1!$A$1:$K$36,29,FALSE),0)</f>
        <v>0</v>
      </c>
      <c r="L1186">
        <f>IFERROR(HLOOKUP(L$2,[37]table_female_hkom1_inj.V1!$A$1:$K$36,29,FALSE),0)</f>
        <v>0</v>
      </c>
      <c r="M1186">
        <f t="shared" si="362"/>
        <v>0</v>
      </c>
      <c r="S1186" t="s">
        <v>97</v>
      </c>
      <c r="T1186" s="5">
        <f t="shared" si="372"/>
        <v>0</v>
      </c>
      <c r="U1186" s="5">
        <f t="shared" si="373"/>
        <v>0</v>
      </c>
      <c r="V1186" s="5">
        <f t="shared" si="374"/>
        <v>0</v>
      </c>
      <c r="W1186" s="5">
        <f t="shared" si="375"/>
        <v>0</v>
      </c>
      <c r="X1186" s="5">
        <f t="shared" si="376"/>
        <v>0</v>
      </c>
      <c r="Y1186" s="5">
        <f t="shared" si="377"/>
        <v>0</v>
      </c>
      <c r="Z1186" s="5">
        <f t="shared" si="378"/>
        <v>0</v>
      </c>
      <c r="AA1186" s="5">
        <f t="shared" si="379"/>
        <v>0</v>
      </c>
      <c r="AB1186" s="5">
        <f t="shared" si="380"/>
        <v>0</v>
      </c>
    </row>
    <row r="1187" spans="1:29" x14ac:dyDescent="0.25">
      <c r="D1187" t="s">
        <v>98</v>
      </c>
      <c r="E1187" s="64"/>
      <c r="F1187" s="64"/>
      <c r="G1187">
        <f>IFERROR(HLOOKUP(G$2,[37]table_female_hkom1_inj.V1!$A$1:$K$36,30,FALSE),0)</f>
        <v>1</v>
      </c>
      <c r="H1187">
        <f>IFERROR(HLOOKUP(H$2,[37]table_female_hkom1_inj.V1!$A$1:$K$36,30,FALSE),0)</f>
        <v>1</v>
      </c>
      <c r="I1187">
        <f>IFERROR(HLOOKUP(I$2,[37]table_female_hkom1_inj.V1!$A$1:$K$36,30,FALSE),0)</f>
        <v>0</v>
      </c>
      <c r="J1187">
        <f>IFERROR(HLOOKUP(J$2,[37]table_female_hkom1_inj.V1!$A$1:$K$36,30,FALSE),0)</f>
        <v>0</v>
      </c>
      <c r="K1187">
        <f>IFERROR(HLOOKUP(K$2,[37]table_female_hkom1_inj.V1!$A$1:$K$36,30,FALSE),0)</f>
        <v>0</v>
      </c>
      <c r="L1187">
        <f>IFERROR(HLOOKUP(L$2,[37]table_female_hkom1_inj.V1!$A$1:$K$36,30,FALSE),0)</f>
        <v>0</v>
      </c>
      <c r="M1187">
        <f t="shared" si="362"/>
        <v>2</v>
      </c>
      <c r="S1187" t="s">
        <v>98</v>
      </c>
      <c r="T1187" s="5">
        <f t="shared" si="372"/>
        <v>0</v>
      </c>
      <c r="U1187" s="5">
        <f t="shared" si="373"/>
        <v>0</v>
      </c>
      <c r="V1187" s="5">
        <f t="shared" si="374"/>
        <v>1.0638297872340425</v>
      </c>
      <c r="W1187" s="5">
        <f t="shared" si="375"/>
        <v>1.06</v>
      </c>
      <c r="X1187" s="5">
        <f t="shared" si="376"/>
        <v>0</v>
      </c>
      <c r="Y1187" s="5">
        <f t="shared" si="377"/>
        <v>0</v>
      </c>
      <c r="Z1187" s="5">
        <f t="shared" si="378"/>
        <v>0</v>
      </c>
      <c r="AA1187" s="5">
        <f t="shared" si="379"/>
        <v>0</v>
      </c>
      <c r="AB1187" s="5">
        <f t="shared" si="380"/>
        <v>2.1238297872340426</v>
      </c>
    </row>
    <row r="1188" spans="1:29" x14ac:dyDescent="0.25">
      <c r="D1188" t="s">
        <v>119</v>
      </c>
      <c r="E1188" s="64"/>
      <c r="F1188" s="64"/>
      <c r="G1188">
        <f>IFERROR(HLOOKUP(G$2,[37]table_female_hkom1_inj.V1!$A$1:$K$36,31,FALSE),0)</f>
        <v>0</v>
      </c>
      <c r="H1188">
        <f>IFERROR(HLOOKUP(H$2,[37]table_female_hkom1_inj.V1!$A$1:$K$36,31,FALSE),0)</f>
        <v>0</v>
      </c>
      <c r="I1188">
        <f>IFERROR(HLOOKUP(I$2,[37]table_female_hkom1_inj.V1!$A$1:$K$36,31,FALSE),0)</f>
        <v>0</v>
      </c>
      <c r="J1188">
        <f>IFERROR(HLOOKUP(J$2,[37]table_female_hkom1_inj.V1!$A$1:$K$36,31,FALSE),0)</f>
        <v>0</v>
      </c>
      <c r="K1188">
        <f>IFERROR(HLOOKUP(K$2,[37]table_female_hkom1_inj.V1!$A$1:$K$36,31,FALSE),0)</f>
        <v>0</v>
      </c>
      <c r="L1188">
        <f>IFERROR(HLOOKUP(L$2,[37]table_female_hkom1_inj.V1!$A$1:$K$36,31,FALSE),0)</f>
        <v>0</v>
      </c>
      <c r="M1188">
        <f t="shared" si="362"/>
        <v>0</v>
      </c>
      <c r="S1188" t="s">
        <v>119</v>
      </c>
      <c r="T1188" s="5">
        <f t="shared" si="372"/>
        <v>0</v>
      </c>
      <c r="U1188" s="5">
        <f t="shared" si="373"/>
        <v>0</v>
      </c>
      <c r="V1188" s="5">
        <f t="shared" si="374"/>
        <v>0</v>
      </c>
      <c r="W1188" s="5">
        <f t="shared" si="375"/>
        <v>0</v>
      </c>
      <c r="X1188" s="5">
        <f t="shared" si="376"/>
        <v>0</v>
      </c>
      <c r="Y1188" s="5">
        <f t="shared" si="377"/>
        <v>0</v>
      </c>
      <c r="Z1188" s="5">
        <f t="shared" si="378"/>
        <v>0</v>
      </c>
      <c r="AA1188" s="5">
        <f t="shared" si="379"/>
        <v>0</v>
      </c>
      <c r="AB1188" s="5">
        <f t="shared" si="380"/>
        <v>0</v>
      </c>
    </row>
    <row r="1189" spans="1:29" x14ac:dyDescent="0.25">
      <c r="D1189" t="s">
        <v>99</v>
      </c>
      <c r="E1189" s="64"/>
      <c r="F1189" s="64"/>
      <c r="G1189">
        <f>IFERROR(HLOOKUP(G$2,[37]table_female_hkom1_inj.V1!$A$1:$K$36,32,FALSE),0)</f>
        <v>0</v>
      </c>
      <c r="H1189">
        <f>IFERROR(HLOOKUP(H$2,[37]table_female_hkom1_inj.V1!$A$1:$K$36,32,FALSE),0)</f>
        <v>0</v>
      </c>
      <c r="I1189">
        <f>IFERROR(HLOOKUP(I$2,[37]table_female_hkom1_inj.V1!$A$1:$K$36,32,FALSE),0)</f>
        <v>0</v>
      </c>
      <c r="J1189">
        <f>IFERROR(HLOOKUP(J$2,[37]table_female_hkom1_inj.V1!$A$1:$K$36,32,FALSE),0)</f>
        <v>0</v>
      </c>
      <c r="K1189">
        <f>IFERROR(HLOOKUP(K$2,[37]table_female_hkom1_inj.V1!$A$1:$K$36,32,FALSE),0)</f>
        <v>0</v>
      </c>
      <c r="L1189">
        <f>IFERROR(HLOOKUP(L$2,[37]table_female_hkom1_inj.V1!$A$1:$K$36,32,FALSE),0)</f>
        <v>0</v>
      </c>
      <c r="M1189">
        <f t="shared" si="362"/>
        <v>0</v>
      </c>
      <c r="S1189" t="s">
        <v>99</v>
      </c>
      <c r="T1189" s="5">
        <f t="shared" si="372"/>
        <v>0</v>
      </c>
      <c r="U1189" s="5">
        <f t="shared" si="373"/>
        <v>0</v>
      </c>
      <c r="V1189" s="5">
        <f t="shared" si="374"/>
        <v>0</v>
      </c>
      <c r="W1189" s="5">
        <f t="shared" si="375"/>
        <v>0</v>
      </c>
      <c r="X1189" s="5">
        <f t="shared" si="376"/>
        <v>0</v>
      </c>
      <c r="Y1189" s="5">
        <f t="shared" si="377"/>
        <v>0</v>
      </c>
      <c r="Z1189" s="5">
        <f t="shared" si="378"/>
        <v>0</v>
      </c>
      <c r="AA1189" s="5">
        <f t="shared" si="379"/>
        <v>0</v>
      </c>
      <c r="AB1189" s="5">
        <f t="shared" si="380"/>
        <v>0</v>
      </c>
    </row>
    <row r="1190" spans="1:29" x14ac:dyDescent="0.25">
      <c r="D1190" t="s">
        <v>100</v>
      </c>
      <c r="E1190" s="64"/>
      <c r="F1190" s="64"/>
      <c r="G1190">
        <f>IFERROR(HLOOKUP(G$2,[37]table_female_hkom1_inj.V1!$A$1:$K$36,33,FALSE),0)</f>
        <v>87</v>
      </c>
      <c r="H1190">
        <f>IFERROR(HLOOKUP(H$2,[37]table_female_hkom1_inj.V1!$A$1:$K$36,33,FALSE),0)</f>
        <v>92</v>
      </c>
      <c r="I1190">
        <f>IFERROR(HLOOKUP(I$2,[37]table_female_hkom1_inj.V1!$A$1:$K$36,33,FALSE),0)</f>
        <v>24</v>
      </c>
      <c r="J1190">
        <f>IFERROR(HLOOKUP(J$2,[37]table_female_hkom1_inj.V1!$A$1:$K$36,33,FALSE),0)</f>
        <v>0</v>
      </c>
      <c r="K1190">
        <f>IFERROR(HLOOKUP(K$2,[37]table_female_hkom1_inj.V1!$A$1:$K$36,33,FALSE),0)</f>
        <v>0</v>
      </c>
      <c r="L1190">
        <f>IFERROR(HLOOKUP(L$2,[37]table_female_hkom1_inj.V1!$A$1:$K$36,33,FALSE),0)</f>
        <v>0</v>
      </c>
      <c r="M1190">
        <f t="shared" ref="M1190:M1253" si="381">SUM(E1190:L1190)</f>
        <v>203</v>
      </c>
      <c r="S1190" t="s">
        <v>100</v>
      </c>
      <c r="T1190" s="5">
        <f t="shared" si="372"/>
        <v>0</v>
      </c>
      <c r="U1190" s="5">
        <f t="shared" si="373"/>
        <v>0</v>
      </c>
      <c r="V1190" s="5">
        <f t="shared" si="374"/>
        <v>92.553191489361694</v>
      </c>
      <c r="W1190" s="5">
        <f t="shared" si="375"/>
        <v>97.52</v>
      </c>
      <c r="X1190" s="5">
        <f t="shared" si="376"/>
        <v>26.88</v>
      </c>
      <c r="Y1190" s="5">
        <f t="shared" si="377"/>
        <v>0</v>
      </c>
      <c r="Z1190" s="5">
        <f t="shared" si="378"/>
        <v>0</v>
      </c>
      <c r="AA1190" s="5">
        <f t="shared" si="379"/>
        <v>0</v>
      </c>
      <c r="AB1190" s="5">
        <f t="shared" si="380"/>
        <v>216.9531914893617</v>
      </c>
    </row>
    <row r="1191" spans="1:29" x14ac:dyDescent="0.25">
      <c r="D1191" t="s">
        <v>101</v>
      </c>
      <c r="E1191" s="64"/>
      <c r="F1191" s="64"/>
      <c r="G1191">
        <f>IFERROR(HLOOKUP(G$2,[37]table_female_hkom1_inj.V1!$A$1:$K$36,34,FALSE),0)</f>
        <v>1</v>
      </c>
      <c r="H1191">
        <f>IFERROR(HLOOKUP(H$2,[37]table_female_hkom1_inj.V1!$A$1:$K$36,34,FALSE),0)</f>
        <v>2</v>
      </c>
      <c r="I1191">
        <f>IFERROR(HLOOKUP(I$2,[37]table_female_hkom1_inj.V1!$A$1:$K$36,34,FALSE),0)</f>
        <v>0</v>
      </c>
      <c r="J1191">
        <f>IFERROR(HLOOKUP(J$2,[37]table_female_hkom1_inj.V1!$A$1:$K$36,34,FALSE),0)</f>
        <v>0</v>
      </c>
      <c r="K1191">
        <f>IFERROR(HLOOKUP(K$2,[37]table_female_hkom1_inj.V1!$A$1:$K$36,34,FALSE),0)</f>
        <v>0</v>
      </c>
      <c r="L1191">
        <f>IFERROR(HLOOKUP(L$2,[37]table_female_hkom1_inj.V1!$A$1:$K$36,34,FALSE),0)</f>
        <v>0</v>
      </c>
      <c r="M1191">
        <f t="shared" si="381"/>
        <v>3</v>
      </c>
      <c r="S1191" t="s">
        <v>101</v>
      </c>
      <c r="T1191" s="5">
        <f t="shared" si="372"/>
        <v>0</v>
      </c>
      <c r="U1191" s="5">
        <f t="shared" si="373"/>
        <v>0</v>
      </c>
      <c r="V1191" s="5">
        <f t="shared" si="374"/>
        <v>1.0638297872340425</v>
      </c>
      <c r="W1191" s="5">
        <f t="shared" si="375"/>
        <v>2.12</v>
      </c>
      <c r="X1191" s="5">
        <f t="shared" si="376"/>
        <v>0</v>
      </c>
      <c r="Y1191" s="5">
        <f t="shared" si="377"/>
        <v>0</v>
      </c>
      <c r="Z1191" s="5">
        <f t="shared" si="378"/>
        <v>0</v>
      </c>
      <c r="AA1191" s="5">
        <f t="shared" si="379"/>
        <v>0</v>
      </c>
      <c r="AB1191" s="5">
        <f t="shared" si="380"/>
        <v>3.1838297872340426</v>
      </c>
    </row>
    <row r="1192" spans="1:29" x14ac:dyDescent="0.25">
      <c r="D1192" t="s">
        <v>102</v>
      </c>
      <c r="E1192" s="64"/>
      <c r="F1192" s="64"/>
      <c r="G1192">
        <f>IFERROR(HLOOKUP(G$2,[37]table_female_hkom1_inj.V1!$A$1:$K$36,35,FALSE),0)</f>
        <v>6</v>
      </c>
      <c r="H1192">
        <f>IFERROR(HLOOKUP(H$2,[37]table_female_hkom1_inj.V1!$A$1:$K$36,35,FALSE),0)</f>
        <v>6</v>
      </c>
      <c r="I1192">
        <f>IFERROR(HLOOKUP(I$2,[37]table_female_hkom1_inj.V1!$A$1:$K$36,35,FALSE),0)</f>
        <v>3</v>
      </c>
      <c r="J1192">
        <f>IFERROR(HLOOKUP(J$2,[37]table_female_hkom1_inj.V1!$A$1:$K$36,35,FALSE),0)</f>
        <v>0</v>
      </c>
      <c r="K1192">
        <f>IFERROR(HLOOKUP(K$2,[37]table_female_hkom1_inj.V1!$A$1:$K$36,35,FALSE),0)</f>
        <v>0</v>
      </c>
      <c r="L1192">
        <f>IFERROR(HLOOKUP(L$2,[37]table_female_hkom1_inj.V1!$A$1:$K$36,35,FALSE),0)</f>
        <v>0</v>
      </c>
      <c r="M1192">
        <f t="shared" si="381"/>
        <v>15</v>
      </c>
      <c r="N1192">
        <f>SUM(M1159:M1192)</f>
        <v>234</v>
      </c>
      <c r="O1192" s="8">
        <f>SUM([37]table_female_hkom1_inj.V1!$B$2:$L$37)</f>
        <v>234</v>
      </c>
      <c r="S1192" t="s">
        <v>102</v>
      </c>
      <c r="T1192" s="7"/>
      <c r="U1192" s="7"/>
      <c r="V1192" s="7"/>
      <c r="W1192" s="7"/>
      <c r="X1192" s="7"/>
      <c r="Y1192" s="7"/>
      <c r="Z1192" s="7"/>
      <c r="AA1192" s="7"/>
      <c r="AB1192" s="5">
        <f t="shared" si="380"/>
        <v>0</v>
      </c>
      <c r="AC1192" s="5">
        <f>SUM(AB1159:AB1191)</f>
        <v>234</v>
      </c>
    </row>
    <row r="1193" spans="1:29" x14ac:dyDescent="0.25">
      <c r="A1193" t="s">
        <v>115</v>
      </c>
      <c r="B1193" t="s">
        <v>103</v>
      </c>
      <c r="C1193" t="s">
        <v>106</v>
      </c>
      <c r="D1193" t="s">
        <v>70</v>
      </c>
      <c r="E1193" s="64"/>
      <c r="F1193" s="64"/>
      <c r="G1193">
        <f>IFERROR(HLOOKUP(G$2,[38]table_female_hkom1_inj.V2!$A$1:$K$36,2,FALSE),0)</f>
        <v>1</v>
      </c>
      <c r="H1193">
        <f>IFERROR(HLOOKUP(H$2,[38]table_female_hkom1_inj.V2!$A$1:$K$36,2,FALSE),0)</f>
        <v>4</v>
      </c>
      <c r="I1193">
        <f>IFERROR(HLOOKUP(I$2,[38]table_female_hkom1_inj.V2!$A$1:$K$36,2,FALSE),0)</f>
        <v>2</v>
      </c>
      <c r="J1193">
        <f>IFERROR(HLOOKUP(J$2,[38]table_female_hkom1_inj.V2!$A$1:$K$36,2,FALSE),0)</f>
        <v>0</v>
      </c>
      <c r="K1193">
        <f>IFERROR(HLOOKUP(K$2,[38]table_female_hkom1_inj.V2!$A$1:$K$36,2,FALSE),0)</f>
        <v>0</v>
      </c>
      <c r="L1193">
        <f>IFERROR(HLOOKUP(L$2,[38]table_female_hkom1_inj.V2!$A$1:$K$36,2,FALSE),0)</f>
        <v>0</v>
      </c>
      <c r="M1193">
        <f t="shared" si="381"/>
        <v>7</v>
      </c>
      <c r="P1193" t="s">
        <v>115</v>
      </c>
      <c r="Q1193" t="s">
        <v>103</v>
      </c>
      <c r="R1193" t="s">
        <v>106</v>
      </c>
      <c r="S1193" t="s">
        <v>70</v>
      </c>
      <c r="T1193" s="5">
        <f>IF(SUM(E$1193:E$1225)=0,E$1226/33,E1193+IFERROR(E1193/SUM(E$1193:E$1225)*E$1226,0))</f>
        <v>0</v>
      </c>
      <c r="U1193" s="5">
        <f t="shared" ref="U1193:AA1193" si="382">IF(SUM(F$1193:F$1225)=0,F$1226/33,F1193+IFERROR(F1193/SUM(F$1193:F$1225)*F$1226,0))</f>
        <v>0</v>
      </c>
      <c r="V1193" s="5">
        <f t="shared" si="382"/>
        <v>1.2789473684210526</v>
      </c>
      <c r="W1193" s="5">
        <f t="shared" si="382"/>
        <v>5.0928961748633883</v>
      </c>
      <c r="X1193" s="5">
        <f t="shared" si="382"/>
        <v>2.3947368421052633</v>
      </c>
      <c r="Y1193" s="5">
        <f t="shared" si="382"/>
        <v>6.0606060606060608E-2</v>
      </c>
      <c r="Z1193" s="5">
        <f t="shared" si="382"/>
        <v>0</v>
      </c>
      <c r="AA1193" s="5">
        <f t="shared" si="382"/>
        <v>0</v>
      </c>
      <c r="AB1193" s="5">
        <f t="shared" si="380"/>
        <v>8.8271864459957641</v>
      </c>
    </row>
    <row r="1194" spans="1:29" x14ac:dyDescent="0.25">
      <c r="D1194" t="s">
        <v>71</v>
      </c>
      <c r="E1194" s="64"/>
      <c r="F1194" s="64"/>
      <c r="G1194">
        <f>IFERROR(HLOOKUP(G$2,[38]table_female_hkom1_inj.V2!$A$1:$K$36,3,FALSE),0)</f>
        <v>27</v>
      </c>
      <c r="H1194">
        <f>IFERROR(HLOOKUP(H$2,[38]table_female_hkom1_inj.V2!$A$1:$K$36,3,FALSE),0)</f>
        <v>20</v>
      </c>
      <c r="I1194">
        <f>IFERROR(HLOOKUP(I$2,[38]table_female_hkom1_inj.V2!$A$1:$K$36,3,FALSE),0)</f>
        <v>9</v>
      </c>
      <c r="J1194">
        <f>IFERROR(HLOOKUP(J$2,[38]table_female_hkom1_inj.V2!$A$1:$K$36,3,FALSE),0)</f>
        <v>0</v>
      </c>
      <c r="K1194">
        <f>IFERROR(HLOOKUP(K$2,[38]table_female_hkom1_inj.V2!$A$1:$K$36,3,FALSE),0)</f>
        <v>0</v>
      </c>
      <c r="L1194">
        <f>IFERROR(HLOOKUP(L$2,[38]table_female_hkom1_inj.V2!$A$1:$K$36,3,FALSE),0)</f>
        <v>0</v>
      </c>
      <c r="M1194">
        <f t="shared" si="381"/>
        <v>56</v>
      </c>
      <c r="S1194" t="s">
        <v>71</v>
      </c>
      <c r="T1194" s="5">
        <f t="shared" ref="T1194:T1225" si="383">IF(SUM(E$1193:E$1225)=0,E$1226/33,E1194+IFERROR(E1194/SUM(E$1193:E$1225)*E$1226,0))</f>
        <v>0</v>
      </c>
      <c r="U1194" s="5">
        <f t="shared" ref="U1194:U1225" si="384">IF(SUM(F$1193:F$1225)=0,F$1226/33,F1194+IFERROR(F1194/SUM(F$1193:F$1225)*F$1226,0))</f>
        <v>0</v>
      </c>
      <c r="V1194" s="5">
        <f t="shared" ref="V1194:V1225" si="385">IF(SUM(G$1193:G$1225)=0,G$1226/33,G1194+IFERROR(G1194/SUM(G$1193:G$1225)*G$1226,0))</f>
        <v>34.531578947368423</v>
      </c>
      <c r="W1194" s="5">
        <f t="shared" ref="W1194:W1225" si="386">IF(SUM(H$1193:H$1225)=0,H$1226/33,H1194+IFERROR(H1194/SUM(H$1193:H$1225)*H$1226,0))</f>
        <v>25.464480874316941</v>
      </c>
      <c r="X1194" s="5">
        <f t="shared" ref="X1194:X1225" si="387">IF(SUM(I$1193:I$1225)=0,I$1226/33,I1194+IFERROR(I1194/SUM(I$1193:I$1225)*I$1226,0))</f>
        <v>10.776315789473685</v>
      </c>
      <c r="Y1194" s="5">
        <f t="shared" ref="Y1194:Y1225" si="388">IF(SUM(J$1193:J$1225)=0,J$1226/33,J1194+IFERROR(J1194/SUM(J$1193:J$1225)*J$1226,0))</f>
        <v>6.0606060606060608E-2</v>
      </c>
      <c r="Z1194" s="5">
        <f t="shared" ref="Z1194:Z1225" si="389">IF(SUM(K$1193:K$1225)=0,K$1226/33,K1194+IFERROR(K1194/SUM(K$1193:K$1225)*K$1226,0))</f>
        <v>0</v>
      </c>
      <c r="AA1194" s="5">
        <f t="shared" ref="AA1194:AA1225" si="390">IF(SUM(L$1193:L$1225)=0,L$1226/33,L1194+IFERROR(L1194/SUM(L$1193:L$1225)*L$1226,0))</f>
        <v>0</v>
      </c>
      <c r="AB1194" s="5">
        <f t="shared" si="380"/>
        <v>70.832981671765111</v>
      </c>
    </row>
    <row r="1195" spans="1:29" x14ac:dyDescent="0.25">
      <c r="D1195" t="s">
        <v>72</v>
      </c>
      <c r="E1195" s="64"/>
      <c r="F1195" s="64"/>
      <c r="G1195">
        <f>IFERROR(HLOOKUP(G$2,[38]table_female_hkom1_inj.V2!$A$1:$K$36,4,FALSE),0)</f>
        <v>1</v>
      </c>
      <c r="H1195">
        <f>IFERROR(HLOOKUP(H$2,[38]table_female_hkom1_inj.V2!$A$1:$K$36,4,FALSE),0)</f>
        <v>0</v>
      </c>
      <c r="I1195">
        <f>IFERROR(HLOOKUP(I$2,[38]table_female_hkom1_inj.V2!$A$1:$K$36,4,FALSE),0)</f>
        <v>0</v>
      </c>
      <c r="J1195">
        <f>IFERROR(HLOOKUP(J$2,[38]table_female_hkom1_inj.V2!$A$1:$K$36,4,FALSE),0)</f>
        <v>0</v>
      </c>
      <c r="K1195">
        <f>IFERROR(HLOOKUP(K$2,[38]table_female_hkom1_inj.V2!$A$1:$K$36,4,FALSE),0)</f>
        <v>0</v>
      </c>
      <c r="L1195">
        <f>IFERROR(HLOOKUP(L$2,[38]table_female_hkom1_inj.V2!$A$1:$K$36,4,FALSE),0)</f>
        <v>0</v>
      </c>
      <c r="M1195">
        <f t="shared" si="381"/>
        <v>1</v>
      </c>
      <c r="S1195" t="s">
        <v>72</v>
      </c>
      <c r="T1195" s="5">
        <f t="shared" si="383"/>
        <v>0</v>
      </c>
      <c r="U1195" s="5">
        <f t="shared" si="384"/>
        <v>0</v>
      </c>
      <c r="V1195" s="5">
        <f t="shared" si="385"/>
        <v>1.2789473684210526</v>
      </c>
      <c r="W1195" s="5">
        <f t="shared" si="386"/>
        <v>0</v>
      </c>
      <c r="X1195" s="5">
        <f t="shared" si="387"/>
        <v>0</v>
      </c>
      <c r="Y1195" s="5">
        <f t="shared" si="388"/>
        <v>6.0606060606060608E-2</v>
      </c>
      <c r="Z1195" s="5">
        <f t="shared" si="389"/>
        <v>0</v>
      </c>
      <c r="AA1195" s="5">
        <f t="shared" si="390"/>
        <v>0</v>
      </c>
      <c r="AB1195" s="5">
        <f t="shared" si="380"/>
        <v>1.3395534290271132</v>
      </c>
    </row>
    <row r="1196" spans="1:29" x14ac:dyDescent="0.25">
      <c r="D1196" t="s">
        <v>73</v>
      </c>
      <c r="E1196" s="64"/>
      <c r="F1196" s="64"/>
      <c r="G1196">
        <f>IFERROR(HLOOKUP(G$2,[38]table_female_hkom1_inj.V2!$A$1:$K$36,5,FALSE),0)</f>
        <v>4</v>
      </c>
      <c r="H1196">
        <f>IFERROR(HLOOKUP(H$2,[38]table_female_hkom1_inj.V2!$A$1:$K$36,5,FALSE),0)</f>
        <v>0</v>
      </c>
      <c r="I1196">
        <f>IFERROR(HLOOKUP(I$2,[38]table_female_hkom1_inj.V2!$A$1:$K$36,5,FALSE),0)</f>
        <v>0</v>
      </c>
      <c r="J1196">
        <f>IFERROR(HLOOKUP(J$2,[38]table_female_hkom1_inj.V2!$A$1:$K$36,5,FALSE),0)</f>
        <v>0</v>
      </c>
      <c r="K1196">
        <f>IFERROR(HLOOKUP(K$2,[38]table_female_hkom1_inj.V2!$A$1:$K$36,5,FALSE),0)</f>
        <v>0</v>
      </c>
      <c r="L1196">
        <f>IFERROR(HLOOKUP(L$2,[38]table_female_hkom1_inj.V2!$A$1:$K$36,5,FALSE),0)</f>
        <v>0</v>
      </c>
      <c r="M1196">
        <f t="shared" si="381"/>
        <v>4</v>
      </c>
      <c r="S1196" t="s">
        <v>73</v>
      </c>
      <c r="T1196" s="5">
        <f t="shared" si="383"/>
        <v>0</v>
      </c>
      <c r="U1196" s="5">
        <f t="shared" si="384"/>
        <v>0</v>
      </c>
      <c r="V1196" s="5">
        <f t="shared" si="385"/>
        <v>5.1157894736842104</v>
      </c>
      <c r="W1196" s="5">
        <f t="shared" si="386"/>
        <v>0</v>
      </c>
      <c r="X1196" s="5">
        <f t="shared" si="387"/>
        <v>0</v>
      </c>
      <c r="Y1196" s="5">
        <f t="shared" si="388"/>
        <v>6.0606060606060608E-2</v>
      </c>
      <c r="Z1196" s="5">
        <f t="shared" si="389"/>
        <v>0</v>
      </c>
      <c r="AA1196" s="5">
        <f t="shared" si="390"/>
        <v>0</v>
      </c>
      <c r="AB1196" s="5">
        <f t="shared" si="380"/>
        <v>5.176395534290271</v>
      </c>
    </row>
    <row r="1197" spans="1:29" x14ac:dyDescent="0.25">
      <c r="D1197" t="s">
        <v>74</v>
      </c>
      <c r="E1197" s="64"/>
      <c r="F1197" s="64"/>
      <c r="G1197">
        <f>IFERROR(HLOOKUP(G$2,[38]table_female_hkom1_inj.V2!$A$1:$K$36,6,FALSE),0)</f>
        <v>5</v>
      </c>
      <c r="H1197">
        <f>IFERROR(HLOOKUP(H$2,[38]table_female_hkom1_inj.V2!$A$1:$K$36,6,FALSE),0)</f>
        <v>7</v>
      </c>
      <c r="I1197">
        <f>IFERROR(HLOOKUP(I$2,[38]table_female_hkom1_inj.V2!$A$1:$K$36,6,FALSE),0)</f>
        <v>3</v>
      </c>
      <c r="J1197">
        <f>IFERROR(HLOOKUP(J$2,[38]table_female_hkom1_inj.V2!$A$1:$K$36,6,FALSE),0)</f>
        <v>0</v>
      </c>
      <c r="K1197">
        <f>IFERROR(HLOOKUP(K$2,[38]table_female_hkom1_inj.V2!$A$1:$K$36,6,FALSE),0)</f>
        <v>0</v>
      </c>
      <c r="L1197">
        <f>IFERROR(HLOOKUP(L$2,[38]table_female_hkom1_inj.V2!$A$1:$K$36,6,FALSE),0)</f>
        <v>0</v>
      </c>
      <c r="M1197">
        <f t="shared" si="381"/>
        <v>15</v>
      </c>
      <c r="S1197" t="s">
        <v>74</v>
      </c>
      <c r="T1197" s="5">
        <f t="shared" si="383"/>
        <v>0</v>
      </c>
      <c r="U1197" s="5">
        <f t="shared" si="384"/>
        <v>0</v>
      </c>
      <c r="V1197" s="5">
        <f t="shared" si="385"/>
        <v>6.3947368421052628</v>
      </c>
      <c r="W1197" s="5">
        <f t="shared" si="386"/>
        <v>8.9125683060109289</v>
      </c>
      <c r="X1197" s="5">
        <f t="shared" si="387"/>
        <v>3.5921052631578947</v>
      </c>
      <c r="Y1197" s="5">
        <f t="shared" si="388"/>
        <v>6.0606060606060608E-2</v>
      </c>
      <c r="Z1197" s="5">
        <f t="shared" si="389"/>
        <v>0</v>
      </c>
      <c r="AA1197" s="5">
        <f t="shared" si="390"/>
        <v>0</v>
      </c>
      <c r="AB1197" s="5">
        <f t="shared" si="380"/>
        <v>18.960016471880149</v>
      </c>
    </row>
    <row r="1198" spans="1:29" x14ac:dyDescent="0.25">
      <c r="D1198" t="s">
        <v>75</v>
      </c>
      <c r="E1198" s="64"/>
      <c r="F1198" s="64"/>
      <c r="G1198">
        <f>IFERROR(HLOOKUP(G$2,[38]table_female_hkom1_inj.V2!$A$1:$K$36,7,FALSE),0)</f>
        <v>0</v>
      </c>
      <c r="H1198">
        <f>IFERROR(HLOOKUP(H$2,[38]table_female_hkom1_inj.V2!$A$1:$K$36,7,FALSE),0)</f>
        <v>1</v>
      </c>
      <c r="I1198">
        <f>IFERROR(HLOOKUP(I$2,[38]table_female_hkom1_inj.V2!$A$1:$K$36,7,FALSE),0)</f>
        <v>0</v>
      </c>
      <c r="J1198">
        <f>IFERROR(HLOOKUP(J$2,[38]table_female_hkom1_inj.V2!$A$1:$K$36,7,FALSE),0)</f>
        <v>0</v>
      </c>
      <c r="K1198">
        <f>IFERROR(HLOOKUP(K$2,[38]table_female_hkom1_inj.V2!$A$1:$K$36,7,FALSE),0)</f>
        <v>0</v>
      </c>
      <c r="L1198">
        <f>IFERROR(HLOOKUP(L$2,[38]table_female_hkom1_inj.V2!$A$1:$K$36,7,FALSE),0)</f>
        <v>0</v>
      </c>
      <c r="M1198">
        <f t="shared" si="381"/>
        <v>1</v>
      </c>
      <c r="S1198" t="s">
        <v>75</v>
      </c>
      <c r="T1198" s="5">
        <f t="shared" si="383"/>
        <v>0</v>
      </c>
      <c r="U1198" s="5">
        <f t="shared" si="384"/>
        <v>0</v>
      </c>
      <c r="V1198" s="5">
        <f t="shared" si="385"/>
        <v>0</v>
      </c>
      <c r="W1198" s="5">
        <f t="shared" si="386"/>
        <v>1.2732240437158471</v>
      </c>
      <c r="X1198" s="5">
        <f t="shared" si="387"/>
        <v>0</v>
      </c>
      <c r="Y1198" s="5">
        <f t="shared" si="388"/>
        <v>6.0606060606060608E-2</v>
      </c>
      <c r="Z1198" s="5">
        <f t="shared" si="389"/>
        <v>0</v>
      </c>
      <c r="AA1198" s="5">
        <f t="shared" si="390"/>
        <v>0</v>
      </c>
      <c r="AB1198" s="5">
        <f t="shared" si="380"/>
        <v>1.3338301043219076</v>
      </c>
    </row>
    <row r="1199" spans="1:29" x14ac:dyDescent="0.25">
      <c r="D1199" t="s">
        <v>76</v>
      </c>
      <c r="E1199" s="64"/>
      <c r="F1199" s="64"/>
      <c r="G1199">
        <f>IFERROR(HLOOKUP(G$2,[38]table_female_hkom1_inj.V2!$A$1:$K$36,8,FALSE),0)</f>
        <v>2</v>
      </c>
      <c r="H1199">
        <f>IFERROR(HLOOKUP(H$2,[38]table_female_hkom1_inj.V2!$A$1:$K$36,8,FALSE),0)</f>
        <v>1</v>
      </c>
      <c r="I1199">
        <f>IFERROR(HLOOKUP(I$2,[38]table_female_hkom1_inj.V2!$A$1:$K$36,8,FALSE),0)</f>
        <v>0</v>
      </c>
      <c r="J1199">
        <f>IFERROR(HLOOKUP(J$2,[38]table_female_hkom1_inj.V2!$A$1:$K$36,8,FALSE),0)</f>
        <v>0</v>
      </c>
      <c r="K1199">
        <f>IFERROR(HLOOKUP(K$2,[38]table_female_hkom1_inj.V2!$A$1:$K$36,8,FALSE),0)</f>
        <v>0</v>
      </c>
      <c r="L1199">
        <f>IFERROR(HLOOKUP(L$2,[38]table_female_hkom1_inj.V2!$A$1:$K$36,8,FALSE),0)</f>
        <v>0</v>
      </c>
      <c r="M1199">
        <f t="shared" si="381"/>
        <v>3</v>
      </c>
      <c r="S1199" t="s">
        <v>76</v>
      </c>
      <c r="T1199" s="5">
        <f t="shared" si="383"/>
        <v>0</v>
      </c>
      <c r="U1199" s="5">
        <f t="shared" si="384"/>
        <v>0</v>
      </c>
      <c r="V1199" s="5">
        <f t="shared" si="385"/>
        <v>2.5578947368421052</v>
      </c>
      <c r="W1199" s="5">
        <f t="shared" si="386"/>
        <v>1.2732240437158471</v>
      </c>
      <c r="X1199" s="5">
        <f t="shared" si="387"/>
        <v>0</v>
      </c>
      <c r="Y1199" s="5">
        <f t="shared" si="388"/>
        <v>6.0606060606060608E-2</v>
      </c>
      <c r="Z1199" s="5">
        <f t="shared" si="389"/>
        <v>0</v>
      </c>
      <c r="AA1199" s="5">
        <f t="shared" si="390"/>
        <v>0</v>
      </c>
      <c r="AB1199" s="5">
        <f t="shared" si="380"/>
        <v>3.8917248411640131</v>
      </c>
    </row>
    <row r="1200" spans="1:29" x14ac:dyDescent="0.25">
      <c r="D1200" t="s">
        <v>77</v>
      </c>
      <c r="E1200" s="64"/>
      <c r="F1200" s="64"/>
      <c r="G1200">
        <f>IFERROR(HLOOKUP(G$2,[38]table_female_hkom1_inj.V2!$A$1:$K$36,9,FALSE),0)</f>
        <v>6</v>
      </c>
      <c r="H1200">
        <f>IFERROR(HLOOKUP(H$2,[38]table_female_hkom1_inj.V2!$A$1:$K$36,9,FALSE),0)</f>
        <v>10</v>
      </c>
      <c r="I1200">
        <f>IFERROR(HLOOKUP(I$2,[38]table_female_hkom1_inj.V2!$A$1:$K$36,9,FALSE),0)</f>
        <v>2</v>
      </c>
      <c r="J1200">
        <f>IFERROR(HLOOKUP(J$2,[38]table_female_hkom1_inj.V2!$A$1:$K$36,9,FALSE),0)</f>
        <v>0</v>
      </c>
      <c r="K1200">
        <f>IFERROR(HLOOKUP(K$2,[38]table_female_hkom1_inj.V2!$A$1:$K$36,9,FALSE),0)</f>
        <v>0</v>
      </c>
      <c r="L1200">
        <f>IFERROR(HLOOKUP(L$2,[38]table_female_hkom1_inj.V2!$A$1:$K$36,9,FALSE),0)</f>
        <v>0</v>
      </c>
      <c r="M1200">
        <f t="shared" si="381"/>
        <v>18</v>
      </c>
      <c r="S1200" t="s">
        <v>77</v>
      </c>
      <c r="T1200" s="5">
        <f t="shared" si="383"/>
        <v>0</v>
      </c>
      <c r="U1200" s="5">
        <f t="shared" si="384"/>
        <v>0</v>
      </c>
      <c r="V1200" s="5">
        <f t="shared" si="385"/>
        <v>7.6736842105263161</v>
      </c>
      <c r="W1200" s="5">
        <f t="shared" si="386"/>
        <v>12.73224043715847</v>
      </c>
      <c r="X1200" s="5">
        <f t="shared" si="387"/>
        <v>2.3947368421052633</v>
      </c>
      <c r="Y1200" s="5">
        <f t="shared" si="388"/>
        <v>6.0606060606060608E-2</v>
      </c>
      <c r="Z1200" s="5">
        <f t="shared" si="389"/>
        <v>0</v>
      </c>
      <c r="AA1200" s="5">
        <f t="shared" si="390"/>
        <v>0</v>
      </c>
      <c r="AB1200" s="5">
        <f t="shared" si="380"/>
        <v>22.861267550396111</v>
      </c>
    </row>
    <row r="1201" spans="4:28" x14ac:dyDescent="0.25">
      <c r="D1201" t="s">
        <v>78</v>
      </c>
      <c r="E1201" s="64"/>
      <c r="F1201" s="64"/>
      <c r="G1201">
        <f>IFERROR(HLOOKUP(G$2,[38]table_female_hkom1_inj.V2!$A$1:$K$36,10,FALSE),0)</f>
        <v>4</v>
      </c>
      <c r="H1201">
        <f>IFERROR(HLOOKUP(H$2,[38]table_female_hkom1_inj.V2!$A$1:$K$36,10,FALSE),0)</f>
        <v>7</v>
      </c>
      <c r="I1201">
        <f>IFERROR(HLOOKUP(I$2,[38]table_female_hkom1_inj.V2!$A$1:$K$36,10,FALSE),0)</f>
        <v>3</v>
      </c>
      <c r="J1201">
        <f>IFERROR(HLOOKUP(J$2,[38]table_female_hkom1_inj.V2!$A$1:$K$36,10,FALSE),0)</f>
        <v>0</v>
      </c>
      <c r="K1201">
        <f>IFERROR(HLOOKUP(K$2,[38]table_female_hkom1_inj.V2!$A$1:$K$36,10,FALSE),0)</f>
        <v>0</v>
      </c>
      <c r="L1201">
        <f>IFERROR(HLOOKUP(L$2,[38]table_female_hkom1_inj.V2!$A$1:$K$36,10,FALSE),0)</f>
        <v>0</v>
      </c>
      <c r="M1201">
        <f t="shared" si="381"/>
        <v>14</v>
      </c>
      <c r="S1201" t="s">
        <v>78</v>
      </c>
      <c r="T1201" s="5">
        <f t="shared" si="383"/>
        <v>0</v>
      </c>
      <c r="U1201" s="5">
        <f t="shared" si="384"/>
        <v>0</v>
      </c>
      <c r="V1201" s="5">
        <f t="shared" si="385"/>
        <v>5.1157894736842104</v>
      </c>
      <c r="W1201" s="5">
        <f t="shared" si="386"/>
        <v>8.9125683060109289</v>
      </c>
      <c r="X1201" s="5">
        <f t="shared" si="387"/>
        <v>3.5921052631578947</v>
      </c>
      <c r="Y1201" s="5">
        <f t="shared" si="388"/>
        <v>6.0606060606060608E-2</v>
      </c>
      <c r="Z1201" s="5">
        <f t="shared" si="389"/>
        <v>0</v>
      </c>
      <c r="AA1201" s="5">
        <f t="shared" si="390"/>
        <v>0</v>
      </c>
      <c r="AB1201" s="5">
        <f t="shared" si="380"/>
        <v>17.681069103459095</v>
      </c>
    </row>
    <row r="1202" spans="4:28" x14ac:dyDescent="0.25">
      <c r="D1202" t="s">
        <v>79</v>
      </c>
      <c r="E1202" s="64"/>
      <c r="F1202" s="64"/>
      <c r="G1202">
        <f>IFERROR(HLOOKUP(G$2,[38]table_female_hkom1_inj.V2!$A$1:$K$36,11,FALSE),0)</f>
        <v>0</v>
      </c>
      <c r="H1202">
        <f>IFERROR(HLOOKUP(H$2,[38]table_female_hkom1_inj.V2!$A$1:$K$36,11,FALSE),0)</f>
        <v>0</v>
      </c>
      <c r="I1202">
        <f>IFERROR(HLOOKUP(I$2,[38]table_female_hkom1_inj.V2!$A$1:$K$36,11,FALSE),0)</f>
        <v>0</v>
      </c>
      <c r="J1202">
        <f>IFERROR(HLOOKUP(J$2,[38]table_female_hkom1_inj.V2!$A$1:$K$36,11,FALSE),0)</f>
        <v>0</v>
      </c>
      <c r="K1202">
        <f>IFERROR(HLOOKUP(K$2,[38]table_female_hkom1_inj.V2!$A$1:$K$36,11,FALSE),0)</f>
        <v>0</v>
      </c>
      <c r="L1202">
        <f>IFERROR(HLOOKUP(L$2,[38]table_female_hkom1_inj.V2!$A$1:$K$36,11,FALSE),0)</f>
        <v>0</v>
      </c>
      <c r="M1202">
        <f t="shared" si="381"/>
        <v>0</v>
      </c>
      <c r="S1202" t="s">
        <v>79</v>
      </c>
      <c r="T1202" s="5">
        <f t="shared" si="383"/>
        <v>0</v>
      </c>
      <c r="U1202" s="5">
        <f t="shared" si="384"/>
        <v>0</v>
      </c>
      <c r="V1202" s="5">
        <f t="shared" si="385"/>
        <v>0</v>
      </c>
      <c r="W1202" s="5">
        <f t="shared" si="386"/>
        <v>0</v>
      </c>
      <c r="X1202" s="5">
        <f t="shared" si="387"/>
        <v>0</v>
      </c>
      <c r="Y1202" s="5">
        <f t="shared" si="388"/>
        <v>6.0606060606060608E-2</v>
      </c>
      <c r="Z1202" s="5">
        <f t="shared" si="389"/>
        <v>0</v>
      </c>
      <c r="AA1202" s="5">
        <f t="shared" si="390"/>
        <v>0</v>
      </c>
      <c r="AB1202" s="5">
        <f t="shared" si="380"/>
        <v>6.0606060606060608E-2</v>
      </c>
    </row>
    <row r="1203" spans="4:28" x14ac:dyDescent="0.25">
      <c r="D1203" t="s">
        <v>80</v>
      </c>
      <c r="E1203" s="64"/>
      <c r="F1203" s="64"/>
      <c r="G1203">
        <f>IFERROR(HLOOKUP(G$2,[38]table_female_hkom1_inj.V2!$A$1:$K$36,12,FALSE),0)</f>
        <v>1</v>
      </c>
      <c r="H1203">
        <f>IFERROR(HLOOKUP(H$2,[38]table_female_hkom1_inj.V2!$A$1:$K$36,12,FALSE),0)</f>
        <v>0</v>
      </c>
      <c r="I1203">
        <f>IFERROR(HLOOKUP(I$2,[38]table_female_hkom1_inj.V2!$A$1:$K$36,12,FALSE),0)</f>
        <v>1</v>
      </c>
      <c r="J1203">
        <f>IFERROR(HLOOKUP(J$2,[38]table_female_hkom1_inj.V2!$A$1:$K$36,12,FALSE),0)</f>
        <v>0</v>
      </c>
      <c r="K1203">
        <f>IFERROR(HLOOKUP(K$2,[38]table_female_hkom1_inj.V2!$A$1:$K$36,12,FALSE),0)</f>
        <v>0</v>
      </c>
      <c r="L1203">
        <f>IFERROR(HLOOKUP(L$2,[38]table_female_hkom1_inj.V2!$A$1:$K$36,12,FALSE),0)</f>
        <v>0</v>
      </c>
      <c r="M1203">
        <f t="shared" si="381"/>
        <v>2</v>
      </c>
      <c r="S1203" t="s">
        <v>80</v>
      </c>
      <c r="T1203" s="5">
        <f t="shared" si="383"/>
        <v>0</v>
      </c>
      <c r="U1203" s="5">
        <f t="shared" si="384"/>
        <v>0</v>
      </c>
      <c r="V1203" s="5">
        <f t="shared" si="385"/>
        <v>1.2789473684210526</v>
      </c>
      <c r="W1203" s="5">
        <f t="shared" si="386"/>
        <v>0</v>
      </c>
      <c r="X1203" s="5">
        <f t="shared" si="387"/>
        <v>1.1973684210526316</v>
      </c>
      <c r="Y1203" s="5">
        <f t="shared" si="388"/>
        <v>6.0606060606060608E-2</v>
      </c>
      <c r="Z1203" s="5">
        <f t="shared" si="389"/>
        <v>0</v>
      </c>
      <c r="AA1203" s="5">
        <f t="shared" si="390"/>
        <v>0</v>
      </c>
      <c r="AB1203" s="5">
        <f t="shared" si="380"/>
        <v>2.5369218500797448</v>
      </c>
    </row>
    <row r="1204" spans="4:28" x14ac:dyDescent="0.25">
      <c r="D1204" t="s">
        <v>81</v>
      </c>
      <c r="E1204" s="64"/>
      <c r="F1204" s="64"/>
      <c r="G1204">
        <f>IFERROR(HLOOKUP(G$2,[38]table_female_hkom1_inj.V2!$A$1:$K$36,13,FALSE),0)</f>
        <v>1</v>
      </c>
      <c r="H1204">
        <f>IFERROR(HLOOKUP(H$2,[38]table_female_hkom1_inj.V2!$A$1:$K$36,13,FALSE),0)</f>
        <v>0</v>
      </c>
      <c r="I1204">
        <f>IFERROR(HLOOKUP(I$2,[38]table_female_hkom1_inj.V2!$A$1:$K$36,13,FALSE),0)</f>
        <v>0</v>
      </c>
      <c r="J1204">
        <f>IFERROR(HLOOKUP(J$2,[38]table_female_hkom1_inj.V2!$A$1:$K$36,13,FALSE),0)</f>
        <v>0</v>
      </c>
      <c r="K1204">
        <f>IFERROR(HLOOKUP(K$2,[38]table_female_hkom1_inj.V2!$A$1:$K$36,13,FALSE),0)</f>
        <v>0</v>
      </c>
      <c r="L1204">
        <f>IFERROR(HLOOKUP(L$2,[38]table_female_hkom1_inj.V2!$A$1:$K$36,13,FALSE),0)</f>
        <v>0</v>
      </c>
      <c r="M1204">
        <f t="shared" si="381"/>
        <v>1</v>
      </c>
      <c r="S1204" t="s">
        <v>81</v>
      </c>
      <c r="T1204" s="5">
        <f t="shared" si="383"/>
        <v>0</v>
      </c>
      <c r="U1204" s="5">
        <f t="shared" si="384"/>
        <v>0</v>
      </c>
      <c r="V1204" s="5">
        <f t="shared" si="385"/>
        <v>1.2789473684210526</v>
      </c>
      <c r="W1204" s="5">
        <f t="shared" si="386"/>
        <v>0</v>
      </c>
      <c r="X1204" s="5">
        <f t="shared" si="387"/>
        <v>0</v>
      </c>
      <c r="Y1204" s="5">
        <f t="shared" si="388"/>
        <v>6.0606060606060608E-2</v>
      </c>
      <c r="Z1204" s="5">
        <f t="shared" si="389"/>
        <v>0</v>
      </c>
      <c r="AA1204" s="5">
        <f t="shared" si="390"/>
        <v>0</v>
      </c>
      <c r="AB1204" s="5">
        <f t="shared" si="380"/>
        <v>1.3395534290271132</v>
      </c>
    </row>
    <row r="1205" spans="4:28" x14ac:dyDescent="0.25">
      <c r="D1205" t="s">
        <v>82</v>
      </c>
      <c r="E1205" s="64"/>
      <c r="F1205" s="64"/>
      <c r="G1205">
        <f>IFERROR(HLOOKUP(G$2,[38]table_female_hkom1_inj.V2!$A$1:$K$36,14,FALSE),0)</f>
        <v>0</v>
      </c>
      <c r="H1205">
        <f>IFERROR(HLOOKUP(H$2,[38]table_female_hkom1_inj.V2!$A$1:$K$36,14,FALSE),0)</f>
        <v>1</v>
      </c>
      <c r="I1205">
        <f>IFERROR(HLOOKUP(I$2,[38]table_female_hkom1_inj.V2!$A$1:$K$36,14,FALSE),0)</f>
        <v>0</v>
      </c>
      <c r="J1205">
        <f>IFERROR(HLOOKUP(J$2,[38]table_female_hkom1_inj.V2!$A$1:$K$36,14,FALSE),0)</f>
        <v>0</v>
      </c>
      <c r="K1205">
        <f>IFERROR(HLOOKUP(K$2,[38]table_female_hkom1_inj.V2!$A$1:$K$36,14,FALSE),0)</f>
        <v>0</v>
      </c>
      <c r="L1205">
        <f>IFERROR(HLOOKUP(L$2,[38]table_female_hkom1_inj.V2!$A$1:$K$36,14,FALSE),0)</f>
        <v>0</v>
      </c>
      <c r="M1205">
        <f t="shared" si="381"/>
        <v>1</v>
      </c>
      <c r="S1205" t="s">
        <v>82</v>
      </c>
      <c r="T1205" s="5">
        <f t="shared" si="383"/>
        <v>0</v>
      </c>
      <c r="U1205" s="5">
        <f t="shared" si="384"/>
        <v>0</v>
      </c>
      <c r="V1205" s="5">
        <f t="shared" si="385"/>
        <v>0</v>
      </c>
      <c r="W1205" s="5">
        <f t="shared" si="386"/>
        <v>1.2732240437158471</v>
      </c>
      <c r="X1205" s="5">
        <f t="shared" si="387"/>
        <v>0</v>
      </c>
      <c r="Y1205" s="5">
        <f t="shared" si="388"/>
        <v>6.0606060606060608E-2</v>
      </c>
      <c r="Z1205" s="5">
        <f t="shared" si="389"/>
        <v>0</v>
      </c>
      <c r="AA1205" s="5">
        <f t="shared" si="390"/>
        <v>0</v>
      </c>
      <c r="AB1205" s="5">
        <f t="shared" si="380"/>
        <v>1.3338301043219076</v>
      </c>
    </row>
    <row r="1206" spans="4:28" x14ac:dyDescent="0.25">
      <c r="D1206" t="s">
        <v>83</v>
      </c>
      <c r="E1206" s="64"/>
      <c r="F1206" s="64"/>
      <c r="G1206">
        <f>IFERROR(HLOOKUP(G$2,[38]table_female_hkom1_inj.V2!$A$1:$K$36,15,FALSE),0)</f>
        <v>1</v>
      </c>
      <c r="H1206">
        <f>IFERROR(HLOOKUP(H$2,[38]table_female_hkom1_inj.V2!$A$1:$K$36,15,FALSE),0)</f>
        <v>0</v>
      </c>
      <c r="I1206">
        <f>IFERROR(HLOOKUP(I$2,[38]table_female_hkom1_inj.V2!$A$1:$K$36,15,FALSE),0)</f>
        <v>3</v>
      </c>
      <c r="J1206">
        <f>IFERROR(HLOOKUP(J$2,[38]table_female_hkom1_inj.V2!$A$1:$K$36,15,FALSE),0)</f>
        <v>0</v>
      </c>
      <c r="K1206">
        <f>IFERROR(HLOOKUP(K$2,[38]table_female_hkom1_inj.V2!$A$1:$K$36,15,FALSE),0)</f>
        <v>0</v>
      </c>
      <c r="L1206">
        <f>IFERROR(HLOOKUP(L$2,[38]table_female_hkom1_inj.V2!$A$1:$K$36,15,FALSE),0)</f>
        <v>0</v>
      </c>
      <c r="M1206">
        <f t="shared" si="381"/>
        <v>4</v>
      </c>
      <c r="S1206" t="s">
        <v>83</v>
      </c>
      <c r="T1206" s="5">
        <f t="shared" si="383"/>
        <v>0</v>
      </c>
      <c r="U1206" s="5">
        <f t="shared" si="384"/>
        <v>0</v>
      </c>
      <c r="V1206" s="5">
        <f t="shared" si="385"/>
        <v>1.2789473684210526</v>
      </c>
      <c r="W1206" s="5">
        <f t="shared" si="386"/>
        <v>0</v>
      </c>
      <c r="X1206" s="5">
        <f t="shared" si="387"/>
        <v>3.5921052631578947</v>
      </c>
      <c r="Y1206" s="5">
        <f t="shared" si="388"/>
        <v>6.0606060606060608E-2</v>
      </c>
      <c r="Z1206" s="5">
        <f t="shared" si="389"/>
        <v>0</v>
      </c>
      <c r="AA1206" s="5">
        <f t="shared" si="390"/>
        <v>0</v>
      </c>
      <c r="AB1206" s="5">
        <f t="shared" si="380"/>
        <v>4.9316586921850076</v>
      </c>
    </row>
    <row r="1207" spans="4:28" x14ac:dyDescent="0.25">
      <c r="D1207" t="s">
        <v>84</v>
      </c>
      <c r="E1207" s="64"/>
      <c r="F1207" s="64"/>
      <c r="G1207">
        <f>IFERROR(HLOOKUP(G$2,[38]table_female_hkom1_inj.V2!$A$1:$K$36,16,FALSE),0)</f>
        <v>0</v>
      </c>
      <c r="H1207">
        <f>IFERROR(HLOOKUP(H$2,[38]table_female_hkom1_inj.V2!$A$1:$K$36,16,FALSE),0)</f>
        <v>1</v>
      </c>
      <c r="I1207">
        <f>IFERROR(HLOOKUP(I$2,[38]table_female_hkom1_inj.V2!$A$1:$K$36,16,FALSE),0)</f>
        <v>0</v>
      </c>
      <c r="J1207">
        <f>IFERROR(HLOOKUP(J$2,[38]table_female_hkom1_inj.V2!$A$1:$K$36,16,FALSE),0)</f>
        <v>0</v>
      </c>
      <c r="K1207">
        <f>IFERROR(HLOOKUP(K$2,[38]table_female_hkom1_inj.V2!$A$1:$K$36,16,FALSE),0)</f>
        <v>0</v>
      </c>
      <c r="L1207">
        <f>IFERROR(HLOOKUP(L$2,[38]table_female_hkom1_inj.V2!$A$1:$K$36,16,FALSE),0)</f>
        <v>0</v>
      </c>
      <c r="M1207">
        <f t="shared" si="381"/>
        <v>1</v>
      </c>
      <c r="S1207" t="s">
        <v>84</v>
      </c>
      <c r="T1207" s="5">
        <f t="shared" si="383"/>
        <v>0</v>
      </c>
      <c r="U1207" s="5">
        <f t="shared" si="384"/>
        <v>0</v>
      </c>
      <c r="V1207" s="5">
        <f t="shared" si="385"/>
        <v>0</v>
      </c>
      <c r="W1207" s="5">
        <f t="shared" si="386"/>
        <v>1.2732240437158471</v>
      </c>
      <c r="X1207" s="5">
        <f t="shared" si="387"/>
        <v>0</v>
      </c>
      <c r="Y1207" s="5">
        <f t="shared" si="388"/>
        <v>6.0606060606060608E-2</v>
      </c>
      <c r="Z1207" s="5">
        <f t="shared" si="389"/>
        <v>0</v>
      </c>
      <c r="AA1207" s="5">
        <f t="shared" si="390"/>
        <v>0</v>
      </c>
      <c r="AB1207" s="5">
        <f t="shared" si="380"/>
        <v>1.3338301043219076</v>
      </c>
    </row>
    <row r="1208" spans="4:28" x14ac:dyDescent="0.25">
      <c r="D1208" t="s">
        <v>85</v>
      </c>
      <c r="E1208" s="64"/>
      <c r="F1208" s="64"/>
      <c r="G1208">
        <f>IFERROR(HLOOKUP(G$2,[38]table_female_hkom1_inj.V2!$A$1:$K$36,17,FALSE),0)</f>
        <v>2</v>
      </c>
      <c r="H1208">
        <f>IFERROR(HLOOKUP(H$2,[38]table_female_hkom1_inj.V2!$A$1:$K$36,17,FALSE),0)</f>
        <v>1</v>
      </c>
      <c r="I1208">
        <f>IFERROR(HLOOKUP(I$2,[38]table_female_hkom1_inj.V2!$A$1:$K$36,17,FALSE),0)</f>
        <v>1</v>
      </c>
      <c r="J1208">
        <f>IFERROR(HLOOKUP(J$2,[38]table_female_hkom1_inj.V2!$A$1:$K$36,17,FALSE),0)</f>
        <v>0</v>
      </c>
      <c r="K1208">
        <f>IFERROR(HLOOKUP(K$2,[38]table_female_hkom1_inj.V2!$A$1:$K$36,17,FALSE),0)</f>
        <v>0</v>
      </c>
      <c r="L1208">
        <f>IFERROR(HLOOKUP(L$2,[38]table_female_hkom1_inj.V2!$A$1:$K$36,17,FALSE),0)</f>
        <v>0</v>
      </c>
      <c r="M1208">
        <f t="shared" si="381"/>
        <v>4</v>
      </c>
      <c r="S1208" t="s">
        <v>85</v>
      </c>
      <c r="T1208" s="5">
        <f t="shared" si="383"/>
        <v>0</v>
      </c>
      <c r="U1208" s="5">
        <f t="shared" si="384"/>
        <v>0</v>
      </c>
      <c r="V1208" s="5">
        <f t="shared" si="385"/>
        <v>2.5578947368421052</v>
      </c>
      <c r="W1208" s="5">
        <f t="shared" si="386"/>
        <v>1.2732240437158471</v>
      </c>
      <c r="X1208" s="5">
        <f t="shared" si="387"/>
        <v>1.1973684210526316</v>
      </c>
      <c r="Y1208" s="5">
        <f t="shared" si="388"/>
        <v>6.0606060606060608E-2</v>
      </c>
      <c r="Z1208" s="5">
        <f t="shared" si="389"/>
        <v>0</v>
      </c>
      <c r="AA1208" s="5">
        <f t="shared" si="390"/>
        <v>0</v>
      </c>
      <c r="AB1208" s="5">
        <f t="shared" si="380"/>
        <v>5.0890932622166449</v>
      </c>
    </row>
    <row r="1209" spans="4:28" x14ac:dyDescent="0.25">
      <c r="D1209" t="s">
        <v>86</v>
      </c>
      <c r="E1209" s="64"/>
      <c r="F1209" s="64"/>
      <c r="G1209">
        <f>IFERROR(HLOOKUP(G$2,[38]table_female_hkom1_inj.V2!$A$1:$K$36,18,FALSE),0)</f>
        <v>56</v>
      </c>
      <c r="H1209">
        <f>IFERROR(HLOOKUP(H$2,[38]table_female_hkom1_inj.V2!$A$1:$K$36,18,FALSE),0)</f>
        <v>58</v>
      </c>
      <c r="I1209">
        <f>IFERROR(HLOOKUP(I$2,[38]table_female_hkom1_inj.V2!$A$1:$K$36,18,FALSE),0)</f>
        <v>19</v>
      </c>
      <c r="J1209">
        <f>IFERROR(HLOOKUP(J$2,[38]table_female_hkom1_inj.V2!$A$1:$K$36,18,FALSE),0)</f>
        <v>0</v>
      </c>
      <c r="K1209">
        <f>IFERROR(HLOOKUP(K$2,[38]table_female_hkom1_inj.V2!$A$1:$K$36,18,FALSE),0)</f>
        <v>0</v>
      </c>
      <c r="L1209">
        <f>IFERROR(HLOOKUP(L$2,[38]table_female_hkom1_inj.V2!$A$1:$K$36,18,FALSE),0)</f>
        <v>0</v>
      </c>
      <c r="M1209">
        <f t="shared" si="381"/>
        <v>133</v>
      </c>
      <c r="S1209" t="s">
        <v>86</v>
      </c>
      <c r="T1209" s="5">
        <f t="shared" si="383"/>
        <v>0</v>
      </c>
      <c r="U1209" s="5">
        <f t="shared" si="384"/>
        <v>0</v>
      </c>
      <c r="V1209" s="5">
        <f t="shared" si="385"/>
        <v>71.621052631578948</v>
      </c>
      <c r="W1209" s="5">
        <f t="shared" si="386"/>
        <v>73.84699453551913</v>
      </c>
      <c r="X1209" s="5">
        <f t="shared" si="387"/>
        <v>22.75</v>
      </c>
      <c r="Y1209" s="5">
        <f t="shared" si="388"/>
        <v>6.0606060606060608E-2</v>
      </c>
      <c r="Z1209" s="5">
        <f t="shared" si="389"/>
        <v>0</v>
      </c>
      <c r="AA1209" s="5">
        <f t="shared" si="390"/>
        <v>0</v>
      </c>
      <c r="AB1209" s="5">
        <f t="shared" si="380"/>
        <v>168.27865322770413</v>
      </c>
    </row>
    <row r="1210" spans="4:28" x14ac:dyDescent="0.25">
      <c r="D1210" t="s">
        <v>87</v>
      </c>
      <c r="E1210" s="64"/>
      <c r="F1210" s="64"/>
      <c r="G1210">
        <f>IFERROR(HLOOKUP(G$2,[38]table_female_hkom1_inj.V2!$A$1:$K$36,19,FALSE),0)</f>
        <v>19</v>
      </c>
      <c r="H1210">
        <f>IFERROR(HLOOKUP(H$2,[38]table_female_hkom1_inj.V2!$A$1:$K$36,19,FALSE),0)</f>
        <v>10</v>
      </c>
      <c r="I1210">
        <f>IFERROR(HLOOKUP(I$2,[38]table_female_hkom1_inj.V2!$A$1:$K$36,19,FALSE),0)</f>
        <v>7</v>
      </c>
      <c r="J1210">
        <f>IFERROR(HLOOKUP(J$2,[38]table_female_hkom1_inj.V2!$A$1:$K$36,19,FALSE),0)</f>
        <v>0</v>
      </c>
      <c r="K1210">
        <f>IFERROR(HLOOKUP(K$2,[38]table_female_hkom1_inj.V2!$A$1:$K$36,19,FALSE),0)</f>
        <v>0</v>
      </c>
      <c r="L1210">
        <f>IFERROR(HLOOKUP(L$2,[38]table_female_hkom1_inj.V2!$A$1:$K$36,19,FALSE),0)</f>
        <v>0</v>
      </c>
      <c r="M1210">
        <f t="shared" si="381"/>
        <v>36</v>
      </c>
      <c r="S1210" t="s">
        <v>87</v>
      </c>
      <c r="T1210" s="5">
        <f t="shared" si="383"/>
        <v>0</v>
      </c>
      <c r="U1210" s="5">
        <f t="shared" si="384"/>
        <v>0</v>
      </c>
      <c r="V1210" s="5">
        <f t="shared" si="385"/>
        <v>24.3</v>
      </c>
      <c r="W1210" s="5">
        <f t="shared" si="386"/>
        <v>12.73224043715847</v>
      </c>
      <c r="X1210" s="5">
        <f t="shared" si="387"/>
        <v>8.3815789473684212</v>
      </c>
      <c r="Y1210" s="5">
        <f t="shared" si="388"/>
        <v>6.0606060606060608E-2</v>
      </c>
      <c r="Z1210" s="5">
        <f t="shared" si="389"/>
        <v>0</v>
      </c>
      <c r="AA1210" s="5">
        <f t="shared" si="390"/>
        <v>0</v>
      </c>
      <c r="AB1210" s="5">
        <f t="shared" si="380"/>
        <v>45.474425445132951</v>
      </c>
    </row>
    <row r="1211" spans="4:28" x14ac:dyDescent="0.25">
      <c r="D1211" t="s">
        <v>88</v>
      </c>
      <c r="E1211" s="64"/>
      <c r="F1211" s="64"/>
      <c r="G1211">
        <f>IFERROR(HLOOKUP(G$2,[38]table_female_hkom1_inj.V2!$A$1:$K$36,20,FALSE),0)</f>
        <v>39</v>
      </c>
      <c r="H1211">
        <f>IFERROR(HLOOKUP(H$2,[38]table_female_hkom1_inj.V2!$A$1:$K$36,20,FALSE),0)</f>
        <v>35</v>
      </c>
      <c r="I1211">
        <f>IFERROR(HLOOKUP(I$2,[38]table_female_hkom1_inj.V2!$A$1:$K$36,20,FALSE),0)</f>
        <v>21</v>
      </c>
      <c r="J1211">
        <f>IFERROR(HLOOKUP(J$2,[38]table_female_hkom1_inj.V2!$A$1:$K$36,20,FALSE),0)</f>
        <v>0</v>
      </c>
      <c r="K1211">
        <f>IFERROR(HLOOKUP(K$2,[38]table_female_hkom1_inj.V2!$A$1:$K$36,20,FALSE),0)</f>
        <v>0</v>
      </c>
      <c r="L1211">
        <f>IFERROR(HLOOKUP(L$2,[38]table_female_hkom1_inj.V2!$A$1:$K$36,20,FALSE),0)</f>
        <v>0</v>
      </c>
      <c r="M1211">
        <f t="shared" si="381"/>
        <v>95</v>
      </c>
      <c r="S1211" t="s">
        <v>88</v>
      </c>
      <c r="T1211" s="5">
        <f t="shared" si="383"/>
        <v>0</v>
      </c>
      <c r="U1211" s="5">
        <f t="shared" si="384"/>
        <v>0</v>
      </c>
      <c r="V1211" s="5">
        <f t="shared" si="385"/>
        <v>49.878947368421052</v>
      </c>
      <c r="W1211" s="5">
        <f t="shared" si="386"/>
        <v>44.562841530054641</v>
      </c>
      <c r="X1211" s="5">
        <f t="shared" si="387"/>
        <v>25.144736842105264</v>
      </c>
      <c r="Y1211" s="5">
        <f t="shared" si="388"/>
        <v>6.0606060606060608E-2</v>
      </c>
      <c r="Z1211" s="5">
        <f t="shared" si="389"/>
        <v>0</v>
      </c>
      <c r="AA1211" s="5">
        <f t="shared" si="390"/>
        <v>0</v>
      </c>
      <c r="AB1211" s="5">
        <f t="shared" si="380"/>
        <v>119.64713180118702</v>
      </c>
    </row>
    <row r="1212" spans="4:28" x14ac:dyDescent="0.25">
      <c r="D1212" t="s">
        <v>89</v>
      </c>
      <c r="E1212" s="64"/>
      <c r="F1212" s="64"/>
      <c r="G1212">
        <f>IFERROR(HLOOKUP(G$2,[38]table_female_hkom1_inj.V2!$A$1:$K$36,21,FALSE),0)</f>
        <v>8</v>
      </c>
      <c r="H1212">
        <f>IFERROR(HLOOKUP(H$2,[38]table_female_hkom1_inj.V2!$A$1:$K$36,21,FALSE),0)</f>
        <v>12</v>
      </c>
      <c r="I1212">
        <f>IFERROR(HLOOKUP(I$2,[38]table_female_hkom1_inj.V2!$A$1:$K$36,21,FALSE),0)</f>
        <v>0</v>
      </c>
      <c r="J1212">
        <f>IFERROR(HLOOKUP(J$2,[38]table_female_hkom1_inj.V2!$A$1:$K$36,21,FALSE),0)</f>
        <v>0</v>
      </c>
      <c r="K1212">
        <f>IFERROR(HLOOKUP(K$2,[38]table_female_hkom1_inj.V2!$A$1:$K$36,21,FALSE),0)</f>
        <v>0</v>
      </c>
      <c r="L1212">
        <f>IFERROR(HLOOKUP(L$2,[38]table_female_hkom1_inj.V2!$A$1:$K$36,21,FALSE),0)</f>
        <v>0</v>
      </c>
      <c r="M1212">
        <f t="shared" si="381"/>
        <v>20</v>
      </c>
      <c r="S1212" t="s">
        <v>89</v>
      </c>
      <c r="T1212" s="5">
        <f t="shared" si="383"/>
        <v>0</v>
      </c>
      <c r="U1212" s="5">
        <f t="shared" si="384"/>
        <v>0</v>
      </c>
      <c r="V1212" s="5">
        <f t="shared" si="385"/>
        <v>10.231578947368421</v>
      </c>
      <c r="W1212" s="5">
        <f t="shared" si="386"/>
        <v>15.278688524590164</v>
      </c>
      <c r="X1212" s="5">
        <f t="shared" si="387"/>
        <v>0</v>
      </c>
      <c r="Y1212" s="5">
        <f t="shared" si="388"/>
        <v>6.0606060606060608E-2</v>
      </c>
      <c r="Z1212" s="5">
        <f t="shared" si="389"/>
        <v>0</v>
      </c>
      <c r="AA1212" s="5">
        <f t="shared" si="390"/>
        <v>0</v>
      </c>
      <c r="AB1212" s="5">
        <f t="shared" si="380"/>
        <v>25.570873532564647</v>
      </c>
    </row>
    <row r="1213" spans="4:28" x14ac:dyDescent="0.25">
      <c r="D1213" t="s">
        <v>90</v>
      </c>
      <c r="E1213" s="64"/>
      <c r="F1213" s="64"/>
      <c r="G1213">
        <f>IFERROR(HLOOKUP(G$2,[38]table_female_hkom1_inj.V2!$A$1:$K$36,22,FALSE),0)</f>
        <v>0</v>
      </c>
      <c r="H1213">
        <f>IFERROR(HLOOKUP(H$2,[38]table_female_hkom1_inj.V2!$A$1:$K$36,22,FALSE),0)</f>
        <v>0</v>
      </c>
      <c r="I1213">
        <f>IFERROR(HLOOKUP(I$2,[38]table_female_hkom1_inj.V2!$A$1:$K$36,22,FALSE),0)</f>
        <v>0</v>
      </c>
      <c r="J1213">
        <f>IFERROR(HLOOKUP(J$2,[38]table_female_hkom1_inj.V2!$A$1:$K$36,22,FALSE),0)</f>
        <v>0</v>
      </c>
      <c r="K1213">
        <f>IFERROR(HLOOKUP(K$2,[38]table_female_hkom1_inj.V2!$A$1:$K$36,22,FALSE),0)</f>
        <v>0</v>
      </c>
      <c r="L1213">
        <f>IFERROR(HLOOKUP(L$2,[38]table_female_hkom1_inj.V2!$A$1:$K$36,22,FALSE),0)</f>
        <v>0</v>
      </c>
      <c r="M1213">
        <f t="shared" si="381"/>
        <v>0</v>
      </c>
      <c r="S1213" t="s">
        <v>90</v>
      </c>
      <c r="T1213" s="5">
        <f t="shared" si="383"/>
        <v>0</v>
      </c>
      <c r="U1213" s="5">
        <f t="shared" si="384"/>
        <v>0</v>
      </c>
      <c r="V1213" s="5">
        <f t="shared" si="385"/>
        <v>0</v>
      </c>
      <c r="W1213" s="5">
        <f t="shared" si="386"/>
        <v>0</v>
      </c>
      <c r="X1213" s="5">
        <f t="shared" si="387"/>
        <v>0</v>
      </c>
      <c r="Y1213" s="5">
        <f t="shared" si="388"/>
        <v>6.0606060606060608E-2</v>
      </c>
      <c r="Z1213" s="5">
        <f t="shared" si="389"/>
        <v>0</v>
      </c>
      <c r="AA1213" s="5">
        <f t="shared" si="390"/>
        <v>0</v>
      </c>
      <c r="AB1213" s="5">
        <f t="shared" si="380"/>
        <v>6.0606060606060608E-2</v>
      </c>
    </row>
    <row r="1214" spans="4:28" x14ac:dyDescent="0.25">
      <c r="D1214" t="s">
        <v>91</v>
      </c>
      <c r="E1214" s="64"/>
      <c r="F1214" s="64"/>
      <c r="G1214">
        <f>IFERROR(HLOOKUP(G$2,[38]table_female_hkom1_inj.V2!$A$1:$K$36,23,FALSE),0)</f>
        <v>0</v>
      </c>
      <c r="H1214">
        <f>IFERROR(HLOOKUP(H$2,[38]table_female_hkom1_inj.V2!$A$1:$K$36,23,FALSE),0)</f>
        <v>1</v>
      </c>
      <c r="I1214">
        <f>IFERROR(HLOOKUP(I$2,[38]table_female_hkom1_inj.V2!$A$1:$K$36,23,FALSE),0)</f>
        <v>1</v>
      </c>
      <c r="J1214">
        <f>IFERROR(HLOOKUP(J$2,[38]table_female_hkom1_inj.V2!$A$1:$K$36,23,FALSE),0)</f>
        <v>0</v>
      </c>
      <c r="K1214">
        <f>IFERROR(HLOOKUP(K$2,[38]table_female_hkom1_inj.V2!$A$1:$K$36,23,FALSE),0)</f>
        <v>0</v>
      </c>
      <c r="L1214">
        <f>IFERROR(HLOOKUP(L$2,[38]table_female_hkom1_inj.V2!$A$1:$K$36,23,FALSE),0)</f>
        <v>0</v>
      </c>
      <c r="M1214">
        <f t="shared" si="381"/>
        <v>2</v>
      </c>
      <c r="S1214" t="s">
        <v>91</v>
      </c>
      <c r="T1214" s="5">
        <f t="shared" si="383"/>
        <v>0</v>
      </c>
      <c r="U1214" s="5">
        <f t="shared" si="384"/>
        <v>0</v>
      </c>
      <c r="V1214" s="5">
        <f t="shared" si="385"/>
        <v>0</v>
      </c>
      <c r="W1214" s="5">
        <f t="shared" si="386"/>
        <v>1.2732240437158471</v>
      </c>
      <c r="X1214" s="5">
        <f t="shared" si="387"/>
        <v>1.1973684210526316</v>
      </c>
      <c r="Y1214" s="5">
        <f t="shared" si="388"/>
        <v>6.0606060606060608E-2</v>
      </c>
      <c r="Z1214" s="5">
        <f t="shared" si="389"/>
        <v>0</v>
      </c>
      <c r="AA1214" s="5">
        <f t="shared" si="390"/>
        <v>0</v>
      </c>
      <c r="AB1214" s="5">
        <f t="shared" si="380"/>
        <v>2.5311985253745393</v>
      </c>
    </row>
    <row r="1215" spans="4:28" x14ac:dyDescent="0.25">
      <c r="D1215" t="s">
        <v>92</v>
      </c>
      <c r="E1215" s="64"/>
      <c r="F1215" s="64"/>
      <c r="G1215">
        <f>IFERROR(HLOOKUP(G$2,[38]table_female_hkom1_inj.V2!$A$1:$K$36,24,FALSE),0)</f>
        <v>0</v>
      </c>
      <c r="H1215">
        <f>IFERROR(HLOOKUP(H$2,[38]table_female_hkom1_inj.V2!$A$1:$K$36,24,FALSE),0)</f>
        <v>0</v>
      </c>
      <c r="I1215">
        <f>IFERROR(HLOOKUP(I$2,[38]table_female_hkom1_inj.V2!$A$1:$K$36,24,FALSE),0)</f>
        <v>0</v>
      </c>
      <c r="J1215">
        <f>IFERROR(HLOOKUP(J$2,[38]table_female_hkom1_inj.V2!$A$1:$K$36,24,FALSE),0)</f>
        <v>0</v>
      </c>
      <c r="K1215">
        <f>IFERROR(HLOOKUP(K$2,[38]table_female_hkom1_inj.V2!$A$1:$K$36,24,FALSE),0)</f>
        <v>0</v>
      </c>
      <c r="L1215">
        <f>IFERROR(HLOOKUP(L$2,[38]table_female_hkom1_inj.V2!$A$1:$K$36,24,FALSE),0)</f>
        <v>0</v>
      </c>
      <c r="M1215">
        <f t="shared" si="381"/>
        <v>0</v>
      </c>
      <c r="S1215" t="s">
        <v>92</v>
      </c>
      <c r="T1215" s="5">
        <f t="shared" si="383"/>
        <v>0</v>
      </c>
      <c r="U1215" s="5">
        <f t="shared" si="384"/>
        <v>0</v>
      </c>
      <c r="V1215" s="5">
        <f t="shared" si="385"/>
        <v>0</v>
      </c>
      <c r="W1215" s="5">
        <f t="shared" si="386"/>
        <v>0</v>
      </c>
      <c r="X1215" s="5">
        <f t="shared" si="387"/>
        <v>0</v>
      </c>
      <c r="Y1215" s="5">
        <f t="shared" si="388"/>
        <v>6.0606060606060608E-2</v>
      </c>
      <c r="Z1215" s="5">
        <f t="shared" si="389"/>
        <v>0</v>
      </c>
      <c r="AA1215" s="5">
        <f t="shared" si="390"/>
        <v>0</v>
      </c>
      <c r="AB1215" s="5">
        <f t="shared" si="380"/>
        <v>6.0606060606060608E-2</v>
      </c>
    </row>
    <row r="1216" spans="4:28" x14ac:dyDescent="0.25">
      <c r="D1216" t="s">
        <v>93</v>
      </c>
      <c r="E1216" s="64"/>
      <c r="F1216" s="64"/>
      <c r="G1216">
        <f>IFERROR(HLOOKUP(G$2,[38]table_female_hkom1_inj.V2!$A$1:$K$36,25,FALSE),0)</f>
        <v>0</v>
      </c>
      <c r="H1216">
        <f>IFERROR(HLOOKUP(H$2,[38]table_female_hkom1_inj.V2!$A$1:$K$36,25,FALSE),0)</f>
        <v>0</v>
      </c>
      <c r="I1216">
        <f>IFERROR(HLOOKUP(I$2,[38]table_female_hkom1_inj.V2!$A$1:$K$36,25,FALSE),0)</f>
        <v>0</v>
      </c>
      <c r="J1216">
        <f>IFERROR(HLOOKUP(J$2,[38]table_female_hkom1_inj.V2!$A$1:$K$36,25,FALSE),0)</f>
        <v>0</v>
      </c>
      <c r="K1216">
        <f>IFERROR(HLOOKUP(K$2,[38]table_female_hkom1_inj.V2!$A$1:$K$36,25,FALSE),0)</f>
        <v>0</v>
      </c>
      <c r="L1216">
        <f>IFERROR(HLOOKUP(L$2,[38]table_female_hkom1_inj.V2!$A$1:$K$36,25,FALSE),0)</f>
        <v>0</v>
      </c>
      <c r="M1216">
        <f t="shared" si="381"/>
        <v>0</v>
      </c>
      <c r="S1216" t="s">
        <v>93</v>
      </c>
      <c r="T1216" s="5">
        <f t="shared" si="383"/>
        <v>0</v>
      </c>
      <c r="U1216" s="5">
        <f t="shared" si="384"/>
        <v>0</v>
      </c>
      <c r="V1216" s="5">
        <f t="shared" si="385"/>
        <v>0</v>
      </c>
      <c r="W1216" s="5">
        <f t="shared" si="386"/>
        <v>0</v>
      </c>
      <c r="X1216" s="5">
        <f t="shared" si="387"/>
        <v>0</v>
      </c>
      <c r="Y1216" s="5">
        <f t="shared" si="388"/>
        <v>6.0606060606060608E-2</v>
      </c>
      <c r="Z1216" s="5">
        <f t="shared" si="389"/>
        <v>0</v>
      </c>
      <c r="AA1216" s="5">
        <f t="shared" si="390"/>
        <v>0</v>
      </c>
      <c r="AB1216" s="5">
        <f t="shared" si="380"/>
        <v>6.0606060606060608E-2</v>
      </c>
    </row>
    <row r="1217" spans="1:29" x14ac:dyDescent="0.25">
      <c r="D1217" t="s">
        <v>94</v>
      </c>
      <c r="E1217" s="64"/>
      <c r="F1217" s="64"/>
      <c r="G1217">
        <f>IFERROR(HLOOKUP(G$2,[38]table_female_hkom1_inj.V2!$A$1:$K$36,26,FALSE),0)</f>
        <v>0</v>
      </c>
      <c r="H1217">
        <f>IFERROR(HLOOKUP(H$2,[38]table_female_hkom1_inj.V2!$A$1:$K$36,26,FALSE),0)</f>
        <v>0</v>
      </c>
      <c r="I1217">
        <f>IFERROR(HLOOKUP(I$2,[38]table_female_hkom1_inj.V2!$A$1:$K$36,26,FALSE),0)</f>
        <v>0</v>
      </c>
      <c r="J1217">
        <f>IFERROR(HLOOKUP(J$2,[38]table_female_hkom1_inj.V2!$A$1:$K$36,26,FALSE),0)</f>
        <v>0</v>
      </c>
      <c r="K1217">
        <f>IFERROR(HLOOKUP(K$2,[38]table_female_hkom1_inj.V2!$A$1:$K$36,26,FALSE),0)</f>
        <v>0</v>
      </c>
      <c r="L1217">
        <f>IFERROR(HLOOKUP(L$2,[38]table_female_hkom1_inj.V2!$A$1:$K$36,26,FALSE),0)</f>
        <v>0</v>
      </c>
      <c r="M1217">
        <f t="shared" si="381"/>
        <v>0</v>
      </c>
      <c r="S1217" t="s">
        <v>94</v>
      </c>
      <c r="T1217" s="5">
        <f t="shared" si="383"/>
        <v>0</v>
      </c>
      <c r="U1217" s="5">
        <f t="shared" si="384"/>
        <v>0</v>
      </c>
      <c r="V1217" s="5">
        <f t="shared" si="385"/>
        <v>0</v>
      </c>
      <c r="W1217" s="5">
        <f t="shared" si="386"/>
        <v>0</v>
      </c>
      <c r="X1217" s="5">
        <f t="shared" si="387"/>
        <v>0</v>
      </c>
      <c r="Y1217" s="5">
        <f t="shared" si="388"/>
        <v>6.0606060606060608E-2</v>
      </c>
      <c r="Z1217" s="5">
        <f t="shared" si="389"/>
        <v>0</v>
      </c>
      <c r="AA1217" s="5">
        <f t="shared" si="390"/>
        <v>0</v>
      </c>
      <c r="AB1217" s="5">
        <f t="shared" si="380"/>
        <v>6.0606060606060608E-2</v>
      </c>
    </row>
    <row r="1218" spans="1:29" x14ac:dyDescent="0.25">
      <c r="D1218" t="s">
        <v>95</v>
      </c>
      <c r="E1218" s="64"/>
      <c r="F1218" s="64"/>
      <c r="G1218">
        <f>IFERROR(HLOOKUP(G$2,[38]table_female_hkom1_inj.V2!$A$1:$K$36,27,FALSE),0)</f>
        <v>0</v>
      </c>
      <c r="H1218">
        <f>IFERROR(HLOOKUP(H$2,[38]table_female_hkom1_inj.V2!$A$1:$K$36,27,FALSE),0)</f>
        <v>0</v>
      </c>
      <c r="I1218">
        <f>IFERROR(HLOOKUP(I$2,[38]table_female_hkom1_inj.V2!$A$1:$K$36,27,FALSE),0)</f>
        <v>0</v>
      </c>
      <c r="J1218">
        <f>IFERROR(HLOOKUP(J$2,[38]table_female_hkom1_inj.V2!$A$1:$K$36,27,FALSE),0)</f>
        <v>0</v>
      </c>
      <c r="K1218">
        <f>IFERROR(HLOOKUP(K$2,[38]table_female_hkom1_inj.V2!$A$1:$K$36,27,FALSE),0)</f>
        <v>0</v>
      </c>
      <c r="L1218">
        <f>IFERROR(HLOOKUP(L$2,[38]table_female_hkom1_inj.V2!$A$1:$K$36,27,FALSE),0)</f>
        <v>0</v>
      </c>
      <c r="M1218">
        <f t="shared" si="381"/>
        <v>0</v>
      </c>
      <c r="S1218" t="s">
        <v>95</v>
      </c>
      <c r="T1218" s="5">
        <f t="shared" si="383"/>
        <v>0</v>
      </c>
      <c r="U1218" s="5">
        <f t="shared" si="384"/>
        <v>0</v>
      </c>
      <c r="V1218" s="5">
        <f t="shared" si="385"/>
        <v>0</v>
      </c>
      <c r="W1218" s="5">
        <f t="shared" si="386"/>
        <v>0</v>
      </c>
      <c r="X1218" s="5">
        <f t="shared" si="387"/>
        <v>0</v>
      </c>
      <c r="Y1218" s="5">
        <f t="shared" si="388"/>
        <v>6.0606060606060608E-2</v>
      </c>
      <c r="Z1218" s="5">
        <f t="shared" si="389"/>
        <v>0</v>
      </c>
      <c r="AA1218" s="5">
        <f t="shared" si="390"/>
        <v>0</v>
      </c>
      <c r="AB1218" s="5">
        <f t="shared" si="380"/>
        <v>6.0606060606060608E-2</v>
      </c>
    </row>
    <row r="1219" spans="1:29" x14ac:dyDescent="0.25">
      <c r="D1219" t="s">
        <v>96</v>
      </c>
      <c r="E1219" s="64"/>
      <c r="F1219" s="64"/>
      <c r="G1219">
        <f>IFERROR(HLOOKUP(G$2,[38]table_female_hkom1_inj.V2!$A$1:$K$36,28,FALSE),0)</f>
        <v>0</v>
      </c>
      <c r="H1219">
        <f>IFERROR(HLOOKUP(H$2,[38]table_female_hkom1_inj.V2!$A$1:$K$36,28,FALSE),0)</f>
        <v>0</v>
      </c>
      <c r="I1219">
        <f>IFERROR(HLOOKUP(I$2,[38]table_female_hkom1_inj.V2!$A$1:$K$36,28,FALSE),0)</f>
        <v>0</v>
      </c>
      <c r="J1219">
        <f>IFERROR(HLOOKUP(J$2,[38]table_female_hkom1_inj.V2!$A$1:$K$36,28,FALSE),0)</f>
        <v>0</v>
      </c>
      <c r="K1219">
        <f>IFERROR(HLOOKUP(K$2,[38]table_female_hkom1_inj.V2!$A$1:$K$36,28,FALSE),0)</f>
        <v>0</v>
      </c>
      <c r="L1219">
        <f>IFERROR(HLOOKUP(L$2,[38]table_female_hkom1_inj.V2!$A$1:$K$36,28,FALSE),0)</f>
        <v>0</v>
      </c>
      <c r="M1219">
        <f t="shared" si="381"/>
        <v>0</v>
      </c>
      <c r="S1219" t="s">
        <v>96</v>
      </c>
      <c r="T1219" s="5">
        <f t="shared" si="383"/>
        <v>0</v>
      </c>
      <c r="U1219" s="5">
        <f t="shared" si="384"/>
        <v>0</v>
      </c>
      <c r="V1219" s="5">
        <f t="shared" si="385"/>
        <v>0</v>
      </c>
      <c r="W1219" s="5">
        <f t="shared" si="386"/>
        <v>0</v>
      </c>
      <c r="X1219" s="5">
        <f t="shared" si="387"/>
        <v>0</v>
      </c>
      <c r="Y1219" s="5">
        <f t="shared" si="388"/>
        <v>6.0606060606060608E-2</v>
      </c>
      <c r="Z1219" s="5">
        <f t="shared" si="389"/>
        <v>0</v>
      </c>
      <c r="AA1219" s="5">
        <f t="shared" si="390"/>
        <v>0</v>
      </c>
      <c r="AB1219" s="5">
        <f t="shared" si="380"/>
        <v>6.0606060606060608E-2</v>
      </c>
    </row>
    <row r="1220" spans="1:29" x14ac:dyDescent="0.25">
      <c r="D1220" t="s">
        <v>97</v>
      </c>
      <c r="E1220" s="64"/>
      <c r="F1220" s="64"/>
      <c r="G1220">
        <f>IFERROR(HLOOKUP(G$2,[38]table_female_hkom1_inj.V2!$A$1:$K$36,29,FALSE),0)</f>
        <v>2</v>
      </c>
      <c r="H1220">
        <f>IFERROR(HLOOKUP(H$2,[38]table_female_hkom1_inj.V2!$A$1:$K$36,29,FALSE),0)</f>
        <v>0</v>
      </c>
      <c r="I1220">
        <f>IFERROR(HLOOKUP(I$2,[38]table_female_hkom1_inj.V2!$A$1:$K$36,29,FALSE),0)</f>
        <v>0</v>
      </c>
      <c r="J1220">
        <f>IFERROR(HLOOKUP(J$2,[38]table_female_hkom1_inj.V2!$A$1:$K$36,29,FALSE),0)</f>
        <v>0</v>
      </c>
      <c r="K1220">
        <f>IFERROR(HLOOKUP(K$2,[38]table_female_hkom1_inj.V2!$A$1:$K$36,29,FALSE),0)</f>
        <v>0</v>
      </c>
      <c r="L1220">
        <f>IFERROR(HLOOKUP(L$2,[38]table_female_hkom1_inj.V2!$A$1:$K$36,29,FALSE),0)</f>
        <v>0</v>
      </c>
      <c r="M1220">
        <f t="shared" si="381"/>
        <v>2</v>
      </c>
      <c r="S1220" t="s">
        <v>97</v>
      </c>
      <c r="T1220" s="5">
        <f t="shared" si="383"/>
        <v>0</v>
      </c>
      <c r="U1220" s="5">
        <f t="shared" si="384"/>
        <v>0</v>
      </c>
      <c r="V1220" s="5">
        <f t="shared" si="385"/>
        <v>2.5578947368421052</v>
      </c>
      <c r="W1220" s="5">
        <f t="shared" si="386"/>
        <v>0</v>
      </c>
      <c r="X1220" s="5">
        <f t="shared" si="387"/>
        <v>0</v>
      </c>
      <c r="Y1220" s="5">
        <f t="shared" si="388"/>
        <v>6.0606060606060608E-2</v>
      </c>
      <c r="Z1220" s="5">
        <f t="shared" si="389"/>
        <v>0</v>
      </c>
      <c r="AA1220" s="5">
        <f t="shared" si="390"/>
        <v>0</v>
      </c>
      <c r="AB1220" s="5">
        <f t="shared" si="380"/>
        <v>2.6185007974481658</v>
      </c>
    </row>
    <row r="1221" spans="1:29" x14ac:dyDescent="0.25">
      <c r="D1221" t="s">
        <v>98</v>
      </c>
      <c r="E1221" s="64"/>
      <c r="F1221" s="64"/>
      <c r="G1221">
        <f>IFERROR(HLOOKUP(G$2,[38]table_female_hkom1_inj.V2!$A$1:$K$36,30,FALSE),0)</f>
        <v>2</v>
      </c>
      <c r="H1221">
        <f>IFERROR(HLOOKUP(H$2,[38]table_female_hkom1_inj.V2!$A$1:$K$36,30,FALSE),0)</f>
        <v>2</v>
      </c>
      <c r="I1221">
        <f>IFERROR(HLOOKUP(I$2,[38]table_female_hkom1_inj.V2!$A$1:$K$36,30,FALSE),0)</f>
        <v>0</v>
      </c>
      <c r="J1221">
        <f>IFERROR(HLOOKUP(J$2,[38]table_female_hkom1_inj.V2!$A$1:$K$36,30,FALSE),0)</f>
        <v>0</v>
      </c>
      <c r="K1221">
        <f>IFERROR(HLOOKUP(K$2,[38]table_female_hkom1_inj.V2!$A$1:$K$36,30,FALSE),0)</f>
        <v>0</v>
      </c>
      <c r="L1221">
        <f>IFERROR(HLOOKUP(L$2,[38]table_female_hkom1_inj.V2!$A$1:$K$36,30,FALSE),0)</f>
        <v>0</v>
      </c>
      <c r="M1221">
        <f t="shared" si="381"/>
        <v>4</v>
      </c>
      <c r="S1221" t="s">
        <v>98</v>
      </c>
      <c r="T1221" s="5">
        <f t="shared" si="383"/>
        <v>0</v>
      </c>
      <c r="U1221" s="5">
        <f t="shared" si="384"/>
        <v>0</v>
      </c>
      <c r="V1221" s="5">
        <f t="shared" si="385"/>
        <v>2.5578947368421052</v>
      </c>
      <c r="W1221" s="5">
        <f t="shared" si="386"/>
        <v>2.5464480874316942</v>
      </c>
      <c r="X1221" s="5">
        <f t="shared" si="387"/>
        <v>0</v>
      </c>
      <c r="Y1221" s="5">
        <f t="shared" si="388"/>
        <v>6.0606060606060608E-2</v>
      </c>
      <c r="Z1221" s="5">
        <f t="shared" si="389"/>
        <v>0</v>
      </c>
      <c r="AA1221" s="5">
        <f t="shared" si="390"/>
        <v>0</v>
      </c>
      <c r="AB1221" s="5">
        <f t="shared" si="380"/>
        <v>5.1649488848798599</v>
      </c>
    </row>
    <row r="1222" spans="1:29" x14ac:dyDescent="0.25">
      <c r="D1222" t="s">
        <v>119</v>
      </c>
      <c r="E1222" s="64"/>
      <c r="F1222" s="64"/>
      <c r="G1222">
        <f>IFERROR(HLOOKUP(G$2,[38]table_female_hkom1_inj.V2!$A$1:$K$36,31,FALSE),0)</f>
        <v>0</v>
      </c>
      <c r="H1222">
        <f>IFERROR(HLOOKUP(H$2,[38]table_female_hkom1_inj.V2!$A$1:$K$36,31,FALSE),0)</f>
        <v>1</v>
      </c>
      <c r="I1222">
        <f>IFERROR(HLOOKUP(I$2,[38]table_female_hkom1_inj.V2!$A$1:$K$36,31,FALSE),0)</f>
        <v>1</v>
      </c>
      <c r="J1222">
        <f>IFERROR(HLOOKUP(J$2,[38]table_female_hkom1_inj.V2!$A$1:$K$36,31,FALSE),0)</f>
        <v>0</v>
      </c>
      <c r="K1222">
        <f>IFERROR(HLOOKUP(K$2,[38]table_female_hkom1_inj.V2!$A$1:$K$36,31,FALSE),0)</f>
        <v>0</v>
      </c>
      <c r="L1222">
        <f>IFERROR(HLOOKUP(L$2,[38]table_female_hkom1_inj.V2!$A$1:$K$36,31,FALSE),0)</f>
        <v>0</v>
      </c>
      <c r="M1222">
        <f t="shared" si="381"/>
        <v>2</v>
      </c>
      <c r="S1222" t="s">
        <v>119</v>
      </c>
      <c r="T1222" s="5">
        <f t="shared" si="383"/>
        <v>0</v>
      </c>
      <c r="U1222" s="5">
        <f t="shared" si="384"/>
        <v>0</v>
      </c>
      <c r="V1222" s="5">
        <f t="shared" si="385"/>
        <v>0</v>
      </c>
      <c r="W1222" s="5">
        <f t="shared" si="386"/>
        <v>1.2732240437158471</v>
      </c>
      <c r="X1222" s="5">
        <f t="shared" si="387"/>
        <v>1.1973684210526316</v>
      </c>
      <c r="Y1222" s="5">
        <f t="shared" si="388"/>
        <v>6.0606060606060608E-2</v>
      </c>
      <c r="Z1222" s="5">
        <f t="shared" si="389"/>
        <v>0</v>
      </c>
      <c r="AA1222" s="5">
        <f t="shared" si="390"/>
        <v>0</v>
      </c>
      <c r="AB1222" s="5">
        <f t="shared" si="380"/>
        <v>2.5311985253745393</v>
      </c>
    </row>
    <row r="1223" spans="1:29" x14ac:dyDescent="0.25">
      <c r="D1223" t="s">
        <v>99</v>
      </c>
      <c r="E1223" s="64"/>
      <c r="F1223" s="64"/>
      <c r="G1223">
        <f>IFERROR(HLOOKUP(G$2,[38]table_female_hkom1_inj.V2!$A$1:$K$36,32,FALSE),0)</f>
        <v>5</v>
      </c>
      <c r="H1223">
        <f>IFERROR(HLOOKUP(H$2,[38]table_female_hkom1_inj.V2!$A$1:$K$36,32,FALSE),0)</f>
        <v>0</v>
      </c>
      <c r="I1223">
        <f>IFERROR(HLOOKUP(I$2,[38]table_female_hkom1_inj.V2!$A$1:$K$36,32,FALSE),0)</f>
        <v>1</v>
      </c>
      <c r="J1223">
        <f>IFERROR(HLOOKUP(J$2,[38]table_female_hkom1_inj.V2!$A$1:$K$36,32,FALSE),0)</f>
        <v>0</v>
      </c>
      <c r="K1223">
        <f>IFERROR(HLOOKUP(K$2,[38]table_female_hkom1_inj.V2!$A$1:$K$36,32,FALSE),0)</f>
        <v>0</v>
      </c>
      <c r="L1223">
        <f>IFERROR(HLOOKUP(L$2,[38]table_female_hkom1_inj.V2!$A$1:$K$36,32,FALSE),0)</f>
        <v>0</v>
      </c>
      <c r="M1223">
        <f t="shared" si="381"/>
        <v>6</v>
      </c>
      <c r="S1223" t="s">
        <v>99</v>
      </c>
      <c r="T1223" s="5">
        <f t="shared" si="383"/>
        <v>0</v>
      </c>
      <c r="U1223" s="5">
        <f t="shared" si="384"/>
        <v>0</v>
      </c>
      <c r="V1223" s="5">
        <f t="shared" si="385"/>
        <v>6.3947368421052628</v>
      </c>
      <c r="W1223" s="5">
        <f t="shared" si="386"/>
        <v>0</v>
      </c>
      <c r="X1223" s="5">
        <f t="shared" si="387"/>
        <v>1.1973684210526316</v>
      </c>
      <c r="Y1223" s="5">
        <f t="shared" si="388"/>
        <v>6.0606060606060608E-2</v>
      </c>
      <c r="Z1223" s="5">
        <f t="shared" si="389"/>
        <v>0</v>
      </c>
      <c r="AA1223" s="5">
        <f t="shared" si="390"/>
        <v>0</v>
      </c>
      <c r="AB1223" s="5">
        <f t="shared" si="380"/>
        <v>7.6527113237639552</v>
      </c>
    </row>
    <row r="1224" spans="1:29" x14ac:dyDescent="0.25">
      <c r="D1224" t="s">
        <v>100</v>
      </c>
      <c r="E1224" s="64"/>
      <c r="F1224" s="64"/>
      <c r="G1224">
        <f>IFERROR(HLOOKUP(G$2,[38]table_female_hkom1_inj.V2!$A$1:$K$36,33,FALSE),0)</f>
        <v>1</v>
      </c>
      <c r="H1224">
        <f>IFERROR(HLOOKUP(H$2,[38]table_female_hkom1_inj.V2!$A$1:$K$36,33,FALSE),0)</f>
        <v>1</v>
      </c>
      <c r="I1224">
        <f>IFERROR(HLOOKUP(I$2,[38]table_female_hkom1_inj.V2!$A$1:$K$36,33,FALSE),0)</f>
        <v>0</v>
      </c>
      <c r="J1224">
        <f>IFERROR(HLOOKUP(J$2,[38]table_female_hkom1_inj.V2!$A$1:$K$36,33,FALSE),0)</f>
        <v>0</v>
      </c>
      <c r="K1224">
        <f>IFERROR(HLOOKUP(K$2,[38]table_female_hkom1_inj.V2!$A$1:$K$36,33,FALSE),0)</f>
        <v>0</v>
      </c>
      <c r="L1224">
        <f>IFERROR(HLOOKUP(L$2,[38]table_female_hkom1_inj.V2!$A$1:$K$36,33,FALSE),0)</f>
        <v>0</v>
      </c>
      <c r="M1224">
        <f t="shared" si="381"/>
        <v>2</v>
      </c>
      <c r="S1224" t="s">
        <v>100</v>
      </c>
      <c r="T1224" s="5">
        <f t="shared" si="383"/>
        <v>0</v>
      </c>
      <c r="U1224" s="5">
        <f t="shared" si="384"/>
        <v>0</v>
      </c>
      <c r="V1224" s="5">
        <f t="shared" si="385"/>
        <v>1.2789473684210526</v>
      </c>
      <c r="W1224" s="5">
        <f t="shared" si="386"/>
        <v>1.2732240437158471</v>
      </c>
      <c r="X1224" s="5">
        <f t="shared" si="387"/>
        <v>0</v>
      </c>
      <c r="Y1224" s="5">
        <f t="shared" si="388"/>
        <v>6.0606060606060608E-2</v>
      </c>
      <c r="Z1224" s="5">
        <f t="shared" si="389"/>
        <v>0</v>
      </c>
      <c r="AA1224" s="5">
        <f t="shared" si="390"/>
        <v>0</v>
      </c>
      <c r="AB1224" s="5">
        <f t="shared" si="380"/>
        <v>2.6127774727429602</v>
      </c>
    </row>
    <row r="1225" spans="1:29" x14ac:dyDescent="0.25">
      <c r="D1225" t="s">
        <v>101</v>
      </c>
      <c r="E1225" s="64"/>
      <c r="F1225" s="64"/>
      <c r="G1225">
        <f>IFERROR(HLOOKUP(G$2,[38]table_female_hkom1_inj.V2!$A$1:$K$36,34,FALSE),0)</f>
        <v>3</v>
      </c>
      <c r="H1225">
        <f>IFERROR(HLOOKUP(H$2,[38]table_female_hkom1_inj.V2!$A$1:$K$36,34,FALSE),0)</f>
        <v>10</v>
      </c>
      <c r="I1225">
        <f>IFERROR(HLOOKUP(I$2,[38]table_female_hkom1_inj.V2!$A$1:$K$36,34,FALSE),0)</f>
        <v>2</v>
      </c>
      <c r="J1225">
        <f>IFERROR(HLOOKUP(J$2,[38]table_female_hkom1_inj.V2!$A$1:$K$36,34,FALSE),0)</f>
        <v>0</v>
      </c>
      <c r="K1225">
        <f>IFERROR(HLOOKUP(K$2,[38]table_female_hkom1_inj.V2!$A$1:$K$36,34,FALSE),0)</f>
        <v>0</v>
      </c>
      <c r="L1225">
        <f>IFERROR(HLOOKUP(L$2,[38]table_female_hkom1_inj.V2!$A$1:$K$36,34,FALSE),0)</f>
        <v>0</v>
      </c>
      <c r="M1225">
        <f t="shared" si="381"/>
        <v>15</v>
      </c>
      <c r="S1225" t="s">
        <v>101</v>
      </c>
      <c r="T1225" s="5">
        <f t="shared" si="383"/>
        <v>0</v>
      </c>
      <c r="U1225" s="5">
        <f t="shared" si="384"/>
        <v>0</v>
      </c>
      <c r="V1225" s="5">
        <f t="shared" si="385"/>
        <v>3.8368421052631581</v>
      </c>
      <c r="W1225" s="5">
        <f t="shared" si="386"/>
        <v>12.73224043715847</v>
      </c>
      <c r="X1225" s="5">
        <f t="shared" si="387"/>
        <v>2.3947368421052633</v>
      </c>
      <c r="Y1225" s="5">
        <f t="shared" si="388"/>
        <v>6.0606060606060608E-2</v>
      </c>
      <c r="Z1225" s="5">
        <f t="shared" si="389"/>
        <v>0</v>
      </c>
      <c r="AA1225" s="5">
        <f t="shared" si="390"/>
        <v>0</v>
      </c>
      <c r="AB1225" s="5">
        <f t="shared" si="380"/>
        <v>19.024425445132955</v>
      </c>
    </row>
    <row r="1226" spans="1:29" x14ac:dyDescent="0.25">
      <c r="D1226" t="s">
        <v>102</v>
      </c>
      <c r="E1226" s="64"/>
      <c r="F1226" s="64"/>
      <c r="G1226">
        <f>IFERROR(HLOOKUP(G$2,[38]table_female_hkom1_inj.V2!$A$1:$K$36,35,FALSE),0)</f>
        <v>53</v>
      </c>
      <c r="H1226">
        <f>IFERROR(HLOOKUP(H$2,[38]table_female_hkom1_inj.V2!$A$1:$K$36,35,FALSE),0)</f>
        <v>50</v>
      </c>
      <c r="I1226">
        <f>IFERROR(HLOOKUP(I$2,[38]table_female_hkom1_inj.V2!$A$1:$K$36,35,FALSE),0)</f>
        <v>15</v>
      </c>
      <c r="J1226">
        <f>IFERROR(HLOOKUP(J$2,[38]table_female_hkom1_inj.V2!$A$1:$K$36,35,FALSE),0)</f>
        <v>2</v>
      </c>
      <c r="K1226">
        <f>IFERROR(HLOOKUP(K$2,[38]table_female_hkom1_inj.V2!$A$1:$K$36,35,FALSE),0)</f>
        <v>0</v>
      </c>
      <c r="L1226">
        <f>IFERROR(HLOOKUP(L$2,[38]table_female_hkom1_inj.V2!$A$1:$K$36,35,FALSE),0)</f>
        <v>0</v>
      </c>
      <c r="M1226">
        <f t="shared" si="381"/>
        <v>120</v>
      </c>
      <c r="N1226">
        <f>SUM(M1193:M1226)</f>
        <v>569</v>
      </c>
      <c r="O1226" s="8">
        <f>SUM([38]table_female_hkom1_inj.V2!$B$2:$L$37)</f>
        <v>569</v>
      </c>
      <c r="S1226" t="s">
        <v>102</v>
      </c>
      <c r="T1226" s="7"/>
      <c r="U1226" s="7"/>
      <c r="V1226" s="7"/>
      <c r="W1226" s="7"/>
      <c r="X1226" s="7"/>
      <c r="Y1226" s="7"/>
      <c r="Z1226" s="7"/>
      <c r="AA1226" s="7"/>
      <c r="AB1226" s="5">
        <f t="shared" si="380"/>
        <v>0</v>
      </c>
      <c r="AC1226" s="5">
        <f>SUM(AB1193:AB1225)</f>
        <v>568.99999999999966</v>
      </c>
    </row>
    <row r="1227" spans="1:29" x14ac:dyDescent="0.25">
      <c r="A1227" t="s">
        <v>115</v>
      </c>
      <c r="B1227" t="s">
        <v>103</v>
      </c>
      <c r="C1227" t="s">
        <v>107</v>
      </c>
      <c r="D1227" t="s">
        <v>70</v>
      </c>
      <c r="E1227" s="64"/>
      <c r="F1227" s="64"/>
      <c r="G1227">
        <f>IFERROR(HLOOKUP(G$2,[39]table_female_hkom1_inj.V3!$A$1:$K$36,2,FALSE),0)</f>
        <v>0</v>
      </c>
      <c r="H1227">
        <f>IFERROR(HLOOKUP(H$2,[39]table_female_hkom1_inj.V3!$A$1:$K$36,2,FALSE),0)</f>
        <v>0</v>
      </c>
      <c r="I1227">
        <f>IFERROR(HLOOKUP(I$2,[39]table_female_hkom1_inj.V3!$A$1:$K$36,2,FALSE),0)</f>
        <v>0</v>
      </c>
      <c r="J1227">
        <f>IFERROR(HLOOKUP(J$2,[39]table_female_hkom1_inj.V3!$A$1:$K$36,2,FALSE),0)</f>
        <v>0</v>
      </c>
      <c r="K1227">
        <f>IFERROR(HLOOKUP(K$2,[39]table_female_hkom1_inj.V3!$A$1:$K$36,2,FALSE),0)</f>
        <v>0</v>
      </c>
      <c r="L1227">
        <f>IFERROR(HLOOKUP(L$2,[39]table_female_hkom1_inj.V3!$A$1:$K$36,2,FALSE),0)</f>
        <v>0</v>
      </c>
      <c r="M1227">
        <f t="shared" si="381"/>
        <v>0</v>
      </c>
      <c r="P1227" t="s">
        <v>115</v>
      </c>
      <c r="Q1227" t="s">
        <v>103</v>
      </c>
      <c r="R1227" t="s">
        <v>107</v>
      </c>
      <c r="S1227" t="s">
        <v>70</v>
      </c>
      <c r="T1227" s="5">
        <f>IF(SUM(E$1227:E$1259)=0,E$1260/33,E1227+IFERROR(E1227/SUM(E$1227:E$1259)*E$1260,0))</f>
        <v>0</v>
      </c>
      <c r="U1227" s="5">
        <f t="shared" ref="U1227:AA1227" si="391">IF(SUM(F$1227:F$1259)=0,F$1260/33,F1227+IFERROR(F1227/SUM(F$1227:F$1259)*F$1260,0))</f>
        <v>0</v>
      </c>
      <c r="V1227" s="5">
        <f t="shared" si="391"/>
        <v>0</v>
      </c>
      <c r="W1227" s="5">
        <f t="shared" si="391"/>
        <v>0</v>
      </c>
      <c r="X1227" s="5">
        <f t="shared" si="391"/>
        <v>0</v>
      </c>
      <c r="Y1227" s="5">
        <f t="shared" si="391"/>
        <v>0</v>
      </c>
      <c r="Z1227" s="5">
        <f t="shared" si="391"/>
        <v>0</v>
      </c>
      <c r="AA1227" s="5">
        <f t="shared" si="391"/>
        <v>0</v>
      </c>
      <c r="AB1227" s="5">
        <f t="shared" si="380"/>
        <v>0</v>
      </c>
    </row>
    <row r="1228" spans="1:29" x14ac:dyDescent="0.25">
      <c r="D1228" t="s">
        <v>71</v>
      </c>
      <c r="E1228" s="64"/>
      <c r="F1228" s="64"/>
      <c r="G1228">
        <f>IFERROR(HLOOKUP(G$2,[39]table_female_hkom1_inj.V3!$A$1:$K$36,3,FALSE),0)</f>
        <v>0</v>
      </c>
      <c r="H1228">
        <f>IFERROR(HLOOKUP(H$2,[39]table_female_hkom1_inj.V3!$A$1:$K$36,3,FALSE),0)</f>
        <v>0</v>
      </c>
      <c r="I1228">
        <f>IFERROR(HLOOKUP(I$2,[39]table_female_hkom1_inj.V3!$A$1:$K$36,3,FALSE),0)</f>
        <v>0</v>
      </c>
      <c r="J1228">
        <f>IFERROR(HLOOKUP(J$2,[39]table_female_hkom1_inj.V3!$A$1:$K$36,3,FALSE),0)</f>
        <v>0</v>
      </c>
      <c r="K1228">
        <f>IFERROR(HLOOKUP(K$2,[39]table_female_hkom1_inj.V3!$A$1:$K$36,3,FALSE),0)</f>
        <v>0</v>
      </c>
      <c r="L1228">
        <f>IFERROR(HLOOKUP(L$2,[39]table_female_hkom1_inj.V3!$A$1:$K$36,3,FALSE),0)</f>
        <v>0</v>
      </c>
      <c r="M1228">
        <f t="shared" si="381"/>
        <v>0</v>
      </c>
      <c r="S1228" t="s">
        <v>71</v>
      </c>
      <c r="T1228" s="5">
        <f t="shared" ref="T1228:T1259" si="392">IF(SUM(E$1227:E$1259)=0,E$1260/33,E1228+IFERROR(E1228/SUM(E$1227:E$1259)*E$1260,0))</f>
        <v>0</v>
      </c>
      <c r="U1228" s="5">
        <f t="shared" ref="U1228:U1259" si="393">IF(SUM(F$1227:F$1259)=0,F$1260/33,F1228+IFERROR(F1228/SUM(F$1227:F$1259)*F$1260,0))</f>
        <v>0</v>
      </c>
      <c r="V1228" s="5">
        <f t="shared" ref="V1228:V1259" si="394">IF(SUM(G$1227:G$1259)=0,G$1260/33,G1228+IFERROR(G1228/SUM(G$1227:G$1259)*G$1260,0))</f>
        <v>0</v>
      </c>
      <c r="W1228" s="5">
        <f t="shared" ref="W1228:W1259" si="395">IF(SUM(H$1227:H$1259)=0,H$1260/33,H1228+IFERROR(H1228/SUM(H$1227:H$1259)*H$1260,0))</f>
        <v>0</v>
      </c>
      <c r="X1228" s="5">
        <f t="shared" ref="X1228:X1259" si="396">IF(SUM(I$1227:I$1259)=0,I$1260/33,I1228+IFERROR(I1228/SUM(I$1227:I$1259)*I$1260,0))</f>
        <v>0</v>
      </c>
      <c r="Y1228" s="5">
        <f t="shared" ref="Y1228:Y1259" si="397">IF(SUM(J$1227:J$1259)=0,J$1260/33,J1228+IFERROR(J1228/SUM(J$1227:J$1259)*J$1260,0))</f>
        <v>0</v>
      </c>
      <c r="Z1228" s="5">
        <f t="shared" ref="Z1228:Z1259" si="398">IF(SUM(K$1227:K$1259)=0,K$1260/33,K1228+IFERROR(K1228/SUM(K$1227:K$1259)*K$1260,0))</f>
        <v>0</v>
      </c>
      <c r="AA1228" s="5">
        <f t="shared" ref="AA1228:AA1259" si="399">IF(SUM(L$1227:L$1259)=0,L$1260/33,L1228+IFERROR(L1228/SUM(L$1227:L$1259)*L$1260,0))</f>
        <v>0</v>
      </c>
      <c r="AB1228" s="5">
        <f t="shared" si="380"/>
        <v>0</v>
      </c>
    </row>
    <row r="1229" spans="1:29" x14ac:dyDescent="0.25">
      <c r="D1229" t="s">
        <v>72</v>
      </c>
      <c r="E1229" s="64"/>
      <c r="F1229" s="64"/>
      <c r="G1229">
        <f>IFERROR(HLOOKUP(G$2,[39]table_female_hkom1_inj.V3!$A$1:$K$36,4,FALSE),0)</f>
        <v>0</v>
      </c>
      <c r="H1229">
        <f>IFERROR(HLOOKUP(H$2,[39]table_female_hkom1_inj.V3!$A$1:$K$36,4,FALSE),0)</f>
        <v>0</v>
      </c>
      <c r="I1229">
        <f>IFERROR(HLOOKUP(I$2,[39]table_female_hkom1_inj.V3!$A$1:$K$36,4,FALSE),0)</f>
        <v>0</v>
      </c>
      <c r="J1229">
        <f>IFERROR(HLOOKUP(J$2,[39]table_female_hkom1_inj.V3!$A$1:$K$36,4,FALSE),0)</f>
        <v>0</v>
      </c>
      <c r="K1229">
        <f>IFERROR(HLOOKUP(K$2,[39]table_female_hkom1_inj.V3!$A$1:$K$36,4,FALSE),0)</f>
        <v>0</v>
      </c>
      <c r="L1229">
        <f>IFERROR(HLOOKUP(L$2,[39]table_female_hkom1_inj.V3!$A$1:$K$36,4,FALSE),0)</f>
        <v>0</v>
      </c>
      <c r="M1229">
        <f t="shared" si="381"/>
        <v>0</v>
      </c>
      <c r="S1229" t="s">
        <v>72</v>
      </c>
      <c r="T1229" s="5">
        <f t="shared" si="392"/>
        <v>0</v>
      </c>
      <c r="U1229" s="5">
        <f t="shared" si="393"/>
        <v>0</v>
      </c>
      <c r="V1229" s="5">
        <f t="shared" si="394"/>
        <v>0</v>
      </c>
      <c r="W1229" s="5">
        <f t="shared" si="395"/>
        <v>0</v>
      </c>
      <c r="X1229" s="5">
        <f t="shared" si="396"/>
        <v>0</v>
      </c>
      <c r="Y1229" s="5">
        <f t="shared" si="397"/>
        <v>0</v>
      </c>
      <c r="Z1229" s="5">
        <f t="shared" si="398"/>
        <v>0</v>
      </c>
      <c r="AA1229" s="5">
        <f t="shared" si="399"/>
        <v>0</v>
      </c>
      <c r="AB1229" s="5">
        <f t="shared" si="380"/>
        <v>0</v>
      </c>
    </row>
    <row r="1230" spans="1:29" x14ac:dyDescent="0.25">
      <c r="D1230" t="s">
        <v>73</v>
      </c>
      <c r="E1230" s="64"/>
      <c r="F1230" s="64"/>
      <c r="G1230">
        <f>IFERROR(HLOOKUP(G$2,[39]table_female_hkom1_inj.V3!$A$1:$K$36,5,FALSE),0)</f>
        <v>0</v>
      </c>
      <c r="H1230">
        <f>IFERROR(HLOOKUP(H$2,[39]table_female_hkom1_inj.V3!$A$1:$K$36,5,FALSE),0)</f>
        <v>0</v>
      </c>
      <c r="I1230">
        <f>IFERROR(HLOOKUP(I$2,[39]table_female_hkom1_inj.V3!$A$1:$K$36,5,FALSE),0)</f>
        <v>0</v>
      </c>
      <c r="J1230">
        <f>IFERROR(HLOOKUP(J$2,[39]table_female_hkom1_inj.V3!$A$1:$K$36,5,FALSE),0)</f>
        <v>0</v>
      </c>
      <c r="K1230">
        <f>IFERROR(HLOOKUP(K$2,[39]table_female_hkom1_inj.V3!$A$1:$K$36,5,FALSE),0)</f>
        <v>0</v>
      </c>
      <c r="L1230">
        <f>IFERROR(HLOOKUP(L$2,[39]table_female_hkom1_inj.V3!$A$1:$K$36,5,FALSE),0)</f>
        <v>0</v>
      </c>
      <c r="M1230">
        <f t="shared" si="381"/>
        <v>0</v>
      </c>
      <c r="S1230" t="s">
        <v>73</v>
      </c>
      <c r="T1230" s="5">
        <f t="shared" si="392"/>
        <v>0</v>
      </c>
      <c r="U1230" s="5">
        <f t="shared" si="393"/>
        <v>0</v>
      </c>
      <c r="V1230" s="5">
        <f t="shared" si="394"/>
        <v>0</v>
      </c>
      <c r="W1230" s="5">
        <f t="shared" si="395"/>
        <v>0</v>
      </c>
      <c r="X1230" s="5">
        <f t="shared" si="396"/>
        <v>0</v>
      </c>
      <c r="Y1230" s="5">
        <f t="shared" si="397"/>
        <v>0</v>
      </c>
      <c r="Z1230" s="5">
        <f t="shared" si="398"/>
        <v>0</v>
      </c>
      <c r="AA1230" s="5">
        <f t="shared" si="399"/>
        <v>0</v>
      </c>
      <c r="AB1230" s="5">
        <f t="shared" si="380"/>
        <v>0</v>
      </c>
    </row>
    <row r="1231" spans="1:29" x14ac:dyDescent="0.25">
      <c r="D1231" t="s">
        <v>74</v>
      </c>
      <c r="E1231" s="64"/>
      <c r="F1231" s="64"/>
      <c r="G1231">
        <f>IFERROR(HLOOKUP(G$2,[39]table_female_hkom1_inj.V3!$A$1:$K$36,6,FALSE),0)</f>
        <v>0</v>
      </c>
      <c r="H1231">
        <f>IFERROR(HLOOKUP(H$2,[39]table_female_hkom1_inj.V3!$A$1:$K$36,6,FALSE),0)</f>
        <v>0</v>
      </c>
      <c r="I1231">
        <f>IFERROR(HLOOKUP(I$2,[39]table_female_hkom1_inj.V3!$A$1:$K$36,6,FALSE),0)</f>
        <v>0</v>
      </c>
      <c r="J1231">
        <f>IFERROR(HLOOKUP(J$2,[39]table_female_hkom1_inj.V3!$A$1:$K$36,6,FALSE),0)</f>
        <v>0</v>
      </c>
      <c r="K1231">
        <f>IFERROR(HLOOKUP(K$2,[39]table_female_hkom1_inj.V3!$A$1:$K$36,6,FALSE),0)</f>
        <v>0</v>
      </c>
      <c r="L1231">
        <f>IFERROR(HLOOKUP(L$2,[39]table_female_hkom1_inj.V3!$A$1:$K$36,6,FALSE),0)</f>
        <v>0</v>
      </c>
      <c r="M1231">
        <f t="shared" si="381"/>
        <v>0</v>
      </c>
      <c r="S1231" t="s">
        <v>74</v>
      </c>
      <c r="T1231" s="5">
        <f t="shared" si="392"/>
        <v>0</v>
      </c>
      <c r="U1231" s="5">
        <f t="shared" si="393"/>
        <v>0</v>
      </c>
      <c r="V1231" s="5">
        <f t="shared" si="394"/>
        <v>0</v>
      </c>
      <c r="W1231" s="5">
        <f t="shared" si="395"/>
        <v>0</v>
      </c>
      <c r="X1231" s="5">
        <f t="shared" si="396"/>
        <v>0</v>
      </c>
      <c r="Y1231" s="5">
        <f t="shared" si="397"/>
        <v>0</v>
      </c>
      <c r="Z1231" s="5">
        <f t="shared" si="398"/>
        <v>0</v>
      </c>
      <c r="AA1231" s="5">
        <f t="shared" si="399"/>
        <v>0</v>
      </c>
      <c r="AB1231" s="5">
        <f t="shared" si="380"/>
        <v>0</v>
      </c>
    </row>
    <row r="1232" spans="1:29" x14ac:dyDescent="0.25">
      <c r="D1232" t="s">
        <v>75</v>
      </c>
      <c r="E1232" s="64"/>
      <c r="F1232" s="64"/>
      <c r="G1232">
        <f>IFERROR(HLOOKUP(G$2,[39]table_female_hkom1_inj.V3!$A$1:$K$36,7,FALSE),0)</f>
        <v>0</v>
      </c>
      <c r="H1232">
        <f>IFERROR(HLOOKUP(H$2,[39]table_female_hkom1_inj.V3!$A$1:$K$36,7,FALSE),0)</f>
        <v>0</v>
      </c>
      <c r="I1232">
        <f>IFERROR(HLOOKUP(I$2,[39]table_female_hkom1_inj.V3!$A$1:$K$36,7,FALSE),0)</f>
        <v>0</v>
      </c>
      <c r="J1232">
        <f>IFERROR(HLOOKUP(J$2,[39]table_female_hkom1_inj.V3!$A$1:$K$36,7,FALSE),0)</f>
        <v>0</v>
      </c>
      <c r="K1232">
        <f>IFERROR(HLOOKUP(K$2,[39]table_female_hkom1_inj.V3!$A$1:$K$36,7,FALSE),0)</f>
        <v>0</v>
      </c>
      <c r="L1232">
        <f>IFERROR(HLOOKUP(L$2,[39]table_female_hkom1_inj.V3!$A$1:$K$36,7,FALSE),0)</f>
        <v>0</v>
      </c>
      <c r="M1232">
        <f t="shared" si="381"/>
        <v>0</v>
      </c>
      <c r="S1232" t="s">
        <v>75</v>
      </c>
      <c r="T1232" s="5">
        <f t="shared" si="392"/>
        <v>0</v>
      </c>
      <c r="U1232" s="5">
        <f t="shared" si="393"/>
        <v>0</v>
      </c>
      <c r="V1232" s="5">
        <f t="shared" si="394"/>
        <v>0</v>
      </c>
      <c r="W1232" s="5">
        <f t="shared" si="395"/>
        <v>0</v>
      </c>
      <c r="X1232" s="5">
        <f t="shared" si="396"/>
        <v>0</v>
      </c>
      <c r="Y1232" s="5">
        <f t="shared" si="397"/>
        <v>0</v>
      </c>
      <c r="Z1232" s="5">
        <f t="shared" si="398"/>
        <v>0</v>
      </c>
      <c r="AA1232" s="5">
        <f t="shared" si="399"/>
        <v>0</v>
      </c>
      <c r="AB1232" s="5">
        <f t="shared" si="380"/>
        <v>0</v>
      </c>
    </row>
    <row r="1233" spans="4:28" x14ac:dyDescent="0.25">
      <c r="D1233" t="s">
        <v>76</v>
      </c>
      <c r="E1233" s="64"/>
      <c r="F1233" s="64"/>
      <c r="G1233">
        <f>IFERROR(HLOOKUP(G$2,[39]table_female_hkom1_inj.V3!$A$1:$K$36,8,FALSE),0)</f>
        <v>0</v>
      </c>
      <c r="H1233">
        <f>IFERROR(HLOOKUP(H$2,[39]table_female_hkom1_inj.V3!$A$1:$K$36,8,FALSE),0)</f>
        <v>0</v>
      </c>
      <c r="I1233">
        <f>IFERROR(HLOOKUP(I$2,[39]table_female_hkom1_inj.V3!$A$1:$K$36,8,FALSE),0)</f>
        <v>0</v>
      </c>
      <c r="J1233">
        <f>IFERROR(HLOOKUP(J$2,[39]table_female_hkom1_inj.V3!$A$1:$K$36,8,FALSE),0)</f>
        <v>0</v>
      </c>
      <c r="K1233">
        <f>IFERROR(HLOOKUP(K$2,[39]table_female_hkom1_inj.V3!$A$1:$K$36,8,FALSE),0)</f>
        <v>0</v>
      </c>
      <c r="L1233">
        <f>IFERROR(HLOOKUP(L$2,[39]table_female_hkom1_inj.V3!$A$1:$K$36,8,FALSE),0)</f>
        <v>0</v>
      </c>
      <c r="M1233">
        <f t="shared" si="381"/>
        <v>0</v>
      </c>
      <c r="S1233" t="s">
        <v>76</v>
      </c>
      <c r="T1233" s="5">
        <f t="shared" si="392"/>
        <v>0</v>
      </c>
      <c r="U1233" s="5">
        <f t="shared" si="393"/>
        <v>0</v>
      </c>
      <c r="V1233" s="5">
        <f t="shared" si="394"/>
        <v>0</v>
      </c>
      <c r="W1233" s="5">
        <f t="shared" si="395"/>
        <v>0</v>
      </c>
      <c r="X1233" s="5">
        <f t="shared" si="396"/>
        <v>0</v>
      </c>
      <c r="Y1233" s="5">
        <f t="shared" si="397"/>
        <v>0</v>
      </c>
      <c r="Z1233" s="5">
        <f t="shared" si="398"/>
        <v>0</v>
      </c>
      <c r="AA1233" s="5">
        <f t="shared" si="399"/>
        <v>0</v>
      </c>
      <c r="AB1233" s="5">
        <f t="shared" si="380"/>
        <v>0</v>
      </c>
    </row>
    <row r="1234" spans="4:28" x14ac:dyDescent="0.25">
      <c r="D1234" t="s">
        <v>77</v>
      </c>
      <c r="E1234" s="64"/>
      <c r="F1234" s="64"/>
      <c r="G1234">
        <f>IFERROR(HLOOKUP(G$2,[39]table_female_hkom1_inj.V3!$A$1:$K$36,9,FALSE),0)</f>
        <v>0</v>
      </c>
      <c r="H1234">
        <f>IFERROR(HLOOKUP(H$2,[39]table_female_hkom1_inj.V3!$A$1:$K$36,9,FALSE),0)</f>
        <v>0</v>
      </c>
      <c r="I1234">
        <f>IFERROR(HLOOKUP(I$2,[39]table_female_hkom1_inj.V3!$A$1:$K$36,9,FALSE),0)</f>
        <v>0</v>
      </c>
      <c r="J1234">
        <f>IFERROR(HLOOKUP(J$2,[39]table_female_hkom1_inj.V3!$A$1:$K$36,9,FALSE),0)</f>
        <v>0</v>
      </c>
      <c r="K1234">
        <f>IFERROR(HLOOKUP(K$2,[39]table_female_hkom1_inj.V3!$A$1:$K$36,9,FALSE),0)</f>
        <v>0</v>
      </c>
      <c r="L1234">
        <f>IFERROR(HLOOKUP(L$2,[39]table_female_hkom1_inj.V3!$A$1:$K$36,9,FALSE),0)</f>
        <v>0</v>
      </c>
      <c r="M1234">
        <f t="shared" si="381"/>
        <v>0</v>
      </c>
      <c r="S1234" t="s">
        <v>77</v>
      </c>
      <c r="T1234" s="5">
        <f t="shared" si="392"/>
        <v>0</v>
      </c>
      <c r="U1234" s="5">
        <f t="shared" si="393"/>
        <v>0</v>
      </c>
      <c r="V1234" s="5">
        <f t="shared" si="394"/>
        <v>0</v>
      </c>
      <c r="W1234" s="5">
        <f t="shared" si="395"/>
        <v>0</v>
      </c>
      <c r="X1234" s="5">
        <f t="shared" si="396"/>
        <v>0</v>
      </c>
      <c r="Y1234" s="5">
        <f t="shared" si="397"/>
        <v>0</v>
      </c>
      <c r="Z1234" s="5">
        <f t="shared" si="398"/>
        <v>0</v>
      </c>
      <c r="AA1234" s="5">
        <f t="shared" si="399"/>
        <v>0</v>
      </c>
      <c r="AB1234" s="5">
        <f t="shared" si="380"/>
        <v>0</v>
      </c>
    </row>
    <row r="1235" spans="4:28" x14ac:dyDescent="0.25">
      <c r="D1235" t="s">
        <v>78</v>
      </c>
      <c r="E1235" s="64"/>
      <c r="F1235" s="64"/>
      <c r="G1235">
        <f>IFERROR(HLOOKUP(G$2,[39]table_female_hkom1_inj.V3!$A$1:$K$36,10,FALSE),0)</f>
        <v>0</v>
      </c>
      <c r="H1235">
        <f>IFERROR(HLOOKUP(H$2,[39]table_female_hkom1_inj.V3!$A$1:$K$36,10,FALSE),0)</f>
        <v>0</v>
      </c>
      <c r="I1235">
        <f>IFERROR(HLOOKUP(I$2,[39]table_female_hkom1_inj.V3!$A$1:$K$36,10,FALSE),0)</f>
        <v>0</v>
      </c>
      <c r="J1235">
        <f>IFERROR(HLOOKUP(J$2,[39]table_female_hkom1_inj.V3!$A$1:$K$36,10,FALSE),0)</f>
        <v>0</v>
      </c>
      <c r="K1235">
        <f>IFERROR(HLOOKUP(K$2,[39]table_female_hkom1_inj.V3!$A$1:$K$36,10,FALSE),0)</f>
        <v>0</v>
      </c>
      <c r="L1235">
        <f>IFERROR(HLOOKUP(L$2,[39]table_female_hkom1_inj.V3!$A$1:$K$36,10,FALSE),0)</f>
        <v>0</v>
      </c>
      <c r="M1235">
        <f t="shared" si="381"/>
        <v>0</v>
      </c>
      <c r="S1235" t="s">
        <v>78</v>
      </c>
      <c r="T1235" s="5">
        <f t="shared" si="392"/>
        <v>0</v>
      </c>
      <c r="U1235" s="5">
        <f t="shared" si="393"/>
        <v>0</v>
      </c>
      <c r="V1235" s="5">
        <f t="shared" si="394"/>
        <v>0</v>
      </c>
      <c r="W1235" s="5">
        <f t="shared" si="395"/>
        <v>0</v>
      </c>
      <c r="X1235" s="5">
        <f t="shared" si="396"/>
        <v>0</v>
      </c>
      <c r="Y1235" s="5">
        <f t="shared" si="397"/>
        <v>0</v>
      </c>
      <c r="Z1235" s="5">
        <f t="shared" si="398"/>
        <v>0</v>
      </c>
      <c r="AA1235" s="5">
        <f t="shared" si="399"/>
        <v>0</v>
      </c>
      <c r="AB1235" s="5">
        <f t="shared" si="380"/>
        <v>0</v>
      </c>
    </row>
    <row r="1236" spans="4:28" x14ac:dyDescent="0.25">
      <c r="D1236" t="s">
        <v>79</v>
      </c>
      <c r="E1236" s="64"/>
      <c r="F1236" s="64"/>
      <c r="G1236">
        <f>IFERROR(HLOOKUP(G$2,[39]table_female_hkom1_inj.V3!$A$1:$K$36,11,FALSE),0)</f>
        <v>0</v>
      </c>
      <c r="H1236">
        <f>IFERROR(HLOOKUP(H$2,[39]table_female_hkom1_inj.V3!$A$1:$K$36,11,FALSE),0)</f>
        <v>0</v>
      </c>
      <c r="I1236">
        <f>IFERROR(HLOOKUP(I$2,[39]table_female_hkom1_inj.V3!$A$1:$K$36,11,FALSE),0)</f>
        <v>0</v>
      </c>
      <c r="J1236">
        <f>IFERROR(HLOOKUP(J$2,[39]table_female_hkom1_inj.V3!$A$1:$K$36,11,FALSE),0)</f>
        <v>0</v>
      </c>
      <c r="K1236">
        <f>IFERROR(HLOOKUP(K$2,[39]table_female_hkom1_inj.V3!$A$1:$K$36,11,FALSE),0)</f>
        <v>0</v>
      </c>
      <c r="L1236">
        <f>IFERROR(HLOOKUP(L$2,[39]table_female_hkom1_inj.V3!$A$1:$K$36,11,FALSE),0)</f>
        <v>0</v>
      </c>
      <c r="M1236">
        <f t="shared" si="381"/>
        <v>0</v>
      </c>
      <c r="S1236" t="s">
        <v>79</v>
      </c>
      <c r="T1236" s="5">
        <f t="shared" si="392"/>
        <v>0</v>
      </c>
      <c r="U1236" s="5">
        <f t="shared" si="393"/>
        <v>0</v>
      </c>
      <c r="V1236" s="5">
        <f t="shared" si="394"/>
        <v>0</v>
      </c>
      <c r="W1236" s="5">
        <f t="shared" si="395"/>
        <v>0</v>
      </c>
      <c r="X1236" s="5">
        <f t="shared" si="396"/>
        <v>0</v>
      </c>
      <c r="Y1236" s="5">
        <f t="shared" si="397"/>
        <v>0</v>
      </c>
      <c r="Z1236" s="5">
        <f t="shared" si="398"/>
        <v>0</v>
      </c>
      <c r="AA1236" s="5">
        <f t="shared" si="399"/>
        <v>0</v>
      </c>
      <c r="AB1236" s="5">
        <f t="shared" ref="AB1236:AB1299" si="400">SUM(T1236:AA1236)</f>
        <v>0</v>
      </c>
    </row>
    <row r="1237" spans="4:28" x14ac:dyDescent="0.25">
      <c r="D1237" t="s">
        <v>80</v>
      </c>
      <c r="E1237" s="64"/>
      <c r="F1237" s="64"/>
      <c r="G1237">
        <f>IFERROR(HLOOKUP(G$2,[39]table_female_hkom1_inj.V3!$A$1:$K$36,12,FALSE),0)</f>
        <v>0</v>
      </c>
      <c r="H1237">
        <f>IFERROR(HLOOKUP(H$2,[39]table_female_hkom1_inj.V3!$A$1:$K$36,12,FALSE),0)</f>
        <v>0</v>
      </c>
      <c r="I1237">
        <f>IFERROR(HLOOKUP(I$2,[39]table_female_hkom1_inj.V3!$A$1:$K$36,12,FALSE),0)</f>
        <v>0</v>
      </c>
      <c r="J1237">
        <f>IFERROR(HLOOKUP(J$2,[39]table_female_hkom1_inj.V3!$A$1:$K$36,12,FALSE),0)</f>
        <v>0</v>
      </c>
      <c r="K1237">
        <f>IFERROR(HLOOKUP(K$2,[39]table_female_hkom1_inj.V3!$A$1:$K$36,12,FALSE),0)</f>
        <v>0</v>
      </c>
      <c r="L1237">
        <f>IFERROR(HLOOKUP(L$2,[39]table_female_hkom1_inj.V3!$A$1:$K$36,12,FALSE),0)</f>
        <v>0</v>
      </c>
      <c r="M1237">
        <f t="shared" si="381"/>
        <v>0</v>
      </c>
      <c r="S1237" t="s">
        <v>80</v>
      </c>
      <c r="T1237" s="5">
        <f t="shared" si="392"/>
        <v>0</v>
      </c>
      <c r="U1237" s="5">
        <f t="shared" si="393"/>
        <v>0</v>
      </c>
      <c r="V1237" s="5">
        <f t="shared" si="394"/>
        <v>0</v>
      </c>
      <c r="W1237" s="5">
        <f t="shared" si="395"/>
        <v>0</v>
      </c>
      <c r="X1237" s="5">
        <f t="shared" si="396"/>
        <v>0</v>
      </c>
      <c r="Y1237" s="5">
        <f t="shared" si="397"/>
        <v>0</v>
      </c>
      <c r="Z1237" s="5">
        <f t="shared" si="398"/>
        <v>0</v>
      </c>
      <c r="AA1237" s="5">
        <f t="shared" si="399"/>
        <v>0</v>
      </c>
      <c r="AB1237" s="5">
        <f t="shared" si="400"/>
        <v>0</v>
      </c>
    </row>
    <row r="1238" spans="4:28" x14ac:dyDescent="0.25">
      <c r="D1238" t="s">
        <v>81</v>
      </c>
      <c r="E1238" s="64"/>
      <c r="F1238" s="64"/>
      <c r="G1238">
        <f>IFERROR(HLOOKUP(G$2,[39]table_female_hkom1_inj.V3!$A$1:$K$36,13,FALSE),0)</f>
        <v>0</v>
      </c>
      <c r="H1238">
        <f>IFERROR(HLOOKUP(H$2,[39]table_female_hkom1_inj.V3!$A$1:$K$36,13,FALSE),0)</f>
        <v>0</v>
      </c>
      <c r="I1238">
        <f>IFERROR(HLOOKUP(I$2,[39]table_female_hkom1_inj.V3!$A$1:$K$36,13,FALSE),0)</f>
        <v>0</v>
      </c>
      <c r="J1238">
        <f>IFERROR(HLOOKUP(J$2,[39]table_female_hkom1_inj.V3!$A$1:$K$36,13,FALSE),0)</f>
        <v>0</v>
      </c>
      <c r="K1238">
        <f>IFERROR(HLOOKUP(K$2,[39]table_female_hkom1_inj.V3!$A$1:$K$36,13,FALSE),0)</f>
        <v>0</v>
      </c>
      <c r="L1238">
        <f>IFERROR(HLOOKUP(L$2,[39]table_female_hkom1_inj.V3!$A$1:$K$36,13,FALSE),0)</f>
        <v>0</v>
      </c>
      <c r="M1238">
        <f t="shared" si="381"/>
        <v>0</v>
      </c>
      <c r="S1238" t="s">
        <v>81</v>
      </c>
      <c r="T1238" s="5">
        <f t="shared" si="392"/>
        <v>0</v>
      </c>
      <c r="U1238" s="5">
        <f t="shared" si="393"/>
        <v>0</v>
      </c>
      <c r="V1238" s="5">
        <f t="shared" si="394"/>
        <v>0</v>
      </c>
      <c r="W1238" s="5">
        <f t="shared" si="395"/>
        <v>0</v>
      </c>
      <c r="X1238" s="5">
        <f t="shared" si="396"/>
        <v>0</v>
      </c>
      <c r="Y1238" s="5">
        <f t="shared" si="397"/>
        <v>0</v>
      </c>
      <c r="Z1238" s="5">
        <f t="shared" si="398"/>
        <v>0</v>
      </c>
      <c r="AA1238" s="5">
        <f t="shared" si="399"/>
        <v>0</v>
      </c>
      <c r="AB1238" s="5">
        <f t="shared" si="400"/>
        <v>0</v>
      </c>
    </row>
    <row r="1239" spans="4:28" x14ac:dyDescent="0.25">
      <c r="D1239" t="s">
        <v>82</v>
      </c>
      <c r="E1239" s="64"/>
      <c r="F1239" s="64"/>
      <c r="G1239">
        <f>IFERROR(HLOOKUP(G$2,[39]table_female_hkom1_inj.V3!$A$1:$K$36,14,FALSE),0)</f>
        <v>0</v>
      </c>
      <c r="H1239">
        <f>IFERROR(HLOOKUP(H$2,[39]table_female_hkom1_inj.V3!$A$1:$K$36,14,FALSE),0)</f>
        <v>0</v>
      </c>
      <c r="I1239">
        <f>IFERROR(HLOOKUP(I$2,[39]table_female_hkom1_inj.V3!$A$1:$K$36,14,FALSE),0)</f>
        <v>0</v>
      </c>
      <c r="J1239">
        <f>IFERROR(HLOOKUP(J$2,[39]table_female_hkom1_inj.V3!$A$1:$K$36,14,FALSE),0)</f>
        <v>0</v>
      </c>
      <c r="K1239">
        <f>IFERROR(HLOOKUP(K$2,[39]table_female_hkom1_inj.V3!$A$1:$K$36,14,FALSE),0)</f>
        <v>0</v>
      </c>
      <c r="L1239">
        <f>IFERROR(HLOOKUP(L$2,[39]table_female_hkom1_inj.V3!$A$1:$K$36,14,FALSE),0)</f>
        <v>0</v>
      </c>
      <c r="M1239">
        <f t="shared" si="381"/>
        <v>0</v>
      </c>
      <c r="S1239" t="s">
        <v>82</v>
      </c>
      <c r="T1239" s="5">
        <f t="shared" si="392"/>
        <v>0</v>
      </c>
      <c r="U1239" s="5">
        <f t="shared" si="393"/>
        <v>0</v>
      </c>
      <c r="V1239" s="5">
        <f t="shared" si="394"/>
        <v>0</v>
      </c>
      <c r="W1239" s="5">
        <f t="shared" si="395"/>
        <v>0</v>
      </c>
      <c r="X1239" s="5">
        <f t="shared" si="396"/>
        <v>0</v>
      </c>
      <c r="Y1239" s="5">
        <f t="shared" si="397"/>
        <v>0</v>
      </c>
      <c r="Z1239" s="5">
        <f t="shared" si="398"/>
        <v>0</v>
      </c>
      <c r="AA1239" s="5">
        <f t="shared" si="399"/>
        <v>0</v>
      </c>
      <c r="AB1239" s="5">
        <f t="shared" si="400"/>
        <v>0</v>
      </c>
    </row>
    <row r="1240" spans="4:28" x14ac:dyDescent="0.25">
      <c r="D1240" t="s">
        <v>83</v>
      </c>
      <c r="E1240" s="64"/>
      <c r="F1240" s="64"/>
      <c r="G1240">
        <f>IFERROR(HLOOKUP(G$2,[39]table_female_hkom1_inj.V3!$A$1:$K$36,15,FALSE),0)</f>
        <v>0</v>
      </c>
      <c r="H1240">
        <f>IFERROR(HLOOKUP(H$2,[39]table_female_hkom1_inj.V3!$A$1:$K$36,15,FALSE),0)</f>
        <v>0</v>
      </c>
      <c r="I1240">
        <f>IFERROR(HLOOKUP(I$2,[39]table_female_hkom1_inj.V3!$A$1:$K$36,15,FALSE),0)</f>
        <v>0</v>
      </c>
      <c r="J1240">
        <f>IFERROR(HLOOKUP(J$2,[39]table_female_hkom1_inj.V3!$A$1:$K$36,15,FALSE),0)</f>
        <v>0</v>
      </c>
      <c r="K1240">
        <f>IFERROR(HLOOKUP(K$2,[39]table_female_hkom1_inj.V3!$A$1:$K$36,15,FALSE),0)</f>
        <v>0</v>
      </c>
      <c r="L1240">
        <f>IFERROR(HLOOKUP(L$2,[39]table_female_hkom1_inj.V3!$A$1:$K$36,15,FALSE),0)</f>
        <v>0</v>
      </c>
      <c r="M1240">
        <f t="shared" si="381"/>
        <v>0</v>
      </c>
      <c r="S1240" t="s">
        <v>83</v>
      </c>
      <c r="T1240" s="5">
        <f t="shared" si="392"/>
        <v>0</v>
      </c>
      <c r="U1240" s="5">
        <f t="shared" si="393"/>
        <v>0</v>
      </c>
      <c r="V1240" s="5">
        <f t="shared" si="394"/>
        <v>0</v>
      </c>
      <c r="W1240" s="5">
        <f t="shared" si="395"/>
        <v>0</v>
      </c>
      <c r="X1240" s="5">
        <f t="shared" si="396"/>
        <v>0</v>
      </c>
      <c r="Y1240" s="5">
        <f t="shared" si="397"/>
        <v>0</v>
      </c>
      <c r="Z1240" s="5">
        <f t="shared" si="398"/>
        <v>0</v>
      </c>
      <c r="AA1240" s="5">
        <f t="shared" si="399"/>
        <v>0</v>
      </c>
      <c r="AB1240" s="5">
        <f t="shared" si="400"/>
        <v>0</v>
      </c>
    </row>
    <row r="1241" spans="4:28" x14ac:dyDescent="0.25">
      <c r="D1241" t="s">
        <v>84</v>
      </c>
      <c r="E1241" s="64"/>
      <c r="F1241" s="64"/>
      <c r="G1241">
        <f>IFERROR(HLOOKUP(G$2,[39]table_female_hkom1_inj.V3!$A$1:$K$36,16,FALSE),0)</f>
        <v>0</v>
      </c>
      <c r="H1241">
        <f>IFERROR(HLOOKUP(H$2,[39]table_female_hkom1_inj.V3!$A$1:$K$36,16,FALSE),0)</f>
        <v>0</v>
      </c>
      <c r="I1241">
        <f>IFERROR(HLOOKUP(I$2,[39]table_female_hkom1_inj.V3!$A$1:$K$36,16,FALSE),0)</f>
        <v>0</v>
      </c>
      <c r="J1241">
        <f>IFERROR(HLOOKUP(J$2,[39]table_female_hkom1_inj.V3!$A$1:$K$36,16,FALSE),0)</f>
        <v>0</v>
      </c>
      <c r="K1241">
        <f>IFERROR(HLOOKUP(K$2,[39]table_female_hkom1_inj.V3!$A$1:$K$36,16,FALSE),0)</f>
        <v>0</v>
      </c>
      <c r="L1241">
        <f>IFERROR(HLOOKUP(L$2,[39]table_female_hkom1_inj.V3!$A$1:$K$36,16,FALSE),0)</f>
        <v>0</v>
      </c>
      <c r="M1241">
        <f t="shared" si="381"/>
        <v>0</v>
      </c>
      <c r="S1241" t="s">
        <v>84</v>
      </c>
      <c r="T1241" s="5">
        <f t="shared" si="392"/>
        <v>0</v>
      </c>
      <c r="U1241" s="5">
        <f t="shared" si="393"/>
        <v>0</v>
      </c>
      <c r="V1241" s="5">
        <f t="shared" si="394"/>
        <v>0</v>
      </c>
      <c r="W1241" s="5">
        <f t="shared" si="395"/>
        <v>0</v>
      </c>
      <c r="X1241" s="5">
        <f t="shared" si="396"/>
        <v>0</v>
      </c>
      <c r="Y1241" s="5">
        <f t="shared" si="397"/>
        <v>0</v>
      </c>
      <c r="Z1241" s="5">
        <f t="shared" si="398"/>
        <v>0</v>
      </c>
      <c r="AA1241" s="5">
        <f t="shared" si="399"/>
        <v>0</v>
      </c>
      <c r="AB1241" s="5">
        <f t="shared" si="400"/>
        <v>0</v>
      </c>
    </row>
    <row r="1242" spans="4:28" x14ac:dyDescent="0.25">
      <c r="D1242" t="s">
        <v>85</v>
      </c>
      <c r="E1242" s="64"/>
      <c r="F1242" s="64"/>
      <c r="G1242">
        <f>IFERROR(HLOOKUP(G$2,[39]table_female_hkom1_inj.V3!$A$1:$K$36,17,FALSE),0)</f>
        <v>0</v>
      </c>
      <c r="H1242">
        <f>IFERROR(HLOOKUP(H$2,[39]table_female_hkom1_inj.V3!$A$1:$K$36,17,FALSE),0)</f>
        <v>0</v>
      </c>
      <c r="I1242">
        <f>IFERROR(HLOOKUP(I$2,[39]table_female_hkom1_inj.V3!$A$1:$K$36,17,FALSE),0)</f>
        <v>0</v>
      </c>
      <c r="J1242">
        <f>IFERROR(HLOOKUP(J$2,[39]table_female_hkom1_inj.V3!$A$1:$K$36,17,FALSE),0)</f>
        <v>0</v>
      </c>
      <c r="K1242">
        <f>IFERROR(HLOOKUP(K$2,[39]table_female_hkom1_inj.V3!$A$1:$K$36,17,FALSE),0)</f>
        <v>0</v>
      </c>
      <c r="L1242">
        <f>IFERROR(HLOOKUP(L$2,[39]table_female_hkom1_inj.V3!$A$1:$K$36,17,FALSE),0)</f>
        <v>0</v>
      </c>
      <c r="M1242">
        <f t="shared" si="381"/>
        <v>0</v>
      </c>
      <c r="S1242" t="s">
        <v>85</v>
      </c>
      <c r="T1242" s="5">
        <f t="shared" si="392"/>
        <v>0</v>
      </c>
      <c r="U1242" s="5">
        <f t="shared" si="393"/>
        <v>0</v>
      </c>
      <c r="V1242" s="5">
        <f t="shared" si="394"/>
        <v>0</v>
      </c>
      <c r="W1242" s="5">
        <f t="shared" si="395"/>
        <v>0</v>
      </c>
      <c r="X1242" s="5">
        <f t="shared" si="396"/>
        <v>0</v>
      </c>
      <c r="Y1242" s="5">
        <f t="shared" si="397"/>
        <v>0</v>
      </c>
      <c r="Z1242" s="5">
        <f t="shared" si="398"/>
        <v>0</v>
      </c>
      <c r="AA1242" s="5">
        <f t="shared" si="399"/>
        <v>0</v>
      </c>
      <c r="AB1242" s="5">
        <f t="shared" si="400"/>
        <v>0</v>
      </c>
    </row>
    <row r="1243" spans="4:28" x14ac:dyDescent="0.25">
      <c r="D1243" t="s">
        <v>86</v>
      </c>
      <c r="E1243" s="64"/>
      <c r="F1243" s="64"/>
      <c r="G1243">
        <f>IFERROR(HLOOKUP(G$2,[39]table_female_hkom1_inj.V3!$A$1:$K$36,18,FALSE),0)</f>
        <v>0</v>
      </c>
      <c r="H1243">
        <f>IFERROR(HLOOKUP(H$2,[39]table_female_hkom1_inj.V3!$A$1:$K$36,18,FALSE),0)</f>
        <v>0</v>
      </c>
      <c r="I1243">
        <f>IFERROR(HLOOKUP(I$2,[39]table_female_hkom1_inj.V3!$A$1:$K$36,18,FALSE),0)</f>
        <v>0</v>
      </c>
      <c r="J1243">
        <f>IFERROR(HLOOKUP(J$2,[39]table_female_hkom1_inj.V3!$A$1:$K$36,18,FALSE),0)</f>
        <v>0</v>
      </c>
      <c r="K1243">
        <f>IFERROR(HLOOKUP(K$2,[39]table_female_hkom1_inj.V3!$A$1:$K$36,18,FALSE),0)</f>
        <v>0</v>
      </c>
      <c r="L1243">
        <f>IFERROR(HLOOKUP(L$2,[39]table_female_hkom1_inj.V3!$A$1:$K$36,18,FALSE),0)</f>
        <v>0</v>
      </c>
      <c r="M1243">
        <f t="shared" si="381"/>
        <v>0</v>
      </c>
      <c r="S1243" t="s">
        <v>86</v>
      </c>
      <c r="T1243" s="5">
        <f t="shared" si="392"/>
        <v>0</v>
      </c>
      <c r="U1243" s="5">
        <f t="shared" si="393"/>
        <v>0</v>
      </c>
      <c r="V1243" s="5">
        <f t="shared" si="394"/>
        <v>0</v>
      </c>
      <c r="W1243" s="5">
        <f t="shared" si="395"/>
        <v>0</v>
      </c>
      <c r="X1243" s="5">
        <f t="shared" si="396"/>
        <v>0</v>
      </c>
      <c r="Y1243" s="5">
        <f t="shared" si="397"/>
        <v>0</v>
      </c>
      <c r="Z1243" s="5">
        <f t="shared" si="398"/>
        <v>0</v>
      </c>
      <c r="AA1243" s="5">
        <f t="shared" si="399"/>
        <v>0</v>
      </c>
      <c r="AB1243" s="5">
        <f t="shared" si="400"/>
        <v>0</v>
      </c>
    </row>
    <row r="1244" spans="4:28" x14ac:dyDescent="0.25">
      <c r="D1244" t="s">
        <v>87</v>
      </c>
      <c r="E1244" s="64"/>
      <c r="F1244" s="64"/>
      <c r="G1244">
        <f>IFERROR(HLOOKUP(G$2,[39]table_female_hkom1_inj.V3!$A$1:$K$36,19,FALSE),0)</f>
        <v>0</v>
      </c>
      <c r="H1244">
        <f>IFERROR(HLOOKUP(H$2,[39]table_female_hkom1_inj.V3!$A$1:$K$36,19,FALSE),0)</f>
        <v>0</v>
      </c>
      <c r="I1244">
        <f>IFERROR(HLOOKUP(I$2,[39]table_female_hkom1_inj.V3!$A$1:$K$36,19,FALSE),0)</f>
        <v>0</v>
      </c>
      <c r="J1244">
        <f>IFERROR(HLOOKUP(J$2,[39]table_female_hkom1_inj.V3!$A$1:$K$36,19,FALSE),0)</f>
        <v>0</v>
      </c>
      <c r="K1244">
        <f>IFERROR(HLOOKUP(K$2,[39]table_female_hkom1_inj.V3!$A$1:$K$36,19,FALSE),0)</f>
        <v>0</v>
      </c>
      <c r="L1244">
        <f>IFERROR(HLOOKUP(L$2,[39]table_female_hkom1_inj.V3!$A$1:$K$36,19,FALSE),0)</f>
        <v>0</v>
      </c>
      <c r="M1244">
        <f t="shared" si="381"/>
        <v>0</v>
      </c>
      <c r="S1244" t="s">
        <v>87</v>
      </c>
      <c r="T1244" s="5">
        <f t="shared" si="392"/>
        <v>0</v>
      </c>
      <c r="U1244" s="5">
        <f t="shared" si="393"/>
        <v>0</v>
      </c>
      <c r="V1244" s="5">
        <f t="shared" si="394"/>
        <v>0</v>
      </c>
      <c r="W1244" s="5">
        <f t="shared" si="395"/>
        <v>0</v>
      </c>
      <c r="X1244" s="5">
        <f t="shared" si="396"/>
        <v>0</v>
      </c>
      <c r="Y1244" s="5">
        <f t="shared" si="397"/>
        <v>0</v>
      </c>
      <c r="Z1244" s="5">
        <f t="shared" si="398"/>
        <v>0</v>
      </c>
      <c r="AA1244" s="5">
        <f t="shared" si="399"/>
        <v>0</v>
      </c>
      <c r="AB1244" s="5">
        <f t="shared" si="400"/>
        <v>0</v>
      </c>
    </row>
    <row r="1245" spans="4:28" x14ac:dyDescent="0.25">
      <c r="D1245" t="s">
        <v>88</v>
      </c>
      <c r="E1245" s="64"/>
      <c r="F1245" s="64"/>
      <c r="G1245">
        <f>IFERROR(HLOOKUP(G$2,[39]table_female_hkom1_inj.V3!$A$1:$K$36,20,FALSE),0)</f>
        <v>0</v>
      </c>
      <c r="H1245">
        <f>IFERROR(HLOOKUP(H$2,[39]table_female_hkom1_inj.V3!$A$1:$K$36,20,FALSE),0)</f>
        <v>0</v>
      </c>
      <c r="I1245">
        <f>IFERROR(HLOOKUP(I$2,[39]table_female_hkom1_inj.V3!$A$1:$K$36,20,FALSE),0)</f>
        <v>0</v>
      </c>
      <c r="J1245">
        <f>IFERROR(HLOOKUP(J$2,[39]table_female_hkom1_inj.V3!$A$1:$K$36,20,FALSE),0)</f>
        <v>0</v>
      </c>
      <c r="K1245">
        <f>IFERROR(HLOOKUP(K$2,[39]table_female_hkom1_inj.V3!$A$1:$K$36,20,FALSE),0)</f>
        <v>0</v>
      </c>
      <c r="L1245">
        <f>IFERROR(HLOOKUP(L$2,[39]table_female_hkom1_inj.V3!$A$1:$K$36,20,FALSE),0)</f>
        <v>0</v>
      </c>
      <c r="M1245">
        <f t="shared" si="381"/>
        <v>0</v>
      </c>
      <c r="S1245" t="s">
        <v>88</v>
      </c>
      <c r="T1245" s="5">
        <f t="shared" si="392"/>
        <v>0</v>
      </c>
      <c r="U1245" s="5">
        <f t="shared" si="393"/>
        <v>0</v>
      </c>
      <c r="V1245" s="5">
        <f t="shared" si="394"/>
        <v>0</v>
      </c>
      <c r="W1245" s="5">
        <f t="shared" si="395"/>
        <v>0</v>
      </c>
      <c r="X1245" s="5">
        <f t="shared" si="396"/>
        <v>0</v>
      </c>
      <c r="Y1245" s="5">
        <f t="shared" si="397"/>
        <v>0</v>
      </c>
      <c r="Z1245" s="5">
        <f t="shared" si="398"/>
        <v>0</v>
      </c>
      <c r="AA1245" s="5">
        <f t="shared" si="399"/>
        <v>0</v>
      </c>
      <c r="AB1245" s="5">
        <f t="shared" si="400"/>
        <v>0</v>
      </c>
    </row>
    <row r="1246" spans="4:28" x14ac:dyDescent="0.25">
      <c r="D1246" t="s">
        <v>89</v>
      </c>
      <c r="E1246" s="64"/>
      <c r="F1246" s="64"/>
      <c r="G1246">
        <f>IFERROR(HLOOKUP(G$2,[39]table_female_hkom1_inj.V3!$A$1:$K$36,21,FALSE),0)</f>
        <v>0</v>
      </c>
      <c r="H1246">
        <f>IFERROR(HLOOKUP(H$2,[39]table_female_hkom1_inj.V3!$A$1:$K$36,21,FALSE),0)</f>
        <v>0</v>
      </c>
      <c r="I1246">
        <f>IFERROR(HLOOKUP(I$2,[39]table_female_hkom1_inj.V3!$A$1:$K$36,21,FALSE),0)</f>
        <v>0</v>
      </c>
      <c r="J1246">
        <f>IFERROR(HLOOKUP(J$2,[39]table_female_hkom1_inj.V3!$A$1:$K$36,21,FALSE),0)</f>
        <v>0</v>
      </c>
      <c r="K1246">
        <f>IFERROR(HLOOKUP(K$2,[39]table_female_hkom1_inj.V3!$A$1:$K$36,21,FALSE),0)</f>
        <v>0</v>
      </c>
      <c r="L1246">
        <f>IFERROR(HLOOKUP(L$2,[39]table_female_hkom1_inj.V3!$A$1:$K$36,21,FALSE),0)</f>
        <v>0</v>
      </c>
      <c r="M1246">
        <f t="shared" si="381"/>
        <v>0</v>
      </c>
      <c r="S1246" t="s">
        <v>89</v>
      </c>
      <c r="T1246" s="5">
        <f t="shared" si="392"/>
        <v>0</v>
      </c>
      <c r="U1246" s="5">
        <f t="shared" si="393"/>
        <v>0</v>
      </c>
      <c r="V1246" s="5">
        <f t="shared" si="394"/>
        <v>0</v>
      </c>
      <c r="W1246" s="5">
        <f t="shared" si="395"/>
        <v>0</v>
      </c>
      <c r="X1246" s="5">
        <f t="shared" si="396"/>
        <v>0</v>
      </c>
      <c r="Y1246" s="5">
        <f t="shared" si="397"/>
        <v>0</v>
      </c>
      <c r="Z1246" s="5">
        <f t="shared" si="398"/>
        <v>0</v>
      </c>
      <c r="AA1246" s="5">
        <f t="shared" si="399"/>
        <v>0</v>
      </c>
      <c r="AB1246" s="5">
        <f t="shared" si="400"/>
        <v>0</v>
      </c>
    </row>
    <row r="1247" spans="4:28" x14ac:dyDescent="0.25">
      <c r="D1247" t="s">
        <v>90</v>
      </c>
      <c r="E1247" s="64"/>
      <c r="F1247" s="64"/>
      <c r="G1247">
        <f>IFERROR(HLOOKUP(G$2,[39]table_female_hkom1_inj.V3!$A$1:$K$36,22,FALSE),0)</f>
        <v>0</v>
      </c>
      <c r="H1247">
        <f>IFERROR(HLOOKUP(H$2,[39]table_female_hkom1_inj.V3!$A$1:$K$36,22,FALSE),0)</f>
        <v>0</v>
      </c>
      <c r="I1247">
        <f>IFERROR(HLOOKUP(I$2,[39]table_female_hkom1_inj.V3!$A$1:$K$36,22,FALSE),0)</f>
        <v>0</v>
      </c>
      <c r="J1247">
        <f>IFERROR(HLOOKUP(J$2,[39]table_female_hkom1_inj.V3!$A$1:$K$36,22,FALSE),0)</f>
        <v>0</v>
      </c>
      <c r="K1247">
        <f>IFERROR(HLOOKUP(K$2,[39]table_female_hkom1_inj.V3!$A$1:$K$36,22,FALSE),0)</f>
        <v>0</v>
      </c>
      <c r="L1247">
        <f>IFERROR(HLOOKUP(L$2,[39]table_female_hkom1_inj.V3!$A$1:$K$36,22,FALSE),0)</f>
        <v>0</v>
      </c>
      <c r="M1247">
        <f t="shared" si="381"/>
        <v>0</v>
      </c>
      <c r="S1247" t="s">
        <v>90</v>
      </c>
      <c r="T1247" s="5">
        <f t="shared" si="392"/>
        <v>0</v>
      </c>
      <c r="U1247" s="5">
        <f t="shared" si="393"/>
        <v>0</v>
      </c>
      <c r="V1247" s="5">
        <f t="shared" si="394"/>
        <v>0</v>
      </c>
      <c r="W1247" s="5">
        <f t="shared" si="395"/>
        <v>0</v>
      </c>
      <c r="X1247" s="5">
        <f t="shared" si="396"/>
        <v>0</v>
      </c>
      <c r="Y1247" s="5">
        <f t="shared" si="397"/>
        <v>0</v>
      </c>
      <c r="Z1247" s="5">
        <f t="shared" si="398"/>
        <v>0</v>
      </c>
      <c r="AA1247" s="5">
        <f t="shared" si="399"/>
        <v>0</v>
      </c>
      <c r="AB1247" s="5">
        <f t="shared" si="400"/>
        <v>0</v>
      </c>
    </row>
    <row r="1248" spans="4:28" x14ac:dyDescent="0.25">
      <c r="D1248" t="s">
        <v>91</v>
      </c>
      <c r="E1248" s="64"/>
      <c r="F1248" s="64"/>
      <c r="G1248">
        <f>IFERROR(HLOOKUP(G$2,[39]table_female_hkom1_inj.V3!$A$1:$K$36,23,FALSE),0)</f>
        <v>0</v>
      </c>
      <c r="H1248">
        <f>IFERROR(HLOOKUP(H$2,[39]table_female_hkom1_inj.V3!$A$1:$K$36,23,FALSE),0)</f>
        <v>0</v>
      </c>
      <c r="I1248">
        <f>IFERROR(HLOOKUP(I$2,[39]table_female_hkom1_inj.V3!$A$1:$K$36,23,FALSE),0)</f>
        <v>0</v>
      </c>
      <c r="J1248">
        <f>IFERROR(HLOOKUP(J$2,[39]table_female_hkom1_inj.V3!$A$1:$K$36,23,FALSE),0)</f>
        <v>0</v>
      </c>
      <c r="K1248">
        <f>IFERROR(HLOOKUP(K$2,[39]table_female_hkom1_inj.V3!$A$1:$K$36,23,FALSE),0)</f>
        <v>0</v>
      </c>
      <c r="L1248">
        <f>IFERROR(HLOOKUP(L$2,[39]table_female_hkom1_inj.V3!$A$1:$K$36,23,FALSE),0)</f>
        <v>0</v>
      </c>
      <c r="M1248">
        <f t="shared" si="381"/>
        <v>0</v>
      </c>
      <c r="S1248" t="s">
        <v>91</v>
      </c>
      <c r="T1248" s="5">
        <f t="shared" si="392"/>
        <v>0</v>
      </c>
      <c r="U1248" s="5">
        <f t="shared" si="393"/>
        <v>0</v>
      </c>
      <c r="V1248" s="5">
        <f t="shared" si="394"/>
        <v>0</v>
      </c>
      <c r="W1248" s="5">
        <f t="shared" si="395"/>
        <v>0</v>
      </c>
      <c r="X1248" s="5">
        <f t="shared" si="396"/>
        <v>0</v>
      </c>
      <c r="Y1248" s="5">
        <f t="shared" si="397"/>
        <v>0</v>
      </c>
      <c r="Z1248" s="5">
        <f t="shared" si="398"/>
        <v>0</v>
      </c>
      <c r="AA1248" s="5">
        <f t="shared" si="399"/>
        <v>0</v>
      </c>
      <c r="AB1248" s="5">
        <f t="shared" si="400"/>
        <v>0</v>
      </c>
    </row>
    <row r="1249" spans="1:29" x14ac:dyDescent="0.25">
      <c r="D1249" t="s">
        <v>92</v>
      </c>
      <c r="E1249" s="64"/>
      <c r="F1249" s="64"/>
      <c r="G1249">
        <f>IFERROR(HLOOKUP(G$2,[39]table_female_hkom1_inj.V3!$A$1:$K$36,24,FALSE),0)</f>
        <v>0</v>
      </c>
      <c r="H1249">
        <f>IFERROR(HLOOKUP(H$2,[39]table_female_hkom1_inj.V3!$A$1:$K$36,24,FALSE),0)</f>
        <v>0</v>
      </c>
      <c r="I1249">
        <f>IFERROR(HLOOKUP(I$2,[39]table_female_hkom1_inj.V3!$A$1:$K$36,24,FALSE),0)</f>
        <v>0</v>
      </c>
      <c r="J1249">
        <f>IFERROR(HLOOKUP(J$2,[39]table_female_hkom1_inj.V3!$A$1:$K$36,24,FALSE),0)</f>
        <v>0</v>
      </c>
      <c r="K1249">
        <f>IFERROR(HLOOKUP(K$2,[39]table_female_hkom1_inj.V3!$A$1:$K$36,24,FALSE),0)</f>
        <v>0</v>
      </c>
      <c r="L1249">
        <f>IFERROR(HLOOKUP(L$2,[39]table_female_hkom1_inj.V3!$A$1:$K$36,24,FALSE),0)</f>
        <v>0</v>
      </c>
      <c r="M1249">
        <f t="shared" si="381"/>
        <v>0</v>
      </c>
      <c r="S1249" t="s">
        <v>92</v>
      </c>
      <c r="T1249" s="5">
        <f t="shared" si="392"/>
        <v>0</v>
      </c>
      <c r="U1249" s="5">
        <f t="shared" si="393"/>
        <v>0</v>
      </c>
      <c r="V1249" s="5">
        <f t="shared" si="394"/>
        <v>0</v>
      </c>
      <c r="W1249" s="5">
        <f t="shared" si="395"/>
        <v>0</v>
      </c>
      <c r="X1249" s="5">
        <f t="shared" si="396"/>
        <v>0</v>
      </c>
      <c r="Y1249" s="5">
        <f t="shared" si="397"/>
        <v>0</v>
      </c>
      <c r="Z1249" s="5">
        <f t="shared" si="398"/>
        <v>0</v>
      </c>
      <c r="AA1249" s="5">
        <f t="shared" si="399"/>
        <v>0</v>
      </c>
      <c r="AB1249" s="5">
        <f t="shared" si="400"/>
        <v>0</v>
      </c>
    </row>
    <row r="1250" spans="1:29" x14ac:dyDescent="0.25">
      <c r="D1250" t="s">
        <v>93</v>
      </c>
      <c r="E1250" s="64"/>
      <c r="F1250" s="64"/>
      <c r="G1250">
        <f>IFERROR(HLOOKUP(G$2,[39]table_female_hkom1_inj.V3!$A$1:$K$36,25,FALSE),0)</f>
        <v>0</v>
      </c>
      <c r="H1250">
        <f>IFERROR(HLOOKUP(H$2,[39]table_female_hkom1_inj.V3!$A$1:$K$36,25,FALSE),0)</f>
        <v>0</v>
      </c>
      <c r="I1250">
        <f>IFERROR(HLOOKUP(I$2,[39]table_female_hkom1_inj.V3!$A$1:$K$36,25,FALSE),0)</f>
        <v>0</v>
      </c>
      <c r="J1250">
        <f>IFERROR(HLOOKUP(J$2,[39]table_female_hkom1_inj.V3!$A$1:$K$36,25,FALSE),0)</f>
        <v>0</v>
      </c>
      <c r="K1250">
        <f>IFERROR(HLOOKUP(K$2,[39]table_female_hkom1_inj.V3!$A$1:$K$36,25,FALSE),0)</f>
        <v>0</v>
      </c>
      <c r="L1250">
        <f>IFERROR(HLOOKUP(L$2,[39]table_female_hkom1_inj.V3!$A$1:$K$36,25,FALSE),0)</f>
        <v>0</v>
      </c>
      <c r="M1250">
        <f t="shared" si="381"/>
        <v>0</v>
      </c>
      <c r="S1250" t="s">
        <v>93</v>
      </c>
      <c r="T1250" s="5">
        <f t="shared" si="392"/>
        <v>0</v>
      </c>
      <c r="U1250" s="5">
        <f t="shared" si="393"/>
        <v>0</v>
      </c>
      <c r="V1250" s="5">
        <f t="shared" si="394"/>
        <v>0</v>
      </c>
      <c r="W1250" s="5">
        <f t="shared" si="395"/>
        <v>0</v>
      </c>
      <c r="X1250" s="5">
        <f t="shared" si="396"/>
        <v>0</v>
      </c>
      <c r="Y1250" s="5">
        <f t="shared" si="397"/>
        <v>0</v>
      </c>
      <c r="Z1250" s="5">
        <f t="shared" si="398"/>
        <v>0</v>
      </c>
      <c r="AA1250" s="5">
        <f t="shared" si="399"/>
        <v>0</v>
      </c>
      <c r="AB1250" s="5">
        <f t="shared" si="400"/>
        <v>0</v>
      </c>
    </row>
    <row r="1251" spans="1:29" x14ac:dyDescent="0.25">
      <c r="D1251" t="s">
        <v>94</v>
      </c>
      <c r="E1251" s="64"/>
      <c r="F1251" s="64"/>
      <c r="G1251">
        <f>IFERROR(HLOOKUP(G$2,[39]table_female_hkom1_inj.V3!$A$1:$K$36,26,FALSE),0)</f>
        <v>0</v>
      </c>
      <c r="H1251">
        <f>IFERROR(HLOOKUP(H$2,[39]table_female_hkom1_inj.V3!$A$1:$K$36,26,FALSE),0)</f>
        <v>0</v>
      </c>
      <c r="I1251">
        <f>IFERROR(HLOOKUP(I$2,[39]table_female_hkom1_inj.V3!$A$1:$K$36,26,FALSE),0)</f>
        <v>0</v>
      </c>
      <c r="J1251">
        <f>IFERROR(HLOOKUP(J$2,[39]table_female_hkom1_inj.V3!$A$1:$K$36,26,FALSE),0)</f>
        <v>0</v>
      </c>
      <c r="K1251">
        <f>IFERROR(HLOOKUP(K$2,[39]table_female_hkom1_inj.V3!$A$1:$K$36,26,FALSE),0)</f>
        <v>0</v>
      </c>
      <c r="L1251">
        <f>IFERROR(HLOOKUP(L$2,[39]table_female_hkom1_inj.V3!$A$1:$K$36,26,FALSE),0)</f>
        <v>0</v>
      </c>
      <c r="M1251">
        <f t="shared" si="381"/>
        <v>0</v>
      </c>
      <c r="S1251" t="s">
        <v>94</v>
      </c>
      <c r="T1251" s="5">
        <f t="shared" si="392"/>
        <v>0</v>
      </c>
      <c r="U1251" s="5">
        <f t="shared" si="393"/>
        <v>0</v>
      </c>
      <c r="V1251" s="5">
        <f t="shared" si="394"/>
        <v>0</v>
      </c>
      <c r="W1251" s="5">
        <f t="shared" si="395"/>
        <v>0</v>
      </c>
      <c r="X1251" s="5">
        <f t="shared" si="396"/>
        <v>0</v>
      </c>
      <c r="Y1251" s="5">
        <f t="shared" si="397"/>
        <v>0</v>
      </c>
      <c r="Z1251" s="5">
        <f t="shared" si="398"/>
        <v>0</v>
      </c>
      <c r="AA1251" s="5">
        <f t="shared" si="399"/>
        <v>0</v>
      </c>
      <c r="AB1251" s="5">
        <f t="shared" si="400"/>
        <v>0</v>
      </c>
    </row>
    <row r="1252" spans="1:29" x14ac:dyDescent="0.25">
      <c r="D1252" t="s">
        <v>95</v>
      </c>
      <c r="E1252" s="64"/>
      <c r="F1252" s="64"/>
      <c r="G1252">
        <f>IFERROR(HLOOKUP(G$2,[39]table_female_hkom1_inj.V3!$A$1:$K$36,27,FALSE),0)</f>
        <v>0</v>
      </c>
      <c r="H1252">
        <f>IFERROR(HLOOKUP(H$2,[39]table_female_hkom1_inj.V3!$A$1:$K$36,27,FALSE),0)</f>
        <v>0</v>
      </c>
      <c r="I1252">
        <f>IFERROR(HLOOKUP(I$2,[39]table_female_hkom1_inj.V3!$A$1:$K$36,27,FALSE),0)</f>
        <v>0</v>
      </c>
      <c r="J1252">
        <f>IFERROR(HLOOKUP(J$2,[39]table_female_hkom1_inj.V3!$A$1:$K$36,27,FALSE),0)</f>
        <v>0</v>
      </c>
      <c r="K1252">
        <f>IFERROR(HLOOKUP(K$2,[39]table_female_hkom1_inj.V3!$A$1:$K$36,27,FALSE),0)</f>
        <v>0</v>
      </c>
      <c r="L1252">
        <f>IFERROR(HLOOKUP(L$2,[39]table_female_hkom1_inj.V3!$A$1:$K$36,27,FALSE),0)</f>
        <v>0</v>
      </c>
      <c r="M1252">
        <f t="shared" si="381"/>
        <v>0</v>
      </c>
      <c r="S1252" t="s">
        <v>95</v>
      </c>
      <c r="T1252" s="5">
        <f t="shared" si="392"/>
        <v>0</v>
      </c>
      <c r="U1252" s="5">
        <f t="shared" si="393"/>
        <v>0</v>
      </c>
      <c r="V1252" s="5">
        <f t="shared" si="394"/>
        <v>0</v>
      </c>
      <c r="W1252" s="5">
        <f t="shared" si="395"/>
        <v>0</v>
      </c>
      <c r="X1252" s="5">
        <f t="shared" si="396"/>
        <v>0</v>
      </c>
      <c r="Y1252" s="5">
        <f t="shared" si="397"/>
        <v>0</v>
      </c>
      <c r="Z1252" s="5">
        <f t="shared" si="398"/>
        <v>0</v>
      </c>
      <c r="AA1252" s="5">
        <f t="shared" si="399"/>
        <v>0</v>
      </c>
      <c r="AB1252" s="5">
        <f t="shared" si="400"/>
        <v>0</v>
      </c>
    </row>
    <row r="1253" spans="1:29" x14ac:dyDescent="0.25">
      <c r="D1253" t="s">
        <v>96</v>
      </c>
      <c r="E1253" s="64"/>
      <c r="F1253" s="64"/>
      <c r="G1253">
        <f>IFERROR(HLOOKUP(G$2,[39]table_female_hkom1_inj.V3!$A$1:$K$36,28,FALSE),0)</f>
        <v>0</v>
      </c>
      <c r="H1253">
        <f>IFERROR(HLOOKUP(H$2,[39]table_female_hkom1_inj.V3!$A$1:$K$36,28,FALSE),0)</f>
        <v>0</v>
      </c>
      <c r="I1253">
        <f>IFERROR(HLOOKUP(I$2,[39]table_female_hkom1_inj.V3!$A$1:$K$36,28,FALSE),0)</f>
        <v>0</v>
      </c>
      <c r="J1253">
        <f>IFERROR(HLOOKUP(J$2,[39]table_female_hkom1_inj.V3!$A$1:$K$36,28,FALSE),0)</f>
        <v>0</v>
      </c>
      <c r="K1253">
        <f>IFERROR(HLOOKUP(K$2,[39]table_female_hkom1_inj.V3!$A$1:$K$36,28,FALSE),0)</f>
        <v>0</v>
      </c>
      <c r="L1253">
        <f>IFERROR(HLOOKUP(L$2,[39]table_female_hkom1_inj.V3!$A$1:$K$36,28,FALSE),0)</f>
        <v>0</v>
      </c>
      <c r="M1253">
        <f t="shared" si="381"/>
        <v>0</v>
      </c>
      <c r="S1253" t="s">
        <v>96</v>
      </c>
      <c r="T1253" s="5">
        <f t="shared" si="392"/>
        <v>0</v>
      </c>
      <c r="U1253" s="5">
        <f t="shared" si="393"/>
        <v>0</v>
      </c>
      <c r="V1253" s="5">
        <f t="shared" si="394"/>
        <v>0</v>
      </c>
      <c r="W1253" s="5">
        <f t="shared" si="395"/>
        <v>0</v>
      </c>
      <c r="X1253" s="5">
        <f t="shared" si="396"/>
        <v>0</v>
      </c>
      <c r="Y1253" s="5">
        <f t="shared" si="397"/>
        <v>0</v>
      </c>
      <c r="Z1253" s="5">
        <f t="shared" si="398"/>
        <v>0</v>
      </c>
      <c r="AA1253" s="5">
        <f t="shared" si="399"/>
        <v>0</v>
      </c>
      <c r="AB1253" s="5">
        <f t="shared" si="400"/>
        <v>0</v>
      </c>
    </row>
    <row r="1254" spans="1:29" x14ac:dyDescent="0.25">
      <c r="D1254" t="s">
        <v>97</v>
      </c>
      <c r="E1254" s="64"/>
      <c r="F1254" s="64"/>
      <c r="G1254">
        <f>IFERROR(HLOOKUP(G$2,[39]table_female_hkom1_inj.V3!$A$1:$K$36,29,FALSE),0)</f>
        <v>0</v>
      </c>
      <c r="H1254">
        <f>IFERROR(HLOOKUP(H$2,[39]table_female_hkom1_inj.V3!$A$1:$K$36,29,FALSE),0)</f>
        <v>0</v>
      </c>
      <c r="I1254">
        <f>IFERROR(HLOOKUP(I$2,[39]table_female_hkom1_inj.V3!$A$1:$K$36,29,FALSE),0)</f>
        <v>0</v>
      </c>
      <c r="J1254">
        <f>IFERROR(HLOOKUP(J$2,[39]table_female_hkom1_inj.V3!$A$1:$K$36,29,FALSE),0)</f>
        <v>0</v>
      </c>
      <c r="K1254">
        <f>IFERROR(HLOOKUP(K$2,[39]table_female_hkom1_inj.V3!$A$1:$K$36,29,FALSE),0)</f>
        <v>0</v>
      </c>
      <c r="L1254">
        <f>IFERROR(HLOOKUP(L$2,[39]table_female_hkom1_inj.V3!$A$1:$K$36,29,FALSE),0)</f>
        <v>0</v>
      </c>
      <c r="M1254">
        <f t="shared" ref="M1254:M1317" si="401">SUM(E1254:L1254)</f>
        <v>0</v>
      </c>
      <c r="S1254" t="s">
        <v>97</v>
      </c>
      <c r="T1254" s="5">
        <f t="shared" si="392"/>
        <v>0</v>
      </c>
      <c r="U1254" s="5">
        <f t="shared" si="393"/>
        <v>0</v>
      </c>
      <c r="V1254" s="5">
        <f t="shared" si="394"/>
        <v>0</v>
      </c>
      <c r="W1254" s="5">
        <f t="shared" si="395"/>
        <v>0</v>
      </c>
      <c r="X1254" s="5">
        <f t="shared" si="396"/>
        <v>0</v>
      </c>
      <c r="Y1254" s="5">
        <f t="shared" si="397"/>
        <v>0</v>
      </c>
      <c r="Z1254" s="5">
        <f t="shared" si="398"/>
        <v>0</v>
      </c>
      <c r="AA1254" s="5">
        <f t="shared" si="399"/>
        <v>0</v>
      </c>
      <c r="AB1254" s="5">
        <f t="shared" si="400"/>
        <v>0</v>
      </c>
    </row>
    <row r="1255" spans="1:29" x14ac:dyDescent="0.25">
      <c r="D1255" t="s">
        <v>98</v>
      </c>
      <c r="E1255" s="64"/>
      <c r="F1255" s="64"/>
      <c r="G1255">
        <f>IFERROR(HLOOKUP(G$2,[39]table_female_hkom1_inj.V3!$A$1:$K$36,30,FALSE),0)</f>
        <v>0</v>
      </c>
      <c r="H1255">
        <f>IFERROR(HLOOKUP(H$2,[39]table_female_hkom1_inj.V3!$A$1:$K$36,30,FALSE),0)</f>
        <v>0</v>
      </c>
      <c r="I1255">
        <f>IFERROR(HLOOKUP(I$2,[39]table_female_hkom1_inj.V3!$A$1:$K$36,30,FALSE),0)</f>
        <v>0</v>
      </c>
      <c r="J1255">
        <f>IFERROR(HLOOKUP(J$2,[39]table_female_hkom1_inj.V3!$A$1:$K$36,30,FALSE),0)</f>
        <v>0</v>
      </c>
      <c r="K1255">
        <f>IFERROR(HLOOKUP(K$2,[39]table_female_hkom1_inj.V3!$A$1:$K$36,30,FALSE),0)</f>
        <v>0</v>
      </c>
      <c r="L1255">
        <f>IFERROR(HLOOKUP(L$2,[39]table_female_hkom1_inj.V3!$A$1:$K$36,30,FALSE),0)</f>
        <v>0</v>
      </c>
      <c r="M1255">
        <f t="shared" si="401"/>
        <v>0</v>
      </c>
      <c r="S1255" t="s">
        <v>98</v>
      </c>
      <c r="T1255" s="5">
        <f t="shared" si="392"/>
        <v>0</v>
      </c>
      <c r="U1255" s="5">
        <f t="shared" si="393"/>
        <v>0</v>
      </c>
      <c r="V1255" s="5">
        <f t="shared" si="394"/>
        <v>0</v>
      </c>
      <c r="W1255" s="5">
        <f t="shared" si="395"/>
        <v>0</v>
      </c>
      <c r="X1255" s="5">
        <f t="shared" si="396"/>
        <v>0</v>
      </c>
      <c r="Y1255" s="5">
        <f t="shared" si="397"/>
        <v>0</v>
      </c>
      <c r="Z1255" s="5">
        <f t="shared" si="398"/>
        <v>0</v>
      </c>
      <c r="AA1255" s="5">
        <f t="shared" si="399"/>
        <v>0</v>
      </c>
      <c r="AB1255" s="5">
        <f t="shared" si="400"/>
        <v>0</v>
      </c>
    </row>
    <row r="1256" spans="1:29" x14ac:dyDescent="0.25">
      <c r="D1256" t="s">
        <v>119</v>
      </c>
      <c r="E1256" s="64"/>
      <c r="F1256" s="64"/>
      <c r="G1256">
        <f>IFERROR(HLOOKUP(G$2,[39]table_female_hkom1_inj.V3!$A$1:$K$36,31,FALSE),0)</f>
        <v>0</v>
      </c>
      <c r="H1256">
        <f>IFERROR(HLOOKUP(H$2,[39]table_female_hkom1_inj.V3!$A$1:$K$36,31,FALSE),0)</f>
        <v>0</v>
      </c>
      <c r="I1256">
        <f>IFERROR(HLOOKUP(I$2,[39]table_female_hkom1_inj.V3!$A$1:$K$36,31,FALSE),0)</f>
        <v>0</v>
      </c>
      <c r="J1256">
        <f>IFERROR(HLOOKUP(J$2,[39]table_female_hkom1_inj.V3!$A$1:$K$36,31,FALSE),0)</f>
        <v>0</v>
      </c>
      <c r="K1256">
        <f>IFERROR(HLOOKUP(K$2,[39]table_female_hkom1_inj.V3!$A$1:$K$36,31,FALSE),0)</f>
        <v>0</v>
      </c>
      <c r="L1256">
        <f>IFERROR(HLOOKUP(L$2,[39]table_female_hkom1_inj.V3!$A$1:$K$36,31,FALSE),0)</f>
        <v>0</v>
      </c>
      <c r="M1256">
        <f t="shared" si="401"/>
        <v>0</v>
      </c>
      <c r="S1256" t="s">
        <v>119</v>
      </c>
      <c r="T1256" s="5">
        <f t="shared" si="392"/>
        <v>0</v>
      </c>
      <c r="U1256" s="5">
        <f t="shared" si="393"/>
        <v>0</v>
      </c>
      <c r="V1256" s="5">
        <f t="shared" si="394"/>
        <v>0</v>
      </c>
      <c r="W1256" s="5">
        <f t="shared" si="395"/>
        <v>0</v>
      </c>
      <c r="X1256" s="5">
        <f t="shared" si="396"/>
        <v>0</v>
      </c>
      <c r="Y1256" s="5">
        <f t="shared" si="397"/>
        <v>0</v>
      </c>
      <c r="Z1256" s="5">
        <f t="shared" si="398"/>
        <v>0</v>
      </c>
      <c r="AA1256" s="5">
        <f t="shared" si="399"/>
        <v>0</v>
      </c>
      <c r="AB1256" s="5">
        <f t="shared" si="400"/>
        <v>0</v>
      </c>
    </row>
    <row r="1257" spans="1:29" x14ac:dyDescent="0.25">
      <c r="D1257" t="s">
        <v>99</v>
      </c>
      <c r="E1257" s="64"/>
      <c r="F1257" s="64"/>
      <c r="G1257">
        <f>IFERROR(HLOOKUP(G$2,[39]table_female_hkom1_inj.V3!$A$1:$K$36,32,FALSE),0)</f>
        <v>0</v>
      </c>
      <c r="H1257">
        <f>IFERROR(HLOOKUP(H$2,[39]table_female_hkom1_inj.V3!$A$1:$K$36,32,FALSE),0)</f>
        <v>0</v>
      </c>
      <c r="I1257">
        <f>IFERROR(HLOOKUP(I$2,[39]table_female_hkom1_inj.V3!$A$1:$K$36,32,FALSE),0)</f>
        <v>0</v>
      </c>
      <c r="J1257">
        <f>IFERROR(HLOOKUP(J$2,[39]table_female_hkom1_inj.V3!$A$1:$K$36,32,FALSE),0)</f>
        <v>0</v>
      </c>
      <c r="K1257">
        <f>IFERROR(HLOOKUP(K$2,[39]table_female_hkom1_inj.V3!$A$1:$K$36,32,FALSE),0)</f>
        <v>0</v>
      </c>
      <c r="L1257">
        <f>IFERROR(HLOOKUP(L$2,[39]table_female_hkom1_inj.V3!$A$1:$K$36,32,FALSE),0)</f>
        <v>0</v>
      </c>
      <c r="M1257">
        <f t="shared" si="401"/>
        <v>0</v>
      </c>
      <c r="S1257" t="s">
        <v>99</v>
      </c>
      <c r="T1257" s="5">
        <f t="shared" si="392"/>
        <v>0</v>
      </c>
      <c r="U1257" s="5">
        <f t="shared" si="393"/>
        <v>0</v>
      </c>
      <c r="V1257" s="5">
        <f t="shared" si="394"/>
        <v>0</v>
      </c>
      <c r="W1257" s="5">
        <f t="shared" si="395"/>
        <v>0</v>
      </c>
      <c r="X1257" s="5">
        <f t="shared" si="396"/>
        <v>0</v>
      </c>
      <c r="Y1257" s="5">
        <f t="shared" si="397"/>
        <v>0</v>
      </c>
      <c r="Z1257" s="5">
        <f t="shared" si="398"/>
        <v>0</v>
      </c>
      <c r="AA1257" s="5">
        <f t="shared" si="399"/>
        <v>0</v>
      </c>
      <c r="AB1257" s="5">
        <f t="shared" si="400"/>
        <v>0</v>
      </c>
    </row>
    <row r="1258" spans="1:29" x14ac:dyDescent="0.25">
      <c r="D1258" t="s">
        <v>100</v>
      </c>
      <c r="E1258" s="64"/>
      <c r="F1258" s="64"/>
      <c r="G1258">
        <f>IFERROR(HLOOKUP(G$2,[39]table_female_hkom1_inj.V3!$A$1:$K$36,33,FALSE),0)</f>
        <v>0</v>
      </c>
      <c r="H1258">
        <f>IFERROR(HLOOKUP(H$2,[39]table_female_hkom1_inj.V3!$A$1:$K$36,33,FALSE),0)</f>
        <v>0</v>
      </c>
      <c r="I1258">
        <f>IFERROR(HLOOKUP(I$2,[39]table_female_hkom1_inj.V3!$A$1:$K$36,33,FALSE),0)</f>
        <v>0</v>
      </c>
      <c r="J1258">
        <f>IFERROR(HLOOKUP(J$2,[39]table_female_hkom1_inj.V3!$A$1:$K$36,33,FALSE),0)</f>
        <v>0</v>
      </c>
      <c r="K1258">
        <f>IFERROR(HLOOKUP(K$2,[39]table_female_hkom1_inj.V3!$A$1:$K$36,33,FALSE),0)</f>
        <v>0</v>
      </c>
      <c r="L1258">
        <f>IFERROR(HLOOKUP(L$2,[39]table_female_hkom1_inj.V3!$A$1:$K$36,33,FALSE),0)</f>
        <v>0</v>
      </c>
      <c r="M1258">
        <f t="shared" si="401"/>
        <v>0</v>
      </c>
      <c r="S1258" t="s">
        <v>100</v>
      </c>
      <c r="T1258" s="5">
        <f t="shared" si="392"/>
        <v>0</v>
      </c>
      <c r="U1258" s="5">
        <f t="shared" si="393"/>
        <v>0</v>
      </c>
      <c r="V1258" s="5">
        <f t="shared" si="394"/>
        <v>0</v>
      </c>
      <c r="W1258" s="5">
        <f t="shared" si="395"/>
        <v>0</v>
      </c>
      <c r="X1258" s="5">
        <f t="shared" si="396"/>
        <v>0</v>
      </c>
      <c r="Y1258" s="5">
        <f t="shared" si="397"/>
        <v>0</v>
      </c>
      <c r="Z1258" s="5">
        <f t="shared" si="398"/>
        <v>0</v>
      </c>
      <c r="AA1258" s="5">
        <f t="shared" si="399"/>
        <v>0</v>
      </c>
      <c r="AB1258" s="5">
        <f t="shared" si="400"/>
        <v>0</v>
      </c>
    </row>
    <row r="1259" spans="1:29" x14ac:dyDescent="0.25">
      <c r="D1259" t="s">
        <v>101</v>
      </c>
      <c r="E1259" s="64"/>
      <c r="F1259" s="64"/>
      <c r="G1259">
        <f>IFERROR(HLOOKUP(G$2,[39]table_female_hkom1_inj.V3!$A$1:$K$36,34,FALSE),0)</f>
        <v>0</v>
      </c>
      <c r="H1259">
        <f>IFERROR(HLOOKUP(H$2,[39]table_female_hkom1_inj.V3!$A$1:$K$36,34,FALSE),0)</f>
        <v>0</v>
      </c>
      <c r="I1259">
        <f>IFERROR(HLOOKUP(I$2,[39]table_female_hkom1_inj.V3!$A$1:$K$36,34,FALSE),0)</f>
        <v>0</v>
      </c>
      <c r="J1259">
        <f>IFERROR(HLOOKUP(J$2,[39]table_female_hkom1_inj.V3!$A$1:$K$36,34,FALSE),0)</f>
        <v>0</v>
      </c>
      <c r="K1259">
        <f>IFERROR(HLOOKUP(K$2,[39]table_female_hkom1_inj.V3!$A$1:$K$36,34,FALSE),0)</f>
        <v>0</v>
      </c>
      <c r="L1259">
        <f>IFERROR(HLOOKUP(L$2,[39]table_female_hkom1_inj.V3!$A$1:$K$36,34,FALSE),0)</f>
        <v>0</v>
      </c>
      <c r="M1259">
        <f t="shared" si="401"/>
        <v>0</v>
      </c>
      <c r="S1259" t="s">
        <v>101</v>
      </c>
      <c r="T1259" s="5">
        <f t="shared" si="392"/>
        <v>0</v>
      </c>
      <c r="U1259" s="5">
        <f t="shared" si="393"/>
        <v>0</v>
      </c>
      <c r="V1259" s="5">
        <f t="shared" si="394"/>
        <v>0</v>
      </c>
      <c r="W1259" s="5">
        <f t="shared" si="395"/>
        <v>0</v>
      </c>
      <c r="X1259" s="5">
        <f t="shared" si="396"/>
        <v>0</v>
      </c>
      <c r="Y1259" s="5">
        <f t="shared" si="397"/>
        <v>0</v>
      </c>
      <c r="Z1259" s="5">
        <f t="shared" si="398"/>
        <v>0</v>
      </c>
      <c r="AA1259" s="5">
        <f t="shared" si="399"/>
        <v>0</v>
      </c>
      <c r="AB1259" s="5">
        <f t="shared" si="400"/>
        <v>0</v>
      </c>
    </row>
    <row r="1260" spans="1:29" x14ac:dyDescent="0.25">
      <c r="D1260" t="s">
        <v>102</v>
      </c>
      <c r="E1260" s="64"/>
      <c r="F1260" s="64"/>
      <c r="G1260">
        <f>IFERROR(HLOOKUP(G$2,[39]table_female_hkom1_inj.V3!$A$1:$K$36,35,FALSE),0)</f>
        <v>0</v>
      </c>
      <c r="H1260">
        <f>IFERROR(HLOOKUP(H$2,[39]table_female_hkom1_inj.V3!$A$1:$K$36,35,FALSE),0)</f>
        <v>0</v>
      </c>
      <c r="I1260">
        <f>IFERROR(HLOOKUP(I$2,[39]table_female_hkom1_inj.V3!$A$1:$K$36,35,FALSE),0)</f>
        <v>0</v>
      </c>
      <c r="J1260">
        <f>IFERROR(HLOOKUP(J$2,[39]table_female_hkom1_inj.V3!$A$1:$K$36,35,FALSE),0)</f>
        <v>0</v>
      </c>
      <c r="K1260">
        <f>IFERROR(HLOOKUP(K$2,[39]table_female_hkom1_inj.V3!$A$1:$K$36,35,FALSE),0)</f>
        <v>0</v>
      </c>
      <c r="L1260">
        <f>IFERROR(HLOOKUP(L$2,[39]table_female_hkom1_inj.V3!$A$1:$K$36,35,FALSE),0)</f>
        <v>0</v>
      </c>
      <c r="M1260">
        <f t="shared" si="401"/>
        <v>0</v>
      </c>
      <c r="N1260">
        <f>SUM(M1227:M1260)</f>
        <v>0</v>
      </c>
      <c r="O1260" s="8">
        <f>SUM([39]table_female_hkom1_inj.V3!$B$2:$L$37)</f>
        <v>0</v>
      </c>
      <c r="S1260" t="s">
        <v>102</v>
      </c>
      <c r="T1260" s="7"/>
      <c r="U1260" s="7"/>
      <c r="V1260" s="7"/>
      <c r="W1260" s="7"/>
      <c r="X1260" s="7"/>
      <c r="Y1260" s="7"/>
      <c r="Z1260" s="7"/>
      <c r="AA1260" s="7"/>
      <c r="AB1260" s="5">
        <f t="shared" si="400"/>
        <v>0</v>
      </c>
      <c r="AC1260" s="5">
        <f>SUM(AB1227:AB1259)</f>
        <v>0</v>
      </c>
    </row>
    <row r="1261" spans="1:29" x14ac:dyDescent="0.25">
      <c r="A1261" t="s">
        <v>115</v>
      </c>
      <c r="B1261" t="s">
        <v>103</v>
      </c>
      <c r="C1261" t="s">
        <v>108</v>
      </c>
      <c r="D1261" t="s">
        <v>70</v>
      </c>
      <c r="E1261" s="64"/>
      <c r="F1261" s="64"/>
      <c r="G1261">
        <f>IFERROR(HLOOKUP(G$2,[40]table_female_hkom1_inj.V4!$A$1:$K$36,2,FALSE),0)</f>
        <v>0</v>
      </c>
      <c r="H1261">
        <f>IFERROR(HLOOKUP(H$2,[40]table_female_hkom1_inj.V4!$A$1:$K$36,2,FALSE),0)</f>
        <v>0</v>
      </c>
      <c r="I1261">
        <f>IFERROR(HLOOKUP(I$2,[40]table_female_hkom1_inj.V4!$A$1:$K$36,2,FALSE),0)</f>
        <v>0</v>
      </c>
      <c r="J1261">
        <f>IFERROR(HLOOKUP(J$2,[40]table_female_hkom1_inj.V4!$A$1:$K$36,2,FALSE),0)</f>
        <v>0</v>
      </c>
      <c r="K1261">
        <f>IFERROR(HLOOKUP(K$2,[40]table_female_hkom1_inj.V4!$A$1:$K$36,2,FALSE),0)</f>
        <v>0</v>
      </c>
      <c r="L1261">
        <f>IFERROR(HLOOKUP(L$2,[40]table_female_hkom1_inj.V4!$A$1:$K$36,2,FALSE),0)</f>
        <v>0</v>
      </c>
      <c r="M1261">
        <f t="shared" si="401"/>
        <v>0</v>
      </c>
      <c r="P1261" t="s">
        <v>115</v>
      </c>
      <c r="Q1261" t="s">
        <v>103</v>
      </c>
      <c r="R1261" t="s">
        <v>108</v>
      </c>
      <c r="S1261" t="s">
        <v>70</v>
      </c>
      <c r="T1261" s="5">
        <f>IF(SUM(E$1261:E$1293)=0,E$1294/33,E1261+IFERROR(E1261/SUM(E$1261:E$1293)*E$1294,0))</f>
        <v>0</v>
      </c>
      <c r="U1261" s="5">
        <f t="shared" ref="U1261:AA1261" si="402">IF(SUM(F$1261:F$1293)=0,F$1294/33,F1261+IFERROR(F1261/SUM(F$1261:F$1293)*F$1294,0))</f>
        <v>0</v>
      </c>
      <c r="V1261" s="5">
        <f t="shared" si="402"/>
        <v>0</v>
      </c>
      <c r="W1261" s="5">
        <f t="shared" si="402"/>
        <v>0</v>
      </c>
      <c r="X1261" s="5">
        <f t="shared" si="402"/>
        <v>0</v>
      </c>
      <c r="Y1261" s="5">
        <f t="shared" si="402"/>
        <v>0</v>
      </c>
      <c r="Z1261" s="5">
        <f t="shared" si="402"/>
        <v>0</v>
      </c>
      <c r="AA1261" s="5">
        <f t="shared" si="402"/>
        <v>0</v>
      </c>
      <c r="AB1261" s="5">
        <f t="shared" si="400"/>
        <v>0</v>
      </c>
    </row>
    <row r="1262" spans="1:29" x14ac:dyDescent="0.25">
      <c r="D1262" t="s">
        <v>71</v>
      </c>
      <c r="E1262" s="64"/>
      <c r="F1262" s="64"/>
      <c r="G1262">
        <f>IFERROR(HLOOKUP(G$2,[40]table_female_hkom1_inj.V4!$A$1:$K$36,3,FALSE),0)</f>
        <v>0</v>
      </c>
      <c r="H1262">
        <f>IFERROR(HLOOKUP(H$2,[40]table_female_hkom1_inj.V4!$A$1:$K$36,3,FALSE),0)</f>
        <v>0</v>
      </c>
      <c r="I1262">
        <f>IFERROR(HLOOKUP(I$2,[40]table_female_hkom1_inj.V4!$A$1:$K$36,3,FALSE),0)</f>
        <v>0</v>
      </c>
      <c r="J1262">
        <f>IFERROR(HLOOKUP(J$2,[40]table_female_hkom1_inj.V4!$A$1:$K$36,3,FALSE),0)</f>
        <v>0</v>
      </c>
      <c r="K1262">
        <f>IFERROR(HLOOKUP(K$2,[40]table_female_hkom1_inj.V4!$A$1:$K$36,3,FALSE),0)</f>
        <v>0</v>
      </c>
      <c r="L1262">
        <f>IFERROR(HLOOKUP(L$2,[40]table_female_hkom1_inj.V4!$A$1:$K$36,3,FALSE),0)</f>
        <v>0</v>
      </c>
      <c r="M1262">
        <f t="shared" si="401"/>
        <v>0</v>
      </c>
      <c r="S1262" t="s">
        <v>71</v>
      </c>
      <c r="T1262" s="5">
        <f t="shared" ref="T1262:T1293" si="403">IF(SUM(E$1261:E$1293)=0,E$1294/33,E1262+IFERROR(E1262/SUM(E$1261:E$1293)*E$1294,0))</f>
        <v>0</v>
      </c>
      <c r="U1262" s="5">
        <f t="shared" ref="U1262:U1293" si="404">IF(SUM(F$1261:F$1293)=0,F$1294/33,F1262+IFERROR(F1262/SUM(F$1261:F$1293)*F$1294,0))</f>
        <v>0</v>
      </c>
      <c r="V1262" s="5">
        <f t="shared" ref="V1262:V1293" si="405">IF(SUM(G$1261:G$1293)=0,G$1294/33,G1262+IFERROR(G1262/SUM(G$1261:G$1293)*G$1294,0))</f>
        <v>0</v>
      </c>
      <c r="W1262" s="5">
        <f t="shared" ref="W1262:W1293" si="406">IF(SUM(H$1261:H$1293)=0,H$1294/33,H1262+IFERROR(H1262/SUM(H$1261:H$1293)*H$1294,0))</f>
        <v>0</v>
      </c>
      <c r="X1262" s="5">
        <f t="shared" ref="X1262:X1293" si="407">IF(SUM(I$1261:I$1293)=0,I$1294/33,I1262+IFERROR(I1262/SUM(I$1261:I$1293)*I$1294,0))</f>
        <v>0</v>
      </c>
      <c r="Y1262" s="5">
        <f t="shared" ref="Y1262:Y1293" si="408">IF(SUM(J$1261:J$1293)=0,J$1294/33,J1262+IFERROR(J1262/SUM(J$1261:J$1293)*J$1294,0))</f>
        <v>0</v>
      </c>
      <c r="Z1262" s="5">
        <f t="shared" ref="Z1262:Z1293" si="409">IF(SUM(K$1261:K$1293)=0,K$1294/33,K1262+IFERROR(K1262/SUM(K$1261:K$1293)*K$1294,0))</f>
        <v>0</v>
      </c>
      <c r="AA1262" s="5">
        <f t="shared" ref="AA1262:AA1293" si="410">IF(SUM(L$1261:L$1293)=0,L$1294/33,L1262+IFERROR(L1262/SUM(L$1261:L$1293)*L$1294,0))</f>
        <v>0</v>
      </c>
      <c r="AB1262" s="5">
        <f t="shared" si="400"/>
        <v>0</v>
      </c>
    </row>
    <row r="1263" spans="1:29" x14ac:dyDescent="0.25">
      <c r="D1263" t="s">
        <v>72</v>
      </c>
      <c r="E1263" s="64"/>
      <c r="F1263" s="64"/>
      <c r="G1263">
        <f>IFERROR(HLOOKUP(G$2,[40]table_female_hkom1_inj.V4!$A$1:$K$36,4,FALSE),0)</f>
        <v>0</v>
      </c>
      <c r="H1263">
        <f>IFERROR(HLOOKUP(H$2,[40]table_female_hkom1_inj.V4!$A$1:$K$36,4,FALSE),0)</f>
        <v>0</v>
      </c>
      <c r="I1263">
        <f>IFERROR(HLOOKUP(I$2,[40]table_female_hkom1_inj.V4!$A$1:$K$36,4,FALSE),0)</f>
        <v>0</v>
      </c>
      <c r="J1263">
        <f>IFERROR(HLOOKUP(J$2,[40]table_female_hkom1_inj.V4!$A$1:$K$36,4,FALSE),0)</f>
        <v>0</v>
      </c>
      <c r="K1263">
        <f>IFERROR(HLOOKUP(K$2,[40]table_female_hkom1_inj.V4!$A$1:$K$36,4,FALSE),0)</f>
        <v>0</v>
      </c>
      <c r="L1263">
        <f>IFERROR(HLOOKUP(L$2,[40]table_female_hkom1_inj.V4!$A$1:$K$36,4,FALSE),0)</f>
        <v>0</v>
      </c>
      <c r="M1263">
        <f t="shared" si="401"/>
        <v>0</v>
      </c>
      <c r="S1263" t="s">
        <v>72</v>
      </c>
      <c r="T1263" s="5">
        <f t="shared" si="403"/>
        <v>0</v>
      </c>
      <c r="U1263" s="5">
        <f t="shared" si="404"/>
        <v>0</v>
      </c>
      <c r="V1263" s="5">
        <f t="shared" si="405"/>
        <v>0</v>
      </c>
      <c r="W1263" s="5">
        <f t="shared" si="406"/>
        <v>0</v>
      </c>
      <c r="X1263" s="5">
        <f t="shared" si="407"/>
        <v>0</v>
      </c>
      <c r="Y1263" s="5">
        <f t="shared" si="408"/>
        <v>0</v>
      </c>
      <c r="Z1263" s="5">
        <f t="shared" si="409"/>
        <v>0</v>
      </c>
      <c r="AA1263" s="5">
        <f t="shared" si="410"/>
        <v>0</v>
      </c>
      <c r="AB1263" s="5">
        <f t="shared" si="400"/>
        <v>0</v>
      </c>
    </row>
    <row r="1264" spans="1:29" x14ac:dyDescent="0.25">
      <c r="D1264" t="s">
        <v>73</v>
      </c>
      <c r="E1264" s="64"/>
      <c r="F1264" s="64"/>
      <c r="G1264">
        <f>IFERROR(HLOOKUP(G$2,[40]table_female_hkom1_inj.V4!$A$1:$K$36,5,FALSE),0)</f>
        <v>0</v>
      </c>
      <c r="H1264">
        <f>IFERROR(HLOOKUP(H$2,[40]table_female_hkom1_inj.V4!$A$1:$K$36,5,FALSE),0)</f>
        <v>0</v>
      </c>
      <c r="I1264">
        <f>IFERROR(HLOOKUP(I$2,[40]table_female_hkom1_inj.V4!$A$1:$K$36,5,FALSE),0)</f>
        <v>0</v>
      </c>
      <c r="J1264">
        <f>IFERROR(HLOOKUP(J$2,[40]table_female_hkom1_inj.V4!$A$1:$K$36,5,FALSE),0)</f>
        <v>0</v>
      </c>
      <c r="K1264">
        <f>IFERROR(HLOOKUP(K$2,[40]table_female_hkom1_inj.V4!$A$1:$K$36,5,FALSE),0)</f>
        <v>0</v>
      </c>
      <c r="L1264">
        <f>IFERROR(HLOOKUP(L$2,[40]table_female_hkom1_inj.V4!$A$1:$K$36,5,FALSE),0)</f>
        <v>0</v>
      </c>
      <c r="M1264">
        <f t="shared" si="401"/>
        <v>0</v>
      </c>
      <c r="S1264" t="s">
        <v>73</v>
      </c>
      <c r="T1264" s="5">
        <f t="shared" si="403"/>
        <v>0</v>
      </c>
      <c r="U1264" s="5">
        <f t="shared" si="404"/>
        <v>0</v>
      </c>
      <c r="V1264" s="5">
        <f t="shared" si="405"/>
        <v>0</v>
      </c>
      <c r="W1264" s="5">
        <f t="shared" si="406"/>
        <v>0</v>
      </c>
      <c r="X1264" s="5">
        <f t="shared" si="407"/>
        <v>0</v>
      </c>
      <c r="Y1264" s="5">
        <f t="shared" si="408"/>
        <v>0</v>
      </c>
      <c r="Z1264" s="5">
        <f t="shared" si="409"/>
        <v>0</v>
      </c>
      <c r="AA1264" s="5">
        <f t="shared" si="410"/>
        <v>0</v>
      </c>
      <c r="AB1264" s="5">
        <f t="shared" si="400"/>
        <v>0</v>
      </c>
    </row>
    <row r="1265" spans="4:28" x14ac:dyDescent="0.25">
      <c r="D1265" t="s">
        <v>74</v>
      </c>
      <c r="E1265" s="64"/>
      <c r="F1265" s="64"/>
      <c r="G1265">
        <f>IFERROR(HLOOKUP(G$2,[40]table_female_hkom1_inj.V4!$A$1:$K$36,6,FALSE),0)</f>
        <v>0</v>
      </c>
      <c r="H1265">
        <f>IFERROR(HLOOKUP(H$2,[40]table_female_hkom1_inj.V4!$A$1:$K$36,6,FALSE),0)</f>
        <v>0</v>
      </c>
      <c r="I1265">
        <f>IFERROR(HLOOKUP(I$2,[40]table_female_hkom1_inj.V4!$A$1:$K$36,6,FALSE),0)</f>
        <v>0</v>
      </c>
      <c r="J1265">
        <f>IFERROR(HLOOKUP(J$2,[40]table_female_hkom1_inj.V4!$A$1:$K$36,6,FALSE),0)</f>
        <v>0</v>
      </c>
      <c r="K1265">
        <f>IFERROR(HLOOKUP(K$2,[40]table_female_hkom1_inj.V4!$A$1:$K$36,6,FALSE),0)</f>
        <v>0</v>
      </c>
      <c r="L1265">
        <f>IFERROR(HLOOKUP(L$2,[40]table_female_hkom1_inj.V4!$A$1:$K$36,6,FALSE),0)</f>
        <v>0</v>
      </c>
      <c r="M1265">
        <f t="shared" si="401"/>
        <v>0</v>
      </c>
      <c r="S1265" t="s">
        <v>74</v>
      </c>
      <c r="T1265" s="5">
        <f t="shared" si="403"/>
        <v>0</v>
      </c>
      <c r="U1265" s="5">
        <f t="shared" si="404"/>
        <v>0</v>
      </c>
      <c r="V1265" s="5">
        <f t="shared" si="405"/>
        <v>0</v>
      </c>
      <c r="W1265" s="5">
        <f t="shared" si="406"/>
        <v>0</v>
      </c>
      <c r="X1265" s="5">
        <f t="shared" si="407"/>
        <v>0</v>
      </c>
      <c r="Y1265" s="5">
        <f t="shared" si="408"/>
        <v>0</v>
      </c>
      <c r="Z1265" s="5">
        <f t="shared" si="409"/>
        <v>0</v>
      </c>
      <c r="AA1265" s="5">
        <f t="shared" si="410"/>
        <v>0</v>
      </c>
      <c r="AB1265" s="5">
        <f t="shared" si="400"/>
        <v>0</v>
      </c>
    </row>
    <row r="1266" spans="4:28" x14ac:dyDescent="0.25">
      <c r="D1266" t="s">
        <v>75</v>
      </c>
      <c r="E1266" s="64"/>
      <c r="F1266" s="64"/>
      <c r="G1266">
        <f>IFERROR(HLOOKUP(G$2,[40]table_female_hkom1_inj.V4!$A$1:$K$36,7,FALSE),0)</f>
        <v>0</v>
      </c>
      <c r="H1266">
        <f>IFERROR(HLOOKUP(H$2,[40]table_female_hkom1_inj.V4!$A$1:$K$36,7,FALSE),0)</f>
        <v>0</v>
      </c>
      <c r="I1266">
        <f>IFERROR(HLOOKUP(I$2,[40]table_female_hkom1_inj.V4!$A$1:$K$36,7,FALSE),0)</f>
        <v>0</v>
      </c>
      <c r="J1266">
        <f>IFERROR(HLOOKUP(J$2,[40]table_female_hkom1_inj.V4!$A$1:$K$36,7,FALSE),0)</f>
        <v>0</v>
      </c>
      <c r="K1266">
        <f>IFERROR(HLOOKUP(K$2,[40]table_female_hkom1_inj.V4!$A$1:$K$36,7,FALSE),0)</f>
        <v>0</v>
      </c>
      <c r="L1266">
        <f>IFERROR(HLOOKUP(L$2,[40]table_female_hkom1_inj.V4!$A$1:$K$36,7,FALSE),0)</f>
        <v>0</v>
      </c>
      <c r="M1266">
        <f t="shared" si="401"/>
        <v>0</v>
      </c>
      <c r="S1266" t="s">
        <v>75</v>
      </c>
      <c r="T1266" s="5">
        <f t="shared" si="403"/>
        <v>0</v>
      </c>
      <c r="U1266" s="5">
        <f t="shared" si="404"/>
        <v>0</v>
      </c>
      <c r="V1266" s="5">
        <f t="shared" si="405"/>
        <v>0</v>
      </c>
      <c r="W1266" s="5">
        <f t="shared" si="406"/>
        <v>0</v>
      </c>
      <c r="X1266" s="5">
        <f t="shared" si="407"/>
        <v>0</v>
      </c>
      <c r="Y1266" s="5">
        <f t="shared" si="408"/>
        <v>0</v>
      </c>
      <c r="Z1266" s="5">
        <f t="shared" si="409"/>
        <v>0</v>
      </c>
      <c r="AA1266" s="5">
        <f t="shared" si="410"/>
        <v>0</v>
      </c>
      <c r="AB1266" s="5">
        <f t="shared" si="400"/>
        <v>0</v>
      </c>
    </row>
    <row r="1267" spans="4:28" x14ac:dyDescent="0.25">
      <c r="D1267" t="s">
        <v>76</v>
      </c>
      <c r="E1267" s="64"/>
      <c r="F1267" s="64"/>
      <c r="G1267">
        <f>IFERROR(HLOOKUP(G$2,[40]table_female_hkom1_inj.V4!$A$1:$K$36,8,FALSE),0)</f>
        <v>0</v>
      </c>
      <c r="H1267">
        <f>IFERROR(HLOOKUP(H$2,[40]table_female_hkom1_inj.V4!$A$1:$K$36,8,FALSE),0)</f>
        <v>0</v>
      </c>
      <c r="I1267">
        <f>IFERROR(HLOOKUP(I$2,[40]table_female_hkom1_inj.V4!$A$1:$K$36,8,FALSE),0)</f>
        <v>0</v>
      </c>
      <c r="J1267">
        <f>IFERROR(HLOOKUP(J$2,[40]table_female_hkom1_inj.V4!$A$1:$K$36,8,FALSE),0)</f>
        <v>0</v>
      </c>
      <c r="K1267">
        <f>IFERROR(HLOOKUP(K$2,[40]table_female_hkom1_inj.V4!$A$1:$K$36,8,FALSE),0)</f>
        <v>0</v>
      </c>
      <c r="L1267">
        <f>IFERROR(HLOOKUP(L$2,[40]table_female_hkom1_inj.V4!$A$1:$K$36,8,FALSE),0)</f>
        <v>0</v>
      </c>
      <c r="M1267">
        <f t="shared" si="401"/>
        <v>0</v>
      </c>
      <c r="S1267" t="s">
        <v>76</v>
      </c>
      <c r="T1267" s="5">
        <f t="shared" si="403"/>
        <v>0</v>
      </c>
      <c r="U1267" s="5">
        <f t="shared" si="404"/>
        <v>0</v>
      </c>
      <c r="V1267" s="5">
        <f t="shared" si="405"/>
        <v>0</v>
      </c>
      <c r="W1267" s="5">
        <f t="shared" si="406"/>
        <v>0</v>
      </c>
      <c r="X1267" s="5">
        <f t="shared" si="407"/>
        <v>0</v>
      </c>
      <c r="Y1267" s="5">
        <f t="shared" si="408"/>
        <v>0</v>
      </c>
      <c r="Z1267" s="5">
        <f t="shared" si="409"/>
        <v>0</v>
      </c>
      <c r="AA1267" s="5">
        <f t="shared" si="410"/>
        <v>0</v>
      </c>
      <c r="AB1267" s="5">
        <f t="shared" si="400"/>
        <v>0</v>
      </c>
    </row>
    <row r="1268" spans="4:28" x14ac:dyDescent="0.25">
      <c r="D1268" t="s">
        <v>77</v>
      </c>
      <c r="E1268" s="64"/>
      <c r="F1268" s="64"/>
      <c r="G1268">
        <f>IFERROR(HLOOKUP(G$2,[40]table_female_hkom1_inj.V4!$A$1:$K$36,9,FALSE),0)</f>
        <v>0</v>
      </c>
      <c r="H1268">
        <f>IFERROR(HLOOKUP(H$2,[40]table_female_hkom1_inj.V4!$A$1:$K$36,9,FALSE),0)</f>
        <v>0</v>
      </c>
      <c r="I1268">
        <f>IFERROR(HLOOKUP(I$2,[40]table_female_hkom1_inj.V4!$A$1:$K$36,9,FALSE),0)</f>
        <v>0</v>
      </c>
      <c r="J1268">
        <f>IFERROR(HLOOKUP(J$2,[40]table_female_hkom1_inj.V4!$A$1:$K$36,9,FALSE),0)</f>
        <v>0</v>
      </c>
      <c r="K1268">
        <f>IFERROR(HLOOKUP(K$2,[40]table_female_hkom1_inj.V4!$A$1:$K$36,9,FALSE),0)</f>
        <v>0</v>
      </c>
      <c r="L1268">
        <f>IFERROR(HLOOKUP(L$2,[40]table_female_hkom1_inj.V4!$A$1:$K$36,9,FALSE),0)</f>
        <v>0</v>
      </c>
      <c r="M1268">
        <f t="shared" si="401"/>
        <v>0</v>
      </c>
      <c r="S1268" t="s">
        <v>77</v>
      </c>
      <c r="T1268" s="5">
        <f t="shared" si="403"/>
        <v>0</v>
      </c>
      <c r="U1268" s="5">
        <f t="shared" si="404"/>
        <v>0</v>
      </c>
      <c r="V1268" s="5">
        <f t="shared" si="405"/>
        <v>0</v>
      </c>
      <c r="W1268" s="5">
        <f t="shared" si="406"/>
        <v>0</v>
      </c>
      <c r="X1268" s="5">
        <f t="shared" si="407"/>
        <v>0</v>
      </c>
      <c r="Y1268" s="5">
        <f t="shared" si="408"/>
        <v>0</v>
      </c>
      <c r="Z1268" s="5">
        <f t="shared" si="409"/>
        <v>0</v>
      </c>
      <c r="AA1268" s="5">
        <f t="shared" si="410"/>
        <v>0</v>
      </c>
      <c r="AB1268" s="5">
        <f t="shared" si="400"/>
        <v>0</v>
      </c>
    </row>
    <row r="1269" spans="4:28" x14ac:dyDescent="0.25">
      <c r="D1269" t="s">
        <v>78</v>
      </c>
      <c r="E1269" s="64"/>
      <c r="F1269" s="64"/>
      <c r="G1269">
        <f>IFERROR(HLOOKUP(G$2,[40]table_female_hkom1_inj.V4!$A$1:$K$36,10,FALSE),0)</f>
        <v>0</v>
      </c>
      <c r="H1269">
        <f>IFERROR(HLOOKUP(H$2,[40]table_female_hkom1_inj.V4!$A$1:$K$36,10,FALSE),0)</f>
        <v>0</v>
      </c>
      <c r="I1269">
        <f>IFERROR(HLOOKUP(I$2,[40]table_female_hkom1_inj.V4!$A$1:$K$36,10,FALSE),0)</f>
        <v>0</v>
      </c>
      <c r="J1269">
        <f>IFERROR(HLOOKUP(J$2,[40]table_female_hkom1_inj.V4!$A$1:$K$36,10,FALSE),0)</f>
        <v>0</v>
      </c>
      <c r="K1269">
        <f>IFERROR(HLOOKUP(K$2,[40]table_female_hkom1_inj.V4!$A$1:$K$36,10,FALSE),0)</f>
        <v>0</v>
      </c>
      <c r="L1269">
        <f>IFERROR(HLOOKUP(L$2,[40]table_female_hkom1_inj.V4!$A$1:$K$36,10,FALSE),0)</f>
        <v>0</v>
      </c>
      <c r="M1269">
        <f t="shared" si="401"/>
        <v>0</v>
      </c>
      <c r="S1269" t="s">
        <v>78</v>
      </c>
      <c r="T1269" s="5">
        <f t="shared" si="403"/>
        <v>0</v>
      </c>
      <c r="U1269" s="5">
        <f t="shared" si="404"/>
        <v>0</v>
      </c>
      <c r="V1269" s="5">
        <f t="shared" si="405"/>
        <v>0</v>
      </c>
      <c r="W1269" s="5">
        <f t="shared" si="406"/>
        <v>0</v>
      </c>
      <c r="X1269" s="5">
        <f t="shared" si="407"/>
        <v>0</v>
      </c>
      <c r="Y1269" s="5">
        <f t="shared" si="408"/>
        <v>0</v>
      </c>
      <c r="Z1269" s="5">
        <f t="shared" si="409"/>
        <v>0</v>
      </c>
      <c r="AA1269" s="5">
        <f t="shared" si="410"/>
        <v>0</v>
      </c>
      <c r="AB1269" s="5">
        <f t="shared" si="400"/>
        <v>0</v>
      </c>
    </row>
    <row r="1270" spans="4:28" x14ac:dyDescent="0.25">
      <c r="D1270" t="s">
        <v>79</v>
      </c>
      <c r="E1270" s="64"/>
      <c r="F1270" s="64"/>
      <c r="G1270">
        <f>IFERROR(HLOOKUP(G$2,[40]table_female_hkom1_inj.V4!$A$1:$K$36,11,FALSE),0)</f>
        <v>0</v>
      </c>
      <c r="H1270">
        <f>IFERROR(HLOOKUP(H$2,[40]table_female_hkom1_inj.V4!$A$1:$K$36,11,FALSE),0)</f>
        <v>0</v>
      </c>
      <c r="I1270">
        <f>IFERROR(HLOOKUP(I$2,[40]table_female_hkom1_inj.V4!$A$1:$K$36,11,FALSE),0)</f>
        <v>0</v>
      </c>
      <c r="J1270">
        <f>IFERROR(HLOOKUP(J$2,[40]table_female_hkom1_inj.V4!$A$1:$K$36,11,FALSE),0)</f>
        <v>0</v>
      </c>
      <c r="K1270">
        <f>IFERROR(HLOOKUP(K$2,[40]table_female_hkom1_inj.V4!$A$1:$K$36,11,FALSE),0)</f>
        <v>0</v>
      </c>
      <c r="L1270">
        <f>IFERROR(HLOOKUP(L$2,[40]table_female_hkom1_inj.V4!$A$1:$K$36,11,FALSE),0)</f>
        <v>0</v>
      </c>
      <c r="M1270">
        <f t="shared" si="401"/>
        <v>0</v>
      </c>
      <c r="S1270" t="s">
        <v>79</v>
      </c>
      <c r="T1270" s="5">
        <f t="shared" si="403"/>
        <v>0</v>
      </c>
      <c r="U1270" s="5">
        <f t="shared" si="404"/>
        <v>0</v>
      </c>
      <c r="V1270" s="5">
        <f t="shared" si="405"/>
        <v>0</v>
      </c>
      <c r="W1270" s="5">
        <f t="shared" si="406"/>
        <v>0</v>
      </c>
      <c r="X1270" s="5">
        <f t="shared" si="407"/>
        <v>0</v>
      </c>
      <c r="Y1270" s="5">
        <f t="shared" si="408"/>
        <v>0</v>
      </c>
      <c r="Z1270" s="5">
        <f t="shared" si="409"/>
        <v>0</v>
      </c>
      <c r="AA1270" s="5">
        <f t="shared" si="410"/>
        <v>0</v>
      </c>
      <c r="AB1270" s="5">
        <f t="shared" si="400"/>
        <v>0</v>
      </c>
    </row>
    <row r="1271" spans="4:28" x14ac:dyDescent="0.25">
      <c r="D1271" t="s">
        <v>80</v>
      </c>
      <c r="E1271" s="64"/>
      <c r="F1271" s="64"/>
      <c r="G1271">
        <f>IFERROR(HLOOKUP(G$2,[40]table_female_hkom1_inj.V4!$A$1:$K$36,12,FALSE),0)</f>
        <v>0</v>
      </c>
      <c r="H1271">
        <f>IFERROR(HLOOKUP(H$2,[40]table_female_hkom1_inj.V4!$A$1:$K$36,12,FALSE),0)</f>
        <v>0</v>
      </c>
      <c r="I1271">
        <f>IFERROR(HLOOKUP(I$2,[40]table_female_hkom1_inj.V4!$A$1:$K$36,12,FALSE),0)</f>
        <v>0</v>
      </c>
      <c r="J1271">
        <f>IFERROR(HLOOKUP(J$2,[40]table_female_hkom1_inj.V4!$A$1:$K$36,12,FALSE),0)</f>
        <v>0</v>
      </c>
      <c r="K1271">
        <f>IFERROR(HLOOKUP(K$2,[40]table_female_hkom1_inj.V4!$A$1:$K$36,12,FALSE),0)</f>
        <v>0</v>
      </c>
      <c r="L1271">
        <f>IFERROR(HLOOKUP(L$2,[40]table_female_hkom1_inj.V4!$A$1:$K$36,12,FALSE),0)</f>
        <v>0</v>
      </c>
      <c r="M1271">
        <f t="shared" si="401"/>
        <v>0</v>
      </c>
      <c r="S1271" t="s">
        <v>80</v>
      </c>
      <c r="T1271" s="5">
        <f t="shared" si="403"/>
        <v>0</v>
      </c>
      <c r="U1271" s="5">
        <f t="shared" si="404"/>
        <v>0</v>
      </c>
      <c r="V1271" s="5">
        <f t="shared" si="405"/>
        <v>0</v>
      </c>
      <c r="W1271" s="5">
        <f t="shared" si="406"/>
        <v>0</v>
      </c>
      <c r="X1271" s="5">
        <f t="shared" si="407"/>
        <v>0</v>
      </c>
      <c r="Y1271" s="5">
        <f t="shared" si="408"/>
        <v>0</v>
      </c>
      <c r="Z1271" s="5">
        <f t="shared" si="409"/>
        <v>0</v>
      </c>
      <c r="AA1271" s="5">
        <f t="shared" si="410"/>
        <v>0</v>
      </c>
      <c r="AB1271" s="5">
        <f t="shared" si="400"/>
        <v>0</v>
      </c>
    </row>
    <row r="1272" spans="4:28" x14ac:dyDescent="0.25">
      <c r="D1272" t="s">
        <v>81</v>
      </c>
      <c r="E1272" s="64"/>
      <c r="F1272" s="64"/>
      <c r="G1272">
        <f>IFERROR(HLOOKUP(G$2,[40]table_female_hkom1_inj.V4!$A$1:$K$36,13,FALSE),0)</f>
        <v>0</v>
      </c>
      <c r="H1272">
        <f>IFERROR(HLOOKUP(H$2,[40]table_female_hkom1_inj.V4!$A$1:$K$36,13,FALSE),0)</f>
        <v>0</v>
      </c>
      <c r="I1272">
        <f>IFERROR(HLOOKUP(I$2,[40]table_female_hkom1_inj.V4!$A$1:$K$36,13,FALSE),0)</f>
        <v>0</v>
      </c>
      <c r="J1272">
        <f>IFERROR(HLOOKUP(J$2,[40]table_female_hkom1_inj.V4!$A$1:$K$36,13,FALSE),0)</f>
        <v>0</v>
      </c>
      <c r="K1272">
        <f>IFERROR(HLOOKUP(K$2,[40]table_female_hkom1_inj.V4!$A$1:$K$36,13,FALSE),0)</f>
        <v>0</v>
      </c>
      <c r="L1272">
        <f>IFERROR(HLOOKUP(L$2,[40]table_female_hkom1_inj.V4!$A$1:$K$36,13,FALSE),0)</f>
        <v>0</v>
      </c>
      <c r="M1272">
        <f t="shared" si="401"/>
        <v>0</v>
      </c>
      <c r="S1272" t="s">
        <v>81</v>
      </c>
      <c r="T1272" s="5">
        <f t="shared" si="403"/>
        <v>0</v>
      </c>
      <c r="U1272" s="5">
        <f t="shared" si="404"/>
        <v>0</v>
      </c>
      <c r="V1272" s="5">
        <f t="shared" si="405"/>
        <v>0</v>
      </c>
      <c r="W1272" s="5">
        <f t="shared" si="406"/>
        <v>0</v>
      </c>
      <c r="X1272" s="5">
        <f t="shared" si="407"/>
        <v>0</v>
      </c>
      <c r="Y1272" s="5">
        <f t="shared" si="408"/>
        <v>0</v>
      </c>
      <c r="Z1272" s="5">
        <f t="shared" si="409"/>
        <v>0</v>
      </c>
      <c r="AA1272" s="5">
        <f t="shared" si="410"/>
        <v>0</v>
      </c>
      <c r="AB1272" s="5">
        <f t="shared" si="400"/>
        <v>0</v>
      </c>
    </row>
    <row r="1273" spans="4:28" x14ac:dyDescent="0.25">
      <c r="D1273" t="s">
        <v>82</v>
      </c>
      <c r="E1273" s="64"/>
      <c r="F1273" s="64"/>
      <c r="G1273">
        <f>IFERROR(HLOOKUP(G$2,[40]table_female_hkom1_inj.V4!$A$1:$K$36,14,FALSE),0)</f>
        <v>0</v>
      </c>
      <c r="H1273">
        <f>IFERROR(HLOOKUP(H$2,[40]table_female_hkom1_inj.V4!$A$1:$K$36,14,FALSE),0)</f>
        <v>0</v>
      </c>
      <c r="I1273">
        <f>IFERROR(HLOOKUP(I$2,[40]table_female_hkom1_inj.V4!$A$1:$K$36,14,FALSE),0)</f>
        <v>0</v>
      </c>
      <c r="J1273">
        <f>IFERROR(HLOOKUP(J$2,[40]table_female_hkom1_inj.V4!$A$1:$K$36,14,FALSE),0)</f>
        <v>0</v>
      </c>
      <c r="K1273">
        <f>IFERROR(HLOOKUP(K$2,[40]table_female_hkom1_inj.V4!$A$1:$K$36,14,FALSE),0)</f>
        <v>0</v>
      </c>
      <c r="L1273">
        <f>IFERROR(HLOOKUP(L$2,[40]table_female_hkom1_inj.V4!$A$1:$K$36,14,FALSE),0)</f>
        <v>0</v>
      </c>
      <c r="M1273">
        <f t="shared" si="401"/>
        <v>0</v>
      </c>
      <c r="S1273" t="s">
        <v>82</v>
      </c>
      <c r="T1273" s="5">
        <f t="shared" si="403"/>
        <v>0</v>
      </c>
      <c r="U1273" s="5">
        <f t="shared" si="404"/>
        <v>0</v>
      </c>
      <c r="V1273" s="5">
        <f t="shared" si="405"/>
        <v>0</v>
      </c>
      <c r="W1273" s="5">
        <f t="shared" si="406"/>
        <v>0</v>
      </c>
      <c r="X1273" s="5">
        <f t="shared" si="407"/>
        <v>0</v>
      </c>
      <c r="Y1273" s="5">
        <f t="shared" si="408"/>
        <v>0</v>
      </c>
      <c r="Z1273" s="5">
        <f t="shared" si="409"/>
        <v>0</v>
      </c>
      <c r="AA1273" s="5">
        <f t="shared" si="410"/>
        <v>0</v>
      </c>
      <c r="AB1273" s="5">
        <f t="shared" si="400"/>
        <v>0</v>
      </c>
    </row>
    <row r="1274" spans="4:28" x14ac:dyDescent="0.25">
      <c r="D1274" t="s">
        <v>83</v>
      </c>
      <c r="E1274" s="64"/>
      <c r="F1274" s="64"/>
      <c r="G1274">
        <f>IFERROR(HLOOKUP(G$2,[40]table_female_hkom1_inj.V4!$A$1:$K$36,15,FALSE),0)</f>
        <v>0</v>
      </c>
      <c r="H1274">
        <f>IFERROR(HLOOKUP(H$2,[40]table_female_hkom1_inj.V4!$A$1:$K$36,15,FALSE),0)</f>
        <v>0</v>
      </c>
      <c r="I1274">
        <f>IFERROR(HLOOKUP(I$2,[40]table_female_hkom1_inj.V4!$A$1:$K$36,15,FALSE),0)</f>
        <v>0</v>
      </c>
      <c r="J1274">
        <f>IFERROR(HLOOKUP(J$2,[40]table_female_hkom1_inj.V4!$A$1:$K$36,15,FALSE),0)</f>
        <v>0</v>
      </c>
      <c r="K1274">
        <f>IFERROR(HLOOKUP(K$2,[40]table_female_hkom1_inj.V4!$A$1:$K$36,15,FALSE),0)</f>
        <v>0</v>
      </c>
      <c r="L1274">
        <f>IFERROR(HLOOKUP(L$2,[40]table_female_hkom1_inj.V4!$A$1:$K$36,15,FALSE),0)</f>
        <v>0</v>
      </c>
      <c r="M1274">
        <f t="shared" si="401"/>
        <v>0</v>
      </c>
      <c r="S1274" t="s">
        <v>83</v>
      </c>
      <c r="T1274" s="5">
        <f t="shared" si="403"/>
        <v>0</v>
      </c>
      <c r="U1274" s="5">
        <f t="shared" si="404"/>
        <v>0</v>
      </c>
      <c r="V1274" s="5">
        <f t="shared" si="405"/>
        <v>0</v>
      </c>
      <c r="W1274" s="5">
        <f t="shared" si="406"/>
        <v>0</v>
      </c>
      <c r="X1274" s="5">
        <f t="shared" si="407"/>
        <v>0</v>
      </c>
      <c r="Y1274" s="5">
        <f t="shared" si="408"/>
        <v>0</v>
      </c>
      <c r="Z1274" s="5">
        <f t="shared" si="409"/>
        <v>0</v>
      </c>
      <c r="AA1274" s="5">
        <f t="shared" si="410"/>
        <v>0</v>
      </c>
      <c r="AB1274" s="5">
        <f t="shared" si="400"/>
        <v>0</v>
      </c>
    </row>
    <row r="1275" spans="4:28" x14ac:dyDescent="0.25">
      <c r="D1275" t="s">
        <v>84</v>
      </c>
      <c r="E1275" s="64"/>
      <c r="F1275" s="64"/>
      <c r="G1275">
        <f>IFERROR(HLOOKUP(G$2,[40]table_female_hkom1_inj.V4!$A$1:$K$36,16,FALSE),0)</f>
        <v>0</v>
      </c>
      <c r="H1275">
        <f>IFERROR(HLOOKUP(H$2,[40]table_female_hkom1_inj.V4!$A$1:$K$36,16,FALSE),0)</f>
        <v>0</v>
      </c>
      <c r="I1275">
        <f>IFERROR(HLOOKUP(I$2,[40]table_female_hkom1_inj.V4!$A$1:$K$36,16,FALSE),0)</f>
        <v>0</v>
      </c>
      <c r="J1275">
        <f>IFERROR(HLOOKUP(J$2,[40]table_female_hkom1_inj.V4!$A$1:$K$36,16,FALSE),0)</f>
        <v>0</v>
      </c>
      <c r="K1275">
        <f>IFERROR(HLOOKUP(K$2,[40]table_female_hkom1_inj.V4!$A$1:$K$36,16,FALSE),0)</f>
        <v>0</v>
      </c>
      <c r="L1275">
        <f>IFERROR(HLOOKUP(L$2,[40]table_female_hkom1_inj.V4!$A$1:$K$36,16,FALSE),0)</f>
        <v>0</v>
      </c>
      <c r="M1275">
        <f t="shared" si="401"/>
        <v>0</v>
      </c>
      <c r="S1275" t="s">
        <v>84</v>
      </c>
      <c r="T1275" s="5">
        <f t="shared" si="403"/>
        <v>0</v>
      </c>
      <c r="U1275" s="5">
        <f t="shared" si="404"/>
        <v>0</v>
      </c>
      <c r="V1275" s="5">
        <f t="shared" si="405"/>
        <v>0</v>
      </c>
      <c r="W1275" s="5">
        <f t="shared" si="406"/>
        <v>0</v>
      </c>
      <c r="X1275" s="5">
        <f t="shared" si="407"/>
        <v>0</v>
      </c>
      <c r="Y1275" s="5">
        <f t="shared" si="408"/>
        <v>0</v>
      </c>
      <c r="Z1275" s="5">
        <f t="shared" si="409"/>
        <v>0</v>
      </c>
      <c r="AA1275" s="5">
        <f t="shared" si="410"/>
        <v>0</v>
      </c>
      <c r="AB1275" s="5">
        <f t="shared" si="400"/>
        <v>0</v>
      </c>
    </row>
    <row r="1276" spans="4:28" x14ac:dyDescent="0.25">
      <c r="D1276" t="s">
        <v>85</v>
      </c>
      <c r="E1276" s="64"/>
      <c r="F1276" s="64"/>
      <c r="G1276">
        <f>IFERROR(HLOOKUP(G$2,[40]table_female_hkom1_inj.V4!$A$1:$K$36,17,FALSE),0)</f>
        <v>0</v>
      </c>
      <c r="H1276">
        <f>IFERROR(HLOOKUP(H$2,[40]table_female_hkom1_inj.V4!$A$1:$K$36,17,FALSE),0)</f>
        <v>0</v>
      </c>
      <c r="I1276">
        <f>IFERROR(HLOOKUP(I$2,[40]table_female_hkom1_inj.V4!$A$1:$K$36,17,FALSE),0)</f>
        <v>0</v>
      </c>
      <c r="J1276">
        <f>IFERROR(HLOOKUP(J$2,[40]table_female_hkom1_inj.V4!$A$1:$K$36,17,FALSE),0)</f>
        <v>0</v>
      </c>
      <c r="K1276">
        <f>IFERROR(HLOOKUP(K$2,[40]table_female_hkom1_inj.V4!$A$1:$K$36,17,FALSE),0)</f>
        <v>0</v>
      </c>
      <c r="L1276">
        <f>IFERROR(HLOOKUP(L$2,[40]table_female_hkom1_inj.V4!$A$1:$K$36,17,FALSE),0)</f>
        <v>0</v>
      </c>
      <c r="M1276">
        <f t="shared" si="401"/>
        <v>0</v>
      </c>
      <c r="S1276" t="s">
        <v>85</v>
      </c>
      <c r="T1276" s="5">
        <f t="shared" si="403"/>
        <v>0</v>
      </c>
      <c r="U1276" s="5">
        <f t="shared" si="404"/>
        <v>0</v>
      </c>
      <c r="V1276" s="5">
        <f t="shared" si="405"/>
        <v>0</v>
      </c>
      <c r="W1276" s="5">
        <f t="shared" si="406"/>
        <v>0</v>
      </c>
      <c r="X1276" s="5">
        <f t="shared" si="407"/>
        <v>0</v>
      </c>
      <c r="Y1276" s="5">
        <f t="shared" si="408"/>
        <v>0</v>
      </c>
      <c r="Z1276" s="5">
        <f t="shared" si="409"/>
        <v>0</v>
      </c>
      <c r="AA1276" s="5">
        <f t="shared" si="410"/>
        <v>0</v>
      </c>
      <c r="AB1276" s="5">
        <f t="shared" si="400"/>
        <v>0</v>
      </c>
    </row>
    <row r="1277" spans="4:28" x14ac:dyDescent="0.25">
      <c r="D1277" t="s">
        <v>86</v>
      </c>
      <c r="E1277" s="64"/>
      <c r="F1277" s="64"/>
      <c r="G1277">
        <f>IFERROR(HLOOKUP(G$2,[40]table_female_hkom1_inj.V4!$A$1:$K$36,18,FALSE),0)</f>
        <v>0</v>
      </c>
      <c r="H1277">
        <f>IFERROR(HLOOKUP(H$2,[40]table_female_hkom1_inj.V4!$A$1:$K$36,18,FALSE),0)</f>
        <v>0</v>
      </c>
      <c r="I1277">
        <f>IFERROR(HLOOKUP(I$2,[40]table_female_hkom1_inj.V4!$A$1:$K$36,18,FALSE),0)</f>
        <v>0</v>
      </c>
      <c r="J1277">
        <f>IFERROR(HLOOKUP(J$2,[40]table_female_hkom1_inj.V4!$A$1:$K$36,18,FALSE),0)</f>
        <v>0</v>
      </c>
      <c r="K1277">
        <f>IFERROR(HLOOKUP(K$2,[40]table_female_hkom1_inj.V4!$A$1:$K$36,18,FALSE),0)</f>
        <v>0</v>
      </c>
      <c r="L1277">
        <f>IFERROR(HLOOKUP(L$2,[40]table_female_hkom1_inj.V4!$A$1:$K$36,18,FALSE),0)</f>
        <v>0</v>
      </c>
      <c r="M1277">
        <f t="shared" si="401"/>
        <v>0</v>
      </c>
      <c r="S1277" t="s">
        <v>86</v>
      </c>
      <c r="T1277" s="5">
        <f t="shared" si="403"/>
        <v>0</v>
      </c>
      <c r="U1277" s="5">
        <f t="shared" si="404"/>
        <v>0</v>
      </c>
      <c r="V1277" s="5">
        <f t="shared" si="405"/>
        <v>0</v>
      </c>
      <c r="W1277" s="5">
        <f t="shared" si="406"/>
        <v>0</v>
      </c>
      <c r="X1277" s="5">
        <f t="shared" si="407"/>
        <v>0</v>
      </c>
      <c r="Y1277" s="5">
        <f t="shared" si="408"/>
        <v>0</v>
      </c>
      <c r="Z1277" s="5">
        <f t="shared" si="409"/>
        <v>0</v>
      </c>
      <c r="AA1277" s="5">
        <f t="shared" si="410"/>
        <v>0</v>
      </c>
      <c r="AB1277" s="5">
        <f t="shared" si="400"/>
        <v>0</v>
      </c>
    </row>
    <row r="1278" spans="4:28" x14ac:dyDescent="0.25">
      <c r="D1278" t="s">
        <v>87</v>
      </c>
      <c r="E1278" s="64"/>
      <c r="F1278" s="64"/>
      <c r="G1278">
        <f>IFERROR(HLOOKUP(G$2,[40]table_female_hkom1_inj.V4!$A$1:$K$36,19,FALSE),0)</f>
        <v>0</v>
      </c>
      <c r="H1278">
        <f>IFERROR(HLOOKUP(H$2,[40]table_female_hkom1_inj.V4!$A$1:$K$36,19,FALSE),0)</f>
        <v>0</v>
      </c>
      <c r="I1278">
        <f>IFERROR(HLOOKUP(I$2,[40]table_female_hkom1_inj.V4!$A$1:$K$36,19,FALSE),0)</f>
        <v>0</v>
      </c>
      <c r="J1278">
        <f>IFERROR(HLOOKUP(J$2,[40]table_female_hkom1_inj.V4!$A$1:$K$36,19,FALSE),0)</f>
        <v>0</v>
      </c>
      <c r="K1278">
        <f>IFERROR(HLOOKUP(K$2,[40]table_female_hkom1_inj.V4!$A$1:$K$36,19,FALSE),0)</f>
        <v>0</v>
      </c>
      <c r="L1278">
        <f>IFERROR(HLOOKUP(L$2,[40]table_female_hkom1_inj.V4!$A$1:$K$36,19,FALSE),0)</f>
        <v>0</v>
      </c>
      <c r="M1278">
        <f t="shared" si="401"/>
        <v>0</v>
      </c>
      <c r="S1278" t="s">
        <v>87</v>
      </c>
      <c r="T1278" s="5">
        <f t="shared" si="403"/>
        <v>0</v>
      </c>
      <c r="U1278" s="5">
        <f t="shared" si="404"/>
        <v>0</v>
      </c>
      <c r="V1278" s="5">
        <f t="shared" si="405"/>
        <v>0</v>
      </c>
      <c r="W1278" s="5">
        <f t="shared" si="406"/>
        <v>0</v>
      </c>
      <c r="X1278" s="5">
        <f t="shared" si="407"/>
        <v>0</v>
      </c>
      <c r="Y1278" s="5">
        <f t="shared" si="408"/>
        <v>0</v>
      </c>
      <c r="Z1278" s="5">
        <f t="shared" si="409"/>
        <v>0</v>
      </c>
      <c r="AA1278" s="5">
        <f t="shared" si="410"/>
        <v>0</v>
      </c>
      <c r="AB1278" s="5">
        <f t="shared" si="400"/>
        <v>0</v>
      </c>
    </row>
    <row r="1279" spans="4:28" x14ac:dyDescent="0.25">
      <c r="D1279" t="s">
        <v>88</v>
      </c>
      <c r="E1279" s="64"/>
      <c r="F1279" s="64"/>
      <c r="G1279">
        <f>IFERROR(HLOOKUP(G$2,[40]table_female_hkom1_inj.V4!$A$1:$K$36,20,FALSE),0)</f>
        <v>0</v>
      </c>
      <c r="H1279">
        <f>IFERROR(HLOOKUP(H$2,[40]table_female_hkom1_inj.V4!$A$1:$K$36,20,FALSE),0)</f>
        <v>0</v>
      </c>
      <c r="I1279">
        <f>IFERROR(HLOOKUP(I$2,[40]table_female_hkom1_inj.V4!$A$1:$K$36,20,FALSE),0)</f>
        <v>0</v>
      </c>
      <c r="J1279">
        <f>IFERROR(HLOOKUP(J$2,[40]table_female_hkom1_inj.V4!$A$1:$K$36,20,FALSE),0)</f>
        <v>0</v>
      </c>
      <c r="K1279">
        <f>IFERROR(HLOOKUP(K$2,[40]table_female_hkom1_inj.V4!$A$1:$K$36,20,FALSE),0)</f>
        <v>0</v>
      </c>
      <c r="L1279">
        <f>IFERROR(HLOOKUP(L$2,[40]table_female_hkom1_inj.V4!$A$1:$K$36,20,FALSE),0)</f>
        <v>0</v>
      </c>
      <c r="M1279">
        <f t="shared" si="401"/>
        <v>0</v>
      </c>
      <c r="S1279" t="s">
        <v>88</v>
      </c>
      <c r="T1279" s="5">
        <f t="shared" si="403"/>
        <v>0</v>
      </c>
      <c r="U1279" s="5">
        <f t="shared" si="404"/>
        <v>0</v>
      </c>
      <c r="V1279" s="5">
        <f t="shared" si="405"/>
        <v>0</v>
      </c>
      <c r="W1279" s="5">
        <f t="shared" si="406"/>
        <v>0</v>
      </c>
      <c r="X1279" s="5">
        <f t="shared" si="407"/>
        <v>0</v>
      </c>
      <c r="Y1279" s="5">
        <f t="shared" si="408"/>
        <v>0</v>
      </c>
      <c r="Z1279" s="5">
        <f t="shared" si="409"/>
        <v>0</v>
      </c>
      <c r="AA1279" s="5">
        <f t="shared" si="410"/>
        <v>0</v>
      </c>
      <c r="AB1279" s="5">
        <f t="shared" si="400"/>
        <v>0</v>
      </c>
    </row>
    <row r="1280" spans="4:28" x14ac:dyDescent="0.25">
      <c r="D1280" t="s">
        <v>89</v>
      </c>
      <c r="E1280" s="64"/>
      <c r="F1280" s="64"/>
      <c r="G1280">
        <f>IFERROR(HLOOKUP(G$2,[40]table_female_hkom1_inj.V4!$A$1:$K$36,21,FALSE),0)</f>
        <v>0</v>
      </c>
      <c r="H1280">
        <f>IFERROR(HLOOKUP(H$2,[40]table_female_hkom1_inj.V4!$A$1:$K$36,21,FALSE),0)</f>
        <v>0</v>
      </c>
      <c r="I1280">
        <f>IFERROR(HLOOKUP(I$2,[40]table_female_hkom1_inj.V4!$A$1:$K$36,21,FALSE),0)</f>
        <v>0</v>
      </c>
      <c r="J1280">
        <f>IFERROR(HLOOKUP(J$2,[40]table_female_hkom1_inj.V4!$A$1:$K$36,21,FALSE),0)</f>
        <v>0</v>
      </c>
      <c r="K1280">
        <f>IFERROR(HLOOKUP(K$2,[40]table_female_hkom1_inj.V4!$A$1:$K$36,21,FALSE),0)</f>
        <v>0</v>
      </c>
      <c r="L1280">
        <f>IFERROR(HLOOKUP(L$2,[40]table_female_hkom1_inj.V4!$A$1:$K$36,21,FALSE),0)</f>
        <v>0</v>
      </c>
      <c r="M1280">
        <f t="shared" si="401"/>
        <v>0</v>
      </c>
      <c r="S1280" t="s">
        <v>89</v>
      </c>
      <c r="T1280" s="5">
        <f t="shared" si="403"/>
        <v>0</v>
      </c>
      <c r="U1280" s="5">
        <f t="shared" si="404"/>
        <v>0</v>
      </c>
      <c r="V1280" s="5">
        <f t="shared" si="405"/>
        <v>0</v>
      </c>
      <c r="W1280" s="5">
        <f t="shared" si="406"/>
        <v>0</v>
      </c>
      <c r="X1280" s="5">
        <f t="shared" si="407"/>
        <v>0</v>
      </c>
      <c r="Y1280" s="5">
        <f t="shared" si="408"/>
        <v>0</v>
      </c>
      <c r="Z1280" s="5">
        <f t="shared" si="409"/>
        <v>0</v>
      </c>
      <c r="AA1280" s="5">
        <f t="shared" si="410"/>
        <v>0</v>
      </c>
      <c r="AB1280" s="5">
        <f t="shared" si="400"/>
        <v>0</v>
      </c>
    </row>
    <row r="1281" spans="1:29" x14ac:dyDescent="0.25">
      <c r="D1281" t="s">
        <v>90</v>
      </c>
      <c r="E1281" s="64"/>
      <c r="F1281" s="64"/>
      <c r="G1281">
        <f>IFERROR(HLOOKUP(G$2,[40]table_female_hkom1_inj.V4!$A$1:$K$36,22,FALSE),0)</f>
        <v>0</v>
      </c>
      <c r="H1281">
        <f>IFERROR(HLOOKUP(H$2,[40]table_female_hkom1_inj.V4!$A$1:$K$36,22,FALSE),0)</f>
        <v>0</v>
      </c>
      <c r="I1281">
        <f>IFERROR(HLOOKUP(I$2,[40]table_female_hkom1_inj.V4!$A$1:$K$36,22,FALSE),0)</f>
        <v>0</v>
      </c>
      <c r="J1281">
        <f>IFERROR(HLOOKUP(J$2,[40]table_female_hkom1_inj.V4!$A$1:$K$36,22,FALSE),0)</f>
        <v>0</v>
      </c>
      <c r="K1281">
        <f>IFERROR(HLOOKUP(K$2,[40]table_female_hkom1_inj.V4!$A$1:$K$36,22,FALSE),0)</f>
        <v>0</v>
      </c>
      <c r="L1281">
        <f>IFERROR(HLOOKUP(L$2,[40]table_female_hkom1_inj.V4!$A$1:$K$36,22,FALSE),0)</f>
        <v>0</v>
      </c>
      <c r="M1281">
        <f t="shared" si="401"/>
        <v>0</v>
      </c>
      <c r="S1281" t="s">
        <v>90</v>
      </c>
      <c r="T1281" s="5">
        <f t="shared" si="403"/>
        <v>0</v>
      </c>
      <c r="U1281" s="5">
        <f t="shared" si="404"/>
        <v>0</v>
      </c>
      <c r="V1281" s="5">
        <f t="shared" si="405"/>
        <v>0</v>
      </c>
      <c r="W1281" s="5">
        <f t="shared" si="406"/>
        <v>0</v>
      </c>
      <c r="X1281" s="5">
        <f t="shared" si="407"/>
        <v>0</v>
      </c>
      <c r="Y1281" s="5">
        <f t="shared" si="408"/>
        <v>0</v>
      </c>
      <c r="Z1281" s="5">
        <f t="shared" si="409"/>
        <v>0</v>
      </c>
      <c r="AA1281" s="5">
        <f t="shared" si="410"/>
        <v>0</v>
      </c>
      <c r="AB1281" s="5">
        <f t="shared" si="400"/>
        <v>0</v>
      </c>
    </row>
    <row r="1282" spans="1:29" x14ac:dyDescent="0.25">
      <c r="D1282" t="s">
        <v>91</v>
      </c>
      <c r="E1282" s="64"/>
      <c r="F1282" s="64"/>
      <c r="G1282">
        <f>IFERROR(HLOOKUP(G$2,[40]table_female_hkom1_inj.V4!$A$1:$K$36,23,FALSE),0)</f>
        <v>0</v>
      </c>
      <c r="H1282">
        <f>IFERROR(HLOOKUP(H$2,[40]table_female_hkom1_inj.V4!$A$1:$K$36,23,FALSE),0)</f>
        <v>0</v>
      </c>
      <c r="I1282">
        <f>IFERROR(HLOOKUP(I$2,[40]table_female_hkom1_inj.V4!$A$1:$K$36,23,FALSE),0)</f>
        <v>0</v>
      </c>
      <c r="J1282">
        <f>IFERROR(HLOOKUP(J$2,[40]table_female_hkom1_inj.V4!$A$1:$K$36,23,FALSE),0)</f>
        <v>0</v>
      </c>
      <c r="K1282">
        <f>IFERROR(HLOOKUP(K$2,[40]table_female_hkom1_inj.V4!$A$1:$K$36,23,FALSE),0)</f>
        <v>0</v>
      </c>
      <c r="L1282">
        <f>IFERROR(HLOOKUP(L$2,[40]table_female_hkom1_inj.V4!$A$1:$K$36,23,FALSE),0)</f>
        <v>0</v>
      </c>
      <c r="M1282">
        <f t="shared" si="401"/>
        <v>0</v>
      </c>
      <c r="S1282" t="s">
        <v>91</v>
      </c>
      <c r="T1282" s="5">
        <f t="shared" si="403"/>
        <v>0</v>
      </c>
      <c r="U1282" s="5">
        <f t="shared" si="404"/>
        <v>0</v>
      </c>
      <c r="V1282" s="5">
        <f t="shared" si="405"/>
        <v>0</v>
      </c>
      <c r="W1282" s="5">
        <f t="shared" si="406"/>
        <v>0</v>
      </c>
      <c r="X1282" s="5">
        <f t="shared" si="407"/>
        <v>0</v>
      </c>
      <c r="Y1282" s="5">
        <f t="shared" si="408"/>
        <v>0</v>
      </c>
      <c r="Z1282" s="5">
        <f t="shared" si="409"/>
        <v>0</v>
      </c>
      <c r="AA1282" s="5">
        <f t="shared" si="410"/>
        <v>0</v>
      </c>
      <c r="AB1282" s="5">
        <f t="shared" si="400"/>
        <v>0</v>
      </c>
    </row>
    <row r="1283" spans="1:29" x14ac:dyDescent="0.25">
      <c r="D1283" t="s">
        <v>92</v>
      </c>
      <c r="E1283" s="64"/>
      <c r="F1283" s="64"/>
      <c r="G1283">
        <f>IFERROR(HLOOKUP(G$2,[40]table_female_hkom1_inj.V4!$A$1:$K$36,24,FALSE),0)</f>
        <v>0</v>
      </c>
      <c r="H1283">
        <f>IFERROR(HLOOKUP(H$2,[40]table_female_hkom1_inj.V4!$A$1:$K$36,24,FALSE),0)</f>
        <v>0</v>
      </c>
      <c r="I1283">
        <f>IFERROR(HLOOKUP(I$2,[40]table_female_hkom1_inj.V4!$A$1:$K$36,24,FALSE),0)</f>
        <v>0</v>
      </c>
      <c r="J1283">
        <f>IFERROR(HLOOKUP(J$2,[40]table_female_hkom1_inj.V4!$A$1:$K$36,24,FALSE),0)</f>
        <v>0</v>
      </c>
      <c r="K1283">
        <f>IFERROR(HLOOKUP(K$2,[40]table_female_hkom1_inj.V4!$A$1:$K$36,24,FALSE),0)</f>
        <v>0</v>
      </c>
      <c r="L1283">
        <f>IFERROR(HLOOKUP(L$2,[40]table_female_hkom1_inj.V4!$A$1:$K$36,24,FALSE),0)</f>
        <v>0</v>
      </c>
      <c r="M1283">
        <f t="shared" si="401"/>
        <v>0</v>
      </c>
      <c r="S1283" t="s">
        <v>92</v>
      </c>
      <c r="T1283" s="5">
        <f t="shared" si="403"/>
        <v>0</v>
      </c>
      <c r="U1283" s="5">
        <f t="shared" si="404"/>
        <v>0</v>
      </c>
      <c r="V1283" s="5">
        <f t="shared" si="405"/>
        <v>0</v>
      </c>
      <c r="W1283" s="5">
        <f t="shared" si="406"/>
        <v>0</v>
      </c>
      <c r="X1283" s="5">
        <f t="shared" si="407"/>
        <v>0</v>
      </c>
      <c r="Y1283" s="5">
        <f t="shared" si="408"/>
        <v>0</v>
      </c>
      <c r="Z1283" s="5">
        <f t="shared" si="409"/>
        <v>0</v>
      </c>
      <c r="AA1283" s="5">
        <f t="shared" si="410"/>
        <v>0</v>
      </c>
      <c r="AB1283" s="5">
        <f t="shared" si="400"/>
        <v>0</v>
      </c>
    </row>
    <row r="1284" spans="1:29" x14ac:dyDescent="0.25">
      <c r="D1284" t="s">
        <v>93</v>
      </c>
      <c r="E1284" s="64"/>
      <c r="F1284" s="64"/>
      <c r="G1284">
        <f>IFERROR(HLOOKUP(G$2,[40]table_female_hkom1_inj.V4!$A$1:$K$36,25,FALSE),0)</f>
        <v>0</v>
      </c>
      <c r="H1284">
        <f>IFERROR(HLOOKUP(H$2,[40]table_female_hkom1_inj.V4!$A$1:$K$36,25,FALSE),0)</f>
        <v>0</v>
      </c>
      <c r="I1284">
        <f>IFERROR(HLOOKUP(I$2,[40]table_female_hkom1_inj.V4!$A$1:$K$36,25,FALSE),0)</f>
        <v>0</v>
      </c>
      <c r="J1284">
        <f>IFERROR(HLOOKUP(J$2,[40]table_female_hkom1_inj.V4!$A$1:$K$36,25,FALSE),0)</f>
        <v>0</v>
      </c>
      <c r="K1284">
        <f>IFERROR(HLOOKUP(K$2,[40]table_female_hkom1_inj.V4!$A$1:$K$36,25,FALSE),0)</f>
        <v>0</v>
      </c>
      <c r="L1284">
        <f>IFERROR(HLOOKUP(L$2,[40]table_female_hkom1_inj.V4!$A$1:$K$36,25,FALSE),0)</f>
        <v>0</v>
      </c>
      <c r="M1284">
        <f t="shared" si="401"/>
        <v>0</v>
      </c>
      <c r="S1284" t="s">
        <v>93</v>
      </c>
      <c r="T1284" s="5">
        <f t="shared" si="403"/>
        <v>0</v>
      </c>
      <c r="U1284" s="5">
        <f t="shared" si="404"/>
        <v>0</v>
      </c>
      <c r="V1284" s="5">
        <f t="shared" si="405"/>
        <v>0</v>
      </c>
      <c r="W1284" s="5">
        <f t="shared" si="406"/>
        <v>0</v>
      </c>
      <c r="X1284" s="5">
        <f t="shared" si="407"/>
        <v>0</v>
      </c>
      <c r="Y1284" s="5">
        <f t="shared" si="408"/>
        <v>0</v>
      </c>
      <c r="Z1284" s="5">
        <f t="shared" si="409"/>
        <v>0</v>
      </c>
      <c r="AA1284" s="5">
        <f t="shared" si="410"/>
        <v>0</v>
      </c>
      <c r="AB1284" s="5">
        <f t="shared" si="400"/>
        <v>0</v>
      </c>
    </row>
    <row r="1285" spans="1:29" x14ac:dyDescent="0.25">
      <c r="D1285" t="s">
        <v>94</v>
      </c>
      <c r="E1285" s="64"/>
      <c r="F1285" s="64"/>
      <c r="G1285">
        <f>IFERROR(HLOOKUP(G$2,[40]table_female_hkom1_inj.V4!$A$1:$K$36,26,FALSE),0)</f>
        <v>0</v>
      </c>
      <c r="H1285">
        <f>IFERROR(HLOOKUP(H$2,[40]table_female_hkom1_inj.V4!$A$1:$K$36,26,FALSE),0)</f>
        <v>0</v>
      </c>
      <c r="I1285">
        <f>IFERROR(HLOOKUP(I$2,[40]table_female_hkom1_inj.V4!$A$1:$K$36,26,FALSE),0)</f>
        <v>0</v>
      </c>
      <c r="J1285">
        <f>IFERROR(HLOOKUP(J$2,[40]table_female_hkom1_inj.V4!$A$1:$K$36,26,FALSE),0)</f>
        <v>0</v>
      </c>
      <c r="K1285">
        <f>IFERROR(HLOOKUP(K$2,[40]table_female_hkom1_inj.V4!$A$1:$K$36,26,FALSE),0)</f>
        <v>0</v>
      </c>
      <c r="L1285">
        <f>IFERROR(HLOOKUP(L$2,[40]table_female_hkom1_inj.V4!$A$1:$K$36,26,FALSE),0)</f>
        <v>0</v>
      </c>
      <c r="M1285">
        <f t="shared" si="401"/>
        <v>0</v>
      </c>
      <c r="S1285" t="s">
        <v>94</v>
      </c>
      <c r="T1285" s="5">
        <f t="shared" si="403"/>
        <v>0</v>
      </c>
      <c r="U1285" s="5">
        <f t="shared" si="404"/>
        <v>0</v>
      </c>
      <c r="V1285" s="5">
        <f t="shared" si="405"/>
        <v>0</v>
      </c>
      <c r="W1285" s="5">
        <f t="shared" si="406"/>
        <v>0</v>
      </c>
      <c r="X1285" s="5">
        <f t="shared" si="407"/>
        <v>0</v>
      </c>
      <c r="Y1285" s="5">
        <f t="shared" si="408"/>
        <v>0</v>
      </c>
      <c r="Z1285" s="5">
        <f t="shared" si="409"/>
        <v>0</v>
      </c>
      <c r="AA1285" s="5">
        <f t="shared" si="410"/>
        <v>0</v>
      </c>
      <c r="AB1285" s="5">
        <f t="shared" si="400"/>
        <v>0</v>
      </c>
    </row>
    <row r="1286" spans="1:29" x14ac:dyDescent="0.25">
      <c r="D1286" t="s">
        <v>95</v>
      </c>
      <c r="E1286" s="64"/>
      <c r="F1286" s="64"/>
      <c r="G1286">
        <f>IFERROR(HLOOKUP(G$2,[40]table_female_hkom1_inj.V4!$A$1:$K$36,27,FALSE),0)</f>
        <v>0</v>
      </c>
      <c r="H1286">
        <f>IFERROR(HLOOKUP(H$2,[40]table_female_hkom1_inj.V4!$A$1:$K$36,27,FALSE),0)</f>
        <v>0</v>
      </c>
      <c r="I1286">
        <f>IFERROR(HLOOKUP(I$2,[40]table_female_hkom1_inj.V4!$A$1:$K$36,27,FALSE),0)</f>
        <v>0</v>
      </c>
      <c r="J1286">
        <f>IFERROR(HLOOKUP(J$2,[40]table_female_hkom1_inj.V4!$A$1:$K$36,27,FALSE),0)</f>
        <v>0</v>
      </c>
      <c r="K1286">
        <f>IFERROR(HLOOKUP(K$2,[40]table_female_hkom1_inj.V4!$A$1:$K$36,27,FALSE),0)</f>
        <v>0</v>
      </c>
      <c r="L1286">
        <f>IFERROR(HLOOKUP(L$2,[40]table_female_hkom1_inj.V4!$A$1:$K$36,27,FALSE),0)</f>
        <v>0</v>
      </c>
      <c r="M1286">
        <f t="shared" si="401"/>
        <v>0</v>
      </c>
      <c r="S1286" t="s">
        <v>95</v>
      </c>
      <c r="T1286" s="5">
        <f t="shared" si="403"/>
        <v>0</v>
      </c>
      <c r="U1286" s="5">
        <f t="shared" si="404"/>
        <v>0</v>
      </c>
      <c r="V1286" s="5">
        <f t="shared" si="405"/>
        <v>0</v>
      </c>
      <c r="W1286" s="5">
        <f t="shared" si="406"/>
        <v>0</v>
      </c>
      <c r="X1286" s="5">
        <f t="shared" si="407"/>
        <v>0</v>
      </c>
      <c r="Y1286" s="5">
        <f t="shared" si="408"/>
        <v>0</v>
      </c>
      <c r="Z1286" s="5">
        <f t="shared" si="409"/>
        <v>0</v>
      </c>
      <c r="AA1286" s="5">
        <f t="shared" si="410"/>
        <v>0</v>
      </c>
      <c r="AB1286" s="5">
        <f t="shared" si="400"/>
        <v>0</v>
      </c>
    </row>
    <row r="1287" spans="1:29" x14ac:dyDescent="0.25">
      <c r="D1287" t="s">
        <v>96</v>
      </c>
      <c r="E1287" s="64"/>
      <c r="F1287" s="64"/>
      <c r="G1287">
        <f>IFERROR(HLOOKUP(G$2,[40]table_female_hkom1_inj.V4!$A$1:$K$36,28,FALSE),0)</f>
        <v>0</v>
      </c>
      <c r="H1287">
        <f>IFERROR(HLOOKUP(H$2,[40]table_female_hkom1_inj.V4!$A$1:$K$36,28,FALSE),0)</f>
        <v>0</v>
      </c>
      <c r="I1287">
        <f>IFERROR(HLOOKUP(I$2,[40]table_female_hkom1_inj.V4!$A$1:$K$36,28,FALSE),0)</f>
        <v>0</v>
      </c>
      <c r="J1287">
        <f>IFERROR(HLOOKUP(J$2,[40]table_female_hkom1_inj.V4!$A$1:$K$36,28,FALSE),0)</f>
        <v>0</v>
      </c>
      <c r="K1287">
        <f>IFERROR(HLOOKUP(K$2,[40]table_female_hkom1_inj.V4!$A$1:$K$36,28,FALSE),0)</f>
        <v>0</v>
      </c>
      <c r="L1287">
        <f>IFERROR(HLOOKUP(L$2,[40]table_female_hkom1_inj.V4!$A$1:$K$36,28,FALSE),0)</f>
        <v>0</v>
      </c>
      <c r="M1287">
        <f t="shared" si="401"/>
        <v>0</v>
      </c>
      <c r="S1287" t="s">
        <v>96</v>
      </c>
      <c r="T1287" s="5">
        <f t="shared" si="403"/>
        <v>0</v>
      </c>
      <c r="U1287" s="5">
        <f t="shared" si="404"/>
        <v>0</v>
      </c>
      <c r="V1287" s="5">
        <f t="shared" si="405"/>
        <v>0</v>
      </c>
      <c r="W1287" s="5">
        <f t="shared" si="406"/>
        <v>0</v>
      </c>
      <c r="X1287" s="5">
        <f t="shared" si="407"/>
        <v>0</v>
      </c>
      <c r="Y1287" s="5">
        <f t="shared" si="408"/>
        <v>0</v>
      </c>
      <c r="Z1287" s="5">
        <f t="shared" si="409"/>
        <v>0</v>
      </c>
      <c r="AA1287" s="5">
        <f t="shared" si="410"/>
        <v>0</v>
      </c>
      <c r="AB1287" s="5">
        <f t="shared" si="400"/>
        <v>0</v>
      </c>
    </row>
    <row r="1288" spans="1:29" x14ac:dyDescent="0.25">
      <c r="D1288" t="s">
        <v>97</v>
      </c>
      <c r="E1288" s="64"/>
      <c r="F1288" s="64"/>
      <c r="G1288">
        <f>IFERROR(HLOOKUP(G$2,[40]table_female_hkom1_inj.V4!$A$1:$K$36,29,FALSE),0)</f>
        <v>0</v>
      </c>
      <c r="H1288">
        <f>IFERROR(HLOOKUP(H$2,[40]table_female_hkom1_inj.V4!$A$1:$K$36,29,FALSE),0)</f>
        <v>0</v>
      </c>
      <c r="I1288">
        <f>IFERROR(HLOOKUP(I$2,[40]table_female_hkom1_inj.V4!$A$1:$K$36,29,FALSE),0)</f>
        <v>0</v>
      </c>
      <c r="J1288">
        <f>IFERROR(HLOOKUP(J$2,[40]table_female_hkom1_inj.V4!$A$1:$K$36,29,FALSE),0)</f>
        <v>0</v>
      </c>
      <c r="K1288">
        <f>IFERROR(HLOOKUP(K$2,[40]table_female_hkom1_inj.V4!$A$1:$K$36,29,FALSE),0)</f>
        <v>0</v>
      </c>
      <c r="L1288">
        <f>IFERROR(HLOOKUP(L$2,[40]table_female_hkom1_inj.V4!$A$1:$K$36,29,FALSE),0)</f>
        <v>0</v>
      </c>
      <c r="M1288">
        <f t="shared" si="401"/>
        <v>0</v>
      </c>
      <c r="S1288" t="s">
        <v>97</v>
      </c>
      <c r="T1288" s="5">
        <f t="shared" si="403"/>
        <v>0</v>
      </c>
      <c r="U1288" s="5">
        <f t="shared" si="404"/>
        <v>0</v>
      </c>
      <c r="V1288" s="5">
        <f t="shared" si="405"/>
        <v>0</v>
      </c>
      <c r="W1288" s="5">
        <f t="shared" si="406"/>
        <v>0</v>
      </c>
      <c r="X1288" s="5">
        <f t="shared" si="407"/>
        <v>0</v>
      </c>
      <c r="Y1288" s="5">
        <f t="shared" si="408"/>
        <v>0</v>
      </c>
      <c r="Z1288" s="5">
        <f t="shared" si="409"/>
        <v>0</v>
      </c>
      <c r="AA1288" s="5">
        <f t="shared" si="410"/>
        <v>0</v>
      </c>
      <c r="AB1288" s="5">
        <f t="shared" si="400"/>
        <v>0</v>
      </c>
    </row>
    <row r="1289" spans="1:29" x14ac:dyDescent="0.25">
      <c r="D1289" t="s">
        <v>98</v>
      </c>
      <c r="E1289" s="64"/>
      <c r="F1289" s="64"/>
      <c r="G1289">
        <f>IFERROR(HLOOKUP(G$2,[40]table_female_hkom1_inj.V4!$A$1:$K$36,30,FALSE),0)</f>
        <v>0</v>
      </c>
      <c r="H1289">
        <f>IFERROR(HLOOKUP(H$2,[40]table_female_hkom1_inj.V4!$A$1:$K$36,30,FALSE),0)</f>
        <v>0</v>
      </c>
      <c r="I1289">
        <f>IFERROR(HLOOKUP(I$2,[40]table_female_hkom1_inj.V4!$A$1:$K$36,30,FALSE),0)</f>
        <v>0</v>
      </c>
      <c r="J1289">
        <f>IFERROR(HLOOKUP(J$2,[40]table_female_hkom1_inj.V4!$A$1:$K$36,30,FALSE),0)</f>
        <v>0</v>
      </c>
      <c r="K1289">
        <f>IFERROR(HLOOKUP(K$2,[40]table_female_hkom1_inj.V4!$A$1:$K$36,30,FALSE),0)</f>
        <v>0</v>
      </c>
      <c r="L1289">
        <f>IFERROR(HLOOKUP(L$2,[40]table_female_hkom1_inj.V4!$A$1:$K$36,30,FALSE),0)</f>
        <v>0</v>
      </c>
      <c r="M1289">
        <f t="shared" si="401"/>
        <v>0</v>
      </c>
      <c r="S1289" t="s">
        <v>98</v>
      </c>
      <c r="T1289" s="5">
        <f t="shared" si="403"/>
        <v>0</v>
      </c>
      <c r="U1289" s="5">
        <f t="shared" si="404"/>
        <v>0</v>
      </c>
      <c r="V1289" s="5">
        <f t="shared" si="405"/>
        <v>0</v>
      </c>
      <c r="W1289" s="5">
        <f t="shared" si="406"/>
        <v>0</v>
      </c>
      <c r="X1289" s="5">
        <f t="shared" si="407"/>
        <v>0</v>
      </c>
      <c r="Y1289" s="5">
        <f t="shared" si="408"/>
        <v>0</v>
      </c>
      <c r="Z1289" s="5">
        <f t="shared" si="409"/>
        <v>0</v>
      </c>
      <c r="AA1289" s="5">
        <f t="shared" si="410"/>
        <v>0</v>
      </c>
      <c r="AB1289" s="5">
        <f t="shared" si="400"/>
        <v>0</v>
      </c>
    </row>
    <row r="1290" spans="1:29" x14ac:dyDescent="0.25">
      <c r="D1290" t="s">
        <v>119</v>
      </c>
      <c r="E1290" s="64"/>
      <c r="F1290" s="64"/>
      <c r="G1290">
        <f>IFERROR(HLOOKUP(G$2,[40]table_female_hkom1_inj.V4!$A$1:$K$36,31,FALSE),0)</f>
        <v>0</v>
      </c>
      <c r="H1290">
        <f>IFERROR(HLOOKUP(H$2,[40]table_female_hkom1_inj.V4!$A$1:$K$36,31,FALSE),0)</f>
        <v>0</v>
      </c>
      <c r="I1290">
        <f>IFERROR(HLOOKUP(I$2,[40]table_female_hkom1_inj.V4!$A$1:$K$36,31,FALSE),0)</f>
        <v>0</v>
      </c>
      <c r="J1290">
        <f>IFERROR(HLOOKUP(J$2,[40]table_female_hkom1_inj.V4!$A$1:$K$36,31,FALSE),0)</f>
        <v>0</v>
      </c>
      <c r="K1290">
        <f>IFERROR(HLOOKUP(K$2,[40]table_female_hkom1_inj.V4!$A$1:$K$36,31,FALSE),0)</f>
        <v>0</v>
      </c>
      <c r="L1290">
        <f>IFERROR(HLOOKUP(L$2,[40]table_female_hkom1_inj.V4!$A$1:$K$36,31,FALSE),0)</f>
        <v>0</v>
      </c>
      <c r="M1290">
        <f t="shared" si="401"/>
        <v>0</v>
      </c>
      <c r="S1290" t="s">
        <v>119</v>
      </c>
      <c r="T1290" s="5">
        <f t="shared" si="403"/>
        <v>0</v>
      </c>
      <c r="U1290" s="5">
        <f t="shared" si="404"/>
        <v>0</v>
      </c>
      <c r="V1290" s="5">
        <f t="shared" si="405"/>
        <v>0</v>
      </c>
      <c r="W1290" s="5">
        <f t="shared" si="406"/>
        <v>0</v>
      </c>
      <c r="X1290" s="5">
        <f t="shared" si="407"/>
        <v>0</v>
      </c>
      <c r="Y1290" s="5">
        <f t="shared" si="408"/>
        <v>0</v>
      </c>
      <c r="Z1290" s="5">
        <f t="shared" si="409"/>
        <v>0</v>
      </c>
      <c r="AA1290" s="5">
        <f t="shared" si="410"/>
        <v>0</v>
      </c>
      <c r="AB1290" s="5">
        <f t="shared" si="400"/>
        <v>0</v>
      </c>
    </row>
    <row r="1291" spans="1:29" x14ac:dyDescent="0.25">
      <c r="D1291" t="s">
        <v>99</v>
      </c>
      <c r="E1291" s="64"/>
      <c r="F1291" s="64"/>
      <c r="G1291">
        <f>IFERROR(HLOOKUP(G$2,[40]table_female_hkom1_inj.V4!$A$1:$K$36,32,FALSE),0)</f>
        <v>0</v>
      </c>
      <c r="H1291">
        <f>IFERROR(HLOOKUP(H$2,[40]table_female_hkom1_inj.V4!$A$1:$K$36,32,FALSE),0)</f>
        <v>0</v>
      </c>
      <c r="I1291">
        <f>IFERROR(HLOOKUP(I$2,[40]table_female_hkom1_inj.V4!$A$1:$K$36,32,FALSE),0)</f>
        <v>0</v>
      </c>
      <c r="J1291">
        <f>IFERROR(HLOOKUP(J$2,[40]table_female_hkom1_inj.V4!$A$1:$K$36,32,FALSE),0)</f>
        <v>0</v>
      </c>
      <c r="K1291">
        <f>IFERROR(HLOOKUP(K$2,[40]table_female_hkom1_inj.V4!$A$1:$K$36,32,FALSE),0)</f>
        <v>0</v>
      </c>
      <c r="L1291">
        <f>IFERROR(HLOOKUP(L$2,[40]table_female_hkom1_inj.V4!$A$1:$K$36,32,FALSE),0)</f>
        <v>0</v>
      </c>
      <c r="M1291">
        <f t="shared" si="401"/>
        <v>0</v>
      </c>
      <c r="S1291" t="s">
        <v>99</v>
      </c>
      <c r="T1291" s="5">
        <f t="shared" si="403"/>
        <v>0</v>
      </c>
      <c r="U1291" s="5">
        <f t="shared" si="404"/>
        <v>0</v>
      </c>
      <c r="V1291" s="5">
        <f t="shared" si="405"/>
        <v>0</v>
      </c>
      <c r="W1291" s="5">
        <f t="shared" si="406"/>
        <v>0</v>
      </c>
      <c r="X1291" s="5">
        <f t="shared" si="407"/>
        <v>0</v>
      </c>
      <c r="Y1291" s="5">
        <f t="shared" si="408"/>
        <v>0</v>
      </c>
      <c r="Z1291" s="5">
        <f t="shared" si="409"/>
        <v>0</v>
      </c>
      <c r="AA1291" s="5">
        <f t="shared" si="410"/>
        <v>0</v>
      </c>
      <c r="AB1291" s="5">
        <f t="shared" si="400"/>
        <v>0</v>
      </c>
    </row>
    <row r="1292" spans="1:29" x14ac:dyDescent="0.25">
      <c r="D1292" t="s">
        <v>100</v>
      </c>
      <c r="E1292" s="64"/>
      <c r="F1292" s="64"/>
      <c r="G1292">
        <f>IFERROR(HLOOKUP(G$2,[40]table_female_hkom1_inj.V4!$A$1:$K$36,33,FALSE),0)</f>
        <v>0</v>
      </c>
      <c r="H1292">
        <f>IFERROR(HLOOKUP(H$2,[40]table_female_hkom1_inj.V4!$A$1:$K$36,33,FALSE),0)</f>
        <v>0</v>
      </c>
      <c r="I1292">
        <f>IFERROR(HLOOKUP(I$2,[40]table_female_hkom1_inj.V4!$A$1:$K$36,33,FALSE),0)</f>
        <v>0</v>
      </c>
      <c r="J1292">
        <f>IFERROR(HLOOKUP(J$2,[40]table_female_hkom1_inj.V4!$A$1:$K$36,33,FALSE),0)</f>
        <v>0</v>
      </c>
      <c r="K1292">
        <f>IFERROR(HLOOKUP(K$2,[40]table_female_hkom1_inj.V4!$A$1:$K$36,33,FALSE),0)</f>
        <v>0</v>
      </c>
      <c r="L1292">
        <f>IFERROR(HLOOKUP(L$2,[40]table_female_hkom1_inj.V4!$A$1:$K$36,33,FALSE),0)</f>
        <v>0</v>
      </c>
      <c r="M1292">
        <f t="shared" si="401"/>
        <v>0</v>
      </c>
      <c r="S1292" t="s">
        <v>100</v>
      </c>
      <c r="T1292" s="5">
        <f t="shared" si="403"/>
        <v>0</v>
      </c>
      <c r="U1292" s="5">
        <f t="shared" si="404"/>
        <v>0</v>
      </c>
      <c r="V1292" s="5">
        <f t="shared" si="405"/>
        <v>0</v>
      </c>
      <c r="W1292" s="5">
        <f t="shared" si="406"/>
        <v>0</v>
      </c>
      <c r="X1292" s="5">
        <f t="shared" si="407"/>
        <v>0</v>
      </c>
      <c r="Y1292" s="5">
        <f t="shared" si="408"/>
        <v>0</v>
      </c>
      <c r="Z1292" s="5">
        <f t="shared" si="409"/>
        <v>0</v>
      </c>
      <c r="AA1292" s="5">
        <f t="shared" si="410"/>
        <v>0</v>
      </c>
      <c r="AB1292" s="5">
        <f t="shared" si="400"/>
        <v>0</v>
      </c>
    </row>
    <row r="1293" spans="1:29" x14ac:dyDescent="0.25">
      <c r="D1293" t="s">
        <v>101</v>
      </c>
      <c r="E1293" s="64"/>
      <c r="F1293" s="64"/>
      <c r="G1293">
        <f>IFERROR(HLOOKUP(G$2,[40]table_female_hkom1_inj.V4!$A$1:$K$36,34,FALSE),0)</f>
        <v>0</v>
      </c>
      <c r="H1293">
        <f>IFERROR(HLOOKUP(H$2,[40]table_female_hkom1_inj.V4!$A$1:$K$36,34,FALSE),0)</f>
        <v>0</v>
      </c>
      <c r="I1293">
        <f>IFERROR(HLOOKUP(I$2,[40]table_female_hkom1_inj.V4!$A$1:$K$36,34,FALSE),0)</f>
        <v>0</v>
      </c>
      <c r="J1293">
        <f>IFERROR(HLOOKUP(J$2,[40]table_female_hkom1_inj.V4!$A$1:$K$36,34,FALSE),0)</f>
        <v>0</v>
      </c>
      <c r="K1293">
        <f>IFERROR(HLOOKUP(K$2,[40]table_female_hkom1_inj.V4!$A$1:$K$36,34,FALSE),0)</f>
        <v>0</v>
      </c>
      <c r="L1293">
        <f>IFERROR(HLOOKUP(L$2,[40]table_female_hkom1_inj.V4!$A$1:$K$36,34,FALSE),0)</f>
        <v>0</v>
      </c>
      <c r="M1293">
        <f t="shared" si="401"/>
        <v>0</v>
      </c>
      <c r="S1293" t="s">
        <v>101</v>
      </c>
      <c r="T1293" s="5">
        <f t="shared" si="403"/>
        <v>0</v>
      </c>
      <c r="U1293" s="5">
        <f t="shared" si="404"/>
        <v>0</v>
      </c>
      <c r="V1293" s="5">
        <f t="shared" si="405"/>
        <v>0</v>
      </c>
      <c r="W1293" s="5">
        <f t="shared" si="406"/>
        <v>0</v>
      </c>
      <c r="X1293" s="5">
        <f t="shared" si="407"/>
        <v>0</v>
      </c>
      <c r="Y1293" s="5">
        <f t="shared" si="408"/>
        <v>0</v>
      </c>
      <c r="Z1293" s="5">
        <f t="shared" si="409"/>
        <v>0</v>
      </c>
      <c r="AA1293" s="5">
        <f t="shared" si="410"/>
        <v>0</v>
      </c>
      <c r="AB1293" s="5">
        <f t="shared" si="400"/>
        <v>0</v>
      </c>
    </row>
    <row r="1294" spans="1:29" x14ac:dyDescent="0.25">
      <c r="D1294" t="s">
        <v>102</v>
      </c>
      <c r="E1294" s="64"/>
      <c r="F1294" s="64"/>
      <c r="G1294">
        <f>IFERROR(HLOOKUP(G$2,[40]table_female_hkom1_inj.V4!$A$1:$K$36,35,FALSE),0)</f>
        <v>0</v>
      </c>
      <c r="H1294">
        <f>IFERROR(HLOOKUP(H$2,[40]table_female_hkom1_inj.V4!$A$1:$K$36,35,FALSE),0)</f>
        <v>0</v>
      </c>
      <c r="I1294">
        <f>IFERROR(HLOOKUP(I$2,[40]table_female_hkom1_inj.V4!$A$1:$K$36,35,FALSE),0)</f>
        <v>0</v>
      </c>
      <c r="J1294">
        <f>IFERROR(HLOOKUP(J$2,[40]table_female_hkom1_inj.V4!$A$1:$K$36,35,FALSE),0)</f>
        <v>0</v>
      </c>
      <c r="K1294">
        <f>IFERROR(HLOOKUP(K$2,[40]table_female_hkom1_inj.V4!$A$1:$K$36,35,FALSE),0)</f>
        <v>0</v>
      </c>
      <c r="L1294">
        <f>IFERROR(HLOOKUP(L$2,[40]table_female_hkom1_inj.V4!$A$1:$K$36,35,FALSE),0)</f>
        <v>0</v>
      </c>
      <c r="M1294">
        <f t="shared" si="401"/>
        <v>0</v>
      </c>
      <c r="N1294">
        <f>SUM(M1261:M1294)</f>
        <v>0</v>
      </c>
      <c r="O1294" s="8">
        <f>SUM([40]table_female_hkom1_inj.V4!$B$2:$L$37)</f>
        <v>0</v>
      </c>
      <c r="S1294" t="s">
        <v>102</v>
      </c>
      <c r="T1294" s="7"/>
      <c r="U1294" s="7"/>
      <c r="V1294" s="7"/>
      <c r="W1294" s="7"/>
      <c r="X1294" s="7"/>
      <c r="Y1294" s="7"/>
      <c r="Z1294" s="7"/>
      <c r="AA1294" s="7"/>
      <c r="AB1294" s="5">
        <f t="shared" si="400"/>
        <v>0</v>
      </c>
      <c r="AC1294" s="5">
        <f>SUM(AB1261:AB1293)</f>
        <v>0</v>
      </c>
    </row>
    <row r="1295" spans="1:29" x14ac:dyDescent="0.25">
      <c r="A1295" t="s">
        <v>115</v>
      </c>
      <c r="B1295" t="s">
        <v>103</v>
      </c>
      <c r="C1295" t="s">
        <v>109</v>
      </c>
      <c r="D1295" t="s">
        <v>70</v>
      </c>
      <c r="E1295" s="64"/>
      <c r="F1295" s="64"/>
      <c r="G1295">
        <f>IFERROR(HLOOKUP(G$2,[41]table_female_hkom1_inj.U1!$A$1:$K$36,2,FALSE),0)</f>
        <v>18</v>
      </c>
      <c r="H1295">
        <f>IFERROR(HLOOKUP(H$2,[41]table_female_hkom1_inj.U1!$A$1:$K$36,2,FALSE),0)</f>
        <v>19</v>
      </c>
      <c r="I1295">
        <f>IFERROR(HLOOKUP(I$2,[41]table_female_hkom1_inj.U1!$A$1:$K$36,2,FALSE),0)</f>
        <v>11</v>
      </c>
      <c r="J1295">
        <f>IFERROR(HLOOKUP(J$2,[41]table_female_hkom1_inj.U1!$A$1:$K$36,2,FALSE),0)</f>
        <v>0</v>
      </c>
      <c r="K1295">
        <f>IFERROR(HLOOKUP(K$2,[41]table_female_hkom1_inj.U1!$A$1:$K$36,2,FALSE),0)</f>
        <v>0</v>
      </c>
      <c r="L1295">
        <f>IFERROR(HLOOKUP(L$2,[41]table_female_hkom1_inj.U1!$A$1:$K$36,2,FALSE),0)</f>
        <v>0</v>
      </c>
      <c r="M1295">
        <f t="shared" si="401"/>
        <v>48</v>
      </c>
      <c r="P1295" t="s">
        <v>115</v>
      </c>
      <c r="Q1295" t="s">
        <v>103</v>
      </c>
      <c r="R1295" t="s">
        <v>109</v>
      </c>
      <c r="S1295" t="s">
        <v>70</v>
      </c>
      <c r="T1295" s="5">
        <f>IF(SUM(E$1295:E$1327)=0,E$1328/33,E1295+IFERROR(E1295/SUM(E$1295:E$1327)*E$1328,0))</f>
        <v>0</v>
      </c>
      <c r="U1295" s="5">
        <f t="shared" ref="U1295:AA1295" si="411">IF(SUM(F$1295:F$1327)=0,F$1328/33,F1295+IFERROR(F1295/SUM(F$1295:F$1327)*F$1328,0))</f>
        <v>0</v>
      </c>
      <c r="V1295" s="5">
        <f t="shared" si="411"/>
        <v>19.539078156312627</v>
      </c>
      <c r="W1295" s="5">
        <f t="shared" si="411"/>
        <v>20.6112</v>
      </c>
      <c r="X1295" s="5">
        <f t="shared" si="411"/>
        <v>11.702594810379242</v>
      </c>
      <c r="Y1295" s="5">
        <f t="shared" si="411"/>
        <v>0</v>
      </c>
      <c r="Z1295" s="5">
        <f t="shared" si="411"/>
        <v>0</v>
      </c>
      <c r="AA1295" s="5">
        <f t="shared" si="411"/>
        <v>0</v>
      </c>
      <c r="AB1295" s="5">
        <f t="shared" si="400"/>
        <v>51.852872966691862</v>
      </c>
    </row>
    <row r="1296" spans="1:29" x14ac:dyDescent="0.25">
      <c r="D1296" t="s">
        <v>71</v>
      </c>
      <c r="E1296" s="64"/>
      <c r="F1296" s="64"/>
      <c r="G1296">
        <f>IFERROR(HLOOKUP(G$2,[41]table_female_hkom1_inj.U1!$A$1:$K$36,3,FALSE),0)</f>
        <v>82</v>
      </c>
      <c r="H1296">
        <f>IFERROR(HLOOKUP(H$2,[41]table_female_hkom1_inj.U1!$A$1:$K$36,3,FALSE),0)</f>
        <v>65</v>
      </c>
      <c r="I1296">
        <f>IFERROR(HLOOKUP(I$2,[41]table_female_hkom1_inj.U1!$A$1:$K$36,3,FALSE),0)</f>
        <v>25</v>
      </c>
      <c r="J1296">
        <f>IFERROR(HLOOKUP(J$2,[41]table_female_hkom1_inj.U1!$A$1:$K$36,3,FALSE),0)</f>
        <v>1</v>
      </c>
      <c r="K1296">
        <f>IFERROR(HLOOKUP(K$2,[41]table_female_hkom1_inj.U1!$A$1:$K$36,3,FALSE),0)</f>
        <v>0</v>
      </c>
      <c r="L1296">
        <f>IFERROR(HLOOKUP(L$2,[41]table_female_hkom1_inj.U1!$A$1:$K$36,3,FALSE),0)</f>
        <v>0</v>
      </c>
      <c r="M1296">
        <f t="shared" si="401"/>
        <v>173</v>
      </c>
      <c r="S1296" t="s">
        <v>71</v>
      </c>
      <c r="T1296" s="5">
        <f t="shared" ref="T1296:T1327" si="412">IF(SUM(E$1295:E$1327)=0,E$1328/33,E1296+IFERROR(E1296/SUM(E$1295:E$1327)*E$1328,0))</f>
        <v>0</v>
      </c>
      <c r="U1296" s="5">
        <f t="shared" ref="U1296:U1327" si="413">IF(SUM(F$1295:F$1327)=0,F$1328/33,F1296+IFERROR(F1296/SUM(F$1295:F$1327)*F$1328,0))</f>
        <v>0</v>
      </c>
      <c r="V1296" s="5">
        <f t="shared" ref="V1296:V1327" si="414">IF(SUM(G$1295:G$1327)=0,G$1328/33,G1296+IFERROR(G1296/SUM(G$1295:G$1327)*G$1328,0))</f>
        <v>89.011356045424179</v>
      </c>
      <c r="W1296" s="5">
        <f t="shared" ref="W1296:W1327" si="415">IF(SUM(H$1295:H$1327)=0,H$1328/33,H1296+IFERROR(H1296/SUM(H$1295:H$1327)*H$1328,0))</f>
        <v>70.512</v>
      </c>
      <c r="X1296" s="5">
        <f t="shared" ref="X1296:X1327" si="416">IF(SUM(I$1295:I$1327)=0,I$1328/33,I1296+IFERROR(I1296/SUM(I$1295:I$1327)*I$1328,0))</f>
        <v>26.596806387225548</v>
      </c>
      <c r="Y1296" s="5">
        <f t="shared" ref="Y1296:Y1327" si="417">IF(SUM(J$1295:J$1327)=0,J$1328/33,J1296+IFERROR(J1296/SUM(J$1295:J$1327)*J$1328,0))</f>
        <v>1.0677966101694916</v>
      </c>
      <c r="Z1296" s="5">
        <f t="shared" ref="Z1296:Z1327" si="418">IF(SUM(K$1295:K$1327)=0,K$1328/33,K1296+IFERROR(K1296/SUM(K$1295:K$1327)*K$1328,0))</f>
        <v>0</v>
      </c>
      <c r="AA1296" s="5">
        <f t="shared" ref="AA1296:AA1327" si="419">IF(SUM(L$1295:L$1327)=0,L$1328/33,L1296+IFERROR(L1296/SUM(L$1295:L$1327)*L$1328,0))</f>
        <v>0</v>
      </c>
      <c r="AB1296" s="5">
        <f t="shared" si="400"/>
        <v>187.18795904281922</v>
      </c>
    </row>
    <row r="1297" spans="4:28" x14ac:dyDescent="0.25">
      <c r="D1297" t="s">
        <v>72</v>
      </c>
      <c r="E1297" s="64"/>
      <c r="F1297" s="64"/>
      <c r="G1297">
        <f>IFERROR(HLOOKUP(G$2,[41]table_female_hkom1_inj.U1!$A$1:$K$36,4,FALSE),0)</f>
        <v>28</v>
      </c>
      <c r="H1297">
        <f>IFERROR(HLOOKUP(H$2,[41]table_female_hkom1_inj.U1!$A$1:$K$36,4,FALSE),0)</f>
        <v>36</v>
      </c>
      <c r="I1297">
        <f>IFERROR(HLOOKUP(I$2,[41]table_female_hkom1_inj.U1!$A$1:$K$36,4,FALSE),0)</f>
        <v>28</v>
      </c>
      <c r="J1297">
        <f>IFERROR(HLOOKUP(J$2,[41]table_female_hkom1_inj.U1!$A$1:$K$36,4,FALSE),0)</f>
        <v>3</v>
      </c>
      <c r="K1297">
        <f>IFERROR(HLOOKUP(K$2,[41]table_female_hkom1_inj.U1!$A$1:$K$36,4,FALSE),0)</f>
        <v>0</v>
      </c>
      <c r="L1297">
        <f>IFERROR(HLOOKUP(L$2,[41]table_female_hkom1_inj.U1!$A$1:$K$36,4,FALSE),0)</f>
        <v>0</v>
      </c>
      <c r="M1297">
        <f t="shared" si="401"/>
        <v>95</v>
      </c>
      <c r="S1297" t="s">
        <v>72</v>
      </c>
      <c r="T1297" s="5">
        <f t="shared" si="412"/>
        <v>0</v>
      </c>
      <c r="U1297" s="5">
        <f t="shared" si="413"/>
        <v>0</v>
      </c>
      <c r="V1297" s="5">
        <f t="shared" si="414"/>
        <v>30.394121576486306</v>
      </c>
      <c r="W1297" s="5">
        <f t="shared" si="415"/>
        <v>39.052799999999998</v>
      </c>
      <c r="X1297" s="5">
        <f t="shared" si="416"/>
        <v>29.788423153692616</v>
      </c>
      <c r="Y1297" s="5">
        <f t="shared" si="417"/>
        <v>3.2033898305084745</v>
      </c>
      <c r="Z1297" s="5">
        <f t="shared" si="418"/>
        <v>0</v>
      </c>
      <c r="AA1297" s="5">
        <f t="shared" si="419"/>
        <v>0</v>
      </c>
      <c r="AB1297" s="5">
        <f t="shared" si="400"/>
        <v>102.43873456068739</v>
      </c>
    </row>
    <row r="1298" spans="4:28" x14ac:dyDescent="0.25">
      <c r="D1298" t="s">
        <v>73</v>
      </c>
      <c r="E1298" s="64"/>
      <c r="F1298" s="64"/>
      <c r="G1298">
        <f>IFERROR(HLOOKUP(G$2,[41]table_female_hkom1_inj.U1!$A$1:$K$36,5,FALSE),0)</f>
        <v>10</v>
      </c>
      <c r="H1298">
        <f>IFERROR(HLOOKUP(H$2,[41]table_female_hkom1_inj.U1!$A$1:$K$36,5,FALSE),0)</f>
        <v>9</v>
      </c>
      <c r="I1298">
        <f>IFERROR(HLOOKUP(I$2,[41]table_female_hkom1_inj.U1!$A$1:$K$36,5,FALSE),0)</f>
        <v>7</v>
      </c>
      <c r="J1298">
        <f>IFERROR(HLOOKUP(J$2,[41]table_female_hkom1_inj.U1!$A$1:$K$36,5,FALSE),0)</f>
        <v>0</v>
      </c>
      <c r="K1298">
        <f>IFERROR(HLOOKUP(K$2,[41]table_female_hkom1_inj.U1!$A$1:$K$36,5,FALSE),0)</f>
        <v>0</v>
      </c>
      <c r="L1298">
        <f>IFERROR(HLOOKUP(L$2,[41]table_female_hkom1_inj.U1!$A$1:$K$36,5,FALSE),0)</f>
        <v>0</v>
      </c>
      <c r="M1298">
        <f t="shared" si="401"/>
        <v>26</v>
      </c>
      <c r="S1298" t="s">
        <v>73</v>
      </c>
      <c r="T1298" s="5">
        <f t="shared" si="412"/>
        <v>0</v>
      </c>
      <c r="U1298" s="5">
        <f t="shared" si="413"/>
        <v>0</v>
      </c>
      <c r="V1298" s="5">
        <f t="shared" si="414"/>
        <v>10.855043420173681</v>
      </c>
      <c r="W1298" s="5">
        <f t="shared" si="415"/>
        <v>9.7631999999999994</v>
      </c>
      <c r="X1298" s="5">
        <f t="shared" si="416"/>
        <v>7.447105788423154</v>
      </c>
      <c r="Y1298" s="5">
        <f t="shared" si="417"/>
        <v>0</v>
      </c>
      <c r="Z1298" s="5">
        <f t="shared" si="418"/>
        <v>0</v>
      </c>
      <c r="AA1298" s="5">
        <f t="shared" si="419"/>
        <v>0</v>
      </c>
      <c r="AB1298" s="5">
        <f t="shared" si="400"/>
        <v>28.065349208596835</v>
      </c>
    </row>
    <row r="1299" spans="4:28" x14ac:dyDescent="0.25">
      <c r="D1299" t="s">
        <v>74</v>
      </c>
      <c r="E1299" s="64"/>
      <c r="F1299" s="64"/>
      <c r="G1299">
        <f>IFERROR(HLOOKUP(G$2,[41]table_female_hkom1_inj.U1!$A$1:$K$36,6,FALSE),0)</f>
        <v>20</v>
      </c>
      <c r="H1299">
        <f>IFERROR(HLOOKUP(H$2,[41]table_female_hkom1_inj.U1!$A$1:$K$36,6,FALSE),0)</f>
        <v>62</v>
      </c>
      <c r="I1299">
        <f>IFERROR(HLOOKUP(I$2,[41]table_female_hkom1_inj.U1!$A$1:$K$36,6,FALSE),0)</f>
        <v>42</v>
      </c>
      <c r="J1299">
        <f>IFERROR(HLOOKUP(J$2,[41]table_female_hkom1_inj.U1!$A$1:$K$36,6,FALSE),0)</f>
        <v>6</v>
      </c>
      <c r="K1299">
        <f>IFERROR(HLOOKUP(K$2,[41]table_female_hkom1_inj.U1!$A$1:$K$36,6,FALSE),0)</f>
        <v>0</v>
      </c>
      <c r="L1299">
        <f>IFERROR(HLOOKUP(L$2,[41]table_female_hkom1_inj.U1!$A$1:$K$36,6,FALSE),0)</f>
        <v>0</v>
      </c>
      <c r="M1299">
        <f t="shared" si="401"/>
        <v>130</v>
      </c>
      <c r="S1299" t="s">
        <v>74</v>
      </c>
      <c r="T1299" s="5">
        <f t="shared" si="412"/>
        <v>0</v>
      </c>
      <c r="U1299" s="5">
        <f t="shared" si="413"/>
        <v>0</v>
      </c>
      <c r="V1299" s="5">
        <f t="shared" si="414"/>
        <v>21.710086840347362</v>
      </c>
      <c r="W1299" s="5">
        <f t="shared" si="415"/>
        <v>67.257599999999996</v>
      </c>
      <c r="X1299" s="5">
        <f t="shared" si="416"/>
        <v>44.682634730538922</v>
      </c>
      <c r="Y1299" s="5">
        <f t="shared" si="417"/>
        <v>6.406779661016949</v>
      </c>
      <c r="Z1299" s="5">
        <f t="shared" si="418"/>
        <v>0</v>
      </c>
      <c r="AA1299" s="5">
        <f t="shared" si="419"/>
        <v>0</v>
      </c>
      <c r="AB1299" s="5">
        <f t="shared" si="400"/>
        <v>140.0571012319032</v>
      </c>
    </row>
    <row r="1300" spans="4:28" x14ac:dyDescent="0.25">
      <c r="D1300" t="s">
        <v>75</v>
      </c>
      <c r="E1300" s="64"/>
      <c r="F1300" s="64"/>
      <c r="G1300">
        <f>IFERROR(HLOOKUP(G$2,[41]table_female_hkom1_inj.U1!$A$1:$K$36,7,FALSE),0)</f>
        <v>31</v>
      </c>
      <c r="H1300">
        <f>IFERROR(HLOOKUP(H$2,[41]table_female_hkom1_inj.U1!$A$1:$K$36,7,FALSE),0)</f>
        <v>35</v>
      </c>
      <c r="I1300">
        <f>IFERROR(HLOOKUP(I$2,[41]table_female_hkom1_inj.U1!$A$1:$K$36,7,FALSE),0)</f>
        <v>17</v>
      </c>
      <c r="J1300">
        <f>IFERROR(HLOOKUP(J$2,[41]table_female_hkom1_inj.U1!$A$1:$K$36,7,FALSE),0)</f>
        <v>1</v>
      </c>
      <c r="K1300">
        <f>IFERROR(HLOOKUP(K$2,[41]table_female_hkom1_inj.U1!$A$1:$K$36,7,FALSE),0)</f>
        <v>0</v>
      </c>
      <c r="L1300">
        <f>IFERROR(HLOOKUP(L$2,[41]table_female_hkom1_inj.U1!$A$1:$K$36,7,FALSE),0)</f>
        <v>0</v>
      </c>
      <c r="M1300">
        <f t="shared" si="401"/>
        <v>84</v>
      </c>
      <c r="S1300" t="s">
        <v>75</v>
      </c>
      <c r="T1300" s="5">
        <f t="shared" si="412"/>
        <v>0</v>
      </c>
      <c r="U1300" s="5">
        <f t="shared" si="413"/>
        <v>0</v>
      </c>
      <c r="V1300" s="5">
        <f t="shared" si="414"/>
        <v>33.65063460253841</v>
      </c>
      <c r="W1300" s="5">
        <f t="shared" si="415"/>
        <v>37.968000000000004</v>
      </c>
      <c r="X1300" s="5">
        <f t="shared" si="416"/>
        <v>18.085828343313374</v>
      </c>
      <c r="Y1300" s="5">
        <f t="shared" si="417"/>
        <v>1.0677966101694916</v>
      </c>
      <c r="Z1300" s="5">
        <f t="shared" si="418"/>
        <v>0</v>
      </c>
      <c r="AA1300" s="5">
        <f t="shared" si="419"/>
        <v>0</v>
      </c>
      <c r="AB1300" s="5">
        <f t="shared" ref="AB1300:AB1363" si="420">SUM(T1300:AA1300)</f>
        <v>90.772259556021282</v>
      </c>
    </row>
    <row r="1301" spans="4:28" x14ac:dyDescent="0.25">
      <c r="D1301" t="s">
        <v>76</v>
      </c>
      <c r="E1301" s="64"/>
      <c r="F1301" s="64"/>
      <c r="G1301">
        <f>IFERROR(HLOOKUP(G$2,[41]table_female_hkom1_inj.U1!$A$1:$K$36,8,FALSE),0)</f>
        <v>59</v>
      </c>
      <c r="H1301">
        <f>IFERROR(HLOOKUP(H$2,[41]table_female_hkom1_inj.U1!$A$1:$K$36,8,FALSE),0)</f>
        <v>104</v>
      </c>
      <c r="I1301">
        <f>IFERROR(HLOOKUP(I$2,[41]table_female_hkom1_inj.U1!$A$1:$K$36,8,FALSE),0)</f>
        <v>42</v>
      </c>
      <c r="J1301">
        <f>IFERROR(HLOOKUP(J$2,[41]table_female_hkom1_inj.U1!$A$1:$K$36,8,FALSE),0)</f>
        <v>7</v>
      </c>
      <c r="K1301">
        <f>IFERROR(HLOOKUP(K$2,[41]table_female_hkom1_inj.U1!$A$1:$K$36,8,FALSE),0)</f>
        <v>0</v>
      </c>
      <c r="L1301">
        <f>IFERROR(HLOOKUP(L$2,[41]table_female_hkom1_inj.U1!$A$1:$K$36,8,FALSE),0)</f>
        <v>0</v>
      </c>
      <c r="M1301">
        <f t="shared" si="401"/>
        <v>212</v>
      </c>
      <c r="S1301" t="s">
        <v>76</v>
      </c>
      <c r="T1301" s="5">
        <f t="shared" si="412"/>
        <v>0</v>
      </c>
      <c r="U1301" s="5">
        <f t="shared" si="413"/>
        <v>0</v>
      </c>
      <c r="V1301" s="5">
        <f t="shared" si="414"/>
        <v>64.044756179024716</v>
      </c>
      <c r="W1301" s="5">
        <f t="shared" si="415"/>
        <v>112.8192</v>
      </c>
      <c r="X1301" s="5">
        <f t="shared" si="416"/>
        <v>44.682634730538922</v>
      </c>
      <c r="Y1301" s="5">
        <f t="shared" si="417"/>
        <v>7.4745762711864403</v>
      </c>
      <c r="Z1301" s="5">
        <f t="shared" si="418"/>
        <v>0</v>
      </c>
      <c r="AA1301" s="5">
        <f t="shared" si="419"/>
        <v>0</v>
      </c>
      <c r="AB1301" s="5">
        <f t="shared" si="420"/>
        <v>229.02116718075007</v>
      </c>
    </row>
    <row r="1302" spans="4:28" x14ac:dyDescent="0.25">
      <c r="D1302" t="s">
        <v>77</v>
      </c>
      <c r="E1302" s="64"/>
      <c r="F1302" s="64"/>
      <c r="G1302">
        <f>IFERROR(HLOOKUP(G$2,[41]table_female_hkom1_inj.U1!$A$1:$K$36,9,FALSE),0)</f>
        <v>114</v>
      </c>
      <c r="H1302">
        <f>IFERROR(HLOOKUP(H$2,[41]table_female_hkom1_inj.U1!$A$1:$K$36,9,FALSE),0)</f>
        <v>152</v>
      </c>
      <c r="I1302">
        <f>IFERROR(HLOOKUP(I$2,[41]table_female_hkom1_inj.U1!$A$1:$K$36,9,FALSE),0)</f>
        <v>92</v>
      </c>
      <c r="J1302">
        <f>IFERROR(HLOOKUP(J$2,[41]table_female_hkom1_inj.U1!$A$1:$K$36,9,FALSE),0)</f>
        <v>8</v>
      </c>
      <c r="K1302">
        <f>IFERROR(HLOOKUP(K$2,[41]table_female_hkom1_inj.U1!$A$1:$K$36,9,FALSE),0)</f>
        <v>1</v>
      </c>
      <c r="L1302">
        <f>IFERROR(HLOOKUP(L$2,[41]table_female_hkom1_inj.U1!$A$1:$K$36,9,FALSE),0)</f>
        <v>0</v>
      </c>
      <c r="M1302">
        <f t="shared" si="401"/>
        <v>367</v>
      </c>
      <c r="S1302" t="s">
        <v>77</v>
      </c>
      <c r="T1302" s="5">
        <f t="shared" si="412"/>
        <v>0</v>
      </c>
      <c r="U1302" s="5">
        <f t="shared" si="413"/>
        <v>0</v>
      </c>
      <c r="V1302" s="5">
        <f t="shared" si="414"/>
        <v>123.74749498997996</v>
      </c>
      <c r="W1302" s="5">
        <f t="shared" si="415"/>
        <v>164.8896</v>
      </c>
      <c r="X1302" s="5">
        <f t="shared" si="416"/>
        <v>97.876247504990019</v>
      </c>
      <c r="Y1302" s="5">
        <f t="shared" si="417"/>
        <v>8.5423728813559325</v>
      </c>
      <c r="Z1302" s="5">
        <f t="shared" si="418"/>
        <v>1</v>
      </c>
      <c r="AA1302" s="5">
        <f t="shared" si="419"/>
        <v>0</v>
      </c>
      <c r="AB1302" s="5">
        <f t="shared" si="420"/>
        <v>396.05571537632596</v>
      </c>
    </row>
    <row r="1303" spans="4:28" x14ac:dyDescent="0.25">
      <c r="D1303" t="s">
        <v>78</v>
      </c>
      <c r="E1303" s="64"/>
      <c r="F1303" s="64"/>
      <c r="G1303">
        <f>IFERROR(HLOOKUP(G$2,[41]table_female_hkom1_inj.U1!$A$1:$K$36,10,FALSE),0)</f>
        <v>50</v>
      </c>
      <c r="H1303">
        <f>IFERROR(HLOOKUP(H$2,[41]table_female_hkom1_inj.U1!$A$1:$K$36,10,FALSE),0)</f>
        <v>69</v>
      </c>
      <c r="I1303">
        <f>IFERROR(HLOOKUP(I$2,[41]table_female_hkom1_inj.U1!$A$1:$K$36,10,FALSE),0)</f>
        <v>44</v>
      </c>
      <c r="J1303">
        <f>IFERROR(HLOOKUP(J$2,[41]table_female_hkom1_inj.U1!$A$1:$K$36,10,FALSE),0)</f>
        <v>2</v>
      </c>
      <c r="K1303">
        <f>IFERROR(HLOOKUP(K$2,[41]table_female_hkom1_inj.U1!$A$1:$K$36,10,FALSE),0)</f>
        <v>0</v>
      </c>
      <c r="L1303">
        <f>IFERROR(HLOOKUP(L$2,[41]table_female_hkom1_inj.U1!$A$1:$K$36,10,FALSE),0)</f>
        <v>0</v>
      </c>
      <c r="M1303">
        <f t="shared" si="401"/>
        <v>165</v>
      </c>
      <c r="S1303" t="s">
        <v>78</v>
      </c>
      <c r="T1303" s="5">
        <f t="shared" si="412"/>
        <v>0</v>
      </c>
      <c r="U1303" s="5">
        <f t="shared" si="413"/>
        <v>0</v>
      </c>
      <c r="V1303" s="5">
        <f t="shared" si="414"/>
        <v>54.275217100868403</v>
      </c>
      <c r="W1303" s="5">
        <f t="shared" si="415"/>
        <v>74.851200000000006</v>
      </c>
      <c r="X1303" s="5">
        <f t="shared" si="416"/>
        <v>46.810379241516969</v>
      </c>
      <c r="Y1303" s="5">
        <f t="shared" si="417"/>
        <v>2.1355932203389831</v>
      </c>
      <c r="Z1303" s="5">
        <f t="shared" si="418"/>
        <v>0</v>
      </c>
      <c r="AA1303" s="5">
        <f t="shared" si="419"/>
        <v>0</v>
      </c>
      <c r="AB1303" s="5">
        <f t="shared" si="420"/>
        <v>178.07238956272437</v>
      </c>
    </row>
    <row r="1304" spans="4:28" x14ac:dyDescent="0.25">
      <c r="D1304" t="s">
        <v>79</v>
      </c>
      <c r="E1304" s="64"/>
      <c r="F1304" s="64"/>
      <c r="G1304">
        <f>IFERROR(HLOOKUP(G$2,[41]table_female_hkom1_inj.U1!$A$1:$K$36,11,FALSE),0)</f>
        <v>96</v>
      </c>
      <c r="H1304">
        <f>IFERROR(HLOOKUP(H$2,[41]table_female_hkom1_inj.U1!$A$1:$K$36,11,FALSE),0)</f>
        <v>85</v>
      </c>
      <c r="I1304">
        <f>IFERROR(HLOOKUP(I$2,[41]table_female_hkom1_inj.U1!$A$1:$K$36,11,FALSE),0)</f>
        <v>54</v>
      </c>
      <c r="J1304">
        <f>IFERROR(HLOOKUP(J$2,[41]table_female_hkom1_inj.U1!$A$1:$K$36,11,FALSE),0)</f>
        <v>4</v>
      </c>
      <c r="K1304">
        <f>IFERROR(HLOOKUP(K$2,[41]table_female_hkom1_inj.U1!$A$1:$K$36,11,FALSE),0)</f>
        <v>1</v>
      </c>
      <c r="L1304">
        <f>IFERROR(HLOOKUP(L$2,[41]table_female_hkom1_inj.U1!$A$1:$K$36,11,FALSE),0)</f>
        <v>0</v>
      </c>
      <c r="M1304">
        <f t="shared" si="401"/>
        <v>240</v>
      </c>
      <c r="S1304" t="s">
        <v>79</v>
      </c>
      <c r="T1304" s="5">
        <f t="shared" si="412"/>
        <v>0</v>
      </c>
      <c r="U1304" s="5">
        <f t="shared" si="413"/>
        <v>0</v>
      </c>
      <c r="V1304" s="5">
        <f t="shared" si="414"/>
        <v>104.20841683366733</v>
      </c>
      <c r="W1304" s="5">
        <f t="shared" si="415"/>
        <v>92.207999999999998</v>
      </c>
      <c r="X1304" s="5">
        <f t="shared" si="416"/>
        <v>57.449101796407184</v>
      </c>
      <c r="Y1304" s="5">
        <f t="shared" si="417"/>
        <v>4.2711864406779663</v>
      </c>
      <c r="Z1304" s="5">
        <f t="shared" si="418"/>
        <v>1</v>
      </c>
      <c r="AA1304" s="5">
        <f t="shared" si="419"/>
        <v>0</v>
      </c>
      <c r="AB1304" s="5">
        <f t="shared" si="420"/>
        <v>259.13670507075244</v>
      </c>
    </row>
    <row r="1305" spans="4:28" x14ac:dyDescent="0.25">
      <c r="D1305" t="s">
        <v>80</v>
      </c>
      <c r="E1305" s="64"/>
      <c r="F1305" s="64"/>
      <c r="G1305">
        <f>IFERROR(HLOOKUP(G$2,[41]table_female_hkom1_inj.U1!$A$1:$K$36,12,FALSE),0)</f>
        <v>130</v>
      </c>
      <c r="H1305">
        <f>IFERROR(HLOOKUP(H$2,[41]table_female_hkom1_inj.U1!$A$1:$K$36,12,FALSE),0)</f>
        <v>158</v>
      </c>
      <c r="I1305">
        <f>IFERROR(HLOOKUP(I$2,[41]table_female_hkom1_inj.U1!$A$1:$K$36,12,FALSE),0)</f>
        <v>101</v>
      </c>
      <c r="J1305">
        <f>IFERROR(HLOOKUP(J$2,[41]table_female_hkom1_inj.U1!$A$1:$K$36,12,FALSE),0)</f>
        <v>7</v>
      </c>
      <c r="K1305">
        <f>IFERROR(HLOOKUP(K$2,[41]table_female_hkom1_inj.U1!$A$1:$K$36,12,FALSE),0)</f>
        <v>0</v>
      </c>
      <c r="L1305">
        <f>IFERROR(HLOOKUP(L$2,[41]table_female_hkom1_inj.U1!$A$1:$K$36,12,FALSE),0)</f>
        <v>0</v>
      </c>
      <c r="M1305">
        <f t="shared" si="401"/>
        <v>396</v>
      </c>
      <c r="S1305" t="s">
        <v>80</v>
      </c>
      <c r="T1305" s="5">
        <f t="shared" si="412"/>
        <v>0</v>
      </c>
      <c r="U1305" s="5">
        <f t="shared" si="413"/>
        <v>0</v>
      </c>
      <c r="V1305" s="5">
        <f t="shared" si="414"/>
        <v>141.11556446225785</v>
      </c>
      <c r="W1305" s="5">
        <f t="shared" si="415"/>
        <v>171.39840000000001</v>
      </c>
      <c r="X1305" s="5">
        <f t="shared" si="416"/>
        <v>107.45109780439122</v>
      </c>
      <c r="Y1305" s="5">
        <f t="shared" si="417"/>
        <v>7.4745762711864403</v>
      </c>
      <c r="Z1305" s="5">
        <f t="shared" si="418"/>
        <v>0</v>
      </c>
      <c r="AA1305" s="5">
        <f t="shared" si="419"/>
        <v>0</v>
      </c>
      <c r="AB1305" s="5">
        <f t="shared" si="420"/>
        <v>427.43963853783549</v>
      </c>
    </row>
    <row r="1306" spans="4:28" x14ac:dyDescent="0.25">
      <c r="D1306" t="s">
        <v>81</v>
      </c>
      <c r="E1306" s="64"/>
      <c r="F1306" s="64"/>
      <c r="G1306">
        <f>IFERROR(HLOOKUP(G$2,[41]table_female_hkom1_inj.U1!$A$1:$K$36,13,FALSE),0)</f>
        <v>14</v>
      </c>
      <c r="H1306">
        <f>IFERROR(HLOOKUP(H$2,[41]table_female_hkom1_inj.U1!$A$1:$K$36,13,FALSE),0)</f>
        <v>41</v>
      </c>
      <c r="I1306">
        <f>IFERROR(HLOOKUP(I$2,[41]table_female_hkom1_inj.U1!$A$1:$K$36,13,FALSE),0)</f>
        <v>13</v>
      </c>
      <c r="J1306">
        <f>IFERROR(HLOOKUP(J$2,[41]table_female_hkom1_inj.U1!$A$1:$K$36,13,FALSE),0)</f>
        <v>1</v>
      </c>
      <c r="K1306">
        <f>IFERROR(HLOOKUP(K$2,[41]table_female_hkom1_inj.U1!$A$1:$K$36,13,FALSE),0)</f>
        <v>0</v>
      </c>
      <c r="L1306">
        <f>IFERROR(HLOOKUP(L$2,[41]table_female_hkom1_inj.U1!$A$1:$K$36,13,FALSE),0)</f>
        <v>0</v>
      </c>
      <c r="M1306">
        <f t="shared" si="401"/>
        <v>69</v>
      </c>
      <c r="S1306" t="s">
        <v>81</v>
      </c>
      <c r="T1306" s="5">
        <f t="shared" si="412"/>
        <v>0</v>
      </c>
      <c r="U1306" s="5">
        <f t="shared" si="413"/>
        <v>0</v>
      </c>
      <c r="V1306" s="5">
        <f t="shared" si="414"/>
        <v>15.197060788243153</v>
      </c>
      <c r="W1306" s="5">
        <f t="shared" si="415"/>
        <v>44.476799999999997</v>
      </c>
      <c r="X1306" s="5">
        <f t="shared" si="416"/>
        <v>13.830339321357286</v>
      </c>
      <c r="Y1306" s="5">
        <f t="shared" si="417"/>
        <v>1.0677966101694916</v>
      </c>
      <c r="Z1306" s="5">
        <f t="shared" si="418"/>
        <v>0</v>
      </c>
      <c r="AA1306" s="5">
        <f t="shared" si="419"/>
        <v>0</v>
      </c>
      <c r="AB1306" s="5">
        <f t="shared" si="420"/>
        <v>74.571996719769928</v>
      </c>
    </row>
    <row r="1307" spans="4:28" x14ac:dyDescent="0.25">
      <c r="D1307" t="s">
        <v>82</v>
      </c>
      <c r="E1307" s="64"/>
      <c r="F1307" s="64"/>
      <c r="G1307">
        <f>IFERROR(HLOOKUP(G$2,[41]table_female_hkom1_inj.U1!$A$1:$K$36,14,FALSE),0)</f>
        <v>48</v>
      </c>
      <c r="H1307">
        <f>IFERROR(HLOOKUP(H$2,[41]table_female_hkom1_inj.U1!$A$1:$K$36,14,FALSE),0)</f>
        <v>65</v>
      </c>
      <c r="I1307">
        <f>IFERROR(HLOOKUP(I$2,[41]table_female_hkom1_inj.U1!$A$1:$K$36,14,FALSE),0)</f>
        <v>48</v>
      </c>
      <c r="J1307">
        <f>IFERROR(HLOOKUP(J$2,[41]table_female_hkom1_inj.U1!$A$1:$K$36,14,FALSE),0)</f>
        <v>2</v>
      </c>
      <c r="K1307">
        <f>IFERROR(HLOOKUP(K$2,[41]table_female_hkom1_inj.U1!$A$1:$K$36,14,FALSE),0)</f>
        <v>0</v>
      </c>
      <c r="L1307">
        <f>IFERROR(HLOOKUP(L$2,[41]table_female_hkom1_inj.U1!$A$1:$K$36,14,FALSE),0)</f>
        <v>0</v>
      </c>
      <c r="M1307">
        <f t="shared" si="401"/>
        <v>163</v>
      </c>
      <c r="S1307" t="s">
        <v>82</v>
      </c>
      <c r="T1307" s="5">
        <f t="shared" si="412"/>
        <v>0</v>
      </c>
      <c r="U1307" s="5">
        <f t="shared" si="413"/>
        <v>0</v>
      </c>
      <c r="V1307" s="5">
        <f t="shared" si="414"/>
        <v>52.104208416833664</v>
      </c>
      <c r="W1307" s="5">
        <f t="shared" si="415"/>
        <v>70.512</v>
      </c>
      <c r="X1307" s="5">
        <f t="shared" si="416"/>
        <v>51.065868263473057</v>
      </c>
      <c r="Y1307" s="5">
        <f t="shared" si="417"/>
        <v>2.1355932203389831</v>
      </c>
      <c r="Z1307" s="5">
        <f t="shared" si="418"/>
        <v>0</v>
      </c>
      <c r="AA1307" s="5">
        <f t="shared" si="419"/>
        <v>0</v>
      </c>
      <c r="AB1307" s="5">
        <f t="shared" si="420"/>
        <v>175.81766990064571</v>
      </c>
    </row>
    <row r="1308" spans="4:28" x14ac:dyDescent="0.25">
      <c r="D1308" t="s">
        <v>83</v>
      </c>
      <c r="E1308" s="64"/>
      <c r="F1308" s="64"/>
      <c r="G1308">
        <f>IFERROR(HLOOKUP(G$2,[41]table_female_hkom1_inj.U1!$A$1:$K$36,15,FALSE),0)</f>
        <v>11</v>
      </c>
      <c r="H1308">
        <f>IFERROR(HLOOKUP(H$2,[41]table_female_hkom1_inj.U1!$A$1:$K$36,15,FALSE),0)</f>
        <v>15</v>
      </c>
      <c r="I1308">
        <f>IFERROR(HLOOKUP(I$2,[41]table_female_hkom1_inj.U1!$A$1:$K$36,15,FALSE),0)</f>
        <v>6</v>
      </c>
      <c r="J1308">
        <f>IFERROR(HLOOKUP(J$2,[41]table_female_hkom1_inj.U1!$A$1:$K$36,15,FALSE),0)</f>
        <v>0</v>
      </c>
      <c r="K1308">
        <f>IFERROR(HLOOKUP(K$2,[41]table_female_hkom1_inj.U1!$A$1:$K$36,15,FALSE),0)</f>
        <v>0</v>
      </c>
      <c r="L1308">
        <f>IFERROR(HLOOKUP(L$2,[41]table_female_hkom1_inj.U1!$A$1:$K$36,15,FALSE),0)</f>
        <v>0</v>
      </c>
      <c r="M1308">
        <f t="shared" si="401"/>
        <v>32</v>
      </c>
      <c r="S1308" t="s">
        <v>83</v>
      </c>
      <c r="T1308" s="5">
        <f t="shared" si="412"/>
        <v>0</v>
      </c>
      <c r="U1308" s="5">
        <f t="shared" si="413"/>
        <v>0</v>
      </c>
      <c r="V1308" s="5">
        <f t="shared" si="414"/>
        <v>11.940547762191049</v>
      </c>
      <c r="W1308" s="5">
        <f t="shared" si="415"/>
        <v>16.271999999999998</v>
      </c>
      <c r="X1308" s="5">
        <f t="shared" si="416"/>
        <v>6.3832335329341321</v>
      </c>
      <c r="Y1308" s="5">
        <f t="shared" si="417"/>
        <v>0</v>
      </c>
      <c r="Z1308" s="5">
        <f t="shared" si="418"/>
        <v>0</v>
      </c>
      <c r="AA1308" s="5">
        <f t="shared" si="419"/>
        <v>0</v>
      </c>
      <c r="AB1308" s="5">
        <f t="shared" si="420"/>
        <v>34.595781295125178</v>
      </c>
    </row>
    <row r="1309" spans="4:28" x14ac:dyDescent="0.25">
      <c r="D1309" t="s">
        <v>84</v>
      </c>
      <c r="E1309" s="64"/>
      <c r="F1309" s="64"/>
      <c r="G1309">
        <f>IFERROR(HLOOKUP(G$2,[41]table_female_hkom1_inj.U1!$A$1:$K$36,16,FALSE),0)</f>
        <v>13</v>
      </c>
      <c r="H1309">
        <f>IFERROR(HLOOKUP(H$2,[41]table_female_hkom1_inj.U1!$A$1:$K$36,16,FALSE),0)</f>
        <v>17</v>
      </c>
      <c r="I1309">
        <f>IFERROR(HLOOKUP(I$2,[41]table_female_hkom1_inj.U1!$A$1:$K$36,16,FALSE),0)</f>
        <v>6</v>
      </c>
      <c r="J1309">
        <f>IFERROR(HLOOKUP(J$2,[41]table_female_hkom1_inj.U1!$A$1:$K$36,16,FALSE),0)</f>
        <v>1</v>
      </c>
      <c r="K1309">
        <f>IFERROR(HLOOKUP(K$2,[41]table_female_hkom1_inj.U1!$A$1:$K$36,16,FALSE),0)</f>
        <v>0</v>
      </c>
      <c r="L1309">
        <f>IFERROR(HLOOKUP(L$2,[41]table_female_hkom1_inj.U1!$A$1:$K$36,16,FALSE),0)</f>
        <v>0</v>
      </c>
      <c r="M1309">
        <f t="shared" si="401"/>
        <v>37</v>
      </c>
      <c r="S1309" t="s">
        <v>84</v>
      </c>
      <c r="T1309" s="5">
        <f t="shared" si="412"/>
        <v>0</v>
      </c>
      <c r="U1309" s="5">
        <f t="shared" si="413"/>
        <v>0</v>
      </c>
      <c r="V1309" s="5">
        <f t="shared" si="414"/>
        <v>14.111556446225785</v>
      </c>
      <c r="W1309" s="5">
        <f t="shared" si="415"/>
        <v>18.441600000000001</v>
      </c>
      <c r="X1309" s="5">
        <f t="shared" si="416"/>
        <v>6.3832335329341321</v>
      </c>
      <c r="Y1309" s="5">
        <f t="shared" si="417"/>
        <v>1.0677966101694916</v>
      </c>
      <c r="Z1309" s="5">
        <f t="shared" si="418"/>
        <v>0</v>
      </c>
      <c r="AA1309" s="5">
        <f t="shared" si="419"/>
        <v>0</v>
      </c>
      <c r="AB1309" s="5">
        <f t="shared" si="420"/>
        <v>40.004186589329414</v>
      </c>
    </row>
    <row r="1310" spans="4:28" x14ac:dyDescent="0.25">
      <c r="D1310" t="s">
        <v>85</v>
      </c>
      <c r="E1310" s="64"/>
      <c r="F1310" s="64"/>
      <c r="G1310">
        <f>IFERROR(HLOOKUP(G$2,[41]table_female_hkom1_inj.U1!$A$1:$K$36,17,FALSE),0)</f>
        <v>25</v>
      </c>
      <c r="H1310">
        <f>IFERROR(HLOOKUP(H$2,[41]table_female_hkom1_inj.U1!$A$1:$K$36,17,FALSE),0)</f>
        <v>24</v>
      </c>
      <c r="I1310">
        <f>IFERROR(HLOOKUP(I$2,[41]table_female_hkom1_inj.U1!$A$1:$K$36,17,FALSE),0)</f>
        <v>15</v>
      </c>
      <c r="J1310">
        <f>IFERROR(HLOOKUP(J$2,[41]table_female_hkom1_inj.U1!$A$1:$K$36,17,FALSE),0)</f>
        <v>1</v>
      </c>
      <c r="K1310">
        <f>IFERROR(HLOOKUP(K$2,[41]table_female_hkom1_inj.U1!$A$1:$K$36,17,FALSE),0)</f>
        <v>0</v>
      </c>
      <c r="L1310">
        <f>IFERROR(HLOOKUP(L$2,[41]table_female_hkom1_inj.U1!$A$1:$K$36,17,FALSE),0)</f>
        <v>0</v>
      </c>
      <c r="M1310">
        <f t="shared" si="401"/>
        <v>65</v>
      </c>
      <c r="S1310" t="s">
        <v>85</v>
      </c>
      <c r="T1310" s="5">
        <f t="shared" si="412"/>
        <v>0</v>
      </c>
      <c r="U1310" s="5">
        <f t="shared" si="413"/>
        <v>0</v>
      </c>
      <c r="V1310" s="5">
        <f t="shared" si="414"/>
        <v>27.137608550434202</v>
      </c>
      <c r="W1310" s="5">
        <f t="shared" si="415"/>
        <v>26.0352</v>
      </c>
      <c r="X1310" s="5">
        <f t="shared" si="416"/>
        <v>15.95808383233533</v>
      </c>
      <c r="Y1310" s="5">
        <f t="shared" si="417"/>
        <v>1.0677966101694916</v>
      </c>
      <c r="Z1310" s="5">
        <f t="shared" si="418"/>
        <v>0</v>
      </c>
      <c r="AA1310" s="5">
        <f t="shared" si="419"/>
        <v>0</v>
      </c>
      <c r="AB1310" s="5">
        <f t="shared" si="420"/>
        <v>70.198688992939026</v>
      </c>
    </row>
    <row r="1311" spans="4:28" x14ac:dyDescent="0.25">
      <c r="D1311" t="s">
        <v>86</v>
      </c>
      <c r="E1311" s="64"/>
      <c r="F1311" s="64"/>
      <c r="G1311">
        <f>IFERROR(HLOOKUP(G$2,[41]table_female_hkom1_inj.U1!$A$1:$K$36,18,FALSE),0)</f>
        <v>589</v>
      </c>
      <c r="H1311">
        <f>IFERROR(HLOOKUP(H$2,[41]table_female_hkom1_inj.U1!$A$1:$K$36,18,FALSE),0)</f>
        <v>731</v>
      </c>
      <c r="I1311">
        <f>IFERROR(HLOOKUP(I$2,[41]table_female_hkom1_inj.U1!$A$1:$K$36,18,FALSE),0)</f>
        <v>348</v>
      </c>
      <c r="J1311">
        <f>IFERROR(HLOOKUP(J$2,[41]table_female_hkom1_inj.U1!$A$1:$K$36,18,FALSE),0)</f>
        <v>13</v>
      </c>
      <c r="K1311">
        <f>IFERROR(HLOOKUP(K$2,[41]table_female_hkom1_inj.U1!$A$1:$K$36,18,FALSE),0)</f>
        <v>1</v>
      </c>
      <c r="L1311">
        <f>IFERROR(HLOOKUP(L$2,[41]table_female_hkom1_inj.U1!$A$1:$K$36,18,FALSE),0)</f>
        <v>0</v>
      </c>
      <c r="M1311">
        <f t="shared" si="401"/>
        <v>1682</v>
      </c>
      <c r="S1311" t="s">
        <v>86</v>
      </c>
      <c r="T1311" s="5">
        <f t="shared" si="412"/>
        <v>0</v>
      </c>
      <c r="U1311" s="5">
        <f t="shared" si="413"/>
        <v>0</v>
      </c>
      <c r="V1311" s="5">
        <f t="shared" si="414"/>
        <v>639.36205744822973</v>
      </c>
      <c r="W1311" s="5">
        <f t="shared" si="415"/>
        <v>792.98879999999997</v>
      </c>
      <c r="X1311" s="5">
        <f t="shared" si="416"/>
        <v>370.22754491017963</v>
      </c>
      <c r="Y1311" s="5">
        <f t="shared" si="417"/>
        <v>13.881355932203389</v>
      </c>
      <c r="Z1311" s="5">
        <f t="shared" si="418"/>
        <v>1</v>
      </c>
      <c r="AA1311" s="5">
        <f t="shared" si="419"/>
        <v>0</v>
      </c>
      <c r="AB1311" s="5">
        <f t="shared" si="420"/>
        <v>1817.4597582906129</v>
      </c>
    </row>
    <row r="1312" spans="4:28" x14ac:dyDescent="0.25">
      <c r="D1312" t="s">
        <v>87</v>
      </c>
      <c r="E1312" s="64"/>
      <c r="F1312" s="64"/>
      <c r="G1312">
        <f>IFERROR(HLOOKUP(G$2,[41]table_female_hkom1_inj.U1!$A$1:$K$36,19,FALSE),0)</f>
        <v>24</v>
      </c>
      <c r="H1312">
        <f>IFERROR(HLOOKUP(H$2,[41]table_female_hkom1_inj.U1!$A$1:$K$36,19,FALSE),0)</f>
        <v>20</v>
      </c>
      <c r="I1312">
        <f>IFERROR(HLOOKUP(I$2,[41]table_female_hkom1_inj.U1!$A$1:$K$36,19,FALSE),0)</f>
        <v>14</v>
      </c>
      <c r="J1312">
        <f>IFERROR(HLOOKUP(J$2,[41]table_female_hkom1_inj.U1!$A$1:$K$36,19,FALSE),0)</f>
        <v>0</v>
      </c>
      <c r="K1312">
        <f>IFERROR(HLOOKUP(K$2,[41]table_female_hkom1_inj.U1!$A$1:$K$36,19,FALSE),0)</f>
        <v>0</v>
      </c>
      <c r="L1312">
        <f>IFERROR(HLOOKUP(L$2,[41]table_female_hkom1_inj.U1!$A$1:$K$36,19,FALSE),0)</f>
        <v>0</v>
      </c>
      <c r="M1312">
        <f t="shared" si="401"/>
        <v>58</v>
      </c>
      <c r="S1312" t="s">
        <v>87</v>
      </c>
      <c r="T1312" s="5">
        <f t="shared" si="412"/>
        <v>0</v>
      </c>
      <c r="U1312" s="5">
        <f t="shared" si="413"/>
        <v>0</v>
      </c>
      <c r="V1312" s="5">
        <f t="shared" si="414"/>
        <v>26.052104208416832</v>
      </c>
      <c r="W1312" s="5">
        <f t="shared" si="415"/>
        <v>21.696000000000002</v>
      </c>
      <c r="X1312" s="5">
        <f t="shared" si="416"/>
        <v>14.894211576846308</v>
      </c>
      <c r="Y1312" s="5">
        <f t="shared" si="417"/>
        <v>0</v>
      </c>
      <c r="Z1312" s="5">
        <f t="shared" si="418"/>
        <v>0</v>
      </c>
      <c r="AA1312" s="5">
        <f t="shared" si="419"/>
        <v>0</v>
      </c>
      <c r="AB1312" s="5">
        <f t="shared" si="420"/>
        <v>62.642315785263143</v>
      </c>
    </row>
    <row r="1313" spans="4:29" x14ac:dyDescent="0.25">
      <c r="D1313" t="s">
        <v>88</v>
      </c>
      <c r="E1313" s="64"/>
      <c r="F1313" s="64"/>
      <c r="G1313">
        <f>IFERROR(HLOOKUP(G$2,[41]table_female_hkom1_inj.U1!$A$1:$K$36,20,FALSE),0)</f>
        <v>102</v>
      </c>
      <c r="H1313">
        <f>IFERROR(HLOOKUP(H$2,[41]table_female_hkom1_inj.U1!$A$1:$K$36,20,FALSE),0)</f>
        <v>111</v>
      </c>
      <c r="I1313">
        <f>IFERROR(HLOOKUP(I$2,[41]table_female_hkom1_inj.U1!$A$1:$K$36,20,FALSE),0)</f>
        <v>66</v>
      </c>
      <c r="J1313">
        <f>IFERROR(HLOOKUP(J$2,[41]table_female_hkom1_inj.U1!$A$1:$K$36,20,FALSE),0)</f>
        <v>2</v>
      </c>
      <c r="K1313">
        <f>IFERROR(HLOOKUP(K$2,[41]table_female_hkom1_inj.U1!$A$1:$K$36,20,FALSE),0)</f>
        <v>0</v>
      </c>
      <c r="L1313">
        <f>IFERROR(HLOOKUP(L$2,[41]table_female_hkom1_inj.U1!$A$1:$K$36,20,FALSE),0)</f>
        <v>0</v>
      </c>
      <c r="M1313">
        <f t="shared" si="401"/>
        <v>281</v>
      </c>
      <c r="S1313" t="s">
        <v>88</v>
      </c>
      <c r="T1313" s="5">
        <f t="shared" si="412"/>
        <v>0</v>
      </c>
      <c r="U1313" s="5">
        <f t="shared" si="413"/>
        <v>0</v>
      </c>
      <c r="V1313" s="5">
        <f t="shared" si="414"/>
        <v>110.72144288577154</v>
      </c>
      <c r="W1313" s="5">
        <f t="shared" si="415"/>
        <v>120.4128</v>
      </c>
      <c r="X1313" s="5">
        <f t="shared" si="416"/>
        <v>70.215568862275447</v>
      </c>
      <c r="Y1313" s="5">
        <f t="shared" si="417"/>
        <v>2.1355932203389831</v>
      </c>
      <c r="Z1313" s="5">
        <f t="shared" si="418"/>
        <v>0</v>
      </c>
      <c r="AA1313" s="5">
        <f t="shared" si="419"/>
        <v>0</v>
      </c>
      <c r="AB1313" s="5">
        <f t="shared" si="420"/>
        <v>303.48540496838598</v>
      </c>
    </row>
    <row r="1314" spans="4:29" x14ac:dyDescent="0.25">
      <c r="D1314" t="s">
        <v>89</v>
      </c>
      <c r="E1314" s="64"/>
      <c r="F1314" s="64"/>
      <c r="G1314">
        <f>IFERROR(HLOOKUP(G$2,[41]table_female_hkom1_inj.U1!$A$1:$K$36,21,FALSE),0)</f>
        <v>0</v>
      </c>
      <c r="H1314">
        <f>IFERROR(HLOOKUP(H$2,[41]table_female_hkom1_inj.U1!$A$1:$K$36,21,FALSE),0)</f>
        <v>3</v>
      </c>
      <c r="I1314">
        <f>IFERROR(HLOOKUP(I$2,[41]table_female_hkom1_inj.U1!$A$1:$K$36,21,FALSE),0)</f>
        <v>1</v>
      </c>
      <c r="J1314">
        <f>IFERROR(HLOOKUP(J$2,[41]table_female_hkom1_inj.U1!$A$1:$K$36,21,FALSE),0)</f>
        <v>0</v>
      </c>
      <c r="K1314">
        <f>IFERROR(HLOOKUP(K$2,[41]table_female_hkom1_inj.U1!$A$1:$K$36,21,FALSE),0)</f>
        <v>0</v>
      </c>
      <c r="L1314">
        <f>IFERROR(HLOOKUP(L$2,[41]table_female_hkom1_inj.U1!$A$1:$K$36,21,FALSE),0)</f>
        <v>0</v>
      </c>
      <c r="M1314">
        <f t="shared" si="401"/>
        <v>4</v>
      </c>
      <c r="S1314" t="s">
        <v>89</v>
      </c>
      <c r="T1314" s="5">
        <f t="shared" si="412"/>
        <v>0</v>
      </c>
      <c r="U1314" s="5">
        <f t="shared" si="413"/>
        <v>0</v>
      </c>
      <c r="V1314" s="5">
        <f t="shared" si="414"/>
        <v>0</v>
      </c>
      <c r="W1314" s="5">
        <f t="shared" si="415"/>
        <v>3.2544</v>
      </c>
      <c r="X1314" s="5">
        <f t="shared" si="416"/>
        <v>1.0638722554890219</v>
      </c>
      <c r="Y1314" s="5">
        <f t="shared" si="417"/>
        <v>0</v>
      </c>
      <c r="Z1314" s="5">
        <f t="shared" si="418"/>
        <v>0</v>
      </c>
      <c r="AA1314" s="5">
        <f t="shared" si="419"/>
        <v>0</v>
      </c>
      <c r="AB1314" s="5">
        <f t="shared" si="420"/>
        <v>4.3182722554890223</v>
      </c>
    </row>
    <row r="1315" spans="4:29" x14ac:dyDescent="0.25">
      <c r="D1315" t="s">
        <v>90</v>
      </c>
      <c r="E1315" s="64"/>
      <c r="F1315" s="64"/>
      <c r="G1315">
        <f>IFERROR(HLOOKUP(G$2,[41]table_female_hkom1_inj.U1!$A$1:$K$36,22,FALSE),0)</f>
        <v>0</v>
      </c>
      <c r="H1315">
        <f>IFERROR(HLOOKUP(H$2,[41]table_female_hkom1_inj.U1!$A$1:$K$36,22,FALSE),0)</f>
        <v>0</v>
      </c>
      <c r="I1315">
        <f>IFERROR(HLOOKUP(I$2,[41]table_female_hkom1_inj.U1!$A$1:$K$36,22,FALSE),0)</f>
        <v>0</v>
      </c>
      <c r="J1315">
        <f>IFERROR(HLOOKUP(J$2,[41]table_female_hkom1_inj.U1!$A$1:$K$36,22,FALSE),0)</f>
        <v>0</v>
      </c>
      <c r="K1315">
        <f>IFERROR(HLOOKUP(K$2,[41]table_female_hkom1_inj.U1!$A$1:$K$36,22,FALSE),0)</f>
        <v>0</v>
      </c>
      <c r="L1315">
        <f>IFERROR(HLOOKUP(L$2,[41]table_female_hkom1_inj.U1!$A$1:$K$36,22,FALSE),0)</f>
        <v>0</v>
      </c>
      <c r="M1315">
        <f t="shared" si="401"/>
        <v>0</v>
      </c>
      <c r="S1315" t="s">
        <v>90</v>
      </c>
      <c r="T1315" s="5">
        <f t="shared" si="412"/>
        <v>0</v>
      </c>
      <c r="U1315" s="5">
        <f t="shared" si="413"/>
        <v>0</v>
      </c>
      <c r="V1315" s="5">
        <f t="shared" si="414"/>
        <v>0</v>
      </c>
      <c r="W1315" s="5">
        <f t="shared" si="415"/>
        <v>0</v>
      </c>
      <c r="X1315" s="5">
        <f t="shared" si="416"/>
        <v>0</v>
      </c>
      <c r="Y1315" s="5">
        <f t="shared" si="417"/>
        <v>0</v>
      </c>
      <c r="Z1315" s="5">
        <f t="shared" si="418"/>
        <v>0</v>
      </c>
      <c r="AA1315" s="5">
        <f t="shared" si="419"/>
        <v>0</v>
      </c>
      <c r="AB1315" s="5">
        <f t="shared" si="420"/>
        <v>0</v>
      </c>
    </row>
    <row r="1316" spans="4:29" x14ac:dyDescent="0.25">
      <c r="D1316" t="s">
        <v>91</v>
      </c>
      <c r="E1316" s="64"/>
      <c r="F1316" s="64"/>
      <c r="G1316">
        <f>IFERROR(HLOOKUP(G$2,[41]table_female_hkom1_inj.U1!$A$1:$K$36,23,FALSE),0)</f>
        <v>0</v>
      </c>
      <c r="H1316">
        <f>IFERROR(HLOOKUP(H$2,[41]table_female_hkom1_inj.U1!$A$1:$K$36,23,FALSE),0)</f>
        <v>2</v>
      </c>
      <c r="I1316">
        <f>IFERROR(HLOOKUP(I$2,[41]table_female_hkom1_inj.U1!$A$1:$K$36,23,FALSE),0)</f>
        <v>3</v>
      </c>
      <c r="J1316">
        <f>IFERROR(HLOOKUP(J$2,[41]table_female_hkom1_inj.U1!$A$1:$K$36,23,FALSE),0)</f>
        <v>0</v>
      </c>
      <c r="K1316">
        <f>IFERROR(HLOOKUP(K$2,[41]table_female_hkom1_inj.U1!$A$1:$K$36,23,FALSE),0)</f>
        <v>0</v>
      </c>
      <c r="L1316">
        <f>IFERROR(HLOOKUP(L$2,[41]table_female_hkom1_inj.U1!$A$1:$K$36,23,FALSE),0)</f>
        <v>0</v>
      </c>
      <c r="M1316">
        <f t="shared" si="401"/>
        <v>5</v>
      </c>
      <c r="S1316" t="s">
        <v>91</v>
      </c>
      <c r="T1316" s="5">
        <f t="shared" si="412"/>
        <v>0</v>
      </c>
      <c r="U1316" s="5">
        <f t="shared" si="413"/>
        <v>0</v>
      </c>
      <c r="V1316" s="5">
        <f t="shared" si="414"/>
        <v>0</v>
      </c>
      <c r="W1316" s="5">
        <f t="shared" si="415"/>
        <v>2.1696</v>
      </c>
      <c r="X1316" s="5">
        <f t="shared" si="416"/>
        <v>3.191616766467066</v>
      </c>
      <c r="Y1316" s="5">
        <f t="shared" si="417"/>
        <v>0</v>
      </c>
      <c r="Z1316" s="5">
        <f t="shared" si="418"/>
        <v>0</v>
      </c>
      <c r="AA1316" s="5">
        <f t="shared" si="419"/>
        <v>0</v>
      </c>
      <c r="AB1316" s="5">
        <f t="shared" si="420"/>
        <v>5.3612167664670665</v>
      </c>
    </row>
    <row r="1317" spans="4:29" x14ac:dyDescent="0.25">
      <c r="D1317" t="s">
        <v>92</v>
      </c>
      <c r="E1317" s="64"/>
      <c r="F1317" s="64"/>
      <c r="G1317">
        <f>IFERROR(HLOOKUP(G$2,[41]table_female_hkom1_inj.U1!$A$1:$K$36,24,FALSE),0)</f>
        <v>0</v>
      </c>
      <c r="H1317">
        <f>IFERROR(HLOOKUP(H$2,[41]table_female_hkom1_inj.U1!$A$1:$K$36,24,FALSE),0)</f>
        <v>0</v>
      </c>
      <c r="I1317">
        <f>IFERROR(HLOOKUP(I$2,[41]table_female_hkom1_inj.U1!$A$1:$K$36,24,FALSE),0)</f>
        <v>0</v>
      </c>
      <c r="J1317">
        <f>IFERROR(HLOOKUP(J$2,[41]table_female_hkom1_inj.U1!$A$1:$K$36,24,FALSE),0)</f>
        <v>0</v>
      </c>
      <c r="K1317">
        <f>IFERROR(HLOOKUP(K$2,[41]table_female_hkom1_inj.U1!$A$1:$K$36,24,FALSE),0)</f>
        <v>0</v>
      </c>
      <c r="L1317">
        <f>IFERROR(HLOOKUP(L$2,[41]table_female_hkom1_inj.U1!$A$1:$K$36,24,FALSE),0)</f>
        <v>0</v>
      </c>
      <c r="M1317">
        <f t="shared" si="401"/>
        <v>0</v>
      </c>
      <c r="S1317" t="s">
        <v>92</v>
      </c>
      <c r="T1317" s="5">
        <f t="shared" si="412"/>
        <v>0</v>
      </c>
      <c r="U1317" s="5">
        <f t="shared" si="413"/>
        <v>0</v>
      </c>
      <c r="V1317" s="5">
        <f t="shared" si="414"/>
        <v>0</v>
      </c>
      <c r="W1317" s="5">
        <f t="shared" si="415"/>
        <v>0</v>
      </c>
      <c r="X1317" s="5">
        <f t="shared" si="416"/>
        <v>0</v>
      </c>
      <c r="Y1317" s="5">
        <f t="shared" si="417"/>
        <v>0</v>
      </c>
      <c r="Z1317" s="5">
        <f t="shared" si="418"/>
        <v>0</v>
      </c>
      <c r="AA1317" s="5">
        <f t="shared" si="419"/>
        <v>0</v>
      </c>
      <c r="AB1317" s="5">
        <f t="shared" si="420"/>
        <v>0</v>
      </c>
    </row>
    <row r="1318" spans="4:29" x14ac:dyDescent="0.25">
      <c r="D1318" t="s">
        <v>93</v>
      </c>
      <c r="E1318" s="64"/>
      <c r="F1318" s="64"/>
      <c r="G1318">
        <f>IFERROR(HLOOKUP(G$2,[41]table_female_hkom1_inj.U1!$A$1:$K$36,25,FALSE),0)</f>
        <v>1</v>
      </c>
      <c r="H1318">
        <f>IFERROR(HLOOKUP(H$2,[41]table_female_hkom1_inj.U1!$A$1:$K$36,25,FALSE),0)</f>
        <v>1</v>
      </c>
      <c r="I1318">
        <f>IFERROR(HLOOKUP(I$2,[41]table_female_hkom1_inj.U1!$A$1:$K$36,25,FALSE),0)</f>
        <v>4</v>
      </c>
      <c r="J1318">
        <f>IFERROR(HLOOKUP(J$2,[41]table_female_hkom1_inj.U1!$A$1:$K$36,25,FALSE),0)</f>
        <v>0</v>
      </c>
      <c r="K1318">
        <f>IFERROR(HLOOKUP(K$2,[41]table_female_hkom1_inj.U1!$A$1:$K$36,25,FALSE),0)</f>
        <v>0</v>
      </c>
      <c r="L1318">
        <f>IFERROR(HLOOKUP(L$2,[41]table_female_hkom1_inj.U1!$A$1:$K$36,25,FALSE),0)</f>
        <v>0</v>
      </c>
      <c r="M1318">
        <f t="shared" ref="M1318:M1381" si="421">SUM(E1318:L1318)</f>
        <v>6</v>
      </c>
      <c r="S1318" t="s">
        <v>93</v>
      </c>
      <c r="T1318" s="5">
        <f t="shared" si="412"/>
        <v>0</v>
      </c>
      <c r="U1318" s="5">
        <f t="shared" si="413"/>
        <v>0</v>
      </c>
      <c r="V1318" s="5">
        <f t="shared" si="414"/>
        <v>1.085504342017368</v>
      </c>
      <c r="W1318" s="5">
        <f t="shared" si="415"/>
        <v>1.0848</v>
      </c>
      <c r="X1318" s="5">
        <f t="shared" si="416"/>
        <v>4.2554890219560875</v>
      </c>
      <c r="Y1318" s="5">
        <f t="shared" si="417"/>
        <v>0</v>
      </c>
      <c r="Z1318" s="5">
        <f t="shared" si="418"/>
        <v>0</v>
      </c>
      <c r="AA1318" s="5">
        <f t="shared" si="419"/>
        <v>0</v>
      </c>
      <c r="AB1318" s="5">
        <f t="shared" si="420"/>
        <v>6.4257933639734555</v>
      </c>
    </row>
    <row r="1319" spans="4:29" x14ac:dyDescent="0.25">
      <c r="D1319" t="s">
        <v>94</v>
      </c>
      <c r="E1319" s="64"/>
      <c r="F1319" s="64"/>
      <c r="G1319">
        <f>IFERROR(HLOOKUP(G$2,[41]table_female_hkom1_inj.U1!$A$1:$K$36,26,FALSE),0)</f>
        <v>0</v>
      </c>
      <c r="H1319">
        <f>IFERROR(HLOOKUP(H$2,[41]table_female_hkom1_inj.U1!$A$1:$K$36,26,FALSE),0)</f>
        <v>0</v>
      </c>
      <c r="I1319">
        <f>IFERROR(HLOOKUP(I$2,[41]table_female_hkom1_inj.U1!$A$1:$K$36,26,FALSE),0)</f>
        <v>0</v>
      </c>
      <c r="J1319">
        <f>IFERROR(HLOOKUP(J$2,[41]table_female_hkom1_inj.U1!$A$1:$K$36,26,FALSE),0)</f>
        <v>0</v>
      </c>
      <c r="K1319">
        <f>IFERROR(HLOOKUP(K$2,[41]table_female_hkom1_inj.U1!$A$1:$K$36,26,FALSE),0)</f>
        <v>0</v>
      </c>
      <c r="L1319">
        <f>IFERROR(HLOOKUP(L$2,[41]table_female_hkom1_inj.U1!$A$1:$K$36,26,FALSE),0)</f>
        <v>0</v>
      </c>
      <c r="M1319">
        <f t="shared" si="421"/>
        <v>0</v>
      </c>
      <c r="S1319" t="s">
        <v>94</v>
      </c>
      <c r="T1319" s="5">
        <f t="shared" si="412"/>
        <v>0</v>
      </c>
      <c r="U1319" s="5">
        <f t="shared" si="413"/>
        <v>0</v>
      </c>
      <c r="V1319" s="5">
        <f t="shared" si="414"/>
        <v>0</v>
      </c>
      <c r="W1319" s="5">
        <f t="shared" si="415"/>
        <v>0</v>
      </c>
      <c r="X1319" s="5">
        <f t="shared" si="416"/>
        <v>0</v>
      </c>
      <c r="Y1319" s="5">
        <f t="shared" si="417"/>
        <v>0</v>
      </c>
      <c r="Z1319" s="5">
        <f t="shared" si="418"/>
        <v>0</v>
      </c>
      <c r="AA1319" s="5">
        <f t="shared" si="419"/>
        <v>0</v>
      </c>
      <c r="AB1319" s="5">
        <f t="shared" si="420"/>
        <v>0</v>
      </c>
    </row>
    <row r="1320" spans="4:29" x14ac:dyDescent="0.25">
      <c r="D1320" t="s">
        <v>95</v>
      </c>
      <c r="E1320" s="64"/>
      <c r="F1320" s="64"/>
      <c r="G1320">
        <f>IFERROR(HLOOKUP(G$2,[41]table_female_hkom1_inj.U1!$A$1:$K$36,27,FALSE),0)</f>
        <v>1</v>
      </c>
      <c r="H1320">
        <f>IFERROR(HLOOKUP(H$2,[41]table_female_hkom1_inj.U1!$A$1:$K$36,27,FALSE),0)</f>
        <v>0</v>
      </c>
      <c r="I1320">
        <f>IFERROR(HLOOKUP(I$2,[41]table_female_hkom1_inj.U1!$A$1:$K$36,27,FALSE),0)</f>
        <v>0</v>
      </c>
      <c r="J1320">
        <f>IFERROR(HLOOKUP(J$2,[41]table_female_hkom1_inj.U1!$A$1:$K$36,27,FALSE),0)</f>
        <v>0</v>
      </c>
      <c r="K1320">
        <f>IFERROR(HLOOKUP(K$2,[41]table_female_hkom1_inj.U1!$A$1:$K$36,27,FALSE),0)</f>
        <v>0</v>
      </c>
      <c r="L1320">
        <f>IFERROR(HLOOKUP(L$2,[41]table_female_hkom1_inj.U1!$A$1:$K$36,27,FALSE),0)</f>
        <v>0</v>
      </c>
      <c r="M1320">
        <f t="shared" si="421"/>
        <v>1</v>
      </c>
      <c r="S1320" t="s">
        <v>95</v>
      </c>
      <c r="T1320" s="5">
        <f t="shared" si="412"/>
        <v>0</v>
      </c>
      <c r="U1320" s="5">
        <f t="shared" si="413"/>
        <v>0</v>
      </c>
      <c r="V1320" s="5">
        <f t="shared" si="414"/>
        <v>1.085504342017368</v>
      </c>
      <c r="W1320" s="5">
        <f t="shared" si="415"/>
        <v>0</v>
      </c>
      <c r="X1320" s="5">
        <f t="shared" si="416"/>
        <v>0</v>
      </c>
      <c r="Y1320" s="5">
        <f t="shared" si="417"/>
        <v>0</v>
      </c>
      <c r="Z1320" s="5">
        <f t="shared" si="418"/>
        <v>0</v>
      </c>
      <c r="AA1320" s="5">
        <f t="shared" si="419"/>
        <v>0</v>
      </c>
      <c r="AB1320" s="5">
        <f t="shared" si="420"/>
        <v>1.085504342017368</v>
      </c>
    </row>
    <row r="1321" spans="4:29" x14ac:dyDescent="0.25">
      <c r="D1321" t="s">
        <v>96</v>
      </c>
      <c r="E1321" s="64"/>
      <c r="F1321" s="64"/>
      <c r="G1321">
        <f>IFERROR(HLOOKUP(G$2,[41]table_female_hkom1_inj.U1!$A$1:$K$36,28,FALSE),0)</f>
        <v>2</v>
      </c>
      <c r="H1321">
        <f>IFERROR(HLOOKUP(H$2,[41]table_female_hkom1_inj.U1!$A$1:$K$36,28,FALSE),0)</f>
        <v>2</v>
      </c>
      <c r="I1321">
        <f>IFERROR(HLOOKUP(I$2,[41]table_female_hkom1_inj.U1!$A$1:$K$36,28,FALSE),0)</f>
        <v>1</v>
      </c>
      <c r="J1321">
        <f>IFERROR(HLOOKUP(J$2,[41]table_female_hkom1_inj.U1!$A$1:$K$36,28,FALSE),0)</f>
        <v>0</v>
      </c>
      <c r="K1321">
        <f>IFERROR(HLOOKUP(K$2,[41]table_female_hkom1_inj.U1!$A$1:$K$36,28,FALSE),0)</f>
        <v>0</v>
      </c>
      <c r="L1321">
        <f>IFERROR(HLOOKUP(L$2,[41]table_female_hkom1_inj.U1!$A$1:$K$36,28,FALSE),0)</f>
        <v>0</v>
      </c>
      <c r="M1321">
        <f t="shared" si="421"/>
        <v>5</v>
      </c>
      <c r="S1321" t="s">
        <v>96</v>
      </c>
      <c r="T1321" s="5">
        <f t="shared" si="412"/>
        <v>0</v>
      </c>
      <c r="U1321" s="5">
        <f t="shared" si="413"/>
        <v>0</v>
      </c>
      <c r="V1321" s="5">
        <f t="shared" si="414"/>
        <v>2.171008684034736</v>
      </c>
      <c r="W1321" s="5">
        <f t="shared" si="415"/>
        <v>2.1696</v>
      </c>
      <c r="X1321" s="5">
        <f t="shared" si="416"/>
        <v>1.0638722554890219</v>
      </c>
      <c r="Y1321" s="5">
        <f t="shared" si="417"/>
        <v>0</v>
      </c>
      <c r="Z1321" s="5">
        <f t="shared" si="418"/>
        <v>0</v>
      </c>
      <c r="AA1321" s="5">
        <f t="shared" si="419"/>
        <v>0</v>
      </c>
      <c r="AB1321" s="5">
        <f t="shared" si="420"/>
        <v>5.4044809395237579</v>
      </c>
    </row>
    <row r="1322" spans="4:29" x14ac:dyDescent="0.25">
      <c r="D1322" t="s">
        <v>97</v>
      </c>
      <c r="E1322" s="64"/>
      <c r="F1322" s="64"/>
      <c r="G1322">
        <f>IFERROR(HLOOKUP(G$2,[41]table_female_hkom1_inj.U1!$A$1:$K$36,29,FALSE),0)</f>
        <v>0</v>
      </c>
      <c r="H1322">
        <f>IFERROR(HLOOKUP(H$2,[41]table_female_hkom1_inj.U1!$A$1:$K$36,29,FALSE),0)</f>
        <v>0</v>
      </c>
      <c r="I1322">
        <f>IFERROR(HLOOKUP(I$2,[41]table_female_hkom1_inj.U1!$A$1:$K$36,29,FALSE),0)</f>
        <v>0</v>
      </c>
      <c r="J1322">
        <f>IFERROR(HLOOKUP(J$2,[41]table_female_hkom1_inj.U1!$A$1:$K$36,29,FALSE),0)</f>
        <v>0</v>
      </c>
      <c r="K1322">
        <f>IFERROR(HLOOKUP(K$2,[41]table_female_hkom1_inj.U1!$A$1:$K$36,29,FALSE),0)</f>
        <v>0</v>
      </c>
      <c r="L1322">
        <f>IFERROR(HLOOKUP(L$2,[41]table_female_hkom1_inj.U1!$A$1:$K$36,29,FALSE),0)</f>
        <v>0</v>
      </c>
      <c r="M1322">
        <f t="shared" si="421"/>
        <v>0</v>
      </c>
      <c r="S1322" t="s">
        <v>97</v>
      </c>
      <c r="T1322" s="5">
        <f t="shared" si="412"/>
        <v>0</v>
      </c>
      <c r="U1322" s="5">
        <f t="shared" si="413"/>
        <v>0</v>
      </c>
      <c r="V1322" s="5">
        <f t="shared" si="414"/>
        <v>0</v>
      </c>
      <c r="W1322" s="5">
        <f t="shared" si="415"/>
        <v>0</v>
      </c>
      <c r="X1322" s="5">
        <f t="shared" si="416"/>
        <v>0</v>
      </c>
      <c r="Y1322" s="5">
        <f t="shared" si="417"/>
        <v>0</v>
      </c>
      <c r="Z1322" s="5">
        <f t="shared" si="418"/>
        <v>0</v>
      </c>
      <c r="AA1322" s="5">
        <f t="shared" si="419"/>
        <v>0</v>
      </c>
      <c r="AB1322" s="5">
        <f t="shared" si="420"/>
        <v>0</v>
      </c>
    </row>
    <row r="1323" spans="4:29" x14ac:dyDescent="0.25">
      <c r="D1323" t="s">
        <v>98</v>
      </c>
      <c r="E1323" s="64"/>
      <c r="F1323" s="64"/>
      <c r="G1323">
        <f>IFERROR(HLOOKUP(G$2,[41]table_female_hkom1_inj.U1!$A$1:$K$36,30,FALSE),0)</f>
        <v>0</v>
      </c>
      <c r="H1323">
        <f>IFERROR(HLOOKUP(H$2,[41]table_female_hkom1_inj.U1!$A$1:$K$36,30,FALSE),0)</f>
        <v>1</v>
      </c>
      <c r="I1323">
        <f>IFERROR(HLOOKUP(I$2,[41]table_female_hkom1_inj.U1!$A$1:$K$36,30,FALSE),0)</f>
        <v>1</v>
      </c>
      <c r="J1323">
        <f>IFERROR(HLOOKUP(J$2,[41]table_female_hkom1_inj.U1!$A$1:$K$36,30,FALSE),0)</f>
        <v>0</v>
      </c>
      <c r="K1323">
        <f>IFERROR(HLOOKUP(K$2,[41]table_female_hkom1_inj.U1!$A$1:$K$36,30,FALSE),0)</f>
        <v>0</v>
      </c>
      <c r="L1323">
        <f>IFERROR(HLOOKUP(L$2,[41]table_female_hkom1_inj.U1!$A$1:$K$36,30,FALSE),0)</f>
        <v>0</v>
      </c>
      <c r="M1323">
        <f t="shared" si="421"/>
        <v>2</v>
      </c>
      <c r="S1323" t="s">
        <v>98</v>
      </c>
      <c r="T1323" s="5">
        <f t="shared" si="412"/>
        <v>0</v>
      </c>
      <c r="U1323" s="5">
        <f t="shared" si="413"/>
        <v>0</v>
      </c>
      <c r="V1323" s="5">
        <f t="shared" si="414"/>
        <v>0</v>
      </c>
      <c r="W1323" s="5">
        <f t="shared" si="415"/>
        <v>1.0848</v>
      </c>
      <c r="X1323" s="5">
        <f t="shared" si="416"/>
        <v>1.0638722554890219</v>
      </c>
      <c r="Y1323" s="5">
        <f t="shared" si="417"/>
        <v>0</v>
      </c>
      <c r="Z1323" s="5">
        <f t="shared" si="418"/>
        <v>0</v>
      </c>
      <c r="AA1323" s="5">
        <f t="shared" si="419"/>
        <v>0</v>
      </c>
      <c r="AB1323" s="5">
        <f t="shared" si="420"/>
        <v>2.1486722554890219</v>
      </c>
    </row>
    <row r="1324" spans="4:29" x14ac:dyDescent="0.25">
      <c r="D1324" t="s">
        <v>119</v>
      </c>
      <c r="E1324" s="64"/>
      <c r="F1324" s="64"/>
      <c r="G1324">
        <f>IFERROR(HLOOKUP(G$2,[41]table_female_hkom1_inj.U1!$A$1:$K$36,31,FALSE),0)</f>
        <v>0</v>
      </c>
      <c r="H1324">
        <f>IFERROR(HLOOKUP(H$2,[41]table_female_hkom1_inj.U1!$A$1:$K$36,31,FALSE),0)</f>
        <v>1</v>
      </c>
      <c r="I1324">
        <f>IFERROR(HLOOKUP(I$2,[41]table_female_hkom1_inj.U1!$A$1:$K$36,31,FALSE),0)</f>
        <v>0</v>
      </c>
      <c r="J1324">
        <f>IFERROR(HLOOKUP(J$2,[41]table_female_hkom1_inj.U1!$A$1:$K$36,31,FALSE),0)</f>
        <v>0</v>
      </c>
      <c r="K1324">
        <f>IFERROR(HLOOKUP(K$2,[41]table_female_hkom1_inj.U1!$A$1:$K$36,31,FALSE),0)</f>
        <v>0</v>
      </c>
      <c r="L1324">
        <f>IFERROR(HLOOKUP(L$2,[41]table_female_hkom1_inj.U1!$A$1:$K$36,31,FALSE),0)</f>
        <v>0</v>
      </c>
      <c r="M1324">
        <f t="shared" si="421"/>
        <v>1</v>
      </c>
      <c r="S1324" t="s">
        <v>119</v>
      </c>
      <c r="T1324" s="5">
        <f t="shared" si="412"/>
        <v>0</v>
      </c>
      <c r="U1324" s="5">
        <f t="shared" si="413"/>
        <v>0</v>
      </c>
      <c r="V1324" s="5">
        <f t="shared" si="414"/>
        <v>0</v>
      </c>
      <c r="W1324" s="5">
        <f t="shared" si="415"/>
        <v>1.0848</v>
      </c>
      <c r="X1324" s="5">
        <f t="shared" si="416"/>
        <v>0</v>
      </c>
      <c r="Y1324" s="5">
        <f t="shared" si="417"/>
        <v>0</v>
      </c>
      <c r="Z1324" s="5">
        <f t="shared" si="418"/>
        <v>0</v>
      </c>
      <c r="AA1324" s="5">
        <f t="shared" si="419"/>
        <v>0</v>
      </c>
      <c r="AB1324" s="5">
        <f t="shared" si="420"/>
        <v>1.0848</v>
      </c>
    </row>
    <row r="1325" spans="4:29" x14ac:dyDescent="0.25">
      <c r="D1325" t="s">
        <v>99</v>
      </c>
      <c r="E1325" s="64"/>
      <c r="F1325" s="64"/>
      <c r="G1325">
        <f>IFERROR(HLOOKUP(G$2,[41]table_female_hkom1_inj.U1!$A$1:$K$36,32,FALSE),0)</f>
        <v>8</v>
      </c>
      <c r="H1325">
        <f>IFERROR(HLOOKUP(H$2,[41]table_female_hkom1_inj.U1!$A$1:$K$36,32,FALSE),0)</f>
        <v>9</v>
      </c>
      <c r="I1325">
        <f>IFERROR(HLOOKUP(I$2,[41]table_female_hkom1_inj.U1!$A$1:$K$36,32,FALSE),0)</f>
        <v>4</v>
      </c>
      <c r="J1325">
        <f>IFERROR(HLOOKUP(J$2,[41]table_female_hkom1_inj.U1!$A$1:$K$36,32,FALSE),0)</f>
        <v>0</v>
      </c>
      <c r="K1325">
        <f>IFERROR(HLOOKUP(K$2,[41]table_female_hkom1_inj.U1!$A$1:$K$36,32,FALSE),0)</f>
        <v>0</v>
      </c>
      <c r="L1325">
        <f>IFERROR(HLOOKUP(L$2,[41]table_female_hkom1_inj.U1!$A$1:$K$36,32,FALSE),0)</f>
        <v>0</v>
      </c>
      <c r="M1325">
        <f t="shared" si="421"/>
        <v>21</v>
      </c>
      <c r="S1325" t="s">
        <v>99</v>
      </c>
      <c r="T1325" s="5">
        <f t="shared" si="412"/>
        <v>0</v>
      </c>
      <c r="U1325" s="5">
        <f t="shared" si="413"/>
        <v>0</v>
      </c>
      <c r="V1325" s="5">
        <f t="shared" si="414"/>
        <v>8.6840347361389441</v>
      </c>
      <c r="W1325" s="5">
        <f t="shared" si="415"/>
        <v>9.7631999999999994</v>
      </c>
      <c r="X1325" s="5">
        <f t="shared" si="416"/>
        <v>4.2554890219560875</v>
      </c>
      <c r="Y1325" s="5">
        <f t="shared" si="417"/>
        <v>0</v>
      </c>
      <c r="Z1325" s="5">
        <f t="shared" si="418"/>
        <v>0</v>
      </c>
      <c r="AA1325" s="5">
        <f t="shared" si="419"/>
        <v>0</v>
      </c>
      <c r="AB1325" s="5">
        <f t="shared" si="420"/>
        <v>22.702723758095033</v>
      </c>
    </row>
    <row r="1326" spans="4:29" x14ac:dyDescent="0.25">
      <c r="D1326" t="s">
        <v>100</v>
      </c>
      <c r="E1326" s="64"/>
      <c r="F1326" s="64"/>
      <c r="G1326">
        <f>IFERROR(HLOOKUP(G$2,[41]table_female_hkom1_inj.U1!$A$1:$K$36,33,FALSE),0)</f>
        <v>0</v>
      </c>
      <c r="H1326">
        <f>IFERROR(HLOOKUP(H$2,[41]table_female_hkom1_inj.U1!$A$1:$K$36,33,FALSE),0)</f>
        <v>0</v>
      </c>
      <c r="I1326">
        <f>IFERROR(HLOOKUP(I$2,[41]table_female_hkom1_inj.U1!$A$1:$K$36,33,FALSE),0)</f>
        <v>0</v>
      </c>
      <c r="J1326">
        <f>IFERROR(HLOOKUP(J$2,[41]table_female_hkom1_inj.U1!$A$1:$K$36,33,FALSE),0)</f>
        <v>0</v>
      </c>
      <c r="K1326">
        <f>IFERROR(HLOOKUP(K$2,[41]table_female_hkom1_inj.U1!$A$1:$K$36,33,FALSE),0)</f>
        <v>0</v>
      </c>
      <c r="L1326">
        <f>IFERROR(HLOOKUP(L$2,[41]table_female_hkom1_inj.U1!$A$1:$K$36,33,FALSE),0)</f>
        <v>0</v>
      </c>
      <c r="M1326">
        <f t="shared" si="421"/>
        <v>0</v>
      </c>
      <c r="S1326" t="s">
        <v>100</v>
      </c>
      <c r="T1326" s="5">
        <f t="shared" si="412"/>
        <v>0</v>
      </c>
      <c r="U1326" s="5">
        <f t="shared" si="413"/>
        <v>0</v>
      </c>
      <c r="V1326" s="5">
        <f t="shared" si="414"/>
        <v>0</v>
      </c>
      <c r="W1326" s="5">
        <f t="shared" si="415"/>
        <v>0</v>
      </c>
      <c r="X1326" s="5">
        <f t="shared" si="416"/>
        <v>0</v>
      </c>
      <c r="Y1326" s="5">
        <f t="shared" si="417"/>
        <v>0</v>
      </c>
      <c r="Z1326" s="5">
        <f t="shared" si="418"/>
        <v>0</v>
      </c>
      <c r="AA1326" s="5">
        <f t="shared" si="419"/>
        <v>0</v>
      </c>
      <c r="AB1326" s="5">
        <f t="shared" si="420"/>
        <v>0</v>
      </c>
    </row>
    <row r="1327" spans="4:29" x14ac:dyDescent="0.25">
      <c r="D1327" t="s">
        <v>101</v>
      </c>
      <c r="E1327" s="64"/>
      <c r="F1327" s="64"/>
      <c r="G1327">
        <f>IFERROR(HLOOKUP(G$2,[41]table_female_hkom1_inj.U1!$A$1:$K$36,34,FALSE),0)</f>
        <v>21</v>
      </c>
      <c r="H1327">
        <f>IFERROR(HLOOKUP(H$2,[41]table_female_hkom1_inj.U1!$A$1:$K$36,34,FALSE),0)</f>
        <v>38</v>
      </c>
      <c r="I1327">
        <f>IFERROR(HLOOKUP(I$2,[41]table_female_hkom1_inj.U1!$A$1:$K$36,34,FALSE),0)</f>
        <v>9</v>
      </c>
      <c r="J1327">
        <f>IFERROR(HLOOKUP(J$2,[41]table_female_hkom1_inj.U1!$A$1:$K$36,34,FALSE),0)</f>
        <v>0</v>
      </c>
      <c r="K1327">
        <f>IFERROR(HLOOKUP(K$2,[41]table_female_hkom1_inj.U1!$A$1:$K$36,34,FALSE),0)</f>
        <v>0</v>
      </c>
      <c r="L1327">
        <f>IFERROR(HLOOKUP(L$2,[41]table_female_hkom1_inj.U1!$A$1:$K$36,34,FALSE),0)</f>
        <v>0</v>
      </c>
      <c r="M1327">
        <f t="shared" si="421"/>
        <v>68</v>
      </c>
      <c r="S1327" t="s">
        <v>101</v>
      </c>
      <c r="T1327" s="5">
        <f t="shared" si="412"/>
        <v>0</v>
      </c>
      <c r="U1327" s="5">
        <f t="shared" si="413"/>
        <v>0</v>
      </c>
      <c r="V1327" s="5">
        <f t="shared" si="414"/>
        <v>22.795591182364731</v>
      </c>
      <c r="W1327" s="5">
        <f t="shared" si="415"/>
        <v>41.2224</v>
      </c>
      <c r="X1327" s="5">
        <f t="shared" si="416"/>
        <v>9.5748502994011968</v>
      </c>
      <c r="Y1327" s="5">
        <f t="shared" si="417"/>
        <v>0</v>
      </c>
      <c r="Z1327" s="5">
        <f t="shared" si="418"/>
        <v>0</v>
      </c>
      <c r="AA1327" s="5">
        <f t="shared" si="419"/>
        <v>0</v>
      </c>
      <c r="AB1327" s="5">
        <f t="shared" si="420"/>
        <v>73.59284148176593</v>
      </c>
    </row>
    <row r="1328" spans="4:29" x14ac:dyDescent="0.25">
      <c r="D1328" t="s">
        <v>102</v>
      </c>
      <c r="E1328" s="64"/>
      <c r="F1328" s="64"/>
      <c r="G1328">
        <f>IFERROR(HLOOKUP(G$2,[41]table_female_hkom1_inj.U1!$A$1:$K$36,35,FALSE),0)</f>
        <v>128</v>
      </c>
      <c r="H1328">
        <f>IFERROR(HLOOKUP(H$2,[41]table_female_hkom1_inj.U1!$A$1:$K$36,35,FALSE),0)</f>
        <v>159</v>
      </c>
      <c r="I1328">
        <f>IFERROR(HLOOKUP(I$2,[41]table_female_hkom1_inj.U1!$A$1:$K$36,35,FALSE),0)</f>
        <v>64</v>
      </c>
      <c r="J1328">
        <f>IFERROR(HLOOKUP(J$2,[41]table_female_hkom1_inj.U1!$A$1:$K$36,35,FALSE),0)</f>
        <v>4</v>
      </c>
      <c r="K1328">
        <f>IFERROR(HLOOKUP(K$2,[41]table_female_hkom1_inj.U1!$A$1:$K$36,35,FALSE),0)</f>
        <v>0</v>
      </c>
      <c r="L1328">
        <f>IFERROR(HLOOKUP(L$2,[41]table_female_hkom1_inj.U1!$A$1:$K$36,35,FALSE),0)</f>
        <v>0</v>
      </c>
      <c r="M1328">
        <f t="shared" si="421"/>
        <v>355</v>
      </c>
      <c r="N1328">
        <f>SUM(M1295:M1328)</f>
        <v>4791</v>
      </c>
      <c r="O1328" s="8">
        <f>SUM([41]table_female_hkom1_inj.U1!$B$2:$L$37)</f>
        <v>4791</v>
      </c>
      <c r="S1328" t="s">
        <v>102</v>
      </c>
      <c r="T1328" s="7"/>
      <c r="U1328" s="7"/>
      <c r="V1328" s="7"/>
      <c r="W1328" s="7"/>
      <c r="X1328" s="7"/>
      <c r="Y1328" s="7"/>
      <c r="Z1328" s="7"/>
      <c r="AA1328" s="7"/>
      <c r="AB1328" s="5">
        <f t="shared" si="420"/>
        <v>0</v>
      </c>
      <c r="AC1328" s="5">
        <f>SUM(AB1295:AB1327)</f>
        <v>4791.0000000000009</v>
      </c>
    </row>
    <row r="1329" spans="1:28" x14ac:dyDescent="0.25">
      <c r="A1329" t="s">
        <v>115</v>
      </c>
      <c r="B1329" t="s">
        <v>103</v>
      </c>
      <c r="C1329" t="s">
        <v>110</v>
      </c>
      <c r="D1329" t="s">
        <v>70</v>
      </c>
      <c r="E1329" s="64"/>
      <c r="F1329" s="64"/>
      <c r="G1329">
        <f>IFERROR(HLOOKUP(G$2,[42]table_female_hkom1_inj.U2!$A$1:$K$36,2,FALSE),0)</f>
        <v>0</v>
      </c>
      <c r="H1329">
        <f>IFERROR(HLOOKUP(H$2,[42]table_female_hkom1_inj.U2!$A$1:$K$36,2,FALSE),0)</f>
        <v>0</v>
      </c>
      <c r="I1329">
        <f>IFERROR(HLOOKUP(I$2,[42]table_female_hkom1_inj.U2!$A$1:$K$36,2,FALSE),0)</f>
        <v>0</v>
      </c>
      <c r="J1329">
        <f>IFERROR(HLOOKUP(J$2,[42]table_female_hkom1_inj.U2!$A$1:$K$36,2,FALSE),0)</f>
        <v>0</v>
      </c>
      <c r="K1329">
        <f>IFERROR(HLOOKUP(K$2,[42]table_female_hkom1_inj.U2!$A$1:$K$36,2,FALSE),0)</f>
        <v>0</v>
      </c>
      <c r="L1329">
        <f>IFERROR(HLOOKUP(L$2,[42]table_female_hkom1_inj.U2!$A$1:$K$36,2,FALSE),0)</f>
        <v>0</v>
      </c>
      <c r="M1329">
        <f t="shared" si="421"/>
        <v>0</v>
      </c>
      <c r="P1329" t="s">
        <v>115</v>
      </c>
      <c r="Q1329" t="s">
        <v>103</v>
      </c>
      <c r="R1329" t="s">
        <v>110</v>
      </c>
      <c r="S1329" t="s">
        <v>70</v>
      </c>
      <c r="T1329" s="5">
        <f>IF(SUM(E$1329:E$1361)=0,E$1362/33,E1329+IFERROR(E1329/SUM(E$1329:E$1361)*E$1362,0))</f>
        <v>0</v>
      </c>
      <c r="U1329" s="5">
        <f t="shared" ref="U1329:AA1329" si="422">IF(SUM(F$1329:F$1361)=0,F$1362/33,F1329+IFERROR(F1329/SUM(F$1329:F$1361)*F$1362,0))</f>
        <v>0</v>
      </c>
      <c r="V1329" s="5">
        <f t="shared" si="422"/>
        <v>0</v>
      </c>
      <c r="W1329" s="5">
        <f t="shared" si="422"/>
        <v>0</v>
      </c>
      <c r="X1329" s="5">
        <f t="shared" si="422"/>
        <v>0</v>
      </c>
      <c r="Y1329" s="5">
        <f t="shared" si="422"/>
        <v>0</v>
      </c>
      <c r="Z1329" s="5">
        <f t="shared" si="422"/>
        <v>0</v>
      </c>
      <c r="AA1329" s="5">
        <f t="shared" si="422"/>
        <v>0</v>
      </c>
      <c r="AB1329" s="5">
        <f t="shared" si="420"/>
        <v>0</v>
      </c>
    </row>
    <row r="1330" spans="1:28" x14ac:dyDescent="0.25">
      <c r="D1330" t="s">
        <v>71</v>
      </c>
      <c r="E1330" s="64"/>
      <c r="F1330" s="64"/>
      <c r="G1330">
        <f>IFERROR(HLOOKUP(G$2,[42]table_female_hkom1_inj.U2!$A$1:$K$36,3,FALSE),0)</f>
        <v>0</v>
      </c>
      <c r="H1330">
        <f>IFERROR(HLOOKUP(H$2,[42]table_female_hkom1_inj.U2!$A$1:$K$36,3,FALSE),0)</f>
        <v>0</v>
      </c>
      <c r="I1330">
        <f>IFERROR(HLOOKUP(I$2,[42]table_female_hkom1_inj.U2!$A$1:$K$36,3,FALSE),0)</f>
        <v>0</v>
      </c>
      <c r="J1330">
        <f>IFERROR(HLOOKUP(J$2,[42]table_female_hkom1_inj.U2!$A$1:$K$36,3,FALSE),0)</f>
        <v>0</v>
      </c>
      <c r="K1330">
        <f>IFERROR(HLOOKUP(K$2,[42]table_female_hkom1_inj.U2!$A$1:$K$36,3,FALSE),0)</f>
        <v>0</v>
      </c>
      <c r="L1330">
        <f>IFERROR(HLOOKUP(L$2,[42]table_female_hkom1_inj.U2!$A$1:$K$36,3,FALSE),0)</f>
        <v>0</v>
      </c>
      <c r="M1330">
        <f t="shared" si="421"/>
        <v>0</v>
      </c>
      <c r="S1330" t="s">
        <v>71</v>
      </c>
      <c r="T1330" s="5">
        <f t="shared" ref="T1330:T1361" si="423">IF(SUM(E$1329:E$1361)=0,E$1362/33,E1330+IFERROR(E1330/SUM(E$1329:E$1361)*E$1362,0))</f>
        <v>0</v>
      </c>
      <c r="U1330" s="5">
        <f t="shared" ref="U1330:U1361" si="424">IF(SUM(F$1329:F$1361)=0,F$1362/33,F1330+IFERROR(F1330/SUM(F$1329:F$1361)*F$1362,0))</f>
        <v>0</v>
      </c>
      <c r="V1330" s="5">
        <f t="shared" ref="V1330:V1361" si="425">IF(SUM(G$1329:G$1361)=0,G$1362/33,G1330+IFERROR(G1330/SUM(G$1329:G$1361)*G$1362,0))</f>
        <v>0</v>
      </c>
      <c r="W1330" s="5">
        <f t="shared" ref="W1330:W1361" si="426">IF(SUM(H$1329:H$1361)=0,H$1362/33,H1330+IFERROR(H1330/SUM(H$1329:H$1361)*H$1362,0))</f>
        <v>0</v>
      </c>
      <c r="X1330" s="5">
        <f t="shared" ref="X1330:X1361" si="427">IF(SUM(I$1329:I$1361)=0,I$1362/33,I1330+IFERROR(I1330/SUM(I$1329:I$1361)*I$1362,0))</f>
        <v>0</v>
      </c>
      <c r="Y1330" s="5">
        <f t="shared" ref="Y1330:Y1361" si="428">IF(SUM(J$1329:J$1361)=0,J$1362/33,J1330+IFERROR(J1330/SUM(J$1329:J$1361)*J$1362,0))</f>
        <v>0</v>
      </c>
      <c r="Z1330" s="5">
        <f t="shared" ref="Z1330:Z1361" si="429">IF(SUM(K$1329:K$1361)=0,K$1362/33,K1330+IFERROR(K1330/SUM(K$1329:K$1361)*K$1362,0))</f>
        <v>0</v>
      </c>
      <c r="AA1330" s="5">
        <f t="shared" ref="AA1330:AA1361" si="430">IF(SUM(L$1329:L$1361)=0,L$1362/33,L1330+IFERROR(L1330/SUM(L$1329:L$1361)*L$1362,0))</f>
        <v>0</v>
      </c>
      <c r="AB1330" s="5">
        <f t="shared" si="420"/>
        <v>0</v>
      </c>
    </row>
    <row r="1331" spans="1:28" x14ac:dyDescent="0.25">
      <c r="D1331" t="s">
        <v>72</v>
      </c>
      <c r="E1331" s="64"/>
      <c r="F1331" s="64"/>
      <c r="G1331">
        <f>IFERROR(HLOOKUP(G$2,[42]table_female_hkom1_inj.U2!$A$1:$K$36,4,FALSE),0)</f>
        <v>0</v>
      </c>
      <c r="H1331">
        <f>IFERROR(HLOOKUP(H$2,[42]table_female_hkom1_inj.U2!$A$1:$K$36,4,FALSE),0)</f>
        <v>0</v>
      </c>
      <c r="I1331">
        <f>IFERROR(HLOOKUP(I$2,[42]table_female_hkom1_inj.U2!$A$1:$K$36,4,FALSE),0)</f>
        <v>0</v>
      </c>
      <c r="J1331">
        <f>IFERROR(HLOOKUP(J$2,[42]table_female_hkom1_inj.U2!$A$1:$K$36,4,FALSE),0)</f>
        <v>0</v>
      </c>
      <c r="K1331">
        <f>IFERROR(HLOOKUP(K$2,[42]table_female_hkom1_inj.U2!$A$1:$K$36,4,FALSE),0)</f>
        <v>0</v>
      </c>
      <c r="L1331">
        <f>IFERROR(HLOOKUP(L$2,[42]table_female_hkom1_inj.U2!$A$1:$K$36,4,FALSE),0)</f>
        <v>0</v>
      </c>
      <c r="M1331">
        <f t="shared" si="421"/>
        <v>0</v>
      </c>
      <c r="S1331" t="s">
        <v>72</v>
      </c>
      <c r="T1331" s="5">
        <f t="shared" si="423"/>
        <v>0</v>
      </c>
      <c r="U1331" s="5">
        <f t="shared" si="424"/>
        <v>0</v>
      </c>
      <c r="V1331" s="5">
        <f t="shared" si="425"/>
        <v>0</v>
      </c>
      <c r="W1331" s="5">
        <f t="shared" si="426"/>
        <v>0</v>
      </c>
      <c r="X1331" s="5">
        <f t="shared" si="427"/>
        <v>0</v>
      </c>
      <c r="Y1331" s="5">
        <f t="shared" si="428"/>
        <v>0</v>
      </c>
      <c r="Z1331" s="5">
        <f t="shared" si="429"/>
        <v>0</v>
      </c>
      <c r="AA1331" s="5">
        <f t="shared" si="430"/>
        <v>0</v>
      </c>
      <c r="AB1331" s="5">
        <f t="shared" si="420"/>
        <v>0</v>
      </c>
    </row>
    <row r="1332" spans="1:28" x14ac:dyDescent="0.25">
      <c r="D1332" t="s">
        <v>73</v>
      </c>
      <c r="E1332" s="64"/>
      <c r="F1332" s="64"/>
      <c r="G1332">
        <f>IFERROR(HLOOKUP(G$2,[42]table_female_hkom1_inj.U2!$A$1:$K$36,5,FALSE),0)</f>
        <v>0</v>
      </c>
      <c r="H1332">
        <f>IFERROR(HLOOKUP(H$2,[42]table_female_hkom1_inj.U2!$A$1:$K$36,5,FALSE),0)</f>
        <v>0</v>
      </c>
      <c r="I1332">
        <f>IFERROR(HLOOKUP(I$2,[42]table_female_hkom1_inj.U2!$A$1:$K$36,5,FALSE),0)</f>
        <v>0</v>
      </c>
      <c r="J1332">
        <f>IFERROR(HLOOKUP(J$2,[42]table_female_hkom1_inj.U2!$A$1:$K$36,5,FALSE),0)</f>
        <v>0</v>
      </c>
      <c r="K1332">
        <f>IFERROR(HLOOKUP(K$2,[42]table_female_hkom1_inj.U2!$A$1:$K$36,5,FALSE),0)</f>
        <v>0</v>
      </c>
      <c r="L1332">
        <f>IFERROR(HLOOKUP(L$2,[42]table_female_hkom1_inj.U2!$A$1:$K$36,5,FALSE),0)</f>
        <v>0</v>
      </c>
      <c r="M1332">
        <f t="shared" si="421"/>
        <v>0</v>
      </c>
      <c r="S1332" t="s">
        <v>73</v>
      </c>
      <c r="T1332" s="5">
        <f t="shared" si="423"/>
        <v>0</v>
      </c>
      <c r="U1332" s="5">
        <f t="shared" si="424"/>
        <v>0</v>
      </c>
      <c r="V1332" s="5">
        <f t="shared" si="425"/>
        <v>0</v>
      </c>
      <c r="W1332" s="5">
        <f t="shared" si="426"/>
        <v>0</v>
      </c>
      <c r="X1332" s="5">
        <f t="shared" si="427"/>
        <v>0</v>
      </c>
      <c r="Y1332" s="5">
        <f t="shared" si="428"/>
        <v>0</v>
      </c>
      <c r="Z1332" s="5">
        <f t="shared" si="429"/>
        <v>0</v>
      </c>
      <c r="AA1332" s="5">
        <f t="shared" si="430"/>
        <v>0</v>
      </c>
      <c r="AB1332" s="5">
        <f t="shared" si="420"/>
        <v>0</v>
      </c>
    </row>
    <row r="1333" spans="1:28" x14ac:dyDescent="0.25">
      <c r="D1333" t="s">
        <v>74</v>
      </c>
      <c r="E1333" s="64"/>
      <c r="F1333" s="64"/>
      <c r="G1333">
        <f>IFERROR(HLOOKUP(G$2,[42]table_female_hkom1_inj.U2!$A$1:$K$36,6,FALSE),0)</f>
        <v>0</v>
      </c>
      <c r="H1333">
        <f>IFERROR(HLOOKUP(H$2,[42]table_female_hkom1_inj.U2!$A$1:$K$36,6,FALSE),0)</f>
        <v>0</v>
      </c>
      <c r="I1333">
        <f>IFERROR(HLOOKUP(I$2,[42]table_female_hkom1_inj.U2!$A$1:$K$36,6,FALSE),0)</f>
        <v>0</v>
      </c>
      <c r="J1333">
        <f>IFERROR(HLOOKUP(J$2,[42]table_female_hkom1_inj.U2!$A$1:$K$36,6,FALSE),0)</f>
        <v>0</v>
      </c>
      <c r="K1333">
        <f>IFERROR(HLOOKUP(K$2,[42]table_female_hkom1_inj.U2!$A$1:$K$36,6,FALSE),0)</f>
        <v>0</v>
      </c>
      <c r="L1333">
        <f>IFERROR(HLOOKUP(L$2,[42]table_female_hkom1_inj.U2!$A$1:$K$36,6,FALSE),0)</f>
        <v>0</v>
      </c>
      <c r="M1333">
        <f t="shared" si="421"/>
        <v>0</v>
      </c>
      <c r="S1333" t="s">
        <v>74</v>
      </c>
      <c r="T1333" s="5">
        <f t="shared" si="423"/>
        <v>0</v>
      </c>
      <c r="U1333" s="5">
        <f t="shared" si="424"/>
        <v>0</v>
      </c>
      <c r="V1333" s="5">
        <f t="shared" si="425"/>
        <v>0</v>
      </c>
      <c r="W1333" s="5">
        <f t="shared" si="426"/>
        <v>0</v>
      </c>
      <c r="X1333" s="5">
        <f t="shared" si="427"/>
        <v>0</v>
      </c>
      <c r="Y1333" s="5">
        <f t="shared" si="428"/>
        <v>0</v>
      </c>
      <c r="Z1333" s="5">
        <f t="shared" si="429"/>
        <v>0</v>
      </c>
      <c r="AA1333" s="5">
        <f t="shared" si="430"/>
        <v>0</v>
      </c>
      <c r="AB1333" s="5">
        <f t="shared" si="420"/>
        <v>0</v>
      </c>
    </row>
    <row r="1334" spans="1:28" x14ac:dyDescent="0.25">
      <c r="D1334" t="s">
        <v>75</v>
      </c>
      <c r="E1334" s="64"/>
      <c r="F1334" s="64"/>
      <c r="G1334">
        <f>IFERROR(HLOOKUP(G$2,[42]table_female_hkom1_inj.U2!$A$1:$K$36,7,FALSE),0)</f>
        <v>0</v>
      </c>
      <c r="H1334">
        <f>IFERROR(HLOOKUP(H$2,[42]table_female_hkom1_inj.U2!$A$1:$K$36,7,FALSE),0)</f>
        <v>0</v>
      </c>
      <c r="I1334">
        <f>IFERROR(HLOOKUP(I$2,[42]table_female_hkom1_inj.U2!$A$1:$K$36,7,FALSE),0)</f>
        <v>0</v>
      </c>
      <c r="J1334">
        <f>IFERROR(HLOOKUP(J$2,[42]table_female_hkom1_inj.U2!$A$1:$K$36,7,FALSE),0)</f>
        <v>0</v>
      </c>
      <c r="K1334">
        <f>IFERROR(HLOOKUP(K$2,[42]table_female_hkom1_inj.U2!$A$1:$K$36,7,FALSE),0)</f>
        <v>0</v>
      </c>
      <c r="L1334">
        <f>IFERROR(HLOOKUP(L$2,[42]table_female_hkom1_inj.U2!$A$1:$K$36,7,FALSE),0)</f>
        <v>0</v>
      </c>
      <c r="M1334">
        <f t="shared" si="421"/>
        <v>0</v>
      </c>
      <c r="S1334" t="s">
        <v>75</v>
      </c>
      <c r="T1334" s="5">
        <f t="shared" si="423"/>
        <v>0</v>
      </c>
      <c r="U1334" s="5">
        <f t="shared" si="424"/>
        <v>0</v>
      </c>
      <c r="V1334" s="5">
        <f t="shared" si="425"/>
        <v>0</v>
      </c>
      <c r="W1334" s="5">
        <f t="shared" si="426"/>
        <v>0</v>
      </c>
      <c r="X1334" s="5">
        <f t="shared" si="427"/>
        <v>0</v>
      </c>
      <c r="Y1334" s="5">
        <f t="shared" si="428"/>
        <v>0</v>
      </c>
      <c r="Z1334" s="5">
        <f t="shared" si="429"/>
        <v>0</v>
      </c>
      <c r="AA1334" s="5">
        <f t="shared" si="430"/>
        <v>0</v>
      </c>
      <c r="AB1334" s="5">
        <f t="shared" si="420"/>
        <v>0</v>
      </c>
    </row>
    <row r="1335" spans="1:28" x14ac:dyDescent="0.25">
      <c r="D1335" t="s">
        <v>76</v>
      </c>
      <c r="E1335" s="64"/>
      <c r="F1335" s="64"/>
      <c r="G1335">
        <f>IFERROR(HLOOKUP(G$2,[42]table_female_hkom1_inj.U2!$A$1:$K$36,8,FALSE),0)</f>
        <v>0</v>
      </c>
      <c r="H1335">
        <f>IFERROR(HLOOKUP(H$2,[42]table_female_hkom1_inj.U2!$A$1:$K$36,8,FALSE),0)</f>
        <v>0</v>
      </c>
      <c r="I1335">
        <f>IFERROR(HLOOKUP(I$2,[42]table_female_hkom1_inj.U2!$A$1:$K$36,8,FALSE),0)</f>
        <v>0</v>
      </c>
      <c r="J1335">
        <f>IFERROR(HLOOKUP(J$2,[42]table_female_hkom1_inj.U2!$A$1:$K$36,8,FALSE),0)</f>
        <v>0</v>
      </c>
      <c r="K1335">
        <f>IFERROR(HLOOKUP(K$2,[42]table_female_hkom1_inj.U2!$A$1:$K$36,8,FALSE),0)</f>
        <v>0</v>
      </c>
      <c r="L1335">
        <f>IFERROR(HLOOKUP(L$2,[42]table_female_hkom1_inj.U2!$A$1:$K$36,8,FALSE),0)</f>
        <v>0</v>
      </c>
      <c r="M1335">
        <f t="shared" si="421"/>
        <v>0</v>
      </c>
      <c r="S1335" t="s">
        <v>76</v>
      </c>
      <c r="T1335" s="5">
        <f t="shared" si="423"/>
        <v>0</v>
      </c>
      <c r="U1335" s="5">
        <f t="shared" si="424"/>
        <v>0</v>
      </c>
      <c r="V1335" s="5">
        <f t="shared" si="425"/>
        <v>0</v>
      </c>
      <c r="W1335" s="5">
        <f t="shared" si="426"/>
        <v>0</v>
      </c>
      <c r="X1335" s="5">
        <f t="shared" si="427"/>
        <v>0</v>
      </c>
      <c r="Y1335" s="5">
        <f t="shared" si="428"/>
        <v>0</v>
      </c>
      <c r="Z1335" s="5">
        <f t="shared" si="429"/>
        <v>0</v>
      </c>
      <c r="AA1335" s="5">
        <f t="shared" si="430"/>
        <v>0</v>
      </c>
      <c r="AB1335" s="5">
        <f t="shared" si="420"/>
        <v>0</v>
      </c>
    </row>
    <row r="1336" spans="1:28" x14ac:dyDescent="0.25">
      <c r="D1336" t="s">
        <v>77</v>
      </c>
      <c r="E1336" s="64"/>
      <c r="F1336" s="64"/>
      <c r="G1336">
        <f>IFERROR(HLOOKUP(G$2,[42]table_female_hkom1_inj.U2!$A$1:$K$36,9,FALSE),0)</f>
        <v>0</v>
      </c>
      <c r="H1336">
        <f>IFERROR(HLOOKUP(H$2,[42]table_female_hkom1_inj.U2!$A$1:$K$36,9,FALSE),0)</f>
        <v>0</v>
      </c>
      <c r="I1336">
        <f>IFERROR(HLOOKUP(I$2,[42]table_female_hkom1_inj.U2!$A$1:$K$36,9,FALSE),0)</f>
        <v>0</v>
      </c>
      <c r="J1336">
        <f>IFERROR(HLOOKUP(J$2,[42]table_female_hkom1_inj.U2!$A$1:$K$36,9,FALSE),0)</f>
        <v>0</v>
      </c>
      <c r="K1336">
        <f>IFERROR(HLOOKUP(K$2,[42]table_female_hkom1_inj.U2!$A$1:$K$36,9,FALSE),0)</f>
        <v>0</v>
      </c>
      <c r="L1336">
        <f>IFERROR(HLOOKUP(L$2,[42]table_female_hkom1_inj.U2!$A$1:$K$36,9,FALSE),0)</f>
        <v>0</v>
      </c>
      <c r="M1336">
        <f t="shared" si="421"/>
        <v>0</v>
      </c>
      <c r="S1336" t="s">
        <v>77</v>
      </c>
      <c r="T1336" s="5">
        <f t="shared" si="423"/>
        <v>0</v>
      </c>
      <c r="U1336" s="5">
        <f t="shared" si="424"/>
        <v>0</v>
      </c>
      <c r="V1336" s="5">
        <f t="shared" si="425"/>
        <v>0</v>
      </c>
      <c r="W1336" s="5">
        <f t="shared" si="426"/>
        <v>0</v>
      </c>
      <c r="X1336" s="5">
        <f t="shared" si="427"/>
        <v>0</v>
      </c>
      <c r="Y1336" s="5">
        <f t="shared" si="428"/>
        <v>0</v>
      </c>
      <c r="Z1336" s="5">
        <f t="shared" si="429"/>
        <v>0</v>
      </c>
      <c r="AA1336" s="5">
        <f t="shared" si="430"/>
        <v>0</v>
      </c>
      <c r="AB1336" s="5">
        <f t="shared" si="420"/>
        <v>0</v>
      </c>
    </row>
    <row r="1337" spans="1:28" x14ac:dyDescent="0.25">
      <c r="D1337" t="s">
        <v>78</v>
      </c>
      <c r="E1337" s="64"/>
      <c r="F1337" s="64"/>
      <c r="G1337">
        <f>IFERROR(HLOOKUP(G$2,[42]table_female_hkom1_inj.U2!$A$1:$K$36,10,FALSE),0)</f>
        <v>0</v>
      </c>
      <c r="H1337">
        <f>IFERROR(HLOOKUP(H$2,[42]table_female_hkom1_inj.U2!$A$1:$K$36,10,FALSE),0)</f>
        <v>0</v>
      </c>
      <c r="I1337">
        <f>IFERROR(HLOOKUP(I$2,[42]table_female_hkom1_inj.U2!$A$1:$K$36,10,FALSE),0)</f>
        <v>0</v>
      </c>
      <c r="J1337">
        <f>IFERROR(HLOOKUP(J$2,[42]table_female_hkom1_inj.U2!$A$1:$K$36,10,FALSE),0)</f>
        <v>0</v>
      </c>
      <c r="K1337">
        <f>IFERROR(HLOOKUP(K$2,[42]table_female_hkom1_inj.U2!$A$1:$K$36,10,FALSE),0)</f>
        <v>0</v>
      </c>
      <c r="L1337">
        <f>IFERROR(HLOOKUP(L$2,[42]table_female_hkom1_inj.U2!$A$1:$K$36,10,FALSE),0)</f>
        <v>0</v>
      </c>
      <c r="M1337">
        <f t="shared" si="421"/>
        <v>0</v>
      </c>
      <c r="S1337" t="s">
        <v>78</v>
      </c>
      <c r="T1337" s="5">
        <f t="shared" si="423"/>
        <v>0</v>
      </c>
      <c r="U1337" s="5">
        <f t="shared" si="424"/>
        <v>0</v>
      </c>
      <c r="V1337" s="5">
        <f t="shared" si="425"/>
        <v>0</v>
      </c>
      <c r="W1337" s="5">
        <f t="shared" si="426"/>
        <v>0</v>
      </c>
      <c r="X1337" s="5">
        <f t="shared" si="427"/>
        <v>0</v>
      </c>
      <c r="Y1337" s="5">
        <f t="shared" si="428"/>
        <v>0</v>
      </c>
      <c r="Z1337" s="5">
        <f t="shared" si="429"/>
        <v>0</v>
      </c>
      <c r="AA1337" s="5">
        <f t="shared" si="430"/>
        <v>0</v>
      </c>
      <c r="AB1337" s="5">
        <f t="shared" si="420"/>
        <v>0</v>
      </c>
    </row>
    <row r="1338" spans="1:28" x14ac:dyDescent="0.25">
      <c r="D1338" t="s">
        <v>79</v>
      </c>
      <c r="E1338" s="64"/>
      <c r="F1338" s="64"/>
      <c r="G1338">
        <f>IFERROR(HLOOKUP(G$2,[42]table_female_hkom1_inj.U2!$A$1:$K$36,11,FALSE),0)</f>
        <v>0</v>
      </c>
      <c r="H1338">
        <f>IFERROR(HLOOKUP(H$2,[42]table_female_hkom1_inj.U2!$A$1:$K$36,11,FALSE),0)</f>
        <v>0</v>
      </c>
      <c r="I1338">
        <f>IFERROR(HLOOKUP(I$2,[42]table_female_hkom1_inj.U2!$A$1:$K$36,11,FALSE),0)</f>
        <v>0</v>
      </c>
      <c r="J1338">
        <f>IFERROR(HLOOKUP(J$2,[42]table_female_hkom1_inj.U2!$A$1:$K$36,11,FALSE),0)</f>
        <v>0</v>
      </c>
      <c r="K1338">
        <f>IFERROR(HLOOKUP(K$2,[42]table_female_hkom1_inj.U2!$A$1:$K$36,11,FALSE),0)</f>
        <v>0</v>
      </c>
      <c r="L1338">
        <f>IFERROR(HLOOKUP(L$2,[42]table_female_hkom1_inj.U2!$A$1:$K$36,11,FALSE),0)</f>
        <v>0</v>
      </c>
      <c r="M1338">
        <f t="shared" si="421"/>
        <v>0</v>
      </c>
      <c r="S1338" t="s">
        <v>79</v>
      </c>
      <c r="T1338" s="5">
        <f t="shared" si="423"/>
        <v>0</v>
      </c>
      <c r="U1338" s="5">
        <f t="shared" si="424"/>
        <v>0</v>
      </c>
      <c r="V1338" s="5">
        <f t="shared" si="425"/>
        <v>0</v>
      </c>
      <c r="W1338" s="5">
        <f t="shared" si="426"/>
        <v>0</v>
      </c>
      <c r="X1338" s="5">
        <f t="shared" si="427"/>
        <v>0</v>
      </c>
      <c r="Y1338" s="5">
        <f t="shared" si="428"/>
        <v>0</v>
      </c>
      <c r="Z1338" s="5">
        <f t="shared" si="429"/>
        <v>0</v>
      </c>
      <c r="AA1338" s="5">
        <f t="shared" si="430"/>
        <v>0</v>
      </c>
      <c r="AB1338" s="5">
        <f t="shared" si="420"/>
        <v>0</v>
      </c>
    </row>
    <row r="1339" spans="1:28" x14ac:dyDescent="0.25">
      <c r="D1339" t="s">
        <v>80</v>
      </c>
      <c r="E1339" s="64"/>
      <c r="F1339" s="64"/>
      <c r="G1339">
        <f>IFERROR(HLOOKUP(G$2,[42]table_female_hkom1_inj.U2!$A$1:$K$36,12,FALSE),0)</f>
        <v>0</v>
      </c>
      <c r="H1339">
        <f>IFERROR(HLOOKUP(H$2,[42]table_female_hkom1_inj.U2!$A$1:$K$36,12,FALSE),0)</f>
        <v>0</v>
      </c>
      <c r="I1339">
        <f>IFERROR(HLOOKUP(I$2,[42]table_female_hkom1_inj.U2!$A$1:$K$36,12,FALSE),0)</f>
        <v>0</v>
      </c>
      <c r="J1339">
        <f>IFERROR(HLOOKUP(J$2,[42]table_female_hkom1_inj.U2!$A$1:$K$36,12,FALSE),0)</f>
        <v>0</v>
      </c>
      <c r="K1339">
        <f>IFERROR(HLOOKUP(K$2,[42]table_female_hkom1_inj.U2!$A$1:$K$36,12,FALSE),0)</f>
        <v>0</v>
      </c>
      <c r="L1339">
        <f>IFERROR(HLOOKUP(L$2,[42]table_female_hkom1_inj.U2!$A$1:$K$36,12,FALSE),0)</f>
        <v>0</v>
      </c>
      <c r="M1339">
        <f t="shared" si="421"/>
        <v>0</v>
      </c>
      <c r="S1339" t="s">
        <v>80</v>
      </c>
      <c r="T1339" s="5">
        <f t="shared" si="423"/>
        <v>0</v>
      </c>
      <c r="U1339" s="5">
        <f t="shared" si="424"/>
        <v>0</v>
      </c>
      <c r="V1339" s="5">
        <f t="shared" si="425"/>
        <v>0</v>
      </c>
      <c r="W1339" s="5">
        <f t="shared" si="426"/>
        <v>0</v>
      </c>
      <c r="X1339" s="5">
        <f t="shared" si="427"/>
        <v>0</v>
      </c>
      <c r="Y1339" s="5">
        <f t="shared" si="428"/>
        <v>0</v>
      </c>
      <c r="Z1339" s="5">
        <f t="shared" si="429"/>
        <v>0</v>
      </c>
      <c r="AA1339" s="5">
        <f t="shared" si="430"/>
        <v>0</v>
      </c>
      <c r="AB1339" s="5">
        <f t="shared" si="420"/>
        <v>0</v>
      </c>
    </row>
    <row r="1340" spans="1:28" x14ac:dyDescent="0.25">
      <c r="D1340" t="s">
        <v>81</v>
      </c>
      <c r="E1340" s="64"/>
      <c r="F1340" s="64"/>
      <c r="G1340">
        <f>IFERROR(HLOOKUP(G$2,[42]table_female_hkom1_inj.U2!$A$1:$K$36,13,FALSE),0)</f>
        <v>0</v>
      </c>
      <c r="H1340">
        <f>IFERROR(HLOOKUP(H$2,[42]table_female_hkom1_inj.U2!$A$1:$K$36,13,FALSE),0)</f>
        <v>0</v>
      </c>
      <c r="I1340">
        <f>IFERROR(HLOOKUP(I$2,[42]table_female_hkom1_inj.U2!$A$1:$K$36,13,FALSE),0)</f>
        <v>0</v>
      </c>
      <c r="J1340">
        <f>IFERROR(HLOOKUP(J$2,[42]table_female_hkom1_inj.U2!$A$1:$K$36,13,FALSE),0)</f>
        <v>0</v>
      </c>
      <c r="K1340">
        <f>IFERROR(HLOOKUP(K$2,[42]table_female_hkom1_inj.U2!$A$1:$K$36,13,FALSE),0)</f>
        <v>0</v>
      </c>
      <c r="L1340">
        <f>IFERROR(HLOOKUP(L$2,[42]table_female_hkom1_inj.U2!$A$1:$K$36,13,FALSE),0)</f>
        <v>0</v>
      </c>
      <c r="M1340">
        <f t="shared" si="421"/>
        <v>0</v>
      </c>
      <c r="S1340" t="s">
        <v>81</v>
      </c>
      <c r="T1340" s="5">
        <f t="shared" si="423"/>
        <v>0</v>
      </c>
      <c r="U1340" s="5">
        <f t="shared" si="424"/>
        <v>0</v>
      </c>
      <c r="V1340" s="5">
        <f t="shared" si="425"/>
        <v>0</v>
      </c>
      <c r="W1340" s="5">
        <f t="shared" si="426"/>
        <v>0</v>
      </c>
      <c r="X1340" s="5">
        <f t="shared" si="427"/>
        <v>0</v>
      </c>
      <c r="Y1340" s="5">
        <f t="shared" si="428"/>
        <v>0</v>
      </c>
      <c r="Z1340" s="5">
        <f t="shared" si="429"/>
        <v>0</v>
      </c>
      <c r="AA1340" s="5">
        <f t="shared" si="430"/>
        <v>0</v>
      </c>
      <c r="AB1340" s="5">
        <f t="shared" si="420"/>
        <v>0</v>
      </c>
    </row>
    <row r="1341" spans="1:28" x14ac:dyDescent="0.25">
      <c r="D1341" t="s">
        <v>82</v>
      </c>
      <c r="E1341" s="64"/>
      <c r="F1341" s="64"/>
      <c r="G1341">
        <f>IFERROR(HLOOKUP(G$2,[42]table_female_hkom1_inj.U2!$A$1:$K$36,14,FALSE),0)</f>
        <v>0</v>
      </c>
      <c r="H1341">
        <f>IFERROR(HLOOKUP(H$2,[42]table_female_hkom1_inj.U2!$A$1:$K$36,14,FALSE),0)</f>
        <v>0</v>
      </c>
      <c r="I1341">
        <f>IFERROR(HLOOKUP(I$2,[42]table_female_hkom1_inj.U2!$A$1:$K$36,14,FALSE),0)</f>
        <v>0</v>
      </c>
      <c r="J1341">
        <f>IFERROR(HLOOKUP(J$2,[42]table_female_hkom1_inj.U2!$A$1:$K$36,14,FALSE),0)</f>
        <v>0</v>
      </c>
      <c r="K1341">
        <f>IFERROR(HLOOKUP(K$2,[42]table_female_hkom1_inj.U2!$A$1:$K$36,14,FALSE),0)</f>
        <v>0</v>
      </c>
      <c r="L1341">
        <f>IFERROR(HLOOKUP(L$2,[42]table_female_hkom1_inj.U2!$A$1:$K$36,14,FALSE),0)</f>
        <v>0</v>
      </c>
      <c r="M1341">
        <f t="shared" si="421"/>
        <v>0</v>
      </c>
      <c r="S1341" t="s">
        <v>82</v>
      </c>
      <c r="T1341" s="5">
        <f t="shared" si="423"/>
        <v>0</v>
      </c>
      <c r="U1341" s="5">
        <f t="shared" si="424"/>
        <v>0</v>
      </c>
      <c r="V1341" s="5">
        <f t="shared" si="425"/>
        <v>0</v>
      </c>
      <c r="W1341" s="5">
        <f t="shared" si="426"/>
        <v>0</v>
      </c>
      <c r="X1341" s="5">
        <f t="shared" si="427"/>
        <v>0</v>
      </c>
      <c r="Y1341" s="5">
        <f t="shared" si="428"/>
        <v>0</v>
      </c>
      <c r="Z1341" s="5">
        <f t="shared" si="429"/>
        <v>0</v>
      </c>
      <c r="AA1341" s="5">
        <f t="shared" si="430"/>
        <v>0</v>
      </c>
      <c r="AB1341" s="5">
        <f t="shared" si="420"/>
        <v>0</v>
      </c>
    </row>
    <row r="1342" spans="1:28" x14ac:dyDescent="0.25">
      <c r="D1342" t="s">
        <v>83</v>
      </c>
      <c r="E1342" s="64"/>
      <c r="F1342" s="64"/>
      <c r="G1342">
        <f>IFERROR(HLOOKUP(G$2,[42]table_female_hkom1_inj.U2!$A$1:$K$36,15,FALSE),0)</f>
        <v>0</v>
      </c>
      <c r="H1342">
        <f>IFERROR(HLOOKUP(H$2,[42]table_female_hkom1_inj.U2!$A$1:$K$36,15,FALSE),0)</f>
        <v>0</v>
      </c>
      <c r="I1342">
        <f>IFERROR(HLOOKUP(I$2,[42]table_female_hkom1_inj.U2!$A$1:$K$36,15,FALSE),0)</f>
        <v>0</v>
      </c>
      <c r="J1342">
        <f>IFERROR(HLOOKUP(J$2,[42]table_female_hkom1_inj.U2!$A$1:$K$36,15,FALSE),0)</f>
        <v>0</v>
      </c>
      <c r="K1342">
        <f>IFERROR(HLOOKUP(K$2,[42]table_female_hkom1_inj.U2!$A$1:$K$36,15,FALSE),0)</f>
        <v>0</v>
      </c>
      <c r="L1342">
        <f>IFERROR(HLOOKUP(L$2,[42]table_female_hkom1_inj.U2!$A$1:$K$36,15,FALSE),0)</f>
        <v>0</v>
      </c>
      <c r="M1342">
        <f t="shared" si="421"/>
        <v>0</v>
      </c>
      <c r="S1342" t="s">
        <v>83</v>
      </c>
      <c r="T1342" s="5">
        <f t="shared" si="423"/>
        <v>0</v>
      </c>
      <c r="U1342" s="5">
        <f t="shared" si="424"/>
        <v>0</v>
      </c>
      <c r="V1342" s="5">
        <f t="shared" si="425"/>
        <v>0</v>
      </c>
      <c r="W1342" s="5">
        <f t="shared" si="426"/>
        <v>0</v>
      </c>
      <c r="X1342" s="5">
        <f t="shared" si="427"/>
        <v>0</v>
      </c>
      <c r="Y1342" s="5">
        <f t="shared" si="428"/>
        <v>0</v>
      </c>
      <c r="Z1342" s="5">
        <f t="shared" si="429"/>
        <v>0</v>
      </c>
      <c r="AA1342" s="5">
        <f t="shared" si="430"/>
        <v>0</v>
      </c>
      <c r="AB1342" s="5">
        <f t="shared" si="420"/>
        <v>0</v>
      </c>
    </row>
    <row r="1343" spans="1:28" x14ac:dyDescent="0.25">
      <c r="D1343" t="s">
        <v>84</v>
      </c>
      <c r="E1343" s="64"/>
      <c r="F1343" s="64"/>
      <c r="G1343">
        <f>IFERROR(HLOOKUP(G$2,[42]table_female_hkom1_inj.U2!$A$1:$K$36,16,FALSE),0)</f>
        <v>0</v>
      </c>
      <c r="H1343">
        <f>IFERROR(HLOOKUP(H$2,[42]table_female_hkom1_inj.U2!$A$1:$K$36,16,FALSE),0)</f>
        <v>0</v>
      </c>
      <c r="I1343">
        <f>IFERROR(HLOOKUP(I$2,[42]table_female_hkom1_inj.U2!$A$1:$K$36,16,FALSE),0)</f>
        <v>0</v>
      </c>
      <c r="J1343">
        <f>IFERROR(HLOOKUP(J$2,[42]table_female_hkom1_inj.U2!$A$1:$K$36,16,FALSE),0)</f>
        <v>0</v>
      </c>
      <c r="K1343">
        <f>IFERROR(HLOOKUP(K$2,[42]table_female_hkom1_inj.U2!$A$1:$K$36,16,FALSE),0)</f>
        <v>0</v>
      </c>
      <c r="L1343">
        <f>IFERROR(HLOOKUP(L$2,[42]table_female_hkom1_inj.U2!$A$1:$K$36,16,FALSE),0)</f>
        <v>0</v>
      </c>
      <c r="M1343">
        <f t="shared" si="421"/>
        <v>0</v>
      </c>
      <c r="S1343" t="s">
        <v>84</v>
      </c>
      <c r="T1343" s="5">
        <f t="shared" si="423"/>
        <v>0</v>
      </c>
      <c r="U1343" s="5">
        <f t="shared" si="424"/>
        <v>0</v>
      </c>
      <c r="V1343" s="5">
        <f t="shared" si="425"/>
        <v>0</v>
      </c>
      <c r="W1343" s="5">
        <f t="shared" si="426"/>
        <v>0</v>
      </c>
      <c r="X1343" s="5">
        <f t="shared" si="427"/>
        <v>0</v>
      </c>
      <c r="Y1343" s="5">
        <f t="shared" si="428"/>
        <v>0</v>
      </c>
      <c r="Z1343" s="5">
        <f t="shared" si="429"/>
        <v>0</v>
      </c>
      <c r="AA1343" s="5">
        <f t="shared" si="430"/>
        <v>0</v>
      </c>
      <c r="AB1343" s="5">
        <f t="shared" si="420"/>
        <v>0</v>
      </c>
    </row>
    <row r="1344" spans="1:28" x14ac:dyDescent="0.25">
      <c r="D1344" t="s">
        <v>85</v>
      </c>
      <c r="E1344" s="64"/>
      <c r="F1344" s="64"/>
      <c r="G1344">
        <f>IFERROR(HLOOKUP(G$2,[42]table_female_hkom1_inj.U2!$A$1:$K$36,17,FALSE),0)</f>
        <v>0</v>
      </c>
      <c r="H1344">
        <f>IFERROR(HLOOKUP(H$2,[42]table_female_hkom1_inj.U2!$A$1:$K$36,17,FALSE),0)</f>
        <v>0</v>
      </c>
      <c r="I1344">
        <f>IFERROR(HLOOKUP(I$2,[42]table_female_hkom1_inj.U2!$A$1:$K$36,17,FALSE),0)</f>
        <v>0</v>
      </c>
      <c r="J1344">
        <f>IFERROR(HLOOKUP(J$2,[42]table_female_hkom1_inj.U2!$A$1:$K$36,17,FALSE),0)</f>
        <v>0</v>
      </c>
      <c r="K1344">
        <f>IFERROR(HLOOKUP(K$2,[42]table_female_hkom1_inj.U2!$A$1:$K$36,17,FALSE),0)</f>
        <v>0</v>
      </c>
      <c r="L1344">
        <f>IFERROR(HLOOKUP(L$2,[42]table_female_hkom1_inj.U2!$A$1:$K$36,17,FALSE),0)</f>
        <v>0</v>
      </c>
      <c r="M1344">
        <f t="shared" si="421"/>
        <v>0</v>
      </c>
      <c r="S1344" t="s">
        <v>85</v>
      </c>
      <c r="T1344" s="5">
        <f t="shared" si="423"/>
        <v>0</v>
      </c>
      <c r="U1344" s="5">
        <f t="shared" si="424"/>
        <v>0</v>
      </c>
      <c r="V1344" s="5">
        <f t="shared" si="425"/>
        <v>0</v>
      </c>
      <c r="W1344" s="5">
        <f t="shared" si="426"/>
        <v>0</v>
      </c>
      <c r="X1344" s="5">
        <f t="shared" si="427"/>
        <v>0</v>
      </c>
      <c r="Y1344" s="5">
        <f t="shared" si="428"/>
        <v>0</v>
      </c>
      <c r="Z1344" s="5">
        <f t="shared" si="429"/>
        <v>0</v>
      </c>
      <c r="AA1344" s="5">
        <f t="shared" si="430"/>
        <v>0</v>
      </c>
      <c r="AB1344" s="5">
        <f t="shared" si="420"/>
        <v>0</v>
      </c>
    </row>
    <row r="1345" spans="4:28" x14ac:dyDescent="0.25">
      <c r="D1345" t="s">
        <v>86</v>
      </c>
      <c r="E1345" s="64"/>
      <c r="F1345" s="64"/>
      <c r="G1345">
        <f>IFERROR(HLOOKUP(G$2,[42]table_female_hkom1_inj.U2!$A$1:$K$36,18,FALSE),0)</f>
        <v>0</v>
      </c>
      <c r="H1345">
        <f>IFERROR(HLOOKUP(H$2,[42]table_female_hkom1_inj.U2!$A$1:$K$36,18,FALSE),0)</f>
        <v>0</v>
      </c>
      <c r="I1345">
        <f>IFERROR(HLOOKUP(I$2,[42]table_female_hkom1_inj.U2!$A$1:$K$36,18,FALSE),0)</f>
        <v>0</v>
      </c>
      <c r="J1345">
        <f>IFERROR(HLOOKUP(J$2,[42]table_female_hkom1_inj.U2!$A$1:$K$36,18,FALSE),0)</f>
        <v>0</v>
      </c>
      <c r="K1345">
        <f>IFERROR(HLOOKUP(K$2,[42]table_female_hkom1_inj.U2!$A$1:$K$36,18,FALSE),0)</f>
        <v>0</v>
      </c>
      <c r="L1345">
        <f>IFERROR(HLOOKUP(L$2,[42]table_female_hkom1_inj.U2!$A$1:$K$36,18,FALSE),0)</f>
        <v>0</v>
      </c>
      <c r="M1345">
        <f t="shared" si="421"/>
        <v>0</v>
      </c>
      <c r="S1345" t="s">
        <v>86</v>
      </c>
      <c r="T1345" s="5">
        <f t="shared" si="423"/>
        <v>0</v>
      </c>
      <c r="U1345" s="5">
        <f t="shared" si="424"/>
        <v>0</v>
      </c>
      <c r="V1345" s="5">
        <f t="shared" si="425"/>
        <v>0</v>
      </c>
      <c r="W1345" s="5">
        <f t="shared" si="426"/>
        <v>0</v>
      </c>
      <c r="X1345" s="5">
        <f t="shared" si="427"/>
        <v>0</v>
      </c>
      <c r="Y1345" s="5">
        <f t="shared" si="428"/>
        <v>0</v>
      </c>
      <c r="Z1345" s="5">
        <f t="shared" si="429"/>
        <v>0</v>
      </c>
      <c r="AA1345" s="5">
        <f t="shared" si="430"/>
        <v>0</v>
      </c>
      <c r="AB1345" s="5">
        <f t="shared" si="420"/>
        <v>0</v>
      </c>
    </row>
    <row r="1346" spans="4:28" x14ac:dyDescent="0.25">
      <c r="D1346" t="s">
        <v>87</v>
      </c>
      <c r="E1346" s="64"/>
      <c r="F1346" s="64"/>
      <c r="G1346">
        <f>IFERROR(HLOOKUP(G$2,[42]table_female_hkom1_inj.U2!$A$1:$K$36,19,FALSE),0)</f>
        <v>0</v>
      </c>
      <c r="H1346">
        <f>IFERROR(HLOOKUP(H$2,[42]table_female_hkom1_inj.U2!$A$1:$K$36,19,FALSE),0)</f>
        <v>0</v>
      </c>
      <c r="I1346">
        <f>IFERROR(HLOOKUP(I$2,[42]table_female_hkom1_inj.U2!$A$1:$K$36,19,FALSE),0)</f>
        <v>0</v>
      </c>
      <c r="J1346">
        <f>IFERROR(HLOOKUP(J$2,[42]table_female_hkom1_inj.U2!$A$1:$K$36,19,FALSE),0)</f>
        <v>0</v>
      </c>
      <c r="K1346">
        <f>IFERROR(HLOOKUP(K$2,[42]table_female_hkom1_inj.U2!$A$1:$K$36,19,FALSE),0)</f>
        <v>0</v>
      </c>
      <c r="L1346">
        <f>IFERROR(HLOOKUP(L$2,[42]table_female_hkom1_inj.U2!$A$1:$K$36,19,FALSE),0)</f>
        <v>0</v>
      </c>
      <c r="M1346">
        <f t="shared" si="421"/>
        <v>0</v>
      </c>
      <c r="S1346" t="s">
        <v>87</v>
      </c>
      <c r="T1346" s="5">
        <f t="shared" si="423"/>
        <v>0</v>
      </c>
      <c r="U1346" s="5">
        <f t="shared" si="424"/>
        <v>0</v>
      </c>
      <c r="V1346" s="5">
        <f t="shared" si="425"/>
        <v>0</v>
      </c>
      <c r="W1346" s="5">
        <f t="shared" si="426"/>
        <v>0</v>
      </c>
      <c r="X1346" s="5">
        <f t="shared" si="427"/>
        <v>0</v>
      </c>
      <c r="Y1346" s="5">
        <f t="shared" si="428"/>
        <v>0</v>
      </c>
      <c r="Z1346" s="5">
        <f t="shared" si="429"/>
        <v>0</v>
      </c>
      <c r="AA1346" s="5">
        <f t="shared" si="430"/>
        <v>0</v>
      </c>
      <c r="AB1346" s="5">
        <f t="shared" si="420"/>
        <v>0</v>
      </c>
    </row>
    <row r="1347" spans="4:28" x14ac:dyDescent="0.25">
      <c r="D1347" t="s">
        <v>88</v>
      </c>
      <c r="E1347" s="64"/>
      <c r="F1347" s="64"/>
      <c r="G1347">
        <f>IFERROR(HLOOKUP(G$2,[42]table_female_hkom1_inj.U2!$A$1:$K$36,20,FALSE),0)</f>
        <v>1</v>
      </c>
      <c r="H1347">
        <f>IFERROR(HLOOKUP(H$2,[42]table_female_hkom1_inj.U2!$A$1:$K$36,20,FALSE),0)</f>
        <v>0</v>
      </c>
      <c r="I1347">
        <f>IFERROR(HLOOKUP(I$2,[42]table_female_hkom1_inj.U2!$A$1:$K$36,20,FALSE),0)</f>
        <v>0</v>
      </c>
      <c r="J1347">
        <f>IFERROR(HLOOKUP(J$2,[42]table_female_hkom1_inj.U2!$A$1:$K$36,20,FALSE),0)</f>
        <v>1</v>
      </c>
      <c r="K1347">
        <f>IFERROR(HLOOKUP(K$2,[42]table_female_hkom1_inj.U2!$A$1:$K$36,20,FALSE),0)</f>
        <v>0</v>
      </c>
      <c r="L1347">
        <f>IFERROR(HLOOKUP(L$2,[42]table_female_hkom1_inj.U2!$A$1:$K$36,20,FALSE),0)</f>
        <v>0</v>
      </c>
      <c r="M1347">
        <f t="shared" si="421"/>
        <v>2</v>
      </c>
      <c r="S1347" t="s">
        <v>88</v>
      </c>
      <c r="T1347" s="5">
        <f t="shared" si="423"/>
        <v>0</v>
      </c>
      <c r="U1347" s="5">
        <f t="shared" si="424"/>
        <v>0</v>
      </c>
      <c r="V1347" s="5">
        <f t="shared" si="425"/>
        <v>2.4000000000000004</v>
      </c>
      <c r="W1347" s="5">
        <f t="shared" si="426"/>
        <v>0</v>
      </c>
      <c r="X1347" s="5">
        <f t="shared" si="427"/>
        <v>0</v>
      </c>
      <c r="Y1347" s="5">
        <f t="shared" si="428"/>
        <v>2.25</v>
      </c>
      <c r="Z1347" s="5">
        <f t="shared" si="429"/>
        <v>0</v>
      </c>
      <c r="AA1347" s="5">
        <f t="shared" si="430"/>
        <v>0</v>
      </c>
      <c r="AB1347" s="5">
        <f t="shared" si="420"/>
        <v>4.6500000000000004</v>
      </c>
    </row>
    <row r="1348" spans="4:28" x14ac:dyDescent="0.25">
      <c r="D1348" t="s">
        <v>89</v>
      </c>
      <c r="E1348" s="64"/>
      <c r="F1348" s="64"/>
      <c r="G1348">
        <f>IFERROR(HLOOKUP(G$2,[42]table_female_hkom1_inj.U2!$A$1:$K$36,21,FALSE),0)</f>
        <v>0</v>
      </c>
      <c r="H1348">
        <f>IFERROR(HLOOKUP(H$2,[42]table_female_hkom1_inj.U2!$A$1:$K$36,21,FALSE),0)</f>
        <v>0</v>
      </c>
      <c r="I1348">
        <f>IFERROR(HLOOKUP(I$2,[42]table_female_hkom1_inj.U2!$A$1:$K$36,21,FALSE),0)</f>
        <v>2</v>
      </c>
      <c r="J1348">
        <f>IFERROR(HLOOKUP(J$2,[42]table_female_hkom1_inj.U2!$A$1:$K$36,21,FALSE),0)</f>
        <v>0</v>
      </c>
      <c r="K1348">
        <f>IFERROR(HLOOKUP(K$2,[42]table_female_hkom1_inj.U2!$A$1:$K$36,21,FALSE),0)</f>
        <v>0</v>
      </c>
      <c r="L1348">
        <f>IFERROR(HLOOKUP(L$2,[42]table_female_hkom1_inj.U2!$A$1:$K$36,21,FALSE),0)</f>
        <v>0</v>
      </c>
      <c r="M1348">
        <f t="shared" si="421"/>
        <v>2</v>
      </c>
      <c r="S1348" t="s">
        <v>89</v>
      </c>
      <c r="T1348" s="5">
        <f t="shared" si="423"/>
        <v>0</v>
      </c>
      <c r="U1348" s="5">
        <f t="shared" si="424"/>
        <v>0</v>
      </c>
      <c r="V1348" s="5">
        <f t="shared" si="425"/>
        <v>0</v>
      </c>
      <c r="W1348" s="5">
        <f t="shared" si="426"/>
        <v>0</v>
      </c>
      <c r="X1348" s="5">
        <f t="shared" si="427"/>
        <v>4.3478260869565215</v>
      </c>
      <c r="Y1348" s="5">
        <f t="shared" si="428"/>
        <v>0</v>
      </c>
      <c r="Z1348" s="5">
        <f t="shared" si="429"/>
        <v>0</v>
      </c>
      <c r="AA1348" s="5">
        <f t="shared" si="430"/>
        <v>0</v>
      </c>
      <c r="AB1348" s="5">
        <f t="shared" si="420"/>
        <v>4.3478260869565215</v>
      </c>
    </row>
    <row r="1349" spans="4:28" x14ac:dyDescent="0.25">
      <c r="D1349" t="s">
        <v>90</v>
      </c>
      <c r="E1349" s="64"/>
      <c r="F1349" s="64"/>
      <c r="G1349">
        <f>IFERROR(HLOOKUP(G$2,[42]table_female_hkom1_inj.U2!$A$1:$K$36,22,FALSE),0)</f>
        <v>0</v>
      </c>
      <c r="H1349">
        <f>IFERROR(HLOOKUP(H$2,[42]table_female_hkom1_inj.U2!$A$1:$K$36,22,FALSE),0)</f>
        <v>0</v>
      </c>
      <c r="I1349">
        <f>IFERROR(HLOOKUP(I$2,[42]table_female_hkom1_inj.U2!$A$1:$K$36,22,FALSE),0)</f>
        <v>0</v>
      </c>
      <c r="J1349">
        <f>IFERROR(HLOOKUP(J$2,[42]table_female_hkom1_inj.U2!$A$1:$K$36,22,FALSE),0)</f>
        <v>0</v>
      </c>
      <c r="K1349">
        <f>IFERROR(HLOOKUP(K$2,[42]table_female_hkom1_inj.U2!$A$1:$K$36,22,FALSE),0)</f>
        <v>0</v>
      </c>
      <c r="L1349">
        <f>IFERROR(HLOOKUP(L$2,[42]table_female_hkom1_inj.U2!$A$1:$K$36,22,FALSE),0)</f>
        <v>0</v>
      </c>
      <c r="M1349">
        <f t="shared" si="421"/>
        <v>0</v>
      </c>
      <c r="S1349" t="s">
        <v>90</v>
      </c>
      <c r="T1349" s="5">
        <f t="shared" si="423"/>
        <v>0</v>
      </c>
      <c r="U1349" s="5">
        <f t="shared" si="424"/>
        <v>0</v>
      </c>
      <c r="V1349" s="5">
        <f t="shared" si="425"/>
        <v>0</v>
      </c>
      <c r="W1349" s="5">
        <f t="shared" si="426"/>
        <v>0</v>
      </c>
      <c r="X1349" s="5">
        <f t="shared" si="427"/>
        <v>0</v>
      </c>
      <c r="Y1349" s="5">
        <f t="shared" si="428"/>
        <v>0</v>
      </c>
      <c r="Z1349" s="5">
        <f t="shared" si="429"/>
        <v>0</v>
      </c>
      <c r="AA1349" s="5">
        <f t="shared" si="430"/>
        <v>0</v>
      </c>
      <c r="AB1349" s="5">
        <f t="shared" si="420"/>
        <v>0</v>
      </c>
    </row>
    <row r="1350" spans="4:28" x14ac:dyDescent="0.25">
      <c r="D1350" t="s">
        <v>91</v>
      </c>
      <c r="E1350" s="64"/>
      <c r="F1350" s="64"/>
      <c r="G1350">
        <f>IFERROR(HLOOKUP(G$2,[42]table_female_hkom1_inj.U2!$A$1:$K$36,23,FALSE),0)</f>
        <v>0</v>
      </c>
      <c r="H1350">
        <f>IFERROR(HLOOKUP(H$2,[42]table_female_hkom1_inj.U2!$A$1:$K$36,23,FALSE),0)</f>
        <v>0</v>
      </c>
      <c r="I1350">
        <f>IFERROR(HLOOKUP(I$2,[42]table_female_hkom1_inj.U2!$A$1:$K$36,23,FALSE),0)</f>
        <v>0</v>
      </c>
      <c r="J1350">
        <f>IFERROR(HLOOKUP(J$2,[42]table_female_hkom1_inj.U2!$A$1:$K$36,23,FALSE),0)</f>
        <v>0</v>
      </c>
      <c r="K1350">
        <f>IFERROR(HLOOKUP(K$2,[42]table_female_hkom1_inj.U2!$A$1:$K$36,23,FALSE),0)</f>
        <v>0</v>
      </c>
      <c r="L1350">
        <f>IFERROR(HLOOKUP(L$2,[42]table_female_hkom1_inj.U2!$A$1:$K$36,23,FALSE),0)</f>
        <v>0</v>
      </c>
      <c r="M1350">
        <f t="shared" si="421"/>
        <v>0</v>
      </c>
      <c r="S1350" t="s">
        <v>91</v>
      </c>
      <c r="T1350" s="5">
        <f t="shared" si="423"/>
        <v>0</v>
      </c>
      <c r="U1350" s="5">
        <f t="shared" si="424"/>
        <v>0</v>
      </c>
      <c r="V1350" s="5">
        <f t="shared" si="425"/>
        <v>0</v>
      </c>
      <c r="W1350" s="5">
        <f t="shared" si="426"/>
        <v>0</v>
      </c>
      <c r="X1350" s="5">
        <f t="shared" si="427"/>
        <v>0</v>
      </c>
      <c r="Y1350" s="5">
        <f t="shared" si="428"/>
        <v>0</v>
      </c>
      <c r="Z1350" s="5">
        <f t="shared" si="429"/>
        <v>0</v>
      </c>
      <c r="AA1350" s="5">
        <f t="shared" si="430"/>
        <v>0</v>
      </c>
      <c r="AB1350" s="5">
        <f t="shared" si="420"/>
        <v>0</v>
      </c>
    </row>
    <row r="1351" spans="4:28" x14ac:dyDescent="0.25">
      <c r="D1351" t="s">
        <v>92</v>
      </c>
      <c r="E1351" s="64"/>
      <c r="F1351" s="64"/>
      <c r="G1351">
        <f>IFERROR(HLOOKUP(G$2,[42]table_female_hkom1_inj.U2!$A$1:$K$36,24,FALSE),0)</f>
        <v>0</v>
      </c>
      <c r="H1351">
        <f>IFERROR(HLOOKUP(H$2,[42]table_female_hkom1_inj.U2!$A$1:$K$36,24,FALSE),0)</f>
        <v>0</v>
      </c>
      <c r="I1351">
        <f>IFERROR(HLOOKUP(I$2,[42]table_female_hkom1_inj.U2!$A$1:$K$36,24,FALSE),0)</f>
        <v>0</v>
      </c>
      <c r="J1351">
        <f>IFERROR(HLOOKUP(J$2,[42]table_female_hkom1_inj.U2!$A$1:$K$36,24,FALSE),0)</f>
        <v>0</v>
      </c>
      <c r="K1351">
        <f>IFERROR(HLOOKUP(K$2,[42]table_female_hkom1_inj.U2!$A$1:$K$36,24,FALSE),0)</f>
        <v>0</v>
      </c>
      <c r="L1351">
        <f>IFERROR(HLOOKUP(L$2,[42]table_female_hkom1_inj.U2!$A$1:$K$36,24,FALSE),0)</f>
        <v>0</v>
      </c>
      <c r="M1351">
        <f t="shared" si="421"/>
        <v>0</v>
      </c>
      <c r="S1351" t="s">
        <v>92</v>
      </c>
      <c r="T1351" s="5">
        <f t="shared" si="423"/>
        <v>0</v>
      </c>
      <c r="U1351" s="5">
        <f t="shared" si="424"/>
        <v>0</v>
      </c>
      <c r="V1351" s="5">
        <f t="shared" si="425"/>
        <v>0</v>
      </c>
      <c r="W1351" s="5">
        <f t="shared" si="426"/>
        <v>0</v>
      </c>
      <c r="X1351" s="5">
        <f t="shared" si="427"/>
        <v>0</v>
      </c>
      <c r="Y1351" s="5">
        <f t="shared" si="428"/>
        <v>0</v>
      </c>
      <c r="Z1351" s="5">
        <f t="shared" si="429"/>
        <v>0</v>
      </c>
      <c r="AA1351" s="5">
        <f t="shared" si="430"/>
        <v>0</v>
      </c>
      <c r="AB1351" s="5">
        <f t="shared" si="420"/>
        <v>0</v>
      </c>
    </row>
    <row r="1352" spans="4:28" x14ac:dyDescent="0.25">
      <c r="D1352" t="s">
        <v>93</v>
      </c>
      <c r="E1352" s="64"/>
      <c r="F1352" s="64"/>
      <c r="G1352">
        <f>IFERROR(HLOOKUP(G$2,[42]table_female_hkom1_inj.U2!$A$1:$K$36,25,FALSE),0)</f>
        <v>0</v>
      </c>
      <c r="H1352">
        <f>IFERROR(HLOOKUP(H$2,[42]table_female_hkom1_inj.U2!$A$1:$K$36,25,FALSE),0)</f>
        <v>0</v>
      </c>
      <c r="I1352">
        <f>IFERROR(HLOOKUP(I$2,[42]table_female_hkom1_inj.U2!$A$1:$K$36,25,FALSE),0)</f>
        <v>0</v>
      </c>
      <c r="J1352">
        <f>IFERROR(HLOOKUP(J$2,[42]table_female_hkom1_inj.U2!$A$1:$K$36,25,FALSE),0)</f>
        <v>0</v>
      </c>
      <c r="K1352">
        <f>IFERROR(HLOOKUP(K$2,[42]table_female_hkom1_inj.U2!$A$1:$K$36,25,FALSE),0)</f>
        <v>0</v>
      </c>
      <c r="L1352">
        <f>IFERROR(HLOOKUP(L$2,[42]table_female_hkom1_inj.U2!$A$1:$K$36,25,FALSE),0)</f>
        <v>0</v>
      </c>
      <c r="M1352">
        <f t="shared" si="421"/>
        <v>0</v>
      </c>
      <c r="S1352" t="s">
        <v>93</v>
      </c>
      <c r="T1352" s="5">
        <f t="shared" si="423"/>
        <v>0</v>
      </c>
      <c r="U1352" s="5">
        <f t="shared" si="424"/>
        <v>0</v>
      </c>
      <c r="V1352" s="5">
        <f t="shared" si="425"/>
        <v>0</v>
      </c>
      <c r="W1352" s="5">
        <f t="shared" si="426"/>
        <v>0</v>
      </c>
      <c r="X1352" s="5">
        <f t="shared" si="427"/>
        <v>0</v>
      </c>
      <c r="Y1352" s="5">
        <f t="shared" si="428"/>
        <v>0</v>
      </c>
      <c r="Z1352" s="5">
        <f t="shared" si="429"/>
        <v>0</v>
      </c>
      <c r="AA1352" s="5">
        <f t="shared" si="430"/>
        <v>0</v>
      </c>
      <c r="AB1352" s="5">
        <f t="shared" si="420"/>
        <v>0</v>
      </c>
    </row>
    <row r="1353" spans="4:28" x14ac:dyDescent="0.25">
      <c r="D1353" t="s">
        <v>94</v>
      </c>
      <c r="E1353" s="64"/>
      <c r="F1353" s="64"/>
      <c r="G1353">
        <f>IFERROR(HLOOKUP(G$2,[42]table_female_hkom1_inj.U2!$A$1:$K$36,26,FALSE),0)</f>
        <v>0</v>
      </c>
      <c r="H1353">
        <f>IFERROR(HLOOKUP(H$2,[42]table_female_hkom1_inj.U2!$A$1:$K$36,26,FALSE),0)</f>
        <v>0</v>
      </c>
      <c r="I1353">
        <f>IFERROR(HLOOKUP(I$2,[42]table_female_hkom1_inj.U2!$A$1:$K$36,26,FALSE),0)</f>
        <v>0</v>
      </c>
      <c r="J1353">
        <f>IFERROR(HLOOKUP(J$2,[42]table_female_hkom1_inj.U2!$A$1:$K$36,26,FALSE),0)</f>
        <v>0</v>
      </c>
      <c r="K1353">
        <f>IFERROR(HLOOKUP(K$2,[42]table_female_hkom1_inj.U2!$A$1:$K$36,26,FALSE),0)</f>
        <v>0</v>
      </c>
      <c r="L1353">
        <f>IFERROR(HLOOKUP(L$2,[42]table_female_hkom1_inj.U2!$A$1:$K$36,26,FALSE),0)</f>
        <v>0</v>
      </c>
      <c r="M1353">
        <f t="shared" si="421"/>
        <v>0</v>
      </c>
      <c r="S1353" t="s">
        <v>94</v>
      </c>
      <c r="T1353" s="5">
        <f t="shared" si="423"/>
        <v>0</v>
      </c>
      <c r="U1353" s="5">
        <f t="shared" si="424"/>
        <v>0</v>
      </c>
      <c r="V1353" s="5">
        <f t="shared" si="425"/>
        <v>0</v>
      </c>
      <c r="W1353" s="5">
        <f t="shared" si="426"/>
        <v>0</v>
      </c>
      <c r="X1353" s="5">
        <f t="shared" si="427"/>
        <v>0</v>
      </c>
      <c r="Y1353" s="5">
        <f t="shared" si="428"/>
        <v>0</v>
      </c>
      <c r="Z1353" s="5">
        <f t="shared" si="429"/>
        <v>0</v>
      </c>
      <c r="AA1353" s="5">
        <f t="shared" si="430"/>
        <v>0</v>
      </c>
      <c r="AB1353" s="5">
        <f t="shared" si="420"/>
        <v>0</v>
      </c>
    </row>
    <row r="1354" spans="4:28" x14ac:dyDescent="0.25">
      <c r="D1354" t="s">
        <v>95</v>
      </c>
      <c r="E1354" s="64"/>
      <c r="F1354" s="64"/>
      <c r="G1354">
        <f>IFERROR(HLOOKUP(G$2,[42]table_female_hkom1_inj.U2!$A$1:$K$36,27,FALSE),0)</f>
        <v>0</v>
      </c>
      <c r="H1354">
        <f>IFERROR(HLOOKUP(H$2,[42]table_female_hkom1_inj.U2!$A$1:$K$36,27,FALSE),0)</f>
        <v>0</v>
      </c>
      <c r="I1354">
        <f>IFERROR(HLOOKUP(I$2,[42]table_female_hkom1_inj.U2!$A$1:$K$36,27,FALSE),0)</f>
        <v>0</v>
      </c>
      <c r="J1354">
        <f>IFERROR(HLOOKUP(J$2,[42]table_female_hkom1_inj.U2!$A$1:$K$36,27,FALSE),0)</f>
        <v>0</v>
      </c>
      <c r="K1354">
        <f>IFERROR(HLOOKUP(K$2,[42]table_female_hkom1_inj.U2!$A$1:$K$36,27,FALSE),0)</f>
        <v>0</v>
      </c>
      <c r="L1354">
        <f>IFERROR(HLOOKUP(L$2,[42]table_female_hkom1_inj.U2!$A$1:$K$36,27,FALSE),0)</f>
        <v>0</v>
      </c>
      <c r="M1354">
        <f t="shared" si="421"/>
        <v>0</v>
      </c>
      <c r="S1354" t="s">
        <v>95</v>
      </c>
      <c r="T1354" s="5">
        <f t="shared" si="423"/>
        <v>0</v>
      </c>
      <c r="U1354" s="5">
        <f t="shared" si="424"/>
        <v>0</v>
      </c>
      <c r="V1354" s="5">
        <f t="shared" si="425"/>
        <v>0</v>
      </c>
      <c r="W1354" s="5">
        <f t="shared" si="426"/>
        <v>0</v>
      </c>
      <c r="X1354" s="5">
        <f t="shared" si="427"/>
        <v>0</v>
      </c>
      <c r="Y1354" s="5">
        <f t="shared" si="428"/>
        <v>0</v>
      </c>
      <c r="Z1354" s="5">
        <f t="shared" si="429"/>
        <v>0</v>
      </c>
      <c r="AA1354" s="5">
        <f t="shared" si="430"/>
        <v>0</v>
      </c>
      <c r="AB1354" s="5">
        <f t="shared" si="420"/>
        <v>0</v>
      </c>
    </row>
    <row r="1355" spans="4:28" x14ac:dyDescent="0.25">
      <c r="D1355" t="s">
        <v>96</v>
      </c>
      <c r="E1355" s="64"/>
      <c r="F1355" s="64"/>
      <c r="G1355">
        <f>IFERROR(HLOOKUP(G$2,[42]table_female_hkom1_inj.U2!$A$1:$K$36,28,FALSE),0)</f>
        <v>0</v>
      </c>
      <c r="H1355">
        <f>IFERROR(HLOOKUP(H$2,[42]table_female_hkom1_inj.U2!$A$1:$K$36,28,FALSE),0)</f>
        <v>0</v>
      </c>
      <c r="I1355">
        <f>IFERROR(HLOOKUP(I$2,[42]table_female_hkom1_inj.U2!$A$1:$K$36,28,FALSE),0)</f>
        <v>0</v>
      </c>
      <c r="J1355">
        <f>IFERROR(HLOOKUP(J$2,[42]table_female_hkom1_inj.U2!$A$1:$K$36,28,FALSE),0)</f>
        <v>0</v>
      </c>
      <c r="K1355">
        <f>IFERROR(HLOOKUP(K$2,[42]table_female_hkom1_inj.U2!$A$1:$K$36,28,FALSE),0)</f>
        <v>0</v>
      </c>
      <c r="L1355">
        <f>IFERROR(HLOOKUP(L$2,[42]table_female_hkom1_inj.U2!$A$1:$K$36,28,FALSE),0)</f>
        <v>0</v>
      </c>
      <c r="M1355">
        <f t="shared" si="421"/>
        <v>0</v>
      </c>
      <c r="S1355" t="s">
        <v>96</v>
      </c>
      <c r="T1355" s="5">
        <f t="shared" si="423"/>
        <v>0</v>
      </c>
      <c r="U1355" s="5">
        <f t="shared" si="424"/>
        <v>0</v>
      </c>
      <c r="V1355" s="5">
        <f t="shared" si="425"/>
        <v>0</v>
      </c>
      <c r="W1355" s="5">
        <f t="shared" si="426"/>
        <v>0</v>
      </c>
      <c r="X1355" s="5">
        <f t="shared" si="427"/>
        <v>0</v>
      </c>
      <c r="Y1355" s="5">
        <f t="shared" si="428"/>
        <v>0</v>
      </c>
      <c r="Z1355" s="5">
        <f t="shared" si="429"/>
        <v>0</v>
      </c>
      <c r="AA1355" s="5">
        <f t="shared" si="430"/>
        <v>0</v>
      </c>
      <c r="AB1355" s="5">
        <f t="shared" si="420"/>
        <v>0</v>
      </c>
    </row>
    <row r="1356" spans="4:28" x14ac:dyDescent="0.25">
      <c r="D1356" t="s">
        <v>97</v>
      </c>
      <c r="E1356" s="64"/>
      <c r="F1356" s="64"/>
      <c r="G1356">
        <f>IFERROR(HLOOKUP(G$2,[42]table_female_hkom1_inj.U2!$A$1:$K$36,29,FALSE),0)</f>
        <v>0</v>
      </c>
      <c r="H1356">
        <f>IFERROR(HLOOKUP(H$2,[42]table_female_hkom1_inj.U2!$A$1:$K$36,29,FALSE),0)</f>
        <v>0</v>
      </c>
      <c r="I1356">
        <f>IFERROR(HLOOKUP(I$2,[42]table_female_hkom1_inj.U2!$A$1:$K$36,29,FALSE),0)</f>
        <v>0</v>
      </c>
      <c r="J1356">
        <f>IFERROR(HLOOKUP(J$2,[42]table_female_hkom1_inj.U2!$A$1:$K$36,29,FALSE),0)</f>
        <v>0</v>
      </c>
      <c r="K1356">
        <f>IFERROR(HLOOKUP(K$2,[42]table_female_hkom1_inj.U2!$A$1:$K$36,29,FALSE),0)</f>
        <v>0</v>
      </c>
      <c r="L1356">
        <f>IFERROR(HLOOKUP(L$2,[42]table_female_hkom1_inj.U2!$A$1:$K$36,29,FALSE),0)</f>
        <v>0</v>
      </c>
      <c r="M1356">
        <f t="shared" si="421"/>
        <v>0</v>
      </c>
      <c r="S1356" t="s">
        <v>97</v>
      </c>
      <c r="T1356" s="5">
        <f t="shared" si="423"/>
        <v>0</v>
      </c>
      <c r="U1356" s="5">
        <f t="shared" si="424"/>
        <v>0</v>
      </c>
      <c r="V1356" s="5">
        <f t="shared" si="425"/>
        <v>0</v>
      </c>
      <c r="W1356" s="5">
        <f t="shared" si="426"/>
        <v>0</v>
      </c>
      <c r="X1356" s="5">
        <f t="shared" si="427"/>
        <v>0</v>
      </c>
      <c r="Y1356" s="5">
        <f t="shared" si="428"/>
        <v>0</v>
      </c>
      <c r="Z1356" s="5">
        <f t="shared" si="429"/>
        <v>0</v>
      </c>
      <c r="AA1356" s="5">
        <f t="shared" si="430"/>
        <v>0</v>
      </c>
      <c r="AB1356" s="5">
        <f t="shared" si="420"/>
        <v>0</v>
      </c>
    </row>
    <row r="1357" spans="4:28" x14ac:dyDescent="0.25">
      <c r="D1357" t="s">
        <v>98</v>
      </c>
      <c r="E1357" s="64"/>
      <c r="F1357" s="64"/>
      <c r="G1357">
        <f>IFERROR(HLOOKUP(G$2,[42]table_female_hkom1_inj.U2!$A$1:$K$36,30,FALSE),0)</f>
        <v>1</v>
      </c>
      <c r="H1357">
        <f>IFERROR(HLOOKUP(H$2,[42]table_female_hkom1_inj.U2!$A$1:$K$36,30,FALSE),0)</f>
        <v>0</v>
      </c>
      <c r="I1357">
        <f>IFERROR(HLOOKUP(I$2,[42]table_female_hkom1_inj.U2!$A$1:$K$36,30,FALSE),0)</f>
        <v>1</v>
      </c>
      <c r="J1357">
        <f>IFERROR(HLOOKUP(J$2,[42]table_female_hkom1_inj.U2!$A$1:$K$36,30,FALSE),0)</f>
        <v>0</v>
      </c>
      <c r="K1357">
        <f>IFERROR(HLOOKUP(K$2,[42]table_female_hkom1_inj.U2!$A$1:$K$36,30,FALSE),0)</f>
        <v>0</v>
      </c>
      <c r="L1357">
        <f>IFERROR(HLOOKUP(L$2,[42]table_female_hkom1_inj.U2!$A$1:$K$36,30,FALSE),0)</f>
        <v>0</v>
      </c>
      <c r="M1357">
        <f t="shared" si="421"/>
        <v>2</v>
      </c>
      <c r="S1357" t="s">
        <v>98</v>
      </c>
      <c r="T1357" s="5">
        <f t="shared" si="423"/>
        <v>0</v>
      </c>
      <c r="U1357" s="5">
        <f t="shared" si="424"/>
        <v>0</v>
      </c>
      <c r="V1357" s="5">
        <f t="shared" si="425"/>
        <v>2.4000000000000004</v>
      </c>
      <c r="W1357" s="5">
        <f t="shared" si="426"/>
        <v>0</v>
      </c>
      <c r="X1357" s="5">
        <f t="shared" si="427"/>
        <v>2.1739130434782608</v>
      </c>
      <c r="Y1357" s="5">
        <f t="shared" si="428"/>
        <v>0</v>
      </c>
      <c r="Z1357" s="5">
        <f t="shared" si="429"/>
        <v>0</v>
      </c>
      <c r="AA1357" s="5">
        <f t="shared" si="430"/>
        <v>0</v>
      </c>
      <c r="AB1357" s="5">
        <f t="shared" si="420"/>
        <v>4.5739130434782611</v>
      </c>
    </row>
    <row r="1358" spans="4:28" x14ac:dyDescent="0.25">
      <c r="D1358" t="s">
        <v>119</v>
      </c>
      <c r="E1358" s="64"/>
      <c r="F1358" s="64"/>
      <c r="G1358">
        <f>IFERROR(HLOOKUP(G$2,[42]table_female_hkom1_inj.U2!$A$1:$K$36,31,FALSE),0)</f>
        <v>0</v>
      </c>
      <c r="H1358">
        <f>IFERROR(HLOOKUP(H$2,[42]table_female_hkom1_inj.U2!$A$1:$K$36,31,FALSE),0)</f>
        <v>0</v>
      </c>
      <c r="I1358">
        <f>IFERROR(HLOOKUP(I$2,[42]table_female_hkom1_inj.U2!$A$1:$K$36,31,FALSE),0)</f>
        <v>0</v>
      </c>
      <c r="J1358">
        <f>IFERROR(HLOOKUP(J$2,[42]table_female_hkom1_inj.U2!$A$1:$K$36,31,FALSE),0)</f>
        <v>0</v>
      </c>
      <c r="K1358">
        <f>IFERROR(HLOOKUP(K$2,[42]table_female_hkom1_inj.U2!$A$1:$K$36,31,FALSE),0)</f>
        <v>0</v>
      </c>
      <c r="L1358">
        <f>IFERROR(HLOOKUP(L$2,[42]table_female_hkom1_inj.U2!$A$1:$K$36,31,FALSE),0)</f>
        <v>0</v>
      </c>
      <c r="M1358">
        <f t="shared" si="421"/>
        <v>0</v>
      </c>
      <c r="S1358" t="s">
        <v>119</v>
      </c>
      <c r="T1358" s="5">
        <f t="shared" si="423"/>
        <v>0</v>
      </c>
      <c r="U1358" s="5">
        <f t="shared" si="424"/>
        <v>0</v>
      </c>
      <c r="V1358" s="5">
        <f t="shared" si="425"/>
        <v>0</v>
      </c>
      <c r="W1358" s="5">
        <f t="shared" si="426"/>
        <v>0</v>
      </c>
      <c r="X1358" s="5">
        <f t="shared" si="427"/>
        <v>0</v>
      </c>
      <c r="Y1358" s="5">
        <f t="shared" si="428"/>
        <v>0</v>
      </c>
      <c r="Z1358" s="5">
        <f t="shared" si="429"/>
        <v>0</v>
      </c>
      <c r="AA1358" s="5">
        <f t="shared" si="430"/>
        <v>0</v>
      </c>
      <c r="AB1358" s="5">
        <f t="shared" si="420"/>
        <v>0</v>
      </c>
    </row>
    <row r="1359" spans="4:28" x14ac:dyDescent="0.25">
      <c r="D1359" t="s">
        <v>99</v>
      </c>
      <c r="E1359" s="64"/>
      <c r="F1359" s="64"/>
      <c r="G1359">
        <f>IFERROR(HLOOKUP(G$2,[42]table_female_hkom1_inj.U2!$A$1:$K$36,32,FALSE),0)</f>
        <v>0</v>
      </c>
      <c r="H1359">
        <f>IFERROR(HLOOKUP(H$2,[42]table_female_hkom1_inj.U2!$A$1:$K$36,32,FALSE),0)</f>
        <v>0</v>
      </c>
      <c r="I1359">
        <f>IFERROR(HLOOKUP(I$2,[42]table_female_hkom1_inj.U2!$A$1:$K$36,32,FALSE),0)</f>
        <v>0</v>
      </c>
      <c r="J1359">
        <f>IFERROR(HLOOKUP(J$2,[42]table_female_hkom1_inj.U2!$A$1:$K$36,32,FALSE),0)</f>
        <v>0</v>
      </c>
      <c r="K1359">
        <f>IFERROR(HLOOKUP(K$2,[42]table_female_hkom1_inj.U2!$A$1:$K$36,32,FALSE),0)</f>
        <v>0</v>
      </c>
      <c r="L1359">
        <f>IFERROR(HLOOKUP(L$2,[42]table_female_hkom1_inj.U2!$A$1:$K$36,32,FALSE),0)</f>
        <v>0</v>
      </c>
      <c r="M1359">
        <f t="shared" si="421"/>
        <v>0</v>
      </c>
      <c r="S1359" t="s">
        <v>99</v>
      </c>
      <c r="T1359" s="5">
        <f t="shared" si="423"/>
        <v>0</v>
      </c>
      <c r="U1359" s="5">
        <f t="shared" si="424"/>
        <v>0</v>
      </c>
      <c r="V1359" s="5">
        <f t="shared" si="425"/>
        <v>0</v>
      </c>
      <c r="W1359" s="5">
        <f t="shared" si="426"/>
        <v>0</v>
      </c>
      <c r="X1359" s="5">
        <f t="shared" si="427"/>
        <v>0</v>
      </c>
      <c r="Y1359" s="5">
        <f t="shared" si="428"/>
        <v>0</v>
      </c>
      <c r="Z1359" s="5">
        <f t="shared" si="429"/>
        <v>0</v>
      </c>
      <c r="AA1359" s="5">
        <f t="shared" si="430"/>
        <v>0</v>
      </c>
      <c r="AB1359" s="5">
        <f t="shared" si="420"/>
        <v>0</v>
      </c>
    </row>
    <row r="1360" spans="4:28" x14ac:dyDescent="0.25">
      <c r="D1360" t="s">
        <v>100</v>
      </c>
      <c r="E1360" s="64"/>
      <c r="F1360" s="64"/>
      <c r="G1360">
        <f>IFERROR(HLOOKUP(G$2,[42]table_female_hkom1_inj.U2!$A$1:$K$36,33,FALSE),0)</f>
        <v>73</v>
      </c>
      <c r="H1360">
        <f>IFERROR(HLOOKUP(H$2,[42]table_female_hkom1_inj.U2!$A$1:$K$36,33,FALSE),0)</f>
        <v>104</v>
      </c>
      <c r="I1360">
        <f>IFERROR(HLOOKUP(I$2,[42]table_female_hkom1_inj.U2!$A$1:$K$36,33,FALSE),0)</f>
        <v>43</v>
      </c>
      <c r="J1360">
        <f>IFERROR(HLOOKUP(J$2,[42]table_female_hkom1_inj.U2!$A$1:$K$36,33,FALSE),0)</f>
        <v>3</v>
      </c>
      <c r="K1360">
        <f>IFERROR(HLOOKUP(K$2,[42]table_female_hkom1_inj.U2!$A$1:$K$36,33,FALSE),0)</f>
        <v>0</v>
      </c>
      <c r="L1360">
        <f>IFERROR(HLOOKUP(L$2,[42]table_female_hkom1_inj.U2!$A$1:$K$36,33,FALSE),0)</f>
        <v>0</v>
      </c>
      <c r="M1360">
        <f t="shared" si="421"/>
        <v>223</v>
      </c>
      <c r="S1360" t="s">
        <v>100</v>
      </c>
      <c r="T1360" s="5">
        <f t="shared" si="423"/>
        <v>0</v>
      </c>
      <c r="U1360" s="5">
        <f t="shared" si="424"/>
        <v>0</v>
      </c>
      <c r="V1360" s="5">
        <f t="shared" si="425"/>
        <v>175.2</v>
      </c>
      <c r="W1360" s="5">
        <f t="shared" si="426"/>
        <v>238</v>
      </c>
      <c r="X1360" s="5">
        <f t="shared" si="427"/>
        <v>93.478260869565219</v>
      </c>
      <c r="Y1360" s="5">
        <f t="shared" si="428"/>
        <v>6.75</v>
      </c>
      <c r="Z1360" s="5">
        <f t="shared" si="429"/>
        <v>0</v>
      </c>
      <c r="AA1360" s="5">
        <f t="shared" si="430"/>
        <v>0</v>
      </c>
      <c r="AB1360" s="5">
        <f t="shared" si="420"/>
        <v>513.42826086956518</v>
      </c>
    </row>
    <row r="1361" spans="1:29" x14ac:dyDescent="0.25">
      <c r="D1361" t="s">
        <v>101</v>
      </c>
      <c r="E1361" s="64"/>
      <c r="F1361" s="64"/>
      <c r="G1361">
        <f>IFERROR(HLOOKUP(G$2,[42]table_female_hkom1_inj.U2!$A$1:$K$36,34,FALSE),0)</f>
        <v>0</v>
      </c>
      <c r="H1361">
        <f>IFERROR(HLOOKUP(H$2,[42]table_female_hkom1_inj.U2!$A$1:$K$36,34,FALSE),0)</f>
        <v>0</v>
      </c>
      <c r="I1361">
        <f>IFERROR(HLOOKUP(I$2,[42]table_female_hkom1_inj.U2!$A$1:$K$36,34,FALSE),0)</f>
        <v>0</v>
      </c>
      <c r="J1361">
        <f>IFERROR(HLOOKUP(J$2,[42]table_female_hkom1_inj.U2!$A$1:$K$36,34,FALSE),0)</f>
        <v>0</v>
      </c>
      <c r="K1361">
        <f>IFERROR(HLOOKUP(K$2,[42]table_female_hkom1_inj.U2!$A$1:$K$36,34,FALSE),0)</f>
        <v>0</v>
      </c>
      <c r="L1361">
        <f>IFERROR(HLOOKUP(L$2,[42]table_female_hkom1_inj.U2!$A$1:$K$36,34,FALSE),0)</f>
        <v>0</v>
      </c>
      <c r="M1361">
        <f t="shared" si="421"/>
        <v>0</v>
      </c>
      <c r="S1361" t="s">
        <v>101</v>
      </c>
      <c r="T1361" s="5">
        <f t="shared" si="423"/>
        <v>0</v>
      </c>
      <c r="U1361" s="5">
        <f t="shared" si="424"/>
        <v>0</v>
      </c>
      <c r="V1361" s="5">
        <f t="shared" si="425"/>
        <v>0</v>
      </c>
      <c r="W1361" s="5">
        <f t="shared" si="426"/>
        <v>0</v>
      </c>
      <c r="X1361" s="5">
        <f t="shared" si="427"/>
        <v>0</v>
      </c>
      <c r="Y1361" s="5">
        <f t="shared" si="428"/>
        <v>0</v>
      </c>
      <c r="Z1361" s="5">
        <f t="shared" si="429"/>
        <v>0</v>
      </c>
      <c r="AA1361" s="5">
        <f t="shared" si="430"/>
        <v>0</v>
      </c>
      <c r="AB1361" s="5">
        <f t="shared" si="420"/>
        <v>0</v>
      </c>
    </row>
    <row r="1362" spans="1:29" x14ac:dyDescent="0.25">
      <c r="D1362" t="s">
        <v>102</v>
      </c>
      <c r="E1362" s="64"/>
      <c r="F1362" s="64"/>
      <c r="G1362">
        <f>IFERROR(HLOOKUP(G$2,[42]table_female_hkom1_inj.U2!$A$1:$K$36,35,FALSE),0)</f>
        <v>105</v>
      </c>
      <c r="H1362">
        <f>IFERROR(HLOOKUP(H$2,[42]table_female_hkom1_inj.U2!$A$1:$K$36,35,FALSE),0)</f>
        <v>134</v>
      </c>
      <c r="I1362">
        <f>IFERROR(HLOOKUP(I$2,[42]table_female_hkom1_inj.U2!$A$1:$K$36,35,FALSE),0)</f>
        <v>54</v>
      </c>
      <c r="J1362">
        <f>IFERROR(HLOOKUP(J$2,[42]table_female_hkom1_inj.U2!$A$1:$K$36,35,FALSE),0)</f>
        <v>5</v>
      </c>
      <c r="K1362">
        <f>IFERROR(HLOOKUP(K$2,[42]table_female_hkom1_inj.U2!$A$1:$K$36,35,FALSE),0)</f>
        <v>0</v>
      </c>
      <c r="L1362">
        <f>IFERROR(HLOOKUP(L$2,[42]table_female_hkom1_inj.U2!$A$1:$K$36,35,FALSE),0)</f>
        <v>0</v>
      </c>
      <c r="M1362">
        <f t="shared" si="421"/>
        <v>298</v>
      </c>
      <c r="N1362">
        <f>SUM(M1329:M1362)</f>
        <v>527</v>
      </c>
      <c r="O1362" s="8">
        <f>SUM([42]table_female_hkom1_inj.U2!$B$2:$L$37)</f>
        <v>527</v>
      </c>
      <c r="S1362" t="s">
        <v>102</v>
      </c>
      <c r="T1362" s="7"/>
      <c r="U1362" s="7"/>
      <c r="V1362" s="7"/>
      <c r="W1362" s="7"/>
      <c r="X1362" s="7"/>
      <c r="Y1362" s="7"/>
      <c r="Z1362" s="7"/>
      <c r="AA1362" s="7"/>
      <c r="AB1362" s="5">
        <f t="shared" si="420"/>
        <v>0</v>
      </c>
      <c r="AC1362" s="5">
        <f>SUM(AB1329:AB1361)</f>
        <v>527</v>
      </c>
    </row>
    <row r="1363" spans="1:29" x14ac:dyDescent="0.25">
      <c r="A1363" t="s">
        <v>115</v>
      </c>
      <c r="B1363" t="s">
        <v>103</v>
      </c>
      <c r="C1363" t="s">
        <v>111</v>
      </c>
      <c r="D1363" t="s">
        <v>70</v>
      </c>
      <c r="E1363" s="64"/>
      <c r="F1363" s="64"/>
      <c r="G1363">
        <f>IFERROR(HLOOKUP(G$2,[43]table_female_hkom1_inj.U3!$A$1:$K$36,2,FALSE),0)</f>
        <v>0</v>
      </c>
      <c r="H1363">
        <f>IFERROR(HLOOKUP(H$2,[43]table_female_hkom1_inj.U3!$A$1:$K$36,2,FALSE),0)</f>
        <v>2</v>
      </c>
      <c r="I1363">
        <f>IFERROR(HLOOKUP(I$2,[43]table_female_hkom1_inj.U3!$A$1:$K$36,2,FALSE),0)</f>
        <v>1</v>
      </c>
      <c r="J1363">
        <f>IFERROR(HLOOKUP(J$2,[43]table_female_hkom1_inj.U3!$A$1:$K$36,2,FALSE),0)</f>
        <v>0</v>
      </c>
      <c r="K1363">
        <f>IFERROR(HLOOKUP(K$2,[43]table_female_hkom1_inj.U3!$A$1:$K$36,2,FALSE),0)</f>
        <v>0</v>
      </c>
      <c r="L1363">
        <f>IFERROR(HLOOKUP(L$2,[43]table_female_hkom1_inj.U3!$A$1:$K$36,2,FALSE),0)</f>
        <v>0</v>
      </c>
      <c r="M1363">
        <f t="shared" si="421"/>
        <v>3</v>
      </c>
      <c r="P1363" t="s">
        <v>115</v>
      </c>
      <c r="Q1363" t="s">
        <v>103</v>
      </c>
      <c r="R1363" t="s">
        <v>111</v>
      </c>
      <c r="S1363" t="s">
        <v>70</v>
      </c>
      <c r="T1363" s="5">
        <f>IF(SUM(E$1363:E$1395)=0,E$1396/33,E1363+IFERROR(E1363/SUM(E$1363:E$1395)*E$1396,0))</f>
        <v>0</v>
      </c>
      <c r="U1363" s="5">
        <f t="shared" ref="U1363:AA1363" si="431">IF(SUM(F$1363:F$1395)=0,F$1396/33,F1363+IFERROR(F1363/SUM(F$1363:F$1395)*F$1396,0))</f>
        <v>0</v>
      </c>
      <c r="V1363" s="5">
        <f t="shared" si="431"/>
        <v>0</v>
      </c>
      <c r="W1363" s="5">
        <f t="shared" si="431"/>
        <v>2.3471400394477318</v>
      </c>
      <c r="X1363" s="5">
        <f t="shared" si="431"/>
        <v>1.1342592592592593</v>
      </c>
      <c r="Y1363" s="5">
        <f t="shared" si="431"/>
        <v>0</v>
      </c>
      <c r="Z1363" s="5">
        <f t="shared" si="431"/>
        <v>0</v>
      </c>
      <c r="AA1363" s="5">
        <f t="shared" si="431"/>
        <v>0</v>
      </c>
      <c r="AB1363" s="5">
        <f t="shared" si="420"/>
        <v>3.4813992987069913</v>
      </c>
    </row>
    <row r="1364" spans="1:29" x14ac:dyDescent="0.25">
      <c r="D1364" t="s">
        <v>71</v>
      </c>
      <c r="E1364" s="64"/>
      <c r="F1364" s="64"/>
      <c r="G1364">
        <f>IFERROR(HLOOKUP(G$2,[43]table_female_hkom1_inj.U3!$A$1:$K$36,3,FALSE),0)</f>
        <v>15</v>
      </c>
      <c r="H1364">
        <f>IFERROR(HLOOKUP(H$2,[43]table_female_hkom1_inj.U3!$A$1:$K$36,3,FALSE),0)</f>
        <v>13</v>
      </c>
      <c r="I1364">
        <f>IFERROR(HLOOKUP(I$2,[43]table_female_hkom1_inj.U3!$A$1:$K$36,3,FALSE),0)</f>
        <v>8</v>
      </c>
      <c r="J1364">
        <f>IFERROR(HLOOKUP(J$2,[43]table_female_hkom1_inj.U3!$A$1:$K$36,3,FALSE),0)</f>
        <v>1</v>
      </c>
      <c r="K1364">
        <f>IFERROR(HLOOKUP(K$2,[43]table_female_hkom1_inj.U3!$A$1:$K$36,3,FALSE),0)</f>
        <v>0</v>
      </c>
      <c r="L1364">
        <f>IFERROR(HLOOKUP(L$2,[43]table_female_hkom1_inj.U3!$A$1:$K$36,3,FALSE),0)</f>
        <v>0</v>
      </c>
      <c r="M1364">
        <f t="shared" si="421"/>
        <v>37</v>
      </c>
      <c r="S1364" t="s">
        <v>71</v>
      </c>
      <c r="T1364" s="5">
        <f t="shared" ref="T1364:T1395" si="432">IF(SUM(E$1363:E$1395)=0,E$1396/33,E1364+IFERROR(E1364/SUM(E$1363:E$1395)*E$1396,0))</f>
        <v>0</v>
      </c>
      <c r="U1364" s="5">
        <f t="shared" ref="U1364:U1395" si="433">IF(SUM(F$1363:F$1395)=0,F$1396/33,F1364+IFERROR(F1364/SUM(F$1363:F$1395)*F$1396,0))</f>
        <v>0</v>
      </c>
      <c r="V1364" s="5">
        <f t="shared" ref="V1364:V1395" si="434">IF(SUM(G$1363:G$1395)=0,G$1396/33,G1364+IFERROR(G1364/SUM(G$1363:G$1395)*G$1396,0))</f>
        <v>19.058823529411764</v>
      </c>
      <c r="W1364" s="5">
        <f t="shared" ref="W1364:W1395" si="435">IF(SUM(H$1363:H$1395)=0,H$1396/33,H1364+IFERROR(H1364/SUM(H$1363:H$1395)*H$1396,0))</f>
        <v>15.256410256410255</v>
      </c>
      <c r="X1364" s="5">
        <f t="shared" ref="X1364:X1395" si="436">IF(SUM(I$1363:I$1395)=0,I$1396/33,I1364+IFERROR(I1364/SUM(I$1363:I$1395)*I$1396,0))</f>
        <v>9.0740740740740744</v>
      </c>
      <c r="Y1364" s="5">
        <f t="shared" ref="Y1364:Y1395" si="437">IF(SUM(J$1363:J$1395)=0,J$1396/33,J1364+IFERROR(J1364/SUM(J$1363:J$1395)*J$1396,0))</f>
        <v>1.1200000000000001</v>
      </c>
      <c r="Z1364" s="5">
        <f t="shared" ref="Z1364:Z1395" si="438">IF(SUM(K$1363:K$1395)=0,K$1396/33,K1364+IFERROR(K1364/SUM(K$1363:K$1395)*K$1396,0))</f>
        <v>0</v>
      </c>
      <c r="AA1364" s="5">
        <f t="shared" ref="AA1364:AA1395" si="439">IF(SUM(L$1363:L$1395)=0,L$1396/33,L1364+IFERROR(L1364/SUM(L$1363:L$1395)*L$1396,0))</f>
        <v>0</v>
      </c>
      <c r="AB1364" s="5">
        <f t="shared" ref="AB1364:AB1427" si="440">SUM(T1364:AA1364)</f>
        <v>44.50930785989609</v>
      </c>
    </row>
    <row r="1365" spans="1:29" x14ac:dyDescent="0.25">
      <c r="D1365" t="s">
        <v>72</v>
      </c>
      <c r="E1365" s="64"/>
      <c r="F1365" s="64"/>
      <c r="G1365">
        <f>IFERROR(HLOOKUP(G$2,[43]table_female_hkom1_inj.U3!$A$1:$K$36,4,FALSE),0)</f>
        <v>13</v>
      </c>
      <c r="H1365">
        <f>IFERROR(HLOOKUP(H$2,[43]table_female_hkom1_inj.U3!$A$1:$K$36,4,FALSE),0)</f>
        <v>38</v>
      </c>
      <c r="I1365">
        <f>IFERROR(HLOOKUP(I$2,[43]table_female_hkom1_inj.U3!$A$1:$K$36,4,FALSE),0)</f>
        <v>29</v>
      </c>
      <c r="J1365">
        <f>IFERROR(HLOOKUP(J$2,[43]table_female_hkom1_inj.U3!$A$1:$K$36,4,FALSE),0)</f>
        <v>4</v>
      </c>
      <c r="K1365">
        <f>IFERROR(HLOOKUP(K$2,[43]table_female_hkom1_inj.U3!$A$1:$K$36,4,FALSE),0)</f>
        <v>1</v>
      </c>
      <c r="L1365">
        <f>IFERROR(HLOOKUP(L$2,[43]table_female_hkom1_inj.U3!$A$1:$K$36,4,FALSE),0)</f>
        <v>0</v>
      </c>
      <c r="M1365">
        <f t="shared" si="421"/>
        <v>85</v>
      </c>
      <c r="S1365" t="s">
        <v>72</v>
      </c>
      <c r="T1365" s="5">
        <f t="shared" si="432"/>
        <v>0</v>
      </c>
      <c r="U1365" s="5">
        <f t="shared" si="433"/>
        <v>0</v>
      </c>
      <c r="V1365" s="5">
        <f t="shared" si="434"/>
        <v>16.517647058823528</v>
      </c>
      <c r="W1365" s="5">
        <f t="shared" si="435"/>
        <v>44.595660749506905</v>
      </c>
      <c r="X1365" s="5">
        <f t="shared" si="436"/>
        <v>32.893518518518519</v>
      </c>
      <c r="Y1365" s="5">
        <f t="shared" si="437"/>
        <v>4.4800000000000004</v>
      </c>
      <c r="Z1365" s="5">
        <f t="shared" si="438"/>
        <v>1.0555555555555556</v>
      </c>
      <c r="AA1365" s="5">
        <f t="shared" si="439"/>
        <v>0</v>
      </c>
      <c r="AB1365" s="5">
        <f t="shared" si="440"/>
        <v>99.542381882404513</v>
      </c>
    </row>
    <row r="1366" spans="1:29" x14ac:dyDescent="0.25">
      <c r="D1366" t="s">
        <v>73</v>
      </c>
      <c r="E1366" s="64"/>
      <c r="F1366" s="64"/>
      <c r="G1366">
        <f>IFERROR(HLOOKUP(G$2,[43]table_female_hkom1_inj.U3!$A$1:$K$36,5,FALSE),0)</f>
        <v>4</v>
      </c>
      <c r="H1366">
        <f>IFERROR(HLOOKUP(H$2,[43]table_female_hkom1_inj.U3!$A$1:$K$36,5,FALSE),0)</f>
        <v>4</v>
      </c>
      <c r="I1366">
        <f>IFERROR(HLOOKUP(I$2,[43]table_female_hkom1_inj.U3!$A$1:$K$36,5,FALSE),0)</f>
        <v>3</v>
      </c>
      <c r="J1366">
        <f>IFERROR(HLOOKUP(J$2,[43]table_female_hkom1_inj.U3!$A$1:$K$36,5,FALSE),0)</f>
        <v>0</v>
      </c>
      <c r="K1366">
        <f>IFERROR(HLOOKUP(K$2,[43]table_female_hkom1_inj.U3!$A$1:$K$36,5,FALSE),0)</f>
        <v>0</v>
      </c>
      <c r="L1366">
        <f>IFERROR(HLOOKUP(L$2,[43]table_female_hkom1_inj.U3!$A$1:$K$36,5,FALSE),0)</f>
        <v>0</v>
      </c>
      <c r="M1366">
        <f t="shared" si="421"/>
        <v>11</v>
      </c>
      <c r="S1366" t="s">
        <v>73</v>
      </c>
      <c r="T1366" s="5">
        <f t="shared" si="432"/>
        <v>0</v>
      </c>
      <c r="U1366" s="5">
        <f t="shared" si="433"/>
        <v>0</v>
      </c>
      <c r="V1366" s="5">
        <f t="shared" si="434"/>
        <v>5.0823529411764703</v>
      </c>
      <c r="W1366" s="5">
        <f t="shared" si="435"/>
        <v>4.6942800788954635</v>
      </c>
      <c r="X1366" s="5">
        <f t="shared" si="436"/>
        <v>3.4027777777777777</v>
      </c>
      <c r="Y1366" s="5">
        <f t="shared" si="437"/>
        <v>0</v>
      </c>
      <c r="Z1366" s="5">
        <f t="shared" si="438"/>
        <v>0</v>
      </c>
      <c r="AA1366" s="5">
        <f t="shared" si="439"/>
        <v>0</v>
      </c>
      <c r="AB1366" s="5">
        <f t="shared" si="440"/>
        <v>13.179410797849712</v>
      </c>
    </row>
    <row r="1367" spans="1:29" x14ac:dyDescent="0.25">
      <c r="D1367" t="s">
        <v>74</v>
      </c>
      <c r="E1367" s="64"/>
      <c r="F1367" s="64"/>
      <c r="G1367">
        <f>IFERROR(HLOOKUP(G$2,[43]table_female_hkom1_inj.U3!$A$1:$K$36,6,FALSE),0)</f>
        <v>0</v>
      </c>
      <c r="H1367">
        <f>IFERROR(HLOOKUP(H$2,[43]table_female_hkom1_inj.U3!$A$1:$K$36,6,FALSE),0)</f>
        <v>8</v>
      </c>
      <c r="I1367">
        <f>IFERROR(HLOOKUP(I$2,[43]table_female_hkom1_inj.U3!$A$1:$K$36,6,FALSE),0)</f>
        <v>7</v>
      </c>
      <c r="J1367">
        <f>IFERROR(HLOOKUP(J$2,[43]table_female_hkom1_inj.U3!$A$1:$K$36,6,FALSE),0)</f>
        <v>0</v>
      </c>
      <c r="K1367">
        <f>IFERROR(HLOOKUP(K$2,[43]table_female_hkom1_inj.U3!$A$1:$K$36,6,FALSE),0)</f>
        <v>0</v>
      </c>
      <c r="L1367">
        <f>IFERROR(HLOOKUP(L$2,[43]table_female_hkom1_inj.U3!$A$1:$K$36,6,FALSE),0)</f>
        <v>0</v>
      </c>
      <c r="M1367">
        <f t="shared" si="421"/>
        <v>15</v>
      </c>
      <c r="S1367" t="s">
        <v>74</v>
      </c>
      <c r="T1367" s="5">
        <f t="shared" si="432"/>
        <v>0</v>
      </c>
      <c r="U1367" s="5">
        <f t="shared" si="433"/>
        <v>0</v>
      </c>
      <c r="V1367" s="5">
        <f t="shared" si="434"/>
        <v>0</v>
      </c>
      <c r="W1367" s="5">
        <f t="shared" si="435"/>
        <v>9.388560157790927</v>
      </c>
      <c r="X1367" s="5">
        <f t="shared" si="436"/>
        <v>7.9398148148148149</v>
      </c>
      <c r="Y1367" s="5">
        <f t="shared" si="437"/>
        <v>0</v>
      </c>
      <c r="Z1367" s="5">
        <f t="shared" si="438"/>
        <v>0</v>
      </c>
      <c r="AA1367" s="5">
        <f t="shared" si="439"/>
        <v>0</v>
      </c>
      <c r="AB1367" s="5">
        <f t="shared" si="440"/>
        <v>17.328374972605744</v>
      </c>
    </row>
    <row r="1368" spans="1:29" x14ac:dyDescent="0.25">
      <c r="D1368" t="s">
        <v>75</v>
      </c>
      <c r="E1368" s="64"/>
      <c r="F1368" s="64"/>
      <c r="G1368">
        <f>IFERROR(HLOOKUP(G$2,[43]table_female_hkom1_inj.U3!$A$1:$K$36,7,FALSE),0)</f>
        <v>6</v>
      </c>
      <c r="H1368">
        <f>IFERROR(HLOOKUP(H$2,[43]table_female_hkom1_inj.U3!$A$1:$K$36,7,FALSE),0)</f>
        <v>3</v>
      </c>
      <c r="I1368">
        <f>IFERROR(HLOOKUP(I$2,[43]table_female_hkom1_inj.U3!$A$1:$K$36,7,FALSE),0)</f>
        <v>4</v>
      </c>
      <c r="J1368">
        <f>IFERROR(HLOOKUP(J$2,[43]table_female_hkom1_inj.U3!$A$1:$K$36,7,FALSE),0)</f>
        <v>1</v>
      </c>
      <c r="K1368">
        <f>IFERROR(HLOOKUP(K$2,[43]table_female_hkom1_inj.U3!$A$1:$K$36,7,FALSE),0)</f>
        <v>2</v>
      </c>
      <c r="L1368">
        <f>IFERROR(HLOOKUP(L$2,[43]table_female_hkom1_inj.U3!$A$1:$K$36,7,FALSE),0)</f>
        <v>0</v>
      </c>
      <c r="M1368">
        <f t="shared" si="421"/>
        <v>16</v>
      </c>
      <c r="S1368" t="s">
        <v>75</v>
      </c>
      <c r="T1368" s="5">
        <f t="shared" si="432"/>
        <v>0</v>
      </c>
      <c r="U1368" s="5">
        <f t="shared" si="433"/>
        <v>0</v>
      </c>
      <c r="V1368" s="5">
        <f t="shared" si="434"/>
        <v>7.6235294117647054</v>
      </c>
      <c r="W1368" s="5">
        <f t="shared" si="435"/>
        <v>3.5207100591715976</v>
      </c>
      <c r="X1368" s="5">
        <f t="shared" si="436"/>
        <v>4.5370370370370372</v>
      </c>
      <c r="Y1368" s="5">
        <f t="shared" si="437"/>
        <v>1.1200000000000001</v>
      </c>
      <c r="Z1368" s="5">
        <f t="shared" si="438"/>
        <v>2.1111111111111112</v>
      </c>
      <c r="AA1368" s="5">
        <f t="shared" si="439"/>
        <v>0</v>
      </c>
      <c r="AB1368" s="5">
        <f t="shared" si="440"/>
        <v>18.912387619084452</v>
      </c>
    </row>
    <row r="1369" spans="1:29" x14ac:dyDescent="0.25">
      <c r="D1369" t="s">
        <v>76</v>
      </c>
      <c r="E1369" s="64"/>
      <c r="F1369" s="64"/>
      <c r="G1369">
        <f>IFERROR(HLOOKUP(G$2,[43]table_female_hkom1_inj.U3!$A$1:$K$36,8,FALSE),0)</f>
        <v>9</v>
      </c>
      <c r="H1369">
        <f>IFERROR(HLOOKUP(H$2,[43]table_female_hkom1_inj.U3!$A$1:$K$36,8,FALSE),0)</f>
        <v>17</v>
      </c>
      <c r="I1369">
        <f>IFERROR(HLOOKUP(I$2,[43]table_female_hkom1_inj.U3!$A$1:$K$36,8,FALSE),0)</f>
        <v>17</v>
      </c>
      <c r="J1369">
        <f>IFERROR(HLOOKUP(J$2,[43]table_female_hkom1_inj.U3!$A$1:$K$36,8,FALSE),0)</f>
        <v>7</v>
      </c>
      <c r="K1369">
        <f>IFERROR(HLOOKUP(K$2,[43]table_female_hkom1_inj.U3!$A$1:$K$36,8,FALSE),0)</f>
        <v>1</v>
      </c>
      <c r="L1369">
        <f>IFERROR(HLOOKUP(L$2,[43]table_female_hkom1_inj.U3!$A$1:$K$36,8,FALSE),0)</f>
        <v>0</v>
      </c>
      <c r="M1369">
        <f t="shared" si="421"/>
        <v>51</v>
      </c>
      <c r="S1369" t="s">
        <v>76</v>
      </c>
      <c r="T1369" s="5">
        <f t="shared" si="432"/>
        <v>0</v>
      </c>
      <c r="U1369" s="5">
        <f t="shared" si="433"/>
        <v>0</v>
      </c>
      <c r="V1369" s="5">
        <f t="shared" si="434"/>
        <v>11.435294117647059</v>
      </c>
      <c r="W1369" s="5">
        <f t="shared" si="435"/>
        <v>19.950690335305719</v>
      </c>
      <c r="X1369" s="5">
        <f t="shared" si="436"/>
        <v>19.282407407407408</v>
      </c>
      <c r="Y1369" s="5">
        <f t="shared" si="437"/>
        <v>7.84</v>
      </c>
      <c r="Z1369" s="5">
        <f t="shared" si="438"/>
        <v>1.0555555555555556</v>
      </c>
      <c r="AA1369" s="5">
        <f t="shared" si="439"/>
        <v>0</v>
      </c>
      <c r="AB1369" s="5">
        <f t="shared" si="440"/>
        <v>59.563947415915749</v>
      </c>
    </row>
    <row r="1370" spans="1:29" x14ac:dyDescent="0.25">
      <c r="D1370" t="s">
        <v>77</v>
      </c>
      <c r="E1370" s="64"/>
      <c r="F1370" s="64"/>
      <c r="G1370">
        <f>IFERROR(HLOOKUP(G$2,[43]table_female_hkom1_inj.U3!$A$1:$K$36,9,FALSE),0)</f>
        <v>20</v>
      </c>
      <c r="H1370">
        <f>IFERROR(HLOOKUP(H$2,[43]table_female_hkom1_inj.U3!$A$1:$K$36,9,FALSE),0)</f>
        <v>86</v>
      </c>
      <c r="I1370">
        <f>IFERROR(HLOOKUP(I$2,[43]table_female_hkom1_inj.U3!$A$1:$K$36,9,FALSE),0)</f>
        <v>114</v>
      </c>
      <c r="J1370">
        <f>IFERROR(HLOOKUP(J$2,[43]table_female_hkom1_inj.U3!$A$1:$K$36,9,FALSE),0)</f>
        <v>18</v>
      </c>
      <c r="K1370">
        <f>IFERROR(HLOOKUP(K$2,[43]table_female_hkom1_inj.U3!$A$1:$K$36,9,FALSE),0)</f>
        <v>3</v>
      </c>
      <c r="L1370">
        <f>IFERROR(HLOOKUP(L$2,[43]table_female_hkom1_inj.U3!$A$1:$K$36,9,FALSE),0)</f>
        <v>0</v>
      </c>
      <c r="M1370">
        <f t="shared" si="421"/>
        <v>241</v>
      </c>
      <c r="S1370" t="s">
        <v>77</v>
      </c>
      <c r="T1370" s="5">
        <f t="shared" si="432"/>
        <v>0</v>
      </c>
      <c r="U1370" s="5">
        <f t="shared" si="433"/>
        <v>0</v>
      </c>
      <c r="V1370" s="5">
        <f t="shared" si="434"/>
        <v>25.411764705882355</v>
      </c>
      <c r="W1370" s="5">
        <f t="shared" si="435"/>
        <v>100.92702169625247</v>
      </c>
      <c r="X1370" s="5">
        <f t="shared" si="436"/>
        <v>129.30555555555554</v>
      </c>
      <c r="Y1370" s="5">
        <f t="shared" si="437"/>
        <v>20.16</v>
      </c>
      <c r="Z1370" s="5">
        <f t="shared" si="438"/>
        <v>3.1666666666666665</v>
      </c>
      <c r="AA1370" s="5">
        <f t="shared" si="439"/>
        <v>0</v>
      </c>
      <c r="AB1370" s="5">
        <f t="shared" si="440"/>
        <v>278.97100862435707</v>
      </c>
    </row>
    <row r="1371" spans="1:29" x14ac:dyDescent="0.25">
      <c r="D1371" t="s">
        <v>78</v>
      </c>
      <c r="E1371" s="64"/>
      <c r="F1371" s="64"/>
      <c r="G1371">
        <f>IFERROR(HLOOKUP(G$2,[43]table_female_hkom1_inj.U3!$A$1:$K$36,10,FALSE),0)</f>
        <v>9</v>
      </c>
      <c r="H1371">
        <f>IFERROR(HLOOKUP(H$2,[43]table_female_hkom1_inj.U3!$A$1:$K$36,10,FALSE),0)</f>
        <v>13</v>
      </c>
      <c r="I1371">
        <f>IFERROR(HLOOKUP(I$2,[43]table_female_hkom1_inj.U3!$A$1:$K$36,10,FALSE),0)</f>
        <v>6</v>
      </c>
      <c r="J1371">
        <f>IFERROR(HLOOKUP(J$2,[43]table_female_hkom1_inj.U3!$A$1:$K$36,10,FALSE),0)</f>
        <v>2</v>
      </c>
      <c r="K1371">
        <f>IFERROR(HLOOKUP(K$2,[43]table_female_hkom1_inj.U3!$A$1:$K$36,10,FALSE),0)</f>
        <v>0</v>
      </c>
      <c r="L1371">
        <f>IFERROR(HLOOKUP(L$2,[43]table_female_hkom1_inj.U3!$A$1:$K$36,10,FALSE),0)</f>
        <v>0</v>
      </c>
      <c r="M1371">
        <f t="shared" si="421"/>
        <v>30</v>
      </c>
      <c r="S1371" t="s">
        <v>78</v>
      </c>
      <c r="T1371" s="5">
        <f t="shared" si="432"/>
        <v>0</v>
      </c>
      <c r="U1371" s="5">
        <f t="shared" si="433"/>
        <v>0</v>
      </c>
      <c r="V1371" s="5">
        <f t="shared" si="434"/>
        <v>11.435294117647059</v>
      </c>
      <c r="W1371" s="5">
        <f t="shared" si="435"/>
        <v>15.256410256410255</v>
      </c>
      <c r="X1371" s="5">
        <f t="shared" si="436"/>
        <v>6.8055555555555554</v>
      </c>
      <c r="Y1371" s="5">
        <f t="shared" si="437"/>
        <v>2.2400000000000002</v>
      </c>
      <c r="Z1371" s="5">
        <f t="shared" si="438"/>
        <v>0</v>
      </c>
      <c r="AA1371" s="5">
        <f t="shared" si="439"/>
        <v>0</v>
      </c>
      <c r="AB1371" s="5">
        <f t="shared" si="440"/>
        <v>35.737259929612875</v>
      </c>
    </row>
    <row r="1372" spans="1:29" x14ac:dyDescent="0.25">
      <c r="D1372" t="s">
        <v>79</v>
      </c>
      <c r="E1372" s="64"/>
      <c r="F1372" s="64"/>
      <c r="G1372">
        <f>IFERROR(HLOOKUP(G$2,[43]table_female_hkom1_inj.U3!$A$1:$K$36,11,FALSE),0)</f>
        <v>1</v>
      </c>
      <c r="H1372">
        <f>IFERROR(HLOOKUP(H$2,[43]table_female_hkom1_inj.U3!$A$1:$K$36,11,FALSE),0)</f>
        <v>18</v>
      </c>
      <c r="I1372">
        <f>IFERROR(HLOOKUP(I$2,[43]table_female_hkom1_inj.U3!$A$1:$K$36,11,FALSE),0)</f>
        <v>27</v>
      </c>
      <c r="J1372">
        <f>IFERROR(HLOOKUP(J$2,[43]table_female_hkom1_inj.U3!$A$1:$K$36,11,FALSE),0)</f>
        <v>12</v>
      </c>
      <c r="K1372">
        <f>IFERROR(HLOOKUP(K$2,[43]table_female_hkom1_inj.U3!$A$1:$K$36,11,FALSE),0)</f>
        <v>7</v>
      </c>
      <c r="L1372">
        <f>IFERROR(HLOOKUP(L$2,[43]table_female_hkom1_inj.U3!$A$1:$K$36,11,FALSE),0)</f>
        <v>0</v>
      </c>
      <c r="M1372">
        <f t="shared" si="421"/>
        <v>65</v>
      </c>
      <c r="S1372" t="s">
        <v>79</v>
      </c>
      <c r="T1372" s="5">
        <f t="shared" si="432"/>
        <v>0</v>
      </c>
      <c r="U1372" s="5">
        <f t="shared" si="433"/>
        <v>0</v>
      </c>
      <c r="V1372" s="5">
        <f t="shared" si="434"/>
        <v>1.2705882352941176</v>
      </c>
      <c r="W1372" s="5">
        <f t="shared" si="435"/>
        <v>21.124260355029584</v>
      </c>
      <c r="X1372" s="5">
        <f t="shared" si="436"/>
        <v>30.625</v>
      </c>
      <c r="Y1372" s="5">
        <f t="shared" si="437"/>
        <v>13.44</v>
      </c>
      <c r="Z1372" s="5">
        <f t="shared" si="438"/>
        <v>7.3888888888888893</v>
      </c>
      <c r="AA1372" s="5">
        <f t="shared" si="439"/>
        <v>0</v>
      </c>
      <c r="AB1372" s="5">
        <f t="shared" si="440"/>
        <v>73.848737479212588</v>
      </c>
    </row>
    <row r="1373" spans="1:29" x14ac:dyDescent="0.25">
      <c r="D1373" t="s">
        <v>80</v>
      </c>
      <c r="E1373" s="64"/>
      <c r="F1373" s="64"/>
      <c r="G1373">
        <f>IFERROR(HLOOKUP(G$2,[43]table_female_hkom1_inj.U3!$A$1:$K$36,12,FALSE),0)</f>
        <v>17</v>
      </c>
      <c r="H1373">
        <f>IFERROR(HLOOKUP(H$2,[43]table_female_hkom1_inj.U3!$A$1:$K$36,12,FALSE),0)</f>
        <v>39</v>
      </c>
      <c r="I1373">
        <f>IFERROR(HLOOKUP(I$2,[43]table_female_hkom1_inj.U3!$A$1:$K$36,12,FALSE),0)</f>
        <v>42</v>
      </c>
      <c r="J1373">
        <f>IFERROR(HLOOKUP(J$2,[43]table_female_hkom1_inj.U3!$A$1:$K$36,12,FALSE),0)</f>
        <v>9</v>
      </c>
      <c r="K1373">
        <f>IFERROR(HLOOKUP(K$2,[43]table_female_hkom1_inj.U3!$A$1:$K$36,12,FALSE),0)</f>
        <v>1</v>
      </c>
      <c r="L1373">
        <f>IFERROR(HLOOKUP(L$2,[43]table_female_hkom1_inj.U3!$A$1:$K$36,12,FALSE),0)</f>
        <v>0</v>
      </c>
      <c r="M1373">
        <f t="shared" si="421"/>
        <v>108</v>
      </c>
      <c r="S1373" t="s">
        <v>80</v>
      </c>
      <c r="T1373" s="5">
        <f t="shared" si="432"/>
        <v>0</v>
      </c>
      <c r="U1373" s="5">
        <f t="shared" si="433"/>
        <v>0</v>
      </c>
      <c r="V1373" s="5">
        <f t="shared" si="434"/>
        <v>21.6</v>
      </c>
      <c r="W1373" s="5">
        <f t="shared" si="435"/>
        <v>45.769230769230774</v>
      </c>
      <c r="X1373" s="5">
        <f t="shared" si="436"/>
        <v>47.638888888888886</v>
      </c>
      <c r="Y1373" s="5">
        <f t="shared" si="437"/>
        <v>10.08</v>
      </c>
      <c r="Z1373" s="5">
        <f t="shared" si="438"/>
        <v>1.0555555555555556</v>
      </c>
      <c r="AA1373" s="5">
        <f t="shared" si="439"/>
        <v>0</v>
      </c>
      <c r="AB1373" s="5">
        <f t="shared" si="440"/>
        <v>126.14367521367521</v>
      </c>
    </row>
    <row r="1374" spans="1:29" x14ac:dyDescent="0.25">
      <c r="D1374" t="s">
        <v>81</v>
      </c>
      <c r="E1374" s="64"/>
      <c r="F1374" s="64"/>
      <c r="G1374">
        <f>IFERROR(HLOOKUP(G$2,[43]table_female_hkom1_inj.U3!$A$1:$K$36,13,FALSE),0)</f>
        <v>3</v>
      </c>
      <c r="H1374">
        <f>IFERROR(HLOOKUP(H$2,[43]table_female_hkom1_inj.U3!$A$1:$K$36,13,FALSE),0)</f>
        <v>20</v>
      </c>
      <c r="I1374">
        <f>IFERROR(HLOOKUP(I$2,[43]table_female_hkom1_inj.U3!$A$1:$K$36,13,FALSE),0)</f>
        <v>16</v>
      </c>
      <c r="J1374">
        <f>IFERROR(HLOOKUP(J$2,[43]table_female_hkom1_inj.U3!$A$1:$K$36,13,FALSE),0)</f>
        <v>2</v>
      </c>
      <c r="K1374">
        <f>IFERROR(HLOOKUP(K$2,[43]table_female_hkom1_inj.U3!$A$1:$K$36,13,FALSE),0)</f>
        <v>0</v>
      </c>
      <c r="L1374">
        <f>IFERROR(HLOOKUP(L$2,[43]table_female_hkom1_inj.U3!$A$1:$K$36,13,FALSE),0)</f>
        <v>0</v>
      </c>
      <c r="M1374">
        <f t="shared" si="421"/>
        <v>41</v>
      </c>
      <c r="S1374" t="s">
        <v>81</v>
      </c>
      <c r="T1374" s="5">
        <f t="shared" si="432"/>
        <v>0</v>
      </c>
      <c r="U1374" s="5">
        <f t="shared" si="433"/>
        <v>0</v>
      </c>
      <c r="V1374" s="5">
        <f t="shared" si="434"/>
        <v>3.8117647058823527</v>
      </c>
      <c r="W1374" s="5">
        <f t="shared" si="435"/>
        <v>23.471400394477318</v>
      </c>
      <c r="X1374" s="5">
        <f t="shared" si="436"/>
        <v>18.148148148148149</v>
      </c>
      <c r="Y1374" s="5">
        <f t="shared" si="437"/>
        <v>2.2400000000000002</v>
      </c>
      <c r="Z1374" s="5">
        <f t="shared" si="438"/>
        <v>0</v>
      </c>
      <c r="AA1374" s="5">
        <f t="shared" si="439"/>
        <v>0</v>
      </c>
      <c r="AB1374" s="5">
        <f t="shared" si="440"/>
        <v>47.671313248507822</v>
      </c>
    </row>
    <row r="1375" spans="1:29" x14ac:dyDescent="0.25">
      <c r="D1375" t="s">
        <v>82</v>
      </c>
      <c r="E1375" s="64"/>
      <c r="F1375" s="64"/>
      <c r="G1375">
        <f>IFERROR(HLOOKUP(G$2,[43]table_female_hkom1_inj.U3!$A$1:$K$36,14,FALSE),0)</f>
        <v>11</v>
      </c>
      <c r="H1375">
        <f>IFERROR(HLOOKUP(H$2,[43]table_female_hkom1_inj.U3!$A$1:$K$36,14,FALSE),0)</f>
        <v>24</v>
      </c>
      <c r="I1375">
        <f>IFERROR(HLOOKUP(I$2,[43]table_female_hkom1_inj.U3!$A$1:$K$36,14,FALSE),0)</f>
        <v>24</v>
      </c>
      <c r="J1375">
        <f>IFERROR(HLOOKUP(J$2,[43]table_female_hkom1_inj.U3!$A$1:$K$36,14,FALSE),0)</f>
        <v>5</v>
      </c>
      <c r="K1375">
        <f>IFERROR(HLOOKUP(K$2,[43]table_female_hkom1_inj.U3!$A$1:$K$36,14,FALSE),0)</f>
        <v>0</v>
      </c>
      <c r="L1375">
        <f>IFERROR(HLOOKUP(L$2,[43]table_female_hkom1_inj.U3!$A$1:$K$36,14,FALSE),0)</f>
        <v>0</v>
      </c>
      <c r="M1375">
        <f t="shared" si="421"/>
        <v>64</v>
      </c>
      <c r="S1375" t="s">
        <v>82</v>
      </c>
      <c r="T1375" s="5">
        <f t="shared" si="432"/>
        <v>0</v>
      </c>
      <c r="U1375" s="5">
        <f t="shared" si="433"/>
        <v>0</v>
      </c>
      <c r="V1375" s="5">
        <f t="shared" si="434"/>
        <v>13.976470588235294</v>
      </c>
      <c r="W1375" s="5">
        <f t="shared" si="435"/>
        <v>28.165680473372781</v>
      </c>
      <c r="X1375" s="5">
        <f t="shared" si="436"/>
        <v>27.222222222222221</v>
      </c>
      <c r="Y1375" s="5">
        <f t="shared" si="437"/>
        <v>5.6</v>
      </c>
      <c r="Z1375" s="5">
        <f t="shared" si="438"/>
        <v>0</v>
      </c>
      <c r="AA1375" s="5">
        <f t="shared" si="439"/>
        <v>0</v>
      </c>
      <c r="AB1375" s="5">
        <f t="shared" si="440"/>
        <v>74.964373283830298</v>
      </c>
    </row>
    <row r="1376" spans="1:29" x14ac:dyDescent="0.25">
      <c r="D1376" t="s">
        <v>83</v>
      </c>
      <c r="E1376" s="64"/>
      <c r="F1376" s="64"/>
      <c r="G1376">
        <f>IFERROR(HLOOKUP(G$2,[43]table_female_hkom1_inj.U3!$A$1:$K$36,15,FALSE),0)</f>
        <v>3</v>
      </c>
      <c r="H1376">
        <f>IFERROR(HLOOKUP(H$2,[43]table_female_hkom1_inj.U3!$A$1:$K$36,15,FALSE),0)</f>
        <v>13</v>
      </c>
      <c r="I1376">
        <f>IFERROR(HLOOKUP(I$2,[43]table_female_hkom1_inj.U3!$A$1:$K$36,15,FALSE),0)</f>
        <v>4</v>
      </c>
      <c r="J1376">
        <f>IFERROR(HLOOKUP(J$2,[43]table_female_hkom1_inj.U3!$A$1:$K$36,15,FALSE),0)</f>
        <v>1</v>
      </c>
      <c r="K1376">
        <f>IFERROR(HLOOKUP(K$2,[43]table_female_hkom1_inj.U3!$A$1:$K$36,15,FALSE),0)</f>
        <v>0</v>
      </c>
      <c r="L1376">
        <f>IFERROR(HLOOKUP(L$2,[43]table_female_hkom1_inj.U3!$A$1:$K$36,15,FALSE),0)</f>
        <v>0</v>
      </c>
      <c r="M1376">
        <f t="shared" si="421"/>
        <v>21</v>
      </c>
      <c r="S1376" t="s">
        <v>83</v>
      </c>
      <c r="T1376" s="5">
        <f t="shared" si="432"/>
        <v>0</v>
      </c>
      <c r="U1376" s="5">
        <f t="shared" si="433"/>
        <v>0</v>
      </c>
      <c r="V1376" s="5">
        <f t="shared" si="434"/>
        <v>3.8117647058823527</v>
      </c>
      <c r="W1376" s="5">
        <f t="shared" si="435"/>
        <v>15.256410256410255</v>
      </c>
      <c r="X1376" s="5">
        <f t="shared" si="436"/>
        <v>4.5370370370370372</v>
      </c>
      <c r="Y1376" s="5">
        <f t="shared" si="437"/>
        <v>1.1200000000000001</v>
      </c>
      <c r="Z1376" s="5">
        <f t="shared" si="438"/>
        <v>0</v>
      </c>
      <c r="AA1376" s="5">
        <f t="shared" si="439"/>
        <v>0</v>
      </c>
      <c r="AB1376" s="5">
        <f t="shared" si="440"/>
        <v>24.725211999329648</v>
      </c>
    </row>
    <row r="1377" spans="4:28" x14ac:dyDescent="0.25">
      <c r="D1377" t="s">
        <v>84</v>
      </c>
      <c r="E1377" s="64"/>
      <c r="F1377" s="64"/>
      <c r="G1377">
        <f>IFERROR(HLOOKUP(G$2,[43]table_female_hkom1_inj.U3!$A$1:$K$36,16,FALSE),0)</f>
        <v>5</v>
      </c>
      <c r="H1377">
        <f>IFERROR(HLOOKUP(H$2,[43]table_female_hkom1_inj.U3!$A$1:$K$36,16,FALSE),0)</f>
        <v>19</v>
      </c>
      <c r="I1377">
        <f>IFERROR(HLOOKUP(I$2,[43]table_female_hkom1_inj.U3!$A$1:$K$36,16,FALSE),0)</f>
        <v>7</v>
      </c>
      <c r="J1377">
        <f>IFERROR(HLOOKUP(J$2,[43]table_female_hkom1_inj.U3!$A$1:$K$36,16,FALSE),0)</f>
        <v>0</v>
      </c>
      <c r="K1377">
        <f>IFERROR(HLOOKUP(K$2,[43]table_female_hkom1_inj.U3!$A$1:$K$36,16,FALSE),0)</f>
        <v>0</v>
      </c>
      <c r="L1377">
        <f>IFERROR(HLOOKUP(L$2,[43]table_female_hkom1_inj.U3!$A$1:$K$36,16,FALSE),0)</f>
        <v>0</v>
      </c>
      <c r="M1377">
        <f t="shared" si="421"/>
        <v>31</v>
      </c>
      <c r="S1377" t="s">
        <v>84</v>
      </c>
      <c r="T1377" s="5">
        <f t="shared" si="432"/>
        <v>0</v>
      </c>
      <c r="U1377" s="5">
        <f t="shared" si="433"/>
        <v>0</v>
      </c>
      <c r="V1377" s="5">
        <f t="shared" si="434"/>
        <v>6.3529411764705888</v>
      </c>
      <c r="W1377" s="5">
        <f t="shared" si="435"/>
        <v>22.297830374753453</v>
      </c>
      <c r="X1377" s="5">
        <f t="shared" si="436"/>
        <v>7.9398148148148149</v>
      </c>
      <c r="Y1377" s="5">
        <f t="shared" si="437"/>
        <v>0</v>
      </c>
      <c r="Z1377" s="5">
        <f t="shared" si="438"/>
        <v>0</v>
      </c>
      <c r="AA1377" s="5">
        <f t="shared" si="439"/>
        <v>0</v>
      </c>
      <c r="AB1377" s="5">
        <f t="shared" si="440"/>
        <v>36.590586366038856</v>
      </c>
    </row>
    <row r="1378" spans="4:28" x14ac:dyDescent="0.25">
      <c r="D1378" t="s">
        <v>85</v>
      </c>
      <c r="E1378" s="64"/>
      <c r="F1378" s="64"/>
      <c r="G1378">
        <f>IFERROR(HLOOKUP(G$2,[43]table_female_hkom1_inj.U3!$A$1:$K$36,17,FALSE),0)</f>
        <v>15</v>
      </c>
      <c r="H1378">
        <f>IFERROR(HLOOKUP(H$2,[43]table_female_hkom1_inj.U3!$A$1:$K$36,17,FALSE),0)</f>
        <v>21</v>
      </c>
      <c r="I1378">
        <f>IFERROR(HLOOKUP(I$2,[43]table_female_hkom1_inj.U3!$A$1:$K$36,17,FALSE),0)</f>
        <v>15</v>
      </c>
      <c r="J1378">
        <f>IFERROR(HLOOKUP(J$2,[43]table_female_hkom1_inj.U3!$A$1:$K$36,17,FALSE),0)</f>
        <v>1</v>
      </c>
      <c r="K1378">
        <f>IFERROR(HLOOKUP(K$2,[43]table_female_hkom1_inj.U3!$A$1:$K$36,17,FALSE),0)</f>
        <v>0</v>
      </c>
      <c r="L1378">
        <f>IFERROR(HLOOKUP(L$2,[43]table_female_hkom1_inj.U3!$A$1:$K$36,17,FALSE),0)</f>
        <v>0</v>
      </c>
      <c r="M1378">
        <f t="shared" si="421"/>
        <v>52</v>
      </c>
      <c r="S1378" t="s">
        <v>85</v>
      </c>
      <c r="T1378" s="5">
        <f t="shared" si="432"/>
        <v>0</v>
      </c>
      <c r="U1378" s="5">
        <f t="shared" si="433"/>
        <v>0</v>
      </c>
      <c r="V1378" s="5">
        <f t="shared" si="434"/>
        <v>19.058823529411764</v>
      </c>
      <c r="W1378" s="5">
        <f t="shared" si="435"/>
        <v>24.644970414201183</v>
      </c>
      <c r="X1378" s="5">
        <f t="shared" si="436"/>
        <v>17.013888888888889</v>
      </c>
      <c r="Y1378" s="5">
        <f t="shared" si="437"/>
        <v>1.1200000000000001</v>
      </c>
      <c r="Z1378" s="5">
        <f t="shared" si="438"/>
        <v>0</v>
      </c>
      <c r="AA1378" s="5">
        <f t="shared" si="439"/>
        <v>0</v>
      </c>
      <c r="AB1378" s="5">
        <f t="shared" si="440"/>
        <v>61.837682832501834</v>
      </c>
    </row>
    <row r="1379" spans="4:28" x14ac:dyDescent="0.25">
      <c r="D1379" t="s">
        <v>86</v>
      </c>
      <c r="E1379" s="64"/>
      <c r="F1379" s="64"/>
      <c r="G1379">
        <f>IFERROR(HLOOKUP(G$2,[43]table_female_hkom1_inj.U3!$A$1:$K$36,18,FALSE),0)</f>
        <v>72</v>
      </c>
      <c r="H1379">
        <f>IFERROR(HLOOKUP(H$2,[43]table_female_hkom1_inj.U3!$A$1:$K$36,18,FALSE),0)</f>
        <v>118</v>
      </c>
      <c r="I1379">
        <f>IFERROR(HLOOKUP(I$2,[43]table_female_hkom1_inj.U3!$A$1:$K$36,18,FALSE),0)</f>
        <v>73</v>
      </c>
      <c r="J1379">
        <f>IFERROR(HLOOKUP(J$2,[43]table_female_hkom1_inj.U3!$A$1:$K$36,18,FALSE),0)</f>
        <v>10</v>
      </c>
      <c r="K1379">
        <f>IFERROR(HLOOKUP(K$2,[43]table_female_hkom1_inj.U3!$A$1:$K$36,18,FALSE),0)</f>
        <v>3</v>
      </c>
      <c r="L1379">
        <f>IFERROR(HLOOKUP(L$2,[43]table_female_hkom1_inj.U3!$A$1:$K$36,18,FALSE),0)</f>
        <v>1</v>
      </c>
      <c r="M1379">
        <f t="shared" si="421"/>
        <v>277</v>
      </c>
      <c r="S1379" t="s">
        <v>86</v>
      </c>
      <c r="T1379" s="5">
        <f t="shared" si="432"/>
        <v>0</v>
      </c>
      <c r="U1379" s="5">
        <f t="shared" si="433"/>
        <v>0</v>
      </c>
      <c r="V1379" s="5">
        <f t="shared" si="434"/>
        <v>91.482352941176472</v>
      </c>
      <c r="W1379" s="5">
        <f t="shared" si="435"/>
        <v>138.48126232741618</v>
      </c>
      <c r="X1379" s="5">
        <f t="shared" si="436"/>
        <v>82.800925925925924</v>
      </c>
      <c r="Y1379" s="5">
        <f t="shared" si="437"/>
        <v>11.2</v>
      </c>
      <c r="Z1379" s="5">
        <f t="shared" si="438"/>
        <v>3.1666666666666665</v>
      </c>
      <c r="AA1379" s="5">
        <f t="shared" si="439"/>
        <v>1</v>
      </c>
      <c r="AB1379" s="5">
        <f t="shared" si="440"/>
        <v>328.13120786118526</v>
      </c>
    </row>
    <row r="1380" spans="4:28" x14ac:dyDescent="0.25">
      <c r="D1380" t="s">
        <v>87</v>
      </c>
      <c r="E1380" s="64"/>
      <c r="F1380" s="64"/>
      <c r="G1380">
        <f>IFERROR(HLOOKUP(G$2,[43]table_female_hkom1_inj.U3!$A$1:$K$36,19,FALSE),0)</f>
        <v>3</v>
      </c>
      <c r="H1380">
        <f>IFERROR(HLOOKUP(H$2,[43]table_female_hkom1_inj.U3!$A$1:$K$36,19,FALSE),0)</f>
        <v>6</v>
      </c>
      <c r="I1380">
        <f>IFERROR(HLOOKUP(I$2,[43]table_female_hkom1_inj.U3!$A$1:$K$36,19,FALSE),0)</f>
        <v>2</v>
      </c>
      <c r="J1380">
        <f>IFERROR(HLOOKUP(J$2,[43]table_female_hkom1_inj.U3!$A$1:$K$36,19,FALSE),0)</f>
        <v>0</v>
      </c>
      <c r="K1380">
        <f>IFERROR(HLOOKUP(K$2,[43]table_female_hkom1_inj.U3!$A$1:$K$36,19,FALSE),0)</f>
        <v>0</v>
      </c>
      <c r="L1380">
        <f>IFERROR(HLOOKUP(L$2,[43]table_female_hkom1_inj.U3!$A$1:$K$36,19,FALSE),0)</f>
        <v>0</v>
      </c>
      <c r="M1380">
        <f t="shared" si="421"/>
        <v>11</v>
      </c>
      <c r="S1380" t="s">
        <v>87</v>
      </c>
      <c r="T1380" s="5">
        <f t="shared" si="432"/>
        <v>0</v>
      </c>
      <c r="U1380" s="5">
        <f t="shared" si="433"/>
        <v>0</v>
      </c>
      <c r="V1380" s="5">
        <f t="shared" si="434"/>
        <v>3.8117647058823527</v>
      </c>
      <c r="W1380" s="5">
        <f t="shared" si="435"/>
        <v>7.0414201183431953</v>
      </c>
      <c r="X1380" s="5">
        <f t="shared" si="436"/>
        <v>2.2685185185185186</v>
      </c>
      <c r="Y1380" s="5">
        <f t="shared" si="437"/>
        <v>0</v>
      </c>
      <c r="Z1380" s="5">
        <f t="shared" si="438"/>
        <v>0</v>
      </c>
      <c r="AA1380" s="5">
        <f t="shared" si="439"/>
        <v>0</v>
      </c>
      <c r="AB1380" s="5">
        <f t="shared" si="440"/>
        <v>13.121703342744066</v>
      </c>
    </row>
    <row r="1381" spans="4:28" x14ac:dyDescent="0.25">
      <c r="D1381" t="s">
        <v>88</v>
      </c>
      <c r="E1381" s="64"/>
      <c r="F1381" s="64"/>
      <c r="G1381">
        <f>IFERROR(HLOOKUP(G$2,[43]table_female_hkom1_inj.U3!$A$1:$K$36,20,FALSE),0)</f>
        <v>28</v>
      </c>
      <c r="H1381">
        <f>IFERROR(HLOOKUP(H$2,[43]table_female_hkom1_inj.U3!$A$1:$K$36,20,FALSE),0)</f>
        <v>25</v>
      </c>
      <c r="I1381">
        <f>IFERROR(HLOOKUP(I$2,[43]table_female_hkom1_inj.U3!$A$1:$K$36,20,FALSE),0)</f>
        <v>24</v>
      </c>
      <c r="J1381">
        <f>IFERROR(HLOOKUP(J$2,[43]table_female_hkom1_inj.U3!$A$1:$K$36,20,FALSE),0)</f>
        <v>2</v>
      </c>
      <c r="K1381">
        <f>IFERROR(HLOOKUP(K$2,[43]table_female_hkom1_inj.U3!$A$1:$K$36,20,FALSE),0)</f>
        <v>0</v>
      </c>
      <c r="L1381">
        <f>IFERROR(HLOOKUP(L$2,[43]table_female_hkom1_inj.U3!$A$1:$K$36,20,FALSE),0)</f>
        <v>0</v>
      </c>
      <c r="M1381">
        <f t="shared" si="421"/>
        <v>79</v>
      </c>
      <c r="S1381" t="s">
        <v>88</v>
      </c>
      <c r="T1381" s="5">
        <f t="shared" si="432"/>
        <v>0</v>
      </c>
      <c r="U1381" s="5">
        <f t="shared" si="433"/>
        <v>0</v>
      </c>
      <c r="V1381" s="5">
        <f t="shared" si="434"/>
        <v>35.576470588235296</v>
      </c>
      <c r="W1381" s="5">
        <f t="shared" si="435"/>
        <v>29.339250493096646</v>
      </c>
      <c r="X1381" s="5">
        <f t="shared" si="436"/>
        <v>27.222222222222221</v>
      </c>
      <c r="Y1381" s="5">
        <f t="shared" si="437"/>
        <v>2.2400000000000002</v>
      </c>
      <c r="Z1381" s="5">
        <f t="shared" si="438"/>
        <v>0</v>
      </c>
      <c r="AA1381" s="5">
        <f t="shared" si="439"/>
        <v>0</v>
      </c>
      <c r="AB1381" s="5">
        <f t="shared" si="440"/>
        <v>94.377943303554147</v>
      </c>
    </row>
    <row r="1382" spans="4:28" x14ac:dyDescent="0.25">
      <c r="D1382" t="s">
        <v>89</v>
      </c>
      <c r="E1382" s="64"/>
      <c r="F1382" s="64"/>
      <c r="G1382">
        <f>IFERROR(HLOOKUP(G$2,[43]table_female_hkom1_inj.U3!$A$1:$K$36,21,FALSE),0)</f>
        <v>2</v>
      </c>
      <c r="H1382">
        <f>IFERROR(HLOOKUP(H$2,[43]table_female_hkom1_inj.U3!$A$1:$K$36,21,FALSE),0)</f>
        <v>1</v>
      </c>
      <c r="I1382">
        <f>IFERROR(HLOOKUP(I$2,[43]table_female_hkom1_inj.U3!$A$1:$K$36,21,FALSE),0)</f>
        <v>1</v>
      </c>
      <c r="J1382">
        <f>IFERROR(HLOOKUP(J$2,[43]table_female_hkom1_inj.U3!$A$1:$K$36,21,FALSE),0)</f>
        <v>0</v>
      </c>
      <c r="K1382">
        <f>IFERROR(HLOOKUP(K$2,[43]table_female_hkom1_inj.U3!$A$1:$K$36,21,FALSE),0)</f>
        <v>0</v>
      </c>
      <c r="L1382">
        <f>IFERROR(HLOOKUP(L$2,[43]table_female_hkom1_inj.U3!$A$1:$K$36,21,FALSE),0)</f>
        <v>0</v>
      </c>
      <c r="M1382">
        <f t="shared" ref="M1382:M1445" si="441">SUM(E1382:L1382)</f>
        <v>4</v>
      </c>
      <c r="S1382" t="s">
        <v>89</v>
      </c>
      <c r="T1382" s="5">
        <f t="shared" si="432"/>
        <v>0</v>
      </c>
      <c r="U1382" s="5">
        <f t="shared" si="433"/>
        <v>0</v>
      </c>
      <c r="V1382" s="5">
        <f t="shared" si="434"/>
        <v>2.5411764705882351</v>
      </c>
      <c r="W1382" s="5">
        <f t="shared" si="435"/>
        <v>1.1735700197238659</v>
      </c>
      <c r="X1382" s="5">
        <f t="shared" si="436"/>
        <v>1.1342592592592593</v>
      </c>
      <c r="Y1382" s="5">
        <f t="shared" si="437"/>
        <v>0</v>
      </c>
      <c r="Z1382" s="5">
        <f t="shared" si="438"/>
        <v>0</v>
      </c>
      <c r="AA1382" s="5">
        <f t="shared" si="439"/>
        <v>0</v>
      </c>
      <c r="AB1382" s="5">
        <f t="shared" si="440"/>
        <v>4.8490057495713605</v>
      </c>
    </row>
    <row r="1383" spans="4:28" x14ac:dyDescent="0.25">
      <c r="D1383" t="s">
        <v>90</v>
      </c>
      <c r="E1383" s="64"/>
      <c r="F1383" s="64"/>
      <c r="G1383">
        <f>IFERROR(HLOOKUP(G$2,[43]table_female_hkom1_inj.U3!$A$1:$K$36,22,FALSE),0)</f>
        <v>0</v>
      </c>
      <c r="H1383">
        <f>IFERROR(HLOOKUP(H$2,[43]table_female_hkom1_inj.U3!$A$1:$K$36,22,FALSE),0)</f>
        <v>0</v>
      </c>
      <c r="I1383">
        <f>IFERROR(HLOOKUP(I$2,[43]table_female_hkom1_inj.U3!$A$1:$K$36,22,FALSE),0)</f>
        <v>0</v>
      </c>
      <c r="J1383">
        <f>IFERROR(HLOOKUP(J$2,[43]table_female_hkom1_inj.U3!$A$1:$K$36,22,FALSE),0)</f>
        <v>0</v>
      </c>
      <c r="K1383">
        <f>IFERROR(HLOOKUP(K$2,[43]table_female_hkom1_inj.U3!$A$1:$K$36,22,FALSE),0)</f>
        <v>0</v>
      </c>
      <c r="L1383">
        <f>IFERROR(HLOOKUP(L$2,[43]table_female_hkom1_inj.U3!$A$1:$K$36,22,FALSE),0)</f>
        <v>0</v>
      </c>
      <c r="M1383">
        <f t="shared" si="441"/>
        <v>0</v>
      </c>
      <c r="S1383" t="s">
        <v>90</v>
      </c>
      <c r="T1383" s="5">
        <f t="shared" si="432"/>
        <v>0</v>
      </c>
      <c r="U1383" s="5">
        <f t="shared" si="433"/>
        <v>0</v>
      </c>
      <c r="V1383" s="5">
        <f t="shared" si="434"/>
        <v>0</v>
      </c>
      <c r="W1383" s="5">
        <f t="shared" si="435"/>
        <v>0</v>
      </c>
      <c r="X1383" s="5">
        <f t="shared" si="436"/>
        <v>0</v>
      </c>
      <c r="Y1383" s="5">
        <f t="shared" si="437"/>
        <v>0</v>
      </c>
      <c r="Z1383" s="5">
        <f t="shared" si="438"/>
        <v>0</v>
      </c>
      <c r="AA1383" s="5">
        <f t="shared" si="439"/>
        <v>0</v>
      </c>
      <c r="AB1383" s="5">
        <f t="shared" si="440"/>
        <v>0</v>
      </c>
    </row>
    <row r="1384" spans="4:28" x14ac:dyDescent="0.25">
      <c r="D1384" t="s">
        <v>91</v>
      </c>
      <c r="E1384" s="64"/>
      <c r="F1384" s="64"/>
      <c r="G1384">
        <f>IFERROR(HLOOKUP(G$2,[43]table_female_hkom1_inj.U3!$A$1:$K$36,23,FALSE),0)</f>
        <v>0</v>
      </c>
      <c r="H1384">
        <f>IFERROR(HLOOKUP(H$2,[43]table_female_hkom1_inj.U3!$A$1:$K$36,23,FALSE),0)</f>
        <v>0</v>
      </c>
      <c r="I1384">
        <f>IFERROR(HLOOKUP(I$2,[43]table_female_hkom1_inj.U3!$A$1:$K$36,23,FALSE),0)</f>
        <v>0</v>
      </c>
      <c r="J1384">
        <f>IFERROR(HLOOKUP(J$2,[43]table_female_hkom1_inj.U3!$A$1:$K$36,23,FALSE),0)</f>
        <v>0</v>
      </c>
      <c r="K1384">
        <f>IFERROR(HLOOKUP(K$2,[43]table_female_hkom1_inj.U3!$A$1:$K$36,23,FALSE),0)</f>
        <v>0</v>
      </c>
      <c r="L1384">
        <f>IFERROR(HLOOKUP(L$2,[43]table_female_hkom1_inj.U3!$A$1:$K$36,23,FALSE),0)</f>
        <v>0</v>
      </c>
      <c r="M1384">
        <f t="shared" si="441"/>
        <v>0</v>
      </c>
      <c r="S1384" t="s">
        <v>91</v>
      </c>
      <c r="T1384" s="5">
        <f t="shared" si="432"/>
        <v>0</v>
      </c>
      <c r="U1384" s="5">
        <f t="shared" si="433"/>
        <v>0</v>
      </c>
      <c r="V1384" s="5">
        <f t="shared" si="434"/>
        <v>0</v>
      </c>
      <c r="W1384" s="5">
        <f t="shared" si="435"/>
        <v>0</v>
      </c>
      <c r="X1384" s="5">
        <f t="shared" si="436"/>
        <v>0</v>
      </c>
      <c r="Y1384" s="5">
        <f t="shared" si="437"/>
        <v>0</v>
      </c>
      <c r="Z1384" s="5">
        <f t="shared" si="438"/>
        <v>0</v>
      </c>
      <c r="AA1384" s="5">
        <f t="shared" si="439"/>
        <v>0</v>
      </c>
      <c r="AB1384" s="5">
        <f t="shared" si="440"/>
        <v>0</v>
      </c>
    </row>
    <row r="1385" spans="4:28" x14ac:dyDescent="0.25">
      <c r="D1385" t="s">
        <v>92</v>
      </c>
      <c r="E1385" s="64"/>
      <c r="F1385" s="64"/>
      <c r="G1385">
        <f>IFERROR(HLOOKUP(G$2,[43]table_female_hkom1_inj.U3!$A$1:$K$36,24,FALSE),0)</f>
        <v>0</v>
      </c>
      <c r="H1385">
        <f>IFERROR(HLOOKUP(H$2,[43]table_female_hkom1_inj.U3!$A$1:$K$36,24,FALSE),0)</f>
        <v>0</v>
      </c>
      <c r="I1385">
        <f>IFERROR(HLOOKUP(I$2,[43]table_female_hkom1_inj.U3!$A$1:$K$36,24,FALSE),0)</f>
        <v>0</v>
      </c>
      <c r="J1385">
        <f>IFERROR(HLOOKUP(J$2,[43]table_female_hkom1_inj.U3!$A$1:$K$36,24,FALSE),0)</f>
        <v>0</v>
      </c>
      <c r="K1385">
        <f>IFERROR(HLOOKUP(K$2,[43]table_female_hkom1_inj.U3!$A$1:$K$36,24,FALSE),0)</f>
        <v>0</v>
      </c>
      <c r="L1385">
        <f>IFERROR(HLOOKUP(L$2,[43]table_female_hkom1_inj.U3!$A$1:$K$36,24,FALSE),0)</f>
        <v>0</v>
      </c>
      <c r="M1385">
        <f t="shared" si="441"/>
        <v>0</v>
      </c>
      <c r="S1385" t="s">
        <v>92</v>
      </c>
      <c r="T1385" s="5">
        <f t="shared" si="432"/>
        <v>0</v>
      </c>
      <c r="U1385" s="5">
        <f t="shared" si="433"/>
        <v>0</v>
      </c>
      <c r="V1385" s="5">
        <f t="shared" si="434"/>
        <v>0</v>
      </c>
      <c r="W1385" s="5">
        <f t="shared" si="435"/>
        <v>0</v>
      </c>
      <c r="X1385" s="5">
        <f t="shared" si="436"/>
        <v>0</v>
      </c>
      <c r="Y1385" s="5">
        <f t="shared" si="437"/>
        <v>0</v>
      </c>
      <c r="Z1385" s="5">
        <f t="shared" si="438"/>
        <v>0</v>
      </c>
      <c r="AA1385" s="5">
        <f t="shared" si="439"/>
        <v>0</v>
      </c>
      <c r="AB1385" s="5">
        <f t="shared" si="440"/>
        <v>0</v>
      </c>
    </row>
    <row r="1386" spans="4:28" x14ac:dyDescent="0.25">
      <c r="D1386" t="s">
        <v>93</v>
      </c>
      <c r="E1386" s="64"/>
      <c r="F1386" s="64"/>
      <c r="G1386">
        <f>IFERROR(HLOOKUP(G$2,[43]table_female_hkom1_inj.U3!$A$1:$K$36,25,FALSE),0)</f>
        <v>0</v>
      </c>
      <c r="H1386">
        <f>IFERROR(HLOOKUP(H$2,[43]table_female_hkom1_inj.U3!$A$1:$K$36,25,FALSE),0)</f>
        <v>0</v>
      </c>
      <c r="I1386">
        <f>IFERROR(HLOOKUP(I$2,[43]table_female_hkom1_inj.U3!$A$1:$K$36,25,FALSE),0)</f>
        <v>0</v>
      </c>
      <c r="J1386">
        <f>IFERROR(HLOOKUP(J$2,[43]table_female_hkom1_inj.U3!$A$1:$K$36,25,FALSE),0)</f>
        <v>0</v>
      </c>
      <c r="K1386">
        <f>IFERROR(HLOOKUP(K$2,[43]table_female_hkom1_inj.U3!$A$1:$K$36,25,FALSE),0)</f>
        <v>0</v>
      </c>
      <c r="L1386">
        <f>IFERROR(HLOOKUP(L$2,[43]table_female_hkom1_inj.U3!$A$1:$K$36,25,FALSE),0)</f>
        <v>0</v>
      </c>
      <c r="M1386">
        <f t="shared" si="441"/>
        <v>0</v>
      </c>
      <c r="S1386" t="s">
        <v>93</v>
      </c>
      <c r="T1386" s="5">
        <f t="shared" si="432"/>
        <v>0</v>
      </c>
      <c r="U1386" s="5">
        <f t="shared" si="433"/>
        <v>0</v>
      </c>
      <c r="V1386" s="5">
        <f t="shared" si="434"/>
        <v>0</v>
      </c>
      <c r="W1386" s="5">
        <f t="shared" si="435"/>
        <v>0</v>
      </c>
      <c r="X1386" s="5">
        <f t="shared" si="436"/>
        <v>0</v>
      </c>
      <c r="Y1386" s="5">
        <f t="shared" si="437"/>
        <v>0</v>
      </c>
      <c r="Z1386" s="5">
        <f t="shared" si="438"/>
        <v>0</v>
      </c>
      <c r="AA1386" s="5">
        <f t="shared" si="439"/>
        <v>0</v>
      </c>
      <c r="AB1386" s="5">
        <f t="shared" si="440"/>
        <v>0</v>
      </c>
    </row>
    <row r="1387" spans="4:28" x14ac:dyDescent="0.25">
      <c r="D1387" t="s">
        <v>94</v>
      </c>
      <c r="E1387" s="64"/>
      <c r="F1387" s="64"/>
      <c r="G1387">
        <f>IFERROR(HLOOKUP(G$2,[43]table_female_hkom1_inj.U3!$A$1:$K$36,26,FALSE),0)</f>
        <v>0</v>
      </c>
      <c r="H1387">
        <f>IFERROR(HLOOKUP(H$2,[43]table_female_hkom1_inj.U3!$A$1:$K$36,26,FALSE),0)</f>
        <v>0</v>
      </c>
      <c r="I1387">
        <f>IFERROR(HLOOKUP(I$2,[43]table_female_hkom1_inj.U3!$A$1:$K$36,26,FALSE),0)</f>
        <v>0</v>
      </c>
      <c r="J1387">
        <f>IFERROR(HLOOKUP(J$2,[43]table_female_hkom1_inj.U3!$A$1:$K$36,26,FALSE),0)</f>
        <v>0</v>
      </c>
      <c r="K1387">
        <f>IFERROR(HLOOKUP(K$2,[43]table_female_hkom1_inj.U3!$A$1:$K$36,26,FALSE),0)</f>
        <v>0</v>
      </c>
      <c r="L1387">
        <f>IFERROR(HLOOKUP(L$2,[43]table_female_hkom1_inj.U3!$A$1:$K$36,26,FALSE),0)</f>
        <v>0</v>
      </c>
      <c r="M1387">
        <f t="shared" si="441"/>
        <v>0</v>
      </c>
      <c r="S1387" t="s">
        <v>94</v>
      </c>
      <c r="T1387" s="5">
        <f t="shared" si="432"/>
        <v>0</v>
      </c>
      <c r="U1387" s="5">
        <f t="shared" si="433"/>
        <v>0</v>
      </c>
      <c r="V1387" s="5">
        <f t="shared" si="434"/>
        <v>0</v>
      </c>
      <c r="W1387" s="5">
        <f t="shared" si="435"/>
        <v>0</v>
      </c>
      <c r="X1387" s="5">
        <f t="shared" si="436"/>
        <v>0</v>
      </c>
      <c r="Y1387" s="5">
        <f t="shared" si="437"/>
        <v>0</v>
      </c>
      <c r="Z1387" s="5">
        <f t="shared" si="438"/>
        <v>0</v>
      </c>
      <c r="AA1387" s="5">
        <f t="shared" si="439"/>
        <v>0</v>
      </c>
      <c r="AB1387" s="5">
        <f t="shared" si="440"/>
        <v>0</v>
      </c>
    </row>
    <row r="1388" spans="4:28" x14ac:dyDescent="0.25">
      <c r="D1388" t="s">
        <v>95</v>
      </c>
      <c r="E1388" s="64"/>
      <c r="F1388" s="64"/>
      <c r="G1388">
        <f>IFERROR(HLOOKUP(G$2,[43]table_female_hkom1_inj.U3!$A$1:$K$36,27,FALSE),0)</f>
        <v>0</v>
      </c>
      <c r="H1388">
        <f>IFERROR(HLOOKUP(H$2,[43]table_female_hkom1_inj.U3!$A$1:$K$36,27,FALSE),0)</f>
        <v>0</v>
      </c>
      <c r="I1388">
        <f>IFERROR(HLOOKUP(I$2,[43]table_female_hkom1_inj.U3!$A$1:$K$36,27,FALSE),0)</f>
        <v>0</v>
      </c>
      <c r="J1388">
        <f>IFERROR(HLOOKUP(J$2,[43]table_female_hkom1_inj.U3!$A$1:$K$36,27,FALSE),0)</f>
        <v>0</v>
      </c>
      <c r="K1388">
        <f>IFERROR(HLOOKUP(K$2,[43]table_female_hkom1_inj.U3!$A$1:$K$36,27,FALSE),0)</f>
        <v>0</v>
      </c>
      <c r="L1388">
        <f>IFERROR(HLOOKUP(L$2,[43]table_female_hkom1_inj.U3!$A$1:$K$36,27,FALSE),0)</f>
        <v>0</v>
      </c>
      <c r="M1388">
        <f t="shared" si="441"/>
        <v>0</v>
      </c>
      <c r="S1388" t="s">
        <v>95</v>
      </c>
      <c r="T1388" s="5">
        <f t="shared" si="432"/>
        <v>0</v>
      </c>
      <c r="U1388" s="5">
        <f t="shared" si="433"/>
        <v>0</v>
      </c>
      <c r="V1388" s="5">
        <f t="shared" si="434"/>
        <v>0</v>
      </c>
      <c r="W1388" s="5">
        <f t="shared" si="435"/>
        <v>0</v>
      </c>
      <c r="X1388" s="5">
        <f t="shared" si="436"/>
        <v>0</v>
      </c>
      <c r="Y1388" s="5">
        <f t="shared" si="437"/>
        <v>0</v>
      </c>
      <c r="Z1388" s="5">
        <f t="shared" si="438"/>
        <v>0</v>
      </c>
      <c r="AA1388" s="5">
        <f t="shared" si="439"/>
        <v>0</v>
      </c>
      <c r="AB1388" s="5">
        <f t="shared" si="440"/>
        <v>0</v>
      </c>
    </row>
    <row r="1389" spans="4:28" x14ac:dyDescent="0.25">
      <c r="D1389" t="s">
        <v>96</v>
      </c>
      <c r="E1389" s="64"/>
      <c r="F1389" s="64"/>
      <c r="G1389">
        <f>IFERROR(HLOOKUP(G$2,[43]table_female_hkom1_inj.U3!$A$1:$K$36,28,FALSE),0)</f>
        <v>0</v>
      </c>
      <c r="H1389">
        <f>IFERROR(HLOOKUP(H$2,[43]table_female_hkom1_inj.U3!$A$1:$K$36,28,FALSE),0)</f>
        <v>0</v>
      </c>
      <c r="I1389">
        <f>IFERROR(HLOOKUP(I$2,[43]table_female_hkom1_inj.U3!$A$1:$K$36,28,FALSE),0)</f>
        <v>0</v>
      </c>
      <c r="J1389">
        <f>IFERROR(HLOOKUP(J$2,[43]table_female_hkom1_inj.U3!$A$1:$K$36,28,FALSE),0)</f>
        <v>0</v>
      </c>
      <c r="K1389">
        <f>IFERROR(HLOOKUP(K$2,[43]table_female_hkom1_inj.U3!$A$1:$K$36,28,FALSE),0)</f>
        <v>0</v>
      </c>
      <c r="L1389">
        <f>IFERROR(HLOOKUP(L$2,[43]table_female_hkom1_inj.U3!$A$1:$K$36,28,FALSE),0)</f>
        <v>0</v>
      </c>
      <c r="M1389">
        <f t="shared" si="441"/>
        <v>0</v>
      </c>
      <c r="S1389" t="s">
        <v>96</v>
      </c>
      <c r="T1389" s="5">
        <f t="shared" si="432"/>
        <v>0</v>
      </c>
      <c r="U1389" s="5">
        <f t="shared" si="433"/>
        <v>0</v>
      </c>
      <c r="V1389" s="5">
        <f t="shared" si="434"/>
        <v>0</v>
      </c>
      <c r="W1389" s="5">
        <f t="shared" si="435"/>
        <v>0</v>
      </c>
      <c r="X1389" s="5">
        <f t="shared" si="436"/>
        <v>0</v>
      </c>
      <c r="Y1389" s="5">
        <f t="shared" si="437"/>
        <v>0</v>
      </c>
      <c r="Z1389" s="5">
        <f t="shared" si="438"/>
        <v>0</v>
      </c>
      <c r="AA1389" s="5">
        <f t="shared" si="439"/>
        <v>0</v>
      </c>
      <c r="AB1389" s="5">
        <f t="shared" si="440"/>
        <v>0</v>
      </c>
    </row>
    <row r="1390" spans="4:28" x14ac:dyDescent="0.25">
      <c r="D1390" t="s">
        <v>97</v>
      </c>
      <c r="E1390" s="64"/>
      <c r="F1390" s="64"/>
      <c r="G1390">
        <f>IFERROR(HLOOKUP(G$2,[43]table_female_hkom1_inj.U3!$A$1:$K$36,29,FALSE),0)</f>
        <v>0</v>
      </c>
      <c r="H1390">
        <f>IFERROR(HLOOKUP(H$2,[43]table_female_hkom1_inj.U3!$A$1:$K$36,29,FALSE),0)</f>
        <v>0</v>
      </c>
      <c r="I1390">
        <f>IFERROR(HLOOKUP(I$2,[43]table_female_hkom1_inj.U3!$A$1:$K$36,29,FALSE),0)</f>
        <v>0</v>
      </c>
      <c r="J1390">
        <f>IFERROR(HLOOKUP(J$2,[43]table_female_hkom1_inj.U3!$A$1:$K$36,29,FALSE),0)</f>
        <v>0</v>
      </c>
      <c r="K1390">
        <f>IFERROR(HLOOKUP(K$2,[43]table_female_hkom1_inj.U3!$A$1:$K$36,29,FALSE),0)</f>
        <v>0</v>
      </c>
      <c r="L1390">
        <f>IFERROR(HLOOKUP(L$2,[43]table_female_hkom1_inj.U3!$A$1:$K$36,29,FALSE),0)</f>
        <v>0</v>
      </c>
      <c r="M1390">
        <f t="shared" si="441"/>
        <v>0</v>
      </c>
      <c r="S1390" t="s">
        <v>97</v>
      </c>
      <c r="T1390" s="5">
        <f t="shared" si="432"/>
        <v>0</v>
      </c>
      <c r="U1390" s="5">
        <f t="shared" si="433"/>
        <v>0</v>
      </c>
      <c r="V1390" s="5">
        <f t="shared" si="434"/>
        <v>0</v>
      </c>
      <c r="W1390" s="5">
        <f t="shared" si="435"/>
        <v>0</v>
      </c>
      <c r="X1390" s="5">
        <f t="shared" si="436"/>
        <v>0</v>
      </c>
      <c r="Y1390" s="5">
        <f t="shared" si="437"/>
        <v>0</v>
      </c>
      <c r="Z1390" s="5">
        <f t="shared" si="438"/>
        <v>0</v>
      </c>
      <c r="AA1390" s="5">
        <f t="shared" si="439"/>
        <v>0</v>
      </c>
      <c r="AB1390" s="5">
        <f t="shared" si="440"/>
        <v>0</v>
      </c>
    </row>
    <row r="1391" spans="4:28" x14ac:dyDescent="0.25">
      <c r="D1391" t="s">
        <v>98</v>
      </c>
      <c r="E1391" s="64"/>
      <c r="F1391" s="64"/>
      <c r="G1391">
        <f>IFERROR(HLOOKUP(G$2,[43]table_female_hkom1_inj.U3!$A$1:$K$36,30,FALSE),0)</f>
        <v>0</v>
      </c>
      <c r="H1391">
        <f>IFERROR(HLOOKUP(H$2,[43]table_female_hkom1_inj.U3!$A$1:$K$36,30,FALSE),0)</f>
        <v>3</v>
      </c>
      <c r="I1391">
        <f>IFERROR(HLOOKUP(I$2,[43]table_female_hkom1_inj.U3!$A$1:$K$36,30,FALSE),0)</f>
        <v>0</v>
      </c>
      <c r="J1391">
        <f>IFERROR(HLOOKUP(J$2,[43]table_female_hkom1_inj.U3!$A$1:$K$36,30,FALSE),0)</f>
        <v>0</v>
      </c>
      <c r="K1391">
        <f>IFERROR(HLOOKUP(K$2,[43]table_female_hkom1_inj.U3!$A$1:$K$36,30,FALSE),0)</f>
        <v>0</v>
      </c>
      <c r="L1391">
        <f>IFERROR(HLOOKUP(L$2,[43]table_female_hkom1_inj.U3!$A$1:$K$36,30,FALSE),0)</f>
        <v>0</v>
      </c>
      <c r="M1391">
        <f t="shared" si="441"/>
        <v>3</v>
      </c>
      <c r="S1391" t="s">
        <v>98</v>
      </c>
      <c r="T1391" s="5">
        <f t="shared" si="432"/>
        <v>0</v>
      </c>
      <c r="U1391" s="5">
        <f t="shared" si="433"/>
        <v>0</v>
      </c>
      <c r="V1391" s="5">
        <f t="shared" si="434"/>
        <v>0</v>
      </c>
      <c r="W1391" s="5">
        <f t="shared" si="435"/>
        <v>3.5207100591715976</v>
      </c>
      <c r="X1391" s="5">
        <f t="shared" si="436"/>
        <v>0</v>
      </c>
      <c r="Y1391" s="5">
        <f t="shared" si="437"/>
        <v>0</v>
      </c>
      <c r="Z1391" s="5">
        <f t="shared" si="438"/>
        <v>0</v>
      </c>
      <c r="AA1391" s="5">
        <f t="shared" si="439"/>
        <v>0</v>
      </c>
      <c r="AB1391" s="5">
        <f t="shared" si="440"/>
        <v>3.5207100591715976</v>
      </c>
    </row>
    <row r="1392" spans="4:28" x14ac:dyDescent="0.25">
      <c r="D1392" t="s">
        <v>119</v>
      </c>
      <c r="E1392" s="64"/>
      <c r="F1392" s="64"/>
      <c r="G1392">
        <f>IFERROR(HLOOKUP(G$2,[43]table_female_hkom1_inj.U3!$A$1:$K$36,31,FALSE),0)</f>
        <v>0</v>
      </c>
      <c r="H1392">
        <f>IFERROR(HLOOKUP(H$2,[43]table_female_hkom1_inj.U3!$A$1:$K$36,31,FALSE),0)</f>
        <v>0</v>
      </c>
      <c r="I1392">
        <f>IFERROR(HLOOKUP(I$2,[43]table_female_hkom1_inj.U3!$A$1:$K$36,31,FALSE),0)</f>
        <v>0</v>
      </c>
      <c r="J1392">
        <f>IFERROR(HLOOKUP(J$2,[43]table_female_hkom1_inj.U3!$A$1:$K$36,31,FALSE),0)</f>
        <v>0</v>
      </c>
      <c r="K1392">
        <f>IFERROR(HLOOKUP(K$2,[43]table_female_hkom1_inj.U3!$A$1:$K$36,31,FALSE),0)</f>
        <v>0</v>
      </c>
      <c r="L1392">
        <f>IFERROR(HLOOKUP(L$2,[43]table_female_hkom1_inj.U3!$A$1:$K$36,31,FALSE),0)</f>
        <v>0</v>
      </c>
      <c r="M1392">
        <f t="shared" si="441"/>
        <v>0</v>
      </c>
      <c r="S1392" t="s">
        <v>119</v>
      </c>
      <c r="T1392" s="5">
        <f t="shared" si="432"/>
        <v>0</v>
      </c>
      <c r="U1392" s="5">
        <f t="shared" si="433"/>
        <v>0</v>
      </c>
      <c r="V1392" s="5">
        <f t="shared" si="434"/>
        <v>0</v>
      </c>
      <c r="W1392" s="5">
        <f t="shared" si="435"/>
        <v>0</v>
      </c>
      <c r="X1392" s="5">
        <f t="shared" si="436"/>
        <v>0</v>
      </c>
      <c r="Y1392" s="5">
        <f t="shared" si="437"/>
        <v>0</v>
      </c>
      <c r="Z1392" s="5">
        <f t="shared" si="438"/>
        <v>0</v>
      </c>
      <c r="AA1392" s="5">
        <f t="shared" si="439"/>
        <v>0</v>
      </c>
      <c r="AB1392" s="5">
        <f t="shared" si="440"/>
        <v>0</v>
      </c>
    </row>
    <row r="1393" spans="1:29" x14ac:dyDescent="0.25">
      <c r="D1393" t="s">
        <v>99</v>
      </c>
      <c r="E1393" s="64"/>
      <c r="F1393" s="64"/>
      <c r="G1393">
        <f>IFERROR(HLOOKUP(G$2,[43]table_female_hkom1_inj.U3!$A$1:$K$36,32,FALSE),0)</f>
        <v>2</v>
      </c>
      <c r="H1393">
        <f>IFERROR(HLOOKUP(H$2,[43]table_female_hkom1_inj.U3!$A$1:$K$36,32,FALSE),0)</f>
        <v>2</v>
      </c>
      <c r="I1393">
        <f>IFERROR(HLOOKUP(I$2,[43]table_female_hkom1_inj.U3!$A$1:$K$36,32,FALSE),0)</f>
        <v>1</v>
      </c>
      <c r="J1393">
        <f>IFERROR(HLOOKUP(J$2,[43]table_female_hkom1_inj.U3!$A$1:$K$36,32,FALSE),0)</f>
        <v>0</v>
      </c>
      <c r="K1393">
        <f>IFERROR(HLOOKUP(K$2,[43]table_female_hkom1_inj.U3!$A$1:$K$36,32,FALSE),0)</f>
        <v>0</v>
      </c>
      <c r="L1393">
        <f>IFERROR(HLOOKUP(L$2,[43]table_female_hkom1_inj.U3!$A$1:$K$36,32,FALSE),0)</f>
        <v>0</v>
      </c>
      <c r="M1393">
        <f t="shared" si="441"/>
        <v>5</v>
      </c>
      <c r="S1393" t="s">
        <v>99</v>
      </c>
      <c r="T1393" s="5">
        <f t="shared" si="432"/>
        <v>0</v>
      </c>
      <c r="U1393" s="5">
        <f t="shared" si="433"/>
        <v>0</v>
      </c>
      <c r="V1393" s="5">
        <f t="shared" si="434"/>
        <v>2.5411764705882351</v>
      </c>
      <c r="W1393" s="5">
        <f t="shared" si="435"/>
        <v>2.3471400394477318</v>
      </c>
      <c r="X1393" s="5">
        <f t="shared" si="436"/>
        <v>1.1342592592592593</v>
      </c>
      <c r="Y1393" s="5">
        <f t="shared" si="437"/>
        <v>0</v>
      </c>
      <c r="Z1393" s="5">
        <f t="shared" si="438"/>
        <v>0</v>
      </c>
      <c r="AA1393" s="5">
        <f t="shared" si="439"/>
        <v>0</v>
      </c>
      <c r="AB1393" s="5">
        <f t="shared" si="440"/>
        <v>6.0225757692952264</v>
      </c>
    </row>
    <row r="1394" spans="1:29" x14ac:dyDescent="0.25">
      <c r="D1394" t="s">
        <v>100</v>
      </c>
      <c r="E1394" s="64"/>
      <c r="F1394" s="64"/>
      <c r="G1394">
        <f>IFERROR(HLOOKUP(G$2,[43]table_female_hkom1_inj.U3!$A$1:$K$36,33,FALSE),0)</f>
        <v>0</v>
      </c>
      <c r="H1394">
        <f>IFERROR(HLOOKUP(H$2,[43]table_female_hkom1_inj.U3!$A$1:$K$36,33,FALSE),0)</f>
        <v>3</v>
      </c>
      <c r="I1394">
        <f>IFERROR(HLOOKUP(I$2,[43]table_female_hkom1_inj.U3!$A$1:$K$36,33,FALSE),0)</f>
        <v>0</v>
      </c>
      <c r="J1394">
        <f>IFERROR(HLOOKUP(J$2,[43]table_female_hkom1_inj.U3!$A$1:$K$36,33,FALSE),0)</f>
        <v>0</v>
      </c>
      <c r="K1394">
        <f>IFERROR(HLOOKUP(K$2,[43]table_female_hkom1_inj.U3!$A$1:$K$36,33,FALSE),0)</f>
        <v>0</v>
      </c>
      <c r="L1394">
        <f>IFERROR(HLOOKUP(L$2,[43]table_female_hkom1_inj.U3!$A$1:$K$36,33,FALSE),0)</f>
        <v>0</v>
      </c>
      <c r="M1394">
        <f t="shared" si="441"/>
        <v>3</v>
      </c>
      <c r="S1394" t="s">
        <v>100</v>
      </c>
      <c r="T1394" s="5">
        <f t="shared" si="432"/>
        <v>0</v>
      </c>
      <c r="U1394" s="5">
        <f t="shared" si="433"/>
        <v>0</v>
      </c>
      <c r="V1394" s="5">
        <f t="shared" si="434"/>
        <v>0</v>
      </c>
      <c r="W1394" s="5">
        <f t="shared" si="435"/>
        <v>3.5207100591715976</v>
      </c>
      <c r="X1394" s="5">
        <f t="shared" si="436"/>
        <v>0</v>
      </c>
      <c r="Y1394" s="5">
        <f t="shared" si="437"/>
        <v>0</v>
      </c>
      <c r="Z1394" s="5">
        <f t="shared" si="438"/>
        <v>0</v>
      </c>
      <c r="AA1394" s="5">
        <f t="shared" si="439"/>
        <v>0</v>
      </c>
      <c r="AB1394" s="5">
        <f t="shared" si="440"/>
        <v>3.5207100591715976</v>
      </c>
    </row>
    <row r="1395" spans="1:29" x14ac:dyDescent="0.25">
      <c r="D1395" t="s">
        <v>101</v>
      </c>
      <c r="E1395" s="64"/>
      <c r="F1395" s="64"/>
      <c r="G1395">
        <f>IFERROR(HLOOKUP(G$2,[43]table_female_hkom1_inj.U3!$A$1:$K$36,34,FALSE),0)</f>
        <v>17</v>
      </c>
      <c r="H1395">
        <f>IFERROR(HLOOKUP(H$2,[43]table_female_hkom1_inj.U3!$A$1:$K$36,34,FALSE),0)</f>
        <v>11</v>
      </c>
      <c r="I1395">
        <f>IFERROR(HLOOKUP(I$2,[43]table_female_hkom1_inj.U3!$A$1:$K$36,34,FALSE),0)</f>
        <v>7</v>
      </c>
      <c r="J1395">
        <f>IFERROR(HLOOKUP(J$2,[43]table_female_hkom1_inj.U3!$A$1:$K$36,34,FALSE),0)</f>
        <v>0</v>
      </c>
      <c r="K1395">
        <f>IFERROR(HLOOKUP(K$2,[43]table_female_hkom1_inj.U3!$A$1:$K$36,34,FALSE),0)</f>
        <v>0</v>
      </c>
      <c r="L1395">
        <f>IFERROR(HLOOKUP(L$2,[43]table_female_hkom1_inj.U3!$A$1:$K$36,34,FALSE),0)</f>
        <v>0</v>
      </c>
      <c r="M1395">
        <f t="shared" si="441"/>
        <v>35</v>
      </c>
      <c r="S1395" t="s">
        <v>101</v>
      </c>
      <c r="T1395" s="5">
        <f t="shared" si="432"/>
        <v>0</v>
      </c>
      <c r="U1395" s="5">
        <f t="shared" si="433"/>
        <v>0</v>
      </c>
      <c r="V1395" s="5">
        <f t="shared" si="434"/>
        <v>21.6</v>
      </c>
      <c r="W1395" s="5">
        <f t="shared" si="435"/>
        <v>12.909270216962526</v>
      </c>
      <c r="X1395" s="5">
        <f t="shared" si="436"/>
        <v>7.9398148148148149</v>
      </c>
      <c r="Y1395" s="5">
        <f t="shared" si="437"/>
        <v>0</v>
      </c>
      <c r="Z1395" s="5">
        <f t="shared" si="438"/>
        <v>0</v>
      </c>
      <c r="AA1395" s="5">
        <f t="shared" si="439"/>
        <v>0</v>
      </c>
      <c r="AB1395" s="5">
        <f t="shared" si="440"/>
        <v>42.449085031777344</v>
      </c>
    </row>
    <row r="1396" spans="1:29" x14ac:dyDescent="0.25">
      <c r="D1396" t="s">
        <v>102</v>
      </c>
      <c r="E1396" s="64"/>
      <c r="F1396" s="64"/>
      <c r="G1396">
        <f>IFERROR(HLOOKUP(G$2,[43]table_female_hkom1_inj.U3!$A$1:$K$36,35,FALSE),0)</f>
        <v>69</v>
      </c>
      <c r="H1396">
        <f>IFERROR(HLOOKUP(H$2,[43]table_female_hkom1_inj.U3!$A$1:$K$36,35,FALSE),0)</f>
        <v>88</v>
      </c>
      <c r="I1396">
        <f>IFERROR(HLOOKUP(I$2,[43]table_female_hkom1_inj.U3!$A$1:$K$36,35,FALSE),0)</f>
        <v>58</v>
      </c>
      <c r="J1396">
        <f>IFERROR(HLOOKUP(J$2,[43]table_female_hkom1_inj.U3!$A$1:$K$36,35,FALSE),0)</f>
        <v>9</v>
      </c>
      <c r="K1396">
        <f>IFERROR(HLOOKUP(K$2,[43]table_female_hkom1_inj.U3!$A$1:$K$36,35,FALSE),0)</f>
        <v>1</v>
      </c>
      <c r="L1396">
        <f>IFERROR(HLOOKUP(L$2,[43]table_female_hkom1_inj.U3!$A$1:$K$36,35,FALSE),0)</f>
        <v>0</v>
      </c>
      <c r="M1396">
        <f t="shared" si="441"/>
        <v>225</v>
      </c>
      <c r="N1396">
        <f>SUM(M1363:M1396)</f>
        <v>1513</v>
      </c>
      <c r="O1396" s="8">
        <f>SUM([43]table_female_hkom1_inj.U3!$B$2:$L$37)</f>
        <v>1513</v>
      </c>
      <c r="S1396" t="s">
        <v>102</v>
      </c>
      <c r="T1396" s="7"/>
      <c r="U1396" s="7"/>
      <c r="V1396" s="7"/>
      <c r="W1396" s="7"/>
      <c r="X1396" s="7"/>
      <c r="Y1396" s="7"/>
      <c r="Z1396" s="7"/>
      <c r="AA1396" s="7"/>
      <c r="AB1396" s="5">
        <f t="shared" si="440"/>
        <v>0</v>
      </c>
      <c r="AC1396" s="5">
        <f>SUM(AB1363:AB1395)</f>
        <v>1512.9999999999995</v>
      </c>
    </row>
    <row r="1397" spans="1:29" x14ac:dyDescent="0.25">
      <c r="A1397" t="s">
        <v>115</v>
      </c>
      <c r="B1397" t="s">
        <v>103</v>
      </c>
      <c r="C1397" t="s">
        <v>112</v>
      </c>
      <c r="D1397" t="s">
        <v>70</v>
      </c>
      <c r="E1397" s="64"/>
      <c r="F1397" s="64"/>
      <c r="G1397">
        <f>IFERROR(HLOOKUP(G$2,[44]table_female_hkom1_inj.U4!$A$1:$K$36,2,FALSE),0)</f>
        <v>0</v>
      </c>
      <c r="H1397">
        <f>IFERROR(HLOOKUP(H$2,[44]table_female_hkom1_inj.U4!$A$1:$K$36,2,FALSE),0)</f>
        <v>0</v>
      </c>
      <c r="I1397">
        <f>IFERROR(HLOOKUP(I$2,[44]table_female_hkom1_inj.U4!$A$1:$K$36,2,FALSE),0)</f>
        <v>0</v>
      </c>
      <c r="J1397">
        <f>IFERROR(HLOOKUP(J$2,[44]table_female_hkom1_inj.U4!$A$1:$K$36,2,FALSE),0)</f>
        <v>0</v>
      </c>
      <c r="K1397">
        <f>IFERROR(HLOOKUP(K$2,[44]table_female_hkom1_inj.U4!$A$1:$K$36,2,FALSE),0)</f>
        <v>0</v>
      </c>
      <c r="L1397">
        <f>IFERROR(HLOOKUP(L$2,[44]table_female_hkom1_inj.U4!$A$1:$K$36,2,FALSE),0)</f>
        <v>0</v>
      </c>
      <c r="M1397">
        <f t="shared" si="441"/>
        <v>0</v>
      </c>
      <c r="P1397" t="s">
        <v>115</v>
      </c>
      <c r="Q1397" t="s">
        <v>103</v>
      </c>
      <c r="R1397" t="s">
        <v>112</v>
      </c>
      <c r="S1397" t="s">
        <v>70</v>
      </c>
      <c r="T1397" s="5">
        <f>IF(SUM(E$1397:E$1429)=0,E$1430/33,E1397+IFERROR(E1397/SUM(E$1397:E$1429)*E$1430,0))</f>
        <v>0</v>
      </c>
      <c r="U1397" s="5">
        <f t="shared" ref="U1397:AA1397" si="442">IF(SUM(F$1397:F$1429)=0,F$1430/33,F1397+IFERROR(F1397/SUM(F$1397:F$1429)*F$1430,0))</f>
        <v>0</v>
      </c>
      <c r="V1397" s="5">
        <f t="shared" si="442"/>
        <v>0</v>
      </c>
      <c r="W1397" s="5">
        <f t="shared" si="442"/>
        <v>0</v>
      </c>
      <c r="X1397" s="5">
        <f t="shared" si="442"/>
        <v>0</v>
      </c>
      <c r="Y1397" s="5">
        <f t="shared" si="442"/>
        <v>0</v>
      </c>
      <c r="Z1397" s="5">
        <f t="shared" si="442"/>
        <v>0</v>
      </c>
      <c r="AA1397" s="5">
        <f t="shared" si="442"/>
        <v>0</v>
      </c>
      <c r="AB1397" s="5">
        <f t="shared" si="440"/>
        <v>0</v>
      </c>
    </row>
    <row r="1398" spans="1:29" x14ac:dyDescent="0.25">
      <c r="D1398" t="s">
        <v>71</v>
      </c>
      <c r="E1398" s="64"/>
      <c r="F1398" s="64"/>
      <c r="G1398">
        <f>IFERROR(HLOOKUP(G$2,[44]table_female_hkom1_inj.U4!$A$1:$K$36,3,FALSE),0)</f>
        <v>0</v>
      </c>
      <c r="H1398">
        <f>IFERROR(HLOOKUP(H$2,[44]table_female_hkom1_inj.U4!$A$1:$K$36,3,FALSE),0)</f>
        <v>0</v>
      </c>
      <c r="I1398">
        <f>IFERROR(HLOOKUP(I$2,[44]table_female_hkom1_inj.U4!$A$1:$K$36,3,FALSE),0)</f>
        <v>0</v>
      </c>
      <c r="J1398">
        <f>IFERROR(HLOOKUP(J$2,[44]table_female_hkom1_inj.U4!$A$1:$K$36,3,FALSE),0)</f>
        <v>0</v>
      </c>
      <c r="K1398">
        <f>IFERROR(HLOOKUP(K$2,[44]table_female_hkom1_inj.U4!$A$1:$K$36,3,FALSE),0)</f>
        <v>0</v>
      </c>
      <c r="L1398">
        <f>IFERROR(HLOOKUP(L$2,[44]table_female_hkom1_inj.U4!$A$1:$K$36,3,FALSE),0)</f>
        <v>0</v>
      </c>
      <c r="M1398">
        <f t="shared" si="441"/>
        <v>0</v>
      </c>
      <c r="S1398" t="s">
        <v>71</v>
      </c>
      <c r="T1398" s="5">
        <f t="shared" ref="T1398:T1429" si="443">IF(SUM(E$1397:E$1429)=0,E$1430/33,E1398+IFERROR(E1398/SUM(E$1397:E$1429)*E$1430,0))</f>
        <v>0</v>
      </c>
      <c r="U1398" s="5">
        <f t="shared" ref="U1398:U1429" si="444">IF(SUM(F$1397:F$1429)=0,F$1430/33,F1398+IFERROR(F1398/SUM(F$1397:F$1429)*F$1430,0))</f>
        <v>0</v>
      </c>
      <c r="V1398" s="5">
        <f t="shared" ref="V1398:V1429" si="445">IF(SUM(G$1397:G$1429)=0,G$1430/33,G1398+IFERROR(G1398/SUM(G$1397:G$1429)*G$1430,0))</f>
        <v>0</v>
      </c>
      <c r="W1398" s="5">
        <f t="shared" ref="W1398:W1429" si="446">IF(SUM(H$1397:H$1429)=0,H$1430/33,H1398+IFERROR(H1398/SUM(H$1397:H$1429)*H$1430,0))</f>
        <v>0</v>
      </c>
      <c r="X1398" s="5">
        <f t="shared" ref="X1398:X1429" si="447">IF(SUM(I$1397:I$1429)=0,I$1430/33,I1398+IFERROR(I1398/SUM(I$1397:I$1429)*I$1430,0))</f>
        <v>0</v>
      </c>
      <c r="Y1398" s="5">
        <f t="shared" ref="Y1398:Y1429" si="448">IF(SUM(J$1397:J$1429)=0,J$1430/33,J1398+IFERROR(J1398/SUM(J$1397:J$1429)*J$1430,0))</f>
        <v>0</v>
      </c>
      <c r="Z1398" s="5">
        <f t="shared" ref="Z1398:Z1429" si="449">IF(SUM(K$1397:K$1429)=0,K$1430/33,K1398+IFERROR(K1398/SUM(K$1397:K$1429)*K$1430,0))</f>
        <v>0</v>
      </c>
      <c r="AA1398" s="5">
        <f t="shared" ref="AA1398:AA1429" si="450">IF(SUM(L$1397:L$1429)=0,L$1430/33,L1398+IFERROR(L1398/SUM(L$1397:L$1429)*L$1430,0))</f>
        <v>0</v>
      </c>
      <c r="AB1398" s="5">
        <f t="shared" si="440"/>
        <v>0</v>
      </c>
    </row>
    <row r="1399" spans="1:29" x14ac:dyDescent="0.25">
      <c r="D1399" t="s">
        <v>72</v>
      </c>
      <c r="E1399" s="64"/>
      <c r="F1399" s="64"/>
      <c r="G1399">
        <f>IFERROR(HLOOKUP(G$2,[44]table_female_hkom1_inj.U4!$A$1:$K$36,4,FALSE),0)</f>
        <v>0</v>
      </c>
      <c r="H1399">
        <f>IFERROR(HLOOKUP(H$2,[44]table_female_hkom1_inj.U4!$A$1:$K$36,4,FALSE),0)</f>
        <v>0</v>
      </c>
      <c r="I1399">
        <f>IFERROR(HLOOKUP(I$2,[44]table_female_hkom1_inj.U4!$A$1:$K$36,4,FALSE),0)</f>
        <v>0</v>
      </c>
      <c r="J1399">
        <f>IFERROR(HLOOKUP(J$2,[44]table_female_hkom1_inj.U4!$A$1:$K$36,4,FALSE),0)</f>
        <v>0</v>
      </c>
      <c r="K1399">
        <f>IFERROR(HLOOKUP(K$2,[44]table_female_hkom1_inj.U4!$A$1:$K$36,4,FALSE),0)</f>
        <v>0</v>
      </c>
      <c r="L1399">
        <f>IFERROR(HLOOKUP(L$2,[44]table_female_hkom1_inj.U4!$A$1:$K$36,4,FALSE),0)</f>
        <v>0</v>
      </c>
      <c r="M1399">
        <f t="shared" si="441"/>
        <v>0</v>
      </c>
      <c r="S1399" t="s">
        <v>72</v>
      </c>
      <c r="T1399" s="5">
        <f t="shared" si="443"/>
        <v>0</v>
      </c>
      <c r="U1399" s="5">
        <f t="shared" si="444"/>
        <v>0</v>
      </c>
      <c r="V1399" s="5">
        <f t="shared" si="445"/>
        <v>0</v>
      </c>
      <c r="W1399" s="5">
        <f t="shared" si="446"/>
        <v>0</v>
      </c>
      <c r="X1399" s="5">
        <f t="shared" si="447"/>
        <v>0</v>
      </c>
      <c r="Y1399" s="5">
        <f t="shared" si="448"/>
        <v>0</v>
      </c>
      <c r="Z1399" s="5">
        <f t="shared" si="449"/>
        <v>0</v>
      </c>
      <c r="AA1399" s="5">
        <f t="shared" si="450"/>
        <v>0</v>
      </c>
      <c r="AB1399" s="5">
        <f t="shared" si="440"/>
        <v>0</v>
      </c>
    </row>
    <row r="1400" spans="1:29" x14ac:dyDescent="0.25">
      <c r="D1400" t="s">
        <v>73</v>
      </c>
      <c r="E1400" s="64"/>
      <c r="F1400" s="64"/>
      <c r="G1400">
        <f>IFERROR(HLOOKUP(G$2,[44]table_female_hkom1_inj.U4!$A$1:$K$36,5,FALSE),0)</f>
        <v>0</v>
      </c>
      <c r="H1400">
        <f>IFERROR(HLOOKUP(H$2,[44]table_female_hkom1_inj.U4!$A$1:$K$36,5,FALSE),0)</f>
        <v>0</v>
      </c>
      <c r="I1400">
        <f>IFERROR(HLOOKUP(I$2,[44]table_female_hkom1_inj.U4!$A$1:$K$36,5,FALSE),0)</f>
        <v>0</v>
      </c>
      <c r="J1400">
        <f>IFERROR(HLOOKUP(J$2,[44]table_female_hkom1_inj.U4!$A$1:$K$36,5,FALSE),0)</f>
        <v>0</v>
      </c>
      <c r="K1400">
        <f>IFERROR(HLOOKUP(K$2,[44]table_female_hkom1_inj.U4!$A$1:$K$36,5,FALSE),0)</f>
        <v>0</v>
      </c>
      <c r="L1400">
        <f>IFERROR(HLOOKUP(L$2,[44]table_female_hkom1_inj.U4!$A$1:$K$36,5,FALSE),0)</f>
        <v>0</v>
      </c>
      <c r="M1400">
        <f t="shared" si="441"/>
        <v>0</v>
      </c>
      <c r="S1400" t="s">
        <v>73</v>
      </c>
      <c r="T1400" s="5">
        <f t="shared" si="443"/>
        <v>0</v>
      </c>
      <c r="U1400" s="5">
        <f t="shared" si="444"/>
        <v>0</v>
      </c>
      <c r="V1400" s="5">
        <f t="shared" si="445"/>
        <v>0</v>
      </c>
      <c r="W1400" s="5">
        <f t="shared" si="446"/>
        <v>0</v>
      </c>
      <c r="X1400" s="5">
        <f t="shared" si="447"/>
        <v>0</v>
      </c>
      <c r="Y1400" s="5">
        <f t="shared" si="448"/>
        <v>0</v>
      </c>
      <c r="Z1400" s="5">
        <f t="shared" si="449"/>
        <v>0</v>
      </c>
      <c r="AA1400" s="5">
        <f t="shared" si="450"/>
        <v>0</v>
      </c>
      <c r="AB1400" s="5">
        <f t="shared" si="440"/>
        <v>0</v>
      </c>
    </row>
    <row r="1401" spans="1:29" x14ac:dyDescent="0.25">
      <c r="D1401" t="s">
        <v>74</v>
      </c>
      <c r="E1401" s="64"/>
      <c r="F1401" s="64"/>
      <c r="G1401">
        <f>IFERROR(HLOOKUP(G$2,[44]table_female_hkom1_inj.U4!$A$1:$K$36,6,FALSE),0)</f>
        <v>0</v>
      </c>
      <c r="H1401">
        <f>IFERROR(HLOOKUP(H$2,[44]table_female_hkom1_inj.U4!$A$1:$K$36,6,FALSE),0)</f>
        <v>0</v>
      </c>
      <c r="I1401">
        <f>IFERROR(HLOOKUP(I$2,[44]table_female_hkom1_inj.U4!$A$1:$K$36,6,FALSE),0)</f>
        <v>0</v>
      </c>
      <c r="J1401">
        <f>IFERROR(HLOOKUP(J$2,[44]table_female_hkom1_inj.U4!$A$1:$K$36,6,FALSE),0)</f>
        <v>0</v>
      </c>
      <c r="K1401">
        <f>IFERROR(HLOOKUP(K$2,[44]table_female_hkom1_inj.U4!$A$1:$K$36,6,FALSE),0)</f>
        <v>0</v>
      </c>
      <c r="L1401">
        <f>IFERROR(HLOOKUP(L$2,[44]table_female_hkom1_inj.U4!$A$1:$K$36,6,FALSE),0)</f>
        <v>0</v>
      </c>
      <c r="M1401">
        <f t="shared" si="441"/>
        <v>0</v>
      </c>
      <c r="S1401" t="s">
        <v>74</v>
      </c>
      <c r="T1401" s="5">
        <f t="shared" si="443"/>
        <v>0</v>
      </c>
      <c r="U1401" s="5">
        <f t="shared" si="444"/>
        <v>0</v>
      </c>
      <c r="V1401" s="5">
        <f t="shared" si="445"/>
        <v>0</v>
      </c>
      <c r="W1401" s="5">
        <f t="shared" si="446"/>
        <v>0</v>
      </c>
      <c r="X1401" s="5">
        <f t="shared" si="447"/>
        <v>0</v>
      </c>
      <c r="Y1401" s="5">
        <f t="shared" si="448"/>
        <v>0</v>
      </c>
      <c r="Z1401" s="5">
        <f t="shared" si="449"/>
        <v>0</v>
      </c>
      <c r="AA1401" s="5">
        <f t="shared" si="450"/>
        <v>0</v>
      </c>
      <c r="AB1401" s="5">
        <f t="shared" si="440"/>
        <v>0</v>
      </c>
    </row>
    <row r="1402" spans="1:29" x14ac:dyDescent="0.25">
      <c r="D1402" t="s">
        <v>75</v>
      </c>
      <c r="E1402" s="64"/>
      <c r="F1402" s="64"/>
      <c r="G1402">
        <f>IFERROR(HLOOKUP(G$2,[44]table_female_hkom1_inj.U4!$A$1:$K$36,7,FALSE),0)</f>
        <v>0</v>
      </c>
      <c r="H1402">
        <f>IFERROR(HLOOKUP(H$2,[44]table_female_hkom1_inj.U4!$A$1:$K$36,7,FALSE),0)</f>
        <v>0</v>
      </c>
      <c r="I1402">
        <f>IFERROR(HLOOKUP(I$2,[44]table_female_hkom1_inj.U4!$A$1:$K$36,7,FALSE),0)</f>
        <v>0</v>
      </c>
      <c r="J1402">
        <f>IFERROR(HLOOKUP(J$2,[44]table_female_hkom1_inj.U4!$A$1:$K$36,7,FALSE),0)</f>
        <v>0</v>
      </c>
      <c r="K1402">
        <f>IFERROR(HLOOKUP(K$2,[44]table_female_hkom1_inj.U4!$A$1:$K$36,7,FALSE),0)</f>
        <v>0</v>
      </c>
      <c r="L1402">
        <f>IFERROR(HLOOKUP(L$2,[44]table_female_hkom1_inj.U4!$A$1:$K$36,7,FALSE),0)</f>
        <v>0</v>
      </c>
      <c r="M1402">
        <f t="shared" si="441"/>
        <v>0</v>
      </c>
      <c r="S1402" t="s">
        <v>75</v>
      </c>
      <c r="T1402" s="5">
        <f t="shared" si="443"/>
        <v>0</v>
      </c>
      <c r="U1402" s="5">
        <f t="shared" si="444"/>
        <v>0</v>
      </c>
      <c r="V1402" s="5">
        <f t="shared" si="445"/>
        <v>0</v>
      </c>
      <c r="W1402" s="5">
        <f t="shared" si="446"/>
        <v>0</v>
      </c>
      <c r="X1402" s="5">
        <f t="shared" si="447"/>
        <v>0</v>
      </c>
      <c r="Y1402" s="5">
        <f t="shared" si="448"/>
        <v>0</v>
      </c>
      <c r="Z1402" s="5">
        <f t="shared" si="449"/>
        <v>0</v>
      </c>
      <c r="AA1402" s="5">
        <f t="shared" si="450"/>
        <v>0</v>
      </c>
      <c r="AB1402" s="5">
        <f t="shared" si="440"/>
        <v>0</v>
      </c>
    </row>
    <row r="1403" spans="1:29" x14ac:dyDescent="0.25">
      <c r="D1403" t="s">
        <v>76</v>
      </c>
      <c r="E1403" s="64"/>
      <c r="F1403" s="64"/>
      <c r="G1403">
        <f>IFERROR(HLOOKUP(G$2,[44]table_female_hkom1_inj.U4!$A$1:$K$36,8,FALSE),0)</f>
        <v>0</v>
      </c>
      <c r="H1403">
        <f>IFERROR(HLOOKUP(H$2,[44]table_female_hkom1_inj.U4!$A$1:$K$36,8,FALSE),0)</f>
        <v>0</v>
      </c>
      <c r="I1403">
        <f>IFERROR(HLOOKUP(I$2,[44]table_female_hkom1_inj.U4!$A$1:$K$36,8,FALSE),0)</f>
        <v>0</v>
      </c>
      <c r="J1403">
        <f>IFERROR(HLOOKUP(J$2,[44]table_female_hkom1_inj.U4!$A$1:$K$36,8,FALSE),0)</f>
        <v>0</v>
      </c>
      <c r="K1403">
        <f>IFERROR(HLOOKUP(K$2,[44]table_female_hkom1_inj.U4!$A$1:$K$36,8,FALSE),0)</f>
        <v>0</v>
      </c>
      <c r="L1403">
        <f>IFERROR(HLOOKUP(L$2,[44]table_female_hkom1_inj.U4!$A$1:$K$36,8,FALSE),0)</f>
        <v>0</v>
      </c>
      <c r="M1403">
        <f t="shared" si="441"/>
        <v>0</v>
      </c>
      <c r="S1403" t="s">
        <v>76</v>
      </c>
      <c r="T1403" s="5">
        <f t="shared" si="443"/>
        <v>0</v>
      </c>
      <c r="U1403" s="5">
        <f t="shared" si="444"/>
        <v>0</v>
      </c>
      <c r="V1403" s="5">
        <f t="shared" si="445"/>
        <v>0</v>
      </c>
      <c r="W1403" s="5">
        <f t="shared" si="446"/>
        <v>0</v>
      </c>
      <c r="X1403" s="5">
        <f t="shared" si="447"/>
        <v>0</v>
      </c>
      <c r="Y1403" s="5">
        <f t="shared" si="448"/>
        <v>0</v>
      </c>
      <c r="Z1403" s="5">
        <f t="shared" si="449"/>
        <v>0</v>
      </c>
      <c r="AA1403" s="5">
        <f t="shared" si="450"/>
        <v>0</v>
      </c>
      <c r="AB1403" s="5">
        <f t="shared" si="440"/>
        <v>0</v>
      </c>
    </row>
    <row r="1404" spans="1:29" x14ac:dyDescent="0.25">
      <c r="D1404" t="s">
        <v>77</v>
      </c>
      <c r="E1404" s="64"/>
      <c r="F1404" s="64"/>
      <c r="G1404">
        <f>IFERROR(HLOOKUP(G$2,[44]table_female_hkom1_inj.U4!$A$1:$K$36,9,FALSE),0)</f>
        <v>0</v>
      </c>
      <c r="H1404">
        <f>IFERROR(HLOOKUP(H$2,[44]table_female_hkom1_inj.U4!$A$1:$K$36,9,FALSE),0)</f>
        <v>0</v>
      </c>
      <c r="I1404">
        <f>IFERROR(HLOOKUP(I$2,[44]table_female_hkom1_inj.U4!$A$1:$K$36,9,FALSE),0)</f>
        <v>0</v>
      </c>
      <c r="J1404">
        <f>IFERROR(HLOOKUP(J$2,[44]table_female_hkom1_inj.U4!$A$1:$K$36,9,FALSE),0)</f>
        <v>0</v>
      </c>
      <c r="K1404">
        <f>IFERROR(HLOOKUP(K$2,[44]table_female_hkom1_inj.U4!$A$1:$K$36,9,FALSE),0)</f>
        <v>0</v>
      </c>
      <c r="L1404">
        <f>IFERROR(HLOOKUP(L$2,[44]table_female_hkom1_inj.U4!$A$1:$K$36,9,FALSE),0)</f>
        <v>0</v>
      </c>
      <c r="M1404">
        <f t="shared" si="441"/>
        <v>0</v>
      </c>
      <c r="S1404" t="s">
        <v>77</v>
      </c>
      <c r="T1404" s="5">
        <f t="shared" si="443"/>
        <v>0</v>
      </c>
      <c r="U1404" s="5">
        <f t="shared" si="444"/>
        <v>0</v>
      </c>
      <c r="V1404" s="5">
        <f t="shared" si="445"/>
        <v>0</v>
      </c>
      <c r="W1404" s="5">
        <f t="shared" si="446"/>
        <v>0</v>
      </c>
      <c r="X1404" s="5">
        <f t="shared" si="447"/>
        <v>0</v>
      </c>
      <c r="Y1404" s="5">
        <f t="shared" si="448"/>
        <v>0</v>
      </c>
      <c r="Z1404" s="5">
        <f t="shared" si="449"/>
        <v>0</v>
      </c>
      <c r="AA1404" s="5">
        <f t="shared" si="450"/>
        <v>0</v>
      </c>
      <c r="AB1404" s="5">
        <f t="shared" si="440"/>
        <v>0</v>
      </c>
    </row>
    <row r="1405" spans="1:29" x14ac:dyDescent="0.25">
      <c r="D1405" t="s">
        <v>78</v>
      </c>
      <c r="E1405" s="64"/>
      <c r="F1405" s="64"/>
      <c r="G1405">
        <f>IFERROR(HLOOKUP(G$2,[44]table_female_hkom1_inj.U4!$A$1:$K$36,10,FALSE),0)</f>
        <v>0</v>
      </c>
      <c r="H1405">
        <f>IFERROR(HLOOKUP(H$2,[44]table_female_hkom1_inj.U4!$A$1:$K$36,10,FALSE),0)</f>
        <v>0</v>
      </c>
      <c r="I1405">
        <f>IFERROR(HLOOKUP(I$2,[44]table_female_hkom1_inj.U4!$A$1:$K$36,10,FALSE),0)</f>
        <v>0</v>
      </c>
      <c r="J1405">
        <f>IFERROR(HLOOKUP(J$2,[44]table_female_hkom1_inj.U4!$A$1:$K$36,10,FALSE),0)</f>
        <v>0</v>
      </c>
      <c r="K1405">
        <f>IFERROR(HLOOKUP(K$2,[44]table_female_hkom1_inj.U4!$A$1:$K$36,10,FALSE),0)</f>
        <v>0</v>
      </c>
      <c r="L1405">
        <f>IFERROR(HLOOKUP(L$2,[44]table_female_hkom1_inj.U4!$A$1:$K$36,10,FALSE),0)</f>
        <v>0</v>
      </c>
      <c r="M1405">
        <f t="shared" si="441"/>
        <v>0</v>
      </c>
      <c r="S1405" t="s">
        <v>78</v>
      </c>
      <c r="T1405" s="5">
        <f t="shared" si="443"/>
        <v>0</v>
      </c>
      <c r="U1405" s="5">
        <f t="shared" si="444"/>
        <v>0</v>
      </c>
      <c r="V1405" s="5">
        <f t="shared" si="445"/>
        <v>0</v>
      </c>
      <c r="W1405" s="5">
        <f t="shared" si="446"/>
        <v>0</v>
      </c>
      <c r="X1405" s="5">
        <f t="shared" si="447"/>
        <v>0</v>
      </c>
      <c r="Y1405" s="5">
        <f t="shared" si="448"/>
        <v>0</v>
      </c>
      <c r="Z1405" s="5">
        <f t="shared" si="449"/>
        <v>0</v>
      </c>
      <c r="AA1405" s="5">
        <f t="shared" si="450"/>
        <v>0</v>
      </c>
      <c r="AB1405" s="5">
        <f t="shared" si="440"/>
        <v>0</v>
      </c>
    </row>
    <row r="1406" spans="1:29" x14ac:dyDescent="0.25">
      <c r="D1406" t="s">
        <v>79</v>
      </c>
      <c r="E1406" s="64"/>
      <c r="F1406" s="64"/>
      <c r="G1406">
        <f>IFERROR(HLOOKUP(G$2,[44]table_female_hkom1_inj.U4!$A$1:$K$36,11,FALSE),0)</f>
        <v>0</v>
      </c>
      <c r="H1406">
        <f>IFERROR(HLOOKUP(H$2,[44]table_female_hkom1_inj.U4!$A$1:$K$36,11,FALSE),0)</f>
        <v>0</v>
      </c>
      <c r="I1406">
        <f>IFERROR(HLOOKUP(I$2,[44]table_female_hkom1_inj.U4!$A$1:$K$36,11,FALSE),0)</f>
        <v>0</v>
      </c>
      <c r="J1406">
        <f>IFERROR(HLOOKUP(J$2,[44]table_female_hkom1_inj.U4!$A$1:$K$36,11,FALSE),0)</f>
        <v>0</v>
      </c>
      <c r="K1406">
        <f>IFERROR(HLOOKUP(K$2,[44]table_female_hkom1_inj.U4!$A$1:$K$36,11,FALSE),0)</f>
        <v>0</v>
      </c>
      <c r="L1406">
        <f>IFERROR(HLOOKUP(L$2,[44]table_female_hkom1_inj.U4!$A$1:$K$36,11,FALSE),0)</f>
        <v>0</v>
      </c>
      <c r="M1406">
        <f t="shared" si="441"/>
        <v>0</v>
      </c>
      <c r="S1406" t="s">
        <v>79</v>
      </c>
      <c r="T1406" s="5">
        <f t="shared" si="443"/>
        <v>0</v>
      </c>
      <c r="U1406" s="5">
        <f t="shared" si="444"/>
        <v>0</v>
      </c>
      <c r="V1406" s="5">
        <f t="shared" si="445"/>
        <v>0</v>
      </c>
      <c r="W1406" s="5">
        <f t="shared" si="446"/>
        <v>0</v>
      </c>
      <c r="X1406" s="5">
        <f t="shared" si="447"/>
        <v>0</v>
      </c>
      <c r="Y1406" s="5">
        <f t="shared" si="448"/>
        <v>0</v>
      </c>
      <c r="Z1406" s="5">
        <f t="shared" si="449"/>
        <v>0</v>
      </c>
      <c r="AA1406" s="5">
        <f t="shared" si="450"/>
        <v>0</v>
      </c>
      <c r="AB1406" s="5">
        <f t="shared" si="440"/>
        <v>0</v>
      </c>
    </row>
    <row r="1407" spans="1:29" x14ac:dyDescent="0.25">
      <c r="D1407" t="s">
        <v>80</v>
      </c>
      <c r="E1407" s="64"/>
      <c r="F1407" s="64"/>
      <c r="G1407">
        <f>IFERROR(HLOOKUP(G$2,[44]table_female_hkom1_inj.U4!$A$1:$K$36,12,FALSE),0)</f>
        <v>0</v>
      </c>
      <c r="H1407">
        <f>IFERROR(HLOOKUP(H$2,[44]table_female_hkom1_inj.U4!$A$1:$K$36,12,FALSE),0)</f>
        <v>0</v>
      </c>
      <c r="I1407">
        <f>IFERROR(HLOOKUP(I$2,[44]table_female_hkom1_inj.U4!$A$1:$K$36,12,FALSE),0)</f>
        <v>0</v>
      </c>
      <c r="J1407">
        <f>IFERROR(HLOOKUP(J$2,[44]table_female_hkom1_inj.U4!$A$1:$K$36,12,FALSE),0)</f>
        <v>0</v>
      </c>
      <c r="K1407">
        <f>IFERROR(HLOOKUP(K$2,[44]table_female_hkom1_inj.U4!$A$1:$K$36,12,FALSE),0)</f>
        <v>0</v>
      </c>
      <c r="L1407">
        <f>IFERROR(HLOOKUP(L$2,[44]table_female_hkom1_inj.U4!$A$1:$K$36,12,FALSE),0)</f>
        <v>0</v>
      </c>
      <c r="M1407">
        <f t="shared" si="441"/>
        <v>0</v>
      </c>
      <c r="S1407" t="s">
        <v>80</v>
      </c>
      <c r="T1407" s="5">
        <f t="shared" si="443"/>
        <v>0</v>
      </c>
      <c r="U1407" s="5">
        <f t="shared" si="444"/>
        <v>0</v>
      </c>
      <c r="V1407" s="5">
        <f t="shared" si="445"/>
        <v>0</v>
      </c>
      <c r="W1407" s="5">
        <f t="shared" si="446"/>
        <v>0</v>
      </c>
      <c r="X1407" s="5">
        <f t="shared" si="447"/>
        <v>0</v>
      </c>
      <c r="Y1407" s="5">
        <f t="shared" si="448"/>
        <v>0</v>
      </c>
      <c r="Z1407" s="5">
        <f t="shared" si="449"/>
        <v>0</v>
      </c>
      <c r="AA1407" s="5">
        <f t="shared" si="450"/>
        <v>0</v>
      </c>
      <c r="AB1407" s="5">
        <f t="shared" si="440"/>
        <v>0</v>
      </c>
    </row>
    <row r="1408" spans="1:29" x14ac:dyDescent="0.25">
      <c r="D1408" t="s">
        <v>81</v>
      </c>
      <c r="E1408" s="64"/>
      <c r="F1408" s="64"/>
      <c r="G1408">
        <f>IFERROR(HLOOKUP(G$2,[44]table_female_hkom1_inj.U4!$A$1:$K$36,13,FALSE),0)</f>
        <v>0</v>
      </c>
      <c r="H1408">
        <f>IFERROR(HLOOKUP(H$2,[44]table_female_hkom1_inj.U4!$A$1:$K$36,13,FALSE),0)</f>
        <v>0</v>
      </c>
      <c r="I1408">
        <f>IFERROR(HLOOKUP(I$2,[44]table_female_hkom1_inj.U4!$A$1:$K$36,13,FALSE),0)</f>
        <v>0</v>
      </c>
      <c r="J1408">
        <f>IFERROR(HLOOKUP(J$2,[44]table_female_hkom1_inj.U4!$A$1:$K$36,13,FALSE),0)</f>
        <v>0</v>
      </c>
      <c r="K1408">
        <f>IFERROR(HLOOKUP(K$2,[44]table_female_hkom1_inj.U4!$A$1:$K$36,13,FALSE),0)</f>
        <v>0</v>
      </c>
      <c r="L1408">
        <f>IFERROR(HLOOKUP(L$2,[44]table_female_hkom1_inj.U4!$A$1:$K$36,13,FALSE),0)</f>
        <v>0</v>
      </c>
      <c r="M1408">
        <f t="shared" si="441"/>
        <v>0</v>
      </c>
      <c r="S1408" t="s">
        <v>81</v>
      </c>
      <c r="T1408" s="5">
        <f t="shared" si="443"/>
        <v>0</v>
      </c>
      <c r="U1408" s="5">
        <f t="shared" si="444"/>
        <v>0</v>
      </c>
      <c r="V1408" s="5">
        <f t="shared" si="445"/>
        <v>0</v>
      </c>
      <c r="W1408" s="5">
        <f t="shared" si="446"/>
        <v>0</v>
      </c>
      <c r="X1408" s="5">
        <f t="shared" si="447"/>
        <v>0</v>
      </c>
      <c r="Y1408" s="5">
        <f t="shared" si="448"/>
        <v>0</v>
      </c>
      <c r="Z1408" s="5">
        <f t="shared" si="449"/>
        <v>0</v>
      </c>
      <c r="AA1408" s="5">
        <f t="shared" si="450"/>
        <v>0</v>
      </c>
      <c r="AB1408" s="5">
        <f t="shared" si="440"/>
        <v>0</v>
      </c>
    </row>
    <row r="1409" spans="4:28" x14ac:dyDescent="0.25">
      <c r="D1409" t="s">
        <v>82</v>
      </c>
      <c r="E1409" s="64"/>
      <c r="F1409" s="64"/>
      <c r="G1409">
        <f>IFERROR(HLOOKUP(G$2,[44]table_female_hkom1_inj.U4!$A$1:$K$36,14,FALSE),0)</f>
        <v>0</v>
      </c>
      <c r="H1409">
        <f>IFERROR(HLOOKUP(H$2,[44]table_female_hkom1_inj.U4!$A$1:$K$36,14,FALSE),0)</f>
        <v>0</v>
      </c>
      <c r="I1409">
        <f>IFERROR(HLOOKUP(I$2,[44]table_female_hkom1_inj.U4!$A$1:$K$36,14,FALSE),0)</f>
        <v>0</v>
      </c>
      <c r="J1409">
        <f>IFERROR(HLOOKUP(J$2,[44]table_female_hkom1_inj.U4!$A$1:$K$36,14,FALSE),0)</f>
        <v>0</v>
      </c>
      <c r="K1409">
        <f>IFERROR(HLOOKUP(K$2,[44]table_female_hkom1_inj.U4!$A$1:$K$36,14,FALSE),0)</f>
        <v>0</v>
      </c>
      <c r="L1409">
        <f>IFERROR(HLOOKUP(L$2,[44]table_female_hkom1_inj.U4!$A$1:$K$36,14,FALSE),0)</f>
        <v>0</v>
      </c>
      <c r="M1409">
        <f t="shared" si="441"/>
        <v>0</v>
      </c>
      <c r="S1409" t="s">
        <v>82</v>
      </c>
      <c r="T1409" s="5">
        <f t="shared" si="443"/>
        <v>0</v>
      </c>
      <c r="U1409" s="5">
        <f t="shared" si="444"/>
        <v>0</v>
      </c>
      <c r="V1409" s="5">
        <f t="shared" si="445"/>
        <v>0</v>
      </c>
      <c r="W1409" s="5">
        <f t="shared" si="446"/>
        <v>0</v>
      </c>
      <c r="X1409" s="5">
        <f t="shared" si="447"/>
        <v>0</v>
      </c>
      <c r="Y1409" s="5">
        <f t="shared" si="448"/>
        <v>0</v>
      </c>
      <c r="Z1409" s="5">
        <f t="shared" si="449"/>
        <v>0</v>
      </c>
      <c r="AA1409" s="5">
        <f t="shared" si="450"/>
        <v>0</v>
      </c>
      <c r="AB1409" s="5">
        <f t="shared" si="440"/>
        <v>0</v>
      </c>
    </row>
    <row r="1410" spans="4:28" x14ac:dyDescent="0.25">
      <c r="D1410" t="s">
        <v>83</v>
      </c>
      <c r="E1410" s="64"/>
      <c r="F1410" s="64"/>
      <c r="G1410">
        <f>IFERROR(HLOOKUP(G$2,[44]table_female_hkom1_inj.U4!$A$1:$K$36,15,FALSE),0)</f>
        <v>0</v>
      </c>
      <c r="H1410">
        <f>IFERROR(HLOOKUP(H$2,[44]table_female_hkom1_inj.U4!$A$1:$K$36,15,FALSE),0)</f>
        <v>0</v>
      </c>
      <c r="I1410">
        <f>IFERROR(HLOOKUP(I$2,[44]table_female_hkom1_inj.U4!$A$1:$K$36,15,FALSE),0)</f>
        <v>0</v>
      </c>
      <c r="J1410">
        <f>IFERROR(HLOOKUP(J$2,[44]table_female_hkom1_inj.U4!$A$1:$K$36,15,FALSE),0)</f>
        <v>0</v>
      </c>
      <c r="K1410">
        <f>IFERROR(HLOOKUP(K$2,[44]table_female_hkom1_inj.U4!$A$1:$K$36,15,FALSE),0)</f>
        <v>0</v>
      </c>
      <c r="L1410">
        <f>IFERROR(HLOOKUP(L$2,[44]table_female_hkom1_inj.U4!$A$1:$K$36,15,FALSE),0)</f>
        <v>0</v>
      </c>
      <c r="M1410">
        <f t="shared" si="441"/>
        <v>0</v>
      </c>
      <c r="S1410" t="s">
        <v>83</v>
      </c>
      <c r="T1410" s="5">
        <f t="shared" si="443"/>
        <v>0</v>
      </c>
      <c r="U1410" s="5">
        <f t="shared" si="444"/>
        <v>0</v>
      </c>
      <c r="V1410" s="5">
        <f t="shared" si="445"/>
        <v>0</v>
      </c>
      <c r="W1410" s="5">
        <f t="shared" si="446"/>
        <v>0</v>
      </c>
      <c r="X1410" s="5">
        <f t="shared" si="447"/>
        <v>0</v>
      </c>
      <c r="Y1410" s="5">
        <f t="shared" si="448"/>
        <v>0</v>
      </c>
      <c r="Z1410" s="5">
        <f t="shared" si="449"/>
        <v>0</v>
      </c>
      <c r="AA1410" s="5">
        <f t="shared" si="450"/>
        <v>0</v>
      </c>
      <c r="AB1410" s="5">
        <f t="shared" si="440"/>
        <v>0</v>
      </c>
    </row>
    <row r="1411" spans="4:28" x14ac:dyDescent="0.25">
      <c r="D1411" t="s">
        <v>84</v>
      </c>
      <c r="E1411" s="64"/>
      <c r="F1411" s="64"/>
      <c r="G1411">
        <f>IFERROR(HLOOKUP(G$2,[44]table_female_hkom1_inj.U4!$A$1:$K$36,16,FALSE),0)</f>
        <v>0</v>
      </c>
      <c r="H1411">
        <f>IFERROR(HLOOKUP(H$2,[44]table_female_hkom1_inj.U4!$A$1:$K$36,16,FALSE),0)</f>
        <v>0</v>
      </c>
      <c r="I1411">
        <f>IFERROR(HLOOKUP(I$2,[44]table_female_hkom1_inj.U4!$A$1:$K$36,16,FALSE),0)</f>
        <v>0</v>
      </c>
      <c r="J1411">
        <f>IFERROR(HLOOKUP(J$2,[44]table_female_hkom1_inj.U4!$A$1:$K$36,16,FALSE),0)</f>
        <v>0</v>
      </c>
      <c r="K1411">
        <f>IFERROR(HLOOKUP(K$2,[44]table_female_hkom1_inj.U4!$A$1:$K$36,16,FALSE),0)</f>
        <v>0</v>
      </c>
      <c r="L1411">
        <f>IFERROR(HLOOKUP(L$2,[44]table_female_hkom1_inj.U4!$A$1:$K$36,16,FALSE),0)</f>
        <v>0</v>
      </c>
      <c r="M1411">
        <f t="shared" si="441"/>
        <v>0</v>
      </c>
      <c r="S1411" t="s">
        <v>84</v>
      </c>
      <c r="T1411" s="5">
        <f t="shared" si="443"/>
        <v>0</v>
      </c>
      <c r="U1411" s="5">
        <f t="shared" si="444"/>
        <v>0</v>
      </c>
      <c r="V1411" s="5">
        <f t="shared" si="445"/>
        <v>0</v>
      </c>
      <c r="W1411" s="5">
        <f t="shared" si="446"/>
        <v>0</v>
      </c>
      <c r="X1411" s="5">
        <f t="shared" si="447"/>
        <v>0</v>
      </c>
      <c r="Y1411" s="5">
        <f t="shared" si="448"/>
        <v>0</v>
      </c>
      <c r="Z1411" s="5">
        <f t="shared" si="449"/>
        <v>0</v>
      </c>
      <c r="AA1411" s="5">
        <f t="shared" si="450"/>
        <v>0</v>
      </c>
      <c r="AB1411" s="5">
        <f t="shared" si="440"/>
        <v>0</v>
      </c>
    </row>
    <row r="1412" spans="4:28" x14ac:dyDescent="0.25">
      <c r="D1412" t="s">
        <v>85</v>
      </c>
      <c r="E1412" s="64"/>
      <c r="F1412" s="64"/>
      <c r="G1412">
        <f>IFERROR(HLOOKUP(G$2,[44]table_female_hkom1_inj.U4!$A$1:$K$36,17,FALSE),0)</f>
        <v>0</v>
      </c>
      <c r="H1412">
        <f>IFERROR(HLOOKUP(H$2,[44]table_female_hkom1_inj.U4!$A$1:$K$36,17,FALSE),0)</f>
        <v>0</v>
      </c>
      <c r="I1412">
        <f>IFERROR(HLOOKUP(I$2,[44]table_female_hkom1_inj.U4!$A$1:$K$36,17,FALSE),0)</f>
        <v>0</v>
      </c>
      <c r="J1412">
        <f>IFERROR(HLOOKUP(J$2,[44]table_female_hkom1_inj.U4!$A$1:$K$36,17,FALSE),0)</f>
        <v>0</v>
      </c>
      <c r="K1412">
        <f>IFERROR(HLOOKUP(K$2,[44]table_female_hkom1_inj.U4!$A$1:$K$36,17,FALSE),0)</f>
        <v>0</v>
      </c>
      <c r="L1412">
        <f>IFERROR(HLOOKUP(L$2,[44]table_female_hkom1_inj.U4!$A$1:$K$36,17,FALSE),0)</f>
        <v>0</v>
      </c>
      <c r="M1412">
        <f t="shared" si="441"/>
        <v>0</v>
      </c>
      <c r="S1412" t="s">
        <v>85</v>
      </c>
      <c r="T1412" s="5">
        <f t="shared" si="443"/>
        <v>0</v>
      </c>
      <c r="U1412" s="5">
        <f t="shared" si="444"/>
        <v>0</v>
      </c>
      <c r="V1412" s="5">
        <f t="shared" si="445"/>
        <v>0</v>
      </c>
      <c r="W1412" s="5">
        <f t="shared" si="446"/>
        <v>0</v>
      </c>
      <c r="X1412" s="5">
        <f t="shared" si="447"/>
        <v>0</v>
      </c>
      <c r="Y1412" s="5">
        <f t="shared" si="448"/>
        <v>0</v>
      </c>
      <c r="Z1412" s="5">
        <f t="shared" si="449"/>
        <v>0</v>
      </c>
      <c r="AA1412" s="5">
        <f t="shared" si="450"/>
        <v>0</v>
      </c>
      <c r="AB1412" s="5">
        <f t="shared" si="440"/>
        <v>0</v>
      </c>
    </row>
    <row r="1413" spans="4:28" x14ac:dyDescent="0.25">
      <c r="D1413" t="s">
        <v>86</v>
      </c>
      <c r="E1413" s="64"/>
      <c r="F1413" s="64"/>
      <c r="G1413">
        <f>IFERROR(HLOOKUP(G$2,[44]table_female_hkom1_inj.U4!$A$1:$K$36,18,FALSE),0)</f>
        <v>0</v>
      </c>
      <c r="H1413">
        <f>IFERROR(HLOOKUP(H$2,[44]table_female_hkom1_inj.U4!$A$1:$K$36,18,FALSE),0)</f>
        <v>0</v>
      </c>
      <c r="I1413">
        <f>IFERROR(HLOOKUP(I$2,[44]table_female_hkom1_inj.U4!$A$1:$K$36,18,FALSE),0)</f>
        <v>0</v>
      </c>
      <c r="J1413">
        <f>IFERROR(HLOOKUP(J$2,[44]table_female_hkom1_inj.U4!$A$1:$K$36,18,FALSE),0)</f>
        <v>0</v>
      </c>
      <c r="K1413">
        <f>IFERROR(HLOOKUP(K$2,[44]table_female_hkom1_inj.U4!$A$1:$K$36,18,FALSE),0)</f>
        <v>0</v>
      </c>
      <c r="L1413">
        <f>IFERROR(HLOOKUP(L$2,[44]table_female_hkom1_inj.U4!$A$1:$K$36,18,FALSE),0)</f>
        <v>0</v>
      </c>
      <c r="M1413">
        <f t="shared" si="441"/>
        <v>0</v>
      </c>
      <c r="S1413" t="s">
        <v>86</v>
      </c>
      <c r="T1413" s="5">
        <f t="shared" si="443"/>
        <v>0</v>
      </c>
      <c r="U1413" s="5">
        <f t="shared" si="444"/>
        <v>0</v>
      </c>
      <c r="V1413" s="5">
        <f t="shared" si="445"/>
        <v>0</v>
      </c>
      <c r="W1413" s="5">
        <f t="shared" si="446"/>
        <v>0</v>
      </c>
      <c r="X1413" s="5">
        <f t="shared" si="447"/>
        <v>0</v>
      </c>
      <c r="Y1413" s="5">
        <f t="shared" si="448"/>
        <v>0</v>
      </c>
      <c r="Z1413" s="5">
        <f t="shared" si="449"/>
        <v>0</v>
      </c>
      <c r="AA1413" s="5">
        <f t="shared" si="450"/>
        <v>0</v>
      </c>
      <c r="AB1413" s="5">
        <f t="shared" si="440"/>
        <v>0</v>
      </c>
    </row>
    <row r="1414" spans="4:28" x14ac:dyDescent="0.25">
      <c r="D1414" t="s">
        <v>87</v>
      </c>
      <c r="E1414" s="64"/>
      <c r="F1414" s="64"/>
      <c r="G1414">
        <f>IFERROR(HLOOKUP(G$2,[44]table_female_hkom1_inj.U4!$A$1:$K$36,19,FALSE),0)</f>
        <v>0</v>
      </c>
      <c r="H1414">
        <f>IFERROR(HLOOKUP(H$2,[44]table_female_hkom1_inj.U4!$A$1:$K$36,19,FALSE),0)</f>
        <v>0</v>
      </c>
      <c r="I1414">
        <f>IFERROR(HLOOKUP(I$2,[44]table_female_hkom1_inj.U4!$A$1:$K$36,19,FALSE),0)</f>
        <v>0</v>
      </c>
      <c r="J1414">
        <f>IFERROR(HLOOKUP(J$2,[44]table_female_hkom1_inj.U4!$A$1:$K$36,19,FALSE),0)</f>
        <v>0</v>
      </c>
      <c r="K1414">
        <f>IFERROR(HLOOKUP(K$2,[44]table_female_hkom1_inj.U4!$A$1:$K$36,19,FALSE),0)</f>
        <v>0</v>
      </c>
      <c r="L1414">
        <f>IFERROR(HLOOKUP(L$2,[44]table_female_hkom1_inj.U4!$A$1:$K$36,19,FALSE),0)</f>
        <v>0</v>
      </c>
      <c r="M1414">
        <f t="shared" si="441"/>
        <v>0</v>
      </c>
      <c r="S1414" t="s">
        <v>87</v>
      </c>
      <c r="T1414" s="5">
        <f t="shared" si="443"/>
        <v>0</v>
      </c>
      <c r="U1414" s="5">
        <f t="shared" si="444"/>
        <v>0</v>
      </c>
      <c r="V1414" s="5">
        <f t="shared" si="445"/>
        <v>0</v>
      </c>
      <c r="W1414" s="5">
        <f t="shared" si="446"/>
        <v>0</v>
      </c>
      <c r="X1414" s="5">
        <f t="shared" si="447"/>
        <v>0</v>
      </c>
      <c r="Y1414" s="5">
        <f t="shared" si="448"/>
        <v>0</v>
      </c>
      <c r="Z1414" s="5">
        <f t="shared" si="449"/>
        <v>0</v>
      </c>
      <c r="AA1414" s="5">
        <f t="shared" si="450"/>
        <v>0</v>
      </c>
      <c r="AB1414" s="5">
        <f t="shared" si="440"/>
        <v>0</v>
      </c>
    </row>
    <row r="1415" spans="4:28" x14ac:dyDescent="0.25">
      <c r="D1415" t="s">
        <v>88</v>
      </c>
      <c r="E1415" s="64"/>
      <c r="F1415" s="64"/>
      <c r="G1415">
        <f>IFERROR(HLOOKUP(G$2,[44]table_female_hkom1_inj.U4!$A$1:$K$36,20,FALSE),0)</f>
        <v>0</v>
      </c>
      <c r="H1415">
        <f>IFERROR(HLOOKUP(H$2,[44]table_female_hkom1_inj.U4!$A$1:$K$36,20,FALSE),0)</f>
        <v>0</v>
      </c>
      <c r="I1415">
        <f>IFERROR(HLOOKUP(I$2,[44]table_female_hkom1_inj.U4!$A$1:$K$36,20,FALSE),0)</f>
        <v>0</v>
      </c>
      <c r="J1415">
        <f>IFERROR(HLOOKUP(J$2,[44]table_female_hkom1_inj.U4!$A$1:$K$36,20,FALSE),0)</f>
        <v>0</v>
      </c>
      <c r="K1415">
        <f>IFERROR(HLOOKUP(K$2,[44]table_female_hkom1_inj.U4!$A$1:$K$36,20,FALSE),0)</f>
        <v>0</v>
      </c>
      <c r="L1415">
        <f>IFERROR(HLOOKUP(L$2,[44]table_female_hkom1_inj.U4!$A$1:$K$36,20,FALSE),0)</f>
        <v>0</v>
      </c>
      <c r="M1415">
        <f t="shared" si="441"/>
        <v>0</v>
      </c>
      <c r="S1415" t="s">
        <v>88</v>
      </c>
      <c r="T1415" s="5">
        <f t="shared" si="443"/>
        <v>0</v>
      </c>
      <c r="U1415" s="5">
        <f t="shared" si="444"/>
        <v>0</v>
      </c>
      <c r="V1415" s="5">
        <f t="shared" si="445"/>
        <v>0</v>
      </c>
      <c r="W1415" s="5">
        <f t="shared" si="446"/>
        <v>0</v>
      </c>
      <c r="X1415" s="5">
        <f t="shared" si="447"/>
        <v>0</v>
      </c>
      <c r="Y1415" s="5">
        <f t="shared" si="448"/>
        <v>0</v>
      </c>
      <c r="Z1415" s="5">
        <f t="shared" si="449"/>
        <v>0</v>
      </c>
      <c r="AA1415" s="5">
        <f t="shared" si="450"/>
        <v>0</v>
      </c>
      <c r="AB1415" s="5">
        <f t="shared" si="440"/>
        <v>0</v>
      </c>
    </row>
    <row r="1416" spans="4:28" x14ac:dyDescent="0.25">
      <c r="D1416" t="s">
        <v>89</v>
      </c>
      <c r="E1416" s="64"/>
      <c r="F1416" s="64"/>
      <c r="G1416">
        <f>IFERROR(HLOOKUP(G$2,[44]table_female_hkom1_inj.U4!$A$1:$K$36,21,FALSE),0)</f>
        <v>0</v>
      </c>
      <c r="H1416">
        <f>IFERROR(HLOOKUP(H$2,[44]table_female_hkom1_inj.U4!$A$1:$K$36,21,FALSE),0)</f>
        <v>0</v>
      </c>
      <c r="I1416">
        <f>IFERROR(HLOOKUP(I$2,[44]table_female_hkom1_inj.U4!$A$1:$K$36,21,FALSE),0)</f>
        <v>0</v>
      </c>
      <c r="J1416">
        <f>IFERROR(HLOOKUP(J$2,[44]table_female_hkom1_inj.U4!$A$1:$K$36,21,FALSE),0)</f>
        <v>0</v>
      </c>
      <c r="K1416">
        <f>IFERROR(HLOOKUP(K$2,[44]table_female_hkom1_inj.U4!$A$1:$K$36,21,FALSE),0)</f>
        <v>0</v>
      </c>
      <c r="L1416">
        <f>IFERROR(HLOOKUP(L$2,[44]table_female_hkom1_inj.U4!$A$1:$K$36,21,FALSE),0)</f>
        <v>0</v>
      </c>
      <c r="M1416">
        <f t="shared" si="441"/>
        <v>0</v>
      </c>
      <c r="S1416" t="s">
        <v>89</v>
      </c>
      <c r="T1416" s="5">
        <f t="shared" si="443"/>
        <v>0</v>
      </c>
      <c r="U1416" s="5">
        <f t="shared" si="444"/>
        <v>0</v>
      </c>
      <c r="V1416" s="5">
        <f t="shared" si="445"/>
        <v>0</v>
      </c>
      <c r="W1416" s="5">
        <f t="shared" si="446"/>
        <v>0</v>
      </c>
      <c r="X1416" s="5">
        <f t="shared" si="447"/>
        <v>0</v>
      </c>
      <c r="Y1416" s="5">
        <f t="shared" si="448"/>
        <v>0</v>
      </c>
      <c r="Z1416" s="5">
        <f t="shared" si="449"/>
        <v>0</v>
      </c>
      <c r="AA1416" s="5">
        <f t="shared" si="450"/>
        <v>0</v>
      </c>
      <c r="AB1416" s="5">
        <f t="shared" si="440"/>
        <v>0</v>
      </c>
    </row>
    <row r="1417" spans="4:28" x14ac:dyDescent="0.25">
      <c r="D1417" t="s">
        <v>90</v>
      </c>
      <c r="E1417" s="64"/>
      <c r="F1417" s="64"/>
      <c r="G1417">
        <f>IFERROR(HLOOKUP(G$2,[44]table_female_hkom1_inj.U4!$A$1:$K$36,22,FALSE),0)</f>
        <v>0</v>
      </c>
      <c r="H1417">
        <f>IFERROR(HLOOKUP(H$2,[44]table_female_hkom1_inj.U4!$A$1:$K$36,22,FALSE),0)</f>
        <v>0</v>
      </c>
      <c r="I1417">
        <f>IFERROR(HLOOKUP(I$2,[44]table_female_hkom1_inj.U4!$A$1:$K$36,22,FALSE),0)</f>
        <v>0</v>
      </c>
      <c r="J1417">
        <f>IFERROR(HLOOKUP(J$2,[44]table_female_hkom1_inj.U4!$A$1:$K$36,22,FALSE),0)</f>
        <v>0</v>
      </c>
      <c r="K1417">
        <f>IFERROR(HLOOKUP(K$2,[44]table_female_hkom1_inj.U4!$A$1:$K$36,22,FALSE),0)</f>
        <v>0</v>
      </c>
      <c r="L1417">
        <f>IFERROR(HLOOKUP(L$2,[44]table_female_hkom1_inj.U4!$A$1:$K$36,22,FALSE),0)</f>
        <v>0</v>
      </c>
      <c r="M1417">
        <f t="shared" si="441"/>
        <v>0</v>
      </c>
      <c r="S1417" t="s">
        <v>90</v>
      </c>
      <c r="T1417" s="5">
        <f t="shared" si="443"/>
        <v>0</v>
      </c>
      <c r="U1417" s="5">
        <f t="shared" si="444"/>
        <v>0</v>
      </c>
      <c r="V1417" s="5">
        <f t="shared" si="445"/>
        <v>0</v>
      </c>
      <c r="W1417" s="5">
        <f t="shared" si="446"/>
        <v>0</v>
      </c>
      <c r="X1417" s="5">
        <f t="shared" si="447"/>
        <v>0</v>
      </c>
      <c r="Y1417" s="5">
        <f t="shared" si="448"/>
        <v>0</v>
      </c>
      <c r="Z1417" s="5">
        <f t="shared" si="449"/>
        <v>0</v>
      </c>
      <c r="AA1417" s="5">
        <f t="shared" si="450"/>
        <v>0</v>
      </c>
      <c r="AB1417" s="5">
        <f t="shared" si="440"/>
        <v>0</v>
      </c>
    </row>
    <row r="1418" spans="4:28" x14ac:dyDescent="0.25">
      <c r="D1418" t="s">
        <v>91</v>
      </c>
      <c r="E1418" s="64"/>
      <c r="F1418" s="64"/>
      <c r="G1418">
        <f>IFERROR(HLOOKUP(G$2,[44]table_female_hkom1_inj.U4!$A$1:$K$36,23,FALSE),0)</f>
        <v>0</v>
      </c>
      <c r="H1418">
        <f>IFERROR(HLOOKUP(H$2,[44]table_female_hkom1_inj.U4!$A$1:$K$36,23,FALSE),0)</f>
        <v>0</v>
      </c>
      <c r="I1418">
        <f>IFERROR(HLOOKUP(I$2,[44]table_female_hkom1_inj.U4!$A$1:$K$36,23,FALSE),0)</f>
        <v>0</v>
      </c>
      <c r="J1418">
        <f>IFERROR(HLOOKUP(J$2,[44]table_female_hkom1_inj.U4!$A$1:$K$36,23,FALSE),0)</f>
        <v>0</v>
      </c>
      <c r="K1418">
        <f>IFERROR(HLOOKUP(K$2,[44]table_female_hkom1_inj.U4!$A$1:$K$36,23,FALSE),0)</f>
        <v>0</v>
      </c>
      <c r="L1418">
        <f>IFERROR(HLOOKUP(L$2,[44]table_female_hkom1_inj.U4!$A$1:$K$36,23,FALSE),0)</f>
        <v>0</v>
      </c>
      <c r="M1418">
        <f t="shared" si="441"/>
        <v>0</v>
      </c>
      <c r="S1418" t="s">
        <v>91</v>
      </c>
      <c r="T1418" s="5">
        <f t="shared" si="443"/>
        <v>0</v>
      </c>
      <c r="U1418" s="5">
        <f t="shared" si="444"/>
        <v>0</v>
      </c>
      <c r="V1418" s="5">
        <f t="shared" si="445"/>
        <v>0</v>
      </c>
      <c r="W1418" s="5">
        <f t="shared" si="446"/>
        <v>0</v>
      </c>
      <c r="X1418" s="5">
        <f t="shared" si="447"/>
        <v>0</v>
      </c>
      <c r="Y1418" s="5">
        <f t="shared" si="448"/>
        <v>0</v>
      </c>
      <c r="Z1418" s="5">
        <f t="shared" si="449"/>
        <v>0</v>
      </c>
      <c r="AA1418" s="5">
        <f t="shared" si="450"/>
        <v>0</v>
      </c>
      <c r="AB1418" s="5">
        <f t="shared" si="440"/>
        <v>0</v>
      </c>
    </row>
    <row r="1419" spans="4:28" x14ac:dyDescent="0.25">
      <c r="D1419" t="s">
        <v>92</v>
      </c>
      <c r="E1419" s="64"/>
      <c r="F1419" s="64"/>
      <c r="G1419">
        <f>IFERROR(HLOOKUP(G$2,[44]table_female_hkom1_inj.U4!$A$1:$K$36,24,FALSE),0)</f>
        <v>0</v>
      </c>
      <c r="H1419">
        <f>IFERROR(HLOOKUP(H$2,[44]table_female_hkom1_inj.U4!$A$1:$K$36,24,FALSE),0)</f>
        <v>0</v>
      </c>
      <c r="I1419">
        <f>IFERROR(HLOOKUP(I$2,[44]table_female_hkom1_inj.U4!$A$1:$K$36,24,FALSE),0)</f>
        <v>0</v>
      </c>
      <c r="J1419">
        <f>IFERROR(HLOOKUP(J$2,[44]table_female_hkom1_inj.U4!$A$1:$K$36,24,FALSE),0)</f>
        <v>0</v>
      </c>
      <c r="K1419">
        <f>IFERROR(HLOOKUP(K$2,[44]table_female_hkom1_inj.U4!$A$1:$K$36,24,FALSE),0)</f>
        <v>0</v>
      </c>
      <c r="L1419">
        <f>IFERROR(HLOOKUP(L$2,[44]table_female_hkom1_inj.U4!$A$1:$K$36,24,FALSE),0)</f>
        <v>0</v>
      </c>
      <c r="M1419">
        <f t="shared" si="441"/>
        <v>0</v>
      </c>
      <c r="S1419" t="s">
        <v>92</v>
      </c>
      <c r="T1419" s="5">
        <f t="shared" si="443"/>
        <v>0</v>
      </c>
      <c r="U1419" s="5">
        <f t="shared" si="444"/>
        <v>0</v>
      </c>
      <c r="V1419" s="5">
        <f t="shared" si="445"/>
        <v>0</v>
      </c>
      <c r="W1419" s="5">
        <f t="shared" si="446"/>
        <v>0</v>
      </c>
      <c r="X1419" s="5">
        <f t="shared" si="447"/>
        <v>0</v>
      </c>
      <c r="Y1419" s="5">
        <f t="shared" si="448"/>
        <v>0</v>
      </c>
      <c r="Z1419" s="5">
        <f t="shared" si="449"/>
        <v>0</v>
      </c>
      <c r="AA1419" s="5">
        <f t="shared" si="450"/>
        <v>0</v>
      </c>
      <c r="AB1419" s="5">
        <f t="shared" si="440"/>
        <v>0</v>
      </c>
    </row>
    <row r="1420" spans="4:28" x14ac:dyDescent="0.25">
      <c r="D1420" t="s">
        <v>93</v>
      </c>
      <c r="E1420" s="64"/>
      <c r="F1420" s="64"/>
      <c r="G1420">
        <f>IFERROR(HLOOKUP(G$2,[44]table_female_hkom1_inj.U4!$A$1:$K$36,25,FALSE),0)</f>
        <v>0</v>
      </c>
      <c r="H1420">
        <f>IFERROR(HLOOKUP(H$2,[44]table_female_hkom1_inj.U4!$A$1:$K$36,25,FALSE),0)</f>
        <v>0</v>
      </c>
      <c r="I1420">
        <f>IFERROR(HLOOKUP(I$2,[44]table_female_hkom1_inj.U4!$A$1:$K$36,25,FALSE),0)</f>
        <v>0</v>
      </c>
      <c r="J1420">
        <f>IFERROR(HLOOKUP(J$2,[44]table_female_hkom1_inj.U4!$A$1:$K$36,25,FALSE),0)</f>
        <v>0</v>
      </c>
      <c r="K1420">
        <f>IFERROR(HLOOKUP(K$2,[44]table_female_hkom1_inj.U4!$A$1:$K$36,25,FALSE),0)</f>
        <v>0</v>
      </c>
      <c r="L1420">
        <f>IFERROR(HLOOKUP(L$2,[44]table_female_hkom1_inj.U4!$A$1:$K$36,25,FALSE),0)</f>
        <v>0</v>
      </c>
      <c r="M1420">
        <f t="shared" si="441"/>
        <v>0</v>
      </c>
      <c r="S1420" t="s">
        <v>93</v>
      </c>
      <c r="T1420" s="5">
        <f t="shared" si="443"/>
        <v>0</v>
      </c>
      <c r="U1420" s="5">
        <f t="shared" si="444"/>
        <v>0</v>
      </c>
      <c r="V1420" s="5">
        <f t="shared" si="445"/>
        <v>0</v>
      </c>
      <c r="W1420" s="5">
        <f t="shared" si="446"/>
        <v>0</v>
      </c>
      <c r="X1420" s="5">
        <f t="shared" si="447"/>
        <v>0</v>
      </c>
      <c r="Y1420" s="5">
        <f t="shared" si="448"/>
        <v>0</v>
      </c>
      <c r="Z1420" s="5">
        <f t="shared" si="449"/>
        <v>0</v>
      </c>
      <c r="AA1420" s="5">
        <f t="shared" si="450"/>
        <v>0</v>
      </c>
      <c r="AB1420" s="5">
        <f t="shared" si="440"/>
        <v>0</v>
      </c>
    </row>
    <row r="1421" spans="4:28" x14ac:dyDescent="0.25">
      <c r="D1421" t="s">
        <v>94</v>
      </c>
      <c r="E1421" s="64"/>
      <c r="F1421" s="64"/>
      <c r="G1421">
        <f>IFERROR(HLOOKUP(G$2,[44]table_female_hkom1_inj.U4!$A$1:$K$36,26,FALSE),0)</f>
        <v>0</v>
      </c>
      <c r="H1421">
        <f>IFERROR(HLOOKUP(H$2,[44]table_female_hkom1_inj.U4!$A$1:$K$36,26,FALSE),0)</f>
        <v>0</v>
      </c>
      <c r="I1421">
        <f>IFERROR(HLOOKUP(I$2,[44]table_female_hkom1_inj.U4!$A$1:$K$36,26,FALSE),0)</f>
        <v>0</v>
      </c>
      <c r="J1421">
        <f>IFERROR(HLOOKUP(J$2,[44]table_female_hkom1_inj.U4!$A$1:$K$36,26,FALSE),0)</f>
        <v>0</v>
      </c>
      <c r="K1421">
        <f>IFERROR(HLOOKUP(K$2,[44]table_female_hkom1_inj.U4!$A$1:$K$36,26,FALSE),0)</f>
        <v>0</v>
      </c>
      <c r="L1421">
        <f>IFERROR(HLOOKUP(L$2,[44]table_female_hkom1_inj.U4!$A$1:$K$36,26,FALSE),0)</f>
        <v>0</v>
      </c>
      <c r="M1421">
        <f t="shared" si="441"/>
        <v>0</v>
      </c>
      <c r="S1421" t="s">
        <v>94</v>
      </c>
      <c r="T1421" s="5">
        <f t="shared" si="443"/>
        <v>0</v>
      </c>
      <c r="U1421" s="5">
        <f t="shared" si="444"/>
        <v>0</v>
      </c>
      <c r="V1421" s="5">
        <f t="shared" si="445"/>
        <v>0</v>
      </c>
      <c r="W1421" s="5">
        <f t="shared" si="446"/>
        <v>0</v>
      </c>
      <c r="X1421" s="5">
        <f t="shared" si="447"/>
        <v>0</v>
      </c>
      <c r="Y1421" s="5">
        <f t="shared" si="448"/>
        <v>0</v>
      </c>
      <c r="Z1421" s="5">
        <f t="shared" si="449"/>
        <v>0</v>
      </c>
      <c r="AA1421" s="5">
        <f t="shared" si="450"/>
        <v>0</v>
      </c>
      <c r="AB1421" s="5">
        <f t="shared" si="440"/>
        <v>0</v>
      </c>
    </row>
    <row r="1422" spans="4:28" x14ac:dyDescent="0.25">
      <c r="D1422" t="s">
        <v>95</v>
      </c>
      <c r="E1422" s="64"/>
      <c r="F1422" s="64"/>
      <c r="G1422">
        <f>IFERROR(HLOOKUP(G$2,[44]table_female_hkom1_inj.U4!$A$1:$K$36,27,FALSE),0)</f>
        <v>0</v>
      </c>
      <c r="H1422">
        <f>IFERROR(HLOOKUP(H$2,[44]table_female_hkom1_inj.U4!$A$1:$K$36,27,FALSE),0)</f>
        <v>0</v>
      </c>
      <c r="I1422">
        <f>IFERROR(HLOOKUP(I$2,[44]table_female_hkom1_inj.U4!$A$1:$K$36,27,FALSE),0)</f>
        <v>0</v>
      </c>
      <c r="J1422">
        <f>IFERROR(HLOOKUP(J$2,[44]table_female_hkom1_inj.U4!$A$1:$K$36,27,FALSE),0)</f>
        <v>0</v>
      </c>
      <c r="K1422">
        <f>IFERROR(HLOOKUP(K$2,[44]table_female_hkom1_inj.U4!$A$1:$K$36,27,FALSE),0)</f>
        <v>0</v>
      </c>
      <c r="L1422">
        <f>IFERROR(HLOOKUP(L$2,[44]table_female_hkom1_inj.U4!$A$1:$K$36,27,FALSE),0)</f>
        <v>0</v>
      </c>
      <c r="M1422">
        <f t="shared" si="441"/>
        <v>0</v>
      </c>
      <c r="S1422" t="s">
        <v>95</v>
      </c>
      <c r="T1422" s="5">
        <f t="shared" si="443"/>
        <v>0</v>
      </c>
      <c r="U1422" s="5">
        <f t="shared" si="444"/>
        <v>0</v>
      </c>
      <c r="V1422" s="5">
        <f t="shared" si="445"/>
        <v>0</v>
      </c>
      <c r="W1422" s="5">
        <f t="shared" si="446"/>
        <v>0</v>
      </c>
      <c r="X1422" s="5">
        <f t="shared" si="447"/>
        <v>0</v>
      </c>
      <c r="Y1422" s="5">
        <f t="shared" si="448"/>
        <v>0</v>
      </c>
      <c r="Z1422" s="5">
        <f t="shared" si="449"/>
        <v>0</v>
      </c>
      <c r="AA1422" s="5">
        <f t="shared" si="450"/>
        <v>0</v>
      </c>
      <c r="AB1422" s="5">
        <f t="shared" si="440"/>
        <v>0</v>
      </c>
    </row>
    <row r="1423" spans="4:28" x14ac:dyDescent="0.25">
      <c r="D1423" t="s">
        <v>96</v>
      </c>
      <c r="E1423" s="64"/>
      <c r="F1423" s="64"/>
      <c r="G1423">
        <f>IFERROR(HLOOKUP(G$2,[44]table_female_hkom1_inj.U4!$A$1:$K$36,28,FALSE),0)</f>
        <v>0</v>
      </c>
      <c r="H1423">
        <f>IFERROR(HLOOKUP(H$2,[44]table_female_hkom1_inj.U4!$A$1:$K$36,28,FALSE),0)</f>
        <v>0</v>
      </c>
      <c r="I1423">
        <f>IFERROR(HLOOKUP(I$2,[44]table_female_hkom1_inj.U4!$A$1:$K$36,28,FALSE),0)</f>
        <v>0</v>
      </c>
      <c r="J1423">
        <f>IFERROR(HLOOKUP(J$2,[44]table_female_hkom1_inj.U4!$A$1:$K$36,28,FALSE),0)</f>
        <v>0</v>
      </c>
      <c r="K1423">
        <f>IFERROR(HLOOKUP(K$2,[44]table_female_hkom1_inj.U4!$A$1:$K$36,28,FALSE),0)</f>
        <v>0</v>
      </c>
      <c r="L1423">
        <f>IFERROR(HLOOKUP(L$2,[44]table_female_hkom1_inj.U4!$A$1:$K$36,28,FALSE),0)</f>
        <v>0</v>
      </c>
      <c r="M1423">
        <f t="shared" si="441"/>
        <v>0</v>
      </c>
      <c r="S1423" t="s">
        <v>96</v>
      </c>
      <c r="T1423" s="5">
        <f t="shared" si="443"/>
        <v>0</v>
      </c>
      <c r="U1423" s="5">
        <f t="shared" si="444"/>
        <v>0</v>
      </c>
      <c r="V1423" s="5">
        <f t="shared" si="445"/>
        <v>0</v>
      </c>
      <c r="W1423" s="5">
        <f t="shared" si="446"/>
        <v>0</v>
      </c>
      <c r="X1423" s="5">
        <f t="shared" si="447"/>
        <v>0</v>
      </c>
      <c r="Y1423" s="5">
        <f t="shared" si="448"/>
        <v>0</v>
      </c>
      <c r="Z1423" s="5">
        <f t="shared" si="449"/>
        <v>0</v>
      </c>
      <c r="AA1423" s="5">
        <f t="shared" si="450"/>
        <v>0</v>
      </c>
      <c r="AB1423" s="5">
        <f t="shared" si="440"/>
        <v>0</v>
      </c>
    </row>
    <row r="1424" spans="4:28" x14ac:dyDescent="0.25">
      <c r="D1424" t="s">
        <v>97</v>
      </c>
      <c r="E1424" s="64"/>
      <c r="F1424" s="64"/>
      <c r="G1424">
        <f>IFERROR(HLOOKUP(G$2,[44]table_female_hkom1_inj.U4!$A$1:$K$36,29,FALSE),0)</f>
        <v>0</v>
      </c>
      <c r="H1424">
        <f>IFERROR(HLOOKUP(H$2,[44]table_female_hkom1_inj.U4!$A$1:$K$36,29,FALSE),0)</f>
        <v>1</v>
      </c>
      <c r="I1424">
        <f>IFERROR(HLOOKUP(I$2,[44]table_female_hkom1_inj.U4!$A$1:$K$36,29,FALSE),0)</f>
        <v>0</v>
      </c>
      <c r="J1424">
        <f>IFERROR(HLOOKUP(J$2,[44]table_female_hkom1_inj.U4!$A$1:$K$36,29,FALSE),0)</f>
        <v>0</v>
      </c>
      <c r="K1424">
        <f>IFERROR(HLOOKUP(K$2,[44]table_female_hkom1_inj.U4!$A$1:$K$36,29,FALSE),0)</f>
        <v>0</v>
      </c>
      <c r="L1424">
        <f>IFERROR(HLOOKUP(L$2,[44]table_female_hkom1_inj.U4!$A$1:$K$36,29,FALSE),0)</f>
        <v>0</v>
      </c>
      <c r="M1424">
        <f t="shared" si="441"/>
        <v>1</v>
      </c>
      <c r="S1424" t="s">
        <v>97</v>
      </c>
      <c r="T1424" s="5">
        <f t="shared" si="443"/>
        <v>0</v>
      </c>
      <c r="U1424" s="5">
        <f t="shared" si="444"/>
        <v>0</v>
      </c>
      <c r="V1424" s="5">
        <f t="shared" si="445"/>
        <v>0</v>
      </c>
      <c r="W1424" s="5">
        <f t="shared" si="446"/>
        <v>1</v>
      </c>
      <c r="X1424" s="5">
        <f t="shared" si="447"/>
        <v>0</v>
      </c>
      <c r="Y1424" s="5">
        <f t="shared" si="448"/>
        <v>0</v>
      </c>
      <c r="Z1424" s="5">
        <f t="shared" si="449"/>
        <v>0</v>
      </c>
      <c r="AA1424" s="5">
        <f t="shared" si="450"/>
        <v>0</v>
      </c>
      <c r="AB1424" s="5">
        <f t="shared" si="440"/>
        <v>1</v>
      </c>
    </row>
    <row r="1425" spans="1:29" x14ac:dyDescent="0.25">
      <c r="D1425" t="s">
        <v>98</v>
      </c>
      <c r="E1425" s="64"/>
      <c r="F1425" s="64"/>
      <c r="G1425">
        <f>IFERROR(HLOOKUP(G$2,[44]table_female_hkom1_inj.U4!$A$1:$K$36,30,FALSE),0)</f>
        <v>1</v>
      </c>
      <c r="H1425">
        <f>IFERROR(HLOOKUP(H$2,[44]table_female_hkom1_inj.U4!$A$1:$K$36,30,FALSE),0)</f>
        <v>3</v>
      </c>
      <c r="I1425">
        <f>IFERROR(HLOOKUP(I$2,[44]table_female_hkom1_inj.U4!$A$1:$K$36,30,FALSE),0)</f>
        <v>3</v>
      </c>
      <c r="J1425">
        <f>IFERROR(HLOOKUP(J$2,[44]table_female_hkom1_inj.U4!$A$1:$K$36,30,FALSE),0)</f>
        <v>0</v>
      </c>
      <c r="K1425">
        <f>IFERROR(HLOOKUP(K$2,[44]table_female_hkom1_inj.U4!$A$1:$K$36,30,FALSE),0)</f>
        <v>0</v>
      </c>
      <c r="L1425">
        <f>IFERROR(HLOOKUP(L$2,[44]table_female_hkom1_inj.U4!$A$1:$K$36,30,FALSE),0)</f>
        <v>0</v>
      </c>
      <c r="M1425">
        <f t="shared" si="441"/>
        <v>7</v>
      </c>
      <c r="S1425" t="s">
        <v>98</v>
      </c>
      <c r="T1425" s="5">
        <f t="shared" si="443"/>
        <v>0</v>
      </c>
      <c r="U1425" s="5">
        <f t="shared" si="444"/>
        <v>0</v>
      </c>
      <c r="V1425" s="5">
        <f t="shared" si="445"/>
        <v>1</v>
      </c>
      <c r="W1425" s="5">
        <f t="shared" si="446"/>
        <v>3</v>
      </c>
      <c r="X1425" s="5">
        <f t="shared" si="447"/>
        <v>4.5</v>
      </c>
      <c r="Y1425" s="5">
        <f t="shared" si="448"/>
        <v>0</v>
      </c>
      <c r="Z1425" s="5">
        <f t="shared" si="449"/>
        <v>0</v>
      </c>
      <c r="AA1425" s="5">
        <f t="shared" si="450"/>
        <v>0</v>
      </c>
      <c r="AB1425" s="5">
        <f t="shared" si="440"/>
        <v>8.5</v>
      </c>
    </row>
    <row r="1426" spans="1:29" x14ac:dyDescent="0.25">
      <c r="D1426" t="s">
        <v>119</v>
      </c>
      <c r="E1426" s="64"/>
      <c r="F1426" s="64"/>
      <c r="G1426">
        <f>IFERROR(HLOOKUP(G$2,[44]table_female_hkom1_inj.U4!$A$1:$K$36,31,FALSE),0)</f>
        <v>1</v>
      </c>
      <c r="H1426">
        <f>IFERROR(HLOOKUP(H$2,[44]table_female_hkom1_inj.U4!$A$1:$K$36,31,FALSE),0)</f>
        <v>1</v>
      </c>
      <c r="I1426">
        <f>IFERROR(HLOOKUP(I$2,[44]table_female_hkom1_inj.U4!$A$1:$K$36,31,FALSE),0)</f>
        <v>1</v>
      </c>
      <c r="J1426">
        <f>IFERROR(HLOOKUP(J$2,[44]table_female_hkom1_inj.U4!$A$1:$K$36,31,FALSE),0)</f>
        <v>0</v>
      </c>
      <c r="K1426">
        <f>IFERROR(HLOOKUP(K$2,[44]table_female_hkom1_inj.U4!$A$1:$K$36,31,FALSE),0)</f>
        <v>0</v>
      </c>
      <c r="L1426">
        <f>IFERROR(HLOOKUP(L$2,[44]table_female_hkom1_inj.U4!$A$1:$K$36,31,FALSE),0)</f>
        <v>0</v>
      </c>
      <c r="M1426">
        <f t="shared" si="441"/>
        <v>3</v>
      </c>
      <c r="S1426" t="s">
        <v>119</v>
      </c>
      <c r="T1426" s="5">
        <f t="shared" si="443"/>
        <v>0</v>
      </c>
      <c r="U1426" s="5">
        <f t="shared" si="444"/>
        <v>0</v>
      </c>
      <c r="V1426" s="5">
        <f t="shared" si="445"/>
        <v>1</v>
      </c>
      <c r="W1426" s="5">
        <f t="shared" si="446"/>
        <v>1</v>
      </c>
      <c r="X1426" s="5">
        <f t="shared" si="447"/>
        <v>1.5</v>
      </c>
      <c r="Y1426" s="5">
        <f t="shared" si="448"/>
        <v>0</v>
      </c>
      <c r="Z1426" s="5">
        <f t="shared" si="449"/>
        <v>0</v>
      </c>
      <c r="AA1426" s="5">
        <f t="shared" si="450"/>
        <v>0</v>
      </c>
      <c r="AB1426" s="5">
        <f t="shared" si="440"/>
        <v>3.5</v>
      </c>
    </row>
    <row r="1427" spans="1:29" x14ac:dyDescent="0.25">
      <c r="D1427" t="s">
        <v>99</v>
      </c>
      <c r="E1427" s="64"/>
      <c r="F1427" s="64"/>
      <c r="G1427">
        <f>IFERROR(HLOOKUP(G$2,[44]table_female_hkom1_inj.U4!$A$1:$K$36,32,FALSE),0)</f>
        <v>0</v>
      </c>
      <c r="H1427">
        <f>IFERROR(HLOOKUP(H$2,[44]table_female_hkom1_inj.U4!$A$1:$K$36,32,FALSE),0)</f>
        <v>0</v>
      </c>
      <c r="I1427">
        <f>IFERROR(HLOOKUP(I$2,[44]table_female_hkom1_inj.U4!$A$1:$K$36,32,FALSE),0)</f>
        <v>0</v>
      </c>
      <c r="J1427">
        <f>IFERROR(HLOOKUP(J$2,[44]table_female_hkom1_inj.U4!$A$1:$K$36,32,FALSE),0)</f>
        <v>0</v>
      </c>
      <c r="K1427">
        <f>IFERROR(HLOOKUP(K$2,[44]table_female_hkom1_inj.U4!$A$1:$K$36,32,FALSE),0)</f>
        <v>0</v>
      </c>
      <c r="L1427">
        <f>IFERROR(HLOOKUP(L$2,[44]table_female_hkom1_inj.U4!$A$1:$K$36,32,FALSE),0)</f>
        <v>0</v>
      </c>
      <c r="M1427">
        <f t="shared" si="441"/>
        <v>0</v>
      </c>
      <c r="S1427" t="s">
        <v>99</v>
      </c>
      <c r="T1427" s="5">
        <f t="shared" si="443"/>
        <v>0</v>
      </c>
      <c r="U1427" s="5">
        <f t="shared" si="444"/>
        <v>0</v>
      </c>
      <c r="V1427" s="5">
        <f t="shared" si="445"/>
        <v>0</v>
      </c>
      <c r="W1427" s="5">
        <f t="shared" si="446"/>
        <v>0</v>
      </c>
      <c r="X1427" s="5">
        <f t="shared" si="447"/>
        <v>0</v>
      </c>
      <c r="Y1427" s="5">
        <f t="shared" si="448"/>
        <v>0</v>
      </c>
      <c r="Z1427" s="5">
        <f t="shared" si="449"/>
        <v>0</v>
      </c>
      <c r="AA1427" s="5">
        <f t="shared" si="450"/>
        <v>0</v>
      </c>
      <c r="AB1427" s="5">
        <f t="shared" si="440"/>
        <v>0</v>
      </c>
    </row>
    <row r="1428" spans="1:29" x14ac:dyDescent="0.25">
      <c r="D1428" t="s">
        <v>100</v>
      </c>
      <c r="E1428" s="64"/>
      <c r="F1428" s="64"/>
      <c r="G1428">
        <f>IFERROR(HLOOKUP(G$2,[44]table_female_hkom1_inj.U4!$A$1:$K$36,33,FALSE),0)</f>
        <v>0</v>
      </c>
      <c r="H1428">
        <f>IFERROR(HLOOKUP(H$2,[44]table_female_hkom1_inj.U4!$A$1:$K$36,33,FALSE),0)</f>
        <v>0</v>
      </c>
      <c r="I1428">
        <f>IFERROR(HLOOKUP(I$2,[44]table_female_hkom1_inj.U4!$A$1:$K$36,33,FALSE),0)</f>
        <v>0</v>
      </c>
      <c r="J1428">
        <f>IFERROR(HLOOKUP(J$2,[44]table_female_hkom1_inj.U4!$A$1:$K$36,33,FALSE),0)</f>
        <v>0</v>
      </c>
      <c r="K1428">
        <f>IFERROR(HLOOKUP(K$2,[44]table_female_hkom1_inj.U4!$A$1:$K$36,33,FALSE),0)</f>
        <v>0</v>
      </c>
      <c r="L1428">
        <f>IFERROR(HLOOKUP(L$2,[44]table_female_hkom1_inj.U4!$A$1:$K$36,33,FALSE),0)</f>
        <v>0</v>
      </c>
      <c r="M1428">
        <f t="shared" si="441"/>
        <v>0</v>
      </c>
      <c r="S1428" t="s">
        <v>100</v>
      </c>
      <c r="T1428" s="5">
        <f t="shared" si="443"/>
        <v>0</v>
      </c>
      <c r="U1428" s="5">
        <f t="shared" si="444"/>
        <v>0</v>
      </c>
      <c r="V1428" s="5">
        <f t="shared" si="445"/>
        <v>0</v>
      </c>
      <c r="W1428" s="5">
        <f t="shared" si="446"/>
        <v>0</v>
      </c>
      <c r="X1428" s="5">
        <f t="shared" si="447"/>
        <v>0</v>
      </c>
      <c r="Y1428" s="5">
        <f t="shared" si="448"/>
        <v>0</v>
      </c>
      <c r="Z1428" s="5">
        <f t="shared" si="449"/>
        <v>0</v>
      </c>
      <c r="AA1428" s="5">
        <f t="shared" si="450"/>
        <v>0</v>
      </c>
      <c r="AB1428" s="5">
        <f t="shared" ref="AB1428:AB1491" si="451">SUM(T1428:AA1428)</f>
        <v>0</v>
      </c>
    </row>
    <row r="1429" spans="1:29" x14ac:dyDescent="0.25">
      <c r="D1429" t="s">
        <v>101</v>
      </c>
      <c r="E1429" s="64"/>
      <c r="F1429" s="64"/>
      <c r="G1429">
        <f>IFERROR(HLOOKUP(G$2,[44]table_female_hkom1_inj.U4!$A$1:$K$36,34,FALSE),0)</f>
        <v>0</v>
      </c>
      <c r="H1429">
        <f>IFERROR(HLOOKUP(H$2,[44]table_female_hkom1_inj.U4!$A$1:$K$36,34,FALSE),0)</f>
        <v>0</v>
      </c>
      <c r="I1429">
        <f>IFERROR(HLOOKUP(I$2,[44]table_female_hkom1_inj.U4!$A$1:$K$36,34,FALSE),0)</f>
        <v>0</v>
      </c>
      <c r="J1429">
        <f>IFERROR(HLOOKUP(J$2,[44]table_female_hkom1_inj.U4!$A$1:$K$36,34,FALSE),0)</f>
        <v>0</v>
      </c>
      <c r="K1429">
        <f>IFERROR(HLOOKUP(K$2,[44]table_female_hkom1_inj.U4!$A$1:$K$36,34,FALSE),0)</f>
        <v>0</v>
      </c>
      <c r="L1429">
        <f>IFERROR(HLOOKUP(L$2,[44]table_female_hkom1_inj.U4!$A$1:$K$36,34,FALSE),0)</f>
        <v>0</v>
      </c>
      <c r="M1429">
        <f t="shared" si="441"/>
        <v>0</v>
      </c>
      <c r="S1429" t="s">
        <v>101</v>
      </c>
      <c r="T1429" s="5">
        <f t="shared" si="443"/>
        <v>0</v>
      </c>
      <c r="U1429" s="5">
        <f t="shared" si="444"/>
        <v>0</v>
      </c>
      <c r="V1429" s="5">
        <f t="shared" si="445"/>
        <v>0</v>
      </c>
      <c r="W1429" s="5">
        <f t="shared" si="446"/>
        <v>0</v>
      </c>
      <c r="X1429" s="5">
        <f t="shared" si="447"/>
        <v>0</v>
      </c>
      <c r="Y1429" s="5">
        <f t="shared" si="448"/>
        <v>0</v>
      </c>
      <c r="Z1429" s="5">
        <f t="shared" si="449"/>
        <v>0</v>
      </c>
      <c r="AA1429" s="5">
        <f t="shared" si="450"/>
        <v>0</v>
      </c>
      <c r="AB1429" s="5">
        <f t="shared" si="451"/>
        <v>0</v>
      </c>
    </row>
    <row r="1430" spans="1:29" x14ac:dyDescent="0.25">
      <c r="D1430" t="s">
        <v>102</v>
      </c>
      <c r="E1430" s="64"/>
      <c r="F1430" s="64"/>
      <c r="G1430">
        <f>IFERROR(HLOOKUP(G$2,[44]table_female_hkom1_inj.U4!$A$1:$K$36,35,FALSE),0)</f>
        <v>0</v>
      </c>
      <c r="H1430">
        <f>IFERROR(HLOOKUP(H$2,[44]table_female_hkom1_inj.U4!$A$1:$K$36,35,FALSE),0)</f>
        <v>0</v>
      </c>
      <c r="I1430">
        <f>IFERROR(HLOOKUP(I$2,[44]table_female_hkom1_inj.U4!$A$1:$K$36,35,FALSE),0)</f>
        <v>2</v>
      </c>
      <c r="J1430">
        <f>IFERROR(HLOOKUP(J$2,[44]table_female_hkom1_inj.U4!$A$1:$K$36,35,FALSE),0)</f>
        <v>0</v>
      </c>
      <c r="K1430">
        <f>IFERROR(HLOOKUP(K$2,[44]table_female_hkom1_inj.U4!$A$1:$K$36,35,FALSE),0)</f>
        <v>0</v>
      </c>
      <c r="L1430">
        <f>IFERROR(HLOOKUP(L$2,[44]table_female_hkom1_inj.U4!$A$1:$K$36,35,FALSE),0)</f>
        <v>0</v>
      </c>
      <c r="M1430">
        <f t="shared" si="441"/>
        <v>2</v>
      </c>
      <c r="N1430">
        <f>SUM(M1397:M1430)</f>
        <v>13</v>
      </c>
      <c r="O1430" s="8">
        <f>SUM([44]table_female_hkom1_inj.U4!$B$2:$L$37)</f>
        <v>13</v>
      </c>
      <c r="S1430" t="s">
        <v>102</v>
      </c>
      <c r="T1430" s="7"/>
      <c r="U1430" s="7"/>
      <c r="V1430" s="7"/>
      <c r="W1430" s="7"/>
      <c r="X1430" s="7"/>
      <c r="Y1430" s="7"/>
      <c r="Z1430" s="7"/>
      <c r="AA1430" s="7"/>
      <c r="AB1430" s="5">
        <f t="shared" si="451"/>
        <v>0</v>
      </c>
      <c r="AC1430" s="5">
        <f>SUM(AB1397:AB1429)</f>
        <v>13</v>
      </c>
    </row>
    <row r="1431" spans="1:29" x14ac:dyDescent="0.25">
      <c r="A1431" t="s">
        <v>115</v>
      </c>
      <c r="B1431" t="s">
        <v>103</v>
      </c>
      <c r="C1431" t="s">
        <v>113</v>
      </c>
      <c r="D1431" t="s">
        <v>70</v>
      </c>
      <c r="E1431" s="64"/>
      <c r="F1431" s="64"/>
      <c r="G1431">
        <f>IFERROR(HLOOKUP(G$2,[45]table_female_hkom1_inj.U5!$A$1:$K$36,2,FALSE),0)</f>
        <v>0</v>
      </c>
      <c r="H1431">
        <f>IFERROR(HLOOKUP(H$2,[45]table_female_hkom1_inj.U5!$A$1:$K$36,2,FALSE),0)</f>
        <v>0</v>
      </c>
      <c r="I1431">
        <f>IFERROR(HLOOKUP(I$2,[45]table_female_hkom1_inj.U5!$A$1:$K$36,2,FALSE),0)</f>
        <v>0</v>
      </c>
      <c r="J1431">
        <f>IFERROR(HLOOKUP(J$2,[45]table_female_hkom1_inj.U5!$A$1:$K$36,2,FALSE),0)</f>
        <v>0</v>
      </c>
      <c r="K1431">
        <f>IFERROR(HLOOKUP(K$2,[45]table_female_hkom1_inj.U5!$A$1:$K$36,2,FALSE),0)</f>
        <v>0</v>
      </c>
      <c r="L1431">
        <f>IFERROR(HLOOKUP(L$2,[45]table_female_hkom1_inj.U5!$A$1:$K$36,2,FALSE),0)</f>
        <v>0</v>
      </c>
      <c r="M1431">
        <f t="shared" si="441"/>
        <v>0</v>
      </c>
      <c r="P1431" t="s">
        <v>115</v>
      </c>
      <c r="Q1431" t="s">
        <v>103</v>
      </c>
      <c r="R1431" t="s">
        <v>113</v>
      </c>
      <c r="S1431" t="s">
        <v>70</v>
      </c>
      <c r="T1431" s="5">
        <f>IF(SUM(E$1431:E$1463)=0,E$1464/33,E1431+IFERROR(E1431/SUM(E$1431:E$1463)*E$1464,0))</f>
        <v>0</v>
      </c>
      <c r="U1431" s="5">
        <f t="shared" ref="U1431:AA1431" si="452">IF(SUM(F$1431:F$1463)=0,F$1464/33,F1431+IFERROR(F1431/SUM(F$1431:F$1463)*F$1464,0))</f>
        <v>0</v>
      </c>
      <c r="V1431" s="5">
        <f t="shared" si="452"/>
        <v>0</v>
      </c>
      <c r="W1431" s="5">
        <f t="shared" si="452"/>
        <v>0</v>
      </c>
      <c r="X1431" s="5">
        <f t="shared" si="452"/>
        <v>0</v>
      </c>
      <c r="Y1431" s="5">
        <f t="shared" si="452"/>
        <v>0</v>
      </c>
      <c r="Z1431" s="5">
        <f t="shared" si="452"/>
        <v>0</v>
      </c>
      <c r="AA1431" s="5">
        <f t="shared" si="452"/>
        <v>0</v>
      </c>
      <c r="AB1431" s="5">
        <f t="shared" si="451"/>
        <v>0</v>
      </c>
    </row>
    <row r="1432" spans="1:29" x14ac:dyDescent="0.25">
      <c r="D1432" t="s">
        <v>71</v>
      </c>
      <c r="E1432" s="64"/>
      <c r="F1432" s="64"/>
      <c r="G1432">
        <f>IFERROR(HLOOKUP(G$2,[45]table_female_hkom1_inj.U5!$A$1:$K$36,3,FALSE),0)</f>
        <v>0</v>
      </c>
      <c r="H1432">
        <f>IFERROR(HLOOKUP(H$2,[45]table_female_hkom1_inj.U5!$A$1:$K$36,3,FALSE),0)</f>
        <v>0</v>
      </c>
      <c r="I1432">
        <f>IFERROR(HLOOKUP(I$2,[45]table_female_hkom1_inj.U5!$A$1:$K$36,3,FALSE),0)</f>
        <v>0</v>
      </c>
      <c r="J1432">
        <f>IFERROR(HLOOKUP(J$2,[45]table_female_hkom1_inj.U5!$A$1:$K$36,3,FALSE),0)</f>
        <v>0</v>
      </c>
      <c r="K1432">
        <f>IFERROR(HLOOKUP(K$2,[45]table_female_hkom1_inj.U5!$A$1:$K$36,3,FALSE),0)</f>
        <v>0</v>
      </c>
      <c r="L1432">
        <f>IFERROR(HLOOKUP(L$2,[45]table_female_hkom1_inj.U5!$A$1:$K$36,3,FALSE),0)</f>
        <v>0</v>
      </c>
      <c r="M1432">
        <f t="shared" si="441"/>
        <v>0</v>
      </c>
      <c r="S1432" t="s">
        <v>71</v>
      </c>
      <c r="T1432" s="5">
        <f t="shared" ref="T1432:T1463" si="453">IF(SUM(E$1431:E$1463)=0,E$1464/33,E1432+IFERROR(E1432/SUM(E$1431:E$1463)*E$1464,0))</f>
        <v>0</v>
      </c>
      <c r="U1432" s="5">
        <f t="shared" ref="U1432:U1463" si="454">IF(SUM(F$1431:F$1463)=0,F$1464/33,F1432+IFERROR(F1432/SUM(F$1431:F$1463)*F$1464,0))</f>
        <v>0</v>
      </c>
      <c r="V1432" s="5">
        <f t="shared" ref="V1432:V1463" si="455">IF(SUM(G$1431:G$1463)=0,G$1464/33,G1432+IFERROR(G1432/SUM(G$1431:G$1463)*G$1464,0))</f>
        <v>0</v>
      </c>
      <c r="W1432" s="5">
        <f t="shared" ref="W1432:W1463" si="456">IF(SUM(H$1431:H$1463)=0,H$1464/33,H1432+IFERROR(H1432/SUM(H$1431:H$1463)*H$1464,0))</f>
        <v>0</v>
      </c>
      <c r="X1432" s="5">
        <f t="shared" ref="X1432:X1463" si="457">IF(SUM(I$1431:I$1463)=0,I$1464/33,I1432+IFERROR(I1432/SUM(I$1431:I$1463)*I$1464,0))</f>
        <v>0</v>
      </c>
      <c r="Y1432" s="5">
        <f t="shared" ref="Y1432:Y1463" si="458">IF(SUM(J$1431:J$1463)=0,J$1464/33,J1432+IFERROR(J1432/SUM(J$1431:J$1463)*J$1464,0))</f>
        <v>0</v>
      </c>
      <c r="Z1432" s="5">
        <f t="shared" ref="Z1432:Z1463" si="459">IF(SUM(K$1431:K$1463)=0,K$1464/33,K1432+IFERROR(K1432/SUM(K$1431:K$1463)*K$1464,0))</f>
        <v>0</v>
      </c>
      <c r="AA1432" s="5">
        <f t="shared" ref="AA1432:AA1463" si="460">IF(SUM(L$1431:L$1463)=0,L$1464/33,L1432+IFERROR(L1432/SUM(L$1431:L$1463)*L$1464,0))</f>
        <v>0</v>
      </c>
      <c r="AB1432" s="5">
        <f t="shared" si="451"/>
        <v>0</v>
      </c>
    </row>
    <row r="1433" spans="1:29" x14ac:dyDescent="0.25">
      <c r="D1433" t="s">
        <v>72</v>
      </c>
      <c r="E1433" s="64"/>
      <c r="F1433" s="64"/>
      <c r="G1433">
        <f>IFERROR(HLOOKUP(G$2,[45]table_female_hkom1_inj.U5!$A$1:$K$36,4,FALSE),0)</f>
        <v>0</v>
      </c>
      <c r="H1433">
        <f>IFERROR(HLOOKUP(H$2,[45]table_female_hkom1_inj.U5!$A$1:$K$36,4,FALSE),0)</f>
        <v>0</v>
      </c>
      <c r="I1433">
        <f>IFERROR(HLOOKUP(I$2,[45]table_female_hkom1_inj.U5!$A$1:$K$36,4,FALSE),0)</f>
        <v>0</v>
      </c>
      <c r="J1433">
        <f>IFERROR(HLOOKUP(J$2,[45]table_female_hkom1_inj.U5!$A$1:$K$36,4,FALSE),0)</f>
        <v>0</v>
      </c>
      <c r="K1433">
        <f>IFERROR(HLOOKUP(K$2,[45]table_female_hkom1_inj.U5!$A$1:$K$36,4,FALSE),0)</f>
        <v>0</v>
      </c>
      <c r="L1433">
        <f>IFERROR(HLOOKUP(L$2,[45]table_female_hkom1_inj.U5!$A$1:$K$36,4,FALSE),0)</f>
        <v>0</v>
      </c>
      <c r="M1433">
        <f t="shared" si="441"/>
        <v>0</v>
      </c>
      <c r="S1433" t="s">
        <v>72</v>
      </c>
      <c r="T1433" s="5">
        <f t="shared" si="453"/>
        <v>0</v>
      </c>
      <c r="U1433" s="5">
        <f t="shared" si="454"/>
        <v>0</v>
      </c>
      <c r="V1433" s="5">
        <f t="shared" si="455"/>
        <v>0</v>
      </c>
      <c r="W1433" s="5">
        <f t="shared" si="456"/>
        <v>0</v>
      </c>
      <c r="X1433" s="5">
        <f t="shared" si="457"/>
        <v>0</v>
      </c>
      <c r="Y1433" s="5">
        <f t="shared" si="458"/>
        <v>0</v>
      </c>
      <c r="Z1433" s="5">
        <f t="shared" si="459"/>
        <v>0</v>
      </c>
      <c r="AA1433" s="5">
        <f t="shared" si="460"/>
        <v>0</v>
      </c>
      <c r="AB1433" s="5">
        <f t="shared" si="451"/>
        <v>0</v>
      </c>
    </row>
    <row r="1434" spans="1:29" x14ac:dyDescent="0.25">
      <c r="D1434" t="s">
        <v>73</v>
      </c>
      <c r="E1434" s="64"/>
      <c r="F1434" s="64"/>
      <c r="G1434">
        <f>IFERROR(HLOOKUP(G$2,[45]table_female_hkom1_inj.U5!$A$1:$K$36,5,FALSE),0)</f>
        <v>0</v>
      </c>
      <c r="H1434">
        <f>IFERROR(HLOOKUP(H$2,[45]table_female_hkom1_inj.U5!$A$1:$K$36,5,FALSE),0)</f>
        <v>1</v>
      </c>
      <c r="I1434">
        <f>IFERROR(HLOOKUP(I$2,[45]table_female_hkom1_inj.U5!$A$1:$K$36,5,FALSE),0)</f>
        <v>0</v>
      </c>
      <c r="J1434">
        <f>IFERROR(HLOOKUP(J$2,[45]table_female_hkom1_inj.U5!$A$1:$K$36,5,FALSE),0)</f>
        <v>0</v>
      </c>
      <c r="K1434">
        <f>IFERROR(HLOOKUP(K$2,[45]table_female_hkom1_inj.U5!$A$1:$K$36,5,FALSE),0)</f>
        <v>0</v>
      </c>
      <c r="L1434">
        <f>IFERROR(HLOOKUP(L$2,[45]table_female_hkom1_inj.U5!$A$1:$K$36,5,FALSE),0)</f>
        <v>0</v>
      </c>
      <c r="M1434">
        <f t="shared" si="441"/>
        <v>1</v>
      </c>
      <c r="S1434" t="s">
        <v>73</v>
      </c>
      <c r="T1434" s="5">
        <f t="shared" si="453"/>
        <v>0</v>
      </c>
      <c r="U1434" s="5">
        <f t="shared" si="454"/>
        <v>0</v>
      </c>
      <c r="V1434" s="5">
        <f t="shared" si="455"/>
        <v>0</v>
      </c>
      <c r="W1434" s="5">
        <f t="shared" si="456"/>
        <v>3</v>
      </c>
      <c r="X1434" s="5">
        <f t="shared" si="457"/>
        <v>0</v>
      </c>
      <c r="Y1434" s="5">
        <f t="shared" si="458"/>
        <v>0</v>
      </c>
      <c r="Z1434" s="5">
        <f t="shared" si="459"/>
        <v>0</v>
      </c>
      <c r="AA1434" s="5">
        <f t="shared" si="460"/>
        <v>0</v>
      </c>
      <c r="AB1434" s="5">
        <f t="shared" si="451"/>
        <v>3</v>
      </c>
    </row>
    <row r="1435" spans="1:29" x14ac:dyDescent="0.25">
      <c r="D1435" t="s">
        <v>74</v>
      </c>
      <c r="E1435" s="64"/>
      <c r="F1435" s="64"/>
      <c r="G1435">
        <f>IFERROR(HLOOKUP(G$2,[45]table_female_hkom1_inj.U5!$A$1:$K$36,6,FALSE),0)</f>
        <v>0</v>
      </c>
      <c r="H1435">
        <f>IFERROR(HLOOKUP(H$2,[45]table_female_hkom1_inj.U5!$A$1:$K$36,6,FALSE),0)</f>
        <v>0</v>
      </c>
      <c r="I1435">
        <f>IFERROR(HLOOKUP(I$2,[45]table_female_hkom1_inj.U5!$A$1:$K$36,6,FALSE),0)</f>
        <v>0</v>
      </c>
      <c r="J1435">
        <f>IFERROR(HLOOKUP(J$2,[45]table_female_hkom1_inj.U5!$A$1:$K$36,6,FALSE),0)</f>
        <v>0</v>
      </c>
      <c r="K1435">
        <f>IFERROR(HLOOKUP(K$2,[45]table_female_hkom1_inj.U5!$A$1:$K$36,6,FALSE),0)</f>
        <v>0</v>
      </c>
      <c r="L1435">
        <f>IFERROR(HLOOKUP(L$2,[45]table_female_hkom1_inj.U5!$A$1:$K$36,6,FALSE),0)</f>
        <v>0</v>
      </c>
      <c r="M1435">
        <f t="shared" si="441"/>
        <v>0</v>
      </c>
      <c r="S1435" t="s">
        <v>74</v>
      </c>
      <c r="T1435" s="5">
        <f t="shared" si="453"/>
        <v>0</v>
      </c>
      <c r="U1435" s="5">
        <f t="shared" si="454"/>
        <v>0</v>
      </c>
      <c r="V1435" s="5">
        <f t="shared" si="455"/>
        <v>0</v>
      </c>
      <c r="W1435" s="5">
        <f t="shared" si="456"/>
        <v>0</v>
      </c>
      <c r="X1435" s="5">
        <f t="shared" si="457"/>
        <v>0</v>
      </c>
      <c r="Y1435" s="5">
        <f t="shared" si="458"/>
        <v>0</v>
      </c>
      <c r="Z1435" s="5">
        <f t="shared" si="459"/>
        <v>0</v>
      </c>
      <c r="AA1435" s="5">
        <f t="shared" si="460"/>
        <v>0</v>
      </c>
      <c r="AB1435" s="5">
        <f t="shared" si="451"/>
        <v>0</v>
      </c>
    </row>
    <row r="1436" spans="1:29" x14ac:dyDescent="0.25">
      <c r="D1436" t="s">
        <v>75</v>
      </c>
      <c r="E1436" s="64"/>
      <c r="F1436" s="64"/>
      <c r="G1436">
        <f>IFERROR(HLOOKUP(G$2,[45]table_female_hkom1_inj.U5!$A$1:$K$36,7,FALSE),0)</f>
        <v>0</v>
      </c>
      <c r="H1436">
        <f>IFERROR(HLOOKUP(H$2,[45]table_female_hkom1_inj.U5!$A$1:$K$36,7,FALSE),0)</f>
        <v>0</v>
      </c>
      <c r="I1436">
        <f>IFERROR(HLOOKUP(I$2,[45]table_female_hkom1_inj.U5!$A$1:$K$36,7,FALSE),0)</f>
        <v>0</v>
      </c>
      <c r="J1436">
        <f>IFERROR(HLOOKUP(J$2,[45]table_female_hkom1_inj.U5!$A$1:$K$36,7,FALSE),0)</f>
        <v>0</v>
      </c>
      <c r="K1436">
        <f>IFERROR(HLOOKUP(K$2,[45]table_female_hkom1_inj.U5!$A$1:$K$36,7,FALSE),0)</f>
        <v>0</v>
      </c>
      <c r="L1436">
        <f>IFERROR(HLOOKUP(L$2,[45]table_female_hkom1_inj.U5!$A$1:$K$36,7,FALSE),0)</f>
        <v>0</v>
      </c>
      <c r="M1436">
        <f t="shared" si="441"/>
        <v>0</v>
      </c>
      <c r="S1436" t="s">
        <v>75</v>
      </c>
      <c r="T1436" s="5">
        <f t="shared" si="453"/>
        <v>0</v>
      </c>
      <c r="U1436" s="5">
        <f t="shared" si="454"/>
        <v>0</v>
      </c>
      <c r="V1436" s="5">
        <f t="shared" si="455"/>
        <v>0</v>
      </c>
      <c r="W1436" s="5">
        <f t="shared" si="456"/>
        <v>0</v>
      </c>
      <c r="X1436" s="5">
        <f t="shared" si="457"/>
        <v>0</v>
      </c>
      <c r="Y1436" s="5">
        <f t="shared" si="458"/>
        <v>0</v>
      </c>
      <c r="Z1436" s="5">
        <f t="shared" si="459"/>
        <v>0</v>
      </c>
      <c r="AA1436" s="5">
        <f t="shared" si="460"/>
        <v>0</v>
      </c>
      <c r="AB1436" s="5">
        <f t="shared" si="451"/>
        <v>0</v>
      </c>
    </row>
    <row r="1437" spans="1:29" x14ac:dyDescent="0.25">
      <c r="D1437" t="s">
        <v>76</v>
      </c>
      <c r="E1437" s="64"/>
      <c r="F1437" s="64"/>
      <c r="G1437">
        <f>IFERROR(HLOOKUP(G$2,[45]table_female_hkom1_inj.U5!$A$1:$K$36,8,FALSE),0)</f>
        <v>0</v>
      </c>
      <c r="H1437">
        <f>IFERROR(HLOOKUP(H$2,[45]table_female_hkom1_inj.U5!$A$1:$K$36,8,FALSE),0)</f>
        <v>0</v>
      </c>
      <c r="I1437">
        <f>IFERROR(HLOOKUP(I$2,[45]table_female_hkom1_inj.U5!$A$1:$K$36,8,FALSE),0)</f>
        <v>0</v>
      </c>
      <c r="J1437">
        <f>IFERROR(HLOOKUP(J$2,[45]table_female_hkom1_inj.U5!$A$1:$K$36,8,FALSE),0)</f>
        <v>0</v>
      </c>
      <c r="K1437">
        <f>IFERROR(HLOOKUP(K$2,[45]table_female_hkom1_inj.U5!$A$1:$K$36,8,FALSE),0)</f>
        <v>0</v>
      </c>
      <c r="L1437">
        <f>IFERROR(HLOOKUP(L$2,[45]table_female_hkom1_inj.U5!$A$1:$K$36,8,FALSE),0)</f>
        <v>0</v>
      </c>
      <c r="M1437">
        <f t="shared" si="441"/>
        <v>0</v>
      </c>
      <c r="S1437" t="s">
        <v>76</v>
      </c>
      <c r="T1437" s="5">
        <f t="shared" si="453"/>
        <v>0</v>
      </c>
      <c r="U1437" s="5">
        <f t="shared" si="454"/>
        <v>0</v>
      </c>
      <c r="V1437" s="5">
        <f t="shared" si="455"/>
        <v>0</v>
      </c>
      <c r="W1437" s="5">
        <f t="shared" si="456"/>
        <v>0</v>
      </c>
      <c r="X1437" s="5">
        <f t="shared" si="457"/>
        <v>0</v>
      </c>
      <c r="Y1437" s="5">
        <f t="shared" si="458"/>
        <v>0</v>
      </c>
      <c r="Z1437" s="5">
        <f t="shared" si="459"/>
        <v>0</v>
      </c>
      <c r="AA1437" s="5">
        <f t="shared" si="460"/>
        <v>0</v>
      </c>
      <c r="AB1437" s="5">
        <f t="shared" si="451"/>
        <v>0</v>
      </c>
    </row>
    <row r="1438" spans="1:29" x14ac:dyDescent="0.25">
      <c r="D1438" t="s">
        <v>77</v>
      </c>
      <c r="E1438" s="64"/>
      <c r="F1438" s="64"/>
      <c r="G1438">
        <f>IFERROR(HLOOKUP(G$2,[45]table_female_hkom1_inj.U5!$A$1:$K$36,9,FALSE),0)</f>
        <v>0</v>
      </c>
      <c r="H1438">
        <f>IFERROR(HLOOKUP(H$2,[45]table_female_hkom1_inj.U5!$A$1:$K$36,9,FALSE),0)</f>
        <v>0</v>
      </c>
      <c r="I1438">
        <f>IFERROR(HLOOKUP(I$2,[45]table_female_hkom1_inj.U5!$A$1:$K$36,9,FALSE),0)</f>
        <v>0</v>
      </c>
      <c r="J1438">
        <f>IFERROR(HLOOKUP(J$2,[45]table_female_hkom1_inj.U5!$A$1:$K$36,9,FALSE),0)</f>
        <v>0</v>
      </c>
      <c r="K1438">
        <f>IFERROR(HLOOKUP(K$2,[45]table_female_hkom1_inj.U5!$A$1:$K$36,9,FALSE),0)</f>
        <v>0</v>
      </c>
      <c r="L1438">
        <f>IFERROR(HLOOKUP(L$2,[45]table_female_hkom1_inj.U5!$A$1:$K$36,9,FALSE),0)</f>
        <v>0</v>
      </c>
      <c r="M1438">
        <f t="shared" si="441"/>
        <v>0</v>
      </c>
      <c r="S1438" t="s">
        <v>77</v>
      </c>
      <c r="T1438" s="5">
        <f t="shared" si="453"/>
        <v>0</v>
      </c>
      <c r="U1438" s="5">
        <f t="shared" si="454"/>
        <v>0</v>
      </c>
      <c r="V1438" s="5">
        <f t="shared" si="455"/>
        <v>0</v>
      </c>
      <c r="W1438" s="5">
        <f t="shared" si="456"/>
        <v>0</v>
      </c>
      <c r="X1438" s="5">
        <f t="shared" si="457"/>
        <v>0</v>
      </c>
      <c r="Y1438" s="5">
        <f t="shared" si="458"/>
        <v>0</v>
      </c>
      <c r="Z1438" s="5">
        <f t="shared" si="459"/>
        <v>0</v>
      </c>
      <c r="AA1438" s="5">
        <f t="shared" si="460"/>
        <v>0</v>
      </c>
      <c r="AB1438" s="5">
        <f t="shared" si="451"/>
        <v>0</v>
      </c>
    </row>
    <row r="1439" spans="1:29" x14ac:dyDescent="0.25">
      <c r="D1439" t="s">
        <v>78</v>
      </c>
      <c r="E1439" s="64"/>
      <c r="F1439" s="64"/>
      <c r="G1439">
        <f>IFERROR(HLOOKUP(G$2,[45]table_female_hkom1_inj.U5!$A$1:$K$36,10,FALSE),0)</f>
        <v>0</v>
      </c>
      <c r="H1439">
        <f>IFERROR(HLOOKUP(H$2,[45]table_female_hkom1_inj.U5!$A$1:$K$36,10,FALSE),0)</f>
        <v>0</v>
      </c>
      <c r="I1439">
        <f>IFERROR(HLOOKUP(I$2,[45]table_female_hkom1_inj.U5!$A$1:$K$36,10,FALSE),0)</f>
        <v>0</v>
      </c>
      <c r="J1439">
        <f>IFERROR(HLOOKUP(J$2,[45]table_female_hkom1_inj.U5!$A$1:$K$36,10,FALSE),0)</f>
        <v>0</v>
      </c>
      <c r="K1439">
        <f>IFERROR(HLOOKUP(K$2,[45]table_female_hkom1_inj.U5!$A$1:$K$36,10,FALSE),0)</f>
        <v>0</v>
      </c>
      <c r="L1439">
        <f>IFERROR(HLOOKUP(L$2,[45]table_female_hkom1_inj.U5!$A$1:$K$36,10,FALSE),0)</f>
        <v>0</v>
      </c>
      <c r="M1439">
        <f t="shared" si="441"/>
        <v>0</v>
      </c>
      <c r="S1439" t="s">
        <v>78</v>
      </c>
      <c r="T1439" s="5">
        <f t="shared" si="453"/>
        <v>0</v>
      </c>
      <c r="U1439" s="5">
        <f t="shared" si="454"/>
        <v>0</v>
      </c>
      <c r="V1439" s="5">
        <f t="shared" si="455"/>
        <v>0</v>
      </c>
      <c r="W1439" s="5">
        <f t="shared" si="456"/>
        <v>0</v>
      </c>
      <c r="X1439" s="5">
        <f t="shared" si="457"/>
        <v>0</v>
      </c>
      <c r="Y1439" s="5">
        <f t="shared" si="458"/>
        <v>0</v>
      </c>
      <c r="Z1439" s="5">
        <f t="shared" si="459"/>
        <v>0</v>
      </c>
      <c r="AA1439" s="5">
        <f t="shared" si="460"/>
        <v>0</v>
      </c>
      <c r="AB1439" s="5">
        <f t="shared" si="451"/>
        <v>0</v>
      </c>
    </row>
    <row r="1440" spans="1:29" x14ac:dyDescent="0.25">
      <c r="D1440" t="s">
        <v>79</v>
      </c>
      <c r="E1440" s="64"/>
      <c r="F1440" s="64"/>
      <c r="G1440">
        <f>IFERROR(HLOOKUP(G$2,[45]table_female_hkom1_inj.U5!$A$1:$K$36,11,FALSE),0)</f>
        <v>0</v>
      </c>
      <c r="H1440">
        <f>IFERROR(HLOOKUP(H$2,[45]table_female_hkom1_inj.U5!$A$1:$K$36,11,FALSE),0)</f>
        <v>0</v>
      </c>
      <c r="I1440">
        <f>IFERROR(HLOOKUP(I$2,[45]table_female_hkom1_inj.U5!$A$1:$K$36,11,FALSE),0)</f>
        <v>0</v>
      </c>
      <c r="J1440">
        <f>IFERROR(HLOOKUP(J$2,[45]table_female_hkom1_inj.U5!$A$1:$K$36,11,FALSE),0)</f>
        <v>0</v>
      </c>
      <c r="K1440">
        <f>IFERROR(HLOOKUP(K$2,[45]table_female_hkom1_inj.U5!$A$1:$K$36,11,FALSE),0)</f>
        <v>0</v>
      </c>
      <c r="L1440">
        <f>IFERROR(HLOOKUP(L$2,[45]table_female_hkom1_inj.U5!$A$1:$K$36,11,FALSE),0)</f>
        <v>0</v>
      </c>
      <c r="M1440">
        <f t="shared" si="441"/>
        <v>0</v>
      </c>
      <c r="S1440" t="s">
        <v>79</v>
      </c>
      <c r="T1440" s="5">
        <f t="shared" si="453"/>
        <v>0</v>
      </c>
      <c r="U1440" s="5">
        <f t="shared" si="454"/>
        <v>0</v>
      </c>
      <c r="V1440" s="5">
        <f t="shared" si="455"/>
        <v>0</v>
      </c>
      <c r="W1440" s="5">
        <f t="shared" si="456"/>
        <v>0</v>
      </c>
      <c r="X1440" s="5">
        <f t="shared" si="457"/>
        <v>0</v>
      </c>
      <c r="Y1440" s="5">
        <f t="shared" si="458"/>
        <v>0</v>
      </c>
      <c r="Z1440" s="5">
        <f t="shared" si="459"/>
        <v>0</v>
      </c>
      <c r="AA1440" s="5">
        <f t="shared" si="460"/>
        <v>0</v>
      </c>
      <c r="AB1440" s="5">
        <f t="shared" si="451"/>
        <v>0</v>
      </c>
    </row>
    <row r="1441" spans="4:28" x14ac:dyDescent="0.25">
      <c r="D1441" t="s">
        <v>80</v>
      </c>
      <c r="E1441" s="64"/>
      <c r="F1441" s="64"/>
      <c r="G1441">
        <f>IFERROR(HLOOKUP(G$2,[45]table_female_hkom1_inj.U5!$A$1:$K$36,12,FALSE),0)</f>
        <v>0</v>
      </c>
      <c r="H1441">
        <f>IFERROR(HLOOKUP(H$2,[45]table_female_hkom1_inj.U5!$A$1:$K$36,12,FALSE),0)</f>
        <v>0</v>
      </c>
      <c r="I1441">
        <f>IFERROR(HLOOKUP(I$2,[45]table_female_hkom1_inj.U5!$A$1:$K$36,12,FALSE),0)</f>
        <v>0</v>
      </c>
      <c r="J1441">
        <f>IFERROR(HLOOKUP(J$2,[45]table_female_hkom1_inj.U5!$A$1:$K$36,12,FALSE),0)</f>
        <v>0</v>
      </c>
      <c r="K1441">
        <f>IFERROR(HLOOKUP(K$2,[45]table_female_hkom1_inj.U5!$A$1:$K$36,12,FALSE),0)</f>
        <v>0</v>
      </c>
      <c r="L1441">
        <f>IFERROR(HLOOKUP(L$2,[45]table_female_hkom1_inj.U5!$A$1:$K$36,12,FALSE),0)</f>
        <v>0</v>
      </c>
      <c r="M1441">
        <f t="shared" si="441"/>
        <v>0</v>
      </c>
      <c r="S1441" t="s">
        <v>80</v>
      </c>
      <c r="T1441" s="5">
        <f t="shared" si="453"/>
        <v>0</v>
      </c>
      <c r="U1441" s="5">
        <f t="shared" si="454"/>
        <v>0</v>
      </c>
      <c r="V1441" s="5">
        <f t="shared" si="455"/>
        <v>0</v>
      </c>
      <c r="W1441" s="5">
        <f t="shared" si="456"/>
        <v>0</v>
      </c>
      <c r="X1441" s="5">
        <f t="shared" si="457"/>
        <v>0</v>
      </c>
      <c r="Y1441" s="5">
        <f t="shared" si="458"/>
        <v>0</v>
      </c>
      <c r="Z1441" s="5">
        <f t="shared" si="459"/>
        <v>0</v>
      </c>
      <c r="AA1441" s="5">
        <f t="shared" si="460"/>
        <v>0</v>
      </c>
      <c r="AB1441" s="5">
        <f t="shared" si="451"/>
        <v>0</v>
      </c>
    </row>
    <row r="1442" spans="4:28" x14ac:dyDescent="0.25">
      <c r="D1442" t="s">
        <v>81</v>
      </c>
      <c r="E1442" s="64"/>
      <c r="F1442" s="64"/>
      <c r="G1442">
        <f>IFERROR(HLOOKUP(G$2,[45]table_female_hkom1_inj.U5!$A$1:$K$36,13,FALSE),0)</f>
        <v>0</v>
      </c>
      <c r="H1442">
        <f>IFERROR(HLOOKUP(H$2,[45]table_female_hkom1_inj.U5!$A$1:$K$36,13,FALSE),0)</f>
        <v>0</v>
      </c>
      <c r="I1442">
        <f>IFERROR(HLOOKUP(I$2,[45]table_female_hkom1_inj.U5!$A$1:$K$36,13,FALSE),0)</f>
        <v>0</v>
      </c>
      <c r="J1442">
        <f>IFERROR(HLOOKUP(J$2,[45]table_female_hkom1_inj.U5!$A$1:$K$36,13,FALSE),0)</f>
        <v>0</v>
      </c>
      <c r="K1442">
        <f>IFERROR(HLOOKUP(K$2,[45]table_female_hkom1_inj.U5!$A$1:$K$36,13,FALSE),0)</f>
        <v>0</v>
      </c>
      <c r="L1442">
        <f>IFERROR(HLOOKUP(L$2,[45]table_female_hkom1_inj.U5!$A$1:$K$36,13,FALSE),0)</f>
        <v>0</v>
      </c>
      <c r="M1442">
        <f t="shared" si="441"/>
        <v>0</v>
      </c>
      <c r="S1442" t="s">
        <v>81</v>
      </c>
      <c r="T1442" s="5">
        <f t="shared" si="453"/>
        <v>0</v>
      </c>
      <c r="U1442" s="5">
        <f t="shared" si="454"/>
        <v>0</v>
      </c>
      <c r="V1442" s="5">
        <f t="shared" si="455"/>
        <v>0</v>
      </c>
      <c r="W1442" s="5">
        <f t="shared" si="456"/>
        <v>0</v>
      </c>
      <c r="X1442" s="5">
        <f t="shared" si="457"/>
        <v>0</v>
      </c>
      <c r="Y1442" s="5">
        <f t="shared" si="458"/>
        <v>0</v>
      </c>
      <c r="Z1442" s="5">
        <f t="shared" si="459"/>
        <v>0</v>
      </c>
      <c r="AA1442" s="5">
        <f t="shared" si="460"/>
        <v>0</v>
      </c>
      <c r="AB1442" s="5">
        <f t="shared" si="451"/>
        <v>0</v>
      </c>
    </row>
    <row r="1443" spans="4:28" x14ac:dyDescent="0.25">
      <c r="D1443" t="s">
        <v>82</v>
      </c>
      <c r="E1443" s="64"/>
      <c r="F1443" s="64"/>
      <c r="G1443">
        <f>IFERROR(HLOOKUP(G$2,[45]table_female_hkom1_inj.U5!$A$1:$K$36,14,FALSE),0)</f>
        <v>0</v>
      </c>
      <c r="H1443">
        <f>IFERROR(HLOOKUP(H$2,[45]table_female_hkom1_inj.U5!$A$1:$K$36,14,FALSE),0)</f>
        <v>0</v>
      </c>
      <c r="I1443">
        <f>IFERROR(HLOOKUP(I$2,[45]table_female_hkom1_inj.U5!$A$1:$K$36,14,FALSE),0)</f>
        <v>0</v>
      </c>
      <c r="J1443">
        <f>IFERROR(HLOOKUP(J$2,[45]table_female_hkom1_inj.U5!$A$1:$K$36,14,FALSE),0)</f>
        <v>0</v>
      </c>
      <c r="K1443">
        <f>IFERROR(HLOOKUP(K$2,[45]table_female_hkom1_inj.U5!$A$1:$K$36,14,FALSE),0)</f>
        <v>0</v>
      </c>
      <c r="L1443">
        <f>IFERROR(HLOOKUP(L$2,[45]table_female_hkom1_inj.U5!$A$1:$K$36,14,FALSE),0)</f>
        <v>0</v>
      </c>
      <c r="M1443">
        <f t="shared" si="441"/>
        <v>0</v>
      </c>
      <c r="S1443" t="s">
        <v>82</v>
      </c>
      <c r="T1443" s="5">
        <f t="shared" si="453"/>
        <v>0</v>
      </c>
      <c r="U1443" s="5">
        <f t="shared" si="454"/>
        <v>0</v>
      </c>
      <c r="V1443" s="5">
        <f t="shared" si="455"/>
        <v>0</v>
      </c>
      <c r="W1443" s="5">
        <f t="shared" si="456"/>
        <v>0</v>
      </c>
      <c r="X1443" s="5">
        <f t="shared" si="457"/>
        <v>0</v>
      </c>
      <c r="Y1443" s="5">
        <f t="shared" si="458"/>
        <v>0</v>
      </c>
      <c r="Z1443" s="5">
        <f t="shared" si="459"/>
        <v>0</v>
      </c>
      <c r="AA1443" s="5">
        <f t="shared" si="460"/>
        <v>0</v>
      </c>
      <c r="AB1443" s="5">
        <f t="shared" si="451"/>
        <v>0</v>
      </c>
    </row>
    <row r="1444" spans="4:28" x14ac:dyDescent="0.25">
      <c r="D1444" t="s">
        <v>83</v>
      </c>
      <c r="E1444" s="64"/>
      <c r="F1444" s="64"/>
      <c r="G1444">
        <f>IFERROR(HLOOKUP(G$2,[45]table_female_hkom1_inj.U5!$A$1:$K$36,15,FALSE),0)</f>
        <v>0</v>
      </c>
      <c r="H1444">
        <f>IFERROR(HLOOKUP(H$2,[45]table_female_hkom1_inj.U5!$A$1:$K$36,15,FALSE),0)</f>
        <v>0</v>
      </c>
      <c r="I1444">
        <f>IFERROR(HLOOKUP(I$2,[45]table_female_hkom1_inj.U5!$A$1:$K$36,15,FALSE),0)</f>
        <v>0</v>
      </c>
      <c r="J1444">
        <f>IFERROR(HLOOKUP(J$2,[45]table_female_hkom1_inj.U5!$A$1:$K$36,15,FALSE),0)</f>
        <v>0</v>
      </c>
      <c r="K1444">
        <f>IFERROR(HLOOKUP(K$2,[45]table_female_hkom1_inj.U5!$A$1:$K$36,15,FALSE),0)</f>
        <v>0</v>
      </c>
      <c r="L1444">
        <f>IFERROR(HLOOKUP(L$2,[45]table_female_hkom1_inj.U5!$A$1:$K$36,15,FALSE),0)</f>
        <v>0</v>
      </c>
      <c r="M1444">
        <f t="shared" si="441"/>
        <v>0</v>
      </c>
      <c r="S1444" t="s">
        <v>83</v>
      </c>
      <c r="T1444" s="5">
        <f t="shared" si="453"/>
        <v>0</v>
      </c>
      <c r="U1444" s="5">
        <f t="shared" si="454"/>
        <v>0</v>
      </c>
      <c r="V1444" s="5">
        <f t="shared" si="455"/>
        <v>0</v>
      </c>
      <c r="W1444" s="5">
        <f t="shared" si="456"/>
        <v>0</v>
      </c>
      <c r="X1444" s="5">
        <f t="shared" si="457"/>
        <v>0</v>
      </c>
      <c r="Y1444" s="5">
        <f t="shared" si="458"/>
        <v>0</v>
      </c>
      <c r="Z1444" s="5">
        <f t="shared" si="459"/>
        <v>0</v>
      </c>
      <c r="AA1444" s="5">
        <f t="shared" si="460"/>
        <v>0</v>
      </c>
      <c r="AB1444" s="5">
        <f t="shared" si="451"/>
        <v>0</v>
      </c>
    </row>
    <row r="1445" spans="4:28" x14ac:dyDescent="0.25">
      <c r="D1445" t="s">
        <v>84</v>
      </c>
      <c r="E1445" s="64"/>
      <c r="F1445" s="64"/>
      <c r="G1445">
        <f>IFERROR(HLOOKUP(G$2,[45]table_female_hkom1_inj.U5!$A$1:$K$36,16,FALSE),0)</f>
        <v>0</v>
      </c>
      <c r="H1445">
        <f>IFERROR(HLOOKUP(H$2,[45]table_female_hkom1_inj.U5!$A$1:$K$36,16,FALSE),0)</f>
        <v>0</v>
      </c>
      <c r="I1445">
        <f>IFERROR(HLOOKUP(I$2,[45]table_female_hkom1_inj.U5!$A$1:$K$36,16,FALSE),0)</f>
        <v>0</v>
      </c>
      <c r="J1445">
        <f>IFERROR(HLOOKUP(J$2,[45]table_female_hkom1_inj.U5!$A$1:$K$36,16,FALSE),0)</f>
        <v>0</v>
      </c>
      <c r="K1445">
        <f>IFERROR(HLOOKUP(K$2,[45]table_female_hkom1_inj.U5!$A$1:$K$36,16,FALSE),0)</f>
        <v>0</v>
      </c>
      <c r="L1445">
        <f>IFERROR(HLOOKUP(L$2,[45]table_female_hkom1_inj.U5!$A$1:$K$36,16,FALSE),0)</f>
        <v>0</v>
      </c>
      <c r="M1445">
        <f t="shared" si="441"/>
        <v>0</v>
      </c>
      <c r="S1445" t="s">
        <v>84</v>
      </c>
      <c r="T1445" s="5">
        <f t="shared" si="453"/>
        <v>0</v>
      </c>
      <c r="U1445" s="5">
        <f t="shared" si="454"/>
        <v>0</v>
      </c>
      <c r="V1445" s="5">
        <f t="shared" si="455"/>
        <v>0</v>
      </c>
      <c r="W1445" s="5">
        <f t="shared" si="456"/>
        <v>0</v>
      </c>
      <c r="X1445" s="5">
        <f t="shared" si="457"/>
        <v>0</v>
      </c>
      <c r="Y1445" s="5">
        <f t="shared" si="458"/>
        <v>0</v>
      </c>
      <c r="Z1445" s="5">
        <f t="shared" si="459"/>
        <v>0</v>
      </c>
      <c r="AA1445" s="5">
        <f t="shared" si="460"/>
        <v>0</v>
      </c>
      <c r="AB1445" s="5">
        <f t="shared" si="451"/>
        <v>0</v>
      </c>
    </row>
    <row r="1446" spans="4:28" x14ac:dyDescent="0.25">
      <c r="D1446" t="s">
        <v>85</v>
      </c>
      <c r="E1446" s="64"/>
      <c r="F1446" s="64"/>
      <c r="G1446">
        <f>IFERROR(HLOOKUP(G$2,[45]table_female_hkom1_inj.U5!$A$1:$K$36,17,FALSE),0)</f>
        <v>0</v>
      </c>
      <c r="H1446">
        <f>IFERROR(HLOOKUP(H$2,[45]table_female_hkom1_inj.U5!$A$1:$K$36,17,FALSE),0)</f>
        <v>0</v>
      </c>
      <c r="I1446">
        <f>IFERROR(HLOOKUP(I$2,[45]table_female_hkom1_inj.U5!$A$1:$K$36,17,FALSE),0)</f>
        <v>0</v>
      </c>
      <c r="J1446">
        <f>IFERROR(HLOOKUP(J$2,[45]table_female_hkom1_inj.U5!$A$1:$K$36,17,FALSE),0)</f>
        <v>0</v>
      </c>
      <c r="K1446">
        <f>IFERROR(HLOOKUP(K$2,[45]table_female_hkom1_inj.U5!$A$1:$K$36,17,FALSE),0)</f>
        <v>0</v>
      </c>
      <c r="L1446">
        <f>IFERROR(HLOOKUP(L$2,[45]table_female_hkom1_inj.U5!$A$1:$K$36,17,FALSE),0)</f>
        <v>0</v>
      </c>
      <c r="M1446">
        <f t="shared" ref="M1446:M1498" si="461">SUM(E1446:L1446)</f>
        <v>0</v>
      </c>
      <c r="S1446" t="s">
        <v>85</v>
      </c>
      <c r="T1446" s="5">
        <f t="shared" si="453"/>
        <v>0</v>
      </c>
      <c r="U1446" s="5">
        <f t="shared" si="454"/>
        <v>0</v>
      </c>
      <c r="V1446" s="5">
        <f t="shared" si="455"/>
        <v>0</v>
      </c>
      <c r="W1446" s="5">
        <f t="shared" si="456"/>
        <v>0</v>
      </c>
      <c r="X1446" s="5">
        <f t="shared" si="457"/>
        <v>0</v>
      </c>
      <c r="Y1446" s="5">
        <f t="shared" si="458"/>
        <v>0</v>
      </c>
      <c r="Z1446" s="5">
        <f t="shared" si="459"/>
        <v>0</v>
      </c>
      <c r="AA1446" s="5">
        <f t="shared" si="460"/>
        <v>0</v>
      </c>
      <c r="AB1446" s="5">
        <f t="shared" si="451"/>
        <v>0</v>
      </c>
    </row>
    <row r="1447" spans="4:28" x14ac:dyDescent="0.25">
      <c r="D1447" t="s">
        <v>86</v>
      </c>
      <c r="E1447" s="64"/>
      <c r="F1447" s="64"/>
      <c r="G1447">
        <f>IFERROR(HLOOKUP(G$2,[45]table_female_hkom1_inj.U5!$A$1:$K$36,18,FALSE),0)</f>
        <v>1</v>
      </c>
      <c r="H1447">
        <f>IFERROR(HLOOKUP(H$2,[45]table_female_hkom1_inj.U5!$A$1:$K$36,18,FALSE),0)</f>
        <v>0</v>
      </c>
      <c r="I1447">
        <f>IFERROR(HLOOKUP(I$2,[45]table_female_hkom1_inj.U5!$A$1:$K$36,18,FALSE),0)</f>
        <v>1</v>
      </c>
      <c r="J1447">
        <f>IFERROR(HLOOKUP(J$2,[45]table_female_hkom1_inj.U5!$A$1:$K$36,18,FALSE),0)</f>
        <v>0</v>
      </c>
      <c r="K1447">
        <f>IFERROR(HLOOKUP(K$2,[45]table_female_hkom1_inj.U5!$A$1:$K$36,18,FALSE),0)</f>
        <v>0</v>
      </c>
      <c r="L1447">
        <f>IFERROR(HLOOKUP(L$2,[45]table_female_hkom1_inj.U5!$A$1:$K$36,18,FALSE),0)</f>
        <v>0</v>
      </c>
      <c r="M1447">
        <f t="shared" si="461"/>
        <v>2</v>
      </c>
      <c r="S1447" t="s">
        <v>86</v>
      </c>
      <c r="T1447" s="5">
        <f t="shared" si="453"/>
        <v>0</v>
      </c>
      <c r="U1447" s="5">
        <f t="shared" si="454"/>
        <v>0</v>
      </c>
      <c r="V1447" s="5">
        <f t="shared" si="455"/>
        <v>1</v>
      </c>
      <c r="W1447" s="5">
        <f t="shared" si="456"/>
        <v>0</v>
      </c>
      <c r="X1447" s="5">
        <f t="shared" si="457"/>
        <v>3</v>
      </c>
      <c r="Y1447" s="5">
        <f t="shared" si="458"/>
        <v>0</v>
      </c>
      <c r="Z1447" s="5">
        <f t="shared" si="459"/>
        <v>0</v>
      </c>
      <c r="AA1447" s="5">
        <f t="shared" si="460"/>
        <v>0</v>
      </c>
      <c r="AB1447" s="5">
        <f t="shared" si="451"/>
        <v>4</v>
      </c>
    </row>
    <row r="1448" spans="4:28" x14ac:dyDescent="0.25">
      <c r="D1448" t="s">
        <v>87</v>
      </c>
      <c r="E1448" s="64"/>
      <c r="F1448" s="64"/>
      <c r="G1448">
        <f>IFERROR(HLOOKUP(G$2,[45]table_female_hkom1_inj.U5!$A$1:$K$36,19,FALSE),0)</f>
        <v>0</v>
      </c>
      <c r="H1448">
        <f>IFERROR(HLOOKUP(H$2,[45]table_female_hkom1_inj.U5!$A$1:$K$36,19,FALSE),0)</f>
        <v>0</v>
      </c>
      <c r="I1448">
        <f>IFERROR(HLOOKUP(I$2,[45]table_female_hkom1_inj.U5!$A$1:$K$36,19,FALSE),0)</f>
        <v>0</v>
      </c>
      <c r="J1448">
        <f>IFERROR(HLOOKUP(J$2,[45]table_female_hkom1_inj.U5!$A$1:$K$36,19,FALSE),0)</f>
        <v>0</v>
      </c>
      <c r="K1448">
        <f>IFERROR(HLOOKUP(K$2,[45]table_female_hkom1_inj.U5!$A$1:$K$36,19,FALSE),0)</f>
        <v>0</v>
      </c>
      <c r="L1448">
        <f>IFERROR(HLOOKUP(L$2,[45]table_female_hkom1_inj.U5!$A$1:$K$36,19,FALSE),0)</f>
        <v>0</v>
      </c>
      <c r="M1448">
        <f t="shared" si="461"/>
        <v>0</v>
      </c>
      <c r="S1448" t="s">
        <v>87</v>
      </c>
      <c r="T1448" s="5">
        <f t="shared" si="453"/>
        <v>0</v>
      </c>
      <c r="U1448" s="5">
        <f t="shared" si="454"/>
        <v>0</v>
      </c>
      <c r="V1448" s="5">
        <f t="shared" si="455"/>
        <v>0</v>
      </c>
      <c r="W1448" s="5">
        <f t="shared" si="456"/>
        <v>0</v>
      </c>
      <c r="X1448" s="5">
        <f t="shared" si="457"/>
        <v>0</v>
      </c>
      <c r="Y1448" s="5">
        <f t="shared" si="458"/>
        <v>0</v>
      </c>
      <c r="Z1448" s="5">
        <f t="shared" si="459"/>
        <v>0</v>
      </c>
      <c r="AA1448" s="5">
        <f t="shared" si="460"/>
        <v>0</v>
      </c>
      <c r="AB1448" s="5">
        <f t="shared" si="451"/>
        <v>0</v>
      </c>
    </row>
    <row r="1449" spans="4:28" x14ac:dyDescent="0.25">
      <c r="D1449" t="s">
        <v>88</v>
      </c>
      <c r="E1449" s="64"/>
      <c r="F1449" s="64"/>
      <c r="G1449">
        <f>IFERROR(HLOOKUP(G$2,[45]table_female_hkom1_inj.U5!$A$1:$K$36,20,FALSE),0)</f>
        <v>0</v>
      </c>
      <c r="H1449">
        <f>IFERROR(HLOOKUP(H$2,[45]table_female_hkom1_inj.U5!$A$1:$K$36,20,FALSE),0)</f>
        <v>0</v>
      </c>
      <c r="I1449">
        <f>IFERROR(HLOOKUP(I$2,[45]table_female_hkom1_inj.U5!$A$1:$K$36,20,FALSE),0)</f>
        <v>0</v>
      </c>
      <c r="J1449">
        <f>IFERROR(HLOOKUP(J$2,[45]table_female_hkom1_inj.U5!$A$1:$K$36,20,FALSE),0)</f>
        <v>0</v>
      </c>
      <c r="K1449">
        <f>IFERROR(HLOOKUP(K$2,[45]table_female_hkom1_inj.U5!$A$1:$K$36,20,FALSE),0)</f>
        <v>0</v>
      </c>
      <c r="L1449">
        <f>IFERROR(HLOOKUP(L$2,[45]table_female_hkom1_inj.U5!$A$1:$K$36,20,FALSE),0)</f>
        <v>0</v>
      </c>
      <c r="M1449">
        <f t="shared" si="461"/>
        <v>0</v>
      </c>
      <c r="S1449" t="s">
        <v>88</v>
      </c>
      <c r="T1449" s="5">
        <f t="shared" si="453"/>
        <v>0</v>
      </c>
      <c r="U1449" s="5">
        <f t="shared" si="454"/>
        <v>0</v>
      </c>
      <c r="V1449" s="5">
        <f t="shared" si="455"/>
        <v>0</v>
      </c>
      <c r="W1449" s="5">
        <f t="shared" si="456"/>
        <v>0</v>
      </c>
      <c r="X1449" s="5">
        <f t="shared" si="457"/>
        <v>0</v>
      </c>
      <c r="Y1449" s="5">
        <f t="shared" si="458"/>
        <v>0</v>
      </c>
      <c r="Z1449" s="5">
        <f t="shared" si="459"/>
        <v>0</v>
      </c>
      <c r="AA1449" s="5">
        <f t="shared" si="460"/>
        <v>0</v>
      </c>
      <c r="AB1449" s="5">
        <f t="shared" si="451"/>
        <v>0</v>
      </c>
    </row>
    <row r="1450" spans="4:28" x14ac:dyDescent="0.25">
      <c r="D1450" t="s">
        <v>89</v>
      </c>
      <c r="E1450" s="64"/>
      <c r="F1450" s="64"/>
      <c r="G1450">
        <f>IFERROR(HLOOKUP(G$2,[45]table_female_hkom1_inj.U5!$A$1:$K$36,21,FALSE),0)</f>
        <v>0</v>
      </c>
      <c r="H1450">
        <f>IFERROR(HLOOKUP(H$2,[45]table_female_hkom1_inj.U5!$A$1:$K$36,21,FALSE),0)</f>
        <v>0</v>
      </c>
      <c r="I1450">
        <f>IFERROR(HLOOKUP(I$2,[45]table_female_hkom1_inj.U5!$A$1:$K$36,21,FALSE),0)</f>
        <v>0</v>
      </c>
      <c r="J1450">
        <f>IFERROR(HLOOKUP(J$2,[45]table_female_hkom1_inj.U5!$A$1:$K$36,21,FALSE),0)</f>
        <v>0</v>
      </c>
      <c r="K1450">
        <f>IFERROR(HLOOKUP(K$2,[45]table_female_hkom1_inj.U5!$A$1:$K$36,21,FALSE),0)</f>
        <v>0</v>
      </c>
      <c r="L1450">
        <f>IFERROR(HLOOKUP(L$2,[45]table_female_hkom1_inj.U5!$A$1:$K$36,21,FALSE),0)</f>
        <v>0</v>
      </c>
      <c r="M1450">
        <f t="shared" si="461"/>
        <v>0</v>
      </c>
      <c r="S1450" t="s">
        <v>89</v>
      </c>
      <c r="T1450" s="5">
        <f t="shared" si="453"/>
        <v>0</v>
      </c>
      <c r="U1450" s="5">
        <f t="shared" si="454"/>
        <v>0</v>
      </c>
      <c r="V1450" s="5">
        <f t="shared" si="455"/>
        <v>0</v>
      </c>
      <c r="W1450" s="5">
        <f t="shared" si="456"/>
        <v>0</v>
      </c>
      <c r="X1450" s="5">
        <f t="shared" si="457"/>
        <v>0</v>
      </c>
      <c r="Y1450" s="5">
        <f t="shared" si="458"/>
        <v>0</v>
      </c>
      <c r="Z1450" s="5">
        <f t="shared" si="459"/>
        <v>0</v>
      </c>
      <c r="AA1450" s="5">
        <f t="shared" si="460"/>
        <v>0</v>
      </c>
      <c r="AB1450" s="5">
        <f t="shared" si="451"/>
        <v>0</v>
      </c>
    </row>
    <row r="1451" spans="4:28" x14ac:dyDescent="0.25">
      <c r="D1451" t="s">
        <v>90</v>
      </c>
      <c r="E1451" s="64"/>
      <c r="F1451" s="64"/>
      <c r="G1451">
        <f>IFERROR(HLOOKUP(G$2,[45]table_female_hkom1_inj.U5!$A$1:$K$36,22,FALSE),0)</f>
        <v>0</v>
      </c>
      <c r="H1451">
        <f>IFERROR(HLOOKUP(H$2,[45]table_female_hkom1_inj.U5!$A$1:$K$36,22,FALSE),0)</f>
        <v>0</v>
      </c>
      <c r="I1451">
        <f>IFERROR(HLOOKUP(I$2,[45]table_female_hkom1_inj.U5!$A$1:$K$36,22,FALSE),0)</f>
        <v>0</v>
      </c>
      <c r="J1451">
        <f>IFERROR(HLOOKUP(J$2,[45]table_female_hkom1_inj.U5!$A$1:$K$36,22,FALSE),0)</f>
        <v>0</v>
      </c>
      <c r="K1451">
        <f>IFERROR(HLOOKUP(K$2,[45]table_female_hkom1_inj.U5!$A$1:$K$36,22,FALSE),0)</f>
        <v>0</v>
      </c>
      <c r="L1451">
        <f>IFERROR(HLOOKUP(L$2,[45]table_female_hkom1_inj.U5!$A$1:$K$36,22,FALSE),0)</f>
        <v>0</v>
      </c>
      <c r="M1451">
        <f t="shared" si="461"/>
        <v>0</v>
      </c>
      <c r="S1451" t="s">
        <v>90</v>
      </c>
      <c r="T1451" s="5">
        <f t="shared" si="453"/>
        <v>0</v>
      </c>
      <c r="U1451" s="5">
        <f t="shared" si="454"/>
        <v>0</v>
      </c>
      <c r="V1451" s="5">
        <f t="shared" si="455"/>
        <v>0</v>
      </c>
      <c r="W1451" s="5">
        <f t="shared" si="456"/>
        <v>0</v>
      </c>
      <c r="X1451" s="5">
        <f t="shared" si="457"/>
        <v>0</v>
      </c>
      <c r="Y1451" s="5">
        <f t="shared" si="458"/>
        <v>0</v>
      </c>
      <c r="Z1451" s="5">
        <f t="shared" si="459"/>
        <v>0</v>
      </c>
      <c r="AA1451" s="5">
        <f t="shared" si="460"/>
        <v>0</v>
      </c>
      <c r="AB1451" s="5">
        <f t="shared" si="451"/>
        <v>0</v>
      </c>
    </row>
    <row r="1452" spans="4:28" x14ac:dyDescent="0.25">
      <c r="D1452" t="s">
        <v>91</v>
      </c>
      <c r="E1452" s="64"/>
      <c r="F1452" s="64"/>
      <c r="G1452">
        <f>IFERROR(HLOOKUP(G$2,[45]table_female_hkom1_inj.U5!$A$1:$K$36,23,FALSE),0)</f>
        <v>0</v>
      </c>
      <c r="H1452">
        <f>IFERROR(HLOOKUP(H$2,[45]table_female_hkom1_inj.U5!$A$1:$K$36,23,FALSE),0)</f>
        <v>0</v>
      </c>
      <c r="I1452">
        <f>IFERROR(HLOOKUP(I$2,[45]table_female_hkom1_inj.U5!$A$1:$K$36,23,FALSE),0)</f>
        <v>0</v>
      </c>
      <c r="J1452">
        <f>IFERROR(HLOOKUP(J$2,[45]table_female_hkom1_inj.U5!$A$1:$K$36,23,FALSE),0)</f>
        <v>0</v>
      </c>
      <c r="K1452">
        <f>IFERROR(HLOOKUP(K$2,[45]table_female_hkom1_inj.U5!$A$1:$K$36,23,FALSE),0)</f>
        <v>0</v>
      </c>
      <c r="L1452">
        <f>IFERROR(HLOOKUP(L$2,[45]table_female_hkom1_inj.U5!$A$1:$K$36,23,FALSE),0)</f>
        <v>0</v>
      </c>
      <c r="M1452">
        <f t="shared" si="461"/>
        <v>0</v>
      </c>
      <c r="S1452" t="s">
        <v>91</v>
      </c>
      <c r="T1452" s="5">
        <f t="shared" si="453"/>
        <v>0</v>
      </c>
      <c r="U1452" s="5">
        <f t="shared" si="454"/>
        <v>0</v>
      </c>
      <c r="V1452" s="5">
        <f t="shared" si="455"/>
        <v>0</v>
      </c>
      <c r="W1452" s="5">
        <f t="shared" si="456"/>
        <v>0</v>
      </c>
      <c r="X1452" s="5">
        <f t="shared" si="457"/>
        <v>0</v>
      </c>
      <c r="Y1452" s="5">
        <f t="shared" si="458"/>
        <v>0</v>
      </c>
      <c r="Z1452" s="5">
        <f t="shared" si="459"/>
        <v>0</v>
      </c>
      <c r="AA1452" s="5">
        <f t="shared" si="460"/>
        <v>0</v>
      </c>
      <c r="AB1452" s="5">
        <f t="shared" si="451"/>
        <v>0</v>
      </c>
    </row>
    <row r="1453" spans="4:28" x14ac:dyDescent="0.25">
      <c r="D1453" t="s">
        <v>92</v>
      </c>
      <c r="E1453" s="64"/>
      <c r="F1453" s="64"/>
      <c r="G1453">
        <f>IFERROR(HLOOKUP(G$2,[45]table_female_hkom1_inj.U5!$A$1:$K$36,24,FALSE),0)</f>
        <v>0</v>
      </c>
      <c r="H1453">
        <f>IFERROR(HLOOKUP(H$2,[45]table_female_hkom1_inj.U5!$A$1:$K$36,24,FALSE),0)</f>
        <v>0</v>
      </c>
      <c r="I1453">
        <f>IFERROR(HLOOKUP(I$2,[45]table_female_hkom1_inj.U5!$A$1:$K$36,24,FALSE),0)</f>
        <v>0</v>
      </c>
      <c r="J1453">
        <f>IFERROR(HLOOKUP(J$2,[45]table_female_hkom1_inj.U5!$A$1:$K$36,24,FALSE),0)</f>
        <v>0</v>
      </c>
      <c r="K1453">
        <f>IFERROR(HLOOKUP(K$2,[45]table_female_hkom1_inj.U5!$A$1:$K$36,24,FALSE),0)</f>
        <v>0</v>
      </c>
      <c r="L1453">
        <f>IFERROR(HLOOKUP(L$2,[45]table_female_hkom1_inj.U5!$A$1:$K$36,24,FALSE),0)</f>
        <v>0</v>
      </c>
      <c r="M1453">
        <f t="shared" si="461"/>
        <v>0</v>
      </c>
      <c r="S1453" t="s">
        <v>92</v>
      </c>
      <c r="T1453" s="5">
        <f t="shared" si="453"/>
        <v>0</v>
      </c>
      <c r="U1453" s="5">
        <f t="shared" si="454"/>
        <v>0</v>
      </c>
      <c r="V1453" s="5">
        <f t="shared" si="455"/>
        <v>0</v>
      </c>
      <c r="W1453" s="5">
        <f t="shared" si="456"/>
        <v>0</v>
      </c>
      <c r="X1453" s="5">
        <f t="shared" si="457"/>
        <v>0</v>
      </c>
      <c r="Y1453" s="5">
        <f t="shared" si="458"/>
        <v>0</v>
      </c>
      <c r="Z1453" s="5">
        <f t="shared" si="459"/>
        <v>0</v>
      </c>
      <c r="AA1453" s="5">
        <f t="shared" si="460"/>
        <v>0</v>
      </c>
      <c r="AB1453" s="5">
        <f t="shared" si="451"/>
        <v>0</v>
      </c>
    </row>
    <row r="1454" spans="4:28" x14ac:dyDescent="0.25">
      <c r="D1454" t="s">
        <v>93</v>
      </c>
      <c r="E1454" s="64"/>
      <c r="F1454" s="64"/>
      <c r="G1454">
        <f>IFERROR(HLOOKUP(G$2,[45]table_female_hkom1_inj.U5!$A$1:$K$36,25,FALSE),0)</f>
        <v>0</v>
      </c>
      <c r="H1454">
        <f>IFERROR(HLOOKUP(H$2,[45]table_female_hkom1_inj.U5!$A$1:$K$36,25,FALSE),0)</f>
        <v>0</v>
      </c>
      <c r="I1454">
        <f>IFERROR(HLOOKUP(I$2,[45]table_female_hkom1_inj.U5!$A$1:$K$36,25,FALSE),0)</f>
        <v>0</v>
      </c>
      <c r="J1454">
        <f>IFERROR(HLOOKUP(J$2,[45]table_female_hkom1_inj.U5!$A$1:$K$36,25,FALSE),0)</f>
        <v>0</v>
      </c>
      <c r="K1454">
        <f>IFERROR(HLOOKUP(K$2,[45]table_female_hkom1_inj.U5!$A$1:$K$36,25,FALSE),0)</f>
        <v>0</v>
      </c>
      <c r="L1454">
        <f>IFERROR(HLOOKUP(L$2,[45]table_female_hkom1_inj.U5!$A$1:$K$36,25,FALSE),0)</f>
        <v>0</v>
      </c>
      <c r="M1454">
        <f t="shared" si="461"/>
        <v>0</v>
      </c>
      <c r="S1454" t="s">
        <v>93</v>
      </c>
      <c r="T1454" s="5">
        <f t="shared" si="453"/>
        <v>0</v>
      </c>
      <c r="U1454" s="5">
        <f t="shared" si="454"/>
        <v>0</v>
      </c>
      <c r="V1454" s="5">
        <f t="shared" si="455"/>
        <v>0</v>
      </c>
      <c r="W1454" s="5">
        <f t="shared" si="456"/>
        <v>0</v>
      </c>
      <c r="X1454" s="5">
        <f t="shared" si="457"/>
        <v>0</v>
      </c>
      <c r="Y1454" s="5">
        <f t="shared" si="458"/>
        <v>0</v>
      </c>
      <c r="Z1454" s="5">
        <f t="shared" si="459"/>
        <v>0</v>
      </c>
      <c r="AA1454" s="5">
        <f t="shared" si="460"/>
        <v>0</v>
      </c>
      <c r="AB1454" s="5">
        <f t="shared" si="451"/>
        <v>0</v>
      </c>
    </row>
    <row r="1455" spans="4:28" x14ac:dyDescent="0.25">
      <c r="D1455" t="s">
        <v>94</v>
      </c>
      <c r="E1455" s="64"/>
      <c r="F1455" s="64"/>
      <c r="G1455">
        <f>IFERROR(HLOOKUP(G$2,[45]table_female_hkom1_inj.U5!$A$1:$K$36,26,FALSE),0)</f>
        <v>0</v>
      </c>
      <c r="H1455">
        <f>IFERROR(HLOOKUP(H$2,[45]table_female_hkom1_inj.U5!$A$1:$K$36,26,FALSE),0)</f>
        <v>0</v>
      </c>
      <c r="I1455">
        <f>IFERROR(HLOOKUP(I$2,[45]table_female_hkom1_inj.U5!$A$1:$K$36,26,FALSE),0)</f>
        <v>0</v>
      </c>
      <c r="J1455">
        <f>IFERROR(HLOOKUP(J$2,[45]table_female_hkom1_inj.U5!$A$1:$K$36,26,FALSE),0)</f>
        <v>0</v>
      </c>
      <c r="K1455">
        <f>IFERROR(HLOOKUP(K$2,[45]table_female_hkom1_inj.U5!$A$1:$K$36,26,FALSE),0)</f>
        <v>0</v>
      </c>
      <c r="L1455">
        <f>IFERROR(HLOOKUP(L$2,[45]table_female_hkom1_inj.U5!$A$1:$K$36,26,FALSE),0)</f>
        <v>0</v>
      </c>
      <c r="M1455">
        <f t="shared" si="461"/>
        <v>0</v>
      </c>
      <c r="S1455" t="s">
        <v>94</v>
      </c>
      <c r="T1455" s="5">
        <f t="shared" si="453"/>
        <v>0</v>
      </c>
      <c r="U1455" s="5">
        <f t="shared" si="454"/>
        <v>0</v>
      </c>
      <c r="V1455" s="5">
        <f t="shared" si="455"/>
        <v>0</v>
      </c>
      <c r="W1455" s="5">
        <f t="shared" si="456"/>
        <v>0</v>
      </c>
      <c r="X1455" s="5">
        <f t="shared" si="457"/>
        <v>0</v>
      </c>
      <c r="Y1455" s="5">
        <f t="shared" si="458"/>
        <v>0</v>
      </c>
      <c r="Z1455" s="5">
        <f t="shared" si="459"/>
        <v>0</v>
      </c>
      <c r="AA1455" s="5">
        <f t="shared" si="460"/>
        <v>0</v>
      </c>
      <c r="AB1455" s="5">
        <f t="shared" si="451"/>
        <v>0</v>
      </c>
    </row>
    <row r="1456" spans="4:28" x14ac:dyDescent="0.25">
      <c r="D1456" t="s">
        <v>95</v>
      </c>
      <c r="E1456" s="64"/>
      <c r="F1456" s="64"/>
      <c r="G1456">
        <f>IFERROR(HLOOKUP(G$2,[45]table_female_hkom1_inj.U5!$A$1:$K$36,27,FALSE),0)</f>
        <v>0</v>
      </c>
      <c r="H1456">
        <f>IFERROR(HLOOKUP(H$2,[45]table_female_hkom1_inj.U5!$A$1:$K$36,27,FALSE),0)</f>
        <v>0</v>
      </c>
      <c r="I1456">
        <f>IFERROR(HLOOKUP(I$2,[45]table_female_hkom1_inj.U5!$A$1:$K$36,27,FALSE),0)</f>
        <v>0</v>
      </c>
      <c r="J1456">
        <f>IFERROR(HLOOKUP(J$2,[45]table_female_hkom1_inj.U5!$A$1:$K$36,27,FALSE),0)</f>
        <v>0</v>
      </c>
      <c r="K1456">
        <f>IFERROR(HLOOKUP(K$2,[45]table_female_hkom1_inj.U5!$A$1:$K$36,27,FALSE),0)</f>
        <v>0</v>
      </c>
      <c r="L1456">
        <f>IFERROR(HLOOKUP(L$2,[45]table_female_hkom1_inj.U5!$A$1:$K$36,27,FALSE),0)</f>
        <v>0</v>
      </c>
      <c r="M1456">
        <f t="shared" si="461"/>
        <v>0</v>
      </c>
      <c r="S1456" t="s">
        <v>95</v>
      </c>
      <c r="T1456" s="5">
        <f t="shared" si="453"/>
        <v>0</v>
      </c>
      <c r="U1456" s="5">
        <f t="shared" si="454"/>
        <v>0</v>
      </c>
      <c r="V1456" s="5">
        <f t="shared" si="455"/>
        <v>0</v>
      </c>
      <c r="W1456" s="5">
        <f t="shared" si="456"/>
        <v>0</v>
      </c>
      <c r="X1456" s="5">
        <f t="shared" si="457"/>
        <v>0</v>
      </c>
      <c r="Y1456" s="5">
        <f t="shared" si="458"/>
        <v>0</v>
      </c>
      <c r="Z1456" s="5">
        <f t="shared" si="459"/>
        <v>0</v>
      </c>
      <c r="AA1456" s="5">
        <f t="shared" si="460"/>
        <v>0</v>
      </c>
      <c r="AB1456" s="5">
        <f t="shared" si="451"/>
        <v>0</v>
      </c>
    </row>
    <row r="1457" spans="1:29" x14ac:dyDescent="0.25">
      <c r="D1457" t="s">
        <v>96</v>
      </c>
      <c r="E1457" s="64"/>
      <c r="F1457" s="64"/>
      <c r="G1457">
        <f>IFERROR(HLOOKUP(G$2,[45]table_female_hkom1_inj.U5!$A$1:$K$36,28,FALSE),0)</f>
        <v>0</v>
      </c>
      <c r="H1457">
        <f>IFERROR(HLOOKUP(H$2,[45]table_female_hkom1_inj.U5!$A$1:$K$36,28,FALSE),0)</f>
        <v>0</v>
      </c>
      <c r="I1457">
        <f>IFERROR(HLOOKUP(I$2,[45]table_female_hkom1_inj.U5!$A$1:$K$36,28,FALSE),0)</f>
        <v>0</v>
      </c>
      <c r="J1457">
        <f>IFERROR(HLOOKUP(J$2,[45]table_female_hkom1_inj.U5!$A$1:$K$36,28,FALSE),0)</f>
        <v>0</v>
      </c>
      <c r="K1457">
        <f>IFERROR(HLOOKUP(K$2,[45]table_female_hkom1_inj.U5!$A$1:$K$36,28,FALSE),0)</f>
        <v>0</v>
      </c>
      <c r="L1457">
        <f>IFERROR(HLOOKUP(L$2,[45]table_female_hkom1_inj.U5!$A$1:$K$36,28,FALSE),0)</f>
        <v>0</v>
      </c>
      <c r="M1457">
        <f t="shared" si="461"/>
        <v>0</v>
      </c>
      <c r="S1457" t="s">
        <v>96</v>
      </c>
      <c r="T1457" s="5">
        <f t="shared" si="453"/>
        <v>0</v>
      </c>
      <c r="U1457" s="5">
        <f t="shared" si="454"/>
        <v>0</v>
      </c>
      <c r="V1457" s="5">
        <f t="shared" si="455"/>
        <v>0</v>
      </c>
      <c r="W1457" s="5">
        <f t="shared" si="456"/>
        <v>0</v>
      </c>
      <c r="X1457" s="5">
        <f t="shared" si="457"/>
        <v>0</v>
      </c>
      <c r="Y1457" s="5">
        <f t="shared" si="458"/>
        <v>0</v>
      </c>
      <c r="Z1457" s="5">
        <f t="shared" si="459"/>
        <v>0</v>
      </c>
      <c r="AA1457" s="5">
        <f t="shared" si="460"/>
        <v>0</v>
      </c>
      <c r="AB1457" s="5">
        <f t="shared" si="451"/>
        <v>0</v>
      </c>
    </row>
    <row r="1458" spans="1:29" x14ac:dyDescent="0.25">
      <c r="D1458" t="s">
        <v>97</v>
      </c>
      <c r="E1458" s="64"/>
      <c r="F1458" s="64"/>
      <c r="G1458">
        <f>IFERROR(HLOOKUP(G$2,[45]table_female_hkom1_inj.U5!$A$1:$K$36,29,FALSE),0)</f>
        <v>0</v>
      </c>
      <c r="H1458">
        <f>IFERROR(HLOOKUP(H$2,[45]table_female_hkom1_inj.U5!$A$1:$K$36,29,FALSE),0)</f>
        <v>0</v>
      </c>
      <c r="I1458">
        <f>IFERROR(HLOOKUP(I$2,[45]table_female_hkom1_inj.U5!$A$1:$K$36,29,FALSE),0)</f>
        <v>0</v>
      </c>
      <c r="J1458">
        <f>IFERROR(HLOOKUP(J$2,[45]table_female_hkom1_inj.U5!$A$1:$K$36,29,FALSE),0)</f>
        <v>0</v>
      </c>
      <c r="K1458">
        <f>IFERROR(HLOOKUP(K$2,[45]table_female_hkom1_inj.U5!$A$1:$K$36,29,FALSE),0)</f>
        <v>0</v>
      </c>
      <c r="L1458">
        <f>IFERROR(HLOOKUP(L$2,[45]table_female_hkom1_inj.U5!$A$1:$K$36,29,FALSE),0)</f>
        <v>0</v>
      </c>
      <c r="M1458">
        <f t="shared" si="461"/>
        <v>0</v>
      </c>
      <c r="S1458" t="s">
        <v>97</v>
      </c>
      <c r="T1458" s="5">
        <f t="shared" si="453"/>
        <v>0</v>
      </c>
      <c r="U1458" s="5">
        <f t="shared" si="454"/>
        <v>0</v>
      </c>
      <c r="V1458" s="5">
        <f t="shared" si="455"/>
        <v>0</v>
      </c>
      <c r="W1458" s="5">
        <f t="shared" si="456"/>
        <v>0</v>
      </c>
      <c r="X1458" s="5">
        <f t="shared" si="457"/>
        <v>0</v>
      </c>
      <c r="Y1458" s="5">
        <f t="shared" si="458"/>
        <v>0</v>
      </c>
      <c r="Z1458" s="5">
        <f t="shared" si="459"/>
        <v>0</v>
      </c>
      <c r="AA1458" s="5">
        <f t="shared" si="460"/>
        <v>0</v>
      </c>
      <c r="AB1458" s="5">
        <f t="shared" si="451"/>
        <v>0</v>
      </c>
    </row>
    <row r="1459" spans="1:29" x14ac:dyDescent="0.25">
      <c r="D1459" t="s">
        <v>98</v>
      </c>
      <c r="E1459" s="64"/>
      <c r="F1459" s="64"/>
      <c r="G1459">
        <f>IFERROR(HLOOKUP(G$2,[45]table_female_hkom1_inj.U5!$A$1:$K$36,30,FALSE),0)</f>
        <v>0</v>
      </c>
      <c r="H1459">
        <f>IFERROR(HLOOKUP(H$2,[45]table_female_hkom1_inj.U5!$A$1:$K$36,30,FALSE),0)</f>
        <v>0</v>
      </c>
      <c r="I1459">
        <f>IFERROR(HLOOKUP(I$2,[45]table_female_hkom1_inj.U5!$A$1:$K$36,30,FALSE),0)</f>
        <v>0</v>
      </c>
      <c r="J1459">
        <f>IFERROR(HLOOKUP(J$2,[45]table_female_hkom1_inj.U5!$A$1:$K$36,30,FALSE),0)</f>
        <v>0</v>
      </c>
      <c r="K1459">
        <f>IFERROR(HLOOKUP(K$2,[45]table_female_hkom1_inj.U5!$A$1:$K$36,30,FALSE),0)</f>
        <v>0</v>
      </c>
      <c r="L1459">
        <f>IFERROR(HLOOKUP(L$2,[45]table_female_hkom1_inj.U5!$A$1:$K$36,30,FALSE),0)</f>
        <v>0</v>
      </c>
      <c r="M1459">
        <f t="shared" si="461"/>
        <v>0</v>
      </c>
      <c r="S1459" t="s">
        <v>98</v>
      </c>
      <c r="T1459" s="5">
        <f t="shared" si="453"/>
        <v>0</v>
      </c>
      <c r="U1459" s="5">
        <f t="shared" si="454"/>
        <v>0</v>
      </c>
      <c r="V1459" s="5">
        <f t="shared" si="455"/>
        <v>0</v>
      </c>
      <c r="W1459" s="5">
        <f t="shared" si="456"/>
        <v>0</v>
      </c>
      <c r="X1459" s="5">
        <f t="shared" si="457"/>
        <v>0</v>
      </c>
      <c r="Y1459" s="5">
        <f t="shared" si="458"/>
        <v>0</v>
      </c>
      <c r="Z1459" s="5">
        <f t="shared" si="459"/>
        <v>0</v>
      </c>
      <c r="AA1459" s="5">
        <f t="shared" si="460"/>
        <v>0</v>
      </c>
      <c r="AB1459" s="5">
        <f t="shared" si="451"/>
        <v>0</v>
      </c>
    </row>
    <row r="1460" spans="1:29" x14ac:dyDescent="0.25">
      <c r="D1460" t="s">
        <v>119</v>
      </c>
      <c r="E1460" s="64"/>
      <c r="F1460" s="64"/>
      <c r="G1460">
        <f>IFERROR(HLOOKUP(G$2,[45]table_female_hkom1_inj.U5!$A$1:$K$36,31,FALSE),0)</f>
        <v>0</v>
      </c>
      <c r="H1460">
        <f>IFERROR(HLOOKUP(H$2,[45]table_female_hkom1_inj.U5!$A$1:$K$36,31,FALSE),0)</f>
        <v>0</v>
      </c>
      <c r="I1460">
        <f>IFERROR(HLOOKUP(I$2,[45]table_female_hkom1_inj.U5!$A$1:$K$36,31,FALSE),0)</f>
        <v>0</v>
      </c>
      <c r="J1460">
        <f>IFERROR(HLOOKUP(J$2,[45]table_female_hkom1_inj.U5!$A$1:$K$36,31,FALSE),0)</f>
        <v>0</v>
      </c>
      <c r="K1460">
        <f>IFERROR(HLOOKUP(K$2,[45]table_female_hkom1_inj.U5!$A$1:$K$36,31,FALSE),0)</f>
        <v>0</v>
      </c>
      <c r="L1460">
        <f>IFERROR(HLOOKUP(L$2,[45]table_female_hkom1_inj.U5!$A$1:$K$36,31,FALSE),0)</f>
        <v>0</v>
      </c>
      <c r="M1460">
        <f t="shared" si="461"/>
        <v>0</v>
      </c>
      <c r="S1460" t="s">
        <v>119</v>
      </c>
      <c r="T1460" s="5">
        <f t="shared" si="453"/>
        <v>0</v>
      </c>
      <c r="U1460" s="5">
        <f t="shared" si="454"/>
        <v>0</v>
      </c>
      <c r="V1460" s="5">
        <f t="shared" si="455"/>
        <v>0</v>
      </c>
      <c r="W1460" s="5">
        <f t="shared" si="456"/>
        <v>0</v>
      </c>
      <c r="X1460" s="5">
        <f t="shared" si="457"/>
        <v>0</v>
      </c>
      <c r="Y1460" s="5">
        <f t="shared" si="458"/>
        <v>0</v>
      </c>
      <c r="Z1460" s="5">
        <f t="shared" si="459"/>
        <v>0</v>
      </c>
      <c r="AA1460" s="5">
        <f t="shared" si="460"/>
        <v>0</v>
      </c>
      <c r="AB1460" s="5">
        <f t="shared" si="451"/>
        <v>0</v>
      </c>
    </row>
    <row r="1461" spans="1:29" x14ac:dyDescent="0.25">
      <c r="D1461" t="s">
        <v>99</v>
      </c>
      <c r="E1461" s="64"/>
      <c r="F1461" s="64"/>
      <c r="G1461">
        <f>IFERROR(HLOOKUP(G$2,[45]table_female_hkom1_inj.U5!$A$1:$K$36,32,FALSE),0)</f>
        <v>0</v>
      </c>
      <c r="H1461">
        <f>IFERROR(HLOOKUP(H$2,[45]table_female_hkom1_inj.U5!$A$1:$K$36,32,FALSE),0)</f>
        <v>0</v>
      </c>
      <c r="I1461">
        <f>IFERROR(HLOOKUP(I$2,[45]table_female_hkom1_inj.U5!$A$1:$K$36,32,FALSE),0)</f>
        <v>0</v>
      </c>
      <c r="J1461">
        <f>IFERROR(HLOOKUP(J$2,[45]table_female_hkom1_inj.U5!$A$1:$K$36,32,FALSE),0)</f>
        <v>0</v>
      </c>
      <c r="K1461">
        <f>IFERROR(HLOOKUP(K$2,[45]table_female_hkom1_inj.U5!$A$1:$K$36,32,FALSE),0)</f>
        <v>0</v>
      </c>
      <c r="L1461">
        <f>IFERROR(HLOOKUP(L$2,[45]table_female_hkom1_inj.U5!$A$1:$K$36,32,FALSE),0)</f>
        <v>0</v>
      </c>
      <c r="M1461">
        <f t="shared" si="461"/>
        <v>0</v>
      </c>
      <c r="S1461" t="s">
        <v>99</v>
      </c>
      <c r="T1461" s="5">
        <f t="shared" si="453"/>
        <v>0</v>
      </c>
      <c r="U1461" s="5">
        <f t="shared" si="454"/>
        <v>0</v>
      </c>
      <c r="V1461" s="5">
        <f t="shared" si="455"/>
        <v>0</v>
      </c>
      <c r="W1461" s="5">
        <f t="shared" si="456"/>
        <v>0</v>
      </c>
      <c r="X1461" s="5">
        <f t="shared" si="457"/>
        <v>0</v>
      </c>
      <c r="Y1461" s="5">
        <f t="shared" si="458"/>
        <v>0</v>
      </c>
      <c r="Z1461" s="5">
        <f t="shared" si="459"/>
        <v>0</v>
      </c>
      <c r="AA1461" s="5">
        <f t="shared" si="460"/>
        <v>0</v>
      </c>
      <c r="AB1461" s="5">
        <f t="shared" si="451"/>
        <v>0</v>
      </c>
    </row>
    <row r="1462" spans="1:29" x14ac:dyDescent="0.25">
      <c r="D1462" t="s">
        <v>100</v>
      </c>
      <c r="E1462" s="64"/>
      <c r="F1462" s="64"/>
      <c r="G1462">
        <f>IFERROR(HLOOKUP(G$2,[45]table_female_hkom1_inj.U5!$A$1:$K$36,33,FALSE),0)</f>
        <v>0</v>
      </c>
      <c r="H1462">
        <f>IFERROR(HLOOKUP(H$2,[45]table_female_hkom1_inj.U5!$A$1:$K$36,33,FALSE),0)</f>
        <v>0</v>
      </c>
      <c r="I1462">
        <f>IFERROR(HLOOKUP(I$2,[45]table_female_hkom1_inj.U5!$A$1:$K$36,33,FALSE),0)</f>
        <v>0</v>
      </c>
      <c r="J1462">
        <f>IFERROR(HLOOKUP(J$2,[45]table_female_hkom1_inj.U5!$A$1:$K$36,33,FALSE),0)</f>
        <v>0</v>
      </c>
      <c r="K1462">
        <f>IFERROR(HLOOKUP(K$2,[45]table_female_hkom1_inj.U5!$A$1:$K$36,33,FALSE),0)</f>
        <v>0</v>
      </c>
      <c r="L1462">
        <f>IFERROR(HLOOKUP(L$2,[45]table_female_hkom1_inj.U5!$A$1:$K$36,33,FALSE),0)</f>
        <v>0</v>
      </c>
      <c r="M1462">
        <f t="shared" si="461"/>
        <v>0</v>
      </c>
      <c r="S1462" t="s">
        <v>100</v>
      </c>
      <c r="T1462" s="5">
        <f t="shared" si="453"/>
        <v>0</v>
      </c>
      <c r="U1462" s="5">
        <f t="shared" si="454"/>
        <v>0</v>
      </c>
      <c r="V1462" s="5">
        <f t="shared" si="455"/>
        <v>0</v>
      </c>
      <c r="W1462" s="5">
        <f t="shared" si="456"/>
        <v>0</v>
      </c>
      <c r="X1462" s="5">
        <f t="shared" si="457"/>
        <v>0</v>
      </c>
      <c r="Y1462" s="5">
        <f t="shared" si="458"/>
        <v>0</v>
      </c>
      <c r="Z1462" s="5">
        <f t="shared" si="459"/>
        <v>0</v>
      </c>
      <c r="AA1462" s="5">
        <f t="shared" si="460"/>
        <v>0</v>
      </c>
      <c r="AB1462" s="5">
        <f t="shared" si="451"/>
        <v>0</v>
      </c>
    </row>
    <row r="1463" spans="1:29" x14ac:dyDescent="0.25">
      <c r="D1463" t="s">
        <v>101</v>
      </c>
      <c r="E1463" s="64"/>
      <c r="F1463" s="64"/>
      <c r="G1463">
        <f>IFERROR(HLOOKUP(G$2,[45]table_female_hkom1_inj.U5!$A$1:$K$36,34,FALSE),0)</f>
        <v>0</v>
      </c>
      <c r="H1463">
        <f>IFERROR(HLOOKUP(H$2,[45]table_female_hkom1_inj.U5!$A$1:$K$36,34,FALSE),0)</f>
        <v>0</v>
      </c>
      <c r="I1463">
        <f>IFERROR(HLOOKUP(I$2,[45]table_female_hkom1_inj.U5!$A$1:$K$36,34,FALSE),0)</f>
        <v>0</v>
      </c>
      <c r="J1463">
        <f>IFERROR(HLOOKUP(J$2,[45]table_female_hkom1_inj.U5!$A$1:$K$36,34,FALSE),0)</f>
        <v>0</v>
      </c>
      <c r="K1463">
        <f>IFERROR(HLOOKUP(K$2,[45]table_female_hkom1_inj.U5!$A$1:$K$36,34,FALSE),0)</f>
        <v>0</v>
      </c>
      <c r="L1463">
        <f>IFERROR(HLOOKUP(L$2,[45]table_female_hkom1_inj.U5!$A$1:$K$36,34,FALSE),0)</f>
        <v>0</v>
      </c>
      <c r="M1463">
        <f t="shared" si="461"/>
        <v>0</v>
      </c>
      <c r="S1463" t="s">
        <v>101</v>
      </c>
      <c r="T1463" s="5">
        <f t="shared" si="453"/>
        <v>0</v>
      </c>
      <c r="U1463" s="5">
        <f t="shared" si="454"/>
        <v>0</v>
      </c>
      <c r="V1463" s="5">
        <f t="shared" si="455"/>
        <v>0</v>
      </c>
      <c r="W1463" s="5">
        <f t="shared" si="456"/>
        <v>0</v>
      </c>
      <c r="X1463" s="5">
        <f t="shared" si="457"/>
        <v>0</v>
      </c>
      <c r="Y1463" s="5">
        <f t="shared" si="458"/>
        <v>0</v>
      </c>
      <c r="Z1463" s="5">
        <f t="shared" si="459"/>
        <v>0</v>
      </c>
      <c r="AA1463" s="5">
        <f t="shared" si="460"/>
        <v>0</v>
      </c>
      <c r="AB1463" s="5">
        <f t="shared" si="451"/>
        <v>0</v>
      </c>
    </row>
    <row r="1464" spans="1:29" x14ac:dyDescent="0.25">
      <c r="D1464" t="s">
        <v>102</v>
      </c>
      <c r="E1464" s="64"/>
      <c r="F1464" s="64"/>
      <c r="G1464">
        <f>IFERROR(HLOOKUP(G$2,[45]table_female_hkom1_inj.U5!$A$1:$K$36,35,FALSE),0)</f>
        <v>0</v>
      </c>
      <c r="H1464">
        <f>IFERROR(HLOOKUP(H$2,[45]table_female_hkom1_inj.U5!$A$1:$K$36,35,FALSE),0)</f>
        <v>2</v>
      </c>
      <c r="I1464">
        <f>IFERROR(HLOOKUP(I$2,[45]table_female_hkom1_inj.U5!$A$1:$K$36,35,FALSE),0)</f>
        <v>2</v>
      </c>
      <c r="J1464">
        <f>IFERROR(HLOOKUP(J$2,[45]table_female_hkom1_inj.U5!$A$1:$K$36,35,FALSE),0)</f>
        <v>0</v>
      </c>
      <c r="K1464">
        <f>IFERROR(HLOOKUP(K$2,[45]table_female_hkom1_inj.U5!$A$1:$K$36,35,FALSE),0)</f>
        <v>0</v>
      </c>
      <c r="L1464">
        <f>IFERROR(HLOOKUP(L$2,[45]table_female_hkom1_inj.U5!$A$1:$K$36,35,FALSE),0)</f>
        <v>0</v>
      </c>
      <c r="M1464">
        <f t="shared" si="461"/>
        <v>4</v>
      </c>
      <c r="N1464">
        <f>SUM(M1431:M1464)</f>
        <v>7</v>
      </c>
      <c r="O1464" s="8">
        <f>SUM([45]table_female_hkom1_inj.U5!$B$2:$L$37)</f>
        <v>7</v>
      </c>
      <c r="S1464" t="s">
        <v>102</v>
      </c>
      <c r="T1464" s="7"/>
      <c r="U1464" s="7"/>
      <c r="V1464" s="7"/>
      <c r="W1464" s="7"/>
      <c r="X1464" s="7"/>
      <c r="Y1464" s="7"/>
      <c r="Z1464" s="7"/>
      <c r="AA1464" s="7"/>
      <c r="AB1464" s="5">
        <f t="shared" si="451"/>
        <v>0</v>
      </c>
      <c r="AC1464" s="5">
        <f>SUM(AB1431:AB1463)</f>
        <v>7</v>
      </c>
    </row>
    <row r="1465" spans="1:29" x14ac:dyDescent="0.25">
      <c r="A1465" t="s">
        <v>115</v>
      </c>
      <c r="B1465" t="s">
        <v>103</v>
      </c>
      <c r="C1465" t="s">
        <v>114</v>
      </c>
      <c r="D1465" t="s">
        <v>70</v>
      </c>
      <c r="E1465" s="64"/>
      <c r="F1465" s="64"/>
      <c r="G1465">
        <f>IFERROR(HLOOKUP(G$2,[46]table_female_hkom1_inj.U6!$A$1:$K$36,2,FALSE),0)</f>
        <v>0</v>
      </c>
      <c r="H1465">
        <f>IFERROR(HLOOKUP(H$2,[46]table_female_hkom1_inj.U6!$A$1:$K$36,2,FALSE),0)</f>
        <v>1</v>
      </c>
      <c r="I1465">
        <f>IFERROR(HLOOKUP(I$2,[46]table_female_hkom1_inj.U6!$A$1:$K$36,2,FALSE),0)</f>
        <v>0</v>
      </c>
      <c r="J1465">
        <f>IFERROR(HLOOKUP(J$2,[46]table_female_hkom1_inj.U6!$A$1:$K$36,2,FALSE),0)</f>
        <v>0</v>
      </c>
      <c r="K1465">
        <f>IFERROR(HLOOKUP(K$2,[46]table_female_hkom1_inj.U6!$A$1:$K$36,2,FALSE),0)</f>
        <v>0</v>
      </c>
      <c r="L1465">
        <f>IFERROR(HLOOKUP(L$2,[46]table_female_hkom1_inj.U6!$A$1:$K$36,2,FALSE),0)</f>
        <v>0</v>
      </c>
      <c r="M1465">
        <f t="shared" si="461"/>
        <v>1</v>
      </c>
      <c r="P1465" t="s">
        <v>115</v>
      </c>
      <c r="Q1465" t="s">
        <v>103</v>
      </c>
      <c r="R1465" t="s">
        <v>114</v>
      </c>
      <c r="S1465" t="s">
        <v>70</v>
      </c>
      <c r="T1465" s="5">
        <f>IF(SUM(E$1465:E$1497)=0,E$1498/33,E1465+IFERROR(E1465/SUM(E$1465:E$1497)*E$1498,0))</f>
        <v>0</v>
      </c>
      <c r="U1465" s="5">
        <f t="shared" ref="U1465:AA1465" si="462">IF(SUM(F$1465:F$1497)=0,F$1498/33,F1465+IFERROR(F1465/SUM(F$1465:F$1497)*F$1498,0))</f>
        <v>0</v>
      </c>
      <c r="V1465" s="5">
        <f t="shared" si="462"/>
        <v>0</v>
      </c>
      <c r="W1465" s="5">
        <f t="shared" si="462"/>
        <v>1.9762773722627736</v>
      </c>
      <c r="X1465" s="5">
        <f t="shared" si="462"/>
        <v>0</v>
      </c>
      <c r="Y1465" s="5">
        <f t="shared" si="462"/>
        <v>0</v>
      </c>
      <c r="Z1465" s="5">
        <f t="shared" si="462"/>
        <v>0</v>
      </c>
      <c r="AA1465" s="5">
        <f t="shared" si="462"/>
        <v>3.0303030303030304E-2</v>
      </c>
      <c r="AB1465" s="5">
        <f t="shared" si="451"/>
        <v>2.0065804025658038</v>
      </c>
    </row>
    <row r="1466" spans="1:29" x14ac:dyDescent="0.25">
      <c r="D1466" t="s">
        <v>71</v>
      </c>
      <c r="E1466" s="64"/>
      <c r="F1466" s="64"/>
      <c r="G1466">
        <f>IFERROR(HLOOKUP(G$2,[46]table_female_hkom1_inj.U6!$A$1:$K$36,3,FALSE),0)</f>
        <v>6</v>
      </c>
      <c r="H1466">
        <f>IFERROR(HLOOKUP(H$2,[46]table_female_hkom1_inj.U6!$A$1:$K$36,3,FALSE),0)</f>
        <v>4</v>
      </c>
      <c r="I1466">
        <f>IFERROR(HLOOKUP(I$2,[46]table_female_hkom1_inj.U6!$A$1:$K$36,3,FALSE),0)</f>
        <v>4</v>
      </c>
      <c r="J1466">
        <f>IFERROR(HLOOKUP(J$2,[46]table_female_hkom1_inj.U6!$A$1:$K$36,3,FALSE),0)</f>
        <v>0</v>
      </c>
      <c r="K1466">
        <f>IFERROR(HLOOKUP(K$2,[46]table_female_hkom1_inj.U6!$A$1:$K$36,3,FALSE),0)</f>
        <v>0</v>
      </c>
      <c r="L1466">
        <f>IFERROR(HLOOKUP(L$2,[46]table_female_hkom1_inj.U6!$A$1:$K$36,3,FALSE),0)</f>
        <v>0</v>
      </c>
      <c r="M1466">
        <f t="shared" si="461"/>
        <v>14</v>
      </c>
      <c r="S1466" t="s">
        <v>71</v>
      </c>
      <c r="T1466" s="5">
        <f t="shared" ref="T1466:T1497" si="463">IF(SUM(E$1465:E$1497)=0,E$1498/33,E1466+IFERROR(E1466/SUM(E$1465:E$1497)*E$1498,0))</f>
        <v>0</v>
      </c>
      <c r="U1466" s="5">
        <f t="shared" ref="U1466:U1497" si="464">IF(SUM(F$1465:F$1497)=0,F$1498/33,F1466+IFERROR(F1466/SUM(F$1465:F$1497)*F$1498,0))</f>
        <v>0</v>
      </c>
      <c r="V1466" s="5">
        <f t="shared" ref="V1466:V1497" si="465">IF(SUM(G$1465:G$1497)=0,G$1498/33,G1466+IFERROR(G1466/SUM(G$1465:G$1497)*G$1498,0))</f>
        <v>11.147260273972602</v>
      </c>
      <c r="W1466" s="5">
        <f t="shared" ref="W1466:W1497" si="466">IF(SUM(H$1465:H$1497)=0,H$1498/33,H1466+IFERROR(H1466/SUM(H$1465:H$1497)*H$1498,0))</f>
        <v>7.9051094890510942</v>
      </c>
      <c r="X1466" s="5">
        <f t="shared" ref="X1466:X1497" si="467">IF(SUM(I$1465:I$1497)=0,I$1498/33,I1466+IFERROR(I1466/SUM(I$1465:I$1497)*I$1498,0))</f>
        <v>8.3044140030441405</v>
      </c>
      <c r="Y1466" s="5">
        <f t="shared" ref="Y1466:Y1497" si="468">IF(SUM(J$1465:J$1497)=0,J$1498/33,J1466+IFERROR(J1466/SUM(J$1465:J$1497)*J$1498,0))</f>
        <v>0</v>
      </c>
      <c r="Z1466" s="5">
        <f t="shared" ref="Z1466:Z1497" si="469">IF(SUM(K$1465:K$1497)=0,K$1498/33,K1466+IFERROR(K1466/SUM(K$1465:K$1497)*K$1498,0))</f>
        <v>0</v>
      </c>
      <c r="AA1466" s="5">
        <f t="shared" ref="AA1466:AA1497" si="470">IF(SUM(L$1465:L$1497)=0,L$1498/33,L1466+IFERROR(L1466/SUM(L$1465:L$1497)*L$1498,0))</f>
        <v>3.0303030303030304E-2</v>
      </c>
      <c r="AB1466" s="5">
        <f t="shared" si="451"/>
        <v>27.38708679637087</v>
      </c>
    </row>
    <row r="1467" spans="1:29" x14ac:dyDescent="0.25">
      <c r="D1467" t="s">
        <v>72</v>
      </c>
      <c r="E1467" s="64"/>
      <c r="F1467" s="64"/>
      <c r="G1467">
        <f>IFERROR(HLOOKUP(G$2,[46]table_female_hkom1_inj.U6!$A$1:$K$36,4,FALSE),0)</f>
        <v>3</v>
      </c>
      <c r="H1467">
        <f>IFERROR(HLOOKUP(H$2,[46]table_female_hkom1_inj.U6!$A$1:$K$36,4,FALSE),0)</f>
        <v>4</v>
      </c>
      <c r="I1467">
        <f>IFERROR(HLOOKUP(I$2,[46]table_female_hkom1_inj.U6!$A$1:$K$36,4,FALSE),0)</f>
        <v>4</v>
      </c>
      <c r="J1467">
        <f>IFERROR(HLOOKUP(J$2,[46]table_female_hkom1_inj.U6!$A$1:$K$36,4,FALSE),0)</f>
        <v>1</v>
      </c>
      <c r="K1467">
        <f>IFERROR(HLOOKUP(K$2,[46]table_female_hkom1_inj.U6!$A$1:$K$36,4,FALSE),0)</f>
        <v>0</v>
      </c>
      <c r="L1467">
        <f>IFERROR(HLOOKUP(L$2,[46]table_female_hkom1_inj.U6!$A$1:$K$36,4,FALSE),0)</f>
        <v>0</v>
      </c>
      <c r="M1467">
        <f t="shared" si="461"/>
        <v>12</v>
      </c>
      <c r="S1467" t="s">
        <v>72</v>
      </c>
      <c r="T1467" s="5">
        <f t="shared" si="463"/>
        <v>0</v>
      </c>
      <c r="U1467" s="5">
        <f t="shared" si="464"/>
        <v>0</v>
      </c>
      <c r="V1467" s="5">
        <f t="shared" si="465"/>
        <v>5.5736301369863011</v>
      </c>
      <c r="W1467" s="5">
        <f t="shared" si="466"/>
        <v>7.9051094890510942</v>
      </c>
      <c r="X1467" s="5">
        <f t="shared" si="467"/>
        <v>8.3044140030441405</v>
      </c>
      <c r="Y1467" s="5">
        <f t="shared" si="468"/>
        <v>2.5333333333333332</v>
      </c>
      <c r="Z1467" s="5">
        <f t="shared" si="469"/>
        <v>0</v>
      </c>
      <c r="AA1467" s="5">
        <f t="shared" si="470"/>
        <v>3.0303030303030304E-2</v>
      </c>
      <c r="AB1467" s="5">
        <f t="shared" si="451"/>
        <v>24.346789992717902</v>
      </c>
    </row>
    <row r="1468" spans="1:29" x14ac:dyDescent="0.25">
      <c r="D1468" t="s">
        <v>73</v>
      </c>
      <c r="E1468" s="64"/>
      <c r="F1468" s="64"/>
      <c r="G1468">
        <f>IFERROR(HLOOKUP(G$2,[46]table_female_hkom1_inj.U6!$A$1:$K$36,5,FALSE),0)</f>
        <v>2</v>
      </c>
      <c r="H1468">
        <f>IFERROR(HLOOKUP(H$2,[46]table_female_hkom1_inj.U6!$A$1:$K$36,5,FALSE),0)</f>
        <v>2</v>
      </c>
      <c r="I1468">
        <f>IFERROR(HLOOKUP(I$2,[46]table_female_hkom1_inj.U6!$A$1:$K$36,5,FALSE),0)</f>
        <v>3</v>
      </c>
      <c r="J1468">
        <f>IFERROR(HLOOKUP(J$2,[46]table_female_hkom1_inj.U6!$A$1:$K$36,5,FALSE),0)</f>
        <v>1</v>
      </c>
      <c r="K1468">
        <f>IFERROR(HLOOKUP(K$2,[46]table_female_hkom1_inj.U6!$A$1:$K$36,5,FALSE),0)</f>
        <v>0</v>
      </c>
      <c r="L1468">
        <f>IFERROR(HLOOKUP(L$2,[46]table_female_hkom1_inj.U6!$A$1:$K$36,5,FALSE),0)</f>
        <v>0</v>
      </c>
      <c r="M1468">
        <f t="shared" si="461"/>
        <v>8</v>
      </c>
      <c r="S1468" t="s">
        <v>73</v>
      </c>
      <c r="T1468" s="5">
        <f t="shared" si="463"/>
        <v>0</v>
      </c>
      <c r="U1468" s="5">
        <f t="shared" si="464"/>
        <v>0</v>
      </c>
      <c r="V1468" s="5">
        <f t="shared" si="465"/>
        <v>3.7157534246575343</v>
      </c>
      <c r="W1468" s="5">
        <f t="shared" si="466"/>
        <v>3.9525547445255471</v>
      </c>
      <c r="X1468" s="5">
        <f t="shared" si="467"/>
        <v>6.2283105022831045</v>
      </c>
      <c r="Y1468" s="5">
        <f t="shared" si="468"/>
        <v>2.5333333333333332</v>
      </c>
      <c r="Z1468" s="5">
        <f t="shared" si="469"/>
        <v>0</v>
      </c>
      <c r="AA1468" s="5">
        <f t="shared" si="470"/>
        <v>3.0303030303030304E-2</v>
      </c>
      <c r="AB1468" s="5">
        <f t="shared" si="451"/>
        <v>16.460255035102549</v>
      </c>
    </row>
    <row r="1469" spans="1:29" x14ac:dyDescent="0.25">
      <c r="D1469" t="s">
        <v>74</v>
      </c>
      <c r="E1469" s="64"/>
      <c r="F1469" s="64"/>
      <c r="G1469">
        <f>IFERROR(HLOOKUP(G$2,[46]table_female_hkom1_inj.U6!$A$1:$K$36,6,FALSE),0)</f>
        <v>3</v>
      </c>
      <c r="H1469">
        <f>IFERROR(HLOOKUP(H$2,[46]table_female_hkom1_inj.U6!$A$1:$K$36,6,FALSE),0)</f>
        <v>2</v>
      </c>
      <c r="I1469">
        <f>IFERROR(HLOOKUP(I$2,[46]table_female_hkom1_inj.U6!$A$1:$K$36,6,FALSE),0)</f>
        <v>3</v>
      </c>
      <c r="J1469">
        <f>IFERROR(HLOOKUP(J$2,[46]table_female_hkom1_inj.U6!$A$1:$K$36,6,FALSE),0)</f>
        <v>0</v>
      </c>
      <c r="K1469">
        <f>IFERROR(HLOOKUP(K$2,[46]table_female_hkom1_inj.U6!$A$1:$K$36,6,FALSE),0)</f>
        <v>0</v>
      </c>
      <c r="L1469">
        <f>IFERROR(HLOOKUP(L$2,[46]table_female_hkom1_inj.U6!$A$1:$K$36,6,FALSE),0)</f>
        <v>0</v>
      </c>
      <c r="M1469">
        <f t="shared" si="461"/>
        <v>8</v>
      </c>
      <c r="S1469" t="s">
        <v>74</v>
      </c>
      <c r="T1469" s="5">
        <f t="shared" si="463"/>
        <v>0</v>
      </c>
      <c r="U1469" s="5">
        <f t="shared" si="464"/>
        <v>0</v>
      </c>
      <c r="V1469" s="5">
        <f t="shared" si="465"/>
        <v>5.5736301369863011</v>
      </c>
      <c r="W1469" s="5">
        <f t="shared" si="466"/>
        <v>3.9525547445255471</v>
      </c>
      <c r="X1469" s="5">
        <f t="shared" si="467"/>
        <v>6.2283105022831045</v>
      </c>
      <c r="Y1469" s="5">
        <f t="shared" si="468"/>
        <v>0</v>
      </c>
      <c r="Z1469" s="5">
        <f t="shared" si="469"/>
        <v>0</v>
      </c>
      <c r="AA1469" s="5">
        <f t="shared" si="470"/>
        <v>3.0303030303030304E-2</v>
      </c>
      <c r="AB1469" s="5">
        <f t="shared" si="451"/>
        <v>15.784798414097985</v>
      </c>
    </row>
    <row r="1470" spans="1:29" x14ac:dyDescent="0.25">
      <c r="D1470" t="s">
        <v>75</v>
      </c>
      <c r="E1470" s="64"/>
      <c r="F1470" s="64"/>
      <c r="G1470">
        <f>IFERROR(HLOOKUP(G$2,[46]table_female_hkom1_inj.U6!$A$1:$K$36,7,FALSE),0)</f>
        <v>2</v>
      </c>
      <c r="H1470">
        <f>IFERROR(HLOOKUP(H$2,[46]table_female_hkom1_inj.U6!$A$1:$K$36,7,FALSE),0)</f>
        <v>3</v>
      </c>
      <c r="I1470">
        <f>IFERROR(HLOOKUP(I$2,[46]table_female_hkom1_inj.U6!$A$1:$K$36,7,FALSE),0)</f>
        <v>2</v>
      </c>
      <c r="J1470">
        <f>IFERROR(HLOOKUP(J$2,[46]table_female_hkom1_inj.U6!$A$1:$K$36,7,FALSE),0)</f>
        <v>1</v>
      </c>
      <c r="K1470">
        <f>IFERROR(HLOOKUP(K$2,[46]table_female_hkom1_inj.U6!$A$1:$K$36,7,FALSE),0)</f>
        <v>0</v>
      </c>
      <c r="L1470">
        <f>IFERROR(HLOOKUP(L$2,[46]table_female_hkom1_inj.U6!$A$1:$K$36,7,FALSE),0)</f>
        <v>0</v>
      </c>
      <c r="M1470">
        <f t="shared" si="461"/>
        <v>8</v>
      </c>
      <c r="S1470" t="s">
        <v>75</v>
      </c>
      <c r="T1470" s="5">
        <f t="shared" si="463"/>
        <v>0</v>
      </c>
      <c r="U1470" s="5">
        <f t="shared" si="464"/>
        <v>0</v>
      </c>
      <c r="V1470" s="5">
        <f t="shared" si="465"/>
        <v>3.7157534246575343</v>
      </c>
      <c r="W1470" s="5">
        <f t="shared" si="466"/>
        <v>5.9288321167883211</v>
      </c>
      <c r="X1470" s="5">
        <f t="shared" si="467"/>
        <v>4.1522070015220702</v>
      </c>
      <c r="Y1470" s="5">
        <f t="shared" si="468"/>
        <v>2.5333333333333332</v>
      </c>
      <c r="Z1470" s="5">
        <f t="shared" si="469"/>
        <v>0</v>
      </c>
      <c r="AA1470" s="5">
        <f t="shared" si="470"/>
        <v>3.0303030303030304E-2</v>
      </c>
      <c r="AB1470" s="5">
        <f t="shared" si="451"/>
        <v>16.360428906604291</v>
      </c>
    </row>
    <row r="1471" spans="1:29" x14ac:dyDescent="0.25">
      <c r="D1471" t="s">
        <v>76</v>
      </c>
      <c r="E1471" s="64"/>
      <c r="F1471" s="64"/>
      <c r="G1471">
        <f>IFERROR(HLOOKUP(G$2,[46]table_female_hkom1_inj.U6!$A$1:$K$36,8,FALSE),0)</f>
        <v>1</v>
      </c>
      <c r="H1471">
        <f>IFERROR(HLOOKUP(H$2,[46]table_female_hkom1_inj.U6!$A$1:$K$36,8,FALSE),0)</f>
        <v>5</v>
      </c>
      <c r="I1471">
        <f>IFERROR(HLOOKUP(I$2,[46]table_female_hkom1_inj.U6!$A$1:$K$36,8,FALSE),0)</f>
        <v>5</v>
      </c>
      <c r="J1471">
        <f>IFERROR(HLOOKUP(J$2,[46]table_female_hkom1_inj.U6!$A$1:$K$36,8,FALSE),0)</f>
        <v>0</v>
      </c>
      <c r="K1471">
        <f>IFERROR(HLOOKUP(K$2,[46]table_female_hkom1_inj.U6!$A$1:$K$36,8,FALSE),0)</f>
        <v>0</v>
      </c>
      <c r="L1471">
        <f>IFERROR(HLOOKUP(L$2,[46]table_female_hkom1_inj.U6!$A$1:$K$36,8,FALSE),0)</f>
        <v>0</v>
      </c>
      <c r="M1471">
        <f t="shared" si="461"/>
        <v>11</v>
      </c>
      <c r="S1471" t="s">
        <v>76</v>
      </c>
      <c r="T1471" s="5">
        <f t="shared" si="463"/>
        <v>0</v>
      </c>
      <c r="U1471" s="5">
        <f t="shared" si="464"/>
        <v>0</v>
      </c>
      <c r="V1471" s="5">
        <f t="shared" si="465"/>
        <v>1.8578767123287672</v>
      </c>
      <c r="W1471" s="5">
        <f t="shared" si="466"/>
        <v>9.8813868613138673</v>
      </c>
      <c r="X1471" s="5">
        <f t="shared" si="467"/>
        <v>10.380517503805175</v>
      </c>
      <c r="Y1471" s="5">
        <f t="shared" si="468"/>
        <v>0</v>
      </c>
      <c r="Z1471" s="5">
        <f t="shared" si="469"/>
        <v>0</v>
      </c>
      <c r="AA1471" s="5">
        <f t="shared" si="470"/>
        <v>3.0303030303030304E-2</v>
      </c>
      <c r="AB1471" s="5">
        <f t="shared" si="451"/>
        <v>22.150084107750843</v>
      </c>
    </row>
    <row r="1472" spans="1:29" x14ac:dyDescent="0.25">
      <c r="D1472" t="s">
        <v>77</v>
      </c>
      <c r="E1472" s="64"/>
      <c r="F1472" s="64"/>
      <c r="G1472">
        <f>IFERROR(HLOOKUP(G$2,[46]table_female_hkom1_inj.U6!$A$1:$K$36,9,FALSE),0)</f>
        <v>6</v>
      </c>
      <c r="H1472">
        <f>IFERROR(HLOOKUP(H$2,[46]table_female_hkom1_inj.U6!$A$1:$K$36,9,FALSE),0)</f>
        <v>10</v>
      </c>
      <c r="I1472">
        <f>IFERROR(HLOOKUP(I$2,[46]table_female_hkom1_inj.U6!$A$1:$K$36,9,FALSE),0)</f>
        <v>7</v>
      </c>
      <c r="J1472">
        <f>IFERROR(HLOOKUP(J$2,[46]table_female_hkom1_inj.U6!$A$1:$K$36,9,FALSE),0)</f>
        <v>0</v>
      </c>
      <c r="K1472">
        <f>IFERROR(HLOOKUP(K$2,[46]table_female_hkom1_inj.U6!$A$1:$K$36,9,FALSE),0)</f>
        <v>0</v>
      </c>
      <c r="L1472">
        <f>IFERROR(HLOOKUP(L$2,[46]table_female_hkom1_inj.U6!$A$1:$K$36,9,FALSE),0)</f>
        <v>0</v>
      </c>
      <c r="M1472">
        <f t="shared" si="461"/>
        <v>23</v>
      </c>
      <c r="S1472" t="s">
        <v>77</v>
      </c>
      <c r="T1472" s="5">
        <f t="shared" si="463"/>
        <v>0</v>
      </c>
      <c r="U1472" s="5">
        <f t="shared" si="464"/>
        <v>0</v>
      </c>
      <c r="V1472" s="5">
        <f t="shared" si="465"/>
        <v>11.147260273972602</v>
      </c>
      <c r="W1472" s="5">
        <f t="shared" si="466"/>
        <v>19.762773722627735</v>
      </c>
      <c r="X1472" s="5">
        <f t="shared" si="467"/>
        <v>14.532724505327245</v>
      </c>
      <c r="Y1472" s="5">
        <f t="shared" si="468"/>
        <v>0</v>
      </c>
      <c r="Z1472" s="5">
        <f t="shared" si="469"/>
        <v>0</v>
      </c>
      <c r="AA1472" s="5">
        <f t="shared" si="470"/>
        <v>3.0303030303030304E-2</v>
      </c>
      <c r="AB1472" s="5">
        <f t="shared" si="451"/>
        <v>45.473061532230616</v>
      </c>
    </row>
    <row r="1473" spans="4:28" x14ac:dyDescent="0.25">
      <c r="D1473" t="s">
        <v>78</v>
      </c>
      <c r="E1473" s="64"/>
      <c r="F1473" s="64"/>
      <c r="G1473">
        <f>IFERROR(HLOOKUP(G$2,[46]table_female_hkom1_inj.U6!$A$1:$K$36,10,FALSE),0)</f>
        <v>30</v>
      </c>
      <c r="H1473">
        <f>IFERROR(HLOOKUP(H$2,[46]table_female_hkom1_inj.U6!$A$1:$K$36,10,FALSE),0)</f>
        <v>83</v>
      </c>
      <c r="I1473">
        <f>IFERROR(HLOOKUP(I$2,[46]table_female_hkom1_inj.U6!$A$1:$K$36,10,FALSE),0)</f>
        <v>39</v>
      </c>
      <c r="J1473">
        <f>IFERROR(HLOOKUP(J$2,[46]table_female_hkom1_inj.U6!$A$1:$K$36,10,FALSE),0)</f>
        <v>3</v>
      </c>
      <c r="K1473">
        <f>IFERROR(HLOOKUP(K$2,[46]table_female_hkom1_inj.U6!$A$1:$K$36,10,FALSE),0)</f>
        <v>0</v>
      </c>
      <c r="L1473">
        <f>IFERROR(HLOOKUP(L$2,[46]table_female_hkom1_inj.U6!$A$1:$K$36,10,FALSE),0)</f>
        <v>0</v>
      </c>
      <c r="M1473">
        <f t="shared" si="461"/>
        <v>155</v>
      </c>
      <c r="S1473" t="s">
        <v>78</v>
      </c>
      <c r="T1473" s="5">
        <f t="shared" si="463"/>
        <v>0</v>
      </c>
      <c r="U1473" s="5">
        <f t="shared" si="464"/>
        <v>0</v>
      </c>
      <c r="V1473" s="5">
        <f t="shared" si="465"/>
        <v>55.736301369863014</v>
      </c>
      <c r="W1473" s="5">
        <f t="shared" si="466"/>
        <v>164.03102189781021</v>
      </c>
      <c r="X1473" s="5">
        <f t="shared" si="467"/>
        <v>80.968036529680361</v>
      </c>
      <c r="Y1473" s="5">
        <f t="shared" si="468"/>
        <v>7.6</v>
      </c>
      <c r="Z1473" s="5">
        <f t="shared" si="469"/>
        <v>0</v>
      </c>
      <c r="AA1473" s="5">
        <f t="shared" si="470"/>
        <v>3.0303030303030304E-2</v>
      </c>
      <c r="AB1473" s="5">
        <f t="shared" si="451"/>
        <v>308.36566282765659</v>
      </c>
    </row>
    <row r="1474" spans="4:28" x14ac:dyDescent="0.25">
      <c r="D1474" t="s">
        <v>79</v>
      </c>
      <c r="E1474" s="64"/>
      <c r="F1474" s="64"/>
      <c r="G1474">
        <f>IFERROR(HLOOKUP(G$2,[46]table_female_hkom1_inj.U6!$A$1:$K$36,11,FALSE),0)</f>
        <v>4</v>
      </c>
      <c r="H1474">
        <f>IFERROR(HLOOKUP(H$2,[46]table_female_hkom1_inj.U6!$A$1:$K$36,11,FALSE),0)</f>
        <v>12</v>
      </c>
      <c r="I1474">
        <f>IFERROR(HLOOKUP(I$2,[46]table_female_hkom1_inj.U6!$A$1:$K$36,11,FALSE),0)</f>
        <v>8</v>
      </c>
      <c r="J1474">
        <f>IFERROR(HLOOKUP(J$2,[46]table_female_hkom1_inj.U6!$A$1:$K$36,11,FALSE),0)</f>
        <v>1</v>
      </c>
      <c r="K1474">
        <f>IFERROR(HLOOKUP(K$2,[46]table_female_hkom1_inj.U6!$A$1:$K$36,11,FALSE),0)</f>
        <v>1</v>
      </c>
      <c r="L1474">
        <f>IFERROR(HLOOKUP(L$2,[46]table_female_hkom1_inj.U6!$A$1:$K$36,11,FALSE),0)</f>
        <v>0</v>
      </c>
      <c r="M1474">
        <f t="shared" si="461"/>
        <v>26</v>
      </c>
      <c r="S1474" t="s">
        <v>79</v>
      </c>
      <c r="T1474" s="5">
        <f t="shared" si="463"/>
        <v>0</v>
      </c>
      <c r="U1474" s="5">
        <f t="shared" si="464"/>
        <v>0</v>
      </c>
      <c r="V1474" s="5">
        <f t="shared" si="465"/>
        <v>7.4315068493150687</v>
      </c>
      <c r="W1474" s="5">
        <f t="shared" si="466"/>
        <v>23.715328467153284</v>
      </c>
      <c r="X1474" s="5">
        <f t="shared" si="467"/>
        <v>16.608828006088281</v>
      </c>
      <c r="Y1474" s="5">
        <f t="shared" si="468"/>
        <v>2.5333333333333332</v>
      </c>
      <c r="Z1474" s="5">
        <f t="shared" si="469"/>
        <v>2.2000000000000002</v>
      </c>
      <c r="AA1474" s="5">
        <f t="shared" si="470"/>
        <v>3.0303030303030304E-2</v>
      </c>
      <c r="AB1474" s="5">
        <f t="shared" si="451"/>
        <v>52.519299686193001</v>
      </c>
    </row>
    <row r="1475" spans="4:28" x14ac:dyDescent="0.25">
      <c r="D1475" t="s">
        <v>80</v>
      </c>
      <c r="E1475" s="64"/>
      <c r="F1475" s="64"/>
      <c r="G1475">
        <f>IFERROR(HLOOKUP(G$2,[46]table_female_hkom1_inj.U6!$A$1:$K$36,12,FALSE),0)</f>
        <v>9</v>
      </c>
      <c r="H1475">
        <f>IFERROR(HLOOKUP(H$2,[46]table_female_hkom1_inj.U6!$A$1:$K$36,12,FALSE),0)</f>
        <v>11</v>
      </c>
      <c r="I1475">
        <f>IFERROR(HLOOKUP(I$2,[46]table_female_hkom1_inj.U6!$A$1:$K$36,12,FALSE),0)</f>
        <v>5</v>
      </c>
      <c r="J1475">
        <f>IFERROR(HLOOKUP(J$2,[46]table_female_hkom1_inj.U6!$A$1:$K$36,12,FALSE),0)</f>
        <v>0</v>
      </c>
      <c r="K1475">
        <f>IFERROR(HLOOKUP(K$2,[46]table_female_hkom1_inj.U6!$A$1:$K$36,12,FALSE),0)</f>
        <v>0</v>
      </c>
      <c r="L1475">
        <f>IFERROR(HLOOKUP(L$2,[46]table_female_hkom1_inj.U6!$A$1:$K$36,12,FALSE),0)</f>
        <v>0</v>
      </c>
      <c r="M1475">
        <f t="shared" si="461"/>
        <v>25</v>
      </c>
      <c r="S1475" t="s">
        <v>80</v>
      </c>
      <c r="T1475" s="5">
        <f t="shared" si="463"/>
        <v>0</v>
      </c>
      <c r="U1475" s="5">
        <f t="shared" si="464"/>
        <v>0</v>
      </c>
      <c r="V1475" s="5">
        <f t="shared" si="465"/>
        <v>16.720890410958905</v>
      </c>
      <c r="W1475" s="5">
        <f t="shared" si="466"/>
        <v>21.739051094890513</v>
      </c>
      <c r="X1475" s="5">
        <f t="shared" si="467"/>
        <v>10.380517503805175</v>
      </c>
      <c r="Y1475" s="5">
        <f t="shared" si="468"/>
        <v>0</v>
      </c>
      <c r="Z1475" s="5">
        <f t="shared" si="469"/>
        <v>0</v>
      </c>
      <c r="AA1475" s="5">
        <f t="shared" si="470"/>
        <v>3.0303030303030304E-2</v>
      </c>
      <c r="AB1475" s="5">
        <f t="shared" si="451"/>
        <v>48.870762039957619</v>
      </c>
    </row>
    <row r="1476" spans="4:28" x14ac:dyDescent="0.25">
      <c r="D1476" t="s">
        <v>81</v>
      </c>
      <c r="E1476" s="64"/>
      <c r="F1476" s="64"/>
      <c r="G1476">
        <f>IFERROR(HLOOKUP(G$2,[46]table_female_hkom1_inj.U6!$A$1:$K$36,13,FALSE),0)</f>
        <v>2</v>
      </c>
      <c r="H1476">
        <f>IFERROR(HLOOKUP(H$2,[46]table_female_hkom1_inj.U6!$A$1:$K$36,13,FALSE),0)</f>
        <v>4</v>
      </c>
      <c r="I1476">
        <f>IFERROR(HLOOKUP(I$2,[46]table_female_hkom1_inj.U6!$A$1:$K$36,13,FALSE),0)</f>
        <v>2</v>
      </c>
      <c r="J1476">
        <f>IFERROR(HLOOKUP(J$2,[46]table_female_hkom1_inj.U6!$A$1:$K$36,13,FALSE),0)</f>
        <v>0</v>
      </c>
      <c r="K1476">
        <f>IFERROR(HLOOKUP(K$2,[46]table_female_hkom1_inj.U6!$A$1:$K$36,13,FALSE),0)</f>
        <v>0</v>
      </c>
      <c r="L1476">
        <f>IFERROR(HLOOKUP(L$2,[46]table_female_hkom1_inj.U6!$A$1:$K$36,13,FALSE),0)</f>
        <v>0</v>
      </c>
      <c r="M1476">
        <f t="shared" si="461"/>
        <v>8</v>
      </c>
      <c r="S1476" t="s">
        <v>81</v>
      </c>
      <c r="T1476" s="5">
        <f t="shared" si="463"/>
        <v>0</v>
      </c>
      <c r="U1476" s="5">
        <f t="shared" si="464"/>
        <v>0</v>
      </c>
      <c r="V1476" s="5">
        <f t="shared" si="465"/>
        <v>3.7157534246575343</v>
      </c>
      <c r="W1476" s="5">
        <f t="shared" si="466"/>
        <v>7.9051094890510942</v>
      </c>
      <c r="X1476" s="5">
        <f t="shared" si="467"/>
        <v>4.1522070015220702</v>
      </c>
      <c r="Y1476" s="5">
        <f t="shared" si="468"/>
        <v>0</v>
      </c>
      <c r="Z1476" s="5">
        <f t="shared" si="469"/>
        <v>0</v>
      </c>
      <c r="AA1476" s="5">
        <f t="shared" si="470"/>
        <v>3.0303030303030304E-2</v>
      </c>
      <c r="AB1476" s="5">
        <f t="shared" si="451"/>
        <v>15.803372945533729</v>
      </c>
    </row>
    <row r="1477" spans="4:28" x14ac:dyDescent="0.25">
      <c r="D1477" t="s">
        <v>82</v>
      </c>
      <c r="E1477" s="64"/>
      <c r="F1477" s="64"/>
      <c r="G1477">
        <f>IFERROR(HLOOKUP(G$2,[46]table_female_hkom1_inj.U6!$A$1:$K$36,14,FALSE),0)</f>
        <v>8</v>
      </c>
      <c r="H1477">
        <f>IFERROR(HLOOKUP(H$2,[46]table_female_hkom1_inj.U6!$A$1:$K$36,14,FALSE),0)</f>
        <v>27</v>
      </c>
      <c r="I1477">
        <f>IFERROR(HLOOKUP(I$2,[46]table_female_hkom1_inj.U6!$A$1:$K$36,14,FALSE),0)</f>
        <v>23</v>
      </c>
      <c r="J1477">
        <f>IFERROR(HLOOKUP(J$2,[46]table_female_hkom1_inj.U6!$A$1:$K$36,14,FALSE),0)</f>
        <v>1</v>
      </c>
      <c r="K1477">
        <f>IFERROR(HLOOKUP(K$2,[46]table_female_hkom1_inj.U6!$A$1:$K$36,14,FALSE),0)</f>
        <v>0</v>
      </c>
      <c r="L1477">
        <f>IFERROR(HLOOKUP(L$2,[46]table_female_hkom1_inj.U6!$A$1:$K$36,14,FALSE),0)</f>
        <v>0</v>
      </c>
      <c r="M1477">
        <f t="shared" si="461"/>
        <v>59</v>
      </c>
      <c r="S1477" t="s">
        <v>82</v>
      </c>
      <c r="T1477" s="5">
        <f t="shared" si="463"/>
        <v>0</v>
      </c>
      <c r="U1477" s="5">
        <f t="shared" si="464"/>
        <v>0</v>
      </c>
      <c r="V1477" s="5">
        <f t="shared" si="465"/>
        <v>14.863013698630137</v>
      </c>
      <c r="W1477" s="5">
        <f t="shared" si="466"/>
        <v>53.35948905109489</v>
      </c>
      <c r="X1477" s="5">
        <f t="shared" si="467"/>
        <v>47.7503805175038</v>
      </c>
      <c r="Y1477" s="5">
        <f t="shared" si="468"/>
        <v>2.5333333333333332</v>
      </c>
      <c r="Z1477" s="5">
        <f t="shared" si="469"/>
        <v>0</v>
      </c>
      <c r="AA1477" s="5">
        <f t="shared" si="470"/>
        <v>3.0303030303030304E-2</v>
      </c>
      <c r="AB1477" s="5">
        <f t="shared" si="451"/>
        <v>118.53651963086519</v>
      </c>
    </row>
    <row r="1478" spans="4:28" x14ac:dyDescent="0.25">
      <c r="D1478" t="s">
        <v>83</v>
      </c>
      <c r="E1478" s="64"/>
      <c r="F1478" s="64"/>
      <c r="G1478">
        <f>IFERROR(HLOOKUP(G$2,[46]table_female_hkom1_inj.U6!$A$1:$K$36,15,FALSE),0)</f>
        <v>2</v>
      </c>
      <c r="H1478">
        <f>IFERROR(HLOOKUP(H$2,[46]table_female_hkom1_inj.U6!$A$1:$K$36,15,FALSE),0)</f>
        <v>11</v>
      </c>
      <c r="I1478">
        <f>IFERROR(HLOOKUP(I$2,[46]table_female_hkom1_inj.U6!$A$1:$K$36,15,FALSE),0)</f>
        <v>4</v>
      </c>
      <c r="J1478">
        <f>IFERROR(HLOOKUP(J$2,[46]table_female_hkom1_inj.U6!$A$1:$K$36,15,FALSE),0)</f>
        <v>0</v>
      </c>
      <c r="K1478">
        <f>IFERROR(HLOOKUP(K$2,[46]table_female_hkom1_inj.U6!$A$1:$K$36,15,FALSE),0)</f>
        <v>0</v>
      </c>
      <c r="L1478">
        <f>IFERROR(HLOOKUP(L$2,[46]table_female_hkom1_inj.U6!$A$1:$K$36,15,FALSE),0)</f>
        <v>0</v>
      </c>
      <c r="M1478">
        <f t="shared" si="461"/>
        <v>17</v>
      </c>
      <c r="S1478" t="s">
        <v>83</v>
      </c>
      <c r="T1478" s="5">
        <f t="shared" si="463"/>
        <v>0</v>
      </c>
      <c r="U1478" s="5">
        <f t="shared" si="464"/>
        <v>0</v>
      </c>
      <c r="V1478" s="5">
        <f t="shared" si="465"/>
        <v>3.7157534246575343</v>
      </c>
      <c r="W1478" s="5">
        <f t="shared" si="466"/>
        <v>21.739051094890513</v>
      </c>
      <c r="X1478" s="5">
        <f t="shared" si="467"/>
        <v>8.3044140030441405</v>
      </c>
      <c r="Y1478" s="5">
        <f t="shared" si="468"/>
        <v>0</v>
      </c>
      <c r="Z1478" s="5">
        <f t="shared" si="469"/>
        <v>0</v>
      </c>
      <c r="AA1478" s="5">
        <f t="shared" si="470"/>
        <v>3.0303030303030304E-2</v>
      </c>
      <c r="AB1478" s="5">
        <f t="shared" si="451"/>
        <v>33.789521552895224</v>
      </c>
    </row>
    <row r="1479" spans="4:28" x14ac:dyDescent="0.25">
      <c r="D1479" t="s">
        <v>84</v>
      </c>
      <c r="E1479" s="64"/>
      <c r="F1479" s="64"/>
      <c r="G1479">
        <f>IFERROR(HLOOKUP(G$2,[46]table_female_hkom1_inj.U6!$A$1:$K$36,16,FALSE),0)</f>
        <v>1</v>
      </c>
      <c r="H1479">
        <f>IFERROR(HLOOKUP(H$2,[46]table_female_hkom1_inj.U6!$A$1:$K$36,16,FALSE),0)</f>
        <v>4</v>
      </c>
      <c r="I1479">
        <f>IFERROR(HLOOKUP(I$2,[46]table_female_hkom1_inj.U6!$A$1:$K$36,16,FALSE),0)</f>
        <v>3</v>
      </c>
      <c r="J1479">
        <f>IFERROR(HLOOKUP(J$2,[46]table_female_hkom1_inj.U6!$A$1:$K$36,16,FALSE),0)</f>
        <v>0</v>
      </c>
      <c r="K1479">
        <f>IFERROR(HLOOKUP(K$2,[46]table_female_hkom1_inj.U6!$A$1:$K$36,16,FALSE),0)</f>
        <v>0</v>
      </c>
      <c r="L1479">
        <f>IFERROR(HLOOKUP(L$2,[46]table_female_hkom1_inj.U6!$A$1:$K$36,16,FALSE),0)</f>
        <v>0</v>
      </c>
      <c r="M1479">
        <f t="shared" si="461"/>
        <v>8</v>
      </c>
      <c r="S1479" t="s">
        <v>84</v>
      </c>
      <c r="T1479" s="5">
        <f t="shared" si="463"/>
        <v>0</v>
      </c>
      <c r="U1479" s="5">
        <f t="shared" si="464"/>
        <v>0</v>
      </c>
      <c r="V1479" s="5">
        <f t="shared" si="465"/>
        <v>1.8578767123287672</v>
      </c>
      <c r="W1479" s="5">
        <f t="shared" si="466"/>
        <v>7.9051094890510942</v>
      </c>
      <c r="X1479" s="5">
        <f t="shared" si="467"/>
        <v>6.2283105022831045</v>
      </c>
      <c r="Y1479" s="5">
        <f t="shared" si="468"/>
        <v>0</v>
      </c>
      <c r="Z1479" s="5">
        <f t="shared" si="469"/>
        <v>0</v>
      </c>
      <c r="AA1479" s="5">
        <f t="shared" si="470"/>
        <v>3.0303030303030304E-2</v>
      </c>
      <c r="AB1479" s="5">
        <f t="shared" si="451"/>
        <v>16.021599733965996</v>
      </c>
    </row>
    <row r="1480" spans="4:28" x14ac:dyDescent="0.25">
      <c r="D1480" t="s">
        <v>85</v>
      </c>
      <c r="E1480" s="64"/>
      <c r="F1480" s="64"/>
      <c r="G1480">
        <f>IFERROR(HLOOKUP(G$2,[46]table_female_hkom1_inj.U6!$A$1:$K$36,17,FALSE),0)</f>
        <v>7</v>
      </c>
      <c r="H1480">
        <f>IFERROR(HLOOKUP(H$2,[46]table_female_hkom1_inj.U6!$A$1:$K$36,17,FALSE),0)</f>
        <v>10</v>
      </c>
      <c r="I1480">
        <f>IFERROR(HLOOKUP(I$2,[46]table_female_hkom1_inj.U6!$A$1:$K$36,17,FALSE),0)</f>
        <v>2</v>
      </c>
      <c r="J1480">
        <f>IFERROR(HLOOKUP(J$2,[46]table_female_hkom1_inj.U6!$A$1:$K$36,17,FALSE),0)</f>
        <v>1</v>
      </c>
      <c r="K1480">
        <f>IFERROR(HLOOKUP(K$2,[46]table_female_hkom1_inj.U6!$A$1:$K$36,17,FALSE),0)</f>
        <v>0</v>
      </c>
      <c r="L1480">
        <f>IFERROR(HLOOKUP(L$2,[46]table_female_hkom1_inj.U6!$A$1:$K$36,17,FALSE),0)</f>
        <v>0</v>
      </c>
      <c r="M1480">
        <f t="shared" si="461"/>
        <v>20</v>
      </c>
      <c r="S1480" t="s">
        <v>85</v>
      </c>
      <c r="T1480" s="5">
        <f t="shared" si="463"/>
        <v>0</v>
      </c>
      <c r="U1480" s="5">
        <f t="shared" si="464"/>
        <v>0</v>
      </c>
      <c r="V1480" s="5">
        <f t="shared" si="465"/>
        <v>13.00513698630137</v>
      </c>
      <c r="W1480" s="5">
        <f t="shared" si="466"/>
        <v>19.762773722627735</v>
      </c>
      <c r="X1480" s="5">
        <f t="shared" si="467"/>
        <v>4.1522070015220702</v>
      </c>
      <c r="Y1480" s="5">
        <f t="shared" si="468"/>
        <v>2.5333333333333332</v>
      </c>
      <c r="Z1480" s="5">
        <f t="shared" si="469"/>
        <v>0</v>
      </c>
      <c r="AA1480" s="5">
        <f t="shared" si="470"/>
        <v>3.0303030303030304E-2</v>
      </c>
      <c r="AB1480" s="5">
        <f t="shared" si="451"/>
        <v>39.483754074087543</v>
      </c>
    </row>
    <row r="1481" spans="4:28" x14ac:dyDescent="0.25">
      <c r="D1481" t="s">
        <v>86</v>
      </c>
      <c r="E1481" s="64"/>
      <c r="F1481" s="64"/>
      <c r="G1481">
        <f>IFERROR(HLOOKUP(G$2,[46]table_female_hkom1_inj.U6!$A$1:$K$36,18,FALSE),0)</f>
        <v>19</v>
      </c>
      <c r="H1481">
        <f>IFERROR(HLOOKUP(H$2,[46]table_female_hkom1_inj.U6!$A$1:$K$36,18,FALSE),0)</f>
        <v>33</v>
      </c>
      <c r="I1481">
        <f>IFERROR(HLOOKUP(I$2,[46]table_female_hkom1_inj.U6!$A$1:$K$36,18,FALSE),0)</f>
        <v>20</v>
      </c>
      <c r="J1481">
        <f>IFERROR(HLOOKUP(J$2,[46]table_female_hkom1_inj.U6!$A$1:$K$36,18,FALSE),0)</f>
        <v>1</v>
      </c>
      <c r="K1481">
        <f>IFERROR(HLOOKUP(K$2,[46]table_female_hkom1_inj.U6!$A$1:$K$36,18,FALSE),0)</f>
        <v>1</v>
      </c>
      <c r="L1481">
        <f>IFERROR(HLOOKUP(L$2,[46]table_female_hkom1_inj.U6!$A$1:$K$36,18,FALSE),0)</f>
        <v>0</v>
      </c>
      <c r="M1481">
        <f t="shared" si="461"/>
        <v>74</v>
      </c>
      <c r="S1481" t="s">
        <v>86</v>
      </c>
      <c r="T1481" s="5">
        <f t="shared" si="463"/>
        <v>0</v>
      </c>
      <c r="U1481" s="5">
        <f t="shared" si="464"/>
        <v>0</v>
      </c>
      <c r="V1481" s="5">
        <f t="shared" si="465"/>
        <v>35.299657534246577</v>
      </c>
      <c r="W1481" s="5">
        <f t="shared" si="466"/>
        <v>65.217153284671525</v>
      </c>
      <c r="X1481" s="5">
        <f t="shared" si="467"/>
        <v>41.522070015220699</v>
      </c>
      <c r="Y1481" s="5">
        <f t="shared" si="468"/>
        <v>2.5333333333333332</v>
      </c>
      <c r="Z1481" s="5">
        <f t="shared" si="469"/>
        <v>2.2000000000000002</v>
      </c>
      <c r="AA1481" s="5">
        <f t="shared" si="470"/>
        <v>3.0303030303030304E-2</v>
      </c>
      <c r="AB1481" s="5">
        <f t="shared" si="451"/>
        <v>146.80251719777516</v>
      </c>
    </row>
    <row r="1482" spans="4:28" x14ac:dyDescent="0.25">
      <c r="D1482" t="s">
        <v>87</v>
      </c>
      <c r="E1482" s="64"/>
      <c r="F1482" s="64"/>
      <c r="G1482">
        <f>IFERROR(HLOOKUP(G$2,[46]table_female_hkom1_inj.U6!$A$1:$K$36,19,FALSE),0)</f>
        <v>12</v>
      </c>
      <c r="H1482">
        <f>IFERROR(HLOOKUP(H$2,[46]table_female_hkom1_inj.U6!$A$1:$K$36,19,FALSE),0)</f>
        <v>35</v>
      </c>
      <c r="I1482">
        <f>IFERROR(HLOOKUP(I$2,[46]table_female_hkom1_inj.U6!$A$1:$K$36,19,FALSE),0)</f>
        <v>13</v>
      </c>
      <c r="J1482">
        <f>IFERROR(HLOOKUP(J$2,[46]table_female_hkom1_inj.U6!$A$1:$K$36,19,FALSE),0)</f>
        <v>0</v>
      </c>
      <c r="K1482">
        <f>IFERROR(HLOOKUP(K$2,[46]table_female_hkom1_inj.U6!$A$1:$K$36,19,FALSE),0)</f>
        <v>0</v>
      </c>
      <c r="L1482">
        <f>IFERROR(HLOOKUP(L$2,[46]table_female_hkom1_inj.U6!$A$1:$K$36,19,FALSE),0)</f>
        <v>0</v>
      </c>
      <c r="M1482">
        <f t="shared" si="461"/>
        <v>60</v>
      </c>
      <c r="S1482" t="s">
        <v>87</v>
      </c>
      <c r="T1482" s="5">
        <f t="shared" si="463"/>
        <v>0</v>
      </c>
      <c r="U1482" s="5">
        <f t="shared" si="464"/>
        <v>0</v>
      </c>
      <c r="V1482" s="5">
        <f t="shared" si="465"/>
        <v>22.294520547945204</v>
      </c>
      <c r="W1482" s="5">
        <f t="shared" si="466"/>
        <v>69.169708029197082</v>
      </c>
      <c r="X1482" s="5">
        <f t="shared" si="467"/>
        <v>26.989345509893454</v>
      </c>
      <c r="Y1482" s="5">
        <f t="shared" si="468"/>
        <v>0</v>
      </c>
      <c r="Z1482" s="5">
        <f t="shared" si="469"/>
        <v>0</v>
      </c>
      <c r="AA1482" s="5">
        <f t="shared" si="470"/>
        <v>3.0303030303030304E-2</v>
      </c>
      <c r="AB1482" s="5">
        <f t="shared" si="451"/>
        <v>118.48387711733876</v>
      </c>
    </row>
    <row r="1483" spans="4:28" x14ac:dyDescent="0.25">
      <c r="D1483" t="s">
        <v>88</v>
      </c>
      <c r="E1483" s="64"/>
      <c r="F1483" s="64"/>
      <c r="G1483">
        <f>IFERROR(HLOOKUP(G$2,[46]table_female_hkom1_inj.U6!$A$1:$K$36,20,FALSE),0)</f>
        <v>158</v>
      </c>
      <c r="H1483">
        <f>IFERROR(HLOOKUP(H$2,[46]table_female_hkom1_inj.U6!$A$1:$K$36,20,FALSE),0)</f>
        <v>275</v>
      </c>
      <c r="I1483">
        <f>IFERROR(HLOOKUP(I$2,[46]table_female_hkom1_inj.U6!$A$1:$K$36,20,FALSE),0)</f>
        <v>165</v>
      </c>
      <c r="J1483">
        <f>IFERROR(HLOOKUP(J$2,[46]table_female_hkom1_inj.U6!$A$1:$K$36,20,FALSE),0)</f>
        <v>14</v>
      </c>
      <c r="K1483">
        <f>IFERROR(HLOOKUP(K$2,[46]table_female_hkom1_inj.U6!$A$1:$K$36,20,FALSE),0)</f>
        <v>1</v>
      </c>
      <c r="L1483">
        <f>IFERROR(HLOOKUP(L$2,[46]table_female_hkom1_inj.U6!$A$1:$K$36,20,FALSE),0)</f>
        <v>0</v>
      </c>
      <c r="M1483">
        <f t="shared" si="461"/>
        <v>613</v>
      </c>
      <c r="S1483" t="s">
        <v>88</v>
      </c>
      <c r="T1483" s="5">
        <f t="shared" si="463"/>
        <v>0</v>
      </c>
      <c r="U1483" s="5">
        <f t="shared" si="464"/>
        <v>0</v>
      </c>
      <c r="V1483" s="5">
        <f t="shared" si="465"/>
        <v>293.54452054794524</v>
      </c>
      <c r="W1483" s="5">
        <f t="shared" si="466"/>
        <v>543.47627737226276</v>
      </c>
      <c r="X1483" s="5">
        <f t="shared" si="467"/>
        <v>342.55707762557074</v>
      </c>
      <c r="Y1483" s="5">
        <f t="shared" si="468"/>
        <v>35.466666666666669</v>
      </c>
      <c r="Z1483" s="5">
        <f t="shared" si="469"/>
        <v>2.2000000000000002</v>
      </c>
      <c r="AA1483" s="5">
        <f t="shared" si="470"/>
        <v>3.0303030303030304E-2</v>
      </c>
      <c r="AB1483" s="5">
        <f t="shared" si="451"/>
        <v>1217.2748452427484</v>
      </c>
    </row>
    <row r="1484" spans="4:28" x14ac:dyDescent="0.25">
      <c r="D1484" t="s">
        <v>89</v>
      </c>
      <c r="E1484" s="64"/>
      <c r="F1484" s="64"/>
      <c r="G1484">
        <f>IFERROR(HLOOKUP(G$2,[46]table_female_hkom1_inj.U6!$A$1:$K$36,21,FALSE),0)</f>
        <v>12</v>
      </c>
      <c r="H1484">
        <f>IFERROR(HLOOKUP(H$2,[46]table_female_hkom1_inj.U6!$A$1:$K$36,21,FALSE),0)</f>
        <v>23</v>
      </c>
      <c r="I1484">
        <f>IFERROR(HLOOKUP(I$2,[46]table_female_hkom1_inj.U6!$A$1:$K$36,21,FALSE),0)</f>
        <v>15</v>
      </c>
      <c r="J1484">
        <f>IFERROR(HLOOKUP(J$2,[46]table_female_hkom1_inj.U6!$A$1:$K$36,21,FALSE),0)</f>
        <v>1</v>
      </c>
      <c r="K1484">
        <f>IFERROR(HLOOKUP(K$2,[46]table_female_hkom1_inj.U6!$A$1:$K$36,21,FALSE),0)</f>
        <v>1</v>
      </c>
      <c r="L1484">
        <f>IFERROR(HLOOKUP(L$2,[46]table_female_hkom1_inj.U6!$A$1:$K$36,21,FALSE),0)</f>
        <v>0</v>
      </c>
      <c r="M1484">
        <f t="shared" si="461"/>
        <v>52</v>
      </c>
      <c r="S1484" t="s">
        <v>89</v>
      </c>
      <c r="T1484" s="5">
        <f t="shared" si="463"/>
        <v>0</v>
      </c>
      <c r="U1484" s="5">
        <f t="shared" si="464"/>
        <v>0</v>
      </c>
      <c r="V1484" s="5">
        <f t="shared" si="465"/>
        <v>22.294520547945204</v>
      </c>
      <c r="W1484" s="5">
        <f t="shared" si="466"/>
        <v>45.454379562043798</v>
      </c>
      <c r="X1484" s="5">
        <f t="shared" si="467"/>
        <v>31.141552511415526</v>
      </c>
      <c r="Y1484" s="5">
        <f t="shared" si="468"/>
        <v>2.5333333333333332</v>
      </c>
      <c r="Z1484" s="5">
        <f t="shared" si="469"/>
        <v>2.2000000000000002</v>
      </c>
      <c r="AA1484" s="5">
        <f t="shared" si="470"/>
        <v>3.0303030303030304E-2</v>
      </c>
      <c r="AB1484" s="5">
        <f t="shared" si="451"/>
        <v>103.65408898504089</v>
      </c>
    </row>
    <row r="1485" spans="4:28" x14ac:dyDescent="0.25">
      <c r="D1485" t="s">
        <v>90</v>
      </c>
      <c r="E1485" s="64"/>
      <c r="F1485" s="64"/>
      <c r="G1485">
        <f>IFERROR(HLOOKUP(G$2,[46]table_female_hkom1_inj.U6!$A$1:$K$36,22,FALSE),0)</f>
        <v>0</v>
      </c>
      <c r="H1485">
        <f>IFERROR(HLOOKUP(H$2,[46]table_female_hkom1_inj.U6!$A$1:$K$36,22,FALSE),0)</f>
        <v>0</v>
      </c>
      <c r="I1485">
        <f>IFERROR(HLOOKUP(I$2,[46]table_female_hkom1_inj.U6!$A$1:$K$36,22,FALSE),0)</f>
        <v>0</v>
      </c>
      <c r="J1485">
        <f>IFERROR(HLOOKUP(J$2,[46]table_female_hkom1_inj.U6!$A$1:$K$36,22,FALSE),0)</f>
        <v>1</v>
      </c>
      <c r="K1485">
        <f>IFERROR(HLOOKUP(K$2,[46]table_female_hkom1_inj.U6!$A$1:$K$36,22,FALSE),0)</f>
        <v>0</v>
      </c>
      <c r="L1485">
        <f>IFERROR(HLOOKUP(L$2,[46]table_female_hkom1_inj.U6!$A$1:$K$36,22,FALSE),0)</f>
        <v>0</v>
      </c>
      <c r="M1485">
        <f t="shared" si="461"/>
        <v>1</v>
      </c>
      <c r="S1485" t="s">
        <v>90</v>
      </c>
      <c r="T1485" s="5">
        <f t="shared" si="463"/>
        <v>0</v>
      </c>
      <c r="U1485" s="5">
        <f t="shared" si="464"/>
        <v>0</v>
      </c>
      <c r="V1485" s="5">
        <f t="shared" si="465"/>
        <v>0</v>
      </c>
      <c r="W1485" s="5">
        <f t="shared" si="466"/>
        <v>0</v>
      </c>
      <c r="X1485" s="5">
        <f t="shared" si="467"/>
        <v>0</v>
      </c>
      <c r="Y1485" s="5">
        <f t="shared" si="468"/>
        <v>2.5333333333333332</v>
      </c>
      <c r="Z1485" s="5">
        <f t="shared" si="469"/>
        <v>0</v>
      </c>
      <c r="AA1485" s="5">
        <f t="shared" si="470"/>
        <v>3.0303030303030304E-2</v>
      </c>
      <c r="AB1485" s="5">
        <f t="shared" si="451"/>
        <v>2.5636363636363635</v>
      </c>
    </row>
    <row r="1486" spans="4:28" x14ac:dyDescent="0.25">
      <c r="D1486" t="s">
        <v>91</v>
      </c>
      <c r="E1486" s="64"/>
      <c r="F1486" s="64"/>
      <c r="G1486">
        <f>IFERROR(HLOOKUP(G$2,[46]table_female_hkom1_inj.U6!$A$1:$K$36,23,FALSE),0)</f>
        <v>3</v>
      </c>
      <c r="H1486">
        <f>IFERROR(HLOOKUP(H$2,[46]table_female_hkom1_inj.U6!$A$1:$K$36,23,FALSE),0)</f>
        <v>6</v>
      </c>
      <c r="I1486">
        <f>IFERROR(HLOOKUP(I$2,[46]table_female_hkom1_inj.U6!$A$1:$K$36,23,FALSE),0)</f>
        <v>7</v>
      </c>
      <c r="J1486">
        <f>IFERROR(HLOOKUP(J$2,[46]table_female_hkom1_inj.U6!$A$1:$K$36,23,FALSE),0)</f>
        <v>0</v>
      </c>
      <c r="K1486">
        <f>IFERROR(HLOOKUP(K$2,[46]table_female_hkom1_inj.U6!$A$1:$K$36,23,FALSE),0)</f>
        <v>0</v>
      </c>
      <c r="L1486">
        <f>IFERROR(HLOOKUP(L$2,[46]table_female_hkom1_inj.U6!$A$1:$K$36,23,FALSE),0)</f>
        <v>0</v>
      </c>
      <c r="M1486">
        <f t="shared" si="461"/>
        <v>16</v>
      </c>
      <c r="S1486" t="s">
        <v>91</v>
      </c>
      <c r="T1486" s="5">
        <f t="shared" si="463"/>
        <v>0</v>
      </c>
      <c r="U1486" s="5">
        <f t="shared" si="464"/>
        <v>0</v>
      </c>
      <c r="V1486" s="5">
        <f t="shared" si="465"/>
        <v>5.5736301369863011</v>
      </c>
      <c r="W1486" s="5">
        <f t="shared" si="466"/>
        <v>11.857664233576642</v>
      </c>
      <c r="X1486" s="5">
        <f t="shared" si="467"/>
        <v>14.532724505327245</v>
      </c>
      <c r="Y1486" s="5">
        <f t="shared" si="468"/>
        <v>0</v>
      </c>
      <c r="Z1486" s="5">
        <f t="shared" si="469"/>
        <v>0</v>
      </c>
      <c r="AA1486" s="5">
        <f t="shared" si="470"/>
        <v>3.0303030303030304E-2</v>
      </c>
      <c r="AB1486" s="5">
        <f t="shared" si="451"/>
        <v>31.994321906193221</v>
      </c>
    </row>
    <row r="1487" spans="4:28" x14ac:dyDescent="0.25">
      <c r="D1487" t="s">
        <v>92</v>
      </c>
      <c r="E1487" s="64"/>
      <c r="F1487" s="64"/>
      <c r="G1487">
        <f>IFERROR(HLOOKUP(G$2,[46]table_female_hkom1_inj.U6!$A$1:$K$36,24,FALSE),0)</f>
        <v>0</v>
      </c>
      <c r="H1487">
        <f>IFERROR(HLOOKUP(H$2,[46]table_female_hkom1_inj.U6!$A$1:$K$36,24,FALSE),0)</f>
        <v>0</v>
      </c>
      <c r="I1487">
        <f>IFERROR(HLOOKUP(I$2,[46]table_female_hkom1_inj.U6!$A$1:$K$36,24,FALSE),0)</f>
        <v>0</v>
      </c>
      <c r="J1487">
        <f>IFERROR(HLOOKUP(J$2,[46]table_female_hkom1_inj.U6!$A$1:$K$36,24,FALSE),0)</f>
        <v>0</v>
      </c>
      <c r="K1487">
        <f>IFERROR(HLOOKUP(K$2,[46]table_female_hkom1_inj.U6!$A$1:$K$36,24,FALSE),0)</f>
        <v>0</v>
      </c>
      <c r="L1487">
        <f>IFERROR(HLOOKUP(L$2,[46]table_female_hkom1_inj.U6!$A$1:$K$36,24,FALSE),0)</f>
        <v>0</v>
      </c>
      <c r="M1487">
        <f t="shared" si="461"/>
        <v>0</v>
      </c>
      <c r="S1487" t="s">
        <v>92</v>
      </c>
      <c r="T1487" s="5">
        <f t="shared" si="463"/>
        <v>0</v>
      </c>
      <c r="U1487" s="5">
        <f t="shared" si="464"/>
        <v>0</v>
      </c>
      <c r="V1487" s="5">
        <f t="shared" si="465"/>
        <v>0</v>
      </c>
      <c r="W1487" s="5">
        <f t="shared" si="466"/>
        <v>0</v>
      </c>
      <c r="X1487" s="5">
        <f t="shared" si="467"/>
        <v>0</v>
      </c>
      <c r="Y1487" s="5">
        <f t="shared" si="468"/>
        <v>0</v>
      </c>
      <c r="Z1487" s="5">
        <f t="shared" si="469"/>
        <v>0</v>
      </c>
      <c r="AA1487" s="5">
        <f t="shared" si="470"/>
        <v>3.0303030303030304E-2</v>
      </c>
      <c r="AB1487" s="5">
        <f t="shared" si="451"/>
        <v>3.0303030303030304E-2</v>
      </c>
    </row>
    <row r="1488" spans="4:28" x14ac:dyDescent="0.25">
      <c r="D1488" t="s">
        <v>93</v>
      </c>
      <c r="E1488" s="64"/>
      <c r="F1488" s="64"/>
      <c r="G1488">
        <f>IFERROR(HLOOKUP(G$2,[46]table_female_hkom1_inj.U6!$A$1:$K$36,25,FALSE),0)</f>
        <v>1</v>
      </c>
      <c r="H1488">
        <f>IFERROR(HLOOKUP(H$2,[46]table_female_hkom1_inj.U6!$A$1:$K$36,25,FALSE),0)</f>
        <v>0</v>
      </c>
      <c r="I1488">
        <f>IFERROR(HLOOKUP(I$2,[46]table_female_hkom1_inj.U6!$A$1:$K$36,25,FALSE),0)</f>
        <v>0</v>
      </c>
      <c r="J1488">
        <f>IFERROR(HLOOKUP(J$2,[46]table_female_hkom1_inj.U6!$A$1:$K$36,25,FALSE),0)</f>
        <v>0</v>
      </c>
      <c r="K1488">
        <f>IFERROR(HLOOKUP(K$2,[46]table_female_hkom1_inj.U6!$A$1:$K$36,25,FALSE),0)</f>
        <v>0</v>
      </c>
      <c r="L1488">
        <f>IFERROR(HLOOKUP(L$2,[46]table_female_hkom1_inj.U6!$A$1:$K$36,25,FALSE),0)</f>
        <v>0</v>
      </c>
      <c r="M1488">
        <f t="shared" si="461"/>
        <v>1</v>
      </c>
      <c r="S1488" t="s">
        <v>93</v>
      </c>
      <c r="T1488" s="5">
        <f t="shared" si="463"/>
        <v>0</v>
      </c>
      <c r="U1488" s="5">
        <f t="shared" si="464"/>
        <v>0</v>
      </c>
      <c r="V1488" s="5">
        <f t="shared" si="465"/>
        <v>1.8578767123287672</v>
      </c>
      <c r="W1488" s="5">
        <f t="shared" si="466"/>
        <v>0</v>
      </c>
      <c r="X1488" s="5">
        <f t="shared" si="467"/>
        <v>0</v>
      </c>
      <c r="Y1488" s="5">
        <f t="shared" si="468"/>
        <v>0</v>
      </c>
      <c r="Z1488" s="5">
        <f t="shared" si="469"/>
        <v>0</v>
      </c>
      <c r="AA1488" s="5">
        <f t="shared" si="470"/>
        <v>3.0303030303030304E-2</v>
      </c>
      <c r="AB1488" s="5">
        <f t="shared" si="451"/>
        <v>1.8881797426317974</v>
      </c>
    </row>
    <row r="1489" spans="1:29" x14ac:dyDescent="0.25">
      <c r="D1489" t="s">
        <v>94</v>
      </c>
      <c r="E1489" s="64"/>
      <c r="F1489" s="64"/>
      <c r="G1489">
        <f>IFERROR(HLOOKUP(G$2,[46]table_female_hkom1_inj.U6!$A$1:$K$36,26,FALSE),0)</f>
        <v>0</v>
      </c>
      <c r="H1489">
        <f>IFERROR(HLOOKUP(H$2,[46]table_female_hkom1_inj.U6!$A$1:$K$36,26,FALSE),0)</f>
        <v>0</v>
      </c>
      <c r="I1489">
        <f>IFERROR(HLOOKUP(I$2,[46]table_female_hkom1_inj.U6!$A$1:$K$36,26,FALSE),0)</f>
        <v>0</v>
      </c>
      <c r="J1489">
        <f>IFERROR(HLOOKUP(J$2,[46]table_female_hkom1_inj.U6!$A$1:$K$36,26,FALSE),0)</f>
        <v>0</v>
      </c>
      <c r="K1489">
        <f>IFERROR(HLOOKUP(K$2,[46]table_female_hkom1_inj.U6!$A$1:$K$36,26,FALSE),0)</f>
        <v>0</v>
      </c>
      <c r="L1489">
        <f>IFERROR(HLOOKUP(L$2,[46]table_female_hkom1_inj.U6!$A$1:$K$36,26,FALSE),0)</f>
        <v>0</v>
      </c>
      <c r="M1489">
        <f t="shared" si="461"/>
        <v>0</v>
      </c>
      <c r="S1489" t="s">
        <v>94</v>
      </c>
      <c r="T1489" s="5">
        <f t="shared" si="463"/>
        <v>0</v>
      </c>
      <c r="U1489" s="5">
        <f t="shared" si="464"/>
        <v>0</v>
      </c>
      <c r="V1489" s="5">
        <f t="shared" si="465"/>
        <v>0</v>
      </c>
      <c r="W1489" s="5">
        <f t="shared" si="466"/>
        <v>0</v>
      </c>
      <c r="X1489" s="5">
        <f t="shared" si="467"/>
        <v>0</v>
      </c>
      <c r="Y1489" s="5">
        <f t="shared" si="468"/>
        <v>0</v>
      </c>
      <c r="Z1489" s="5">
        <f t="shared" si="469"/>
        <v>0</v>
      </c>
      <c r="AA1489" s="5">
        <f t="shared" si="470"/>
        <v>3.0303030303030304E-2</v>
      </c>
      <c r="AB1489" s="5">
        <f t="shared" si="451"/>
        <v>3.0303030303030304E-2</v>
      </c>
    </row>
    <row r="1490" spans="1:29" x14ac:dyDescent="0.25">
      <c r="D1490" t="s">
        <v>95</v>
      </c>
      <c r="E1490" s="64"/>
      <c r="F1490" s="64"/>
      <c r="G1490">
        <f>IFERROR(HLOOKUP(G$2,[46]table_female_hkom1_inj.U6!$A$1:$K$36,27,FALSE),0)</f>
        <v>0</v>
      </c>
      <c r="H1490">
        <f>IFERROR(HLOOKUP(H$2,[46]table_female_hkom1_inj.U6!$A$1:$K$36,27,FALSE),0)</f>
        <v>0</v>
      </c>
      <c r="I1490">
        <f>IFERROR(HLOOKUP(I$2,[46]table_female_hkom1_inj.U6!$A$1:$K$36,27,FALSE),0)</f>
        <v>0</v>
      </c>
      <c r="J1490">
        <f>IFERROR(HLOOKUP(J$2,[46]table_female_hkom1_inj.U6!$A$1:$K$36,27,FALSE),0)</f>
        <v>0</v>
      </c>
      <c r="K1490">
        <f>IFERROR(HLOOKUP(K$2,[46]table_female_hkom1_inj.U6!$A$1:$K$36,27,FALSE),0)</f>
        <v>0</v>
      </c>
      <c r="L1490">
        <f>IFERROR(HLOOKUP(L$2,[46]table_female_hkom1_inj.U6!$A$1:$K$36,27,FALSE),0)</f>
        <v>0</v>
      </c>
      <c r="M1490">
        <f t="shared" si="461"/>
        <v>0</v>
      </c>
      <c r="S1490" t="s">
        <v>95</v>
      </c>
      <c r="T1490" s="5">
        <f t="shared" si="463"/>
        <v>0</v>
      </c>
      <c r="U1490" s="5">
        <f t="shared" si="464"/>
        <v>0</v>
      </c>
      <c r="V1490" s="5">
        <f t="shared" si="465"/>
        <v>0</v>
      </c>
      <c r="W1490" s="5">
        <f t="shared" si="466"/>
        <v>0</v>
      </c>
      <c r="X1490" s="5">
        <f t="shared" si="467"/>
        <v>0</v>
      </c>
      <c r="Y1490" s="5">
        <f t="shared" si="468"/>
        <v>0</v>
      </c>
      <c r="Z1490" s="5">
        <f t="shared" si="469"/>
        <v>0</v>
      </c>
      <c r="AA1490" s="5">
        <f t="shared" si="470"/>
        <v>3.0303030303030304E-2</v>
      </c>
      <c r="AB1490" s="5">
        <f t="shared" si="451"/>
        <v>3.0303030303030304E-2</v>
      </c>
    </row>
    <row r="1491" spans="1:29" x14ac:dyDescent="0.25">
      <c r="D1491" t="s">
        <v>96</v>
      </c>
      <c r="E1491" s="64"/>
      <c r="F1491" s="64"/>
      <c r="G1491">
        <f>IFERROR(HLOOKUP(G$2,[46]table_female_hkom1_inj.U6!$A$1:$K$36,28,FALSE),0)</f>
        <v>1</v>
      </c>
      <c r="H1491">
        <f>IFERROR(HLOOKUP(H$2,[46]table_female_hkom1_inj.U6!$A$1:$K$36,28,FALSE),0)</f>
        <v>0</v>
      </c>
      <c r="I1491">
        <f>IFERROR(HLOOKUP(I$2,[46]table_female_hkom1_inj.U6!$A$1:$K$36,28,FALSE),0)</f>
        <v>0</v>
      </c>
      <c r="J1491">
        <f>IFERROR(HLOOKUP(J$2,[46]table_female_hkom1_inj.U6!$A$1:$K$36,28,FALSE),0)</f>
        <v>0</v>
      </c>
      <c r="K1491">
        <f>IFERROR(HLOOKUP(K$2,[46]table_female_hkom1_inj.U6!$A$1:$K$36,28,FALSE),0)</f>
        <v>0</v>
      </c>
      <c r="L1491">
        <f>IFERROR(HLOOKUP(L$2,[46]table_female_hkom1_inj.U6!$A$1:$K$36,28,FALSE),0)</f>
        <v>0</v>
      </c>
      <c r="M1491">
        <f t="shared" si="461"/>
        <v>1</v>
      </c>
      <c r="S1491" t="s">
        <v>96</v>
      </c>
      <c r="T1491" s="5">
        <f t="shared" si="463"/>
        <v>0</v>
      </c>
      <c r="U1491" s="5">
        <f t="shared" si="464"/>
        <v>0</v>
      </c>
      <c r="V1491" s="5">
        <f t="shared" si="465"/>
        <v>1.8578767123287672</v>
      </c>
      <c r="W1491" s="5">
        <f t="shared" si="466"/>
        <v>0</v>
      </c>
      <c r="X1491" s="5">
        <f t="shared" si="467"/>
        <v>0</v>
      </c>
      <c r="Y1491" s="5">
        <f t="shared" si="468"/>
        <v>0</v>
      </c>
      <c r="Z1491" s="5">
        <f t="shared" si="469"/>
        <v>0</v>
      </c>
      <c r="AA1491" s="5">
        <f t="shared" si="470"/>
        <v>3.0303030303030304E-2</v>
      </c>
      <c r="AB1491" s="5">
        <f t="shared" si="451"/>
        <v>1.8881797426317974</v>
      </c>
    </row>
    <row r="1492" spans="1:29" x14ac:dyDescent="0.25">
      <c r="D1492" t="s">
        <v>97</v>
      </c>
      <c r="E1492" s="64"/>
      <c r="F1492" s="64"/>
      <c r="G1492">
        <f>IFERROR(HLOOKUP(G$2,[46]table_female_hkom1_inj.U6!$A$1:$K$36,29,FALSE),0)</f>
        <v>7</v>
      </c>
      <c r="H1492">
        <f>IFERROR(HLOOKUP(H$2,[46]table_female_hkom1_inj.U6!$A$1:$K$36,29,FALSE),0)</f>
        <v>6</v>
      </c>
      <c r="I1492">
        <f>IFERROR(HLOOKUP(I$2,[46]table_female_hkom1_inj.U6!$A$1:$K$36,29,FALSE),0)</f>
        <v>2</v>
      </c>
      <c r="J1492">
        <f>IFERROR(HLOOKUP(J$2,[46]table_female_hkom1_inj.U6!$A$1:$K$36,29,FALSE),0)</f>
        <v>0</v>
      </c>
      <c r="K1492">
        <f>IFERROR(HLOOKUP(K$2,[46]table_female_hkom1_inj.U6!$A$1:$K$36,29,FALSE),0)</f>
        <v>0</v>
      </c>
      <c r="L1492">
        <f>IFERROR(HLOOKUP(L$2,[46]table_female_hkom1_inj.U6!$A$1:$K$36,29,FALSE),0)</f>
        <v>0</v>
      </c>
      <c r="M1492">
        <f t="shared" si="461"/>
        <v>15</v>
      </c>
      <c r="S1492" t="s">
        <v>97</v>
      </c>
      <c r="T1492" s="5">
        <f t="shared" si="463"/>
        <v>0</v>
      </c>
      <c r="U1492" s="5">
        <f t="shared" si="464"/>
        <v>0</v>
      </c>
      <c r="V1492" s="5">
        <f t="shared" si="465"/>
        <v>13.00513698630137</v>
      </c>
      <c r="W1492" s="5">
        <f t="shared" si="466"/>
        <v>11.857664233576642</v>
      </c>
      <c r="X1492" s="5">
        <f t="shared" si="467"/>
        <v>4.1522070015220702</v>
      </c>
      <c r="Y1492" s="5">
        <f t="shared" si="468"/>
        <v>0</v>
      </c>
      <c r="Z1492" s="5">
        <f t="shared" si="469"/>
        <v>0</v>
      </c>
      <c r="AA1492" s="5">
        <f t="shared" si="470"/>
        <v>3.0303030303030304E-2</v>
      </c>
      <c r="AB1492" s="5">
        <f t="shared" ref="AB1492:AB1555" si="471">SUM(T1492:AA1492)</f>
        <v>29.045311251703112</v>
      </c>
    </row>
    <row r="1493" spans="1:29" x14ac:dyDescent="0.25">
      <c r="D1493" t="s">
        <v>98</v>
      </c>
      <c r="E1493" s="64"/>
      <c r="F1493" s="64"/>
      <c r="G1493">
        <f>IFERROR(HLOOKUP(G$2,[46]table_female_hkom1_inj.U6!$A$1:$K$36,30,FALSE),0)</f>
        <v>13</v>
      </c>
      <c r="H1493">
        <f>IFERROR(HLOOKUP(H$2,[46]table_female_hkom1_inj.U6!$A$1:$K$36,30,FALSE),0)</f>
        <v>28</v>
      </c>
      <c r="I1493">
        <f>IFERROR(HLOOKUP(I$2,[46]table_female_hkom1_inj.U6!$A$1:$K$36,30,FALSE),0)</f>
        <v>14</v>
      </c>
      <c r="J1493">
        <f>IFERROR(HLOOKUP(J$2,[46]table_female_hkom1_inj.U6!$A$1:$K$36,30,FALSE),0)</f>
        <v>1</v>
      </c>
      <c r="K1493">
        <f>IFERROR(HLOOKUP(K$2,[46]table_female_hkom1_inj.U6!$A$1:$K$36,30,FALSE),0)</f>
        <v>0</v>
      </c>
      <c r="L1493">
        <f>IFERROR(HLOOKUP(L$2,[46]table_female_hkom1_inj.U6!$A$1:$K$36,30,FALSE),0)</f>
        <v>0</v>
      </c>
      <c r="M1493">
        <f t="shared" si="461"/>
        <v>56</v>
      </c>
      <c r="S1493" t="s">
        <v>98</v>
      </c>
      <c r="T1493" s="5">
        <f t="shared" si="463"/>
        <v>0</v>
      </c>
      <c r="U1493" s="5">
        <f t="shared" si="464"/>
        <v>0</v>
      </c>
      <c r="V1493" s="5">
        <f t="shared" si="465"/>
        <v>24.152397260273972</v>
      </c>
      <c r="W1493" s="5">
        <f t="shared" si="466"/>
        <v>55.335766423357668</v>
      </c>
      <c r="X1493" s="5">
        <f t="shared" si="467"/>
        <v>29.06544901065449</v>
      </c>
      <c r="Y1493" s="5">
        <f t="shared" si="468"/>
        <v>2.5333333333333332</v>
      </c>
      <c r="Z1493" s="5">
        <f t="shared" si="469"/>
        <v>0</v>
      </c>
      <c r="AA1493" s="5">
        <f t="shared" si="470"/>
        <v>3.0303030303030304E-2</v>
      </c>
      <c r="AB1493" s="5">
        <f t="shared" si="471"/>
        <v>111.11724905792249</v>
      </c>
    </row>
    <row r="1494" spans="1:29" x14ac:dyDescent="0.25">
      <c r="D1494" t="s">
        <v>119</v>
      </c>
      <c r="E1494" s="64"/>
      <c r="F1494" s="64"/>
      <c r="G1494">
        <f>IFERROR(HLOOKUP(G$2,[46]table_female_hkom1_inj.U6!$A$1:$K$36,31,FALSE),0)</f>
        <v>4</v>
      </c>
      <c r="H1494">
        <f>IFERROR(HLOOKUP(H$2,[46]table_female_hkom1_inj.U6!$A$1:$K$36,31,FALSE),0)</f>
        <v>7</v>
      </c>
      <c r="I1494">
        <f>IFERROR(HLOOKUP(I$2,[46]table_female_hkom1_inj.U6!$A$1:$K$36,31,FALSE),0)</f>
        <v>1</v>
      </c>
      <c r="J1494">
        <f>IFERROR(HLOOKUP(J$2,[46]table_female_hkom1_inj.U6!$A$1:$K$36,31,FALSE),0)</f>
        <v>1</v>
      </c>
      <c r="K1494">
        <f>IFERROR(HLOOKUP(K$2,[46]table_female_hkom1_inj.U6!$A$1:$K$36,31,FALSE),0)</f>
        <v>0</v>
      </c>
      <c r="L1494">
        <f>IFERROR(HLOOKUP(L$2,[46]table_female_hkom1_inj.U6!$A$1:$K$36,31,FALSE),0)</f>
        <v>0</v>
      </c>
      <c r="M1494">
        <f t="shared" si="461"/>
        <v>13</v>
      </c>
      <c r="S1494" t="s">
        <v>119</v>
      </c>
      <c r="T1494" s="5">
        <f t="shared" si="463"/>
        <v>0</v>
      </c>
      <c r="U1494" s="5">
        <f t="shared" si="464"/>
        <v>0</v>
      </c>
      <c r="V1494" s="5">
        <f t="shared" si="465"/>
        <v>7.4315068493150687</v>
      </c>
      <c r="W1494" s="5">
        <f t="shared" si="466"/>
        <v>13.833941605839417</v>
      </c>
      <c r="X1494" s="5">
        <f t="shared" si="467"/>
        <v>2.0761035007610351</v>
      </c>
      <c r="Y1494" s="5">
        <f t="shared" si="468"/>
        <v>2.5333333333333332</v>
      </c>
      <c r="Z1494" s="5">
        <f t="shared" si="469"/>
        <v>0</v>
      </c>
      <c r="AA1494" s="5">
        <f t="shared" si="470"/>
        <v>3.0303030303030304E-2</v>
      </c>
      <c r="AB1494" s="5">
        <f t="shared" si="471"/>
        <v>25.905188319551883</v>
      </c>
    </row>
    <row r="1495" spans="1:29" x14ac:dyDescent="0.25">
      <c r="D1495" t="s">
        <v>99</v>
      </c>
      <c r="E1495" s="64"/>
      <c r="F1495" s="64"/>
      <c r="G1495">
        <f>IFERROR(HLOOKUP(G$2,[46]table_female_hkom1_inj.U6!$A$1:$K$36,32,FALSE),0)</f>
        <v>8</v>
      </c>
      <c r="H1495">
        <f>IFERROR(HLOOKUP(H$2,[46]table_female_hkom1_inj.U6!$A$1:$K$36,32,FALSE),0)</f>
        <v>9</v>
      </c>
      <c r="I1495">
        <f>IFERROR(HLOOKUP(I$2,[46]table_female_hkom1_inj.U6!$A$1:$K$36,32,FALSE),0)</f>
        <v>5</v>
      </c>
      <c r="J1495">
        <f>IFERROR(HLOOKUP(J$2,[46]table_female_hkom1_inj.U6!$A$1:$K$36,32,FALSE),0)</f>
        <v>0</v>
      </c>
      <c r="K1495">
        <f>IFERROR(HLOOKUP(K$2,[46]table_female_hkom1_inj.U6!$A$1:$K$36,32,FALSE),0)</f>
        <v>0</v>
      </c>
      <c r="L1495">
        <f>IFERROR(HLOOKUP(L$2,[46]table_female_hkom1_inj.U6!$A$1:$K$36,32,FALSE),0)</f>
        <v>0</v>
      </c>
      <c r="M1495">
        <f t="shared" si="461"/>
        <v>22</v>
      </c>
      <c r="S1495" t="s">
        <v>99</v>
      </c>
      <c r="T1495" s="5">
        <f t="shared" si="463"/>
        <v>0</v>
      </c>
      <c r="U1495" s="5">
        <f t="shared" si="464"/>
        <v>0</v>
      </c>
      <c r="V1495" s="5">
        <f t="shared" si="465"/>
        <v>14.863013698630137</v>
      </c>
      <c r="W1495" s="5">
        <f t="shared" si="466"/>
        <v>17.786496350364963</v>
      </c>
      <c r="X1495" s="5">
        <f t="shared" si="467"/>
        <v>10.380517503805175</v>
      </c>
      <c r="Y1495" s="5">
        <f t="shared" si="468"/>
        <v>0</v>
      </c>
      <c r="Z1495" s="5">
        <f t="shared" si="469"/>
        <v>0</v>
      </c>
      <c r="AA1495" s="5">
        <f t="shared" si="470"/>
        <v>3.0303030303030304E-2</v>
      </c>
      <c r="AB1495" s="5">
        <f t="shared" si="471"/>
        <v>43.060330583103301</v>
      </c>
    </row>
    <row r="1496" spans="1:29" x14ac:dyDescent="0.25">
      <c r="D1496" t="s">
        <v>100</v>
      </c>
      <c r="E1496" s="64"/>
      <c r="F1496" s="64"/>
      <c r="G1496">
        <f>IFERROR(HLOOKUP(G$2,[46]table_female_hkom1_inj.U6!$A$1:$K$36,33,FALSE),0)</f>
        <v>248</v>
      </c>
      <c r="H1496">
        <f>IFERROR(HLOOKUP(H$2,[46]table_female_hkom1_inj.U6!$A$1:$K$36,33,FALSE),0)</f>
        <v>465</v>
      </c>
      <c r="I1496">
        <f>IFERROR(HLOOKUP(I$2,[46]table_female_hkom1_inj.U6!$A$1:$K$36,33,FALSE),0)</f>
        <v>292</v>
      </c>
      <c r="J1496">
        <f>IFERROR(HLOOKUP(J$2,[46]table_female_hkom1_inj.U6!$A$1:$K$36,33,FALSE),0)</f>
        <v>16</v>
      </c>
      <c r="K1496">
        <f>IFERROR(HLOOKUP(K$2,[46]table_female_hkom1_inj.U6!$A$1:$K$36,33,FALSE),0)</f>
        <v>1</v>
      </c>
      <c r="L1496">
        <f>IFERROR(HLOOKUP(L$2,[46]table_female_hkom1_inj.U6!$A$1:$K$36,33,FALSE),0)</f>
        <v>0</v>
      </c>
      <c r="M1496">
        <f t="shared" si="461"/>
        <v>1022</v>
      </c>
      <c r="S1496" t="s">
        <v>100</v>
      </c>
      <c r="T1496" s="5">
        <f t="shared" si="463"/>
        <v>0</v>
      </c>
      <c r="U1496" s="5">
        <f t="shared" si="464"/>
        <v>0</v>
      </c>
      <c r="V1496" s="5">
        <f t="shared" si="465"/>
        <v>460.7534246575342</v>
      </c>
      <c r="W1496" s="5">
        <f t="shared" si="466"/>
        <v>918.96897810218979</v>
      </c>
      <c r="X1496" s="5">
        <f t="shared" si="467"/>
        <v>606.22222222222217</v>
      </c>
      <c r="Y1496" s="5">
        <f t="shared" si="468"/>
        <v>40.533333333333331</v>
      </c>
      <c r="Z1496" s="5">
        <f t="shared" si="469"/>
        <v>2.2000000000000002</v>
      </c>
      <c r="AA1496" s="5">
        <f t="shared" si="470"/>
        <v>3.0303030303030304E-2</v>
      </c>
      <c r="AB1496" s="5">
        <f t="shared" si="471"/>
        <v>2028.7082613455825</v>
      </c>
    </row>
    <row r="1497" spans="1:29" x14ac:dyDescent="0.25">
      <c r="D1497" t="s">
        <v>101</v>
      </c>
      <c r="E1497" s="64"/>
      <c r="F1497" s="64"/>
      <c r="G1497">
        <f>IFERROR(HLOOKUP(G$2,[46]table_female_hkom1_inj.U6!$A$1:$K$36,34,FALSE),0)</f>
        <v>12</v>
      </c>
      <c r="H1497">
        <f>IFERROR(HLOOKUP(H$2,[46]table_female_hkom1_inj.U6!$A$1:$K$36,34,FALSE),0)</f>
        <v>16</v>
      </c>
      <c r="I1497">
        <f>IFERROR(HLOOKUP(I$2,[46]table_female_hkom1_inj.U6!$A$1:$K$36,34,FALSE),0)</f>
        <v>9</v>
      </c>
      <c r="J1497">
        <f>IFERROR(HLOOKUP(J$2,[46]table_female_hkom1_inj.U6!$A$1:$K$36,34,FALSE),0)</f>
        <v>1</v>
      </c>
      <c r="K1497">
        <f>IFERROR(HLOOKUP(K$2,[46]table_female_hkom1_inj.U6!$A$1:$K$36,34,FALSE),0)</f>
        <v>0</v>
      </c>
      <c r="L1497">
        <f>IFERROR(HLOOKUP(L$2,[46]table_female_hkom1_inj.U6!$A$1:$K$36,34,FALSE),0)</f>
        <v>0</v>
      </c>
      <c r="M1497">
        <f t="shared" si="461"/>
        <v>38</v>
      </c>
      <c r="S1497" t="s">
        <v>101</v>
      </c>
      <c r="T1497" s="5">
        <f t="shared" si="463"/>
        <v>0</v>
      </c>
      <c r="U1497" s="5">
        <f t="shared" si="464"/>
        <v>0</v>
      </c>
      <c r="V1497" s="5">
        <f t="shared" si="465"/>
        <v>22.294520547945204</v>
      </c>
      <c r="W1497" s="5">
        <f t="shared" si="466"/>
        <v>31.620437956204377</v>
      </c>
      <c r="X1497" s="5">
        <f t="shared" si="467"/>
        <v>18.684931506849317</v>
      </c>
      <c r="Y1497" s="5">
        <f t="shared" si="468"/>
        <v>2.5333333333333332</v>
      </c>
      <c r="Z1497" s="5">
        <f t="shared" si="469"/>
        <v>0</v>
      </c>
      <c r="AA1497" s="5">
        <f t="shared" si="470"/>
        <v>3.0303030303030304E-2</v>
      </c>
      <c r="AB1497" s="5">
        <f t="shared" si="471"/>
        <v>75.163526374635268</v>
      </c>
    </row>
    <row r="1498" spans="1:29" x14ac:dyDescent="0.25">
      <c r="D1498" t="s">
        <v>102</v>
      </c>
      <c r="E1498" s="64"/>
      <c r="F1498" s="64"/>
      <c r="G1498">
        <f>IFERROR(HLOOKUP(G$2,[46]table_female_hkom1_inj.U6!$A$1:$K$36,35,FALSE),0)</f>
        <v>501</v>
      </c>
      <c r="H1498">
        <f>IFERROR(HLOOKUP(H$2,[46]table_female_hkom1_inj.U6!$A$1:$K$36,35,FALSE),0)</f>
        <v>1070</v>
      </c>
      <c r="I1498">
        <f>IFERROR(HLOOKUP(I$2,[46]table_female_hkom1_inj.U6!$A$1:$K$36,35,FALSE),0)</f>
        <v>707</v>
      </c>
      <c r="J1498">
        <f>IFERROR(HLOOKUP(J$2,[46]table_female_hkom1_inj.U6!$A$1:$K$36,35,FALSE),0)</f>
        <v>69</v>
      </c>
      <c r="K1498">
        <f>IFERROR(HLOOKUP(K$2,[46]table_female_hkom1_inj.U6!$A$1:$K$36,35,FALSE),0)</f>
        <v>6</v>
      </c>
      <c r="L1498">
        <f>IFERROR(HLOOKUP(L$2,[46]table_female_hkom1_inj.U6!$A$1:$K$36,35,FALSE),0)</f>
        <v>1</v>
      </c>
      <c r="M1498">
        <f t="shared" si="461"/>
        <v>2354</v>
      </c>
      <c r="N1498">
        <f>SUM(M1465:M1498)</f>
        <v>4741</v>
      </c>
      <c r="O1498" s="8">
        <f>SUM([46]table_female_hkom1_inj.U6!$B$2:$L$37)</f>
        <v>4741</v>
      </c>
      <c r="S1498" t="s">
        <v>102</v>
      </c>
      <c r="T1498" s="7"/>
      <c r="U1498" s="7"/>
      <c r="V1498" s="7"/>
      <c r="W1498" s="7"/>
      <c r="X1498" s="7"/>
      <c r="Y1498" s="7"/>
      <c r="Z1498" s="7"/>
      <c r="AA1498" s="7"/>
      <c r="AB1498" s="5">
        <f t="shared" si="471"/>
        <v>0</v>
      </c>
      <c r="AC1498" s="5">
        <f>SUM(AB1465:AB1497)</f>
        <v>4741</v>
      </c>
    </row>
    <row r="1499" spans="1:29" x14ac:dyDescent="0.25">
      <c r="A1499" t="s">
        <v>115</v>
      </c>
      <c r="B1499" t="s">
        <v>116</v>
      </c>
      <c r="C1499" t="s">
        <v>102</v>
      </c>
      <c r="D1499" t="s">
        <v>70</v>
      </c>
      <c r="E1499" s="64"/>
      <c r="F1499" s="64"/>
      <c r="G1499">
        <f>IFERROR(HLOOKUP(G$2,[47]table_female_hkom2_inj.unk!$A$1:$K$36,2,FALSE),0)</f>
        <v>0</v>
      </c>
      <c r="H1499">
        <f>IFERROR(HLOOKUP(H$2,[47]table_female_hkom2_inj.unk!$A$1:$K$36,2,FALSE),0)</f>
        <v>0</v>
      </c>
      <c r="I1499">
        <f>IFERROR(HLOOKUP(I$2,[47]table_female_hkom2_inj.unk!$A$1:$K$36,2,FALSE),0)</f>
        <v>0</v>
      </c>
      <c r="J1499">
        <f>IFERROR(HLOOKUP(J$2,[47]table_female_hkom2_inj.unk!$A$1:$K$36,2,FALSE),0)</f>
        <v>0</v>
      </c>
      <c r="K1499">
        <f>IFERROR(HLOOKUP(K$2,[47]table_female_hkom2_inj.unk!$A$1:$K$36,2,FALSE),0)</f>
        <v>0</v>
      </c>
      <c r="L1499">
        <f>IFERROR(HLOOKUP(L$2,[47]table_female_hkom2_inj.unk!$A$1:$K$36,2,FALSE),0)</f>
        <v>0</v>
      </c>
      <c r="M1499">
        <f>SUM(E1499:L1499)</f>
        <v>0</v>
      </c>
      <c r="P1499" t="s">
        <v>115</v>
      </c>
      <c r="Q1499" t="s">
        <v>116</v>
      </c>
      <c r="R1499" t="s">
        <v>102</v>
      </c>
      <c r="S1499" t="s">
        <v>70</v>
      </c>
      <c r="T1499" s="5">
        <f>IF(SUM(E$1499:E$1531)=0,E$1532/33,E1499+IFERROR(E1499/SUM(E$1499:E$1531)*E$1532,0))</f>
        <v>0</v>
      </c>
      <c r="U1499" s="5">
        <f t="shared" ref="U1499:AA1499" si="472">IF(SUM(F$1499:F$1531)=0,F$1532/33,F1499+IFERROR(F1499/SUM(F$1499:F$1531)*F$1532,0))</f>
        <v>0</v>
      </c>
      <c r="V1499" s="5">
        <f t="shared" si="472"/>
        <v>0</v>
      </c>
      <c r="W1499" s="5">
        <f t="shared" si="472"/>
        <v>0</v>
      </c>
      <c r="X1499" s="5">
        <f t="shared" si="472"/>
        <v>0</v>
      </c>
      <c r="Y1499" s="5">
        <f t="shared" si="472"/>
        <v>0</v>
      </c>
      <c r="Z1499" s="5">
        <f t="shared" si="472"/>
        <v>0</v>
      </c>
      <c r="AA1499" s="5">
        <f t="shared" si="472"/>
        <v>0</v>
      </c>
      <c r="AB1499" s="5">
        <f t="shared" si="471"/>
        <v>0</v>
      </c>
    </row>
    <row r="1500" spans="1:29" x14ac:dyDescent="0.25">
      <c r="D1500" t="s">
        <v>71</v>
      </c>
      <c r="E1500" s="64"/>
      <c r="F1500" s="64"/>
      <c r="G1500">
        <f>IFERROR(HLOOKUP(G$2,[47]table_female_hkom2_inj.unk!$A$1:$K$36,3,FALSE),0)</f>
        <v>0</v>
      </c>
      <c r="H1500">
        <f>IFERROR(HLOOKUP(H$2,[47]table_female_hkom2_inj.unk!$A$1:$K$36,3,FALSE),0)</f>
        <v>0</v>
      </c>
      <c r="I1500">
        <f>IFERROR(HLOOKUP(I$2,[47]table_female_hkom2_inj.unk!$A$1:$K$36,3,FALSE),0)</f>
        <v>0</v>
      </c>
      <c r="J1500">
        <f>IFERROR(HLOOKUP(J$2,[47]table_female_hkom2_inj.unk!$A$1:$K$36,3,FALSE),0)</f>
        <v>0</v>
      </c>
      <c r="K1500">
        <f>IFERROR(HLOOKUP(K$2,[47]table_female_hkom2_inj.unk!$A$1:$K$36,3,FALSE),0)</f>
        <v>0</v>
      </c>
      <c r="L1500">
        <f>IFERROR(HLOOKUP(L$2,[47]table_female_hkom2_inj.unk!$A$1:$K$36,3,FALSE),0)</f>
        <v>0</v>
      </c>
      <c r="M1500">
        <f t="shared" ref="M1500:M1532" si="473">SUM(E1500:L1500)</f>
        <v>0</v>
      </c>
      <c r="S1500" t="s">
        <v>71</v>
      </c>
      <c r="T1500" s="5">
        <f t="shared" ref="T1500:T1531" si="474">IF(SUM(E$1499:E$1531)=0,E$1532/33,E1500+IFERROR(E1500/SUM(E$1499:E$1531)*E$1532,0))</f>
        <v>0</v>
      </c>
      <c r="U1500" s="5">
        <f t="shared" ref="U1500:U1531" si="475">IF(SUM(F$1499:F$1531)=0,F$1532/33,F1500+IFERROR(F1500/SUM(F$1499:F$1531)*F$1532,0))</f>
        <v>0</v>
      </c>
      <c r="V1500" s="5">
        <f t="shared" ref="V1500:V1531" si="476">IF(SUM(G$1499:G$1531)=0,G$1532/33,G1500+IFERROR(G1500/SUM(G$1499:G$1531)*G$1532,0))</f>
        <v>0</v>
      </c>
      <c r="W1500" s="5">
        <f t="shared" ref="W1500:W1531" si="477">IF(SUM(H$1499:H$1531)=0,H$1532/33,H1500+IFERROR(H1500/SUM(H$1499:H$1531)*H$1532,0))</f>
        <v>0</v>
      </c>
      <c r="X1500" s="5">
        <f t="shared" ref="X1500:X1531" si="478">IF(SUM(I$1499:I$1531)=0,I$1532/33,I1500+IFERROR(I1500/SUM(I$1499:I$1531)*I$1532,0))</f>
        <v>0</v>
      </c>
      <c r="Y1500" s="5">
        <f t="shared" ref="Y1500:Y1531" si="479">IF(SUM(J$1499:J$1531)=0,J$1532/33,J1500+IFERROR(J1500/SUM(J$1499:J$1531)*J$1532,0))</f>
        <v>0</v>
      </c>
      <c r="Z1500" s="5">
        <f t="shared" ref="Z1500:Z1531" si="480">IF(SUM(K$1499:K$1531)=0,K$1532/33,K1500+IFERROR(K1500/SUM(K$1499:K$1531)*K$1532,0))</f>
        <v>0</v>
      </c>
      <c r="AA1500" s="5">
        <f t="shared" ref="AA1500:AA1531" si="481">IF(SUM(L$1499:L$1531)=0,L$1532/33,L1500+IFERROR(L1500/SUM(L$1499:L$1531)*L$1532,0))</f>
        <v>0</v>
      </c>
      <c r="AB1500" s="5">
        <f t="shared" si="471"/>
        <v>0</v>
      </c>
    </row>
    <row r="1501" spans="1:29" x14ac:dyDescent="0.25">
      <c r="D1501" t="s">
        <v>72</v>
      </c>
      <c r="E1501" s="64"/>
      <c r="F1501" s="64"/>
      <c r="G1501">
        <f>IFERROR(HLOOKUP(G$2,[47]table_female_hkom2_inj.unk!$A$1:$K$36,4,FALSE),0)</f>
        <v>0</v>
      </c>
      <c r="H1501">
        <f>IFERROR(HLOOKUP(H$2,[47]table_female_hkom2_inj.unk!$A$1:$K$36,4,FALSE),0)</f>
        <v>0</v>
      </c>
      <c r="I1501">
        <f>IFERROR(HLOOKUP(I$2,[47]table_female_hkom2_inj.unk!$A$1:$K$36,4,FALSE),0)</f>
        <v>0</v>
      </c>
      <c r="J1501">
        <f>IFERROR(HLOOKUP(J$2,[47]table_female_hkom2_inj.unk!$A$1:$K$36,4,FALSE),0)</f>
        <v>0</v>
      </c>
      <c r="K1501">
        <f>IFERROR(HLOOKUP(K$2,[47]table_female_hkom2_inj.unk!$A$1:$K$36,4,FALSE),0)</f>
        <v>0</v>
      </c>
      <c r="L1501">
        <f>IFERROR(HLOOKUP(L$2,[47]table_female_hkom2_inj.unk!$A$1:$K$36,4,FALSE),0)</f>
        <v>0</v>
      </c>
      <c r="M1501">
        <f t="shared" si="473"/>
        <v>0</v>
      </c>
      <c r="S1501" t="s">
        <v>72</v>
      </c>
      <c r="T1501" s="5">
        <f t="shared" si="474"/>
        <v>0</v>
      </c>
      <c r="U1501" s="5">
        <f t="shared" si="475"/>
        <v>0</v>
      </c>
      <c r="V1501" s="5">
        <f t="shared" si="476"/>
        <v>0</v>
      </c>
      <c r="W1501" s="5">
        <f t="shared" si="477"/>
        <v>0</v>
      </c>
      <c r="X1501" s="5">
        <f t="shared" si="478"/>
        <v>0</v>
      </c>
      <c r="Y1501" s="5">
        <f t="shared" si="479"/>
        <v>0</v>
      </c>
      <c r="Z1501" s="5">
        <f t="shared" si="480"/>
        <v>0</v>
      </c>
      <c r="AA1501" s="5">
        <f t="shared" si="481"/>
        <v>0</v>
      </c>
      <c r="AB1501" s="5">
        <f t="shared" si="471"/>
        <v>0</v>
      </c>
    </row>
    <row r="1502" spans="1:29" x14ac:dyDescent="0.25">
      <c r="D1502" t="s">
        <v>73</v>
      </c>
      <c r="E1502" s="64"/>
      <c r="F1502" s="64"/>
      <c r="G1502">
        <f>IFERROR(HLOOKUP(G$2,[47]table_female_hkom2_inj.unk!$A$1:$K$36,5,FALSE),0)</f>
        <v>0</v>
      </c>
      <c r="H1502">
        <f>IFERROR(HLOOKUP(H$2,[47]table_female_hkom2_inj.unk!$A$1:$K$36,5,FALSE),0)</f>
        <v>0</v>
      </c>
      <c r="I1502">
        <f>IFERROR(HLOOKUP(I$2,[47]table_female_hkom2_inj.unk!$A$1:$K$36,5,FALSE),0)</f>
        <v>0</v>
      </c>
      <c r="J1502">
        <f>IFERROR(HLOOKUP(J$2,[47]table_female_hkom2_inj.unk!$A$1:$K$36,5,FALSE),0)</f>
        <v>0</v>
      </c>
      <c r="K1502">
        <f>IFERROR(HLOOKUP(K$2,[47]table_female_hkom2_inj.unk!$A$1:$K$36,5,FALSE),0)</f>
        <v>0</v>
      </c>
      <c r="L1502">
        <f>IFERROR(HLOOKUP(L$2,[47]table_female_hkom2_inj.unk!$A$1:$K$36,5,FALSE),0)</f>
        <v>0</v>
      </c>
      <c r="M1502">
        <f t="shared" si="473"/>
        <v>0</v>
      </c>
      <c r="S1502" t="s">
        <v>73</v>
      </c>
      <c r="T1502" s="5">
        <f t="shared" si="474"/>
        <v>0</v>
      </c>
      <c r="U1502" s="5">
        <f t="shared" si="475"/>
        <v>0</v>
      </c>
      <c r="V1502" s="5">
        <f t="shared" si="476"/>
        <v>0</v>
      </c>
      <c r="W1502" s="5">
        <f t="shared" si="477"/>
        <v>0</v>
      </c>
      <c r="X1502" s="5">
        <f t="shared" si="478"/>
        <v>0</v>
      </c>
      <c r="Y1502" s="5">
        <f t="shared" si="479"/>
        <v>0</v>
      </c>
      <c r="Z1502" s="5">
        <f t="shared" si="480"/>
        <v>0</v>
      </c>
      <c r="AA1502" s="5">
        <f t="shared" si="481"/>
        <v>0</v>
      </c>
      <c r="AB1502" s="5">
        <f t="shared" si="471"/>
        <v>0</v>
      </c>
    </row>
    <row r="1503" spans="1:29" x14ac:dyDescent="0.25">
      <c r="D1503" t="s">
        <v>74</v>
      </c>
      <c r="E1503" s="64"/>
      <c r="F1503" s="64"/>
      <c r="G1503">
        <f>IFERROR(HLOOKUP(G$2,[47]table_female_hkom2_inj.unk!$A$1:$K$36,6,FALSE),0)</f>
        <v>0</v>
      </c>
      <c r="H1503">
        <f>IFERROR(HLOOKUP(H$2,[47]table_female_hkom2_inj.unk!$A$1:$K$36,6,FALSE),0)</f>
        <v>0</v>
      </c>
      <c r="I1503">
        <f>IFERROR(HLOOKUP(I$2,[47]table_female_hkom2_inj.unk!$A$1:$K$36,6,FALSE),0)</f>
        <v>0</v>
      </c>
      <c r="J1503">
        <f>IFERROR(HLOOKUP(J$2,[47]table_female_hkom2_inj.unk!$A$1:$K$36,6,FALSE),0)</f>
        <v>0</v>
      </c>
      <c r="K1503">
        <f>IFERROR(HLOOKUP(K$2,[47]table_female_hkom2_inj.unk!$A$1:$K$36,6,FALSE),0)</f>
        <v>0</v>
      </c>
      <c r="L1503">
        <f>IFERROR(HLOOKUP(L$2,[47]table_female_hkom2_inj.unk!$A$1:$K$36,6,FALSE),0)</f>
        <v>0</v>
      </c>
      <c r="M1503">
        <f t="shared" si="473"/>
        <v>0</v>
      </c>
      <c r="S1503" t="s">
        <v>74</v>
      </c>
      <c r="T1503" s="5">
        <f t="shared" si="474"/>
        <v>0</v>
      </c>
      <c r="U1503" s="5">
        <f t="shared" si="475"/>
        <v>0</v>
      </c>
      <c r="V1503" s="5">
        <f t="shared" si="476"/>
        <v>0</v>
      </c>
      <c r="W1503" s="5">
        <f t="shared" si="477"/>
        <v>0</v>
      </c>
      <c r="X1503" s="5">
        <f t="shared" si="478"/>
        <v>0</v>
      </c>
      <c r="Y1503" s="5">
        <f t="shared" si="479"/>
        <v>0</v>
      </c>
      <c r="Z1503" s="5">
        <f t="shared" si="480"/>
        <v>0</v>
      </c>
      <c r="AA1503" s="5">
        <f t="shared" si="481"/>
        <v>0</v>
      </c>
      <c r="AB1503" s="5">
        <f t="shared" si="471"/>
        <v>0</v>
      </c>
    </row>
    <row r="1504" spans="1:29" x14ac:dyDescent="0.25">
      <c r="D1504" t="s">
        <v>75</v>
      </c>
      <c r="E1504" s="64"/>
      <c r="F1504" s="64"/>
      <c r="G1504">
        <f>IFERROR(HLOOKUP(G$2,[47]table_female_hkom2_inj.unk!$A$1:$K$36,7,FALSE),0)</f>
        <v>0</v>
      </c>
      <c r="H1504">
        <f>IFERROR(HLOOKUP(H$2,[47]table_female_hkom2_inj.unk!$A$1:$K$36,7,FALSE),0)</f>
        <v>0</v>
      </c>
      <c r="I1504">
        <f>IFERROR(HLOOKUP(I$2,[47]table_female_hkom2_inj.unk!$A$1:$K$36,7,FALSE),0)</f>
        <v>0</v>
      </c>
      <c r="J1504">
        <f>IFERROR(HLOOKUP(J$2,[47]table_female_hkom2_inj.unk!$A$1:$K$36,7,FALSE),0)</f>
        <v>0</v>
      </c>
      <c r="K1504">
        <f>IFERROR(HLOOKUP(K$2,[47]table_female_hkom2_inj.unk!$A$1:$K$36,7,FALSE),0)</f>
        <v>0</v>
      </c>
      <c r="L1504">
        <f>IFERROR(HLOOKUP(L$2,[47]table_female_hkom2_inj.unk!$A$1:$K$36,7,FALSE),0)</f>
        <v>0</v>
      </c>
      <c r="M1504">
        <f t="shared" si="473"/>
        <v>0</v>
      </c>
      <c r="S1504" t="s">
        <v>75</v>
      </c>
      <c r="T1504" s="5">
        <f t="shared" si="474"/>
        <v>0</v>
      </c>
      <c r="U1504" s="5">
        <f t="shared" si="475"/>
        <v>0</v>
      </c>
      <c r="V1504" s="5">
        <f t="shared" si="476"/>
        <v>0</v>
      </c>
      <c r="W1504" s="5">
        <f t="shared" si="477"/>
        <v>0</v>
      </c>
      <c r="X1504" s="5">
        <f t="shared" si="478"/>
        <v>0</v>
      </c>
      <c r="Y1504" s="5">
        <f t="shared" si="479"/>
        <v>0</v>
      </c>
      <c r="Z1504" s="5">
        <f t="shared" si="480"/>
        <v>0</v>
      </c>
      <c r="AA1504" s="5">
        <f t="shared" si="481"/>
        <v>0</v>
      </c>
      <c r="AB1504" s="5">
        <f t="shared" si="471"/>
        <v>0</v>
      </c>
    </row>
    <row r="1505" spans="4:28" x14ac:dyDescent="0.25">
      <c r="D1505" t="s">
        <v>76</v>
      </c>
      <c r="E1505" s="64"/>
      <c r="F1505" s="64"/>
      <c r="G1505">
        <f>IFERROR(HLOOKUP(G$2,[47]table_female_hkom2_inj.unk!$A$1:$K$36,8,FALSE),0)</f>
        <v>0</v>
      </c>
      <c r="H1505">
        <f>IFERROR(HLOOKUP(H$2,[47]table_female_hkom2_inj.unk!$A$1:$K$36,8,FALSE),0)</f>
        <v>0</v>
      </c>
      <c r="I1505">
        <f>IFERROR(HLOOKUP(I$2,[47]table_female_hkom2_inj.unk!$A$1:$K$36,8,FALSE),0)</f>
        <v>0</v>
      </c>
      <c r="J1505">
        <f>IFERROR(HLOOKUP(J$2,[47]table_female_hkom2_inj.unk!$A$1:$K$36,8,FALSE),0)</f>
        <v>0</v>
      </c>
      <c r="K1505">
        <f>IFERROR(HLOOKUP(K$2,[47]table_female_hkom2_inj.unk!$A$1:$K$36,8,FALSE),0)</f>
        <v>0</v>
      </c>
      <c r="L1505">
        <f>IFERROR(HLOOKUP(L$2,[47]table_female_hkom2_inj.unk!$A$1:$K$36,8,FALSE),0)</f>
        <v>0</v>
      </c>
      <c r="M1505">
        <f t="shared" si="473"/>
        <v>0</v>
      </c>
      <c r="S1505" t="s">
        <v>76</v>
      </c>
      <c r="T1505" s="5">
        <f t="shared" si="474"/>
        <v>0</v>
      </c>
      <c r="U1505" s="5">
        <f t="shared" si="475"/>
        <v>0</v>
      </c>
      <c r="V1505" s="5">
        <f t="shared" si="476"/>
        <v>0</v>
      </c>
      <c r="W1505" s="5">
        <f t="shared" si="477"/>
        <v>0</v>
      </c>
      <c r="X1505" s="5">
        <f t="shared" si="478"/>
        <v>0</v>
      </c>
      <c r="Y1505" s="5">
        <f t="shared" si="479"/>
        <v>0</v>
      </c>
      <c r="Z1505" s="5">
        <f t="shared" si="480"/>
        <v>0</v>
      </c>
      <c r="AA1505" s="5">
        <f t="shared" si="481"/>
        <v>0</v>
      </c>
      <c r="AB1505" s="5">
        <f t="shared" si="471"/>
        <v>0</v>
      </c>
    </row>
    <row r="1506" spans="4:28" x14ac:dyDescent="0.25">
      <c r="D1506" t="s">
        <v>77</v>
      </c>
      <c r="E1506" s="64"/>
      <c r="F1506" s="64"/>
      <c r="G1506">
        <f>IFERROR(HLOOKUP(G$2,[47]table_female_hkom2_inj.unk!$A$1:$K$36,9,FALSE),0)</f>
        <v>0</v>
      </c>
      <c r="H1506">
        <f>IFERROR(HLOOKUP(H$2,[47]table_female_hkom2_inj.unk!$A$1:$K$36,9,FALSE),0)</f>
        <v>0</v>
      </c>
      <c r="I1506">
        <f>IFERROR(HLOOKUP(I$2,[47]table_female_hkom2_inj.unk!$A$1:$K$36,9,FALSE),0)</f>
        <v>0</v>
      </c>
      <c r="J1506">
        <f>IFERROR(HLOOKUP(J$2,[47]table_female_hkom2_inj.unk!$A$1:$K$36,9,FALSE),0)</f>
        <v>0</v>
      </c>
      <c r="K1506">
        <f>IFERROR(HLOOKUP(K$2,[47]table_female_hkom2_inj.unk!$A$1:$K$36,9,FALSE),0)</f>
        <v>0</v>
      </c>
      <c r="L1506">
        <f>IFERROR(HLOOKUP(L$2,[47]table_female_hkom2_inj.unk!$A$1:$K$36,9,FALSE),0)</f>
        <v>0</v>
      </c>
      <c r="M1506">
        <f t="shared" si="473"/>
        <v>0</v>
      </c>
      <c r="S1506" t="s">
        <v>77</v>
      </c>
      <c r="T1506" s="5">
        <f t="shared" si="474"/>
        <v>0</v>
      </c>
      <c r="U1506" s="5">
        <f t="shared" si="475"/>
        <v>0</v>
      </c>
      <c r="V1506" s="5">
        <f t="shared" si="476"/>
        <v>0</v>
      </c>
      <c r="W1506" s="5">
        <f t="shared" si="477"/>
        <v>0</v>
      </c>
      <c r="X1506" s="5">
        <f t="shared" si="478"/>
        <v>0</v>
      </c>
      <c r="Y1506" s="5">
        <f t="shared" si="479"/>
        <v>0</v>
      </c>
      <c r="Z1506" s="5">
        <f t="shared" si="480"/>
        <v>0</v>
      </c>
      <c r="AA1506" s="5">
        <f t="shared" si="481"/>
        <v>0</v>
      </c>
      <c r="AB1506" s="5">
        <f t="shared" si="471"/>
        <v>0</v>
      </c>
    </row>
    <row r="1507" spans="4:28" x14ac:dyDescent="0.25">
      <c r="D1507" t="s">
        <v>78</v>
      </c>
      <c r="E1507" s="64"/>
      <c r="F1507" s="64"/>
      <c r="G1507">
        <f>IFERROR(HLOOKUP(G$2,[47]table_female_hkom2_inj.unk!$A$1:$K$36,10,FALSE),0)</f>
        <v>0</v>
      </c>
      <c r="H1507">
        <f>IFERROR(HLOOKUP(H$2,[47]table_female_hkom2_inj.unk!$A$1:$K$36,10,FALSE),0)</f>
        <v>0</v>
      </c>
      <c r="I1507">
        <f>IFERROR(HLOOKUP(I$2,[47]table_female_hkom2_inj.unk!$A$1:$K$36,10,FALSE),0)</f>
        <v>0</v>
      </c>
      <c r="J1507">
        <f>IFERROR(HLOOKUP(J$2,[47]table_female_hkom2_inj.unk!$A$1:$K$36,10,FALSE),0)</f>
        <v>0</v>
      </c>
      <c r="K1507">
        <f>IFERROR(HLOOKUP(K$2,[47]table_female_hkom2_inj.unk!$A$1:$K$36,10,FALSE),0)</f>
        <v>0</v>
      </c>
      <c r="L1507">
        <f>IFERROR(HLOOKUP(L$2,[47]table_female_hkom2_inj.unk!$A$1:$K$36,10,FALSE),0)</f>
        <v>0</v>
      </c>
      <c r="M1507">
        <f t="shared" si="473"/>
        <v>0</v>
      </c>
      <c r="S1507" t="s">
        <v>78</v>
      </c>
      <c r="T1507" s="5">
        <f t="shared" si="474"/>
        <v>0</v>
      </c>
      <c r="U1507" s="5">
        <f t="shared" si="475"/>
        <v>0</v>
      </c>
      <c r="V1507" s="5">
        <f t="shared" si="476"/>
        <v>0</v>
      </c>
      <c r="W1507" s="5">
        <f t="shared" si="477"/>
        <v>0</v>
      </c>
      <c r="X1507" s="5">
        <f t="shared" si="478"/>
        <v>0</v>
      </c>
      <c r="Y1507" s="5">
        <f t="shared" si="479"/>
        <v>0</v>
      </c>
      <c r="Z1507" s="5">
        <f t="shared" si="480"/>
        <v>0</v>
      </c>
      <c r="AA1507" s="5">
        <f t="shared" si="481"/>
        <v>0</v>
      </c>
      <c r="AB1507" s="5">
        <f t="shared" si="471"/>
        <v>0</v>
      </c>
    </row>
    <row r="1508" spans="4:28" x14ac:dyDescent="0.25">
      <c r="D1508" t="s">
        <v>79</v>
      </c>
      <c r="E1508" s="64"/>
      <c r="F1508" s="64"/>
      <c r="G1508">
        <f>IFERROR(HLOOKUP(G$2,[47]table_female_hkom2_inj.unk!$A$1:$K$36,11,FALSE),0)</f>
        <v>0</v>
      </c>
      <c r="H1508">
        <f>IFERROR(HLOOKUP(H$2,[47]table_female_hkom2_inj.unk!$A$1:$K$36,11,FALSE),0)</f>
        <v>0</v>
      </c>
      <c r="I1508">
        <f>IFERROR(HLOOKUP(I$2,[47]table_female_hkom2_inj.unk!$A$1:$K$36,11,FALSE),0)</f>
        <v>0</v>
      </c>
      <c r="J1508">
        <f>IFERROR(HLOOKUP(J$2,[47]table_female_hkom2_inj.unk!$A$1:$K$36,11,FALSE),0)</f>
        <v>0</v>
      </c>
      <c r="K1508">
        <f>IFERROR(HLOOKUP(K$2,[47]table_female_hkom2_inj.unk!$A$1:$K$36,11,FALSE),0)</f>
        <v>0</v>
      </c>
      <c r="L1508">
        <f>IFERROR(HLOOKUP(L$2,[47]table_female_hkom2_inj.unk!$A$1:$K$36,11,FALSE),0)</f>
        <v>0</v>
      </c>
      <c r="M1508">
        <f t="shared" si="473"/>
        <v>0</v>
      </c>
      <c r="S1508" t="s">
        <v>79</v>
      </c>
      <c r="T1508" s="5">
        <f t="shared" si="474"/>
        <v>0</v>
      </c>
      <c r="U1508" s="5">
        <f t="shared" si="475"/>
        <v>0</v>
      </c>
      <c r="V1508" s="5">
        <f t="shared" si="476"/>
        <v>0</v>
      </c>
      <c r="W1508" s="5">
        <f t="shared" si="477"/>
        <v>0</v>
      </c>
      <c r="X1508" s="5">
        <f t="shared" si="478"/>
        <v>0</v>
      </c>
      <c r="Y1508" s="5">
        <f t="shared" si="479"/>
        <v>0</v>
      </c>
      <c r="Z1508" s="5">
        <f t="shared" si="480"/>
        <v>0</v>
      </c>
      <c r="AA1508" s="5">
        <f t="shared" si="481"/>
        <v>0</v>
      </c>
      <c r="AB1508" s="5">
        <f t="shared" si="471"/>
        <v>0</v>
      </c>
    </row>
    <row r="1509" spans="4:28" x14ac:dyDescent="0.25">
      <c r="D1509" t="s">
        <v>80</v>
      </c>
      <c r="E1509" s="64"/>
      <c r="F1509" s="64"/>
      <c r="G1509">
        <f>IFERROR(HLOOKUP(G$2,[47]table_female_hkom2_inj.unk!$A$1:$K$36,12,FALSE),0)</f>
        <v>0</v>
      </c>
      <c r="H1509">
        <f>IFERROR(HLOOKUP(H$2,[47]table_female_hkom2_inj.unk!$A$1:$K$36,12,FALSE),0)</f>
        <v>0</v>
      </c>
      <c r="I1509">
        <f>IFERROR(HLOOKUP(I$2,[47]table_female_hkom2_inj.unk!$A$1:$K$36,12,FALSE),0)</f>
        <v>0</v>
      </c>
      <c r="J1509">
        <f>IFERROR(HLOOKUP(J$2,[47]table_female_hkom2_inj.unk!$A$1:$K$36,12,FALSE),0)</f>
        <v>0</v>
      </c>
      <c r="K1509">
        <f>IFERROR(HLOOKUP(K$2,[47]table_female_hkom2_inj.unk!$A$1:$K$36,12,FALSE),0)</f>
        <v>0</v>
      </c>
      <c r="L1509">
        <f>IFERROR(HLOOKUP(L$2,[47]table_female_hkom2_inj.unk!$A$1:$K$36,12,FALSE),0)</f>
        <v>0</v>
      </c>
      <c r="M1509">
        <f t="shared" si="473"/>
        <v>0</v>
      </c>
      <c r="S1509" t="s">
        <v>80</v>
      </c>
      <c r="T1509" s="5">
        <f t="shared" si="474"/>
        <v>0</v>
      </c>
      <c r="U1509" s="5">
        <f t="shared" si="475"/>
        <v>0</v>
      </c>
      <c r="V1509" s="5">
        <f t="shared" si="476"/>
        <v>0</v>
      </c>
      <c r="W1509" s="5">
        <f t="shared" si="477"/>
        <v>0</v>
      </c>
      <c r="X1509" s="5">
        <f t="shared" si="478"/>
        <v>0</v>
      </c>
      <c r="Y1509" s="5">
        <f t="shared" si="479"/>
        <v>0</v>
      </c>
      <c r="Z1509" s="5">
        <f t="shared" si="480"/>
        <v>0</v>
      </c>
      <c r="AA1509" s="5">
        <f t="shared" si="481"/>
        <v>0</v>
      </c>
      <c r="AB1509" s="5">
        <f t="shared" si="471"/>
        <v>0</v>
      </c>
    </row>
    <row r="1510" spans="4:28" x14ac:dyDescent="0.25">
      <c r="D1510" t="s">
        <v>81</v>
      </c>
      <c r="E1510" s="64"/>
      <c r="F1510" s="64"/>
      <c r="G1510">
        <f>IFERROR(HLOOKUP(G$2,[47]table_female_hkom2_inj.unk!$A$1:$K$36,13,FALSE),0)</f>
        <v>0</v>
      </c>
      <c r="H1510">
        <f>IFERROR(HLOOKUP(H$2,[47]table_female_hkom2_inj.unk!$A$1:$K$36,13,FALSE),0)</f>
        <v>0</v>
      </c>
      <c r="I1510">
        <f>IFERROR(HLOOKUP(I$2,[47]table_female_hkom2_inj.unk!$A$1:$K$36,13,FALSE),0)</f>
        <v>0</v>
      </c>
      <c r="J1510">
        <f>IFERROR(HLOOKUP(J$2,[47]table_female_hkom2_inj.unk!$A$1:$K$36,13,FALSE),0)</f>
        <v>0</v>
      </c>
      <c r="K1510">
        <f>IFERROR(HLOOKUP(K$2,[47]table_female_hkom2_inj.unk!$A$1:$K$36,13,FALSE),0)</f>
        <v>0</v>
      </c>
      <c r="L1510">
        <f>IFERROR(HLOOKUP(L$2,[47]table_female_hkom2_inj.unk!$A$1:$K$36,13,FALSE),0)</f>
        <v>0</v>
      </c>
      <c r="M1510">
        <f t="shared" si="473"/>
        <v>0</v>
      </c>
      <c r="S1510" t="s">
        <v>81</v>
      </c>
      <c r="T1510" s="5">
        <f t="shared" si="474"/>
        <v>0</v>
      </c>
      <c r="U1510" s="5">
        <f t="shared" si="475"/>
        <v>0</v>
      </c>
      <c r="V1510" s="5">
        <f t="shared" si="476"/>
        <v>0</v>
      </c>
      <c r="W1510" s="5">
        <f t="shared" si="477"/>
        <v>0</v>
      </c>
      <c r="X1510" s="5">
        <f t="shared" si="478"/>
        <v>0</v>
      </c>
      <c r="Y1510" s="5">
        <f t="shared" si="479"/>
        <v>0</v>
      </c>
      <c r="Z1510" s="5">
        <f t="shared" si="480"/>
        <v>0</v>
      </c>
      <c r="AA1510" s="5">
        <f t="shared" si="481"/>
        <v>0</v>
      </c>
      <c r="AB1510" s="5">
        <f t="shared" si="471"/>
        <v>0</v>
      </c>
    </row>
    <row r="1511" spans="4:28" x14ac:dyDescent="0.25">
      <c r="D1511" t="s">
        <v>82</v>
      </c>
      <c r="E1511" s="64"/>
      <c r="F1511" s="64"/>
      <c r="G1511">
        <f>IFERROR(HLOOKUP(G$2,[47]table_female_hkom2_inj.unk!$A$1:$K$36,14,FALSE),0)</f>
        <v>0</v>
      </c>
      <c r="H1511">
        <f>IFERROR(HLOOKUP(H$2,[47]table_female_hkom2_inj.unk!$A$1:$K$36,14,FALSE),0)</f>
        <v>0</v>
      </c>
      <c r="I1511">
        <f>IFERROR(HLOOKUP(I$2,[47]table_female_hkom2_inj.unk!$A$1:$K$36,14,FALSE),0)</f>
        <v>0</v>
      </c>
      <c r="J1511">
        <f>IFERROR(HLOOKUP(J$2,[47]table_female_hkom2_inj.unk!$A$1:$K$36,14,FALSE),0)</f>
        <v>0</v>
      </c>
      <c r="K1511">
        <f>IFERROR(HLOOKUP(K$2,[47]table_female_hkom2_inj.unk!$A$1:$K$36,14,FALSE),0)</f>
        <v>0</v>
      </c>
      <c r="L1511">
        <f>IFERROR(HLOOKUP(L$2,[47]table_female_hkom2_inj.unk!$A$1:$K$36,14,FALSE),0)</f>
        <v>0</v>
      </c>
      <c r="M1511">
        <f t="shared" si="473"/>
        <v>0</v>
      </c>
      <c r="S1511" t="s">
        <v>82</v>
      </c>
      <c r="T1511" s="5">
        <f t="shared" si="474"/>
        <v>0</v>
      </c>
      <c r="U1511" s="5">
        <f t="shared" si="475"/>
        <v>0</v>
      </c>
      <c r="V1511" s="5">
        <f t="shared" si="476"/>
        <v>0</v>
      </c>
      <c r="W1511" s="5">
        <f t="shared" si="477"/>
        <v>0</v>
      </c>
      <c r="X1511" s="5">
        <f t="shared" si="478"/>
        <v>0</v>
      </c>
      <c r="Y1511" s="5">
        <f t="shared" si="479"/>
        <v>0</v>
      </c>
      <c r="Z1511" s="5">
        <f t="shared" si="480"/>
        <v>0</v>
      </c>
      <c r="AA1511" s="5">
        <f t="shared" si="481"/>
        <v>0</v>
      </c>
      <c r="AB1511" s="5">
        <f t="shared" si="471"/>
        <v>0</v>
      </c>
    </row>
    <row r="1512" spans="4:28" x14ac:dyDescent="0.25">
      <c r="D1512" t="s">
        <v>83</v>
      </c>
      <c r="E1512" s="64"/>
      <c r="F1512" s="64"/>
      <c r="G1512">
        <f>IFERROR(HLOOKUP(G$2,[47]table_female_hkom2_inj.unk!$A$1:$K$36,15,FALSE),0)</f>
        <v>0</v>
      </c>
      <c r="H1512">
        <f>IFERROR(HLOOKUP(H$2,[47]table_female_hkom2_inj.unk!$A$1:$K$36,15,FALSE),0)</f>
        <v>0</v>
      </c>
      <c r="I1512">
        <f>IFERROR(HLOOKUP(I$2,[47]table_female_hkom2_inj.unk!$A$1:$K$36,15,FALSE),0)</f>
        <v>0</v>
      </c>
      <c r="J1512">
        <f>IFERROR(HLOOKUP(J$2,[47]table_female_hkom2_inj.unk!$A$1:$K$36,15,FALSE),0)</f>
        <v>0</v>
      </c>
      <c r="K1512">
        <f>IFERROR(HLOOKUP(K$2,[47]table_female_hkom2_inj.unk!$A$1:$K$36,15,FALSE),0)</f>
        <v>0</v>
      </c>
      <c r="L1512">
        <f>IFERROR(HLOOKUP(L$2,[47]table_female_hkom2_inj.unk!$A$1:$K$36,15,FALSE),0)</f>
        <v>0</v>
      </c>
      <c r="M1512">
        <f t="shared" si="473"/>
        <v>0</v>
      </c>
      <c r="S1512" t="s">
        <v>83</v>
      </c>
      <c r="T1512" s="5">
        <f t="shared" si="474"/>
        <v>0</v>
      </c>
      <c r="U1512" s="5">
        <f t="shared" si="475"/>
        <v>0</v>
      </c>
      <c r="V1512" s="5">
        <f t="shared" si="476"/>
        <v>0</v>
      </c>
      <c r="W1512" s="5">
        <f t="shared" si="477"/>
        <v>0</v>
      </c>
      <c r="X1512" s="5">
        <f t="shared" si="478"/>
        <v>0</v>
      </c>
      <c r="Y1512" s="5">
        <f t="shared" si="479"/>
        <v>0</v>
      </c>
      <c r="Z1512" s="5">
        <f t="shared" si="480"/>
        <v>0</v>
      </c>
      <c r="AA1512" s="5">
        <f t="shared" si="481"/>
        <v>0</v>
      </c>
      <c r="AB1512" s="5">
        <f t="shared" si="471"/>
        <v>0</v>
      </c>
    </row>
    <row r="1513" spans="4:28" x14ac:dyDescent="0.25">
      <c r="D1513" t="s">
        <v>84</v>
      </c>
      <c r="E1513" s="64"/>
      <c r="F1513" s="64"/>
      <c r="G1513">
        <f>IFERROR(HLOOKUP(G$2,[47]table_female_hkom2_inj.unk!$A$1:$K$36,16,FALSE),0)</f>
        <v>0</v>
      </c>
      <c r="H1513">
        <f>IFERROR(HLOOKUP(H$2,[47]table_female_hkom2_inj.unk!$A$1:$K$36,16,FALSE),0)</f>
        <v>0</v>
      </c>
      <c r="I1513">
        <f>IFERROR(HLOOKUP(I$2,[47]table_female_hkom2_inj.unk!$A$1:$K$36,16,FALSE),0)</f>
        <v>0</v>
      </c>
      <c r="J1513">
        <f>IFERROR(HLOOKUP(J$2,[47]table_female_hkom2_inj.unk!$A$1:$K$36,16,FALSE),0)</f>
        <v>0</v>
      </c>
      <c r="K1513">
        <f>IFERROR(HLOOKUP(K$2,[47]table_female_hkom2_inj.unk!$A$1:$K$36,16,FALSE),0)</f>
        <v>0</v>
      </c>
      <c r="L1513">
        <f>IFERROR(HLOOKUP(L$2,[47]table_female_hkom2_inj.unk!$A$1:$K$36,16,FALSE),0)</f>
        <v>0</v>
      </c>
      <c r="M1513">
        <f t="shared" si="473"/>
        <v>0</v>
      </c>
      <c r="S1513" t="s">
        <v>84</v>
      </c>
      <c r="T1513" s="5">
        <f t="shared" si="474"/>
        <v>0</v>
      </c>
      <c r="U1513" s="5">
        <f t="shared" si="475"/>
        <v>0</v>
      </c>
      <c r="V1513" s="5">
        <f t="shared" si="476"/>
        <v>0</v>
      </c>
      <c r="W1513" s="5">
        <f t="shared" si="477"/>
        <v>0</v>
      </c>
      <c r="X1513" s="5">
        <f t="shared" si="478"/>
        <v>0</v>
      </c>
      <c r="Y1513" s="5">
        <f t="shared" si="479"/>
        <v>0</v>
      </c>
      <c r="Z1513" s="5">
        <f t="shared" si="480"/>
        <v>0</v>
      </c>
      <c r="AA1513" s="5">
        <f t="shared" si="481"/>
        <v>0</v>
      </c>
      <c r="AB1513" s="5">
        <f t="shared" si="471"/>
        <v>0</v>
      </c>
    </row>
    <row r="1514" spans="4:28" x14ac:dyDescent="0.25">
      <c r="D1514" t="s">
        <v>85</v>
      </c>
      <c r="E1514" s="64"/>
      <c r="F1514" s="64"/>
      <c r="G1514">
        <f>IFERROR(HLOOKUP(G$2,[47]table_female_hkom2_inj.unk!$A$1:$K$36,17,FALSE),0)</f>
        <v>0</v>
      </c>
      <c r="H1514">
        <f>IFERROR(HLOOKUP(H$2,[47]table_female_hkom2_inj.unk!$A$1:$K$36,17,FALSE),0)</f>
        <v>0</v>
      </c>
      <c r="I1514">
        <f>IFERROR(HLOOKUP(I$2,[47]table_female_hkom2_inj.unk!$A$1:$K$36,17,FALSE),0)</f>
        <v>0</v>
      </c>
      <c r="J1514">
        <f>IFERROR(HLOOKUP(J$2,[47]table_female_hkom2_inj.unk!$A$1:$K$36,17,FALSE),0)</f>
        <v>0</v>
      </c>
      <c r="K1514">
        <f>IFERROR(HLOOKUP(K$2,[47]table_female_hkom2_inj.unk!$A$1:$K$36,17,FALSE),0)</f>
        <v>0</v>
      </c>
      <c r="L1514">
        <f>IFERROR(HLOOKUP(L$2,[47]table_female_hkom2_inj.unk!$A$1:$K$36,17,FALSE),0)</f>
        <v>0</v>
      </c>
      <c r="M1514">
        <f t="shared" si="473"/>
        <v>0</v>
      </c>
      <c r="S1514" t="s">
        <v>85</v>
      </c>
      <c r="T1514" s="5">
        <f t="shared" si="474"/>
        <v>0</v>
      </c>
      <c r="U1514" s="5">
        <f t="shared" si="475"/>
        <v>0</v>
      </c>
      <c r="V1514" s="5">
        <f t="shared" si="476"/>
        <v>0</v>
      </c>
      <c r="W1514" s="5">
        <f t="shared" si="477"/>
        <v>0</v>
      </c>
      <c r="X1514" s="5">
        <f t="shared" si="478"/>
        <v>0</v>
      </c>
      <c r="Y1514" s="5">
        <f t="shared" si="479"/>
        <v>0</v>
      </c>
      <c r="Z1514" s="5">
        <f t="shared" si="480"/>
        <v>0</v>
      </c>
      <c r="AA1514" s="5">
        <f t="shared" si="481"/>
        <v>0</v>
      </c>
      <c r="AB1514" s="5">
        <f t="shared" si="471"/>
        <v>0</v>
      </c>
    </row>
    <row r="1515" spans="4:28" x14ac:dyDescent="0.25">
      <c r="D1515" t="s">
        <v>86</v>
      </c>
      <c r="E1515" s="64"/>
      <c r="F1515" s="64"/>
      <c r="G1515">
        <f>IFERROR(HLOOKUP(G$2,[47]table_female_hkom2_inj.unk!$A$1:$K$36,18,FALSE),0)</f>
        <v>0</v>
      </c>
      <c r="H1515">
        <f>IFERROR(HLOOKUP(H$2,[47]table_female_hkom2_inj.unk!$A$1:$K$36,18,FALSE),0)</f>
        <v>0</v>
      </c>
      <c r="I1515">
        <f>IFERROR(HLOOKUP(I$2,[47]table_female_hkom2_inj.unk!$A$1:$K$36,18,FALSE),0)</f>
        <v>0</v>
      </c>
      <c r="J1515">
        <f>IFERROR(HLOOKUP(J$2,[47]table_female_hkom2_inj.unk!$A$1:$K$36,18,FALSE),0)</f>
        <v>0</v>
      </c>
      <c r="K1515">
        <f>IFERROR(HLOOKUP(K$2,[47]table_female_hkom2_inj.unk!$A$1:$K$36,18,FALSE),0)</f>
        <v>0</v>
      </c>
      <c r="L1515">
        <f>IFERROR(HLOOKUP(L$2,[47]table_female_hkom2_inj.unk!$A$1:$K$36,18,FALSE),0)</f>
        <v>0</v>
      </c>
      <c r="M1515">
        <f t="shared" si="473"/>
        <v>0</v>
      </c>
      <c r="S1515" t="s">
        <v>86</v>
      </c>
      <c r="T1515" s="5">
        <f t="shared" si="474"/>
        <v>0</v>
      </c>
      <c r="U1515" s="5">
        <f t="shared" si="475"/>
        <v>0</v>
      </c>
      <c r="V1515" s="5">
        <f t="shared" si="476"/>
        <v>0</v>
      </c>
      <c r="W1515" s="5">
        <f t="shared" si="477"/>
        <v>0</v>
      </c>
      <c r="X1515" s="5">
        <f t="shared" si="478"/>
        <v>0</v>
      </c>
      <c r="Y1515" s="5">
        <f t="shared" si="479"/>
        <v>0</v>
      </c>
      <c r="Z1515" s="5">
        <f t="shared" si="480"/>
        <v>0</v>
      </c>
      <c r="AA1515" s="5">
        <f t="shared" si="481"/>
        <v>0</v>
      </c>
      <c r="AB1515" s="5">
        <f t="shared" si="471"/>
        <v>0</v>
      </c>
    </row>
    <row r="1516" spans="4:28" x14ac:dyDescent="0.25">
      <c r="D1516" t="s">
        <v>87</v>
      </c>
      <c r="E1516" s="64"/>
      <c r="F1516" s="64"/>
      <c r="G1516">
        <f>IFERROR(HLOOKUP(G$2,[47]table_female_hkom2_inj.unk!$A$1:$K$36,19,FALSE),0)</f>
        <v>0</v>
      </c>
      <c r="H1516">
        <f>IFERROR(HLOOKUP(H$2,[47]table_female_hkom2_inj.unk!$A$1:$K$36,19,FALSE),0)</f>
        <v>0</v>
      </c>
      <c r="I1516">
        <f>IFERROR(HLOOKUP(I$2,[47]table_female_hkom2_inj.unk!$A$1:$K$36,19,FALSE),0)</f>
        <v>0</v>
      </c>
      <c r="J1516">
        <f>IFERROR(HLOOKUP(J$2,[47]table_female_hkom2_inj.unk!$A$1:$K$36,19,FALSE),0)</f>
        <v>0</v>
      </c>
      <c r="K1516">
        <f>IFERROR(HLOOKUP(K$2,[47]table_female_hkom2_inj.unk!$A$1:$K$36,19,FALSE),0)</f>
        <v>0</v>
      </c>
      <c r="L1516">
        <f>IFERROR(HLOOKUP(L$2,[47]table_female_hkom2_inj.unk!$A$1:$K$36,19,FALSE),0)</f>
        <v>0</v>
      </c>
      <c r="M1516">
        <f t="shared" si="473"/>
        <v>0</v>
      </c>
      <c r="S1516" t="s">
        <v>87</v>
      </c>
      <c r="T1516" s="5">
        <f t="shared" si="474"/>
        <v>0</v>
      </c>
      <c r="U1516" s="5">
        <f t="shared" si="475"/>
        <v>0</v>
      </c>
      <c r="V1516" s="5">
        <f t="shared" si="476"/>
        <v>0</v>
      </c>
      <c r="W1516" s="5">
        <f t="shared" si="477"/>
        <v>0</v>
      </c>
      <c r="X1516" s="5">
        <f t="shared" si="478"/>
        <v>0</v>
      </c>
      <c r="Y1516" s="5">
        <f t="shared" si="479"/>
        <v>0</v>
      </c>
      <c r="Z1516" s="5">
        <f t="shared" si="480"/>
        <v>0</v>
      </c>
      <c r="AA1516" s="5">
        <f t="shared" si="481"/>
        <v>0</v>
      </c>
      <c r="AB1516" s="5">
        <f t="shared" si="471"/>
        <v>0</v>
      </c>
    </row>
    <row r="1517" spans="4:28" x14ac:dyDescent="0.25">
      <c r="D1517" t="s">
        <v>88</v>
      </c>
      <c r="E1517" s="64"/>
      <c r="F1517" s="64"/>
      <c r="G1517">
        <f>IFERROR(HLOOKUP(G$2,[47]table_female_hkom2_inj.unk!$A$1:$K$36,20,FALSE),0)</f>
        <v>0</v>
      </c>
      <c r="H1517">
        <f>IFERROR(HLOOKUP(H$2,[47]table_female_hkom2_inj.unk!$A$1:$K$36,20,FALSE),0)</f>
        <v>0</v>
      </c>
      <c r="I1517">
        <f>IFERROR(HLOOKUP(I$2,[47]table_female_hkom2_inj.unk!$A$1:$K$36,20,FALSE),0)</f>
        <v>0</v>
      </c>
      <c r="J1517">
        <f>IFERROR(HLOOKUP(J$2,[47]table_female_hkom2_inj.unk!$A$1:$K$36,20,FALSE),0)</f>
        <v>0</v>
      </c>
      <c r="K1517">
        <f>IFERROR(HLOOKUP(K$2,[47]table_female_hkom2_inj.unk!$A$1:$K$36,20,FALSE),0)</f>
        <v>0</v>
      </c>
      <c r="L1517">
        <f>IFERROR(HLOOKUP(L$2,[47]table_female_hkom2_inj.unk!$A$1:$K$36,20,FALSE),0)</f>
        <v>0</v>
      </c>
      <c r="M1517">
        <f t="shared" si="473"/>
        <v>0</v>
      </c>
      <c r="S1517" t="s">
        <v>88</v>
      </c>
      <c r="T1517" s="5">
        <f t="shared" si="474"/>
        <v>0</v>
      </c>
      <c r="U1517" s="5">
        <f t="shared" si="475"/>
        <v>0</v>
      </c>
      <c r="V1517" s="5">
        <f t="shared" si="476"/>
        <v>0</v>
      </c>
      <c r="W1517" s="5">
        <f t="shared" si="477"/>
        <v>0</v>
      </c>
      <c r="X1517" s="5">
        <f t="shared" si="478"/>
        <v>0</v>
      </c>
      <c r="Y1517" s="5">
        <f t="shared" si="479"/>
        <v>0</v>
      </c>
      <c r="Z1517" s="5">
        <f t="shared" si="480"/>
        <v>0</v>
      </c>
      <c r="AA1517" s="5">
        <f t="shared" si="481"/>
        <v>0</v>
      </c>
      <c r="AB1517" s="5">
        <f t="shared" si="471"/>
        <v>0</v>
      </c>
    </row>
    <row r="1518" spans="4:28" x14ac:dyDescent="0.25">
      <c r="D1518" t="s">
        <v>89</v>
      </c>
      <c r="E1518" s="64"/>
      <c r="F1518" s="64"/>
      <c r="G1518">
        <f>IFERROR(HLOOKUP(G$2,[47]table_female_hkom2_inj.unk!$A$1:$K$36,21,FALSE),0)</f>
        <v>0</v>
      </c>
      <c r="H1518">
        <f>IFERROR(HLOOKUP(H$2,[47]table_female_hkom2_inj.unk!$A$1:$K$36,21,FALSE),0)</f>
        <v>0</v>
      </c>
      <c r="I1518">
        <f>IFERROR(HLOOKUP(I$2,[47]table_female_hkom2_inj.unk!$A$1:$K$36,21,FALSE),0)</f>
        <v>0</v>
      </c>
      <c r="J1518">
        <f>IFERROR(HLOOKUP(J$2,[47]table_female_hkom2_inj.unk!$A$1:$K$36,21,FALSE),0)</f>
        <v>0</v>
      </c>
      <c r="K1518">
        <f>IFERROR(HLOOKUP(K$2,[47]table_female_hkom2_inj.unk!$A$1:$K$36,21,FALSE),0)</f>
        <v>0</v>
      </c>
      <c r="L1518">
        <f>IFERROR(HLOOKUP(L$2,[47]table_female_hkom2_inj.unk!$A$1:$K$36,21,FALSE),0)</f>
        <v>0</v>
      </c>
      <c r="M1518">
        <f t="shared" si="473"/>
        <v>0</v>
      </c>
      <c r="S1518" t="s">
        <v>89</v>
      </c>
      <c r="T1518" s="5">
        <f t="shared" si="474"/>
        <v>0</v>
      </c>
      <c r="U1518" s="5">
        <f t="shared" si="475"/>
        <v>0</v>
      </c>
      <c r="V1518" s="5">
        <f t="shared" si="476"/>
        <v>0</v>
      </c>
      <c r="W1518" s="5">
        <f t="shared" si="477"/>
        <v>0</v>
      </c>
      <c r="X1518" s="5">
        <f t="shared" si="478"/>
        <v>0</v>
      </c>
      <c r="Y1518" s="5">
        <f t="shared" si="479"/>
        <v>0</v>
      </c>
      <c r="Z1518" s="5">
        <f t="shared" si="480"/>
        <v>0</v>
      </c>
      <c r="AA1518" s="5">
        <f t="shared" si="481"/>
        <v>0</v>
      </c>
      <c r="AB1518" s="5">
        <f t="shared" si="471"/>
        <v>0</v>
      </c>
    </row>
    <row r="1519" spans="4:28" x14ac:dyDescent="0.25">
      <c r="D1519" t="s">
        <v>90</v>
      </c>
      <c r="E1519" s="64"/>
      <c r="F1519" s="64"/>
      <c r="G1519">
        <f>IFERROR(HLOOKUP(G$2,[47]table_female_hkom2_inj.unk!$A$1:$K$36,22,FALSE),0)</f>
        <v>0</v>
      </c>
      <c r="H1519">
        <f>IFERROR(HLOOKUP(H$2,[47]table_female_hkom2_inj.unk!$A$1:$K$36,22,FALSE),0)</f>
        <v>0</v>
      </c>
      <c r="I1519">
        <f>IFERROR(HLOOKUP(I$2,[47]table_female_hkom2_inj.unk!$A$1:$K$36,22,FALSE),0)</f>
        <v>0</v>
      </c>
      <c r="J1519">
        <f>IFERROR(HLOOKUP(J$2,[47]table_female_hkom2_inj.unk!$A$1:$K$36,22,FALSE),0)</f>
        <v>0</v>
      </c>
      <c r="K1519">
        <f>IFERROR(HLOOKUP(K$2,[47]table_female_hkom2_inj.unk!$A$1:$K$36,22,FALSE),0)</f>
        <v>0</v>
      </c>
      <c r="L1519">
        <f>IFERROR(HLOOKUP(L$2,[47]table_female_hkom2_inj.unk!$A$1:$K$36,22,FALSE),0)</f>
        <v>0</v>
      </c>
      <c r="M1519">
        <f t="shared" si="473"/>
        <v>0</v>
      </c>
      <c r="S1519" t="s">
        <v>90</v>
      </c>
      <c r="T1519" s="5">
        <f t="shared" si="474"/>
        <v>0</v>
      </c>
      <c r="U1519" s="5">
        <f t="shared" si="475"/>
        <v>0</v>
      </c>
      <c r="V1519" s="5">
        <f t="shared" si="476"/>
        <v>0</v>
      </c>
      <c r="W1519" s="5">
        <f t="shared" si="477"/>
        <v>0</v>
      </c>
      <c r="X1519" s="5">
        <f t="shared" si="478"/>
        <v>0</v>
      </c>
      <c r="Y1519" s="5">
        <f t="shared" si="479"/>
        <v>0</v>
      </c>
      <c r="Z1519" s="5">
        <f t="shared" si="480"/>
        <v>0</v>
      </c>
      <c r="AA1519" s="5">
        <f t="shared" si="481"/>
        <v>0</v>
      </c>
      <c r="AB1519" s="5">
        <f t="shared" si="471"/>
        <v>0</v>
      </c>
    </row>
    <row r="1520" spans="4:28" x14ac:dyDescent="0.25">
      <c r="D1520" t="s">
        <v>91</v>
      </c>
      <c r="E1520" s="64"/>
      <c r="F1520" s="64"/>
      <c r="G1520">
        <f>IFERROR(HLOOKUP(G$2,[47]table_female_hkom2_inj.unk!$A$1:$K$36,23,FALSE),0)</f>
        <v>0</v>
      </c>
      <c r="H1520">
        <f>IFERROR(HLOOKUP(H$2,[47]table_female_hkom2_inj.unk!$A$1:$K$36,23,FALSE),0)</f>
        <v>0</v>
      </c>
      <c r="I1520">
        <f>IFERROR(HLOOKUP(I$2,[47]table_female_hkom2_inj.unk!$A$1:$K$36,23,FALSE),0)</f>
        <v>0</v>
      </c>
      <c r="J1520">
        <f>IFERROR(HLOOKUP(J$2,[47]table_female_hkom2_inj.unk!$A$1:$K$36,23,FALSE),0)</f>
        <v>0</v>
      </c>
      <c r="K1520">
        <f>IFERROR(HLOOKUP(K$2,[47]table_female_hkom2_inj.unk!$A$1:$K$36,23,FALSE),0)</f>
        <v>0</v>
      </c>
      <c r="L1520">
        <f>IFERROR(HLOOKUP(L$2,[47]table_female_hkom2_inj.unk!$A$1:$K$36,23,FALSE),0)</f>
        <v>0</v>
      </c>
      <c r="M1520">
        <f t="shared" si="473"/>
        <v>0</v>
      </c>
      <c r="S1520" t="s">
        <v>91</v>
      </c>
      <c r="T1520" s="5">
        <f t="shared" si="474"/>
        <v>0</v>
      </c>
      <c r="U1520" s="5">
        <f t="shared" si="475"/>
        <v>0</v>
      </c>
      <c r="V1520" s="5">
        <f t="shared" si="476"/>
        <v>0</v>
      </c>
      <c r="W1520" s="5">
        <f t="shared" si="477"/>
        <v>0</v>
      </c>
      <c r="X1520" s="5">
        <f t="shared" si="478"/>
        <v>0</v>
      </c>
      <c r="Y1520" s="5">
        <f t="shared" si="479"/>
        <v>0</v>
      </c>
      <c r="Z1520" s="5">
        <f t="shared" si="480"/>
        <v>0</v>
      </c>
      <c r="AA1520" s="5">
        <f t="shared" si="481"/>
        <v>0</v>
      </c>
      <c r="AB1520" s="5">
        <f t="shared" si="471"/>
        <v>0</v>
      </c>
    </row>
    <row r="1521" spans="1:29" x14ac:dyDescent="0.25">
      <c r="D1521" t="s">
        <v>92</v>
      </c>
      <c r="E1521" s="64"/>
      <c r="F1521" s="64"/>
      <c r="G1521">
        <f>IFERROR(HLOOKUP(G$2,[47]table_female_hkom2_inj.unk!$A$1:$K$36,24,FALSE),0)</f>
        <v>0</v>
      </c>
      <c r="H1521">
        <f>IFERROR(HLOOKUP(H$2,[47]table_female_hkom2_inj.unk!$A$1:$K$36,24,FALSE),0)</f>
        <v>0</v>
      </c>
      <c r="I1521">
        <f>IFERROR(HLOOKUP(I$2,[47]table_female_hkom2_inj.unk!$A$1:$K$36,24,FALSE),0)</f>
        <v>0</v>
      </c>
      <c r="J1521">
        <f>IFERROR(HLOOKUP(J$2,[47]table_female_hkom2_inj.unk!$A$1:$K$36,24,FALSE),0)</f>
        <v>0</v>
      </c>
      <c r="K1521">
        <f>IFERROR(HLOOKUP(K$2,[47]table_female_hkom2_inj.unk!$A$1:$K$36,24,FALSE),0)</f>
        <v>0</v>
      </c>
      <c r="L1521">
        <f>IFERROR(HLOOKUP(L$2,[47]table_female_hkom2_inj.unk!$A$1:$K$36,24,FALSE),0)</f>
        <v>0</v>
      </c>
      <c r="M1521">
        <f t="shared" si="473"/>
        <v>0</v>
      </c>
      <c r="S1521" t="s">
        <v>92</v>
      </c>
      <c r="T1521" s="5">
        <f t="shared" si="474"/>
        <v>0</v>
      </c>
      <c r="U1521" s="5">
        <f t="shared" si="475"/>
        <v>0</v>
      </c>
      <c r="V1521" s="5">
        <f t="shared" si="476"/>
        <v>0</v>
      </c>
      <c r="W1521" s="5">
        <f t="shared" si="477"/>
        <v>0</v>
      </c>
      <c r="X1521" s="5">
        <f t="shared" si="478"/>
        <v>0</v>
      </c>
      <c r="Y1521" s="5">
        <f t="shared" si="479"/>
        <v>0</v>
      </c>
      <c r="Z1521" s="5">
        <f t="shared" si="480"/>
        <v>0</v>
      </c>
      <c r="AA1521" s="5">
        <f t="shared" si="481"/>
        <v>0</v>
      </c>
      <c r="AB1521" s="5">
        <f t="shared" si="471"/>
        <v>0</v>
      </c>
    </row>
    <row r="1522" spans="1:29" x14ac:dyDescent="0.25">
      <c r="D1522" t="s">
        <v>93</v>
      </c>
      <c r="E1522" s="64"/>
      <c r="F1522" s="64"/>
      <c r="G1522">
        <f>IFERROR(HLOOKUP(G$2,[47]table_female_hkom2_inj.unk!$A$1:$K$36,25,FALSE),0)</f>
        <v>0</v>
      </c>
      <c r="H1522">
        <f>IFERROR(HLOOKUP(H$2,[47]table_female_hkom2_inj.unk!$A$1:$K$36,25,FALSE),0)</f>
        <v>0</v>
      </c>
      <c r="I1522">
        <f>IFERROR(HLOOKUP(I$2,[47]table_female_hkom2_inj.unk!$A$1:$K$36,25,FALSE),0)</f>
        <v>0</v>
      </c>
      <c r="J1522">
        <f>IFERROR(HLOOKUP(J$2,[47]table_female_hkom2_inj.unk!$A$1:$K$36,25,FALSE),0)</f>
        <v>0</v>
      </c>
      <c r="K1522">
        <f>IFERROR(HLOOKUP(K$2,[47]table_female_hkom2_inj.unk!$A$1:$K$36,25,FALSE),0)</f>
        <v>0</v>
      </c>
      <c r="L1522">
        <f>IFERROR(HLOOKUP(L$2,[47]table_female_hkom2_inj.unk!$A$1:$K$36,25,FALSE),0)</f>
        <v>0</v>
      </c>
      <c r="M1522">
        <f t="shared" si="473"/>
        <v>0</v>
      </c>
      <c r="S1522" t="s">
        <v>93</v>
      </c>
      <c r="T1522" s="5">
        <f t="shared" si="474"/>
        <v>0</v>
      </c>
      <c r="U1522" s="5">
        <f t="shared" si="475"/>
        <v>0</v>
      </c>
      <c r="V1522" s="5">
        <f t="shared" si="476"/>
        <v>0</v>
      </c>
      <c r="W1522" s="5">
        <f t="shared" si="477"/>
        <v>0</v>
      </c>
      <c r="X1522" s="5">
        <f t="shared" si="478"/>
        <v>0</v>
      </c>
      <c r="Y1522" s="5">
        <f t="shared" si="479"/>
        <v>0</v>
      </c>
      <c r="Z1522" s="5">
        <f t="shared" si="480"/>
        <v>0</v>
      </c>
      <c r="AA1522" s="5">
        <f t="shared" si="481"/>
        <v>0</v>
      </c>
      <c r="AB1522" s="5">
        <f t="shared" si="471"/>
        <v>0</v>
      </c>
    </row>
    <row r="1523" spans="1:29" x14ac:dyDescent="0.25">
      <c r="D1523" t="s">
        <v>94</v>
      </c>
      <c r="E1523" s="64"/>
      <c r="F1523" s="64"/>
      <c r="G1523">
        <f>IFERROR(HLOOKUP(G$2,[47]table_female_hkom2_inj.unk!$A$1:$K$36,26,FALSE),0)</f>
        <v>0</v>
      </c>
      <c r="H1523">
        <f>IFERROR(HLOOKUP(H$2,[47]table_female_hkom2_inj.unk!$A$1:$K$36,26,FALSE),0)</f>
        <v>0</v>
      </c>
      <c r="I1523">
        <f>IFERROR(HLOOKUP(I$2,[47]table_female_hkom2_inj.unk!$A$1:$K$36,26,FALSE),0)</f>
        <v>0</v>
      </c>
      <c r="J1523">
        <f>IFERROR(HLOOKUP(J$2,[47]table_female_hkom2_inj.unk!$A$1:$K$36,26,FALSE),0)</f>
        <v>0</v>
      </c>
      <c r="K1523">
        <f>IFERROR(HLOOKUP(K$2,[47]table_female_hkom2_inj.unk!$A$1:$K$36,26,FALSE),0)</f>
        <v>0</v>
      </c>
      <c r="L1523">
        <f>IFERROR(HLOOKUP(L$2,[47]table_female_hkom2_inj.unk!$A$1:$K$36,26,FALSE),0)</f>
        <v>0</v>
      </c>
      <c r="M1523">
        <f t="shared" si="473"/>
        <v>0</v>
      </c>
      <c r="S1523" t="s">
        <v>94</v>
      </c>
      <c r="T1523" s="5">
        <f t="shared" si="474"/>
        <v>0</v>
      </c>
      <c r="U1523" s="5">
        <f t="shared" si="475"/>
        <v>0</v>
      </c>
      <c r="V1523" s="5">
        <f t="shared" si="476"/>
        <v>0</v>
      </c>
      <c r="W1523" s="5">
        <f t="shared" si="477"/>
        <v>0</v>
      </c>
      <c r="X1523" s="5">
        <f t="shared" si="478"/>
        <v>0</v>
      </c>
      <c r="Y1523" s="5">
        <f t="shared" si="479"/>
        <v>0</v>
      </c>
      <c r="Z1523" s="5">
        <f t="shared" si="480"/>
        <v>0</v>
      </c>
      <c r="AA1523" s="5">
        <f t="shared" si="481"/>
        <v>0</v>
      </c>
      <c r="AB1523" s="5">
        <f t="shared" si="471"/>
        <v>0</v>
      </c>
    </row>
    <row r="1524" spans="1:29" x14ac:dyDescent="0.25">
      <c r="D1524" t="s">
        <v>95</v>
      </c>
      <c r="E1524" s="64"/>
      <c r="F1524" s="64"/>
      <c r="G1524">
        <f>IFERROR(HLOOKUP(G$2,[47]table_female_hkom2_inj.unk!$A$1:$K$36,27,FALSE),0)</f>
        <v>0</v>
      </c>
      <c r="H1524">
        <f>IFERROR(HLOOKUP(H$2,[47]table_female_hkom2_inj.unk!$A$1:$K$36,27,FALSE),0)</f>
        <v>0</v>
      </c>
      <c r="I1524">
        <f>IFERROR(HLOOKUP(I$2,[47]table_female_hkom2_inj.unk!$A$1:$K$36,27,FALSE),0)</f>
        <v>0</v>
      </c>
      <c r="J1524">
        <f>IFERROR(HLOOKUP(J$2,[47]table_female_hkom2_inj.unk!$A$1:$K$36,27,FALSE),0)</f>
        <v>0</v>
      </c>
      <c r="K1524">
        <f>IFERROR(HLOOKUP(K$2,[47]table_female_hkom2_inj.unk!$A$1:$K$36,27,FALSE),0)</f>
        <v>0</v>
      </c>
      <c r="L1524">
        <f>IFERROR(HLOOKUP(L$2,[47]table_female_hkom2_inj.unk!$A$1:$K$36,27,FALSE),0)</f>
        <v>0</v>
      </c>
      <c r="M1524">
        <f t="shared" si="473"/>
        <v>0</v>
      </c>
      <c r="S1524" t="s">
        <v>95</v>
      </c>
      <c r="T1524" s="5">
        <f t="shared" si="474"/>
        <v>0</v>
      </c>
      <c r="U1524" s="5">
        <f t="shared" si="475"/>
        <v>0</v>
      </c>
      <c r="V1524" s="5">
        <f t="shared" si="476"/>
        <v>0</v>
      </c>
      <c r="W1524" s="5">
        <f t="shared" si="477"/>
        <v>0</v>
      </c>
      <c r="X1524" s="5">
        <f t="shared" si="478"/>
        <v>0</v>
      </c>
      <c r="Y1524" s="5">
        <f t="shared" si="479"/>
        <v>0</v>
      </c>
      <c r="Z1524" s="5">
        <f t="shared" si="480"/>
        <v>0</v>
      </c>
      <c r="AA1524" s="5">
        <f t="shared" si="481"/>
        <v>0</v>
      </c>
      <c r="AB1524" s="5">
        <f t="shared" si="471"/>
        <v>0</v>
      </c>
    </row>
    <row r="1525" spans="1:29" x14ac:dyDescent="0.25">
      <c r="D1525" t="s">
        <v>96</v>
      </c>
      <c r="E1525" s="64"/>
      <c r="F1525" s="64"/>
      <c r="G1525">
        <f>IFERROR(HLOOKUP(G$2,[47]table_female_hkom2_inj.unk!$A$1:$K$36,28,FALSE),0)</f>
        <v>0</v>
      </c>
      <c r="H1525">
        <f>IFERROR(HLOOKUP(H$2,[47]table_female_hkom2_inj.unk!$A$1:$K$36,28,FALSE),0)</f>
        <v>0</v>
      </c>
      <c r="I1525">
        <f>IFERROR(HLOOKUP(I$2,[47]table_female_hkom2_inj.unk!$A$1:$K$36,28,FALSE),0)</f>
        <v>0</v>
      </c>
      <c r="J1525">
        <f>IFERROR(HLOOKUP(J$2,[47]table_female_hkom2_inj.unk!$A$1:$K$36,28,FALSE),0)</f>
        <v>0</v>
      </c>
      <c r="K1525">
        <f>IFERROR(HLOOKUP(K$2,[47]table_female_hkom2_inj.unk!$A$1:$K$36,28,FALSE),0)</f>
        <v>0</v>
      </c>
      <c r="L1525">
        <f>IFERROR(HLOOKUP(L$2,[47]table_female_hkom2_inj.unk!$A$1:$K$36,28,FALSE),0)</f>
        <v>0</v>
      </c>
      <c r="M1525">
        <f t="shared" si="473"/>
        <v>0</v>
      </c>
      <c r="S1525" t="s">
        <v>96</v>
      </c>
      <c r="T1525" s="5">
        <f t="shared" si="474"/>
        <v>0</v>
      </c>
      <c r="U1525" s="5">
        <f t="shared" si="475"/>
        <v>0</v>
      </c>
      <c r="V1525" s="5">
        <f t="shared" si="476"/>
        <v>0</v>
      </c>
      <c r="W1525" s="5">
        <f t="shared" si="477"/>
        <v>0</v>
      </c>
      <c r="X1525" s="5">
        <f t="shared" si="478"/>
        <v>0</v>
      </c>
      <c r="Y1525" s="5">
        <f t="shared" si="479"/>
        <v>0</v>
      </c>
      <c r="Z1525" s="5">
        <f t="shared" si="480"/>
        <v>0</v>
      </c>
      <c r="AA1525" s="5">
        <f t="shared" si="481"/>
        <v>0</v>
      </c>
      <c r="AB1525" s="5">
        <f t="shared" si="471"/>
        <v>0</v>
      </c>
    </row>
    <row r="1526" spans="1:29" x14ac:dyDescent="0.25">
      <c r="D1526" t="s">
        <v>97</v>
      </c>
      <c r="E1526" s="64"/>
      <c r="F1526" s="64"/>
      <c r="G1526">
        <f>IFERROR(HLOOKUP(G$2,[47]table_female_hkom2_inj.unk!$A$1:$K$36,29,FALSE),0)</f>
        <v>0</v>
      </c>
      <c r="H1526">
        <f>IFERROR(HLOOKUP(H$2,[47]table_female_hkom2_inj.unk!$A$1:$K$36,29,FALSE),0)</f>
        <v>0</v>
      </c>
      <c r="I1526">
        <f>IFERROR(HLOOKUP(I$2,[47]table_female_hkom2_inj.unk!$A$1:$K$36,29,FALSE),0)</f>
        <v>0</v>
      </c>
      <c r="J1526">
        <f>IFERROR(HLOOKUP(J$2,[47]table_female_hkom2_inj.unk!$A$1:$K$36,29,FALSE),0)</f>
        <v>0</v>
      </c>
      <c r="K1526">
        <f>IFERROR(HLOOKUP(K$2,[47]table_female_hkom2_inj.unk!$A$1:$K$36,29,FALSE),0)</f>
        <v>0</v>
      </c>
      <c r="L1526">
        <f>IFERROR(HLOOKUP(L$2,[47]table_female_hkom2_inj.unk!$A$1:$K$36,29,FALSE),0)</f>
        <v>0</v>
      </c>
      <c r="M1526">
        <f t="shared" si="473"/>
        <v>0</v>
      </c>
      <c r="S1526" t="s">
        <v>97</v>
      </c>
      <c r="T1526" s="5">
        <f t="shared" si="474"/>
        <v>0</v>
      </c>
      <c r="U1526" s="5">
        <f t="shared" si="475"/>
        <v>0</v>
      </c>
      <c r="V1526" s="5">
        <f t="shared" si="476"/>
        <v>0</v>
      </c>
      <c r="W1526" s="5">
        <f t="shared" si="477"/>
        <v>0</v>
      </c>
      <c r="X1526" s="5">
        <f t="shared" si="478"/>
        <v>0</v>
      </c>
      <c r="Y1526" s="5">
        <f t="shared" si="479"/>
        <v>0</v>
      </c>
      <c r="Z1526" s="5">
        <f t="shared" si="480"/>
        <v>0</v>
      </c>
      <c r="AA1526" s="5">
        <f t="shared" si="481"/>
        <v>0</v>
      </c>
      <c r="AB1526" s="5">
        <f t="shared" si="471"/>
        <v>0</v>
      </c>
    </row>
    <row r="1527" spans="1:29" x14ac:dyDescent="0.25">
      <c r="D1527" t="s">
        <v>98</v>
      </c>
      <c r="E1527" s="64"/>
      <c r="F1527" s="64"/>
      <c r="G1527">
        <f>IFERROR(HLOOKUP(G$2,[47]table_female_hkom2_inj.unk!$A$1:$K$36,30,FALSE),0)</f>
        <v>0</v>
      </c>
      <c r="H1527">
        <f>IFERROR(HLOOKUP(H$2,[47]table_female_hkom2_inj.unk!$A$1:$K$36,30,FALSE),0)</f>
        <v>0</v>
      </c>
      <c r="I1527">
        <f>IFERROR(HLOOKUP(I$2,[47]table_female_hkom2_inj.unk!$A$1:$K$36,30,FALSE),0)</f>
        <v>0</v>
      </c>
      <c r="J1527">
        <f>IFERROR(HLOOKUP(J$2,[47]table_female_hkom2_inj.unk!$A$1:$K$36,30,FALSE),0)</f>
        <v>0</v>
      </c>
      <c r="K1527">
        <f>IFERROR(HLOOKUP(K$2,[47]table_female_hkom2_inj.unk!$A$1:$K$36,30,FALSE),0)</f>
        <v>0</v>
      </c>
      <c r="L1527">
        <f>IFERROR(HLOOKUP(L$2,[47]table_female_hkom2_inj.unk!$A$1:$K$36,30,FALSE),0)</f>
        <v>0</v>
      </c>
      <c r="M1527">
        <f t="shared" si="473"/>
        <v>0</v>
      </c>
      <c r="S1527" t="s">
        <v>98</v>
      </c>
      <c r="T1527" s="5">
        <f t="shared" si="474"/>
        <v>0</v>
      </c>
      <c r="U1527" s="5">
        <f t="shared" si="475"/>
        <v>0</v>
      </c>
      <c r="V1527" s="5">
        <f t="shared" si="476"/>
        <v>0</v>
      </c>
      <c r="W1527" s="5">
        <f t="shared" si="477"/>
        <v>0</v>
      </c>
      <c r="X1527" s="5">
        <f t="shared" si="478"/>
        <v>0</v>
      </c>
      <c r="Y1527" s="5">
        <f t="shared" si="479"/>
        <v>0</v>
      </c>
      <c r="Z1527" s="5">
        <f t="shared" si="480"/>
        <v>0</v>
      </c>
      <c r="AA1527" s="5">
        <f t="shared" si="481"/>
        <v>0</v>
      </c>
      <c r="AB1527" s="5">
        <f t="shared" si="471"/>
        <v>0</v>
      </c>
    </row>
    <row r="1528" spans="1:29" x14ac:dyDescent="0.25">
      <c r="D1528" t="s">
        <v>119</v>
      </c>
      <c r="E1528" s="64"/>
      <c r="F1528" s="64"/>
      <c r="G1528">
        <f>IFERROR(HLOOKUP(G$2,[47]table_female_hkom2_inj.unk!$A$1:$K$36,31,FALSE),0)</f>
        <v>0</v>
      </c>
      <c r="H1528">
        <f>IFERROR(HLOOKUP(H$2,[47]table_female_hkom2_inj.unk!$A$1:$K$36,31,FALSE),0)</f>
        <v>0</v>
      </c>
      <c r="I1528">
        <f>IFERROR(HLOOKUP(I$2,[47]table_female_hkom2_inj.unk!$A$1:$K$36,31,FALSE),0)</f>
        <v>0</v>
      </c>
      <c r="J1528">
        <f>IFERROR(HLOOKUP(J$2,[47]table_female_hkom2_inj.unk!$A$1:$K$36,31,FALSE),0)</f>
        <v>0</v>
      </c>
      <c r="K1528">
        <f>IFERROR(HLOOKUP(K$2,[47]table_female_hkom2_inj.unk!$A$1:$K$36,31,FALSE),0)</f>
        <v>0</v>
      </c>
      <c r="L1528">
        <f>IFERROR(HLOOKUP(L$2,[47]table_female_hkom2_inj.unk!$A$1:$K$36,31,FALSE),0)</f>
        <v>0</v>
      </c>
      <c r="M1528">
        <f t="shared" si="473"/>
        <v>0</v>
      </c>
      <c r="S1528" t="s">
        <v>119</v>
      </c>
      <c r="T1528" s="5">
        <f t="shared" si="474"/>
        <v>0</v>
      </c>
      <c r="U1528" s="5">
        <f t="shared" si="475"/>
        <v>0</v>
      </c>
      <c r="V1528" s="5">
        <f t="shared" si="476"/>
        <v>0</v>
      </c>
      <c r="W1528" s="5">
        <f t="shared" si="477"/>
        <v>0</v>
      </c>
      <c r="X1528" s="5">
        <f t="shared" si="478"/>
        <v>0</v>
      </c>
      <c r="Y1528" s="5">
        <f t="shared" si="479"/>
        <v>0</v>
      </c>
      <c r="Z1528" s="5">
        <f t="shared" si="480"/>
        <v>0</v>
      </c>
      <c r="AA1528" s="5">
        <f t="shared" si="481"/>
        <v>0</v>
      </c>
      <c r="AB1528" s="5">
        <f t="shared" si="471"/>
        <v>0</v>
      </c>
    </row>
    <row r="1529" spans="1:29" x14ac:dyDescent="0.25">
      <c r="D1529" t="s">
        <v>99</v>
      </c>
      <c r="E1529" s="64"/>
      <c r="F1529" s="64"/>
      <c r="G1529">
        <f>IFERROR(HLOOKUP(G$2,[47]table_female_hkom2_inj.unk!$A$1:$K$36,32,FALSE),0)</f>
        <v>0</v>
      </c>
      <c r="H1529">
        <f>IFERROR(HLOOKUP(H$2,[47]table_female_hkom2_inj.unk!$A$1:$K$36,32,FALSE),0)</f>
        <v>0</v>
      </c>
      <c r="I1529">
        <f>IFERROR(HLOOKUP(I$2,[47]table_female_hkom2_inj.unk!$A$1:$K$36,32,FALSE),0)</f>
        <v>0</v>
      </c>
      <c r="J1529">
        <f>IFERROR(HLOOKUP(J$2,[47]table_female_hkom2_inj.unk!$A$1:$K$36,32,FALSE),0)</f>
        <v>0</v>
      </c>
      <c r="K1529">
        <f>IFERROR(HLOOKUP(K$2,[47]table_female_hkom2_inj.unk!$A$1:$K$36,32,FALSE),0)</f>
        <v>0</v>
      </c>
      <c r="L1529">
        <f>IFERROR(HLOOKUP(L$2,[47]table_female_hkom2_inj.unk!$A$1:$K$36,32,FALSE),0)</f>
        <v>0</v>
      </c>
      <c r="M1529">
        <f t="shared" si="473"/>
        <v>0</v>
      </c>
      <c r="S1529" t="s">
        <v>99</v>
      </c>
      <c r="T1529" s="5">
        <f t="shared" si="474"/>
        <v>0</v>
      </c>
      <c r="U1529" s="5">
        <f t="shared" si="475"/>
        <v>0</v>
      </c>
      <c r="V1529" s="5">
        <f t="shared" si="476"/>
        <v>0</v>
      </c>
      <c r="W1529" s="5">
        <f t="shared" si="477"/>
        <v>0</v>
      </c>
      <c r="X1529" s="5">
        <f t="shared" si="478"/>
        <v>0</v>
      </c>
      <c r="Y1529" s="5">
        <f t="shared" si="479"/>
        <v>0</v>
      </c>
      <c r="Z1529" s="5">
        <f t="shared" si="480"/>
        <v>0</v>
      </c>
      <c r="AA1529" s="5">
        <f t="shared" si="481"/>
        <v>0</v>
      </c>
      <c r="AB1529" s="5">
        <f t="shared" si="471"/>
        <v>0</v>
      </c>
    </row>
    <row r="1530" spans="1:29" x14ac:dyDescent="0.25">
      <c r="D1530" t="s">
        <v>100</v>
      </c>
      <c r="E1530" s="64"/>
      <c r="F1530" s="64"/>
      <c r="G1530">
        <f>IFERROR(HLOOKUP(G$2,[47]table_female_hkom2_inj.unk!$A$1:$K$36,33,FALSE),0)</f>
        <v>0</v>
      </c>
      <c r="H1530">
        <f>IFERROR(HLOOKUP(H$2,[47]table_female_hkom2_inj.unk!$A$1:$K$36,33,FALSE),0)</f>
        <v>0</v>
      </c>
      <c r="I1530">
        <f>IFERROR(HLOOKUP(I$2,[47]table_female_hkom2_inj.unk!$A$1:$K$36,33,FALSE),0)</f>
        <v>0</v>
      </c>
      <c r="J1530">
        <f>IFERROR(HLOOKUP(J$2,[47]table_female_hkom2_inj.unk!$A$1:$K$36,33,FALSE),0)</f>
        <v>0</v>
      </c>
      <c r="K1530">
        <f>IFERROR(HLOOKUP(K$2,[47]table_female_hkom2_inj.unk!$A$1:$K$36,33,FALSE),0)</f>
        <v>0</v>
      </c>
      <c r="L1530">
        <f>IFERROR(HLOOKUP(L$2,[47]table_female_hkom2_inj.unk!$A$1:$K$36,33,FALSE),0)</f>
        <v>0</v>
      </c>
      <c r="M1530">
        <f t="shared" si="473"/>
        <v>0</v>
      </c>
      <c r="S1530" t="s">
        <v>100</v>
      </c>
      <c r="T1530" s="5">
        <f t="shared" si="474"/>
        <v>0</v>
      </c>
      <c r="U1530" s="5">
        <f t="shared" si="475"/>
        <v>0</v>
      </c>
      <c r="V1530" s="5">
        <f t="shared" si="476"/>
        <v>0</v>
      </c>
      <c r="W1530" s="5">
        <f t="shared" si="477"/>
        <v>0</v>
      </c>
      <c r="X1530" s="5">
        <f t="shared" si="478"/>
        <v>0</v>
      </c>
      <c r="Y1530" s="5">
        <f t="shared" si="479"/>
        <v>0</v>
      </c>
      <c r="Z1530" s="5">
        <f t="shared" si="480"/>
        <v>0</v>
      </c>
      <c r="AA1530" s="5">
        <f t="shared" si="481"/>
        <v>0</v>
      </c>
      <c r="AB1530" s="5">
        <f t="shared" si="471"/>
        <v>0</v>
      </c>
    </row>
    <row r="1531" spans="1:29" x14ac:dyDescent="0.25">
      <c r="D1531" t="s">
        <v>101</v>
      </c>
      <c r="E1531" s="64"/>
      <c r="F1531" s="64"/>
      <c r="G1531">
        <f>IFERROR(HLOOKUP(G$2,[47]table_female_hkom2_inj.unk!$A$1:$K$36,34,FALSE),0)</f>
        <v>0</v>
      </c>
      <c r="H1531">
        <f>IFERROR(HLOOKUP(H$2,[47]table_female_hkom2_inj.unk!$A$1:$K$36,34,FALSE),0)</f>
        <v>0</v>
      </c>
      <c r="I1531">
        <f>IFERROR(HLOOKUP(I$2,[47]table_female_hkom2_inj.unk!$A$1:$K$36,34,FALSE),0)</f>
        <v>0</v>
      </c>
      <c r="J1531">
        <f>IFERROR(HLOOKUP(J$2,[47]table_female_hkom2_inj.unk!$A$1:$K$36,34,FALSE),0)</f>
        <v>0</v>
      </c>
      <c r="K1531">
        <f>IFERROR(HLOOKUP(K$2,[47]table_female_hkom2_inj.unk!$A$1:$K$36,34,FALSE),0)</f>
        <v>0</v>
      </c>
      <c r="L1531">
        <f>IFERROR(HLOOKUP(L$2,[47]table_female_hkom2_inj.unk!$A$1:$K$36,34,FALSE),0)</f>
        <v>0</v>
      </c>
      <c r="M1531">
        <f t="shared" si="473"/>
        <v>0</v>
      </c>
      <c r="S1531" t="s">
        <v>101</v>
      </c>
      <c r="T1531" s="5">
        <f t="shared" si="474"/>
        <v>0</v>
      </c>
      <c r="U1531" s="5">
        <f t="shared" si="475"/>
        <v>0</v>
      </c>
      <c r="V1531" s="5">
        <f t="shared" si="476"/>
        <v>0</v>
      </c>
      <c r="W1531" s="5">
        <f t="shared" si="477"/>
        <v>0</v>
      </c>
      <c r="X1531" s="5">
        <f t="shared" si="478"/>
        <v>0</v>
      </c>
      <c r="Y1531" s="5">
        <f t="shared" si="479"/>
        <v>0</v>
      </c>
      <c r="Z1531" s="5">
        <f t="shared" si="480"/>
        <v>0</v>
      </c>
      <c r="AA1531" s="5">
        <f t="shared" si="481"/>
        <v>0</v>
      </c>
      <c r="AB1531" s="5">
        <f t="shared" si="471"/>
        <v>0</v>
      </c>
    </row>
    <row r="1532" spans="1:29" x14ac:dyDescent="0.25">
      <c r="D1532" t="s">
        <v>102</v>
      </c>
      <c r="E1532" s="64"/>
      <c r="F1532" s="64"/>
      <c r="G1532">
        <f>IFERROR(HLOOKUP(G$2,[47]table_female_hkom2_inj.unk!$A$1:$K$36,35,FALSE),0)</f>
        <v>0</v>
      </c>
      <c r="H1532">
        <f>IFERROR(HLOOKUP(H$2,[47]table_female_hkom2_inj.unk!$A$1:$K$36,35,FALSE),0)</f>
        <v>0</v>
      </c>
      <c r="I1532">
        <f>IFERROR(HLOOKUP(I$2,[47]table_female_hkom2_inj.unk!$A$1:$K$36,35,FALSE),0)</f>
        <v>0</v>
      </c>
      <c r="J1532">
        <f>IFERROR(HLOOKUP(J$2,[47]table_female_hkom2_inj.unk!$A$1:$K$36,35,FALSE),0)</f>
        <v>0</v>
      </c>
      <c r="K1532">
        <f>IFERROR(HLOOKUP(K$2,[47]table_female_hkom2_inj.unk!$A$1:$K$36,35,FALSE),0)</f>
        <v>0</v>
      </c>
      <c r="L1532">
        <f>IFERROR(HLOOKUP(L$2,[47]table_female_hkom2_inj.unk!$A$1:$K$36,35,FALSE),0)</f>
        <v>0</v>
      </c>
      <c r="M1532">
        <f t="shared" si="473"/>
        <v>0</v>
      </c>
      <c r="N1532">
        <f>SUM(M1499:M1532)</f>
        <v>0</v>
      </c>
      <c r="O1532" s="8">
        <f>SUM([47]table_female_hkom2_inj.unk!$B$2:$L$36)</f>
        <v>0</v>
      </c>
      <c r="S1532" t="s">
        <v>102</v>
      </c>
      <c r="T1532" s="7"/>
      <c r="U1532" s="7"/>
      <c r="V1532" s="7"/>
      <c r="W1532" s="7"/>
      <c r="X1532" s="7"/>
      <c r="Y1532" s="7"/>
      <c r="Z1532" s="7"/>
      <c r="AA1532" s="7"/>
      <c r="AB1532" s="5">
        <f t="shared" si="471"/>
        <v>0</v>
      </c>
      <c r="AC1532" s="5">
        <f>SUM(AB1499:AB1531)</f>
        <v>0</v>
      </c>
    </row>
    <row r="1533" spans="1:29" x14ac:dyDescent="0.25">
      <c r="A1533" t="s">
        <v>115</v>
      </c>
      <c r="B1533" t="s">
        <v>116</v>
      </c>
      <c r="C1533" t="s">
        <v>105</v>
      </c>
      <c r="D1533" t="s">
        <v>70</v>
      </c>
      <c r="E1533" s="64"/>
      <c r="F1533" s="64"/>
      <c r="G1533">
        <f>IFERROR(HLOOKUP(G$2,[48]table_female_hkom2_inj.V1!$A$1:$K$36,2,FALSE),0)</f>
        <v>0</v>
      </c>
      <c r="H1533">
        <f>IFERROR(HLOOKUP(H$2,[48]table_female_hkom2_inj.V1!$A$1:$K$36,2,FALSE),0)</f>
        <v>0</v>
      </c>
      <c r="I1533">
        <f>IFERROR(HLOOKUP(I$2,[48]table_female_hkom2_inj.V1!$A$1:$K$36,2,FALSE),0)</f>
        <v>0</v>
      </c>
      <c r="J1533">
        <f>IFERROR(HLOOKUP(J$2,[48]table_female_hkom2_inj.V1!$A$1:$K$36,2,FALSE),0)</f>
        <v>0</v>
      </c>
      <c r="K1533">
        <f>IFERROR(HLOOKUP(K$2,[48]table_female_hkom2_inj.V1!$A$1:$K$36,2,FALSE),0)</f>
        <v>0</v>
      </c>
      <c r="L1533">
        <f>IFERROR(HLOOKUP(L$2,[48]table_female_hkom2_inj.V1!$A$1:$K$36,2,FALSE),0)</f>
        <v>0</v>
      </c>
      <c r="M1533">
        <f>SUM(E1533:L1533)</f>
        <v>0</v>
      </c>
      <c r="P1533" t="s">
        <v>115</v>
      </c>
      <c r="Q1533" t="s">
        <v>116</v>
      </c>
      <c r="R1533" t="s">
        <v>105</v>
      </c>
      <c r="S1533" t="s">
        <v>70</v>
      </c>
      <c r="T1533" s="5">
        <f>IF(SUM(E$1533:E$1565)=0,E$1566/33,E1533+IFERROR(E1533/SUM(E$1533:E$1565)*E$1566,0))</f>
        <v>0</v>
      </c>
      <c r="U1533" s="5">
        <f t="shared" ref="U1533:AA1533" si="482">IF(SUM(F$1533:F$1565)=0,F$1566/33,F1533+IFERROR(F1533/SUM(F$1533:F$1565)*F$1566,0))</f>
        <v>0</v>
      </c>
      <c r="V1533" s="5">
        <f t="shared" si="482"/>
        <v>0</v>
      </c>
      <c r="W1533" s="5">
        <f t="shared" si="482"/>
        <v>0</v>
      </c>
      <c r="X1533" s="5">
        <f t="shared" si="482"/>
        <v>0</v>
      </c>
      <c r="Y1533" s="5">
        <f t="shared" si="482"/>
        <v>0</v>
      </c>
      <c r="Z1533" s="5">
        <f t="shared" si="482"/>
        <v>0</v>
      </c>
      <c r="AA1533" s="5">
        <f t="shared" si="482"/>
        <v>0</v>
      </c>
      <c r="AB1533" s="5">
        <f t="shared" si="471"/>
        <v>0</v>
      </c>
    </row>
    <row r="1534" spans="1:29" x14ac:dyDescent="0.25">
      <c r="D1534" t="s">
        <v>71</v>
      </c>
      <c r="E1534" s="64"/>
      <c r="F1534" s="64"/>
      <c r="G1534">
        <f>IFERROR(HLOOKUP(G$2,[48]table_female_hkom2_inj.V1!$A$1:$K$36,3,FALSE),0)</f>
        <v>0</v>
      </c>
      <c r="H1534">
        <f>IFERROR(HLOOKUP(H$2,[48]table_female_hkom2_inj.V1!$A$1:$K$36,3,FALSE),0)</f>
        <v>0</v>
      </c>
      <c r="I1534">
        <f>IFERROR(HLOOKUP(I$2,[48]table_female_hkom2_inj.V1!$A$1:$K$36,3,FALSE),0)</f>
        <v>0</v>
      </c>
      <c r="J1534">
        <f>IFERROR(HLOOKUP(J$2,[48]table_female_hkom2_inj.V1!$A$1:$K$36,3,FALSE),0)</f>
        <v>0</v>
      </c>
      <c r="K1534">
        <f>IFERROR(HLOOKUP(K$2,[48]table_female_hkom2_inj.V1!$A$1:$K$36,3,FALSE),0)</f>
        <v>0</v>
      </c>
      <c r="L1534">
        <f>IFERROR(HLOOKUP(L$2,[48]table_female_hkom2_inj.V1!$A$1:$K$36,3,FALSE),0)</f>
        <v>0</v>
      </c>
      <c r="M1534">
        <f t="shared" ref="M1534:M1566" si="483">SUM(E1534:L1534)</f>
        <v>0</v>
      </c>
      <c r="S1534" t="s">
        <v>71</v>
      </c>
      <c r="T1534" s="5">
        <f t="shared" ref="T1534:T1565" si="484">IF(SUM(E$1533:E$1565)=0,E$1566/33,E1534+IFERROR(E1534/SUM(E$1533:E$1565)*E$1566,0))</f>
        <v>0</v>
      </c>
      <c r="U1534" s="5">
        <f t="shared" ref="U1534:U1565" si="485">IF(SUM(F$1533:F$1565)=0,F$1566/33,F1534+IFERROR(F1534/SUM(F$1533:F$1565)*F$1566,0))</f>
        <v>0</v>
      </c>
      <c r="V1534" s="5">
        <f t="shared" ref="V1534:V1565" si="486">IF(SUM(G$1533:G$1565)=0,G$1566/33,G1534+IFERROR(G1534/SUM(G$1533:G$1565)*G$1566,0))</f>
        <v>0</v>
      </c>
      <c r="W1534" s="5">
        <f t="shared" ref="W1534:W1565" si="487">IF(SUM(H$1533:H$1565)=0,H$1566/33,H1534+IFERROR(H1534/SUM(H$1533:H$1565)*H$1566,0))</f>
        <v>0</v>
      </c>
      <c r="X1534" s="5">
        <f t="shared" ref="X1534:X1565" si="488">IF(SUM(I$1533:I$1565)=0,I$1566/33,I1534+IFERROR(I1534/SUM(I$1533:I$1565)*I$1566,0))</f>
        <v>0</v>
      </c>
      <c r="Y1534" s="5">
        <f t="shared" ref="Y1534:Y1565" si="489">IF(SUM(J$1533:J$1565)=0,J$1566/33,J1534+IFERROR(J1534/SUM(J$1533:J$1565)*J$1566,0))</f>
        <v>0</v>
      </c>
      <c r="Z1534" s="5">
        <f t="shared" ref="Z1534:Z1565" si="490">IF(SUM(K$1533:K$1565)=0,K$1566/33,K1534+IFERROR(K1534/SUM(K$1533:K$1565)*K$1566,0))</f>
        <v>0</v>
      </c>
      <c r="AA1534" s="5">
        <f t="shared" ref="AA1534:AA1565" si="491">IF(SUM(L$1533:L$1565)=0,L$1566/33,L1534+IFERROR(L1534/SUM(L$1533:L$1565)*L$1566,0))</f>
        <v>0</v>
      </c>
      <c r="AB1534" s="5">
        <f t="shared" si="471"/>
        <v>0</v>
      </c>
    </row>
    <row r="1535" spans="1:29" x14ac:dyDescent="0.25">
      <c r="D1535" t="s">
        <v>72</v>
      </c>
      <c r="E1535" s="64"/>
      <c r="F1535" s="64"/>
      <c r="G1535">
        <f>IFERROR(HLOOKUP(G$2,[48]table_female_hkom2_inj.V1!$A$1:$K$36,4,FALSE),0)</f>
        <v>0</v>
      </c>
      <c r="H1535">
        <f>IFERROR(HLOOKUP(H$2,[48]table_female_hkom2_inj.V1!$A$1:$K$36,4,FALSE),0)</f>
        <v>0</v>
      </c>
      <c r="I1535">
        <f>IFERROR(HLOOKUP(I$2,[48]table_female_hkom2_inj.V1!$A$1:$K$36,4,FALSE),0)</f>
        <v>0</v>
      </c>
      <c r="J1535">
        <f>IFERROR(HLOOKUP(J$2,[48]table_female_hkom2_inj.V1!$A$1:$K$36,4,FALSE),0)</f>
        <v>0</v>
      </c>
      <c r="K1535">
        <f>IFERROR(HLOOKUP(K$2,[48]table_female_hkom2_inj.V1!$A$1:$K$36,4,FALSE),0)</f>
        <v>0</v>
      </c>
      <c r="L1535">
        <f>IFERROR(HLOOKUP(L$2,[48]table_female_hkom2_inj.V1!$A$1:$K$36,4,FALSE),0)</f>
        <v>0</v>
      </c>
      <c r="M1535">
        <f t="shared" si="483"/>
        <v>0</v>
      </c>
      <c r="S1535" t="s">
        <v>72</v>
      </c>
      <c r="T1535" s="5">
        <f t="shared" si="484"/>
        <v>0</v>
      </c>
      <c r="U1535" s="5">
        <f t="shared" si="485"/>
        <v>0</v>
      </c>
      <c r="V1535" s="5">
        <f t="shared" si="486"/>
        <v>0</v>
      </c>
      <c r="W1535" s="5">
        <f t="shared" si="487"/>
        <v>0</v>
      </c>
      <c r="X1535" s="5">
        <f t="shared" si="488"/>
        <v>0</v>
      </c>
      <c r="Y1535" s="5">
        <f t="shared" si="489"/>
        <v>0</v>
      </c>
      <c r="Z1535" s="5">
        <f t="shared" si="490"/>
        <v>0</v>
      </c>
      <c r="AA1535" s="5">
        <f t="shared" si="491"/>
        <v>0</v>
      </c>
      <c r="AB1535" s="5">
        <f t="shared" si="471"/>
        <v>0</v>
      </c>
    </row>
    <row r="1536" spans="1:29" x14ac:dyDescent="0.25">
      <c r="D1536" t="s">
        <v>73</v>
      </c>
      <c r="E1536" s="64"/>
      <c r="F1536" s="64"/>
      <c r="G1536">
        <f>IFERROR(HLOOKUP(G$2,[48]table_female_hkom2_inj.V1!$A$1:$K$36,5,FALSE),0)</f>
        <v>0</v>
      </c>
      <c r="H1536">
        <f>IFERROR(HLOOKUP(H$2,[48]table_female_hkom2_inj.V1!$A$1:$K$36,5,FALSE),0)</f>
        <v>0</v>
      </c>
      <c r="I1536">
        <f>IFERROR(HLOOKUP(I$2,[48]table_female_hkom2_inj.V1!$A$1:$K$36,5,FALSE),0)</f>
        <v>0</v>
      </c>
      <c r="J1536">
        <f>IFERROR(HLOOKUP(J$2,[48]table_female_hkom2_inj.V1!$A$1:$K$36,5,FALSE),0)</f>
        <v>0</v>
      </c>
      <c r="K1536">
        <f>IFERROR(HLOOKUP(K$2,[48]table_female_hkom2_inj.V1!$A$1:$K$36,5,FALSE),0)</f>
        <v>0</v>
      </c>
      <c r="L1536">
        <f>IFERROR(HLOOKUP(L$2,[48]table_female_hkom2_inj.V1!$A$1:$K$36,5,FALSE),0)</f>
        <v>0</v>
      </c>
      <c r="M1536">
        <f t="shared" si="483"/>
        <v>0</v>
      </c>
      <c r="S1536" t="s">
        <v>73</v>
      </c>
      <c r="T1536" s="5">
        <f t="shared" si="484"/>
        <v>0</v>
      </c>
      <c r="U1536" s="5">
        <f t="shared" si="485"/>
        <v>0</v>
      </c>
      <c r="V1536" s="5">
        <f t="shared" si="486"/>
        <v>0</v>
      </c>
      <c r="W1536" s="5">
        <f t="shared" si="487"/>
        <v>0</v>
      </c>
      <c r="X1536" s="5">
        <f t="shared" si="488"/>
        <v>0</v>
      </c>
      <c r="Y1536" s="5">
        <f t="shared" si="489"/>
        <v>0</v>
      </c>
      <c r="Z1536" s="5">
        <f t="shared" si="490"/>
        <v>0</v>
      </c>
      <c r="AA1536" s="5">
        <f t="shared" si="491"/>
        <v>0</v>
      </c>
      <c r="AB1536" s="5">
        <f t="shared" si="471"/>
        <v>0</v>
      </c>
    </row>
    <row r="1537" spans="4:28" x14ac:dyDescent="0.25">
      <c r="D1537" t="s">
        <v>74</v>
      </c>
      <c r="E1537" s="64"/>
      <c r="F1537" s="64"/>
      <c r="G1537">
        <f>IFERROR(HLOOKUP(G$2,[48]table_female_hkom2_inj.V1!$A$1:$K$36,6,FALSE),0)</f>
        <v>0</v>
      </c>
      <c r="H1537">
        <f>IFERROR(HLOOKUP(H$2,[48]table_female_hkom2_inj.V1!$A$1:$K$36,6,FALSE),0)</f>
        <v>0</v>
      </c>
      <c r="I1537">
        <f>IFERROR(HLOOKUP(I$2,[48]table_female_hkom2_inj.V1!$A$1:$K$36,6,FALSE),0)</f>
        <v>0</v>
      </c>
      <c r="J1537">
        <f>IFERROR(HLOOKUP(J$2,[48]table_female_hkom2_inj.V1!$A$1:$K$36,6,FALSE),0)</f>
        <v>0</v>
      </c>
      <c r="K1537">
        <f>IFERROR(HLOOKUP(K$2,[48]table_female_hkom2_inj.V1!$A$1:$K$36,6,FALSE),0)</f>
        <v>0</v>
      </c>
      <c r="L1537">
        <f>IFERROR(HLOOKUP(L$2,[48]table_female_hkom2_inj.V1!$A$1:$K$36,6,FALSE),0)</f>
        <v>0</v>
      </c>
      <c r="M1537">
        <f t="shared" si="483"/>
        <v>0</v>
      </c>
      <c r="S1537" t="s">
        <v>74</v>
      </c>
      <c r="T1537" s="5">
        <f t="shared" si="484"/>
        <v>0</v>
      </c>
      <c r="U1537" s="5">
        <f t="shared" si="485"/>
        <v>0</v>
      </c>
      <c r="V1537" s="5">
        <f t="shared" si="486"/>
        <v>0</v>
      </c>
      <c r="W1537" s="5">
        <f t="shared" si="487"/>
        <v>0</v>
      </c>
      <c r="X1537" s="5">
        <f t="shared" si="488"/>
        <v>0</v>
      </c>
      <c r="Y1537" s="5">
        <f t="shared" si="489"/>
        <v>0</v>
      </c>
      <c r="Z1537" s="5">
        <f t="shared" si="490"/>
        <v>0</v>
      </c>
      <c r="AA1537" s="5">
        <f t="shared" si="491"/>
        <v>0</v>
      </c>
      <c r="AB1537" s="5">
        <f t="shared" si="471"/>
        <v>0</v>
      </c>
    </row>
    <row r="1538" spans="4:28" x14ac:dyDescent="0.25">
      <c r="D1538" t="s">
        <v>75</v>
      </c>
      <c r="E1538" s="64"/>
      <c r="F1538" s="64"/>
      <c r="G1538">
        <f>IFERROR(HLOOKUP(G$2,[48]table_female_hkom2_inj.V1!$A$1:$K$36,7,FALSE),0)</f>
        <v>0</v>
      </c>
      <c r="H1538">
        <f>IFERROR(HLOOKUP(H$2,[48]table_female_hkom2_inj.V1!$A$1:$K$36,7,FALSE),0)</f>
        <v>0</v>
      </c>
      <c r="I1538">
        <f>IFERROR(HLOOKUP(I$2,[48]table_female_hkom2_inj.V1!$A$1:$K$36,7,FALSE),0)</f>
        <v>0</v>
      </c>
      <c r="J1538">
        <f>IFERROR(HLOOKUP(J$2,[48]table_female_hkom2_inj.V1!$A$1:$K$36,7,FALSE),0)</f>
        <v>0</v>
      </c>
      <c r="K1538">
        <f>IFERROR(HLOOKUP(K$2,[48]table_female_hkom2_inj.V1!$A$1:$K$36,7,FALSE),0)</f>
        <v>0</v>
      </c>
      <c r="L1538">
        <f>IFERROR(HLOOKUP(L$2,[48]table_female_hkom2_inj.V1!$A$1:$K$36,7,FALSE),0)</f>
        <v>0</v>
      </c>
      <c r="M1538">
        <f t="shared" si="483"/>
        <v>0</v>
      </c>
      <c r="S1538" t="s">
        <v>75</v>
      </c>
      <c r="T1538" s="5">
        <f t="shared" si="484"/>
        <v>0</v>
      </c>
      <c r="U1538" s="5">
        <f t="shared" si="485"/>
        <v>0</v>
      </c>
      <c r="V1538" s="5">
        <f t="shared" si="486"/>
        <v>0</v>
      </c>
      <c r="W1538" s="5">
        <f t="shared" si="487"/>
        <v>0</v>
      </c>
      <c r="X1538" s="5">
        <f t="shared" si="488"/>
        <v>0</v>
      </c>
      <c r="Y1538" s="5">
        <f t="shared" si="489"/>
        <v>0</v>
      </c>
      <c r="Z1538" s="5">
        <f t="shared" si="490"/>
        <v>0</v>
      </c>
      <c r="AA1538" s="5">
        <f t="shared" si="491"/>
        <v>0</v>
      </c>
      <c r="AB1538" s="5">
        <f t="shared" si="471"/>
        <v>0</v>
      </c>
    </row>
    <row r="1539" spans="4:28" x14ac:dyDescent="0.25">
      <c r="D1539" t="s">
        <v>76</v>
      </c>
      <c r="E1539" s="64"/>
      <c r="F1539" s="64"/>
      <c r="G1539">
        <f>IFERROR(HLOOKUP(G$2,[48]table_female_hkom2_inj.V1!$A$1:$K$36,8,FALSE),0)</f>
        <v>0</v>
      </c>
      <c r="H1539">
        <f>IFERROR(HLOOKUP(H$2,[48]table_female_hkom2_inj.V1!$A$1:$K$36,8,FALSE),0)</f>
        <v>0</v>
      </c>
      <c r="I1539">
        <f>IFERROR(HLOOKUP(I$2,[48]table_female_hkom2_inj.V1!$A$1:$K$36,8,FALSE),0)</f>
        <v>0</v>
      </c>
      <c r="J1539">
        <f>IFERROR(HLOOKUP(J$2,[48]table_female_hkom2_inj.V1!$A$1:$K$36,8,FALSE),0)</f>
        <v>0</v>
      </c>
      <c r="K1539">
        <f>IFERROR(HLOOKUP(K$2,[48]table_female_hkom2_inj.V1!$A$1:$K$36,8,FALSE),0)</f>
        <v>0</v>
      </c>
      <c r="L1539">
        <f>IFERROR(HLOOKUP(L$2,[48]table_female_hkom2_inj.V1!$A$1:$K$36,8,FALSE),0)</f>
        <v>0</v>
      </c>
      <c r="M1539">
        <f t="shared" si="483"/>
        <v>0</v>
      </c>
      <c r="S1539" t="s">
        <v>76</v>
      </c>
      <c r="T1539" s="5">
        <f t="shared" si="484"/>
        <v>0</v>
      </c>
      <c r="U1539" s="5">
        <f t="shared" si="485"/>
        <v>0</v>
      </c>
      <c r="V1539" s="5">
        <f t="shared" si="486"/>
        <v>0</v>
      </c>
      <c r="W1539" s="5">
        <f t="shared" si="487"/>
        <v>0</v>
      </c>
      <c r="X1539" s="5">
        <f t="shared" si="488"/>
        <v>0</v>
      </c>
      <c r="Y1539" s="5">
        <f t="shared" si="489"/>
        <v>0</v>
      </c>
      <c r="Z1539" s="5">
        <f t="shared" si="490"/>
        <v>0</v>
      </c>
      <c r="AA1539" s="5">
        <f t="shared" si="491"/>
        <v>0</v>
      </c>
      <c r="AB1539" s="5">
        <f t="shared" si="471"/>
        <v>0</v>
      </c>
    </row>
    <row r="1540" spans="4:28" x14ac:dyDescent="0.25">
      <c r="D1540" t="s">
        <v>77</v>
      </c>
      <c r="E1540" s="64"/>
      <c r="F1540" s="64"/>
      <c r="G1540">
        <f>IFERROR(HLOOKUP(G$2,[48]table_female_hkom2_inj.V1!$A$1:$K$36,9,FALSE),0)</f>
        <v>0</v>
      </c>
      <c r="H1540">
        <f>IFERROR(HLOOKUP(H$2,[48]table_female_hkom2_inj.V1!$A$1:$K$36,9,FALSE),0)</f>
        <v>0</v>
      </c>
      <c r="I1540">
        <f>IFERROR(HLOOKUP(I$2,[48]table_female_hkom2_inj.V1!$A$1:$K$36,9,FALSE),0)</f>
        <v>0</v>
      </c>
      <c r="J1540">
        <f>IFERROR(HLOOKUP(J$2,[48]table_female_hkom2_inj.V1!$A$1:$K$36,9,FALSE),0)</f>
        <v>0</v>
      </c>
      <c r="K1540">
        <f>IFERROR(HLOOKUP(K$2,[48]table_female_hkom2_inj.V1!$A$1:$K$36,9,FALSE),0)</f>
        <v>0</v>
      </c>
      <c r="L1540">
        <f>IFERROR(HLOOKUP(L$2,[48]table_female_hkom2_inj.V1!$A$1:$K$36,9,FALSE),0)</f>
        <v>0</v>
      </c>
      <c r="M1540">
        <f t="shared" si="483"/>
        <v>0</v>
      </c>
      <c r="S1540" t="s">
        <v>77</v>
      </c>
      <c r="T1540" s="5">
        <f t="shared" si="484"/>
        <v>0</v>
      </c>
      <c r="U1540" s="5">
        <f t="shared" si="485"/>
        <v>0</v>
      </c>
      <c r="V1540" s="5">
        <f t="shared" si="486"/>
        <v>0</v>
      </c>
      <c r="W1540" s="5">
        <f t="shared" si="487"/>
        <v>0</v>
      </c>
      <c r="X1540" s="5">
        <f t="shared" si="488"/>
        <v>0</v>
      </c>
      <c r="Y1540" s="5">
        <f t="shared" si="489"/>
        <v>0</v>
      </c>
      <c r="Z1540" s="5">
        <f t="shared" si="490"/>
        <v>0</v>
      </c>
      <c r="AA1540" s="5">
        <f t="shared" si="491"/>
        <v>0</v>
      </c>
      <c r="AB1540" s="5">
        <f t="shared" si="471"/>
        <v>0</v>
      </c>
    </row>
    <row r="1541" spans="4:28" x14ac:dyDescent="0.25">
      <c r="D1541" t="s">
        <v>78</v>
      </c>
      <c r="E1541" s="64"/>
      <c r="F1541" s="64"/>
      <c r="G1541">
        <f>IFERROR(HLOOKUP(G$2,[48]table_female_hkom2_inj.V1!$A$1:$K$36,10,FALSE),0)</f>
        <v>0</v>
      </c>
      <c r="H1541">
        <f>IFERROR(HLOOKUP(H$2,[48]table_female_hkom2_inj.V1!$A$1:$K$36,10,FALSE),0)</f>
        <v>0</v>
      </c>
      <c r="I1541">
        <f>IFERROR(HLOOKUP(I$2,[48]table_female_hkom2_inj.V1!$A$1:$K$36,10,FALSE),0)</f>
        <v>0</v>
      </c>
      <c r="J1541">
        <f>IFERROR(HLOOKUP(J$2,[48]table_female_hkom2_inj.V1!$A$1:$K$36,10,FALSE),0)</f>
        <v>0</v>
      </c>
      <c r="K1541">
        <f>IFERROR(HLOOKUP(K$2,[48]table_female_hkom2_inj.V1!$A$1:$K$36,10,FALSE),0)</f>
        <v>0</v>
      </c>
      <c r="L1541">
        <f>IFERROR(HLOOKUP(L$2,[48]table_female_hkom2_inj.V1!$A$1:$K$36,10,FALSE),0)</f>
        <v>0</v>
      </c>
      <c r="M1541">
        <f t="shared" si="483"/>
        <v>0</v>
      </c>
      <c r="S1541" t="s">
        <v>78</v>
      </c>
      <c r="T1541" s="5">
        <f t="shared" si="484"/>
        <v>0</v>
      </c>
      <c r="U1541" s="5">
        <f t="shared" si="485"/>
        <v>0</v>
      </c>
      <c r="V1541" s="5">
        <f t="shared" si="486"/>
        <v>0</v>
      </c>
      <c r="W1541" s="5">
        <f t="shared" si="487"/>
        <v>0</v>
      </c>
      <c r="X1541" s="5">
        <f t="shared" si="488"/>
        <v>0</v>
      </c>
      <c r="Y1541" s="5">
        <f t="shared" si="489"/>
        <v>0</v>
      </c>
      <c r="Z1541" s="5">
        <f t="shared" si="490"/>
        <v>0</v>
      </c>
      <c r="AA1541" s="5">
        <f t="shared" si="491"/>
        <v>0</v>
      </c>
      <c r="AB1541" s="5">
        <f t="shared" si="471"/>
        <v>0</v>
      </c>
    </row>
    <row r="1542" spans="4:28" x14ac:dyDescent="0.25">
      <c r="D1542" t="s">
        <v>79</v>
      </c>
      <c r="E1542" s="64"/>
      <c r="F1542" s="64"/>
      <c r="G1542">
        <f>IFERROR(HLOOKUP(G$2,[48]table_female_hkom2_inj.V1!$A$1:$K$36,11,FALSE),0)</f>
        <v>0</v>
      </c>
      <c r="H1542">
        <f>IFERROR(HLOOKUP(H$2,[48]table_female_hkom2_inj.V1!$A$1:$K$36,11,FALSE),0)</f>
        <v>0</v>
      </c>
      <c r="I1542">
        <f>IFERROR(HLOOKUP(I$2,[48]table_female_hkom2_inj.V1!$A$1:$K$36,11,FALSE),0)</f>
        <v>0</v>
      </c>
      <c r="J1542">
        <f>IFERROR(HLOOKUP(J$2,[48]table_female_hkom2_inj.V1!$A$1:$K$36,11,FALSE),0)</f>
        <v>0</v>
      </c>
      <c r="K1542">
        <f>IFERROR(HLOOKUP(K$2,[48]table_female_hkom2_inj.V1!$A$1:$K$36,11,FALSE),0)</f>
        <v>0</v>
      </c>
      <c r="L1542">
        <f>IFERROR(HLOOKUP(L$2,[48]table_female_hkom2_inj.V1!$A$1:$K$36,11,FALSE),0)</f>
        <v>0</v>
      </c>
      <c r="M1542">
        <f t="shared" si="483"/>
        <v>0</v>
      </c>
      <c r="S1542" t="s">
        <v>79</v>
      </c>
      <c r="T1542" s="5">
        <f t="shared" si="484"/>
        <v>0</v>
      </c>
      <c r="U1542" s="5">
        <f t="shared" si="485"/>
        <v>0</v>
      </c>
      <c r="V1542" s="5">
        <f t="shared" si="486"/>
        <v>0</v>
      </c>
      <c r="W1542" s="5">
        <f t="shared" si="487"/>
        <v>0</v>
      </c>
      <c r="X1542" s="5">
        <f t="shared" si="488"/>
        <v>0</v>
      </c>
      <c r="Y1542" s="5">
        <f t="shared" si="489"/>
        <v>0</v>
      </c>
      <c r="Z1542" s="5">
        <f t="shared" si="490"/>
        <v>0</v>
      </c>
      <c r="AA1542" s="5">
        <f t="shared" si="491"/>
        <v>0</v>
      </c>
      <c r="AB1542" s="5">
        <f t="shared" si="471"/>
        <v>0</v>
      </c>
    </row>
    <row r="1543" spans="4:28" x14ac:dyDescent="0.25">
      <c r="D1543" t="s">
        <v>80</v>
      </c>
      <c r="E1543" s="64"/>
      <c r="F1543" s="64"/>
      <c r="G1543">
        <f>IFERROR(HLOOKUP(G$2,[48]table_female_hkom2_inj.V1!$A$1:$K$36,12,FALSE),0)</f>
        <v>0</v>
      </c>
      <c r="H1543">
        <f>IFERROR(HLOOKUP(H$2,[48]table_female_hkom2_inj.V1!$A$1:$K$36,12,FALSE),0)</f>
        <v>0</v>
      </c>
      <c r="I1543">
        <f>IFERROR(HLOOKUP(I$2,[48]table_female_hkom2_inj.V1!$A$1:$K$36,12,FALSE),0)</f>
        <v>0</v>
      </c>
      <c r="J1543">
        <f>IFERROR(HLOOKUP(J$2,[48]table_female_hkom2_inj.V1!$A$1:$K$36,12,FALSE),0)</f>
        <v>0</v>
      </c>
      <c r="K1543">
        <f>IFERROR(HLOOKUP(K$2,[48]table_female_hkom2_inj.V1!$A$1:$K$36,12,FALSE),0)</f>
        <v>0</v>
      </c>
      <c r="L1543">
        <f>IFERROR(HLOOKUP(L$2,[48]table_female_hkom2_inj.V1!$A$1:$K$36,12,FALSE),0)</f>
        <v>0</v>
      </c>
      <c r="M1543">
        <f t="shared" si="483"/>
        <v>0</v>
      </c>
      <c r="S1543" t="s">
        <v>80</v>
      </c>
      <c r="T1543" s="5">
        <f t="shared" si="484"/>
        <v>0</v>
      </c>
      <c r="U1543" s="5">
        <f t="shared" si="485"/>
        <v>0</v>
      </c>
      <c r="V1543" s="5">
        <f t="shared" si="486"/>
        <v>0</v>
      </c>
      <c r="W1543" s="5">
        <f t="shared" si="487"/>
        <v>0</v>
      </c>
      <c r="X1543" s="5">
        <f t="shared" si="488"/>
        <v>0</v>
      </c>
      <c r="Y1543" s="5">
        <f t="shared" si="489"/>
        <v>0</v>
      </c>
      <c r="Z1543" s="5">
        <f t="shared" si="490"/>
        <v>0</v>
      </c>
      <c r="AA1543" s="5">
        <f t="shared" si="491"/>
        <v>0</v>
      </c>
      <c r="AB1543" s="5">
        <f t="shared" si="471"/>
        <v>0</v>
      </c>
    </row>
    <row r="1544" spans="4:28" x14ac:dyDescent="0.25">
      <c r="D1544" t="s">
        <v>81</v>
      </c>
      <c r="E1544" s="64"/>
      <c r="F1544" s="64"/>
      <c r="G1544">
        <f>IFERROR(HLOOKUP(G$2,[48]table_female_hkom2_inj.V1!$A$1:$K$36,13,FALSE),0)</f>
        <v>0</v>
      </c>
      <c r="H1544">
        <f>IFERROR(HLOOKUP(H$2,[48]table_female_hkom2_inj.V1!$A$1:$K$36,13,FALSE),0)</f>
        <v>0</v>
      </c>
      <c r="I1544">
        <f>IFERROR(HLOOKUP(I$2,[48]table_female_hkom2_inj.V1!$A$1:$K$36,13,FALSE),0)</f>
        <v>0</v>
      </c>
      <c r="J1544">
        <f>IFERROR(HLOOKUP(J$2,[48]table_female_hkom2_inj.V1!$A$1:$K$36,13,FALSE),0)</f>
        <v>0</v>
      </c>
      <c r="K1544">
        <f>IFERROR(HLOOKUP(K$2,[48]table_female_hkom2_inj.V1!$A$1:$K$36,13,FALSE),0)</f>
        <v>0</v>
      </c>
      <c r="L1544">
        <f>IFERROR(HLOOKUP(L$2,[48]table_female_hkom2_inj.V1!$A$1:$K$36,13,FALSE),0)</f>
        <v>0</v>
      </c>
      <c r="M1544">
        <f t="shared" si="483"/>
        <v>0</v>
      </c>
      <c r="S1544" t="s">
        <v>81</v>
      </c>
      <c r="T1544" s="5">
        <f t="shared" si="484"/>
        <v>0</v>
      </c>
      <c r="U1544" s="5">
        <f t="shared" si="485"/>
        <v>0</v>
      </c>
      <c r="V1544" s="5">
        <f t="shared" si="486"/>
        <v>0</v>
      </c>
      <c r="W1544" s="5">
        <f t="shared" si="487"/>
        <v>0</v>
      </c>
      <c r="X1544" s="5">
        <f t="shared" si="488"/>
        <v>0</v>
      </c>
      <c r="Y1544" s="5">
        <f t="shared" si="489"/>
        <v>0</v>
      </c>
      <c r="Z1544" s="5">
        <f t="shared" si="490"/>
        <v>0</v>
      </c>
      <c r="AA1544" s="5">
        <f t="shared" si="491"/>
        <v>0</v>
      </c>
      <c r="AB1544" s="5">
        <f t="shared" si="471"/>
        <v>0</v>
      </c>
    </row>
    <row r="1545" spans="4:28" x14ac:dyDescent="0.25">
      <c r="D1545" t="s">
        <v>82</v>
      </c>
      <c r="E1545" s="64"/>
      <c r="F1545" s="64"/>
      <c r="G1545">
        <f>IFERROR(HLOOKUP(G$2,[48]table_female_hkom2_inj.V1!$A$1:$K$36,14,FALSE),0)</f>
        <v>0</v>
      </c>
      <c r="H1545">
        <f>IFERROR(HLOOKUP(H$2,[48]table_female_hkom2_inj.V1!$A$1:$K$36,14,FALSE),0)</f>
        <v>0</v>
      </c>
      <c r="I1545">
        <f>IFERROR(HLOOKUP(I$2,[48]table_female_hkom2_inj.V1!$A$1:$K$36,14,FALSE),0)</f>
        <v>0</v>
      </c>
      <c r="J1545">
        <f>IFERROR(HLOOKUP(J$2,[48]table_female_hkom2_inj.V1!$A$1:$K$36,14,FALSE),0)</f>
        <v>0</v>
      </c>
      <c r="K1545">
        <f>IFERROR(HLOOKUP(K$2,[48]table_female_hkom2_inj.V1!$A$1:$K$36,14,FALSE),0)</f>
        <v>0</v>
      </c>
      <c r="L1545">
        <f>IFERROR(HLOOKUP(L$2,[48]table_female_hkom2_inj.V1!$A$1:$K$36,14,FALSE),0)</f>
        <v>0</v>
      </c>
      <c r="M1545">
        <f t="shared" si="483"/>
        <v>0</v>
      </c>
      <c r="S1545" t="s">
        <v>82</v>
      </c>
      <c r="T1545" s="5">
        <f t="shared" si="484"/>
        <v>0</v>
      </c>
      <c r="U1545" s="5">
        <f t="shared" si="485"/>
        <v>0</v>
      </c>
      <c r="V1545" s="5">
        <f t="shared" si="486"/>
        <v>0</v>
      </c>
      <c r="W1545" s="5">
        <f t="shared" si="487"/>
        <v>0</v>
      </c>
      <c r="X1545" s="5">
        <f t="shared" si="488"/>
        <v>0</v>
      </c>
      <c r="Y1545" s="5">
        <f t="shared" si="489"/>
        <v>0</v>
      </c>
      <c r="Z1545" s="5">
        <f t="shared" si="490"/>
        <v>0</v>
      </c>
      <c r="AA1545" s="5">
        <f t="shared" si="491"/>
        <v>0</v>
      </c>
      <c r="AB1545" s="5">
        <f t="shared" si="471"/>
        <v>0</v>
      </c>
    </row>
    <row r="1546" spans="4:28" x14ac:dyDescent="0.25">
      <c r="D1546" t="s">
        <v>83</v>
      </c>
      <c r="E1546" s="64"/>
      <c r="F1546" s="64"/>
      <c r="G1546">
        <f>IFERROR(HLOOKUP(G$2,[48]table_female_hkom2_inj.V1!$A$1:$K$36,15,FALSE),0)</f>
        <v>0</v>
      </c>
      <c r="H1546">
        <f>IFERROR(HLOOKUP(H$2,[48]table_female_hkom2_inj.V1!$A$1:$K$36,15,FALSE),0)</f>
        <v>0</v>
      </c>
      <c r="I1546">
        <f>IFERROR(HLOOKUP(I$2,[48]table_female_hkom2_inj.V1!$A$1:$K$36,15,FALSE),0)</f>
        <v>0</v>
      </c>
      <c r="J1546">
        <f>IFERROR(HLOOKUP(J$2,[48]table_female_hkom2_inj.V1!$A$1:$K$36,15,FALSE),0)</f>
        <v>0</v>
      </c>
      <c r="K1546">
        <f>IFERROR(HLOOKUP(K$2,[48]table_female_hkom2_inj.V1!$A$1:$K$36,15,FALSE),0)</f>
        <v>0</v>
      </c>
      <c r="L1546">
        <f>IFERROR(HLOOKUP(L$2,[48]table_female_hkom2_inj.V1!$A$1:$K$36,15,FALSE),0)</f>
        <v>0</v>
      </c>
      <c r="M1546">
        <f t="shared" si="483"/>
        <v>0</v>
      </c>
      <c r="S1546" t="s">
        <v>83</v>
      </c>
      <c r="T1546" s="5">
        <f t="shared" si="484"/>
        <v>0</v>
      </c>
      <c r="U1546" s="5">
        <f t="shared" si="485"/>
        <v>0</v>
      </c>
      <c r="V1546" s="5">
        <f t="shared" si="486"/>
        <v>0</v>
      </c>
      <c r="W1546" s="5">
        <f t="shared" si="487"/>
        <v>0</v>
      </c>
      <c r="X1546" s="5">
        <f t="shared" si="488"/>
        <v>0</v>
      </c>
      <c r="Y1546" s="5">
        <f t="shared" si="489"/>
        <v>0</v>
      </c>
      <c r="Z1546" s="5">
        <f t="shared" si="490"/>
        <v>0</v>
      </c>
      <c r="AA1546" s="5">
        <f t="shared" si="491"/>
        <v>0</v>
      </c>
      <c r="AB1546" s="5">
        <f t="shared" si="471"/>
        <v>0</v>
      </c>
    </row>
    <row r="1547" spans="4:28" x14ac:dyDescent="0.25">
      <c r="D1547" t="s">
        <v>84</v>
      </c>
      <c r="E1547" s="64"/>
      <c r="F1547" s="64"/>
      <c r="G1547">
        <f>IFERROR(HLOOKUP(G$2,[48]table_female_hkom2_inj.V1!$A$1:$K$36,16,FALSE),0)</f>
        <v>0</v>
      </c>
      <c r="H1547">
        <f>IFERROR(HLOOKUP(H$2,[48]table_female_hkom2_inj.V1!$A$1:$K$36,16,FALSE),0)</f>
        <v>0</v>
      </c>
      <c r="I1547">
        <f>IFERROR(HLOOKUP(I$2,[48]table_female_hkom2_inj.V1!$A$1:$K$36,16,FALSE),0)</f>
        <v>0</v>
      </c>
      <c r="J1547">
        <f>IFERROR(HLOOKUP(J$2,[48]table_female_hkom2_inj.V1!$A$1:$K$36,16,FALSE),0)</f>
        <v>0</v>
      </c>
      <c r="K1547">
        <f>IFERROR(HLOOKUP(K$2,[48]table_female_hkom2_inj.V1!$A$1:$K$36,16,FALSE),0)</f>
        <v>0</v>
      </c>
      <c r="L1547">
        <f>IFERROR(HLOOKUP(L$2,[48]table_female_hkom2_inj.V1!$A$1:$K$36,16,FALSE),0)</f>
        <v>0</v>
      </c>
      <c r="M1547">
        <f t="shared" si="483"/>
        <v>0</v>
      </c>
      <c r="S1547" t="s">
        <v>84</v>
      </c>
      <c r="T1547" s="5">
        <f t="shared" si="484"/>
        <v>0</v>
      </c>
      <c r="U1547" s="5">
        <f t="shared" si="485"/>
        <v>0</v>
      </c>
      <c r="V1547" s="5">
        <f t="shared" si="486"/>
        <v>0</v>
      </c>
      <c r="W1547" s="5">
        <f t="shared" si="487"/>
        <v>0</v>
      </c>
      <c r="X1547" s="5">
        <f t="shared" si="488"/>
        <v>0</v>
      </c>
      <c r="Y1547" s="5">
        <f t="shared" si="489"/>
        <v>0</v>
      </c>
      <c r="Z1547" s="5">
        <f t="shared" si="490"/>
        <v>0</v>
      </c>
      <c r="AA1547" s="5">
        <f t="shared" si="491"/>
        <v>0</v>
      </c>
      <c r="AB1547" s="5">
        <f t="shared" si="471"/>
        <v>0</v>
      </c>
    </row>
    <row r="1548" spans="4:28" x14ac:dyDescent="0.25">
      <c r="D1548" t="s">
        <v>85</v>
      </c>
      <c r="E1548" s="64"/>
      <c r="F1548" s="64"/>
      <c r="G1548">
        <f>IFERROR(HLOOKUP(G$2,[48]table_female_hkom2_inj.V1!$A$1:$K$36,17,FALSE),0)</f>
        <v>0</v>
      </c>
      <c r="H1548">
        <f>IFERROR(HLOOKUP(H$2,[48]table_female_hkom2_inj.V1!$A$1:$K$36,17,FALSE),0)</f>
        <v>0</v>
      </c>
      <c r="I1548">
        <f>IFERROR(HLOOKUP(I$2,[48]table_female_hkom2_inj.V1!$A$1:$K$36,17,FALSE),0)</f>
        <v>0</v>
      </c>
      <c r="J1548">
        <f>IFERROR(HLOOKUP(J$2,[48]table_female_hkom2_inj.V1!$A$1:$K$36,17,FALSE),0)</f>
        <v>0</v>
      </c>
      <c r="K1548">
        <f>IFERROR(HLOOKUP(K$2,[48]table_female_hkom2_inj.V1!$A$1:$K$36,17,FALSE),0)</f>
        <v>0</v>
      </c>
      <c r="L1548">
        <f>IFERROR(HLOOKUP(L$2,[48]table_female_hkom2_inj.V1!$A$1:$K$36,17,FALSE),0)</f>
        <v>0</v>
      </c>
      <c r="M1548">
        <f t="shared" si="483"/>
        <v>0</v>
      </c>
      <c r="S1548" t="s">
        <v>85</v>
      </c>
      <c r="T1548" s="5">
        <f t="shared" si="484"/>
        <v>0</v>
      </c>
      <c r="U1548" s="5">
        <f t="shared" si="485"/>
        <v>0</v>
      </c>
      <c r="V1548" s="5">
        <f t="shared" si="486"/>
        <v>0</v>
      </c>
      <c r="W1548" s="5">
        <f t="shared" si="487"/>
        <v>0</v>
      </c>
      <c r="X1548" s="5">
        <f t="shared" si="488"/>
        <v>0</v>
      </c>
      <c r="Y1548" s="5">
        <f t="shared" si="489"/>
        <v>0</v>
      </c>
      <c r="Z1548" s="5">
        <f t="shared" si="490"/>
        <v>0</v>
      </c>
      <c r="AA1548" s="5">
        <f t="shared" si="491"/>
        <v>0</v>
      </c>
      <c r="AB1548" s="5">
        <f t="shared" si="471"/>
        <v>0</v>
      </c>
    </row>
    <row r="1549" spans="4:28" x14ac:dyDescent="0.25">
      <c r="D1549" t="s">
        <v>86</v>
      </c>
      <c r="E1549" s="64"/>
      <c r="F1549" s="64"/>
      <c r="G1549">
        <f>IFERROR(HLOOKUP(G$2,[48]table_female_hkom2_inj.V1!$A$1:$K$36,18,FALSE),0)</f>
        <v>0</v>
      </c>
      <c r="H1549">
        <f>IFERROR(HLOOKUP(H$2,[48]table_female_hkom2_inj.V1!$A$1:$K$36,18,FALSE),0)</f>
        <v>0</v>
      </c>
      <c r="I1549">
        <f>IFERROR(HLOOKUP(I$2,[48]table_female_hkom2_inj.V1!$A$1:$K$36,18,FALSE),0)</f>
        <v>0</v>
      </c>
      <c r="J1549">
        <f>IFERROR(HLOOKUP(J$2,[48]table_female_hkom2_inj.V1!$A$1:$K$36,18,FALSE),0)</f>
        <v>0</v>
      </c>
      <c r="K1549">
        <f>IFERROR(HLOOKUP(K$2,[48]table_female_hkom2_inj.V1!$A$1:$K$36,18,FALSE),0)</f>
        <v>0</v>
      </c>
      <c r="L1549">
        <f>IFERROR(HLOOKUP(L$2,[48]table_female_hkom2_inj.V1!$A$1:$K$36,18,FALSE),0)</f>
        <v>0</v>
      </c>
      <c r="M1549">
        <f t="shared" si="483"/>
        <v>0</v>
      </c>
      <c r="S1549" t="s">
        <v>86</v>
      </c>
      <c r="T1549" s="5">
        <f t="shared" si="484"/>
        <v>0</v>
      </c>
      <c r="U1549" s="5">
        <f t="shared" si="485"/>
        <v>0</v>
      </c>
      <c r="V1549" s="5">
        <f t="shared" si="486"/>
        <v>0</v>
      </c>
      <c r="W1549" s="5">
        <f t="shared" si="487"/>
        <v>0</v>
      </c>
      <c r="X1549" s="5">
        <f t="shared" si="488"/>
        <v>0</v>
      </c>
      <c r="Y1549" s="5">
        <f t="shared" si="489"/>
        <v>0</v>
      </c>
      <c r="Z1549" s="5">
        <f t="shared" si="490"/>
        <v>0</v>
      </c>
      <c r="AA1549" s="5">
        <f t="shared" si="491"/>
        <v>0</v>
      </c>
      <c r="AB1549" s="5">
        <f t="shared" si="471"/>
        <v>0</v>
      </c>
    </row>
    <row r="1550" spans="4:28" x14ac:dyDescent="0.25">
      <c r="D1550" t="s">
        <v>87</v>
      </c>
      <c r="E1550" s="64"/>
      <c r="F1550" s="64"/>
      <c r="G1550">
        <f>IFERROR(HLOOKUP(G$2,[48]table_female_hkom2_inj.V1!$A$1:$K$36,19,FALSE),0)</f>
        <v>0</v>
      </c>
      <c r="H1550">
        <f>IFERROR(HLOOKUP(H$2,[48]table_female_hkom2_inj.V1!$A$1:$K$36,19,FALSE),0)</f>
        <v>0</v>
      </c>
      <c r="I1550">
        <f>IFERROR(HLOOKUP(I$2,[48]table_female_hkom2_inj.V1!$A$1:$K$36,19,FALSE),0)</f>
        <v>0</v>
      </c>
      <c r="J1550">
        <f>IFERROR(HLOOKUP(J$2,[48]table_female_hkom2_inj.V1!$A$1:$K$36,19,FALSE),0)</f>
        <v>0</v>
      </c>
      <c r="K1550">
        <f>IFERROR(HLOOKUP(K$2,[48]table_female_hkom2_inj.V1!$A$1:$K$36,19,FALSE),0)</f>
        <v>0</v>
      </c>
      <c r="L1550">
        <f>IFERROR(HLOOKUP(L$2,[48]table_female_hkom2_inj.V1!$A$1:$K$36,19,FALSE),0)</f>
        <v>0</v>
      </c>
      <c r="M1550">
        <f t="shared" si="483"/>
        <v>0</v>
      </c>
      <c r="S1550" t="s">
        <v>87</v>
      </c>
      <c r="T1550" s="5">
        <f t="shared" si="484"/>
        <v>0</v>
      </c>
      <c r="U1550" s="5">
        <f t="shared" si="485"/>
        <v>0</v>
      </c>
      <c r="V1550" s="5">
        <f t="shared" si="486"/>
        <v>0</v>
      </c>
      <c r="W1550" s="5">
        <f t="shared" si="487"/>
        <v>0</v>
      </c>
      <c r="X1550" s="5">
        <f t="shared" si="488"/>
        <v>0</v>
      </c>
      <c r="Y1550" s="5">
        <f t="shared" si="489"/>
        <v>0</v>
      </c>
      <c r="Z1550" s="5">
        <f t="shared" si="490"/>
        <v>0</v>
      </c>
      <c r="AA1550" s="5">
        <f t="shared" si="491"/>
        <v>0</v>
      </c>
      <c r="AB1550" s="5">
        <f t="shared" si="471"/>
        <v>0</v>
      </c>
    </row>
    <row r="1551" spans="4:28" x14ac:dyDescent="0.25">
      <c r="D1551" t="s">
        <v>88</v>
      </c>
      <c r="E1551" s="64"/>
      <c r="F1551" s="64"/>
      <c r="G1551">
        <f>IFERROR(HLOOKUP(G$2,[48]table_female_hkom2_inj.V1!$A$1:$K$36,20,FALSE),0)</f>
        <v>0</v>
      </c>
      <c r="H1551">
        <f>IFERROR(HLOOKUP(H$2,[48]table_female_hkom2_inj.V1!$A$1:$K$36,20,FALSE),0)</f>
        <v>0</v>
      </c>
      <c r="I1551">
        <f>IFERROR(HLOOKUP(I$2,[48]table_female_hkom2_inj.V1!$A$1:$K$36,20,FALSE),0)</f>
        <v>0</v>
      </c>
      <c r="J1551">
        <f>IFERROR(HLOOKUP(J$2,[48]table_female_hkom2_inj.V1!$A$1:$K$36,20,FALSE),0)</f>
        <v>1</v>
      </c>
      <c r="K1551">
        <f>IFERROR(HLOOKUP(K$2,[48]table_female_hkom2_inj.V1!$A$1:$K$36,20,FALSE),0)</f>
        <v>0</v>
      </c>
      <c r="L1551">
        <f>IFERROR(HLOOKUP(L$2,[48]table_female_hkom2_inj.V1!$A$1:$K$36,20,FALSE),0)</f>
        <v>0</v>
      </c>
      <c r="M1551">
        <f t="shared" si="483"/>
        <v>1</v>
      </c>
      <c r="S1551" t="s">
        <v>88</v>
      </c>
      <c r="T1551" s="5">
        <f t="shared" si="484"/>
        <v>0</v>
      </c>
      <c r="U1551" s="5">
        <f t="shared" si="485"/>
        <v>0</v>
      </c>
      <c r="V1551" s="5">
        <f t="shared" si="486"/>
        <v>0</v>
      </c>
      <c r="W1551" s="5">
        <f t="shared" si="487"/>
        <v>0</v>
      </c>
      <c r="X1551" s="5">
        <f t="shared" si="488"/>
        <v>0</v>
      </c>
      <c r="Y1551" s="5">
        <f t="shared" si="489"/>
        <v>1</v>
      </c>
      <c r="Z1551" s="5">
        <f t="shared" si="490"/>
        <v>0</v>
      </c>
      <c r="AA1551" s="5">
        <f t="shared" si="491"/>
        <v>0</v>
      </c>
      <c r="AB1551" s="5">
        <f t="shared" si="471"/>
        <v>1</v>
      </c>
    </row>
    <row r="1552" spans="4:28" x14ac:dyDescent="0.25">
      <c r="D1552" t="s">
        <v>89</v>
      </c>
      <c r="E1552" s="64"/>
      <c r="F1552" s="64"/>
      <c r="G1552">
        <f>IFERROR(HLOOKUP(G$2,[48]table_female_hkom2_inj.V1!$A$1:$K$36,21,FALSE),0)</f>
        <v>0</v>
      </c>
      <c r="H1552">
        <f>IFERROR(HLOOKUP(H$2,[48]table_female_hkom2_inj.V1!$A$1:$K$36,21,FALSE),0)</f>
        <v>0</v>
      </c>
      <c r="I1552">
        <f>IFERROR(HLOOKUP(I$2,[48]table_female_hkom2_inj.V1!$A$1:$K$36,21,FALSE),0)</f>
        <v>0</v>
      </c>
      <c r="J1552">
        <f>IFERROR(HLOOKUP(J$2,[48]table_female_hkom2_inj.V1!$A$1:$K$36,21,FALSE),0)</f>
        <v>0</v>
      </c>
      <c r="K1552">
        <f>IFERROR(HLOOKUP(K$2,[48]table_female_hkom2_inj.V1!$A$1:$K$36,21,FALSE),0)</f>
        <v>0</v>
      </c>
      <c r="L1552">
        <f>IFERROR(HLOOKUP(L$2,[48]table_female_hkom2_inj.V1!$A$1:$K$36,21,FALSE),0)</f>
        <v>0</v>
      </c>
      <c r="M1552">
        <f t="shared" si="483"/>
        <v>0</v>
      </c>
      <c r="S1552" t="s">
        <v>89</v>
      </c>
      <c r="T1552" s="5">
        <f t="shared" si="484"/>
        <v>0</v>
      </c>
      <c r="U1552" s="5">
        <f t="shared" si="485"/>
        <v>0</v>
      </c>
      <c r="V1552" s="5">
        <f t="shared" si="486"/>
        <v>0</v>
      </c>
      <c r="W1552" s="5">
        <f t="shared" si="487"/>
        <v>0</v>
      </c>
      <c r="X1552" s="5">
        <f t="shared" si="488"/>
        <v>0</v>
      </c>
      <c r="Y1552" s="5">
        <f t="shared" si="489"/>
        <v>0</v>
      </c>
      <c r="Z1552" s="5">
        <f t="shared" si="490"/>
        <v>0</v>
      </c>
      <c r="AA1552" s="5">
        <f t="shared" si="491"/>
        <v>0</v>
      </c>
      <c r="AB1552" s="5">
        <f t="shared" si="471"/>
        <v>0</v>
      </c>
    </row>
    <row r="1553" spans="1:29" x14ac:dyDescent="0.25">
      <c r="D1553" t="s">
        <v>90</v>
      </c>
      <c r="E1553" s="64"/>
      <c r="F1553" s="64"/>
      <c r="G1553">
        <f>IFERROR(HLOOKUP(G$2,[48]table_female_hkom2_inj.V1!$A$1:$K$36,22,FALSE),0)</f>
        <v>0</v>
      </c>
      <c r="H1553">
        <f>IFERROR(HLOOKUP(H$2,[48]table_female_hkom2_inj.V1!$A$1:$K$36,22,FALSE),0)</f>
        <v>0</v>
      </c>
      <c r="I1553">
        <f>IFERROR(HLOOKUP(I$2,[48]table_female_hkom2_inj.V1!$A$1:$K$36,22,FALSE),0)</f>
        <v>0</v>
      </c>
      <c r="J1553">
        <f>IFERROR(HLOOKUP(J$2,[48]table_female_hkom2_inj.V1!$A$1:$K$36,22,FALSE),0)</f>
        <v>0</v>
      </c>
      <c r="K1553">
        <f>IFERROR(HLOOKUP(K$2,[48]table_female_hkom2_inj.V1!$A$1:$K$36,22,FALSE),0)</f>
        <v>0</v>
      </c>
      <c r="L1553">
        <f>IFERROR(HLOOKUP(L$2,[48]table_female_hkom2_inj.V1!$A$1:$K$36,22,FALSE),0)</f>
        <v>0</v>
      </c>
      <c r="M1553">
        <f t="shared" si="483"/>
        <v>0</v>
      </c>
      <c r="S1553" t="s">
        <v>90</v>
      </c>
      <c r="T1553" s="5">
        <f t="shared" si="484"/>
        <v>0</v>
      </c>
      <c r="U1553" s="5">
        <f t="shared" si="485"/>
        <v>0</v>
      </c>
      <c r="V1553" s="5">
        <f t="shared" si="486"/>
        <v>0</v>
      </c>
      <c r="W1553" s="5">
        <f t="shared" si="487"/>
        <v>0</v>
      </c>
      <c r="X1553" s="5">
        <f t="shared" si="488"/>
        <v>0</v>
      </c>
      <c r="Y1553" s="5">
        <f t="shared" si="489"/>
        <v>0</v>
      </c>
      <c r="Z1553" s="5">
        <f t="shared" si="490"/>
        <v>0</v>
      </c>
      <c r="AA1553" s="5">
        <f t="shared" si="491"/>
        <v>0</v>
      </c>
      <c r="AB1553" s="5">
        <f t="shared" si="471"/>
        <v>0</v>
      </c>
    </row>
    <row r="1554" spans="1:29" x14ac:dyDescent="0.25">
      <c r="D1554" t="s">
        <v>91</v>
      </c>
      <c r="E1554" s="64"/>
      <c r="F1554" s="64"/>
      <c r="G1554">
        <f>IFERROR(HLOOKUP(G$2,[48]table_female_hkom2_inj.V1!$A$1:$K$36,23,FALSE),0)</f>
        <v>0</v>
      </c>
      <c r="H1554">
        <f>IFERROR(HLOOKUP(H$2,[48]table_female_hkom2_inj.V1!$A$1:$K$36,23,FALSE),0)</f>
        <v>0</v>
      </c>
      <c r="I1554">
        <f>IFERROR(HLOOKUP(I$2,[48]table_female_hkom2_inj.V1!$A$1:$K$36,23,FALSE),0)</f>
        <v>0</v>
      </c>
      <c r="J1554">
        <f>IFERROR(HLOOKUP(J$2,[48]table_female_hkom2_inj.V1!$A$1:$K$36,23,FALSE),0)</f>
        <v>0</v>
      </c>
      <c r="K1554">
        <f>IFERROR(HLOOKUP(K$2,[48]table_female_hkom2_inj.V1!$A$1:$K$36,23,FALSE),0)</f>
        <v>0</v>
      </c>
      <c r="L1554">
        <f>IFERROR(HLOOKUP(L$2,[48]table_female_hkom2_inj.V1!$A$1:$K$36,23,FALSE),0)</f>
        <v>0</v>
      </c>
      <c r="M1554">
        <f t="shared" si="483"/>
        <v>0</v>
      </c>
      <c r="S1554" t="s">
        <v>91</v>
      </c>
      <c r="T1554" s="5">
        <f t="shared" si="484"/>
        <v>0</v>
      </c>
      <c r="U1554" s="5">
        <f t="shared" si="485"/>
        <v>0</v>
      </c>
      <c r="V1554" s="5">
        <f t="shared" si="486"/>
        <v>0</v>
      </c>
      <c r="W1554" s="5">
        <f t="shared" si="487"/>
        <v>0</v>
      </c>
      <c r="X1554" s="5">
        <f t="shared" si="488"/>
        <v>0</v>
      </c>
      <c r="Y1554" s="5">
        <f t="shared" si="489"/>
        <v>0</v>
      </c>
      <c r="Z1554" s="5">
        <f t="shared" si="490"/>
        <v>0</v>
      </c>
      <c r="AA1554" s="5">
        <f t="shared" si="491"/>
        <v>0</v>
      </c>
      <c r="AB1554" s="5">
        <f t="shared" si="471"/>
        <v>0</v>
      </c>
    </row>
    <row r="1555" spans="1:29" x14ac:dyDescent="0.25">
      <c r="D1555" t="s">
        <v>92</v>
      </c>
      <c r="E1555" s="64"/>
      <c r="F1555" s="64"/>
      <c r="G1555">
        <f>IFERROR(HLOOKUP(G$2,[48]table_female_hkom2_inj.V1!$A$1:$K$36,24,FALSE),0)</f>
        <v>0</v>
      </c>
      <c r="H1555">
        <f>IFERROR(HLOOKUP(H$2,[48]table_female_hkom2_inj.V1!$A$1:$K$36,24,FALSE),0)</f>
        <v>0</v>
      </c>
      <c r="I1555">
        <f>IFERROR(HLOOKUP(I$2,[48]table_female_hkom2_inj.V1!$A$1:$K$36,24,FALSE),0)</f>
        <v>0</v>
      </c>
      <c r="J1555">
        <f>IFERROR(HLOOKUP(J$2,[48]table_female_hkom2_inj.V1!$A$1:$K$36,24,FALSE),0)</f>
        <v>0</v>
      </c>
      <c r="K1555">
        <f>IFERROR(HLOOKUP(K$2,[48]table_female_hkom2_inj.V1!$A$1:$K$36,24,FALSE),0)</f>
        <v>0</v>
      </c>
      <c r="L1555">
        <f>IFERROR(HLOOKUP(L$2,[48]table_female_hkom2_inj.V1!$A$1:$K$36,24,FALSE),0)</f>
        <v>0</v>
      </c>
      <c r="M1555">
        <f t="shared" si="483"/>
        <v>0</v>
      </c>
      <c r="S1555" t="s">
        <v>92</v>
      </c>
      <c r="T1555" s="5">
        <f t="shared" si="484"/>
        <v>0</v>
      </c>
      <c r="U1555" s="5">
        <f t="shared" si="485"/>
        <v>0</v>
      </c>
      <c r="V1555" s="5">
        <f t="shared" si="486"/>
        <v>0</v>
      </c>
      <c r="W1555" s="5">
        <f t="shared" si="487"/>
        <v>0</v>
      </c>
      <c r="X1555" s="5">
        <f t="shared" si="488"/>
        <v>0</v>
      </c>
      <c r="Y1555" s="5">
        <f t="shared" si="489"/>
        <v>0</v>
      </c>
      <c r="Z1555" s="5">
        <f t="shared" si="490"/>
        <v>0</v>
      </c>
      <c r="AA1555" s="5">
        <f t="shared" si="491"/>
        <v>0</v>
      </c>
      <c r="AB1555" s="5">
        <f t="shared" si="471"/>
        <v>0</v>
      </c>
    </row>
    <row r="1556" spans="1:29" x14ac:dyDescent="0.25">
      <c r="D1556" t="s">
        <v>93</v>
      </c>
      <c r="E1556" s="64"/>
      <c r="F1556" s="64"/>
      <c r="G1556">
        <f>IFERROR(HLOOKUP(G$2,[48]table_female_hkom2_inj.V1!$A$1:$K$36,25,FALSE),0)</f>
        <v>0</v>
      </c>
      <c r="H1556">
        <f>IFERROR(HLOOKUP(H$2,[48]table_female_hkom2_inj.V1!$A$1:$K$36,25,FALSE),0)</f>
        <v>0</v>
      </c>
      <c r="I1556">
        <f>IFERROR(HLOOKUP(I$2,[48]table_female_hkom2_inj.V1!$A$1:$K$36,25,FALSE),0)</f>
        <v>0</v>
      </c>
      <c r="J1556">
        <f>IFERROR(HLOOKUP(J$2,[48]table_female_hkom2_inj.V1!$A$1:$K$36,25,FALSE),0)</f>
        <v>0</v>
      </c>
      <c r="K1556">
        <f>IFERROR(HLOOKUP(K$2,[48]table_female_hkom2_inj.V1!$A$1:$K$36,25,FALSE),0)</f>
        <v>0</v>
      </c>
      <c r="L1556">
        <f>IFERROR(HLOOKUP(L$2,[48]table_female_hkom2_inj.V1!$A$1:$K$36,25,FALSE),0)</f>
        <v>0</v>
      </c>
      <c r="M1556">
        <f t="shared" si="483"/>
        <v>0</v>
      </c>
      <c r="S1556" t="s">
        <v>93</v>
      </c>
      <c r="T1556" s="5">
        <f t="shared" si="484"/>
        <v>0</v>
      </c>
      <c r="U1556" s="5">
        <f t="shared" si="485"/>
        <v>0</v>
      </c>
      <c r="V1556" s="5">
        <f t="shared" si="486"/>
        <v>0</v>
      </c>
      <c r="W1556" s="5">
        <f t="shared" si="487"/>
        <v>0</v>
      </c>
      <c r="X1556" s="5">
        <f t="shared" si="488"/>
        <v>0</v>
      </c>
      <c r="Y1556" s="5">
        <f t="shared" si="489"/>
        <v>0</v>
      </c>
      <c r="Z1556" s="5">
        <f t="shared" si="490"/>
        <v>0</v>
      </c>
      <c r="AA1556" s="5">
        <f t="shared" si="491"/>
        <v>0</v>
      </c>
      <c r="AB1556" s="5">
        <f t="shared" ref="AB1556:AB1619" si="492">SUM(T1556:AA1556)</f>
        <v>0</v>
      </c>
    </row>
    <row r="1557" spans="1:29" x14ac:dyDescent="0.25">
      <c r="D1557" t="s">
        <v>94</v>
      </c>
      <c r="E1557" s="64"/>
      <c r="F1557" s="64"/>
      <c r="G1557">
        <f>IFERROR(HLOOKUP(G$2,[48]table_female_hkom2_inj.V1!$A$1:$K$36,26,FALSE),0)</f>
        <v>0</v>
      </c>
      <c r="H1557">
        <f>IFERROR(HLOOKUP(H$2,[48]table_female_hkom2_inj.V1!$A$1:$K$36,26,FALSE),0)</f>
        <v>0</v>
      </c>
      <c r="I1557">
        <f>IFERROR(HLOOKUP(I$2,[48]table_female_hkom2_inj.V1!$A$1:$K$36,26,FALSE),0)</f>
        <v>0</v>
      </c>
      <c r="J1557">
        <f>IFERROR(HLOOKUP(J$2,[48]table_female_hkom2_inj.V1!$A$1:$K$36,26,FALSE),0)</f>
        <v>0</v>
      </c>
      <c r="K1557">
        <f>IFERROR(HLOOKUP(K$2,[48]table_female_hkom2_inj.V1!$A$1:$K$36,26,FALSE),0)</f>
        <v>0</v>
      </c>
      <c r="L1557">
        <f>IFERROR(HLOOKUP(L$2,[48]table_female_hkom2_inj.V1!$A$1:$K$36,26,FALSE),0)</f>
        <v>0</v>
      </c>
      <c r="M1557">
        <f t="shared" si="483"/>
        <v>0</v>
      </c>
      <c r="S1557" t="s">
        <v>94</v>
      </c>
      <c r="T1557" s="5">
        <f t="shared" si="484"/>
        <v>0</v>
      </c>
      <c r="U1557" s="5">
        <f t="shared" si="485"/>
        <v>0</v>
      </c>
      <c r="V1557" s="5">
        <f t="shared" si="486"/>
        <v>0</v>
      </c>
      <c r="W1557" s="5">
        <f t="shared" si="487"/>
        <v>0</v>
      </c>
      <c r="X1557" s="5">
        <f t="shared" si="488"/>
        <v>0</v>
      </c>
      <c r="Y1557" s="5">
        <f t="shared" si="489"/>
        <v>0</v>
      </c>
      <c r="Z1557" s="5">
        <f t="shared" si="490"/>
        <v>0</v>
      </c>
      <c r="AA1557" s="5">
        <f t="shared" si="491"/>
        <v>0</v>
      </c>
      <c r="AB1557" s="5">
        <f t="shared" si="492"/>
        <v>0</v>
      </c>
    </row>
    <row r="1558" spans="1:29" x14ac:dyDescent="0.25">
      <c r="D1558" t="s">
        <v>95</v>
      </c>
      <c r="E1558" s="64"/>
      <c r="F1558" s="64"/>
      <c r="G1558">
        <f>IFERROR(HLOOKUP(G$2,[48]table_female_hkom2_inj.V1!$A$1:$K$36,27,FALSE),0)</f>
        <v>0</v>
      </c>
      <c r="H1558">
        <f>IFERROR(HLOOKUP(H$2,[48]table_female_hkom2_inj.V1!$A$1:$K$36,27,FALSE),0)</f>
        <v>0</v>
      </c>
      <c r="I1558">
        <f>IFERROR(HLOOKUP(I$2,[48]table_female_hkom2_inj.V1!$A$1:$K$36,27,FALSE),0)</f>
        <v>0</v>
      </c>
      <c r="J1558">
        <f>IFERROR(HLOOKUP(J$2,[48]table_female_hkom2_inj.V1!$A$1:$K$36,27,FALSE),0)</f>
        <v>0</v>
      </c>
      <c r="K1558">
        <f>IFERROR(HLOOKUP(K$2,[48]table_female_hkom2_inj.V1!$A$1:$K$36,27,FALSE),0)</f>
        <v>0</v>
      </c>
      <c r="L1558">
        <f>IFERROR(HLOOKUP(L$2,[48]table_female_hkom2_inj.V1!$A$1:$K$36,27,FALSE),0)</f>
        <v>0</v>
      </c>
      <c r="M1558">
        <f t="shared" si="483"/>
        <v>0</v>
      </c>
      <c r="S1558" t="s">
        <v>95</v>
      </c>
      <c r="T1558" s="5">
        <f t="shared" si="484"/>
        <v>0</v>
      </c>
      <c r="U1558" s="5">
        <f t="shared" si="485"/>
        <v>0</v>
      </c>
      <c r="V1558" s="5">
        <f t="shared" si="486"/>
        <v>0</v>
      </c>
      <c r="W1558" s="5">
        <f t="shared" si="487"/>
        <v>0</v>
      </c>
      <c r="X1558" s="5">
        <f t="shared" si="488"/>
        <v>0</v>
      </c>
      <c r="Y1558" s="5">
        <f t="shared" si="489"/>
        <v>0</v>
      </c>
      <c r="Z1558" s="5">
        <f t="shared" si="490"/>
        <v>0</v>
      </c>
      <c r="AA1558" s="5">
        <f t="shared" si="491"/>
        <v>0</v>
      </c>
      <c r="AB1558" s="5">
        <f t="shared" si="492"/>
        <v>0</v>
      </c>
    </row>
    <row r="1559" spans="1:29" x14ac:dyDescent="0.25">
      <c r="D1559" t="s">
        <v>96</v>
      </c>
      <c r="E1559" s="64"/>
      <c r="F1559" s="64"/>
      <c r="G1559">
        <f>IFERROR(HLOOKUP(G$2,[48]table_female_hkom2_inj.V1!$A$1:$K$36,28,FALSE),0)</f>
        <v>0</v>
      </c>
      <c r="H1559">
        <f>IFERROR(HLOOKUP(H$2,[48]table_female_hkom2_inj.V1!$A$1:$K$36,28,FALSE),0)</f>
        <v>0</v>
      </c>
      <c r="I1559">
        <f>IFERROR(HLOOKUP(I$2,[48]table_female_hkom2_inj.V1!$A$1:$K$36,28,FALSE),0)</f>
        <v>0</v>
      </c>
      <c r="J1559">
        <f>IFERROR(HLOOKUP(J$2,[48]table_female_hkom2_inj.V1!$A$1:$K$36,28,FALSE),0)</f>
        <v>0</v>
      </c>
      <c r="K1559">
        <f>IFERROR(HLOOKUP(K$2,[48]table_female_hkom2_inj.V1!$A$1:$K$36,28,FALSE),0)</f>
        <v>0</v>
      </c>
      <c r="L1559">
        <f>IFERROR(HLOOKUP(L$2,[48]table_female_hkom2_inj.V1!$A$1:$K$36,28,FALSE),0)</f>
        <v>0</v>
      </c>
      <c r="M1559">
        <f t="shared" si="483"/>
        <v>0</v>
      </c>
      <c r="S1559" t="s">
        <v>96</v>
      </c>
      <c r="T1559" s="5">
        <f t="shared" si="484"/>
        <v>0</v>
      </c>
      <c r="U1559" s="5">
        <f t="shared" si="485"/>
        <v>0</v>
      </c>
      <c r="V1559" s="5">
        <f t="shared" si="486"/>
        <v>0</v>
      </c>
      <c r="W1559" s="5">
        <f t="shared" si="487"/>
        <v>0</v>
      </c>
      <c r="X1559" s="5">
        <f t="shared" si="488"/>
        <v>0</v>
      </c>
      <c r="Y1559" s="5">
        <f t="shared" si="489"/>
        <v>0</v>
      </c>
      <c r="Z1559" s="5">
        <f t="shared" si="490"/>
        <v>0</v>
      </c>
      <c r="AA1559" s="5">
        <f t="shared" si="491"/>
        <v>0</v>
      </c>
      <c r="AB1559" s="5">
        <f t="shared" si="492"/>
        <v>0</v>
      </c>
    </row>
    <row r="1560" spans="1:29" x14ac:dyDescent="0.25">
      <c r="D1560" t="s">
        <v>97</v>
      </c>
      <c r="E1560" s="64"/>
      <c r="F1560" s="64"/>
      <c r="G1560">
        <f>IFERROR(HLOOKUP(G$2,[48]table_female_hkom2_inj.V1!$A$1:$K$36,29,FALSE),0)</f>
        <v>0</v>
      </c>
      <c r="H1560">
        <f>IFERROR(HLOOKUP(H$2,[48]table_female_hkom2_inj.V1!$A$1:$K$36,29,FALSE),0)</f>
        <v>0</v>
      </c>
      <c r="I1560">
        <f>IFERROR(HLOOKUP(I$2,[48]table_female_hkom2_inj.V1!$A$1:$K$36,29,FALSE),0)</f>
        <v>0</v>
      </c>
      <c r="J1560">
        <f>IFERROR(HLOOKUP(J$2,[48]table_female_hkom2_inj.V1!$A$1:$K$36,29,FALSE),0)</f>
        <v>0</v>
      </c>
      <c r="K1560">
        <f>IFERROR(HLOOKUP(K$2,[48]table_female_hkom2_inj.V1!$A$1:$K$36,29,FALSE),0)</f>
        <v>0</v>
      </c>
      <c r="L1560">
        <f>IFERROR(HLOOKUP(L$2,[48]table_female_hkom2_inj.V1!$A$1:$K$36,29,FALSE),0)</f>
        <v>0</v>
      </c>
      <c r="M1560">
        <f t="shared" si="483"/>
        <v>0</v>
      </c>
      <c r="S1560" t="s">
        <v>97</v>
      </c>
      <c r="T1560" s="5">
        <f t="shared" si="484"/>
        <v>0</v>
      </c>
      <c r="U1560" s="5">
        <f t="shared" si="485"/>
        <v>0</v>
      </c>
      <c r="V1560" s="5">
        <f t="shared" si="486"/>
        <v>0</v>
      </c>
      <c r="W1560" s="5">
        <f t="shared" si="487"/>
        <v>0</v>
      </c>
      <c r="X1560" s="5">
        <f t="shared" si="488"/>
        <v>0</v>
      </c>
      <c r="Y1560" s="5">
        <f t="shared" si="489"/>
        <v>0</v>
      </c>
      <c r="Z1560" s="5">
        <f t="shared" si="490"/>
        <v>0</v>
      </c>
      <c r="AA1560" s="5">
        <f t="shared" si="491"/>
        <v>0</v>
      </c>
      <c r="AB1560" s="5">
        <f t="shared" si="492"/>
        <v>0</v>
      </c>
    </row>
    <row r="1561" spans="1:29" x14ac:dyDescent="0.25">
      <c r="D1561" t="s">
        <v>98</v>
      </c>
      <c r="E1561" s="64"/>
      <c r="F1561" s="64"/>
      <c r="G1561">
        <f>IFERROR(HLOOKUP(G$2,[48]table_female_hkom2_inj.V1!$A$1:$K$36,30,FALSE),0)</f>
        <v>0</v>
      </c>
      <c r="H1561">
        <f>IFERROR(HLOOKUP(H$2,[48]table_female_hkom2_inj.V1!$A$1:$K$36,30,FALSE),0)</f>
        <v>0</v>
      </c>
      <c r="I1561">
        <f>IFERROR(HLOOKUP(I$2,[48]table_female_hkom2_inj.V1!$A$1:$K$36,30,FALSE),0)</f>
        <v>0</v>
      </c>
      <c r="J1561">
        <f>IFERROR(HLOOKUP(J$2,[48]table_female_hkom2_inj.V1!$A$1:$K$36,30,FALSE),0)</f>
        <v>0</v>
      </c>
      <c r="K1561">
        <f>IFERROR(HLOOKUP(K$2,[48]table_female_hkom2_inj.V1!$A$1:$K$36,30,FALSE),0)</f>
        <v>0</v>
      </c>
      <c r="L1561">
        <f>IFERROR(HLOOKUP(L$2,[48]table_female_hkom2_inj.V1!$A$1:$K$36,30,FALSE),0)</f>
        <v>0</v>
      </c>
      <c r="M1561">
        <f t="shared" si="483"/>
        <v>0</v>
      </c>
      <c r="S1561" t="s">
        <v>98</v>
      </c>
      <c r="T1561" s="5">
        <f t="shared" si="484"/>
        <v>0</v>
      </c>
      <c r="U1561" s="5">
        <f t="shared" si="485"/>
        <v>0</v>
      </c>
      <c r="V1561" s="5">
        <f t="shared" si="486"/>
        <v>0</v>
      </c>
      <c r="W1561" s="5">
        <f t="shared" si="487"/>
        <v>0</v>
      </c>
      <c r="X1561" s="5">
        <f t="shared" si="488"/>
        <v>0</v>
      </c>
      <c r="Y1561" s="5">
        <f t="shared" si="489"/>
        <v>0</v>
      </c>
      <c r="Z1561" s="5">
        <f t="shared" si="490"/>
        <v>0</v>
      </c>
      <c r="AA1561" s="5">
        <f t="shared" si="491"/>
        <v>0</v>
      </c>
      <c r="AB1561" s="5">
        <f t="shared" si="492"/>
        <v>0</v>
      </c>
    </row>
    <row r="1562" spans="1:29" x14ac:dyDescent="0.25">
      <c r="D1562" t="s">
        <v>119</v>
      </c>
      <c r="E1562" s="64"/>
      <c r="F1562" s="64"/>
      <c r="G1562">
        <f>IFERROR(HLOOKUP(G$2,[48]table_female_hkom2_inj.V1!$A$1:$K$36,31,FALSE),0)</f>
        <v>0</v>
      </c>
      <c r="H1562">
        <f>IFERROR(HLOOKUP(H$2,[48]table_female_hkom2_inj.V1!$A$1:$K$36,31,FALSE),0)</f>
        <v>0</v>
      </c>
      <c r="I1562">
        <f>IFERROR(HLOOKUP(I$2,[48]table_female_hkom2_inj.V1!$A$1:$K$36,31,FALSE),0)</f>
        <v>0</v>
      </c>
      <c r="J1562">
        <f>IFERROR(HLOOKUP(J$2,[48]table_female_hkom2_inj.V1!$A$1:$K$36,31,FALSE),0)</f>
        <v>0</v>
      </c>
      <c r="K1562">
        <f>IFERROR(HLOOKUP(K$2,[48]table_female_hkom2_inj.V1!$A$1:$K$36,31,FALSE),0)</f>
        <v>0</v>
      </c>
      <c r="L1562">
        <f>IFERROR(HLOOKUP(L$2,[48]table_female_hkom2_inj.V1!$A$1:$K$36,31,FALSE),0)</f>
        <v>0</v>
      </c>
      <c r="M1562">
        <f t="shared" si="483"/>
        <v>0</v>
      </c>
      <c r="S1562" t="s">
        <v>119</v>
      </c>
      <c r="T1562" s="5">
        <f t="shared" si="484"/>
        <v>0</v>
      </c>
      <c r="U1562" s="5">
        <f t="shared" si="485"/>
        <v>0</v>
      </c>
      <c r="V1562" s="5">
        <f t="shared" si="486"/>
        <v>0</v>
      </c>
      <c r="W1562" s="5">
        <f t="shared" si="487"/>
        <v>0</v>
      </c>
      <c r="X1562" s="5">
        <f t="shared" si="488"/>
        <v>0</v>
      </c>
      <c r="Y1562" s="5">
        <f t="shared" si="489"/>
        <v>0</v>
      </c>
      <c r="Z1562" s="5">
        <f t="shared" si="490"/>
        <v>0</v>
      </c>
      <c r="AA1562" s="5">
        <f t="shared" si="491"/>
        <v>0</v>
      </c>
      <c r="AB1562" s="5">
        <f t="shared" si="492"/>
        <v>0</v>
      </c>
    </row>
    <row r="1563" spans="1:29" x14ac:dyDescent="0.25">
      <c r="D1563" t="s">
        <v>99</v>
      </c>
      <c r="E1563" s="64"/>
      <c r="F1563" s="64"/>
      <c r="G1563">
        <f>IFERROR(HLOOKUP(G$2,[48]table_female_hkom2_inj.V1!$A$1:$K$36,32,FALSE),0)</f>
        <v>0</v>
      </c>
      <c r="H1563">
        <f>IFERROR(HLOOKUP(H$2,[48]table_female_hkom2_inj.V1!$A$1:$K$36,32,FALSE),0)</f>
        <v>0</v>
      </c>
      <c r="I1563">
        <f>IFERROR(HLOOKUP(I$2,[48]table_female_hkom2_inj.V1!$A$1:$K$36,32,FALSE),0)</f>
        <v>0</v>
      </c>
      <c r="J1563">
        <f>IFERROR(HLOOKUP(J$2,[48]table_female_hkom2_inj.V1!$A$1:$K$36,32,FALSE),0)</f>
        <v>0</v>
      </c>
      <c r="K1563">
        <f>IFERROR(HLOOKUP(K$2,[48]table_female_hkom2_inj.V1!$A$1:$K$36,32,FALSE),0)</f>
        <v>0</v>
      </c>
      <c r="L1563">
        <f>IFERROR(HLOOKUP(L$2,[48]table_female_hkom2_inj.V1!$A$1:$K$36,32,FALSE),0)</f>
        <v>0</v>
      </c>
      <c r="M1563">
        <f t="shared" si="483"/>
        <v>0</v>
      </c>
      <c r="S1563" t="s">
        <v>99</v>
      </c>
      <c r="T1563" s="5">
        <f t="shared" si="484"/>
        <v>0</v>
      </c>
      <c r="U1563" s="5">
        <f t="shared" si="485"/>
        <v>0</v>
      </c>
      <c r="V1563" s="5">
        <f t="shared" si="486"/>
        <v>0</v>
      </c>
      <c r="W1563" s="5">
        <f t="shared" si="487"/>
        <v>0</v>
      </c>
      <c r="X1563" s="5">
        <f t="shared" si="488"/>
        <v>0</v>
      </c>
      <c r="Y1563" s="5">
        <f t="shared" si="489"/>
        <v>0</v>
      </c>
      <c r="Z1563" s="5">
        <f t="shared" si="490"/>
        <v>0</v>
      </c>
      <c r="AA1563" s="5">
        <f t="shared" si="491"/>
        <v>0</v>
      </c>
      <c r="AB1563" s="5">
        <f t="shared" si="492"/>
        <v>0</v>
      </c>
    </row>
    <row r="1564" spans="1:29" x14ac:dyDescent="0.25">
      <c r="D1564" t="s">
        <v>100</v>
      </c>
      <c r="E1564" s="64"/>
      <c r="F1564" s="64"/>
      <c r="G1564">
        <f>IFERROR(HLOOKUP(G$2,[48]table_female_hkom2_inj.V1!$A$1:$K$36,33,FALSE),0)</f>
        <v>7</v>
      </c>
      <c r="H1564">
        <f>IFERROR(HLOOKUP(H$2,[48]table_female_hkom2_inj.V1!$A$1:$K$36,33,FALSE),0)</f>
        <v>5</v>
      </c>
      <c r="I1564">
        <f>IFERROR(HLOOKUP(I$2,[48]table_female_hkom2_inj.V1!$A$1:$K$36,33,FALSE),0)</f>
        <v>3</v>
      </c>
      <c r="J1564">
        <f>IFERROR(HLOOKUP(J$2,[48]table_female_hkom2_inj.V1!$A$1:$K$36,33,FALSE),0)</f>
        <v>0</v>
      </c>
      <c r="K1564">
        <f>IFERROR(HLOOKUP(K$2,[48]table_female_hkom2_inj.V1!$A$1:$K$36,33,FALSE),0)</f>
        <v>0</v>
      </c>
      <c r="L1564">
        <f>IFERROR(HLOOKUP(L$2,[48]table_female_hkom2_inj.V1!$A$1:$K$36,33,FALSE),0)</f>
        <v>0</v>
      </c>
      <c r="M1564">
        <f t="shared" si="483"/>
        <v>15</v>
      </c>
      <c r="S1564" t="s">
        <v>100</v>
      </c>
      <c r="T1564" s="5">
        <f t="shared" si="484"/>
        <v>0</v>
      </c>
      <c r="U1564" s="5">
        <f t="shared" si="485"/>
        <v>0</v>
      </c>
      <c r="V1564" s="5">
        <f t="shared" si="486"/>
        <v>8</v>
      </c>
      <c r="W1564" s="5">
        <f t="shared" si="487"/>
        <v>5</v>
      </c>
      <c r="X1564" s="5">
        <f t="shared" si="488"/>
        <v>5</v>
      </c>
      <c r="Y1564" s="5">
        <f t="shared" si="489"/>
        <v>0</v>
      </c>
      <c r="Z1564" s="5">
        <f t="shared" si="490"/>
        <v>0</v>
      </c>
      <c r="AA1564" s="5">
        <f t="shared" si="491"/>
        <v>0</v>
      </c>
      <c r="AB1564" s="5">
        <f t="shared" si="492"/>
        <v>18</v>
      </c>
    </row>
    <row r="1565" spans="1:29" x14ac:dyDescent="0.25">
      <c r="D1565" t="s">
        <v>101</v>
      </c>
      <c r="E1565" s="64"/>
      <c r="F1565" s="64"/>
      <c r="G1565">
        <f>IFERROR(HLOOKUP(G$2,[48]table_female_hkom2_inj.V1!$A$1:$K$36,34,FALSE),0)</f>
        <v>0</v>
      </c>
      <c r="H1565">
        <f>IFERROR(HLOOKUP(H$2,[48]table_female_hkom2_inj.V1!$A$1:$K$36,34,FALSE),0)</f>
        <v>0</v>
      </c>
      <c r="I1565">
        <f>IFERROR(HLOOKUP(I$2,[48]table_female_hkom2_inj.V1!$A$1:$K$36,34,FALSE),0)</f>
        <v>0</v>
      </c>
      <c r="J1565">
        <f>IFERROR(HLOOKUP(J$2,[48]table_female_hkom2_inj.V1!$A$1:$K$36,34,FALSE),0)</f>
        <v>0</v>
      </c>
      <c r="K1565">
        <f>IFERROR(HLOOKUP(K$2,[48]table_female_hkom2_inj.V1!$A$1:$K$36,34,FALSE),0)</f>
        <v>0</v>
      </c>
      <c r="L1565">
        <f>IFERROR(HLOOKUP(L$2,[48]table_female_hkom2_inj.V1!$A$1:$K$36,34,FALSE),0)</f>
        <v>0</v>
      </c>
      <c r="M1565">
        <f t="shared" si="483"/>
        <v>0</v>
      </c>
      <c r="S1565" t="s">
        <v>101</v>
      </c>
      <c r="T1565" s="5">
        <f t="shared" si="484"/>
        <v>0</v>
      </c>
      <c r="U1565" s="5">
        <f t="shared" si="485"/>
        <v>0</v>
      </c>
      <c r="V1565" s="5">
        <f t="shared" si="486"/>
        <v>0</v>
      </c>
      <c r="W1565" s="5">
        <f t="shared" si="487"/>
        <v>0</v>
      </c>
      <c r="X1565" s="5">
        <f t="shared" si="488"/>
        <v>0</v>
      </c>
      <c r="Y1565" s="5">
        <f t="shared" si="489"/>
        <v>0</v>
      </c>
      <c r="Z1565" s="5">
        <f t="shared" si="490"/>
        <v>0</v>
      </c>
      <c r="AA1565" s="5">
        <f t="shared" si="491"/>
        <v>0</v>
      </c>
      <c r="AB1565" s="5">
        <f t="shared" si="492"/>
        <v>0</v>
      </c>
    </row>
    <row r="1566" spans="1:29" x14ac:dyDescent="0.25">
      <c r="D1566" t="s">
        <v>102</v>
      </c>
      <c r="E1566" s="64"/>
      <c r="F1566" s="64"/>
      <c r="G1566">
        <f>IFERROR(HLOOKUP(G$2,[48]table_female_hkom2_inj.V1!$A$1:$K$36,35,FALSE),0)</f>
        <v>1</v>
      </c>
      <c r="H1566">
        <f>IFERROR(HLOOKUP(H$2,[48]table_female_hkom2_inj.V1!$A$1:$K$36,35,FALSE),0)</f>
        <v>0</v>
      </c>
      <c r="I1566">
        <f>IFERROR(HLOOKUP(I$2,[48]table_female_hkom2_inj.V1!$A$1:$K$36,35,FALSE),0)</f>
        <v>2</v>
      </c>
      <c r="J1566">
        <f>IFERROR(HLOOKUP(J$2,[48]table_female_hkom2_inj.V1!$A$1:$K$36,35,FALSE),0)</f>
        <v>0</v>
      </c>
      <c r="K1566">
        <f>IFERROR(HLOOKUP(K$2,[48]table_female_hkom2_inj.V1!$A$1:$K$36,35,FALSE),0)</f>
        <v>0</v>
      </c>
      <c r="L1566">
        <f>IFERROR(HLOOKUP(L$2,[48]table_female_hkom2_inj.V1!$A$1:$K$36,35,FALSE),0)</f>
        <v>0</v>
      </c>
      <c r="M1566">
        <f t="shared" si="483"/>
        <v>3</v>
      </c>
      <c r="N1566">
        <f>SUM(M1533:M1566)</f>
        <v>19</v>
      </c>
      <c r="O1566" s="8">
        <f>SUM([48]table_female_hkom2_inj.V1!$B$2:$L$36)</f>
        <v>19</v>
      </c>
      <c r="S1566" t="s">
        <v>102</v>
      </c>
      <c r="T1566" s="7"/>
      <c r="U1566" s="7"/>
      <c r="V1566" s="7"/>
      <c r="W1566" s="7"/>
      <c r="X1566" s="7"/>
      <c r="Y1566" s="7"/>
      <c r="Z1566" s="7"/>
      <c r="AA1566" s="7"/>
      <c r="AB1566" s="5">
        <f t="shared" si="492"/>
        <v>0</v>
      </c>
      <c r="AC1566" s="5">
        <f>SUM(AB1533:AB1565)</f>
        <v>19</v>
      </c>
    </row>
    <row r="1567" spans="1:29" x14ac:dyDescent="0.25">
      <c r="A1567" t="s">
        <v>115</v>
      </c>
      <c r="B1567" t="s">
        <v>116</v>
      </c>
      <c r="C1567" t="s">
        <v>106</v>
      </c>
      <c r="D1567" t="s">
        <v>70</v>
      </c>
      <c r="E1567" s="64"/>
      <c r="F1567" s="64"/>
      <c r="G1567">
        <f>IFERROR(HLOOKUP(G$2,[49]table_female_hkom2_inj.V2!$A$1:$K$36,2,FALSE),0)</f>
        <v>0</v>
      </c>
      <c r="H1567">
        <f>IFERROR(HLOOKUP(H$2,[49]table_female_hkom2_inj.V2!$A$1:$K$36,2,FALSE),0)</f>
        <v>0</v>
      </c>
      <c r="I1567">
        <f>IFERROR(HLOOKUP(I$2,[49]table_female_hkom2_inj.V2!$A$1:$K$36,2,FALSE),0)</f>
        <v>0</v>
      </c>
      <c r="J1567">
        <f>IFERROR(HLOOKUP(J$2,[49]table_female_hkom2_inj.V2!$A$1:$K$36,2,FALSE),0)</f>
        <v>0</v>
      </c>
      <c r="K1567">
        <f>IFERROR(HLOOKUP(K$2,[49]table_female_hkom2_inj.V2!$A$1:$K$36,2,FALSE),0)</f>
        <v>0</v>
      </c>
      <c r="L1567">
        <f>IFERROR(HLOOKUP(L$2,[49]table_female_hkom2_inj.V2!$A$1:$K$36,2,FALSE),0)</f>
        <v>0</v>
      </c>
      <c r="M1567">
        <f>SUM(E1567:L1567)</f>
        <v>0</v>
      </c>
      <c r="P1567" t="s">
        <v>115</v>
      </c>
      <c r="Q1567" t="s">
        <v>116</v>
      </c>
      <c r="R1567" t="s">
        <v>106</v>
      </c>
      <c r="S1567" t="s">
        <v>70</v>
      </c>
      <c r="T1567" s="5">
        <f>IF(SUM(E$1567:E$1599)=0,E$1600/33,E1567+IFERROR(E1567/SUM(E$1567:E$1599)*E$1600,0))</f>
        <v>0</v>
      </c>
      <c r="U1567" s="5">
        <f t="shared" ref="U1567:AA1567" si="493">IF(SUM(F$1567:F$1599)=0,F$1600/33,F1567+IFERROR(F1567/SUM(F$1567:F$1599)*F$1600,0))</f>
        <v>0</v>
      </c>
      <c r="V1567" s="5">
        <f t="shared" si="493"/>
        <v>0</v>
      </c>
      <c r="W1567" s="5">
        <f t="shared" si="493"/>
        <v>0</v>
      </c>
      <c r="X1567" s="5">
        <f t="shared" si="493"/>
        <v>0</v>
      </c>
      <c r="Y1567" s="5">
        <f t="shared" si="493"/>
        <v>0</v>
      </c>
      <c r="Z1567" s="5">
        <f t="shared" si="493"/>
        <v>0</v>
      </c>
      <c r="AA1567" s="5">
        <f t="shared" si="493"/>
        <v>0</v>
      </c>
      <c r="AB1567" s="5">
        <f t="shared" si="492"/>
        <v>0</v>
      </c>
    </row>
    <row r="1568" spans="1:29" x14ac:dyDescent="0.25">
      <c r="D1568" t="s">
        <v>71</v>
      </c>
      <c r="E1568" s="64"/>
      <c r="F1568" s="64"/>
      <c r="G1568">
        <f>IFERROR(HLOOKUP(G$2,[49]table_female_hkom2_inj.V2!$A$1:$K$36,3,FALSE),0)</f>
        <v>2</v>
      </c>
      <c r="H1568">
        <f>IFERROR(HLOOKUP(H$2,[49]table_female_hkom2_inj.V2!$A$1:$K$36,3,FALSE),0)</f>
        <v>8</v>
      </c>
      <c r="I1568">
        <f>IFERROR(HLOOKUP(I$2,[49]table_female_hkom2_inj.V2!$A$1:$K$36,3,FALSE),0)</f>
        <v>5</v>
      </c>
      <c r="J1568">
        <f>IFERROR(HLOOKUP(J$2,[49]table_female_hkom2_inj.V2!$A$1:$K$36,3,FALSE),0)</f>
        <v>0</v>
      </c>
      <c r="K1568">
        <f>IFERROR(HLOOKUP(K$2,[49]table_female_hkom2_inj.V2!$A$1:$K$36,3,FALSE),0)</f>
        <v>0</v>
      </c>
      <c r="L1568">
        <f>IFERROR(HLOOKUP(L$2,[49]table_female_hkom2_inj.V2!$A$1:$K$36,3,FALSE),0)</f>
        <v>0</v>
      </c>
      <c r="M1568">
        <f t="shared" ref="M1568:M1600" si="494">SUM(E1568:L1568)</f>
        <v>15</v>
      </c>
      <c r="S1568" t="s">
        <v>71</v>
      </c>
      <c r="T1568" s="5">
        <f t="shared" ref="T1568:T1599" si="495">IF(SUM(E$1567:E$1599)=0,E$1600/33,E1568+IFERROR(E1568/SUM(E$1567:E$1599)*E$1600,0))</f>
        <v>0</v>
      </c>
      <c r="U1568" s="5">
        <f t="shared" ref="U1568:U1599" si="496">IF(SUM(F$1567:F$1599)=0,F$1600/33,F1568+IFERROR(F1568/SUM(F$1567:F$1599)*F$1600,0))</f>
        <v>0</v>
      </c>
      <c r="V1568" s="5">
        <f t="shared" ref="V1568:V1599" si="497">IF(SUM(G$1567:G$1599)=0,G$1600/33,G1568+IFERROR(G1568/SUM(G$1567:G$1599)*G$1600,0))</f>
        <v>2.6666666666666665</v>
      </c>
      <c r="W1568" s="5">
        <f t="shared" ref="W1568:W1599" si="498">IF(SUM(H$1567:H$1599)=0,H$1600/33,H1568+IFERROR(H1568/SUM(H$1567:H$1599)*H$1600,0))</f>
        <v>8.5925925925925917</v>
      </c>
      <c r="X1568" s="5">
        <f t="shared" ref="X1568:X1599" si="499">IF(SUM(I$1567:I$1599)=0,I$1600/33,I1568+IFERROR(I1568/SUM(I$1567:I$1599)*I$1600,0))</f>
        <v>5.2941176470588234</v>
      </c>
      <c r="Y1568" s="5">
        <f t="shared" ref="Y1568:Y1599" si="500">IF(SUM(J$1567:J$1599)=0,J$1600/33,J1568+IFERROR(J1568/SUM(J$1567:J$1599)*J$1600,0))</f>
        <v>0</v>
      </c>
      <c r="Z1568" s="5">
        <f t="shared" ref="Z1568:Z1599" si="501">IF(SUM(K$1567:K$1599)=0,K$1600/33,K1568+IFERROR(K1568/SUM(K$1567:K$1599)*K$1600,0))</f>
        <v>0</v>
      </c>
      <c r="AA1568" s="5">
        <f t="shared" ref="AA1568:AA1599" si="502">IF(SUM(L$1567:L$1599)=0,L$1600/33,L1568+IFERROR(L1568/SUM(L$1567:L$1599)*L$1600,0))</f>
        <v>0</v>
      </c>
      <c r="AB1568" s="5">
        <f t="shared" si="492"/>
        <v>16.553376906318082</v>
      </c>
    </row>
    <row r="1569" spans="4:28" x14ac:dyDescent="0.25">
      <c r="D1569" t="s">
        <v>72</v>
      </c>
      <c r="E1569" s="64"/>
      <c r="F1569" s="64"/>
      <c r="G1569">
        <f>IFERROR(HLOOKUP(G$2,[49]table_female_hkom2_inj.V2!$A$1:$K$36,4,FALSE),0)</f>
        <v>0</v>
      </c>
      <c r="H1569">
        <f>IFERROR(HLOOKUP(H$2,[49]table_female_hkom2_inj.V2!$A$1:$K$36,4,FALSE),0)</f>
        <v>1</v>
      </c>
      <c r="I1569">
        <f>IFERROR(HLOOKUP(I$2,[49]table_female_hkom2_inj.V2!$A$1:$K$36,4,FALSE),0)</f>
        <v>0</v>
      </c>
      <c r="J1569">
        <f>IFERROR(HLOOKUP(J$2,[49]table_female_hkom2_inj.V2!$A$1:$K$36,4,FALSE),0)</f>
        <v>0</v>
      </c>
      <c r="K1569">
        <f>IFERROR(HLOOKUP(K$2,[49]table_female_hkom2_inj.V2!$A$1:$K$36,4,FALSE),0)</f>
        <v>0</v>
      </c>
      <c r="L1569">
        <f>IFERROR(HLOOKUP(L$2,[49]table_female_hkom2_inj.V2!$A$1:$K$36,4,FALSE),0)</f>
        <v>0</v>
      </c>
      <c r="M1569">
        <f t="shared" si="494"/>
        <v>1</v>
      </c>
      <c r="S1569" t="s">
        <v>72</v>
      </c>
      <c r="T1569" s="5">
        <f t="shared" si="495"/>
        <v>0</v>
      </c>
      <c r="U1569" s="5">
        <f t="shared" si="496"/>
        <v>0</v>
      </c>
      <c r="V1569" s="5">
        <f t="shared" si="497"/>
        <v>0</v>
      </c>
      <c r="W1569" s="5">
        <f t="shared" si="498"/>
        <v>1.074074074074074</v>
      </c>
      <c r="X1569" s="5">
        <f t="shared" si="499"/>
        <v>0</v>
      </c>
      <c r="Y1569" s="5">
        <f t="shared" si="500"/>
        <v>0</v>
      </c>
      <c r="Z1569" s="5">
        <f t="shared" si="501"/>
        <v>0</v>
      </c>
      <c r="AA1569" s="5">
        <f t="shared" si="502"/>
        <v>0</v>
      </c>
      <c r="AB1569" s="5">
        <f t="shared" si="492"/>
        <v>1.074074074074074</v>
      </c>
    </row>
    <row r="1570" spans="4:28" x14ac:dyDescent="0.25">
      <c r="D1570" t="s">
        <v>73</v>
      </c>
      <c r="E1570" s="64"/>
      <c r="F1570" s="64"/>
      <c r="G1570">
        <f>IFERROR(HLOOKUP(G$2,[49]table_female_hkom2_inj.V2!$A$1:$K$36,5,FALSE),0)</f>
        <v>0</v>
      </c>
      <c r="H1570">
        <f>IFERROR(HLOOKUP(H$2,[49]table_female_hkom2_inj.V2!$A$1:$K$36,5,FALSE),0)</f>
        <v>0</v>
      </c>
      <c r="I1570">
        <f>IFERROR(HLOOKUP(I$2,[49]table_female_hkom2_inj.V2!$A$1:$K$36,5,FALSE),0)</f>
        <v>0</v>
      </c>
      <c r="J1570">
        <f>IFERROR(HLOOKUP(J$2,[49]table_female_hkom2_inj.V2!$A$1:$K$36,5,FALSE),0)</f>
        <v>0</v>
      </c>
      <c r="K1570">
        <f>IFERROR(HLOOKUP(K$2,[49]table_female_hkom2_inj.V2!$A$1:$K$36,5,FALSE),0)</f>
        <v>0</v>
      </c>
      <c r="L1570">
        <f>IFERROR(HLOOKUP(L$2,[49]table_female_hkom2_inj.V2!$A$1:$K$36,5,FALSE),0)</f>
        <v>0</v>
      </c>
      <c r="M1570">
        <f t="shared" si="494"/>
        <v>0</v>
      </c>
      <c r="S1570" t="s">
        <v>73</v>
      </c>
      <c r="T1570" s="5">
        <f t="shared" si="495"/>
        <v>0</v>
      </c>
      <c r="U1570" s="5">
        <f t="shared" si="496"/>
        <v>0</v>
      </c>
      <c r="V1570" s="5">
        <f t="shared" si="497"/>
        <v>0</v>
      </c>
      <c r="W1570" s="5">
        <f t="shared" si="498"/>
        <v>0</v>
      </c>
      <c r="X1570" s="5">
        <f t="shared" si="499"/>
        <v>0</v>
      </c>
      <c r="Y1570" s="5">
        <f t="shared" si="500"/>
        <v>0</v>
      </c>
      <c r="Z1570" s="5">
        <f t="shared" si="501"/>
        <v>0</v>
      </c>
      <c r="AA1570" s="5">
        <f t="shared" si="502"/>
        <v>0</v>
      </c>
      <c r="AB1570" s="5">
        <f t="shared" si="492"/>
        <v>0</v>
      </c>
    </row>
    <row r="1571" spans="4:28" x14ac:dyDescent="0.25">
      <c r="D1571" t="s">
        <v>74</v>
      </c>
      <c r="E1571" s="64"/>
      <c r="F1571" s="64"/>
      <c r="G1571">
        <f>IFERROR(HLOOKUP(G$2,[49]table_female_hkom2_inj.V2!$A$1:$K$36,6,FALSE),0)</f>
        <v>2</v>
      </c>
      <c r="H1571">
        <f>IFERROR(HLOOKUP(H$2,[49]table_female_hkom2_inj.V2!$A$1:$K$36,6,FALSE),0)</f>
        <v>0</v>
      </c>
      <c r="I1571">
        <f>IFERROR(HLOOKUP(I$2,[49]table_female_hkom2_inj.V2!$A$1:$K$36,6,FALSE),0)</f>
        <v>4</v>
      </c>
      <c r="J1571">
        <f>IFERROR(HLOOKUP(J$2,[49]table_female_hkom2_inj.V2!$A$1:$K$36,6,FALSE),0)</f>
        <v>0</v>
      </c>
      <c r="K1571">
        <f>IFERROR(HLOOKUP(K$2,[49]table_female_hkom2_inj.V2!$A$1:$K$36,6,FALSE),0)</f>
        <v>0</v>
      </c>
      <c r="L1571">
        <f>IFERROR(HLOOKUP(L$2,[49]table_female_hkom2_inj.V2!$A$1:$K$36,6,FALSE),0)</f>
        <v>0</v>
      </c>
      <c r="M1571">
        <f t="shared" si="494"/>
        <v>6</v>
      </c>
      <c r="S1571" t="s">
        <v>74</v>
      </c>
      <c r="T1571" s="5">
        <f t="shared" si="495"/>
        <v>0</v>
      </c>
      <c r="U1571" s="5">
        <f t="shared" si="496"/>
        <v>0</v>
      </c>
      <c r="V1571" s="5">
        <f t="shared" si="497"/>
        <v>2.6666666666666665</v>
      </c>
      <c r="W1571" s="5">
        <f t="shared" si="498"/>
        <v>0</v>
      </c>
      <c r="X1571" s="5">
        <f t="shared" si="499"/>
        <v>4.2352941176470589</v>
      </c>
      <c r="Y1571" s="5">
        <f t="shared" si="500"/>
        <v>0</v>
      </c>
      <c r="Z1571" s="5">
        <f t="shared" si="501"/>
        <v>0</v>
      </c>
      <c r="AA1571" s="5">
        <f t="shared" si="502"/>
        <v>0</v>
      </c>
      <c r="AB1571" s="5">
        <f t="shared" si="492"/>
        <v>6.9019607843137258</v>
      </c>
    </row>
    <row r="1572" spans="4:28" x14ac:dyDescent="0.25">
      <c r="D1572" t="s">
        <v>75</v>
      </c>
      <c r="E1572" s="64"/>
      <c r="F1572" s="64"/>
      <c r="G1572">
        <f>IFERROR(HLOOKUP(G$2,[49]table_female_hkom2_inj.V2!$A$1:$K$36,7,FALSE),0)</f>
        <v>1</v>
      </c>
      <c r="H1572">
        <f>IFERROR(HLOOKUP(H$2,[49]table_female_hkom2_inj.V2!$A$1:$K$36,7,FALSE),0)</f>
        <v>0</v>
      </c>
      <c r="I1572">
        <f>IFERROR(HLOOKUP(I$2,[49]table_female_hkom2_inj.V2!$A$1:$K$36,7,FALSE),0)</f>
        <v>0</v>
      </c>
      <c r="J1572">
        <f>IFERROR(HLOOKUP(J$2,[49]table_female_hkom2_inj.V2!$A$1:$K$36,7,FALSE),0)</f>
        <v>0</v>
      </c>
      <c r="K1572">
        <f>IFERROR(HLOOKUP(K$2,[49]table_female_hkom2_inj.V2!$A$1:$K$36,7,FALSE),0)</f>
        <v>0</v>
      </c>
      <c r="L1572">
        <f>IFERROR(HLOOKUP(L$2,[49]table_female_hkom2_inj.V2!$A$1:$K$36,7,FALSE),0)</f>
        <v>0</v>
      </c>
      <c r="M1572">
        <f t="shared" si="494"/>
        <v>1</v>
      </c>
      <c r="S1572" t="s">
        <v>75</v>
      </c>
      <c r="T1572" s="5">
        <f t="shared" si="495"/>
        <v>0</v>
      </c>
      <c r="U1572" s="5">
        <f t="shared" si="496"/>
        <v>0</v>
      </c>
      <c r="V1572" s="5">
        <f t="shared" si="497"/>
        <v>1.3333333333333333</v>
      </c>
      <c r="W1572" s="5">
        <f t="shared" si="498"/>
        <v>0</v>
      </c>
      <c r="X1572" s="5">
        <f t="shared" si="499"/>
        <v>0</v>
      </c>
      <c r="Y1572" s="5">
        <f t="shared" si="500"/>
        <v>0</v>
      </c>
      <c r="Z1572" s="5">
        <f t="shared" si="501"/>
        <v>0</v>
      </c>
      <c r="AA1572" s="5">
        <f t="shared" si="502"/>
        <v>0</v>
      </c>
      <c r="AB1572" s="5">
        <f t="shared" si="492"/>
        <v>1.3333333333333333</v>
      </c>
    </row>
    <row r="1573" spans="4:28" x14ac:dyDescent="0.25">
      <c r="D1573" t="s">
        <v>76</v>
      </c>
      <c r="E1573" s="64"/>
      <c r="F1573" s="64"/>
      <c r="G1573">
        <f>IFERROR(HLOOKUP(G$2,[49]table_female_hkom2_inj.V2!$A$1:$K$36,8,FALSE),0)</f>
        <v>0</v>
      </c>
      <c r="H1573">
        <f>IFERROR(HLOOKUP(H$2,[49]table_female_hkom2_inj.V2!$A$1:$K$36,8,FALSE),0)</f>
        <v>1</v>
      </c>
      <c r="I1573">
        <f>IFERROR(HLOOKUP(I$2,[49]table_female_hkom2_inj.V2!$A$1:$K$36,8,FALSE),0)</f>
        <v>3</v>
      </c>
      <c r="J1573">
        <f>IFERROR(HLOOKUP(J$2,[49]table_female_hkom2_inj.V2!$A$1:$K$36,8,FALSE),0)</f>
        <v>0</v>
      </c>
      <c r="K1573">
        <f>IFERROR(HLOOKUP(K$2,[49]table_female_hkom2_inj.V2!$A$1:$K$36,8,FALSE),0)</f>
        <v>0</v>
      </c>
      <c r="L1573">
        <f>IFERROR(HLOOKUP(L$2,[49]table_female_hkom2_inj.V2!$A$1:$K$36,8,FALSE),0)</f>
        <v>0</v>
      </c>
      <c r="M1573">
        <f t="shared" si="494"/>
        <v>4</v>
      </c>
      <c r="S1573" t="s">
        <v>76</v>
      </c>
      <c r="T1573" s="5">
        <f t="shared" si="495"/>
        <v>0</v>
      </c>
      <c r="U1573" s="5">
        <f t="shared" si="496"/>
        <v>0</v>
      </c>
      <c r="V1573" s="5">
        <f t="shared" si="497"/>
        <v>0</v>
      </c>
      <c r="W1573" s="5">
        <f t="shared" si="498"/>
        <v>1.074074074074074</v>
      </c>
      <c r="X1573" s="5">
        <f t="shared" si="499"/>
        <v>3.1764705882352939</v>
      </c>
      <c r="Y1573" s="5">
        <f t="shared" si="500"/>
        <v>0</v>
      </c>
      <c r="Z1573" s="5">
        <f t="shared" si="501"/>
        <v>0</v>
      </c>
      <c r="AA1573" s="5">
        <f t="shared" si="502"/>
        <v>0</v>
      </c>
      <c r="AB1573" s="5">
        <f t="shared" si="492"/>
        <v>4.2505446623093679</v>
      </c>
    </row>
    <row r="1574" spans="4:28" x14ac:dyDescent="0.25">
      <c r="D1574" t="s">
        <v>77</v>
      </c>
      <c r="E1574" s="64"/>
      <c r="F1574" s="64"/>
      <c r="G1574">
        <f>IFERROR(HLOOKUP(G$2,[49]table_female_hkom2_inj.V2!$A$1:$K$36,9,FALSE),0)</f>
        <v>1</v>
      </c>
      <c r="H1574">
        <f>IFERROR(HLOOKUP(H$2,[49]table_female_hkom2_inj.V2!$A$1:$K$36,9,FALSE),0)</f>
        <v>1</v>
      </c>
      <c r="I1574">
        <f>IFERROR(HLOOKUP(I$2,[49]table_female_hkom2_inj.V2!$A$1:$K$36,9,FALSE),0)</f>
        <v>0</v>
      </c>
      <c r="J1574">
        <f>IFERROR(HLOOKUP(J$2,[49]table_female_hkom2_inj.V2!$A$1:$K$36,9,FALSE),0)</f>
        <v>0</v>
      </c>
      <c r="K1574">
        <f>IFERROR(HLOOKUP(K$2,[49]table_female_hkom2_inj.V2!$A$1:$K$36,9,FALSE),0)</f>
        <v>0</v>
      </c>
      <c r="L1574">
        <f>IFERROR(HLOOKUP(L$2,[49]table_female_hkom2_inj.V2!$A$1:$K$36,9,FALSE),0)</f>
        <v>0</v>
      </c>
      <c r="M1574">
        <f t="shared" si="494"/>
        <v>2</v>
      </c>
      <c r="S1574" t="s">
        <v>77</v>
      </c>
      <c r="T1574" s="5">
        <f t="shared" si="495"/>
        <v>0</v>
      </c>
      <c r="U1574" s="5">
        <f t="shared" si="496"/>
        <v>0</v>
      </c>
      <c r="V1574" s="5">
        <f t="shared" si="497"/>
        <v>1.3333333333333333</v>
      </c>
      <c r="W1574" s="5">
        <f t="shared" si="498"/>
        <v>1.074074074074074</v>
      </c>
      <c r="X1574" s="5">
        <f t="shared" si="499"/>
        <v>0</v>
      </c>
      <c r="Y1574" s="5">
        <f t="shared" si="500"/>
        <v>0</v>
      </c>
      <c r="Z1574" s="5">
        <f t="shared" si="501"/>
        <v>0</v>
      </c>
      <c r="AA1574" s="5">
        <f t="shared" si="502"/>
        <v>0</v>
      </c>
      <c r="AB1574" s="5">
        <f t="shared" si="492"/>
        <v>2.4074074074074074</v>
      </c>
    </row>
    <row r="1575" spans="4:28" x14ac:dyDescent="0.25">
      <c r="D1575" t="s">
        <v>78</v>
      </c>
      <c r="E1575" s="64"/>
      <c r="F1575" s="64"/>
      <c r="G1575">
        <f>IFERROR(HLOOKUP(G$2,[49]table_female_hkom2_inj.V2!$A$1:$K$36,10,FALSE),0)</f>
        <v>0</v>
      </c>
      <c r="H1575">
        <f>IFERROR(HLOOKUP(H$2,[49]table_female_hkom2_inj.V2!$A$1:$K$36,10,FALSE),0)</f>
        <v>0</v>
      </c>
      <c r="I1575">
        <f>IFERROR(HLOOKUP(I$2,[49]table_female_hkom2_inj.V2!$A$1:$K$36,10,FALSE),0)</f>
        <v>0</v>
      </c>
      <c r="J1575">
        <f>IFERROR(HLOOKUP(J$2,[49]table_female_hkom2_inj.V2!$A$1:$K$36,10,FALSE),0)</f>
        <v>0</v>
      </c>
      <c r="K1575">
        <f>IFERROR(HLOOKUP(K$2,[49]table_female_hkom2_inj.V2!$A$1:$K$36,10,FALSE),0)</f>
        <v>0</v>
      </c>
      <c r="L1575">
        <f>IFERROR(HLOOKUP(L$2,[49]table_female_hkom2_inj.V2!$A$1:$K$36,10,FALSE),0)</f>
        <v>0</v>
      </c>
      <c r="M1575">
        <f t="shared" si="494"/>
        <v>0</v>
      </c>
      <c r="S1575" t="s">
        <v>78</v>
      </c>
      <c r="T1575" s="5">
        <f t="shared" si="495"/>
        <v>0</v>
      </c>
      <c r="U1575" s="5">
        <f t="shared" si="496"/>
        <v>0</v>
      </c>
      <c r="V1575" s="5">
        <f t="shared" si="497"/>
        <v>0</v>
      </c>
      <c r="W1575" s="5">
        <f t="shared" si="498"/>
        <v>0</v>
      </c>
      <c r="X1575" s="5">
        <f t="shared" si="499"/>
        <v>0</v>
      </c>
      <c r="Y1575" s="5">
        <f t="shared" si="500"/>
        <v>0</v>
      </c>
      <c r="Z1575" s="5">
        <f t="shared" si="501"/>
        <v>0</v>
      </c>
      <c r="AA1575" s="5">
        <f t="shared" si="502"/>
        <v>0</v>
      </c>
      <c r="AB1575" s="5">
        <f t="shared" si="492"/>
        <v>0</v>
      </c>
    </row>
    <row r="1576" spans="4:28" x14ac:dyDescent="0.25">
      <c r="D1576" t="s">
        <v>79</v>
      </c>
      <c r="E1576" s="64"/>
      <c r="F1576" s="64"/>
      <c r="G1576">
        <f>IFERROR(HLOOKUP(G$2,[49]table_female_hkom2_inj.V2!$A$1:$K$36,11,FALSE),0)</f>
        <v>0</v>
      </c>
      <c r="H1576">
        <f>IFERROR(HLOOKUP(H$2,[49]table_female_hkom2_inj.V2!$A$1:$K$36,11,FALSE),0)</f>
        <v>0</v>
      </c>
      <c r="I1576">
        <f>IFERROR(HLOOKUP(I$2,[49]table_female_hkom2_inj.V2!$A$1:$K$36,11,FALSE),0)</f>
        <v>1</v>
      </c>
      <c r="J1576">
        <f>IFERROR(HLOOKUP(J$2,[49]table_female_hkom2_inj.V2!$A$1:$K$36,11,FALSE),0)</f>
        <v>0</v>
      </c>
      <c r="K1576">
        <f>IFERROR(HLOOKUP(K$2,[49]table_female_hkom2_inj.V2!$A$1:$K$36,11,FALSE),0)</f>
        <v>0</v>
      </c>
      <c r="L1576">
        <f>IFERROR(HLOOKUP(L$2,[49]table_female_hkom2_inj.V2!$A$1:$K$36,11,FALSE),0)</f>
        <v>0</v>
      </c>
      <c r="M1576">
        <f t="shared" si="494"/>
        <v>1</v>
      </c>
      <c r="S1576" t="s">
        <v>79</v>
      </c>
      <c r="T1576" s="5">
        <f t="shared" si="495"/>
        <v>0</v>
      </c>
      <c r="U1576" s="5">
        <f t="shared" si="496"/>
        <v>0</v>
      </c>
      <c r="V1576" s="5">
        <f t="shared" si="497"/>
        <v>0</v>
      </c>
      <c r="W1576" s="5">
        <f t="shared" si="498"/>
        <v>0</v>
      </c>
      <c r="X1576" s="5">
        <f t="shared" si="499"/>
        <v>1.0588235294117647</v>
      </c>
      <c r="Y1576" s="5">
        <f t="shared" si="500"/>
        <v>0</v>
      </c>
      <c r="Z1576" s="5">
        <f t="shared" si="501"/>
        <v>0</v>
      </c>
      <c r="AA1576" s="5">
        <f t="shared" si="502"/>
        <v>0</v>
      </c>
      <c r="AB1576" s="5">
        <f t="shared" si="492"/>
        <v>1.0588235294117647</v>
      </c>
    </row>
    <row r="1577" spans="4:28" x14ac:dyDescent="0.25">
      <c r="D1577" t="s">
        <v>80</v>
      </c>
      <c r="E1577" s="64"/>
      <c r="F1577" s="64"/>
      <c r="G1577">
        <f>IFERROR(HLOOKUP(G$2,[49]table_female_hkom2_inj.V2!$A$1:$K$36,12,FALSE),0)</f>
        <v>0</v>
      </c>
      <c r="H1577">
        <f>IFERROR(HLOOKUP(H$2,[49]table_female_hkom2_inj.V2!$A$1:$K$36,12,FALSE),0)</f>
        <v>1</v>
      </c>
      <c r="I1577">
        <f>IFERROR(HLOOKUP(I$2,[49]table_female_hkom2_inj.V2!$A$1:$K$36,12,FALSE),0)</f>
        <v>0</v>
      </c>
      <c r="J1577">
        <f>IFERROR(HLOOKUP(J$2,[49]table_female_hkom2_inj.V2!$A$1:$K$36,12,FALSE),0)</f>
        <v>0</v>
      </c>
      <c r="K1577">
        <f>IFERROR(HLOOKUP(K$2,[49]table_female_hkom2_inj.V2!$A$1:$K$36,12,FALSE),0)</f>
        <v>0</v>
      </c>
      <c r="L1577">
        <f>IFERROR(HLOOKUP(L$2,[49]table_female_hkom2_inj.V2!$A$1:$K$36,12,FALSE),0)</f>
        <v>0</v>
      </c>
      <c r="M1577">
        <f t="shared" si="494"/>
        <v>1</v>
      </c>
      <c r="S1577" t="s">
        <v>80</v>
      </c>
      <c r="T1577" s="5">
        <f t="shared" si="495"/>
        <v>0</v>
      </c>
      <c r="U1577" s="5">
        <f t="shared" si="496"/>
        <v>0</v>
      </c>
      <c r="V1577" s="5">
        <f t="shared" si="497"/>
        <v>0</v>
      </c>
      <c r="W1577" s="5">
        <f t="shared" si="498"/>
        <v>1.074074074074074</v>
      </c>
      <c r="X1577" s="5">
        <f t="shared" si="499"/>
        <v>0</v>
      </c>
      <c r="Y1577" s="5">
        <f t="shared" si="500"/>
        <v>0</v>
      </c>
      <c r="Z1577" s="5">
        <f t="shared" si="501"/>
        <v>0</v>
      </c>
      <c r="AA1577" s="5">
        <f t="shared" si="502"/>
        <v>0</v>
      </c>
      <c r="AB1577" s="5">
        <f t="shared" si="492"/>
        <v>1.074074074074074</v>
      </c>
    </row>
    <row r="1578" spans="4:28" x14ac:dyDescent="0.25">
      <c r="D1578" t="s">
        <v>81</v>
      </c>
      <c r="E1578" s="64"/>
      <c r="F1578" s="64"/>
      <c r="G1578">
        <f>IFERROR(HLOOKUP(G$2,[49]table_female_hkom2_inj.V2!$A$1:$K$36,13,FALSE),0)</f>
        <v>0</v>
      </c>
      <c r="H1578">
        <f>IFERROR(HLOOKUP(H$2,[49]table_female_hkom2_inj.V2!$A$1:$K$36,13,FALSE),0)</f>
        <v>0</v>
      </c>
      <c r="I1578">
        <f>IFERROR(HLOOKUP(I$2,[49]table_female_hkom2_inj.V2!$A$1:$K$36,13,FALSE),0)</f>
        <v>0</v>
      </c>
      <c r="J1578">
        <f>IFERROR(HLOOKUP(J$2,[49]table_female_hkom2_inj.V2!$A$1:$K$36,13,FALSE),0)</f>
        <v>0</v>
      </c>
      <c r="K1578">
        <f>IFERROR(HLOOKUP(K$2,[49]table_female_hkom2_inj.V2!$A$1:$K$36,13,FALSE),0)</f>
        <v>0</v>
      </c>
      <c r="L1578">
        <f>IFERROR(HLOOKUP(L$2,[49]table_female_hkom2_inj.V2!$A$1:$K$36,13,FALSE),0)</f>
        <v>0</v>
      </c>
      <c r="M1578">
        <f t="shared" si="494"/>
        <v>0</v>
      </c>
      <c r="S1578" t="s">
        <v>81</v>
      </c>
      <c r="T1578" s="5">
        <f t="shared" si="495"/>
        <v>0</v>
      </c>
      <c r="U1578" s="5">
        <f t="shared" si="496"/>
        <v>0</v>
      </c>
      <c r="V1578" s="5">
        <f t="shared" si="497"/>
        <v>0</v>
      </c>
      <c r="W1578" s="5">
        <f t="shared" si="498"/>
        <v>0</v>
      </c>
      <c r="X1578" s="5">
        <f t="shared" si="499"/>
        <v>0</v>
      </c>
      <c r="Y1578" s="5">
        <f t="shared" si="500"/>
        <v>0</v>
      </c>
      <c r="Z1578" s="5">
        <f t="shared" si="501"/>
        <v>0</v>
      </c>
      <c r="AA1578" s="5">
        <f t="shared" si="502"/>
        <v>0</v>
      </c>
      <c r="AB1578" s="5">
        <f t="shared" si="492"/>
        <v>0</v>
      </c>
    </row>
    <row r="1579" spans="4:28" x14ac:dyDescent="0.25">
      <c r="D1579" t="s">
        <v>82</v>
      </c>
      <c r="E1579" s="64"/>
      <c r="F1579" s="64"/>
      <c r="G1579">
        <f>IFERROR(HLOOKUP(G$2,[49]table_female_hkom2_inj.V2!$A$1:$K$36,14,FALSE),0)</f>
        <v>0</v>
      </c>
      <c r="H1579">
        <f>IFERROR(HLOOKUP(H$2,[49]table_female_hkom2_inj.V2!$A$1:$K$36,14,FALSE),0)</f>
        <v>0</v>
      </c>
      <c r="I1579">
        <f>IFERROR(HLOOKUP(I$2,[49]table_female_hkom2_inj.V2!$A$1:$K$36,14,FALSE),0)</f>
        <v>0</v>
      </c>
      <c r="J1579">
        <f>IFERROR(HLOOKUP(J$2,[49]table_female_hkom2_inj.V2!$A$1:$K$36,14,FALSE),0)</f>
        <v>0</v>
      </c>
      <c r="K1579">
        <f>IFERROR(HLOOKUP(K$2,[49]table_female_hkom2_inj.V2!$A$1:$K$36,14,FALSE),0)</f>
        <v>0</v>
      </c>
      <c r="L1579">
        <f>IFERROR(HLOOKUP(L$2,[49]table_female_hkom2_inj.V2!$A$1:$K$36,14,FALSE),0)</f>
        <v>0</v>
      </c>
      <c r="M1579">
        <f t="shared" si="494"/>
        <v>0</v>
      </c>
      <c r="S1579" t="s">
        <v>82</v>
      </c>
      <c r="T1579" s="5">
        <f t="shared" si="495"/>
        <v>0</v>
      </c>
      <c r="U1579" s="5">
        <f t="shared" si="496"/>
        <v>0</v>
      </c>
      <c r="V1579" s="5">
        <f t="shared" si="497"/>
        <v>0</v>
      </c>
      <c r="W1579" s="5">
        <f t="shared" si="498"/>
        <v>0</v>
      </c>
      <c r="X1579" s="5">
        <f t="shared" si="499"/>
        <v>0</v>
      </c>
      <c r="Y1579" s="5">
        <f t="shared" si="500"/>
        <v>0</v>
      </c>
      <c r="Z1579" s="5">
        <f t="shared" si="501"/>
        <v>0</v>
      </c>
      <c r="AA1579" s="5">
        <f t="shared" si="502"/>
        <v>0</v>
      </c>
      <c r="AB1579" s="5">
        <f t="shared" si="492"/>
        <v>0</v>
      </c>
    </row>
    <row r="1580" spans="4:28" x14ac:dyDescent="0.25">
      <c r="D1580" t="s">
        <v>83</v>
      </c>
      <c r="E1580" s="64"/>
      <c r="F1580" s="64"/>
      <c r="G1580">
        <f>IFERROR(HLOOKUP(G$2,[49]table_female_hkom2_inj.V2!$A$1:$K$36,15,FALSE),0)</f>
        <v>0</v>
      </c>
      <c r="H1580">
        <f>IFERROR(HLOOKUP(H$2,[49]table_female_hkom2_inj.V2!$A$1:$K$36,15,FALSE),0)</f>
        <v>0</v>
      </c>
      <c r="I1580">
        <f>IFERROR(HLOOKUP(I$2,[49]table_female_hkom2_inj.V2!$A$1:$K$36,15,FALSE),0)</f>
        <v>0</v>
      </c>
      <c r="J1580">
        <f>IFERROR(HLOOKUP(J$2,[49]table_female_hkom2_inj.V2!$A$1:$K$36,15,FALSE),0)</f>
        <v>0</v>
      </c>
      <c r="K1580">
        <f>IFERROR(HLOOKUP(K$2,[49]table_female_hkom2_inj.V2!$A$1:$K$36,15,FALSE),0)</f>
        <v>0</v>
      </c>
      <c r="L1580">
        <f>IFERROR(HLOOKUP(L$2,[49]table_female_hkom2_inj.V2!$A$1:$K$36,15,FALSE),0)</f>
        <v>0</v>
      </c>
      <c r="M1580">
        <f t="shared" si="494"/>
        <v>0</v>
      </c>
      <c r="S1580" t="s">
        <v>83</v>
      </c>
      <c r="T1580" s="5">
        <f t="shared" si="495"/>
        <v>0</v>
      </c>
      <c r="U1580" s="5">
        <f t="shared" si="496"/>
        <v>0</v>
      </c>
      <c r="V1580" s="5">
        <f t="shared" si="497"/>
        <v>0</v>
      </c>
      <c r="W1580" s="5">
        <f t="shared" si="498"/>
        <v>0</v>
      </c>
      <c r="X1580" s="5">
        <f t="shared" si="499"/>
        <v>0</v>
      </c>
      <c r="Y1580" s="5">
        <f t="shared" si="500"/>
        <v>0</v>
      </c>
      <c r="Z1580" s="5">
        <f t="shared" si="501"/>
        <v>0</v>
      </c>
      <c r="AA1580" s="5">
        <f t="shared" si="502"/>
        <v>0</v>
      </c>
      <c r="AB1580" s="5">
        <f t="shared" si="492"/>
        <v>0</v>
      </c>
    </row>
    <row r="1581" spans="4:28" x14ac:dyDescent="0.25">
      <c r="D1581" t="s">
        <v>84</v>
      </c>
      <c r="E1581" s="64"/>
      <c r="F1581" s="64"/>
      <c r="G1581">
        <f>IFERROR(HLOOKUP(G$2,[49]table_female_hkom2_inj.V2!$A$1:$K$36,16,FALSE),0)</f>
        <v>0</v>
      </c>
      <c r="H1581">
        <f>IFERROR(HLOOKUP(H$2,[49]table_female_hkom2_inj.V2!$A$1:$K$36,16,FALSE),0)</f>
        <v>0</v>
      </c>
      <c r="I1581">
        <f>IFERROR(HLOOKUP(I$2,[49]table_female_hkom2_inj.V2!$A$1:$K$36,16,FALSE),0)</f>
        <v>0</v>
      </c>
      <c r="J1581">
        <f>IFERROR(HLOOKUP(J$2,[49]table_female_hkom2_inj.V2!$A$1:$K$36,16,FALSE),0)</f>
        <v>0</v>
      </c>
      <c r="K1581">
        <f>IFERROR(HLOOKUP(K$2,[49]table_female_hkom2_inj.V2!$A$1:$K$36,16,FALSE),0)</f>
        <v>0</v>
      </c>
      <c r="L1581">
        <f>IFERROR(HLOOKUP(L$2,[49]table_female_hkom2_inj.V2!$A$1:$K$36,16,FALSE),0)</f>
        <v>0</v>
      </c>
      <c r="M1581">
        <f t="shared" si="494"/>
        <v>0</v>
      </c>
      <c r="S1581" t="s">
        <v>84</v>
      </c>
      <c r="T1581" s="5">
        <f t="shared" si="495"/>
        <v>0</v>
      </c>
      <c r="U1581" s="5">
        <f t="shared" si="496"/>
        <v>0</v>
      </c>
      <c r="V1581" s="5">
        <f t="shared" si="497"/>
        <v>0</v>
      </c>
      <c r="W1581" s="5">
        <f t="shared" si="498"/>
        <v>0</v>
      </c>
      <c r="X1581" s="5">
        <f t="shared" si="499"/>
        <v>0</v>
      </c>
      <c r="Y1581" s="5">
        <f t="shared" si="500"/>
        <v>0</v>
      </c>
      <c r="Z1581" s="5">
        <f t="shared" si="501"/>
        <v>0</v>
      </c>
      <c r="AA1581" s="5">
        <f t="shared" si="502"/>
        <v>0</v>
      </c>
      <c r="AB1581" s="5">
        <f t="shared" si="492"/>
        <v>0</v>
      </c>
    </row>
    <row r="1582" spans="4:28" x14ac:dyDescent="0.25">
      <c r="D1582" t="s">
        <v>85</v>
      </c>
      <c r="E1582" s="64"/>
      <c r="F1582" s="64"/>
      <c r="G1582">
        <f>IFERROR(HLOOKUP(G$2,[49]table_female_hkom2_inj.V2!$A$1:$K$36,17,FALSE),0)</f>
        <v>0</v>
      </c>
      <c r="H1582">
        <f>IFERROR(HLOOKUP(H$2,[49]table_female_hkom2_inj.V2!$A$1:$K$36,17,FALSE),0)</f>
        <v>0</v>
      </c>
      <c r="I1582">
        <f>IFERROR(HLOOKUP(I$2,[49]table_female_hkom2_inj.V2!$A$1:$K$36,17,FALSE),0)</f>
        <v>0</v>
      </c>
      <c r="J1582">
        <f>IFERROR(HLOOKUP(J$2,[49]table_female_hkom2_inj.V2!$A$1:$K$36,17,FALSE),0)</f>
        <v>0</v>
      </c>
      <c r="K1582">
        <f>IFERROR(HLOOKUP(K$2,[49]table_female_hkom2_inj.V2!$A$1:$K$36,17,FALSE),0)</f>
        <v>0</v>
      </c>
      <c r="L1582">
        <f>IFERROR(HLOOKUP(L$2,[49]table_female_hkom2_inj.V2!$A$1:$K$36,17,FALSE),0)</f>
        <v>0</v>
      </c>
      <c r="M1582">
        <f t="shared" si="494"/>
        <v>0</v>
      </c>
      <c r="S1582" t="s">
        <v>85</v>
      </c>
      <c r="T1582" s="5">
        <f t="shared" si="495"/>
        <v>0</v>
      </c>
      <c r="U1582" s="5">
        <f t="shared" si="496"/>
        <v>0</v>
      </c>
      <c r="V1582" s="5">
        <f t="shared" si="497"/>
        <v>0</v>
      </c>
      <c r="W1582" s="5">
        <f t="shared" si="498"/>
        <v>0</v>
      </c>
      <c r="X1582" s="5">
        <f t="shared" si="499"/>
        <v>0</v>
      </c>
      <c r="Y1582" s="5">
        <f t="shared" si="500"/>
        <v>0</v>
      </c>
      <c r="Z1582" s="5">
        <f t="shared" si="501"/>
        <v>0</v>
      </c>
      <c r="AA1582" s="5">
        <f t="shared" si="502"/>
        <v>0</v>
      </c>
      <c r="AB1582" s="5">
        <f t="shared" si="492"/>
        <v>0</v>
      </c>
    </row>
    <row r="1583" spans="4:28" x14ac:dyDescent="0.25">
      <c r="D1583" t="s">
        <v>86</v>
      </c>
      <c r="E1583" s="64"/>
      <c r="F1583" s="64"/>
      <c r="G1583">
        <f>IFERROR(HLOOKUP(G$2,[49]table_female_hkom2_inj.V2!$A$1:$K$36,18,FALSE),0)</f>
        <v>1</v>
      </c>
      <c r="H1583">
        <f>IFERROR(HLOOKUP(H$2,[49]table_female_hkom2_inj.V2!$A$1:$K$36,18,FALSE),0)</f>
        <v>4</v>
      </c>
      <c r="I1583">
        <f>IFERROR(HLOOKUP(I$2,[49]table_female_hkom2_inj.V2!$A$1:$K$36,18,FALSE),0)</f>
        <v>1</v>
      </c>
      <c r="J1583">
        <f>IFERROR(HLOOKUP(J$2,[49]table_female_hkom2_inj.V2!$A$1:$K$36,18,FALSE),0)</f>
        <v>0</v>
      </c>
      <c r="K1583">
        <f>IFERROR(HLOOKUP(K$2,[49]table_female_hkom2_inj.V2!$A$1:$K$36,18,FALSE),0)</f>
        <v>0</v>
      </c>
      <c r="L1583">
        <f>IFERROR(HLOOKUP(L$2,[49]table_female_hkom2_inj.V2!$A$1:$K$36,18,FALSE),0)</f>
        <v>0</v>
      </c>
      <c r="M1583">
        <f t="shared" si="494"/>
        <v>6</v>
      </c>
      <c r="S1583" t="s">
        <v>86</v>
      </c>
      <c r="T1583" s="5">
        <f t="shared" si="495"/>
        <v>0</v>
      </c>
      <c r="U1583" s="5">
        <f t="shared" si="496"/>
        <v>0</v>
      </c>
      <c r="V1583" s="5">
        <f t="shared" si="497"/>
        <v>1.3333333333333333</v>
      </c>
      <c r="W1583" s="5">
        <f t="shared" si="498"/>
        <v>4.2962962962962958</v>
      </c>
      <c r="X1583" s="5">
        <f t="shared" si="499"/>
        <v>1.0588235294117647</v>
      </c>
      <c r="Y1583" s="5">
        <f t="shared" si="500"/>
        <v>0</v>
      </c>
      <c r="Z1583" s="5">
        <f t="shared" si="501"/>
        <v>0</v>
      </c>
      <c r="AA1583" s="5">
        <f t="shared" si="502"/>
        <v>0</v>
      </c>
      <c r="AB1583" s="5">
        <f t="shared" si="492"/>
        <v>6.6884531590413934</v>
      </c>
    </row>
    <row r="1584" spans="4:28" x14ac:dyDescent="0.25">
      <c r="D1584" t="s">
        <v>87</v>
      </c>
      <c r="E1584" s="64"/>
      <c r="F1584" s="64"/>
      <c r="G1584">
        <f>IFERROR(HLOOKUP(G$2,[49]table_female_hkom2_inj.V2!$A$1:$K$36,19,FALSE),0)</f>
        <v>3</v>
      </c>
      <c r="H1584">
        <f>IFERROR(HLOOKUP(H$2,[49]table_female_hkom2_inj.V2!$A$1:$K$36,19,FALSE),0)</f>
        <v>4</v>
      </c>
      <c r="I1584">
        <f>IFERROR(HLOOKUP(I$2,[49]table_female_hkom2_inj.V2!$A$1:$K$36,19,FALSE),0)</f>
        <v>0</v>
      </c>
      <c r="J1584">
        <f>IFERROR(HLOOKUP(J$2,[49]table_female_hkom2_inj.V2!$A$1:$K$36,19,FALSE),0)</f>
        <v>0</v>
      </c>
      <c r="K1584">
        <f>IFERROR(HLOOKUP(K$2,[49]table_female_hkom2_inj.V2!$A$1:$K$36,19,FALSE),0)</f>
        <v>0</v>
      </c>
      <c r="L1584">
        <f>IFERROR(HLOOKUP(L$2,[49]table_female_hkom2_inj.V2!$A$1:$K$36,19,FALSE),0)</f>
        <v>0</v>
      </c>
      <c r="M1584">
        <f t="shared" si="494"/>
        <v>7</v>
      </c>
      <c r="S1584" t="s">
        <v>87</v>
      </c>
      <c r="T1584" s="5">
        <f t="shared" si="495"/>
        <v>0</v>
      </c>
      <c r="U1584" s="5">
        <f t="shared" si="496"/>
        <v>0</v>
      </c>
      <c r="V1584" s="5">
        <f t="shared" si="497"/>
        <v>4</v>
      </c>
      <c r="W1584" s="5">
        <f t="shared" si="498"/>
        <v>4.2962962962962958</v>
      </c>
      <c r="X1584" s="5">
        <f t="shared" si="499"/>
        <v>0</v>
      </c>
      <c r="Y1584" s="5">
        <f t="shared" si="500"/>
        <v>0</v>
      </c>
      <c r="Z1584" s="5">
        <f t="shared" si="501"/>
        <v>0</v>
      </c>
      <c r="AA1584" s="5">
        <f t="shared" si="502"/>
        <v>0</v>
      </c>
      <c r="AB1584" s="5">
        <f t="shared" si="492"/>
        <v>8.2962962962962958</v>
      </c>
    </row>
    <row r="1585" spans="4:29" x14ac:dyDescent="0.25">
      <c r="D1585" t="s">
        <v>88</v>
      </c>
      <c r="E1585" s="64"/>
      <c r="F1585" s="64"/>
      <c r="G1585">
        <f>IFERROR(HLOOKUP(G$2,[49]table_female_hkom2_inj.V2!$A$1:$K$36,20,FALSE),0)</f>
        <v>1</v>
      </c>
      <c r="H1585">
        <f>IFERROR(HLOOKUP(H$2,[49]table_female_hkom2_inj.V2!$A$1:$K$36,20,FALSE),0)</f>
        <v>4</v>
      </c>
      <c r="I1585">
        <f>IFERROR(HLOOKUP(I$2,[49]table_female_hkom2_inj.V2!$A$1:$K$36,20,FALSE),0)</f>
        <v>1</v>
      </c>
      <c r="J1585">
        <f>IFERROR(HLOOKUP(J$2,[49]table_female_hkom2_inj.V2!$A$1:$K$36,20,FALSE),0)</f>
        <v>0</v>
      </c>
      <c r="K1585">
        <f>IFERROR(HLOOKUP(K$2,[49]table_female_hkom2_inj.V2!$A$1:$K$36,20,FALSE),0)</f>
        <v>0</v>
      </c>
      <c r="L1585">
        <f>IFERROR(HLOOKUP(L$2,[49]table_female_hkom2_inj.V2!$A$1:$K$36,20,FALSE),0)</f>
        <v>0</v>
      </c>
      <c r="M1585">
        <f t="shared" si="494"/>
        <v>6</v>
      </c>
      <c r="S1585" t="s">
        <v>88</v>
      </c>
      <c r="T1585" s="5">
        <f t="shared" si="495"/>
        <v>0</v>
      </c>
      <c r="U1585" s="5">
        <f t="shared" si="496"/>
        <v>0</v>
      </c>
      <c r="V1585" s="5">
        <f t="shared" si="497"/>
        <v>1.3333333333333333</v>
      </c>
      <c r="W1585" s="5">
        <f t="shared" si="498"/>
        <v>4.2962962962962958</v>
      </c>
      <c r="X1585" s="5">
        <f t="shared" si="499"/>
        <v>1.0588235294117647</v>
      </c>
      <c r="Y1585" s="5">
        <f t="shared" si="500"/>
        <v>0</v>
      </c>
      <c r="Z1585" s="5">
        <f t="shared" si="501"/>
        <v>0</v>
      </c>
      <c r="AA1585" s="5">
        <f t="shared" si="502"/>
        <v>0</v>
      </c>
      <c r="AB1585" s="5">
        <f t="shared" si="492"/>
        <v>6.6884531590413934</v>
      </c>
    </row>
    <row r="1586" spans="4:29" x14ac:dyDescent="0.25">
      <c r="D1586" t="s">
        <v>89</v>
      </c>
      <c r="E1586" s="64"/>
      <c r="F1586" s="64"/>
      <c r="G1586">
        <f>IFERROR(HLOOKUP(G$2,[49]table_female_hkom2_inj.V2!$A$1:$K$36,21,FALSE),0)</f>
        <v>2</v>
      </c>
      <c r="H1586">
        <f>IFERROR(HLOOKUP(H$2,[49]table_female_hkom2_inj.V2!$A$1:$K$36,21,FALSE),0)</f>
        <v>0</v>
      </c>
      <c r="I1586">
        <f>IFERROR(HLOOKUP(I$2,[49]table_female_hkom2_inj.V2!$A$1:$K$36,21,FALSE),0)</f>
        <v>2</v>
      </c>
      <c r="J1586">
        <f>IFERROR(HLOOKUP(J$2,[49]table_female_hkom2_inj.V2!$A$1:$K$36,21,FALSE),0)</f>
        <v>0</v>
      </c>
      <c r="K1586">
        <f>IFERROR(HLOOKUP(K$2,[49]table_female_hkom2_inj.V2!$A$1:$K$36,21,FALSE),0)</f>
        <v>0</v>
      </c>
      <c r="L1586">
        <f>IFERROR(HLOOKUP(L$2,[49]table_female_hkom2_inj.V2!$A$1:$K$36,21,FALSE),0)</f>
        <v>0</v>
      </c>
      <c r="M1586">
        <f t="shared" si="494"/>
        <v>4</v>
      </c>
      <c r="S1586" t="s">
        <v>89</v>
      </c>
      <c r="T1586" s="5">
        <f t="shared" si="495"/>
        <v>0</v>
      </c>
      <c r="U1586" s="5">
        <f t="shared" si="496"/>
        <v>0</v>
      </c>
      <c r="V1586" s="5">
        <f t="shared" si="497"/>
        <v>2.6666666666666665</v>
      </c>
      <c r="W1586" s="5">
        <f t="shared" si="498"/>
        <v>0</v>
      </c>
      <c r="X1586" s="5">
        <f t="shared" si="499"/>
        <v>2.1176470588235294</v>
      </c>
      <c r="Y1586" s="5">
        <f t="shared" si="500"/>
        <v>0</v>
      </c>
      <c r="Z1586" s="5">
        <f t="shared" si="501"/>
        <v>0</v>
      </c>
      <c r="AA1586" s="5">
        <f t="shared" si="502"/>
        <v>0</v>
      </c>
      <c r="AB1586" s="5">
        <f t="shared" si="492"/>
        <v>4.784313725490196</v>
      </c>
    </row>
    <row r="1587" spans="4:29" x14ac:dyDescent="0.25">
      <c r="D1587" t="s">
        <v>90</v>
      </c>
      <c r="E1587" s="64"/>
      <c r="F1587" s="64"/>
      <c r="G1587">
        <f>IFERROR(HLOOKUP(G$2,[49]table_female_hkom2_inj.V2!$A$1:$K$36,22,FALSE),0)</f>
        <v>0</v>
      </c>
      <c r="H1587">
        <f>IFERROR(HLOOKUP(H$2,[49]table_female_hkom2_inj.V2!$A$1:$K$36,22,FALSE),0)</f>
        <v>0</v>
      </c>
      <c r="I1587">
        <f>IFERROR(HLOOKUP(I$2,[49]table_female_hkom2_inj.V2!$A$1:$K$36,22,FALSE),0)</f>
        <v>0</v>
      </c>
      <c r="J1587">
        <f>IFERROR(HLOOKUP(J$2,[49]table_female_hkom2_inj.V2!$A$1:$K$36,22,FALSE),0)</f>
        <v>0</v>
      </c>
      <c r="K1587">
        <f>IFERROR(HLOOKUP(K$2,[49]table_female_hkom2_inj.V2!$A$1:$K$36,22,FALSE),0)</f>
        <v>0</v>
      </c>
      <c r="L1587">
        <f>IFERROR(HLOOKUP(L$2,[49]table_female_hkom2_inj.V2!$A$1:$K$36,22,FALSE),0)</f>
        <v>0</v>
      </c>
      <c r="M1587">
        <f t="shared" si="494"/>
        <v>0</v>
      </c>
      <c r="S1587" t="s">
        <v>90</v>
      </c>
      <c r="T1587" s="5">
        <f t="shared" si="495"/>
        <v>0</v>
      </c>
      <c r="U1587" s="5">
        <f t="shared" si="496"/>
        <v>0</v>
      </c>
      <c r="V1587" s="5">
        <f t="shared" si="497"/>
        <v>0</v>
      </c>
      <c r="W1587" s="5">
        <f t="shared" si="498"/>
        <v>0</v>
      </c>
      <c r="X1587" s="5">
        <f t="shared" si="499"/>
        <v>0</v>
      </c>
      <c r="Y1587" s="5">
        <f t="shared" si="500"/>
        <v>0</v>
      </c>
      <c r="Z1587" s="5">
        <f t="shared" si="501"/>
        <v>0</v>
      </c>
      <c r="AA1587" s="5">
        <f t="shared" si="502"/>
        <v>0</v>
      </c>
      <c r="AB1587" s="5">
        <f t="shared" si="492"/>
        <v>0</v>
      </c>
    </row>
    <row r="1588" spans="4:29" x14ac:dyDescent="0.25">
      <c r="D1588" t="s">
        <v>91</v>
      </c>
      <c r="E1588" s="64"/>
      <c r="F1588" s="64"/>
      <c r="G1588">
        <f>IFERROR(HLOOKUP(G$2,[49]table_female_hkom2_inj.V2!$A$1:$K$36,23,FALSE),0)</f>
        <v>0</v>
      </c>
      <c r="H1588">
        <f>IFERROR(HLOOKUP(H$2,[49]table_female_hkom2_inj.V2!$A$1:$K$36,23,FALSE),0)</f>
        <v>0</v>
      </c>
      <c r="I1588">
        <f>IFERROR(HLOOKUP(I$2,[49]table_female_hkom2_inj.V2!$A$1:$K$36,23,FALSE),0)</f>
        <v>0</v>
      </c>
      <c r="J1588">
        <f>IFERROR(HLOOKUP(J$2,[49]table_female_hkom2_inj.V2!$A$1:$K$36,23,FALSE),0)</f>
        <v>0</v>
      </c>
      <c r="K1588">
        <f>IFERROR(HLOOKUP(K$2,[49]table_female_hkom2_inj.V2!$A$1:$K$36,23,FALSE),0)</f>
        <v>0</v>
      </c>
      <c r="L1588">
        <f>IFERROR(HLOOKUP(L$2,[49]table_female_hkom2_inj.V2!$A$1:$K$36,23,FALSE),0)</f>
        <v>0</v>
      </c>
      <c r="M1588">
        <f t="shared" si="494"/>
        <v>0</v>
      </c>
      <c r="S1588" t="s">
        <v>91</v>
      </c>
      <c r="T1588" s="5">
        <f t="shared" si="495"/>
        <v>0</v>
      </c>
      <c r="U1588" s="5">
        <f t="shared" si="496"/>
        <v>0</v>
      </c>
      <c r="V1588" s="5">
        <f t="shared" si="497"/>
        <v>0</v>
      </c>
      <c r="W1588" s="5">
        <f t="shared" si="498"/>
        <v>0</v>
      </c>
      <c r="X1588" s="5">
        <f t="shared" si="499"/>
        <v>0</v>
      </c>
      <c r="Y1588" s="5">
        <f t="shared" si="500"/>
        <v>0</v>
      </c>
      <c r="Z1588" s="5">
        <f t="shared" si="501"/>
        <v>0</v>
      </c>
      <c r="AA1588" s="5">
        <f t="shared" si="502"/>
        <v>0</v>
      </c>
      <c r="AB1588" s="5">
        <f t="shared" si="492"/>
        <v>0</v>
      </c>
    </row>
    <row r="1589" spans="4:29" x14ac:dyDescent="0.25">
      <c r="D1589" t="s">
        <v>92</v>
      </c>
      <c r="E1589" s="64"/>
      <c r="F1589" s="64"/>
      <c r="G1589">
        <f>IFERROR(HLOOKUP(G$2,[49]table_female_hkom2_inj.V2!$A$1:$K$36,24,FALSE),0)</f>
        <v>0</v>
      </c>
      <c r="H1589">
        <f>IFERROR(HLOOKUP(H$2,[49]table_female_hkom2_inj.V2!$A$1:$K$36,24,FALSE),0)</f>
        <v>0</v>
      </c>
      <c r="I1589">
        <f>IFERROR(HLOOKUP(I$2,[49]table_female_hkom2_inj.V2!$A$1:$K$36,24,FALSE),0)</f>
        <v>0</v>
      </c>
      <c r="J1589">
        <f>IFERROR(HLOOKUP(J$2,[49]table_female_hkom2_inj.V2!$A$1:$K$36,24,FALSE),0)</f>
        <v>0</v>
      </c>
      <c r="K1589">
        <f>IFERROR(HLOOKUP(K$2,[49]table_female_hkom2_inj.V2!$A$1:$K$36,24,FALSE),0)</f>
        <v>0</v>
      </c>
      <c r="L1589">
        <f>IFERROR(HLOOKUP(L$2,[49]table_female_hkom2_inj.V2!$A$1:$K$36,24,FALSE),0)</f>
        <v>0</v>
      </c>
      <c r="M1589">
        <f t="shared" si="494"/>
        <v>0</v>
      </c>
      <c r="S1589" t="s">
        <v>92</v>
      </c>
      <c r="T1589" s="5">
        <f t="shared" si="495"/>
        <v>0</v>
      </c>
      <c r="U1589" s="5">
        <f t="shared" si="496"/>
        <v>0</v>
      </c>
      <c r="V1589" s="5">
        <f t="shared" si="497"/>
        <v>0</v>
      </c>
      <c r="W1589" s="5">
        <f t="shared" si="498"/>
        <v>0</v>
      </c>
      <c r="X1589" s="5">
        <f t="shared" si="499"/>
        <v>0</v>
      </c>
      <c r="Y1589" s="5">
        <f t="shared" si="500"/>
        <v>0</v>
      </c>
      <c r="Z1589" s="5">
        <f t="shared" si="501"/>
        <v>0</v>
      </c>
      <c r="AA1589" s="5">
        <f t="shared" si="502"/>
        <v>0</v>
      </c>
      <c r="AB1589" s="5">
        <f t="shared" si="492"/>
        <v>0</v>
      </c>
    </row>
    <row r="1590" spans="4:29" x14ac:dyDescent="0.25">
      <c r="D1590" t="s">
        <v>93</v>
      </c>
      <c r="E1590" s="64"/>
      <c r="F1590" s="64"/>
      <c r="G1590">
        <f>IFERROR(HLOOKUP(G$2,[49]table_female_hkom2_inj.V2!$A$1:$K$36,25,FALSE),0)</f>
        <v>0</v>
      </c>
      <c r="H1590">
        <f>IFERROR(HLOOKUP(H$2,[49]table_female_hkom2_inj.V2!$A$1:$K$36,25,FALSE),0)</f>
        <v>0</v>
      </c>
      <c r="I1590">
        <f>IFERROR(HLOOKUP(I$2,[49]table_female_hkom2_inj.V2!$A$1:$K$36,25,FALSE),0)</f>
        <v>0</v>
      </c>
      <c r="J1590">
        <f>IFERROR(HLOOKUP(J$2,[49]table_female_hkom2_inj.V2!$A$1:$K$36,25,FALSE),0)</f>
        <v>0</v>
      </c>
      <c r="K1590">
        <f>IFERROR(HLOOKUP(K$2,[49]table_female_hkom2_inj.V2!$A$1:$K$36,25,FALSE),0)</f>
        <v>0</v>
      </c>
      <c r="L1590">
        <f>IFERROR(HLOOKUP(L$2,[49]table_female_hkom2_inj.V2!$A$1:$K$36,25,FALSE),0)</f>
        <v>0</v>
      </c>
      <c r="M1590">
        <f t="shared" si="494"/>
        <v>0</v>
      </c>
      <c r="S1590" t="s">
        <v>93</v>
      </c>
      <c r="T1590" s="5">
        <f t="shared" si="495"/>
        <v>0</v>
      </c>
      <c r="U1590" s="5">
        <f t="shared" si="496"/>
        <v>0</v>
      </c>
      <c r="V1590" s="5">
        <f t="shared" si="497"/>
        <v>0</v>
      </c>
      <c r="W1590" s="5">
        <f t="shared" si="498"/>
        <v>0</v>
      </c>
      <c r="X1590" s="5">
        <f t="shared" si="499"/>
        <v>0</v>
      </c>
      <c r="Y1590" s="5">
        <f t="shared" si="500"/>
        <v>0</v>
      </c>
      <c r="Z1590" s="5">
        <f t="shared" si="501"/>
        <v>0</v>
      </c>
      <c r="AA1590" s="5">
        <f t="shared" si="502"/>
        <v>0</v>
      </c>
      <c r="AB1590" s="5">
        <f t="shared" si="492"/>
        <v>0</v>
      </c>
    </row>
    <row r="1591" spans="4:29" x14ac:dyDescent="0.25">
      <c r="D1591" t="s">
        <v>94</v>
      </c>
      <c r="E1591" s="64"/>
      <c r="F1591" s="64"/>
      <c r="G1591">
        <f>IFERROR(HLOOKUP(G$2,[49]table_female_hkom2_inj.V2!$A$1:$K$36,26,FALSE),0)</f>
        <v>0</v>
      </c>
      <c r="H1591">
        <f>IFERROR(HLOOKUP(H$2,[49]table_female_hkom2_inj.V2!$A$1:$K$36,26,FALSE),0)</f>
        <v>0</v>
      </c>
      <c r="I1591">
        <f>IFERROR(HLOOKUP(I$2,[49]table_female_hkom2_inj.V2!$A$1:$K$36,26,FALSE),0)</f>
        <v>0</v>
      </c>
      <c r="J1591">
        <f>IFERROR(HLOOKUP(J$2,[49]table_female_hkom2_inj.V2!$A$1:$K$36,26,FALSE),0)</f>
        <v>0</v>
      </c>
      <c r="K1591">
        <f>IFERROR(HLOOKUP(K$2,[49]table_female_hkom2_inj.V2!$A$1:$K$36,26,FALSE),0)</f>
        <v>0</v>
      </c>
      <c r="L1591">
        <f>IFERROR(HLOOKUP(L$2,[49]table_female_hkom2_inj.V2!$A$1:$K$36,26,FALSE),0)</f>
        <v>0</v>
      </c>
      <c r="M1591">
        <f t="shared" si="494"/>
        <v>0</v>
      </c>
      <c r="S1591" t="s">
        <v>94</v>
      </c>
      <c r="T1591" s="5">
        <f t="shared" si="495"/>
        <v>0</v>
      </c>
      <c r="U1591" s="5">
        <f t="shared" si="496"/>
        <v>0</v>
      </c>
      <c r="V1591" s="5">
        <f t="shared" si="497"/>
        <v>0</v>
      </c>
      <c r="W1591" s="5">
        <f t="shared" si="498"/>
        <v>0</v>
      </c>
      <c r="X1591" s="5">
        <f t="shared" si="499"/>
        <v>0</v>
      </c>
      <c r="Y1591" s="5">
        <f t="shared" si="500"/>
        <v>0</v>
      </c>
      <c r="Z1591" s="5">
        <f t="shared" si="501"/>
        <v>0</v>
      </c>
      <c r="AA1591" s="5">
        <f t="shared" si="502"/>
        <v>0</v>
      </c>
      <c r="AB1591" s="5">
        <f t="shared" si="492"/>
        <v>0</v>
      </c>
    </row>
    <row r="1592" spans="4:29" x14ac:dyDescent="0.25">
      <c r="D1592" t="s">
        <v>95</v>
      </c>
      <c r="E1592" s="64"/>
      <c r="F1592" s="64"/>
      <c r="G1592">
        <f>IFERROR(HLOOKUP(G$2,[49]table_female_hkom2_inj.V2!$A$1:$K$36,27,FALSE),0)</f>
        <v>0</v>
      </c>
      <c r="H1592">
        <f>IFERROR(HLOOKUP(H$2,[49]table_female_hkom2_inj.V2!$A$1:$K$36,27,FALSE),0)</f>
        <v>0</v>
      </c>
      <c r="I1592">
        <f>IFERROR(HLOOKUP(I$2,[49]table_female_hkom2_inj.V2!$A$1:$K$36,27,FALSE),0)</f>
        <v>0</v>
      </c>
      <c r="J1592">
        <f>IFERROR(HLOOKUP(J$2,[49]table_female_hkom2_inj.V2!$A$1:$K$36,27,FALSE),0)</f>
        <v>0</v>
      </c>
      <c r="K1592">
        <f>IFERROR(HLOOKUP(K$2,[49]table_female_hkom2_inj.V2!$A$1:$K$36,27,FALSE),0)</f>
        <v>0</v>
      </c>
      <c r="L1592">
        <f>IFERROR(HLOOKUP(L$2,[49]table_female_hkom2_inj.V2!$A$1:$K$36,27,FALSE),0)</f>
        <v>0</v>
      </c>
      <c r="M1592">
        <f t="shared" si="494"/>
        <v>0</v>
      </c>
      <c r="S1592" t="s">
        <v>95</v>
      </c>
      <c r="T1592" s="5">
        <f t="shared" si="495"/>
        <v>0</v>
      </c>
      <c r="U1592" s="5">
        <f t="shared" si="496"/>
        <v>0</v>
      </c>
      <c r="V1592" s="5">
        <f t="shared" si="497"/>
        <v>0</v>
      </c>
      <c r="W1592" s="5">
        <f t="shared" si="498"/>
        <v>0</v>
      </c>
      <c r="X1592" s="5">
        <f t="shared" si="499"/>
        <v>0</v>
      </c>
      <c r="Y1592" s="5">
        <f t="shared" si="500"/>
        <v>0</v>
      </c>
      <c r="Z1592" s="5">
        <f t="shared" si="501"/>
        <v>0</v>
      </c>
      <c r="AA1592" s="5">
        <f t="shared" si="502"/>
        <v>0</v>
      </c>
      <c r="AB1592" s="5">
        <f t="shared" si="492"/>
        <v>0</v>
      </c>
    </row>
    <row r="1593" spans="4:29" x14ac:dyDescent="0.25">
      <c r="D1593" t="s">
        <v>96</v>
      </c>
      <c r="E1593" s="64"/>
      <c r="F1593" s="64"/>
      <c r="G1593">
        <f>IFERROR(HLOOKUP(G$2,[49]table_female_hkom2_inj.V2!$A$1:$K$36,28,FALSE),0)</f>
        <v>0</v>
      </c>
      <c r="H1593">
        <f>IFERROR(HLOOKUP(H$2,[49]table_female_hkom2_inj.V2!$A$1:$K$36,28,FALSE),0)</f>
        <v>0</v>
      </c>
      <c r="I1593">
        <f>IFERROR(HLOOKUP(I$2,[49]table_female_hkom2_inj.V2!$A$1:$K$36,28,FALSE),0)</f>
        <v>0</v>
      </c>
      <c r="J1593">
        <f>IFERROR(HLOOKUP(J$2,[49]table_female_hkom2_inj.V2!$A$1:$K$36,28,FALSE),0)</f>
        <v>0</v>
      </c>
      <c r="K1593">
        <f>IFERROR(HLOOKUP(K$2,[49]table_female_hkom2_inj.V2!$A$1:$K$36,28,FALSE),0)</f>
        <v>0</v>
      </c>
      <c r="L1593">
        <f>IFERROR(HLOOKUP(L$2,[49]table_female_hkom2_inj.V2!$A$1:$K$36,28,FALSE),0)</f>
        <v>0</v>
      </c>
      <c r="M1593">
        <f t="shared" si="494"/>
        <v>0</v>
      </c>
      <c r="S1593" t="s">
        <v>96</v>
      </c>
      <c r="T1593" s="5">
        <f t="shared" si="495"/>
        <v>0</v>
      </c>
      <c r="U1593" s="5">
        <f t="shared" si="496"/>
        <v>0</v>
      </c>
      <c r="V1593" s="5">
        <f t="shared" si="497"/>
        <v>0</v>
      </c>
      <c r="W1593" s="5">
        <f t="shared" si="498"/>
        <v>0</v>
      </c>
      <c r="X1593" s="5">
        <f t="shared" si="499"/>
        <v>0</v>
      </c>
      <c r="Y1593" s="5">
        <f t="shared" si="500"/>
        <v>0</v>
      </c>
      <c r="Z1593" s="5">
        <f t="shared" si="501"/>
        <v>0</v>
      </c>
      <c r="AA1593" s="5">
        <f t="shared" si="502"/>
        <v>0</v>
      </c>
      <c r="AB1593" s="5">
        <f t="shared" si="492"/>
        <v>0</v>
      </c>
    </row>
    <row r="1594" spans="4:29" x14ac:dyDescent="0.25">
      <c r="D1594" t="s">
        <v>97</v>
      </c>
      <c r="E1594" s="64"/>
      <c r="F1594" s="64"/>
      <c r="G1594">
        <f>IFERROR(HLOOKUP(G$2,[49]table_female_hkom2_inj.V2!$A$1:$K$36,29,FALSE),0)</f>
        <v>0</v>
      </c>
      <c r="H1594">
        <f>IFERROR(HLOOKUP(H$2,[49]table_female_hkom2_inj.V2!$A$1:$K$36,29,FALSE),0)</f>
        <v>0</v>
      </c>
      <c r="I1594">
        <f>IFERROR(HLOOKUP(I$2,[49]table_female_hkom2_inj.V2!$A$1:$K$36,29,FALSE),0)</f>
        <v>0</v>
      </c>
      <c r="J1594">
        <f>IFERROR(HLOOKUP(J$2,[49]table_female_hkom2_inj.V2!$A$1:$K$36,29,FALSE),0)</f>
        <v>0</v>
      </c>
      <c r="K1594">
        <f>IFERROR(HLOOKUP(K$2,[49]table_female_hkom2_inj.V2!$A$1:$K$36,29,FALSE),0)</f>
        <v>0</v>
      </c>
      <c r="L1594">
        <f>IFERROR(HLOOKUP(L$2,[49]table_female_hkom2_inj.V2!$A$1:$K$36,29,FALSE),0)</f>
        <v>0</v>
      </c>
      <c r="M1594">
        <f t="shared" si="494"/>
        <v>0</v>
      </c>
      <c r="S1594" t="s">
        <v>97</v>
      </c>
      <c r="T1594" s="5">
        <f t="shared" si="495"/>
        <v>0</v>
      </c>
      <c r="U1594" s="5">
        <f t="shared" si="496"/>
        <v>0</v>
      </c>
      <c r="V1594" s="5">
        <f t="shared" si="497"/>
        <v>0</v>
      </c>
      <c r="W1594" s="5">
        <f t="shared" si="498"/>
        <v>0</v>
      </c>
      <c r="X1594" s="5">
        <f t="shared" si="499"/>
        <v>0</v>
      </c>
      <c r="Y1594" s="5">
        <f t="shared" si="500"/>
        <v>0</v>
      </c>
      <c r="Z1594" s="5">
        <f t="shared" si="501"/>
        <v>0</v>
      </c>
      <c r="AA1594" s="5">
        <f t="shared" si="502"/>
        <v>0</v>
      </c>
      <c r="AB1594" s="5">
        <f t="shared" si="492"/>
        <v>0</v>
      </c>
    </row>
    <row r="1595" spans="4:29" x14ac:dyDescent="0.25">
      <c r="D1595" t="s">
        <v>98</v>
      </c>
      <c r="E1595" s="64"/>
      <c r="F1595" s="64"/>
      <c r="G1595">
        <f>IFERROR(HLOOKUP(G$2,[49]table_female_hkom2_inj.V2!$A$1:$K$36,30,FALSE),0)</f>
        <v>0</v>
      </c>
      <c r="H1595">
        <f>IFERROR(HLOOKUP(H$2,[49]table_female_hkom2_inj.V2!$A$1:$K$36,30,FALSE),0)</f>
        <v>0</v>
      </c>
      <c r="I1595">
        <f>IFERROR(HLOOKUP(I$2,[49]table_female_hkom2_inj.V2!$A$1:$K$36,30,FALSE),0)</f>
        <v>0</v>
      </c>
      <c r="J1595">
        <f>IFERROR(HLOOKUP(J$2,[49]table_female_hkom2_inj.V2!$A$1:$K$36,30,FALSE),0)</f>
        <v>0</v>
      </c>
      <c r="K1595">
        <f>IFERROR(HLOOKUP(K$2,[49]table_female_hkom2_inj.V2!$A$1:$K$36,30,FALSE),0)</f>
        <v>0</v>
      </c>
      <c r="L1595">
        <f>IFERROR(HLOOKUP(L$2,[49]table_female_hkom2_inj.V2!$A$1:$K$36,30,FALSE),0)</f>
        <v>0</v>
      </c>
      <c r="M1595">
        <f t="shared" si="494"/>
        <v>0</v>
      </c>
      <c r="S1595" t="s">
        <v>98</v>
      </c>
      <c r="T1595" s="5">
        <f t="shared" si="495"/>
        <v>0</v>
      </c>
      <c r="U1595" s="5">
        <f t="shared" si="496"/>
        <v>0</v>
      </c>
      <c r="V1595" s="5">
        <f t="shared" si="497"/>
        <v>0</v>
      </c>
      <c r="W1595" s="5">
        <f t="shared" si="498"/>
        <v>0</v>
      </c>
      <c r="X1595" s="5">
        <f t="shared" si="499"/>
        <v>0</v>
      </c>
      <c r="Y1595" s="5">
        <f t="shared" si="500"/>
        <v>0</v>
      </c>
      <c r="Z1595" s="5">
        <f t="shared" si="501"/>
        <v>0</v>
      </c>
      <c r="AA1595" s="5">
        <f t="shared" si="502"/>
        <v>0</v>
      </c>
      <c r="AB1595" s="5">
        <f t="shared" si="492"/>
        <v>0</v>
      </c>
    </row>
    <row r="1596" spans="4:29" x14ac:dyDescent="0.25">
      <c r="D1596" t="s">
        <v>119</v>
      </c>
      <c r="E1596" s="64"/>
      <c r="F1596" s="64"/>
      <c r="G1596">
        <f>IFERROR(HLOOKUP(G$2,[49]table_female_hkom2_inj.V2!$A$1:$K$36,31,FALSE),0)</f>
        <v>0</v>
      </c>
      <c r="H1596">
        <f>IFERROR(HLOOKUP(H$2,[49]table_female_hkom2_inj.V2!$A$1:$K$36,31,FALSE),0)</f>
        <v>1</v>
      </c>
      <c r="I1596">
        <f>IFERROR(HLOOKUP(I$2,[49]table_female_hkom2_inj.V2!$A$1:$K$36,31,FALSE),0)</f>
        <v>0</v>
      </c>
      <c r="J1596">
        <f>IFERROR(HLOOKUP(J$2,[49]table_female_hkom2_inj.V2!$A$1:$K$36,31,FALSE),0)</f>
        <v>0</v>
      </c>
      <c r="K1596">
        <f>IFERROR(HLOOKUP(K$2,[49]table_female_hkom2_inj.V2!$A$1:$K$36,31,FALSE),0)</f>
        <v>0</v>
      </c>
      <c r="L1596">
        <f>IFERROR(HLOOKUP(L$2,[49]table_female_hkom2_inj.V2!$A$1:$K$36,31,FALSE),0)</f>
        <v>0</v>
      </c>
      <c r="M1596">
        <f t="shared" si="494"/>
        <v>1</v>
      </c>
      <c r="S1596" t="s">
        <v>119</v>
      </c>
      <c r="T1596" s="5">
        <f t="shared" si="495"/>
        <v>0</v>
      </c>
      <c r="U1596" s="5">
        <f t="shared" si="496"/>
        <v>0</v>
      </c>
      <c r="V1596" s="5">
        <f t="shared" si="497"/>
        <v>0</v>
      </c>
      <c r="W1596" s="5">
        <f t="shared" si="498"/>
        <v>1.074074074074074</v>
      </c>
      <c r="X1596" s="5">
        <f t="shared" si="499"/>
        <v>0</v>
      </c>
      <c r="Y1596" s="5">
        <f t="shared" si="500"/>
        <v>0</v>
      </c>
      <c r="Z1596" s="5">
        <f t="shared" si="501"/>
        <v>0</v>
      </c>
      <c r="AA1596" s="5">
        <f t="shared" si="502"/>
        <v>0</v>
      </c>
      <c r="AB1596" s="5">
        <f t="shared" si="492"/>
        <v>1.074074074074074</v>
      </c>
    </row>
    <row r="1597" spans="4:29" x14ac:dyDescent="0.25">
      <c r="D1597" t="s">
        <v>99</v>
      </c>
      <c r="E1597" s="64"/>
      <c r="F1597" s="64"/>
      <c r="G1597">
        <f>IFERROR(HLOOKUP(G$2,[49]table_female_hkom2_inj.V2!$A$1:$K$36,32,FALSE),0)</f>
        <v>1</v>
      </c>
      <c r="H1597">
        <f>IFERROR(HLOOKUP(H$2,[49]table_female_hkom2_inj.V2!$A$1:$K$36,32,FALSE),0)</f>
        <v>2</v>
      </c>
      <c r="I1597">
        <f>IFERROR(HLOOKUP(I$2,[49]table_female_hkom2_inj.V2!$A$1:$K$36,32,FALSE),0)</f>
        <v>0</v>
      </c>
      <c r="J1597">
        <f>IFERROR(HLOOKUP(J$2,[49]table_female_hkom2_inj.V2!$A$1:$K$36,32,FALSE),0)</f>
        <v>0</v>
      </c>
      <c r="K1597">
        <f>IFERROR(HLOOKUP(K$2,[49]table_female_hkom2_inj.V2!$A$1:$K$36,32,FALSE),0)</f>
        <v>0</v>
      </c>
      <c r="L1597">
        <f>IFERROR(HLOOKUP(L$2,[49]table_female_hkom2_inj.V2!$A$1:$K$36,32,FALSE),0)</f>
        <v>0</v>
      </c>
      <c r="M1597">
        <f t="shared" si="494"/>
        <v>3</v>
      </c>
      <c r="S1597" t="s">
        <v>99</v>
      </c>
      <c r="T1597" s="5">
        <f t="shared" si="495"/>
        <v>0</v>
      </c>
      <c r="U1597" s="5">
        <f t="shared" si="496"/>
        <v>0</v>
      </c>
      <c r="V1597" s="5">
        <f t="shared" si="497"/>
        <v>1.3333333333333333</v>
      </c>
      <c r="W1597" s="5">
        <f t="shared" si="498"/>
        <v>2.1481481481481479</v>
      </c>
      <c r="X1597" s="5">
        <f t="shared" si="499"/>
        <v>0</v>
      </c>
      <c r="Y1597" s="5">
        <f t="shared" si="500"/>
        <v>0</v>
      </c>
      <c r="Z1597" s="5">
        <f t="shared" si="501"/>
        <v>0</v>
      </c>
      <c r="AA1597" s="5">
        <f t="shared" si="502"/>
        <v>0</v>
      </c>
      <c r="AB1597" s="5">
        <f t="shared" si="492"/>
        <v>3.481481481481481</v>
      </c>
    </row>
    <row r="1598" spans="4:29" x14ac:dyDescent="0.25">
      <c r="D1598" t="s">
        <v>100</v>
      </c>
      <c r="E1598" s="64"/>
      <c r="F1598" s="64"/>
      <c r="G1598">
        <f>IFERROR(HLOOKUP(G$2,[49]table_female_hkom2_inj.V2!$A$1:$K$36,33,FALSE),0)</f>
        <v>1</v>
      </c>
      <c r="H1598">
        <f>IFERROR(HLOOKUP(H$2,[49]table_female_hkom2_inj.V2!$A$1:$K$36,33,FALSE),0)</f>
        <v>0</v>
      </c>
      <c r="I1598">
        <f>IFERROR(HLOOKUP(I$2,[49]table_female_hkom2_inj.V2!$A$1:$K$36,33,FALSE),0)</f>
        <v>0</v>
      </c>
      <c r="J1598">
        <f>IFERROR(HLOOKUP(J$2,[49]table_female_hkom2_inj.V2!$A$1:$K$36,33,FALSE),0)</f>
        <v>0</v>
      </c>
      <c r="K1598">
        <f>IFERROR(HLOOKUP(K$2,[49]table_female_hkom2_inj.V2!$A$1:$K$36,33,FALSE),0)</f>
        <v>0</v>
      </c>
      <c r="L1598">
        <f>IFERROR(HLOOKUP(L$2,[49]table_female_hkom2_inj.V2!$A$1:$K$36,33,FALSE),0)</f>
        <v>0</v>
      </c>
      <c r="M1598">
        <f t="shared" si="494"/>
        <v>1</v>
      </c>
      <c r="S1598" t="s">
        <v>100</v>
      </c>
      <c r="T1598" s="5">
        <f t="shared" si="495"/>
        <v>0</v>
      </c>
      <c r="U1598" s="5">
        <f t="shared" si="496"/>
        <v>0</v>
      </c>
      <c r="V1598" s="5">
        <f t="shared" si="497"/>
        <v>1.3333333333333333</v>
      </c>
      <c r="W1598" s="5">
        <f t="shared" si="498"/>
        <v>0</v>
      </c>
      <c r="X1598" s="5">
        <f t="shared" si="499"/>
        <v>0</v>
      </c>
      <c r="Y1598" s="5">
        <f t="shared" si="500"/>
        <v>0</v>
      </c>
      <c r="Z1598" s="5">
        <f t="shared" si="501"/>
        <v>0</v>
      </c>
      <c r="AA1598" s="5">
        <f t="shared" si="502"/>
        <v>0</v>
      </c>
      <c r="AB1598" s="5">
        <f t="shared" si="492"/>
        <v>1.3333333333333333</v>
      </c>
    </row>
    <row r="1599" spans="4:29" x14ac:dyDescent="0.25">
      <c r="D1599" t="s">
        <v>101</v>
      </c>
      <c r="E1599" s="64"/>
      <c r="F1599" s="64"/>
      <c r="G1599">
        <f>IFERROR(HLOOKUP(G$2,[49]table_female_hkom2_inj.V2!$A$1:$K$36,34,FALSE),0)</f>
        <v>0</v>
      </c>
      <c r="H1599">
        <f>IFERROR(HLOOKUP(H$2,[49]table_female_hkom2_inj.V2!$A$1:$K$36,34,FALSE),0)</f>
        <v>0</v>
      </c>
      <c r="I1599">
        <f>IFERROR(HLOOKUP(I$2,[49]table_female_hkom2_inj.V2!$A$1:$K$36,34,FALSE),0)</f>
        <v>0</v>
      </c>
      <c r="J1599">
        <f>IFERROR(HLOOKUP(J$2,[49]table_female_hkom2_inj.V2!$A$1:$K$36,34,FALSE),0)</f>
        <v>0</v>
      </c>
      <c r="K1599">
        <f>IFERROR(HLOOKUP(K$2,[49]table_female_hkom2_inj.V2!$A$1:$K$36,34,FALSE),0)</f>
        <v>0</v>
      </c>
      <c r="L1599">
        <f>IFERROR(HLOOKUP(L$2,[49]table_female_hkom2_inj.V2!$A$1:$K$36,34,FALSE),0)</f>
        <v>0</v>
      </c>
      <c r="M1599">
        <f t="shared" si="494"/>
        <v>0</v>
      </c>
      <c r="S1599" t="s">
        <v>101</v>
      </c>
      <c r="T1599" s="5">
        <f t="shared" si="495"/>
        <v>0</v>
      </c>
      <c r="U1599" s="5">
        <f t="shared" si="496"/>
        <v>0</v>
      </c>
      <c r="V1599" s="5">
        <f t="shared" si="497"/>
        <v>0</v>
      </c>
      <c r="W1599" s="5">
        <f t="shared" si="498"/>
        <v>0</v>
      </c>
      <c r="X1599" s="5">
        <f t="shared" si="499"/>
        <v>0</v>
      </c>
      <c r="Y1599" s="5">
        <f t="shared" si="500"/>
        <v>0</v>
      </c>
      <c r="Z1599" s="5">
        <f t="shared" si="501"/>
        <v>0</v>
      </c>
      <c r="AA1599" s="5">
        <f t="shared" si="502"/>
        <v>0</v>
      </c>
      <c r="AB1599" s="5">
        <f t="shared" si="492"/>
        <v>0</v>
      </c>
    </row>
    <row r="1600" spans="4:29" x14ac:dyDescent="0.25">
      <c r="D1600" t="s">
        <v>102</v>
      </c>
      <c r="E1600" s="64"/>
      <c r="F1600" s="64"/>
      <c r="G1600">
        <f>IFERROR(HLOOKUP(G$2,[49]table_female_hkom2_inj.V2!$A$1:$K$36,35,FALSE),0)</f>
        <v>5</v>
      </c>
      <c r="H1600">
        <f>IFERROR(HLOOKUP(H$2,[49]table_female_hkom2_inj.V2!$A$1:$K$36,35,FALSE),0)</f>
        <v>2</v>
      </c>
      <c r="I1600">
        <f>IFERROR(HLOOKUP(I$2,[49]table_female_hkom2_inj.V2!$A$1:$K$36,35,FALSE),0)</f>
        <v>1</v>
      </c>
      <c r="J1600">
        <f>IFERROR(HLOOKUP(J$2,[49]table_female_hkom2_inj.V2!$A$1:$K$36,35,FALSE),0)</f>
        <v>0</v>
      </c>
      <c r="K1600">
        <f>IFERROR(HLOOKUP(K$2,[49]table_female_hkom2_inj.V2!$A$1:$K$36,35,FALSE),0)</f>
        <v>0</v>
      </c>
      <c r="L1600">
        <f>IFERROR(HLOOKUP(L$2,[49]table_female_hkom2_inj.V2!$A$1:$K$36,35,FALSE),0)</f>
        <v>0</v>
      </c>
      <c r="M1600">
        <f t="shared" si="494"/>
        <v>8</v>
      </c>
      <c r="N1600">
        <f>SUM(M1567:M1600)</f>
        <v>67</v>
      </c>
      <c r="O1600" s="8">
        <f>SUM([49]table_female_hkom2_inj.V2!$B$2:$L$36)</f>
        <v>67</v>
      </c>
      <c r="S1600" t="s">
        <v>102</v>
      </c>
      <c r="T1600" s="7"/>
      <c r="U1600" s="7"/>
      <c r="V1600" s="7"/>
      <c r="W1600" s="7"/>
      <c r="X1600" s="7"/>
      <c r="Y1600" s="7"/>
      <c r="Z1600" s="7"/>
      <c r="AA1600" s="7"/>
      <c r="AB1600" s="5">
        <f t="shared" si="492"/>
        <v>0</v>
      </c>
      <c r="AC1600" s="5">
        <f>SUM(AB1567:AB1599)</f>
        <v>66.999999999999986</v>
      </c>
    </row>
    <row r="1601" spans="1:28" x14ac:dyDescent="0.25">
      <c r="A1601" t="s">
        <v>115</v>
      </c>
      <c r="B1601" t="s">
        <v>116</v>
      </c>
      <c r="C1601" t="s">
        <v>107</v>
      </c>
      <c r="D1601" t="s">
        <v>70</v>
      </c>
      <c r="E1601" s="64"/>
      <c r="F1601" s="64"/>
      <c r="G1601">
        <f>IFERROR(HLOOKUP(G$2,[50]table_female_hkom2_inj.V3!$A$1:$K$36,2,FALSE),0)</f>
        <v>0</v>
      </c>
      <c r="H1601">
        <f>IFERROR(HLOOKUP(H$2,[50]table_female_hkom2_inj.V3!$A$1:$K$36,2,FALSE),0)</f>
        <v>0</v>
      </c>
      <c r="I1601">
        <f>IFERROR(HLOOKUP(I$2,[50]table_female_hkom2_inj.V3!$A$1:$K$36,2,FALSE),0)</f>
        <v>0</v>
      </c>
      <c r="J1601">
        <f>IFERROR(HLOOKUP(J$2,[50]table_female_hkom2_inj.V3!$A$1:$K$36,2,FALSE),0)</f>
        <v>0</v>
      </c>
      <c r="K1601">
        <f>IFERROR(HLOOKUP(K$2,[50]table_female_hkom2_inj.V3!$A$1:$K$36,2,FALSE),0)</f>
        <v>0</v>
      </c>
      <c r="L1601">
        <f>IFERROR(HLOOKUP(L$2,[50]table_female_hkom2_inj.V3!$A$1:$K$36,2,FALSE),0)</f>
        <v>0</v>
      </c>
      <c r="M1601">
        <f>SUM(E1601:L1601)</f>
        <v>0</v>
      </c>
      <c r="P1601" t="s">
        <v>115</v>
      </c>
      <c r="Q1601" t="s">
        <v>116</v>
      </c>
      <c r="R1601" t="s">
        <v>107</v>
      </c>
      <c r="S1601" t="s">
        <v>70</v>
      </c>
      <c r="T1601" s="5">
        <f>IF(SUM(E$1601:E$1633)=0,E$1634/33,E1601+IFERROR(E1601/SUM(E$1601:E$1633)*E$1634,0))</f>
        <v>0</v>
      </c>
      <c r="U1601" s="5">
        <f t="shared" ref="U1601:AA1601" si="503">IF(SUM(F$1601:F$1633)=0,F$1634/33,F1601+IFERROR(F1601/SUM(F$1601:F$1633)*F$1634,0))</f>
        <v>0</v>
      </c>
      <c r="V1601" s="5">
        <f t="shared" si="503"/>
        <v>0</v>
      </c>
      <c r="W1601" s="5">
        <f t="shared" si="503"/>
        <v>0</v>
      </c>
      <c r="X1601" s="5">
        <f t="shared" si="503"/>
        <v>0</v>
      </c>
      <c r="Y1601" s="5">
        <f t="shared" si="503"/>
        <v>0</v>
      </c>
      <c r="Z1601" s="5">
        <f t="shared" si="503"/>
        <v>0</v>
      </c>
      <c r="AA1601" s="5">
        <f t="shared" si="503"/>
        <v>0</v>
      </c>
      <c r="AB1601" s="5">
        <f t="shared" si="492"/>
        <v>0</v>
      </c>
    </row>
    <row r="1602" spans="1:28" x14ac:dyDescent="0.25">
      <c r="D1602" t="s">
        <v>71</v>
      </c>
      <c r="E1602" s="64"/>
      <c r="F1602" s="64"/>
      <c r="G1602">
        <f>IFERROR(HLOOKUP(G$2,[50]table_female_hkom2_inj.V3!$A$1:$K$36,3,FALSE),0)</f>
        <v>0</v>
      </c>
      <c r="H1602">
        <f>IFERROR(HLOOKUP(H$2,[50]table_female_hkom2_inj.V3!$A$1:$K$36,3,FALSE),0)</f>
        <v>0</v>
      </c>
      <c r="I1602">
        <f>IFERROR(HLOOKUP(I$2,[50]table_female_hkom2_inj.V3!$A$1:$K$36,3,FALSE),0)</f>
        <v>0</v>
      </c>
      <c r="J1602">
        <f>IFERROR(HLOOKUP(J$2,[50]table_female_hkom2_inj.V3!$A$1:$K$36,3,FALSE),0)</f>
        <v>0</v>
      </c>
      <c r="K1602">
        <f>IFERROR(HLOOKUP(K$2,[50]table_female_hkom2_inj.V3!$A$1:$K$36,3,FALSE),0)</f>
        <v>0</v>
      </c>
      <c r="L1602">
        <f>IFERROR(HLOOKUP(L$2,[50]table_female_hkom2_inj.V3!$A$1:$K$36,3,FALSE),0)</f>
        <v>0</v>
      </c>
      <c r="M1602">
        <f t="shared" ref="M1602:M1634" si="504">SUM(E1602:L1602)</f>
        <v>0</v>
      </c>
      <c r="S1602" t="s">
        <v>71</v>
      </c>
      <c r="T1602" s="5">
        <f t="shared" ref="T1602:T1633" si="505">IF(SUM(E$1601:E$1633)=0,E$1634/33,E1602+IFERROR(E1602/SUM(E$1601:E$1633)*E$1634,0))</f>
        <v>0</v>
      </c>
      <c r="U1602" s="5">
        <f t="shared" ref="U1602:U1633" si="506">IF(SUM(F$1601:F$1633)=0,F$1634/33,F1602+IFERROR(F1602/SUM(F$1601:F$1633)*F$1634,0))</f>
        <v>0</v>
      </c>
      <c r="V1602" s="5">
        <f t="shared" ref="V1602:V1633" si="507">IF(SUM(G$1601:G$1633)=0,G$1634/33,G1602+IFERROR(G1602/SUM(G$1601:G$1633)*G$1634,0))</f>
        <v>0</v>
      </c>
      <c r="W1602" s="5">
        <f t="shared" ref="W1602:W1633" si="508">IF(SUM(H$1601:H$1633)=0,H$1634/33,H1602+IFERROR(H1602/SUM(H$1601:H$1633)*H$1634,0))</f>
        <v>0</v>
      </c>
      <c r="X1602" s="5">
        <f t="shared" ref="X1602:X1633" si="509">IF(SUM(I$1601:I$1633)=0,I$1634/33,I1602+IFERROR(I1602/SUM(I$1601:I$1633)*I$1634,0))</f>
        <v>0</v>
      </c>
      <c r="Y1602" s="5">
        <f t="shared" ref="Y1602:Y1633" si="510">IF(SUM(J$1601:J$1633)=0,J$1634/33,J1602+IFERROR(J1602/SUM(J$1601:J$1633)*J$1634,0))</f>
        <v>0</v>
      </c>
      <c r="Z1602" s="5">
        <f t="shared" ref="Z1602:Z1633" si="511">IF(SUM(K$1601:K$1633)=0,K$1634/33,K1602+IFERROR(K1602/SUM(K$1601:K$1633)*K$1634,0))</f>
        <v>0</v>
      </c>
      <c r="AA1602" s="5">
        <f t="shared" ref="AA1602:AA1633" si="512">IF(SUM(L$1601:L$1633)=0,L$1634/33,L1602+IFERROR(L1602/SUM(L$1601:L$1633)*L$1634,0))</f>
        <v>0</v>
      </c>
      <c r="AB1602" s="5">
        <f t="shared" si="492"/>
        <v>0</v>
      </c>
    </row>
    <row r="1603" spans="1:28" x14ac:dyDescent="0.25">
      <c r="D1603" t="s">
        <v>72</v>
      </c>
      <c r="E1603" s="64"/>
      <c r="F1603" s="64"/>
      <c r="G1603">
        <f>IFERROR(HLOOKUP(G$2,[50]table_female_hkom2_inj.V3!$A$1:$K$36,4,FALSE),0)</f>
        <v>0</v>
      </c>
      <c r="H1603">
        <f>IFERROR(HLOOKUP(H$2,[50]table_female_hkom2_inj.V3!$A$1:$K$36,4,FALSE),0)</f>
        <v>0</v>
      </c>
      <c r="I1603">
        <f>IFERROR(HLOOKUP(I$2,[50]table_female_hkom2_inj.V3!$A$1:$K$36,4,FALSE),0)</f>
        <v>0</v>
      </c>
      <c r="J1603">
        <f>IFERROR(HLOOKUP(J$2,[50]table_female_hkom2_inj.V3!$A$1:$K$36,4,FALSE),0)</f>
        <v>0</v>
      </c>
      <c r="K1603">
        <f>IFERROR(HLOOKUP(K$2,[50]table_female_hkom2_inj.V3!$A$1:$K$36,4,FALSE),0)</f>
        <v>0</v>
      </c>
      <c r="L1603">
        <f>IFERROR(HLOOKUP(L$2,[50]table_female_hkom2_inj.V3!$A$1:$K$36,4,FALSE),0)</f>
        <v>0</v>
      </c>
      <c r="M1603">
        <f t="shared" si="504"/>
        <v>0</v>
      </c>
      <c r="S1603" t="s">
        <v>72</v>
      </c>
      <c r="T1603" s="5">
        <f t="shared" si="505"/>
        <v>0</v>
      </c>
      <c r="U1603" s="5">
        <f t="shared" si="506"/>
        <v>0</v>
      </c>
      <c r="V1603" s="5">
        <f t="shared" si="507"/>
        <v>0</v>
      </c>
      <c r="W1603" s="5">
        <f t="shared" si="508"/>
        <v>0</v>
      </c>
      <c r="X1603" s="5">
        <f t="shared" si="509"/>
        <v>0</v>
      </c>
      <c r="Y1603" s="5">
        <f t="shared" si="510"/>
        <v>0</v>
      </c>
      <c r="Z1603" s="5">
        <f t="shared" si="511"/>
        <v>0</v>
      </c>
      <c r="AA1603" s="5">
        <f t="shared" si="512"/>
        <v>0</v>
      </c>
      <c r="AB1603" s="5">
        <f t="shared" si="492"/>
        <v>0</v>
      </c>
    </row>
    <row r="1604" spans="1:28" x14ac:dyDescent="0.25">
      <c r="D1604" t="s">
        <v>73</v>
      </c>
      <c r="E1604" s="64"/>
      <c r="F1604" s="64"/>
      <c r="G1604">
        <f>IFERROR(HLOOKUP(G$2,[50]table_female_hkom2_inj.V3!$A$1:$K$36,5,FALSE),0)</f>
        <v>0</v>
      </c>
      <c r="H1604">
        <f>IFERROR(HLOOKUP(H$2,[50]table_female_hkom2_inj.V3!$A$1:$K$36,5,FALSE),0)</f>
        <v>0</v>
      </c>
      <c r="I1604">
        <f>IFERROR(HLOOKUP(I$2,[50]table_female_hkom2_inj.V3!$A$1:$K$36,5,FALSE),0)</f>
        <v>0</v>
      </c>
      <c r="J1604">
        <f>IFERROR(HLOOKUP(J$2,[50]table_female_hkom2_inj.V3!$A$1:$K$36,5,FALSE),0)</f>
        <v>0</v>
      </c>
      <c r="K1604">
        <f>IFERROR(HLOOKUP(K$2,[50]table_female_hkom2_inj.V3!$A$1:$K$36,5,FALSE),0)</f>
        <v>0</v>
      </c>
      <c r="L1604">
        <f>IFERROR(HLOOKUP(L$2,[50]table_female_hkom2_inj.V3!$A$1:$K$36,5,FALSE),0)</f>
        <v>0</v>
      </c>
      <c r="M1604">
        <f t="shared" si="504"/>
        <v>0</v>
      </c>
      <c r="S1604" t="s">
        <v>73</v>
      </c>
      <c r="T1604" s="5">
        <f t="shared" si="505"/>
        <v>0</v>
      </c>
      <c r="U1604" s="5">
        <f t="shared" si="506"/>
        <v>0</v>
      </c>
      <c r="V1604" s="5">
        <f t="shared" si="507"/>
        <v>0</v>
      </c>
      <c r="W1604" s="5">
        <f t="shared" si="508"/>
        <v>0</v>
      </c>
      <c r="X1604" s="5">
        <f t="shared" si="509"/>
        <v>0</v>
      </c>
      <c r="Y1604" s="5">
        <f t="shared" si="510"/>
        <v>0</v>
      </c>
      <c r="Z1604" s="5">
        <f t="shared" si="511"/>
        <v>0</v>
      </c>
      <c r="AA1604" s="5">
        <f t="shared" si="512"/>
        <v>0</v>
      </c>
      <c r="AB1604" s="5">
        <f t="shared" si="492"/>
        <v>0</v>
      </c>
    </row>
    <row r="1605" spans="1:28" x14ac:dyDescent="0.25">
      <c r="D1605" t="s">
        <v>74</v>
      </c>
      <c r="E1605" s="64"/>
      <c r="F1605" s="64"/>
      <c r="G1605">
        <f>IFERROR(HLOOKUP(G$2,[50]table_female_hkom2_inj.V3!$A$1:$K$36,6,FALSE),0)</f>
        <v>0</v>
      </c>
      <c r="H1605">
        <f>IFERROR(HLOOKUP(H$2,[50]table_female_hkom2_inj.V3!$A$1:$K$36,6,FALSE),0)</f>
        <v>0</v>
      </c>
      <c r="I1605">
        <f>IFERROR(HLOOKUP(I$2,[50]table_female_hkom2_inj.V3!$A$1:$K$36,6,FALSE),0)</f>
        <v>0</v>
      </c>
      <c r="J1605">
        <f>IFERROR(HLOOKUP(J$2,[50]table_female_hkom2_inj.V3!$A$1:$K$36,6,FALSE),0)</f>
        <v>0</v>
      </c>
      <c r="K1605">
        <f>IFERROR(HLOOKUP(K$2,[50]table_female_hkom2_inj.V3!$A$1:$K$36,6,FALSE),0)</f>
        <v>0</v>
      </c>
      <c r="L1605">
        <f>IFERROR(HLOOKUP(L$2,[50]table_female_hkom2_inj.V3!$A$1:$K$36,6,FALSE),0)</f>
        <v>0</v>
      </c>
      <c r="M1605">
        <f t="shared" si="504"/>
        <v>0</v>
      </c>
      <c r="S1605" t="s">
        <v>74</v>
      </c>
      <c r="T1605" s="5">
        <f t="shared" si="505"/>
        <v>0</v>
      </c>
      <c r="U1605" s="5">
        <f t="shared" si="506"/>
        <v>0</v>
      </c>
      <c r="V1605" s="5">
        <f t="shared" si="507"/>
        <v>0</v>
      </c>
      <c r="W1605" s="5">
        <f t="shared" si="508"/>
        <v>0</v>
      </c>
      <c r="X1605" s="5">
        <f t="shared" si="509"/>
        <v>0</v>
      </c>
      <c r="Y1605" s="5">
        <f t="shared" si="510"/>
        <v>0</v>
      </c>
      <c r="Z1605" s="5">
        <f t="shared" si="511"/>
        <v>0</v>
      </c>
      <c r="AA1605" s="5">
        <f t="shared" si="512"/>
        <v>0</v>
      </c>
      <c r="AB1605" s="5">
        <f t="shared" si="492"/>
        <v>0</v>
      </c>
    </row>
    <row r="1606" spans="1:28" x14ac:dyDescent="0.25">
      <c r="D1606" t="s">
        <v>75</v>
      </c>
      <c r="E1606" s="64"/>
      <c r="F1606" s="64"/>
      <c r="G1606">
        <f>IFERROR(HLOOKUP(G$2,[50]table_female_hkom2_inj.V3!$A$1:$K$36,7,FALSE),0)</f>
        <v>0</v>
      </c>
      <c r="H1606">
        <f>IFERROR(HLOOKUP(H$2,[50]table_female_hkom2_inj.V3!$A$1:$K$36,7,FALSE),0)</f>
        <v>0</v>
      </c>
      <c r="I1606">
        <f>IFERROR(HLOOKUP(I$2,[50]table_female_hkom2_inj.V3!$A$1:$K$36,7,FALSE),0)</f>
        <v>0</v>
      </c>
      <c r="J1606">
        <f>IFERROR(HLOOKUP(J$2,[50]table_female_hkom2_inj.V3!$A$1:$K$36,7,FALSE),0)</f>
        <v>0</v>
      </c>
      <c r="K1606">
        <f>IFERROR(HLOOKUP(K$2,[50]table_female_hkom2_inj.V3!$A$1:$K$36,7,FALSE),0)</f>
        <v>0</v>
      </c>
      <c r="L1606">
        <f>IFERROR(HLOOKUP(L$2,[50]table_female_hkom2_inj.V3!$A$1:$K$36,7,FALSE),0)</f>
        <v>0</v>
      </c>
      <c r="M1606">
        <f t="shared" si="504"/>
        <v>0</v>
      </c>
      <c r="S1606" t="s">
        <v>75</v>
      </c>
      <c r="T1606" s="5">
        <f t="shared" si="505"/>
        <v>0</v>
      </c>
      <c r="U1606" s="5">
        <f t="shared" si="506"/>
        <v>0</v>
      </c>
      <c r="V1606" s="5">
        <f t="shared" si="507"/>
        <v>0</v>
      </c>
      <c r="W1606" s="5">
        <f t="shared" si="508"/>
        <v>0</v>
      </c>
      <c r="X1606" s="5">
        <f t="shared" si="509"/>
        <v>0</v>
      </c>
      <c r="Y1606" s="5">
        <f t="shared" si="510"/>
        <v>0</v>
      </c>
      <c r="Z1606" s="5">
        <f t="shared" si="511"/>
        <v>0</v>
      </c>
      <c r="AA1606" s="5">
        <f t="shared" si="512"/>
        <v>0</v>
      </c>
      <c r="AB1606" s="5">
        <f t="shared" si="492"/>
        <v>0</v>
      </c>
    </row>
    <row r="1607" spans="1:28" x14ac:dyDescent="0.25">
      <c r="D1607" t="s">
        <v>76</v>
      </c>
      <c r="E1607" s="64"/>
      <c r="F1607" s="64"/>
      <c r="G1607">
        <f>IFERROR(HLOOKUP(G$2,[50]table_female_hkom2_inj.V3!$A$1:$K$36,8,FALSE),0)</f>
        <v>0</v>
      </c>
      <c r="H1607">
        <f>IFERROR(HLOOKUP(H$2,[50]table_female_hkom2_inj.V3!$A$1:$K$36,8,FALSE),0)</f>
        <v>0</v>
      </c>
      <c r="I1607">
        <f>IFERROR(HLOOKUP(I$2,[50]table_female_hkom2_inj.V3!$A$1:$K$36,8,FALSE),0)</f>
        <v>0</v>
      </c>
      <c r="J1607">
        <f>IFERROR(HLOOKUP(J$2,[50]table_female_hkom2_inj.V3!$A$1:$K$36,8,FALSE),0)</f>
        <v>0</v>
      </c>
      <c r="K1607">
        <f>IFERROR(HLOOKUP(K$2,[50]table_female_hkom2_inj.V3!$A$1:$K$36,8,FALSE),0)</f>
        <v>0</v>
      </c>
      <c r="L1607">
        <f>IFERROR(HLOOKUP(L$2,[50]table_female_hkom2_inj.V3!$A$1:$K$36,8,FALSE),0)</f>
        <v>0</v>
      </c>
      <c r="M1607">
        <f t="shared" si="504"/>
        <v>0</v>
      </c>
      <c r="S1607" t="s">
        <v>76</v>
      </c>
      <c r="T1607" s="5">
        <f t="shared" si="505"/>
        <v>0</v>
      </c>
      <c r="U1607" s="5">
        <f t="shared" si="506"/>
        <v>0</v>
      </c>
      <c r="V1607" s="5">
        <f t="shared" si="507"/>
        <v>0</v>
      </c>
      <c r="W1607" s="5">
        <f t="shared" si="508"/>
        <v>0</v>
      </c>
      <c r="X1607" s="5">
        <f t="shared" si="509"/>
        <v>0</v>
      </c>
      <c r="Y1607" s="5">
        <f t="shared" si="510"/>
        <v>0</v>
      </c>
      <c r="Z1607" s="5">
        <f t="shared" si="511"/>
        <v>0</v>
      </c>
      <c r="AA1607" s="5">
        <f t="shared" si="512"/>
        <v>0</v>
      </c>
      <c r="AB1607" s="5">
        <f t="shared" si="492"/>
        <v>0</v>
      </c>
    </row>
    <row r="1608" spans="1:28" x14ac:dyDescent="0.25">
      <c r="D1608" t="s">
        <v>77</v>
      </c>
      <c r="E1608" s="64"/>
      <c r="F1608" s="64"/>
      <c r="G1608">
        <f>IFERROR(HLOOKUP(G$2,[50]table_female_hkom2_inj.V3!$A$1:$K$36,9,FALSE),0)</f>
        <v>0</v>
      </c>
      <c r="H1608">
        <f>IFERROR(HLOOKUP(H$2,[50]table_female_hkom2_inj.V3!$A$1:$K$36,9,FALSE),0)</f>
        <v>0</v>
      </c>
      <c r="I1608">
        <f>IFERROR(HLOOKUP(I$2,[50]table_female_hkom2_inj.V3!$A$1:$K$36,9,FALSE),0)</f>
        <v>0</v>
      </c>
      <c r="J1608">
        <f>IFERROR(HLOOKUP(J$2,[50]table_female_hkom2_inj.V3!$A$1:$K$36,9,FALSE),0)</f>
        <v>0</v>
      </c>
      <c r="K1608">
        <f>IFERROR(HLOOKUP(K$2,[50]table_female_hkom2_inj.V3!$A$1:$K$36,9,FALSE),0)</f>
        <v>0</v>
      </c>
      <c r="L1608">
        <f>IFERROR(HLOOKUP(L$2,[50]table_female_hkom2_inj.V3!$A$1:$K$36,9,FALSE),0)</f>
        <v>0</v>
      </c>
      <c r="M1608">
        <f t="shared" si="504"/>
        <v>0</v>
      </c>
      <c r="S1608" t="s">
        <v>77</v>
      </c>
      <c r="T1608" s="5">
        <f t="shared" si="505"/>
        <v>0</v>
      </c>
      <c r="U1608" s="5">
        <f t="shared" si="506"/>
        <v>0</v>
      </c>
      <c r="V1608" s="5">
        <f t="shared" si="507"/>
        <v>0</v>
      </c>
      <c r="W1608" s="5">
        <f t="shared" si="508"/>
        <v>0</v>
      </c>
      <c r="X1608" s="5">
        <f t="shared" si="509"/>
        <v>0</v>
      </c>
      <c r="Y1608" s="5">
        <f t="shared" si="510"/>
        <v>0</v>
      </c>
      <c r="Z1608" s="5">
        <f t="shared" si="511"/>
        <v>0</v>
      </c>
      <c r="AA1608" s="5">
        <f t="shared" si="512"/>
        <v>0</v>
      </c>
      <c r="AB1608" s="5">
        <f t="shared" si="492"/>
        <v>0</v>
      </c>
    </row>
    <row r="1609" spans="1:28" x14ac:dyDescent="0.25">
      <c r="D1609" t="s">
        <v>78</v>
      </c>
      <c r="E1609" s="64"/>
      <c r="F1609" s="64"/>
      <c r="G1609">
        <f>IFERROR(HLOOKUP(G$2,[50]table_female_hkom2_inj.V3!$A$1:$K$36,10,FALSE),0)</f>
        <v>0</v>
      </c>
      <c r="H1609">
        <f>IFERROR(HLOOKUP(H$2,[50]table_female_hkom2_inj.V3!$A$1:$K$36,10,FALSE),0)</f>
        <v>0</v>
      </c>
      <c r="I1609">
        <f>IFERROR(HLOOKUP(I$2,[50]table_female_hkom2_inj.V3!$A$1:$K$36,10,FALSE),0)</f>
        <v>0</v>
      </c>
      <c r="J1609">
        <f>IFERROR(HLOOKUP(J$2,[50]table_female_hkom2_inj.V3!$A$1:$K$36,10,FALSE),0)</f>
        <v>0</v>
      </c>
      <c r="K1609">
        <f>IFERROR(HLOOKUP(K$2,[50]table_female_hkom2_inj.V3!$A$1:$K$36,10,FALSE),0)</f>
        <v>0</v>
      </c>
      <c r="L1609">
        <f>IFERROR(HLOOKUP(L$2,[50]table_female_hkom2_inj.V3!$A$1:$K$36,10,FALSE),0)</f>
        <v>0</v>
      </c>
      <c r="M1609">
        <f t="shared" si="504"/>
        <v>0</v>
      </c>
      <c r="S1609" t="s">
        <v>78</v>
      </c>
      <c r="T1609" s="5">
        <f t="shared" si="505"/>
        <v>0</v>
      </c>
      <c r="U1609" s="5">
        <f t="shared" si="506"/>
        <v>0</v>
      </c>
      <c r="V1609" s="5">
        <f t="shared" si="507"/>
        <v>0</v>
      </c>
      <c r="W1609" s="5">
        <f t="shared" si="508"/>
        <v>0</v>
      </c>
      <c r="X1609" s="5">
        <f t="shared" si="509"/>
        <v>0</v>
      </c>
      <c r="Y1609" s="5">
        <f t="shared" si="510"/>
        <v>0</v>
      </c>
      <c r="Z1609" s="5">
        <f t="shared" si="511"/>
        <v>0</v>
      </c>
      <c r="AA1609" s="5">
        <f t="shared" si="512"/>
        <v>0</v>
      </c>
      <c r="AB1609" s="5">
        <f t="shared" si="492"/>
        <v>0</v>
      </c>
    </row>
    <row r="1610" spans="1:28" x14ac:dyDescent="0.25">
      <c r="D1610" t="s">
        <v>79</v>
      </c>
      <c r="E1610" s="64"/>
      <c r="F1610" s="64"/>
      <c r="G1610">
        <f>IFERROR(HLOOKUP(G$2,[50]table_female_hkom2_inj.V3!$A$1:$K$36,11,FALSE),0)</f>
        <v>0</v>
      </c>
      <c r="H1610">
        <f>IFERROR(HLOOKUP(H$2,[50]table_female_hkom2_inj.V3!$A$1:$K$36,11,FALSE),0)</f>
        <v>0</v>
      </c>
      <c r="I1610">
        <f>IFERROR(HLOOKUP(I$2,[50]table_female_hkom2_inj.V3!$A$1:$K$36,11,FALSE),0)</f>
        <v>0</v>
      </c>
      <c r="J1610">
        <f>IFERROR(HLOOKUP(J$2,[50]table_female_hkom2_inj.V3!$A$1:$K$36,11,FALSE),0)</f>
        <v>0</v>
      </c>
      <c r="K1610">
        <f>IFERROR(HLOOKUP(K$2,[50]table_female_hkom2_inj.V3!$A$1:$K$36,11,FALSE),0)</f>
        <v>0</v>
      </c>
      <c r="L1610">
        <f>IFERROR(HLOOKUP(L$2,[50]table_female_hkom2_inj.V3!$A$1:$K$36,11,FALSE),0)</f>
        <v>0</v>
      </c>
      <c r="M1610">
        <f t="shared" si="504"/>
        <v>0</v>
      </c>
      <c r="S1610" t="s">
        <v>79</v>
      </c>
      <c r="T1610" s="5">
        <f t="shared" si="505"/>
        <v>0</v>
      </c>
      <c r="U1610" s="5">
        <f t="shared" si="506"/>
        <v>0</v>
      </c>
      <c r="V1610" s="5">
        <f t="shared" si="507"/>
        <v>0</v>
      </c>
      <c r="W1610" s="5">
        <f t="shared" si="508"/>
        <v>0</v>
      </c>
      <c r="X1610" s="5">
        <f t="shared" si="509"/>
        <v>0</v>
      </c>
      <c r="Y1610" s="5">
        <f t="shared" si="510"/>
        <v>0</v>
      </c>
      <c r="Z1610" s="5">
        <f t="shared" si="511"/>
        <v>0</v>
      </c>
      <c r="AA1610" s="5">
        <f t="shared" si="512"/>
        <v>0</v>
      </c>
      <c r="AB1610" s="5">
        <f t="shared" si="492"/>
        <v>0</v>
      </c>
    </row>
    <row r="1611" spans="1:28" x14ac:dyDescent="0.25">
      <c r="D1611" t="s">
        <v>80</v>
      </c>
      <c r="E1611" s="64"/>
      <c r="F1611" s="64"/>
      <c r="G1611">
        <f>IFERROR(HLOOKUP(G$2,[50]table_female_hkom2_inj.V3!$A$1:$K$36,12,FALSE),0)</f>
        <v>0</v>
      </c>
      <c r="H1611">
        <f>IFERROR(HLOOKUP(H$2,[50]table_female_hkom2_inj.V3!$A$1:$K$36,12,FALSE),0)</f>
        <v>0</v>
      </c>
      <c r="I1611">
        <f>IFERROR(HLOOKUP(I$2,[50]table_female_hkom2_inj.V3!$A$1:$K$36,12,FALSE),0)</f>
        <v>0</v>
      </c>
      <c r="J1611">
        <f>IFERROR(HLOOKUP(J$2,[50]table_female_hkom2_inj.V3!$A$1:$K$36,12,FALSE),0)</f>
        <v>0</v>
      </c>
      <c r="K1611">
        <f>IFERROR(HLOOKUP(K$2,[50]table_female_hkom2_inj.V3!$A$1:$K$36,12,FALSE),0)</f>
        <v>0</v>
      </c>
      <c r="L1611">
        <f>IFERROR(HLOOKUP(L$2,[50]table_female_hkom2_inj.V3!$A$1:$K$36,12,FALSE),0)</f>
        <v>0</v>
      </c>
      <c r="M1611">
        <f t="shared" si="504"/>
        <v>0</v>
      </c>
      <c r="S1611" t="s">
        <v>80</v>
      </c>
      <c r="T1611" s="5">
        <f t="shared" si="505"/>
        <v>0</v>
      </c>
      <c r="U1611" s="5">
        <f t="shared" si="506"/>
        <v>0</v>
      </c>
      <c r="V1611" s="5">
        <f t="shared" si="507"/>
        <v>0</v>
      </c>
      <c r="W1611" s="5">
        <f t="shared" si="508"/>
        <v>0</v>
      </c>
      <c r="X1611" s="5">
        <f t="shared" si="509"/>
        <v>0</v>
      </c>
      <c r="Y1611" s="5">
        <f t="shared" si="510"/>
        <v>0</v>
      </c>
      <c r="Z1611" s="5">
        <f t="shared" si="511"/>
        <v>0</v>
      </c>
      <c r="AA1611" s="5">
        <f t="shared" si="512"/>
        <v>0</v>
      </c>
      <c r="AB1611" s="5">
        <f t="shared" si="492"/>
        <v>0</v>
      </c>
    </row>
    <row r="1612" spans="1:28" x14ac:dyDescent="0.25">
      <c r="D1612" t="s">
        <v>81</v>
      </c>
      <c r="E1612" s="64"/>
      <c r="F1612" s="64"/>
      <c r="G1612">
        <f>IFERROR(HLOOKUP(G$2,[50]table_female_hkom2_inj.V3!$A$1:$K$36,13,FALSE),0)</f>
        <v>0</v>
      </c>
      <c r="H1612">
        <f>IFERROR(HLOOKUP(H$2,[50]table_female_hkom2_inj.V3!$A$1:$K$36,13,FALSE),0)</f>
        <v>0</v>
      </c>
      <c r="I1612">
        <f>IFERROR(HLOOKUP(I$2,[50]table_female_hkom2_inj.V3!$A$1:$K$36,13,FALSE),0)</f>
        <v>0</v>
      </c>
      <c r="J1612">
        <f>IFERROR(HLOOKUP(J$2,[50]table_female_hkom2_inj.V3!$A$1:$K$36,13,FALSE),0)</f>
        <v>0</v>
      </c>
      <c r="K1612">
        <f>IFERROR(HLOOKUP(K$2,[50]table_female_hkom2_inj.V3!$A$1:$K$36,13,FALSE),0)</f>
        <v>0</v>
      </c>
      <c r="L1612">
        <f>IFERROR(HLOOKUP(L$2,[50]table_female_hkom2_inj.V3!$A$1:$K$36,13,FALSE),0)</f>
        <v>0</v>
      </c>
      <c r="M1612">
        <f t="shared" si="504"/>
        <v>0</v>
      </c>
      <c r="S1612" t="s">
        <v>81</v>
      </c>
      <c r="T1612" s="5">
        <f t="shared" si="505"/>
        <v>0</v>
      </c>
      <c r="U1612" s="5">
        <f t="shared" si="506"/>
        <v>0</v>
      </c>
      <c r="V1612" s="5">
        <f t="shared" si="507"/>
        <v>0</v>
      </c>
      <c r="W1612" s="5">
        <f t="shared" si="508"/>
        <v>0</v>
      </c>
      <c r="X1612" s="5">
        <f t="shared" si="509"/>
        <v>0</v>
      </c>
      <c r="Y1612" s="5">
        <f t="shared" si="510"/>
        <v>0</v>
      </c>
      <c r="Z1612" s="5">
        <f t="shared" si="511"/>
        <v>0</v>
      </c>
      <c r="AA1612" s="5">
        <f t="shared" si="512"/>
        <v>0</v>
      </c>
      <c r="AB1612" s="5">
        <f t="shared" si="492"/>
        <v>0</v>
      </c>
    </row>
    <row r="1613" spans="1:28" x14ac:dyDescent="0.25">
      <c r="D1613" t="s">
        <v>82</v>
      </c>
      <c r="E1613" s="64"/>
      <c r="F1613" s="64"/>
      <c r="G1613">
        <f>IFERROR(HLOOKUP(G$2,[50]table_female_hkom2_inj.V3!$A$1:$K$36,14,FALSE),0)</f>
        <v>0</v>
      </c>
      <c r="H1613">
        <f>IFERROR(HLOOKUP(H$2,[50]table_female_hkom2_inj.V3!$A$1:$K$36,14,FALSE),0)</f>
        <v>0</v>
      </c>
      <c r="I1613">
        <f>IFERROR(HLOOKUP(I$2,[50]table_female_hkom2_inj.V3!$A$1:$K$36,14,FALSE),0)</f>
        <v>0</v>
      </c>
      <c r="J1613">
        <f>IFERROR(HLOOKUP(J$2,[50]table_female_hkom2_inj.V3!$A$1:$K$36,14,FALSE),0)</f>
        <v>0</v>
      </c>
      <c r="K1613">
        <f>IFERROR(HLOOKUP(K$2,[50]table_female_hkom2_inj.V3!$A$1:$K$36,14,FALSE),0)</f>
        <v>0</v>
      </c>
      <c r="L1613">
        <f>IFERROR(HLOOKUP(L$2,[50]table_female_hkom2_inj.V3!$A$1:$K$36,14,FALSE),0)</f>
        <v>0</v>
      </c>
      <c r="M1613">
        <f t="shared" si="504"/>
        <v>0</v>
      </c>
      <c r="S1613" t="s">
        <v>82</v>
      </c>
      <c r="T1613" s="5">
        <f t="shared" si="505"/>
        <v>0</v>
      </c>
      <c r="U1613" s="5">
        <f t="shared" si="506"/>
        <v>0</v>
      </c>
      <c r="V1613" s="5">
        <f t="shared" si="507"/>
        <v>0</v>
      </c>
      <c r="W1613" s="5">
        <f t="shared" si="508"/>
        <v>0</v>
      </c>
      <c r="X1613" s="5">
        <f t="shared" si="509"/>
        <v>0</v>
      </c>
      <c r="Y1613" s="5">
        <f t="shared" si="510"/>
        <v>0</v>
      </c>
      <c r="Z1613" s="5">
        <f t="shared" si="511"/>
        <v>0</v>
      </c>
      <c r="AA1613" s="5">
        <f t="shared" si="512"/>
        <v>0</v>
      </c>
      <c r="AB1613" s="5">
        <f t="shared" si="492"/>
        <v>0</v>
      </c>
    </row>
    <row r="1614" spans="1:28" x14ac:dyDescent="0.25">
      <c r="D1614" t="s">
        <v>83</v>
      </c>
      <c r="E1614" s="64"/>
      <c r="F1614" s="64"/>
      <c r="G1614">
        <f>IFERROR(HLOOKUP(G$2,[50]table_female_hkom2_inj.V3!$A$1:$K$36,15,FALSE),0)</f>
        <v>0</v>
      </c>
      <c r="H1614">
        <f>IFERROR(HLOOKUP(H$2,[50]table_female_hkom2_inj.V3!$A$1:$K$36,15,FALSE),0)</f>
        <v>0</v>
      </c>
      <c r="I1614">
        <f>IFERROR(HLOOKUP(I$2,[50]table_female_hkom2_inj.V3!$A$1:$K$36,15,FALSE),0)</f>
        <v>0</v>
      </c>
      <c r="J1614">
        <f>IFERROR(HLOOKUP(J$2,[50]table_female_hkom2_inj.V3!$A$1:$K$36,15,FALSE),0)</f>
        <v>0</v>
      </c>
      <c r="K1614">
        <f>IFERROR(HLOOKUP(K$2,[50]table_female_hkom2_inj.V3!$A$1:$K$36,15,FALSE),0)</f>
        <v>0</v>
      </c>
      <c r="L1614">
        <f>IFERROR(HLOOKUP(L$2,[50]table_female_hkom2_inj.V3!$A$1:$K$36,15,FALSE),0)</f>
        <v>0</v>
      </c>
      <c r="M1614">
        <f t="shared" si="504"/>
        <v>0</v>
      </c>
      <c r="S1614" t="s">
        <v>83</v>
      </c>
      <c r="T1614" s="5">
        <f t="shared" si="505"/>
        <v>0</v>
      </c>
      <c r="U1614" s="5">
        <f t="shared" si="506"/>
        <v>0</v>
      </c>
      <c r="V1614" s="5">
        <f t="shared" si="507"/>
        <v>0</v>
      </c>
      <c r="W1614" s="5">
        <f t="shared" si="508"/>
        <v>0</v>
      </c>
      <c r="X1614" s="5">
        <f t="shared" si="509"/>
        <v>0</v>
      </c>
      <c r="Y1614" s="5">
        <f t="shared" si="510"/>
        <v>0</v>
      </c>
      <c r="Z1614" s="5">
        <f t="shared" si="511"/>
        <v>0</v>
      </c>
      <c r="AA1614" s="5">
        <f t="shared" si="512"/>
        <v>0</v>
      </c>
      <c r="AB1614" s="5">
        <f t="shared" si="492"/>
        <v>0</v>
      </c>
    </row>
    <row r="1615" spans="1:28" x14ac:dyDescent="0.25">
      <c r="D1615" t="s">
        <v>84</v>
      </c>
      <c r="E1615" s="64"/>
      <c r="F1615" s="64"/>
      <c r="G1615">
        <f>IFERROR(HLOOKUP(G$2,[50]table_female_hkom2_inj.V3!$A$1:$K$36,16,FALSE),0)</f>
        <v>0</v>
      </c>
      <c r="H1615">
        <f>IFERROR(HLOOKUP(H$2,[50]table_female_hkom2_inj.V3!$A$1:$K$36,16,FALSE),0)</f>
        <v>0</v>
      </c>
      <c r="I1615">
        <f>IFERROR(HLOOKUP(I$2,[50]table_female_hkom2_inj.V3!$A$1:$K$36,16,FALSE),0)</f>
        <v>0</v>
      </c>
      <c r="J1615">
        <f>IFERROR(HLOOKUP(J$2,[50]table_female_hkom2_inj.V3!$A$1:$K$36,16,FALSE),0)</f>
        <v>0</v>
      </c>
      <c r="K1615">
        <f>IFERROR(HLOOKUP(K$2,[50]table_female_hkom2_inj.V3!$A$1:$K$36,16,FALSE),0)</f>
        <v>0</v>
      </c>
      <c r="L1615">
        <f>IFERROR(HLOOKUP(L$2,[50]table_female_hkom2_inj.V3!$A$1:$K$36,16,FALSE),0)</f>
        <v>0</v>
      </c>
      <c r="M1615">
        <f t="shared" si="504"/>
        <v>0</v>
      </c>
      <c r="S1615" t="s">
        <v>84</v>
      </c>
      <c r="T1615" s="5">
        <f t="shared" si="505"/>
        <v>0</v>
      </c>
      <c r="U1615" s="5">
        <f t="shared" si="506"/>
        <v>0</v>
      </c>
      <c r="V1615" s="5">
        <f t="shared" si="507"/>
        <v>0</v>
      </c>
      <c r="W1615" s="5">
        <f t="shared" si="508"/>
        <v>0</v>
      </c>
      <c r="X1615" s="5">
        <f t="shared" si="509"/>
        <v>0</v>
      </c>
      <c r="Y1615" s="5">
        <f t="shared" si="510"/>
        <v>0</v>
      </c>
      <c r="Z1615" s="5">
        <f t="shared" si="511"/>
        <v>0</v>
      </c>
      <c r="AA1615" s="5">
        <f t="shared" si="512"/>
        <v>0</v>
      </c>
      <c r="AB1615" s="5">
        <f t="shared" si="492"/>
        <v>0</v>
      </c>
    </row>
    <row r="1616" spans="1:28" x14ac:dyDescent="0.25">
      <c r="D1616" t="s">
        <v>85</v>
      </c>
      <c r="E1616" s="64"/>
      <c r="F1616" s="64"/>
      <c r="G1616">
        <f>IFERROR(HLOOKUP(G$2,[50]table_female_hkom2_inj.V3!$A$1:$K$36,17,FALSE),0)</f>
        <v>0</v>
      </c>
      <c r="H1616">
        <f>IFERROR(HLOOKUP(H$2,[50]table_female_hkom2_inj.V3!$A$1:$K$36,17,FALSE),0)</f>
        <v>0</v>
      </c>
      <c r="I1616">
        <f>IFERROR(HLOOKUP(I$2,[50]table_female_hkom2_inj.V3!$A$1:$K$36,17,FALSE),0)</f>
        <v>0</v>
      </c>
      <c r="J1616">
        <f>IFERROR(HLOOKUP(J$2,[50]table_female_hkom2_inj.V3!$A$1:$K$36,17,FALSE),0)</f>
        <v>0</v>
      </c>
      <c r="K1616">
        <f>IFERROR(HLOOKUP(K$2,[50]table_female_hkom2_inj.V3!$A$1:$K$36,17,FALSE),0)</f>
        <v>0</v>
      </c>
      <c r="L1616">
        <f>IFERROR(HLOOKUP(L$2,[50]table_female_hkom2_inj.V3!$A$1:$K$36,17,FALSE),0)</f>
        <v>0</v>
      </c>
      <c r="M1616">
        <f t="shared" si="504"/>
        <v>0</v>
      </c>
      <c r="S1616" t="s">
        <v>85</v>
      </c>
      <c r="T1616" s="5">
        <f t="shared" si="505"/>
        <v>0</v>
      </c>
      <c r="U1616" s="5">
        <f t="shared" si="506"/>
        <v>0</v>
      </c>
      <c r="V1616" s="5">
        <f t="shared" si="507"/>
        <v>0</v>
      </c>
      <c r="W1616" s="5">
        <f t="shared" si="508"/>
        <v>0</v>
      </c>
      <c r="X1616" s="5">
        <f t="shared" si="509"/>
        <v>0</v>
      </c>
      <c r="Y1616" s="5">
        <f t="shared" si="510"/>
        <v>0</v>
      </c>
      <c r="Z1616" s="5">
        <f t="shared" si="511"/>
        <v>0</v>
      </c>
      <c r="AA1616" s="5">
        <f t="shared" si="512"/>
        <v>0</v>
      </c>
      <c r="AB1616" s="5">
        <f t="shared" si="492"/>
        <v>0</v>
      </c>
    </row>
    <row r="1617" spans="4:28" x14ac:dyDescent="0.25">
      <c r="D1617" t="s">
        <v>86</v>
      </c>
      <c r="E1617" s="64"/>
      <c r="F1617" s="64"/>
      <c r="G1617">
        <f>IFERROR(HLOOKUP(G$2,[50]table_female_hkom2_inj.V3!$A$1:$K$36,18,FALSE),0)</f>
        <v>0</v>
      </c>
      <c r="H1617">
        <f>IFERROR(HLOOKUP(H$2,[50]table_female_hkom2_inj.V3!$A$1:$K$36,18,FALSE),0)</f>
        <v>0</v>
      </c>
      <c r="I1617">
        <f>IFERROR(HLOOKUP(I$2,[50]table_female_hkom2_inj.V3!$A$1:$K$36,18,FALSE),0)</f>
        <v>0</v>
      </c>
      <c r="J1617">
        <f>IFERROR(HLOOKUP(J$2,[50]table_female_hkom2_inj.V3!$A$1:$K$36,18,FALSE),0)</f>
        <v>0</v>
      </c>
      <c r="K1617">
        <f>IFERROR(HLOOKUP(K$2,[50]table_female_hkom2_inj.V3!$A$1:$K$36,18,FALSE),0)</f>
        <v>0</v>
      </c>
      <c r="L1617">
        <f>IFERROR(HLOOKUP(L$2,[50]table_female_hkom2_inj.V3!$A$1:$K$36,18,FALSE),0)</f>
        <v>0</v>
      </c>
      <c r="M1617">
        <f t="shared" si="504"/>
        <v>0</v>
      </c>
      <c r="S1617" t="s">
        <v>86</v>
      </c>
      <c r="T1617" s="5">
        <f t="shared" si="505"/>
        <v>0</v>
      </c>
      <c r="U1617" s="5">
        <f t="shared" si="506"/>
        <v>0</v>
      </c>
      <c r="V1617" s="5">
        <f t="shared" si="507"/>
        <v>0</v>
      </c>
      <c r="W1617" s="5">
        <f t="shared" si="508"/>
        <v>0</v>
      </c>
      <c r="X1617" s="5">
        <f t="shared" si="509"/>
        <v>0</v>
      </c>
      <c r="Y1617" s="5">
        <f t="shared" si="510"/>
        <v>0</v>
      </c>
      <c r="Z1617" s="5">
        <f t="shared" si="511"/>
        <v>0</v>
      </c>
      <c r="AA1617" s="5">
        <f t="shared" si="512"/>
        <v>0</v>
      </c>
      <c r="AB1617" s="5">
        <f t="shared" si="492"/>
        <v>0</v>
      </c>
    </row>
    <row r="1618" spans="4:28" x14ac:dyDescent="0.25">
      <c r="D1618" t="s">
        <v>87</v>
      </c>
      <c r="E1618" s="64"/>
      <c r="F1618" s="64"/>
      <c r="G1618">
        <f>IFERROR(HLOOKUP(G$2,[50]table_female_hkom2_inj.V3!$A$1:$K$36,19,FALSE),0)</f>
        <v>0</v>
      </c>
      <c r="H1618">
        <f>IFERROR(HLOOKUP(H$2,[50]table_female_hkom2_inj.V3!$A$1:$K$36,19,FALSE),0)</f>
        <v>0</v>
      </c>
      <c r="I1618">
        <f>IFERROR(HLOOKUP(I$2,[50]table_female_hkom2_inj.V3!$A$1:$K$36,19,FALSE),0)</f>
        <v>0</v>
      </c>
      <c r="J1618">
        <f>IFERROR(HLOOKUP(J$2,[50]table_female_hkom2_inj.V3!$A$1:$K$36,19,FALSE),0)</f>
        <v>0</v>
      </c>
      <c r="K1618">
        <f>IFERROR(HLOOKUP(K$2,[50]table_female_hkom2_inj.V3!$A$1:$K$36,19,FALSE),0)</f>
        <v>0</v>
      </c>
      <c r="L1618">
        <f>IFERROR(HLOOKUP(L$2,[50]table_female_hkom2_inj.V3!$A$1:$K$36,19,FALSE),0)</f>
        <v>0</v>
      </c>
      <c r="M1618">
        <f t="shared" si="504"/>
        <v>0</v>
      </c>
      <c r="S1618" t="s">
        <v>87</v>
      </c>
      <c r="T1618" s="5">
        <f t="shared" si="505"/>
        <v>0</v>
      </c>
      <c r="U1618" s="5">
        <f t="shared" si="506"/>
        <v>0</v>
      </c>
      <c r="V1618" s="5">
        <f t="shared" si="507"/>
        <v>0</v>
      </c>
      <c r="W1618" s="5">
        <f t="shared" si="508"/>
        <v>0</v>
      </c>
      <c r="X1618" s="5">
        <f t="shared" si="509"/>
        <v>0</v>
      </c>
      <c r="Y1618" s="5">
        <f t="shared" si="510"/>
        <v>0</v>
      </c>
      <c r="Z1618" s="5">
        <f t="shared" si="511"/>
        <v>0</v>
      </c>
      <c r="AA1618" s="5">
        <f t="shared" si="512"/>
        <v>0</v>
      </c>
      <c r="AB1618" s="5">
        <f t="shared" si="492"/>
        <v>0</v>
      </c>
    </row>
    <row r="1619" spans="4:28" x14ac:dyDescent="0.25">
      <c r="D1619" t="s">
        <v>88</v>
      </c>
      <c r="E1619" s="64"/>
      <c r="F1619" s="64"/>
      <c r="G1619">
        <f>IFERROR(HLOOKUP(G$2,[50]table_female_hkom2_inj.V3!$A$1:$K$36,20,FALSE),0)</f>
        <v>0</v>
      </c>
      <c r="H1619">
        <f>IFERROR(HLOOKUP(H$2,[50]table_female_hkom2_inj.V3!$A$1:$K$36,20,FALSE),0)</f>
        <v>0</v>
      </c>
      <c r="I1619">
        <f>IFERROR(HLOOKUP(I$2,[50]table_female_hkom2_inj.V3!$A$1:$K$36,20,FALSE),0)</f>
        <v>0</v>
      </c>
      <c r="J1619">
        <f>IFERROR(HLOOKUP(J$2,[50]table_female_hkom2_inj.V3!$A$1:$K$36,20,FALSE),0)</f>
        <v>0</v>
      </c>
      <c r="K1619">
        <f>IFERROR(HLOOKUP(K$2,[50]table_female_hkom2_inj.V3!$A$1:$K$36,20,FALSE),0)</f>
        <v>0</v>
      </c>
      <c r="L1619">
        <f>IFERROR(HLOOKUP(L$2,[50]table_female_hkom2_inj.V3!$A$1:$K$36,20,FALSE),0)</f>
        <v>0</v>
      </c>
      <c r="M1619">
        <f t="shared" si="504"/>
        <v>0</v>
      </c>
      <c r="S1619" t="s">
        <v>88</v>
      </c>
      <c r="T1619" s="5">
        <f t="shared" si="505"/>
        <v>0</v>
      </c>
      <c r="U1619" s="5">
        <f t="shared" si="506"/>
        <v>0</v>
      </c>
      <c r="V1619" s="5">
        <f t="shared" si="507"/>
        <v>0</v>
      </c>
      <c r="W1619" s="5">
        <f t="shared" si="508"/>
        <v>0</v>
      </c>
      <c r="X1619" s="5">
        <f t="shared" si="509"/>
        <v>0</v>
      </c>
      <c r="Y1619" s="5">
        <f t="shared" si="510"/>
        <v>0</v>
      </c>
      <c r="Z1619" s="5">
        <f t="shared" si="511"/>
        <v>0</v>
      </c>
      <c r="AA1619" s="5">
        <f t="shared" si="512"/>
        <v>0</v>
      </c>
      <c r="AB1619" s="5">
        <f t="shared" si="492"/>
        <v>0</v>
      </c>
    </row>
    <row r="1620" spans="4:28" x14ac:dyDescent="0.25">
      <c r="D1620" t="s">
        <v>89</v>
      </c>
      <c r="E1620" s="64"/>
      <c r="F1620" s="64"/>
      <c r="G1620">
        <f>IFERROR(HLOOKUP(G$2,[50]table_female_hkom2_inj.V3!$A$1:$K$36,21,FALSE),0)</f>
        <v>0</v>
      </c>
      <c r="H1620">
        <f>IFERROR(HLOOKUP(H$2,[50]table_female_hkom2_inj.V3!$A$1:$K$36,21,FALSE),0)</f>
        <v>0</v>
      </c>
      <c r="I1620">
        <f>IFERROR(HLOOKUP(I$2,[50]table_female_hkom2_inj.V3!$A$1:$K$36,21,FALSE),0)</f>
        <v>0</v>
      </c>
      <c r="J1620">
        <f>IFERROR(HLOOKUP(J$2,[50]table_female_hkom2_inj.V3!$A$1:$K$36,21,FALSE),0)</f>
        <v>0</v>
      </c>
      <c r="K1620">
        <f>IFERROR(HLOOKUP(K$2,[50]table_female_hkom2_inj.V3!$A$1:$K$36,21,FALSE),0)</f>
        <v>0</v>
      </c>
      <c r="L1620">
        <f>IFERROR(HLOOKUP(L$2,[50]table_female_hkom2_inj.V3!$A$1:$K$36,21,FALSE),0)</f>
        <v>0</v>
      </c>
      <c r="M1620">
        <f t="shared" si="504"/>
        <v>0</v>
      </c>
      <c r="S1620" t="s">
        <v>89</v>
      </c>
      <c r="T1620" s="5">
        <f t="shared" si="505"/>
        <v>0</v>
      </c>
      <c r="U1620" s="5">
        <f t="shared" si="506"/>
        <v>0</v>
      </c>
      <c r="V1620" s="5">
        <f t="shared" si="507"/>
        <v>0</v>
      </c>
      <c r="W1620" s="5">
        <f t="shared" si="508"/>
        <v>0</v>
      </c>
      <c r="X1620" s="5">
        <f t="shared" si="509"/>
        <v>0</v>
      </c>
      <c r="Y1620" s="5">
        <f t="shared" si="510"/>
        <v>0</v>
      </c>
      <c r="Z1620" s="5">
        <f t="shared" si="511"/>
        <v>0</v>
      </c>
      <c r="AA1620" s="5">
        <f t="shared" si="512"/>
        <v>0</v>
      </c>
      <c r="AB1620" s="5">
        <f t="shared" ref="AB1620:AB1683" si="513">SUM(T1620:AA1620)</f>
        <v>0</v>
      </c>
    </row>
    <row r="1621" spans="4:28" x14ac:dyDescent="0.25">
      <c r="D1621" t="s">
        <v>90</v>
      </c>
      <c r="E1621" s="64"/>
      <c r="F1621" s="64"/>
      <c r="G1621">
        <f>IFERROR(HLOOKUP(G$2,[50]table_female_hkom2_inj.V3!$A$1:$K$36,22,FALSE),0)</f>
        <v>0</v>
      </c>
      <c r="H1621">
        <f>IFERROR(HLOOKUP(H$2,[50]table_female_hkom2_inj.V3!$A$1:$K$36,22,FALSE),0)</f>
        <v>0</v>
      </c>
      <c r="I1621">
        <f>IFERROR(HLOOKUP(I$2,[50]table_female_hkom2_inj.V3!$A$1:$K$36,22,FALSE),0)</f>
        <v>0</v>
      </c>
      <c r="J1621">
        <f>IFERROR(HLOOKUP(J$2,[50]table_female_hkom2_inj.V3!$A$1:$K$36,22,FALSE),0)</f>
        <v>0</v>
      </c>
      <c r="K1621">
        <f>IFERROR(HLOOKUP(K$2,[50]table_female_hkom2_inj.V3!$A$1:$K$36,22,FALSE),0)</f>
        <v>0</v>
      </c>
      <c r="L1621">
        <f>IFERROR(HLOOKUP(L$2,[50]table_female_hkom2_inj.V3!$A$1:$K$36,22,FALSE),0)</f>
        <v>0</v>
      </c>
      <c r="M1621">
        <f t="shared" si="504"/>
        <v>0</v>
      </c>
      <c r="S1621" t="s">
        <v>90</v>
      </c>
      <c r="T1621" s="5">
        <f t="shared" si="505"/>
        <v>0</v>
      </c>
      <c r="U1621" s="5">
        <f t="shared" si="506"/>
        <v>0</v>
      </c>
      <c r="V1621" s="5">
        <f t="shared" si="507"/>
        <v>0</v>
      </c>
      <c r="W1621" s="5">
        <f t="shared" si="508"/>
        <v>0</v>
      </c>
      <c r="X1621" s="5">
        <f t="shared" si="509"/>
        <v>0</v>
      </c>
      <c r="Y1621" s="5">
        <f t="shared" si="510"/>
        <v>0</v>
      </c>
      <c r="Z1621" s="5">
        <f t="shared" si="511"/>
        <v>0</v>
      </c>
      <c r="AA1621" s="5">
        <f t="shared" si="512"/>
        <v>0</v>
      </c>
      <c r="AB1621" s="5">
        <f t="shared" si="513"/>
        <v>0</v>
      </c>
    </row>
    <row r="1622" spans="4:28" x14ac:dyDescent="0.25">
      <c r="D1622" t="s">
        <v>91</v>
      </c>
      <c r="E1622" s="64"/>
      <c r="F1622" s="64"/>
      <c r="G1622">
        <f>IFERROR(HLOOKUP(G$2,[50]table_female_hkom2_inj.V3!$A$1:$K$36,23,FALSE),0)</f>
        <v>0</v>
      </c>
      <c r="H1622">
        <f>IFERROR(HLOOKUP(H$2,[50]table_female_hkom2_inj.V3!$A$1:$K$36,23,FALSE),0)</f>
        <v>0</v>
      </c>
      <c r="I1622">
        <f>IFERROR(HLOOKUP(I$2,[50]table_female_hkom2_inj.V3!$A$1:$K$36,23,FALSE),0)</f>
        <v>0</v>
      </c>
      <c r="J1622">
        <f>IFERROR(HLOOKUP(J$2,[50]table_female_hkom2_inj.V3!$A$1:$K$36,23,FALSE),0)</f>
        <v>0</v>
      </c>
      <c r="K1622">
        <f>IFERROR(HLOOKUP(K$2,[50]table_female_hkom2_inj.V3!$A$1:$K$36,23,FALSE),0)</f>
        <v>0</v>
      </c>
      <c r="L1622">
        <f>IFERROR(HLOOKUP(L$2,[50]table_female_hkom2_inj.V3!$A$1:$K$36,23,FALSE),0)</f>
        <v>0</v>
      </c>
      <c r="M1622">
        <f t="shared" si="504"/>
        <v>0</v>
      </c>
      <c r="S1622" t="s">
        <v>91</v>
      </c>
      <c r="T1622" s="5">
        <f t="shared" si="505"/>
        <v>0</v>
      </c>
      <c r="U1622" s="5">
        <f t="shared" si="506"/>
        <v>0</v>
      </c>
      <c r="V1622" s="5">
        <f t="shared" si="507"/>
        <v>0</v>
      </c>
      <c r="W1622" s="5">
        <f t="shared" si="508"/>
        <v>0</v>
      </c>
      <c r="X1622" s="5">
        <f t="shared" si="509"/>
        <v>0</v>
      </c>
      <c r="Y1622" s="5">
        <f t="shared" si="510"/>
        <v>0</v>
      </c>
      <c r="Z1622" s="5">
        <f t="shared" si="511"/>
        <v>0</v>
      </c>
      <c r="AA1622" s="5">
        <f t="shared" si="512"/>
        <v>0</v>
      </c>
      <c r="AB1622" s="5">
        <f t="shared" si="513"/>
        <v>0</v>
      </c>
    </row>
    <row r="1623" spans="4:28" x14ac:dyDescent="0.25">
      <c r="D1623" t="s">
        <v>92</v>
      </c>
      <c r="E1623" s="64"/>
      <c r="F1623" s="64"/>
      <c r="G1623">
        <f>IFERROR(HLOOKUP(G$2,[50]table_female_hkom2_inj.V3!$A$1:$K$36,24,FALSE),0)</f>
        <v>0</v>
      </c>
      <c r="H1623">
        <f>IFERROR(HLOOKUP(H$2,[50]table_female_hkom2_inj.V3!$A$1:$K$36,24,FALSE),0)</f>
        <v>0</v>
      </c>
      <c r="I1623">
        <f>IFERROR(HLOOKUP(I$2,[50]table_female_hkom2_inj.V3!$A$1:$K$36,24,FALSE),0)</f>
        <v>0</v>
      </c>
      <c r="J1623">
        <f>IFERROR(HLOOKUP(J$2,[50]table_female_hkom2_inj.V3!$A$1:$K$36,24,FALSE),0)</f>
        <v>0</v>
      </c>
      <c r="K1623">
        <f>IFERROR(HLOOKUP(K$2,[50]table_female_hkom2_inj.V3!$A$1:$K$36,24,FALSE),0)</f>
        <v>0</v>
      </c>
      <c r="L1623">
        <f>IFERROR(HLOOKUP(L$2,[50]table_female_hkom2_inj.V3!$A$1:$K$36,24,FALSE),0)</f>
        <v>0</v>
      </c>
      <c r="M1623">
        <f t="shared" si="504"/>
        <v>0</v>
      </c>
      <c r="S1623" t="s">
        <v>92</v>
      </c>
      <c r="T1623" s="5">
        <f t="shared" si="505"/>
        <v>0</v>
      </c>
      <c r="U1623" s="5">
        <f t="shared" si="506"/>
        <v>0</v>
      </c>
      <c r="V1623" s="5">
        <f t="shared" si="507"/>
        <v>0</v>
      </c>
      <c r="W1623" s="5">
        <f t="shared" si="508"/>
        <v>0</v>
      </c>
      <c r="X1623" s="5">
        <f t="shared" si="509"/>
        <v>0</v>
      </c>
      <c r="Y1623" s="5">
        <f t="shared" si="510"/>
        <v>0</v>
      </c>
      <c r="Z1623" s="5">
        <f t="shared" si="511"/>
        <v>0</v>
      </c>
      <c r="AA1623" s="5">
        <f t="shared" si="512"/>
        <v>0</v>
      </c>
      <c r="AB1623" s="5">
        <f t="shared" si="513"/>
        <v>0</v>
      </c>
    </row>
    <row r="1624" spans="4:28" x14ac:dyDescent="0.25">
      <c r="D1624" t="s">
        <v>93</v>
      </c>
      <c r="E1624" s="64"/>
      <c r="F1624" s="64"/>
      <c r="G1624">
        <f>IFERROR(HLOOKUP(G$2,[50]table_female_hkom2_inj.V3!$A$1:$K$36,25,FALSE),0)</f>
        <v>0</v>
      </c>
      <c r="H1624">
        <f>IFERROR(HLOOKUP(H$2,[50]table_female_hkom2_inj.V3!$A$1:$K$36,25,FALSE),0)</f>
        <v>0</v>
      </c>
      <c r="I1624">
        <f>IFERROR(HLOOKUP(I$2,[50]table_female_hkom2_inj.V3!$A$1:$K$36,25,FALSE),0)</f>
        <v>0</v>
      </c>
      <c r="J1624">
        <f>IFERROR(HLOOKUP(J$2,[50]table_female_hkom2_inj.V3!$A$1:$K$36,25,FALSE),0)</f>
        <v>0</v>
      </c>
      <c r="K1624">
        <f>IFERROR(HLOOKUP(K$2,[50]table_female_hkom2_inj.V3!$A$1:$K$36,25,FALSE),0)</f>
        <v>0</v>
      </c>
      <c r="L1624">
        <f>IFERROR(HLOOKUP(L$2,[50]table_female_hkom2_inj.V3!$A$1:$K$36,25,FALSE),0)</f>
        <v>0</v>
      </c>
      <c r="M1624">
        <f t="shared" si="504"/>
        <v>0</v>
      </c>
      <c r="S1624" t="s">
        <v>93</v>
      </c>
      <c r="T1624" s="5">
        <f t="shared" si="505"/>
        <v>0</v>
      </c>
      <c r="U1624" s="5">
        <f t="shared" si="506"/>
        <v>0</v>
      </c>
      <c r="V1624" s="5">
        <f t="shared" si="507"/>
        <v>0</v>
      </c>
      <c r="W1624" s="5">
        <f t="shared" si="508"/>
        <v>0</v>
      </c>
      <c r="X1624" s="5">
        <f t="shared" si="509"/>
        <v>0</v>
      </c>
      <c r="Y1624" s="5">
        <f t="shared" si="510"/>
        <v>0</v>
      </c>
      <c r="Z1624" s="5">
        <f t="shared" si="511"/>
        <v>0</v>
      </c>
      <c r="AA1624" s="5">
        <f t="shared" si="512"/>
        <v>0</v>
      </c>
      <c r="AB1624" s="5">
        <f t="shared" si="513"/>
        <v>0</v>
      </c>
    </row>
    <row r="1625" spans="4:28" x14ac:dyDescent="0.25">
      <c r="D1625" t="s">
        <v>94</v>
      </c>
      <c r="E1625" s="64"/>
      <c r="F1625" s="64"/>
      <c r="G1625">
        <f>IFERROR(HLOOKUP(G$2,[50]table_female_hkom2_inj.V3!$A$1:$K$36,26,FALSE),0)</f>
        <v>0</v>
      </c>
      <c r="H1625">
        <f>IFERROR(HLOOKUP(H$2,[50]table_female_hkom2_inj.V3!$A$1:$K$36,26,FALSE),0)</f>
        <v>0</v>
      </c>
      <c r="I1625">
        <f>IFERROR(HLOOKUP(I$2,[50]table_female_hkom2_inj.V3!$A$1:$K$36,26,FALSE),0)</f>
        <v>0</v>
      </c>
      <c r="J1625">
        <f>IFERROR(HLOOKUP(J$2,[50]table_female_hkom2_inj.V3!$A$1:$K$36,26,FALSE),0)</f>
        <v>0</v>
      </c>
      <c r="K1625">
        <f>IFERROR(HLOOKUP(K$2,[50]table_female_hkom2_inj.V3!$A$1:$K$36,26,FALSE),0)</f>
        <v>0</v>
      </c>
      <c r="L1625">
        <f>IFERROR(HLOOKUP(L$2,[50]table_female_hkom2_inj.V3!$A$1:$K$36,26,FALSE),0)</f>
        <v>0</v>
      </c>
      <c r="M1625">
        <f t="shared" si="504"/>
        <v>0</v>
      </c>
      <c r="S1625" t="s">
        <v>94</v>
      </c>
      <c r="T1625" s="5">
        <f t="shared" si="505"/>
        <v>0</v>
      </c>
      <c r="U1625" s="5">
        <f t="shared" si="506"/>
        <v>0</v>
      </c>
      <c r="V1625" s="5">
        <f t="shared" si="507"/>
        <v>0</v>
      </c>
      <c r="W1625" s="5">
        <f t="shared" si="508"/>
        <v>0</v>
      </c>
      <c r="X1625" s="5">
        <f t="shared" si="509"/>
        <v>0</v>
      </c>
      <c r="Y1625" s="5">
        <f t="shared" si="510"/>
        <v>0</v>
      </c>
      <c r="Z1625" s="5">
        <f t="shared" si="511"/>
        <v>0</v>
      </c>
      <c r="AA1625" s="5">
        <f t="shared" si="512"/>
        <v>0</v>
      </c>
      <c r="AB1625" s="5">
        <f t="shared" si="513"/>
        <v>0</v>
      </c>
    </row>
    <row r="1626" spans="4:28" x14ac:dyDescent="0.25">
      <c r="D1626" t="s">
        <v>95</v>
      </c>
      <c r="E1626" s="64"/>
      <c r="F1626" s="64"/>
      <c r="G1626">
        <f>IFERROR(HLOOKUP(G$2,[50]table_female_hkom2_inj.V3!$A$1:$K$36,27,FALSE),0)</f>
        <v>0</v>
      </c>
      <c r="H1626">
        <f>IFERROR(HLOOKUP(H$2,[50]table_female_hkom2_inj.V3!$A$1:$K$36,27,FALSE),0)</f>
        <v>0</v>
      </c>
      <c r="I1626">
        <f>IFERROR(HLOOKUP(I$2,[50]table_female_hkom2_inj.V3!$A$1:$K$36,27,FALSE),0)</f>
        <v>0</v>
      </c>
      <c r="J1626">
        <f>IFERROR(HLOOKUP(J$2,[50]table_female_hkom2_inj.V3!$A$1:$K$36,27,FALSE),0)</f>
        <v>0</v>
      </c>
      <c r="K1626">
        <f>IFERROR(HLOOKUP(K$2,[50]table_female_hkom2_inj.V3!$A$1:$K$36,27,FALSE),0)</f>
        <v>0</v>
      </c>
      <c r="L1626">
        <f>IFERROR(HLOOKUP(L$2,[50]table_female_hkom2_inj.V3!$A$1:$K$36,27,FALSE),0)</f>
        <v>0</v>
      </c>
      <c r="M1626">
        <f t="shared" si="504"/>
        <v>0</v>
      </c>
      <c r="S1626" t="s">
        <v>95</v>
      </c>
      <c r="T1626" s="5">
        <f t="shared" si="505"/>
        <v>0</v>
      </c>
      <c r="U1626" s="5">
        <f t="shared" si="506"/>
        <v>0</v>
      </c>
      <c r="V1626" s="5">
        <f t="shared" si="507"/>
        <v>0</v>
      </c>
      <c r="W1626" s="5">
        <f t="shared" si="508"/>
        <v>0</v>
      </c>
      <c r="X1626" s="5">
        <f t="shared" si="509"/>
        <v>0</v>
      </c>
      <c r="Y1626" s="5">
        <f t="shared" si="510"/>
        <v>0</v>
      </c>
      <c r="Z1626" s="5">
        <f t="shared" si="511"/>
        <v>0</v>
      </c>
      <c r="AA1626" s="5">
        <f t="shared" si="512"/>
        <v>0</v>
      </c>
      <c r="AB1626" s="5">
        <f t="shared" si="513"/>
        <v>0</v>
      </c>
    </row>
    <row r="1627" spans="4:28" x14ac:dyDescent="0.25">
      <c r="D1627" t="s">
        <v>96</v>
      </c>
      <c r="E1627" s="64"/>
      <c r="F1627" s="64"/>
      <c r="G1627">
        <f>IFERROR(HLOOKUP(G$2,[50]table_female_hkom2_inj.V3!$A$1:$K$36,28,FALSE),0)</f>
        <v>0</v>
      </c>
      <c r="H1627">
        <f>IFERROR(HLOOKUP(H$2,[50]table_female_hkom2_inj.V3!$A$1:$K$36,28,FALSE),0)</f>
        <v>0</v>
      </c>
      <c r="I1627">
        <f>IFERROR(HLOOKUP(I$2,[50]table_female_hkom2_inj.V3!$A$1:$K$36,28,FALSE),0)</f>
        <v>0</v>
      </c>
      <c r="J1627">
        <f>IFERROR(HLOOKUP(J$2,[50]table_female_hkom2_inj.V3!$A$1:$K$36,28,FALSE),0)</f>
        <v>0</v>
      </c>
      <c r="K1627">
        <f>IFERROR(HLOOKUP(K$2,[50]table_female_hkom2_inj.V3!$A$1:$K$36,28,FALSE),0)</f>
        <v>0</v>
      </c>
      <c r="L1627">
        <f>IFERROR(HLOOKUP(L$2,[50]table_female_hkom2_inj.V3!$A$1:$K$36,28,FALSE),0)</f>
        <v>0</v>
      </c>
      <c r="M1627">
        <f t="shared" si="504"/>
        <v>0</v>
      </c>
      <c r="S1627" t="s">
        <v>96</v>
      </c>
      <c r="T1627" s="5">
        <f t="shared" si="505"/>
        <v>0</v>
      </c>
      <c r="U1627" s="5">
        <f t="shared" si="506"/>
        <v>0</v>
      </c>
      <c r="V1627" s="5">
        <f t="shared" si="507"/>
        <v>0</v>
      </c>
      <c r="W1627" s="5">
        <f t="shared" si="508"/>
        <v>0</v>
      </c>
      <c r="X1627" s="5">
        <f t="shared" si="509"/>
        <v>0</v>
      </c>
      <c r="Y1627" s="5">
        <f t="shared" si="510"/>
        <v>0</v>
      </c>
      <c r="Z1627" s="5">
        <f t="shared" si="511"/>
        <v>0</v>
      </c>
      <c r="AA1627" s="5">
        <f t="shared" si="512"/>
        <v>0</v>
      </c>
      <c r="AB1627" s="5">
        <f t="shared" si="513"/>
        <v>0</v>
      </c>
    </row>
    <row r="1628" spans="4:28" x14ac:dyDescent="0.25">
      <c r="D1628" t="s">
        <v>97</v>
      </c>
      <c r="E1628" s="64"/>
      <c r="F1628" s="64"/>
      <c r="G1628">
        <f>IFERROR(HLOOKUP(G$2,[50]table_female_hkom2_inj.V3!$A$1:$K$36,29,FALSE),0)</f>
        <v>0</v>
      </c>
      <c r="H1628">
        <f>IFERROR(HLOOKUP(H$2,[50]table_female_hkom2_inj.V3!$A$1:$K$36,29,FALSE),0)</f>
        <v>0</v>
      </c>
      <c r="I1628">
        <f>IFERROR(HLOOKUP(I$2,[50]table_female_hkom2_inj.V3!$A$1:$K$36,29,FALSE),0)</f>
        <v>0</v>
      </c>
      <c r="J1628">
        <f>IFERROR(HLOOKUP(J$2,[50]table_female_hkom2_inj.V3!$A$1:$K$36,29,FALSE),0)</f>
        <v>0</v>
      </c>
      <c r="K1628">
        <f>IFERROR(HLOOKUP(K$2,[50]table_female_hkom2_inj.V3!$A$1:$K$36,29,FALSE),0)</f>
        <v>0</v>
      </c>
      <c r="L1628">
        <f>IFERROR(HLOOKUP(L$2,[50]table_female_hkom2_inj.V3!$A$1:$K$36,29,FALSE),0)</f>
        <v>0</v>
      </c>
      <c r="M1628">
        <f t="shared" si="504"/>
        <v>0</v>
      </c>
      <c r="S1628" t="s">
        <v>97</v>
      </c>
      <c r="T1628" s="5">
        <f t="shared" si="505"/>
        <v>0</v>
      </c>
      <c r="U1628" s="5">
        <f t="shared" si="506"/>
        <v>0</v>
      </c>
      <c r="V1628" s="5">
        <f t="shared" si="507"/>
        <v>0</v>
      </c>
      <c r="W1628" s="5">
        <f t="shared" si="508"/>
        <v>0</v>
      </c>
      <c r="X1628" s="5">
        <f t="shared" si="509"/>
        <v>0</v>
      </c>
      <c r="Y1628" s="5">
        <f t="shared" si="510"/>
        <v>0</v>
      </c>
      <c r="Z1628" s="5">
        <f t="shared" si="511"/>
        <v>0</v>
      </c>
      <c r="AA1628" s="5">
        <f t="shared" si="512"/>
        <v>0</v>
      </c>
      <c r="AB1628" s="5">
        <f t="shared" si="513"/>
        <v>0</v>
      </c>
    </row>
    <row r="1629" spans="4:28" x14ac:dyDescent="0.25">
      <c r="D1629" t="s">
        <v>98</v>
      </c>
      <c r="E1629" s="64"/>
      <c r="F1629" s="64"/>
      <c r="G1629">
        <f>IFERROR(HLOOKUP(G$2,[50]table_female_hkom2_inj.V3!$A$1:$K$36,30,FALSE),0)</f>
        <v>0</v>
      </c>
      <c r="H1629">
        <f>IFERROR(HLOOKUP(H$2,[50]table_female_hkom2_inj.V3!$A$1:$K$36,30,FALSE),0)</f>
        <v>0</v>
      </c>
      <c r="I1629">
        <f>IFERROR(HLOOKUP(I$2,[50]table_female_hkom2_inj.V3!$A$1:$K$36,30,FALSE),0)</f>
        <v>0</v>
      </c>
      <c r="J1629">
        <f>IFERROR(HLOOKUP(J$2,[50]table_female_hkom2_inj.V3!$A$1:$K$36,30,FALSE),0)</f>
        <v>0</v>
      </c>
      <c r="K1629">
        <f>IFERROR(HLOOKUP(K$2,[50]table_female_hkom2_inj.V3!$A$1:$K$36,30,FALSE),0)</f>
        <v>0</v>
      </c>
      <c r="L1629">
        <f>IFERROR(HLOOKUP(L$2,[50]table_female_hkom2_inj.V3!$A$1:$K$36,30,FALSE),0)</f>
        <v>0</v>
      </c>
      <c r="M1629">
        <f t="shared" si="504"/>
        <v>0</v>
      </c>
      <c r="S1629" t="s">
        <v>98</v>
      </c>
      <c r="T1629" s="5">
        <f t="shared" si="505"/>
        <v>0</v>
      </c>
      <c r="U1629" s="5">
        <f t="shared" si="506"/>
        <v>0</v>
      </c>
      <c r="V1629" s="5">
        <f t="shared" si="507"/>
        <v>0</v>
      </c>
      <c r="W1629" s="5">
        <f t="shared" si="508"/>
        <v>0</v>
      </c>
      <c r="X1629" s="5">
        <f t="shared" si="509"/>
        <v>0</v>
      </c>
      <c r="Y1629" s="5">
        <f t="shared" si="510"/>
        <v>0</v>
      </c>
      <c r="Z1629" s="5">
        <f t="shared" si="511"/>
        <v>0</v>
      </c>
      <c r="AA1629" s="5">
        <f t="shared" si="512"/>
        <v>0</v>
      </c>
      <c r="AB1629" s="5">
        <f t="shared" si="513"/>
        <v>0</v>
      </c>
    </row>
    <row r="1630" spans="4:28" x14ac:dyDescent="0.25">
      <c r="D1630" t="s">
        <v>119</v>
      </c>
      <c r="E1630" s="64"/>
      <c r="F1630" s="64"/>
      <c r="G1630">
        <f>IFERROR(HLOOKUP(G$2,[50]table_female_hkom2_inj.V3!$A$1:$K$36,31,FALSE),0)</f>
        <v>0</v>
      </c>
      <c r="H1630">
        <f>IFERROR(HLOOKUP(H$2,[50]table_female_hkom2_inj.V3!$A$1:$K$36,31,FALSE),0)</f>
        <v>0</v>
      </c>
      <c r="I1630">
        <f>IFERROR(HLOOKUP(I$2,[50]table_female_hkom2_inj.V3!$A$1:$K$36,31,FALSE),0)</f>
        <v>0</v>
      </c>
      <c r="J1630">
        <f>IFERROR(HLOOKUP(J$2,[50]table_female_hkom2_inj.V3!$A$1:$K$36,31,FALSE),0)</f>
        <v>0</v>
      </c>
      <c r="K1630">
        <f>IFERROR(HLOOKUP(K$2,[50]table_female_hkom2_inj.V3!$A$1:$K$36,31,FALSE),0)</f>
        <v>0</v>
      </c>
      <c r="L1630">
        <f>IFERROR(HLOOKUP(L$2,[50]table_female_hkom2_inj.V3!$A$1:$K$36,31,FALSE),0)</f>
        <v>0</v>
      </c>
      <c r="M1630">
        <f t="shared" si="504"/>
        <v>0</v>
      </c>
      <c r="S1630" t="s">
        <v>119</v>
      </c>
      <c r="T1630" s="5">
        <f t="shared" si="505"/>
        <v>0</v>
      </c>
      <c r="U1630" s="5">
        <f t="shared" si="506"/>
        <v>0</v>
      </c>
      <c r="V1630" s="5">
        <f t="shared" si="507"/>
        <v>0</v>
      </c>
      <c r="W1630" s="5">
        <f t="shared" si="508"/>
        <v>0</v>
      </c>
      <c r="X1630" s="5">
        <f t="shared" si="509"/>
        <v>0</v>
      </c>
      <c r="Y1630" s="5">
        <f t="shared" si="510"/>
        <v>0</v>
      </c>
      <c r="Z1630" s="5">
        <f t="shared" si="511"/>
        <v>0</v>
      </c>
      <c r="AA1630" s="5">
        <f t="shared" si="512"/>
        <v>0</v>
      </c>
      <c r="AB1630" s="5">
        <f t="shared" si="513"/>
        <v>0</v>
      </c>
    </row>
    <row r="1631" spans="4:28" x14ac:dyDescent="0.25">
      <c r="D1631" t="s">
        <v>99</v>
      </c>
      <c r="E1631" s="64"/>
      <c r="F1631" s="64"/>
      <c r="G1631">
        <f>IFERROR(HLOOKUP(G$2,[50]table_female_hkom2_inj.V3!$A$1:$K$36,32,FALSE),0)</f>
        <v>0</v>
      </c>
      <c r="H1631">
        <f>IFERROR(HLOOKUP(H$2,[50]table_female_hkom2_inj.V3!$A$1:$K$36,32,FALSE),0)</f>
        <v>0</v>
      </c>
      <c r="I1631">
        <f>IFERROR(HLOOKUP(I$2,[50]table_female_hkom2_inj.V3!$A$1:$K$36,32,FALSE),0)</f>
        <v>0</v>
      </c>
      <c r="J1631">
        <f>IFERROR(HLOOKUP(J$2,[50]table_female_hkom2_inj.V3!$A$1:$K$36,32,FALSE),0)</f>
        <v>0</v>
      </c>
      <c r="K1631">
        <f>IFERROR(HLOOKUP(K$2,[50]table_female_hkom2_inj.V3!$A$1:$K$36,32,FALSE),0)</f>
        <v>0</v>
      </c>
      <c r="L1631">
        <f>IFERROR(HLOOKUP(L$2,[50]table_female_hkom2_inj.V3!$A$1:$K$36,32,FALSE),0)</f>
        <v>0</v>
      </c>
      <c r="M1631">
        <f t="shared" si="504"/>
        <v>0</v>
      </c>
      <c r="S1631" t="s">
        <v>99</v>
      </c>
      <c r="T1631" s="5">
        <f t="shared" si="505"/>
        <v>0</v>
      </c>
      <c r="U1631" s="5">
        <f t="shared" si="506"/>
        <v>0</v>
      </c>
      <c r="V1631" s="5">
        <f t="shared" si="507"/>
        <v>0</v>
      </c>
      <c r="W1631" s="5">
        <f t="shared" si="508"/>
        <v>0</v>
      </c>
      <c r="X1631" s="5">
        <f t="shared" si="509"/>
        <v>0</v>
      </c>
      <c r="Y1631" s="5">
        <f t="shared" si="510"/>
        <v>0</v>
      </c>
      <c r="Z1631" s="5">
        <f t="shared" si="511"/>
        <v>0</v>
      </c>
      <c r="AA1631" s="5">
        <f t="shared" si="512"/>
        <v>0</v>
      </c>
      <c r="AB1631" s="5">
        <f t="shared" si="513"/>
        <v>0</v>
      </c>
    </row>
    <row r="1632" spans="4:28" x14ac:dyDescent="0.25">
      <c r="D1632" t="s">
        <v>100</v>
      </c>
      <c r="E1632" s="64"/>
      <c r="F1632" s="64"/>
      <c r="G1632">
        <f>IFERROR(HLOOKUP(G$2,[50]table_female_hkom2_inj.V3!$A$1:$K$36,33,FALSE),0)</f>
        <v>0</v>
      </c>
      <c r="H1632">
        <f>IFERROR(HLOOKUP(H$2,[50]table_female_hkom2_inj.V3!$A$1:$K$36,33,FALSE),0)</f>
        <v>0</v>
      </c>
      <c r="I1632">
        <f>IFERROR(HLOOKUP(I$2,[50]table_female_hkom2_inj.V3!$A$1:$K$36,33,FALSE),0)</f>
        <v>0</v>
      </c>
      <c r="J1632">
        <f>IFERROR(HLOOKUP(J$2,[50]table_female_hkom2_inj.V3!$A$1:$K$36,33,FALSE),0)</f>
        <v>0</v>
      </c>
      <c r="K1632">
        <f>IFERROR(HLOOKUP(K$2,[50]table_female_hkom2_inj.V3!$A$1:$K$36,33,FALSE),0)</f>
        <v>0</v>
      </c>
      <c r="L1632">
        <f>IFERROR(HLOOKUP(L$2,[50]table_female_hkom2_inj.V3!$A$1:$K$36,33,FALSE),0)</f>
        <v>0</v>
      </c>
      <c r="M1632">
        <f t="shared" si="504"/>
        <v>0</v>
      </c>
      <c r="S1632" t="s">
        <v>100</v>
      </c>
      <c r="T1632" s="5">
        <f t="shared" si="505"/>
        <v>0</v>
      </c>
      <c r="U1632" s="5">
        <f t="shared" si="506"/>
        <v>0</v>
      </c>
      <c r="V1632" s="5">
        <f t="shared" si="507"/>
        <v>0</v>
      </c>
      <c r="W1632" s="5">
        <f t="shared" si="508"/>
        <v>0</v>
      </c>
      <c r="X1632" s="5">
        <f t="shared" si="509"/>
        <v>0</v>
      </c>
      <c r="Y1632" s="5">
        <f t="shared" si="510"/>
        <v>0</v>
      </c>
      <c r="Z1632" s="5">
        <f t="shared" si="511"/>
        <v>0</v>
      </c>
      <c r="AA1632" s="5">
        <f t="shared" si="512"/>
        <v>0</v>
      </c>
      <c r="AB1632" s="5">
        <f t="shared" si="513"/>
        <v>0</v>
      </c>
    </row>
    <row r="1633" spans="1:29" x14ac:dyDescent="0.25">
      <c r="D1633" t="s">
        <v>101</v>
      </c>
      <c r="E1633" s="64"/>
      <c r="F1633" s="64"/>
      <c r="G1633">
        <f>IFERROR(HLOOKUP(G$2,[50]table_female_hkom2_inj.V3!$A$1:$K$36,34,FALSE),0)</f>
        <v>0</v>
      </c>
      <c r="H1633">
        <f>IFERROR(HLOOKUP(H$2,[50]table_female_hkom2_inj.V3!$A$1:$K$36,34,FALSE),0)</f>
        <v>0</v>
      </c>
      <c r="I1633">
        <f>IFERROR(HLOOKUP(I$2,[50]table_female_hkom2_inj.V3!$A$1:$K$36,34,FALSE),0)</f>
        <v>0</v>
      </c>
      <c r="J1633">
        <f>IFERROR(HLOOKUP(J$2,[50]table_female_hkom2_inj.V3!$A$1:$K$36,34,FALSE),0)</f>
        <v>0</v>
      </c>
      <c r="K1633">
        <f>IFERROR(HLOOKUP(K$2,[50]table_female_hkom2_inj.V3!$A$1:$K$36,34,FALSE),0)</f>
        <v>0</v>
      </c>
      <c r="L1633">
        <f>IFERROR(HLOOKUP(L$2,[50]table_female_hkom2_inj.V3!$A$1:$K$36,34,FALSE),0)</f>
        <v>0</v>
      </c>
      <c r="M1633">
        <f t="shared" si="504"/>
        <v>0</v>
      </c>
      <c r="S1633" t="s">
        <v>101</v>
      </c>
      <c r="T1633" s="5">
        <f t="shared" si="505"/>
        <v>0</v>
      </c>
      <c r="U1633" s="5">
        <f t="shared" si="506"/>
        <v>0</v>
      </c>
      <c r="V1633" s="5">
        <f t="shared" si="507"/>
        <v>0</v>
      </c>
      <c r="W1633" s="5">
        <f t="shared" si="508"/>
        <v>0</v>
      </c>
      <c r="X1633" s="5">
        <f t="shared" si="509"/>
        <v>0</v>
      </c>
      <c r="Y1633" s="5">
        <f t="shared" si="510"/>
        <v>0</v>
      </c>
      <c r="Z1633" s="5">
        <f t="shared" si="511"/>
        <v>0</v>
      </c>
      <c r="AA1633" s="5">
        <f t="shared" si="512"/>
        <v>0</v>
      </c>
      <c r="AB1633" s="5">
        <f t="shared" si="513"/>
        <v>0</v>
      </c>
    </row>
    <row r="1634" spans="1:29" x14ac:dyDescent="0.25">
      <c r="D1634" t="s">
        <v>102</v>
      </c>
      <c r="E1634" s="64"/>
      <c r="F1634" s="64"/>
      <c r="G1634">
        <f>IFERROR(HLOOKUP(G$2,[50]table_female_hkom2_inj.V3!$A$1:$K$36,35,FALSE),0)</f>
        <v>0</v>
      </c>
      <c r="H1634">
        <f>IFERROR(HLOOKUP(H$2,[50]table_female_hkom2_inj.V3!$A$1:$K$36,35,FALSE),0)</f>
        <v>0</v>
      </c>
      <c r="I1634">
        <f>IFERROR(HLOOKUP(I$2,[50]table_female_hkom2_inj.V3!$A$1:$K$36,35,FALSE),0)</f>
        <v>0</v>
      </c>
      <c r="J1634">
        <f>IFERROR(HLOOKUP(J$2,[50]table_female_hkom2_inj.V3!$A$1:$K$36,35,FALSE),0)</f>
        <v>0</v>
      </c>
      <c r="K1634">
        <f>IFERROR(HLOOKUP(K$2,[50]table_female_hkom2_inj.V3!$A$1:$K$36,35,FALSE),0)</f>
        <v>0</v>
      </c>
      <c r="L1634">
        <f>IFERROR(HLOOKUP(L$2,[50]table_female_hkom2_inj.V3!$A$1:$K$36,35,FALSE),0)</f>
        <v>0</v>
      </c>
      <c r="M1634">
        <f t="shared" si="504"/>
        <v>0</v>
      </c>
      <c r="N1634">
        <f>SUM(M1601:M1634)</f>
        <v>0</v>
      </c>
      <c r="O1634" s="8">
        <f>SUM([50]table_female_hkom2_inj.V3!$B$2:$L$36)</f>
        <v>0</v>
      </c>
      <c r="S1634" t="s">
        <v>102</v>
      </c>
      <c r="T1634" s="7"/>
      <c r="U1634" s="7"/>
      <c r="V1634" s="7"/>
      <c r="W1634" s="7"/>
      <c r="X1634" s="7"/>
      <c r="Y1634" s="7"/>
      <c r="Z1634" s="7"/>
      <c r="AA1634" s="7"/>
      <c r="AB1634" s="5">
        <f t="shared" si="513"/>
        <v>0</v>
      </c>
      <c r="AC1634" s="5">
        <f>SUM(AB1601:AB1633)</f>
        <v>0</v>
      </c>
    </row>
    <row r="1635" spans="1:29" x14ac:dyDescent="0.25">
      <c r="A1635" t="s">
        <v>115</v>
      </c>
      <c r="B1635" t="s">
        <v>116</v>
      </c>
      <c r="C1635" t="s">
        <v>108</v>
      </c>
      <c r="D1635" t="s">
        <v>70</v>
      </c>
      <c r="E1635" s="64"/>
      <c r="F1635" s="64"/>
      <c r="G1635">
        <f>IFERROR(HLOOKUP(G$2,[51]table_female_hkom2_inj.V4!$A$1:$K$36,2,FALSE),0)</f>
        <v>0</v>
      </c>
      <c r="H1635">
        <f>IFERROR(HLOOKUP(H$2,[51]table_female_hkom2_inj.V4!$A$1:$K$36,2,FALSE),0)</f>
        <v>0</v>
      </c>
      <c r="I1635">
        <f>IFERROR(HLOOKUP(I$2,[51]table_female_hkom2_inj.V4!$A$1:$K$36,2,FALSE),0)</f>
        <v>0</v>
      </c>
      <c r="J1635">
        <f>IFERROR(HLOOKUP(J$2,[51]table_female_hkom2_inj.V4!$A$1:$K$36,2,FALSE),0)</f>
        <v>0</v>
      </c>
      <c r="K1635">
        <f>IFERROR(HLOOKUP(K$2,[51]table_female_hkom2_inj.V4!$A$1:$K$36,2,FALSE),0)</f>
        <v>0</v>
      </c>
      <c r="L1635">
        <f>IFERROR(HLOOKUP(L$2,[51]table_female_hkom2_inj.V4!$A$1:$K$36,2,FALSE),0)</f>
        <v>0</v>
      </c>
      <c r="M1635">
        <f>SUM(E1635:L1635)</f>
        <v>0</v>
      </c>
      <c r="P1635" t="s">
        <v>115</v>
      </c>
      <c r="Q1635" t="s">
        <v>116</v>
      </c>
      <c r="R1635" t="s">
        <v>108</v>
      </c>
      <c r="S1635" t="s">
        <v>70</v>
      </c>
      <c r="T1635" s="5">
        <f>IF(SUM(E$1635:E$1667)=0,E$1668/33,E1635+IFERROR(E1635/SUM(E$1635:E$1667)*E$1668,0))</f>
        <v>0</v>
      </c>
      <c r="U1635" s="5">
        <f t="shared" ref="U1635:AA1635" si="514">IF(SUM(F$1635:F$1667)=0,F$1668/33,F1635+IFERROR(F1635/SUM(F$1635:F$1667)*F$1668,0))</f>
        <v>0</v>
      </c>
      <c r="V1635" s="5">
        <f t="shared" si="514"/>
        <v>0</v>
      </c>
      <c r="W1635" s="5">
        <f t="shared" si="514"/>
        <v>0</v>
      </c>
      <c r="X1635" s="5">
        <f t="shared" si="514"/>
        <v>0</v>
      </c>
      <c r="Y1635" s="5">
        <f t="shared" si="514"/>
        <v>0</v>
      </c>
      <c r="Z1635" s="5">
        <f t="shared" si="514"/>
        <v>0</v>
      </c>
      <c r="AA1635" s="5">
        <f t="shared" si="514"/>
        <v>0</v>
      </c>
      <c r="AB1635" s="5">
        <f t="shared" si="513"/>
        <v>0</v>
      </c>
    </row>
    <row r="1636" spans="1:29" x14ac:dyDescent="0.25">
      <c r="D1636" t="s">
        <v>71</v>
      </c>
      <c r="E1636" s="64"/>
      <c r="F1636" s="64"/>
      <c r="G1636">
        <f>IFERROR(HLOOKUP(G$2,[51]table_female_hkom2_inj.V4!$A$1:$K$36,3,FALSE),0)</f>
        <v>0</v>
      </c>
      <c r="H1636">
        <f>IFERROR(HLOOKUP(H$2,[51]table_female_hkom2_inj.V4!$A$1:$K$36,3,FALSE),0)</f>
        <v>0</v>
      </c>
      <c r="I1636">
        <f>IFERROR(HLOOKUP(I$2,[51]table_female_hkom2_inj.V4!$A$1:$K$36,3,FALSE),0)</f>
        <v>0</v>
      </c>
      <c r="J1636">
        <f>IFERROR(HLOOKUP(J$2,[51]table_female_hkom2_inj.V4!$A$1:$K$36,3,FALSE),0)</f>
        <v>0</v>
      </c>
      <c r="K1636">
        <f>IFERROR(HLOOKUP(K$2,[51]table_female_hkom2_inj.V4!$A$1:$K$36,3,FALSE),0)</f>
        <v>0</v>
      </c>
      <c r="L1636">
        <f>IFERROR(HLOOKUP(L$2,[51]table_female_hkom2_inj.V4!$A$1:$K$36,3,FALSE),0)</f>
        <v>0</v>
      </c>
      <c r="M1636">
        <f t="shared" ref="M1636:M1668" si="515">SUM(E1636:L1636)</f>
        <v>0</v>
      </c>
      <c r="S1636" t="s">
        <v>71</v>
      </c>
      <c r="T1636" s="5">
        <f t="shared" ref="T1636:T1667" si="516">IF(SUM(E$1635:E$1667)=0,E$1668/33,E1636+IFERROR(E1636/SUM(E$1635:E$1667)*E$1668,0))</f>
        <v>0</v>
      </c>
      <c r="U1636" s="5">
        <f t="shared" ref="U1636:U1667" si="517">IF(SUM(F$1635:F$1667)=0,F$1668/33,F1636+IFERROR(F1636/SUM(F$1635:F$1667)*F$1668,0))</f>
        <v>0</v>
      </c>
      <c r="V1636" s="5">
        <f t="shared" ref="V1636:V1667" si="518">IF(SUM(G$1635:G$1667)=0,G$1668/33,G1636+IFERROR(G1636/SUM(G$1635:G$1667)*G$1668,0))</f>
        <v>0</v>
      </c>
      <c r="W1636" s="5">
        <f t="shared" ref="W1636:W1667" si="519">IF(SUM(H$1635:H$1667)=0,H$1668/33,H1636+IFERROR(H1636/SUM(H$1635:H$1667)*H$1668,0))</f>
        <v>0</v>
      </c>
      <c r="X1636" s="5">
        <f t="shared" ref="X1636:X1667" si="520">IF(SUM(I$1635:I$1667)=0,I$1668/33,I1636+IFERROR(I1636/SUM(I$1635:I$1667)*I$1668,0))</f>
        <v>0</v>
      </c>
      <c r="Y1636" s="5">
        <f t="shared" ref="Y1636:Y1667" si="521">IF(SUM(J$1635:J$1667)=0,J$1668/33,J1636+IFERROR(J1636/SUM(J$1635:J$1667)*J$1668,0))</f>
        <v>0</v>
      </c>
      <c r="Z1636" s="5">
        <f t="shared" ref="Z1636:Z1667" si="522">IF(SUM(K$1635:K$1667)=0,K$1668/33,K1636+IFERROR(K1636/SUM(K$1635:K$1667)*K$1668,0))</f>
        <v>0</v>
      </c>
      <c r="AA1636" s="5">
        <f t="shared" ref="AA1636:AA1667" si="523">IF(SUM(L$1635:L$1667)=0,L$1668/33,L1636+IFERROR(L1636/SUM(L$1635:L$1667)*L$1668,0))</f>
        <v>0</v>
      </c>
      <c r="AB1636" s="5">
        <f t="shared" si="513"/>
        <v>0</v>
      </c>
    </row>
    <row r="1637" spans="1:29" x14ac:dyDescent="0.25">
      <c r="D1637" t="s">
        <v>72</v>
      </c>
      <c r="E1637" s="64"/>
      <c r="F1637" s="64"/>
      <c r="G1637">
        <f>IFERROR(HLOOKUP(G$2,[51]table_female_hkom2_inj.V4!$A$1:$K$36,4,FALSE),0)</f>
        <v>0</v>
      </c>
      <c r="H1637">
        <f>IFERROR(HLOOKUP(H$2,[51]table_female_hkom2_inj.V4!$A$1:$K$36,4,FALSE),0)</f>
        <v>0</v>
      </c>
      <c r="I1637">
        <f>IFERROR(HLOOKUP(I$2,[51]table_female_hkom2_inj.V4!$A$1:$K$36,4,FALSE),0)</f>
        <v>0</v>
      </c>
      <c r="J1637">
        <f>IFERROR(HLOOKUP(J$2,[51]table_female_hkom2_inj.V4!$A$1:$K$36,4,FALSE),0)</f>
        <v>0</v>
      </c>
      <c r="K1637">
        <f>IFERROR(HLOOKUP(K$2,[51]table_female_hkom2_inj.V4!$A$1:$K$36,4,FALSE),0)</f>
        <v>0</v>
      </c>
      <c r="L1637">
        <f>IFERROR(HLOOKUP(L$2,[51]table_female_hkom2_inj.V4!$A$1:$K$36,4,FALSE),0)</f>
        <v>0</v>
      </c>
      <c r="M1637">
        <f t="shared" si="515"/>
        <v>0</v>
      </c>
      <c r="S1637" t="s">
        <v>72</v>
      </c>
      <c r="T1637" s="5">
        <f t="shared" si="516"/>
        <v>0</v>
      </c>
      <c r="U1637" s="5">
        <f t="shared" si="517"/>
        <v>0</v>
      </c>
      <c r="V1637" s="5">
        <f t="shared" si="518"/>
        <v>0</v>
      </c>
      <c r="W1637" s="5">
        <f t="shared" si="519"/>
        <v>0</v>
      </c>
      <c r="X1637" s="5">
        <f t="shared" si="520"/>
        <v>0</v>
      </c>
      <c r="Y1637" s="5">
        <f t="shared" si="521"/>
        <v>0</v>
      </c>
      <c r="Z1637" s="5">
        <f t="shared" si="522"/>
        <v>0</v>
      </c>
      <c r="AA1637" s="5">
        <f t="shared" si="523"/>
        <v>0</v>
      </c>
      <c r="AB1637" s="5">
        <f t="shared" si="513"/>
        <v>0</v>
      </c>
    </row>
    <row r="1638" spans="1:29" x14ac:dyDescent="0.25">
      <c r="D1638" t="s">
        <v>73</v>
      </c>
      <c r="E1638" s="64"/>
      <c r="F1638" s="64"/>
      <c r="G1638">
        <f>IFERROR(HLOOKUP(G$2,[51]table_female_hkom2_inj.V4!$A$1:$K$36,5,FALSE),0)</f>
        <v>0</v>
      </c>
      <c r="H1638">
        <f>IFERROR(HLOOKUP(H$2,[51]table_female_hkom2_inj.V4!$A$1:$K$36,5,FALSE),0)</f>
        <v>0</v>
      </c>
      <c r="I1638">
        <f>IFERROR(HLOOKUP(I$2,[51]table_female_hkom2_inj.V4!$A$1:$K$36,5,FALSE),0)</f>
        <v>0</v>
      </c>
      <c r="J1638">
        <f>IFERROR(HLOOKUP(J$2,[51]table_female_hkom2_inj.V4!$A$1:$K$36,5,FALSE),0)</f>
        <v>0</v>
      </c>
      <c r="K1638">
        <f>IFERROR(HLOOKUP(K$2,[51]table_female_hkom2_inj.V4!$A$1:$K$36,5,FALSE),0)</f>
        <v>0</v>
      </c>
      <c r="L1638">
        <f>IFERROR(HLOOKUP(L$2,[51]table_female_hkom2_inj.V4!$A$1:$K$36,5,FALSE),0)</f>
        <v>0</v>
      </c>
      <c r="M1638">
        <f t="shared" si="515"/>
        <v>0</v>
      </c>
      <c r="S1638" t="s">
        <v>73</v>
      </c>
      <c r="T1638" s="5">
        <f t="shared" si="516"/>
        <v>0</v>
      </c>
      <c r="U1638" s="5">
        <f t="shared" si="517"/>
        <v>0</v>
      </c>
      <c r="V1638" s="5">
        <f t="shared" si="518"/>
        <v>0</v>
      </c>
      <c r="W1638" s="5">
        <f t="shared" si="519"/>
        <v>0</v>
      </c>
      <c r="X1638" s="5">
        <f t="shared" si="520"/>
        <v>0</v>
      </c>
      <c r="Y1638" s="5">
        <f t="shared" si="521"/>
        <v>0</v>
      </c>
      <c r="Z1638" s="5">
        <f t="shared" si="522"/>
        <v>0</v>
      </c>
      <c r="AA1638" s="5">
        <f t="shared" si="523"/>
        <v>0</v>
      </c>
      <c r="AB1638" s="5">
        <f t="shared" si="513"/>
        <v>0</v>
      </c>
    </row>
    <row r="1639" spans="1:29" x14ac:dyDescent="0.25">
      <c r="D1639" t="s">
        <v>74</v>
      </c>
      <c r="E1639" s="64"/>
      <c r="F1639" s="64"/>
      <c r="G1639">
        <f>IFERROR(HLOOKUP(G$2,[51]table_female_hkom2_inj.V4!$A$1:$K$36,6,FALSE),0)</f>
        <v>0</v>
      </c>
      <c r="H1639">
        <f>IFERROR(HLOOKUP(H$2,[51]table_female_hkom2_inj.V4!$A$1:$K$36,6,FALSE),0)</f>
        <v>0</v>
      </c>
      <c r="I1639">
        <f>IFERROR(HLOOKUP(I$2,[51]table_female_hkom2_inj.V4!$A$1:$K$36,6,FALSE),0)</f>
        <v>0</v>
      </c>
      <c r="J1639">
        <f>IFERROR(HLOOKUP(J$2,[51]table_female_hkom2_inj.V4!$A$1:$K$36,6,FALSE),0)</f>
        <v>0</v>
      </c>
      <c r="K1639">
        <f>IFERROR(HLOOKUP(K$2,[51]table_female_hkom2_inj.V4!$A$1:$K$36,6,FALSE),0)</f>
        <v>0</v>
      </c>
      <c r="L1639">
        <f>IFERROR(HLOOKUP(L$2,[51]table_female_hkom2_inj.V4!$A$1:$K$36,6,FALSE),0)</f>
        <v>0</v>
      </c>
      <c r="M1639">
        <f t="shared" si="515"/>
        <v>0</v>
      </c>
      <c r="S1639" t="s">
        <v>74</v>
      </c>
      <c r="T1639" s="5">
        <f t="shared" si="516"/>
        <v>0</v>
      </c>
      <c r="U1639" s="5">
        <f t="shared" si="517"/>
        <v>0</v>
      </c>
      <c r="V1639" s="5">
        <f t="shared" si="518"/>
        <v>0</v>
      </c>
      <c r="W1639" s="5">
        <f t="shared" si="519"/>
        <v>0</v>
      </c>
      <c r="X1639" s="5">
        <f t="shared" si="520"/>
        <v>0</v>
      </c>
      <c r="Y1639" s="5">
        <f t="shared" si="521"/>
        <v>0</v>
      </c>
      <c r="Z1639" s="5">
        <f t="shared" si="522"/>
        <v>0</v>
      </c>
      <c r="AA1639" s="5">
        <f t="shared" si="523"/>
        <v>0</v>
      </c>
      <c r="AB1639" s="5">
        <f t="shared" si="513"/>
        <v>0</v>
      </c>
    </row>
    <row r="1640" spans="1:29" x14ac:dyDescent="0.25">
      <c r="D1640" t="s">
        <v>75</v>
      </c>
      <c r="E1640" s="64"/>
      <c r="F1640" s="64"/>
      <c r="G1640">
        <f>IFERROR(HLOOKUP(G$2,[51]table_female_hkom2_inj.V4!$A$1:$K$36,7,FALSE),0)</f>
        <v>0</v>
      </c>
      <c r="H1640">
        <f>IFERROR(HLOOKUP(H$2,[51]table_female_hkom2_inj.V4!$A$1:$K$36,7,FALSE),0)</f>
        <v>0</v>
      </c>
      <c r="I1640">
        <f>IFERROR(HLOOKUP(I$2,[51]table_female_hkom2_inj.V4!$A$1:$K$36,7,FALSE),0)</f>
        <v>0</v>
      </c>
      <c r="J1640">
        <f>IFERROR(HLOOKUP(J$2,[51]table_female_hkom2_inj.V4!$A$1:$K$36,7,FALSE),0)</f>
        <v>0</v>
      </c>
      <c r="K1640">
        <f>IFERROR(HLOOKUP(K$2,[51]table_female_hkom2_inj.V4!$A$1:$K$36,7,FALSE),0)</f>
        <v>0</v>
      </c>
      <c r="L1640">
        <f>IFERROR(HLOOKUP(L$2,[51]table_female_hkom2_inj.V4!$A$1:$K$36,7,FALSE),0)</f>
        <v>0</v>
      </c>
      <c r="M1640">
        <f t="shared" si="515"/>
        <v>0</v>
      </c>
      <c r="S1640" t="s">
        <v>75</v>
      </c>
      <c r="T1640" s="5">
        <f t="shared" si="516"/>
        <v>0</v>
      </c>
      <c r="U1640" s="5">
        <f t="shared" si="517"/>
        <v>0</v>
      </c>
      <c r="V1640" s="5">
        <f t="shared" si="518"/>
        <v>0</v>
      </c>
      <c r="W1640" s="5">
        <f t="shared" si="519"/>
        <v>0</v>
      </c>
      <c r="X1640" s="5">
        <f t="shared" si="520"/>
        <v>0</v>
      </c>
      <c r="Y1640" s="5">
        <f t="shared" si="521"/>
        <v>0</v>
      </c>
      <c r="Z1640" s="5">
        <f t="shared" si="522"/>
        <v>0</v>
      </c>
      <c r="AA1640" s="5">
        <f t="shared" si="523"/>
        <v>0</v>
      </c>
      <c r="AB1640" s="5">
        <f t="shared" si="513"/>
        <v>0</v>
      </c>
    </row>
    <row r="1641" spans="1:29" x14ac:dyDescent="0.25">
      <c r="D1641" t="s">
        <v>76</v>
      </c>
      <c r="E1641" s="64"/>
      <c r="F1641" s="64"/>
      <c r="G1641">
        <f>IFERROR(HLOOKUP(G$2,[51]table_female_hkom2_inj.V4!$A$1:$K$36,8,FALSE),0)</f>
        <v>0</v>
      </c>
      <c r="H1641">
        <f>IFERROR(HLOOKUP(H$2,[51]table_female_hkom2_inj.V4!$A$1:$K$36,8,FALSE),0)</f>
        <v>0</v>
      </c>
      <c r="I1641">
        <f>IFERROR(HLOOKUP(I$2,[51]table_female_hkom2_inj.V4!$A$1:$K$36,8,FALSE),0)</f>
        <v>0</v>
      </c>
      <c r="J1641">
        <f>IFERROR(HLOOKUP(J$2,[51]table_female_hkom2_inj.V4!$A$1:$K$36,8,FALSE),0)</f>
        <v>0</v>
      </c>
      <c r="K1641">
        <f>IFERROR(HLOOKUP(K$2,[51]table_female_hkom2_inj.V4!$A$1:$K$36,8,FALSE),0)</f>
        <v>0</v>
      </c>
      <c r="L1641">
        <f>IFERROR(HLOOKUP(L$2,[51]table_female_hkom2_inj.V4!$A$1:$K$36,8,FALSE),0)</f>
        <v>0</v>
      </c>
      <c r="M1641">
        <f t="shared" si="515"/>
        <v>0</v>
      </c>
      <c r="S1641" t="s">
        <v>76</v>
      </c>
      <c r="T1641" s="5">
        <f t="shared" si="516"/>
        <v>0</v>
      </c>
      <c r="U1641" s="5">
        <f t="shared" si="517"/>
        <v>0</v>
      </c>
      <c r="V1641" s="5">
        <f t="shared" si="518"/>
        <v>0</v>
      </c>
      <c r="W1641" s="5">
        <f t="shared" si="519"/>
        <v>0</v>
      </c>
      <c r="X1641" s="5">
        <f t="shared" si="520"/>
        <v>0</v>
      </c>
      <c r="Y1641" s="5">
        <f t="shared" si="521"/>
        <v>0</v>
      </c>
      <c r="Z1641" s="5">
        <f t="shared" si="522"/>
        <v>0</v>
      </c>
      <c r="AA1641" s="5">
        <f t="shared" si="523"/>
        <v>0</v>
      </c>
      <c r="AB1641" s="5">
        <f t="shared" si="513"/>
        <v>0</v>
      </c>
    </row>
    <row r="1642" spans="1:29" x14ac:dyDescent="0.25">
      <c r="D1642" t="s">
        <v>77</v>
      </c>
      <c r="E1642" s="64"/>
      <c r="F1642" s="64"/>
      <c r="G1642">
        <f>IFERROR(HLOOKUP(G$2,[51]table_female_hkom2_inj.V4!$A$1:$K$36,9,FALSE),0)</f>
        <v>0</v>
      </c>
      <c r="H1642">
        <f>IFERROR(HLOOKUP(H$2,[51]table_female_hkom2_inj.V4!$A$1:$K$36,9,FALSE),0)</f>
        <v>0</v>
      </c>
      <c r="I1642">
        <f>IFERROR(HLOOKUP(I$2,[51]table_female_hkom2_inj.V4!$A$1:$K$36,9,FALSE),0)</f>
        <v>0</v>
      </c>
      <c r="J1642">
        <f>IFERROR(HLOOKUP(J$2,[51]table_female_hkom2_inj.V4!$A$1:$K$36,9,FALSE),0)</f>
        <v>0</v>
      </c>
      <c r="K1642">
        <f>IFERROR(HLOOKUP(K$2,[51]table_female_hkom2_inj.V4!$A$1:$K$36,9,FALSE),0)</f>
        <v>0</v>
      </c>
      <c r="L1642">
        <f>IFERROR(HLOOKUP(L$2,[51]table_female_hkom2_inj.V4!$A$1:$K$36,9,FALSE),0)</f>
        <v>0</v>
      </c>
      <c r="M1642">
        <f t="shared" si="515"/>
        <v>0</v>
      </c>
      <c r="S1642" t="s">
        <v>77</v>
      </c>
      <c r="T1642" s="5">
        <f t="shared" si="516"/>
        <v>0</v>
      </c>
      <c r="U1642" s="5">
        <f t="shared" si="517"/>
        <v>0</v>
      </c>
      <c r="V1642" s="5">
        <f t="shared" si="518"/>
        <v>0</v>
      </c>
      <c r="W1642" s="5">
        <f t="shared" si="519"/>
        <v>0</v>
      </c>
      <c r="X1642" s="5">
        <f t="shared" si="520"/>
        <v>0</v>
      </c>
      <c r="Y1642" s="5">
        <f t="shared" si="521"/>
        <v>0</v>
      </c>
      <c r="Z1642" s="5">
        <f t="shared" si="522"/>
        <v>0</v>
      </c>
      <c r="AA1642" s="5">
        <f t="shared" si="523"/>
        <v>0</v>
      </c>
      <c r="AB1642" s="5">
        <f t="shared" si="513"/>
        <v>0</v>
      </c>
    </row>
    <row r="1643" spans="1:29" x14ac:dyDescent="0.25">
      <c r="D1643" t="s">
        <v>78</v>
      </c>
      <c r="E1643" s="64"/>
      <c r="F1643" s="64"/>
      <c r="G1643">
        <f>IFERROR(HLOOKUP(G$2,[51]table_female_hkom2_inj.V4!$A$1:$K$36,10,FALSE),0)</f>
        <v>0</v>
      </c>
      <c r="H1643">
        <f>IFERROR(HLOOKUP(H$2,[51]table_female_hkom2_inj.V4!$A$1:$K$36,10,FALSE),0)</f>
        <v>0</v>
      </c>
      <c r="I1643">
        <f>IFERROR(HLOOKUP(I$2,[51]table_female_hkom2_inj.V4!$A$1:$K$36,10,FALSE),0)</f>
        <v>0</v>
      </c>
      <c r="J1643">
        <f>IFERROR(HLOOKUP(J$2,[51]table_female_hkom2_inj.V4!$A$1:$K$36,10,FALSE),0)</f>
        <v>0</v>
      </c>
      <c r="K1643">
        <f>IFERROR(HLOOKUP(K$2,[51]table_female_hkom2_inj.V4!$A$1:$K$36,10,FALSE),0)</f>
        <v>0</v>
      </c>
      <c r="L1643">
        <f>IFERROR(HLOOKUP(L$2,[51]table_female_hkom2_inj.V4!$A$1:$K$36,10,FALSE),0)</f>
        <v>0</v>
      </c>
      <c r="M1643">
        <f t="shared" si="515"/>
        <v>0</v>
      </c>
      <c r="S1643" t="s">
        <v>78</v>
      </c>
      <c r="T1643" s="5">
        <f t="shared" si="516"/>
        <v>0</v>
      </c>
      <c r="U1643" s="5">
        <f t="shared" si="517"/>
        <v>0</v>
      </c>
      <c r="V1643" s="5">
        <f t="shared" si="518"/>
        <v>0</v>
      </c>
      <c r="W1643" s="5">
        <f t="shared" si="519"/>
        <v>0</v>
      </c>
      <c r="X1643" s="5">
        <f t="shared" si="520"/>
        <v>0</v>
      </c>
      <c r="Y1643" s="5">
        <f t="shared" si="521"/>
        <v>0</v>
      </c>
      <c r="Z1643" s="5">
        <f t="shared" si="522"/>
        <v>0</v>
      </c>
      <c r="AA1643" s="5">
        <f t="shared" si="523"/>
        <v>0</v>
      </c>
      <c r="AB1643" s="5">
        <f t="shared" si="513"/>
        <v>0</v>
      </c>
    </row>
    <row r="1644" spans="1:29" x14ac:dyDescent="0.25">
      <c r="D1644" t="s">
        <v>79</v>
      </c>
      <c r="E1644" s="64"/>
      <c r="F1644" s="64"/>
      <c r="G1644">
        <f>IFERROR(HLOOKUP(G$2,[51]table_female_hkom2_inj.V4!$A$1:$K$36,11,FALSE),0)</f>
        <v>0</v>
      </c>
      <c r="H1644">
        <f>IFERROR(HLOOKUP(H$2,[51]table_female_hkom2_inj.V4!$A$1:$K$36,11,FALSE),0)</f>
        <v>0</v>
      </c>
      <c r="I1644">
        <f>IFERROR(HLOOKUP(I$2,[51]table_female_hkom2_inj.V4!$A$1:$K$36,11,FALSE),0)</f>
        <v>0</v>
      </c>
      <c r="J1644">
        <f>IFERROR(HLOOKUP(J$2,[51]table_female_hkom2_inj.V4!$A$1:$K$36,11,FALSE),0)</f>
        <v>0</v>
      </c>
      <c r="K1644">
        <f>IFERROR(HLOOKUP(K$2,[51]table_female_hkom2_inj.V4!$A$1:$K$36,11,FALSE),0)</f>
        <v>0</v>
      </c>
      <c r="L1644">
        <f>IFERROR(HLOOKUP(L$2,[51]table_female_hkom2_inj.V4!$A$1:$K$36,11,FALSE),0)</f>
        <v>0</v>
      </c>
      <c r="M1644">
        <f t="shared" si="515"/>
        <v>0</v>
      </c>
      <c r="S1644" t="s">
        <v>79</v>
      </c>
      <c r="T1644" s="5">
        <f t="shared" si="516"/>
        <v>0</v>
      </c>
      <c r="U1644" s="5">
        <f t="shared" si="517"/>
        <v>0</v>
      </c>
      <c r="V1644" s="5">
        <f t="shared" si="518"/>
        <v>0</v>
      </c>
      <c r="W1644" s="5">
        <f t="shared" si="519"/>
        <v>0</v>
      </c>
      <c r="X1644" s="5">
        <f t="shared" si="520"/>
        <v>0</v>
      </c>
      <c r="Y1644" s="5">
        <f t="shared" si="521"/>
        <v>0</v>
      </c>
      <c r="Z1644" s="5">
        <f t="shared" si="522"/>
        <v>0</v>
      </c>
      <c r="AA1644" s="5">
        <f t="shared" si="523"/>
        <v>0</v>
      </c>
      <c r="AB1644" s="5">
        <f t="shared" si="513"/>
        <v>0</v>
      </c>
    </row>
    <row r="1645" spans="1:29" x14ac:dyDescent="0.25">
      <c r="D1645" t="s">
        <v>80</v>
      </c>
      <c r="E1645" s="64"/>
      <c r="F1645" s="64"/>
      <c r="G1645">
        <f>IFERROR(HLOOKUP(G$2,[51]table_female_hkom2_inj.V4!$A$1:$K$36,12,FALSE),0)</f>
        <v>0</v>
      </c>
      <c r="H1645">
        <f>IFERROR(HLOOKUP(H$2,[51]table_female_hkom2_inj.V4!$A$1:$K$36,12,FALSE),0)</f>
        <v>0</v>
      </c>
      <c r="I1645">
        <f>IFERROR(HLOOKUP(I$2,[51]table_female_hkom2_inj.V4!$A$1:$K$36,12,FALSE),0)</f>
        <v>0</v>
      </c>
      <c r="J1645">
        <f>IFERROR(HLOOKUP(J$2,[51]table_female_hkom2_inj.V4!$A$1:$K$36,12,FALSE),0)</f>
        <v>0</v>
      </c>
      <c r="K1645">
        <f>IFERROR(HLOOKUP(K$2,[51]table_female_hkom2_inj.V4!$A$1:$K$36,12,FALSE),0)</f>
        <v>0</v>
      </c>
      <c r="L1645">
        <f>IFERROR(HLOOKUP(L$2,[51]table_female_hkom2_inj.V4!$A$1:$K$36,12,FALSE),0)</f>
        <v>0</v>
      </c>
      <c r="M1645">
        <f t="shared" si="515"/>
        <v>0</v>
      </c>
      <c r="S1645" t="s">
        <v>80</v>
      </c>
      <c r="T1645" s="5">
        <f t="shared" si="516"/>
        <v>0</v>
      </c>
      <c r="U1645" s="5">
        <f t="shared" si="517"/>
        <v>0</v>
      </c>
      <c r="V1645" s="5">
        <f t="shared" si="518"/>
        <v>0</v>
      </c>
      <c r="W1645" s="5">
        <f t="shared" si="519"/>
        <v>0</v>
      </c>
      <c r="X1645" s="5">
        <f t="shared" si="520"/>
        <v>0</v>
      </c>
      <c r="Y1645" s="5">
        <f t="shared" si="521"/>
        <v>0</v>
      </c>
      <c r="Z1645" s="5">
        <f t="shared" si="522"/>
        <v>0</v>
      </c>
      <c r="AA1645" s="5">
        <f t="shared" si="523"/>
        <v>0</v>
      </c>
      <c r="AB1645" s="5">
        <f t="shared" si="513"/>
        <v>0</v>
      </c>
    </row>
    <row r="1646" spans="1:29" x14ac:dyDescent="0.25">
      <c r="D1646" t="s">
        <v>81</v>
      </c>
      <c r="E1646" s="64"/>
      <c r="F1646" s="64"/>
      <c r="G1646">
        <f>IFERROR(HLOOKUP(G$2,[51]table_female_hkom2_inj.V4!$A$1:$K$36,13,FALSE),0)</f>
        <v>0</v>
      </c>
      <c r="H1646">
        <f>IFERROR(HLOOKUP(H$2,[51]table_female_hkom2_inj.V4!$A$1:$K$36,13,FALSE),0)</f>
        <v>0</v>
      </c>
      <c r="I1646">
        <f>IFERROR(HLOOKUP(I$2,[51]table_female_hkom2_inj.V4!$A$1:$K$36,13,FALSE),0)</f>
        <v>0</v>
      </c>
      <c r="J1646">
        <f>IFERROR(HLOOKUP(J$2,[51]table_female_hkom2_inj.V4!$A$1:$K$36,13,FALSE),0)</f>
        <v>0</v>
      </c>
      <c r="K1646">
        <f>IFERROR(HLOOKUP(K$2,[51]table_female_hkom2_inj.V4!$A$1:$K$36,13,FALSE),0)</f>
        <v>0</v>
      </c>
      <c r="L1646">
        <f>IFERROR(HLOOKUP(L$2,[51]table_female_hkom2_inj.V4!$A$1:$K$36,13,FALSE),0)</f>
        <v>0</v>
      </c>
      <c r="M1646">
        <f t="shared" si="515"/>
        <v>0</v>
      </c>
      <c r="S1646" t="s">
        <v>81</v>
      </c>
      <c r="T1646" s="5">
        <f t="shared" si="516"/>
        <v>0</v>
      </c>
      <c r="U1646" s="5">
        <f t="shared" si="517"/>
        <v>0</v>
      </c>
      <c r="V1646" s="5">
        <f t="shared" si="518"/>
        <v>0</v>
      </c>
      <c r="W1646" s="5">
        <f t="shared" si="519"/>
        <v>0</v>
      </c>
      <c r="X1646" s="5">
        <f t="shared" si="520"/>
        <v>0</v>
      </c>
      <c r="Y1646" s="5">
        <f t="shared" si="521"/>
        <v>0</v>
      </c>
      <c r="Z1646" s="5">
        <f t="shared" si="522"/>
        <v>0</v>
      </c>
      <c r="AA1646" s="5">
        <f t="shared" si="523"/>
        <v>0</v>
      </c>
      <c r="AB1646" s="5">
        <f t="shared" si="513"/>
        <v>0</v>
      </c>
    </row>
    <row r="1647" spans="1:29" x14ac:dyDescent="0.25">
      <c r="D1647" t="s">
        <v>82</v>
      </c>
      <c r="E1647" s="64"/>
      <c r="F1647" s="64"/>
      <c r="G1647">
        <f>IFERROR(HLOOKUP(G$2,[51]table_female_hkom2_inj.V4!$A$1:$K$36,14,FALSE),0)</f>
        <v>0</v>
      </c>
      <c r="H1647">
        <f>IFERROR(HLOOKUP(H$2,[51]table_female_hkom2_inj.V4!$A$1:$K$36,14,FALSE),0)</f>
        <v>0</v>
      </c>
      <c r="I1647">
        <f>IFERROR(HLOOKUP(I$2,[51]table_female_hkom2_inj.V4!$A$1:$K$36,14,FALSE),0)</f>
        <v>0</v>
      </c>
      <c r="J1647">
        <f>IFERROR(HLOOKUP(J$2,[51]table_female_hkom2_inj.V4!$A$1:$K$36,14,FALSE),0)</f>
        <v>0</v>
      </c>
      <c r="K1647">
        <f>IFERROR(HLOOKUP(K$2,[51]table_female_hkom2_inj.V4!$A$1:$K$36,14,FALSE),0)</f>
        <v>0</v>
      </c>
      <c r="L1647">
        <f>IFERROR(HLOOKUP(L$2,[51]table_female_hkom2_inj.V4!$A$1:$K$36,14,FALSE),0)</f>
        <v>0</v>
      </c>
      <c r="M1647">
        <f t="shared" si="515"/>
        <v>0</v>
      </c>
      <c r="S1647" t="s">
        <v>82</v>
      </c>
      <c r="T1647" s="5">
        <f t="shared" si="516"/>
        <v>0</v>
      </c>
      <c r="U1647" s="5">
        <f t="shared" si="517"/>
        <v>0</v>
      </c>
      <c r="V1647" s="5">
        <f t="shared" si="518"/>
        <v>0</v>
      </c>
      <c r="W1647" s="5">
        <f t="shared" si="519"/>
        <v>0</v>
      </c>
      <c r="X1647" s="5">
        <f t="shared" si="520"/>
        <v>0</v>
      </c>
      <c r="Y1647" s="5">
        <f t="shared" si="521"/>
        <v>0</v>
      </c>
      <c r="Z1647" s="5">
        <f t="shared" si="522"/>
        <v>0</v>
      </c>
      <c r="AA1647" s="5">
        <f t="shared" si="523"/>
        <v>0</v>
      </c>
      <c r="AB1647" s="5">
        <f t="shared" si="513"/>
        <v>0</v>
      </c>
    </row>
    <row r="1648" spans="1:29" x14ac:dyDescent="0.25">
      <c r="D1648" t="s">
        <v>83</v>
      </c>
      <c r="E1648" s="64"/>
      <c r="F1648" s="64"/>
      <c r="G1648">
        <f>IFERROR(HLOOKUP(G$2,[51]table_female_hkom2_inj.V4!$A$1:$K$36,15,FALSE),0)</f>
        <v>0</v>
      </c>
      <c r="H1648">
        <f>IFERROR(HLOOKUP(H$2,[51]table_female_hkom2_inj.V4!$A$1:$K$36,15,FALSE),0)</f>
        <v>0</v>
      </c>
      <c r="I1648">
        <f>IFERROR(HLOOKUP(I$2,[51]table_female_hkom2_inj.V4!$A$1:$K$36,15,FALSE),0)</f>
        <v>0</v>
      </c>
      <c r="J1648">
        <f>IFERROR(HLOOKUP(J$2,[51]table_female_hkom2_inj.V4!$A$1:$K$36,15,FALSE),0)</f>
        <v>0</v>
      </c>
      <c r="K1648">
        <f>IFERROR(HLOOKUP(K$2,[51]table_female_hkom2_inj.V4!$A$1:$K$36,15,FALSE),0)</f>
        <v>0</v>
      </c>
      <c r="L1648">
        <f>IFERROR(HLOOKUP(L$2,[51]table_female_hkom2_inj.V4!$A$1:$K$36,15,FALSE),0)</f>
        <v>0</v>
      </c>
      <c r="M1648">
        <f t="shared" si="515"/>
        <v>0</v>
      </c>
      <c r="S1648" t="s">
        <v>83</v>
      </c>
      <c r="T1648" s="5">
        <f t="shared" si="516"/>
        <v>0</v>
      </c>
      <c r="U1648" s="5">
        <f t="shared" si="517"/>
        <v>0</v>
      </c>
      <c r="V1648" s="5">
        <f t="shared" si="518"/>
        <v>0</v>
      </c>
      <c r="W1648" s="5">
        <f t="shared" si="519"/>
        <v>0</v>
      </c>
      <c r="X1648" s="5">
        <f t="shared" si="520"/>
        <v>0</v>
      </c>
      <c r="Y1648" s="5">
        <f t="shared" si="521"/>
        <v>0</v>
      </c>
      <c r="Z1648" s="5">
        <f t="shared" si="522"/>
        <v>0</v>
      </c>
      <c r="AA1648" s="5">
        <f t="shared" si="523"/>
        <v>0</v>
      </c>
      <c r="AB1648" s="5">
        <f t="shared" si="513"/>
        <v>0</v>
      </c>
    </row>
    <row r="1649" spans="4:28" x14ac:dyDescent="0.25">
      <c r="D1649" t="s">
        <v>84</v>
      </c>
      <c r="E1649" s="64"/>
      <c r="F1649" s="64"/>
      <c r="G1649">
        <f>IFERROR(HLOOKUP(G$2,[51]table_female_hkom2_inj.V4!$A$1:$K$36,16,FALSE),0)</f>
        <v>0</v>
      </c>
      <c r="H1649">
        <f>IFERROR(HLOOKUP(H$2,[51]table_female_hkom2_inj.V4!$A$1:$K$36,16,FALSE),0)</f>
        <v>0</v>
      </c>
      <c r="I1649">
        <f>IFERROR(HLOOKUP(I$2,[51]table_female_hkom2_inj.V4!$A$1:$K$36,16,FALSE),0)</f>
        <v>0</v>
      </c>
      <c r="J1649">
        <f>IFERROR(HLOOKUP(J$2,[51]table_female_hkom2_inj.V4!$A$1:$K$36,16,FALSE),0)</f>
        <v>0</v>
      </c>
      <c r="K1649">
        <f>IFERROR(HLOOKUP(K$2,[51]table_female_hkom2_inj.V4!$A$1:$K$36,16,FALSE),0)</f>
        <v>0</v>
      </c>
      <c r="L1649">
        <f>IFERROR(HLOOKUP(L$2,[51]table_female_hkom2_inj.V4!$A$1:$K$36,16,FALSE),0)</f>
        <v>0</v>
      </c>
      <c r="M1649">
        <f t="shared" si="515"/>
        <v>0</v>
      </c>
      <c r="S1649" t="s">
        <v>84</v>
      </c>
      <c r="T1649" s="5">
        <f t="shared" si="516"/>
        <v>0</v>
      </c>
      <c r="U1649" s="5">
        <f t="shared" si="517"/>
        <v>0</v>
      </c>
      <c r="V1649" s="5">
        <f t="shared" si="518"/>
        <v>0</v>
      </c>
      <c r="W1649" s="5">
        <f t="shared" si="519"/>
        <v>0</v>
      </c>
      <c r="X1649" s="5">
        <f t="shared" si="520"/>
        <v>0</v>
      </c>
      <c r="Y1649" s="5">
        <f t="shared" si="521"/>
        <v>0</v>
      </c>
      <c r="Z1649" s="5">
        <f t="shared" si="522"/>
        <v>0</v>
      </c>
      <c r="AA1649" s="5">
        <f t="shared" si="523"/>
        <v>0</v>
      </c>
      <c r="AB1649" s="5">
        <f t="shared" si="513"/>
        <v>0</v>
      </c>
    </row>
    <row r="1650" spans="4:28" x14ac:dyDescent="0.25">
      <c r="D1650" t="s">
        <v>85</v>
      </c>
      <c r="E1650" s="64"/>
      <c r="F1650" s="64"/>
      <c r="G1650">
        <f>IFERROR(HLOOKUP(G$2,[51]table_female_hkom2_inj.V4!$A$1:$K$36,17,FALSE),0)</f>
        <v>0</v>
      </c>
      <c r="H1650">
        <f>IFERROR(HLOOKUP(H$2,[51]table_female_hkom2_inj.V4!$A$1:$K$36,17,FALSE),0)</f>
        <v>0</v>
      </c>
      <c r="I1650">
        <f>IFERROR(HLOOKUP(I$2,[51]table_female_hkom2_inj.V4!$A$1:$K$36,17,FALSE),0)</f>
        <v>0</v>
      </c>
      <c r="J1650">
        <f>IFERROR(HLOOKUP(J$2,[51]table_female_hkom2_inj.V4!$A$1:$K$36,17,FALSE),0)</f>
        <v>0</v>
      </c>
      <c r="K1650">
        <f>IFERROR(HLOOKUP(K$2,[51]table_female_hkom2_inj.V4!$A$1:$K$36,17,FALSE),0)</f>
        <v>0</v>
      </c>
      <c r="L1650">
        <f>IFERROR(HLOOKUP(L$2,[51]table_female_hkom2_inj.V4!$A$1:$K$36,17,FALSE),0)</f>
        <v>0</v>
      </c>
      <c r="M1650">
        <f t="shared" si="515"/>
        <v>0</v>
      </c>
      <c r="S1650" t="s">
        <v>85</v>
      </c>
      <c r="T1650" s="5">
        <f t="shared" si="516"/>
        <v>0</v>
      </c>
      <c r="U1650" s="5">
        <f t="shared" si="517"/>
        <v>0</v>
      </c>
      <c r="V1650" s="5">
        <f t="shared" si="518"/>
        <v>0</v>
      </c>
      <c r="W1650" s="5">
        <f t="shared" si="519"/>
        <v>0</v>
      </c>
      <c r="X1650" s="5">
        <f t="shared" si="520"/>
        <v>0</v>
      </c>
      <c r="Y1650" s="5">
        <f t="shared" si="521"/>
        <v>0</v>
      </c>
      <c r="Z1650" s="5">
        <f t="shared" si="522"/>
        <v>0</v>
      </c>
      <c r="AA1650" s="5">
        <f t="shared" si="523"/>
        <v>0</v>
      </c>
      <c r="AB1650" s="5">
        <f t="shared" si="513"/>
        <v>0</v>
      </c>
    </row>
    <row r="1651" spans="4:28" x14ac:dyDescent="0.25">
      <c r="D1651" t="s">
        <v>86</v>
      </c>
      <c r="E1651" s="64"/>
      <c r="F1651" s="64"/>
      <c r="G1651">
        <f>IFERROR(HLOOKUP(G$2,[51]table_female_hkom2_inj.V4!$A$1:$K$36,18,FALSE),0)</f>
        <v>0</v>
      </c>
      <c r="H1651">
        <f>IFERROR(HLOOKUP(H$2,[51]table_female_hkom2_inj.V4!$A$1:$K$36,18,FALSE),0)</f>
        <v>0</v>
      </c>
      <c r="I1651">
        <f>IFERROR(HLOOKUP(I$2,[51]table_female_hkom2_inj.V4!$A$1:$K$36,18,FALSE),0)</f>
        <v>0</v>
      </c>
      <c r="J1651">
        <f>IFERROR(HLOOKUP(J$2,[51]table_female_hkom2_inj.V4!$A$1:$K$36,18,FALSE),0)</f>
        <v>0</v>
      </c>
      <c r="K1651">
        <f>IFERROR(HLOOKUP(K$2,[51]table_female_hkom2_inj.V4!$A$1:$K$36,18,FALSE),0)</f>
        <v>0</v>
      </c>
      <c r="L1651">
        <f>IFERROR(HLOOKUP(L$2,[51]table_female_hkom2_inj.V4!$A$1:$K$36,18,FALSE),0)</f>
        <v>0</v>
      </c>
      <c r="M1651">
        <f t="shared" si="515"/>
        <v>0</v>
      </c>
      <c r="S1651" t="s">
        <v>86</v>
      </c>
      <c r="T1651" s="5">
        <f t="shared" si="516"/>
        <v>0</v>
      </c>
      <c r="U1651" s="5">
        <f t="shared" si="517"/>
        <v>0</v>
      </c>
      <c r="V1651" s="5">
        <f t="shared" si="518"/>
        <v>0</v>
      </c>
      <c r="W1651" s="5">
        <f t="shared" si="519"/>
        <v>0</v>
      </c>
      <c r="X1651" s="5">
        <f t="shared" si="520"/>
        <v>0</v>
      </c>
      <c r="Y1651" s="5">
        <f t="shared" si="521"/>
        <v>0</v>
      </c>
      <c r="Z1651" s="5">
        <f t="shared" si="522"/>
        <v>0</v>
      </c>
      <c r="AA1651" s="5">
        <f t="shared" si="523"/>
        <v>0</v>
      </c>
      <c r="AB1651" s="5">
        <f t="shared" si="513"/>
        <v>0</v>
      </c>
    </row>
    <row r="1652" spans="4:28" x14ac:dyDescent="0.25">
      <c r="D1652" t="s">
        <v>87</v>
      </c>
      <c r="E1652" s="64"/>
      <c r="F1652" s="64"/>
      <c r="G1652">
        <f>IFERROR(HLOOKUP(G$2,[51]table_female_hkom2_inj.V4!$A$1:$K$36,19,FALSE),0)</f>
        <v>0</v>
      </c>
      <c r="H1652">
        <f>IFERROR(HLOOKUP(H$2,[51]table_female_hkom2_inj.V4!$A$1:$K$36,19,FALSE),0)</f>
        <v>0</v>
      </c>
      <c r="I1652">
        <f>IFERROR(HLOOKUP(I$2,[51]table_female_hkom2_inj.V4!$A$1:$K$36,19,FALSE),0)</f>
        <v>0</v>
      </c>
      <c r="J1652">
        <f>IFERROR(HLOOKUP(J$2,[51]table_female_hkom2_inj.V4!$A$1:$K$36,19,FALSE),0)</f>
        <v>0</v>
      </c>
      <c r="K1652">
        <f>IFERROR(HLOOKUP(K$2,[51]table_female_hkom2_inj.V4!$A$1:$K$36,19,FALSE),0)</f>
        <v>0</v>
      </c>
      <c r="L1652">
        <f>IFERROR(HLOOKUP(L$2,[51]table_female_hkom2_inj.V4!$A$1:$K$36,19,FALSE),0)</f>
        <v>0</v>
      </c>
      <c r="M1652">
        <f t="shared" si="515"/>
        <v>0</v>
      </c>
      <c r="S1652" t="s">
        <v>87</v>
      </c>
      <c r="T1652" s="5">
        <f t="shared" si="516"/>
        <v>0</v>
      </c>
      <c r="U1652" s="5">
        <f t="shared" si="517"/>
        <v>0</v>
      </c>
      <c r="V1652" s="5">
        <f t="shared" si="518"/>
        <v>0</v>
      </c>
      <c r="W1652" s="5">
        <f t="shared" si="519"/>
        <v>0</v>
      </c>
      <c r="X1652" s="5">
        <f t="shared" si="520"/>
        <v>0</v>
      </c>
      <c r="Y1652" s="5">
        <f t="shared" si="521"/>
        <v>0</v>
      </c>
      <c r="Z1652" s="5">
        <f t="shared" si="522"/>
        <v>0</v>
      </c>
      <c r="AA1652" s="5">
        <f t="shared" si="523"/>
        <v>0</v>
      </c>
      <c r="AB1652" s="5">
        <f t="shared" si="513"/>
        <v>0</v>
      </c>
    </row>
    <row r="1653" spans="4:28" x14ac:dyDescent="0.25">
      <c r="D1653" t="s">
        <v>88</v>
      </c>
      <c r="E1653" s="64"/>
      <c r="F1653" s="64"/>
      <c r="G1653">
        <f>IFERROR(HLOOKUP(G$2,[51]table_female_hkom2_inj.V4!$A$1:$K$36,20,FALSE),0)</f>
        <v>0</v>
      </c>
      <c r="H1653">
        <f>IFERROR(HLOOKUP(H$2,[51]table_female_hkom2_inj.V4!$A$1:$K$36,20,FALSE),0)</f>
        <v>0</v>
      </c>
      <c r="I1653">
        <f>IFERROR(HLOOKUP(I$2,[51]table_female_hkom2_inj.V4!$A$1:$K$36,20,FALSE),0)</f>
        <v>0</v>
      </c>
      <c r="J1653">
        <f>IFERROR(HLOOKUP(J$2,[51]table_female_hkom2_inj.V4!$A$1:$K$36,20,FALSE),0)</f>
        <v>0</v>
      </c>
      <c r="K1653">
        <f>IFERROR(HLOOKUP(K$2,[51]table_female_hkom2_inj.V4!$A$1:$K$36,20,FALSE),0)</f>
        <v>0</v>
      </c>
      <c r="L1653">
        <f>IFERROR(HLOOKUP(L$2,[51]table_female_hkom2_inj.V4!$A$1:$K$36,20,FALSE),0)</f>
        <v>0</v>
      </c>
      <c r="M1653">
        <f t="shared" si="515"/>
        <v>0</v>
      </c>
      <c r="S1653" t="s">
        <v>88</v>
      </c>
      <c r="T1653" s="5">
        <f t="shared" si="516"/>
        <v>0</v>
      </c>
      <c r="U1653" s="5">
        <f t="shared" si="517"/>
        <v>0</v>
      </c>
      <c r="V1653" s="5">
        <f t="shared" si="518"/>
        <v>0</v>
      </c>
      <c r="W1653" s="5">
        <f t="shared" si="519"/>
        <v>0</v>
      </c>
      <c r="X1653" s="5">
        <f t="shared" si="520"/>
        <v>0</v>
      </c>
      <c r="Y1653" s="5">
        <f t="shared" si="521"/>
        <v>0</v>
      </c>
      <c r="Z1653" s="5">
        <f t="shared" si="522"/>
        <v>0</v>
      </c>
      <c r="AA1653" s="5">
        <f t="shared" si="523"/>
        <v>0</v>
      </c>
      <c r="AB1653" s="5">
        <f t="shared" si="513"/>
        <v>0</v>
      </c>
    </row>
    <row r="1654" spans="4:28" x14ac:dyDescent="0.25">
      <c r="D1654" t="s">
        <v>89</v>
      </c>
      <c r="E1654" s="64"/>
      <c r="F1654" s="64"/>
      <c r="G1654">
        <f>IFERROR(HLOOKUP(G$2,[51]table_female_hkom2_inj.V4!$A$1:$K$36,21,FALSE),0)</f>
        <v>0</v>
      </c>
      <c r="H1654">
        <f>IFERROR(HLOOKUP(H$2,[51]table_female_hkom2_inj.V4!$A$1:$K$36,21,FALSE),0)</f>
        <v>0</v>
      </c>
      <c r="I1654">
        <f>IFERROR(HLOOKUP(I$2,[51]table_female_hkom2_inj.V4!$A$1:$K$36,21,FALSE),0)</f>
        <v>0</v>
      </c>
      <c r="J1654">
        <f>IFERROR(HLOOKUP(J$2,[51]table_female_hkom2_inj.V4!$A$1:$K$36,21,FALSE),0)</f>
        <v>0</v>
      </c>
      <c r="K1654">
        <f>IFERROR(HLOOKUP(K$2,[51]table_female_hkom2_inj.V4!$A$1:$K$36,21,FALSE),0)</f>
        <v>0</v>
      </c>
      <c r="L1654">
        <f>IFERROR(HLOOKUP(L$2,[51]table_female_hkom2_inj.V4!$A$1:$K$36,21,FALSE),0)</f>
        <v>0</v>
      </c>
      <c r="M1654">
        <f t="shared" si="515"/>
        <v>0</v>
      </c>
      <c r="S1654" t="s">
        <v>89</v>
      </c>
      <c r="T1654" s="5">
        <f t="shared" si="516"/>
        <v>0</v>
      </c>
      <c r="U1654" s="5">
        <f t="shared" si="517"/>
        <v>0</v>
      </c>
      <c r="V1654" s="5">
        <f t="shared" si="518"/>
        <v>0</v>
      </c>
      <c r="W1654" s="5">
        <f t="shared" si="519"/>
        <v>0</v>
      </c>
      <c r="X1654" s="5">
        <f t="shared" si="520"/>
        <v>0</v>
      </c>
      <c r="Y1654" s="5">
        <f t="shared" si="521"/>
        <v>0</v>
      </c>
      <c r="Z1654" s="5">
        <f t="shared" si="522"/>
        <v>0</v>
      </c>
      <c r="AA1654" s="5">
        <f t="shared" si="523"/>
        <v>0</v>
      </c>
      <c r="AB1654" s="5">
        <f t="shared" si="513"/>
        <v>0</v>
      </c>
    </row>
    <row r="1655" spans="4:28" x14ac:dyDescent="0.25">
      <c r="D1655" t="s">
        <v>90</v>
      </c>
      <c r="E1655" s="64"/>
      <c r="F1655" s="64"/>
      <c r="G1655">
        <f>IFERROR(HLOOKUP(G$2,[51]table_female_hkom2_inj.V4!$A$1:$K$36,22,FALSE),0)</f>
        <v>0</v>
      </c>
      <c r="H1655">
        <f>IFERROR(HLOOKUP(H$2,[51]table_female_hkom2_inj.V4!$A$1:$K$36,22,FALSE),0)</f>
        <v>0</v>
      </c>
      <c r="I1655">
        <f>IFERROR(HLOOKUP(I$2,[51]table_female_hkom2_inj.V4!$A$1:$K$36,22,FALSE),0)</f>
        <v>0</v>
      </c>
      <c r="J1655">
        <f>IFERROR(HLOOKUP(J$2,[51]table_female_hkom2_inj.V4!$A$1:$K$36,22,FALSE),0)</f>
        <v>0</v>
      </c>
      <c r="K1655">
        <f>IFERROR(HLOOKUP(K$2,[51]table_female_hkom2_inj.V4!$A$1:$K$36,22,FALSE),0)</f>
        <v>0</v>
      </c>
      <c r="L1655">
        <f>IFERROR(HLOOKUP(L$2,[51]table_female_hkom2_inj.V4!$A$1:$K$36,22,FALSE),0)</f>
        <v>0</v>
      </c>
      <c r="M1655">
        <f t="shared" si="515"/>
        <v>0</v>
      </c>
      <c r="S1655" t="s">
        <v>90</v>
      </c>
      <c r="T1655" s="5">
        <f t="shared" si="516"/>
        <v>0</v>
      </c>
      <c r="U1655" s="5">
        <f t="shared" si="517"/>
        <v>0</v>
      </c>
      <c r="V1655" s="5">
        <f t="shared" si="518"/>
        <v>0</v>
      </c>
      <c r="W1655" s="5">
        <f t="shared" si="519"/>
        <v>0</v>
      </c>
      <c r="X1655" s="5">
        <f t="shared" si="520"/>
        <v>0</v>
      </c>
      <c r="Y1655" s="5">
        <f t="shared" si="521"/>
        <v>0</v>
      </c>
      <c r="Z1655" s="5">
        <f t="shared" si="522"/>
        <v>0</v>
      </c>
      <c r="AA1655" s="5">
        <f t="shared" si="523"/>
        <v>0</v>
      </c>
      <c r="AB1655" s="5">
        <f t="shared" si="513"/>
        <v>0</v>
      </c>
    </row>
    <row r="1656" spans="4:28" x14ac:dyDescent="0.25">
      <c r="D1656" t="s">
        <v>91</v>
      </c>
      <c r="E1656" s="64"/>
      <c r="F1656" s="64"/>
      <c r="G1656">
        <f>IFERROR(HLOOKUP(G$2,[51]table_female_hkom2_inj.V4!$A$1:$K$36,23,FALSE),0)</f>
        <v>0</v>
      </c>
      <c r="H1656">
        <f>IFERROR(HLOOKUP(H$2,[51]table_female_hkom2_inj.V4!$A$1:$K$36,23,FALSE),0)</f>
        <v>0</v>
      </c>
      <c r="I1656">
        <f>IFERROR(HLOOKUP(I$2,[51]table_female_hkom2_inj.V4!$A$1:$K$36,23,FALSE),0)</f>
        <v>0</v>
      </c>
      <c r="J1656">
        <f>IFERROR(HLOOKUP(J$2,[51]table_female_hkom2_inj.V4!$A$1:$K$36,23,FALSE),0)</f>
        <v>0</v>
      </c>
      <c r="K1656">
        <f>IFERROR(HLOOKUP(K$2,[51]table_female_hkom2_inj.V4!$A$1:$K$36,23,FALSE),0)</f>
        <v>0</v>
      </c>
      <c r="L1656">
        <f>IFERROR(HLOOKUP(L$2,[51]table_female_hkom2_inj.V4!$A$1:$K$36,23,FALSE),0)</f>
        <v>0</v>
      </c>
      <c r="M1656">
        <f t="shared" si="515"/>
        <v>0</v>
      </c>
      <c r="S1656" t="s">
        <v>91</v>
      </c>
      <c r="T1656" s="5">
        <f t="shared" si="516"/>
        <v>0</v>
      </c>
      <c r="U1656" s="5">
        <f t="shared" si="517"/>
        <v>0</v>
      </c>
      <c r="V1656" s="5">
        <f t="shared" si="518"/>
        <v>0</v>
      </c>
      <c r="W1656" s="5">
        <f t="shared" si="519"/>
        <v>0</v>
      </c>
      <c r="X1656" s="5">
        <f t="shared" si="520"/>
        <v>0</v>
      </c>
      <c r="Y1656" s="5">
        <f t="shared" si="521"/>
        <v>0</v>
      </c>
      <c r="Z1656" s="5">
        <f t="shared" si="522"/>
        <v>0</v>
      </c>
      <c r="AA1656" s="5">
        <f t="shared" si="523"/>
        <v>0</v>
      </c>
      <c r="AB1656" s="5">
        <f t="shared" si="513"/>
        <v>0</v>
      </c>
    </row>
    <row r="1657" spans="4:28" x14ac:dyDescent="0.25">
      <c r="D1657" t="s">
        <v>92</v>
      </c>
      <c r="E1657" s="64"/>
      <c r="F1657" s="64"/>
      <c r="G1657">
        <f>IFERROR(HLOOKUP(G$2,[51]table_female_hkom2_inj.V4!$A$1:$K$36,24,FALSE),0)</f>
        <v>0</v>
      </c>
      <c r="H1657">
        <f>IFERROR(HLOOKUP(H$2,[51]table_female_hkom2_inj.V4!$A$1:$K$36,24,FALSE),0)</f>
        <v>0</v>
      </c>
      <c r="I1657">
        <f>IFERROR(HLOOKUP(I$2,[51]table_female_hkom2_inj.V4!$A$1:$K$36,24,FALSE),0)</f>
        <v>0</v>
      </c>
      <c r="J1657">
        <f>IFERROR(HLOOKUP(J$2,[51]table_female_hkom2_inj.V4!$A$1:$K$36,24,FALSE),0)</f>
        <v>0</v>
      </c>
      <c r="K1657">
        <f>IFERROR(HLOOKUP(K$2,[51]table_female_hkom2_inj.V4!$A$1:$K$36,24,FALSE),0)</f>
        <v>0</v>
      </c>
      <c r="L1657">
        <f>IFERROR(HLOOKUP(L$2,[51]table_female_hkom2_inj.V4!$A$1:$K$36,24,FALSE),0)</f>
        <v>0</v>
      </c>
      <c r="M1657">
        <f t="shared" si="515"/>
        <v>0</v>
      </c>
      <c r="S1657" t="s">
        <v>92</v>
      </c>
      <c r="T1657" s="5">
        <f t="shared" si="516"/>
        <v>0</v>
      </c>
      <c r="U1657" s="5">
        <f t="shared" si="517"/>
        <v>0</v>
      </c>
      <c r="V1657" s="5">
        <f t="shared" si="518"/>
        <v>0</v>
      </c>
      <c r="W1657" s="5">
        <f t="shared" si="519"/>
        <v>0</v>
      </c>
      <c r="X1657" s="5">
        <f t="shared" si="520"/>
        <v>0</v>
      </c>
      <c r="Y1657" s="5">
        <f t="shared" si="521"/>
        <v>0</v>
      </c>
      <c r="Z1657" s="5">
        <f t="shared" si="522"/>
        <v>0</v>
      </c>
      <c r="AA1657" s="5">
        <f t="shared" si="523"/>
        <v>0</v>
      </c>
      <c r="AB1657" s="5">
        <f t="shared" si="513"/>
        <v>0</v>
      </c>
    </row>
    <row r="1658" spans="4:28" x14ac:dyDescent="0.25">
      <c r="D1658" t="s">
        <v>93</v>
      </c>
      <c r="E1658" s="64"/>
      <c r="F1658" s="64"/>
      <c r="G1658">
        <f>IFERROR(HLOOKUP(G$2,[51]table_female_hkom2_inj.V4!$A$1:$K$36,25,FALSE),0)</f>
        <v>0</v>
      </c>
      <c r="H1658">
        <f>IFERROR(HLOOKUP(H$2,[51]table_female_hkom2_inj.V4!$A$1:$K$36,25,FALSE),0)</f>
        <v>0</v>
      </c>
      <c r="I1658">
        <f>IFERROR(HLOOKUP(I$2,[51]table_female_hkom2_inj.V4!$A$1:$K$36,25,FALSE),0)</f>
        <v>0</v>
      </c>
      <c r="J1658">
        <f>IFERROR(HLOOKUP(J$2,[51]table_female_hkom2_inj.V4!$A$1:$K$36,25,FALSE),0)</f>
        <v>0</v>
      </c>
      <c r="K1658">
        <f>IFERROR(HLOOKUP(K$2,[51]table_female_hkom2_inj.V4!$A$1:$K$36,25,FALSE),0)</f>
        <v>0</v>
      </c>
      <c r="L1658">
        <f>IFERROR(HLOOKUP(L$2,[51]table_female_hkom2_inj.V4!$A$1:$K$36,25,FALSE),0)</f>
        <v>0</v>
      </c>
      <c r="M1658">
        <f t="shared" si="515"/>
        <v>0</v>
      </c>
      <c r="S1658" t="s">
        <v>93</v>
      </c>
      <c r="T1658" s="5">
        <f t="shared" si="516"/>
        <v>0</v>
      </c>
      <c r="U1658" s="5">
        <f t="shared" si="517"/>
        <v>0</v>
      </c>
      <c r="V1658" s="5">
        <f t="shared" si="518"/>
        <v>0</v>
      </c>
      <c r="W1658" s="5">
        <f t="shared" si="519"/>
        <v>0</v>
      </c>
      <c r="X1658" s="5">
        <f t="shared" si="520"/>
        <v>0</v>
      </c>
      <c r="Y1658" s="5">
        <f t="shared" si="521"/>
        <v>0</v>
      </c>
      <c r="Z1658" s="5">
        <f t="shared" si="522"/>
        <v>0</v>
      </c>
      <c r="AA1658" s="5">
        <f t="shared" si="523"/>
        <v>0</v>
      </c>
      <c r="AB1658" s="5">
        <f t="shared" si="513"/>
        <v>0</v>
      </c>
    </row>
    <row r="1659" spans="4:28" x14ac:dyDescent="0.25">
      <c r="D1659" t="s">
        <v>94</v>
      </c>
      <c r="E1659" s="64"/>
      <c r="F1659" s="64"/>
      <c r="G1659">
        <f>IFERROR(HLOOKUP(G$2,[51]table_female_hkom2_inj.V4!$A$1:$K$36,26,FALSE),0)</f>
        <v>0</v>
      </c>
      <c r="H1659">
        <f>IFERROR(HLOOKUP(H$2,[51]table_female_hkom2_inj.V4!$A$1:$K$36,26,FALSE),0)</f>
        <v>0</v>
      </c>
      <c r="I1659">
        <f>IFERROR(HLOOKUP(I$2,[51]table_female_hkom2_inj.V4!$A$1:$K$36,26,FALSE),0)</f>
        <v>0</v>
      </c>
      <c r="J1659">
        <f>IFERROR(HLOOKUP(J$2,[51]table_female_hkom2_inj.V4!$A$1:$K$36,26,FALSE),0)</f>
        <v>0</v>
      </c>
      <c r="K1659">
        <f>IFERROR(HLOOKUP(K$2,[51]table_female_hkom2_inj.V4!$A$1:$K$36,26,FALSE),0)</f>
        <v>0</v>
      </c>
      <c r="L1659">
        <f>IFERROR(HLOOKUP(L$2,[51]table_female_hkom2_inj.V4!$A$1:$K$36,26,FALSE),0)</f>
        <v>0</v>
      </c>
      <c r="M1659">
        <f t="shared" si="515"/>
        <v>0</v>
      </c>
      <c r="S1659" t="s">
        <v>94</v>
      </c>
      <c r="T1659" s="5">
        <f t="shared" si="516"/>
        <v>0</v>
      </c>
      <c r="U1659" s="5">
        <f t="shared" si="517"/>
        <v>0</v>
      </c>
      <c r="V1659" s="5">
        <f t="shared" si="518"/>
        <v>0</v>
      </c>
      <c r="W1659" s="5">
        <f t="shared" si="519"/>
        <v>0</v>
      </c>
      <c r="X1659" s="5">
        <f t="shared" si="520"/>
        <v>0</v>
      </c>
      <c r="Y1659" s="5">
        <f t="shared" si="521"/>
        <v>0</v>
      </c>
      <c r="Z1659" s="5">
        <f t="shared" si="522"/>
        <v>0</v>
      </c>
      <c r="AA1659" s="5">
        <f t="shared" si="523"/>
        <v>0</v>
      </c>
      <c r="AB1659" s="5">
        <f t="shared" si="513"/>
        <v>0</v>
      </c>
    </row>
    <row r="1660" spans="4:28" x14ac:dyDescent="0.25">
      <c r="D1660" t="s">
        <v>95</v>
      </c>
      <c r="E1660" s="64"/>
      <c r="F1660" s="64"/>
      <c r="G1660">
        <f>IFERROR(HLOOKUP(G$2,[51]table_female_hkom2_inj.V4!$A$1:$K$36,27,FALSE),0)</f>
        <v>0</v>
      </c>
      <c r="H1660">
        <f>IFERROR(HLOOKUP(H$2,[51]table_female_hkom2_inj.V4!$A$1:$K$36,27,FALSE),0)</f>
        <v>0</v>
      </c>
      <c r="I1660">
        <f>IFERROR(HLOOKUP(I$2,[51]table_female_hkom2_inj.V4!$A$1:$K$36,27,FALSE),0)</f>
        <v>0</v>
      </c>
      <c r="J1660">
        <f>IFERROR(HLOOKUP(J$2,[51]table_female_hkom2_inj.V4!$A$1:$K$36,27,FALSE),0)</f>
        <v>0</v>
      </c>
      <c r="K1660">
        <f>IFERROR(HLOOKUP(K$2,[51]table_female_hkom2_inj.V4!$A$1:$K$36,27,FALSE),0)</f>
        <v>0</v>
      </c>
      <c r="L1660">
        <f>IFERROR(HLOOKUP(L$2,[51]table_female_hkom2_inj.V4!$A$1:$K$36,27,FALSE),0)</f>
        <v>0</v>
      </c>
      <c r="M1660">
        <f t="shared" si="515"/>
        <v>0</v>
      </c>
      <c r="S1660" t="s">
        <v>95</v>
      </c>
      <c r="T1660" s="5">
        <f t="shared" si="516"/>
        <v>0</v>
      </c>
      <c r="U1660" s="5">
        <f t="shared" si="517"/>
        <v>0</v>
      </c>
      <c r="V1660" s="5">
        <f t="shared" si="518"/>
        <v>0</v>
      </c>
      <c r="W1660" s="5">
        <f t="shared" si="519"/>
        <v>0</v>
      </c>
      <c r="X1660" s="5">
        <f t="shared" si="520"/>
        <v>0</v>
      </c>
      <c r="Y1660" s="5">
        <f t="shared" si="521"/>
        <v>0</v>
      </c>
      <c r="Z1660" s="5">
        <f t="shared" si="522"/>
        <v>0</v>
      </c>
      <c r="AA1660" s="5">
        <f t="shared" si="523"/>
        <v>0</v>
      </c>
      <c r="AB1660" s="5">
        <f t="shared" si="513"/>
        <v>0</v>
      </c>
    </row>
    <row r="1661" spans="4:28" x14ac:dyDescent="0.25">
      <c r="D1661" t="s">
        <v>96</v>
      </c>
      <c r="E1661" s="64"/>
      <c r="F1661" s="64"/>
      <c r="G1661">
        <f>IFERROR(HLOOKUP(G$2,[51]table_female_hkom2_inj.V4!$A$1:$K$36,28,FALSE),0)</f>
        <v>0</v>
      </c>
      <c r="H1661">
        <f>IFERROR(HLOOKUP(H$2,[51]table_female_hkom2_inj.V4!$A$1:$K$36,28,FALSE),0)</f>
        <v>0</v>
      </c>
      <c r="I1661">
        <f>IFERROR(HLOOKUP(I$2,[51]table_female_hkom2_inj.V4!$A$1:$K$36,28,FALSE),0)</f>
        <v>0</v>
      </c>
      <c r="J1661">
        <f>IFERROR(HLOOKUP(J$2,[51]table_female_hkom2_inj.V4!$A$1:$K$36,28,FALSE),0)</f>
        <v>0</v>
      </c>
      <c r="K1661">
        <f>IFERROR(HLOOKUP(K$2,[51]table_female_hkom2_inj.V4!$A$1:$K$36,28,FALSE),0)</f>
        <v>0</v>
      </c>
      <c r="L1661">
        <f>IFERROR(HLOOKUP(L$2,[51]table_female_hkom2_inj.V4!$A$1:$K$36,28,FALSE),0)</f>
        <v>0</v>
      </c>
      <c r="M1661">
        <f t="shared" si="515"/>
        <v>0</v>
      </c>
      <c r="S1661" t="s">
        <v>96</v>
      </c>
      <c r="T1661" s="5">
        <f t="shared" si="516"/>
        <v>0</v>
      </c>
      <c r="U1661" s="5">
        <f t="shared" si="517"/>
        <v>0</v>
      </c>
      <c r="V1661" s="5">
        <f t="shared" si="518"/>
        <v>0</v>
      </c>
      <c r="W1661" s="5">
        <f t="shared" si="519"/>
        <v>0</v>
      </c>
      <c r="X1661" s="5">
        <f t="shared" si="520"/>
        <v>0</v>
      </c>
      <c r="Y1661" s="5">
        <f t="shared" si="521"/>
        <v>0</v>
      </c>
      <c r="Z1661" s="5">
        <f t="shared" si="522"/>
        <v>0</v>
      </c>
      <c r="AA1661" s="5">
        <f t="shared" si="523"/>
        <v>0</v>
      </c>
      <c r="AB1661" s="5">
        <f t="shared" si="513"/>
        <v>0</v>
      </c>
    </row>
    <row r="1662" spans="4:28" x14ac:dyDescent="0.25">
      <c r="D1662" t="s">
        <v>97</v>
      </c>
      <c r="E1662" s="64"/>
      <c r="F1662" s="64"/>
      <c r="G1662">
        <f>IFERROR(HLOOKUP(G$2,[51]table_female_hkom2_inj.V4!$A$1:$K$36,29,FALSE),0)</f>
        <v>0</v>
      </c>
      <c r="H1662">
        <f>IFERROR(HLOOKUP(H$2,[51]table_female_hkom2_inj.V4!$A$1:$K$36,29,FALSE),0)</f>
        <v>0</v>
      </c>
      <c r="I1662">
        <f>IFERROR(HLOOKUP(I$2,[51]table_female_hkom2_inj.V4!$A$1:$K$36,29,FALSE),0)</f>
        <v>0</v>
      </c>
      <c r="J1662">
        <f>IFERROR(HLOOKUP(J$2,[51]table_female_hkom2_inj.V4!$A$1:$K$36,29,FALSE),0)</f>
        <v>0</v>
      </c>
      <c r="K1662">
        <f>IFERROR(HLOOKUP(K$2,[51]table_female_hkom2_inj.V4!$A$1:$K$36,29,FALSE),0)</f>
        <v>0</v>
      </c>
      <c r="L1662">
        <f>IFERROR(HLOOKUP(L$2,[51]table_female_hkom2_inj.V4!$A$1:$K$36,29,FALSE),0)</f>
        <v>0</v>
      </c>
      <c r="M1662">
        <f t="shared" si="515"/>
        <v>0</v>
      </c>
      <c r="S1662" t="s">
        <v>97</v>
      </c>
      <c r="T1662" s="5">
        <f t="shared" si="516"/>
        <v>0</v>
      </c>
      <c r="U1662" s="5">
        <f t="shared" si="517"/>
        <v>0</v>
      </c>
      <c r="V1662" s="5">
        <f t="shared" si="518"/>
        <v>0</v>
      </c>
      <c r="W1662" s="5">
        <f t="shared" si="519"/>
        <v>0</v>
      </c>
      <c r="X1662" s="5">
        <f t="shared" si="520"/>
        <v>0</v>
      </c>
      <c r="Y1662" s="5">
        <f t="shared" si="521"/>
        <v>0</v>
      </c>
      <c r="Z1662" s="5">
        <f t="shared" si="522"/>
        <v>0</v>
      </c>
      <c r="AA1662" s="5">
        <f t="shared" si="523"/>
        <v>0</v>
      </c>
      <c r="AB1662" s="5">
        <f t="shared" si="513"/>
        <v>0</v>
      </c>
    </row>
    <row r="1663" spans="4:28" x14ac:dyDescent="0.25">
      <c r="D1663" t="s">
        <v>98</v>
      </c>
      <c r="E1663" s="64"/>
      <c r="F1663" s="64"/>
      <c r="G1663">
        <f>IFERROR(HLOOKUP(G$2,[51]table_female_hkom2_inj.V4!$A$1:$K$36,30,FALSE),0)</f>
        <v>0</v>
      </c>
      <c r="H1663">
        <f>IFERROR(HLOOKUP(H$2,[51]table_female_hkom2_inj.V4!$A$1:$K$36,30,FALSE),0)</f>
        <v>0</v>
      </c>
      <c r="I1663">
        <f>IFERROR(HLOOKUP(I$2,[51]table_female_hkom2_inj.V4!$A$1:$K$36,30,FALSE),0)</f>
        <v>0</v>
      </c>
      <c r="J1663">
        <f>IFERROR(HLOOKUP(J$2,[51]table_female_hkom2_inj.V4!$A$1:$K$36,30,FALSE),0)</f>
        <v>0</v>
      </c>
      <c r="K1663">
        <f>IFERROR(HLOOKUP(K$2,[51]table_female_hkom2_inj.V4!$A$1:$K$36,30,FALSE),0)</f>
        <v>0</v>
      </c>
      <c r="L1663">
        <f>IFERROR(HLOOKUP(L$2,[51]table_female_hkom2_inj.V4!$A$1:$K$36,30,FALSE),0)</f>
        <v>0</v>
      </c>
      <c r="M1663">
        <f t="shared" si="515"/>
        <v>0</v>
      </c>
      <c r="S1663" t="s">
        <v>98</v>
      </c>
      <c r="T1663" s="5">
        <f t="shared" si="516"/>
        <v>0</v>
      </c>
      <c r="U1663" s="5">
        <f t="shared" si="517"/>
        <v>0</v>
      </c>
      <c r="V1663" s="5">
        <f t="shared" si="518"/>
        <v>0</v>
      </c>
      <c r="W1663" s="5">
        <f t="shared" si="519"/>
        <v>0</v>
      </c>
      <c r="X1663" s="5">
        <f t="shared" si="520"/>
        <v>0</v>
      </c>
      <c r="Y1663" s="5">
        <f t="shared" si="521"/>
        <v>0</v>
      </c>
      <c r="Z1663" s="5">
        <f t="shared" si="522"/>
        <v>0</v>
      </c>
      <c r="AA1663" s="5">
        <f t="shared" si="523"/>
        <v>0</v>
      </c>
      <c r="AB1663" s="5">
        <f t="shared" si="513"/>
        <v>0</v>
      </c>
    </row>
    <row r="1664" spans="4:28" x14ac:dyDescent="0.25">
      <c r="D1664" t="s">
        <v>119</v>
      </c>
      <c r="E1664" s="64"/>
      <c r="F1664" s="64"/>
      <c r="G1664">
        <f>IFERROR(HLOOKUP(G$2,[51]table_female_hkom2_inj.V4!$A$1:$K$36,31,FALSE),0)</f>
        <v>0</v>
      </c>
      <c r="H1664">
        <f>IFERROR(HLOOKUP(H$2,[51]table_female_hkom2_inj.V4!$A$1:$K$36,31,FALSE),0)</f>
        <v>0</v>
      </c>
      <c r="I1664">
        <f>IFERROR(HLOOKUP(I$2,[51]table_female_hkom2_inj.V4!$A$1:$K$36,31,FALSE),0)</f>
        <v>0</v>
      </c>
      <c r="J1664">
        <f>IFERROR(HLOOKUP(J$2,[51]table_female_hkom2_inj.V4!$A$1:$K$36,31,FALSE),0)</f>
        <v>0</v>
      </c>
      <c r="K1664">
        <f>IFERROR(HLOOKUP(K$2,[51]table_female_hkom2_inj.V4!$A$1:$K$36,31,FALSE),0)</f>
        <v>0</v>
      </c>
      <c r="L1664">
        <f>IFERROR(HLOOKUP(L$2,[51]table_female_hkom2_inj.V4!$A$1:$K$36,31,FALSE),0)</f>
        <v>0</v>
      </c>
      <c r="M1664">
        <f t="shared" si="515"/>
        <v>0</v>
      </c>
      <c r="S1664" t="s">
        <v>119</v>
      </c>
      <c r="T1664" s="5">
        <f t="shared" si="516"/>
        <v>0</v>
      </c>
      <c r="U1664" s="5">
        <f t="shared" si="517"/>
        <v>0</v>
      </c>
      <c r="V1664" s="5">
        <f t="shared" si="518"/>
        <v>0</v>
      </c>
      <c r="W1664" s="5">
        <f t="shared" si="519"/>
        <v>0</v>
      </c>
      <c r="X1664" s="5">
        <f t="shared" si="520"/>
        <v>0</v>
      </c>
      <c r="Y1664" s="5">
        <f t="shared" si="521"/>
        <v>0</v>
      </c>
      <c r="Z1664" s="5">
        <f t="shared" si="522"/>
        <v>0</v>
      </c>
      <c r="AA1664" s="5">
        <f t="shared" si="523"/>
        <v>0</v>
      </c>
      <c r="AB1664" s="5">
        <f t="shared" si="513"/>
        <v>0</v>
      </c>
    </row>
    <row r="1665" spans="1:29" x14ac:dyDescent="0.25">
      <c r="D1665" t="s">
        <v>99</v>
      </c>
      <c r="E1665" s="64"/>
      <c r="F1665" s="64"/>
      <c r="G1665">
        <f>IFERROR(HLOOKUP(G$2,[51]table_female_hkom2_inj.V4!$A$1:$K$36,32,FALSE),0)</f>
        <v>0</v>
      </c>
      <c r="H1665">
        <f>IFERROR(HLOOKUP(H$2,[51]table_female_hkom2_inj.V4!$A$1:$K$36,32,FALSE),0)</f>
        <v>0</v>
      </c>
      <c r="I1665">
        <f>IFERROR(HLOOKUP(I$2,[51]table_female_hkom2_inj.V4!$A$1:$K$36,32,FALSE),0)</f>
        <v>0</v>
      </c>
      <c r="J1665">
        <f>IFERROR(HLOOKUP(J$2,[51]table_female_hkom2_inj.V4!$A$1:$K$36,32,FALSE),0)</f>
        <v>0</v>
      </c>
      <c r="K1665">
        <f>IFERROR(HLOOKUP(K$2,[51]table_female_hkom2_inj.V4!$A$1:$K$36,32,FALSE),0)</f>
        <v>0</v>
      </c>
      <c r="L1665">
        <f>IFERROR(HLOOKUP(L$2,[51]table_female_hkom2_inj.V4!$A$1:$K$36,32,FALSE),0)</f>
        <v>0</v>
      </c>
      <c r="M1665">
        <f t="shared" si="515"/>
        <v>0</v>
      </c>
      <c r="S1665" t="s">
        <v>99</v>
      </c>
      <c r="T1665" s="5">
        <f t="shared" si="516"/>
        <v>0</v>
      </c>
      <c r="U1665" s="5">
        <f t="shared" si="517"/>
        <v>0</v>
      </c>
      <c r="V1665" s="5">
        <f t="shared" si="518"/>
        <v>0</v>
      </c>
      <c r="W1665" s="5">
        <f t="shared" si="519"/>
        <v>0</v>
      </c>
      <c r="X1665" s="5">
        <f t="shared" si="520"/>
        <v>0</v>
      </c>
      <c r="Y1665" s="5">
        <f t="shared" si="521"/>
        <v>0</v>
      </c>
      <c r="Z1665" s="5">
        <f t="shared" si="522"/>
        <v>0</v>
      </c>
      <c r="AA1665" s="5">
        <f t="shared" si="523"/>
        <v>0</v>
      </c>
      <c r="AB1665" s="5">
        <f t="shared" si="513"/>
        <v>0</v>
      </c>
    </row>
    <row r="1666" spans="1:29" x14ac:dyDescent="0.25">
      <c r="D1666" t="s">
        <v>100</v>
      </c>
      <c r="E1666" s="64"/>
      <c r="F1666" s="64"/>
      <c r="G1666">
        <f>IFERROR(HLOOKUP(G$2,[51]table_female_hkom2_inj.V4!$A$1:$K$36,33,FALSE),0)</f>
        <v>0</v>
      </c>
      <c r="H1666">
        <f>IFERROR(HLOOKUP(H$2,[51]table_female_hkom2_inj.V4!$A$1:$K$36,33,FALSE),0)</f>
        <v>0</v>
      </c>
      <c r="I1666">
        <f>IFERROR(HLOOKUP(I$2,[51]table_female_hkom2_inj.V4!$A$1:$K$36,33,FALSE),0)</f>
        <v>0</v>
      </c>
      <c r="J1666">
        <f>IFERROR(HLOOKUP(J$2,[51]table_female_hkom2_inj.V4!$A$1:$K$36,33,FALSE),0)</f>
        <v>0</v>
      </c>
      <c r="K1666">
        <f>IFERROR(HLOOKUP(K$2,[51]table_female_hkom2_inj.V4!$A$1:$K$36,33,FALSE),0)</f>
        <v>0</v>
      </c>
      <c r="L1666">
        <f>IFERROR(HLOOKUP(L$2,[51]table_female_hkom2_inj.V4!$A$1:$K$36,33,FALSE),0)</f>
        <v>0</v>
      </c>
      <c r="M1666">
        <f t="shared" si="515"/>
        <v>0</v>
      </c>
      <c r="S1666" t="s">
        <v>100</v>
      </c>
      <c r="T1666" s="5">
        <f t="shared" si="516"/>
        <v>0</v>
      </c>
      <c r="U1666" s="5">
        <f t="shared" si="517"/>
        <v>0</v>
      </c>
      <c r="V1666" s="5">
        <f t="shared" si="518"/>
        <v>0</v>
      </c>
      <c r="W1666" s="5">
        <f t="shared" si="519"/>
        <v>0</v>
      </c>
      <c r="X1666" s="5">
        <f t="shared" si="520"/>
        <v>0</v>
      </c>
      <c r="Y1666" s="5">
        <f t="shared" si="521"/>
        <v>0</v>
      </c>
      <c r="Z1666" s="5">
        <f t="shared" si="522"/>
        <v>0</v>
      </c>
      <c r="AA1666" s="5">
        <f t="shared" si="523"/>
        <v>0</v>
      </c>
      <c r="AB1666" s="5">
        <f t="shared" si="513"/>
        <v>0</v>
      </c>
    </row>
    <row r="1667" spans="1:29" x14ac:dyDescent="0.25">
      <c r="D1667" t="s">
        <v>101</v>
      </c>
      <c r="E1667" s="64"/>
      <c r="F1667" s="64"/>
      <c r="G1667">
        <f>IFERROR(HLOOKUP(G$2,[51]table_female_hkom2_inj.V4!$A$1:$K$36,34,FALSE),0)</f>
        <v>0</v>
      </c>
      <c r="H1667">
        <f>IFERROR(HLOOKUP(H$2,[51]table_female_hkom2_inj.V4!$A$1:$K$36,34,FALSE),0)</f>
        <v>0</v>
      </c>
      <c r="I1667">
        <f>IFERROR(HLOOKUP(I$2,[51]table_female_hkom2_inj.V4!$A$1:$K$36,34,FALSE),0)</f>
        <v>0</v>
      </c>
      <c r="J1667">
        <f>IFERROR(HLOOKUP(J$2,[51]table_female_hkom2_inj.V4!$A$1:$K$36,34,FALSE),0)</f>
        <v>0</v>
      </c>
      <c r="K1667">
        <f>IFERROR(HLOOKUP(K$2,[51]table_female_hkom2_inj.V4!$A$1:$K$36,34,FALSE),0)</f>
        <v>0</v>
      </c>
      <c r="L1667">
        <f>IFERROR(HLOOKUP(L$2,[51]table_female_hkom2_inj.V4!$A$1:$K$36,34,FALSE),0)</f>
        <v>0</v>
      </c>
      <c r="M1667">
        <f t="shared" si="515"/>
        <v>0</v>
      </c>
      <c r="S1667" t="s">
        <v>101</v>
      </c>
      <c r="T1667" s="5">
        <f t="shared" si="516"/>
        <v>0</v>
      </c>
      <c r="U1667" s="5">
        <f t="shared" si="517"/>
        <v>0</v>
      </c>
      <c r="V1667" s="5">
        <f t="shared" si="518"/>
        <v>0</v>
      </c>
      <c r="W1667" s="5">
        <f t="shared" si="519"/>
        <v>0</v>
      </c>
      <c r="X1667" s="5">
        <f t="shared" si="520"/>
        <v>0</v>
      </c>
      <c r="Y1667" s="5">
        <f t="shared" si="521"/>
        <v>0</v>
      </c>
      <c r="Z1667" s="5">
        <f t="shared" si="522"/>
        <v>0</v>
      </c>
      <c r="AA1667" s="5">
        <f t="shared" si="523"/>
        <v>0</v>
      </c>
      <c r="AB1667" s="5">
        <f t="shared" si="513"/>
        <v>0</v>
      </c>
    </row>
    <row r="1668" spans="1:29" x14ac:dyDescent="0.25">
      <c r="D1668" t="s">
        <v>102</v>
      </c>
      <c r="E1668" s="64"/>
      <c r="F1668" s="64"/>
      <c r="G1668">
        <f>IFERROR(HLOOKUP(G$2,[51]table_female_hkom2_inj.V4!$A$1:$K$36,35,FALSE),0)</f>
        <v>0</v>
      </c>
      <c r="H1668">
        <f>IFERROR(HLOOKUP(H$2,[51]table_female_hkom2_inj.V4!$A$1:$K$36,35,FALSE),0)</f>
        <v>0</v>
      </c>
      <c r="I1668">
        <f>IFERROR(HLOOKUP(I$2,[51]table_female_hkom2_inj.V4!$A$1:$K$36,35,FALSE),0)</f>
        <v>0</v>
      </c>
      <c r="J1668">
        <f>IFERROR(HLOOKUP(J$2,[51]table_female_hkom2_inj.V4!$A$1:$K$36,35,FALSE),0)</f>
        <v>0</v>
      </c>
      <c r="K1668">
        <f>IFERROR(HLOOKUP(K$2,[51]table_female_hkom2_inj.V4!$A$1:$K$36,35,FALSE),0)</f>
        <v>0</v>
      </c>
      <c r="L1668">
        <f>IFERROR(HLOOKUP(L$2,[51]table_female_hkom2_inj.V4!$A$1:$K$36,35,FALSE),0)</f>
        <v>0</v>
      </c>
      <c r="M1668">
        <f t="shared" si="515"/>
        <v>0</v>
      </c>
      <c r="N1668">
        <f>SUM(M1635:M1668)</f>
        <v>0</v>
      </c>
      <c r="O1668" s="8">
        <f>SUM([51]table_female_hkom2_inj.V4!$B$2:$L$36)</f>
        <v>0</v>
      </c>
      <c r="S1668" t="s">
        <v>102</v>
      </c>
      <c r="T1668" s="7"/>
      <c r="U1668" s="7"/>
      <c r="V1668" s="7"/>
      <c r="W1668" s="7"/>
      <c r="X1668" s="7"/>
      <c r="Y1668" s="7"/>
      <c r="Z1668" s="7"/>
      <c r="AA1668" s="7"/>
      <c r="AB1668" s="5">
        <f t="shared" si="513"/>
        <v>0</v>
      </c>
      <c r="AC1668" s="5">
        <f>SUM(AB1635:AB1667)</f>
        <v>0</v>
      </c>
    </row>
    <row r="1669" spans="1:29" x14ac:dyDescent="0.25">
      <c r="A1669" t="s">
        <v>115</v>
      </c>
      <c r="B1669" t="s">
        <v>116</v>
      </c>
      <c r="C1669" t="s">
        <v>109</v>
      </c>
      <c r="D1669" t="s">
        <v>70</v>
      </c>
      <c r="E1669" s="64"/>
      <c r="F1669" s="64"/>
      <c r="G1669">
        <f>IFERROR(HLOOKUP(G$2,[52]table_female_hkom2_inj.U1!$A$1:$K$36,2,FALSE),0)</f>
        <v>3</v>
      </c>
      <c r="H1669">
        <f>IFERROR(HLOOKUP(H$2,[52]table_female_hkom2_inj.U1!$A$1:$K$36,2,FALSE),0)</f>
        <v>3</v>
      </c>
      <c r="I1669">
        <f>IFERROR(HLOOKUP(I$2,[52]table_female_hkom2_inj.U1!$A$1:$K$36,2,FALSE),0)</f>
        <v>0</v>
      </c>
      <c r="J1669">
        <f>IFERROR(HLOOKUP(J$2,[52]table_female_hkom2_inj.U1!$A$1:$K$36,2,FALSE),0)</f>
        <v>0</v>
      </c>
      <c r="K1669">
        <f>IFERROR(HLOOKUP(K$2,[52]table_female_hkom2_inj.U1!$A$1:$K$36,2,FALSE),0)</f>
        <v>0</v>
      </c>
      <c r="L1669">
        <f>IFERROR(HLOOKUP(L$2,[52]table_female_hkom2_inj.U1!$A$1:$K$36,2,FALSE),0)</f>
        <v>0</v>
      </c>
      <c r="M1669">
        <f>SUM(E1669:L1669)</f>
        <v>6</v>
      </c>
      <c r="P1669" t="s">
        <v>115</v>
      </c>
      <c r="Q1669" t="s">
        <v>116</v>
      </c>
      <c r="R1669" t="s">
        <v>109</v>
      </c>
      <c r="S1669" t="s">
        <v>70</v>
      </c>
      <c r="T1669" s="5">
        <f>IF(SUM(E$1669:E$1701)=0,E$1702/33,E1669+IFERROR(E1669/SUM(E$1669:E$1701)*E$1702,0))</f>
        <v>0</v>
      </c>
      <c r="U1669" s="5">
        <f t="shared" ref="U1669:AA1669" si="524">IF(SUM(F$1669:F$1701)=0,F$1702/33,F1669+IFERROR(F1669/SUM(F$1669:F$1701)*F$1702,0))</f>
        <v>0</v>
      </c>
      <c r="V1669" s="5">
        <f t="shared" si="524"/>
        <v>3.1588235294117646</v>
      </c>
      <c r="W1669" s="5">
        <f t="shared" si="524"/>
        <v>3.2007434944237918</v>
      </c>
      <c r="X1669" s="5">
        <f t="shared" si="524"/>
        <v>0</v>
      </c>
      <c r="Y1669" s="5">
        <f t="shared" si="524"/>
        <v>0</v>
      </c>
      <c r="Z1669" s="5">
        <f t="shared" si="524"/>
        <v>0</v>
      </c>
      <c r="AA1669" s="5">
        <f t="shared" si="524"/>
        <v>0</v>
      </c>
      <c r="AB1669" s="5">
        <f t="shared" si="513"/>
        <v>6.3595670238355559</v>
      </c>
    </row>
    <row r="1670" spans="1:29" x14ac:dyDescent="0.25">
      <c r="D1670" t="s">
        <v>71</v>
      </c>
      <c r="E1670" s="64"/>
      <c r="F1670" s="64"/>
      <c r="G1670">
        <f>IFERROR(HLOOKUP(G$2,[52]table_female_hkom2_inj.U1!$A$1:$K$36,3,FALSE),0)</f>
        <v>14</v>
      </c>
      <c r="H1670">
        <f>IFERROR(HLOOKUP(H$2,[52]table_female_hkom2_inj.U1!$A$1:$K$36,3,FALSE),0)</f>
        <v>21</v>
      </c>
      <c r="I1670">
        <f>IFERROR(HLOOKUP(I$2,[52]table_female_hkom2_inj.U1!$A$1:$K$36,3,FALSE),0)</f>
        <v>11</v>
      </c>
      <c r="J1670">
        <f>IFERROR(HLOOKUP(J$2,[52]table_female_hkom2_inj.U1!$A$1:$K$36,3,FALSE),0)</f>
        <v>0</v>
      </c>
      <c r="K1670">
        <f>IFERROR(HLOOKUP(K$2,[52]table_female_hkom2_inj.U1!$A$1:$K$36,3,FALSE),0)</f>
        <v>0</v>
      </c>
      <c r="L1670">
        <f>IFERROR(HLOOKUP(L$2,[52]table_female_hkom2_inj.U1!$A$1:$K$36,3,FALSE),0)</f>
        <v>0</v>
      </c>
      <c r="M1670">
        <f t="shared" ref="M1670:M1702" si="525">SUM(E1670:L1670)</f>
        <v>46</v>
      </c>
      <c r="S1670" t="s">
        <v>71</v>
      </c>
      <c r="T1670" s="5">
        <f t="shared" ref="T1670:T1701" si="526">IF(SUM(E$1669:E$1701)=0,E$1702/33,E1670+IFERROR(E1670/SUM(E$1669:E$1701)*E$1702,0))</f>
        <v>0</v>
      </c>
      <c r="U1670" s="5">
        <f t="shared" ref="U1670:U1701" si="527">IF(SUM(F$1669:F$1701)=0,F$1702/33,F1670+IFERROR(F1670/SUM(F$1669:F$1701)*F$1702,0))</f>
        <v>0</v>
      </c>
      <c r="V1670" s="5">
        <f t="shared" ref="V1670:V1701" si="528">IF(SUM(G$1669:G$1701)=0,G$1702/33,G1670+IFERROR(G1670/SUM(G$1669:G$1701)*G$1702,0))</f>
        <v>14.741176470588236</v>
      </c>
      <c r="W1670" s="5">
        <f t="shared" ref="W1670:W1701" si="529">IF(SUM(H$1669:H$1701)=0,H$1702/33,H1670+IFERROR(H1670/SUM(H$1669:H$1701)*H$1702,0))</f>
        <v>22.405204460966544</v>
      </c>
      <c r="X1670" s="5">
        <f t="shared" ref="X1670:X1701" si="530">IF(SUM(I$1669:I$1701)=0,I$1702/33,I1670+IFERROR(I1670/SUM(I$1669:I$1701)*I$1702,0))</f>
        <v>11.445945945945946</v>
      </c>
      <c r="Y1670" s="5">
        <f t="shared" ref="Y1670:Y1701" si="531">IF(SUM(J$1669:J$1701)=0,J$1702/33,J1670+IFERROR(J1670/SUM(J$1669:J$1701)*J$1702,0))</f>
        <v>0</v>
      </c>
      <c r="Z1670" s="5">
        <f t="shared" ref="Z1670:Z1701" si="532">IF(SUM(K$1669:K$1701)=0,K$1702/33,K1670+IFERROR(K1670/SUM(K$1669:K$1701)*K$1702,0))</f>
        <v>0</v>
      </c>
      <c r="AA1670" s="5">
        <f t="shared" ref="AA1670:AA1701" si="533">IF(SUM(L$1669:L$1701)=0,L$1702/33,L1670+IFERROR(L1670/SUM(L$1669:L$1701)*L$1702,0))</f>
        <v>0</v>
      </c>
      <c r="AB1670" s="5">
        <f t="shared" si="513"/>
        <v>48.592326877500724</v>
      </c>
    </row>
    <row r="1671" spans="1:29" x14ac:dyDescent="0.25">
      <c r="D1671" t="s">
        <v>72</v>
      </c>
      <c r="E1671" s="64"/>
      <c r="F1671" s="64"/>
      <c r="G1671">
        <f>IFERROR(HLOOKUP(G$2,[52]table_female_hkom2_inj.U1!$A$1:$K$36,4,FALSE),0)</f>
        <v>2</v>
      </c>
      <c r="H1671">
        <f>IFERROR(HLOOKUP(H$2,[52]table_female_hkom2_inj.U1!$A$1:$K$36,4,FALSE),0)</f>
        <v>9</v>
      </c>
      <c r="I1671">
        <f>IFERROR(HLOOKUP(I$2,[52]table_female_hkom2_inj.U1!$A$1:$K$36,4,FALSE),0)</f>
        <v>7</v>
      </c>
      <c r="J1671">
        <f>IFERROR(HLOOKUP(J$2,[52]table_female_hkom2_inj.U1!$A$1:$K$36,4,FALSE),0)</f>
        <v>0</v>
      </c>
      <c r="K1671">
        <f>IFERROR(HLOOKUP(K$2,[52]table_female_hkom2_inj.U1!$A$1:$K$36,4,FALSE),0)</f>
        <v>0</v>
      </c>
      <c r="L1671">
        <f>IFERROR(HLOOKUP(L$2,[52]table_female_hkom2_inj.U1!$A$1:$K$36,4,FALSE),0)</f>
        <v>0</v>
      </c>
      <c r="M1671">
        <f t="shared" si="525"/>
        <v>18</v>
      </c>
      <c r="S1671" t="s">
        <v>72</v>
      </c>
      <c r="T1671" s="5">
        <f t="shared" si="526"/>
        <v>0</v>
      </c>
      <c r="U1671" s="5">
        <f t="shared" si="527"/>
        <v>0</v>
      </c>
      <c r="V1671" s="5">
        <f t="shared" si="528"/>
        <v>2.1058823529411765</v>
      </c>
      <c r="W1671" s="5">
        <f t="shared" si="529"/>
        <v>9.6022304832713754</v>
      </c>
      <c r="X1671" s="5">
        <f t="shared" si="530"/>
        <v>7.2837837837837842</v>
      </c>
      <c r="Y1671" s="5">
        <f t="shared" si="531"/>
        <v>0</v>
      </c>
      <c r="Z1671" s="5">
        <f t="shared" si="532"/>
        <v>0</v>
      </c>
      <c r="AA1671" s="5">
        <f t="shared" si="533"/>
        <v>0</v>
      </c>
      <c r="AB1671" s="5">
        <f t="shared" si="513"/>
        <v>18.991896619996336</v>
      </c>
    </row>
    <row r="1672" spans="1:29" x14ac:dyDescent="0.25">
      <c r="D1672" t="s">
        <v>73</v>
      </c>
      <c r="E1672" s="64"/>
      <c r="F1672" s="64"/>
      <c r="G1672">
        <f>IFERROR(HLOOKUP(G$2,[52]table_female_hkom2_inj.U1!$A$1:$K$36,5,FALSE),0)</f>
        <v>2</v>
      </c>
      <c r="H1672">
        <f>IFERROR(HLOOKUP(H$2,[52]table_female_hkom2_inj.U1!$A$1:$K$36,5,FALSE),0)</f>
        <v>3</v>
      </c>
      <c r="I1672">
        <f>IFERROR(HLOOKUP(I$2,[52]table_female_hkom2_inj.U1!$A$1:$K$36,5,FALSE),0)</f>
        <v>1</v>
      </c>
      <c r="J1672">
        <f>IFERROR(HLOOKUP(J$2,[52]table_female_hkom2_inj.U1!$A$1:$K$36,5,FALSE),0)</f>
        <v>0</v>
      </c>
      <c r="K1672">
        <f>IFERROR(HLOOKUP(K$2,[52]table_female_hkom2_inj.U1!$A$1:$K$36,5,FALSE),0)</f>
        <v>0</v>
      </c>
      <c r="L1672">
        <f>IFERROR(HLOOKUP(L$2,[52]table_female_hkom2_inj.U1!$A$1:$K$36,5,FALSE),0)</f>
        <v>0</v>
      </c>
      <c r="M1672">
        <f t="shared" si="525"/>
        <v>6</v>
      </c>
      <c r="S1672" t="s">
        <v>73</v>
      </c>
      <c r="T1672" s="5">
        <f t="shared" si="526"/>
        <v>0</v>
      </c>
      <c r="U1672" s="5">
        <f t="shared" si="527"/>
        <v>0</v>
      </c>
      <c r="V1672" s="5">
        <f t="shared" si="528"/>
        <v>2.1058823529411765</v>
      </c>
      <c r="W1672" s="5">
        <f t="shared" si="529"/>
        <v>3.2007434944237918</v>
      </c>
      <c r="X1672" s="5">
        <f t="shared" si="530"/>
        <v>1.0405405405405406</v>
      </c>
      <c r="Y1672" s="5">
        <f t="shared" si="531"/>
        <v>0</v>
      </c>
      <c r="Z1672" s="5">
        <f t="shared" si="532"/>
        <v>0</v>
      </c>
      <c r="AA1672" s="5">
        <f t="shared" si="533"/>
        <v>0</v>
      </c>
      <c r="AB1672" s="5">
        <f t="shared" si="513"/>
        <v>6.3471663879055082</v>
      </c>
    </row>
    <row r="1673" spans="1:29" x14ac:dyDescent="0.25">
      <c r="D1673" t="s">
        <v>74</v>
      </c>
      <c r="E1673" s="64"/>
      <c r="F1673" s="64"/>
      <c r="G1673">
        <f>IFERROR(HLOOKUP(G$2,[52]table_female_hkom2_inj.U1!$A$1:$K$36,6,FALSE),0)</f>
        <v>3</v>
      </c>
      <c r="H1673">
        <f>IFERROR(HLOOKUP(H$2,[52]table_female_hkom2_inj.U1!$A$1:$K$36,6,FALSE),0)</f>
        <v>5</v>
      </c>
      <c r="I1673">
        <f>IFERROR(HLOOKUP(I$2,[52]table_female_hkom2_inj.U1!$A$1:$K$36,6,FALSE),0)</f>
        <v>13</v>
      </c>
      <c r="J1673">
        <f>IFERROR(HLOOKUP(J$2,[52]table_female_hkom2_inj.U1!$A$1:$K$36,6,FALSE),0)</f>
        <v>0</v>
      </c>
      <c r="K1673">
        <f>IFERROR(HLOOKUP(K$2,[52]table_female_hkom2_inj.U1!$A$1:$K$36,6,FALSE),0)</f>
        <v>0</v>
      </c>
      <c r="L1673">
        <f>IFERROR(HLOOKUP(L$2,[52]table_female_hkom2_inj.U1!$A$1:$K$36,6,FALSE),0)</f>
        <v>0</v>
      </c>
      <c r="M1673">
        <f t="shared" si="525"/>
        <v>21</v>
      </c>
      <c r="S1673" t="s">
        <v>74</v>
      </c>
      <c r="T1673" s="5">
        <f t="shared" si="526"/>
        <v>0</v>
      </c>
      <c r="U1673" s="5">
        <f t="shared" si="527"/>
        <v>0</v>
      </c>
      <c r="V1673" s="5">
        <f t="shared" si="528"/>
        <v>3.1588235294117646</v>
      </c>
      <c r="W1673" s="5">
        <f t="shared" si="529"/>
        <v>5.3345724907063197</v>
      </c>
      <c r="X1673" s="5">
        <f t="shared" si="530"/>
        <v>13.527027027027026</v>
      </c>
      <c r="Y1673" s="5">
        <f t="shared" si="531"/>
        <v>0</v>
      </c>
      <c r="Z1673" s="5">
        <f t="shared" si="532"/>
        <v>0</v>
      </c>
      <c r="AA1673" s="5">
        <f t="shared" si="533"/>
        <v>0</v>
      </c>
      <c r="AB1673" s="5">
        <f t="shared" si="513"/>
        <v>22.020423047145108</v>
      </c>
    </row>
    <row r="1674" spans="1:29" x14ac:dyDescent="0.25">
      <c r="D1674" t="s">
        <v>75</v>
      </c>
      <c r="E1674" s="64"/>
      <c r="F1674" s="64"/>
      <c r="G1674">
        <f>IFERROR(HLOOKUP(G$2,[52]table_female_hkom2_inj.U1!$A$1:$K$36,7,FALSE),0)</f>
        <v>5</v>
      </c>
      <c r="H1674">
        <f>IFERROR(HLOOKUP(H$2,[52]table_female_hkom2_inj.U1!$A$1:$K$36,7,FALSE),0)</f>
        <v>8</v>
      </c>
      <c r="I1674">
        <f>IFERROR(HLOOKUP(I$2,[52]table_female_hkom2_inj.U1!$A$1:$K$36,7,FALSE),0)</f>
        <v>1</v>
      </c>
      <c r="J1674">
        <f>IFERROR(HLOOKUP(J$2,[52]table_female_hkom2_inj.U1!$A$1:$K$36,7,FALSE),0)</f>
        <v>0</v>
      </c>
      <c r="K1674">
        <f>IFERROR(HLOOKUP(K$2,[52]table_female_hkom2_inj.U1!$A$1:$K$36,7,FALSE),0)</f>
        <v>0</v>
      </c>
      <c r="L1674">
        <f>IFERROR(HLOOKUP(L$2,[52]table_female_hkom2_inj.U1!$A$1:$K$36,7,FALSE),0)</f>
        <v>0</v>
      </c>
      <c r="M1674">
        <f t="shared" si="525"/>
        <v>14</v>
      </c>
      <c r="S1674" t="s">
        <v>75</v>
      </c>
      <c r="T1674" s="5">
        <f t="shared" si="526"/>
        <v>0</v>
      </c>
      <c r="U1674" s="5">
        <f t="shared" si="527"/>
        <v>0</v>
      </c>
      <c r="V1674" s="5">
        <f t="shared" si="528"/>
        <v>5.2647058823529411</v>
      </c>
      <c r="W1674" s="5">
        <f t="shared" si="529"/>
        <v>8.5353159851301115</v>
      </c>
      <c r="X1674" s="5">
        <f t="shared" si="530"/>
        <v>1.0405405405405406</v>
      </c>
      <c r="Y1674" s="5">
        <f t="shared" si="531"/>
        <v>0</v>
      </c>
      <c r="Z1674" s="5">
        <f t="shared" si="532"/>
        <v>0</v>
      </c>
      <c r="AA1674" s="5">
        <f t="shared" si="533"/>
        <v>0</v>
      </c>
      <c r="AB1674" s="5">
        <f t="shared" si="513"/>
        <v>14.840562408023594</v>
      </c>
    </row>
    <row r="1675" spans="1:29" x14ac:dyDescent="0.25">
      <c r="D1675" t="s">
        <v>76</v>
      </c>
      <c r="E1675" s="64"/>
      <c r="F1675" s="64"/>
      <c r="G1675">
        <f>IFERROR(HLOOKUP(G$2,[52]table_female_hkom2_inj.U1!$A$1:$K$36,8,FALSE),0)</f>
        <v>14</v>
      </c>
      <c r="H1675">
        <f>IFERROR(HLOOKUP(H$2,[52]table_female_hkom2_inj.U1!$A$1:$K$36,8,FALSE),0)</f>
        <v>23</v>
      </c>
      <c r="I1675">
        <f>IFERROR(HLOOKUP(I$2,[52]table_female_hkom2_inj.U1!$A$1:$K$36,8,FALSE),0)</f>
        <v>11</v>
      </c>
      <c r="J1675">
        <f>IFERROR(HLOOKUP(J$2,[52]table_female_hkom2_inj.U1!$A$1:$K$36,8,FALSE),0)</f>
        <v>1</v>
      </c>
      <c r="K1675">
        <f>IFERROR(HLOOKUP(K$2,[52]table_female_hkom2_inj.U1!$A$1:$K$36,8,FALSE),0)</f>
        <v>0</v>
      </c>
      <c r="L1675">
        <f>IFERROR(HLOOKUP(L$2,[52]table_female_hkom2_inj.U1!$A$1:$K$36,8,FALSE),0)</f>
        <v>0</v>
      </c>
      <c r="M1675">
        <f t="shared" si="525"/>
        <v>49</v>
      </c>
      <c r="S1675" t="s">
        <v>76</v>
      </c>
      <c r="T1675" s="5">
        <f t="shared" si="526"/>
        <v>0</v>
      </c>
      <c r="U1675" s="5">
        <f t="shared" si="527"/>
        <v>0</v>
      </c>
      <c r="V1675" s="5">
        <f t="shared" si="528"/>
        <v>14.741176470588236</v>
      </c>
      <c r="W1675" s="5">
        <f t="shared" si="529"/>
        <v>24.539033457249069</v>
      </c>
      <c r="X1675" s="5">
        <f t="shared" si="530"/>
        <v>11.445945945945946</v>
      </c>
      <c r="Y1675" s="5">
        <f t="shared" si="531"/>
        <v>1.0833333333333333</v>
      </c>
      <c r="Z1675" s="5">
        <f t="shared" si="532"/>
        <v>0</v>
      </c>
      <c r="AA1675" s="5">
        <f t="shared" si="533"/>
        <v>0</v>
      </c>
      <c r="AB1675" s="5">
        <f t="shared" si="513"/>
        <v>51.809489207116584</v>
      </c>
    </row>
    <row r="1676" spans="1:29" x14ac:dyDescent="0.25">
      <c r="D1676" t="s">
        <v>77</v>
      </c>
      <c r="E1676" s="64"/>
      <c r="F1676" s="64"/>
      <c r="G1676">
        <f>IFERROR(HLOOKUP(G$2,[52]table_female_hkom2_inj.U1!$A$1:$K$36,9,FALSE),0)</f>
        <v>15</v>
      </c>
      <c r="H1676">
        <f>IFERROR(HLOOKUP(H$2,[52]table_female_hkom2_inj.U1!$A$1:$K$36,9,FALSE),0)</f>
        <v>29</v>
      </c>
      <c r="I1676">
        <f>IFERROR(HLOOKUP(I$2,[52]table_female_hkom2_inj.U1!$A$1:$K$36,9,FALSE),0)</f>
        <v>17</v>
      </c>
      <c r="J1676">
        <f>IFERROR(HLOOKUP(J$2,[52]table_female_hkom2_inj.U1!$A$1:$K$36,9,FALSE),0)</f>
        <v>2</v>
      </c>
      <c r="K1676">
        <f>IFERROR(HLOOKUP(K$2,[52]table_female_hkom2_inj.U1!$A$1:$K$36,9,FALSE),0)</f>
        <v>0</v>
      </c>
      <c r="L1676">
        <f>IFERROR(HLOOKUP(L$2,[52]table_female_hkom2_inj.U1!$A$1:$K$36,9,FALSE),0)</f>
        <v>0</v>
      </c>
      <c r="M1676">
        <f t="shared" si="525"/>
        <v>63</v>
      </c>
      <c r="S1676" t="s">
        <v>77</v>
      </c>
      <c r="T1676" s="5">
        <f t="shared" si="526"/>
        <v>0</v>
      </c>
      <c r="U1676" s="5">
        <f t="shared" si="527"/>
        <v>0</v>
      </c>
      <c r="V1676" s="5">
        <f t="shared" si="528"/>
        <v>15.794117647058824</v>
      </c>
      <c r="W1676" s="5">
        <f t="shared" si="529"/>
        <v>30.940520446096656</v>
      </c>
      <c r="X1676" s="5">
        <f t="shared" si="530"/>
        <v>17.689189189189189</v>
      </c>
      <c r="Y1676" s="5">
        <f t="shared" si="531"/>
        <v>2.1666666666666665</v>
      </c>
      <c r="Z1676" s="5">
        <f t="shared" si="532"/>
        <v>0</v>
      </c>
      <c r="AA1676" s="5">
        <f t="shared" si="533"/>
        <v>0</v>
      </c>
      <c r="AB1676" s="5">
        <f t="shared" si="513"/>
        <v>66.590493949011346</v>
      </c>
    </row>
    <row r="1677" spans="1:29" x14ac:dyDescent="0.25">
      <c r="D1677" t="s">
        <v>78</v>
      </c>
      <c r="E1677" s="64"/>
      <c r="F1677" s="64"/>
      <c r="G1677">
        <f>IFERROR(HLOOKUP(G$2,[52]table_female_hkom2_inj.U1!$A$1:$K$36,10,FALSE),0)</f>
        <v>8</v>
      </c>
      <c r="H1677">
        <f>IFERROR(HLOOKUP(H$2,[52]table_female_hkom2_inj.U1!$A$1:$K$36,10,FALSE),0)</f>
        <v>11</v>
      </c>
      <c r="I1677">
        <f>IFERROR(HLOOKUP(I$2,[52]table_female_hkom2_inj.U1!$A$1:$K$36,10,FALSE),0)</f>
        <v>8</v>
      </c>
      <c r="J1677">
        <f>IFERROR(HLOOKUP(J$2,[52]table_female_hkom2_inj.U1!$A$1:$K$36,10,FALSE),0)</f>
        <v>0</v>
      </c>
      <c r="K1677">
        <f>IFERROR(HLOOKUP(K$2,[52]table_female_hkom2_inj.U1!$A$1:$K$36,10,FALSE),0)</f>
        <v>0</v>
      </c>
      <c r="L1677">
        <f>IFERROR(HLOOKUP(L$2,[52]table_female_hkom2_inj.U1!$A$1:$K$36,10,FALSE),0)</f>
        <v>0</v>
      </c>
      <c r="M1677">
        <f t="shared" si="525"/>
        <v>27</v>
      </c>
      <c r="S1677" t="s">
        <v>78</v>
      </c>
      <c r="T1677" s="5">
        <f t="shared" si="526"/>
        <v>0</v>
      </c>
      <c r="U1677" s="5">
        <f t="shared" si="527"/>
        <v>0</v>
      </c>
      <c r="V1677" s="5">
        <f t="shared" si="528"/>
        <v>8.4235294117647062</v>
      </c>
      <c r="W1677" s="5">
        <f t="shared" si="529"/>
        <v>11.736059479553903</v>
      </c>
      <c r="X1677" s="5">
        <f t="shared" si="530"/>
        <v>8.3243243243243246</v>
      </c>
      <c r="Y1677" s="5">
        <f t="shared" si="531"/>
        <v>0</v>
      </c>
      <c r="Z1677" s="5">
        <f t="shared" si="532"/>
        <v>0</v>
      </c>
      <c r="AA1677" s="5">
        <f t="shared" si="533"/>
        <v>0</v>
      </c>
      <c r="AB1677" s="5">
        <f t="shared" si="513"/>
        <v>28.483913215642936</v>
      </c>
    </row>
    <row r="1678" spans="1:29" x14ac:dyDescent="0.25">
      <c r="D1678" t="s">
        <v>79</v>
      </c>
      <c r="E1678" s="64"/>
      <c r="F1678" s="64"/>
      <c r="G1678">
        <f>IFERROR(HLOOKUP(G$2,[52]table_female_hkom2_inj.U1!$A$1:$K$36,11,FALSE),0)</f>
        <v>11</v>
      </c>
      <c r="H1678">
        <f>IFERROR(HLOOKUP(H$2,[52]table_female_hkom2_inj.U1!$A$1:$K$36,11,FALSE),0)</f>
        <v>13</v>
      </c>
      <c r="I1678">
        <f>IFERROR(HLOOKUP(I$2,[52]table_female_hkom2_inj.U1!$A$1:$K$36,11,FALSE),0)</f>
        <v>11</v>
      </c>
      <c r="J1678">
        <f>IFERROR(HLOOKUP(J$2,[52]table_female_hkom2_inj.U1!$A$1:$K$36,11,FALSE),0)</f>
        <v>1</v>
      </c>
      <c r="K1678">
        <f>IFERROR(HLOOKUP(K$2,[52]table_female_hkom2_inj.U1!$A$1:$K$36,11,FALSE),0)</f>
        <v>0</v>
      </c>
      <c r="L1678">
        <f>IFERROR(HLOOKUP(L$2,[52]table_female_hkom2_inj.U1!$A$1:$K$36,11,FALSE),0)</f>
        <v>0</v>
      </c>
      <c r="M1678">
        <f t="shared" si="525"/>
        <v>36</v>
      </c>
      <c r="S1678" t="s">
        <v>79</v>
      </c>
      <c r="T1678" s="5">
        <f t="shared" si="526"/>
        <v>0</v>
      </c>
      <c r="U1678" s="5">
        <f t="shared" si="527"/>
        <v>0</v>
      </c>
      <c r="V1678" s="5">
        <f t="shared" si="528"/>
        <v>11.58235294117647</v>
      </c>
      <c r="W1678" s="5">
        <f t="shared" si="529"/>
        <v>13.869888475836431</v>
      </c>
      <c r="X1678" s="5">
        <f t="shared" si="530"/>
        <v>11.445945945945946</v>
      </c>
      <c r="Y1678" s="5">
        <f t="shared" si="531"/>
        <v>1.0833333333333333</v>
      </c>
      <c r="Z1678" s="5">
        <f t="shared" si="532"/>
        <v>0</v>
      </c>
      <c r="AA1678" s="5">
        <f t="shared" si="533"/>
        <v>0</v>
      </c>
      <c r="AB1678" s="5">
        <f t="shared" si="513"/>
        <v>37.981520696292179</v>
      </c>
    </row>
    <row r="1679" spans="1:29" x14ac:dyDescent="0.25">
      <c r="D1679" t="s">
        <v>80</v>
      </c>
      <c r="E1679" s="64"/>
      <c r="F1679" s="64"/>
      <c r="G1679">
        <f>IFERROR(HLOOKUP(G$2,[52]table_female_hkom2_inj.U1!$A$1:$K$36,12,FALSE),0)</f>
        <v>18</v>
      </c>
      <c r="H1679">
        <f>IFERROR(HLOOKUP(H$2,[52]table_female_hkom2_inj.U1!$A$1:$K$36,12,FALSE),0)</f>
        <v>29</v>
      </c>
      <c r="I1679">
        <f>IFERROR(HLOOKUP(I$2,[52]table_female_hkom2_inj.U1!$A$1:$K$36,12,FALSE),0)</f>
        <v>17</v>
      </c>
      <c r="J1679">
        <f>IFERROR(HLOOKUP(J$2,[52]table_female_hkom2_inj.U1!$A$1:$K$36,12,FALSE),0)</f>
        <v>2</v>
      </c>
      <c r="K1679">
        <f>IFERROR(HLOOKUP(K$2,[52]table_female_hkom2_inj.U1!$A$1:$K$36,12,FALSE),0)</f>
        <v>0</v>
      </c>
      <c r="L1679">
        <f>IFERROR(HLOOKUP(L$2,[52]table_female_hkom2_inj.U1!$A$1:$K$36,12,FALSE),0)</f>
        <v>0</v>
      </c>
      <c r="M1679">
        <f t="shared" si="525"/>
        <v>66</v>
      </c>
      <c r="S1679" t="s">
        <v>80</v>
      </c>
      <c r="T1679" s="5">
        <f t="shared" si="526"/>
        <v>0</v>
      </c>
      <c r="U1679" s="5">
        <f t="shared" si="527"/>
        <v>0</v>
      </c>
      <c r="V1679" s="5">
        <f t="shared" si="528"/>
        <v>18.952941176470588</v>
      </c>
      <c r="W1679" s="5">
        <f t="shared" si="529"/>
        <v>30.940520446096656</v>
      </c>
      <c r="X1679" s="5">
        <f t="shared" si="530"/>
        <v>17.689189189189189</v>
      </c>
      <c r="Y1679" s="5">
        <f t="shared" si="531"/>
        <v>2.1666666666666665</v>
      </c>
      <c r="Z1679" s="5">
        <f t="shared" si="532"/>
        <v>0</v>
      </c>
      <c r="AA1679" s="5">
        <f t="shared" si="533"/>
        <v>0</v>
      </c>
      <c r="AB1679" s="5">
        <f t="shared" si="513"/>
        <v>69.749317478423109</v>
      </c>
    </row>
    <row r="1680" spans="1:29" x14ac:dyDescent="0.25">
      <c r="D1680" t="s">
        <v>81</v>
      </c>
      <c r="E1680" s="64"/>
      <c r="F1680" s="64"/>
      <c r="G1680">
        <f>IFERROR(HLOOKUP(G$2,[52]table_female_hkom2_inj.U1!$A$1:$K$36,13,FALSE),0)</f>
        <v>2</v>
      </c>
      <c r="H1680">
        <f>IFERROR(HLOOKUP(H$2,[52]table_female_hkom2_inj.U1!$A$1:$K$36,13,FALSE),0)</f>
        <v>6</v>
      </c>
      <c r="I1680">
        <f>IFERROR(HLOOKUP(I$2,[52]table_female_hkom2_inj.U1!$A$1:$K$36,13,FALSE),0)</f>
        <v>3</v>
      </c>
      <c r="J1680">
        <f>IFERROR(HLOOKUP(J$2,[52]table_female_hkom2_inj.U1!$A$1:$K$36,13,FALSE),0)</f>
        <v>0</v>
      </c>
      <c r="K1680">
        <f>IFERROR(HLOOKUP(K$2,[52]table_female_hkom2_inj.U1!$A$1:$K$36,13,FALSE),0)</f>
        <v>0</v>
      </c>
      <c r="L1680">
        <f>IFERROR(HLOOKUP(L$2,[52]table_female_hkom2_inj.U1!$A$1:$K$36,13,FALSE),0)</f>
        <v>0</v>
      </c>
      <c r="M1680">
        <f t="shared" si="525"/>
        <v>11</v>
      </c>
      <c r="S1680" t="s">
        <v>81</v>
      </c>
      <c r="T1680" s="5">
        <f t="shared" si="526"/>
        <v>0</v>
      </c>
      <c r="U1680" s="5">
        <f t="shared" si="527"/>
        <v>0</v>
      </c>
      <c r="V1680" s="5">
        <f t="shared" si="528"/>
        <v>2.1058823529411765</v>
      </c>
      <c r="W1680" s="5">
        <f t="shared" si="529"/>
        <v>6.4014869888475836</v>
      </c>
      <c r="X1680" s="5">
        <f t="shared" si="530"/>
        <v>3.1216216216216215</v>
      </c>
      <c r="Y1680" s="5">
        <f t="shared" si="531"/>
        <v>0</v>
      </c>
      <c r="Z1680" s="5">
        <f t="shared" si="532"/>
        <v>0</v>
      </c>
      <c r="AA1680" s="5">
        <f t="shared" si="533"/>
        <v>0</v>
      </c>
      <c r="AB1680" s="5">
        <f t="shared" si="513"/>
        <v>11.628990963410381</v>
      </c>
    </row>
    <row r="1681" spans="4:28" x14ac:dyDescent="0.25">
      <c r="D1681" t="s">
        <v>82</v>
      </c>
      <c r="E1681" s="64"/>
      <c r="F1681" s="64"/>
      <c r="G1681">
        <f>IFERROR(HLOOKUP(G$2,[52]table_female_hkom2_inj.U1!$A$1:$K$36,14,FALSE),0)</f>
        <v>3</v>
      </c>
      <c r="H1681">
        <f>IFERROR(HLOOKUP(H$2,[52]table_female_hkom2_inj.U1!$A$1:$K$36,14,FALSE),0)</f>
        <v>11</v>
      </c>
      <c r="I1681">
        <f>IFERROR(HLOOKUP(I$2,[52]table_female_hkom2_inj.U1!$A$1:$K$36,14,FALSE),0)</f>
        <v>4</v>
      </c>
      <c r="J1681">
        <f>IFERROR(HLOOKUP(J$2,[52]table_female_hkom2_inj.U1!$A$1:$K$36,14,FALSE),0)</f>
        <v>1</v>
      </c>
      <c r="K1681">
        <f>IFERROR(HLOOKUP(K$2,[52]table_female_hkom2_inj.U1!$A$1:$K$36,14,FALSE),0)</f>
        <v>0</v>
      </c>
      <c r="L1681">
        <f>IFERROR(HLOOKUP(L$2,[52]table_female_hkom2_inj.U1!$A$1:$K$36,14,FALSE),0)</f>
        <v>0</v>
      </c>
      <c r="M1681">
        <f t="shared" si="525"/>
        <v>19</v>
      </c>
      <c r="S1681" t="s">
        <v>82</v>
      </c>
      <c r="T1681" s="5">
        <f t="shared" si="526"/>
        <v>0</v>
      </c>
      <c r="U1681" s="5">
        <f t="shared" si="527"/>
        <v>0</v>
      </c>
      <c r="V1681" s="5">
        <f t="shared" si="528"/>
        <v>3.1588235294117646</v>
      </c>
      <c r="W1681" s="5">
        <f t="shared" si="529"/>
        <v>11.736059479553903</v>
      </c>
      <c r="X1681" s="5">
        <f t="shared" si="530"/>
        <v>4.1621621621621623</v>
      </c>
      <c r="Y1681" s="5">
        <f t="shared" si="531"/>
        <v>1.0833333333333333</v>
      </c>
      <c r="Z1681" s="5">
        <f t="shared" si="532"/>
        <v>0</v>
      </c>
      <c r="AA1681" s="5">
        <f t="shared" si="533"/>
        <v>0</v>
      </c>
      <c r="AB1681" s="5">
        <f t="shared" si="513"/>
        <v>20.140378504461161</v>
      </c>
    </row>
    <row r="1682" spans="4:28" x14ac:dyDescent="0.25">
      <c r="D1682" t="s">
        <v>83</v>
      </c>
      <c r="E1682" s="64"/>
      <c r="F1682" s="64"/>
      <c r="G1682">
        <f>IFERROR(HLOOKUP(G$2,[52]table_female_hkom2_inj.U1!$A$1:$K$36,15,FALSE),0)</f>
        <v>2</v>
      </c>
      <c r="H1682">
        <f>IFERROR(HLOOKUP(H$2,[52]table_female_hkom2_inj.U1!$A$1:$K$36,15,FALSE),0)</f>
        <v>1</v>
      </c>
      <c r="I1682">
        <f>IFERROR(HLOOKUP(I$2,[52]table_female_hkom2_inj.U1!$A$1:$K$36,15,FALSE),0)</f>
        <v>1</v>
      </c>
      <c r="J1682">
        <f>IFERROR(HLOOKUP(J$2,[52]table_female_hkom2_inj.U1!$A$1:$K$36,15,FALSE),0)</f>
        <v>0</v>
      </c>
      <c r="K1682">
        <f>IFERROR(HLOOKUP(K$2,[52]table_female_hkom2_inj.U1!$A$1:$K$36,15,FALSE),0)</f>
        <v>0</v>
      </c>
      <c r="L1682">
        <f>IFERROR(HLOOKUP(L$2,[52]table_female_hkom2_inj.U1!$A$1:$K$36,15,FALSE),0)</f>
        <v>0</v>
      </c>
      <c r="M1682">
        <f t="shared" si="525"/>
        <v>4</v>
      </c>
      <c r="S1682" t="s">
        <v>83</v>
      </c>
      <c r="T1682" s="5">
        <f t="shared" si="526"/>
        <v>0</v>
      </c>
      <c r="U1682" s="5">
        <f t="shared" si="527"/>
        <v>0</v>
      </c>
      <c r="V1682" s="5">
        <f t="shared" si="528"/>
        <v>2.1058823529411765</v>
      </c>
      <c r="W1682" s="5">
        <f t="shared" si="529"/>
        <v>1.0669144981412639</v>
      </c>
      <c r="X1682" s="5">
        <f t="shared" si="530"/>
        <v>1.0405405405405406</v>
      </c>
      <c r="Y1682" s="5">
        <f t="shared" si="531"/>
        <v>0</v>
      </c>
      <c r="Z1682" s="5">
        <f t="shared" si="532"/>
        <v>0</v>
      </c>
      <c r="AA1682" s="5">
        <f t="shared" si="533"/>
        <v>0</v>
      </c>
      <c r="AB1682" s="5">
        <f t="shared" si="513"/>
        <v>4.2133373916229813</v>
      </c>
    </row>
    <row r="1683" spans="4:28" x14ac:dyDescent="0.25">
      <c r="D1683" t="s">
        <v>84</v>
      </c>
      <c r="E1683" s="64"/>
      <c r="F1683" s="64"/>
      <c r="G1683">
        <f>IFERROR(HLOOKUP(G$2,[52]table_female_hkom2_inj.U1!$A$1:$K$36,16,FALSE),0)</f>
        <v>2</v>
      </c>
      <c r="H1683">
        <f>IFERROR(HLOOKUP(H$2,[52]table_female_hkom2_inj.U1!$A$1:$K$36,16,FALSE),0)</f>
        <v>2</v>
      </c>
      <c r="I1683">
        <f>IFERROR(HLOOKUP(I$2,[52]table_female_hkom2_inj.U1!$A$1:$K$36,16,FALSE),0)</f>
        <v>2</v>
      </c>
      <c r="J1683">
        <f>IFERROR(HLOOKUP(J$2,[52]table_female_hkom2_inj.U1!$A$1:$K$36,16,FALSE),0)</f>
        <v>0</v>
      </c>
      <c r="K1683">
        <f>IFERROR(HLOOKUP(K$2,[52]table_female_hkom2_inj.U1!$A$1:$K$36,16,FALSE),0)</f>
        <v>0</v>
      </c>
      <c r="L1683">
        <f>IFERROR(HLOOKUP(L$2,[52]table_female_hkom2_inj.U1!$A$1:$K$36,16,FALSE),0)</f>
        <v>0</v>
      </c>
      <c r="M1683">
        <f t="shared" si="525"/>
        <v>6</v>
      </c>
      <c r="S1683" t="s">
        <v>84</v>
      </c>
      <c r="T1683" s="5">
        <f t="shared" si="526"/>
        <v>0</v>
      </c>
      <c r="U1683" s="5">
        <f t="shared" si="527"/>
        <v>0</v>
      </c>
      <c r="V1683" s="5">
        <f t="shared" si="528"/>
        <v>2.1058823529411765</v>
      </c>
      <c r="W1683" s="5">
        <f t="shared" si="529"/>
        <v>2.1338289962825279</v>
      </c>
      <c r="X1683" s="5">
        <f t="shared" si="530"/>
        <v>2.0810810810810811</v>
      </c>
      <c r="Y1683" s="5">
        <f t="shared" si="531"/>
        <v>0</v>
      </c>
      <c r="Z1683" s="5">
        <f t="shared" si="532"/>
        <v>0</v>
      </c>
      <c r="AA1683" s="5">
        <f t="shared" si="533"/>
        <v>0</v>
      </c>
      <c r="AB1683" s="5">
        <f t="shared" si="513"/>
        <v>6.3207924303047847</v>
      </c>
    </row>
    <row r="1684" spans="4:28" x14ac:dyDescent="0.25">
      <c r="D1684" t="s">
        <v>85</v>
      </c>
      <c r="E1684" s="64"/>
      <c r="F1684" s="64"/>
      <c r="G1684">
        <f>IFERROR(HLOOKUP(G$2,[52]table_female_hkom2_inj.U1!$A$1:$K$36,17,FALSE),0)</f>
        <v>3</v>
      </c>
      <c r="H1684">
        <f>IFERROR(HLOOKUP(H$2,[52]table_female_hkom2_inj.U1!$A$1:$K$36,17,FALSE),0)</f>
        <v>3</v>
      </c>
      <c r="I1684">
        <f>IFERROR(HLOOKUP(I$2,[52]table_female_hkom2_inj.U1!$A$1:$K$36,17,FALSE),0)</f>
        <v>2</v>
      </c>
      <c r="J1684">
        <f>IFERROR(HLOOKUP(J$2,[52]table_female_hkom2_inj.U1!$A$1:$K$36,17,FALSE),0)</f>
        <v>0</v>
      </c>
      <c r="K1684">
        <f>IFERROR(HLOOKUP(K$2,[52]table_female_hkom2_inj.U1!$A$1:$K$36,17,FALSE),0)</f>
        <v>0</v>
      </c>
      <c r="L1684">
        <f>IFERROR(HLOOKUP(L$2,[52]table_female_hkom2_inj.U1!$A$1:$K$36,17,FALSE),0)</f>
        <v>0</v>
      </c>
      <c r="M1684">
        <f t="shared" si="525"/>
        <v>8</v>
      </c>
      <c r="S1684" t="s">
        <v>85</v>
      </c>
      <c r="T1684" s="5">
        <f t="shared" si="526"/>
        <v>0</v>
      </c>
      <c r="U1684" s="5">
        <f t="shared" si="527"/>
        <v>0</v>
      </c>
      <c r="V1684" s="5">
        <f t="shared" si="528"/>
        <v>3.1588235294117646</v>
      </c>
      <c r="W1684" s="5">
        <f t="shared" si="529"/>
        <v>3.2007434944237918</v>
      </c>
      <c r="X1684" s="5">
        <f t="shared" si="530"/>
        <v>2.0810810810810811</v>
      </c>
      <c r="Y1684" s="5">
        <f t="shared" si="531"/>
        <v>0</v>
      </c>
      <c r="Z1684" s="5">
        <f t="shared" si="532"/>
        <v>0</v>
      </c>
      <c r="AA1684" s="5">
        <f t="shared" si="533"/>
        <v>0</v>
      </c>
      <c r="AB1684" s="5">
        <f t="shared" ref="AB1684:AB1747" si="534">SUM(T1684:AA1684)</f>
        <v>8.4406481049166366</v>
      </c>
    </row>
    <row r="1685" spans="4:28" x14ac:dyDescent="0.25">
      <c r="D1685" t="s">
        <v>86</v>
      </c>
      <c r="E1685" s="64"/>
      <c r="F1685" s="64"/>
      <c r="G1685">
        <f>IFERROR(HLOOKUP(G$2,[52]table_female_hkom2_inj.U1!$A$1:$K$36,18,FALSE),0)</f>
        <v>39</v>
      </c>
      <c r="H1685">
        <f>IFERROR(HLOOKUP(H$2,[52]table_female_hkom2_inj.U1!$A$1:$K$36,18,FALSE),0)</f>
        <v>59</v>
      </c>
      <c r="I1685">
        <f>IFERROR(HLOOKUP(I$2,[52]table_female_hkom2_inj.U1!$A$1:$K$36,18,FALSE),0)</f>
        <v>27</v>
      </c>
      <c r="J1685">
        <f>IFERROR(HLOOKUP(J$2,[52]table_female_hkom2_inj.U1!$A$1:$K$36,18,FALSE),0)</f>
        <v>4</v>
      </c>
      <c r="K1685">
        <f>IFERROR(HLOOKUP(K$2,[52]table_female_hkom2_inj.U1!$A$1:$K$36,18,FALSE),0)</f>
        <v>0</v>
      </c>
      <c r="L1685">
        <f>IFERROR(HLOOKUP(L$2,[52]table_female_hkom2_inj.U1!$A$1:$K$36,18,FALSE),0)</f>
        <v>0</v>
      </c>
      <c r="M1685">
        <f t="shared" si="525"/>
        <v>129</v>
      </c>
      <c r="S1685" t="s">
        <v>86</v>
      </c>
      <c r="T1685" s="5">
        <f t="shared" si="526"/>
        <v>0</v>
      </c>
      <c r="U1685" s="5">
        <f t="shared" si="527"/>
        <v>0</v>
      </c>
      <c r="V1685" s="5">
        <f t="shared" si="528"/>
        <v>41.064705882352939</v>
      </c>
      <c r="W1685" s="5">
        <f t="shared" si="529"/>
        <v>62.94795539033457</v>
      </c>
      <c r="X1685" s="5">
        <f t="shared" si="530"/>
        <v>28.094594594594593</v>
      </c>
      <c r="Y1685" s="5">
        <f t="shared" si="531"/>
        <v>4.333333333333333</v>
      </c>
      <c r="Z1685" s="5">
        <f t="shared" si="532"/>
        <v>0</v>
      </c>
      <c r="AA1685" s="5">
        <f t="shared" si="533"/>
        <v>0</v>
      </c>
      <c r="AB1685" s="5">
        <f t="shared" si="534"/>
        <v>136.44058920061545</v>
      </c>
    </row>
    <row r="1686" spans="4:28" x14ac:dyDescent="0.25">
      <c r="D1686" t="s">
        <v>87</v>
      </c>
      <c r="E1686" s="64"/>
      <c r="F1686" s="64"/>
      <c r="G1686">
        <f>IFERROR(HLOOKUP(G$2,[52]table_female_hkom2_inj.U1!$A$1:$K$36,19,FALSE),0)</f>
        <v>8</v>
      </c>
      <c r="H1686">
        <f>IFERROR(HLOOKUP(H$2,[52]table_female_hkom2_inj.U1!$A$1:$K$36,19,FALSE),0)</f>
        <v>5</v>
      </c>
      <c r="I1686">
        <f>IFERROR(HLOOKUP(I$2,[52]table_female_hkom2_inj.U1!$A$1:$K$36,19,FALSE),0)</f>
        <v>3</v>
      </c>
      <c r="J1686">
        <f>IFERROR(HLOOKUP(J$2,[52]table_female_hkom2_inj.U1!$A$1:$K$36,19,FALSE),0)</f>
        <v>0</v>
      </c>
      <c r="K1686">
        <f>IFERROR(HLOOKUP(K$2,[52]table_female_hkom2_inj.U1!$A$1:$K$36,19,FALSE),0)</f>
        <v>0</v>
      </c>
      <c r="L1686">
        <f>IFERROR(HLOOKUP(L$2,[52]table_female_hkom2_inj.U1!$A$1:$K$36,19,FALSE),0)</f>
        <v>0</v>
      </c>
      <c r="M1686">
        <f t="shared" si="525"/>
        <v>16</v>
      </c>
      <c r="S1686" t="s">
        <v>87</v>
      </c>
      <c r="T1686" s="5">
        <f t="shared" si="526"/>
        <v>0</v>
      </c>
      <c r="U1686" s="5">
        <f t="shared" si="527"/>
        <v>0</v>
      </c>
      <c r="V1686" s="5">
        <f t="shared" si="528"/>
        <v>8.4235294117647062</v>
      </c>
      <c r="W1686" s="5">
        <f t="shared" si="529"/>
        <v>5.3345724907063197</v>
      </c>
      <c r="X1686" s="5">
        <f t="shared" si="530"/>
        <v>3.1216216216216215</v>
      </c>
      <c r="Y1686" s="5">
        <f t="shared" si="531"/>
        <v>0</v>
      </c>
      <c r="Z1686" s="5">
        <f t="shared" si="532"/>
        <v>0</v>
      </c>
      <c r="AA1686" s="5">
        <f t="shared" si="533"/>
        <v>0</v>
      </c>
      <c r="AB1686" s="5">
        <f t="shared" si="534"/>
        <v>16.879723524092647</v>
      </c>
    </row>
    <row r="1687" spans="4:28" x14ac:dyDescent="0.25">
      <c r="D1687" t="s">
        <v>88</v>
      </c>
      <c r="E1687" s="64"/>
      <c r="F1687" s="64"/>
      <c r="G1687">
        <f>IFERROR(HLOOKUP(G$2,[52]table_female_hkom2_inj.U1!$A$1:$K$36,20,FALSE),0)</f>
        <v>8</v>
      </c>
      <c r="H1687">
        <f>IFERROR(HLOOKUP(H$2,[52]table_female_hkom2_inj.U1!$A$1:$K$36,20,FALSE),0)</f>
        <v>16</v>
      </c>
      <c r="I1687">
        <f>IFERROR(HLOOKUP(I$2,[52]table_female_hkom2_inj.U1!$A$1:$K$36,20,FALSE),0)</f>
        <v>4</v>
      </c>
      <c r="J1687">
        <f>IFERROR(HLOOKUP(J$2,[52]table_female_hkom2_inj.U1!$A$1:$K$36,20,FALSE),0)</f>
        <v>1</v>
      </c>
      <c r="K1687">
        <f>IFERROR(HLOOKUP(K$2,[52]table_female_hkom2_inj.U1!$A$1:$K$36,20,FALSE),0)</f>
        <v>0</v>
      </c>
      <c r="L1687">
        <f>IFERROR(HLOOKUP(L$2,[52]table_female_hkom2_inj.U1!$A$1:$K$36,20,FALSE),0)</f>
        <v>0</v>
      </c>
      <c r="M1687">
        <f t="shared" si="525"/>
        <v>29</v>
      </c>
      <c r="S1687" t="s">
        <v>88</v>
      </c>
      <c r="T1687" s="5">
        <f t="shared" si="526"/>
        <v>0</v>
      </c>
      <c r="U1687" s="5">
        <f t="shared" si="527"/>
        <v>0</v>
      </c>
      <c r="V1687" s="5">
        <f t="shared" si="528"/>
        <v>8.4235294117647062</v>
      </c>
      <c r="W1687" s="5">
        <f t="shared" si="529"/>
        <v>17.070631970260223</v>
      </c>
      <c r="X1687" s="5">
        <f t="shared" si="530"/>
        <v>4.1621621621621623</v>
      </c>
      <c r="Y1687" s="5">
        <f t="shared" si="531"/>
        <v>1.0833333333333333</v>
      </c>
      <c r="Z1687" s="5">
        <f t="shared" si="532"/>
        <v>0</v>
      </c>
      <c r="AA1687" s="5">
        <f t="shared" si="533"/>
        <v>0</v>
      </c>
      <c r="AB1687" s="5">
        <f t="shared" si="534"/>
        <v>30.739656877520421</v>
      </c>
    </row>
    <row r="1688" spans="4:28" x14ac:dyDescent="0.25">
      <c r="D1688" t="s">
        <v>89</v>
      </c>
      <c r="E1688" s="64"/>
      <c r="F1688" s="64"/>
      <c r="G1688">
        <f>IFERROR(HLOOKUP(G$2,[52]table_female_hkom2_inj.U1!$A$1:$K$36,21,FALSE),0)</f>
        <v>0</v>
      </c>
      <c r="H1688">
        <f>IFERROR(HLOOKUP(H$2,[52]table_female_hkom2_inj.U1!$A$1:$K$36,21,FALSE),0)</f>
        <v>1</v>
      </c>
      <c r="I1688">
        <f>IFERROR(HLOOKUP(I$2,[52]table_female_hkom2_inj.U1!$A$1:$K$36,21,FALSE),0)</f>
        <v>1</v>
      </c>
      <c r="J1688">
        <f>IFERROR(HLOOKUP(J$2,[52]table_female_hkom2_inj.U1!$A$1:$K$36,21,FALSE),0)</f>
        <v>0</v>
      </c>
      <c r="K1688">
        <f>IFERROR(HLOOKUP(K$2,[52]table_female_hkom2_inj.U1!$A$1:$K$36,21,FALSE),0)</f>
        <v>0</v>
      </c>
      <c r="L1688">
        <f>IFERROR(HLOOKUP(L$2,[52]table_female_hkom2_inj.U1!$A$1:$K$36,21,FALSE),0)</f>
        <v>0</v>
      </c>
      <c r="M1688">
        <f t="shared" si="525"/>
        <v>2</v>
      </c>
      <c r="S1688" t="s">
        <v>89</v>
      </c>
      <c r="T1688" s="5">
        <f t="shared" si="526"/>
        <v>0</v>
      </c>
      <c r="U1688" s="5">
        <f t="shared" si="527"/>
        <v>0</v>
      </c>
      <c r="V1688" s="5">
        <f t="shared" si="528"/>
        <v>0</v>
      </c>
      <c r="W1688" s="5">
        <f t="shared" si="529"/>
        <v>1.0669144981412639</v>
      </c>
      <c r="X1688" s="5">
        <f t="shared" si="530"/>
        <v>1.0405405405405406</v>
      </c>
      <c r="Y1688" s="5">
        <f t="shared" si="531"/>
        <v>0</v>
      </c>
      <c r="Z1688" s="5">
        <f t="shared" si="532"/>
        <v>0</v>
      </c>
      <c r="AA1688" s="5">
        <f t="shared" si="533"/>
        <v>0</v>
      </c>
      <c r="AB1688" s="5">
        <f t="shared" si="534"/>
        <v>2.1074550386818043</v>
      </c>
    </row>
    <row r="1689" spans="4:28" x14ac:dyDescent="0.25">
      <c r="D1689" t="s">
        <v>90</v>
      </c>
      <c r="E1689" s="64"/>
      <c r="F1689" s="64"/>
      <c r="G1689">
        <f>IFERROR(HLOOKUP(G$2,[52]table_female_hkom2_inj.U1!$A$1:$K$36,22,FALSE),0)</f>
        <v>0</v>
      </c>
      <c r="H1689">
        <f>IFERROR(HLOOKUP(H$2,[52]table_female_hkom2_inj.U1!$A$1:$K$36,22,FALSE),0)</f>
        <v>1</v>
      </c>
      <c r="I1689">
        <f>IFERROR(HLOOKUP(I$2,[52]table_female_hkom2_inj.U1!$A$1:$K$36,22,FALSE),0)</f>
        <v>0</v>
      </c>
      <c r="J1689">
        <f>IFERROR(HLOOKUP(J$2,[52]table_female_hkom2_inj.U1!$A$1:$K$36,22,FALSE),0)</f>
        <v>0</v>
      </c>
      <c r="K1689">
        <f>IFERROR(HLOOKUP(K$2,[52]table_female_hkom2_inj.U1!$A$1:$K$36,22,FALSE),0)</f>
        <v>0</v>
      </c>
      <c r="L1689">
        <f>IFERROR(HLOOKUP(L$2,[52]table_female_hkom2_inj.U1!$A$1:$K$36,22,FALSE),0)</f>
        <v>0</v>
      </c>
      <c r="M1689">
        <f t="shared" si="525"/>
        <v>1</v>
      </c>
      <c r="S1689" t="s">
        <v>90</v>
      </c>
      <c r="T1689" s="5">
        <f t="shared" si="526"/>
        <v>0</v>
      </c>
      <c r="U1689" s="5">
        <f t="shared" si="527"/>
        <v>0</v>
      </c>
      <c r="V1689" s="5">
        <f t="shared" si="528"/>
        <v>0</v>
      </c>
      <c r="W1689" s="5">
        <f t="shared" si="529"/>
        <v>1.0669144981412639</v>
      </c>
      <c r="X1689" s="5">
        <f t="shared" si="530"/>
        <v>0</v>
      </c>
      <c r="Y1689" s="5">
        <f t="shared" si="531"/>
        <v>0</v>
      </c>
      <c r="Z1689" s="5">
        <f t="shared" si="532"/>
        <v>0</v>
      </c>
      <c r="AA1689" s="5">
        <f t="shared" si="533"/>
        <v>0</v>
      </c>
      <c r="AB1689" s="5">
        <f t="shared" si="534"/>
        <v>1.0669144981412639</v>
      </c>
    </row>
    <row r="1690" spans="4:28" x14ac:dyDescent="0.25">
      <c r="D1690" t="s">
        <v>91</v>
      </c>
      <c r="E1690" s="64"/>
      <c r="F1690" s="64"/>
      <c r="G1690">
        <f>IFERROR(HLOOKUP(G$2,[52]table_female_hkom2_inj.U1!$A$1:$K$36,23,FALSE),0)</f>
        <v>0</v>
      </c>
      <c r="H1690">
        <f>IFERROR(HLOOKUP(H$2,[52]table_female_hkom2_inj.U1!$A$1:$K$36,23,FALSE),0)</f>
        <v>0</v>
      </c>
      <c r="I1690">
        <f>IFERROR(HLOOKUP(I$2,[52]table_female_hkom2_inj.U1!$A$1:$K$36,23,FALSE),0)</f>
        <v>0</v>
      </c>
      <c r="J1690">
        <f>IFERROR(HLOOKUP(J$2,[52]table_female_hkom2_inj.U1!$A$1:$K$36,23,FALSE),0)</f>
        <v>0</v>
      </c>
      <c r="K1690">
        <f>IFERROR(HLOOKUP(K$2,[52]table_female_hkom2_inj.U1!$A$1:$K$36,23,FALSE),0)</f>
        <v>0</v>
      </c>
      <c r="L1690">
        <f>IFERROR(HLOOKUP(L$2,[52]table_female_hkom2_inj.U1!$A$1:$K$36,23,FALSE),0)</f>
        <v>0</v>
      </c>
      <c r="M1690">
        <f t="shared" si="525"/>
        <v>0</v>
      </c>
      <c r="S1690" t="s">
        <v>91</v>
      </c>
      <c r="T1690" s="5">
        <f t="shared" si="526"/>
        <v>0</v>
      </c>
      <c r="U1690" s="5">
        <f t="shared" si="527"/>
        <v>0</v>
      </c>
      <c r="V1690" s="5">
        <f t="shared" si="528"/>
        <v>0</v>
      </c>
      <c r="W1690" s="5">
        <f t="shared" si="529"/>
        <v>0</v>
      </c>
      <c r="X1690" s="5">
        <f t="shared" si="530"/>
        <v>0</v>
      </c>
      <c r="Y1690" s="5">
        <f t="shared" si="531"/>
        <v>0</v>
      </c>
      <c r="Z1690" s="5">
        <f t="shared" si="532"/>
        <v>0</v>
      </c>
      <c r="AA1690" s="5">
        <f t="shared" si="533"/>
        <v>0</v>
      </c>
      <c r="AB1690" s="5">
        <f t="shared" si="534"/>
        <v>0</v>
      </c>
    </row>
    <row r="1691" spans="4:28" x14ac:dyDescent="0.25">
      <c r="D1691" t="s">
        <v>92</v>
      </c>
      <c r="E1691" s="64"/>
      <c r="F1691" s="64"/>
      <c r="G1691">
        <f>IFERROR(HLOOKUP(G$2,[52]table_female_hkom2_inj.U1!$A$1:$K$36,24,FALSE),0)</f>
        <v>0</v>
      </c>
      <c r="H1691">
        <f>IFERROR(HLOOKUP(H$2,[52]table_female_hkom2_inj.U1!$A$1:$K$36,24,FALSE),0)</f>
        <v>0</v>
      </c>
      <c r="I1691">
        <f>IFERROR(HLOOKUP(I$2,[52]table_female_hkom2_inj.U1!$A$1:$K$36,24,FALSE),0)</f>
        <v>0</v>
      </c>
      <c r="J1691">
        <f>IFERROR(HLOOKUP(J$2,[52]table_female_hkom2_inj.U1!$A$1:$K$36,24,FALSE),0)</f>
        <v>0</v>
      </c>
      <c r="K1691">
        <f>IFERROR(HLOOKUP(K$2,[52]table_female_hkom2_inj.U1!$A$1:$K$36,24,FALSE),0)</f>
        <v>0</v>
      </c>
      <c r="L1691">
        <f>IFERROR(HLOOKUP(L$2,[52]table_female_hkom2_inj.U1!$A$1:$K$36,24,FALSE),0)</f>
        <v>0</v>
      </c>
      <c r="M1691">
        <f t="shared" si="525"/>
        <v>0</v>
      </c>
      <c r="S1691" t="s">
        <v>92</v>
      </c>
      <c r="T1691" s="5">
        <f t="shared" si="526"/>
        <v>0</v>
      </c>
      <c r="U1691" s="5">
        <f t="shared" si="527"/>
        <v>0</v>
      </c>
      <c r="V1691" s="5">
        <f t="shared" si="528"/>
        <v>0</v>
      </c>
      <c r="W1691" s="5">
        <f t="shared" si="529"/>
        <v>0</v>
      </c>
      <c r="X1691" s="5">
        <f t="shared" si="530"/>
        <v>0</v>
      </c>
      <c r="Y1691" s="5">
        <f t="shared" si="531"/>
        <v>0</v>
      </c>
      <c r="Z1691" s="5">
        <f t="shared" si="532"/>
        <v>0</v>
      </c>
      <c r="AA1691" s="5">
        <f t="shared" si="533"/>
        <v>0</v>
      </c>
      <c r="AB1691" s="5">
        <f t="shared" si="534"/>
        <v>0</v>
      </c>
    </row>
    <row r="1692" spans="4:28" x14ac:dyDescent="0.25">
      <c r="D1692" t="s">
        <v>93</v>
      </c>
      <c r="E1692" s="64"/>
      <c r="F1692" s="64"/>
      <c r="G1692">
        <f>IFERROR(HLOOKUP(G$2,[52]table_female_hkom2_inj.U1!$A$1:$K$36,25,FALSE),0)</f>
        <v>0</v>
      </c>
      <c r="H1692">
        <f>IFERROR(HLOOKUP(H$2,[52]table_female_hkom2_inj.U1!$A$1:$K$36,25,FALSE),0)</f>
        <v>0</v>
      </c>
      <c r="I1692">
        <f>IFERROR(HLOOKUP(I$2,[52]table_female_hkom2_inj.U1!$A$1:$K$36,25,FALSE),0)</f>
        <v>0</v>
      </c>
      <c r="J1692">
        <f>IFERROR(HLOOKUP(J$2,[52]table_female_hkom2_inj.U1!$A$1:$K$36,25,FALSE),0)</f>
        <v>0</v>
      </c>
      <c r="K1692">
        <f>IFERROR(HLOOKUP(K$2,[52]table_female_hkom2_inj.U1!$A$1:$K$36,25,FALSE),0)</f>
        <v>0</v>
      </c>
      <c r="L1692">
        <f>IFERROR(HLOOKUP(L$2,[52]table_female_hkom2_inj.U1!$A$1:$K$36,25,FALSE),0)</f>
        <v>0</v>
      </c>
      <c r="M1692">
        <f t="shared" si="525"/>
        <v>0</v>
      </c>
      <c r="S1692" t="s">
        <v>93</v>
      </c>
      <c r="T1692" s="5">
        <f t="shared" si="526"/>
        <v>0</v>
      </c>
      <c r="U1692" s="5">
        <f t="shared" si="527"/>
        <v>0</v>
      </c>
      <c r="V1692" s="5">
        <f t="shared" si="528"/>
        <v>0</v>
      </c>
      <c r="W1692" s="5">
        <f t="shared" si="529"/>
        <v>0</v>
      </c>
      <c r="X1692" s="5">
        <f t="shared" si="530"/>
        <v>0</v>
      </c>
      <c r="Y1692" s="5">
        <f t="shared" si="531"/>
        <v>0</v>
      </c>
      <c r="Z1692" s="5">
        <f t="shared" si="532"/>
        <v>0</v>
      </c>
      <c r="AA1692" s="5">
        <f t="shared" si="533"/>
        <v>0</v>
      </c>
      <c r="AB1692" s="5">
        <f t="shared" si="534"/>
        <v>0</v>
      </c>
    </row>
    <row r="1693" spans="4:28" x14ac:dyDescent="0.25">
      <c r="D1693" t="s">
        <v>94</v>
      </c>
      <c r="E1693" s="64"/>
      <c r="F1693" s="64"/>
      <c r="G1693">
        <f>IFERROR(HLOOKUP(G$2,[52]table_female_hkom2_inj.U1!$A$1:$K$36,26,FALSE),0)</f>
        <v>0</v>
      </c>
      <c r="H1693">
        <f>IFERROR(HLOOKUP(H$2,[52]table_female_hkom2_inj.U1!$A$1:$K$36,26,FALSE),0)</f>
        <v>0</v>
      </c>
      <c r="I1693">
        <f>IFERROR(HLOOKUP(I$2,[52]table_female_hkom2_inj.U1!$A$1:$K$36,26,FALSE),0)</f>
        <v>0</v>
      </c>
      <c r="J1693">
        <f>IFERROR(HLOOKUP(J$2,[52]table_female_hkom2_inj.U1!$A$1:$K$36,26,FALSE),0)</f>
        <v>0</v>
      </c>
      <c r="K1693">
        <f>IFERROR(HLOOKUP(K$2,[52]table_female_hkom2_inj.U1!$A$1:$K$36,26,FALSE),0)</f>
        <v>0</v>
      </c>
      <c r="L1693">
        <f>IFERROR(HLOOKUP(L$2,[52]table_female_hkom2_inj.U1!$A$1:$K$36,26,FALSE),0)</f>
        <v>0</v>
      </c>
      <c r="M1693">
        <f t="shared" si="525"/>
        <v>0</v>
      </c>
      <c r="S1693" t="s">
        <v>94</v>
      </c>
      <c r="T1693" s="5">
        <f t="shared" si="526"/>
        <v>0</v>
      </c>
      <c r="U1693" s="5">
        <f t="shared" si="527"/>
        <v>0</v>
      </c>
      <c r="V1693" s="5">
        <f t="shared" si="528"/>
        <v>0</v>
      </c>
      <c r="W1693" s="5">
        <f t="shared" si="529"/>
        <v>0</v>
      </c>
      <c r="X1693" s="5">
        <f t="shared" si="530"/>
        <v>0</v>
      </c>
      <c r="Y1693" s="5">
        <f t="shared" si="531"/>
        <v>0</v>
      </c>
      <c r="Z1693" s="5">
        <f t="shared" si="532"/>
        <v>0</v>
      </c>
      <c r="AA1693" s="5">
        <f t="shared" si="533"/>
        <v>0</v>
      </c>
      <c r="AB1693" s="5">
        <f t="shared" si="534"/>
        <v>0</v>
      </c>
    </row>
    <row r="1694" spans="4:28" x14ac:dyDescent="0.25">
      <c r="D1694" t="s">
        <v>95</v>
      </c>
      <c r="E1694" s="64"/>
      <c r="F1694" s="64"/>
      <c r="G1694">
        <f>IFERROR(HLOOKUP(G$2,[52]table_female_hkom2_inj.U1!$A$1:$K$36,27,FALSE),0)</f>
        <v>0</v>
      </c>
      <c r="H1694">
        <f>IFERROR(HLOOKUP(H$2,[52]table_female_hkom2_inj.U1!$A$1:$K$36,27,FALSE),0)</f>
        <v>0</v>
      </c>
      <c r="I1694">
        <f>IFERROR(HLOOKUP(I$2,[52]table_female_hkom2_inj.U1!$A$1:$K$36,27,FALSE),0)</f>
        <v>0</v>
      </c>
      <c r="J1694">
        <f>IFERROR(HLOOKUP(J$2,[52]table_female_hkom2_inj.U1!$A$1:$K$36,27,FALSE),0)</f>
        <v>0</v>
      </c>
      <c r="K1694">
        <f>IFERROR(HLOOKUP(K$2,[52]table_female_hkom2_inj.U1!$A$1:$K$36,27,FALSE),0)</f>
        <v>0</v>
      </c>
      <c r="L1694">
        <f>IFERROR(HLOOKUP(L$2,[52]table_female_hkom2_inj.U1!$A$1:$K$36,27,FALSE),0)</f>
        <v>0</v>
      </c>
      <c r="M1694">
        <f t="shared" si="525"/>
        <v>0</v>
      </c>
      <c r="S1694" t="s">
        <v>95</v>
      </c>
      <c r="T1694" s="5">
        <f t="shared" si="526"/>
        <v>0</v>
      </c>
      <c r="U1694" s="5">
        <f t="shared" si="527"/>
        <v>0</v>
      </c>
      <c r="V1694" s="5">
        <f t="shared" si="528"/>
        <v>0</v>
      </c>
      <c r="W1694" s="5">
        <f t="shared" si="529"/>
        <v>0</v>
      </c>
      <c r="X1694" s="5">
        <f t="shared" si="530"/>
        <v>0</v>
      </c>
      <c r="Y1694" s="5">
        <f t="shared" si="531"/>
        <v>0</v>
      </c>
      <c r="Z1694" s="5">
        <f t="shared" si="532"/>
        <v>0</v>
      </c>
      <c r="AA1694" s="5">
        <f t="shared" si="533"/>
        <v>0</v>
      </c>
      <c r="AB1694" s="5">
        <f t="shared" si="534"/>
        <v>0</v>
      </c>
    </row>
    <row r="1695" spans="4:28" x14ac:dyDescent="0.25">
      <c r="D1695" t="s">
        <v>96</v>
      </c>
      <c r="E1695" s="64"/>
      <c r="F1695" s="64"/>
      <c r="G1695">
        <f>IFERROR(HLOOKUP(G$2,[52]table_female_hkom2_inj.U1!$A$1:$K$36,28,FALSE),0)</f>
        <v>0</v>
      </c>
      <c r="H1695">
        <f>IFERROR(HLOOKUP(H$2,[52]table_female_hkom2_inj.U1!$A$1:$K$36,28,FALSE),0)</f>
        <v>0</v>
      </c>
      <c r="I1695">
        <f>IFERROR(HLOOKUP(I$2,[52]table_female_hkom2_inj.U1!$A$1:$K$36,28,FALSE),0)</f>
        <v>0</v>
      </c>
      <c r="J1695">
        <f>IFERROR(HLOOKUP(J$2,[52]table_female_hkom2_inj.U1!$A$1:$K$36,28,FALSE),0)</f>
        <v>0</v>
      </c>
      <c r="K1695">
        <f>IFERROR(HLOOKUP(K$2,[52]table_female_hkom2_inj.U1!$A$1:$K$36,28,FALSE),0)</f>
        <v>0</v>
      </c>
      <c r="L1695">
        <f>IFERROR(HLOOKUP(L$2,[52]table_female_hkom2_inj.U1!$A$1:$K$36,28,FALSE),0)</f>
        <v>0</v>
      </c>
      <c r="M1695">
        <f t="shared" si="525"/>
        <v>0</v>
      </c>
      <c r="S1695" t="s">
        <v>96</v>
      </c>
      <c r="T1695" s="5">
        <f t="shared" si="526"/>
        <v>0</v>
      </c>
      <c r="U1695" s="5">
        <f t="shared" si="527"/>
        <v>0</v>
      </c>
      <c r="V1695" s="5">
        <f t="shared" si="528"/>
        <v>0</v>
      </c>
      <c r="W1695" s="5">
        <f t="shared" si="529"/>
        <v>0</v>
      </c>
      <c r="X1695" s="5">
        <f t="shared" si="530"/>
        <v>0</v>
      </c>
      <c r="Y1695" s="5">
        <f t="shared" si="531"/>
        <v>0</v>
      </c>
      <c r="Z1695" s="5">
        <f t="shared" si="532"/>
        <v>0</v>
      </c>
      <c r="AA1695" s="5">
        <f t="shared" si="533"/>
        <v>0</v>
      </c>
      <c r="AB1695" s="5">
        <f t="shared" si="534"/>
        <v>0</v>
      </c>
    </row>
    <row r="1696" spans="4:28" x14ac:dyDescent="0.25">
      <c r="D1696" t="s">
        <v>97</v>
      </c>
      <c r="E1696" s="64"/>
      <c r="F1696" s="64"/>
      <c r="G1696">
        <f>IFERROR(HLOOKUP(G$2,[52]table_female_hkom2_inj.U1!$A$1:$K$36,29,FALSE),0)</f>
        <v>0</v>
      </c>
      <c r="H1696">
        <f>IFERROR(HLOOKUP(H$2,[52]table_female_hkom2_inj.U1!$A$1:$K$36,29,FALSE),0)</f>
        <v>1</v>
      </c>
      <c r="I1696">
        <f>IFERROR(HLOOKUP(I$2,[52]table_female_hkom2_inj.U1!$A$1:$K$36,29,FALSE),0)</f>
        <v>0</v>
      </c>
      <c r="J1696">
        <f>IFERROR(HLOOKUP(J$2,[52]table_female_hkom2_inj.U1!$A$1:$K$36,29,FALSE),0)</f>
        <v>0</v>
      </c>
      <c r="K1696">
        <f>IFERROR(HLOOKUP(K$2,[52]table_female_hkom2_inj.U1!$A$1:$K$36,29,FALSE),0)</f>
        <v>0</v>
      </c>
      <c r="L1696">
        <f>IFERROR(HLOOKUP(L$2,[52]table_female_hkom2_inj.U1!$A$1:$K$36,29,FALSE),0)</f>
        <v>0</v>
      </c>
      <c r="M1696">
        <f t="shared" si="525"/>
        <v>1</v>
      </c>
      <c r="S1696" t="s">
        <v>97</v>
      </c>
      <c r="T1696" s="5">
        <f t="shared" si="526"/>
        <v>0</v>
      </c>
      <c r="U1696" s="5">
        <f t="shared" si="527"/>
        <v>0</v>
      </c>
      <c r="V1696" s="5">
        <f t="shared" si="528"/>
        <v>0</v>
      </c>
      <c r="W1696" s="5">
        <f t="shared" si="529"/>
        <v>1.0669144981412639</v>
      </c>
      <c r="X1696" s="5">
        <f t="shared" si="530"/>
        <v>0</v>
      </c>
      <c r="Y1696" s="5">
        <f t="shared" si="531"/>
        <v>0</v>
      </c>
      <c r="Z1696" s="5">
        <f t="shared" si="532"/>
        <v>0</v>
      </c>
      <c r="AA1696" s="5">
        <f t="shared" si="533"/>
        <v>0</v>
      </c>
      <c r="AB1696" s="5">
        <f t="shared" si="534"/>
        <v>1.0669144981412639</v>
      </c>
    </row>
    <row r="1697" spans="1:29" x14ac:dyDescent="0.25">
      <c r="D1697" t="s">
        <v>98</v>
      </c>
      <c r="E1697" s="64"/>
      <c r="F1697" s="64"/>
      <c r="G1697">
        <f>IFERROR(HLOOKUP(G$2,[52]table_female_hkom2_inj.U1!$A$1:$K$36,30,FALSE),0)</f>
        <v>0</v>
      </c>
      <c r="H1697">
        <f>IFERROR(HLOOKUP(H$2,[52]table_female_hkom2_inj.U1!$A$1:$K$36,30,FALSE),0)</f>
        <v>0</v>
      </c>
      <c r="I1697">
        <f>IFERROR(HLOOKUP(I$2,[52]table_female_hkom2_inj.U1!$A$1:$K$36,30,FALSE),0)</f>
        <v>0</v>
      </c>
      <c r="J1697">
        <f>IFERROR(HLOOKUP(J$2,[52]table_female_hkom2_inj.U1!$A$1:$K$36,30,FALSE),0)</f>
        <v>0</v>
      </c>
      <c r="K1697">
        <f>IFERROR(HLOOKUP(K$2,[52]table_female_hkom2_inj.U1!$A$1:$K$36,30,FALSE),0)</f>
        <v>0</v>
      </c>
      <c r="L1697">
        <f>IFERROR(HLOOKUP(L$2,[52]table_female_hkom2_inj.U1!$A$1:$K$36,30,FALSE),0)</f>
        <v>0</v>
      </c>
      <c r="M1697">
        <f t="shared" si="525"/>
        <v>0</v>
      </c>
      <c r="S1697" t="s">
        <v>98</v>
      </c>
      <c r="T1697" s="5">
        <f t="shared" si="526"/>
        <v>0</v>
      </c>
      <c r="U1697" s="5">
        <f t="shared" si="527"/>
        <v>0</v>
      </c>
      <c r="V1697" s="5">
        <f t="shared" si="528"/>
        <v>0</v>
      </c>
      <c r="W1697" s="5">
        <f t="shared" si="529"/>
        <v>0</v>
      </c>
      <c r="X1697" s="5">
        <f t="shared" si="530"/>
        <v>0</v>
      </c>
      <c r="Y1697" s="5">
        <f t="shared" si="531"/>
        <v>0</v>
      </c>
      <c r="Z1697" s="5">
        <f t="shared" si="532"/>
        <v>0</v>
      </c>
      <c r="AA1697" s="5">
        <f t="shared" si="533"/>
        <v>0</v>
      </c>
      <c r="AB1697" s="5">
        <f t="shared" si="534"/>
        <v>0</v>
      </c>
    </row>
    <row r="1698" spans="1:29" x14ac:dyDescent="0.25">
      <c r="D1698" t="s">
        <v>119</v>
      </c>
      <c r="E1698" s="64"/>
      <c r="F1698" s="64"/>
      <c r="G1698">
        <f>IFERROR(HLOOKUP(G$2,[52]table_female_hkom2_inj.U1!$A$1:$K$36,31,FALSE),0)</f>
        <v>0</v>
      </c>
      <c r="H1698">
        <f>IFERROR(HLOOKUP(H$2,[52]table_female_hkom2_inj.U1!$A$1:$K$36,31,FALSE),0)</f>
        <v>0</v>
      </c>
      <c r="I1698">
        <f>IFERROR(HLOOKUP(I$2,[52]table_female_hkom2_inj.U1!$A$1:$K$36,31,FALSE),0)</f>
        <v>0</v>
      </c>
      <c r="J1698">
        <f>IFERROR(HLOOKUP(J$2,[52]table_female_hkom2_inj.U1!$A$1:$K$36,31,FALSE),0)</f>
        <v>0</v>
      </c>
      <c r="K1698">
        <f>IFERROR(HLOOKUP(K$2,[52]table_female_hkom2_inj.U1!$A$1:$K$36,31,FALSE),0)</f>
        <v>0</v>
      </c>
      <c r="L1698">
        <f>IFERROR(HLOOKUP(L$2,[52]table_female_hkom2_inj.U1!$A$1:$K$36,31,FALSE),0)</f>
        <v>0</v>
      </c>
      <c r="M1698">
        <f t="shared" si="525"/>
        <v>0</v>
      </c>
      <c r="S1698" t="s">
        <v>119</v>
      </c>
      <c r="T1698" s="5">
        <f t="shared" si="526"/>
        <v>0</v>
      </c>
      <c r="U1698" s="5">
        <f t="shared" si="527"/>
        <v>0</v>
      </c>
      <c r="V1698" s="5">
        <f t="shared" si="528"/>
        <v>0</v>
      </c>
      <c r="W1698" s="5">
        <f t="shared" si="529"/>
        <v>0</v>
      </c>
      <c r="X1698" s="5">
        <f t="shared" si="530"/>
        <v>0</v>
      </c>
      <c r="Y1698" s="5">
        <f t="shared" si="531"/>
        <v>0</v>
      </c>
      <c r="Z1698" s="5">
        <f t="shared" si="532"/>
        <v>0</v>
      </c>
      <c r="AA1698" s="5">
        <f t="shared" si="533"/>
        <v>0</v>
      </c>
      <c r="AB1698" s="5">
        <f t="shared" si="534"/>
        <v>0</v>
      </c>
    </row>
    <row r="1699" spans="1:29" x14ac:dyDescent="0.25">
      <c r="D1699" t="s">
        <v>99</v>
      </c>
      <c r="E1699" s="64"/>
      <c r="F1699" s="64"/>
      <c r="G1699">
        <f>IFERROR(HLOOKUP(G$2,[52]table_female_hkom2_inj.U1!$A$1:$K$36,32,FALSE),0)</f>
        <v>2</v>
      </c>
      <c r="H1699">
        <f>IFERROR(HLOOKUP(H$2,[52]table_female_hkom2_inj.U1!$A$1:$K$36,32,FALSE),0)</f>
        <v>4</v>
      </c>
      <c r="I1699">
        <f>IFERROR(HLOOKUP(I$2,[52]table_female_hkom2_inj.U1!$A$1:$K$36,32,FALSE),0)</f>
        <v>2</v>
      </c>
      <c r="J1699">
        <f>IFERROR(HLOOKUP(J$2,[52]table_female_hkom2_inj.U1!$A$1:$K$36,32,FALSE),0)</f>
        <v>0</v>
      </c>
      <c r="K1699">
        <f>IFERROR(HLOOKUP(K$2,[52]table_female_hkom2_inj.U1!$A$1:$K$36,32,FALSE),0)</f>
        <v>0</v>
      </c>
      <c r="L1699">
        <f>IFERROR(HLOOKUP(L$2,[52]table_female_hkom2_inj.U1!$A$1:$K$36,32,FALSE),0)</f>
        <v>0</v>
      </c>
      <c r="M1699">
        <f t="shared" si="525"/>
        <v>8</v>
      </c>
      <c r="S1699" t="s">
        <v>99</v>
      </c>
      <c r="T1699" s="5">
        <f t="shared" si="526"/>
        <v>0</v>
      </c>
      <c r="U1699" s="5">
        <f t="shared" si="527"/>
        <v>0</v>
      </c>
      <c r="V1699" s="5">
        <f t="shared" si="528"/>
        <v>2.1058823529411765</v>
      </c>
      <c r="W1699" s="5">
        <f t="shared" si="529"/>
        <v>4.2676579925650557</v>
      </c>
      <c r="X1699" s="5">
        <f t="shared" si="530"/>
        <v>2.0810810810810811</v>
      </c>
      <c r="Y1699" s="5">
        <f t="shared" si="531"/>
        <v>0</v>
      </c>
      <c r="Z1699" s="5">
        <f t="shared" si="532"/>
        <v>0</v>
      </c>
      <c r="AA1699" s="5">
        <f t="shared" si="533"/>
        <v>0</v>
      </c>
      <c r="AB1699" s="5">
        <f t="shared" si="534"/>
        <v>8.4546214265873125</v>
      </c>
    </row>
    <row r="1700" spans="1:29" x14ac:dyDescent="0.25">
      <c r="D1700" t="s">
        <v>100</v>
      </c>
      <c r="E1700" s="64"/>
      <c r="F1700" s="64"/>
      <c r="G1700">
        <f>IFERROR(HLOOKUP(G$2,[52]table_female_hkom2_inj.U1!$A$1:$K$36,33,FALSE),0)</f>
        <v>0</v>
      </c>
      <c r="H1700">
        <f>IFERROR(HLOOKUP(H$2,[52]table_female_hkom2_inj.U1!$A$1:$K$36,33,FALSE),0)</f>
        <v>0</v>
      </c>
      <c r="I1700">
        <f>IFERROR(HLOOKUP(I$2,[52]table_female_hkom2_inj.U1!$A$1:$K$36,33,FALSE),0)</f>
        <v>0</v>
      </c>
      <c r="J1700">
        <f>IFERROR(HLOOKUP(J$2,[52]table_female_hkom2_inj.U1!$A$1:$K$36,33,FALSE),0)</f>
        <v>0</v>
      </c>
      <c r="K1700">
        <f>IFERROR(HLOOKUP(K$2,[52]table_female_hkom2_inj.U1!$A$1:$K$36,33,FALSE),0)</f>
        <v>0</v>
      </c>
      <c r="L1700">
        <f>IFERROR(HLOOKUP(L$2,[52]table_female_hkom2_inj.U1!$A$1:$K$36,33,FALSE),0)</f>
        <v>0</v>
      </c>
      <c r="M1700">
        <f t="shared" si="525"/>
        <v>0</v>
      </c>
      <c r="S1700" t="s">
        <v>100</v>
      </c>
      <c r="T1700" s="5">
        <f t="shared" si="526"/>
        <v>0</v>
      </c>
      <c r="U1700" s="5">
        <f t="shared" si="527"/>
        <v>0</v>
      </c>
      <c r="V1700" s="5">
        <f t="shared" si="528"/>
        <v>0</v>
      </c>
      <c r="W1700" s="5">
        <f t="shared" si="529"/>
        <v>0</v>
      </c>
      <c r="X1700" s="5">
        <f t="shared" si="530"/>
        <v>0</v>
      </c>
      <c r="Y1700" s="5">
        <f t="shared" si="531"/>
        <v>0</v>
      </c>
      <c r="Z1700" s="5">
        <f t="shared" si="532"/>
        <v>0</v>
      </c>
      <c r="AA1700" s="5">
        <f t="shared" si="533"/>
        <v>0</v>
      </c>
      <c r="AB1700" s="5">
        <f t="shared" si="534"/>
        <v>0</v>
      </c>
    </row>
    <row r="1701" spans="1:29" x14ac:dyDescent="0.25">
      <c r="D1701" t="s">
        <v>101</v>
      </c>
      <c r="E1701" s="64"/>
      <c r="F1701" s="64"/>
      <c r="G1701">
        <f>IFERROR(HLOOKUP(G$2,[52]table_female_hkom2_inj.U1!$A$1:$K$36,34,FALSE),0)</f>
        <v>6</v>
      </c>
      <c r="H1701">
        <f>IFERROR(HLOOKUP(H$2,[52]table_female_hkom2_inj.U1!$A$1:$K$36,34,FALSE),0)</f>
        <v>5</v>
      </c>
      <c r="I1701">
        <f>IFERROR(HLOOKUP(I$2,[52]table_female_hkom2_inj.U1!$A$1:$K$36,34,FALSE),0)</f>
        <v>2</v>
      </c>
      <c r="J1701">
        <f>IFERROR(HLOOKUP(J$2,[52]table_female_hkom2_inj.U1!$A$1:$K$36,34,FALSE),0)</f>
        <v>0</v>
      </c>
      <c r="K1701">
        <f>IFERROR(HLOOKUP(K$2,[52]table_female_hkom2_inj.U1!$A$1:$K$36,34,FALSE),0)</f>
        <v>0</v>
      </c>
      <c r="L1701">
        <f>IFERROR(HLOOKUP(L$2,[52]table_female_hkom2_inj.U1!$A$1:$K$36,34,FALSE),0)</f>
        <v>0</v>
      </c>
      <c r="M1701">
        <f t="shared" si="525"/>
        <v>13</v>
      </c>
      <c r="S1701" t="s">
        <v>101</v>
      </c>
      <c r="T1701" s="5">
        <f t="shared" si="526"/>
        <v>0</v>
      </c>
      <c r="U1701" s="5">
        <f t="shared" si="527"/>
        <v>0</v>
      </c>
      <c r="V1701" s="5">
        <f t="shared" si="528"/>
        <v>6.3176470588235292</v>
      </c>
      <c r="W1701" s="5">
        <f t="shared" si="529"/>
        <v>5.3345724907063197</v>
      </c>
      <c r="X1701" s="5">
        <f t="shared" si="530"/>
        <v>2.0810810810810811</v>
      </c>
      <c r="Y1701" s="5">
        <f t="shared" si="531"/>
        <v>0</v>
      </c>
      <c r="Z1701" s="5">
        <f t="shared" si="532"/>
        <v>0</v>
      </c>
      <c r="AA1701" s="5">
        <f t="shared" si="533"/>
        <v>0</v>
      </c>
      <c r="AB1701" s="5">
        <f t="shared" si="534"/>
        <v>13.73330063061093</v>
      </c>
    </row>
    <row r="1702" spans="1:29" x14ac:dyDescent="0.25">
      <c r="D1702" t="s">
        <v>102</v>
      </c>
      <c r="E1702" s="64"/>
      <c r="F1702" s="64"/>
      <c r="G1702">
        <f>IFERROR(HLOOKUP(G$2,[52]table_female_hkom2_inj.U1!$A$1:$K$36,35,FALSE),0)</f>
        <v>9</v>
      </c>
      <c r="H1702">
        <f>IFERROR(HLOOKUP(H$2,[52]table_female_hkom2_inj.U1!$A$1:$K$36,35,FALSE),0)</f>
        <v>18</v>
      </c>
      <c r="I1702">
        <f>IFERROR(HLOOKUP(I$2,[52]table_female_hkom2_inj.U1!$A$1:$K$36,35,FALSE),0)</f>
        <v>6</v>
      </c>
      <c r="J1702">
        <f>IFERROR(HLOOKUP(J$2,[52]table_female_hkom2_inj.U1!$A$1:$K$36,35,FALSE),0)</f>
        <v>1</v>
      </c>
      <c r="K1702">
        <f>IFERROR(HLOOKUP(K$2,[52]table_female_hkom2_inj.U1!$A$1:$K$36,35,FALSE),0)</f>
        <v>0</v>
      </c>
      <c r="L1702">
        <f>IFERROR(HLOOKUP(L$2,[52]table_female_hkom2_inj.U1!$A$1:$K$36,35,FALSE),0)</f>
        <v>0</v>
      </c>
      <c r="M1702">
        <f t="shared" si="525"/>
        <v>34</v>
      </c>
      <c r="N1702">
        <f>SUM(M1669:M1702)</f>
        <v>633</v>
      </c>
      <c r="O1702" s="8">
        <f>SUM([52]table_female_hkom2_inj.U1!$B$2:$L$36)</f>
        <v>633</v>
      </c>
      <c r="S1702" t="s">
        <v>102</v>
      </c>
      <c r="T1702" s="7"/>
      <c r="U1702" s="7"/>
      <c r="V1702" s="7"/>
      <c r="W1702" s="7"/>
      <c r="X1702" s="7"/>
      <c r="Y1702" s="7"/>
      <c r="Z1702" s="7"/>
      <c r="AA1702" s="7"/>
      <c r="AB1702" s="5">
        <f t="shared" si="534"/>
        <v>0</v>
      </c>
      <c r="AC1702" s="5">
        <f>SUM(AB1669:AB1701)</f>
        <v>633.00000000000023</v>
      </c>
    </row>
    <row r="1703" spans="1:29" x14ac:dyDescent="0.25">
      <c r="A1703" t="s">
        <v>115</v>
      </c>
      <c r="B1703" t="s">
        <v>116</v>
      </c>
      <c r="C1703" t="s">
        <v>110</v>
      </c>
      <c r="D1703" t="s">
        <v>70</v>
      </c>
      <c r="E1703" s="64"/>
      <c r="F1703" s="64"/>
      <c r="G1703">
        <f>IFERROR(HLOOKUP(G$2,[53]table_female_hkom2_inj.U2!$A$1:$K$36,2,FALSE),0)</f>
        <v>0</v>
      </c>
      <c r="H1703">
        <f>IFERROR(HLOOKUP(H$2,[53]table_female_hkom2_inj.U2!$A$1:$K$36,2,FALSE),0)</f>
        <v>0</v>
      </c>
      <c r="I1703">
        <f>IFERROR(HLOOKUP(I$2,[53]table_female_hkom2_inj.U2!$A$1:$K$36,2,FALSE),0)</f>
        <v>0</v>
      </c>
      <c r="J1703">
        <f>IFERROR(HLOOKUP(J$2,[53]table_female_hkom2_inj.U2!$A$1:$K$36,2,FALSE),0)</f>
        <v>0</v>
      </c>
      <c r="K1703">
        <f>IFERROR(HLOOKUP(K$2,[53]table_female_hkom2_inj.U2!$A$1:$K$36,2,FALSE),0)</f>
        <v>0</v>
      </c>
      <c r="L1703">
        <f>IFERROR(HLOOKUP(L$2,[53]table_female_hkom2_inj.U2!$A$1:$K$36,2,FALSE),0)</f>
        <v>0</v>
      </c>
      <c r="M1703">
        <f>SUM(E1703:L1703)</f>
        <v>0</v>
      </c>
      <c r="P1703" t="s">
        <v>115</v>
      </c>
      <c r="Q1703" t="s">
        <v>116</v>
      </c>
      <c r="R1703" t="s">
        <v>110</v>
      </c>
      <c r="S1703" t="s">
        <v>70</v>
      </c>
      <c r="T1703" s="5">
        <f>IF(SUM(E$1703:E$1735)=0,E$1736/33,E1703+IFERROR(E1703/SUM(E$1703:E$1735)*E$1736,0))</f>
        <v>0</v>
      </c>
      <c r="U1703" s="5">
        <f t="shared" ref="U1703:AA1703" si="535">IF(SUM(F$1703:F$1735)=0,F$1736/33,F1703+IFERROR(F1703/SUM(F$1703:F$1735)*F$1736,0))</f>
        <v>0</v>
      </c>
      <c r="V1703" s="5">
        <f t="shared" si="535"/>
        <v>0</v>
      </c>
      <c r="W1703" s="5">
        <f t="shared" si="535"/>
        <v>0</v>
      </c>
      <c r="X1703" s="5">
        <f t="shared" si="535"/>
        <v>0</v>
      </c>
      <c r="Y1703" s="5">
        <f t="shared" si="535"/>
        <v>0</v>
      </c>
      <c r="Z1703" s="5">
        <f t="shared" si="535"/>
        <v>0</v>
      </c>
      <c r="AA1703" s="5">
        <f t="shared" si="535"/>
        <v>0</v>
      </c>
      <c r="AB1703" s="5">
        <f t="shared" si="534"/>
        <v>0</v>
      </c>
    </row>
    <row r="1704" spans="1:29" x14ac:dyDescent="0.25">
      <c r="D1704" t="s">
        <v>71</v>
      </c>
      <c r="E1704" s="64"/>
      <c r="F1704" s="64"/>
      <c r="G1704">
        <f>IFERROR(HLOOKUP(G$2,[53]table_female_hkom2_inj.U2!$A$1:$K$36,3,FALSE),0)</f>
        <v>0</v>
      </c>
      <c r="H1704">
        <f>IFERROR(HLOOKUP(H$2,[53]table_female_hkom2_inj.U2!$A$1:$K$36,3,FALSE),0)</f>
        <v>0</v>
      </c>
      <c r="I1704">
        <f>IFERROR(HLOOKUP(I$2,[53]table_female_hkom2_inj.U2!$A$1:$K$36,3,FALSE),0)</f>
        <v>0</v>
      </c>
      <c r="J1704">
        <f>IFERROR(HLOOKUP(J$2,[53]table_female_hkom2_inj.U2!$A$1:$K$36,3,FALSE),0)</f>
        <v>0</v>
      </c>
      <c r="K1704">
        <f>IFERROR(HLOOKUP(K$2,[53]table_female_hkom2_inj.U2!$A$1:$K$36,3,FALSE),0)</f>
        <v>0</v>
      </c>
      <c r="L1704">
        <f>IFERROR(HLOOKUP(L$2,[53]table_female_hkom2_inj.U2!$A$1:$K$36,3,FALSE),0)</f>
        <v>0</v>
      </c>
      <c r="M1704">
        <f t="shared" ref="M1704:M1736" si="536">SUM(E1704:L1704)</f>
        <v>0</v>
      </c>
      <c r="S1704" t="s">
        <v>71</v>
      </c>
      <c r="T1704" s="5">
        <f t="shared" ref="T1704:T1735" si="537">IF(SUM(E$1703:E$1735)=0,E$1736/33,E1704+IFERROR(E1704/SUM(E$1703:E$1735)*E$1736,0))</f>
        <v>0</v>
      </c>
      <c r="U1704" s="5">
        <f t="shared" ref="U1704:U1735" si="538">IF(SUM(F$1703:F$1735)=0,F$1736/33,F1704+IFERROR(F1704/SUM(F$1703:F$1735)*F$1736,0))</f>
        <v>0</v>
      </c>
      <c r="V1704" s="5">
        <f t="shared" ref="V1704:V1735" si="539">IF(SUM(G$1703:G$1735)=0,G$1736/33,G1704+IFERROR(G1704/SUM(G$1703:G$1735)*G$1736,0))</f>
        <v>0</v>
      </c>
      <c r="W1704" s="5">
        <f t="shared" ref="W1704:W1735" si="540">IF(SUM(H$1703:H$1735)=0,H$1736/33,H1704+IFERROR(H1704/SUM(H$1703:H$1735)*H$1736,0))</f>
        <v>0</v>
      </c>
      <c r="X1704" s="5">
        <f t="shared" ref="X1704:X1735" si="541">IF(SUM(I$1703:I$1735)=0,I$1736/33,I1704+IFERROR(I1704/SUM(I$1703:I$1735)*I$1736,0))</f>
        <v>0</v>
      </c>
      <c r="Y1704" s="5">
        <f t="shared" ref="Y1704:Y1735" si="542">IF(SUM(J$1703:J$1735)=0,J$1736/33,J1704+IFERROR(J1704/SUM(J$1703:J$1735)*J$1736,0))</f>
        <v>0</v>
      </c>
      <c r="Z1704" s="5">
        <f t="shared" ref="Z1704:Z1735" si="543">IF(SUM(K$1703:K$1735)=0,K$1736/33,K1704+IFERROR(K1704/SUM(K$1703:K$1735)*K$1736,0))</f>
        <v>0</v>
      </c>
      <c r="AA1704" s="5">
        <f t="shared" ref="AA1704:AA1735" si="544">IF(SUM(L$1703:L$1735)=0,L$1736/33,L1704+IFERROR(L1704/SUM(L$1703:L$1735)*L$1736,0))</f>
        <v>0</v>
      </c>
      <c r="AB1704" s="5">
        <f t="shared" si="534"/>
        <v>0</v>
      </c>
    </row>
    <row r="1705" spans="1:29" x14ac:dyDescent="0.25">
      <c r="D1705" t="s">
        <v>72</v>
      </c>
      <c r="E1705" s="64"/>
      <c r="F1705" s="64"/>
      <c r="G1705">
        <f>IFERROR(HLOOKUP(G$2,[53]table_female_hkom2_inj.U2!$A$1:$K$36,4,FALSE),0)</f>
        <v>0</v>
      </c>
      <c r="H1705">
        <f>IFERROR(HLOOKUP(H$2,[53]table_female_hkom2_inj.U2!$A$1:$K$36,4,FALSE),0)</f>
        <v>0</v>
      </c>
      <c r="I1705">
        <f>IFERROR(HLOOKUP(I$2,[53]table_female_hkom2_inj.U2!$A$1:$K$36,4,FALSE),0)</f>
        <v>0</v>
      </c>
      <c r="J1705">
        <f>IFERROR(HLOOKUP(J$2,[53]table_female_hkom2_inj.U2!$A$1:$K$36,4,FALSE),0)</f>
        <v>0</v>
      </c>
      <c r="K1705">
        <f>IFERROR(HLOOKUP(K$2,[53]table_female_hkom2_inj.U2!$A$1:$K$36,4,FALSE),0)</f>
        <v>0</v>
      </c>
      <c r="L1705">
        <f>IFERROR(HLOOKUP(L$2,[53]table_female_hkom2_inj.U2!$A$1:$K$36,4,FALSE),0)</f>
        <v>0</v>
      </c>
      <c r="M1705">
        <f t="shared" si="536"/>
        <v>0</v>
      </c>
      <c r="S1705" t="s">
        <v>72</v>
      </c>
      <c r="T1705" s="5">
        <f t="shared" si="537"/>
        <v>0</v>
      </c>
      <c r="U1705" s="5">
        <f t="shared" si="538"/>
        <v>0</v>
      </c>
      <c r="V1705" s="5">
        <f t="shared" si="539"/>
        <v>0</v>
      </c>
      <c r="W1705" s="5">
        <f t="shared" si="540"/>
        <v>0</v>
      </c>
      <c r="X1705" s="5">
        <f t="shared" si="541"/>
        <v>0</v>
      </c>
      <c r="Y1705" s="5">
        <f t="shared" si="542"/>
        <v>0</v>
      </c>
      <c r="Z1705" s="5">
        <f t="shared" si="543"/>
        <v>0</v>
      </c>
      <c r="AA1705" s="5">
        <f t="shared" si="544"/>
        <v>0</v>
      </c>
      <c r="AB1705" s="5">
        <f t="shared" si="534"/>
        <v>0</v>
      </c>
    </row>
    <row r="1706" spans="1:29" x14ac:dyDescent="0.25">
      <c r="D1706" t="s">
        <v>73</v>
      </c>
      <c r="E1706" s="64"/>
      <c r="F1706" s="64"/>
      <c r="G1706">
        <f>IFERROR(HLOOKUP(G$2,[53]table_female_hkom2_inj.U2!$A$1:$K$36,5,FALSE),0)</f>
        <v>0</v>
      </c>
      <c r="H1706">
        <f>IFERROR(HLOOKUP(H$2,[53]table_female_hkom2_inj.U2!$A$1:$K$36,5,FALSE),0)</f>
        <v>0</v>
      </c>
      <c r="I1706">
        <f>IFERROR(HLOOKUP(I$2,[53]table_female_hkom2_inj.U2!$A$1:$K$36,5,FALSE),0)</f>
        <v>0</v>
      </c>
      <c r="J1706">
        <f>IFERROR(HLOOKUP(J$2,[53]table_female_hkom2_inj.U2!$A$1:$K$36,5,FALSE),0)</f>
        <v>0</v>
      </c>
      <c r="K1706">
        <f>IFERROR(HLOOKUP(K$2,[53]table_female_hkom2_inj.U2!$A$1:$K$36,5,FALSE),0)</f>
        <v>0</v>
      </c>
      <c r="L1706">
        <f>IFERROR(HLOOKUP(L$2,[53]table_female_hkom2_inj.U2!$A$1:$K$36,5,FALSE),0)</f>
        <v>0</v>
      </c>
      <c r="M1706">
        <f t="shared" si="536"/>
        <v>0</v>
      </c>
      <c r="S1706" t="s">
        <v>73</v>
      </c>
      <c r="T1706" s="5">
        <f t="shared" si="537"/>
        <v>0</v>
      </c>
      <c r="U1706" s="5">
        <f t="shared" si="538"/>
        <v>0</v>
      </c>
      <c r="V1706" s="5">
        <f t="shared" si="539"/>
        <v>0</v>
      </c>
      <c r="W1706" s="5">
        <f t="shared" si="540"/>
        <v>0</v>
      </c>
      <c r="X1706" s="5">
        <f t="shared" si="541"/>
        <v>0</v>
      </c>
      <c r="Y1706" s="5">
        <f t="shared" si="542"/>
        <v>0</v>
      </c>
      <c r="Z1706" s="5">
        <f t="shared" si="543"/>
        <v>0</v>
      </c>
      <c r="AA1706" s="5">
        <f t="shared" si="544"/>
        <v>0</v>
      </c>
      <c r="AB1706" s="5">
        <f t="shared" si="534"/>
        <v>0</v>
      </c>
    </row>
    <row r="1707" spans="1:29" x14ac:dyDescent="0.25">
      <c r="D1707" t="s">
        <v>74</v>
      </c>
      <c r="E1707" s="64"/>
      <c r="F1707" s="64"/>
      <c r="G1707">
        <f>IFERROR(HLOOKUP(G$2,[53]table_female_hkom2_inj.U2!$A$1:$K$36,6,FALSE),0)</f>
        <v>0</v>
      </c>
      <c r="H1707">
        <f>IFERROR(HLOOKUP(H$2,[53]table_female_hkom2_inj.U2!$A$1:$K$36,6,FALSE),0)</f>
        <v>0</v>
      </c>
      <c r="I1707">
        <f>IFERROR(HLOOKUP(I$2,[53]table_female_hkom2_inj.U2!$A$1:$K$36,6,FALSE),0)</f>
        <v>0</v>
      </c>
      <c r="J1707">
        <f>IFERROR(HLOOKUP(J$2,[53]table_female_hkom2_inj.U2!$A$1:$K$36,6,FALSE),0)</f>
        <v>0</v>
      </c>
      <c r="K1707">
        <f>IFERROR(HLOOKUP(K$2,[53]table_female_hkom2_inj.U2!$A$1:$K$36,6,FALSE),0)</f>
        <v>0</v>
      </c>
      <c r="L1707">
        <f>IFERROR(HLOOKUP(L$2,[53]table_female_hkom2_inj.U2!$A$1:$K$36,6,FALSE),0)</f>
        <v>0</v>
      </c>
      <c r="M1707">
        <f t="shared" si="536"/>
        <v>0</v>
      </c>
      <c r="S1707" t="s">
        <v>74</v>
      </c>
      <c r="T1707" s="5">
        <f t="shared" si="537"/>
        <v>0</v>
      </c>
      <c r="U1707" s="5">
        <f t="shared" si="538"/>
        <v>0</v>
      </c>
      <c r="V1707" s="5">
        <f t="shared" si="539"/>
        <v>0</v>
      </c>
      <c r="W1707" s="5">
        <f t="shared" si="540"/>
        <v>0</v>
      </c>
      <c r="X1707" s="5">
        <f t="shared" si="541"/>
        <v>0</v>
      </c>
      <c r="Y1707" s="5">
        <f t="shared" si="542"/>
        <v>0</v>
      </c>
      <c r="Z1707" s="5">
        <f t="shared" si="543"/>
        <v>0</v>
      </c>
      <c r="AA1707" s="5">
        <f t="shared" si="544"/>
        <v>0</v>
      </c>
      <c r="AB1707" s="5">
        <f t="shared" si="534"/>
        <v>0</v>
      </c>
    </row>
    <row r="1708" spans="1:29" x14ac:dyDescent="0.25">
      <c r="D1708" t="s">
        <v>75</v>
      </c>
      <c r="E1708" s="64"/>
      <c r="F1708" s="64"/>
      <c r="G1708">
        <f>IFERROR(HLOOKUP(G$2,[53]table_female_hkom2_inj.U2!$A$1:$K$36,7,FALSE),0)</f>
        <v>0</v>
      </c>
      <c r="H1708">
        <f>IFERROR(HLOOKUP(H$2,[53]table_female_hkom2_inj.U2!$A$1:$K$36,7,FALSE),0)</f>
        <v>0</v>
      </c>
      <c r="I1708">
        <f>IFERROR(HLOOKUP(I$2,[53]table_female_hkom2_inj.U2!$A$1:$K$36,7,FALSE),0)</f>
        <v>0</v>
      </c>
      <c r="J1708">
        <f>IFERROR(HLOOKUP(J$2,[53]table_female_hkom2_inj.U2!$A$1:$K$36,7,FALSE),0)</f>
        <v>0</v>
      </c>
      <c r="K1708">
        <f>IFERROR(HLOOKUP(K$2,[53]table_female_hkom2_inj.U2!$A$1:$K$36,7,FALSE),0)</f>
        <v>0</v>
      </c>
      <c r="L1708">
        <f>IFERROR(HLOOKUP(L$2,[53]table_female_hkom2_inj.U2!$A$1:$K$36,7,FALSE),0)</f>
        <v>0</v>
      </c>
      <c r="M1708">
        <f t="shared" si="536"/>
        <v>0</v>
      </c>
      <c r="S1708" t="s">
        <v>75</v>
      </c>
      <c r="T1708" s="5">
        <f t="shared" si="537"/>
        <v>0</v>
      </c>
      <c r="U1708" s="5">
        <f t="shared" si="538"/>
        <v>0</v>
      </c>
      <c r="V1708" s="5">
        <f t="shared" si="539"/>
        <v>0</v>
      </c>
      <c r="W1708" s="5">
        <f t="shared" si="540"/>
        <v>0</v>
      </c>
      <c r="X1708" s="5">
        <f t="shared" si="541"/>
        <v>0</v>
      </c>
      <c r="Y1708" s="5">
        <f t="shared" si="542"/>
        <v>0</v>
      </c>
      <c r="Z1708" s="5">
        <f t="shared" si="543"/>
        <v>0</v>
      </c>
      <c r="AA1708" s="5">
        <f t="shared" si="544"/>
        <v>0</v>
      </c>
      <c r="AB1708" s="5">
        <f t="shared" si="534"/>
        <v>0</v>
      </c>
    </row>
    <row r="1709" spans="1:29" x14ac:dyDescent="0.25">
      <c r="D1709" t="s">
        <v>76</v>
      </c>
      <c r="E1709" s="64"/>
      <c r="F1709" s="64"/>
      <c r="G1709">
        <f>IFERROR(HLOOKUP(G$2,[53]table_female_hkom2_inj.U2!$A$1:$K$36,8,FALSE),0)</f>
        <v>0</v>
      </c>
      <c r="H1709">
        <f>IFERROR(HLOOKUP(H$2,[53]table_female_hkom2_inj.U2!$A$1:$K$36,8,FALSE),0)</f>
        <v>0</v>
      </c>
      <c r="I1709">
        <f>IFERROR(HLOOKUP(I$2,[53]table_female_hkom2_inj.U2!$A$1:$K$36,8,FALSE),0)</f>
        <v>0</v>
      </c>
      <c r="J1709">
        <f>IFERROR(HLOOKUP(J$2,[53]table_female_hkom2_inj.U2!$A$1:$K$36,8,FALSE),0)</f>
        <v>0</v>
      </c>
      <c r="K1709">
        <f>IFERROR(HLOOKUP(K$2,[53]table_female_hkom2_inj.U2!$A$1:$K$36,8,FALSE),0)</f>
        <v>0</v>
      </c>
      <c r="L1709">
        <f>IFERROR(HLOOKUP(L$2,[53]table_female_hkom2_inj.U2!$A$1:$K$36,8,FALSE),0)</f>
        <v>0</v>
      </c>
      <c r="M1709">
        <f t="shared" si="536"/>
        <v>0</v>
      </c>
      <c r="S1709" t="s">
        <v>76</v>
      </c>
      <c r="T1709" s="5">
        <f t="shared" si="537"/>
        <v>0</v>
      </c>
      <c r="U1709" s="5">
        <f t="shared" si="538"/>
        <v>0</v>
      </c>
      <c r="V1709" s="5">
        <f t="shared" si="539"/>
        <v>0</v>
      </c>
      <c r="W1709" s="5">
        <f t="shared" si="540"/>
        <v>0</v>
      </c>
      <c r="X1709" s="5">
        <f t="shared" si="541"/>
        <v>0</v>
      </c>
      <c r="Y1709" s="5">
        <f t="shared" si="542"/>
        <v>0</v>
      </c>
      <c r="Z1709" s="5">
        <f t="shared" si="543"/>
        <v>0</v>
      </c>
      <c r="AA1709" s="5">
        <f t="shared" si="544"/>
        <v>0</v>
      </c>
      <c r="AB1709" s="5">
        <f t="shared" si="534"/>
        <v>0</v>
      </c>
    </row>
    <row r="1710" spans="1:29" x14ac:dyDescent="0.25">
      <c r="D1710" t="s">
        <v>77</v>
      </c>
      <c r="E1710" s="64"/>
      <c r="F1710" s="64"/>
      <c r="G1710">
        <f>IFERROR(HLOOKUP(G$2,[53]table_female_hkom2_inj.U2!$A$1:$K$36,9,FALSE),0)</f>
        <v>0</v>
      </c>
      <c r="H1710">
        <f>IFERROR(HLOOKUP(H$2,[53]table_female_hkom2_inj.U2!$A$1:$K$36,9,FALSE),0)</f>
        <v>0</v>
      </c>
      <c r="I1710">
        <f>IFERROR(HLOOKUP(I$2,[53]table_female_hkom2_inj.U2!$A$1:$K$36,9,FALSE),0)</f>
        <v>0</v>
      </c>
      <c r="J1710">
        <f>IFERROR(HLOOKUP(J$2,[53]table_female_hkom2_inj.U2!$A$1:$K$36,9,FALSE),0)</f>
        <v>0</v>
      </c>
      <c r="K1710">
        <f>IFERROR(HLOOKUP(K$2,[53]table_female_hkom2_inj.U2!$A$1:$K$36,9,FALSE),0)</f>
        <v>0</v>
      </c>
      <c r="L1710">
        <f>IFERROR(HLOOKUP(L$2,[53]table_female_hkom2_inj.U2!$A$1:$K$36,9,FALSE),0)</f>
        <v>0</v>
      </c>
      <c r="M1710">
        <f t="shared" si="536"/>
        <v>0</v>
      </c>
      <c r="S1710" t="s">
        <v>77</v>
      </c>
      <c r="T1710" s="5">
        <f t="shared" si="537"/>
        <v>0</v>
      </c>
      <c r="U1710" s="5">
        <f t="shared" si="538"/>
        <v>0</v>
      </c>
      <c r="V1710" s="5">
        <f t="shared" si="539"/>
        <v>0</v>
      </c>
      <c r="W1710" s="5">
        <f t="shared" si="540"/>
        <v>0</v>
      </c>
      <c r="X1710" s="5">
        <f t="shared" si="541"/>
        <v>0</v>
      </c>
      <c r="Y1710" s="5">
        <f t="shared" si="542"/>
        <v>0</v>
      </c>
      <c r="Z1710" s="5">
        <f t="shared" si="543"/>
        <v>0</v>
      </c>
      <c r="AA1710" s="5">
        <f t="shared" si="544"/>
        <v>0</v>
      </c>
      <c r="AB1710" s="5">
        <f t="shared" si="534"/>
        <v>0</v>
      </c>
    </row>
    <row r="1711" spans="1:29" x14ac:dyDescent="0.25">
      <c r="D1711" t="s">
        <v>78</v>
      </c>
      <c r="E1711" s="64"/>
      <c r="F1711" s="64"/>
      <c r="G1711">
        <f>IFERROR(HLOOKUP(G$2,[53]table_female_hkom2_inj.U2!$A$1:$K$36,10,FALSE),0)</f>
        <v>0</v>
      </c>
      <c r="H1711">
        <f>IFERROR(HLOOKUP(H$2,[53]table_female_hkom2_inj.U2!$A$1:$K$36,10,FALSE),0)</f>
        <v>0</v>
      </c>
      <c r="I1711">
        <f>IFERROR(HLOOKUP(I$2,[53]table_female_hkom2_inj.U2!$A$1:$K$36,10,FALSE),0)</f>
        <v>0</v>
      </c>
      <c r="J1711">
        <f>IFERROR(HLOOKUP(J$2,[53]table_female_hkom2_inj.U2!$A$1:$K$36,10,FALSE),0)</f>
        <v>0</v>
      </c>
      <c r="K1711">
        <f>IFERROR(HLOOKUP(K$2,[53]table_female_hkom2_inj.U2!$A$1:$K$36,10,FALSE),0)</f>
        <v>0</v>
      </c>
      <c r="L1711">
        <f>IFERROR(HLOOKUP(L$2,[53]table_female_hkom2_inj.U2!$A$1:$K$36,10,FALSE),0)</f>
        <v>0</v>
      </c>
      <c r="M1711">
        <f t="shared" si="536"/>
        <v>0</v>
      </c>
      <c r="S1711" t="s">
        <v>78</v>
      </c>
      <c r="T1711" s="5">
        <f t="shared" si="537"/>
        <v>0</v>
      </c>
      <c r="U1711" s="5">
        <f t="shared" si="538"/>
        <v>0</v>
      </c>
      <c r="V1711" s="5">
        <f t="shared" si="539"/>
        <v>0</v>
      </c>
      <c r="W1711" s="5">
        <f t="shared" si="540"/>
        <v>0</v>
      </c>
      <c r="X1711" s="5">
        <f t="shared" si="541"/>
        <v>0</v>
      </c>
      <c r="Y1711" s="5">
        <f t="shared" si="542"/>
        <v>0</v>
      </c>
      <c r="Z1711" s="5">
        <f t="shared" si="543"/>
        <v>0</v>
      </c>
      <c r="AA1711" s="5">
        <f t="shared" si="544"/>
        <v>0</v>
      </c>
      <c r="AB1711" s="5">
        <f t="shared" si="534"/>
        <v>0</v>
      </c>
    </row>
    <row r="1712" spans="1:29" x14ac:dyDescent="0.25">
      <c r="D1712" t="s">
        <v>79</v>
      </c>
      <c r="E1712" s="64"/>
      <c r="F1712" s="64"/>
      <c r="G1712">
        <f>IFERROR(HLOOKUP(G$2,[53]table_female_hkom2_inj.U2!$A$1:$K$36,11,FALSE),0)</f>
        <v>0</v>
      </c>
      <c r="H1712">
        <f>IFERROR(HLOOKUP(H$2,[53]table_female_hkom2_inj.U2!$A$1:$K$36,11,FALSE),0)</f>
        <v>0</v>
      </c>
      <c r="I1712">
        <f>IFERROR(HLOOKUP(I$2,[53]table_female_hkom2_inj.U2!$A$1:$K$36,11,FALSE),0)</f>
        <v>0</v>
      </c>
      <c r="J1712">
        <f>IFERROR(HLOOKUP(J$2,[53]table_female_hkom2_inj.U2!$A$1:$K$36,11,FALSE),0)</f>
        <v>0</v>
      </c>
      <c r="K1712">
        <f>IFERROR(HLOOKUP(K$2,[53]table_female_hkom2_inj.U2!$A$1:$K$36,11,FALSE),0)</f>
        <v>0</v>
      </c>
      <c r="L1712">
        <f>IFERROR(HLOOKUP(L$2,[53]table_female_hkom2_inj.U2!$A$1:$K$36,11,FALSE),0)</f>
        <v>0</v>
      </c>
      <c r="M1712">
        <f t="shared" si="536"/>
        <v>0</v>
      </c>
      <c r="S1712" t="s">
        <v>79</v>
      </c>
      <c r="T1712" s="5">
        <f t="shared" si="537"/>
        <v>0</v>
      </c>
      <c r="U1712" s="5">
        <f t="shared" si="538"/>
        <v>0</v>
      </c>
      <c r="V1712" s="5">
        <f t="shared" si="539"/>
        <v>0</v>
      </c>
      <c r="W1712" s="5">
        <f t="shared" si="540"/>
        <v>0</v>
      </c>
      <c r="X1712" s="5">
        <f t="shared" si="541"/>
        <v>0</v>
      </c>
      <c r="Y1712" s="5">
        <f t="shared" si="542"/>
        <v>0</v>
      </c>
      <c r="Z1712" s="5">
        <f t="shared" si="543"/>
        <v>0</v>
      </c>
      <c r="AA1712" s="5">
        <f t="shared" si="544"/>
        <v>0</v>
      </c>
      <c r="AB1712" s="5">
        <f t="shared" si="534"/>
        <v>0</v>
      </c>
    </row>
    <row r="1713" spans="4:28" x14ac:dyDescent="0.25">
      <c r="D1713" t="s">
        <v>80</v>
      </c>
      <c r="E1713" s="64"/>
      <c r="F1713" s="64"/>
      <c r="G1713">
        <f>IFERROR(HLOOKUP(G$2,[53]table_female_hkom2_inj.U2!$A$1:$K$36,12,FALSE),0)</f>
        <v>0</v>
      </c>
      <c r="H1713">
        <f>IFERROR(HLOOKUP(H$2,[53]table_female_hkom2_inj.U2!$A$1:$K$36,12,FALSE),0)</f>
        <v>0</v>
      </c>
      <c r="I1713">
        <f>IFERROR(HLOOKUP(I$2,[53]table_female_hkom2_inj.U2!$A$1:$K$36,12,FALSE),0)</f>
        <v>0</v>
      </c>
      <c r="J1713">
        <f>IFERROR(HLOOKUP(J$2,[53]table_female_hkom2_inj.U2!$A$1:$K$36,12,FALSE),0)</f>
        <v>0</v>
      </c>
      <c r="K1713">
        <f>IFERROR(HLOOKUP(K$2,[53]table_female_hkom2_inj.U2!$A$1:$K$36,12,FALSE),0)</f>
        <v>0</v>
      </c>
      <c r="L1713">
        <f>IFERROR(HLOOKUP(L$2,[53]table_female_hkom2_inj.U2!$A$1:$K$36,12,FALSE),0)</f>
        <v>0</v>
      </c>
      <c r="M1713">
        <f t="shared" si="536"/>
        <v>0</v>
      </c>
      <c r="S1713" t="s">
        <v>80</v>
      </c>
      <c r="T1713" s="5">
        <f t="shared" si="537"/>
        <v>0</v>
      </c>
      <c r="U1713" s="5">
        <f t="shared" si="538"/>
        <v>0</v>
      </c>
      <c r="V1713" s="5">
        <f t="shared" si="539"/>
        <v>0</v>
      </c>
      <c r="W1713" s="5">
        <f t="shared" si="540"/>
        <v>0</v>
      </c>
      <c r="X1713" s="5">
        <f t="shared" si="541"/>
        <v>0</v>
      </c>
      <c r="Y1713" s="5">
        <f t="shared" si="542"/>
        <v>0</v>
      </c>
      <c r="Z1713" s="5">
        <f t="shared" si="543"/>
        <v>0</v>
      </c>
      <c r="AA1713" s="5">
        <f t="shared" si="544"/>
        <v>0</v>
      </c>
      <c r="AB1713" s="5">
        <f t="shared" si="534"/>
        <v>0</v>
      </c>
    </row>
    <row r="1714" spans="4:28" x14ac:dyDescent="0.25">
      <c r="D1714" t="s">
        <v>81</v>
      </c>
      <c r="E1714" s="64"/>
      <c r="F1714" s="64"/>
      <c r="G1714">
        <f>IFERROR(HLOOKUP(G$2,[53]table_female_hkom2_inj.U2!$A$1:$K$36,13,FALSE),0)</f>
        <v>0</v>
      </c>
      <c r="H1714">
        <f>IFERROR(HLOOKUP(H$2,[53]table_female_hkom2_inj.U2!$A$1:$K$36,13,FALSE),0)</f>
        <v>0</v>
      </c>
      <c r="I1714">
        <f>IFERROR(HLOOKUP(I$2,[53]table_female_hkom2_inj.U2!$A$1:$K$36,13,FALSE),0)</f>
        <v>0</v>
      </c>
      <c r="J1714">
        <f>IFERROR(HLOOKUP(J$2,[53]table_female_hkom2_inj.U2!$A$1:$K$36,13,FALSE),0)</f>
        <v>0</v>
      </c>
      <c r="K1714">
        <f>IFERROR(HLOOKUP(K$2,[53]table_female_hkom2_inj.U2!$A$1:$K$36,13,FALSE),0)</f>
        <v>0</v>
      </c>
      <c r="L1714">
        <f>IFERROR(HLOOKUP(L$2,[53]table_female_hkom2_inj.U2!$A$1:$K$36,13,FALSE),0)</f>
        <v>0</v>
      </c>
      <c r="M1714">
        <f t="shared" si="536"/>
        <v>0</v>
      </c>
      <c r="S1714" t="s">
        <v>81</v>
      </c>
      <c r="T1714" s="5">
        <f t="shared" si="537"/>
        <v>0</v>
      </c>
      <c r="U1714" s="5">
        <f t="shared" si="538"/>
        <v>0</v>
      </c>
      <c r="V1714" s="5">
        <f t="shared" si="539"/>
        <v>0</v>
      </c>
      <c r="W1714" s="5">
        <f t="shared" si="540"/>
        <v>0</v>
      </c>
      <c r="X1714" s="5">
        <f t="shared" si="541"/>
        <v>0</v>
      </c>
      <c r="Y1714" s="5">
        <f t="shared" si="542"/>
        <v>0</v>
      </c>
      <c r="Z1714" s="5">
        <f t="shared" si="543"/>
        <v>0</v>
      </c>
      <c r="AA1714" s="5">
        <f t="shared" si="544"/>
        <v>0</v>
      </c>
      <c r="AB1714" s="5">
        <f t="shared" si="534"/>
        <v>0</v>
      </c>
    </row>
    <row r="1715" spans="4:28" x14ac:dyDescent="0.25">
      <c r="D1715" t="s">
        <v>82</v>
      </c>
      <c r="E1715" s="64"/>
      <c r="F1715" s="64"/>
      <c r="G1715">
        <f>IFERROR(HLOOKUP(G$2,[53]table_female_hkom2_inj.U2!$A$1:$K$36,14,FALSE),0)</f>
        <v>0</v>
      </c>
      <c r="H1715">
        <f>IFERROR(HLOOKUP(H$2,[53]table_female_hkom2_inj.U2!$A$1:$K$36,14,FALSE),0)</f>
        <v>0</v>
      </c>
      <c r="I1715">
        <f>IFERROR(HLOOKUP(I$2,[53]table_female_hkom2_inj.U2!$A$1:$K$36,14,FALSE),0)</f>
        <v>0</v>
      </c>
      <c r="J1715">
        <f>IFERROR(HLOOKUP(J$2,[53]table_female_hkom2_inj.U2!$A$1:$K$36,14,FALSE),0)</f>
        <v>0</v>
      </c>
      <c r="K1715">
        <f>IFERROR(HLOOKUP(K$2,[53]table_female_hkom2_inj.U2!$A$1:$K$36,14,FALSE),0)</f>
        <v>0</v>
      </c>
      <c r="L1715">
        <f>IFERROR(HLOOKUP(L$2,[53]table_female_hkom2_inj.U2!$A$1:$K$36,14,FALSE),0)</f>
        <v>0</v>
      </c>
      <c r="M1715">
        <f t="shared" si="536"/>
        <v>0</v>
      </c>
      <c r="S1715" t="s">
        <v>82</v>
      </c>
      <c r="T1715" s="5">
        <f t="shared" si="537"/>
        <v>0</v>
      </c>
      <c r="U1715" s="5">
        <f t="shared" si="538"/>
        <v>0</v>
      </c>
      <c r="V1715" s="5">
        <f t="shared" si="539"/>
        <v>0</v>
      </c>
      <c r="W1715" s="5">
        <f t="shared" si="540"/>
        <v>0</v>
      </c>
      <c r="X1715" s="5">
        <f t="shared" si="541"/>
        <v>0</v>
      </c>
      <c r="Y1715" s="5">
        <f t="shared" si="542"/>
        <v>0</v>
      </c>
      <c r="Z1715" s="5">
        <f t="shared" si="543"/>
        <v>0</v>
      </c>
      <c r="AA1715" s="5">
        <f t="shared" si="544"/>
        <v>0</v>
      </c>
      <c r="AB1715" s="5">
        <f t="shared" si="534"/>
        <v>0</v>
      </c>
    </row>
    <row r="1716" spans="4:28" x14ac:dyDescent="0.25">
      <c r="D1716" t="s">
        <v>83</v>
      </c>
      <c r="E1716" s="64"/>
      <c r="F1716" s="64"/>
      <c r="G1716">
        <f>IFERROR(HLOOKUP(G$2,[53]table_female_hkom2_inj.U2!$A$1:$K$36,15,FALSE),0)</f>
        <v>0</v>
      </c>
      <c r="H1716">
        <f>IFERROR(HLOOKUP(H$2,[53]table_female_hkom2_inj.U2!$A$1:$K$36,15,FALSE),0)</f>
        <v>0</v>
      </c>
      <c r="I1716">
        <f>IFERROR(HLOOKUP(I$2,[53]table_female_hkom2_inj.U2!$A$1:$K$36,15,FALSE),0)</f>
        <v>0</v>
      </c>
      <c r="J1716">
        <f>IFERROR(HLOOKUP(J$2,[53]table_female_hkom2_inj.U2!$A$1:$K$36,15,FALSE),0)</f>
        <v>0</v>
      </c>
      <c r="K1716">
        <f>IFERROR(HLOOKUP(K$2,[53]table_female_hkom2_inj.U2!$A$1:$K$36,15,FALSE),0)</f>
        <v>0</v>
      </c>
      <c r="L1716">
        <f>IFERROR(HLOOKUP(L$2,[53]table_female_hkom2_inj.U2!$A$1:$K$36,15,FALSE),0)</f>
        <v>0</v>
      </c>
      <c r="M1716">
        <f t="shared" si="536"/>
        <v>0</v>
      </c>
      <c r="S1716" t="s">
        <v>83</v>
      </c>
      <c r="T1716" s="5">
        <f t="shared" si="537"/>
        <v>0</v>
      </c>
      <c r="U1716" s="5">
        <f t="shared" si="538"/>
        <v>0</v>
      </c>
      <c r="V1716" s="5">
        <f t="shared" si="539"/>
        <v>0</v>
      </c>
      <c r="W1716" s="5">
        <f t="shared" si="540"/>
        <v>0</v>
      </c>
      <c r="X1716" s="5">
        <f t="shared" si="541"/>
        <v>0</v>
      </c>
      <c r="Y1716" s="5">
        <f t="shared" si="542"/>
        <v>0</v>
      </c>
      <c r="Z1716" s="5">
        <f t="shared" si="543"/>
        <v>0</v>
      </c>
      <c r="AA1716" s="5">
        <f t="shared" si="544"/>
        <v>0</v>
      </c>
      <c r="AB1716" s="5">
        <f t="shared" si="534"/>
        <v>0</v>
      </c>
    </row>
    <row r="1717" spans="4:28" x14ac:dyDescent="0.25">
      <c r="D1717" t="s">
        <v>84</v>
      </c>
      <c r="E1717" s="64"/>
      <c r="F1717" s="64"/>
      <c r="G1717">
        <f>IFERROR(HLOOKUP(G$2,[53]table_female_hkom2_inj.U2!$A$1:$K$36,16,FALSE),0)</f>
        <v>0</v>
      </c>
      <c r="H1717">
        <f>IFERROR(HLOOKUP(H$2,[53]table_female_hkom2_inj.U2!$A$1:$K$36,16,FALSE),0)</f>
        <v>0</v>
      </c>
      <c r="I1717">
        <f>IFERROR(HLOOKUP(I$2,[53]table_female_hkom2_inj.U2!$A$1:$K$36,16,FALSE),0)</f>
        <v>0</v>
      </c>
      <c r="J1717">
        <f>IFERROR(HLOOKUP(J$2,[53]table_female_hkom2_inj.U2!$A$1:$K$36,16,FALSE),0)</f>
        <v>0</v>
      </c>
      <c r="K1717">
        <f>IFERROR(HLOOKUP(K$2,[53]table_female_hkom2_inj.U2!$A$1:$K$36,16,FALSE),0)</f>
        <v>0</v>
      </c>
      <c r="L1717">
        <f>IFERROR(HLOOKUP(L$2,[53]table_female_hkom2_inj.U2!$A$1:$K$36,16,FALSE),0)</f>
        <v>0</v>
      </c>
      <c r="M1717">
        <f t="shared" si="536"/>
        <v>0</v>
      </c>
      <c r="S1717" t="s">
        <v>84</v>
      </c>
      <c r="T1717" s="5">
        <f t="shared" si="537"/>
        <v>0</v>
      </c>
      <c r="U1717" s="5">
        <f t="shared" si="538"/>
        <v>0</v>
      </c>
      <c r="V1717" s="5">
        <f t="shared" si="539"/>
        <v>0</v>
      </c>
      <c r="W1717" s="5">
        <f t="shared" si="540"/>
        <v>0</v>
      </c>
      <c r="X1717" s="5">
        <f t="shared" si="541"/>
        <v>0</v>
      </c>
      <c r="Y1717" s="5">
        <f t="shared" si="542"/>
        <v>0</v>
      </c>
      <c r="Z1717" s="5">
        <f t="shared" si="543"/>
        <v>0</v>
      </c>
      <c r="AA1717" s="5">
        <f t="shared" si="544"/>
        <v>0</v>
      </c>
      <c r="AB1717" s="5">
        <f t="shared" si="534"/>
        <v>0</v>
      </c>
    </row>
    <row r="1718" spans="4:28" x14ac:dyDescent="0.25">
      <c r="D1718" t="s">
        <v>85</v>
      </c>
      <c r="E1718" s="64"/>
      <c r="F1718" s="64"/>
      <c r="G1718">
        <f>IFERROR(HLOOKUP(G$2,[53]table_female_hkom2_inj.U2!$A$1:$K$36,17,FALSE),0)</f>
        <v>0</v>
      </c>
      <c r="H1718">
        <f>IFERROR(HLOOKUP(H$2,[53]table_female_hkom2_inj.U2!$A$1:$K$36,17,FALSE),0)</f>
        <v>0</v>
      </c>
      <c r="I1718">
        <f>IFERROR(HLOOKUP(I$2,[53]table_female_hkom2_inj.U2!$A$1:$K$36,17,FALSE),0)</f>
        <v>0</v>
      </c>
      <c r="J1718">
        <f>IFERROR(HLOOKUP(J$2,[53]table_female_hkom2_inj.U2!$A$1:$K$36,17,FALSE),0)</f>
        <v>0</v>
      </c>
      <c r="K1718">
        <f>IFERROR(HLOOKUP(K$2,[53]table_female_hkom2_inj.U2!$A$1:$K$36,17,FALSE),0)</f>
        <v>0</v>
      </c>
      <c r="L1718">
        <f>IFERROR(HLOOKUP(L$2,[53]table_female_hkom2_inj.U2!$A$1:$K$36,17,FALSE),0)</f>
        <v>0</v>
      </c>
      <c r="M1718">
        <f t="shared" si="536"/>
        <v>0</v>
      </c>
      <c r="S1718" t="s">
        <v>85</v>
      </c>
      <c r="T1718" s="5">
        <f t="shared" si="537"/>
        <v>0</v>
      </c>
      <c r="U1718" s="5">
        <f t="shared" si="538"/>
        <v>0</v>
      </c>
      <c r="V1718" s="5">
        <f t="shared" si="539"/>
        <v>0</v>
      </c>
      <c r="W1718" s="5">
        <f t="shared" si="540"/>
        <v>0</v>
      </c>
      <c r="X1718" s="5">
        <f t="shared" si="541"/>
        <v>0</v>
      </c>
      <c r="Y1718" s="5">
        <f t="shared" si="542"/>
        <v>0</v>
      </c>
      <c r="Z1718" s="5">
        <f t="shared" si="543"/>
        <v>0</v>
      </c>
      <c r="AA1718" s="5">
        <f t="shared" si="544"/>
        <v>0</v>
      </c>
      <c r="AB1718" s="5">
        <f t="shared" si="534"/>
        <v>0</v>
      </c>
    </row>
    <row r="1719" spans="4:28" x14ac:dyDescent="0.25">
      <c r="D1719" t="s">
        <v>86</v>
      </c>
      <c r="E1719" s="64"/>
      <c r="F1719" s="64"/>
      <c r="G1719">
        <f>IFERROR(HLOOKUP(G$2,[53]table_female_hkom2_inj.U2!$A$1:$K$36,18,FALSE),0)</f>
        <v>0</v>
      </c>
      <c r="H1719">
        <f>IFERROR(HLOOKUP(H$2,[53]table_female_hkom2_inj.U2!$A$1:$K$36,18,FALSE),0)</f>
        <v>0</v>
      </c>
      <c r="I1719">
        <f>IFERROR(HLOOKUP(I$2,[53]table_female_hkom2_inj.U2!$A$1:$K$36,18,FALSE),0)</f>
        <v>0</v>
      </c>
      <c r="J1719">
        <f>IFERROR(HLOOKUP(J$2,[53]table_female_hkom2_inj.U2!$A$1:$K$36,18,FALSE),0)</f>
        <v>0</v>
      </c>
      <c r="K1719">
        <f>IFERROR(HLOOKUP(K$2,[53]table_female_hkom2_inj.U2!$A$1:$K$36,18,FALSE),0)</f>
        <v>0</v>
      </c>
      <c r="L1719">
        <f>IFERROR(HLOOKUP(L$2,[53]table_female_hkom2_inj.U2!$A$1:$K$36,18,FALSE),0)</f>
        <v>0</v>
      </c>
      <c r="M1719">
        <f t="shared" si="536"/>
        <v>0</v>
      </c>
      <c r="S1719" t="s">
        <v>86</v>
      </c>
      <c r="T1719" s="5">
        <f t="shared" si="537"/>
        <v>0</v>
      </c>
      <c r="U1719" s="5">
        <f t="shared" si="538"/>
        <v>0</v>
      </c>
      <c r="V1719" s="5">
        <f t="shared" si="539"/>
        <v>0</v>
      </c>
      <c r="W1719" s="5">
        <f t="shared" si="540"/>
        <v>0</v>
      </c>
      <c r="X1719" s="5">
        <f t="shared" si="541"/>
        <v>0</v>
      </c>
      <c r="Y1719" s="5">
        <f t="shared" si="542"/>
        <v>0</v>
      </c>
      <c r="Z1719" s="5">
        <f t="shared" si="543"/>
        <v>0</v>
      </c>
      <c r="AA1719" s="5">
        <f t="shared" si="544"/>
        <v>0</v>
      </c>
      <c r="AB1719" s="5">
        <f t="shared" si="534"/>
        <v>0</v>
      </c>
    </row>
    <row r="1720" spans="4:28" x14ac:dyDescent="0.25">
      <c r="D1720" t="s">
        <v>87</v>
      </c>
      <c r="E1720" s="64"/>
      <c r="F1720" s="64"/>
      <c r="G1720">
        <f>IFERROR(HLOOKUP(G$2,[53]table_female_hkom2_inj.U2!$A$1:$K$36,19,FALSE),0)</f>
        <v>0</v>
      </c>
      <c r="H1720">
        <f>IFERROR(HLOOKUP(H$2,[53]table_female_hkom2_inj.U2!$A$1:$K$36,19,FALSE),0)</f>
        <v>0</v>
      </c>
      <c r="I1720">
        <f>IFERROR(HLOOKUP(I$2,[53]table_female_hkom2_inj.U2!$A$1:$K$36,19,FALSE),0)</f>
        <v>0</v>
      </c>
      <c r="J1720">
        <f>IFERROR(HLOOKUP(J$2,[53]table_female_hkom2_inj.U2!$A$1:$K$36,19,FALSE),0)</f>
        <v>0</v>
      </c>
      <c r="K1720">
        <f>IFERROR(HLOOKUP(K$2,[53]table_female_hkom2_inj.U2!$A$1:$K$36,19,FALSE),0)</f>
        <v>0</v>
      </c>
      <c r="L1720">
        <f>IFERROR(HLOOKUP(L$2,[53]table_female_hkom2_inj.U2!$A$1:$K$36,19,FALSE),0)</f>
        <v>0</v>
      </c>
      <c r="M1720">
        <f t="shared" si="536"/>
        <v>0</v>
      </c>
      <c r="S1720" t="s">
        <v>87</v>
      </c>
      <c r="T1720" s="5">
        <f t="shared" si="537"/>
        <v>0</v>
      </c>
      <c r="U1720" s="5">
        <f t="shared" si="538"/>
        <v>0</v>
      </c>
      <c r="V1720" s="5">
        <f t="shared" si="539"/>
        <v>0</v>
      </c>
      <c r="W1720" s="5">
        <f t="shared" si="540"/>
        <v>0</v>
      </c>
      <c r="X1720" s="5">
        <f t="shared" si="541"/>
        <v>0</v>
      </c>
      <c r="Y1720" s="5">
        <f t="shared" si="542"/>
        <v>0</v>
      </c>
      <c r="Z1720" s="5">
        <f t="shared" si="543"/>
        <v>0</v>
      </c>
      <c r="AA1720" s="5">
        <f t="shared" si="544"/>
        <v>0</v>
      </c>
      <c r="AB1720" s="5">
        <f t="shared" si="534"/>
        <v>0</v>
      </c>
    </row>
    <row r="1721" spans="4:28" x14ac:dyDescent="0.25">
      <c r="D1721" t="s">
        <v>88</v>
      </c>
      <c r="E1721" s="64"/>
      <c r="F1721" s="64"/>
      <c r="G1721">
        <f>IFERROR(HLOOKUP(G$2,[53]table_female_hkom2_inj.U2!$A$1:$K$36,20,FALSE),0)</f>
        <v>0</v>
      </c>
      <c r="H1721">
        <f>IFERROR(HLOOKUP(H$2,[53]table_female_hkom2_inj.U2!$A$1:$K$36,20,FALSE),0)</f>
        <v>0</v>
      </c>
      <c r="I1721">
        <f>IFERROR(HLOOKUP(I$2,[53]table_female_hkom2_inj.U2!$A$1:$K$36,20,FALSE),0)</f>
        <v>0</v>
      </c>
      <c r="J1721">
        <f>IFERROR(HLOOKUP(J$2,[53]table_female_hkom2_inj.U2!$A$1:$K$36,20,FALSE),0)</f>
        <v>0</v>
      </c>
      <c r="K1721">
        <f>IFERROR(HLOOKUP(K$2,[53]table_female_hkom2_inj.U2!$A$1:$K$36,20,FALSE),0)</f>
        <v>0</v>
      </c>
      <c r="L1721">
        <f>IFERROR(HLOOKUP(L$2,[53]table_female_hkom2_inj.U2!$A$1:$K$36,20,FALSE),0)</f>
        <v>0</v>
      </c>
      <c r="M1721">
        <f t="shared" si="536"/>
        <v>0</v>
      </c>
      <c r="S1721" t="s">
        <v>88</v>
      </c>
      <c r="T1721" s="5">
        <f t="shared" si="537"/>
        <v>0</v>
      </c>
      <c r="U1721" s="5">
        <f t="shared" si="538"/>
        <v>0</v>
      </c>
      <c r="V1721" s="5">
        <f t="shared" si="539"/>
        <v>0</v>
      </c>
      <c r="W1721" s="5">
        <f t="shared" si="540"/>
        <v>0</v>
      </c>
      <c r="X1721" s="5">
        <f t="shared" si="541"/>
        <v>0</v>
      </c>
      <c r="Y1721" s="5">
        <f t="shared" si="542"/>
        <v>0</v>
      </c>
      <c r="Z1721" s="5">
        <f t="shared" si="543"/>
        <v>0</v>
      </c>
      <c r="AA1721" s="5">
        <f t="shared" si="544"/>
        <v>0</v>
      </c>
      <c r="AB1721" s="5">
        <f t="shared" si="534"/>
        <v>0</v>
      </c>
    </row>
    <row r="1722" spans="4:28" x14ac:dyDescent="0.25">
      <c r="D1722" t="s">
        <v>89</v>
      </c>
      <c r="E1722" s="64"/>
      <c r="F1722" s="64"/>
      <c r="G1722">
        <f>IFERROR(HLOOKUP(G$2,[53]table_female_hkom2_inj.U2!$A$1:$K$36,21,FALSE),0)</f>
        <v>0</v>
      </c>
      <c r="H1722">
        <f>IFERROR(HLOOKUP(H$2,[53]table_female_hkom2_inj.U2!$A$1:$K$36,21,FALSE),0)</f>
        <v>2</v>
      </c>
      <c r="I1722">
        <f>IFERROR(HLOOKUP(I$2,[53]table_female_hkom2_inj.U2!$A$1:$K$36,21,FALSE),0)</f>
        <v>2</v>
      </c>
      <c r="J1722">
        <f>IFERROR(HLOOKUP(J$2,[53]table_female_hkom2_inj.U2!$A$1:$K$36,21,FALSE),0)</f>
        <v>1</v>
      </c>
      <c r="K1722">
        <f>IFERROR(HLOOKUP(K$2,[53]table_female_hkom2_inj.U2!$A$1:$K$36,21,FALSE),0)</f>
        <v>0</v>
      </c>
      <c r="L1722">
        <f>IFERROR(HLOOKUP(L$2,[53]table_female_hkom2_inj.U2!$A$1:$K$36,21,FALSE),0)</f>
        <v>0</v>
      </c>
      <c r="M1722">
        <f t="shared" si="536"/>
        <v>5</v>
      </c>
      <c r="S1722" t="s">
        <v>89</v>
      </c>
      <c r="T1722" s="5">
        <f t="shared" si="537"/>
        <v>0</v>
      </c>
      <c r="U1722" s="5">
        <f t="shared" si="538"/>
        <v>0</v>
      </c>
      <c r="V1722" s="5">
        <f t="shared" si="539"/>
        <v>0</v>
      </c>
      <c r="W1722" s="5">
        <f t="shared" si="540"/>
        <v>4.2222222222222223</v>
      </c>
      <c r="X1722" s="5">
        <f t="shared" si="541"/>
        <v>5</v>
      </c>
      <c r="Y1722" s="5">
        <f t="shared" si="542"/>
        <v>2</v>
      </c>
      <c r="Z1722" s="5">
        <f t="shared" si="543"/>
        <v>0</v>
      </c>
      <c r="AA1722" s="5">
        <f t="shared" si="544"/>
        <v>0</v>
      </c>
      <c r="AB1722" s="5">
        <f t="shared" si="534"/>
        <v>11.222222222222221</v>
      </c>
    </row>
    <row r="1723" spans="4:28" x14ac:dyDescent="0.25">
      <c r="D1723" t="s">
        <v>90</v>
      </c>
      <c r="E1723" s="64"/>
      <c r="F1723" s="64"/>
      <c r="G1723">
        <f>IFERROR(HLOOKUP(G$2,[53]table_female_hkom2_inj.U2!$A$1:$K$36,22,FALSE),0)</f>
        <v>0</v>
      </c>
      <c r="H1723">
        <f>IFERROR(HLOOKUP(H$2,[53]table_female_hkom2_inj.U2!$A$1:$K$36,22,FALSE),0)</f>
        <v>0</v>
      </c>
      <c r="I1723">
        <f>IFERROR(HLOOKUP(I$2,[53]table_female_hkom2_inj.U2!$A$1:$K$36,22,FALSE),0)</f>
        <v>0</v>
      </c>
      <c r="J1723">
        <f>IFERROR(HLOOKUP(J$2,[53]table_female_hkom2_inj.U2!$A$1:$K$36,22,FALSE),0)</f>
        <v>0</v>
      </c>
      <c r="K1723">
        <f>IFERROR(HLOOKUP(K$2,[53]table_female_hkom2_inj.U2!$A$1:$K$36,22,FALSE),0)</f>
        <v>0</v>
      </c>
      <c r="L1723">
        <f>IFERROR(HLOOKUP(L$2,[53]table_female_hkom2_inj.U2!$A$1:$K$36,22,FALSE),0)</f>
        <v>0</v>
      </c>
      <c r="M1723">
        <f t="shared" si="536"/>
        <v>0</v>
      </c>
      <c r="S1723" t="s">
        <v>90</v>
      </c>
      <c r="T1723" s="5">
        <f t="shared" si="537"/>
        <v>0</v>
      </c>
      <c r="U1723" s="5">
        <f t="shared" si="538"/>
        <v>0</v>
      </c>
      <c r="V1723" s="5">
        <f t="shared" si="539"/>
        <v>0</v>
      </c>
      <c r="W1723" s="5">
        <f t="shared" si="540"/>
        <v>0</v>
      </c>
      <c r="X1723" s="5">
        <f t="shared" si="541"/>
        <v>0</v>
      </c>
      <c r="Y1723" s="5">
        <f t="shared" si="542"/>
        <v>0</v>
      </c>
      <c r="Z1723" s="5">
        <f t="shared" si="543"/>
        <v>0</v>
      </c>
      <c r="AA1723" s="5">
        <f t="shared" si="544"/>
        <v>0</v>
      </c>
      <c r="AB1723" s="5">
        <f t="shared" si="534"/>
        <v>0</v>
      </c>
    </row>
    <row r="1724" spans="4:28" x14ac:dyDescent="0.25">
      <c r="D1724" t="s">
        <v>91</v>
      </c>
      <c r="E1724" s="64"/>
      <c r="F1724" s="64"/>
      <c r="G1724">
        <f>IFERROR(HLOOKUP(G$2,[53]table_female_hkom2_inj.U2!$A$1:$K$36,23,FALSE),0)</f>
        <v>0</v>
      </c>
      <c r="H1724">
        <f>IFERROR(HLOOKUP(H$2,[53]table_female_hkom2_inj.U2!$A$1:$K$36,23,FALSE),0)</f>
        <v>0</v>
      </c>
      <c r="I1724">
        <f>IFERROR(HLOOKUP(I$2,[53]table_female_hkom2_inj.U2!$A$1:$K$36,23,FALSE),0)</f>
        <v>0</v>
      </c>
      <c r="J1724">
        <f>IFERROR(HLOOKUP(J$2,[53]table_female_hkom2_inj.U2!$A$1:$K$36,23,FALSE),0)</f>
        <v>0</v>
      </c>
      <c r="K1724">
        <f>IFERROR(HLOOKUP(K$2,[53]table_female_hkom2_inj.U2!$A$1:$K$36,23,FALSE),0)</f>
        <v>0</v>
      </c>
      <c r="L1724">
        <f>IFERROR(HLOOKUP(L$2,[53]table_female_hkom2_inj.U2!$A$1:$K$36,23,FALSE),0)</f>
        <v>0</v>
      </c>
      <c r="M1724">
        <f t="shared" si="536"/>
        <v>0</v>
      </c>
      <c r="S1724" t="s">
        <v>91</v>
      </c>
      <c r="T1724" s="5">
        <f t="shared" si="537"/>
        <v>0</v>
      </c>
      <c r="U1724" s="5">
        <f t="shared" si="538"/>
        <v>0</v>
      </c>
      <c r="V1724" s="5">
        <f t="shared" si="539"/>
        <v>0</v>
      </c>
      <c r="W1724" s="5">
        <f t="shared" si="540"/>
        <v>0</v>
      </c>
      <c r="X1724" s="5">
        <f t="shared" si="541"/>
        <v>0</v>
      </c>
      <c r="Y1724" s="5">
        <f t="shared" si="542"/>
        <v>0</v>
      </c>
      <c r="Z1724" s="5">
        <f t="shared" si="543"/>
        <v>0</v>
      </c>
      <c r="AA1724" s="5">
        <f t="shared" si="544"/>
        <v>0</v>
      </c>
      <c r="AB1724" s="5">
        <f t="shared" si="534"/>
        <v>0</v>
      </c>
    </row>
    <row r="1725" spans="4:28" x14ac:dyDescent="0.25">
      <c r="D1725" t="s">
        <v>92</v>
      </c>
      <c r="E1725" s="64"/>
      <c r="F1725" s="64"/>
      <c r="G1725">
        <f>IFERROR(HLOOKUP(G$2,[53]table_female_hkom2_inj.U2!$A$1:$K$36,24,FALSE),0)</f>
        <v>0</v>
      </c>
      <c r="H1725">
        <f>IFERROR(HLOOKUP(H$2,[53]table_female_hkom2_inj.U2!$A$1:$K$36,24,FALSE),0)</f>
        <v>0</v>
      </c>
      <c r="I1725">
        <f>IFERROR(HLOOKUP(I$2,[53]table_female_hkom2_inj.U2!$A$1:$K$36,24,FALSE),0)</f>
        <v>0</v>
      </c>
      <c r="J1725">
        <f>IFERROR(HLOOKUP(J$2,[53]table_female_hkom2_inj.U2!$A$1:$K$36,24,FALSE),0)</f>
        <v>0</v>
      </c>
      <c r="K1725">
        <f>IFERROR(HLOOKUP(K$2,[53]table_female_hkom2_inj.U2!$A$1:$K$36,24,FALSE),0)</f>
        <v>0</v>
      </c>
      <c r="L1725">
        <f>IFERROR(HLOOKUP(L$2,[53]table_female_hkom2_inj.U2!$A$1:$K$36,24,FALSE),0)</f>
        <v>0</v>
      </c>
      <c r="M1725">
        <f t="shared" si="536"/>
        <v>0</v>
      </c>
      <c r="S1725" t="s">
        <v>92</v>
      </c>
      <c r="T1725" s="5">
        <f t="shared" si="537"/>
        <v>0</v>
      </c>
      <c r="U1725" s="5">
        <f t="shared" si="538"/>
        <v>0</v>
      </c>
      <c r="V1725" s="5">
        <f t="shared" si="539"/>
        <v>0</v>
      </c>
      <c r="W1725" s="5">
        <f t="shared" si="540"/>
        <v>0</v>
      </c>
      <c r="X1725" s="5">
        <f t="shared" si="541"/>
        <v>0</v>
      </c>
      <c r="Y1725" s="5">
        <f t="shared" si="542"/>
        <v>0</v>
      </c>
      <c r="Z1725" s="5">
        <f t="shared" si="543"/>
        <v>0</v>
      </c>
      <c r="AA1725" s="5">
        <f t="shared" si="544"/>
        <v>0</v>
      </c>
      <c r="AB1725" s="5">
        <f t="shared" si="534"/>
        <v>0</v>
      </c>
    </row>
    <row r="1726" spans="4:28" x14ac:dyDescent="0.25">
      <c r="D1726" t="s">
        <v>93</v>
      </c>
      <c r="E1726" s="64"/>
      <c r="F1726" s="64"/>
      <c r="G1726">
        <f>IFERROR(HLOOKUP(G$2,[53]table_female_hkom2_inj.U2!$A$1:$K$36,25,FALSE),0)</f>
        <v>0</v>
      </c>
      <c r="H1726">
        <f>IFERROR(HLOOKUP(H$2,[53]table_female_hkom2_inj.U2!$A$1:$K$36,25,FALSE),0)</f>
        <v>0</v>
      </c>
      <c r="I1726">
        <f>IFERROR(HLOOKUP(I$2,[53]table_female_hkom2_inj.U2!$A$1:$K$36,25,FALSE),0)</f>
        <v>0</v>
      </c>
      <c r="J1726">
        <f>IFERROR(HLOOKUP(J$2,[53]table_female_hkom2_inj.U2!$A$1:$K$36,25,FALSE),0)</f>
        <v>0</v>
      </c>
      <c r="K1726">
        <f>IFERROR(HLOOKUP(K$2,[53]table_female_hkom2_inj.U2!$A$1:$K$36,25,FALSE),0)</f>
        <v>0</v>
      </c>
      <c r="L1726">
        <f>IFERROR(HLOOKUP(L$2,[53]table_female_hkom2_inj.U2!$A$1:$K$36,25,FALSE),0)</f>
        <v>0</v>
      </c>
      <c r="M1726">
        <f t="shared" si="536"/>
        <v>0</v>
      </c>
      <c r="S1726" t="s">
        <v>93</v>
      </c>
      <c r="T1726" s="5">
        <f t="shared" si="537"/>
        <v>0</v>
      </c>
      <c r="U1726" s="5">
        <f t="shared" si="538"/>
        <v>0</v>
      </c>
      <c r="V1726" s="5">
        <f t="shared" si="539"/>
        <v>0</v>
      </c>
      <c r="W1726" s="5">
        <f t="shared" si="540"/>
        <v>0</v>
      </c>
      <c r="X1726" s="5">
        <f t="shared" si="541"/>
        <v>0</v>
      </c>
      <c r="Y1726" s="5">
        <f t="shared" si="542"/>
        <v>0</v>
      </c>
      <c r="Z1726" s="5">
        <f t="shared" si="543"/>
        <v>0</v>
      </c>
      <c r="AA1726" s="5">
        <f t="shared" si="544"/>
        <v>0</v>
      </c>
      <c r="AB1726" s="5">
        <f t="shared" si="534"/>
        <v>0</v>
      </c>
    </row>
    <row r="1727" spans="4:28" x14ac:dyDescent="0.25">
      <c r="D1727" t="s">
        <v>94</v>
      </c>
      <c r="E1727" s="64"/>
      <c r="F1727" s="64"/>
      <c r="G1727">
        <f>IFERROR(HLOOKUP(G$2,[53]table_female_hkom2_inj.U2!$A$1:$K$36,26,FALSE),0)</f>
        <v>0</v>
      </c>
      <c r="H1727">
        <f>IFERROR(HLOOKUP(H$2,[53]table_female_hkom2_inj.U2!$A$1:$K$36,26,FALSE),0)</f>
        <v>0</v>
      </c>
      <c r="I1727">
        <f>IFERROR(HLOOKUP(I$2,[53]table_female_hkom2_inj.U2!$A$1:$K$36,26,FALSE),0)</f>
        <v>0</v>
      </c>
      <c r="J1727">
        <f>IFERROR(HLOOKUP(J$2,[53]table_female_hkom2_inj.U2!$A$1:$K$36,26,FALSE),0)</f>
        <v>0</v>
      </c>
      <c r="K1727">
        <f>IFERROR(HLOOKUP(K$2,[53]table_female_hkom2_inj.U2!$A$1:$K$36,26,FALSE),0)</f>
        <v>0</v>
      </c>
      <c r="L1727">
        <f>IFERROR(HLOOKUP(L$2,[53]table_female_hkom2_inj.U2!$A$1:$K$36,26,FALSE),0)</f>
        <v>0</v>
      </c>
      <c r="M1727">
        <f t="shared" si="536"/>
        <v>0</v>
      </c>
      <c r="S1727" t="s">
        <v>94</v>
      </c>
      <c r="T1727" s="5">
        <f t="shared" si="537"/>
        <v>0</v>
      </c>
      <c r="U1727" s="5">
        <f t="shared" si="538"/>
        <v>0</v>
      </c>
      <c r="V1727" s="5">
        <f t="shared" si="539"/>
        <v>0</v>
      </c>
      <c r="W1727" s="5">
        <f t="shared" si="540"/>
        <v>0</v>
      </c>
      <c r="X1727" s="5">
        <f t="shared" si="541"/>
        <v>0</v>
      </c>
      <c r="Y1727" s="5">
        <f t="shared" si="542"/>
        <v>0</v>
      </c>
      <c r="Z1727" s="5">
        <f t="shared" si="543"/>
        <v>0</v>
      </c>
      <c r="AA1727" s="5">
        <f t="shared" si="544"/>
        <v>0</v>
      </c>
      <c r="AB1727" s="5">
        <f t="shared" si="534"/>
        <v>0</v>
      </c>
    </row>
    <row r="1728" spans="4:28" x14ac:dyDescent="0.25">
      <c r="D1728" t="s">
        <v>95</v>
      </c>
      <c r="E1728" s="64"/>
      <c r="F1728" s="64"/>
      <c r="G1728">
        <f>IFERROR(HLOOKUP(G$2,[53]table_female_hkom2_inj.U2!$A$1:$K$36,27,FALSE),0)</f>
        <v>0</v>
      </c>
      <c r="H1728">
        <f>IFERROR(HLOOKUP(H$2,[53]table_female_hkom2_inj.U2!$A$1:$K$36,27,FALSE),0)</f>
        <v>0</v>
      </c>
      <c r="I1728">
        <f>IFERROR(HLOOKUP(I$2,[53]table_female_hkom2_inj.U2!$A$1:$K$36,27,FALSE),0)</f>
        <v>0</v>
      </c>
      <c r="J1728">
        <f>IFERROR(HLOOKUP(J$2,[53]table_female_hkom2_inj.U2!$A$1:$K$36,27,FALSE),0)</f>
        <v>0</v>
      </c>
      <c r="K1728">
        <f>IFERROR(HLOOKUP(K$2,[53]table_female_hkom2_inj.U2!$A$1:$K$36,27,FALSE),0)</f>
        <v>0</v>
      </c>
      <c r="L1728">
        <f>IFERROR(HLOOKUP(L$2,[53]table_female_hkom2_inj.U2!$A$1:$K$36,27,FALSE),0)</f>
        <v>0</v>
      </c>
      <c r="M1728">
        <f t="shared" si="536"/>
        <v>0</v>
      </c>
      <c r="S1728" t="s">
        <v>95</v>
      </c>
      <c r="T1728" s="5">
        <f t="shared" si="537"/>
        <v>0</v>
      </c>
      <c r="U1728" s="5">
        <f t="shared" si="538"/>
        <v>0</v>
      </c>
      <c r="V1728" s="5">
        <f t="shared" si="539"/>
        <v>0</v>
      </c>
      <c r="W1728" s="5">
        <f t="shared" si="540"/>
        <v>0</v>
      </c>
      <c r="X1728" s="5">
        <f t="shared" si="541"/>
        <v>0</v>
      </c>
      <c r="Y1728" s="5">
        <f t="shared" si="542"/>
        <v>0</v>
      </c>
      <c r="Z1728" s="5">
        <f t="shared" si="543"/>
        <v>0</v>
      </c>
      <c r="AA1728" s="5">
        <f t="shared" si="544"/>
        <v>0</v>
      </c>
      <c r="AB1728" s="5">
        <f t="shared" si="534"/>
        <v>0</v>
      </c>
    </row>
    <row r="1729" spans="1:29" x14ac:dyDescent="0.25">
      <c r="D1729" t="s">
        <v>96</v>
      </c>
      <c r="E1729" s="64"/>
      <c r="F1729" s="64"/>
      <c r="G1729">
        <f>IFERROR(HLOOKUP(G$2,[53]table_female_hkom2_inj.U2!$A$1:$K$36,28,FALSE),0)</f>
        <v>0</v>
      </c>
      <c r="H1729">
        <f>IFERROR(HLOOKUP(H$2,[53]table_female_hkom2_inj.U2!$A$1:$K$36,28,FALSE),0)</f>
        <v>0</v>
      </c>
      <c r="I1729">
        <f>IFERROR(HLOOKUP(I$2,[53]table_female_hkom2_inj.U2!$A$1:$K$36,28,FALSE),0)</f>
        <v>0</v>
      </c>
      <c r="J1729">
        <f>IFERROR(HLOOKUP(J$2,[53]table_female_hkom2_inj.U2!$A$1:$K$36,28,FALSE),0)</f>
        <v>0</v>
      </c>
      <c r="K1729">
        <f>IFERROR(HLOOKUP(K$2,[53]table_female_hkom2_inj.U2!$A$1:$K$36,28,FALSE),0)</f>
        <v>0</v>
      </c>
      <c r="L1729">
        <f>IFERROR(HLOOKUP(L$2,[53]table_female_hkom2_inj.U2!$A$1:$K$36,28,FALSE),0)</f>
        <v>0</v>
      </c>
      <c r="M1729">
        <f t="shared" si="536"/>
        <v>0</v>
      </c>
      <c r="S1729" t="s">
        <v>96</v>
      </c>
      <c r="T1729" s="5">
        <f t="shared" si="537"/>
        <v>0</v>
      </c>
      <c r="U1729" s="5">
        <f t="shared" si="538"/>
        <v>0</v>
      </c>
      <c r="V1729" s="5">
        <f t="shared" si="539"/>
        <v>0</v>
      </c>
      <c r="W1729" s="5">
        <f t="shared" si="540"/>
        <v>0</v>
      </c>
      <c r="X1729" s="5">
        <f t="shared" si="541"/>
        <v>0</v>
      </c>
      <c r="Y1729" s="5">
        <f t="shared" si="542"/>
        <v>0</v>
      </c>
      <c r="Z1729" s="5">
        <f t="shared" si="543"/>
        <v>0</v>
      </c>
      <c r="AA1729" s="5">
        <f t="shared" si="544"/>
        <v>0</v>
      </c>
      <c r="AB1729" s="5">
        <f t="shared" si="534"/>
        <v>0</v>
      </c>
    </row>
    <row r="1730" spans="1:29" x14ac:dyDescent="0.25">
      <c r="D1730" t="s">
        <v>97</v>
      </c>
      <c r="E1730" s="64"/>
      <c r="F1730" s="64"/>
      <c r="G1730">
        <f>IFERROR(HLOOKUP(G$2,[53]table_female_hkom2_inj.U2!$A$1:$K$36,29,FALSE),0)</f>
        <v>0</v>
      </c>
      <c r="H1730">
        <f>IFERROR(HLOOKUP(H$2,[53]table_female_hkom2_inj.U2!$A$1:$K$36,29,FALSE),0)</f>
        <v>0</v>
      </c>
      <c r="I1730">
        <f>IFERROR(HLOOKUP(I$2,[53]table_female_hkom2_inj.U2!$A$1:$K$36,29,FALSE),0)</f>
        <v>0</v>
      </c>
      <c r="J1730">
        <f>IFERROR(HLOOKUP(J$2,[53]table_female_hkom2_inj.U2!$A$1:$K$36,29,FALSE),0)</f>
        <v>0</v>
      </c>
      <c r="K1730">
        <f>IFERROR(HLOOKUP(K$2,[53]table_female_hkom2_inj.U2!$A$1:$K$36,29,FALSE),0)</f>
        <v>0</v>
      </c>
      <c r="L1730">
        <f>IFERROR(HLOOKUP(L$2,[53]table_female_hkom2_inj.U2!$A$1:$K$36,29,FALSE),0)</f>
        <v>0</v>
      </c>
      <c r="M1730">
        <f t="shared" si="536"/>
        <v>0</v>
      </c>
      <c r="S1730" t="s">
        <v>97</v>
      </c>
      <c r="T1730" s="5">
        <f t="shared" si="537"/>
        <v>0</v>
      </c>
      <c r="U1730" s="5">
        <f t="shared" si="538"/>
        <v>0</v>
      </c>
      <c r="V1730" s="5">
        <f t="shared" si="539"/>
        <v>0</v>
      </c>
      <c r="W1730" s="5">
        <f t="shared" si="540"/>
        <v>0</v>
      </c>
      <c r="X1730" s="5">
        <f t="shared" si="541"/>
        <v>0</v>
      </c>
      <c r="Y1730" s="5">
        <f t="shared" si="542"/>
        <v>0</v>
      </c>
      <c r="Z1730" s="5">
        <f t="shared" si="543"/>
        <v>0</v>
      </c>
      <c r="AA1730" s="5">
        <f t="shared" si="544"/>
        <v>0</v>
      </c>
      <c r="AB1730" s="5">
        <f t="shared" si="534"/>
        <v>0</v>
      </c>
    </row>
    <row r="1731" spans="1:29" x14ac:dyDescent="0.25">
      <c r="D1731" t="s">
        <v>98</v>
      </c>
      <c r="E1731" s="64"/>
      <c r="F1731" s="64"/>
      <c r="G1731">
        <f>IFERROR(HLOOKUP(G$2,[53]table_female_hkom2_inj.U2!$A$1:$K$36,30,FALSE),0)</f>
        <v>0</v>
      </c>
      <c r="H1731">
        <f>IFERROR(HLOOKUP(H$2,[53]table_female_hkom2_inj.U2!$A$1:$K$36,30,FALSE),0)</f>
        <v>0</v>
      </c>
      <c r="I1731">
        <f>IFERROR(HLOOKUP(I$2,[53]table_female_hkom2_inj.U2!$A$1:$K$36,30,FALSE),0)</f>
        <v>0</v>
      </c>
      <c r="J1731">
        <f>IFERROR(HLOOKUP(J$2,[53]table_female_hkom2_inj.U2!$A$1:$K$36,30,FALSE),0)</f>
        <v>0</v>
      </c>
      <c r="K1731">
        <f>IFERROR(HLOOKUP(K$2,[53]table_female_hkom2_inj.U2!$A$1:$K$36,30,FALSE),0)</f>
        <v>0</v>
      </c>
      <c r="L1731">
        <f>IFERROR(HLOOKUP(L$2,[53]table_female_hkom2_inj.U2!$A$1:$K$36,30,FALSE),0)</f>
        <v>0</v>
      </c>
      <c r="M1731">
        <f t="shared" si="536"/>
        <v>0</v>
      </c>
      <c r="S1731" t="s">
        <v>98</v>
      </c>
      <c r="T1731" s="5">
        <f t="shared" si="537"/>
        <v>0</v>
      </c>
      <c r="U1731" s="5">
        <f t="shared" si="538"/>
        <v>0</v>
      </c>
      <c r="V1731" s="5">
        <f t="shared" si="539"/>
        <v>0</v>
      </c>
      <c r="W1731" s="5">
        <f t="shared" si="540"/>
        <v>0</v>
      </c>
      <c r="X1731" s="5">
        <f t="shared" si="541"/>
        <v>0</v>
      </c>
      <c r="Y1731" s="5">
        <f t="shared" si="542"/>
        <v>0</v>
      </c>
      <c r="Z1731" s="5">
        <f t="shared" si="543"/>
        <v>0</v>
      </c>
      <c r="AA1731" s="5">
        <f t="shared" si="544"/>
        <v>0</v>
      </c>
      <c r="AB1731" s="5">
        <f t="shared" si="534"/>
        <v>0</v>
      </c>
    </row>
    <row r="1732" spans="1:29" x14ac:dyDescent="0.25">
      <c r="D1732" t="s">
        <v>119</v>
      </c>
      <c r="E1732" s="64"/>
      <c r="F1732" s="64"/>
      <c r="G1732">
        <f>IFERROR(HLOOKUP(G$2,[53]table_female_hkom2_inj.U2!$A$1:$K$36,31,FALSE),0)</f>
        <v>0</v>
      </c>
      <c r="H1732">
        <f>IFERROR(HLOOKUP(H$2,[53]table_female_hkom2_inj.U2!$A$1:$K$36,31,FALSE),0)</f>
        <v>0</v>
      </c>
      <c r="I1732">
        <f>IFERROR(HLOOKUP(I$2,[53]table_female_hkom2_inj.U2!$A$1:$K$36,31,FALSE),0)</f>
        <v>0</v>
      </c>
      <c r="J1732">
        <f>IFERROR(HLOOKUP(J$2,[53]table_female_hkom2_inj.U2!$A$1:$K$36,31,FALSE),0)</f>
        <v>0</v>
      </c>
      <c r="K1732">
        <f>IFERROR(HLOOKUP(K$2,[53]table_female_hkom2_inj.U2!$A$1:$K$36,31,FALSE),0)</f>
        <v>0</v>
      </c>
      <c r="L1732">
        <f>IFERROR(HLOOKUP(L$2,[53]table_female_hkom2_inj.U2!$A$1:$K$36,31,FALSE),0)</f>
        <v>0</v>
      </c>
      <c r="M1732">
        <f t="shared" si="536"/>
        <v>0</v>
      </c>
      <c r="S1732" t="s">
        <v>119</v>
      </c>
      <c r="T1732" s="5">
        <f t="shared" si="537"/>
        <v>0</v>
      </c>
      <c r="U1732" s="5">
        <f t="shared" si="538"/>
        <v>0</v>
      </c>
      <c r="V1732" s="5">
        <f t="shared" si="539"/>
        <v>0</v>
      </c>
      <c r="W1732" s="5">
        <f t="shared" si="540"/>
        <v>0</v>
      </c>
      <c r="X1732" s="5">
        <f t="shared" si="541"/>
        <v>0</v>
      </c>
      <c r="Y1732" s="5">
        <f t="shared" si="542"/>
        <v>0</v>
      </c>
      <c r="Z1732" s="5">
        <f t="shared" si="543"/>
        <v>0</v>
      </c>
      <c r="AA1732" s="5">
        <f t="shared" si="544"/>
        <v>0</v>
      </c>
      <c r="AB1732" s="5">
        <f t="shared" si="534"/>
        <v>0</v>
      </c>
    </row>
    <row r="1733" spans="1:29" x14ac:dyDescent="0.25">
      <c r="D1733" t="s">
        <v>99</v>
      </c>
      <c r="E1733" s="64"/>
      <c r="F1733" s="64"/>
      <c r="G1733">
        <f>IFERROR(HLOOKUP(G$2,[53]table_female_hkom2_inj.U2!$A$1:$K$36,32,FALSE),0)</f>
        <v>0</v>
      </c>
      <c r="H1733">
        <f>IFERROR(HLOOKUP(H$2,[53]table_female_hkom2_inj.U2!$A$1:$K$36,32,FALSE),0)</f>
        <v>0</v>
      </c>
      <c r="I1733">
        <f>IFERROR(HLOOKUP(I$2,[53]table_female_hkom2_inj.U2!$A$1:$K$36,32,FALSE),0)</f>
        <v>0</v>
      </c>
      <c r="J1733">
        <f>IFERROR(HLOOKUP(J$2,[53]table_female_hkom2_inj.U2!$A$1:$K$36,32,FALSE),0)</f>
        <v>0</v>
      </c>
      <c r="K1733">
        <f>IFERROR(HLOOKUP(K$2,[53]table_female_hkom2_inj.U2!$A$1:$K$36,32,FALSE),0)</f>
        <v>0</v>
      </c>
      <c r="L1733">
        <f>IFERROR(HLOOKUP(L$2,[53]table_female_hkom2_inj.U2!$A$1:$K$36,32,FALSE),0)</f>
        <v>0</v>
      </c>
      <c r="M1733">
        <f t="shared" si="536"/>
        <v>0</v>
      </c>
      <c r="S1733" t="s">
        <v>99</v>
      </c>
      <c r="T1733" s="5">
        <f t="shared" si="537"/>
        <v>0</v>
      </c>
      <c r="U1733" s="5">
        <f t="shared" si="538"/>
        <v>0</v>
      </c>
      <c r="V1733" s="5">
        <f t="shared" si="539"/>
        <v>0</v>
      </c>
      <c r="W1733" s="5">
        <f t="shared" si="540"/>
        <v>0</v>
      </c>
      <c r="X1733" s="5">
        <f t="shared" si="541"/>
        <v>0</v>
      </c>
      <c r="Y1733" s="5">
        <f t="shared" si="542"/>
        <v>0</v>
      </c>
      <c r="Z1733" s="5">
        <f t="shared" si="543"/>
        <v>0</v>
      </c>
      <c r="AA1733" s="5">
        <f t="shared" si="544"/>
        <v>0</v>
      </c>
      <c r="AB1733" s="5">
        <f t="shared" si="534"/>
        <v>0</v>
      </c>
    </row>
    <row r="1734" spans="1:29" x14ac:dyDescent="0.25">
      <c r="D1734" t="s">
        <v>100</v>
      </c>
      <c r="E1734" s="64"/>
      <c r="F1734" s="64"/>
      <c r="G1734">
        <f>IFERROR(HLOOKUP(G$2,[53]table_female_hkom2_inj.U2!$A$1:$K$36,33,FALSE),0)</f>
        <v>6</v>
      </c>
      <c r="H1734">
        <f>IFERROR(HLOOKUP(H$2,[53]table_female_hkom2_inj.U2!$A$1:$K$36,33,FALSE),0)</f>
        <v>7</v>
      </c>
      <c r="I1734">
        <f>IFERROR(HLOOKUP(I$2,[53]table_female_hkom2_inj.U2!$A$1:$K$36,33,FALSE),0)</f>
        <v>2</v>
      </c>
      <c r="J1734">
        <f>IFERROR(HLOOKUP(J$2,[53]table_female_hkom2_inj.U2!$A$1:$K$36,33,FALSE),0)</f>
        <v>0</v>
      </c>
      <c r="K1734">
        <f>IFERROR(HLOOKUP(K$2,[53]table_female_hkom2_inj.U2!$A$1:$K$36,33,FALSE),0)</f>
        <v>0</v>
      </c>
      <c r="L1734">
        <f>IFERROR(HLOOKUP(L$2,[53]table_female_hkom2_inj.U2!$A$1:$K$36,33,FALSE),0)</f>
        <v>0</v>
      </c>
      <c r="M1734">
        <f t="shared" si="536"/>
        <v>15</v>
      </c>
      <c r="S1734" t="s">
        <v>100</v>
      </c>
      <c r="T1734" s="5">
        <f t="shared" si="537"/>
        <v>0</v>
      </c>
      <c r="U1734" s="5">
        <f t="shared" si="538"/>
        <v>0</v>
      </c>
      <c r="V1734" s="5">
        <f t="shared" si="539"/>
        <v>21</v>
      </c>
      <c r="W1734" s="5">
        <f t="shared" si="540"/>
        <v>14.777777777777779</v>
      </c>
      <c r="X1734" s="5">
        <f t="shared" si="541"/>
        <v>5</v>
      </c>
      <c r="Y1734" s="5">
        <f t="shared" si="542"/>
        <v>0</v>
      </c>
      <c r="Z1734" s="5">
        <f t="shared" si="543"/>
        <v>0</v>
      </c>
      <c r="AA1734" s="5">
        <f t="shared" si="544"/>
        <v>0</v>
      </c>
      <c r="AB1734" s="5">
        <f t="shared" si="534"/>
        <v>40.777777777777779</v>
      </c>
    </row>
    <row r="1735" spans="1:29" x14ac:dyDescent="0.25">
      <c r="D1735" t="s">
        <v>101</v>
      </c>
      <c r="E1735" s="64"/>
      <c r="F1735" s="64"/>
      <c r="G1735">
        <f>IFERROR(HLOOKUP(G$2,[53]table_female_hkom2_inj.U2!$A$1:$K$36,34,FALSE),0)</f>
        <v>0</v>
      </c>
      <c r="H1735">
        <f>IFERROR(HLOOKUP(H$2,[53]table_female_hkom2_inj.U2!$A$1:$K$36,34,FALSE),0)</f>
        <v>0</v>
      </c>
      <c r="I1735">
        <f>IFERROR(HLOOKUP(I$2,[53]table_female_hkom2_inj.U2!$A$1:$K$36,34,FALSE),0)</f>
        <v>0</v>
      </c>
      <c r="J1735">
        <f>IFERROR(HLOOKUP(J$2,[53]table_female_hkom2_inj.U2!$A$1:$K$36,34,FALSE),0)</f>
        <v>0</v>
      </c>
      <c r="K1735">
        <f>IFERROR(HLOOKUP(K$2,[53]table_female_hkom2_inj.U2!$A$1:$K$36,34,FALSE),0)</f>
        <v>0</v>
      </c>
      <c r="L1735">
        <f>IFERROR(HLOOKUP(L$2,[53]table_female_hkom2_inj.U2!$A$1:$K$36,34,FALSE),0)</f>
        <v>0</v>
      </c>
      <c r="M1735">
        <f t="shared" si="536"/>
        <v>0</v>
      </c>
      <c r="S1735" t="s">
        <v>101</v>
      </c>
      <c r="T1735" s="5">
        <f t="shared" si="537"/>
        <v>0</v>
      </c>
      <c r="U1735" s="5">
        <f t="shared" si="538"/>
        <v>0</v>
      </c>
      <c r="V1735" s="5">
        <f t="shared" si="539"/>
        <v>0</v>
      </c>
      <c r="W1735" s="5">
        <f t="shared" si="540"/>
        <v>0</v>
      </c>
      <c r="X1735" s="5">
        <f t="shared" si="541"/>
        <v>0</v>
      </c>
      <c r="Y1735" s="5">
        <f t="shared" si="542"/>
        <v>0</v>
      </c>
      <c r="Z1735" s="5">
        <f t="shared" si="543"/>
        <v>0</v>
      </c>
      <c r="AA1735" s="5">
        <f t="shared" si="544"/>
        <v>0</v>
      </c>
      <c r="AB1735" s="5">
        <f t="shared" si="534"/>
        <v>0</v>
      </c>
    </row>
    <row r="1736" spans="1:29" x14ac:dyDescent="0.25">
      <c r="D1736" t="s">
        <v>102</v>
      </c>
      <c r="E1736" s="64"/>
      <c r="F1736" s="64"/>
      <c r="G1736">
        <f>IFERROR(HLOOKUP(G$2,[53]table_female_hkom2_inj.U2!$A$1:$K$36,35,FALSE),0)</f>
        <v>15</v>
      </c>
      <c r="H1736">
        <f>IFERROR(HLOOKUP(H$2,[53]table_female_hkom2_inj.U2!$A$1:$K$36,35,FALSE),0)</f>
        <v>10</v>
      </c>
      <c r="I1736">
        <f>IFERROR(HLOOKUP(I$2,[53]table_female_hkom2_inj.U2!$A$1:$K$36,35,FALSE),0)</f>
        <v>6</v>
      </c>
      <c r="J1736">
        <f>IFERROR(HLOOKUP(J$2,[53]table_female_hkom2_inj.U2!$A$1:$K$36,35,FALSE),0)</f>
        <v>1</v>
      </c>
      <c r="K1736">
        <f>IFERROR(HLOOKUP(K$2,[53]table_female_hkom2_inj.U2!$A$1:$K$36,35,FALSE),0)</f>
        <v>0</v>
      </c>
      <c r="L1736">
        <f>IFERROR(HLOOKUP(L$2,[53]table_female_hkom2_inj.U2!$A$1:$K$36,35,FALSE),0)</f>
        <v>0</v>
      </c>
      <c r="M1736">
        <f t="shared" si="536"/>
        <v>32</v>
      </c>
      <c r="N1736">
        <f>SUM(M1703:M1736)</f>
        <v>52</v>
      </c>
      <c r="O1736" s="8">
        <f>SUM([53]table_female_hkom2_inj.U2!$B$2:$L$36)</f>
        <v>52</v>
      </c>
      <c r="S1736" t="s">
        <v>102</v>
      </c>
      <c r="T1736" s="7"/>
      <c r="U1736" s="7"/>
      <c r="V1736" s="7"/>
      <c r="W1736" s="7"/>
      <c r="X1736" s="7"/>
      <c r="Y1736" s="7"/>
      <c r="Z1736" s="7"/>
      <c r="AA1736" s="7"/>
      <c r="AB1736" s="5">
        <f t="shared" si="534"/>
        <v>0</v>
      </c>
      <c r="AC1736" s="5">
        <f>SUM(AB1703:AB1735)</f>
        <v>52</v>
      </c>
    </row>
    <row r="1737" spans="1:29" x14ac:dyDescent="0.25">
      <c r="A1737" t="s">
        <v>115</v>
      </c>
      <c r="B1737" t="s">
        <v>116</v>
      </c>
      <c r="C1737" t="s">
        <v>111</v>
      </c>
      <c r="D1737" t="s">
        <v>70</v>
      </c>
      <c r="E1737" s="64"/>
      <c r="F1737" s="64"/>
      <c r="G1737">
        <f>IFERROR(HLOOKUP(G$2,[54]table_female_hkom2_inj.U3!$A$1:$K$36,2,FALSE),0)</f>
        <v>0</v>
      </c>
      <c r="H1737">
        <f>IFERROR(HLOOKUP(H$2,[54]table_female_hkom2_inj.U3!$A$1:$K$36,2,FALSE),0)</f>
        <v>0</v>
      </c>
      <c r="I1737">
        <f>IFERROR(HLOOKUP(I$2,[54]table_female_hkom2_inj.U3!$A$1:$K$36,2,FALSE),0)</f>
        <v>0</v>
      </c>
      <c r="J1737">
        <f>IFERROR(HLOOKUP(J$2,[54]table_female_hkom2_inj.U3!$A$1:$K$36,2,FALSE),0)</f>
        <v>0</v>
      </c>
      <c r="K1737">
        <f>IFERROR(HLOOKUP(K$2,[54]table_female_hkom2_inj.U3!$A$1:$K$36,2,FALSE),0)</f>
        <v>0</v>
      </c>
      <c r="L1737">
        <f>IFERROR(HLOOKUP(L$2,[54]table_female_hkom2_inj.U3!$A$1:$K$36,2,FALSE),0)</f>
        <v>0</v>
      </c>
      <c r="M1737">
        <f>SUM(E1737:L1737)</f>
        <v>0</v>
      </c>
      <c r="P1737" t="s">
        <v>115</v>
      </c>
      <c r="Q1737" t="s">
        <v>116</v>
      </c>
      <c r="R1737" t="s">
        <v>111</v>
      </c>
      <c r="S1737" t="s">
        <v>70</v>
      </c>
      <c r="T1737" s="5">
        <f>IF(SUM(E$1737:E$1769)=0,E$1770/33,E1737+IFERROR(E1737/SUM(E$1737:E$1769)*E$1770,0))</f>
        <v>0</v>
      </c>
      <c r="U1737" s="5">
        <f t="shared" ref="U1737:AA1737" si="545">IF(SUM(F$1737:F$1769)=0,F$1770/33,F1737+IFERROR(F1737/SUM(F$1737:F$1769)*F$1770,0))</f>
        <v>0</v>
      </c>
      <c r="V1737" s="5">
        <f t="shared" si="545"/>
        <v>0</v>
      </c>
      <c r="W1737" s="5">
        <f t="shared" si="545"/>
        <v>0</v>
      </c>
      <c r="X1737" s="5">
        <f t="shared" si="545"/>
        <v>0</v>
      </c>
      <c r="Y1737" s="5">
        <f t="shared" si="545"/>
        <v>0</v>
      </c>
      <c r="Z1737" s="5">
        <f t="shared" si="545"/>
        <v>0</v>
      </c>
      <c r="AA1737" s="5">
        <f t="shared" si="545"/>
        <v>0</v>
      </c>
      <c r="AB1737" s="5">
        <f t="shared" si="534"/>
        <v>0</v>
      </c>
    </row>
    <row r="1738" spans="1:29" x14ac:dyDescent="0.25">
      <c r="D1738" t="s">
        <v>71</v>
      </c>
      <c r="E1738" s="64"/>
      <c r="F1738" s="64"/>
      <c r="G1738">
        <f>IFERROR(HLOOKUP(G$2,[54]table_female_hkom2_inj.U3!$A$1:$K$36,3,FALSE),0)</f>
        <v>6</v>
      </c>
      <c r="H1738">
        <f>IFERROR(HLOOKUP(H$2,[54]table_female_hkom2_inj.U3!$A$1:$K$36,3,FALSE),0)</f>
        <v>0</v>
      </c>
      <c r="I1738">
        <f>IFERROR(HLOOKUP(I$2,[54]table_female_hkom2_inj.U3!$A$1:$K$36,3,FALSE),0)</f>
        <v>3</v>
      </c>
      <c r="J1738">
        <f>IFERROR(HLOOKUP(J$2,[54]table_female_hkom2_inj.U3!$A$1:$K$36,3,FALSE),0)</f>
        <v>0</v>
      </c>
      <c r="K1738">
        <f>IFERROR(HLOOKUP(K$2,[54]table_female_hkom2_inj.U3!$A$1:$K$36,3,FALSE),0)</f>
        <v>0</v>
      </c>
      <c r="L1738">
        <f>IFERROR(HLOOKUP(L$2,[54]table_female_hkom2_inj.U3!$A$1:$K$36,3,FALSE),0)</f>
        <v>0</v>
      </c>
      <c r="M1738">
        <f t="shared" ref="M1738:M1770" si="546">SUM(E1738:L1738)</f>
        <v>9</v>
      </c>
      <c r="S1738" t="s">
        <v>71</v>
      </c>
      <c r="T1738" s="5">
        <f t="shared" ref="T1738:T1769" si="547">IF(SUM(E$1737:E$1769)=0,E$1770/33,E1738+IFERROR(E1738/SUM(E$1737:E$1769)*E$1770,0))</f>
        <v>0</v>
      </c>
      <c r="U1738" s="5">
        <f t="shared" ref="U1738:U1769" si="548">IF(SUM(F$1737:F$1769)=0,F$1770/33,F1738+IFERROR(F1738/SUM(F$1737:F$1769)*F$1770,0))</f>
        <v>0</v>
      </c>
      <c r="V1738" s="5">
        <f t="shared" ref="V1738:V1769" si="549">IF(SUM(G$1737:G$1769)=0,G$1770/33,G1738+IFERROR(G1738/SUM(G$1737:G$1769)*G$1770,0))</f>
        <v>7</v>
      </c>
      <c r="W1738" s="5">
        <f t="shared" ref="W1738:W1769" si="550">IF(SUM(H$1737:H$1769)=0,H$1770/33,H1738+IFERROR(H1738/SUM(H$1737:H$1769)*H$1770,0))</f>
        <v>0</v>
      </c>
      <c r="X1738" s="5">
        <f t="shared" ref="X1738:X1769" si="551">IF(SUM(I$1737:I$1769)=0,I$1770/33,I1738+IFERROR(I1738/SUM(I$1737:I$1769)*I$1770,0))</f>
        <v>3.258064516129032</v>
      </c>
      <c r="Y1738" s="5">
        <f t="shared" ref="Y1738:Y1769" si="552">IF(SUM(J$1737:J$1769)=0,J$1770/33,J1738+IFERROR(J1738/SUM(J$1737:J$1769)*J$1770,0))</f>
        <v>0</v>
      </c>
      <c r="Z1738" s="5">
        <f t="shared" ref="Z1738:Z1769" si="553">IF(SUM(K$1737:K$1769)=0,K$1770/33,K1738+IFERROR(K1738/SUM(K$1737:K$1769)*K$1770,0))</f>
        <v>0</v>
      </c>
      <c r="AA1738" s="5">
        <f t="shared" ref="AA1738:AA1769" si="554">IF(SUM(L$1737:L$1769)=0,L$1770/33,L1738+IFERROR(L1738/SUM(L$1737:L$1769)*L$1770,0))</f>
        <v>0</v>
      </c>
      <c r="AB1738" s="5">
        <f t="shared" si="534"/>
        <v>10.258064516129032</v>
      </c>
    </row>
    <row r="1739" spans="1:29" x14ac:dyDescent="0.25">
      <c r="D1739" t="s">
        <v>72</v>
      </c>
      <c r="E1739" s="64"/>
      <c r="F1739" s="64"/>
      <c r="G1739">
        <f>IFERROR(HLOOKUP(G$2,[54]table_female_hkom2_inj.U3!$A$1:$K$36,4,FALSE),0)</f>
        <v>1</v>
      </c>
      <c r="H1739">
        <f>IFERROR(HLOOKUP(H$2,[54]table_female_hkom2_inj.U3!$A$1:$K$36,4,FALSE),0)</f>
        <v>4</v>
      </c>
      <c r="I1739">
        <f>IFERROR(HLOOKUP(I$2,[54]table_female_hkom2_inj.U3!$A$1:$K$36,4,FALSE),0)</f>
        <v>5</v>
      </c>
      <c r="J1739">
        <f>IFERROR(HLOOKUP(J$2,[54]table_female_hkom2_inj.U3!$A$1:$K$36,4,FALSE),0)</f>
        <v>5</v>
      </c>
      <c r="K1739">
        <f>IFERROR(HLOOKUP(K$2,[54]table_female_hkom2_inj.U3!$A$1:$K$36,4,FALSE),0)</f>
        <v>0</v>
      </c>
      <c r="L1739">
        <f>IFERROR(HLOOKUP(L$2,[54]table_female_hkom2_inj.U3!$A$1:$K$36,4,FALSE),0)</f>
        <v>0</v>
      </c>
      <c r="M1739">
        <f t="shared" si="546"/>
        <v>15</v>
      </c>
      <c r="S1739" t="s">
        <v>72</v>
      </c>
      <c r="T1739" s="5">
        <f t="shared" si="547"/>
        <v>0</v>
      </c>
      <c r="U1739" s="5">
        <f t="shared" si="548"/>
        <v>0</v>
      </c>
      <c r="V1739" s="5">
        <f t="shared" si="549"/>
        <v>1.1666666666666667</v>
      </c>
      <c r="W1739" s="5">
        <f t="shared" si="550"/>
        <v>4.6206896551724137</v>
      </c>
      <c r="X1739" s="5">
        <f t="shared" si="551"/>
        <v>5.43010752688172</v>
      </c>
      <c r="Y1739" s="5">
        <f t="shared" si="552"/>
        <v>5.4411764705882355</v>
      </c>
      <c r="Z1739" s="5">
        <f t="shared" si="553"/>
        <v>0</v>
      </c>
      <c r="AA1739" s="5">
        <f t="shared" si="554"/>
        <v>0</v>
      </c>
      <c r="AB1739" s="5">
        <f t="shared" si="534"/>
        <v>16.658640319309036</v>
      </c>
    </row>
    <row r="1740" spans="1:29" x14ac:dyDescent="0.25">
      <c r="D1740" t="s">
        <v>73</v>
      </c>
      <c r="E1740" s="64"/>
      <c r="F1740" s="64"/>
      <c r="G1740">
        <f>IFERROR(HLOOKUP(G$2,[54]table_female_hkom2_inj.U3!$A$1:$K$36,5,FALSE),0)</f>
        <v>0</v>
      </c>
      <c r="H1740">
        <f>IFERROR(HLOOKUP(H$2,[54]table_female_hkom2_inj.U3!$A$1:$K$36,5,FALSE),0)</f>
        <v>0</v>
      </c>
      <c r="I1740">
        <f>IFERROR(HLOOKUP(I$2,[54]table_female_hkom2_inj.U3!$A$1:$K$36,5,FALSE),0)</f>
        <v>0</v>
      </c>
      <c r="J1740">
        <f>IFERROR(HLOOKUP(J$2,[54]table_female_hkom2_inj.U3!$A$1:$K$36,5,FALSE),0)</f>
        <v>0</v>
      </c>
      <c r="K1740">
        <f>IFERROR(HLOOKUP(K$2,[54]table_female_hkom2_inj.U3!$A$1:$K$36,5,FALSE),0)</f>
        <v>0</v>
      </c>
      <c r="L1740">
        <f>IFERROR(HLOOKUP(L$2,[54]table_female_hkom2_inj.U3!$A$1:$K$36,5,FALSE),0)</f>
        <v>0</v>
      </c>
      <c r="M1740">
        <f t="shared" si="546"/>
        <v>0</v>
      </c>
      <c r="S1740" t="s">
        <v>73</v>
      </c>
      <c r="T1740" s="5">
        <f t="shared" si="547"/>
        <v>0</v>
      </c>
      <c r="U1740" s="5">
        <f t="shared" si="548"/>
        <v>0</v>
      </c>
      <c r="V1740" s="5">
        <f t="shared" si="549"/>
        <v>0</v>
      </c>
      <c r="W1740" s="5">
        <f t="shared" si="550"/>
        <v>0</v>
      </c>
      <c r="X1740" s="5">
        <f t="shared" si="551"/>
        <v>0</v>
      </c>
      <c r="Y1740" s="5">
        <f t="shared" si="552"/>
        <v>0</v>
      </c>
      <c r="Z1740" s="5">
        <f t="shared" si="553"/>
        <v>0</v>
      </c>
      <c r="AA1740" s="5">
        <f t="shared" si="554"/>
        <v>0</v>
      </c>
      <c r="AB1740" s="5">
        <f t="shared" si="534"/>
        <v>0</v>
      </c>
    </row>
    <row r="1741" spans="1:29" x14ac:dyDescent="0.25">
      <c r="D1741" t="s">
        <v>74</v>
      </c>
      <c r="E1741" s="64"/>
      <c r="F1741" s="64"/>
      <c r="G1741">
        <f>IFERROR(HLOOKUP(G$2,[54]table_female_hkom2_inj.U3!$A$1:$K$36,6,FALSE),0)</f>
        <v>0</v>
      </c>
      <c r="H1741">
        <f>IFERROR(HLOOKUP(H$2,[54]table_female_hkom2_inj.U3!$A$1:$K$36,6,FALSE),0)</f>
        <v>1</v>
      </c>
      <c r="I1741">
        <f>IFERROR(HLOOKUP(I$2,[54]table_female_hkom2_inj.U3!$A$1:$K$36,6,FALSE),0)</f>
        <v>3</v>
      </c>
      <c r="J1741">
        <f>IFERROR(HLOOKUP(J$2,[54]table_female_hkom2_inj.U3!$A$1:$K$36,6,FALSE),0)</f>
        <v>0</v>
      </c>
      <c r="K1741">
        <f>IFERROR(HLOOKUP(K$2,[54]table_female_hkom2_inj.U3!$A$1:$K$36,6,FALSE),0)</f>
        <v>2</v>
      </c>
      <c r="L1741">
        <f>IFERROR(HLOOKUP(L$2,[54]table_female_hkom2_inj.U3!$A$1:$K$36,6,FALSE),0)</f>
        <v>0</v>
      </c>
      <c r="M1741">
        <f t="shared" si="546"/>
        <v>6</v>
      </c>
      <c r="S1741" t="s">
        <v>74</v>
      </c>
      <c r="T1741" s="5">
        <f t="shared" si="547"/>
        <v>0</v>
      </c>
      <c r="U1741" s="5">
        <f t="shared" si="548"/>
        <v>0</v>
      </c>
      <c r="V1741" s="5">
        <f t="shared" si="549"/>
        <v>0</v>
      </c>
      <c r="W1741" s="5">
        <f t="shared" si="550"/>
        <v>1.1551724137931034</v>
      </c>
      <c r="X1741" s="5">
        <f t="shared" si="551"/>
        <v>3.258064516129032</v>
      </c>
      <c r="Y1741" s="5">
        <f t="shared" si="552"/>
        <v>0</v>
      </c>
      <c r="Z1741" s="5">
        <f t="shared" si="553"/>
        <v>2</v>
      </c>
      <c r="AA1741" s="5">
        <f t="shared" si="554"/>
        <v>0</v>
      </c>
      <c r="AB1741" s="5">
        <f t="shared" si="534"/>
        <v>6.4132369299221352</v>
      </c>
    </row>
    <row r="1742" spans="1:29" x14ac:dyDescent="0.25">
      <c r="D1742" t="s">
        <v>75</v>
      </c>
      <c r="E1742" s="64"/>
      <c r="F1742" s="64"/>
      <c r="G1742">
        <f>IFERROR(HLOOKUP(G$2,[54]table_female_hkom2_inj.U3!$A$1:$K$36,7,FALSE),0)</f>
        <v>1</v>
      </c>
      <c r="H1742">
        <f>IFERROR(HLOOKUP(H$2,[54]table_female_hkom2_inj.U3!$A$1:$K$36,7,FALSE),0)</f>
        <v>0</v>
      </c>
      <c r="I1742">
        <f>IFERROR(HLOOKUP(I$2,[54]table_female_hkom2_inj.U3!$A$1:$K$36,7,FALSE),0)</f>
        <v>2</v>
      </c>
      <c r="J1742">
        <f>IFERROR(HLOOKUP(J$2,[54]table_female_hkom2_inj.U3!$A$1:$K$36,7,FALSE),0)</f>
        <v>0</v>
      </c>
      <c r="K1742">
        <f>IFERROR(HLOOKUP(K$2,[54]table_female_hkom2_inj.U3!$A$1:$K$36,7,FALSE),0)</f>
        <v>0</v>
      </c>
      <c r="L1742">
        <f>IFERROR(HLOOKUP(L$2,[54]table_female_hkom2_inj.U3!$A$1:$K$36,7,FALSE),0)</f>
        <v>0</v>
      </c>
      <c r="M1742">
        <f t="shared" si="546"/>
        <v>3</v>
      </c>
      <c r="S1742" t="s">
        <v>75</v>
      </c>
      <c r="T1742" s="5">
        <f t="shared" si="547"/>
        <v>0</v>
      </c>
      <c r="U1742" s="5">
        <f t="shared" si="548"/>
        <v>0</v>
      </c>
      <c r="V1742" s="5">
        <f t="shared" si="549"/>
        <v>1.1666666666666667</v>
      </c>
      <c r="W1742" s="5">
        <f t="shared" si="550"/>
        <v>0</v>
      </c>
      <c r="X1742" s="5">
        <f t="shared" si="551"/>
        <v>2.172043010752688</v>
      </c>
      <c r="Y1742" s="5">
        <f t="shared" si="552"/>
        <v>0</v>
      </c>
      <c r="Z1742" s="5">
        <f t="shared" si="553"/>
        <v>0</v>
      </c>
      <c r="AA1742" s="5">
        <f t="shared" si="554"/>
        <v>0</v>
      </c>
      <c r="AB1742" s="5">
        <f t="shared" si="534"/>
        <v>3.338709677419355</v>
      </c>
    </row>
    <row r="1743" spans="1:29" x14ac:dyDescent="0.25">
      <c r="D1743" t="s">
        <v>76</v>
      </c>
      <c r="E1743" s="64"/>
      <c r="F1743" s="64"/>
      <c r="G1743">
        <f>IFERROR(HLOOKUP(G$2,[54]table_female_hkom2_inj.U3!$A$1:$K$36,8,FALSE),0)</f>
        <v>1</v>
      </c>
      <c r="H1743">
        <f>IFERROR(HLOOKUP(H$2,[54]table_female_hkom2_inj.U3!$A$1:$K$36,8,FALSE),0)</f>
        <v>2</v>
      </c>
      <c r="I1743">
        <f>IFERROR(HLOOKUP(I$2,[54]table_female_hkom2_inj.U3!$A$1:$K$36,8,FALSE),0)</f>
        <v>1</v>
      </c>
      <c r="J1743">
        <f>IFERROR(HLOOKUP(J$2,[54]table_female_hkom2_inj.U3!$A$1:$K$36,8,FALSE),0)</f>
        <v>4</v>
      </c>
      <c r="K1743">
        <f>IFERROR(HLOOKUP(K$2,[54]table_female_hkom2_inj.U3!$A$1:$K$36,8,FALSE),0)</f>
        <v>0</v>
      </c>
      <c r="L1743">
        <f>IFERROR(HLOOKUP(L$2,[54]table_female_hkom2_inj.U3!$A$1:$K$36,8,FALSE),0)</f>
        <v>0</v>
      </c>
      <c r="M1743">
        <f t="shared" si="546"/>
        <v>8</v>
      </c>
      <c r="S1743" t="s">
        <v>76</v>
      </c>
      <c r="T1743" s="5">
        <f t="shared" si="547"/>
        <v>0</v>
      </c>
      <c r="U1743" s="5">
        <f t="shared" si="548"/>
        <v>0</v>
      </c>
      <c r="V1743" s="5">
        <f t="shared" si="549"/>
        <v>1.1666666666666667</v>
      </c>
      <c r="W1743" s="5">
        <f t="shared" si="550"/>
        <v>2.3103448275862069</v>
      </c>
      <c r="X1743" s="5">
        <f t="shared" si="551"/>
        <v>1.086021505376344</v>
      </c>
      <c r="Y1743" s="5">
        <f t="shared" si="552"/>
        <v>4.3529411764705879</v>
      </c>
      <c r="Z1743" s="5">
        <f t="shared" si="553"/>
        <v>0</v>
      </c>
      <c r="AA1743" s="5">
        <f t="shared" si="554"/>
        <v>0</v>
      </c>
      <c r="AB1743" s="5">
        <f t="shared" si="534"/>
        <v>8.9159741760998052</v>
      </c>
    </row>
    <row r="1744" spans="1:29" x14ac:dyDescent="0.25">
      <c r="D1744" t="s">
        <v>77</v>
      </c>
      <c r="E1744" s="64"/>
      <c r="F1744" s="64"/>
      <c r="G1744">
        <f>IFERROR(HLOOKUP(G$2,[54]table_female_hkom2_inj.U3!$A$1:$K$36,9,FALSE),0)</f>
        <v>4</v>
      </c>
      <c r="H1744">
        <f>IFERROR(HLOOKUP(H$2,[54]table_female_hkom2_inj.U3!$A$1:$K$36,9,FALSE),0)</f>
        <v>14</v>
      </c>
      <c r="I1744">
        <f>IFERROR(HLOOKUP(I$2,[54]table_female_hkom2_inj.U3!$A$1:$K$36,9,FALSE),0)</f>
        <v>27</v>
      </c>
      <c r="J1744">
        <f>IFERROR(HLOOKUP(J$2,[54]table_female_hkom2_inj.U3!$A$1:$K$36,9,FALSE),0)</f>
        <v>7</v>
      </c>
      <c r="K1744">
        <f>IFERROR(HLOOKUP(K$2,[54]table_female_hkom2_inj.U3!$A$1:$K$36,9,FALSE),0)</f>
        <v>2</v>
      </c>
      <c r="L1744">
        <f>IFERROR(HLOOKUP(L$2,[54]table_female_hkom2_inj.U3!$A$1:$K$36,9,FALSE),0)</f>
        <v>0</v>
      </c>
      <c r="M1744">
        <f t="shared" si="546"/>
        <v>54</v>
      </c>
      <c r="S1744" t="s">
        <v>77</v>
      </c>
      <c r="T1744" s="5">
        <f t="shared" si="547"/>
        <v>0</v>
      </c>
      <c r="U1744" s="5">
        <f t="shared" si="548"/>
        <v>0</v>
      </c>
      <c r="V1744" s="5">
        <f t="shared" si="549"/>
        <v>4.666666666666667</v>
      </c>
      <c r="W1744" s="5">
        <f t="shared" si="550"/>
        <v>16.172413793103448</v>
      </c>
      <c r="X1744" s="5">
        <f t="shared" si="551"/>
        <v>29.322580645161292</v>
      </c>
      <c r="Y1744" s="5">
        <f t="shared" si="552"/>
        <v>7.617647058823529</v>
      </c>
      <c r="Z1744" s="5">
        <f t="shared" si="553"/>
        <v>2</v>
      </c>
      <c r="AA1744" s="5">
        <f t="shared" si="554"/>
        <v>0</v>
      </c>
      <c r="AB1744" s="5">
        <f t="shared" si="534"/>
        <v>59.779308163754941</v>
      </c>
    </row>
    <row r="1745" spans="4:28" x14ac:dyDescent="0.25">
      <c r="D1745" t="s">
        <v>78</v>
      </c>
      <c r="E1745" s="64"/>
      <c r="F1745" s="64"/>
      <c r="G1745">
        <f>IFERROR(HLOOKUP(G$2,[54]table_female_hkom2_inj.U3!$A$1:$K$36,10,FALSE),0)</f>
        <v>0</v>
      </c>
      <c r="H1745">
        <f>IFERROR(HLOOKUP(H$2,[54]table_female_hkom2_inj.U3!$A$1:$K$36,10,FALSE),0)</f>
        <v>7</v>
      </c>
      <c r="I1745">
        <f>IFERROR(HLOOKUP(I$2,[54]table_female_hkom2_inj.U3!$A$1:$K$36,10,FALSE),0)</f>
        <v>1</v>
      </c>
      <c r="J1745">
        <f>IFERROR(HLOOKUP(J$2,[54]table_female_hkom2_inj.U3!$A$1:$K$36,10,FALSE),0)</f>
        <v>1</v>
      </c>
      <c r="K1745">
        <f>IFERROR(HLOOKUP(K$2,[54]table_female_hkom2_inj.U3!$A$1:$K$36,10,FALSE),0)</f>
        <v>0</v>
      </c>
      <c r="L1745">
        <f>IFERROR(HLOOKUP(L$2,[54]table_female_hkom2_inj.U3!$A$1:$K$36,10,FALSE),0)</f>
        <v>0</v>
      </c>
      <c r="M1745">
        <f t="shared" si="546"/>
        <v>9</v>
      </c>
      <c r="S1745" t="s">
        <v>78</v>
      </c>
      <c r="T1745" s="5">
        <f t="shared" si="547"/>
        <v>0</v>
      </c>
      <c r="U1745" s="5">
        <f t="shared" si="548"/>
        <v>0</v>
      </c>
      <c r="V1745" s="5">
        <f t="shared" si="549"/>
        <v>0</v>
      </c>
      <c r="W1745" s="5">
        <f t="shared" si="550"/>
        <v>8.0862068965517242</v>
      </c>
      <c r="X1745" s="5">
        <f t="shared" si="551"/>
        <v>1.086021505376344</v>
      </c>
      <c r="Y1745" s="5">
        <f t="shared" si="552"/>
        <v>1.088235294117647</v>
      </c>
      <c r="Z1745" s="5">
        <f t="shared" si="553"/>
        <v>0</v>
      </c>
      <c r="AA1745" s="5">
        <f t="shared" si="554"/>
        <v>0</v>
      </c>
      <c r="AB1745" s="5">
        <f t="shared" si="534"/>
        <v>10.260463696045715</v>
      </c>
    </row>
    <row r="1746" spans="4:28" x14ac:dyDescent="0.25">
      <c r="D1746" t="s">
        <v>79</v>
      </c>
      <c r="E1746" s="64"/>
      <c r="F1746" s="64"/>
      <c r="G1746">
        <f>IFERROR(HLOOKUP(G$2,[54]table_female_hkom2_inj.U3!$A$1:$K$36,11,FALSE),0)</f>
        <v>2</v>
      </c>
      <c r="H1746">
        <f>IFERROR(HLOOKUP(H$2,[54]table_female_hkom2_inj.U3!$A$1:$K$36,11,FALSE),0)</f>
        <v>2</v>
      </c>
      <c r="I1746">
        <f>IFERROR(HLOOKUP(I$2,[54]table_female_hkom2_inj.U3!$A$1:$K$36,11,FALSE),0)</f>
        <v>10</v>
      </c>
      <c r="J1746">
        <f>IFERROR(HLOOKUP(J$2,[54]table_female_hkom2_inj.U3!$A$1:$K$36,11,FALSE),0)</f>
        <v>7</v>
      </c>
      <c r="K1746">
        <f>IFERROR(HLOOKUP(K$2,[54]table_female_hkom2_inj.U3!$A$1:$K$36,11,FALSE),0)</f>
        <v>6</v>
      </c>
      <c r="L1746">
        <f>IFERROR(HLOOKUP(L$2,[54]table_female_hkom2_inj.U3!$A$1:$K$36,11,FALSE),0)</f>
        <v>0</v>
      </c>
      <c r="M1746">
        <f t="shared" si="546"/>
        <v>27</v>
      </c>
      <c r="S1746" t="s">
        <v>79</v>
      </c>
      <c r="T1746" s="5">
        <f t="shared" si="547"/>
        <v>0</v>
      </c>
      <c r="U1746" s="5">
        <f t="shared" si="548"/>
        <v>0</v>
      </c>
      <c r="V1746" s="5">
        <f t="shared" si="549"/>
        <v>2.3333333333333335</v>
      </c>
      <c r="W1746" s="5">
        <f t="shared" si="550"/>
        <v>2.3103448275862069</v>
      </c>
      <c r="X1746" s="5">
        <f t="shared" si="551"/>
        <v>10.86021505376344</v>
      </c>
      <c r="Y1746" s="5">
        <f t="shared" si="552"/>
        <v>7.617647058823529</v>
      </c>
      <c r="Z1746" s="5">
        <f t="shared" si="553"/>
        <v>6</v>
      </c>
      <c r="AA1746" s="5">
        <f t="shared" si="554"/>
        <v>0</v>
      </c>
      <c r="AB1746" s="5">
        <f t="shared" si="534"/>
        <v>29.121540273506511</v>
      </c>
    </row>
    <row r="1747" spans="4:28" x14ac:dyDescent="0.25">
      <c r="D1747" t="s">
        <v>80</v>
      </c>
      <c r="E1747" s="64"/>
      <c r="F1747" s="64"/>
      <c r="G1747">
        <f>IFERROR(HLOOKUP(G$2,[54]table_female_hkom2_inj.U3!$A$1:$K$36,12,FALSE),0)</f>
        <v>0</v>
      </c>
      <c r="H1747">
        <f>IFERROR(HLOOKUP(H$2,[54]table_female_hkom2_inj.U3!$A$1:$K$36,12,FALSE),0)</f>
        <v>6</v>
      </c>
      <c r="I1747">
        <f>IFERROR(HLOOKUP(I$2,[54]table_female_hkom2_inj.U3!$A$1:$K$36,12,FALSE),0)</f>
        <v>10</v>
      </c>
      <c r="J1747">
        <f>IFERROR(HLOOKUP(J$2,[54]table_female_hkom2_inj.U3!$A$1:$K$36,12,FALSE),0)</f>
        <v>3</v>
      </c>
      <c r="K1747">
        <f>IFERROR(HLOOKUP(K$2,[54]table_female_hkom2_inj.U3!$A$1:$K$36,12,FALSE),0)</f>
        <v>2</v>
      </c>
      <c r="L1747">
        <f>IFERROR(HLOOKUP(L$2,[54]table_female_hkom2_inj.U3!$A$1:$K$36,12,FALSE),0)</f>
        <v>0</v>
      </c>
      <c r="M1747">
        <f t="shared" si="546"/>
        <v>21</v>
      </c>
      <c r="S1747" t="s">
        <v>80</v>
      </c>
      <c r="T1747" s="5">
        <f t="shared" si="547"/>
        <v>0</v>
      </c>
      <c r="U1747" s="5">
        <f t="shared" si="548"/>
        <v>0</v>
      </c>
      <c r="V1747" s="5">
        <f t="shared" si="549"/>
        <v>0</v>
      </c>
      <c r="W1747" s="5">
        <f t="shared" si="550"/>
        <v>6.931034482758621</v>
      </c>
      <c r="X1747" s="5">
        <f t="shared" si="551"/>
        <v>10.86021505376344</v>
      </c>
      <c r="Y1747" s="5">
        <f t="shared" si="552"/>
        <v>3.2647058823529411</v>
      </c>
      <c r="Z1747" s="5">
        <f t="shared" si="553"/>
        <v>2</v>
      </c>
      <c r="AA1747" s="5">
        <f t="shared" si="554"/>
        <v>0</v>
      </c>
      <c r="AB1747" s="5">
        <f t="shared" si="534"/>
        <v>23.055955418875001</v>
      </c>
    </row>
    <row r="1748" spans="4:28" x14ac:dyDescent="0.25">
      <c r="D1748" t="s">
        <v>81</v>
      </c>
      <c r="E1748" s="64"/>
      <c r="F1748" s="64"/>
      <c r="G1748">
        <f>IFERROR(HLOOKUP(G$2,[54]table_female_hkom2_inj.U3!$A$1:$K$36,13,FALSE),0)</f>
        <v>4</v>
      </c>
      <c r="H1748">
        <f>IFERROR(HLOOKUP(H$2,[54]table_female_hkom2_inj.U3!$A$1:$K$36,13,FALSE),0)</f>
        <v>2</v>
      </c>
      <c r="I1748">
        <f>IFERROR(HLOOKUP(I$2,[54]table_female_hkom2_inj.U3!$A$1:$K$36,13,FALSE),0)</f>
        <v>7</v>
      </c>
      <c r="J1748">
        <f>IFERROR(HLOOKUP(J$2,[54]table_female_hkom2_inj.U3!$A$1:$K$36,13,FALSE),0)</f>
        <v>1</v>
      </c>
      <c r="K1748">
        <f>IFERROR(HLOOKUP(K$2,[54]table_female_hkom2_inj.U3!$A$1:$K$36,13,FALSE),0)</f>
        <v>1</v>
      </c>
      <c r="L1748">
        <f>IFERROR(HLOOKUP(L$2,[54]table_female_hkom2_inj.U3!$A$1:$K$36,13,FALSE),0)</f>
        <v>0</v>
      </c>
      <c r="M1748">
        <f t="shared" si="546"/>
        <v>15</v>
      </c>
      <c r="S1748" t="s">
        <v>81</v>
      </c>
      <c r="T1748" s="5">
        <f t="shared" si="547"/>
        <v>0</v>
      </c>
      <c r="U1748" s="5">
        <f t="shared" si="548"/>
        <v>0</v>
      </c>
      <c r="V1748" s="5">
        <f t="shared" si="549"/>
        <v>4.666666666666667</v>
      </c>
      <c r="W1748" s="5">
        <f t="shared" si="550"/>
        <v>2.3103448275862069</v>
      </c>
      <c r="X1748" s="5">
        <f t="shared" si="551"/>
        <v>7.602150537634409</v>
      </c>
      <c r="Y1748" s="5">
        <f t="shared" si="552"/>
        <v>1.088235294117647</v>
      </c>
      <c r="Z1748" s="5">
        <f t="shared" si="553"/>
        <v>1</v>
      </c>
      <c r="AA1748" s="5">
        <f t="shared" si="554"/>
        <v>0</v>
      </c>
      <c r="AB1748" s="5">
        <f t="shared" ref="AB1748:AB1811" si="555">SUM(T1748:AA1748)</f>
        <v>16.667397326004931</v>
      </c>
    </row>
    <row r="1749" spans="4:28" x14ac:dyDescent="0.25">
      <c r="D1749" t="s">
        <v>82</v>
      </c>
      <c r="E1749" s="64"/>
      <c r="F1749" s="64"/>
      <c r="G1749">
        <f>IFERROR(HLOOKUP(G$2,[54]table_female_hkom2_inj.U3!$A$1:$K$36,14,FALSE),0)</f>
        <v>0</v>
      </c>
      <c r="H1749">
        <f>IFERROR(HLOOKUP(H$2,[54]table_female_hkom2_inj.U3!$A$1:$K$36,14,FALSE),0)</f>
        <v>1</v>
      </c>
      <c r="I1749">
        <f>IFERROR(HLOOKUP(I$2,[54]table_female_hkom2_inj.U3!$A$1:$K$36,14,FALSE),0)</f>
        <v>6</v>
      </c>
      <c r="J1749">
        <f>IFERROR(HLOOKUP(J$2,[54]table_female_hkom2_inj.U3!$A$1:$K$36,14,FALSE),0)</f>
        <v>0</v>
      </c>
      <c r="K1749">
        <f>IFERROR(HLOOKUP(K$2,[54]table_female_hkom2_inj.U3!$A$1:$K$36,14,FALSE),0)</f>
        <v>0</v>
      </c>
      <c r="L1749">
        <f>IFERROR(HLOOKUP(L$2,[54]table_female_hkom2_inj.U3!$A$1:$K$36,14,FALSE),0)</f>
        <v>0</v>
      </c>
      <c r="M1749">
        <f t="shared" si="546"/>
        <v>7</v>
      </c>
      <c r="S1749" t="s">
        <v>82</v>
      </c>
      <c r="T1749" s="5">
        <f t="shared" si="547"/>
        <v>0</v>
      </c>
      <c r="U1749" s="5">
        <f t="shared" si="548"/>
        <v>0</v>
      </c>
      <c r="V1749" s="5">
        <f t="shared" si="549"/>
        <v>0</v>
      </c>
      <c r="W1749" s="5">
        <f t="shared" si="550"/>
        <v>1.1551724137931034</v>
      </c>
      <c r="X1749" s="5">
        <f t="shared" si="551"/>
        <v>6.5161290322580641</v>
      </c>
      <c r="Y1749" s="5">
        <f t="shared" si="552"/>
        <v>0</v>
      </c>
      <c r="Z1749" s="5">
        <f t="shared" si="553"/>
        <v>0</v>
      </c>
      <c r="AA1749" s="5">
        <f t="shared" si="554"/>
        <v>0</v>
      </c>
      <c r="AB1749" s="5">
        <f t="shared" si="555"/>
        <v>7.6713014460511673</v>
      </c>
    </row>
    <row r="1750" spans="4:28" x14ac:dyDescent="0.25">
      <c r="D1750" t="s">
        <v>83</v>
      </c>
      <c r="E1750" s="64"/>
      <c r="F1750" s="64"/>
      <c r="G1750">
        <f>IFERROR(HLOOKUP(G$2,[54]table_female_hkom2_inj.U3!$A$1:$K$36,15,FALSE),0)</f>
        <v>0</v>
      </c>
      <c r="H1750">
        <f>IFERROR(HLOOKUP(H$2,[54]table_female_hkom2_inj.U3!$A$1:$K$36,15,FALSE),0)</f>
        <v>0</v>
      </c>
      <c r="I1750">
        <f>IFERROR(HLOOKUP(I$2,[54]table_female_hkom2_inj.U3!$A$1:$K$36,15,FALSE),0)</f>
        <v>1</v>
      </c>
      <c r="J1750">
        <f>IFERROR(HLOOKUP(J$2,[54]table_female_hkom2_inj.U3!$A$1:$K$36,15,FALSE),0)</f>
        <v>1</v>
      </c>
      <c r="K1750">
        <f>IFERROR(HLOOKUP(K$2,[54]table_female_hkom2_inj.U3!$A$1:$K$36,15,FALSE),0)</f>
        <v>0</v>
      </c>
      <c r="L1750">
        <f>IFERROR(HLOOKUP(L$2,[54]table_female_hkom2_inj.U3!$A$1:$K$36,15,FALSE),0)</f>
        <v>0</v>
      </c>
      <c r="M1750">
        <f t="shared" si="546"/>
        <v>2</v>
      </c>
      <c r="S1750" t="s">
        <v>83</v>
      </c>
      <c r="T1750" s="5">
        <f t="shared" si="547"/>
        <v>0</v>
      </c>
      <c r="U1750" s="5">
        <f t="shared" si="548"/>
        <v>0</v>
      </c>
      <c r="V1750" s="5">
        <f t="shared" si="549"/>
        <v>0</v>
      </c>
      <c r="W1750" s="5">
        <f t="shared" si="550"/>
        <v>0</v>
      </c>
      <c r="X1750" s="5">
        <f t="shared" si="551"/>
        <v>1.086021505376344</v>
      </c>
      <c r="Y1750" s="5">
        <f t="shared" si="552"/>
        <v>1.088235294117647</v>
      </c>
      <c r="Z1750" s="5">
        <f t="shared" si="553"/>
        <v>0</v>
      </c>
      <c r="AA1750" s="5">
        <f t="shared" si="554"/>
        <v>0</v>
      </c>
      <c r="AB1750" s="5">
        <f t="shared" si="555"/>
        <v>2.1742567994939908</v>
      </c>
    </row>
    <row r="1751" spans="4:28" x14ac:dyDescent="0.25">
      <c r="D1751" t="s">
        <v>84</v>
      </c>
      <c r="E1751" s="64"/>
      <c r="F1751" s="64"/>
      <c r="G1751">
        <f>IFERROR(HLOOKUP(G$2,[54]table_female_hkom2_inj.U3!$A$1:$K$36,16,FALSE),0)</f>
        <v>0</v>
      </c>
      <c r="H1751">
        <f>IFERROR(HLOOKUP(H$2,[54]table_female_hkom2_inj.U3!$A$1:$K$36,16,FALSE),0)</f>
        <v>2</v>
      </c>
      <c r="I1751">
        <f>IFERROR(HLOOKUP(I$2,[54]table_female_hkom2_inj.U3!$A$1:$K$36,16,FALSE),0)</f>
        <v>1</v>
      </c>
      <c r="J1751">
        <f>IFERROR(HLOOKUP(J$2,[54]table_female_hkom2_inj.U3!$A$1:$K$36,16,FALSE),0)</f>
        <v>3</v>
      </c>
      <c r="K1751">
        <f>IFERROR(HLOOKUP(K$2,[54]table_female_hkom2_inj.U3!$A$1:$K$36,16,FALSE),0)</f>
        <v>0</v>
      </c>
      <c r="L1751">
        <f>IFERROR(HLOOKUP(L$2,[54]table_female_hkom2_inj.U3!$A$1:$K$36,16,FALSE),0)</f>
        <v>0</v>
      </c>
      <c r="M1751">
        <f t="shared" si="546"/>
        <v>6</v>
      </c>
      <c r="S1751" t="s">
        <v>84</v>
      </c>
      <c r="T1751" s="5">
        <f t="shared" si="547"/>
        <v>0</v>
      </c>
      <c r="U1751" s="5">
        <f t="shared" si="548"/>
        <v>0</v>
      </c>
      <c r="V1751" s="5">
        <f t="shared" si="549"/>
        <v>0</v>
      </c>
      <c r="W1751" s="5">
        <f t="shared" si="550"/>
        <v>2.3103448275862069</v>
      </c>
      <c r="X1751" s="5">
        <f t="shared" si="551"/>
        <v>1.086021505376344</v>
      </c>
      <c r="Y1751" s="5">
        <f t="shared" si="552"/>
        <v>3.2647058823529411</v>
      </c>
      <c r="Z1751" s="5">
        <f t="shared" si="553"/>
        <v>0</v>
      </c>
      <c r="AA1751" s="5">
        <f t="shared" si="554"/>
        <v>0</v>
      </c>
      <c r="AB1751" s="5">
        <f t="shared" si="555"/>
        <v>6.6610722153154924</v>
      </c>
    </row>
    <row r="1752" spans="4:28" x14ac:dyDescent="0.25">
      <c r="D1752" t="s">
        <v>85</v>
      </c>
      <c r="E1752" s="64"/>
      <c r="F1752" s="64"/>
      <c r="G1752">
        <f>IFERROR(HLOOKUP(G$2,[54]table_female_hkom2_inj.U3!$A$1:$K$36,17,FALSE),0)</f>
        <v>2</v>
      </c>
      <c r="H1752">
        <f>IFERROR(HLOOKUP(H$2,[54]table_female_hkom2_inj.U3!$A$1:$K$36,17,FALSE),0)</f>
        <v>1</v>
      </c>
      <c r="I1752">
        <f>IFERROR(HLOOKUP(I$2,[54]table_female_hkom2_inj.U3!$A$1:$K$36,17,FALSE),0)</f>
        <v>1</v>
      </c>
      <c r="J1752">
        <f>IFERROR(HLOOKUP(J$2,[54]table_female_hkom2_inj.U3!$A$1:$K$36,17,FALSE),0)</f>
        <v>0</v>
      </c>
      <c r="K1752">
        <f>IFERROR(HLOOKUP(K$2,[54]table_female_hkom2_inj.U3!$A$1:$K$36,17,FALSE),0)</f>
        <v>0</v>
      </c>
      <c r="L1752">
        <f>IFERROR(HLOOKUP(L$2,[54]table_female_hkom2_inj.U3!$A$1:$K$36,17,FALSE),0)</f>
        <v>0</v>
      </c>
      <c r="M1752">
        <f t="shared" si="546"/>
        <v>4</v>
      </c>
      <c r="S1752" t="s">
        <v>85</v>
      </c>
      <c r="T1752" s="5">
        <f t="shared" si="547"/>
        <v>0</v>
      </c>
      <c r="U1752" s="5">
        <f t="shared" si="548"/>
        <v>0</v>
      </c>
      <c r="V1752" s="5">
        <f t="shared" si="549"/>
        <v>2.3333333333333335</v>
      </c>
      <c r="W1752" s="5">
        <f t="shared" si="550"/>
        <v>1.1551724137931034</v>
      </c>
      <c r="X1752" s="5">
        <f t="shared" si="551"/>
        <v>1.086021505376344</v>
      </c>
      <c r="Y1752" s="5">
        <f t="shared" si="552"/>
        <v>0</v>
      </c>
      <c r="Z1752" s="5">
        <f t="shared" si="553"/>
        <v>0</v>
      </c>
      <c r="AA1752" s="5">
        <f t="shared" si="554"/>
        <v>0</v>
      </c>
      <c r="AB1752" s="5">
        <f t="shared" si="555"/>
        <v>4.5745272525027811</v>
      </c>
    </row>
    <row r="1753" spans="4:28" x14ac:dyDescent="0.25">
      <c r="D1753" t="s">
        <v>86</v>
      </c>
      <c r="E1753" s="64"/>
      <c r="F1753" s="64"/>
      <c r="G1753">
        <f>IFERROR(HLOOKUP(G$2,[54]table_female_hkom2_inj.U3!$A$1:$K$36,18,FALSE),0)</f>
        <v>7</v>
      </c>
      <c r="H1753">
        <f>IFERROR(HLOOKUP(H$2,[54]table_female_hkom2_inj.U3!$A$1:$K$36,18,FALSE),0)</f>
        <v>9</v>
      </c>
      <c r="I1753">
        <f>IFERROR(HLOOKUP(I$2,[54]table_female_hkom2_inj.U3!$A$1:$K$36,18,FALSE),0)</f>
        <v>13</v>
      </c>
      <c r="J1753">
        <f>IFERROR(HLOOKUP(J$2,[54]table_female_hkom2_inj.U3!$A$1:$K$36,18,FALSE),0)</f>
        <v>0</v>
      </c>
      <c r="K1753">
        <f>IFERROR(HLOOKUP(K$2,[54]table_female_hkom2_inj.U3!$A$1:$K$36,18,FALSE),0)</f>
        <v>2</v>
      </c>
      <c r="L1753">
        <f>IFERROR(HLOOKUP(L$2,[54]table_female_hkom2_inj.U3!$A$1:$K$36,18,FALSE),0)</f>
        <v>0</v>
      </c>
      <c r="M1753">
        <f t="shared" si="546"/>
        <v>31</v>
      </c>
      <c r="S1753" t="s">
        <v>86</v>
      </c>
      <c r="T1753" s="5">
        <f t="shared" si="547"/>
        <v>0</v>
      </c>
      <c r="U1753" s="5">
        <f t="shared" si="548"/>
        <v>0</v>
      </c>
      <c r="V1753" s="5">
        <f t="shared" si="549"/>
        <v>8.1666666666666661</v>
      </c>
      <c r="W1753" s="5">
        <f t="shared" si="550"/>
        <v>10.396551724137931</v>
      </c>
      <c r="X1753" s="5">
        <f t="shared" si="551"/>
        <v>14.118279569892472</v>
      </c>
      <c r="Y1753" s="5">
        <f t="shared" si="552"/>
        <v>0</v>
      </c>
      <c r="Z1753" s="5">
        <f t="shared" si="553"/>
        <v>2</v>
      </c>
      <c r="AA1753" s="5">
        <f t="shared" si="554"/>
        <v>0</v>
      </c>
      <c r="AB1753" s="5">
        <f t="shared" si="555"/>
        <v>34.681497960697072</v>
      </c>
    </row>
    <row r="1754" spans="4:28" x14ac:dyDescent="0.25">
      <c r="D1754" t="s">
        <v>87</v>
      </c>
      <c r="E1754" s="64"/>
      <c r="F1754" s="64"/>
      <c r="G1754">
        <f>IFERROR(HLOOKUP(G$2,[54]table_female_hkom2_inj.U3!$A$1:$K$36,19,FALSE),0)</f>
        <v>1</v>
      </c>
      <c r="H1754">
        <f>IFERROR(HLOOKUP(H$2,[54]table_female_hkom2_inj.U3!$A$1:$K$36,19,FALSE),0)</f>
        <v>1</v>
      </c>
      <c r="I1754">
        <f>IFERROR(HLOOKUP(I$2,[54]table_female_hkom2_inj.U3!$A$1:$K$36,19,FALSE),0)</f>
        <v>1</v>
      </c>
      <c r="J1754">
        <f>IFERROR(HLOOKUP(J$2,[54]table_female_hkom2_inj.U3!$A$1:$K$36,19,FALSE),0)</f>
        <v>0</v>
      </c>
      <c r="K1754">
        <f>IFERROR(HLOOKUP(K$2,[54]table_female_hkom2_inj.U3!$A$1:$K$36,19,FALSE),0)</f>
        <v>0</v>
      </c>
      <c r="L1754">
        <f>IFERROR(HLOOKUP(L$2,[54]table_female_hkom2_inj.U3!$A$1:$K$36,19,FALSE),0)</f>
        <v>0</v>
      </c>
      <c r="M1754">
        <f t="shared" si="546"/>
        <v>3</v>
      </c>
      <c r="S1754" t="s">
        <v>87</v>
      </c>
      <c r="T1754" s="5">
        <f t="shared" si="547"/>
        <v>0</v>
      </c>
      <c r="U1754" s="5">
        <f t="shared" si="548"/>
        <v>0</v>
      </c>
      <c r="V1754" s="5">
        <f t="shared" si="549"/>
        <v>1.1666666666666667</v>
      </c>
      <c r="W1754" s="5">
        <f t="shared" si="550"/>
        <v>1.1551724137931034</v>
      </c>
      <c r="X1754" s="5">
        <f t="shared" si="551"/>
        <v>1.086021505376344</v>
      </c>
      <c r="Y1754" s="5">
        <f t="shared" si="552"/>
        <v>0</v>
      </c>
      <c r="Z1754" s="5">
        <f t="shared" si="553"/>
        <v>0</v>
      </c>
      <c r="AA1754" s="5">
        <f t="shared" si="554"/>
        <v>0</v>
      </c>
      <c r="AB1754" s="5">
        <f t="shared" si="555"/>
        <v>3.4078605858361142</v>
      </c>
    </row>
    <row r="1755" spans="4:28" x14ac:dyDescent="0.25">
      <c r="D1755" t="s">
        <v>88</v>
      </c>
      <c r="E1755" s="64"/>
      <c r="F1755" s="64"/>
      <c r="G1755">
        <f>IFERROR(HLOOKUP(G$2,[54]table_female_hkom2_inj.U3!$A$1:$K$36,20,FALSE),0)</f>
        <v>0</v>
      </c>
      <c r="H1755">
        <f>IFERROR(HLOOKUP(H$2,[54]table_female_hkom2_inj.U3!$A$1:$K$36,20,FALSE),0)</f>
        <v>3</v>
      </c>
      <c r="I1755">
        <f>IFERROR(HLOOKUP(I$2,[54]table_female_hkom2_inj.U3!$A$1:$K$36,20,FALSE),0)</f>
        <v>0</v>
      </c>
      <c r="J1755">
        <f>IFERROR(HLOOKUP(J$2,[54]table_female_hkom2_inj.U3!$A$1:$K$36,20,FALSE),0)</f>
        <v>2</v>
      </c>
      <c r="K1755">
        <f>IFERROR(HLOOKUP(K$2,[54]table_female_hkom2_inj.U3!$A$1:$K$36,20,FALSE),0)</f>
        <v>0</v>
      </c>
      <c r="L1755">
        <f>IFERROR(HLOOKUP(L$2,[54]table_female_hkom2_inj.U3!$A$1:$K$36,20,FALSE),0)</f>
        <v>0</v>
      </c>
      <c r="M1755">
        <f t="shared" si="546"/>
        <v>5</v>
      </c>
      <c r="S1755" t="s">
        <v>88</v>
      </c>
      <c r="T1755" s="5">
        <f t="shared" si="547"/>
        <v>0</v>
      </c>
      <c r="U1755" s="5">
        <f t="shared" si="548"/>
        <v>0</v>
      </c>
      <c r="V1755" s="5">
        <f t="shared" si="549"/>
        <v>0</v>
      </c>
      <c r="W1755" s="5">
        <f t="shared" si="550"/>
        <v>3.4655172413793105</v>
      </c>
      <c r="X1755" s="5">
        <f t="shared" si="551"/>
        <v>0</v>
      </c>
      <c r="Y1755" s="5">
        <f t="shared" si="552"/>
        <v>2.1764705882352939</v>
      </c>
      <c r="Z1755" s="5">
        <f t="shared" si="553"/>
        <v>0</v>
      </c>
      <c r="AA1755" s="5">
        <f t="shared" si="554"/>
        <v>0</v>
      </c>
      <c r="AB1755" s="5">
        <f t="shared" si="555"/>
        <v>5.6419878296146049</v>
      </c>
    </row>
    <row r="1756" spans="4:28" x14ac:dyDescent="0.25">
      <c r="D1756" t="s">
        <v>89</v>
      </c>
      <c r="E1756" s="64"/>
      <c r="F1756" s="64"/>
      <c r="G1756">
        <f>IFERROR(HLOOKUP(G$2,[54]table_female_hkom2_inj.U3!$A$1:$K$36,21,FALSE),0)</f>
        <v>0</v>
      </c>
      <c r="H1756">
        <f>IFERROR(HLOOKUP(H$2,[54]table_female_hkom2_inj.U3!$A$1:$K$36,21,FALSE),0)</f>
        <v>2</v>
      </c>
      <c r="I1756">
        <f>IFERROR(HLOOKUP(I$2,[54]table_female_hkom2_inj.U3!$A$1:$K$36,21,FALSE),0)</f>
        <v>0</v>
      </c>
      <c r="J1756">
        <f>IFERROR(HLOOKUP(J$2,[54]table_female_hkom2_inj.U3!$A$1:$K$36,21,FALSE),0)</f>
        <v>0</v>
      </c>
      <c r="K1756">
        <f>IFERROR(HLOOKUP(K$2,[54]table_female_hkom2_inj.U3!$A$1:$K$36,21,FALSE),0)</f>
        <v>0</v>
      </c>
      <c r="L1756">
        <f>IFERROR(HLOOKUP(L$2,[54]table_female_hkom2_inj.U3!$A$1:$K$36,21,FALSE),0)</f>
        <v>0</v>
      </c>
      <c r="M1756">
        <f t="shared" si="546"/>
        <v>2</v>
      </c>
      <c r="S1756" t="s">
        <v>89</v>
      </c>
      <c r="T1756" s="5">
        <f t="shared" si="547"/>
        <v>0</v>
      </c>
      <c r="U1756" s="5">
        <f t="shared" si="548"/>
        <v>0</v>
      </c>
      <c r="V1756" s="5">
        <f t="shared" si="549"/>
        <v>0</v>
      </c>
      <c r="W1756" s="5">
        <f t="shared" si="550"/>
        <v>2.3103448275862069</v>
      </c>
      <c r="X1756" s="5">
        <f t="shared" si="551"/>
        <v>0</v>
      </c>
      <c r="Y1756" s="5">
        <f t="shared" si="552"/>
        <v>0</v>
      </c>
      <c r="Z1756" s="5">
        <f t="shared" si="553"/>
        <v>0</v>
      </c>
      <c r="AA1756" s="5">
        <f t="shared" si="554"/>
        <v>0</v>
      </c>
      <c r="AB1756" s="5">
        <f t="shared" si="555"/>
        <v>2.3103448275862069</v>
      </c>
    </row>
    <row r="1757" spans="4:28" x14ac:dyDescent="0.25">
      <c r="D1757" t="s">
        <v>90</v>
      </c>
      <c r="E1757" s="64"/>
      <c r="F1757" s="64"/>
      <c r="G1757">
        <f>IFERROR(HLOOKUP(G$2,[54]table_female_hkom2_inj.U3!$A$1:$K$36,22,FALSE),0)</f>
        <v>0</v>
      </c>
      <c r="H1757">
        <f>IFERROR(HLOOKUP(H$2,[54]table_female_hkom2_inj.U3!$A$1:$K$36,22,FALSE),0)</f>
        <v>0</v>
      </c>
      <c r="I1757">
        <f>IFERROR(HLOOKUP(I$2,[54]table_female_hkom2_inj.U3!$A$1:$K$36,22,FALSE),0)</f>
        <v>0</v>
      </c>
      <c r="J1757">
        <f>IFERROR(HLOOKUP(J$2,[54]table_female_hkom2_inj.U3!$A$1:$K$36,22,FALSE),0)</f>
        <v>0</v>
      </c>
      <c r="K1757">
        <f>IFERROR(HLOOKUP(K$2,[54]table_female_hkom2_inj.U3!$A$1:$K$36,22,FALSE),0)</f>
        <v>0</v>
      </c>
      <c r="L1757">
        <f>IFERROR(HLOOKUP(L$2,[54]table_female_hkom2_inj.U3!$A$1:$K$36,22,FALSE),0)</f>
        <v>0</v>
      </c>
      <c r="M1757">
        <f t="shared" si="546"/>
        <v>0</v>
      </c>
      <c r="S1757" t="s">
        <v>90</v>
      </c>
      <c r="T1757" s="5">
        <f t="shared" si="547"/>
        <v>0</v>
      </c>
      <c r="U1757" s="5">
        <f t="shared" si="548"/>
        <v>0</v>
      </c>
      <c r="V1757" s="5">
        <f t="shared" si="549"/>
        <v>0</v>
      </c>
      <c r="W1757" s="5">
        <f t="shared" si="550"/>
        <v>0</v>
      </c>
      <c r="X1757" s="5">
        <f t="shared" si="551"/>
        <v>0</v>
      </c>
      <c r="Y1757" s="5">
        <f t="shared" si="552"/>
        <v>0</v>
      </c>
      <c r="Z1757" s="5">
        <f t="shared" si="553"/>
        <v>0</v>
      </c>
      <c r="AA1757" s="5">
        <f t="shared" si="554"/>
        <v>0</v>
      </c>
      <c r="AB1757" s="5">
        <f t="shared" si="555"/>
        <v>0</v>
      </c>
    </row>
    <row r="1758" spans="4:28" x14ac:dyDescent="0.25">
      <c r="D1758" t="s">
        <v>91</v>
      </c>
      <c r="E1758" s="64"/>
      <c r="F1758" s="64"/>
      <c r="G1758">
        <f>IFERROR(HLOOKUP(G$2,[54]table_female_hkom2_inj.U3!$A$1:$K$36,23,FALSE),0)</f>
        <v>0</v>
      </c>
      <c r="H1758">
        <f>IFERROR(HLOOKUP(H$2,[54]table_female_hkom2_inj.U3!$A$1:$K$36,23,FALSE),0)</f>
        <v>0</v>
      </c>
      <c r="I1758">
        <f>IFERROR(HLOOKUP(I$2,[54]table_female_hkom2_inj.U3!$A$1:$K$36,23,FALSE),0)</f>
        <v>0</v>
      </c>
      <c r="J1758">
        <f>IFERROR(HLOOKUP(J$2,[54]table_female_hkom2_inj.U3!$A$1:$K$36,23,FALSE),0)</f>
        <v>0</v>
      </c>
      <c r="K1758">
        <f>IFERROR(HLOOKUP(K$2,[54]table_female_hkom2_inj.U3!$A$1:$K$36,23,FALSE),0)</f>
        <v>0</v>
      </c>
      <c r="L1758">
        <f>IFERROR(HLOOKUP(L$2,[54]table_female_hkom2_inj.U3!$A$1:$K$36,23,FALSE),0)</f>
        <v>0</v>
      </c>
      <c r="M1758">
        <f t="shared" si="546"/>
        <v>0</v>
      </c>
      <c r="S1758" t="s">
        <v>91</v>
      </c>
      <c r="T1758" s="5">
        <f t="shared" si="547"/>
        <v>0</v>
      </c>
      <c r="U1758" s="5">
        <f t="shared" si="548"/>
        <v>0</v>
      </c>
      <c r="V1758" s="5">
        <f t="shared" si="549"/>
        <v>0</v>
      </c>
      <c r="W1758" s="5">
        <f t="shared" si="550"/>
        <v>0</v>
      </c>
      <c r="X1758" s="5">
        <f t="shared" si="551"/>
        <v>0</v>
      </c>
      <c r="Y1758" s="5">
        <f t="shared" si="552"/>
        <v>0</v>
      </c>
      <c r="Z1758" s="5">
        <f t="shared" si="553"/>
        <v>0</v>
      </c>
      <c r="AA1758" s="5">
        <f t="shared" si="554"/>
        <v>0</v>
      </c>
      <c r="AB1758" s="5">
        <f t="shared" si="555"/>
        <v>0</v>
      </c>
    </row>
    <row r="1759" spans="4:28" x14ac:dyDescent="0.25">
      <c r="D1759" t="s">
        <v>92</v>
      </c>
      <c r="E1759" s="64"/>
      <c r="F1759" s="64"/>
      <c r="G1759">
        <f>IFERROR(HLOOKUP(G$2,[54]table_female_hkom2_inj.U3!$A$1:$K$36,24,FALSE),0)</f>
        <v>0</v>
      </c>
      <c r="H1759">
        <f>IFERROR(HLOOKUP(H$2,[54]table_female_hkom2_inj.U3!$A$1:$K$36,24,FALSE),0)</f>
        <v>0</v>
      </c>
      <c r="I1759">
        <f>IFERROR(HLOOKUP(I$2,[54]table_female_hkom2_inj.U3!$A$1:$K$36,24,FALSE),0)</f>
        <v>0</v>
      </c>
      <c r="J1759">
        <f>IFERROR(HLOOKUP(J$2,[54]table_female_hkom2_inj.U3!$A$1:$K$36,24,FALSE),0)</f>
        <v>0</v>
      </c>
      <c r="K1759">
        <f>IFERROR(HLOOKUP(K$2,[54]table_female_hkom2_inj.U3!$A$1:$K$36,24,FALSE),0)</f>
        <v>0</v>
      </c>
      <c r="L1759">
        <f>IFERROR(HLOOKUP(L$2,[54]table_female_hkom2_inj.U3!$A$1:$K$36,24,FALSE),0)</f>
        <v>0</v>
      </c>
      <c r="M1759">
        <f t="shared" si="546"/>
        <v>0</v>
      </c>
      <c r="S1759" t="s">
        <v>92</v>
      </c>
      <c r="T1759" s="5">
        <f t="shared" si="547"/>
        <v>0</v>
      </c>
      <c r="U1759" s="5">
        <f t="shared" si="548"/>
        <v>0</v>
      </c>
      <c r="V1759" s="5">
        <f t="shared" si="549"/>
        <v>0</v>
      </c>
      <c r="W1759" s="5">
        <f t="shared" si="550"/>
        <v>0</v>
      </c>
      <c r="X1759" s="5">
        <f t="shared" si="551"/>
        <v>0</v>
      </c>
      <c r="Y1759" s="5">
        <f t="shared" si="552"/>
        <v>0</v>
      </c>
      <c r="Z1759" s="5">
        <f t="shared" si="553"/>
        <v>0</v>
      </c>
      <c r="AA1759" s="5">
        <f t="shared" si="554"/>
        <v>0</v>
      </c>
      <c r="AB1759" s="5">
        <f t="shared" si="555"/>
        <v>0</v>
      </c>
    </row>
    <row r="1760" spans="4:28" x14ac:dyDescent="0.25">
      <c r="D1760" t="s">
        <v>93</v>
      </c>
      <c r="E1760" s="64"/>
      <c r="F1760" s="64"/>
      <c r="G1760">
        <f>IFERROR(HLOOKUP(G$2,[54]table_female_hkom2_inj.U3!$A$1:$K$36,25,FALSE),0)</f>
        <v>0</v>
      </c>
      <c r="H1760">
        <f>IFERROR(HLOOKUP(H$2,[54]table_female_hkom2_inj.U3!$A$1:$K$36,25,FALSE),0)</f>
        <v>0</v>
      </c>
      <c r="I1760">
        <f>IFERROR(HLOOKUP(I$2,[54]table_female_hkom2_inj.U3!$A$1:$K$36,25,FALSE),0)</f>
        <v>0</v>
      </c>
      <c r="J1760">
        <f>IFERROR(HLOOKUP(J$2,[54]table_female_hkom2_inj.U3!$A$1:$K$36,25,FALSE),0)</f>
        <v>0</v>
      </c>
      <c r="K1760">
        <f>IFERROR(HLOOKUP(K$2,[54]table_female_hkom2_inj.U3!$A$1:$K$36,25,FALSE),0)</f>
        <v>0</v>
      </c>
      <c r="L1760">
        <f>IFERROR(HLOOKUP(L$2,[54]table_female_hkom2_inj.U3!$A$1:$K$36,25,FALSE),0)</f>
        <v>0</v>
      </c>
      <c r="M1760">
        <f t="shared" si="546"/>
        <v>0</v>
      </c>
      <c r="S1760" t="s">
        <v>93</v>
      </c>
      <c r="T1760" s="5">
        <f t="shared" si="547"/>
        <v>0</v>
      </c>
      <c r="U1760" s="5">
        <f t="shared" si="548"/>
        <v>0</v>
      </c>
      <c r="V1760" s="5">
        <f t="shared" si="549"/>
        <v>0</v>
      </c>
      <c r="W1760" s="5">
        <f t="shared" si="550"/>
        <v>0</v>
      </c>
      <c r="X1760" s="5">
        <f t="shared" si="551"/>
        <v>0</v>
      </c>
      <c r="Y1760" s="5">
        <f t="shared" si="552"/>
        <v>0</v>
      </c>
      <c r="Z1760" s="5">
        <f t="shared" si="553"/>
        <v>0</v>
      </c>
      <c r="AA1760" s="5">
        <f t="shared" si="554"/>
        <v>0</v>
      </c>
      <c r="AB1760" s="5">
        <f t="shared" si="555"/>
        <v>0</v>
      </c>
    </row>
    <row r="1761" spans="1:29" x14ac:dyDescent="0.25">
      <c r="D1761" t="s">
        <v>94</v>
      </c>
      <c r="E1761" s="64"/>
      <c r="F1761" s="64"/>
      <c r="G1761">
        <f>IFERROR(HLOOKUP(G$2,[54]table_female_hkom2_inj.U3!$A$1:$K$36,26,FALSE),0)</f>
        <v>0</v>
      </c>
      <c r="H1761">
        <f>IFERROR(HLOOKUP(H$2,[54]table_female_hkom2_inj.U3!$A$1:$K$36,26,FALSE),0)</f>
        <v>0</v>
      </c>
      <c r="I1761">
        <f>IFERROR(HLOOKUP(I$2,[54]table_female_hkom2_inj.U3!$A$1:$K$36,26,FALSE),0)</f>
        <v>0</v>
      </c>
      <c r="J1761">
        <f>IFERROR(HLOOKUP(J$2,[54]table_female_hkom2_inj.U3!$A$1:$K$36,26,FALSE),0)</f>
        <v>0</v>
      </c>
      <c r="K1761">
        <f>IFERROR(HLOOKUP(K$2,[54]table_female_hkom2_inj.U3!$A$1:$K$36,26,FALSE),0)</f>
        <v>0</v>
      </c>
      <c r="L1761">
        <f>IFERROR(HLOOKUP(L$2,[54]table_female_hkom2_inj.U3!$A$1:$K$36,26,FALSE),0)</f>
        <v>0</v>
      </c>
      <c r="M1761">
        <f t="shared" si="546"/>
        <v>0</v>
      </c>
      <c r="S1761" t="s">
        <v>94</v>
      </c>
      <c r="T1761" s="5">
        <f t="shared" si="547"/>
        <v>0</v>
      </c>
      <c r="U1761" s="5">
        <f t="shared" si="548"/>
        <v>0</v>
      </c>
      <c r="V1761" s="5">
        <f t="shared" si="549"/>
        <v>0</v>
      </c>
      <c r="W1761" s="5">
        <f t="shared" si="550"/>
        <v>0</v>
      </c>
      <c r="X1761" s="5">
        <f t="shared" si="551"/>
        <v>0</v>
      </c>
      <c r="Y1761" s="5">
        <f t="shared" si="552"/>
        <v>0</v>
      </c>
      <c r="Z1761" s="5">
        <f t="shared" si="553"/>
        <v>0</v>
      </c>
      <c r="AA1761" s="5">
        <f t="shared" si="554"/>
        <v>0</v>
      </c>
      <c r="AB1761" s="5">
        <f t="shared" si="555"/>
        <v>0</v>
      </c>
    </row>
    <row r="1762" spans="1:29" x14ac:dyDescent="0.25">
      <c r="D1762" t="s">
        <v>95</v>
      </c>
      <c r="E1762" s="64"/>
      <c r="F1762" s="64"/>
      <c r="G1762">
        <f>IFERROR(HLOOKUP(G$2,[54]table_female_hkom2_inj.U3!$A$1:$K$36,27,FALSE),0)</f>
        <v>0</v>
      </c>
      <c r="H1762">
        <f>IFERROR(HLOOKUP(H$2,[54]table_female_hkom2_inj.U3!$A$1:$K$36,27,FALSE),0)</f>
        <v>0</v>
      </c>
      <c r="I1762">
        <f>IFERROR(HLOOKUP(I$2,[54]table_female_hkom2_inj.U3!$A$1:$K$36,27,FALSE),0)</f>
        <v>0</v>
      </c>
      <c r="J1762">
        <f>IFERROR(HLOOKUP(J$2,[54]table_female_hkom2_inj.U3!$A$1:$K$36,27,FALSE),0)</f>
        <v>0</v>
      </c>
      <c r="K1762">
        <f>IFERROR(HLOOKUP(K$2,[54]table_female_hkom2_inj.U3!$A$1:$K$36,27,FALSE),0)</f>
        <v>0</v>
      </c>
      <c r="L1762">
        <f>IFERROR(HLOOKUP(L$2,[54]table_female_hkom2_inj.U3!$A$1:$K$36,27,FALSE),0)</f>
        <v>0</v>
      </c>
      <c r="M1762">
        <f t="shared" si="546"/>
        <v>0</v>
      </c>
      <c r="S1762" t="s">
        <v>95</v>
      </c>
      <c r="T1762" s="5">
        <f t="shared" si="547"/>
        <v>0</v>
      </c>
      <c r="U1762" s="5">
        <f t="shared" si="548"/>
        <v>0</v>
      </c>
      <c r="V1762" s="5">
        <f t="shared" si="549"/>
        <v>0</v>
      </c>
      <c r="W1762" s="5">
        <f t="shared" si="550"/>
        <v>0</v>
      </c>
      <c r="X1762" s="5">
        <f t="shared" si="551"/>
        <v>0</v>
      </c>
      <c r="Y1762" s="5">
        <f t="shared" si="552"/>
        <v>0</v>
      </c>
      <c r="Z1762" s="5">
        <f t="shared" si="553"/>
        <v>0</v>
      </c>
      <c r="AA1762" s="5">
        <f t="shared" si="554"/>
        <v>0</v>
      </c>
      <c r="AB1762" s="5">
        <f t="shared" si="555"/>
        <v>0</v>
      </c>
    </row>
    <row r="1763" spans="1:29" x14ac:dyDescent="0.25">
      <c r="D1763" t="s">
        <v>96</v>
      </c>
      <c r="E1763" s="64"/>
      <c r="F1763" s="64"/>
      <c r="G1763">
        <f>IFERROR(HLOOKUP(G$2,[54]table_female_hkom2_inj.U3!$A$1:$K$36,28,FALSE),0)</f>
        <v>0</v>
      </c>
      <c r="H1763">
        <f>IFERROR(HLOOKUP(H$2,[54]table_female_hkom2_inj.U3!$A$1:$K$36,28,FALSE),0)</f>
        <v>0</v>
      </c>
      <c r="I1763">
        <f>IFERROR(HLOOKUP(I$2,[54]table_female_hkom2_inj.U3!$A$1:$K$36,28,FALSE),0)</f>
        <v>0</v>
      </c>
      <c r="J1763">
        <f>IFERROR(HLOOKUP(J$2,[54]table_female_hkom2_inj.U3!$A$1:$K$36,28,FALSE),0)</f>
        <v>0</v>
      </c>
      <c r="K1763">
        <f>IFERROR(HLOOKUP(K$2,[54]table_female_hkom2_inj.U3!$A$1:$K$36,28,FALSE),0)</f>
        <v>0</v>
      </c>
      <c r="L1763">
        <f>IFERROR(HLOOKUP(L$2,[54]table_female_hkom2_inj.U3!$A$1:$K$36,28,FALSE),0)</f>
        <v>0</v>
      </c>
      <c r="M1763">
        <f t="shared" si="546"/>
        <v>0</v>
      </c>
      <c r="S1763" t="s">
        <v>96</v>
      </c>
      <c r="T1763" s="5">
        <f t="shared" si="547"/>
        <v>0</v>
      </c>
      <c r="U1763" s="5">
        <f t="shared" si="548"/>
        <v>0</v>
      </c>
      <c r="V1763" s="5">
        <f t="shared" si="549"/>
        <v>0</v>
      </c>
      <c r="W1763" s="5">
        <f t="shared" si="550"/>
        <v>0</v>
      </c>
      <c r="X1763" s="5">
        <f t="shared" si="551"/>
        <v>0</v>
      </c>
      <c r="Y1763" s="5">
        <f t="shared" si="552"/>
        <v>0</v>
      </c>
      <c r="Z1763" s="5">
        <f t="shared" si="553"/>
        <v>0</v>
      </c>
      <c r="AA1763" s="5">
        <f t="shared" si="554"/>
        <v>0</v>
      </c>
      <c r="AB1763" s="5">
        <f t="shared" si="555"/>
        <v>0</v>
      </c>
    </row>
    <row r="1764" spans="1:29" x14ac:dyDescent="0.25">
      <c r="D1764" t="s">
        <v>97</v>
      </c>
      <c r="E1764" s="64"/>
      <c r="F1764" s="64"/>
      <c r="G1764">
        <f>IFERROR(HLOOKUP(G$2,[54]table_female_hkom2_inj.U3!$A$1:$K$36,29,FALSE),0)</f>
        <v>0</v>
      </c>
      <c r="H1764">
        <f>IFERROR(HLOOKUP(H$2,[54]table_female_hkom2_inj.U3!$A$1:$K$36,29,FALSE),0)</f>
        <v>0</v>
      </c>
      <c r="I1764">
        <f>IFERROR(HLOOKUP(I$2,[54]table_female_hkom2_inj.U3!$A$1:$K$36,29,FALSE),0)</f>
        <v>0</v>
      </c>
      <c r="J1764">
        <f>IFERROR(HLOOKUP(J$2,[54]table_female_hkom2_inj.U3!$A$1:$K$36,29,FALSE),0)</f>
        <v>0</v>
      </c>
      <c r="K1764">
        <f>IFERROR(HLOOKUP(K$2,[54]table_female_hkom2_inj.U3!$A$1:$K$36,29,FALSE),0)</f>
        <v>0</v>
      </c>
      <c r="L1764">
        <f>IFERROR(HLOOKUP(L$2,[54]table_female_hkom2_inj.U3!$A$1:$K$36,29,FALSE),0)</f>
        <v>0</v>
      </c>
      <c r="M1764">
        <f t="shared" si="546"/>
        <v>0</v>
      </c>
      <c r="S1764" t="s">
        <v>97</v>
      </c>
      <c r="T1764" s="5">
        <f t="shared" si="547"/>
        <v>0</v>
      </c>
      <c r="U1764" s="5">
        <f t="shared" si="548"/>
        <v>0</v>
      </c>
      <c r="V1764" s="5">
        <f t="shared" si="549"/>
        <v>0</v>
      </c>
      <c r="W1764" s="5">
        <f t="shared" si="550"/>
        <v>0</v>
      </c>
      <c r="X1764" s="5">
        <f t="shared" si="551"/>
        <v>0</v>
      </c>
      <c r="Y1764" s="5">
        <f t="shared" si="552"/>
        <v>0</v>
      </c>
      <c r="Z1764" s="5">
        <f t="shared" si="553"/>
        <v>0</v>
      </c>
      <c r="AA1764" s="5">
        <f t="shared" si="554"/>
        <v>0</v>
      </c>
      <c r="AB1764" s="5">
        <f t="shared" si="555"/>
        <v>0</v>
      </c>
    </row>
    <row r="1765" spans="1:29" x14ac:dyDescent="0.25">
      <c r="D1765" t="s">
        <v>98</v>
      </c>
      <c r="E1765" s="64"/>
      <c r="F1765" s="64"/>
      <c r="G1765">
        <f>IFERROR(HLOOKUP(G$2,[54]table_female_hkom2_inj.U3!$A$1:$K$36,30,FALSE),0)</f>
        <v>0</v>
      </c>
      <c r="H1765">
        <f>IFERROR(HLOOKUP(H$2,[54]table_female_hkom2_inj.U3!$A$1:$K$36,30,FALSE),0)</f>
        <v>0</v>
      </c>
      <c r="I1765">
        <f>IFERROR(HLOOKUP(I$2,[54]table_female_hkom2_inj.U3!$A$1:$K$36,30,FALSE),0)</f>
        <v>0</v>
      </c>
      <c r="J1765">
        <f>IFERROR(HLOOKUP(J$2,[54]table_female_hkom2_inj.U3!$A$1:$K$36,30,FALSE),0)</f>
        <v>0</v>
      </c>
      <c r="K1765">
        <f>IFERROR(HLOOKUP(K$2,[54]table_female_hkom2_inj.U3!$A$1:$K$36,30,FALSE),0)</f>
        <v>0</v>
      </c>
      <c r="L1765">
        <f>IFERROR(HLOOKUP(L$2,[54]table_female_hkom2_inj.U3!$A$1:$K$36,30,FALSE),0)</f>
        <v>0</v>
      </c>
      <c r="M1765">
        <f t="shared" si="546"/>
        <v>0</v>
      </c>
      <c r="S1765" t="s">
        <v>98</v>
      </c>
      <c r="T1765" s="5">
        <f t="shared" si="547"/>
        <v>0</v>
      </c>
      <c r="U1765" s="5">
        <f t="shared" si="548"/>
        <v>0</v>
      </c>
      <c r="V1765" s="5">
        <f t="shared" si="549"/>
        <v>0</v>
      </c>
      <c r="W1765" s="5">
        <f t="shared" si="550"/>
        <v>0</v>
      </c>
      <c r="X1765" s="5">
        <f t="shared" si="551"/>
        <v>0</v>
      </c>
      <c r="Y1765" s="5">
        <f t="shared" si="552"/>
        <v>0</v>
      </c>
      <c r="Z1765" s="5">
        <f t="shared" si="553"/>
        <v>0</v>
      </c>
      <c r="AA1765" s="5">
        <f t="shared" si="554"/>
        <v>0</v>
      </c>
      <c r="AB1765" s="5">
        <f t="shared" si="555"/>
        <v>0</v>
      </c>
    </row>
    <row r="1766" spans="1:29" x14ac:dyDescent="0.25">
      <c r="D1766" t="s">
        <v>119</v>
      </c>
      <c r="E1766" s="64"/>
      <c r="F1766" s="64"/>
      <c r="G1766">
        <f>IFERROR(HLOOKUP(G$2,[54]table_female_hkom2_inj.U3!$A$1:$K$36,31,FALSE),0)</f>
        <v>0</v>
      </c>
      <c r="H1766">
        <f>IFERROR(HLOOKUP(H$2,[54]table_female_hkom2_inj.U3!$A$1:$K$36,31,FALSE),0)</f>
        <v>0</v>
      </c>
      <c r="I1766">
        <f>IFERROR(HLOOKUP(I$2,[54]table_female_hkom2_inj.U3!$A$1:$K$36,31,FALSE),0)</f>
        <v>0</v>
      </c>
      <c r="J1766">
        <f>IFERROR(HLOOKUP(J$2,[54]table_female_hkom2_inj.U3!$A$1:$K$36,31,FALSE),0)</f>
        <v>0</v>
      </c>
      <c r="K1766">
        <f>IFERROR(HLOOKUP(K$2,[54]table_female_hkom2_inj.U3!$A$1:$K$36,31,FALSE),0)</f>
        <v>0</v>
      </c>
      <c r="L1766">
        <f>IFERROR(HLOOKUP(L$2,[54]table_female_hkom2_inj.U3!$A$1:$K$36,31,FALSE),0)</f>
        <v>0</v>
      </c>
      <c r="M1766">
        <f t="shared" si="546"/>
        <v>0</v>
      </c>
      <c r="S1766" t="s">
        <v>119</v>
      </c>
      <c r="T1766" s="5">
        <f t="shared" si="547"/>
        <v>0</v>
      </c>
      <c r="U1766" s="5">
        <f t="shared" si="548"/>
        <v>0</v>
      </c>
      <c r="V1766" s="5">
        <f t="shared" si="549"/>
        <v>0</v>
      </c>
      <c r="W1766" s="5">
        <f t="shared" si="550"/>
        <v>0</v>
      </c>
      <c r="X1766" s="5">
        <f t="shared" si="551"/>
        <v>0</v>
      </c>
      <c r="Y1766" s="5">
        <f t="shared" si="552"/>
        <v>0</v>
      </c>
      <c r="Z1766" s="5">
        <f t="shared" si="553"/>
        <v>0</v>
      </c>
      <c r="AA1766" s="5">
        <f t="shared" si="554"/>
        <v>0</v>
      </c>
      <c r="AB1766" s="5">
        <f t="shared" si="555"/>
        <v>0</v>
      </c>
    </row>
    <row r="1767" spans="1:29" x14ac:dyDescent="0.25">
      <c r="D1767" t="s">
        <v>99</v>
      </c>
      <c r="E1767" s="64"/>
      <c r="F1767" s="64"/>
      <c r="G1767">
        <f>IFERROR(HLOOKUP(G$2,[54]table_female_hkom2_inj.U3!$A$1:$K$36,32,FALSE),0)</f>
        <v>1</v>
      </c>
      <c r="H1767">
        <f>IFERROR(HLOOKUP(H$2,[54]table_female_hkom2_inj.U3!$A$1:$K$36,32,FALSE),0)</f>
        <v>1</v>
      </c>
      <c r="I1767">
        <f>IFERROR(HLOOKUP(I$2,[54]table_female_hkom2_inj.U3!$A$1:$K$36,32,FALSE),0)</f>
        <v>1</v>
      </c>
      <c r="J1767">
        <f>IFERROR(HLOOKUP(J$2,[54]table_female_hkom2_inj.U3!$A$1:$K$36,32,FALSE),0)</f>
        <v>0</v>
      </c>
      <c r="K1767">
        <f>IFERROR(HLOOKUP(K$2,[54]table_female_hkom2_inj.U3!$A$1:$K$36,32,FALSE),0)</f>
        <v>0</v>
      </c>
      <c r="L1767">
        <f>IFERROR(HLOOKUP(L$2,[54]table_female_hkom2_inj.U3!$A$1:$K$36,32,FALSE),0)</f>
        <v>0</v>
      </c>
      <c r="M1767">
        <f t="shared" si="546"/>
        <v>3</v>
      </c>
      <c r="S1767" t="s">
        <v>99</v>
      </c>
      <c r="T1767" s="5">
        <f t="shared" si="547"/>
        <v>0</v>
      </c>
      <c r="U1767" s="5">
        <f t="shared" si="548"/>
        <v>0</v>
      </c>
      <c r="V1767" s="5">
        <f t="shared" si="549"/>
        <v>1.1666666666666667</v>
      </c>
      <c r="W1767" s="5">
        <f t="shared" si="550"/>
        <v>1.1551724137931034</v>
      </c>
      <c r="X1767" s="5">
        <f t="shared" si="551"/>
        <v>1.086021505376344</v>
      </c>
      <c r="Y1767" s="5">
        <f t="shared" si="552"/>
        <v>0</v>
      </c>
      <c r="Z1767" s="5">
        <f t="shared" si="553"/>
        <v>0</v>
      </c>
      <c r="AA1767" s="5">
        <f t="shared" si="554"/>
        <v>0</v>
      </c>
      <c r="AB1767" s="5">
        <f t="shared" si="555"/>
        <v>3.4078605858361142</v>
      </c>
    </row>
    <row r="1768" spans="1:29" x14ac:dyDescent="0.25">
      <c r="D1768" t="s">
        <v>100</v>
      </c>
      <c r="E1768" s="64"/>
      <c r="F1768" s="64"/>
      <c r="G1768">
        <f>IFERROR(HLOOKUP(G$2,[54]table_female_hkom2_inj.U3!$A$1:$K$36,33,FALSE),0)</f>
        <v>0</v>
      </c>
      <c r="H1768">
        <f>IFERROR(HLOOKUP(H$2,[54]table_female_hkom2_inj.U3!$A$1:$K$36,33,FALSE),0)</f>
        <v>0</v>
      </c>
      <c r="I1768">
        <f>IFERROR(HLOOKUP(I$2,[54]table_female_hkom2_inj.U3!$A$1:$K$36,33,FALSE),0)</f>
        <v>0</v>
      </c>
      <c r="J1768">
        <f>IFERROR(HLOOKUP(J$2,[54]table_female_hkom2_inj.U3!$A$1:$K$36,33,FALSE),0)</f>
        <v>0</v>
      </c>
      <c r="K1768">
        <f>IFERROR(HLOOKUP(K$2,[54]table_female_hkom2_inj.U3!$A$1:$K$36,33,FALSE),0)</f>
        <v>0</v>
      </c>
      <c r="L1768">
        <f>IFERROR(HLOOKUP(L$2,[54]table_female_hkom2_inj.U3!$A$1:$K$36,33,FALSE),0)</f>
        <v>0</v>
      </c>
      <c r="M1768">
        <f t="shared" si="546"/>
        <v>0</v>
      </c>
      <c r="S1768" t="s">
        <v>100</v>
      </c>
      <c r="T1768" s="5">
        <f t="shared" si="547"/>
        <v>0</v>
      </c>
      <c r="U1768" s="5">
        <f t="shared" si="548"/>
        <v>0</v>
      </c>
      <c r="V1768" s="5">
        <f t="shared" si="549"/>
        <v>0</v>
      </c>
      <c r="W1768" s="5">
        <f t="shared" si="550"/>
        <v>0</v>
      </c>
      <c r="X1768" s="5">
        <f t="shared" si="551"/>
        <v>0</v>
      </c>
      <c r="Y1768" s="5">
        <f t="shared" si="552"/>
        <v>0</v>
      </c>
      <c r="Z1768" s="5">
        <f t="shared" si="553"/>
        <v>0</v>
      </c>
      <c r="AA1768" s="5">
        <f t="shared" si="554"/>
        <v>0</v>
      </c>
      <c r="AB1768" s="5">
        <f t="shared" si="555"/>
        <v>0</v>
      </c>
    </row>
    <row r="1769" spans="1:29" x14ac:dyDescent="0.25">
      <c r="D1769" t="s">
        <v>101</v>
      </c>
      <c r="E1769" s="64"/>
      <c r="F1769" s="64"/>
      <c r="G1769">
        <f>IFERROR(HLOOKUP(G$2,[54]table_female_hkom2_inj.U3!$A$1:$K$36,34,FALSE),0)</f>
        <v>0</v>
      </c>
      <c r="H1769">
        <f>IFERROR(HLOOKUP(H$2,[54]table_female_hkom2_inj.U3!$A$1:$K$36,34,FALSE),0)</f>
        <v>0</v>
      </c>
      <c r="I1769">
        <f>IFERROR(HLOOKUP(I$2,[54]table_female_hkom2_inj.U3!$A$1:$K$36,34,FALSE),0)</f>
        <v>0</v>
      </c>
      <c r="J1769">
        <f>IFERROR(HLOOKUP(J$2,[54]table_female_hkom2_inj.U3!$A$1:$K$36,34,FALSE),0)</f>
        <v>0</v>
      </c>
      <c r="K1769">
        <f>IFERROR(HLOOKUP(K$2,[54]table_female_hkom2_inj.U3!$A$1:$K$36,34,FALSE),0)</f>
        <v>0</v>
      </c>
      <c r="L1769">
        <f>IFERROR(HLOOKUP(L$2,[54]table_female_hkom2_inj.U3!$A$1:$K$36,34,FALSE),0)</f>
        <v>0</v>
      </c>
      <c r="M1769">
        <f t="shared" si="546"/>
        <v>0</v>
      </c>
      <c r="S1769" t="s">
        <v>101</v>
      </c>
      <c r="T1769" s="5">
        <f t="shared" si="547"/>
        <v>0</v>
      </c>
      <c r="U1769" s="5">
        <f t="shared" si="548"/>
        <v>0</v>
      </c>
      <c r="V1769" s="5">
        <f t="shared" si="549"/>
        <v>0</v>
      </c>
      <c r="W1769" s="5">
        <f t="shared" si="550"/>
        <v>0</v>
      </c>
      <c r="X1769" s="5">
        <f t="shared" si="551"/>
        <v>0</v>
      </c>
      <c r="Y1769" s="5">
        <f t="shared" si="552"/>
        <v>0</v>
      </c>
      <c r="Z1769" s="5">
        <f t="shared" si="553"/>
        <v>0</v>
      </c>
      <c r="AA1769" s="5">
        <f t="shared" si="554"/>
        <v>0</v>
      </c>
      <c r="AB1769" s="5">
        <f t="shared" si="555"/>
        <v>0</v>
      </c>
    </row>
    <row r="1770" spans="1:29" x14ac:dyDescent="0.25">
      <c r="D1770" t="s">
        <v>102</v>
      </c>
      <c r="E1770" s="64"/>
      <c r="F1770" s="64"/>
      <c r="G1770">
        <f>IFERROR(HLOOKUP(G$2,[54]table_female_hkom2_inj.U3!$A$1:$K$36,35,FALSE),0)</f>
        <v>5</v>
      </c>
      <c r="H1770">
        <f>IFERROR(HLOOKUP(H$2,[54]table_female_hkom2_inj.U3!$A$1:$K$36,35,FALSE),0)</f>
        <v>9</v>
      </c>
      <c r="I1770">
        <f>IFERROR(HLOOKUP(I$2,[54]table_female_hkom2_inj.U3!$A$1:$K$36,35,FALSE),0)</f>
        <v>8</v>
      </c>
      <c r="J1770">
        <f>IFERROR(HLOOKUP(J$2,[54]table_female_hkom2_inj.U3!$A$1:$K$36,35,FALSE),0)</f>
        <v>3</v>
      </c>
      <c r="K1770">
        <f>IFERROR(HLOOKUP(K$2,[54]table_female_hkom2_inj.U3!$A$1:$K$36,35,FALSE),0)</f>
        <v>0</v>
      </c>
      <c r="L1770">
        <f>IFERROR(HLOOKUP(L$2,[54]table_female_hkom2_inj.U3!$A$1:$K$36,35,FALSE),0)</f>
        <v>0</v>
      </c>
      <c r="M1770">
        <f t="shared" si="546"/>
        <v>25</v>
      </c>
      <c r="N1770">
        <f>SUM(M1737:M1770)</f>
        <v>255</v>
      </c>
      <c r="O1770" s="8">
        <f>SUM([54]table_female_hkom2_inj.U3!$B$2:$L$36)</f>
        <v>255</v>
      </c>
      <c r="S1770" t="s">
        <v>102</v>
      </c>
      <c r="T1770" s="7"/>
      <c r="U1770" s="7"/>
      <c r="V1770" s="7"/>
      <c r="W1770" s="7"/>
      <c r="X1770" s="7"/>
      <c r="Y1770" s="7"/>
      <c r="Z1770" s="7"/>
      <c r="AA1770" s="7"/>
      <c r="AB1770" s="5">
        <f t="shared" si="555"/>
        <v>0</v>
      </c>
      <c r="AC1770" s="5">
        <f>SUM(AB1737:AB1769)</f>
        <v>255.00000000000003</v>
      </c>
    </row>
    <row r="1771" spans="1:29" x14ac:dyDescent="0.25">
      <c r="A1771" t="s">
        <v>115</v>
      </c>
      <c r="B1771" t="s">
        <v>116</v>
      </c>
      <c r="C1771" t="s">
        <v>112</v>
      </c>
      <c r="D1771" t="s">
        <v>70</v>
      </c>
      <c r="E1771" s="64"/>
      <c r="F1771" s="64"/>
      <c r="G1771">
        <f>IFERROR(HLOOKUP(G$2,[55]table_female_hkom2_inj.U4!$A$1:$K$36,2,FALSE),0)</f>
        <v>0</v>
      </c>
      <c r="H1771">
        <f>IFERROR(HLOOKUP(H$2,[55]table_female_hkom2_inj.U4!$A$1:$K$36,2,FALSE),0)</f>
        <v>0</v>
      </c>
      <c r="I1771">
        <f>IFERROR(HLOOKUP(I$2,[55]table_female_hkom2_inj.U4!$A$1:$K$36,2,FALSE),0)</f>
        <v>0</v>
      </c>
      <c r="J1771">
        <f>IFERROR(HLOOKUP(J$2,[55]table_female_hkom2_inj.U4!$A$1:$K$36,2,FALSE),0)</f>
        <v>0</v>
      </c>
      <c r="K1771">
        <f>IFERROR(HLOOKUP(K$2,[55]table_female_hkom2_inj.U4!$A$1:$K$36,2,FALSE),0)</f>
        <v>0</v>
      </c>
      <c r="L1771">
        <f>IFERROR(HLOOKUP(L$2,[55]table_female_hkom2_inj.U4!$A$1:$K$36,2,FALSE),0)</f>
        <v>0</v>
      </c>
      <c r="M1771">
        <f>SUM(E1771:L1771)</f>
        <v>0</v>
      </c>
      <c r="P1771" t="s">
        <v>115</v>
      </c>
      <c r="Q1771" t="s">
        <v>116</v>
      </c>
      <c r="R1771" t="s">
        <v>112</v>
      </c>
      <c r="S1771" t="s">
        <v>70</v>
      </c>
      <c r="T1771" s="5">
        <f>IF(SUM(E$1771:E$1803)=0,E$1804/33,E1771+IFERROR(E1771/SUM(E$1771:E$1803)*E$1804,0))</f>
        <v>0</v>
      </c>
      <c r="U1771" s="5">
        <f t="shared" ref="U1771:AA1771" si="556">IF(SUM(F$1771:F$1803)=0,F$1804/33,F1771+IFERROR(F1771/SUM(F$1771:F$1803)*F$1804,0))</f>
        <v>0</v>
      </c>
      <c r="V1771" s="5">
        <f t="shared" si="556"/>
        <v>0</v>
      </c>
      <c r="W1771" s="5">
        <f t="shared" si="556"/>
        <v>0</v>
      </c>
      <c r="X1771" s="5">
        <f t="shared" si="556"/>
        <v>0</v>
      </c>
      <c r="Y1771" s="5">
        <f t="shared" si="556"/>
        <v>0</v>
      </c>
      <c r="Z1771" s="5">
        <f t="shared" si="556"/>
        <v>0</v>
      </c>
      <c r="AA1771" s="5">
        <f t="shared" si="556"/>
        <v>0</v>
      </c>
      <c r="AB1771" s="5">
        <f t="shared" si="555"/>
        <v>0</v>
      </c>
    </row>
    <row r="1772" spans="1:29" x14ac:dyDescent="0.25">
      <c r="D1772" t="s">
        <v>71</v>
      </c>
      <c r="E1772" s="64"/>
      <c r="F1772" s="64"/>
      <c r="G1772">
        <f>IFERROR(HLOOKUP(G$2,[55]table_female_hkom2_inj.U4!$A$1:$K$36,3,FALSE),0)</f>
        <v>0</v>
      </c>
      <c r="H1772">
        <f>IFERROR(HLOOKUP(H$2,[55]table_female_hkom2_inj.U4!$A$1:$K$36,3,FALSE),0)</f>
        <v>0</v>
      </c>
      <c r="I1772">
        <f>IFERROR(HLOOKUP(I$2,[55]table_female_hkom2_inj.U4!$A$1:$K$36,3,FALSE),0)</f>
        <v>0</v>
      </c>
      <c r="J1772">
        <f>IFERROR(HLOOKUP(J$2,[55]table_female_hkom2_inj.U4!$A$1:$K$36,3,FALSE),0)</f>
        <v>0</v>
      </c>
      <c r="K1772">
        <f>IFERROR(HLOOKUP(K$2,[55]table_female_hkom2_inj.U4!$A$1:$K$36,3,FALSE),0)</f>
        <v>0</v>
      </c>
      <c r="L1772">
        <f>IFERROR(HLOOKUP(L$2,[55]table_female_hkom2_inj.U4!$A$1:$K$36,3,FALSE),0)</f>
        <v>0</v>
      </c>
      <c r="M1772">
        <f t="shared" ref="M1772:M1804" si="557">SUM(E1772:L1772)</f>
        <v>0</v>
      </c>
      <c r="S1772" t="s">
        <v>71</v>
      </c>
      <c r="T1772" s="5">
        <f t="shared" ref="T1772:T1803" si="558">IF(SUM(E$1771:E$1803)=0,E$1804/33,E1772+IFERROR(E1772/SUM(E$1771:E$1803)*E$1804,0))</f>
        <v>0</v>
      </c>
      <c r="U1772" s="5">
        <f t="shared" ref="U1772:U1803" si="559">IF(SUM(F$1771:F$1803)=0,F$1804/33,F1772+IFERROR(F1772/SUM(F$1771:F$1803)*F$1804,0))</f>
        <v>0</v>
      </c>
      <c r="V1772" s="5">
        <f t="shared" ref="V1772:V1803" si="560">IF(SUM(G$1771:G$1803)=0,G$1804/33,G1772+IFERROR(G1772/SUM(G$1771:G$1803)*G$1804,0))</f>
        <v>0</v>
      </c>
      <c r="W1772" s="5">
        <f t="shared" ref="W1772:W1803" si="561">IF(SUM(H$1771:H$1803)=0,H$1804/33,H1772+IFERROR(H1772/SUM(H$1771:H$1803)*H$1804,0))</f>
        <v>0</v>
      </c>
      <c r="X1772" s="5">
        <f t="shared" ref="X1772:X1803" si="562">IF(SUM(I$1771:I$1803)=0,I$1804/33,I1772+IFERROR(I1772/SUM(I$1771:I$1803)*I$1804,0))</f>
        <v>0</v>
      </c>
      <c r="Y1772" s="5">
        <f t="shared" ref="Y1772:Y1803" si="563">IF(SUM(J$1771:J$1803)=0,J$1804/33,J1772+IFERROR(J1772/SUM(J$1771:J$1803)*J$1804,0))</f>
        <v>0</v>
      </c>
      <c r="Z1772" s="5">
        <f t="shared" ref="Z1772:Z1803" si="564">IF(SUM(K$1771:K$1803)=0,K$1804/33,K1772+IFERROR(K1772/SUM(K$1771:K$1803)*K$1804,0))</f>
        <v>0</v>
      </c>
      <c r="AA1772" s="5">
        <f t="shared" ref="AA1772:AA1803" si="565">IF(SUM(L$1771:L$1803)=0,L$1804/33,L1772+IFERROR(L1772/SUM(L$1771:L$1803)*L$1804,0))</f>
        <v>0</v>
      </c>
      <c r="AB1772" s="5">
        <f t="shared" si="555"/>
        <v>0</v>
      </c>
    </row>
    <row r="1773" spans="1:29" x14ac:dyDescent="0.25">
      <c r="D1773" t="s">
        <v>72</v>
      </c>
      <c r="E1773" s="64"/>
      <c r="F1773" s="64"/>
      <c r="G1773">
        <f>IFERROR(HLOOKUP(G$2,[55]table_female_hkom2_inj.U4!$A$1:$K$36,4,FALSE),0)</f>
        <v>0</v>
      </c>
      <c r="H1773">
        <f>IFERROR(HLOOKUP(H$2,[55]table_female_hkom2_inj.U4!$A$1:$K$36,4,FALSE),0)</f>
        <v>0</v>
      </c>
      <c r="I1773">
        <f>IFERROR(HLOOKUP(I$2,[55]table_female_hkom2_inj.U4!$A$1:$K$36,4,FALSE),0)</f>
        <v>0</v>
      </c>
      <c r="J1773">
        <f>IFERROR(HLOOKUP(J$2,[55]table_female_hkom2_inj.U4!$A$1:$K$36,4,FALSE),0)</f>
        <v>0</v>
      </c>
      <c r="K1773">
        <f>IFERROR(HLOOKUP(K$2,[55]table_female_hkom2_inj.U4!$A$1:$K$36,4,FALSE),0)</f>
        <v>0</v>
      </c>
      <c r="L1773">
        <f>IFERROR(HLOOKUP(L$2,[55]table_female_hkom2_inj.U4!$A$1:$K$36,4,FALSE),0)</f>
        <v>0</v>
      </c>
      <c r="M1773">
        <f t="shared" si="557"/>
        <v>0</v>
      </c>
      <c r="S1773" t="s">
        <v>72</v>
      </c>
      <c r="T1773" s="5">
        <f t="shared" si="558"/>
        <v>0</v>
      </c>
      <c r="U1773" s="5">
        <f t="shared" si="559"/>
        <v>0</v>
      </c>
      <c r="V1773" s="5">
        <f t="shared" si="560"/>
        <v>0</v>
      </c>
      <c r="W1773" s="5">
        <f t="shared" si="561"/>
        <v>0</v>
      </c>
      <c r="X1773" s="5">
        <f t="shared" si="562"/>
        <v>0</v>
      </c>
      <c r="Y1773" s="5">
        <f t="shared" si="563"/>
        <v>0</v>
      </c>
      <c r="Z1773" s="5">
        <f t="shared" si="564"/>
        <v>0</v>
      </c>
      <c r="AA1773" s="5">
        <f t="shared" si="565"/>
        <v>0</v>
      </c>
      <c r="AB1773" s="5">
        <f t="shared" si="555"/>
        <v>0</v>
      </c>
    </row>
    <row r="1774" spans="1:29" x14ac:dyDescent="0.25">
      <c r="D1774" t="s">
        <v>73</v>
      </c>
      <c r="E1774" s="64"/>
      <c r="F1774" s="64"/>
      <c r="G1774">
        <f>IFERROR(HLOOKUP(G$2,[55]table_female_hkom2_inj.U4!$A$1:$K$36,5,FALSE),0)</f>
        <v>0</v>
      </c>
      <c r="H1774">
        <f>IFERROR(HLOOKUP(H$2,[55]table_female_hkom2_inj.U4!$A$1:$K$36,5,FALSE),0)</f>
        <v>0</v>
      </c>
      <c r="I1774">
        <f>IFERROR(HLOOKUP(I$2,[55]table_female_hkom2_inj.U4!$A$1:$K$36,5,FALSE),0)</f>
        <v>0</v>
      </c>
      <c r="J1774">
        <f>IFERROR(HLOOKUP(J$2,[55]table_female_hkom2_inj.U4!$A$1:$K$36,5,FALSE),0)</f>
        <v>0</v>
      </c>
      <c r="K1774">
        <f>IFERROR(HLOOKUP(K$2,[55]table_female_hkom2_inj.U4!$A$1:$K$36,5,FALSE),0)</f>
        <v>0</v>
      </c>
      <c r="L1774">
        <f>IFERROR(HLOOKUP(L$2,[55]table_female_hkom2_inj.U4!$A$1:$K$36,5,FALSE),0)</f>
        <v>0</v>
      </c>
      <c r="M1774">
        <f t="shared" si="557"/>
        <v>0</v>
      </c>
      <c r="S1774" t="s">
        <v>73</v>
      </c>
      <c r="T1774" s="5">
        <f t="shared" si="558"/>
        <v>0</v>
      </c>
      <c r="U1774" s="5">
        <f t="shared" si="559"/>
        <v>0</v>
      </c>
      <c r="V1774" s="5">
        <f t="shared" si="560"/>
        <v>0</v>
      </c>
      <c r="W1774" s="5">
        <f t="shared" si="561"/>
        <v>0</v>
      </c>
      <c r="X1774" s="5">
        <f t="shared" si="562"/>
        <v>0</v>
      </c>
      <c r="Y1774" s="5">
        <f t="shared" si="563"/>
        <v>0</v>
      </c>
      <c r="Z1774" s="5">
        <f t="shared" si="564"/>
        <v>0</v>
      </c>
      <c r="AA1774" s="5">
        <f t="shared" si="565"/>
        <v>0</v>
      </c>
      <c r="AB1774" s="5">
        <f t="shared" si="555"/>
        <v>0</v>
      </c>
    </row>
    <row r="1775" spans="1:29" x14ac:dyDescent="0.25">
      <c r="D1775" t="s">
        <v>74</v>
      </c>
      <c r="E1775" s="64"/>
      <c r="F1775" s="64"/>
      <c r="G1775">
        <f>IFERROR(HLOOKUP(G$2,[55]table_female_hkom2_inj.U4!$A$1:$K$36,6,FALSE),0)</f>
        <v>0</v>
      </c>
      <c r="H1775">
        <f>IFERROR(HLOOKUP(H$2,[55]table_female_hkom2_inj.U4!$A$1:$K$36,6,FALSE),0)</f>
        <v>0</v>
      </c>
      <c r="I1775">
        <f>IFERROR(HLOOKUP(I$2,[55]table_female_hkom2_inj.U4!$A$1:$K$36,6,FALSE),0)</f>
        <v>0</v>
      </c>
      <c r="J1775">
        <f>IFERROR(HLOOKUP(J$2,[55]table_female_hkom2_inj.U4!$A$1:$K$36,6,FALSE),0)</f>
        <v>0</v>
      </c>
      <c r="K1775">
        <f>IFERROR(HLOOKUP(K$2,[55]table_female_hkom2_inj.U4!$A$1:$K$36,6,FALSE),0)</f>
        <v>0</v>
      </c>
      <c r="L1775">
        <f>IFERROR(HLOOKUP(L$2,[55]table_female_hkom2_inj.U4!$A$1:$K$36,6,FALSE),0)</f>
        <v>0</v>
      </c>
      <c r="M1775">
        <f t="shared" si="557"/>
        <v>0</v>
      </c>
      <c r="S1775" t="s">
        <v>74</v>
      </c>
      <c r="T1775" s="5">
        <f t="shared" si="558"/>
        <v>0</v>
      </c>
      <c r="U1775" s="5">
        <f t="shared" si="559"/>
        <v>0</v>
      </c>
      <c r="V1775" s="5">
        <f t="shared" si="560"/>
        <v>0</v>
      </c>
      <c r="W1775" s="5">
        <f t="shared" si="561"/>
        <v>0</v>
      </c>
      <c r="X1775" s="5">
        <f t="shared" si="562"/>
        <v>0</v>
      </c>
      <c r="Y1775" s="5">
        <f t="shared" si="563"/>
        <v>0</v>
      </c>
      <c r="Z1775" s="5">
        <f t="shared" si="564"/>
        <v>0</v>
      </c>
      <c r="AA1775" s="5">
        <f t="shared" si="565"/>
        <v>0</v>
      </c>
      <c r="AB1775" s="5">
        <f t="shared" si="555"/>
        <v>0</v>
      </c>
    </row>
    <row r="1776" spans="1:29" x14ac:dyDescent="0.25">
      <c r="D1776" t="s">
        <v>75</v>
      </c>
      <c r="E1776" s="64"/>
      <c r="F1776" s="64"/>
      <c r="G1776">
        <f>IFERROR(HLOOKUP(G$2,[55]table_female_hkom2_inj.U4!$A$1:$K$36,7,FALSE),0)</f>
        <v>0</v>
      </c>
      <c r="H1776">
        <f>IFERROR(HLOOKUP(H$2,[55]table_female_hkom2_inj.U4!$A$1:$K$36,7,FALSE),0)</f>
        <v>0</v>
      </c>
      <c r="I1776">
        <f>IFERROR(HLOOKUP(I$2,[55]table_female_hkom2_inj.U4!$A$1:$K$36,7,FALSE),0)</f>
        <v>0</v>
      </c>
      <c r="J1776">
        <f>IFERROR(HLOOKUP(J$2,[55]table_female_hkom2_inj.U4!$A$1:$K$36,7,FALSE),0)</f>
        <v>0</v>
      </c>
      <c r="K1776">
        <f>IFERROR(HLOOKUP(K$2,[55]table_female_hkom2_inj.U4!$A$1:$K$36,7,FALSE),0)</f>
        <v>0</v>
      </c>
      <c r="L1776">
        <f>IFERROR(HLOOKUP(L$2,[55]table_female_hkom2_inj.U4!$A$1:$K$36,7,FALSE),0)</f>
        <v>0</v>
      </c>
      <c r="M1776">
        <f t="shared" si="557"/>
        <v>0</v>
      </c>
      <c r="S1776" t="s">
        <v>75</v>
      </c>
      <c r="T1776" s="5">
        <f t="shared" si="558"/>
        <v>0</v>
      </c>
      <c r="U1776" s="5">
        <f t="shared" si="559"/>
        <v>0</v>
      </c>
      <c r="V1776" s="5">
        <f t="shared" si="560"/>
        <v>0</v>
      </c>
      <c r="W1776" s="5">
        <f t="shared" si="561"/>
        <v>0</v>
      </c>
      <c r="X1776" s="5">
        <f t="shared" si="562"/>
        <v>0</v>
      </c>
      <c r="Y1776" s="5">
        <f t="shared" si="563"/>
        <v>0</v>
      </c>
      <c r="Z1776" s="5">
        <f t="shared" si="564"/>
        <v>0</v>
      </c>
      <c r="AA1776" s="5">
        <f t="shared" si="565"/>
        <v>0</v>
      </c>
      <c r="AB1776" s="5">
        <f t="shared" si="555"/>
        <v>0</v>
      </c>
    </row>
    <row r="1777" spans="4:28" x14ac:dyDescent="0.25">
      <c r="D1777" t="s">
        <v>76</v>
      </c>
      <c r="E1777" s="64"/>
      <c r="F1777" s="64"/>
      <c r="G1777">
        <f>IFERROR(HLOOKUP(G$2,[55]table_female_hkom2_inj.U4!$A$1:$K$36,8,FALSE),0)</f>
        <v>0</v>
      </c>
      <c r="H1777">
        <f>IFERROR(HLOOKUP(H$2,[55]table_female_hkom2_inj.U4!$A$1:$K$36,8,FALSE),0)</f>
        <v>0</v>
      </c>
      <c r="I1777">
        <f>IFERROR(HLOOKUP(I$2,[55]table_female_hkom2_inj.U4!$A$1:$K$36,8,FALSE),0)</f>
        <v>0</v>
      </c>
      <c r="J1777">
        <f>IFERROR(HLOOKUP(J$2,[55]table_female_hkom2_inj.U4!$A$1:$K$36,8,FALSE),0)</f>
        <v>0</v>
      </c>
      <c r="K1777">
        <f>IFERROR(HLOOKUP(K$2,[55]table_female_hkom2_inj.U4!$A$1:$K$36,8,FALSE),0)</f>
        <v>0</v>
      </c>
      <c r="L1777">
        <f>IFERROR(HLOOKUP(L$2,[55]table_female_hkom2_inj.U4!$A$1:$K$36,8,FALSE),0)</f>
        <v>0</v>
      </c>
      <c r="M1777">
        <f t="shared" si="557"/>
        <v>0</v>
      </c>
      <c r="S1777" t="s">
        <v>76</v>
      </c>
      <c r="T1777" s="5">
        <f t="shared" si="558"/>
        <v>0</v>
      </c>
      <c r="U1777" s="5">
        <f t="shared" si="559"/>
        <v>0</v>
      </c>
      <c r="V1777" s="5">
        <f t="shared" si="560"/>
        <v>0</v>
      </c>
      <c r="W1777" s="5">
        <f t="shared" si="561"/>
        <v>0</v>
      </c>
      <c r="X1777" s="5">
        <f t="shared" si="562"/>
        <v>0</v>
      </c>
      <c r="Y1777" s="5">
        <f t="shared" si="563"/>
        <v>0</v>
      </c>
      <c r="Z1777" s="5">
        <f t="shared" si="564"/>
        <v>0</v>
      </c>
      <c r="AA1777" s="5">
        <f t="shared" si="565"/>
        <v>0</v>
      </c>
      <c r="AB1777" s="5">
        <f t="shared" si="555"/>
        <v>0</v>
      </c>
    </row>
    <row r="1778" spans="4:28" x14ac:dyDescent="0.25">
      <c r="D1778" t="s">
        <v>77</v>
      </c>
      <c r="E1778" s="64"/>
      <c r="F1778" s="64"/>
      <c r="G1778">
        <f>IFERROR(HLOOKUP(G$2,[55]table_female_hkom2_inj.U4!$A$1:$K$36,9,FALSE),0)</f>
        <v>0</v>
      </c>
      <c r="H1778">
        <f>IFERROR(HLOOKUP(H$2,[55]table_female_hkom2_inj.U4!$A$1:$K$36,9,FALSE),0)</f>
        <v>0</v>
      </c>
      <c r="I1778">
        <f>IFERROR(HLOOKUP(I$2,[55]table_female_hkom2_inj.U4!$A$1:$K$36,9,FALSE),0)</f>
        <v>0</v>
      </c>
      <c r="J1778">
        <f>IFERROR(HLOOKUP(J$2,[55]table_female_hkom2_inj.U4!$A$1:$K$36,9,FALSE),0)</f>
        <v>0</v>
      </c>
      <c r="K1778">
        <f>IFERROR(HLOOKUP(K$2,[55]table_female_hkom2_inj.U4!$A$1:$K$36,9,FALSE),0)</f>
        <v>0</v>
      </c>
      <c r="L1778">
        <f>IFERROR(HLOOKUP(L$2,[55]table_female_hkom2_inj.U4!$A$1:$K$36,9,FALSE),0)</f>
        <v>0</v>
      </c>
      <c r="M1778">
        <f t="shared" si="557"/>
        <v>0</v>
      </c>
      <c r="S1778" t="s">
        <v>77</v>
      </c>
      <c r="T1778" s="5">
        <f t="shared" si="558"/>
        <v>0</v>
      </c>
      <c r="U1778" s="5">
        <f t="shared" si="559"/>
        <v>0</v>
      </c>
      <c r="V1778" s="5">
        <f t="shared" si="560"/>
        <v>0</v>
      </c>
      <c r="W1778" s="5">
        <f t="shared" si="561"/>
        <v>0</v>
      </c>
      <c r="X1778" s="5">
        <f t="shared" si="562"/>
        <v>0</v>
      </c>
      <c r="Y1778" s="5">
        <f t="shared" si="563"/>
        <v>0</v>
      </c>
      <c r="Z1778" s="5">
        <f t="shared" si="564"/>
        <v>0</v>
      </c>
      <c r="AA1778" s="5">
        <f t="shared" si="565"/>
        <v>0</v>
      </c>
      <c r="AB1778" s="5">
        <f t="shared" si="555"/>
        <v>0</v>
      </c>
    </row>
    <row r="1779" spans="4:28" x14ac:dyDescent="0.25">
      <c r="D1779" t="s">
        <v>78</v>
      </c>
      <c r="E1779" s="64"/>
      <c r="F1779" s="64"/>
      <c r="G1779">
        <f>IFERROR(HLOOKUP(G$2,[55]table_female_hkom2_inj.U4!$A$1:$K$36,10,FALSE),0)</f>
        <v>0</v>
      </c>
      <c r="H1779">
        <f>IFERROR(HLOOKUP(H$2,[55]table_female_hkom2_inj.U4!$A$1:$K$36,10,FALSE),0)</f>
        <v>0</v>
      </c>
      <c r="I1779">
        <f>IFERROR(HLOOKUP(I$2,[55]table_female_hkom2_inj.U4!$A$1:$K$36,10,FALSE),0)</f>
        <v>0</v>
      </c>
      <c r="J1779">
        <f>IFERROR(HLOOKUP(J$2,[55]table_female_hkom2_inj.U4!$A$1:$K$36,10,FALSE),0)</f>
        <v>0</v>
      </c>
      <c r="K1779">
        <f>IFERROR(HLOOKUP(K$2,[55]table_female_hkom2_inj.U4!$A$1:$K$36,10,FALSE),0)</f>
        <v>0</v>
      </c>
      <c r="L1779">
        <f>IFERROR(HLOOKUP(L$2,[55]table_female_hkom2_inj.U4!$A$1:$K$36,10,FALSE),0)</f>
        <v>0</v>
      </c>
      <c r="M1779">
        <f t="shared" si="557"/>
        <v>0</v>
      </c>
      <c r="S1779" t="s">
        <v>78</v>
      </c>
      <c r="T1779" s="5">
        <f t="shared" si="558"/>
        <v>0</v>
      </c>
      <c r="U1779" s="5">
        <f t="shared" si="559"/>
        <v>0</v>
      </c>
      <c r="V1779" s="5">
        <f t="shared" si="560"/>
        <v>0</v>
      </c>
      <c r="W1779" s="5">
        <f t="shared" si="561"/>
        <v>0</v>
      </c>
      <c r="X1779" s="5">
        <f t="shared" si="562"/>
        <v>0</v>
      </c>
      <c r="Y1779" s="5">
        <f t="shared" si="563"/>
        <v>0</v>
      </c>
      <c r="Z1779" s="5">
        <f t="shared" si="564"/>
        <v>0</v>
      </c>
      <c r="AA1779" s="5">
        <f t="shared" si="565"/>
        <v>0</v>
      </c>
      <c r="AB1779" s="5">
        <f t="shared" si="555"/>
        <v>0</v>
      </c>
    </row>
    <row r="1780" spans="4:28" x14ac:dyDescent="0.25">
      <c r="D1780" t="s">
        <v>79</v>
      </c>
      <c r="E1780" s="64"/>
      <c r="F1780" s="64"/>
      <c r="G1780">
        <f>IFERROR(HLOOKUP(G$2,[55]table_female_hkom2_inj.U4!$A$1:$K$36,11,FALSE),0)</f>
        <v>0</v>
      </c>
      <c r="H1780">
        <f>IFERROR(HLOOKUP(H$2,[55]table_female_hkom2_inj.U4!$A$1:$K$36,11,FALSE),0)</f>
        <v>0</v>
      </c>
      <c r="I1780">
        <f>IFERROR(HLOOKUP(I$2,[55]table_female_hkom2_inj.U4!$A$1:$K$36,11,FALSE),0)</f>
        <v>0</v>
      </c>
      <c r="J1780">
        <f>IFERROR(HLOOKUP(J$2,[55]table_female_hkom2_inj.U4!$A$1:$K$36,11,FALSE),0)</f>
        <v>0</v>
      </c>
      <c r="K1780">
        <f>IFERROR(HLOOKUP(K$2,[55]table_female_hkom2_inj.U4!$A$1:$K$36,11,FALSE),0)</f>
        <v>0</v>
      </c>
      <c r="L1780">
        <f>IFERROR(HLOOKUP(L$2,[55]table_female_hkom2_inj.U4!$A$1:$K$36,11,FALSE),0)</f>
        <v>0</v>
      </c>
      <c r="M1780">
        <f t="shared" si="557"/>
        <v>0</v>
      </c>
      <c r="S1780" t="s">
        <v>79</v>
      </c>
      <c r="T1780" s="5">
        <f t="shared" si="558"/>
        <v>0</v>
      </c>
      <c r="U1780" s="5">
        <f t="shared" si="559"/>
        <v>0</v>
      </c>
      <c r="V1780" s="5">
        <f t="shared" si="560"/>
        <v>0</v>
      </c>
      <c r="W1780" s="5">
        <f t="shared" si="561"/>
        <v>0</v>
      </c>
      <c r="X1780" s="5">
        <f t="shared" si="562"/>
        <v>0</v>
      </c>
      <c r="Y1780" s="5">
        <f t="shared" si="563"/>
        <v>0</v>
      </c>
      <c r="Z1780" s="5">
        <f t="shared" si="564"/>
        <v>0</v>
      </c>
      <c r="AA1780" s="5">
        <f t="shared" si="565"/>
        <v>0</v>
      </c>
      <c r="AB1780" s="5">
        <f t="shared" si="555"/>
        <v>0</v>
      </c>
    </row>
    <row r="1781" spans="4:28" x14ac:dyDescent="0.25">
      <c r="D1781" t="s">
        <v>80</v>
      </c>
      <c r="E1781" s="64"/>
      <c r="F1781" s="64"/>
      <c r="G1781">
        <f>IFERROR(HLOOKUP(G$2,[55]table_female_hkom2_inj.U4!$A$1:$K$36,12,FALSE),0)</f>
        <v>0</v>
      </c>
      <c r="H1781">
        <f>IFERROR(HLOOKUP(H$2,[55]table_female_hkom2_inj.U4!$A$1:$K$36,12,FALSE),0)</f>
        <v>0</v>
      </c>
      <c r="I1781">
        <f>IFERROR(HLOOKUP(I$2,[55]table_female_hkom2_inj.U4!$A$1:$K$36,12,FALSE),0)</f>
        <v>0</v>
      </c>
      <c r="J1781">
        <f>IFERROR(HLOOKUP(J$2,[55]table_female_hkom2_inj.U4!$A$1:$K$36,12,FALSE),0)</f>
        <v>0</v>
      </c>
      <c r="K1781">
        <f>IFERROR(HLOOKUP(K$2,[55]table_female_hkom2_inj.U4!$A$1:$K$36,12,FALSE),0)</f>
        <v>0</v>
      </c>
      <c r="L1781">
        <f>IFERROR(HLOOKUP(L$2,[55]table_female_hkom2_inj.U4!$A$1:$K$36,12,FALSE),0)</f>
        <v>0</v>
      </c>
      <c r="M1781">
        <f t="shared" si="557"/>
        <v>0</v>
      </c>
      <c r="S1781" t="s">
        <v>80</v>
      </c>
      <c r="T1781" s="5">
        <f t="shared" si="558"/>
        <v>0</v>
      </c>
      <c r="U1781" s="5">
        <f t="shared" si="559"/>
        <v>0</v>
      </c>
      <c r="V1781" s="5">
        <f t="shared" si="560"/>
        <v>0</v>
      </c>
      <c r="W1781" s="5">
        <f t="shared" si="561"/>
        <v>0</v>
      </c>
      <c r="X1781" s="5">
        <f t="shared" si="562"/>
        <v>0</v>
      </c>
      <c r="Y1781" s="5">
        <f t="shared" si="563"/>
        <v>0</v>
      </c>
      <c r="Z1781" s="5">
        <f t="shared" si="564"/>
        <v>0</v>
      </c>
      <c r="AA1781" s="5">
        <f t="shared" si="565"/>
        <v>0</v>
      </c>
      <c r="AB1781" s="5">
        <f t="shared" si="555"/>
        <v>0</v>
      </c>
    </row>
    <row r="1782" spans="4:28" x14ac:dyDescent="0.25">
      <c r="D1782" t="s">
        <v>81</v>
      </c>
      <c r="E1782" s="64"/>
      <c r="F1782" s="64"/>
      <c r="G1782">
        <f>IFERROR(HLOOKUP(G$2,[55]table_female_hkom2_inj.U4!$A$1:$K$36,13,FALSE),0)</f>
        <v>0</v>
      </c>
      <c r="H1782">
        <f>IFERROR(HLOOKUP(H$2,[55]table_female_hkom2_inj.U4!$A$1:$K$36,13,FALSE),0)</f>
        <v>0</v>
      </c>
      <c r="I1782">
        <f>IFERROR(HLOOKUP(I$2,[55]table_female_hkom2_inj.U4!$A$1:$K$36,13,FALSE),0)</f>
        <v>0</v>
      </c>
      <c r="J1782">
        <f>IFERROR(HLOOKUP(J$2,[55]table_female_hkom2_inj.U4!$A$1:$K$36,13,FALSE),0)</f>
        <v>0</v>
      </c>
      <c r="K1782">
        <f>IFERROR(HLOOKUP(K$2,[55]table_female_hkom2_inj.U4!$A$1:$K$36,13,FALSE),0)</f>
        <v>0</v>
      </c>
      <c r="L1782">
        <f>IFERROR(HLOOKUP(L$2,[55]table_female_hkom2_inj.U4!$A$1:$K$36,13,FALSE),0)</f>
        <v>0</v>
      </c>
      <c r="M1782">
        <f t="shared" si="557"/>
        <v>0</v>
      </c>
      <c r="S1782" t="s">
        <v>81</v>
      </c>
      <c r="T1782" s="5">
        <f t="shared" si="558"/>
        <v>0</v>
      </c>
      <c r="U1782" s="5">
        <f t="shared" si="559"/>
        <v>0</v>
      </c>
      <c r="V1782" s="5">
        <f t="shared" si="560"/>
        <v>0</v>
      </c>
      <c r="W1782" s="5">
        <f t="shared" si="561"/>
        <v>0</v>
      </c>
      <c r="X1782" s="5">
        <f t="shared" si="562"/>
        <v>0</v>
      </c>
      <c r="Y1782" s="5">
        <f t="shared" si="563"/>
        <v>0</v>
      </c>
      <c r="Z1782" s="5">
        <f t="shared" si="564"/>
        <v>0</v>
      </c>
      <c r="AA1782" s="5">
        <f t="shared" si="565"/>
        <v>0</v>
      </c>
      <c r="AB1782" s="5">
        <f t="shared" si="555"/>
        <v>0</v>
      </c>
    </row>
    <row r="1783" spans="4:28" x14ac:dyDescent="0.25">
      <c r="D1783" t="s">
        <v>82</v>
      </c>
      <c r="E1783" s="64"/>
      <c r="F1783" s="64"/>
      <c r="G1783">
        <f>IFERROR(HLOOKUP(G$2,[55]table_female_hkom2_inj.U4!$A$1:$K$36,14,FALSE),0)</f>
        <v>0</v>
      </c>
      <c r="H1783">
        <f>IFERROR(HLOOKUP(H$2,[55]table_female_hkom2_inj.U4!$A$1:$K$36,14,FALSE),0)</f>
        <v>0</v>
      </c>
      <c r="I1783">
        <f>IFERROR(HLOOKUP(I$2,[55]table_female_hkom2_inj.U4!$A$1:$K$36,14,FALSE),0)</f>
        <v>0</v>
      </c>
      <c r="J1783">
        <f>IFERROR(HLOOKUP(J$2,[55]table_female_hkom2_inj.U4!$A$1:$K$36,14,FALSE),0)</f>
        <v>0</v>
      </c>
      <c r="K1783">
        <f>IFERROR(HLOOKUP(K$2,[55]table_female_hkom2_inj.U4!$A$1:$K$36,14,FALSE),0)</f>
        <v>0</v>
      </c>
      <c r="L1783">
        <f>IFERROR(HLOOKUP(L$2,[55]table_female_hkom2_inj.U4!$A$1:$K$36,14,FALSE),0)</f>
        <v>0</v>
      </c>
      <c r="M1783">
        <f t="shared" si="557"/>
        <v>0</v>
      </c>
      <c r="S1783" t="s">
        <v>82</v>
      </c>
      <c r="T1783" s="5">
        <f t="shared" si="558"/>
        <v>0</v>
      </c>
      <c r="U1783" s="5">
        <f t="shared" si="559"/>
        <v>0</v>
      </c>
      <c r="V1783" s="5">
        <f t="shared" si="560"/>
        <v>0</v>
      </c>
      <c r="W1783" s="5">
        <f t="shared" si="561"/>
        <v>0</v>
      </c>
      <c r="X1783" s="5">
        <f t="shared" si="562"/>
        <v>0</v>
      </c>
      <c r="Y1783" s="5">
        <f t="shared" si="563"/>
        <v>0</v>
      </c>
      <c r="Z1783" s="5">
        <f t="shared" si="564"/>
        <v>0</v>
      </c>
      <c r="AA1783" s="5">
        <f t="shared" si="565"/>
        <v>0</v>
      </c>
      <c r="AB1783" s="5">
        <f t="shared" si="555"/>
        <v>0</v>
      </c>
    </row>
    <row r="1784" spans="4:28" x14ac:dyDescent="0.25">
      <c r="D1784" t="s">
        <v>83</v>
      </c>
      <c r="E1784" s="64"/>
      <c r="F1784" s="64"/>
      <c r="G1784">
        <f>IFERROR(HLOOKUP(G$2,[55]table_female_hkom2_inj.U4!$A$1:$K$36,15,FALSE),0)</f>
        <v>0</v>
      </c>
      <c r="H1784">
        <f>IFERROR(HLOOKUP(H$2,[55]table_female_hkom2_inj.U4!$A$1:$K$36,15,FALSE),0)</f>
        <v>0</v>
      </c>
      <c r="I1784">
        <f>IFERROR(HLOOKUP(I$2,[55]table_female_hkom2_inj.U4!$A$1:$K$36,15,FALSE),0)</f>
        <v>0</v>
      </c>
      <c r="J1784">
        <f>IFERROR(HLOOKUP(J$2,[55]table_female_hkom2_inj.U4!$A$1:$K$36,15,FALSE),0)</f>
        <v>0</v>
      </c>
      <c r="K1784">
        <f>IFERROR(HLOOKUP(K$2,[55]table_female_hkom2_inj.U4!$A$1:$K$36,15,FALSE),0)</f>
        <v>0</v>
      </c>
      <c r="L1784">
        <f>IFERROR(HLOOKUP(L$2,[55]table_female_hkom2_inj.U4!$A$1:$K$36,15,FALSE),0)</f>
        <v>0</v>
      </c>
      <c r="M1784">
        <f t="shared" si="557"/>
        <v>0</v>
      </c>
      <c r="S1784" t="s">
        <v>83</v>
      </c>
      <c r="T1784" s="5">
        <f t="shared" si="558"/>
        <v>0</v>
      </c>
      <c r="U1784" s="5">
        <f t="shared" si="559"/>
        <v>0</v>
      </c>
      <c r="V1784" s="5">
        <f t="shared" si="560"/>
        <v>0</v>
      </c>
      <c r="W1784" s="5">
        <f t="shared" si="561"/>
        <v>0</v>
      </c>
      <c r="X1784" s="5">
        <f t="shared" si="562"/>
        <v>0</v>
      </c>
      <c r="Y1784" s="5">
        <f t="shared" si="563"/>
        <v>0</v>
      </c>
      <c r="Z1784" s="5">
        <f t="shared" si="564"/>
        <v>0</v>
      </c>
      <c r="AA1784" s="5">
        <f t="shared" si="565"/>
        <v>0</v>
      </c>
      <c r="AB1784" s="5">
        <f t="shared" si="555"/>
        <v>0</v>
      </c>
    </row>
    <row r="1785" spans="4:28" x14ac:dyDescent="0.25">
      <c r="D1785" t="s">
        <v>84</v>
      </c>
      <c r="E1785" s="64"/>
      <c r="F1785" s="64"/>
      <c r="G1785">
        <f>IFERROR(HLOOKUP(G$2,[55]table_female_hkom2_inj.U4!$A$1:$K$36,16,FALSE),0)</f>
        <v>0</v>
      </c>
      <c r="H1785">
        <f>IFERROR(HLOOKUP(H$2,[55]table_female_hkom2_inj.U4!$A$1:$K$36,16,FALSE),0)</f>
        <v>0</v>
      </c>
      <c r="I1785">
        <f>IFERROR(HLOOKUP(I$2,[55]table_female_hkom2_inj.U4!$A$1:$K$36,16,FALSE),0)</f>
        <v>0</v>
      </c>
      <c r="J1785">
        <f>IFERROR(HLOOKUP(J$2,[55]table_female_hkom2_inj.U4!$A$1:$K$36,16,FALSE),0)</f>
        <v>0</v>
      </c>
      <c r="K1785">
        <f>IFERROR(HLOOKUP(K$2,[55]table_female_hkom2_inj.U4!$A$1:$K$36,16,FALSE),0)</f>
        <v>0</v>
      </c>
      <c r="L1785">
        <f>IFERROR(HLOOKUP(L$2,[55]table_female_hkom2_inj.U4!$A$1:$K$36,16,FALSE),0)</f>
        <v>0</v>
      </c>
      <c r="M1785">
        <f t="shared" si="557"/>
        <v>0</v>
      </c>
      <c r="S1785" t="s">
        <v>84</v>
      </c>
      <c r="T1785" s="5">
        <f t="shared" si="558"/>
        <v>0</v>
      </c>
      <c r="U1785" s="5">
        <f t="shared" si="559"/>
        <v>0</v>
      </c>
      <c r="V1785" s="5">
        <f t="shared" si="560"/>
        <v>0</v>
      </c>
      <c r="W1785" s="5">
        <f t="shared" si="561"/>
        <v>0</v>
      </c>
      <c r="X1785" s="5">
        <f t="shared" si="562"/>
        <v>0</v>
      </c>
      <c r="Y1785" s="5">
        <f t="shared" si="563"/>
        <v>0</v>
      </c>
      <c r="Z1785" s="5">
        <f t="shared" si="564"/>
        <v>0</v>
      </c>
      <c r="AA1785" s="5">
        <f t="shared" si="565"/>
        <v>0</v>
      </c>
      <c r="AB1785" s="5">
        <f t="shared" si="555"/>
        <v>0</v>
      </c>
    </row>
    <row r="1786" spans="4:28" x14ac:dyDescent="0.25">
      <c r="D1786" t="s">
        <v>85</v>
      </c>
      <c r="E1786" s="64"/>
      <c r="F1786" s="64"/>
      <c r="G1786">
        <f>IFERROR(HLOOKUP(G$2,[55]table_female_hkom2_inj.U4!$A$1:$K$36,17,FALSE),0)</f>
        <v>0</v>
      </c>
      <c r="H1786">
        <f>IFERROR(HLOOKUP(H$2,[55]table_female_hkom2_inj.U4!$A$1:$K$36,17,FALSE),0)</f>
        <v>0</v>
      </c>
      <c r="I1786">
        <f>IFERROR(HLOOKUP(I$2,[55]table_female_hkom2_inj.U4!$A$1:$K$36,17,FALSE),0)</f>
        <v>0</v>
      </c>
      <c r="J1786">
        <f>IFERROR(HLOOKUP(J$2,[55]table_female_hkom2_inj.U4!$A$1:$K$36,17,FALSE),0)</f>
        <v>0</v>
      </c>
      <c r="K1786">
        <f>IFERROR(HLOOKUP(K$2,[55]table_female_hkom2_inj.U4!$A$1:$K$36,17,FALSE),0)</f>
        <v>0</v>
      </c>
      <c r="L1786">
        <f>IFERROR(HLOOKUP(L$2,[55]table_female_hkom2_inj.U4!$A$1:$K$36,17,FALSE),0)</f>
        <v>0</v>
      </c>
      <c r="M1786">
        <f t="shared" si="557"/>
        <v>0</v>
      </c>
      <c r="S1786" t="s">
        <v>85</v>
      </c>
      <c r="T1786" s="5">
        <f t="shared" si="558"/>
        <v>0</v>
      </c>
      <c r="U1786" s="5">
        <f t="shared" si="559"/>
        <v>0</v>
      </c>
      <c r="V1786" s="5">
        <f t="shared" si="560"/>
        <v>0</v>
      </c>
      <c r="W1786" s="5">
        <f t="shared" si="561"/>
        <v>0</v>
      </c>
      <c r="X1786" s="5">
        <f t="shared" si="562"/>
        <v>0</v>
      </c>
      <c r="Y1786" s="5">
        <f t="shared" si="563"/>
        <v>0</v>
      </c>
      <c r="Z1786" s="5">
        <f t="shared" si="564"/>
        <v>0</v>
      </c>
      <c r="AA1786" s="5">
        <f t="shared" si="565"/>
        <v>0</v>
      </c>
      <c r="AB1786" s="5">
        <f t="shared" si="555"/>
        <v>0</v>
      </c>
    </row>
    <row r="1787" spans="4:28" x14ac:dyDescent="0.25">
      <c r="D1787" t="s">
        <v>86</v>
      </c>
      <c r="E1787" s="64"/>
      <c r="F1787" s="64"/>
      <c r="G1787">
        <f>IFERROR(HLOOKUP(G$2,[55]table_female_hkom2_inj.U4!$A$1:$K$36,18,FALSE),0)</f>
        <v>0</v>
      </c>
      <c r="H1787">
        <f>IFERROR(HLOOKUP(H$2,[55]table_female_hkom2_inj.U4!$A$1:$K$36,18,FALSE),0)</f>
        <v>0</v>
      </c>
      <c r="I1787">
        <f>IFERROR(HLOOKUP(I$2,[55]table_female_hkom2_inj.U4!$A$1:$K$36,18,FALSE),0)</f>
        <v>0</v>
      </c>
      <c r="J1787">
        <f>IFERROR(HLOOKUP(J$2,[55]table_female_hkom2_inj.U4!$A$1:$K$36,18,FALSE),0)</f>
        <v>0</v>
      </c>
      <c r="K1787">
        <f>IFERROR(HLOOKUP(K$2,[55]table_female_hkom2_inj.U4!$A$1:$K$36,18,FALSE),0)</f>
        <v>0</v>
      </c>
      <c r="L1787">
        <f>IFERROR(HLOOKUP(L$2,[55]table_female_hkom2_inj.U4!$A$1:$K$36,18,FALSE),0)</f>
        <v>0</v>
      </c>
      <c r="M1787">
        <f t="shared" si="557"/>
        <v>0</v>
      </c>
      <c r="S1787" t="s">
        <v>86</v>
      </c>
      <c r="T1787" s="5">
        <f t="shared" si="558"/>
        <v>0</v>
      </c>
      <c r="U1787" s="5">
        <f t="shared" si="559"/>
        <v>0</v>
      </c>
      <c r="V1787" s="5">
        <f t="shared" si="560"/>
        <v>0</v>
      </c>
      <c r="W1787" s="5">
        <f t="shared" si="561"/>
        <v>0</v>
      </c>
      <c r="X1787" s="5">
        <f t="shared" si="562"/>
        <v>0</v>
      </c>
      <c r="Y1787" s="5">
        <f t="shared" si="563"/>
        <v>0</v>
      </c>
      <c r="Z1787" s="5">
        <f t="shared" si="564"/>
        <v>0</v>
      </c>
      <c r="AA1787" s="5">
        <f t="shared" si="565"/>
        <v>0</v>
      </c>
      <c r="AB1787" s="5">
        <f t="shared" si="555"/>
        <v>0</v>
      </c>
    </row>
    <row r="1788" spans="4:28" x14ac:dyDescent="0.25">
      <c r="D1788" t="s">
        <v>87</v>
      </c>
      <c r="E1788" s="64"/>
      <c r="F1788" s="64"/>
      <c r="G1788">
        <f>IFERROR(HLOOKUP(G$2,[55]table_female_hkom2_inj.U4!$A$1:$K$36,19,FALSE),0)</f>
        <v>0</v>
      </c>
      <c r="H1788">
        <f>IFERROR(HLOOKUP(H$2,[55]table_female_hkom2_inj.U4!$A$1:$K$36,19,FALSE),0)</f>
        <v>0</v>
      </c>
      <c r="I1788">
        <f>IFERROR(HLOOKUP(I$2,[55]table_female_hkom2_inj.U4!$A$1:$K$36,19,FALSE),0)</f>
        <v>0</v>
      </c>
      <c r="J1788">
        <f>IFERROR(HLOOKUP(J$2,[55]table_female_hkom2_inj.U4!$A$1:$K$36,19,FALSE),0)</f>
        <v>0</v>
      </c>
      <c r="K1788">
        <f>IFERROR(HLOOKUP(K$2,[55]table_female_hkom2_inj.U4!$A$1:$K$36,19,FALSE),0)</f>
        <v>0</v>
      </c>
      <c r="L1788">
        <f>IFERROR(HLOOKUP(L$2,[55]table_female_hkom2_inj.U4!$A$1:$K$36,19,FALSE),0)</f>
        <v>0</v>
      </c>
      <c r="M1788">
        <f t="shared" si="557"/>
        <v>0</v>
      </c>
      <c r="S1788" t="s">
        <v>87</v>
      </c>
      <c r="T1788" s="5">
        <f t="shared" si="558"/>
        <v>0</v>
      </c>
      <c r="U1788" s="5">
        <f t="shared" si="559"/>
        <v>0</v>
      </c>
      <c r="V1788" s="5">
        <f t="shared" si="560"/>
        <v>0</v>
      </c>
      <c r="W1788" s="5">
        <f t="shared" si="561"/>
        <v>0</v>
      </c>
      <c r="X1788" s="5">
        <f t="shared" si="562"/>
        <v>0</v>
      </c>
      <c r="Y1788" s="5">
        <f t="shared" si="563"/>
        <v>0</v>
      </c>
      <c r="Z1788" s="5">
        <f t="shared" si="564"/>
        <v>0</v>
      </c>
      <c r="AA1788" s="5">
        <f t="shared" si="565"/>
        <v>0</v>
      </c>
      <c r="AB1788" s="5">
        <f t="shared" si="555"/>
        <v>0</v>
      </c>
    </row>
    <row r="1789" spans="4:28" x14ac:dyDescent="0.25">
      <c r="D1789" t="s">
        <v>88</v>
      </c>
      <c r="E1789" s="64"/>
      <c r="F1789" s="64"/>
      <c r="G1789">
        <f>IFERROR(HLOOKUP(G$2,[55]table_female_hkom2_inj.U4!$A$1:$K$36,20,FALSE),0)</f>
        <v>0</v>
      </c>
      <c r="H1789">
        <f>IFERROR(HLOOKUP(H$2,[55]table_female_hkom2_inj.U4!$A$1:$K$36,20,FALSE),0)</f>
        <v>0</v>
      </c>
      <c r="I1789">
        <f>IFERROR(HLOOKUP(I$2,[55]table_female_hkom2_inj.U4!$A$1:$K$36,20,FALSE),0)</f>
        <v>0</v>
      </c>
      <c r="J1789">
        <f>IFERROR(HLOOKUP(J$2,[55]table_female_hkom2_inj.U4!$A$1:$K$36,20,FALSE),0)</f>
        <v>0</v>
      </c>
      <c r="K1789">
        <f>IFERROR(HLOOKUP(K$2,[55]table_female_hkom2_inj.U4!$A$1:$K$36,20,FALSE),0)</f>
        <v>0</v>
      </c>
      <c r="L1789">
        <f>IFERROR(HLOOKUP(L$2,[55]table_female_hkom2_inj.U4!$A$1:$K$36,20,FALSE),0)</f>
        <v>0</v>
      </c>
      <c r="M1789">
        <f t="shared" si="557"/>
        <v>0</v>
      </c>
      <c r="S1789" t="s">
        <v>88</v>
      </c>
      <c r="T1789" s="5">
        <f t="shared" si="558"/>
        <v>0</v>
      </c>
      <c r="U1789" s="5">
        <f t="shared" si="559"/>
        <v>0</v>
      </c>
      <c r="V1789" s="5">
        <f t="shared" si="560"/>
        <v>0</v>
      </c>
      <c r="W1789" s="5">
        <f t="shared" si="561"/>
        <v>0</v>
      </c>
      <c r="X1789" s="5">
        <f t="shared" si="562"/>
        <v>0</v>
      </c>
      <c r="Y1789" s="5">
        <f t="shared" si="563"/>
        <v>0</v>
      </c>
      <c r="Z1789" s="5">
        <f t="shared" si="564"/>
        <v>0</v>
      </c>
      <c r="AA1789" s="5">
        <f t="shared" si="565"/>
        <v>0</v>
      </c>
      <c r="AB1789" s="5">
        <f t="shared" si="555"/>
        <v>0</v>
      </c>
    </row>
    <row r="1790" spans="4:28" x14ac:dyDescent="0.25">
      <c r="D1790" t="s">
        <v>89</v>
      </c>
      <c r="E1790" s="64"/>
      <c r="F1790" s="64"/>
      <c r="G1790">
        <f>IFERROR(HLOOKUP(G$2,[55]table_female_hkom2_inj.U4!$A$1:$K$36,21,FALSE),0)</f>
        <v>0</v>
      </c>
      <c r="H1790">
        <f>IFERROR(HLOOKUP(H$2,[55]table_female_hkom2_inj.U4!$A$1:$K$36,21,FALSE),0)</f>
        <v>0</v>
      </c>
      <c r="I1790">
        <f>IFERROR(HLOOKUP(I$2,[55]table_female_hkom2_inj.U4!$A$1:$K$36,21,FALSE),0)</f>
        <v>0</v>
      </c>
      <c r="J1790">
        <f>IFERROR(HLOOKUP(J$2,[55]table_female_hkom2_inj.U4!$A$1:$K$36,21,FALSE),0)</f>
        <v>0</v>
      </c>
      <c r="K1790">
        <f>IFERROR(HLOOKUP(K$2,[55]table_female_hkom2_inj.U4!$A$1:$K$36,21,FALSE),0)</f>
        <v>0</v>
      </c>
      <c r="L1790">
        <f>IFERROR(HLOOKUP(L$2,[55]table_female_hkom2_inj.U4!$A$1:$K$36,21,FALSE),0)</f>
        <v>0</v>
      </c>
      <c r="M1790">
        <f t="shared" si="557"/>
        <v>0</v>
      </c>
      <c r="S1790" t="s">
        <v>89</v>
      </c>
      <c r="T1790" s="5">
        <f t="shared" si="558"/>
        <v>0</v>
      </c>
      <c r="U1790" s="5">
        <f t="shared" si="559"/>
        <v>0</v>
      </c>
      <c r="V1790" s="5">
        <f t="shared" si="560"/>
        <v>0</v>
      </c>
      <c r="W1790" s="5">
        <f t="shared" si="561"/>
        <v>0</v>
      </c>
      <c r="X1790" s="5">
        <f t="shared" si="562"/>
        <v>0</v>
      </c>
      <c r="Y1790" s="5">
        <f t="shared" si="563"/>
        <v>0</v>
      </c>
      <c r="Z1790" s="5">
        <f t="shared" si="564"/>
        <v>0</v>
      </c>
      <c r="AA1790" s="5">
        <f t="shared" si="565"/>
        <v>0</v>
      </c>
      <c r="AB1790" s="5">
        <f t="shared" si="555"/>
        <v>0</v>
      </c>
    </row>
    <row r="1791" spans="4:28" x14ac:dyDescent="0.25">
      <c r="D1791" t="s">
        <v>90</v>
      </c>
      <c r="E1791" s="64"/>
      <c r="F1791" s="64"/>
      <c r="G1791">
        <f>IFERROR(HLOOKUP(G$2,[55]table_female_hkom2_inj.U4!$A$1:$K$36,22,FALSE),0)</f>
        <v>0</v>
      </c>
      <c r="H1791">
        <f>IFERROR(HLOOKUP(H$2,[55]table_female_hkom2_inj.U4!$A$1:$K$36,22,FALSE),0)</f>
        <v>0</v>
      </c>
      <c r="I1791">
        <f>IFERROR(HLOOKUP(I$2,[55]table_female_hkom2_inj.U4!$A$1:$K$36,22,FALSE),0)</f>
        <v>0</v>
      </c>
      <c r="J1791">
        <f>IFERROR(HLOOKUP(J$2,[55]table_female_hkom2_inj.U4!$A$1:$K$36,22,FALSE),0)</f>
        <v>0</v>
      </c>
      <c r="K1791">
        <f>IFERROR(HLOOKUP(K$2,[55]table_female_hkom2_inj.U4!$A$1:$K$36,22,FALSE),0)</f>
        <v>0</v>
      </c>
      <c r="L1791">
        <f>IFERROR(HLOOKUP(L$2,[55]table_female_hkom2_inj.U4!$A$1:$K$36,22,FALSE),0)</f>
        <v>0</v>
      </c>
      <c r="M1791">
        <f t="shared" si="557"/>
        <v>0</v>
      </c>
      <c r="S1791" t="s">
        <v>90</v>
      </c>
      <c r="T1791" s="5">
        <f t="shared" si="558"/>
        <v>0</v>
      </c>
      <c r="U1791" s="5">
        <f t="shared" si="559"/>
        <v>0</v>
      </c>
      <c r="V1791" s="5">
        <f t="shared" si="560"/>
        <v>0</v>
      </c>
      <c r="W1791" s="5">
        <f t="shared" si="561"/>
        <v>0</v>
      </c>
      <c r="X1791" s="5">
        <f t="shared" si="562"/>
        <v>0</v>
      </c>
      <c r="Y1791" s="5">
        <f t="shared" si="563"/>
        <v>0</v>
      </c>
      <c r="Z1791" s="5">
        <f t="shared" si="564"/>
        <v>0</v>
      </c>
      <c r="AA1791" s="5">
        <f t="shared" si="565"/>
        <v>0</v>
      </c>
      <c r="AB1791" s="5">
        <f t="shared" si="555"/>
        <v>0</v>
      </c>
    </row>
    <row r="1792" spans="4:28" x14ac:dyDescent="0.25">
      <c r="D1792" t="s">
        <v>91</v>
      </c>
      <c r="E1792" s="64"/>
      <c r="F1792" s="64"/>
      <c r="G1792">
        <f>IFERROR(HLOOKUP(G$2,[55]table_female_hkom2_inj.U4!$A$1:$K$36,23,FALSE),0)</f>
        <v>0</v>
      </c>
      <c r="H1792">
        <f>IFERROR(HLOOKUP(H$2,[55]table_female_hkom2_inj.U4!$A$1:$K$36,23,FALSE),0)</f>
        <v>0</v>
      </c>
      <c r="I1792">
        <f>IFERROR(HLOOKUP(I$2,[55]table_female_hkom2_inj.U4!$A$1:$K$36,23,FALSE),0)</f>
        <v>0</v>
      </c>
      <c r="J1792">
        <f>IFERROR(HLOOKUP(J$2,[55]table_female_hkom2_inj.U4!$A$1:$K$36,23,FALSE),0)</f>
        <v>0</v>
      </c>
      <c r="K1792">
        <f>IFERROR(HLOOKUP(K$2,[55]table_female_hkom2_inj.U4!$A$1:$K$36,23,FALSE),0)</f>
        <v>0</v>
      </c>
      <c r="L1792">
        <f>IFERROR(HLOOKUP(L$2,[55]table_female_hkom2_inj.U4!$A$1:$K$36,23,FALSE),0)</f>
        <v>0</v>
      </c>
      <c r="M1792">
        <f t="shared" si="557"/>
        <v>0</v>
      </c>
      <c r="S1792" t="s">
        <v>91</v>
      </c>
      <c r="T1792" s="5">
        <f t="shared" si="558"/>
        <v>0</v>
      </c>
      <c r="U1792" s="5">
        <f t="shared" si="559"/>
        <v>0</v>
      </c>
      <c r="V1792" s="5">
        <f t="shared" si="560"/>
        <v>0</v>
      </c>
      <c r="W1792" s="5">
        <f t="shared" si="561"/>
        <v>0</v>
      </c>
      <c r="X1792" s="5">
        <f t="shared" si="562"/>
        <v>0</v>
      </c>
      <c r="Y1792" s="5">
        <f t="shared" si="563"/>
        <v>0</v>
      </c>
      <c r="Z1792" s="5">
        <f t="shared" si="564"/>
        <v>0</v>
      </c>
      <c r="AA1792" s="5">
        <f t="shared" si="565"/>
        <v>0</v>
      </c>
      <c r="AB1792" s="5">
        <f t="shared" si="555"/>
        <v>0</v>
      </c>
    </row>
    <row r="1793" spans="1:29" x14ac:dyDescent="0.25">
      <c r="D1793" t="s">
        <v>92</v>
      </c>
      <c r="E1793" s="64"/>
      <c r="F1793" s="64"/>
      <c r="G1793">
        <f>IFERROR(HLOOKUP(G$2,[55]table_female_hkom2_inj.U4!$A$1:$K$36,24,FALSE),0)</f>
        <v>0</v>
      </c>
      <c r="H1793">
        <f>IFERROR(HLOOKUP(H$2,[55]table_female_hkom2_inj.U4!$A$1:$K$36,24,FALSE),0)</f>
        <v>0</v>
      </c>
      <c r="I1793">
        <f>IFERROR(HLOOKUP(I$2,[55]table_female_hkom2_inj.U4!$A$1:$K$36,24,FALSE),0)</f>
        <v>0</v>
      </c>
      <c r="J1793">
        <f>IFERROR(HLOOKUP(J$2,[55]table_female_hkom2_inj.U4!$A$1:$K$36,24,FALSE),0)</f>
        <v>0</v>
      </c>
      <c r="K1793">
        <f>IFERROR(HLOOKUP(K$2,[55]table_female_hkom2_inj.U4!$A$1:$K$36,24,FALSE),0)</f>
        <v>0</v>
      </c>
      <c r="L1793">
        <f>IFERROR(HLOOKUP(L$2,[55]table_female_hkom2_inj.U4!$A$1:$K$36,24,FALSE),0)</f>
        <v>0</v>
      </c>
      <c r="M1793">
        <f t="shared" si="557"/>
        <v>0</v>
      </c>
      <c r="S1793" t="s">
        <v>92</v>
      </c>
      <c r="T1793" s="5">
        <f t="shared" si="558"/>
        <v>0</v>
      </c>
      <c r="U1793" s="5">
        <f t="shared" si="559"/>
        <v>0</v>
      </c>
      <c r="V1793" s="5">
        <f t="shared" si="560"/>
        <v>0</v>
      </c>
      <c r="W1793" s="5">
        <f t="shared" si="561"/>
        <v>0</v>
      </c>
      <c r="X1793" s="5">
        <f t="shared" si="562"/>
        <v>0</v>
      </c>
      <c r="Y1793" s="5">
        <f t="shared" si="563"/>
        <v>0</v>
      </c>
      <c r="Z1793" s="5">
        <f t="shared" si="564"/>
        <v>0</v>
      </c>
      <c r="AA1793" s="5">
        <f t="shared" si="565"/>
        <v>0</v>
      </c>
      <c r="AB1793" s="5">
        <f t="shared" si="555"/>
        <v>0</v>
      </c>
    </row>
    <row r="1794" spans="1:29" x14ac:dyDescent="0.25">
      <c r="D1794" t="s">
        <v>93</v>
      </c>
      <c r="E1794" s="64"/>
      <c r="F1794" s="64"/>
      <c r="G1794">
        <f>IFERROR(HLOOKUP(G$2,[55]table_female_hkom2_inj.U4!$A$1:$K$36,25,FALSE),0)</f>
        <v>0</v>
      </c>
      <c r="H1794">
        <f>IFERROR(HLOOKUP(H$2,[55]table_female_hkom2_inj.U4!$A$1:$K$36,25,FALSE),0)</f>
        <v>0</v>
      </c>
      <c r="I1794">
        <f>IFERROR(HLOOKUP(I$2,[55]table_female_hkom2_inj.U4!$A$1:$K$36,25,FALSE),0)</f>
        <v>0</v>
      </c>
      <c r="J1794">
        <f>IFERROR(HLOOKUP(J$2,[55]table_female_hkom2_inj.U4!$A$1:$K$36,25,FALSE),0)</f>
        <v>0</v>
      </c>
      <c r="K1794">
        <f>IFERROR(HLOOKUP(K$2,[55]table_female_hkom2_inj.U4!$A$1:$K$36,25,FALSE),0)</f>
        <v>0</v>
      </c>
      <c r="L1794">
        <f>IFERROR(HLOOKUP(L$2,[55]table_female_hkom2_inj.U4!$A$1:$K$36,25,FALSE),0)</f>
        <v>0</v>
      </c>
      <c r="M1794">
        <f t="shared" si="557"/>
        <v>0</v>
      </c>
      <c r="S1794" t="s">
        <v>93</v>
      </c>
      <c r="T1794" s="5">
        <f t="shared" si="558"/>
        <v>0</v>
      </c>
      <c r="U1794" s="5">
        <f t="shared" si="559"/>
        <v>0</v>
      </c>
      <c r="V1794" s="5">
        <f t="shared" si="560"/>
        <v>0</v>
      </c>
      <c r="W1794" s="5">
        <f t="shared" si="561"/>
        <v>0</v>
      </c>
      <c r="X1794" s="5">
        <f t="shared" si="562"/>
        <v>0</v>
      </c>
      <c r="Y1794" s="5">
        <f t="shared" si="563"/>
        <v>0</v>
      </c>
      <c r="Z1794" s="5">
        <f t="shared" si="564"/>
        <v>0</v>
      </c>
      <c r="AA1794" s="5">
        <f t="shared" si="565"/>
        <v>0</v>
      </c>
      <c r="AB1794" s="5">
        <f t="shared" si="555"/>
        <v>0</v>
      </c>
    </row>
    <row r="1795" spans="1:29" x14ac:dyDescent="0.25">
      <c r="D1795" t="s">
        <v>94</v>
      </c>
      <c r="E1795" s="64"/>
      <c r="F1795" s="64"/>
      <c r="G1795">
        <f>IFERROR(HLOOKUP(G$2,[55]table_female_hkom2_inj.U4!$A$1:$K$36,26,FALSE),0)</f>
        <v>0</v>
      </c>
      <c r="H1795">
        <f>IFERROR(HLOOKUP(H$2,[55]table_female_hkom2_inj.U4!$A$1:$K$36,26,FALSE),0)</f>
        <v>0</v>
      </c>
      <c r="I1795">
        <f>IFERROR(HLOOKUP(I$2,[55]table_female_hkom2_inj.U4!$A$1:$K$36,26,FALSE),0)</f>
        <v>0</v>
      </c>
      <c r="J1795">
        <f>IFERROR(HLOOKUP(J$2,[55]table_female_hkom2_inj.U4!$A$1:$K$36,26,FALSE),0)</f>
        <v>0</v>
      </c>
      <c r="K1795">
        <f>IFERROR(HLOOKUP(K$2,[55]table_female_hkom2_inj.U4!$A$1:$K$36,26,FALSE),0)</f>
        <v>0</v>
      </c>
      <c r="L1795">
        <f>IFERROR(HLOOKUP(L$2,[55]table_female_hkom2_inj.U4!$A$1:$K$36,26,FALSE),0)</f>
        <v>0</v>
      </c>
      <c r="M1795">
        <f t="shared" si="557"/>
        <v>0</v>
      </c>
      <c r="S1795" t="s">
        <v>94</v>
      </c>
      <c r="T1795" s="5">
        <f t="shared" si="558"/>
        <v>0</v>
      </c>
      <c r="U1795" s="5">
        <f t="shared" si="559"/>
        <v>0</v>
      </c>
      <c r="V1795" s="5">
        <f t="shared" si="560"/>
        <v>0</v>
      </c>
      <c r="W1795" s="5">
        <f t="shared" si="561"/>
        <v>0</v>
      </c>
      <c r="X1795" s="5">
        <f t="shared" si="562"/>
        <v>0</v>
      </c>
      <c r="Y1795" s="5">
        <f t="shared" si="563"/>
        <v>0</v>
      </c>
      <c r="Z1795" s="5">
        <f t="shared" si="564"/>
        <v>0</v>
      </c>
      <c r="AA1795" s="5">
        <f t="shared" si="565"/>
        <v>0</v>
      </c>
      <c r="AB1795" s="5">
        <f t="shared" si="555"/>
        <v>0</v>
      </c>
    </row>
    <row r="1796" spans="1:29" x14ac:dyDescent="0.25">
      <c r="D1796" t="s">
        <v>95</v>
      </c>
      <c r="E1796" s="64"/>
      <c r="F1796" s="64"/>
      <c r="G1796">
        <f>IFERROR(HLOOKUP(G$2,[55]table_female_hkom2_inj.U4!$A$1:$K$36,27,FALSE),0)</f>
        <v>0</v>
      </c>
      <c r="H1796">
        <f>IFERROR(HLOOKUP(H$2,[55]table_female_hkom2_inj.U4!$A$1:$K$36,27,FALSE),0)</f>
        <v>0</v>
      </c>
      <c r="I1796">
        <f>IFERROR(HLOOKUP(I$2,[55]table_female_hkom2_inj.U4!$A$1:$K$36,27,FALSE),0)</f>
        <v>0</v>
      </c>
      <c r="J1796">
        <f>IFERROR(HLOOKUP(J$2,[55]table_female_hkom2_inj.U4!$A$1:$K$36,27,FALSE),0)</f>
        <v>0</v>
      </c>
      <c r="K1796">
        <f>IFERROR(HLOOKUP(K$2,[55]table_female_hkom2_inj.U4!$A$1:$K$36,27,FALSE),0)</f>
        <v>0</v>
      </c>
      <c r="L1796">
        <f>IFERROR(HLOOKUP(L$2,[55]table_female_hkom2_inj.U4!$A$1:$K$36,27,FALSE),0)</f>
        <v>0</v>
      </c>
      <c r="M1796">
        <f t="shared" si="557"/>
        <v>0</v>
      </c>
      <c r="S1796" t="s">
        <v>95</v>
      </c>
      <c r="T1796" s="5">
        <f t="shared" si="558"/>
        <v>0</v>
      </c>
      <c r="U1796" s="5">
        <f t="shared" si="559"/>
        <v>0</v>
      </c>
      <c r="V1796" s="5">
        <f t="shared" si="560"/>
        <v>0</v>
      </c>
      <c r="W1796" s="5">
        <f t="shared" si="561"/>
        <v>0</v>
      </c>
      <c r="X1796" s="5">
        <f t="shared" si="562"/>
        <v>0</v>
      </c>
      <c r="Y1796" s="5">
        <f t="shared" si="563"/>
        <v>0</v>
      </c>
      <c r="Z1796" s="5">
        <f t="shared" si="564"/>
        <v>0</v>
      </c>
      <c r="AA1796" s="5">
        <f t="shared" si="565"/>
        <v>0</v>
      </c>
      <c r="AB1796" s="5">
        <f t="shared" si="555"/>
        <v>0</v>
      </c>
    </row>
    <row r="1797" spans="1:29" x14ac:dyDescent="0.25">
      <c r="D1797" t="s">
        <v>96</v>
      </c>
      <c r="E1797" s="64"/>
      <c r="F1797" s="64"/>
      <c r="G1797">
        <f>IFERROR(HLOOKUP(G$2,[55]table_female_hkom2_inj.U4!$A$1:$K$36,28,FALSE),0)</f>
        <v>0</v>
      </c>
      <c r="H1797">
        <f>IFERROR(HLOOKUP(H$2,[55]table_female_hkom2_inj.U4!$A$1:$K$36,28,FALSE),0)</f>
        <v>0</v>
      </c>
      <c r="I1797">
        <f>IFERROR(HLOOKUP(I$2,[55]table_female_hkom2_inj.U4!$A$1:$K$36,28,FALSE),0)</f>
        <v>0</v>
      </c>
      <c r="J1797">
        <f>IFERROR(HLOOKUP(J$2,[55]table_female_hkom2_inj.U4!$A$1:$K$36,28,FALSE),0)</f>
        <v>0</v>
      </c>
      <c r="K1797">
        <f>IFERROR(HLOOKUP(K$2,[55]table_female_hkom2_inj.U4!$A$1:$K$36,28,FALSE),0)</f>
        <v>0</v>
      </c>
      <c r="L1797">
        <f>IFERROR(HLOOKUP(L$2,[55]table_female_hkom2_inj.U4!$A$1:$K$36,28,FALSE),0)</f>
        <v>0</v>
      </c>
      <c r="M1797">
        <f t="shared" si="557"/>
        <v>0</v>
      </c>
      <c r="S1797" t="s">
        <v>96</v>
      </c>
      <c r="T1797" s="5">
        <f t="shared" si="558"/>
        <v>0</v>
      </c>
      <c r="U1797" s="5">
        <f t="shared" si="559"/>
        <v>0</v>
      </c>
      <c r="V1797" s="5">
        <f t="shared" si="560"/>
        <v>0</v>
      </c>
      <c r="W1797" s="5">
        <f t="shared" si="561"/>
        <v>0</v>
      </c>
      <c r="X1797" s="5">
        <f t="shared" si="562"/>
        <v>0</v>
      </c>
      <c r="Y1797" s="5">
        <f t="shared" si="563"/>
        <v>0</v>
      </c>
      <c r="Z1797" s="5">
        <f t="shared" si="564"/>
        <v>0</v>
      </c>
      <c r="AA1797" s="5">
        <f t="shared" si="565"/>
        <v>0</v>
      </c>
      <c r="AB1797" s="5">
        <f t="shared" si="555"/>
        <v>0</v>
      </c>
    </row>
    <row r="1798" spans="1:29" x14ac:dyDescent="0.25">
      <c r="D1798" t="s">
        <v>97</v>
      </c>
      <c r="E1798" s="64"/>
      <c r="F1798" s="64"/>
      <c r="G1798">
        <f>IFERROR(HLOOKUP(G$2,[55]table_female_hkom2_inj.U4!$A$1:$K$36,29,FALSE),0)</f>
        <v>0</v>
      </c>
      <c r="H1798">
        <f>IFERROR(HLOOKUP(H$2,[55]table_female_hkom2_inj.U4!$A$1:$K$36,29,FALSE),0)</f>
        <v>0</v>
      </c>
      <c r="I1798">
        <f>IFERROR(HLOOKUP(I$2,[55]table_female_hkom2_inj.U4!$A$1:$K$36,29,FALSE),0)</f>
        <v>0</v>
      </c>
      <c r="J1798">
        <f>IFERROR(HLOOKUP(J$2,[55]table_female_hkom2_inj.U4!$A$1:$K$36,29,FALSE),0)</f>
        <v>0</v>
      </c>
      <c r="K1798">
        <f>IFERROR(HLOOKUP(K$2,[55]table_female_hkom2_inj.U4!$A$1:$K$36,29,FALSE),0)</f>
        <v>0</v>
      </c>
      <c r="L1798">
        <f>IFERROR(HLOOKUP(L$2,[55]table_female_hkom2_inj.U4!$A$1:$K$36,29,FALSE),0)</f>
        <v>0</v>
      </c>
      <c r="M1798">
        <f t="shared" si="557"/>
        <v>0</v>
      </c>
      <c r="S1798" t="s">
        <v>97</v>
      </c>
      <c r="T1798" s="5">
        <f t="shared" si="558"/>
        <v>0</v>
      </c>
      <c r="U1798" s="5">
        <f t="shared" si="559"/>
        <v>0</v>
      </c>
      <c r="V1798" s="5">
        <f t="shared" si="560"/>
        <v>0</v>
      </c>
      <c r="W1798" s="5">
        <f t="shared" si="561"/>
        <v>0</v>
      </c>
      <c r="X1798" s="5">
        <f t="shared" si="562"/>
        <v>0</v>
      </c>
      <c r="Y1798" s="5">
        <f t="shared" si="563"/>
        <v>0</v>
      </c>
      <c r="Z1798" s="5">
        <f t="shared" si="564"/>
        <v>0</v>
      </c>
      <c r="AA1798" s="5">
        <f t="shared" si="565"/>
        <v>0</v>
      </c>
      <c r="AB1798" s="5">
        <f t="shared" si="555"/>
        <v>0</v>
      </c>
    </row>
    <row r="1799" spans="1:29" x14ac:dyDescent="0.25">
      <c r="D1799" t="s">
        <v>98</v>
      </c>
      <c r="E1799" s="64"/>
      <c r="F1799" s="64"/>
      <c r="G1799">
        <f>IFERROR(HLOOKUP(G$2,[55]table_female_hkom2_inj.U4!$A$1:$K$36,30,FALSE),0)</f>
        <v>1</v>
      </c>
      <c r="H1799">
        <f>IFERROR(HLOOKUP(H$2,[55]table_female_hkom2_inj.U4!$A$1:$K$36,30,FALSE),0)</f>
        <v>0</v>
      </c>
      <c r="I1799">
        <f>IFERROR(HLOOKUP(I$2,[55]table_female_hkom2_inj.U4!$A$1:$K$36,30,FALSE),0)</f>
        <v>0</v>
      </c>
      <c r="J1799">
        <f>IFERROR(HLOOKUP(J$2,[55]table_female_hkom2_inj.U4!$A$1:$K$36,30,FALSE),0)</f>
        <v>0</v>
      </c>
      <c r="K1799">
        <f>IFERROR(HLOOKUP(K$2,[55]table_female_hkom2_inj.U4!$A$1:$K$36,30,FALSE),0)</f>
        <v>0</v>
      </c>
      <c r="L1799">
        <f>IFERROR(HLOOKUP(L$2,[55]table_female_hkom2_inj.U4!$A$1:$K$36,30,FALSE),0)</f>
        <v>0</v>
      </c>
      <c r="M1799">
        <f t="shared" si="557"/>
        <v>1</v>
      </c>
      <c r="S1799" t="s">
        <v>98</v>
      </c>
      <c r="T1799" s="5">
        <f t="shared" si="558"/>
        <v>0</v>
      </c>
      <c r="U1799" s="5">
        <f t="shared" si="559"/>
        <v>0</v>
      </c>
      <c r="V1799" s="5">
        <f t="shared" si="560"/>
        <v>1</v>
      </c>
      <c r="W1799" s="5">
        <f t="shared" si="561"/>
        <v>0</v>
      </c>
      <c r="X1799" s="5">
        <f t="shared" si="562"/>
        <v>0</v>
      </c>
      <c r="Y1799" s="5">
        <f t="shared" si="563"/>
        <v>0</v>
      </c>
      <c r="Z1799" s="5">
        <f t="shared" si="564"/>
        <v>0</v>
      </c>
      <c r="AA1799" s="5">
        <f t="shared" si="565"/>
        <v>0</v>
      </c>
      <c r="AB1799" s="5">
        <f t="shared" si="555"/>
        <v>1</v>
      </c>
    </row>
    <row r="1800" spans="1:29" x14ac:dyDescent="0.25">
      <c r="D1800" t="s">
        <v>119</v>
      </c>
      <c r="E1800" s="64"/>
      <c r="F1800" s="64"/>
      <c r="G1800">
        <f>IFERROR(HLOOKUP(G$2,[55]table_female_hkom2_inj.U4!$A$1:$K$36,31,FALSE),0)</f>
        <v>0</v>
      </c>
      <c r="H1800">
        <f>IFERROR(HLOOKUP(H$2,[55]table_female_hkom2_inj.U4!$A$1:$K$36,31,FALSE),0)</f>
        <v>0</v>
      </c>
      <c r="I1800">
        <f>IFERROR(HLOOKUP(I$2,[55]table_female_hkom2_inj.U4!$A$1:$K$36,31,FALSE),0)</f>
        <v>0</v>
      </c>
      <c r="J1800">
        <f>IFERROR(HLOOKUP(J$2,[55]table_female_hkom2_inj.U4!$A$1:$K$36,31,FALSE),0)</f>
        <v>0</v>
      </c>
      <c r="K1800">
        <f>IFERROR(HLOOKUP(K$2,[55]table_female_hkom2_inj.U4!$A$1:$K$36,31,FALSE),0)</f>
        <v>0</v>
      </c>
      <c r="L1800">
        <f>IFERROR(HLOOKUP(L$2,[55]table_female_hkom2_inj.U4!$A$1:$K$36,31,FALSE),0)</f>
        <v>0</v>
      </c>
      <c r="M1800">
        <f t="shared" si="557"/>
        <v>0</v>
      </c>
      <c r="S1800" t="s">
        <v>119</v>
      </c>
      <c r="T1800" s="5">
        <f t="shared" si="558"/>
        <v>0</v>
      </c>
      <c r="U1800" s="5">
        <f t="shared" si="559"/>
        <v>0</v>
      </c>
      <c r="V1800" s="5">
        <f t="shared" si="560"/>
        <v>0</v>
      </c>
      <c r="W1800" s="5">
        <f t="shared" si="561"/>
        <v>0</v>
      </c>
      <c r="X1800" s="5">
        <f t="shared" si="562"/>
        <v>0</v>
      </c>
      <c r="Y1800" s="5">
        <f t="shared" si="563"/>
        <v>0</v>
      </c>
      <c r="Z1800" s="5">
        <f t="shared" si="564"/>
        <v>0</v>
      </c>
      <c r="AA1800" s="5">
        <f t="shared" si="565"/>
        <v>0</v>
      </c>
      <c r="AB1800" s="5">
        <f t="shared" si="555"/>
        <v>0</v>
      </c>
    </row>
    <row r="1801" spans="1:29" x14ac:dyDescent="0.25">
      <c r="D1801" t="s">
        <v>99</v>
      </c>
      <c r="E1801" s="64"/>
      <c r="F1801" s="64"/>
      <c r="G1801">
        <f>IFERROR(HLOOKUP(G$2,[55]table_female_hkom2_inj.U4!$A$1:$K$36,32,FALSE),0)</f>
        <v>0</v>
      </c>
      <c r="H1801">
        <f>IFERROR(HLOOKUP(H$2,[55]table_female_hkom2_inj.U4!$A$1:$K$36,32,FALSE),0)</f>
        <v>0</v>
      </c>
      <c r="I1801">
        <f>IFERROR(HLOOKUP(I$2,[55]table_female_hkom2_inj.U4!$A$1:$K$36,32,FALSE),0)</f>
        <v>0</v>
      </c>
      <c r="J1801">
        <f>IFERROR(HLOOKUP(J$2,[55]table_female_hkom2_inj.U4!$A$1:$K$36,32,FALSE),0)</f>
        <v>0</v>
      </c>
      <c r="K1801">
        <f>IFERROR(HLOOKUP(K$2,[55]table_female_hkom2_inj.U4!$A$1:$K$36,32,FALSE),0)</f>
        <v>0</v>
      </c>
      <c r="L1801">
        <f>IFERROR(HLOOKUP(L$2,[55]table_female_hkom2_inj.U4!$A$1:$K$36,32,FALSE),0)</f>
        <v>0</v>
      </c>
      <c r="M1801">
        <f t="shared" si="557"/>
        <v>0</v>
      </c>
      <c r="S1801" t="s">
        <v>99</v>
      </c>
      <c r="T1801" s="5">
        <f t="shared" si="558"/>
        <v>0</v>
      </c>
      <c r="U1801" s="5">
        <f t="shared" si="559"/>
        <v>0</v>
      </c>
      <c r="V1801" s="5">
        <f t="shared" si="560"/>
        <v>0</v>
      </c>
      <c r="W1801" s="5">
        <f t="shared" si="561"/>
        <v>0</v>
      </c>
      <c r="X1801" s="5">
        <f t="shared" si="562"/>
        <v>0</v>
      </c>
      <c r="Y1801" s="5">
        <f t="shared" si="563"/>
        <v>0</v>
      </c>
      <c r="Z1801" s="5">
        <f t="shared" si="564"/>
        <v>0</v>
      </c>
      <c r="AA1801" s="5">
        <f t="shared" si="565"/>
        <v>0</v>
      </c>
      <c r="AB1801" s="5">
        <f t="shared" si="555"/>
        <v>0</v>
      </c>
    </row>
    <row r="1802" spans="1:29" x14ac:dyDescent="0.25">
      <c r="D1802" t="s">
        <v>100</v>
      </c>
      <c r="E1802" s="64"/>
      <c r="F1802" s="64"/>
      <c r="G1802">
        <f>IFERROR(HLOOKUP(G$2,[55]table_female_hkom2_inj.U4!$A$1:$K$36,33,FALSE),0)</f>
        <v>0</v>
      </c>
      <c r="H1802">
        <f>IFERROR(HLOOKUP(H$2,[55]table_female_hkom2_inj.U4!$A$1:$K$36,33,FALSE),0)</f>
        <v>1</v>
      </c>
      <c r="I1802">
        <f>IFERROR(HLOOKUP(I$2,[55]table_female_hkom2_inj.U4!$A$1:$K$36,33,FALSE),0)</f>
        <v>0</v>
      </c>
      <c r="J1802">
        <f>IFERROR(HLOOKUP(J$2,[55]table_female_hkom2_inj.U4!$A$1:$K$36,33,FALSE),0)</f>
        <v>0</v>
      </c>
      <c r="K1802">
        <f>IFERROR(HLOOKUP(K$2,[55]table_female_hkom2_inj.U4!$A$1:$K$36,33,FALSE),0)</f>
        <v>0</v>
      </c>
      <c r="L1802">
        <f>IFERROR(HLOOKUP(L$2,[55]table_female_hkom2_inj.U4!$A$1:$K$36,33,FALSE),0)</f>
        <v>0</v>
      </c>
      <c r="M1802">
        <f t="shared" si="557"/>
        <v>1</v>
      </c>
      <c r="S1802" t="s">
        <v>100</v>
      </c>
      <c r="T1802" s="5">
        <f t="shared" si="558"/>
        <v>0</v>
      </c>
      <c r="U1802" s="5">
        <f t="shared" si="559"/>
        <v>0</v>
      </c>
      <c r="V1802" s="5">
        <f t="shared" si="560"/>
        <v>0</v>
      </c>
      <c r="W1802" s="5">
        <f t="shared" si="561"/>
        <v>1</v>
      </c>
      <c r="X1802" s="5">
        <f t="shared" si="562"/>
        <v>0</v>
      </c>
      <c r="Y1802" s="5">
        <f t="shared" si="563"/>
        <v>0</v>
      </c>
      <c r="Z1802" s="5">
        <f t="shared" si="564"/>
        <v>0</v>
      </c>
      <c r="AA1802" s="5">
        <f t="shared" si="565"/>
        <v>0</v>
      </c>
      <c r="AB1802" s="5">
        <f t="shared" si="555"/>
        <v>1</v>
      </c>
    </row>
    <row r="1803" spans="1:29" x14ac:dyDescent="0.25">
      <c r="D1803" t="s">
        <v>101</v>
      </c>
      <c r="E1803" s="64"/>
      <c r="F1803" s="64"/>
      <c r="G1803">
        <f>IFERROR(HLOOKUP(G$2,[55]table_female_hkom2_inj.U4!$A$1:$K$36,34,FALSE),0)</f>
        <v>0</v>
      </c>
      <c r="H1803">
        <f>IFERROR(HLOOKUP(H$2,[55]table_female_hkom2_inj.U4!$A$1:$K$36,34,FALSE),0)</f>
        <v>0</v>
      </c>
      <c r="I1803">
        <f>IFERROR(HLOOKUP(I$2,[55]table_female_hkom2_inj.U4!$A$1:$K$36,34,FALSE),0)</f>
        <v>0</v>
      </c>
      <c r="J1803">
        <f>IFERROR(HLOOKUP(J$2,[55]table_female_hkom2_inj.U4!$A$1:$K$36,34,FALSE),0)</f>
        <v>0</v>
      </c>
      <c r="K1803">
        <f>IFERROR(HLOOKUP(K$2,[55]table_female_hkom2_inj.U4!$A$1:$K$36,34,FALSE),0)</f>
        <v>0</v>
      </c>
      <c r="L1803">
        <f>IFERROR(HLOOKUP(L$2,[55]table_female_hkom2_inj.U4!$A$1:$K$36,34,FALSE),0)</f>
        <v>0</v>
      </c>
      <c r="M1803">
        <f t="shared" si="557"/>
        <v>0</v>
      </c>
      <c r="S1803" t="s">
        <v>101</v>
      </c>
      <c r="T1803" s="5">
        <f t="shared" si="558"/>
        <v>0</v>
      </c>
      <c r="U1803" s="5">
        <f t="shared" si="559"/>
        <v>0</v>
      </c>
      <c r="V1803" s="5">
        <f t="shared" si="560"/>
        <v>0</v>
      </c>
      <c r="W1803" s="5">
        <f t="shared" si="561"/>
        <v>0</v>
      </c>
      <c r="X1803" s="5">
        <f t="shared" si="562"/>
        <v>0</v>
      </c>
      <c r="Y1803" s="5">
        <f t="shared" si="563"/>
        <v>0</v>
      </c>
      <c r="Z1803" s="5">
        <f t="shared" si="564"/>
        <v>0</v>
      </c>
      <c r="AA1803" s="5">
        <f t="shared" si="565"/>
        <v>0</v>
      </c>
      <c r="AB1803" s="5">
        <f t="shared" si="555"/>
        <v>0</v>
      </c>
    </row>
    <row r="1804" spans="1:29" x14ac:dyDescent="0.25">
      <c r="D1804" t="s">
        <v>102</v>
      </c>
      <c r="E1804" s="64"/>
      <c r="F1804" s="64"/>
      <c r="G1804">
        <f>IFERROR(HLOOKUP(G$2,[55]table_female_hkom2_inj.U4!$A$1:$K$36,35,FALSE),0)</f>
        <v>0</v>
      </c>
      <c r="H1804">
        <f>IFERROR(HLOOKUP(H$2,[55]table_female_hkom2_inj.U4!$A$1:$K$36,35,FALSE),0)</f>
        <v>0</v>
      </c>
      <c r="I1804">
        <f>IFERROR(HLOOKUP(I$2,[55]table_female_hkom2_inj.U4!$A$1:$K$36,35,FALSE),0)</f>
        <v>0</v>
      </c>
      <c r="J1804">
        <f>IFERROR(HLOOKUP(J$2,[55]table_female_hkom2_inj.U4!$A$1:$K$36,35,FALSE),0)</f>
        <v>0</v>
      </c>
      <c r="K1804">
        <f>IFERROR(HLOOKUP(K$2,[55]table_female_hkom2_inj.U4!$A$1:$K$36,35,FALSE),0)</f>
        <v>0</v>
      </c>
      <c r="L1804">
        <f>IFERROR(HLOOKUP(L$2,[55]table_female_hkom2_inj.U4!$A$1:$K$36,35,FALSE),0)</f>
        <v>0</v>
      </c>
      <c r="M1804">
        <f t="shared" si="557"/>
        <v>0</v>
      </c>
      <c r="N1804">
        <f>SUM(M1771:M1804)</f>
        <v>2</v>
      </c>
      <c r="O1804" s="8">
        <f>SUM([55]table_female_hkom2_inj.U4!$B$2:$L$36)</f>
        <v>2</v>
      </c>
      <c r="S1804" t="s">
        <v>102</v>
      </c>
      <c r="T1804" s="7"/>
      <c r="U1804" s="7"/>
      <c r="V1804" s="7"/>
      <c r="W1804" s="7"/>
      <c r="X1804" s="7"/>
      <c r="Y1804" s="7"/>
      <c r="Z1804" s="7"/>
      <c r="AA1804" s="7"/>
      <c r="AB1804" s="5">
        <f t="shared" si="555"/>
        <v>0</v>
      </c>
      <c r="AC1804" s="5">
        <f>SUM(AB1771:AB1803)</f>
        <v>2</v>
      </c>
    </row>
    <row r="1805" spans="1:29" x14ac:dyDescent="0.25">
      <c r="A1805" t="s">
        <v>115</v>
      </c>
      <c r="B1805" t="s">
        <v>116</v>
      </c>
      <c r="C1805" t="s">
        <v>113</v>
      </c>
      <c r="D1805" t="s">
        <v>70</v>
      </c>
      <c r="E1805" s="64"/>
      <c r="F1805" s="64"/>
      <c r="G1805">
        <f>IFERROR(HLOOKUP(G$2,[56]table_female_hkom2_inj.U5!$A$1:$K$36,2,FALSE),0)</f>
        <v>0</v>
      </c>
      <c r="H1805">
        <f>IFERROR(HLOOKUP(H$2,[56]table_female_hkom2_inj.U5!$A$1:$K$36,2,FALSE),0)</f>
        <v>0</v>
      </c>
      <c r="I1805">
        <f>IFERROR(HLOOKUP(I$2,[56]table_female_hkom2_inj.U5!$A$1:$K$36,2,FALSE),0)</f>
        <v>0</v>
      </c>
      <c r="J1805">
        <f>IFERROR(HLOOKUP(J$2,[56]table_female_hkom2_inj.U5!$A$1:$K$36,2,FALSE),0)</f>
        <v>0</v>
      </c>
      <c r="K1805">
        <f>IFERROR(HLOOKUP(K$2,[56]table_female_hkom2_inj.U5!$A$1:$K$36,2,FALSE),0)</f>
        <v>0</v>
      </c>
      <c r="L1805">
        <f>IFERROR(HLOOKUP(L$2,[56]table_female_hkom2_inj.U5!$A$1:$K$36,2,FALSE),0)</f>
        <v>0</v>
      </c>
      <c r="M1805">
        <f>SUM(E1805:L1805)</f>
        <v>0</v>
      </c>
      <c r="P1805" t="s">
        <v>115</v>
      </c>
      <c r="Q1805" t="s">
        <v>116</v>
      </c>
      <c r="R1805" t="s">
        <v>113</v>
      </c>
      <c r="S1805" t="s">
        <v>70</v>
      </c>
      <c r="T1805" s="5">
        <f>IF(SUM(E$1805:E$1837)=0,E$1838/33,E1805+IFERROR(E1805/SUM(E$1805:E$1837)*E$1838,0))</f>
        <v>0</v>
      </c>
      <c r="U1805" s="5">
        <f t="shared" ref="U1805:AA1805" si="566">IF(SUM(F$1805:F$1837)=0,F$1838/33,F1805+IFERROR(F1805/SUM(F$1805:F$1837)*F$1838,0))</f>
        <v>0</v>
      </c>
      <c r="V1805" s="5">
        <f t="shared" si="566"/>
        <v>3.0303030303030304E-2</v>
      </c>
      <c r="W1805" s="5">
        <f t="shared" si="566"/>
        <v>3.0303030303030304E-2</v>
      </c>
      <c r="X1805" s="5">
        <f t="shared" si="566"/>
        <v>0</v>
      </c>
      <c r="Y1805" s="5">
        <f t="shared" si="566"/>
        <v>0</v>
      </c>
      <c r="Z1805" s="5">
        <f t="shared" si="566"/>
        <v>0</v>
      </c>
      <c r="AA1805" s="5">
        <f t="shared" si="566"/>
        <v>0</v>
      </c>
      <c r="AB1805" s="5">
        <f t="shared" si="555"/>
        <v>6.0606060606060608E-2</v>
      </c>
    </row>
    <row r="1806" spans="1:29" x14ac:dyDescent="0.25">
      <c r="D1806" t="s">
        <v>71</v>
      </c>
      <c r="E1806" s="64"/>
      <c r="F1806" s="64"/>
      <c r="G1806">
        <f>IFERROR(HLOOKUP(G$2,[56]table_female_hkom2_inj.U5!$A$1:$K$36,3,FALSE),0)</f>
        <v>0</v>
      </c>
      <c r="H1806">
        <f>IFERROR(HLOOKUP(H$2,[56]table_female_hkom2_inj.U5!$A$1:$K$36,3,FALSE),0)</f>
        <v>0</v>
      </c>
      <c r="I1806">
        <f>IFERROR(HLOOKUP(I$2,[56]table_female_hkom2_inj.U5!$A$1:$K$36,3,FALSE),0)</f>
        <v>0</v>
      </c>
      <c r="J1806">
        <f>IFERROR(HLOOKUP(J$2,[56]table_female_hkom2_inj.U5!$A$1:$K$36,3,FALSE),0)</f>
        <v>0</v>
      </c>
      <c r="K1806">
        <f>IFERROR(HLOOKUP(K$2,[56]table_female_hkom2_inj.U5!$A$1:$K$36,3,FALSE),0)</f>
        <v>0</v>
      </c>
      <c r="L1806">
        <f>IFERROR(HLOOKUP(L$2,[56]table_female_hkom2_inj.U5!$A$1:$K$36,3,FALSE),0)</f>
        <v>0</v>
      </c>
      <c r="M1806">
        <f t="shared" ref="M1806:M1838" si="567">SUM(E1806:L1806)</f>
        <v>0</v>
      </c>
      <c r="S1806" t="s">
        <v>71</v>
      </c>
      <c r="T1806" s="5">
        <f t="shared" ref="T1806:T1837" si="568">IF(SUM(E$1805:E$1837)=0,E$1838/33,E1806+IFERROR(E1806/SUM(E$1805:E$1837)*E$1838,0))</f>
        <v>0</v>
      </c>
      <c r="U1806" s="5">
        <f t="shared" ref="U1806:U1837" si="569">IF(SUM(F$1805:F$1837)=0,F$1838/33,F1806+IFERROR(F1806/SUM(F$1805:F$1837)*F$1838,0))</f>
        <v>0</v>
      </c>
      <c r="V1806" s="5">
        <f t="shared" ref="V1806:V1837" si="570">IF(SUM(G$1805:G$1837)=0,G$1838/33,G1806+IFERROR(G1806/SUM(G$1805:G$1837)*G$1838,0))</f>
        <v>3.0303030303030304E-2</v>
      </c>
      <c r="W1806" s="5">
        <f t="shared" ref="W1806:W1837" si="571">IF(SUM(H$1805:H$1837)=0,H$1838/33,H1806+IFERROR(H1806/SUM(H$1805:H$1837)*H$1838,0))</f>
        <v>3.0303030303030304E-2</v>
      </c>
      <c r="X1806" s="5">
        <f t="shared" ref="X1806:X1837" si="572">IF(SUM(I$1805:I$1837)=0,I$1838/33,I1806+IFERROR(I1806/SUM(I$1805:I$1837)*I$1838,0))</f>
        <v>0</v>
      </c>
      <c r="Y1806" s="5">
        <f t="shared" ref="Y1806:Y1837" si="573">IF(SUM(J$1805:J$1837)=0,J$1838/33,J1806+IFERROR(J1806/SUM(J$1805:J$1837)*J$1838,0))</f>
        <v>0</v>
      </c>
      <c r="Z1806" s="5">
        <f t="shared" ref="Z1806:Z1837" si="574">IF(SUM(K$1805:K$1837)=0,K$1838/33,K1806+IFERROR(K1806/SUM(K$1805:K$1837)*K$1838,0))</f>
        <v>0</v>
      </c>
      <c r="AA1806" s="5">
        <f t="shared" ref="AA1806:AA1837" si="575">IF(SUM(L$1805:L$1837)=0,L$1838/33,L1806+IFERROR(L1806/SUM(L$1805:L$1837)*L$1838,0))</f>
        <v>0</v>
      </c>
      <c r="AB1806" s="5">
        <f t="shared" si="555"/>
        <v>6.0606060606060608E-2</v>
      </c>
    </row>
    <row r="1807" spans="1:29" x14ac:dyDescent="0.25">
      <c r="D1807" t="s">
        <v>72</v>
      </c>
      <c r="E1807" s="64"/>
      <c r="F1807" s="64"/>
      <c r="G1807">
        <f>IFERROR(HLOOKUP(G$2,[56]table_female_hkom2_inj.U5!$A$1:$K$36,4,FALSE),0)</f>
        <v>0</v>
      </c>
      <c r="H1807">
        <f>IFERROR(HLOOKUP(H$2,[56]table_female_hkom2_inj.U5!$A$1:$K$36,4,FALSE),0)</f>
        <v>0</v>
      </c>
      <c r="I1807">
        <f>IFERROR(HLOOKUP(I$2,[56]table_female_hkom2_inj.U5!$A$1:$K$36,4,FALSE),0)</f>
        <v>0</v>
      </c>
      <c r="J1807">
        <f>IFERROR(HLOOKUP(J$2,[56]table_female_hkom2_inj.U5!$A$1:$K$36,4,FALSE),0)</f>
        <v>0</v>
      </c>
      <c r="K1807">
        <f>IFERROR(HLOOKUP(K$2,[56]table_female_hkom2_inj.U5!$A$1:$K$36,4,FALSE),0)</f>
        <v>0</v>
      </c>
      <c r="L1807">
        <f>IFERROR(HLOOKUP(L$2,[56]table_female_hkom2_inj.U5!$A$1:$K$36,4,FALSE),0)</f>
        <v>0</v>
      </c>
      <c r="M1807">
        <f t="shared" si="567"/>
        <v>0</v>
      </c>
      <c r="S1807" t="s">
        <v>72</v>
      </c>
      <c r="T1807" s="5">
        <f t="shared" si="568"/>
        <v>0</v>
      </c>
      <c r="U1807" s="5">
        <f t="shared" si="569"/>
        <v>0</v>
      </c>
      <c r="V1807" s="5">
        <f t="shared" si="570"/>
        <v>3.0303030303030304E-2</v>
      </c>
      <c r="W1807" s="5">
        <f t="shared" si="571"/>
        <v>3.0303030303030304E-2</v>
      </c>
      <c r="X1807" s="5">
        <f t="shared" si="572"/>
        <v>0</v>
      </c>
      <c r="Y1807" s="5">
        <f t="shared" si="573"/>
        <v>0</v>
      </c>
      <c r="Z1807" s="5">
        <f t="shared" si="574"/>
        <v>0</v>
      </c>
      <c r="AA1807" s="5">
        <f t="shared" si="575"/>
        <v>0</v>
      </c>
      <c r="AB1807" s="5">
        <f t="shared" si="555"/>
        <v>6.0606060606060608E-2</v>
      </c>
    </row>
    <row r="1808" spans="1:29" x14ac:dyDescent="0.25">
      <c r="D1808" t="s">
        <v>73</v>
      </c>
      <c r="E1808" s="64"/>
      <c r="F1808" s="64"/>
      <c r="G1808">
        <f>IFERROR(HLOOKUP(G$2,[56]table_female_hkom2_inj.U5!$A$1:$K$36,5,FALSE),0)</f>
        <v>0</v>
      </c>
      <c r="H1808">
        <f>IFERROR(HLOOKUP(H$2,[56]table_female_hkom2_inj.U5!$A$1:$K$36,5,FALSE),0)</f>
        <v>0</v>
      </c>
      <c r="I1808">
        <f>IFERROR(HLOOKUP(I$2,[56]table_female_hkom2_inj.U5!$A$1:$K$36,5,FALSE),0)</f>
        <v>0</v>
      </c>
      <c r="J1808">
        <f>IFERROR(HLOOKUP(J$2,[56]table_female_hkom2_inj.U5!$A$1:$K$36,5,FALSE),0)</f>
        <v>0</v>
      </c>
      <c r="K1808">
        <f>IFERROR(HLOOKUP(K$2,[56]table_female_hkom2_inj.U5!$A$1:$K$36,5,FALSE),0)</f>
        <v>0</v>
      </c>
      <c r="L1808">
        <f>IFERROR(HLOOKUP(L$2,[56]table_female_hkom2_inj.U5!$A$1:$K$36,5,FALSE),0)</f>
        <v>0</v>
      </c>
      <c r="M1808">
        <f t="shared" si="567"/>
        <v>0</v>
      </c>
      <c r="S1808" t="s">
        <v>73</v>
      </c>
      <c r="T1808" s="5">
        <f t="shared" si="568"/>
        <v>0</v>
      </c>
      <c r="U1808" s="5">
        <f t="shared" si="569"/>
        <v>0</v>
      </c>
      <c r="V1808" s="5">
        <f t="shared" si="570"/>
        <v>3.0303030303030304E-2</v>
      </c>
      <c r="W1808" s="5">
        <f t="shared" si="571"/>
        <v>3.0303030303030304E-2</v>
      </c>
      <c r="X1808" s="5">
        <f t="shared" si="572"/>
        <v>0</v>
      </c>
      <c r="Y1808" s="5">
        <f t="shared" si="573"/>
        <v>0</v>
      </c>
      <c r="Z1808" s="5">
        <f t="shared" si="574"/>
        <v>0</v>
      </c>
      <c r="AA1808" s="5">
        <f t="shared" si="575"/>
        <v>0</v>
      </c>
      <c r="AB1808" s="5">
        <f t="shared" si="555"/>
        <v>6.0606060606060608E-2</v>
      </c>
    </row>
    <row r="1809" spans="4:28" x14ac:dyDescent="0.25">
      <c r="D1809" t="s">
        <v>74</v>
      </c>
      <c r="E1809" s="64"/>
      <c r="F1809" s="64"/>
      <c r="G1809">
        <f>IFERROR(HLOOKUP(G$2,[56]table_female_hkom2_inj.U5!$A$1:$K$36,6,FALSE),0)</f>
        <v>0</v>
      </c>
      <c r="H1809">
        <f>IFERROR(HLOOKUP(H$2,[56]table_female_hkom2_inj.U5!$A$1:$K$36,6,FALSE),0)</f>
        <v>0</v>
      </c>
      <c r="I1809">
        <f>IFERROR(HLOOKUP(I$2,[56]table_female_hkom2_inj.U5!$A$1:$K$36,6,FALSE),0)</f>
        <v>0</v>
      </c>
      <c r="J1809">
        <f>IFERROR(HLOOKUP(J$2,[56]table_female_hkom2_inj.U5!$A$1:$K$36,6,FALSE),0)</f>
        <v>0</v>
      </c>
      <c r="K1809">
        <f>IFERROR(HLOOKUP(K$2,[56]table_female_hkom2_inj.U5!$A$1:$K$36,6,FALSE),0)</f>
        <v>0</v>
      </c>
      <c r="L1809">
        <f>IFERROR(HLOOKUP(L$2,[56]table_female_hkom2_inj.U5!$A$1:$K$36,6,FALSE),0)</f>
        <v>0</v>
      </c>
      <c r="M1809">
        <f t="shared" si="567"/>
        <v>0</v>
      </c>
      <c r="S1809" t="s">
        <v>74</v>
      </c>
      <c r="T1809" s="5">
        <f t="shared" si="568"/>
        <v>0</v>
      </c>
      <c r="U1809" s="5">
        <f t="shared" si="569"/>
        <v>0</v>
      </c>
      <c r="V1809" s="5">
        <f t="shared" si="570"/>
        <v>3.0303030303030304E-2</v>
      </c>
      <c r="W1809" s="5">
        <f t="shared" si="571"/>
        <v>3.0303030303030304E-2</v>
      </c>
      <c r="X1809" s="5">
        <f t="shared" si="572"/>
        <v>0</v>
      </c>
      <c r="Y1809" s="5">
        <f t="shared" si="573"/>
        <v>0</v>
      </c>
      <c r="Z1809" s="5">
        <f t="shared" si="574"/>
        <v>0</v>
      </c>
      <c r="AA1809" s="5">
        <f t="shared" si="575"/>
        <v>0</v>
      </c>
      <c r="AB1809" s="5">
        <f t="shared" si="555"/>
        <v>6.0606060606060608E-2</v>
      </c>
    </row>
    <row r="1810" spans="4:28" x14ac:dyDescent="0.25">
      <c r="D1810" t="s">
        <v>75</v>
      </c>
      <c r="E1810" s="64"/>
      <c r="F1810" s="64"/>
      <c r="G1810">
        <f>IFERROR(HLOOKUP(G$2,[56]table_female_hkom2_inj.U5!$A$1:$K$36,7,FALSE),0)</f>
        <v>0</v>
      </c>
      <c r="H1810">
        <f>IFERROR(HLOOKUP(H$2,[56]table_female_hkom2_inj.U5!$A$1:$K$36,7,FALSE),0)</f>
        <v>0</v>
      </c>
      <c r="I1810">
        <f>IFERROR(HLOOKUP(I$2,[56]table_female_hkom2_inj.U5!$A$1:$K$36,7,FALSE),0)</f>
        <v>0</v>
      </c>
      <c r="J1810">
        <f>IFERROR(HLOOKUP(J$2,[56]table_female_hkom2_inj.U5!$A$1:$K$36,7,FALSE),0)</f>
        <v>0</v>
      </c>
      <c r="K1810">
        <f>IFERROR(HLOOKUP(K$2,[56]table_female_hkom2_inj.U5!$A$1:$K$36,7,FALSE),0)</f>
        <v>0</v>
      </c>
      <c r="L1810">
        <f>IFERROR(HLOOKUP(L$2,[56]table_female_hkom2_inj.U5!$A$1:$K$36,7,FALSE),0)</f>
        <v>0</v>
      </c>
      <c r="M1810">
        <f t="shared" si="567"/>
        <v>0</v>
      </c>
      <c r="S1810" t="s">
        <v>75</v>
      </c>
      <c r="T1810" s="5">
        <f t="shared" si="568"/>
        <v>0</v>
      </c>
      <c r="U1810" s="5">
        <f t="shared" si="569"/>
        <v>0</v>
      </c>
      <c r="V1810" s="5">
        <f t="shared" si="570"/>
        <v>3.0303030303030304E-2</v>
      </c>
      <c r="W1810" s="5">
        <f t="shared" si="571"/>
        <v>3.0303030303030304E-2</v>
      </c>
      <c r="X1810" s="5">
        <f t="shared" si="572"/>
        <v>0</v>
      </c>
      <c r="Y1810" s="5">
        <f t="shared" si="573"/>
        <v>0</v>
      </c>
      <c r="Z1810" s="5">
        <f t="shared" si="574"/>
        <v>0</v>
      </c>
      <c r="AA1810" s="5">
        <f t="shared" si="575"/>
        <v>0</v>
      </c>
      <c r="AB1810" s="5">
        <f t="shared" si="555"/>
        <v>6.0606060606060608E-2</v>
      </c>
    </row>
    <row r="1811" spans="4:28" x14ac:dyDescent="0.25">
      <c r="D1811" t="s">
        <v>76</v>
      </c>
      <c r="E1811" s="64"/>
      <c r="F1811" s="64"/>
      <c r="G1811">
        <f>IFERROR(HLOOKUP(G$2,[56]table_female_hkom2_inj.U5!$A$1:$K$36,8,FALSE),0)</f>
        <v>0</v>
      </c>
      <c r="H1811">
        <f>IFERROR(HLOOKUP(H$2,[56]table_female_hkom2_inj.U5!$A$1:$K$36,8,FALSE),0)</f>
        <v>0</v>
      </c>
      <c r="I1811">
        <f>IFERROR(HLOOKUP(I$2,[56]table_female_hkom2_inj.U5!$A$1:$K$36,8,FALSE),0)</f>
        <v>0</v>
      </c>
      <c r="J1811">
        <f>IFERROR(HLOOKUP(J$2,[56]table_female_hkom2_inj.U5!$A$1:$K$36,8,FALSE),0)</f>
        <v>0</v>
      </c>
      <c r="K1811">
        <f>IFERROR(HLOOKUP(K$2,[56]table_female_hkom2_inj.U5!$A$1:$K$36,8,FALSE),0)</f>
        <v>0</v>
      </c>
      <c r="L1811">
        <f>IFERROR(HLOOKUP(L$2,[56]table_female_hkom2_inj.U5!$A$1:$K$36,8,FALSE),0)</f>
        <v>0</v>
      </c>
      <c r="M1811">
        <f t="shared" si="567"/>
        <v>0</v>
      </c>
      <c r="S1811" t="s">
        <v>76</v>
      </c>
      <c r="T1811" s="5">
        <f t="shared" si="568"/>
        <v>0</v>
      </c>
      <c r="U1811" s="5">
        <f t="shared" si="569"/>
        <v>0</v>
      </c>
      <c r="V1811" s="5">
        <f t="shared" si="570"/>
        <v>3.0303030303030304E-2</v>
      </c>
      <c r="W1811" s="5">
        <f t="shared" si="571"/>
        <v>3.0303030303030304E-2</v>
      </c>
      <c r="X1811" s="5">
        <f t="shared" si="572"/>
        <v>0</v>
      </c>
      <c r="Y1811" s="5">
        <f t="shared" si="573"/>
        <v>0</v>
      </c>
      <c r="Z1811" s="5">
        <f t="shared" si="574"/>
        <v>0</v>
      </c>
      <c r="AA1811" s="5">
        <f t="shared" si="575"/>
        <v>0</v>
      </c>
      <c r="AB1811" s="5">
        <f t="shared" si="555"/>
        <v>6.0606060606060608E-2</v>
      </c>
    </row>
    <row r="1812" spans="4:28" x14ac:dyDescent="0.25">
      <c r="D1812" t="s">
        <v>77</v>
      </c>
      <c r="E1812" s="64"/>
      <c r="F1812" s="64"/>
      <c r="G1812">
        <f>IFERROR(HLOOKUP(G$2,[56]table_female_hkom2_inj.U5!$A$1:$K$36,9,FALSE),0)</f>
        <v>0</v>
      </c>
      <c r="H1812">
        <f>IFERROR(HLOOKUP(H$2,[56]table_female_hkom2_inj.U5!$A$1:$K$36,9,FALSE),0)</f>
        <v>0</v>
      </c>
      <c r="I1812">
        <f>IFERROR(HLOOKUP(I$2,[56]table_female_hkom2_inj.U5!$A$1:$K$36,9,FALSE),0)</f>
        <v>0</v>
      </c>
      <c r="J1812">
        <f>IFERROR(HLOOKUP(J$2,[56]table_female_hkom2_inj.U5!$A$1:$K$36,9,FALSE),0)</f>
        <v>0</v>
      </c>
      <c r="K1812">
        <f>IFERROR(HLOOKUP(K$2,[56]table_female_hkom2_inj.U5!$A$1:$K$36,9,FALSE),0)</f>
        <v>0</v>
      </c>
      <c r="L1812">
        <f>IFERROR(HLOOKUP(L$2,[56]table_female_hkom2_inj.U5!$A$1:$K$36,9,FALSE),0)</f>
        <v>0</v>
      </c>
      <c r="M1812">
        <f t="shared" si="567"/>
        <v>0</v>
      </c>
      <c r="S1812" t="s">
        <v>77</v>
      </c>
      <c r="T1812" s="5">
        <f t="shared" si="568"/>
        <v>0</v>
      </c>
      <c r="U1812" s="5">
        <f t="shared" si="569"/>
        <v>0</v>
      </c>
      <c r="V1812" s="5">
        <f t="shared" si="570"/>
        <v>3.0303030303030304E-2</v>
      </c>
      <c r="W1812" s="5">
        <f t="shared" si="571"/>
        <v>3.0303030303030304E-2</v>
      </c>
      <c r="X1812" s="5">
        <f t="shared" si="572"/>
        <v>0</v>
      </c>
      <c r="Y1812" s="5">
        <f t="shared" si="573"/>
        <v>0</v>
      </c>
      <c r="Z1812" s="5">
        <f t="shared" si="574"/>
        <v>0</v>
      </c>
      <c r="AA1812" s="5">
        <f t="shared" si="575"/>
        <v>0</v>
      </c>
      <c r="AB1812" s="5">
        <f t="shared" ref="AB1812:AB1875" si="576">SUM(T1812:AA1812)</f>
        <v>6.0606060606060608E-2</v>
      </c>
    </row>
    <row r="1813" spans="4:28" x14ac:dyDescent="0.25">
      <c r="D1813" t="s">
        <v>78</v>
      </c>
      <c r="E1813" s="64"/>
      <c r="F1813" s="64"/>
      <c r="G1813">
        <f>IFERROR(HLOOKUP(G$2,[56]table_female_hkom2_inj.U5!$A$1:$K$36,10,FALSE),0)</f>
        <v>0</v>
      </c>
      <c r="H1813">
        <f>IFERROR(HLOOKUP(H$2,[56]table_female_hkom2_inj.U5!$A$1:$K$36,10,FALSE),0)</f>
        <v>0</v>
      </c>
      <c r="I1813">
        <f>IFERROR(HLOOKUP(I$2,[56]table_female_hkom2_inj.U5!$A$1:$K$36,10,FALSE),0)</f>
        <v>0</v>
      </c>
      <c r="J1813">
        <f>IFERROR(HLOOKUP(J$2,[56]table_female_hkom2_inj.U5!$A$1:$K$36,10,FALSE),0)</f>
        <v>0</v>
      </c>
      <c r="K1813">
        <f>IFERROR(HLOOKUP(K$2,[56]table_female_hkom2_inj.U5!$A$1:$K$36,10,FALSE),0)</f>
        <v>0</v>
      </c>
      <c r="L1813">
        <f>IFERROR(HLOOKUP(L$2,[56]table_female_hkom2_inj.U5!$A$1:$K$36,10,FALSE),0)</f>
        <v>0</v>
      </c>
      <c r="M1813">
        <f t="shared" si="567"/>
        <v>0</v>
      </c>
      <c r="S1813" t="s">
        <v>78</v>
      </c>
      <c r="T1813" s="5">
        <f t="shared" si="568"/>
        <v>0</v>
      </c>
      <c r="U1813" s="5">
        <f t="shared" si="569"/>
        <v>0</v>
      </c>
      <c r="V1813" s="5">
        <f t="shared" si="570"/>
        <v>3.0303030303030304E-2</v>
      </c>
      <c r="W1813" s="5">
        <f t="shared" si="571"/>
        <v>3.0303030303030304E-2</v>
      </c>
      <c r="X1813" s="5">
        <f t="shared" si="572"/>
        <v>0</v>
      </c>
      <c r="Y1813" s="5">
        <f t="shared" si="573"/>
        <v>0</v>
      </c>
      <c r="Z1813" s="5">
        <f t="shared" si="574"/>
        <v>0</v>
      </c>
      <c r="AA1813" s="5">
        <f t="shared" si="575"/>
        <v>0</v>
      </c>
      <c r="AB1813" s="5">
        <f t="shared" si="576"/>
        <v>6.0606060606060608E-2</v>
      </c>
    </row>
    <row r="1814" spans="4:28" x14ac:dyDescent="0.25">
      <c r="D1814" t="s">
        <v>79</v>
      </c>
      <c r="E1814" s="64"/>
      <c r="F1814" s="64"/>
      <c r="G1814">
        <f>IFERROR(HLOOKUP(G$2,[56]table_female_hkom2_inj.U5!$A$1:$K$36,11,FALSE),0)</f>
        <v>0</v>
      </c>
      <c r="H1814">
        <f>IFERROR(HLOOKUP(H$2,[56]table_female_hkom2_inj.U5!$A$1:$K$36,11,FALSE),0)</f>
        <v>0</v>
      </c>
      <c r="I1814">
        <f>IFERROR(HLOOKUP(I$2,[56]table_female_hkom2_inj.U5!$A$1:$K$36,11,FALSE),0)</f>
        <v>0</v>
      </c>
      <c r="J1814">
        <f>IFERROR(HLOOKUP(J$2,[56]table_female_hkom2_inj.U5!$A$1:$K$36,11,FALSE),0)</f>
        <v>0</v>
      </c>
      <c r="K1814">
        <f>IFERROR(HLOOKUP(K$2,[56]table_female_hkom2_inj.U5!$A$1:$K$36,11,FALSE),0)</f>
        <v>0</v>
      </c>
      <c r="L1814">
        <f>IFERROR(HLOOKUP(L$2,[56]table_female_hkom2_inj.U5!$A$1:$K$36,11,FALSE),0)</f>
        <v>0</v>
      </c>
      <c r="M1814">
        <f t="shared" si="567"/>
        <v>0</v>
      </c>
      <c r="S1814" t="s">
        <v>79</v>
      </c>
      <c r="T1814" s="5">
        <f t="shared" si="568"/>
        <v>0</v>
      </c>
      <c r="U1814" s="5">
        <f t="shared" si="569"/>
        <v>0</v>
      </c>
      <c r="V1814" s="5">
        <f t="shared" si="570"/>
        <v>3.0303030303030304E-2</v>
      </c>
      <c r="W1814" s="5">
        <f t="shared" si="571"/>
        <v>3.0303030303030304E-2</v>
      </c>
      <c r="X1814" s="5">
        <f t="shared" si="572"/>
        <v>0</v>
      </c>
      <c r="Y1814" s="5">
        <f t="shared" si="573"/>
        <v>0</v>
      </c>
      <c r="Z1814" s="5">
        <f t="shared" si="574"/>
        <v>0</v>
      </c>
      <c r="AA1814" s="5">
        <f t="shared" si="575"/>
        <v>0</v>
      </c>
      <c r="AB1814" s="5">
        <f t="shared" si="576"/>
        <v>6.0606060606060608E-2</v>
      </c>
    </row>
    <row r="1815" spans="4:28" x14ac:dyDescent="0.25">
      <c r="D1815" t="s">
        <v>80</v>
      </c>
      <c r="E1815" s="64"/>
      <c r="F1815" s="64"/>
      <c r="G1815">
        <f>IFERROR(HLOOKUP(G$2,[56]table_female_hkom2_inj.U5!$A$1:$K$36,12,FALSE),0)</f>
        <v>0</v>
      </c>
      <c r="H1815">
        <f>IFERROR(HLOOKUP(H$2,[56]table_female_hkom2_inj.U5!$A$1:$K$36,12,FALSE),0)</f>
        <v>0</v>
      </c>
      <c r="I1815">
        <f>IFERROR(HLOOKUP(I$2,[56]table_female_hkom2_inj.U5!$A$1:$K$36,12,FALSE),0)</f>
        <v>0</v>
      </c>
      <c r="J1815">
        <f>IFERROR(HLOOKUP(J$2,[56]table_female_hkom2_inj.U5!$A$1:$K$36,12,FALSE),0)</f>
        <v>0</v>
      </c>
      <c r="K1815">
        <f>IFERROR(HLOOKUP(K$2,[56]table_female_hkom2_inj.U5!$A$1:$K$36,12,FALSE),0)</f>
        <v>0</v>
      </c>
      <c r="L1815">
        <f>IFERROR(HLOOKUP(L$2,[56]table_female_hkom2_inj.U5!$A$1:$K$36,12,FALSE),0)</f>
        <v>0</v>
      </c>
      <c r="M1815">
        <f t="shared" si="567"/>
        <v>0</v>
      </c>
      <c r="S1815" t="s">
        <v>80</v>
      </c>
      <c r="T1815" s="5">
        <f t="shared" si="568"/>
        <v>0</v>
      </c>
      <c r="U1815" s="5">
        <f t="shared" si="569"/>
        <v>0</v>
      </c>
      <c r="V1815" s="5">
        <f t="shared" si="570"/>
        <v>3.0303030303030304E-2</v>
      </c>
      <c r="W1815" s="5">
        <f t="shared" si="571"/>
        <v>3.0303030303030304E-2</v>
      </c>
      <c r="X1815" s="5">
        <f t="shared" si="572"/>
        <v>0</v>
      </c>
      <c r="Y1815" s="5">
        <f t="shared" si="573"/>
        <v>0</v>
      </c>
      <c r="Z1815" s="5">
        <f t="shared" si="574"/>
        <v>0</v>
      </c>
      <c r="AA1815" s="5">
        <f t="shared" si="575"/>
        <v>0</v>
      </c>
      <c r="AB1815" s="5">
        <f t="shared" si="576"/>
        <v>6.0606060606060608E-2</v>
      </c>
    </row>
    <row r="1816" spans="4:28" x14ac:dyDescent="0.25">
      <c r="D1816" t="s">
        <v>81</v>
      </c>
      <c r="E1816" s="64"/>
      <c r="F1816" s="64"/>
      <c r="G1816">
        <f>IFERROR(HLOOKUP(G$2,[56]table_female_hkom2_inj.U5!$A$1:$K$36,13,FALSE),0)</f>
        <v>0</v>
      </c>
      <c r="H1816">
        <f>IFERROR(HLOOKUP(H$2,[56]table_female_hkom2_inj.U5!$A$1:$K$36,13,FALSE),0)</f>
        <v>0</v>
      </c>
      <c r="I1816">
        <f>IFERROR(HLOOKUP(I$2,[56]table_female_hkom2_inj.U5!$A$1:$K$36,13,FALSE),0)</f>
        <v>0</v>
      </c>
      <c r="J1816">
        <f>IFERROR(HLOOKUP(J$2,[56]table_female_hkom2_inj.U5!$A$1:$K$36,13,FALSE),0)</f>
        <v>0</v>
      </c>
      <c r="K1816">
        <f>IFERROR(HLOOKUP(K$2,[56]table_female_hkom2_inj.U5!$A$1:$K$36,13,FALSE),0)</f>
        <v>0</v>
      </c>
      <c r="L1816">
        <f>IFERROR(HLOOKUP(L$2,[56]table_female_hkom2_inj.U5!$A$1:$K$36,13,FALSE),0)</f>
        <v>0</v>
      </c>
      <c r="M1816">
        <f t="shared" si="567"/>
        <v>0</v>
      </c>
      <c r="S1816" t="s">
        <v>81</v>
      </c>
      <c r="T1816" s="5">
        <f t="shared" si="568"/>
        <v>0</v>
      </c>
      <c r="U1816" s="5">
        <f t="shared" si="569"/>
        <v>0</v>
      </c>
      <c r="V1816" s="5">
        <f t="shared" si="570"/>
        <v>3.0303030303030304E-2</v>
      </c>
      <c r="W1816" s="5">
        <f t="shared" si="571"/>
        <v>3.0303030303030304E-2</v>
      </c>
      <c r="X1816" s="5">
        <f t="shared" si="572"/>
        <v>0</v>
      </c>
      <c r="Y1816" s="5">
        <f t="shared" si="573"/>
        <v>0</v>
      </c>
      <c r="Z1816" s="5">
        <f t="shared" si="574"/>
        <v>0</v>
      </c>
      <c r="AA1816" s="5">
        <f t="shared" si="575"/>
        <v>0</v>
      </c>
      <c r="AB1816" s="5">
        <f t="shared" si="576"/>
        <v>6.0606060606060608E-2</v>
      </c>
    </row>
    <row r="1817" spans="4:28" x14ac:dyDescent="0.25">
      <c r="D1817" t="s">
        <v>82</v>
      </c>
      <c r="E1817" s="64"/>
      <c r="F1817" s="64"/>
      <c r="G1817">
        <f>IFERROR(HLOOKUP(G$2,[56]table_female_hkom2_inj.U5!$A$1:$K$36,14,FALSE),0)</f>
        <v>0</v>
      </c>
      <c r="H1817">
        <f>IFERROR(HLOOKUP(H$2,[56]table_female_hkom2_inj.U5!$A$1:$K$36,14,FALSE),0)</f>
        <v>0</v>
      </c>
      <c r="I1817">
        <f>IFERROR(HLOOKUP(I$2,[56]table_female_hkom2_inj.U5!$A$1:$K$36,14,FALSE),0)</f>
        <v>0</v>
      </c>
      <c r="J1817">
        <f>IFERROR(HLOOKUP(J$2,[56]table_female_hkom2_inj.U5!$A$1:$K$36,14,FALSE),0)</f>
        <v>0</v>
      </c>
      <c r="K1817">
        <f>IFERROR(HLOOKUP(K$2,[56]table_female_hkom2_inj.U5!$A$1:$K$36,14,FALSE),0)</f>
        <v>0</v>
      </c>
      <c r="L1817">
        <f>IFERROR(HLOOKUP(L$2,[56]table_female_hkom2_inj.U5!$A$1:$K$36,14,FALSE),0)</f>
        <v>0</v>
      </c>
      <c r="M1817">
        <f t="shared" si="567"/>
        <v>0</v>
      </c>
      <c r="S1817" t="s">
        <v>82</v>
      </c>
      <c r="T1817" s="5">
        <f t="shared" si="568"/>
        <v>0</v>
      </c>
      <c r="U1817" s="5">
        <f t="shared" si="569"/>
        <v>0</v>
      </c>
      <c r="V1817" s="5">
        <f t="shared" si="570"/>
        <v>3.0303030303030304E-2</v>
      </c>
      <c r="W1817" s="5">
        <f t="shared" si="571"/>
        <v>3.0303030303030304E-2</v>
      </c>
      <c r="X1817" s="5">
        <f t="shared" si="572"/>
        <v>0</v>
      </c>
      <c r="Y1817" s="5">
        <f t="shared" si="573"/>
        <v>0</v>
      </c>
      <c r="Z1817" s="5">
        <f t="shared" si="574"/>
        <v>0</v>
      </c>
      <c r="AA1817" s="5">
        <f t="shared" si="575"/>
        <v>0</v>
      </c>
      <c r="AB1817" s="5">
        <f t="shared" si="576"/>
        <v>6.0606060606060608E-2</v>
      </c>
    </row>
    <row r="1818" spans="4:28" x14ac:dyDescent="0.25">
      <c r="D1818" t="s">
        <v>83</v>
      </c>
      <c r="E1818" s="64"/>
      <c r="F1818" s="64"/>
      <c r="G1818">
        <f>IFERROR(HLOOKUP(G$2,[56]table_female_hkom2_inj.U5!$A$1:$K$36,15,FALSE),0)</f>
        <v>0</v>
      </c>
      <c r="H1818">
        <f>IFERROR(HLOOKUP(H$2,[56]table_female_hkom2_inj.U5!$A$1:$K$36,15,FALSE),0)</f>
        <v>0</v>
      </c>
      <c r="I1818">
        <f>IFERROR(HLOOKUP(I$2,[56]table_female_hkom2_inj.U5!$A$1:$K$36,15,FALSE),0)</f>
        <v>0</v>
      </c>
      <c r="J1818">
        <f>IFERROR(HLOOKUP(J$2,[56]table_female_hkom2_inj.U5!$A$1:$K$36,15,FALSE),0)</f>
        <v>0</v>
      </c>
      <c r="K1818">
        <f>IFERROR(HLOOKUP(K$2,[56]table_female_hkom2_inj.U5!$A$1:$K$36,15,FALSE),0)</f>
        <v>0</v>
      </c>
      <c r="L1818">
        <f>IFERROR(HLOOKUP(L$2,[56]table_female_hkom2_inj.U5!$A$1:$K$36,15,FALSE),0)</f>
        <v>0</v>
      </c>
      <c r="M1818">
        <f t="shared" si="567"/>
        <v>0</v>
      </c>
      <c r="S1818" t="s">
        <v>83</v>
      </c>
      <c r="T1818" s="5">
        <f t="shared" si="568"/>
        <v>0</v>
      </c>
      <c r="U1818" s="5">
        <f t="shared" si="569"/>
        <v>0</v>
      </c>
      <c r="V1818" s="5">
        <f t="shared" si="570"/>
        <v>3.0303030303030304E-2</v>
      </c>
      <c r="W1818" s="5">
        <f t="shared" si="571"/>
        <v>3.0303030303030304E-2</v>
      </c>
      <c r="X1818" s="5">
        <f t="shared" si="572"/>
        <v>0</v>
      </c>
      <c r="Y1818" s="5">
        <f t="shared" si="573"/>
        <v>0</v>
      </c>
      <c r="Z1818" s="5">
        <f t="shared" si="574"/>
        <v>0</v>
      </c>
      <c r="AA1818" s="5">
        <f t="shared" si="575"/>
        <v>0</v>
      </c>
      <c r="AB1818" s="5">
        <f t="shared" si="576"/>
        <v>6.0606060606060608E-2</v>
      </c>
    </row>
    <row r="1819" spans="4:28" x14ac:dyDescent="0.25">
      <c r="D1819" t="s">
        <v>84</v>
      </c>
      <c r="E1819" s="64"/>
      <c r="F1819" s="64"/>
      <c r="G1819">
        <f>IFERROR(HLOOKUP(G$2,[56]table_female_hkom2_inj.U5!$A$1:$K$36,16,FALSE),0)</f>
        <v>0</v>
      </c>
      <c r="H1819">
        <f>IFERROR(HLOOKUP(H$2,[56]table_female_hkom2_inj.U5!$A$1:$K$36,16,FALSE),0)</f>
        <v>0</v>
      </c>
      <c r="I1819">
        <f>IFERROR(HLOOKUP(I$2,[56]table_female_hkom2_inj.U5!$A$1:$K$36,16,FALSE),0)</f>
        <v>0</v>
      </c>
      <c r="J1819">
        <f>IFERROR(HLOOKUP(J$2,[56]table_female_hkom2_inj.U5!$A$1:$K$36,16,FALSE),0)</f>
        <v>0</v>
      </c>
      <c r="K1819">
        <f>IFERROR(HLOOKUP(K$2,[56]table_female_hkom2_inj.U5!$A$1:$K$36,16,FALSE),0)</f>
        <v>0</v>
      </c>
      <c r="L1819">
        <f>IFERROR(HLOOKUP(L$2,[56]table_female_hkom2_inj.U5!$A$1:$K$36,16,FALSE),0)</f>
        <v>0</v>
      </c>
      <c r="M1819">
        <f t="shared" si="567"/>
        <v>0</v>
      </c>
      <c r="S1819" t="s">
        <v>84</v>
      </c>
      <c r="T1819" s="5">
        <f t="shared" si="568"/>
        <v>0</v>
      </c>
      <c r="U1819" s="5">
        <f t="shared" si="569"/>
        <v>0</v>
      </c>
      <c r="V1819" s="5">
        <f t="shared" si="570"/>
        <v>3.0303030303030304E-2</v>
      </c>
      <c r="W1819" s="5">
        <f t="shared" si="571"/>
        <v>3.0303030303030304E-2</v>
      </c>
      <c r="X1819" s="5">
        <f t="shared" si="572"/>
        <v>0</v>
      </c>
      <c r="Y1819" s="5">
        <f t="shared" si="573"/>
        <v>0</v>
      </c>
      <c r="Z1819" s="5">
        <f t="shared" si="574"/>
        <v>0</v>
      </c>
      <c r="AA1819" s="5">
        <f t="shared" si="575"/>
        <v>0</v>
      </c>
      <c r="AB1819" s="5">
        <f t="shared" si="576"/>
        <v>6.0606060606060608E-2</v>
      </c>
    </row>
    <row r="1820" spans="4:28" x14ac:dyDescent="0.25">
      <c r="D1820" t="s">
        <v>85</v>
      </c>
      <c r="E1820" s="64"/>
      <c r="F1820" s="64"/>
      <c r="G1820">
        <f>IFERROR(HLOOKUP(G$2,[56]table_female_hkom2_inj.U5!$A$1:$K$36,17,FALSE),0)</f>
        <v>0</v>
      </c>
      <c r="H1820">
        <f>IFERROR(HLOOKUP(H$2,[56]table_female_hkom2_inj.U5!$A$1:$K$36,17,FALSE),0)</f>
        <v>0</v>
      </c>
      <c r="I1820">
        <f>IFERROR(HLOOKUP(I$2,[56]table_female_hkom2_inj.U5!$A$1:$K$36,17,FALSE),0)</f>
        <v>0</v>
      </c>
      <c r="J1820">
        <f>IFERROR(HLOOKUP(J$2,[56]table_female_hkom2_inj.U5!$A$1:$K$36,17,FALSE),0)</f>
        <v>0</v>
      </c>
      <c r="K1820">
        <f>IFERROR(HLOOKUP(K$2,[56]table_female_hkom2_inj.U5!$A$1:$K$36,17,FALSE),0)</f>
        <v>0</v>
      </c>
      <c r="L1820">
        <f>IFERROR(HLOOKUP(L$2,[56]table_female_hkom2_inj.U5!$A$1:$K$36,17,FALSE),0)</f>
        <v>0</v>
      </c>
      <c r="M1820">
        <f t="shared" si="567"/>
        <v>0</v>
      </c>
      <c r="S1820" t="s">
        <v>85</v>
      </c>
      <c r="T1820" s="5">
        <f t="shared" si="568"/>
        <v>0</v>
      </c>
      <c r="U1820" s="5">
        <f t="shared" si="569"/>
        <v>0</v>
      </c>
      <c r="V1820" s="5">
        <f t="shared" si="570"/>
        <v>3.0303030303030304E-2</v>
      </c>
      <c r="W1820" s="5">
        <f t="shared" si="571"/>
        <v>3.0303030303030304E-2</v>
      </c>
      <c r="X1820" s="5">
        <f t="shared" si="572"/>
        <v>0</v>
      </c>
      <c r="Y1820" s="5">
        <f t="shared" si="573"/>
        <v>0</v>
      </c>
      <c r="Z1820" s="5">
        <f t="shared" si="574"/>
        <v>0</v>
      </c>
      <c r="AA1820" s="5">
        <f t="shared" si="575"/>
        <v>0</v>
      </c>
      <c r="AB1820" s="5">
        <f t="shared" si="576"/>
        <v>6.0606060606060608E-2</v>
      </c>
    </row>
    <row r="1821" spans="4:28" x14ac:dyDescent="0.25">
      <c r="D1821" t="s">
        <v>86</v>
      </c>
      <c r="E1821" s="64"/>
      <c r="F1821" s="64"/>
      <c r="G1821">
        <f>IFERROR(HLOOKUP(G$2,[56]table_female_hkom2_inj.U5!$A$1:$K$36,18,FALSE),0)</f>
        <v>0</v>
      </c>
      <c r="H1821">
        <f>IFERROR(HLOOKUP(H$2,[56]table_female_hkom2_inj.U5!$A$1:$K$36,18,FALSE),0)</f>
        <v>0</v>
      </c>
      <c r="I1821">
        <f>IFERROR(HLOOKUP(I$2,[56]table_female_hkom2_inj.U5!$A$1:$K$36,18,FALSE),0)</f>
        <v>0</v>
      </c>
      <c r="J1821">
        <f>IFERROR(HLOOKUP(J$2,[56]table_female_hkom2_inj.U5!$A$1:$K$36,18,FALSE),0)</f>
        <v>0</v>
      </c>
      <c r="K1821">
        <f>IFERROR(HLOOKUP(K$2,[56]table_female_hkom2_inj.U5!$A$1:$K$36,18,FALSE),0)</f>
        <v>0</v>
      </c>
      <c r="L1821">
        <f>IFERROR(HLOOKUP(L$2,[56]table_female_hkom2_inj.U5!$A$1:$K$36,18,FALSE),0)</f>
        <v>0</v>
      </c>
      <c r="M1821">
        <f t="shared" si="567"/>
        <v>0</v>
      </c>
      <c r="S1821" t="s">
        <v>86</v>
      </c>
      <c r="T1821" s="5">
        <f t="shared" si="568"/>
        <v>0</v>
      </c>
      <c r="U1821" s="5">
        <f t="shared" si="569"/>
        <v>0</v>
      </c>
      <c r="V1821" s="5">
        <f t="shared" si="570"/>
        <v>3.0303030303030304E-2</v>
      </c>
      <c r="W1821" s="5">
        <f t="shared" si="571"/>
        <v>3.0303030303030304E-2</v>
      </c>
      <c r="X1821" s="5">
        <f t="shared" si="572"/>
        <v>0</v>
      </c>
      <c r="Y1821" s="5">
        <f t="shared" si="573"/>
        <v>0</v>
      </c>
      <c r="Z1821" s="5">
        <f t="shared" si="574"/>
        <v>0</v>
      </c>
      <c r="AA1821" s="5">
        <f t="shared" si="575"/>
        <v>0</v>
      </c>
      <c r="AB1821" s="5">
        <f t="shared" si="576"/>
        <v>6.0606060606060608E-2</v>
      </c>
    </row>
    <row r="1822" spans="4:28" x14ac:dyDescent="0.25">
      <c r="D1822" t="s">
        <v>87</v>
      </c>
      <c r="E1822" s="64"/>
      <c r="F1822" s="64"/>
      <c r="G1822">
        <f>IFERROR(HLOOKUP(G$2,[56]table_female_hkom2_inj.U5!$A$1:$K$36,19,FALSE),0)</f>
        <v>0</v>
      </c>
      <c r="H1822">
        <f>IFERROR(HLOOKUP(H$2,[56]table_female_hkom2_inj.U5!$A$1:$K$36,19,FALSE),0)</f>
        <v>0</v>
      </c>
      <c r="I1822">
        <f>IFERROR(HLOOKUP(I$2,[56]table_female_hkom2_inj.U5!$A$1:$K$36,19,FALSE),0)</f>
        <v>0</v>
      </c>
      <c r="J1822">
        <f>IFERROR(HLOOKUP(J$2,[56]table_female_hkom2_inj.U5!$A$1:$K$36,19,FALSE),0)</f>
        <v>0</v>
      </c>
      <c r="K1822">
        <f>IFERROR(HLOOKUP(K$2,[56]table_female_hkom2_inj.U5!$A$1:$K$36,19,FALSE),0)</f>
        <v>0</v>
      </c>
      <c r="L1822">
        <f>IFERROR(HLOOKUP(L$2,[56]table_female_hkom2_inj.U5!$A$1:$K$36,19,FALSE),0)</f>
        <v>0</v>
      </c>
      <c r="M1822">
        <f t="shared" si="567"/>
        <v>0</v>
      </c>
      <c r="S1822" t="s">
        <v>87</v>
      </c>
      <c r="T1822" s="5">
        <f t="shared" si="568"/>
        <v>0</v>
      </c>
      <c r="U1822" s="5">
        <f t="shared" si="569"/>
        <v>0</v>
      </c>
      <c r="V1822" s="5">
        <f t="shared" si="570"/>
        <v>3.0303030303030304E-2</v>
      </c>
      <c r="W1822" s="5">
        <f t="shared" si="571"/>
        <v>3.0303030303030304E-2</v>
      </c>
      <c r="X1822" s="5">
        <f t="shared" si="572"/>
        <v>0</v>
      </c>
      <c r="Y1822" s="5">
        <f t="shared" si="573"/>
        <v>0</v>
      </c>
      <c r="Z1822" s="5">
        <f t="shared" si="574"/>
        <v>0</v>
      </c>
      <c r="AA1822" s="5">
        <f t="shared" si="575"/>
        <v>0</v>
      </c>
      <c r="AB1822" s="5">
        <f t="shared" si="576"/>
        <v>6.0606060606060608E-2</v>
      </c>
    </row>
    <row r="1823" spans="4:28" x14ac:dyDescent="0.25">
      <c r="D1823" t="s">
        <v>88</v>
      </c>
      <c r="E1823" s="64"/>
      <c r="F1823" s="64"/>
      <c r="G1823">
        <f>IFERROR(HLOOKUP(G$2,[56]table_female_hkom2_inj.U5!$A$1:$K$36,20,FALSE),0)</f>
        <v>0</v>
      </c>
      <c r="H1823">
        <f>IFERROR(HLOOKUP(H$2,[56]table_female_hkom2_inj.U5!$A$1:$K$36,20,FALSE),0)</f>
        <v>0</v>
      </c>
      <c r="I1823">
        <f>IFERROR(HLOOKUP(I$2,[56]table_female_hkom2_inj.U5!$A$1:$K$36,20,FALSE),0)</f>
        <v>0</v>
      </c>
      <c r="J1823">
        <f>IFERROR(HLOOKUP(J$2,[56]table_female_hkom2_inj.U5!$A$1:$K$36,20,FALSE),0)</f>
        <v>0</v>
      </c>
      <c r="K1823">
        <f>IFERROR(HLOOKUP(K$2,[56]table_female_hkom2_inj.U5!$A$1:$K$36,20,FALSE),0)</f>
        <v>0</v>
      </c>
      <c r="L1823">
        <f>IFERROR(HLOOKUP(L$2,[56]table_female_hkom2_inj.U5!$A$1:$K$36,20,FALSE),0)</f>
        <v>0</v>
      </c>
      <c r="M1823">
        <f t="shared" si="567"/>
        <v>0</v>
      </c>
      <c r="S1823" t="s">
        <v>88</v>
      </c>
      <c r="T1823" s="5">
        <f t="shared" si="568"/>
        <v>0</v>
      </c>
      <c r="U1823" s="5">
        <f t="shared" si="569"/>
        <v>0</v>
      </c>
      <c r="V1823" s="5">
        <f t="shared" si="570"/>
        <v>3.0303030303030304E-2</v>
      </c>
      <c r="W1823" s="5">
        <f t="shared" si="571"/>
        <v>3.0303030303030304E-2</v>
      </c>
      <c r="X1823" s="5">
        <f t="shared" si="572"/>
        <v>0</v>
      </c>
      <c r="Y1823" s="5">
        <f t="shared" si="573"/>
        <v>0</v>
      </c>
      <c r="Z1823" s="5">
        <f t="shared" si="574"/>
        <v>0</v>
      </c>
      <c r="AA1823" s="5">
        <f t="shared" si="575"/>
        <v>0</v>
      </c>
      <c r="AB1823" s="5">
        <f t="shared" si="576"/>
        <v>6.0606060606060608E-2</v>
      </c>
    </row>
    <row r="1824" spans="4:28" x14ac:dyDescent="0.25">
      <c r="D1824" t="s">
        <v>89</v>
      </c>
      <c r="E1824" s="64"/>
      <c r="F1824" s="64"/>
      <c r="G1824">
        <f>IFERROR(HLOOKUP(G$2,[56]table_female_hkom2_inj.U5!$A$1:$K$36,21,FALSE),0)</f>
        <v>0</v>
      </c>
      <c r="H1824">
        <f>IFERROR(HLOOKUP(H$2,[56]table_female_hkom2_inj.U5!$A$1:$K$36,21,FALSE),0)</f>
        <v>0</v>
      </c>
      <c r="I1824">
        <f>IFERROR(HLOOKUP(I$2,[56]table_female_hkom2_inj.U5!$A$1:$K$36,21,FALSE),0)</f>
        <v>0</v>
      </c>
      <c r="J1824">
        <f>IFERROR(HLOOKUP(J$2,[56]table_female_hkom2_inj.U5!$A$1:$K$36,21,FALSE),0)</f>
        <v>0</v>
      </c>
      <c r="K1824">
        <f>IFERROR(HLOOKUP(K$2,[56]table_female_hkom2_inj.U5!$A$1:$K$36,21,FALSE),0)</f>
        <v>0</v>
      </c>
      <c r="L1824">
        <f>IFERROR(HLOOKUP(L$2,[56]table_female_hkom2_inj.U5!$A$1:$K$36,21,FALSE),0)</f>
        <v>0</v>
      </c>
      <c r="M1824">
        <f t="shared" si="567"/>
        <v>0</v>
      </c>
      <c r="S1824" t="s">
        <v>89</v>
      </c>
      <c r="T1824" s="5">
        <f t="shared" si="568"/>
        <v>0</v>
      </c>
      <c r="U1824" s="5">
        <f t="shared" si="569"/>
        <v>0</v>
      </c>
      <c r="V1824" s="5">
        <f t="shared" si="570"/>
        <v>3.0303030303030304E-2</v>
      </c>
      <c r="W1824" s="5">
        <f t="shared" si="571"/>
        <v>3.0303030303030304E-2</v>
      </c>
      <c r="X1824" s="5">
        <f t="shared" si="572"/>
        <v>0</v>
      </c>
      <c r="Y1824" s="5">
        <f t="shared" si="573"/>
        <v>0</v>
      </c>
      <c r="Z1824" s="5">
        <f t="shared" si="574"/>
        <v>0</v>
      </c>
      <c r="AA1824" s="5">
        <f t="shared" si="575"/>
        <v>0</v>
      </c>
      <c r="AB1824" s="5">
        <f t="shared" si="576"/>
        <v>6.0606060606060608E-2</v>
      </c>
    </row>
    <row r="1825" spans="1:29" x14ac:dyDescent="0.25">
      <c r="D1825" t="s">
        <v>90</v>
      </c>
      <c r="E1825" s="64"/>
      <c r="F1825" s="64"/>
      <c r="G1825">
        <f>IFERROR(HLOOKUP(G$2,[56]table_female_hkom2_inj.U5!$A$1:$K$36,22,FALSE),0)</f>
        <v>0</v>
      </c>
      <c r="H1825">
        <f>IFERROR(HLOOKUP(H$2,[56]table_female_hkom2_inj.U5!$A$1:$K$36,22,FALSE),0)</f>
        <v>0</v>
      </c>
      <c r="I1825">
        <f>IFERROR(HLOOKUP(I$2,[56]table_female_hkom2_inj.U5!$A$1:$K$36,22,FALSE),0)</f>
        <v>0</v>
      </c>
      <c r="J1825">
        <f>IFERROR(HLOOKUP(J$2,[56]table_female_hkom2_inj.U5!$A$1:$K$36,22,FALSE),0)</f>
        <v>0</v>
      </c>
      <c r="K1825">
        <f>IFERROR(HLOOKUP(K$2,[56]table_female_hkom2_inj.U5!$A$1:$K$36,22,FALSE),0)</f>
        <v>0</v>
      </c>
      <c r="L1825">
        <f>IFERROR(HLOOKUP(L$2,[56]table_female_hkom2_inj.U5!$A$1:$K$36,22,FALSE),0)</f>
        <v>0</v>
      </c>
      <c r="M1825">
        <f t="shared" si="567"/>
        <v>0</v>
      </c>
      <c r="S1825" t="s">
        <v>90</v>
      </c>
      <c r="T1825" s="5">
        <f t="shared" si="568"/>
        <v>0</v>
      </c>
      <c r="U1825" s="5">
        <f t="shared" si="569"/>
        <v>0</v>
      </c>
      <c r="V1825" s="5">
        <f t="shared" si="570"/>
        <v>3.0303030303030304E-2</v>
      </c>
      <c r="W1825" s="5">
        <f t="shared" si="571"/>
        <v>3.0303030303030304E-2</v>
      </c>
      <c r="X1825" s="5">
        <f t="shared" si="572"/>
        <v>0</v>
      </c>
      <c r="Y1825" s="5">
        <f t="shared" si="573"/>
        <v>0</v>
      </c>
      <c r="Z1825" s="5">
        <f t="shared" si="574"/>
        <v>0</v>
      </c>
      <c r="AA1825" s="5">
        <f t="shared" si="575"/>
        <v>0</v>
      </c>
      <c r="AB1825" s="5">
        <f t="shared" si="576"/>
        <v>6.0606060606060608E-2</v>
      </c>
    </row>
    <row r="1826" spans="1:29" x14ac:dyDescent="0.25">
      <c r="D1826" t="s">
        <v>91</v>
      </c>
      <c r="E1826" s="64"/>
      <c r="F1826" s="64"/>
      <c r="G1826">
        <f>IFERROR(HLOOKUP(G$2,[56]table_female_hkom2_inj.U5!$A$1:$K$36,23,FALSE),0)</f>
        <v>0</v>
      </c>
      <c r="H1826">
        <f>IFERROR(HLOOKUP(H$2,[56]table_female_hkom2_inj.U5!$A$1:$K$36,23,FALSE),0)</f>
        <v>0</v>
      </c>
      <c r="I1826">
        <f>IFERROR(HLOOKUP(I$2,[56]table_female_hkom2_inj.U5!$A$1:$K$36,23,FALSE),0)</f>
        <v>0</v>
      </c>
      <c r="J1826">
        <f>IFERROR(HLOOKUP(J$2,[56]table_female_hkom2_inj.U5!$A$1:$K$36,23,FALSE),0)</f>
        <v>0</v>
      </c>
      <c r="K1826">
        <f>IFERROR(HLOOKUP(K$2,[56]table_female_hkom2_inj.U5!$A$1:$K$36,23,FALSE),0)</f>
        <v>0</v>
      </c>
      <c r="L1826">
        <f>IFERROR(HLOOKUP(L$2,[56]table_female_hkom2_inj.U5!$A$1:$K$36,23,FALSE),0)</f>
        <v>0</v>
      </c>
      <c r="M1826">
        <f t="shared" si="567"/>
        <v>0</v>
      </c>
      <c r="S1826" t="s">
        <v>91</v>
      </c>
      <c r="T1826" s="5">
        <f t="shared" si="568"/>
        <v>0</v>
      </c>
      <c r="U1826" s="5">
        <f t="shared" si="569"/>
        <v>0</v>
      </c>
      <c r="V1826" s="5">
        <f t="shared" si="570"/>
        <v>3.0303030303030304E-2</v>
      </c>
      <c r="W1826" s="5">
        <f t="shared" si="571"/>
        <v>3.0303030303030304E-2</v>
      </c>
      <c r="X1826" s="5">
        <f t="shared" si="572"/>
        <v>0</v>
      </c>
      <c r="Y1826" s="5">
        <f t="shared" si="573"/>
        <v>0</v>
      </c>
      <c r="Z1826" s="5">
        <f t="shared" si="574"/>
        <v>0</v>
      </c>
      <c r="AA1826" s="5">
        <f t="shared" si="575"/>
        <v>0</v>
      </c>
      <c r="AB1826" s="5">
        <f t="shared" si="576"/>
        <v>6.0606060606060608E-2</v>
      </c>
    </row>
    <row r="1827" spans="1:29" x14ac:dyDescent="0.25">
      <c r="D1827" t="s">
        <v>92</v>
      </c>
      <c r="E1827" s="64"/>
      <c r="F1827" s="64"/>
      <c r="G1827">
        <f>IFERROR(HLOOKUP(G$2,[56]table_female_hkom2_inj.U5!$A$1:$K$36,24,FALSE),0)</f>
        <v>0</v>
      </c>
      <c r="H1827">
        <f>IFERROR(HLOOKUP(H$2,[56]table_female_hkom2_inj.U5!$A$1:$K$36,24,FALSE),0)</f>
        <v>0</v>
      </c>
      <c r="I1827">
        <f>IFERROR(HLOOKUP(I$2,[56]table_female_hkom2_inj.U5!$A$1:$K$36,24,FALSE),0)</f>
        <v>0</v>
      </c>
      <c r="J1827">
        <f>IFERROR(HLOOKUP(J$2,[56]table_female_hkom2_inj.U5!$A$1:$K$36,24,FALSE),0)</f>
        <v>0</v>
      </c>
      <c r="K1827">
        <f>IFERROR(HLOOKUP(K$2,[56]table_female_hkom2_inj.U5!$A$1:$K$36,24,FALSE),0)</f>
        <v>0</v>
      </c>
      <c r="L1827">
        <f>IFERROR(HLOOKUP(L$2,[56]table_female_hkom2_inj.U5!$A$1:$K$36,24,FALSE),0)</f>
        <v>0</v>
      </c>
      <c r="M1827">
        <f t="shared" si="567"/>
        <v>0</v>
      </c>
      <c r="S1827" t="s">
        <v>92</v>
      </c>
      <c r="T1827" s="5">
        <f t="shared" si="568"/>
        <v>0</v>
      </c>
      <c r="U1827" s="5">
        <f t="shared" si="569"/>
        <v>0</v>
      </c>
      <c r="V1827" s="5">
        <f t="shared" si="570"/>
        <v>3.0303030303030304E-2</v>
      </c>
      <c r="W1827" s="5">
        <f t="shared" si="571"/>
        <v>3.0303030303030304E-2</v>
      </c>
      <c r="X1827" s="5">
        <f t="shared" si="572"/>
        <v>0</v>
      </c>
      <c r="Y1827" s="5">
        <f t="shared" si="573"/>
        <v>0</v>
      </c>
      <c r="Z1827" s="5">
        <f t="shared" si="574"/>
        <v>0</v>
      </c>
      <c r="AA1827" s="5">
        <f t="shared" si="575"/>
        <v>0</v>
      </c>
      <c r="AB1827" s="5">
        <f t="shared" si="576"/>
        <v>6.0606060606060608E-2</v>
      </c>
    </row>
    <row r="1828" spans="1:29" x14ac:dyDescent="0.25">
      <c r="D1828" t="s">
        <v>93</v>
      </c>
      <c r="E1828" s="64"/>
      <c r="F1828" s="64"/>
      <c r="G1828">
        <f>IFERROR(HLOOKUP(G$2,[56]table_female_hkom2_inj.U5!$A$1:$K$36,25,FALSE),0)</f>
        <v>0</v>
      </c>
      <c r="H1828">
        <f>IFERROR(HLOOKUP(H$2,[56]table_female_hkom2_inj.U5!$A$1:$K$36,25,FALSE),0)</f>
        <v>0</v>
      </c>
      <c r="I1828">
        <f>IFERROR(HLOOKUP(I$2,[56]table_female_hkom2_inj.U5!$A$1:$K$36,25,FALSE),0)</f>
        <v>0</v>
      </c>
      <c r="J1828">
        <f>IFERROR(HLOOKUP(J$2,[56]table_female_hkom2_inj.U5!$A$1:$K$36,25,FALSE),0)</f>
        <v>0</v>
      </c>
      <c r="K1828">
        <f>IFERROR(HLOOKUP(K$2,[56]table_female_hkom2_inj.U5!$A$1:$K$36,25,FALSE),0)</f>
        <v>0</v>
      </c>
      <c r="L1828">
        <f>IFERROR(HLOOKUP(L$2,[56]table_female_hkom2_inj.U5!$A$1:$K$36,25,FALSE),0)</f>
        <v>0</v>
      </c>
      <c r="M1828">
        <f t="shared" si="567"/>
        <v>0</v>
      </c>
      <c r="S1828" t="s">
        <v>93</v>
      </c>
      <c r="T1828" s="5">
        <f t="shared" si="568"/>
        <v>0</v>
      </c>
      <c r="U1828" s="5">
        <f t="shared" si="569"/>
        <v>0</v>
      </c>
      <c r="V1828" s="5">
        <f t="shared" si="570"/>
        <v>3.0303030303030304E-2</v>
      </c>
      <c r="W1828" s="5">
        <f t="shared" si="571"/>
        <v>3.0303030303030304E-2</v>
      </c>
      <c r="X1828" s="5">
        <f t="shared" si="572"/>
        <v>0</v>
      </c>
      <c r="Y1828" s="5">
        <f t="shared" si="573"/>
        <v>0</v>
      </c>
      <c r="Z1828" s="5">
        <f t="shared" si="574"/>
        <v>0</v>
      </c>
      <c r="AA1828" s="5">
        <f t="shared" si="575"/>
        <v>0</v>
      </c>
      <c r="AB1828" s="5">
        <f t="shared" si="576"/>
        <v>6.0606060606060608E-2</v>
      </c>
    </row>
    <row r="1829" spans="1:29" x14ac:dyDescent="0.25">
      <c r="D1829" t="s">
        <v>94</v>
      </c>
      <c r="E1829" s="64"/>
      <c r="F1829" s="64"/>
      <c r="G1829">
        <f>IFERROR(HLOOKUP(G$2,[56]table_female_hkom2_inj.U5!$A$1:$K$36,26,FALSE),0)</f>
        <v>0</v>
      </c>
      <c r="H1829">
        <f>IFERROR(HLOOKUP(H$2,[56]table_female_hkom2_inj.U5!$A$1:$K$36,26,FALSE),0)</f>
        <v>0</v>
      </c>
      <c r="I1829">
        <f>IFERROR(HLOOKUP(I$2,[56]table_female_hkom2_inj.U5!$A$1:$K$36,26,FALSE),0)</f>
        <v>0</v>
      </c>
      <c r="J1829">
        <f>IFERROR(HLOOKUP(J$2,[56]table_female_hkom2_inj.U5!$A$1:$K$36,26,FALSE),0)</f>
        <v>0</v>
      </c>
      <c r="K1829">
        <f>IFERROR(HLOOKUP(K$2,[56]table_female_hkom2_inj.U5!$A$1:$K$36,26,FALSE),0)</f>
        <v>0</v>
      </c>
      <c r="L1829">
        <f>IFERROR(HLOOKUP(L$2,[56]table_female_hkom2_inj.U5!$A$1:$K$36,26,FALSE),0)</f>
        <v>0</v>
      </c>
      <c r="M1829">
        <f t="shared" si="567"/>
        <v>0</v>
      </c>
      <c r="S1829" t="s">
        <v>94</v>
      </c>
      <c r="T1829" s="5">
        <f t="shared" si="568"/>
        <v>0</v>
      </c>
      <c r="U1829" s="5">
        <f t="shared" si="569"/>
        <v>0</v>
      </c>
      <c r="V1829" s="5">
        <f t="shared" si="570"/>
        <v>3.0303030303030304E-2</v>
      </c>
      <c r="W1829" s="5">
        <f t="shared" si="571"/>
        <v>3.0303030303030304E-2</v>
      </c>
      <c r="X1829" s="5">
        <f t="shared" si="572"/>
        <v>0</v>
      </c>
      <c r="Y1829" s="5">
        <f t="shared" si="573"/>
        <v>0</v>
      </c>
      <c r="Z1829" s="5">
        <f t="shared" si="574"/>
        <v>0</v>
      </c>
      <c r="AA1829" s="5">
        <f t="shared" si="575"/>
        <v>0</v>
      </c>
      <c r="AB1829" s="5">
        <f t="shared" si="576"/>
        <v>6.0606060606060608E-2</v>
      </c>
    </row>
    <row r="1830" spans="1:29" x14ac:dyDescent="0.25">
      <c r="D1830" t="s">
        <v>95</v>
      </c>
      <c r="E1830" s="64"/>
      <c r="F1830" s="64"/>
      <c r="G1830">
        <f>IFERROR(HLOOKUP(G$2,[56]table_female_hkom2_inj.U5!$A$1:$K$36,27,FALSE),0)</f>
        <v>0</v>
      </c>
      <c r="H1830">
        <f>IFERROR(HLOOKUP(H$2,[56]table_female_hkom2_inj.U5!$A$1:$K$36,27,FALSE),0)</f>
        <v>0</v>
      </c>
      <c r="I1830">
        <f>IFERROR(HLOOKUP(I$2,[56]table_female_hkom2_inj.U5!$A$1:$K$36,27,FALSE),0)</f>
        <v>0</v>
      </c>
      <c r="J1830">
        <f>IFERROR(HLOOKUP(J$2,[56]table_female_hkom2_inj.U5!$A$1:$K$36,27,FALSE),0)</f>
        <v>0</v>
      </c>
      <c r="K1830">
        <f>IFERROR(HLOOKUP(K$2,[56]table_female_hkom2_inj.U5!$A$1:$K$36,27,FALSE),0)</f>
        <v>0</v>
      </c>
      <c r="L1830">
        <f>IFERROR(HLOOKUP(L$2,[56]table_female_hkom2_inj.U5!$A$1:$K$36,27,FALSE),0)</f>
        <v>0</v>
      </c>
      <c r="M1830">
        <f t="shared" si="567"/>
        <v>0</v>
      </c>
      <c r="S1830" t="s">
        <v>95</v>
      </c>
      <c r="T1830" s="5">
        <f t="shared" si="568"/>
        <v>0</v>
      </c>
      <c r="U1830" s="5">
        <f t="shared" si="569"/>
        <v>0</v>
      </c>
      <c r="V1830" s="5">
        <f t="shared" si="570"/>
        <v>3.0303030303030304E-2</v>
      </c>
      <c r="W1830" s="5">
        <f t="shared" si="571"/>
        <v>3.0303030303030304E-2</v>
      </c>
      <c r="X1830" s="5">
        <f t="shared" si="572"/>
        <v>0</v>
      </c>
      <c r="Y1830" s="5">
        <f t="shared" si="573"/>
        <v>0</v>
      </c>
      <c r="Z1830" s="5">
        <f t="shared" si="574"/>
        <v>0</v>
      </c>
      <c r="AA1830" s="5">
        <f t="shared" si="575"/>
        <v>0</v>
      </c>
      <c r="AB1830" s="5">
        <f t="shared" si="576"/>
        <v>6.0606060606060608E-2</v>
      </c>
    </row>
    <row r="1831" spans="1:29" x14ac:dyDescent="0.25">
      <c r="D1831" t="s">
        <v>96</v>
      </c>
      <c r="E1831" s="64"/>
      <c r="F1831" s="64"/>
      <c r="G1831">
        <f>IFERROR(HLOOKUP(G$2,[56]table_female_hkom2_inj.U5!$A$1:$K$36,28,FALSE),0)</f>
        <v>0</v>
      </c>
      <c r="H1831">
        <f>IFERROR(HLOOKUP(H$2,[56]table_female_hkom2_inj.U5!$A$1:$K$36,28,FALSE),0)</f>
        <v>0</v>
      </c>
      <c r="I1831">
        <f>IFERROR(HLOOKUP(I$2,[56]table_female_hkom2_inj.U5!$A$1:$K$36,28,FALSE),0)</f>
        <v>0</v>
      </c>
      <c r="J1831">
        <f>IFERROR(HLOOKUP(J$2,[56]table_female_hkom2_inj.U5!$A$1:$K$36,28,FALSE),0)</f>
        <v>0</v>
      </c>
      <c r="K1831">
        <f>IFERROR(HLOOKUP(K$2,[56]table_female_hkom2_inj.U5!$A$1:$K$36,28,FALSE),0)</f>
        <v>0</v>
      </c>
      <c r="L1831">
        <f>IFERROR(HLOOKUP(L$2,[56]table_female_hkom2_inj.U5!$A$1:$K$36,28,FALSE),0)</f>
        <v>0</v>
      </c>
      <c r="M1831">
        <f t="shared" si="567"/>
        <v>0</v>
      </c>
      <c r="S1831" t="s">
        <v>96</v>
      </c>
      <c r="T1831" s="5">
        <f t="shared" si="568"/>
        <v>0</v>
      </c>
      <c r="U1831" s="5">
        <f t="shared" si="569"/>
        <v>0</v>
      </c>
      <c r="V1831" s="5">
        <f t="shared" si="570"/>
        <v>3.0303030303030304E-2</v>
      </c>
      <c r="W1831" s="5">
        <f t="shared" si="571"/>
        <v>3.0303030303030304E-2</v>
      </c>
      <c r="X1831" s="5">
        <f t="shared" si="572"/>
        <v>0</v>
      </c>
      <c r="Y1831" s="5">
        <f t="shared" si="573"/>
        <v>0</v>
      </c>
      <c r="Z1831" s="5">
        <f t="shared" si="574"/>
        <v>0</v>
      </c>
      <c r="AA1831" s="5">
        <f t="shared" si="575"/>
        <v>0</v>
      </c>
      <c r="AB1831" s="5">
        <f t="shared" si="576"/>
        <v>6.0606060606060608E-2</v>
      </c>
    </row>
    <row r="1832" spans="1:29" x14ac:dyDescent="0.25">
      <c r="D1832" t="s">
        <v>97</v>
      </c>
      <c r="E1832" s="64"/>
      <c r="F1832" s="64"/>
      <c r="G1832">
        <f>IFERROR(HLOOKUP(G$2,[56]table_female_hkom2_inj.U5!$A$1:$K$36,29,FALSE),0)</f>
        <v>0</v>
      </c>
      <c r="H1832">
        <f>IFERROR(HLOOKUP(H$2,[56]table_female_hkom2_inj.U5!$A$1:$K$36,29,FALSE),0)</f>
        <v>0</v>
      </c>
      <c r="I1832">
        <f>IFERROR(HLOOKUP(I$2,[56]table_female_hkom2_inj.U5!$A$1:$K$36,29,FALSE),0)</f>
        <v>0</v>
      </c>
      <c r="J1832">
        <f>IFERROR(HLOOKUP(J$2,[56]table_female_hkom2_inj.U5!$A$1:$K$36,29,FALSE),0)</f>
        <v>0</v>
      </c>
      <c r="K1832">
        <f>IFERROR(HLOOKUP(K$2,[56]table_female_hkom2_inj.U5!$A$1:$K$36,29,FALSE),0)</f>
        <v>0</v>
      </c>
      <c r="L1832">
        <f>IFERROR(HLOOKUP(L$2,[56]table_female_hkom2_inj.U5!$A$1:$K$36,29,FALSE),0)</f>
        <v>0</v>
      </c>
      <c r="M1832">
        <f t="shared" si="567"/>
        <v>0</v>
      </c>
      <c r="S1832" t="s">
        <v>97</v>
      </c>
      <c r="T1832" s="5">
        <f t="shared" si="568"/>
        <v>0</v>
      </c>
      <c r="U1832" s="5">
        <f t="shared" si="569"/>
        <v>0</v>
      </c>
      <c r="V1832" s="5">
        <f t="shared" si="570"/>
        <v>3.0303030303030304E-2</v>
      </c>
      <c r="W1832" s="5">
        <f t="shared" si="571"/>
        <v>3.0303030303030304E-2</v>
      </c>
      <c r="X1832" s="5">
        <f t="shared" si="572"/>
        <v>0</v>
      </c>
      <c r="Y1832" s="5">
        <f t="shared" si="573"/>
        <v>0</v>
      </c>
      <c r="Z1832" s="5">
        <f t="shared" si="574"/>
        <v>0</v>
      </c>
      <c r="AA1832" s="5">
        <f t="shared" si="575"/>
        <v>0</v>
      </c>
      <c r="AB1832" s="5">
        <f t="shared" si="576"/>
        <v>6.0606060606060608E-2</v>
      </c>
    </row>
    <row r="1833" spans="1:29" x14ac:dyDescent="0.25">
      <c r="D1833" t="s">
        <v>98</v>
      </c>
      <c r="E1833" s="64"/>
      <c r="F1833" s="64"/>
      <c r="G1833">
        <f>IFERROR(HLOOKUP(G$2,[56]table_female_hkom2_inj.U5!$A$1:$K$36,30,FALSE),0)</f>
        <v>0</v>
      </c>
      <c r="H1833">
        <f>IFERROR(HLOOKUP(H$2,[56]table_female_hkom2_inj.U5!$A$1:$K$36,30,FALSE),0)</f>
        <v>0</v>
      </c>
      <c r="I1833">
        <f>IFERROR(HLOOKUP(I$2,[56]table_female_hkom2_inj.U5!$A$1:$K$36,30,FALSE),0)</f>
        <v>0</v>
      </c>
      <c r="J1833">
        <f>IFERROR(HLOOKUP(J$2,[56]table_female_hkom2_inj.U5!$A$1:$K$36,30,FALSE),0)</f>
        <v>0</v>
      </c>
      <c r="K1833">
        <f>IFERROR(HLOOKUP(K$2,[56]table_female_hkom2_inj.U5!$A$1:$K$36,30,FALSE),0)</f>
        <v>0</v>
      </c>
      <c r="L1833">
        <f>IFERROR(HLOOKUP(L$2,[56]table_female_hkom2_inj.U5!$A$1:$K$36,30,FALSE),0)</f>
        <v>0</v>
      </c>
      <c r="M1833">
        <f t="shared" si="567"/>
        <v>0</v>
      </c>
      <c r="S1833" t="s">
        <v>98</v>
      </c>
      <c r="T1833" s="5">
        <f t="shared" si="568"/>
        <v>0</v>
      </c>
      <c r="U1833" s="5">
        <f t="shared" si="569"/>
        <v>0</v>
      </c>
      <c r="V1833" s="5">
        <f t="shared" si="570"/>
        <v>3.0303030303030304E-2</v>
      </c>
      <c r="W1833" s="5">
        <f t="shared" si="571"/>
        <v>3.0303030303030304E-2</v>
      </c>
      <c r="X1833" s="5">
        <f t="shared" si="572"/>
        <v>0</v>
      </c>
      <c r="Y1833" s="5">
        <f t="shared" si="573"/>
        <v>0</v>
      </c>
      <c r="Z1833" s="5">
        <f t="shared" si="574"/>
        <v>0</v>
      </c>
      <c r="AA1833" s="5">
        <f t="shared" si="575"/>
        <v>0</v>
      </c>
      <c r="AB1833" s="5">
        <f t="shared" si="576"/>
        <v>6.0606060606060608E-2</v>
      </c>
    </row>
    <row r="1834" spans="1:29" x14ac:dyDescent="0.25">
      <c r="D1834" t="s">
        <v>119</v>
      </c>
      <c r="E1834" s="64"/>
      <c r="F1834" s="64"/>
      <c r="G1834">
        <f>IFERROR(HLOOKUP(G$2,[56]table_female_hkom2_inj.U5!$A$1:$K$36,31,FALSE),0)</f>
        <v>0</v>
      </c>
      <c r="H1834">
        <f>IFERROR(HLOOKUP(H$2,[56]table_female_hkom2_inj.U5!$A$1:$K$36,31,FALSE),0)</f>
        <v>0</v>
      </c>
      <c r="I1834">
        <f>IFERROR(HLOOKUP(I$2,[56]table_female_hkom2_inj.U5!$A$1:$K$36,31,FALSE),0)</f>
        <v>0</v>
      </c>
      <c r="J1834">
        <f>IFERROR(HLOOKUP(J$2,[56]table_female_hkom2_inj.U5!$A$1:$K$36,31,FALSE),0)</f>
        <v>0</v>
      </c>
      <c r="K1834">
        <f>IFERROR(HLOOKUP(K$2,[56]table_female_hkom2_inj.U5!$A$1:$K$36,31,FALSE),0)</f>
        <v>0</v>
      </c>
      <c r="L1834">
        <f>IFERROR(HLOOKUP(L$2,[56]table_female_hkom2_inj.U5!$A$1:$K$36,31,FALSE),0)</f>
        <v>0</v>
      </c>
      <c r="M1834">
        <f t="shared" si="567"/>
        <v>0</v>
      </c>
      <c r="S1834" t="s">
        <v>119</v>
      </c>
      <c r="T1834" s="5">
        <f t="shared" si="568"/>
        <v>0</v>
      </c>
      <c r="U1834" s="5">
        <f t="shared" si="569"/>
        <v>0</v>
      </c>
      <c r="V1834" s="5">
        <f t="shared" si="570"/>
        <v>3.0303030303030304E-2</v>
      </c>
      <c r="W1834" s="5">
        <f t="shared" si="571"/>
        <v>3.0303030303030304E-2</v>
      </c>
      <c r="X1834" s="5">
        <f t="shared" si="572"/>
        <v>0</v>
      </c>
      <c r="Y1834" s="5">
        <f t="shared" si="573"/>
        <v>0</v>
      </c>
      <c r="Z1834" s="5">
        <f t="shared" si="574"/>
        <v>0</v>
      </c>
      <c r="AA1834" s="5">
        <f t="shared" si="575"/>
        <v>0</v>
      </c>
      <c r="AB1834" s="5">
        <f t="shared" si="576"/>
        <v>6.0606060606060608E-2</v>
      </c>
    </row>
    <row r="1835" spans="1:29" x14ac:dyDescent="0.25">
      <c r="D1835" t="s">
        <v>99</v>
      </c>
      <c r="E1835" s="64"/>
      <c r="F1835" s="64"/>
      <c r="G1835">
        <f>IFERROR(HLOOKUP(G$2,[56]table_female_hkom2_inj.U5!$A$1:$K$36,32,FALSE),0)</f>
        <v>0</v>
      </c>
      <c r="H1835">
        <f>IFERROR(HLOOKUP(H$2,[56]table_female_hkom2_inj.U5!$A$1:$K$36,32,FALSE),0)</f>
        <v>0</v>
      </c>
      <c r="I1835">
        <f>IFERROR(HLOOKUP(I$2,[56]table_female_hkom2_inj.U5!$A$1:$K$36,32,FALSE),0)</f>
        <v>0</v>
      </c>
      <c r="J1835">
        <f>IFERROR(HLOOKUP(J$2,[56]table_female_hkom2_inj.U5!$A$1:$K$36,32,FALSE),0)</f>
        <v>0</v>
      </c>
      <c r="K1835">
        <f>IFERROR(HLOOKUP(K$2,[56]table_female_hkom2_inj.U5!$A$1:$K$36,32,FALSE),0)</f>
        <v>0</v>
      </c>
      <c r="L1835">
        <f>IFERROR(HLOOKUP(L$2,[56]table_female_hkom2_inj.U5!$A$1:$K$36,32,FALSE),0)</f>
        <v>0</v>
      </c>
      <c r="M1835">
        <f t="shared" si="567"/>
        <v>0</v>
      </c>
      <c r="S1835" t="s">
        <v>99</v>
      </c>
      <c r="T1835" s="5">
        <f t="shared" si="568"/>
        <v>0</v>
      </c>
      <c r="U1835" s="5">
        <f t="shared" si="569"/>
        <v>0</v>
      </c>
      <c r="V1835" s="5">
        <f t="shared" si="570"/>
        <v>3.0303030303030304E-2</v>
      </c>
      <c r="W1835" s="5">
        <f t="shared" si="571"/>
        <v>3.0303030303030304E-2</v>
      </c>
      <c r="X1835" s="5">
        <f t="shared" si="572"/>
        <v>0</v>
      </c>
      <c r="Y1835" s="5">
        <f t="shared" si="573"/>
        <v>0</v>
      </c>
      <c r="Z1835" s="5">
        <f t="shared" si="574"/>
        <v>0</v>
      </c>
      <c r="AA1835" s="5">
        <f t="shared" si="575"/>
        <v>0</v>
      </c>
      <c r="AB1835" s="5">
        <f t="shared" si="576"/>
        <v>6.0606060606060608E-2</v>
      </c>
    </row>
    <row r="1836" spans="1:29" x14ac:dyDescent="0.25">
      <c r="D1836" t="s">
        <v>100</v>
      </c>
      <c r="E1836" s="64"/>
      <c r="F1836" s="64"/>
      <c r="G1836">
        <f>IFERROR(HLOOKUP(G$2,[56]table_female_hkom2_inj.U5!$A$1:$K$36,33,FALSE),0)</f>
        <v>0</v>
      </c>
      <c r="H1836">
        <f>IFERROR(HLOOKUP(H$2,[56]table_female_hkom2_inj.U5!$A$1:$K$36,33,FALSE),0)</f>
        <v>0</v>
      </c>
      <c r="I1836">
        <f>IFERROR(HLOOKUP(I$2,[56]table_female_hkom2_inj.U5!$A$1:$K$36,33,FALSE),0)</f>
        <v>0</v>
      </c>
      <c r="J1836">
        <f>IFERROR(HLOOKUP(J$2,[56]table_female_hkom2_inj.U5!$A$1:$K$36,33,FALSE),0)</f>
        <v>0</v>
      </c>
      <c r="K1836">
        <f>IFERROR(HLOOKUP(K$2,[56]table_female_hkom2_inj.U5!$A$1:$K$36,33,FALSE),0)</f>
        <v>0</v>
      </c>
      <c r="L1836">
        <f>IFERROR(HLOOKUP(L$2,[56]table_female_hkom2_inj.U5!$A$1:$K$36,33,FALSE),0)</f>
        <v>0</v>
      </c>
      <c r="M1836">
        <f t="shared" si="567"/>
        <v>0</v>
      </c>
      <c r="S1836" t="s">
        <v>100</v>
      </c>
      <c r="T1836" s="5">
        <f t="shared" si="568"/>
        <v>0</v>
      </c>
      <c r="U1836" s="5">
        <f t="shared" si="569"/>
        <v>0</v>
      </c>
      <c r="V1836" s="5">
        <f t="shared" si="570"/>
        <v>3.0303030303030304E-2</v>
      </c>
      <c r="W1836" s="5">
        <f t="shared" si="571"/>
        <v>3.0303030303030304E-2</v>
      </c>
      <c r="X1836" s="5">
        <f t="shared" si="572"/>
        <v>0</v>
      </c>
      <c r="Y1836" s="5">
        <f t="shared" si="573"/>
        <v>0</v>
      </c>
      <c r="Z1836" s="5">
        <f t="shared" si="574"/>
        <v>0</v>
      </c>
      <c r="AA1836" s="5">
        <f t="shared" si="575"/>
        <v>0</v>
      </c>
      <c r="AB1836" s="5">
        <f t="shared" si="576"/>
        <v>6.0606060606060608E-2</v>
      </c>
    </row>
    <row r="1837" spans="1:29" x14ac:dyDescent="0.25">
      <c r="D1837" t="s">
        <v>101</v>
      </c>
      <c r="E1837" s="64"/>
      <c r="F1837" s="64"/>
      <c r="G1837">
        <f>IFERROR(HLOOKUP(G$2,[56]table_female_hkom2_inj.U5!$A$1:$K$36,34,FALSE),0)</f>
        <v>0</v>
      </c>
      <c r="H1837">
        <f>IFERROR(HLOOKUP(H$2,[56]table_female_hkom2_inj.U5!$A$1:$K$36,34,FALSE),0)</f>
        <v>0</v>
      </c>
      <c r="I1837">
        <f>IFERROR(HLOOKUP(I$2,[56]table_female_hkom2_inj.U5!$A$1:$K$36,34,FALSE),0)</f>
        <v>0</v>
      </c>
      <c r="J1837">
        <f>IFERROR(HLOOKUP(J$2,[56]table_female_hkom2_inj.U5!$A$1:$K$36,34,FALSE),0)</f>
        <v>0</v>
      </c>
      <c r="K1837">
        <f>IFERROR(HLOOKUP(K$2,[56]table_female_hkom2_inj.U5!$A$1:$K$36,34,FALSE),0)</f>
        <v>0</v>
      </c>
      <c r="L1837">
        <f>IFERROR(HLOOKUP(L$2,[56]table_female_hkom2_inj.U5!$A$1:$K$36,34,FALSE),0)</f>
        <v>0</v>
      </c>
      <c r="M1837">
        <f t="shared" si="567"/>
        <v>0</v>
      </c>
      <c r="S1837" t="s">
        <v>101</v>
      </c>
      <c r="T1837" s="5">
        <f t="shared" si="568"/>
        <v>0</v>
      </c>
      <c r="U1837" s="5">
        <f t="shared" si="569"/>
        <v>0</v>
      </c>
      <c r="V1837" s="5">
        <f t="shared" si="570"/>
        <v>3.0303030303030304E-2</v>
      </c>
      <c r="W1837" s="5">
        <f t="shared" si="571"/>
        <v>3.0303030303030304E-2</v>
      </c>
      <c r="X1837" s="5">
        <f t="shared" si="572"/>
        <v>0</v>
      </c>
      <c r="Y1837" s="5">
        <f t="shared" si="573"/>
        <v>0</v>
      </c>
      <c r="Z1837" s="5">
        <f t="shared" si="574"/>
        <v>0</v>
      </c>
      <c r="AA1837" s="5">
        <f t="shared" si="575"/>
        <v>0</v>
      </c>
      <c r="AB1837" s="5">
        <f t="shared" si="576"/>
        <v>6.0606060606060608E-2</v>
      </c>
    </row>
    <row r="1838" spans="1:29" x14ac:dyDescent="0.25">
      <c r="D1838" t="s">
        <v>102</v>
      </c>
      <c r="E1838" s="64"/>
      <c r="F1838" s="64"/>
      <c r="G1838">
        <f>IFERROR(HLOOKUP(G$2,[56]table_female_hkom2_inj.U5!$A$1:$K$36,35,FALSE),0)</f>
        <v>1</v>
      </c>
      <c r="H1838">
        <f>IFERROR(HLOOKUP(H$2,[56]table_female_hkom2_inj.U5!$A$1:$K$36,35,FALSE),0)</f>
        <v>1</v>
      </c>
      <c r="I1838">
        <f>IFERROR(HLOOKUP(I$2,[56]table_female_hkom2_inj.U5!$A$1:$K$36,35,FALSE),0)</f>
        <v>0</v>
      </c>
      <c r="J1838">
        <f>IFERROR(HLOOKUP(J$2,[56]table_female_hkom2_inj.U5!$A$1:$K$36,35,FALSE),0)</f>
        <v>0</v>
      </c>
      <c r="K1838">
        <f>IFERROR(HLOOKUP(K$2,[56]table_female_hkom2_inj.U5!$A$1:$K$36,35,FALSE),0)</f>
        <v>0</v>
      </c>
      <c r="L1838">
        <f>IFERROR(HLOOKUP(L$2,[56]table_female_hkom2_inj.U5!$A$1:$K$36,35,FALSE),0)</f>
        <v>0</v>
      </c>
      <c r="M1838">
        <f t="shared" si="567"/>
        <v>2</v>
      </c>
      <c r="N1838">
        <f>SUM(M1805:M1838)</f>
        <v>2</v>
      </c>
      <c r="O1838" s="8">
        <f>SUM([56]table_female_hkom2_inj.U5!$B$2:$L$36)</f>
        <v>2</v>
      </c>
      <c r="S1838" t="s">
        <v>102</v>
      </c>
      <c r="T1838" s="7"/>
      <c r="U1838" s="7"/>
      <c r="V1838" s="7"/>
      <c r="W1838" s="7"/>
      <c r="X1838" s="7"/>
      <c r="Y1838" s="7"/>
      <c r="Z1838" s="7"/>
      <c r="AA1838" s="7"/>
      <c r="AB1838" s="5">
        <f t="shared" si="576"/>
        <v>0</v>
      </c>
      <c r="AC1838" s="5">
        <f>SUM(AB1805:AB1837)</f>
        <v>1.9999999999999987</v>
      </c>
    </row>
    <row r="1839" spans="1:29" x14ac:dyDescent="0.25">
      <c r="A1839" t="s">
        <v>115</v>
      </c>
      <c r="B1839" t="s">
        <v>116</v>
      </c>
      <c r="C1839" t="s">
        <v>114</v>
      </c>
      <c r="D1839" t="s">
        <v>70</v>
      </c>
      <c r="E1839" s="64"/>
      <c r="F1839" s="64"/>
      <c r="G1839">
        <f>IFERROR(HLOOKUP(G$2,[57]table_female_hkom2_inj.U6!$A$1:$K$36,2,FALSE),0)</f>
        <v>0</v>
      </c>
      <c r="H1839">
        <f>IFERROR(HLOOKUP(H$2,[57]table_female_hkom2_inj.U6!$A$1:$K$36,2,FALSE),0)</f>
        <v>1</v>
      </c>
      <c r="I1839">
        <f>IFERROR(HLOOKUP(I$2,[57]table_female_hkom2_inj.U6!$A$1:$K$36,2,FALSE),0)</f>
        <v>0</v>
      </c>
      <c r="J1839">
        <f>IFERROR(HLOOKUP(J$2,[57]table_female_hkom2_inj.U6!$A$1:$K$36,2,FALSE),0)</f>
        <v>0</v>
      </c>
      <c r="K1839">
        <f>IFERROR(HLOOKUP(K$2,[57]table_female_hkom2_inj.U6!$A$1:$K$36,2,FALSE),0)</f>
        <v>0</v>
      </c>
      <c r="L1839">
        <f>IFERROR(HLOOKUP(L$2,[57]table_female_hkom2_inj.U6!$A$1:$K$36,2,FALSE),0)</f>
        <v>0</v>
      </c>
      <c r="M1839">
        <f>SUM(E1839:L1839)</f>
        <v>1</v>
      </c>
      <c r="P1839" t="s">
        <v>115</v>
      </c>
      <c r="Q1839" t="s">
        <v>116</v>
      </c>
      <c r="R1839" t="s">
        <v>114</v>
      </c>
      <c r="S1839" t="s">
        <v>70</v>
      </c>
      <c r="T1839" s="5">
        <f>IF(SUM(E$1839:E$1871)=0,E$1872/33,E1839+IFERROR(E1839/SUM(E$1839:E$1871)*E$1872,0))</f>
        <v>0</v>
      </c>
      <c r="U1839" s="5">
        <f t="shared" ref="U1839:AA1839" si="577">IF(SUM(F$1839:F$1871)=0,F$1872/33,F1839+IFERROR(F1839/SUM(F$1839:F$1871)*F$1872,0))</f>
        <v>0</v>
      </c>
      <c r="V1839" s="5">
        <f t="shared" si="577"/>
        <v>0</v>
      </c>
      <c r="W1839" s="5">
        <f t="shared" si="577"/>
        <v>5.2142857142857135</v>
      </c>
      <c r="X1839" s="5">
        <f t="shared" si="577"/>
        <v>0</v>
      </c>
      <c r="Y1839" s="5">
        <f t="shared" si="577"/>
        <v>0</v>
      </c>
      <c r="Z1839" s="5">
        <f t="shared" si="577"/>
        <v>0</v>
      </c>
      <c r="AA1839" s="5">
        <f t="shared" si="577"/>
        <v>3.0303030303030304E-2</v>
      </c>
      <c r="AB1839" s="5">
        <f t="shared" si="576"/>
        <v>5.2445887445887438</v>
      </c>
    </row>
    <row r="1840" spans="1:29" x14ac:dyDescent="0.25">
      <c r="D1840" t="s">
        <v>71</v>
      </c>
      <c r="E1840" s="64"/>
      <c r="F1840" s="64"/>
      <c r="G1840">
        <f>IFERROR(HLOOKUP(G$2,[57]table_female_hkom2_inj.U6!$A$1:$K$36,3,FALSE),0)</f>
        <v>2</v>
      </c>
      <c r="H1840">
        <f>IFERROR(HLOOKUP(H$2,[57]table_female_hkom2_inj.U6!$A$1:$K$36,3,FALSE),0)</f>
        <v>3</v>
      </c>
      <c r="I1840">
        <f>IFERROR(HLOOKUP(I$2,[57]table_female_hkom2_inj.U6!$A$1:$K$36,3,FALSE),0)</f>
        <v>3</v>
      </c>
      <c r="J1840">
        <f>IFERROR(HLOOKUP(J$2,[57]table_female_hkom2_inj.U6!$A$1:$K$36,3,FALSE),0)</f>
        <v>0</v>
      </c>
      <c r="K1840">
        <f>IFERROR(HLOOKUP(K$2,[57]table_female_hkom2_inj.U6!$A$1:$K$36,3,FALSE),0)</f>
        <v>1</v>
      </c>
      <c r="L1840">
        <f>IFERROR(HLOOKUP(L$2,[57]table_female_hkom2_inj.U6!$A$1:$K$36,3,FALSE),0)</f>
        <v>0</v>
      </c>
      <c r="M1840">
        <f t="shared" ref="M1840:M1872" si="578">SUM(E1840:L1840)</f>
        <v>9</v>
      </c>
      <c r="S1840" t="s">
        <v>71</v>
      </c>
      <c r="T1840" s="5">
        <f t="shared" ref="T1840:T1871" si="579">IF(SUM(E$1839:E$1871)=0,E$1872/33,E1840+IFERROR(E1840/SUM(E$1839:E$1871)*E$1872,0))</f>
        <v>0</v>
      </c>
      <c r="U1840" s="5">
        <f t="shared" ref="U1840:U1871" si="580">IF(SUM(F$1839:F$1871)=0,F$1872/33,F1840+IFERROR(F1840/SUM(F$1839:F$1871)*F$1872,0))</f>
        <v>0</v>
      </c>
      <c r="V1840" s="5">
        <f t="shared" ref="V1840:V1871" si="581">IF(SUM(G$1839:G$1871)=0,G$1872/33,G1840+IFERROR(G1840/SUM(G$1839:G$1871)*G$1872,0))</f>
        <v>6.9767441860465116</v>
      </c>
      <c r="W1840" s="5">
        <f t="shared" ref="W1840:W1871" si="582">IF(SUM(H$1839:H$1871)=0,H$1872/33,H1840+IFERROR(H1840/SUM(H$1839:H$1871)*H$1872,0))</f>
        <v>15.642857142857142</v>
      </c>
      <c r="X1840" s="5">
        <f t="shared" ref="X1840:X1871" si="583">IF(SUM(I$1839:I$1871)=0,I$1872/33,I1840+IFERROR(I1840/SUM(I$1839:I$1871)*I$1872,0))</f>
        <v>17.149253731343283</v>
      </c>
      <c r="Y1840" s="5">
        <f t="shared" ref="Y1840:Y1871" si="584">IF(SUM(J$1839:J$1871)=0,J$1872/33,J1840+IFERROR(J1840/SUM(J$1839:J$1871)*J$1872,0))</f>
        <v>0</v>
      </c>
      <c r="Z1840" s="5">
        <f t="shared" ref="Z1840:Z1871" si="585">IF(SUM(K$1839:K$1871)=0,K$1872/33,K1840+IFERROR(K1840/SUM(K$1839:K$1871)*K$1872,0))</f>
        <v>3.333333333333333</v>
      </c>
      <c r="AA1840" s="5">
        <f t="shared" ref="AA1840:AA1871" si="586">IF(SUM(L$1839:L$1871)=0,L$1872/33,L1840+IFERROR(L1840/SUM(L$1839:L$1871)*L$1872,0))</f>
        <v>3.0303030303030304E-2</v>
      </c>
      <c r="AB1840" s="5">
        <f t="shared" si="576"/>
        <v>43.132491423883302</v>
      </c>
    </row>
    <row r="1841" spans="4:28" x14ac:dyDescent="0.25">
      <c r="D1841" t="s">
        <v>72</v>
      </c>
      <c r="E1841" s="64"/>
      <c r="F1841" s="64"/>
      <c r="G1841">
        <f>IFERROR(HLOOKUP(G$2,[57]table_female_hkom2_inj.U6!$A$1:$K$36,4,FALSE),0)</f>
        <v>1</v>
      </c>
      <c r="H1841">
        <f>IFERROR(HLOOKUP(H$2,[57]table_female_hkom2_inj.U6!$A$1:$K$36,4,FALSE),0)</f>
        <v>3</v>
      </c>
      <c r="I1841">
        <f>IFERROR(HLOOKUP(I$2,[57]table_female_hkom2_inj.U6!$A$1:$K$36,4,FALSE),0)</f>
        <v>0</v>
      </c>
      <c r="J1841">
        <f>IFERROR(HLOOKUP(J$2,[57]table_female_hkom2_inj.U6!$A$1:$K$36,4,FALSE),0)</f>
        <v>2</v>
      </c>
      <c r="K1841">
        <f>IFERROR(HLOOKUP(K$2,[57]table_female_hkom2_inj.U6!$A$1:$K$36,4,FALSE),0)</f>
        <v>0</v>
      </c>
      <c r="L1841">
        <f>IFERROR(HLOOKUP(L$2,[57]table_female_hkom2_inj.U6!$A$1:$K$36,4,FALSE),0)</f>
        <v>0</v>
      </c>
      <c r="M1841">
        <f t="shared" si="578"/>
        <v>6</v>
      </c>
      <c r="S1841" t="s">
        <v>72</v>
      </c>
      <c r="T1841" s="5">
        <f t="shared" si="579"/>
        <v>0</v>
      </c>
      <c r="U1841" s="5">
        <f t="shared" si="580"/>
        <v>0</v>
      </c>
      <c r="V1841" s="5">
        <f t="shared" si="581"/>
        <v>3.4883720930232558</v>
      </c>
      <c r="W1841" s="5">
        <f t="shared" si="582"/>
        <v>15.642857142857142</v>
      </c>
      <c r="X1841" s="5">
        <f t="shared" si="583"/>
        <v>0</v>
      </c>
      <c r="Y1841" s="5">
        <f t="shared" si="584"/>
        <v>11.75</v>
      </c>
      <c r="Z1841" s="5">
        <f t="shared" si="585"/>
        <v>0</v>
      </c>
      <c r="AA1841" s="5">
        <f t="shared" si="586"/>
        <v>3.0303030303030304E-2</v>
      </c>
      <c r="AB1841" s="5">
        <f t="shared" si="576"/>
        <v>30.911532266183428</v>
      </c>
    </row>
    <row r="1842" spans="4:28" x14ac:dyDescent="0.25">
      <c r="D1842" t="s">
        <v>73</v>
      </c>
      <c r="E1842" s="64"/>
      <c r="F1842" s="64"/>
      <c r="G1842">
        <f>IFERROR(HLOOKUP(G$2,[57]table_female_hkom2_inj.U6!$A$1:$K$36,5,FALSE),0)</f>
        <v>1</v>
      </c>
      <c r="H1842">
        <f>IFERROR(HLOOKUP(H$2,[57]table_female_hkom2_inj.U6!$A$1:$K$36,5,FALSE),0)</f>
        <v>0</v>
      </c>
      <c r="I1842">
        <f>IFERROR(HLOOKUP(I$2,[57]table_female_hkom2_inj.U6!$A$1:$K$36,5,FALSE),0)</f>
        <v>0</v>
      </c>
      <c r="J1842">
        <f>IFERROR(HLOOKUP(J$2,[57]table_female_hkom2_inj.U6!$A$1:$K$36,5,FALSE),0)</f>
        <v>0</v>
      </c>
      <c r="K1842">
        <f>IFERROR(HLOOKUP(K$2,[57]table_female_hkom2_inj.U6!$A$1:$K$36,5,FALSE),0)</f>
        <v>0</v>
      </c>
      <c r="L1842">
        <f>IFERROR(HLOOKUP(L$2,[57]table_female_hkom2_inj.U6!$A$1:$K$36,5,FALSE),0)</f>
        <v>0</v>
      </c>
      <c r="M1842">
        <f t="shared" si="578"/>
        <v>1</v>
      </c>
      <c r="S1842" t="s">
        <v>73</v>
      </c>
      <c r="T1842" s="5">
        <f t="shared" si="579"/>
        <v>0</v>
      </c>
      <c r="U1842" s="5">
        <f t="shared" si="580"/>
        <v>0</v>
      </c>
      <c r="V1842" s="5">
        <f t="shared" si="581"/>
        <v>3.4883720930232558</v>
      </c>
      <c r="W1842" s="5">
        <f t="shared" si="582"/>
        <v>0</v>
      </c>
      <c r="X1842" s="5">
        <f t="shared" si="583"/>
        <v>0</v>
      </c>
      <c r="Y1842" s="5">
        <f t="shared" si="584"/>
        <v>0</v>
      </c>
      <c r="Z1842" s="5">
        <f t="shared" si="585"/>
        <v>0</v>
      </c>
      <c r="AA1842" s="5">
        <f t="shared" si="586"/>
        <v>3.0303030303030304E-2</v>
      </c>
      <c r="AB1842" s="5">
        <f t="shared" si="576"/>
        <v>3.5186751233262861</v>
      </c>
    </row>
    <row r="1843" spans="4:28" x14ac:dyDescent="0.25">
      <c r="D1843" t="s">
        <v>74</v>
      </c>
      <c r="E1843" s="64"/>
      <c r="F1843" s="64"/>
      <c r="G1843">
        <f>IFERROR(HLOOKUP(G$2,[57]table_female_hkom2_inj.U6!$A$1:$K$36,6,FALSE),0)</f>
        <v>0</v>
      </c>
      <c r="H1843">
        <f>IFERROR(HLOOKUP(H$2,[57]table_female_hkom2_inj.U6!$A$1:$K$36,6,FALSE),0)</f>
        <v>0</v>
      </c>
      <c r="I1843">
        <f>IFERROR(HLOOKUP(I$2,[57]table_female_hkom2_inj.U6!$A$1:$K$36,6,FALSE),0)</f>
        <v>0</v>
      </c>
      <c r="J1843">
        <f>IFERROR(HLOOKUP(J$2,[57]table_female_hkom2_inj.U6!$A$1:$K$36,6,FALSE),0)</f>
        <v>0</v>
      </c>
      <c r="K1843">
        <f>IFERROR(HLOOKUP(K$2,[57]table_female_hkom2_inj.U6!$A$1:$K$36,6,FALSE),0)</f>
        <v>0</v>
      </c>
      <c r="L1843">
        <f>IFERROR(HLOOKUP(L$2,[57]table_female_hkom2_inj.U6!$A$1:$K$36,6,FALSE),0)</f>
        <v>0</v>
      </c>
      <c r="M1843">
        <f t="shared" si="578"/>
        <v>0</v>
      </c>
      <c r="S1843" t="s">
        <v>74</v>
      </c>
      <c r="T1843" s="5">
        <f t="shared" si="579"/>
        <v>0</v>
      </c>
      <c r="U1843" s="5">
        <f t="shared" si="580"/>
        <v>0</v>
      </c>
      <c r="V1843" s="5">
        <f t="shared" si="581"/>
        <v>0</v>
      </c>
      <c r="W1843" s="5">
        <f t="shared" si="582"/>
        <v>0</v>
      </c>
      <c r="X1843" s="5">
        <f t="shared" si="583"/>
        <v>0</v>
      </c>
      <c r="Y1843" s="5">
        <f t="shared" si="584"/>
        <v>0</v>
      </c>
      <c r="Z1843" s="5">
        <f t="shared" si="585"/>
        <v>0</v>
      </c>
      <c r="AA1843" s="5">
        <f t="shared" si="586"/>
        <v>3.0303030303030304E-2</v>
      </c>
      <c r="AB1843" s="5">
        <f t="shared" si="576"/>
        <v>3.0303030303030304E-2</v>
      </c>
    </row>
    <row r="1844" spans="4:28" x14ac:dyDescent="0.25">
      <c r="D1844" t="s">
        <v>75</v>
      </c>
      <c r="E1844" s="64"/>
      <c r="F1844" s="64"/>
      <c r="G1844">
        <f>IFERROR(HLOOKUP(G$2,[57]table_female_hkom2_inj.U6!$A$1:$K$36,7,FALSE),0)</f>
        <v>0</v>
      </c>
      <c r="H1844">
        <f>IFERROR(HLOOKUP(H$2,[57]table_female_hkom2_inj.U6!$A$1:$K$36,7,FALSE),0)</f>
        <v>1</v>
      </c>
      <c r="I1844">
        <f>IFERROR(HLOOKUP(I$2,[57]table_female_hkom2_inj.U6!$A$1:$K$36,7,FALSE),0)</f>
        <v>0</v>
      </c>
      <c r="J1844">
        <f>IFERROR(HLOOKUP(J$2,[57]table_female_hkom2_inj.U6!$A$1:$K$36,7,FALSE),0)</f>
        <v>0</v>
      </c>
      <c r="K1844">
        <f>IFERROR(HLOOKUP(K$2,[57]table_female_hkom2_inj.U6!$A$1:$K$36,7,FALSE),0)</f>
        <v>0</v>
      </c>
      <c r="L1844">
        <f>IFERROR(HLOOKUP(L$2,[57]table_female_hkom2_inj.U6!$A$1:$K$36,7,FALSE),0)</f>
        <v>0</v>
      </c>
      <c r="M1844">
        <f t="shared" si="578"/>
        <v>1</v>
      </c>
      <c r="S1844" t="s">
        <v>75</v>
      </c>
      <c r="T1844" s="5">
        <f t="shared" si="579"/>
        <v>0</v>
      </c>
      <c r="U1844" s="5">
        <f t="shared" si="580"/>
        <v>0</v>
      </c>
      <c r="V1844" s="5">
        <f t="shared" si="581"/>
        <v>0</v>
      </c>
      <c r="W1844" s="5">
        <f t="shared" si="582"/>
        <v>5.2142857142857135</v>
      </c>
      <c r="X1844" s="5">
        <f t="shared" si="583"/>
        <v>0</v>
      </c>
      <c r="Y1844" s="5">
        <f t="shared" si="584"/>
        <v>0</v>
      </c>
      <c r="Z1844" s="5">
        <f t="shared" si="585"/>
        <v>0</v>
      </c>
      <c r="AA1844" s="5">
        <f t="shared" si="586"/>
        <v>3.0303030303030304E-2</v>
      </c>
      <c r="AB1844" s="5">
        <f t="shared" si="576"/>
        <v>5.2445887445887438</v>
      </c>
    </row>
    <row r="1845" spans="4:28" x14ac:dyDescent="0.25">
      <c r="D1845" t="s">
        <v>76</v>
      </c>
      <c r="E1845" s="64"/>
      <c r="F1845" s="64"/>
      <c r="G1845">
        <f>IFERROR(HLOOKUP(G$2,[57]table_female_hkom2_inj.U6!$A$1:$K$36,8,FALSE),0)</f>
        <v>0</v>
      </c>
      <c r="H1845">
        <f>IFERROR(HLOOKUP(H$2,[57]table_female_hkom2_inj.U6!$A$1:$K$36,8,FALSE),0)</f>
        <v>1</v>
      </c>
      <c r="I1845">
        <f>IFERROR(HLOOKUP(I$2,[57]table_female_hkom2_inj.U6!$A$1:$K$36,8,FALSE),0)</f>
        <v>1</v>
      </c>
      <c r="J1845">
        <f>IFERROR(HLOOKUP(J$2,[57]table_female_hkom2_inj.U6!$A$1:$K$36,8,FALSE),0)</f>
        <v>1</v>
      </c>
      <c r="K1845">
        <f>IFERROR(HLOOKUP(K$2,[57]table_female_hkom2_inj.U6!$A$1:$K$36,8,FALSE),0)</f>
        <v>0</v>
      </c>
      <c r="L1845">
        <f>IFERROR(HLOOKUP(L$2,[57]table_female_hkom2_inj.U6!$A$1:$K$36,8,FALSE),0)</f>
        <v>0</v>
      </c>
      <c r="M1845">
        <f t="shared" si="578"/>
        <v>3</v>
      </c>
      <c r="S1845" t="s">
        <v>76</v>
      </c>
      <c r="T1845" s="5">
        <f t="shared" si="579"/>
        <v>0</v>
      </c>
      <c r="U1845" s="5">
        <f t="shared" si="580"/>
        <v>0</v>
      </c>
      <c r="V1845" s="5">
        <f t="shared" si="581"/>
        <v>0</v>
      </c>
      <c r="W1845" s="5">
        <f t="shared" si="582"/>
        <v>5.2142857142857135</v>
      </c>
      <c r="X1845" s="5">
        <f t="shared" si="583"/>
        <v>5.7164179104477615</v>
      </c>
      <c r="Y1845" s="5">
        <f t="shared" si="584"/>
        <v>5.875</v>
      </c>
      <c r="Z1845" s="5">
        <f t="shared" si="585"/>
        <v>0</v>
      </c>
      <c r="AA1845" s="5">
        <f t="shared" si="586"/>
        <v>3.0303030303030304E-2</v>
      </c>
      <c r="AB1845" s="5">
        <f t="shared" si="576"/>
        <v>16.836006655036506</v>
      </c>
    </row>
    <row r="1846" spans="4:28" x14ac:dyDescent="0.25">
      <c r="D1846" t="s">
        <v>77</v>
      </c>
      <c r="E1846" s="64"/>
      <c r="F1846" s="64"/>
      <c r="G1846">
        <f>IFERROR(HLOOKUP(G$2,[57]table_female_hkom2_inj.U6!$A$1:$K$36,9,FALSE),0)</f>
        <v>0</v>
      </c>
      <c r="H1846">
        <f>IFERROR(HLOOKUP(H$2,[57]table_female_hkom2_inj.U6!$A$1:$K$36,9,FALSE),0)</f>
        <v>0</v>
      </c>
      <c r="I1846">
        <f>IFERROR(HLOOKUP(I$2,[57]table_female_hkom2_inj.U6!$A$1:$K$36,9,FALSE),0)</f>
        <v>1</v>
      </c>
      <c r="J1846">
        <f>IFERROR(HLOOKUP(J$2,[57]table_female_hkom2_inj.U6!$A$1:$K$36,9,FALSE),0)</f>
        <v>0</v>
      </c>
      <c r="K1846">
        <f>IFERROR(HLOOKUP(K$2,[57]table_female_hkom2_inj.U6!$A$1:$K$36,9,FALSE),0)</f>
        <v>0</v>
      </c>
      <c r="L1846">
        <f>IFERROR(HLOOKUP(L$2,[57]table_female_hkom2_inj.U6!$A$1:$K$36,9,FALSE),0)</f>
        <v>0</v>
      </c>
      <c r="M1846">
        <f t="shared" si="578"/>
        <v>1</v>
      </c>
      <c r="S1846" t="s">
        <v>77</v>
      </c>
      <c r="T1846" s="5">
        <f t="shared" si="579"/>
        <v>0</v>
      </c>
      <c r="U1846" s="5">
        <f t="shared" si="580"/>
        <v>0</v>
      </c>
      <c r="V1846" s="5">
        <f t="shared" si="581"/>
        <v>0</v>
      </c>
      <c r="W1846" s="5">
        <f t="shared" si="582"/>
        <v>0</v>
      </c>
      <c r="X1846" s="5">
        <f t="shared" si="583"/>
        <v>5.7164179104477615</v>
      </c>
      <c r="Y1846" s="5">
        <f t="shared" si="584"/>
        <v>0</v>
      </c>
      <c r="Z1846" s="5">
        <f t="shared" si="585"/>
        <v>0</v>
      </c>
      <c r="AA1846" s="5">
        <f t="shared" si="586"/>
        <v>3.0303030303030304E-2</v>
      </c>
      <c r="AB1846" s="5">
        <f t="shared" si="576"/>
        <v>5.7467209407507918</v>
      </c>
    </row>
    <row r="1847" spans="4:28" x14ac:dyDescent="0.25">
      <c r="D1847" t="s">
        <v>78</v>
      </c>
      <c r="E1847" s="64"/>
      <c r="F1847" s="64"/>
      <c r="G1847">
        <f>IFERROR(HLOOKUP(G$2,[57]table_female_hkom2_inj.U6!$A$1:$K$36,10,FALSE),0)</f>
        <v>2</v>
      </c>
      <c r="H1847">
        <f>IFERROR(HLOOKUP(H$2,[57]table_female_hkom2_inj.U6!$A$1:$K$36,10,FALSE),0)</f>
        <v>7</v>
      </c>
      <c r="I1847">
        <f>IFERROR(HLOOKUP(I$2,[57]table_female_hkom2_inj.U6!$A$1:$K$36,10,FALSE),0)</f>
        <v>8</v>
      </c>
      <c r="J1847">
        <f>IFERROR(HLOOKUP(J$2,[57]table_female_hkom2_inj.U6!$A$1:$K$36,10,FALSE),0)</f>
        <v>0</v>
      </c>
      <c r="K1847">
        <f>IFERROR(HLOOKUP(K$2,[57]table_female_hkom2_inj.U6!$A$1:$K$36,10,FALSE),0)</f>
        <v>0</v>
      </c>
      <c r="L1847">
        <f>IFERROR(HLOOKUP(L$2,[57]table_female_hkom2_inj.U6!$A$1:$K$36,10,FALSE),0)</f>
        <v>0</v>
      </c>
      <c r="M1847">
        <f t="shared" si="578"/>
        <v>17</v>
      </c>
      <c r="S1847" t="s">
        <v>78</v>
      </c>
      <c r="T1847" s="5">
        <f t="shared" si="579"/>
        <v>0</v>
      </c>
      <c r="U1847" s="5">
        <f t="shared" si="580"/>
        <v>0</v>
      </c>
      <c r="V1847" s="5">
        <f t="shared" si="581"/>
        <v>6.9767441860465116</v>
      </c>
      <c r="W1847" s="5">
        <f t="shared" si="582"/>
        <v>36.5</v>
      </c>
      <c r="X1847" s="5">
        <f t="shared" si="583"/>
        <v>45.731343283582092</v>
      </c>
      <c r="Y1847" s="5">
        <f t="shared" si="584"/>
        <v>0</v>
      </c>
      <c r="Z1847" s="5">
        <f t="shared" si="585"/>
        <v>0</v>
      </c>
      <c r="AA1847" s="5">
        <f t="shared" si="586"/>
        <v>3.0303030303030304E-2</v>
      </c>
      <c r="AB1847" s="5">
        <f t="shared" si="576"/>
        <v>89.238390499931626</v>
      </c>
    </row>
    <row r="1848" spans="4:28" x14ac:dyDescent="0.25">
      <c r="D1848" t="s">
        <v>79</v>
      </c>
      <c r="E1848" s="64"/>
      <c r="F1848" s="64"/>
      <c r="G1848">
        <f>IFERROR(HLOOKUP(G$2,[57]table_female_hkom2_inj.U6!$A$1:$K$36,11,FALSE),0)</f>
        <v>1</v>
      </c>
      <c r="H1848">
        <f>IFERROR(HLOOKUP(H$2,[57]table_female_hkom2_inj.U6!$A$1:$K$36,11,FALSE),0)</f>
        <v>0</v>
      </c>
      <c r="I1848">
        <f>IFERROR(HLOOKUP(I$2,[57]table_female_hkom2_inj.U6!$A$1:$K$36,11,FALSE),0)</f>
        <v>2</v>
      </c>
      <c r="J1848">
        <f>IFERROR(HLOOKUP(J$2,[57]table_female_hkom2_inj.U6!$A$1:$K$36,11,FALSE),0)</f>
        <v>1</v>
      </c>
      <c r="K1848">
        <f>IFERROR(HLOOKUP(K$2,[57]table_female_hkom2_inj.U6!$A$1:$K$36,11,FALSE),0)</f>
        <v>1</v>
      </c>
      <c r="L1848">
        <f>IFERROR(HLOOKUP(L$2,[57]table_female_hkom2_inj.U6!$A$1:$K$36,11,FALSE),0)</f>
        <v>0</v>
      </c>
      <c r="M1848">
        <f t="shared" si="578"/>
        <v>5</v>
      </c>
      <c r="S1848" t="s">
        <v>79</v>
      </c>
      <c r="T1848" s="5">
        <f t="shared" si="579"/>
        <v>0</v>
      </c>
      <c r="U1848" s="5">
        <f t="shared" si="580"/>
        <v>0</v>
      </c>
      <c r="V1848" s="5">
        <f t="shared" si="581"/>
        <v>3.4883720930232558</v>
      </c>
      <c r="W1848" s="5">
        <f t="shared" si="582"/>
        <v>0</v>
      </c>
      <c r="X1848" s="5">
        <f t="shared" si="583"/>
        <v>11.432835820895523</v>
      </c>
      <c r="Y1848" s="5">
        <f t="shared" si="584"/>
        <v>5.875</v>
      </c>
      <c r="Z1848" s="5">
        <f t="shared" si="585"/>
        <v>3.333333333333333</v>
      </c>
      <c r="AA1848" s="5">
        <f t="shared" si="586"/>
        <v>3.0303030303030304E-2</v>
      </c>
      <c r="AB1848" s="5">
        <f t="shared" si="576"/>
        <v>24.159844277555141</v>
      </c>
    </row>
    <row r="1849" spans="4:28" x14ac:dyDescent="0.25">
      <c r="D1849" t="s">
        <v>80</v>
      </c>
      <c r="E1849" s="64"/>
      <c r="F1849" s="64"/>
      <c r="G1849">
        <f>IFERROR(HLOOKUP(G$2,[57]table_female_hkom2_inj.U6!$A$1:$K$36,12,FALSE),0)</f>
        <v>2</v>
      </c>
      <c r="H1849">
        <f>IFERROR(HLOOKUP(H$2,[57]table_female_hkom2_inj.U6!$A$1:$K$36,12,FALSE),0)</f>
        <v>2</v>
      </c>
      <c r="I1849">
        <f>IFERROR(HLOOKUP(I$2,[57]table_female_hkom2_inj.U6!$A$1:$K$36,12,FALSE),0)</f>
        <v>1</v>
      </c>
      <c r="J1849">
        <f>IFERROR(HLOOKUP(J$2,[57]table_female_hkom2_inj.U6!$A$1:$K$36,12,FALSE),0)</f>
        <v>0</v>
      </c>
      <c r="K1849">
        <f>IFERROR(HLOOKUP(K$2,[57]table_female_hkom2_inj.U6!$A$1:$K$36,12,FALSE),0)</f>
        <v>1</v>
      </c>
      <c r="L1849">
        <f>IFERROR(HLOOKUP(L$2,[57]table_female_hkom2_inj.U6!$A$1:$K$36,12,FALSE),0)</f>
        <v>0</v>
      </c>
      <c r="M1849">
        <f t="shared" si="578"/>
        <v>6</v>
      </c>
      <c r="S1849" t="s">
        <v>80</v>
      </c>
      <c r="T1849" s="5">
        <f t="shared" si="579"/>
        <v>0</v>
      </c>
      <c r="U1849" s="5">
        <f t="shared" si="580"/>
        <v>0</v>
      </c>
      <c r="V1849" s="5">
        <f t="shared" si="581"/>
        <v>6.9767441860465116</v>
      </c>
      <c r="W1849" s="5">
        <f t="shared" si="582"/>
        <v>10.428571428571427</v>
      </c>
      <c r="X1849" s="5">
        <f t="shared" si="583"/>
        <v>5.7164179104477615</v>
      </c>
      <c r="Y1849" s="5">
        <f t="shared" si="584"/>
        <v>0</v>
      </c>
      <c r="Z1849" s="5">
        <f t="shared" si="585"/>
        <v>3.333333333333333</v>
      </c>
      <c r="AA1849" s="5">
        <f t="shared" si="586"/>
        <v>3.0303030303030304E-2</v>
      </c>
      <c r="AB1849" s="5">
        <f t="shared" si="576"/>
        <v>26.485369888702063</v>
      </c>
    </row>
    <row r="1850" spans="4:28" x14ac:dyDescent="0.25">
      <c r="D1850" t="s">
        <v>81</v>
      </c>
      <c r="E1850" s="64"/>
      <c r="F1850" s="64"/>
      <c r="G1850">
        <f>IFERROR(HLOOKUP(G$2,[57]table_female_hkom2_inj.U6!$A$1:$K$36,13,FALSE),0)</f>
        <v>0</v>
      </c>
      <c r="H1850">
        <f>IFERROR(HLOOKUP(H$2,[57]table_female_hkom2_inj.U6!$A$1:$K$36,13,FALSE),0)</f>
        <v>0</v>
      </c>
      <c r="I1850">
        <f>IFERROR(HLOOKUP(I$2,[57]table_female_hkom2_inj.U6!$A$1:$K$36,13,FALSE),0)</f>
        <v>1</v>
      </c>
      <c r="J1850">
        <f>IFERROR(HLOOKUP(J$2,[57]table_female_hkom2_inj.U6!$A$1:$K$36,13,FALSE),0)</f>
        <v>0</v>
      </c>
      <c r="K1850">
        <f>IFERROR(HLOOKUP(K$2,[57]table_female_hkom2_inj.U6!$A$1:$K$36,13,FALSE),0)</f>
        <v>0</v>
      </c>
      <c r="L1850">
        <f>IFERROR(HLOOKUP(L$2,[57]table_female_hkom2_inj.U6!$A$1:$K$36,13,FALSE),0)</f>
        <v>0</v>
      </c>
      <c r="M1850">
        <f t="shared" si="578"/>
        <v>1</v>
      </c>
      <c r="S1850" t="s">
        <v>81</v>
      </c>
      <c r="T1850" s="5">
        <f t="shared" si="579"/>
        <v>0</v>
      </c>
      <c r="U1850" s="5">
        <f t="shared" si="580"/>
        <v>0</v>
      </c>
      <c r="V1850" s="5">
        <f t="shared" si="581"/>
        <v>0</v>
      </c>
      <c r="W1850" s="5">
        <f t="shared" si="582"/>
        <v>0</v>
      </c>
      <c r="X1850" s="5">
        <f t="shared" si="583"/>
        <v>5.7164179104477615</v>
      </c>
      <c r="Y1850" s="5">
        <f t="shared" si="584"/>
        <v>0</v>
      </c>
      <c r="Z1850" s="5">
        <f t="shared" si="585"/>
        <v>0</v>
      </c>
      <c r="AA1850" s="5">
        <f t="shared" si="586"/>
        <v>3.0303030303030304E-2</v>
      </c>
      <c r="AB1850" s="5">
        <f t="shared" si="576"/>
        <v>5.7467209407507918</v>
      </c>
    </row>
    <row r="1851" spans="4:28" x14ac:dyDescent="0.25">
      <c r="D1851" t="s">
        <v>82</v>
      </c>
      <c r="E1851" s="64"/>
      <c r="F1851" s="64"/>
      <c r="G1851">
        <f>IFERROR(HLOOKUP(G$2,[57]table_female_hkom2_inj.U6!$A$1:$K$36,14,FALSE),0)</f>
        <v>0</v>
      </c>
      <c r="H1851">
        <f>IFERROR(HLOOKUP(H$2,[57]table_female_hkom2_inj.U6!$A$1:$K$36,14,FALSE),0)</f>
        <v>2</v>
      </c>
      <c r="I1851">
        <f>IFERROR(HLOOKUP(I$2,[57]table_female_hkom2_inj.U6!$A$1:$K$36,14,FALSE),0)</f>
        <v>3</v>
      </c>
      <c r="J1851">
        <f>IFERROR(HLOOKUP(J$2,[57]table_female_hkom2_inj.U6!$A$1:$K$36,14,FALSE),0)</f>
        <v>0</v>
      </c>
      <c r="K1851">
        <f>IFERROR(HLOOKUP(K$2,[57]table_female_hkom2_inj.U6!$A$1:$K$36,14,FALSE),0)</f>
        <v>0</v>
      </c>
      <c r="L1851">
        <f>IFERROR(HLOOKUP(L$2,[57]table_female_hkom2_inj.U6!$A$1:$K$36,14,FALSE),0)</f>
        <v>0</v>
      </c>
      <c r="M1851">
        <f t="shared" si="578"/>
        <v>5</v>
      </c>
      <c r="S1851" t="s">
        <v>82</v>
      </c>
      <c r="T1851" s="5">
        <f t="shared" si="579"/>
        <v>0</v>
      </c>
      <c r="U1851" s="5">
        <f t="shared" si="580"/>
        <v>0</v>
      </c>
      <c r="V1851" s="5">
        <f t="shared" si="581"/>
        <v>0</v>
      </c>
      <c r="W1851" s="5">
        <f t="shared" si="582"/>
        <v>10.428571428571427</v>
      </c>
      <c r="X1851" s="5">
        <f t="shared" si="583"/>
        <v>17.149253731343283</v>
      </c>
      <c r="Y1851" s="5">
        <f t="shared" si="584"/>
        <v>0</v>
      </c>
      <c r="Z1851" s="5">
        <f t="shared" si="585"/>
        <v>0</v>
      </c>
      <c r="AA1851" s="5">
        <f t="shared" si="586"/>
        <v>3.0303030303030304E-2</v>
      </c>
      <c r="AB1851" s="5">
        <f t="shared" si="576"/>
        <v>27.608128190217741</v>
      </c>
    </row>
    <row r="1852" spans="4:28" x14ac:dyDescent="0.25">
      <c r="D1852" t="s">
        <v>83</v>
      </c>
      <c r="E1852" s="64"/>
      <c r="F1852" s="64"/>
      <c r="G1852">
        <f>IFERROR(HLOOKUP(G$2,[57]table_female_hkom2_inj.U6!$A$1:$K$36,15,FALSE),0)</f>
        <v>0</v>
      </c>
      <c r="H1852">
        <f>IFERROR(HLOOKUP(H$2,[57]table_female_hkom2_inj.U6!$A$1:$K$36,15,FALSE),0)</f>
        <v>1</v>
      </c>
      <c r="I1852">
        <f>IFERROR(HLOOKUP(I$2,[57]table_female_hkom2_inj.U6!$A$1:$K$36,15,FALSE),0)</f>
        <v>0</v>
      </c>
      <c r="J1852">
        <f>IFERROR(HLOOKUP(J$2,[57]table_female_hkom2_inj.U6!$A$1:$K$36,15,FALSE),0)</f>
        <v>0</v>
      </c>
      <c r="K1852">
        <f>IFERROR(HLOOKUP(K$2,[57]table_female_hkom2_inj.U6!$A$1:$K$36,15,FALSE),0)</f>
        <v>0</v>
      </c>
      <c r="L1852">
        <f>IFERROR(HLOOKUP(L$2,[57]table_female_hkom2_inj.U6!$A$1:$K$36,15,FALSE),0)</f>
        <v>0</v>
      </c>
      <c r="M1852">
        <f t="shared" si="578"/>
        <v>1</v>
      </c>
      <c r="S1852" t="s">
        <v>83</v>
      </c>
      <c r="T1852" s="5">
        <f t="shared" si="579"/>
        <v>0</v>
      </c>
      <c r="U1852" s="5">
        <f t="shared" si="580"/>
        <v>0</v>
      </c>
      <c r="V1852" s="5">
        <f t="shared" si="581"/>
        <v>0</v>
      </c>
      <c r="W1852" s="5">
        <f t="shared" si="582"/>
        <v>5.2142857142857135</v>
      </c>
      <c r="X1852" s="5">
        <f t="shared" si="583"/>
        <v>0</v>
      </c>
      <c r="Y1852" s="5">
        <f t="shared" si="584"/>
        <v>0</v>
      </c>
      <c r="Z1852" s="5">
        <f t="shared" si="585"/>
        <v>0</v>
      </c>
      <c r="AA1852" s="5">
        <f t="shared" si="586"/>
        <v>3.0303030303030304E-2</v>
      </c>
      <c r="AB1852" s="5">
        <f t="shared" si="576"/>
        <v>5.2445887445887438</v>
      </c>
    </row>
    <row r="1853" spans="4:28" x14ac:dyDescent="0.25">
      <c r="D1853" t="s">
        <v>84</v>
      </c>
      <c r="E1853" s="64"/>
      <c r="F1853" s="64"/>
      <c r="G1853">
        <f>IFERROR(HLOOKUP(G$2,[57]table_female_hkom2_inj.U6!$A$1:$K$36,16,FALSE),0)</f>
        <v>0</v>
      </c>
      <c r="H1853">
        <f>IFERROR(HLOOKUP(H$2,[57]table_female_hkom2_inj.U6!$A$1:$K$36,16,FALSE),0)</f>
        <v>0</v>
      </c>
      <c r="I1853">
        <f>IFERROR(HLOOKUP(I$2,[57]table_female_hkom2_inj.U6!$A$1:$K$36,16,FALSE),0)</f>
        <v>0</v>
      </c>
      <c r="J1853">
        <f>IFERROR(HLOOKUP(J$2,[57]table_female_hkom2_inj.U6!$A$1:$K$36,16,FALSE),0)</f>
        <v>2</v>
      </c>
      <c r="K1853">
        <f>IFERROR(HLOOKUP(K$2,[57]table_female_hkom2_inj.U6!$A$1:$K$36,16,FALSE),0)</f>
        <v>0</v>
      </c>
      <c r="L1853">
        <f>IFERROR(HLOOKUP(L$2,[57]table_female_hkom2_inj.U6!$A$1:$K$36,16,FALSE),0)</f>
        <v>0</v>
      </c>
      <c r="M1853">
        <f t="shared" si="578"/>
        <v>2</v>
      </c>
      <c r="S1853" t="s">
        <v>84</v>
      </c>
      <c r="T1853" s="5">
        <f t="shared" si="579"/>
        <v>0</v>
      </c>
      <c r="U1853" s="5">
        <f t="shared" si="580"/>
        <v>0</v>
      </c>
      <c r="V1853" s="5">
        <f t="shared" si="581"/>
        <v>0</v>
      </c>
      <c r="W1853" s="5">
        <f t="shared" si="582"/>
        <v>0</v>
      </c>
      <c r="X1853" s="5">
        <f t="shared" si="583"/>
        <v>0</v>
      </c>
      <c r="Y1853" s="5">
        <f t="shared" si="584"/>
        <v>11.75</v>
      </c>
      <c r="Z1853" s="5">
        <f t="shared" si="585"/>
        <v>0</v>
      </c>
      <c r="AA1853" s="5">
        <f t="shared" si="586"/>
        <v>3.0303030303030304E-2</v>
      </c>
      <c r="AB1853" s="5">
        <f t="shared" si="576"/>
        <v>11.780303030303031</v>
      </c>
    </row>
    <row r="1854" spans="4:28" x14ac:dyDescent="0.25">
      <c r="D1854" t="s">
        <v>85</v>
      </c>
      <c r="E1854" s="64"/>
      <c r="F1854" s="64"/>
      <c r="G1854">
        <f>IFERROR(HLOOKUP(G$2,[57]table_female_hkom2_inj.U6!$A$1:$K$36,17,FALSE),0)</f>
        <v>0</v>
      </c>
      <c r="H1854">
        <f>IFERROR(HLOOKUP(H$2,[57]table_female_hkom2_inj.U6!$A$1:$K$36,17,FALSE),0)</f>
        <v>1</v>
      </c>
      <c r="I1854">
        <f>IFERROR(HLOOKUP(I$2,[57]table_female_hkom2_inj.U6!$A$1:$K$36,17,FALSE),0)</f>
        <v>0</v>
      </c>
      <c r="J1854">
        <f>IFERROR(HLOOKUP(J$2,[57]table_female_hkom2_inj.U6!$A$1:$K$36,17,FALSE),0)</f>
        <v>0</v>
      </c>
      <c r="K1854">
        <f>IFERROR(HLOOKUP(K$2,[57]table_female_hkom2_inj.U6!$A$1:$K$36,17,FALSE),0)</f>
        <v>0</v>
      </c>
      <c r="L1854">
        <f>IFERROR(HLOOKUP(L$2,[57]table_female_hkom2_inj.U6!$A$1:$K$36,17,FALSE),0)</f>
        <v>0</v>
      </c>
      <c r="M1854">
        <f t="shared" si="578"/>
        <v>1</v>
      </c>
      <c r="S1854" t="s">
        <v>85</v>
      </c>
      <c r="T1854" s="5">
        <f t="shared" si="579"/>
        <v>0</v>
      </c>
      <c r="U1854" s="5">
        <f t="shared" si="580"/>
        <v>0</v>
      </c>
      <c r="V1854" s="5">
        <f t="shared" si="581"/>
        <v>0</v>
      </c>
      <c r="W1854" s="5">
        <f t="shared" si="582"/>
        <v>5.2142857142857135</v>
      </c>
      <c r="X1854" s="5">
        <f t="shared" si="583"/>
        <v>0</v>
      </c>
      <c r="Y1854" s="5">
        <f t="shared" si="584"/>
        <v>0</v>
      </c>
      <c r="Z1854" s="5">
        <f t="shared" si="585"/>
        <v>0</v>
      </c>
      <c r="AA1854" s="5">
        <f t="shared" si="586"/>
        <v>3.0303030303030304E-2</v>
      </c>
      <c r="AB1854" s="5">
        <f t="shared" si="576"/>
        <v>5.2445887445887438</v>
      </c>
    </row>
    <row r="1855" spans="4:28" x14ac:dyDescent="0.25">
      <c r="D1855" t="s">
        <v>86</v>
      </c>
      <c r="E1855" s="64"/>
      <c r="F1855" s="64"/>
      <c r="G1855">
        <f>IFERROR(HLOOKUP(G$2,[57]table_female_hkom2_inj.U6!$A$1:$K$36,18,FALSE),0)</f>
        <v>1</v>
      </c>
      <c r="H1855">
        <f>IFERROR(HLOOKUP(H$2,[57]table_female_hkom2_inj.U6!$A$1:$K$36,18,FALSE),0)</f>
        <v>4</v>
      </c>
      <c r="I1855">
        <f>IFERROR(HLOOKUP(I$2,[57]table_female_hkom2_inj.U6!$A$1:$K$36,18,FALSE),0)</f>
        <v>2</v>
      </c>
      <c r="J1855">
        <f>IFERROR(HLOOKUP(J$2,[57]table_female_hkom2_inj.U6!$A$1:$K$36,18,FALSE),0)</f>
        <v>1</v>
      </c>
      <c r="K1855">
        <f>IFERROR(HLOOKUP(K$2,[57]table_female_hkom2_inj.U6!$A$1:$K$36,18,FALSE),0)</f>
        <v>0</v>
      </c>
      <c r="L1855">
        <f>IFERROR(HLOOKUP(L$2,[57]table_female_hkom2_inj.U6!$A$1:$K$36,18,FALSE),0)</f>
        <v>0</v>
      </c>
      <c r="M1855">
        <f t="shared" si="578"/>
        <v>8</v>
      </c>
      <c r="S1855" t="s">
        <v>86</v>
      </c>
      <c r="T1855" s="5">
        <f t="shared" si="579"/>
        <v>0</v>
      </c>
      <c r="U1855" s="5">
        <f t="shared" si="580"/>
        <v>0</v>
      </c>
      <c r="V1855" s="5">
        <f t="shared" si="581"/>
        <v>3.4883720930232558</v>
      </c>
      <c r="W1855" s="5">
        <f t="shared" si="582"/>
        <v>20.857142857142854</v>
      </c>
      <c r="X1855" s="5">
        <f t="shared" si="583"/>
        <v>11.432835820895523</v>
      </c>
      <c r="Y1855" s="5">
        <f t="shared" si="584"/>
        <v>5.875</v>
      </c>
      <c r="Z1855" s="5">
        <f t="shared" si="585"/>
        <v>0</v>
      </c>
      <c r="AA1855" s="5">
        <f t="shared" si="586"/>
        <v>3.0303030303030304E-2</v>
      </c>
      <c r="AB1855" s="5">
        <f t="shared" si="576"/>
        <v>41.683653801364663</v>
      </c>
    </row>
    <row r="1856" spans="4:28" x14ac:dyDescent="0.25">
      <c r="D1856" t="s">
        <v>87</v>
      </c>
      <c r="E1856" s="64"/>
      <c r="F1856" s="64"/>
      <c r="G1856">
        <f>IFERROR(HLOOKUP(G$2,[57]table_female_hkom2_inj.U6!$A$1:$K$36,19,FALSE),0)</f>
        <v>3</v>
      </c>
      <c r="H1856">
        <f>IFERROR(HLOOKUP(H$2,[57]table_female_hkom2_inj.U6!$A$1:$K$36,19,FALSE),0)</f>
        <v>16</v>
      </c>
      <c r="I1856">
        <f>IFERROR(HLOOKUP(I$2,[57]table_female_hkom2_inj.U6!$A$1:$K$36,19,FALSE),0)</f>
        <v>5</v>
      </c>
      <c r="J1856">
        <f>IFERROR(HLOOKUP(J$2,[57]table_female_hkom2_inj.U6!$A$1:$K$36,19,FALSE),0)</f>
        <v>1</v>
      </c>
      <c r="K1856">
        <f>IFERROR(HLOOKUP(K$2,[57]table_female_hkom2_inj.U6!$A$1:$K$36,19,FALSE),0)</f>
        <v>0</v>
      </c>
      <c r="L1856">
        <f>IFERROR(HLOOKUP(L$2,[57]table_female_hkom2_inj.U6!$A$1:$K$36,19,FALSE),0)</f>
        <v>0</v>
      </c>
      <c r="M1856">
        <f t="shared" si="578"/>
        <v>25</v>
      </c>
      <c r="S1856" t="s">
        <v>87</v>
      </c>
      <c r="T1856" s="5">
        <f t="shared" si="579"/>
        <v>0</v>
      </c>
      <c r="U1856" s="5">
        <f t="shared" si="580"/>
        <v>0</v>
      </c>
      <c r="V1856" s="5">
        <f t="shared" si="581"/>
        <v>10.465116279069768</v>
      </c>
      <c r="W1856" s="5">
        <f t="shared" si="582"/>
        <v>83.428571428571416</v>
      </c>
      <c r="X1856" s="5">
        <f t="shared" si="583"/>
        <v>28.582089552238806</v>
      </c>
      <c r="Y1856" s="5">
        <f t="shared" si="584"/>
        <v>5.875</v>
      </c>
      <c r="Z1856" s="5">
        <f t="shared" si="585"/>
        <v>0</v>
      </c>
      <c r="AA1856" s="5">
        <f t="shared" si="586"/>
        <v>3.0303030303030304E-2</v>
      </c>
      <c r="AB1856" s="5">
        <f t="shared" si="576"/>
        <v>128.38108029018304</v>
      </c>
    </row>
    <row r="1857" spans="4:29" x14ac:dyDescent="0.25">
      <c r="D1857" t="s">
        <v>88</v>
      </c>
      <c r="E1857" s="64"/>
      <c r="F1857" s="64"/>
      <c r="G1857">
        <f>IFERROR(HLOOKUP(G$2,[57]table_female_hkom2_inj.U6!$A$1:$K$36,20,FALSE),0)</f>
        <v>5</v>
      </c>
      <c r="H1857">
        <f>IFERROR(HLOOKUP(H$2,[57]table_female_hkom2_inj.U6!$A$1:$K$36,20,FALSE),0)</f>
        <v>7</v>
      </c>
      <c r="I1857">
        <f>IFERROR(HLOOKUP(I$2,[57]table_female_hkom2_inj.U6!$A$1:$K$36,20,FALSE),0)</f>
        <v>6</v>
      </c>
      <c r="J1857">
        <f>IFERROR(HLOOKUP(J$2,[57]table_female_hkom2_inj.U6!$A$1:$K$36,20,FALSE),0)</f>
        <v>3</v>
      </c>
      <c r="K1857">
        <f>IFERROR(HLOOKUP(K$2,[57]table_female_hkom2_inj.U6!$A$1:$K$36,20,FALSE),0)</f>
        <v>0</v>
      </c>
      <c r="L1857">
        <f>IFERROR(HLOOKUP(L$2,[57]table_female_hkom2_inj.U6!$A$1:$K$36,20,FALSE),0)</f>
        <v>0</v>
      </c>
      <c r="M1857">
        <f t="shared" si="578"/>
        <v>21</v>
      </c>
      <c r="S1857" t="s">
        <v>88</v>
      </c>
      <c r="T1857" s="5">
        <f t="shared" si="579"/>
        <v>0</v>
      </c>
      <c r="U1857" s="5">
        <f t="shared" si="580"/>
        <v>0</v>
      </c>
      <c r="V1857" s="5">
        <f t="shared" si="581"/>
        <v>17.441860465116278</v>
      </c>
      <c r="W1857" s="5">
        <f t="shared" si="582"/>
        <v>36.5</v>
      </c>
      <c r="X1857" s="5">
        <f t="shared" si="583"/>
        <v>34.298507462686565</v>
      </c>
      <c r="Y1857" s="5">
        <f t="shared" si="584"/>
        <v>17.625</v>
      </c>
      <c r="Z1857" s="5">
        <f t="shared" si="585"/>
        <v>0</v>
      </c>
      <c r="AA1857" s="5">
        <f t="shared" si="586"/>
        <v>3.0303030303030304E-2</v>
      </c>
      <c r="AB1857" s="5">
        <f t="shared" si="576"/>
        <v>105.89567095810588</v>
      </c>
    </row>
    <row r="1858" spans="4:29" x14ac:dyDescent="0.25">
      <c r="D1858" t="s">
        <v>89</v>
      </c>
      <c r="E1858" s="64"/>
      <c r="F1858" s="64"/>
      <c r="G1858">
        <f>IFERROR(HLOOKUP(G$2,[57]table_female_hkom2_inj.U6!$A$1:$K$36,21,FALSE),0)</f>
        <v>4</v>
      </c>
      <c r="H1858">
        <f>IFERROR(HLOOKUP(H$2,[57]table_female_hkom2_inj.U6!$A$1:$K$36,21,FALSE),0)</f>
        <v>4</v>
      </c>
      <c r="I1858">
        <f>IFERROR(HLOOKUP(I$2,[57]table_female_hkom2_inj.U6!$A$1:$K$36,21,FALSE),0)</f>
        <v>2</v>
      </c>
      <c r="J1858">
        <f>IFERROR(HLOOKUP(J$2,[57]table_female_hkom2_inj.U6!$A$1:$K$36,21,FALSE),0)</f>
        <v>0</v>
      </c>
      <c r="K1858">
        <f>IFERROR(HLOOKUP(K$2,[57]table_female_hkom2_inj.U6!$A$1:$K$36,21,FALSE),0)</f>
        <v>0</v>
      </c>
      <c r="L1858">
        <f>IFERROR(HLOOKUP(L$2,[57]table_female_hkom2_inj.U6!$A$1:$K$36,21,FALSE),0)</f>
        <v>0</v>
      </c>
      <c r="M1858">
        <f t="shared" si="578"/>
        <v>10</v>
      </c>
      <c r="S1858" t="s">
        <v>89</v>
      </c>
      <c r="T1858" s="5">
        <f t="shared" si="579"/>
        <v>0</v>
      </c>
      <c r="U1858" s="5">
        <f t="shared" si="580"/>
        <v>0</v>
      </c>
      <c r="V1858" s="5">
        <f t="shared" si="581"/>
        <v>13.953488372093023</v>
      </c>
      <c r="W1858" s="5">
        <f t="shared" si="582"/>
        <v>20.857142857142854</v>
      </c>
      <c r="X1858" s="5">
        <f t="shared" si="583"/>
        <v>11.432835820895523</v>
      </c>
      <c r="Y1858" s="5">
        <f t="shared" si="584"/>
        <v>0</v>
      </c>
      <c r="Z1858" s="5">
        <f t="shared" si="585"/>
        <v>0</v>
      </c>
      <c r="AA1858" s="5">
        <f t="shared" si="586"/>
        <v>3.0303030303030304E-2</v>
      </c>
      <c r="AB1858" s="5">
        <f t="shared" si="576"/>
        <v>46.273770080434431</v>
      </c>
    </row>
    <row r="1859" spans="4:29" x14ac:dyDescent="0.25">
      <c r="D1859" t="s">
        <v>90</v>
      </c>
      <c r="E1859" s="64"/>
      <c r="F1859" s="64"/>
      <c r="G1859">
        <f>IFERROR(HLOOKUP(G$2,[57]table_female_hkom2_inj.U6!$A$1:$K$36,22,FALSE),0)</f>
        <v>0</v>
      </c>
      <c r="H1859">
        <f>IFERROR(HLOOKUP(H$2,[57]table_female_hkom2_inj.U6!$A$1:$K$36,22,FALSE),0)</f>
        <v>0</v>
      </c>
      <c r="I1859">
        <f>IFERROR(HLOOKUP(I$2,[57]table_female_hkom2_inj.U6!$A$1:$K$36,22,FALSE),0)</f>
        <v>0</v>
      </c>
      <c r="J1859">
        <f>IFERROR(HLOOKUP(J$2,[57]table_female_hkom2_inj.U6!$A$1:$K$36,22,FALSE),0)</f>
        <v>0</v>
      </c>
      <c r="K1859">
        <f>IFERROR(HLOOKUP(K$2,[57]table_female_hkom2_inj.U6!$A$1:$K$36,22,FALSE),0)</f>
        <v>0</v>
      </c>
      <c r="L1859">
        <f>IFERROR(HLOOKUP(L$2,[57]table_female_hkom2_inj.U6!$A$1:$K$36,22,FALSE),0)</f>
        <v>0</v>
      </c>
      <c r="M1859">
        <f t="shared" si="578"/>
        <v>0</v>
      </c>
      <c r="S1859" t="s">
        <v>90</v>
      </c>
      <c r="T1859" s="5">
        <f t="shared" si="579"/>
        <v>0</v>
      </c>
      <c r="U1859" s="5">
        <f t="shared" si="580"/>
        <v>0</v>
      </c>
      <c r="V1859" s="5">
        <f t="shared" si="581"/>
        <v>0</v>
      </c>
      <c r="W1859" s="5">
        <f t="shared" si="582"/>
        <v>0</v>
      </c>
      <c r="X1859" s="5">
        <f t="shared" si="583"/>
        <v>0</v>
      </c>
      <c r="Y1859" s="5">
        <f t="shared" si="584"/>
        <v>0</v>
      </c>
      <c r="Z1859" s="5">
        <f t="shared" si="585"/>
        <v>0</v>
      </c>
      <c r="AA1859" s="5">
        <f t="shared" si="586"/>
        <v>3.0303030303030304E-2</v>
      </c>
      <c r="AB1859" s="5">
        <f t="shared" si="576"/>
        <v>3.0303030303030304E-2</v>
      </c>
    </row>
    <row r="1860" spans="4:29" x14ac:dyDescent="0.25">
      <c r="D1860" t="s">
        <v>91</v>
      </c>
      <c r="E1860" s="64"/>
      <c r="F1860" s="64"/>
      <c r="G1860">
        <f>IFERROR(HLOOKUP(G$2,[57]table_female_hkom2_inj.U6!$A$1:$K$36,23,FALSE),0)</f>
        <v>0</v>
      </c>
      <c r="H1860">
        <f>IFERROR(HLOOKUP(H$2,[57]table_female_hkom2_inj.U6!$A$1:$K$36,23,FALSE),0)</f>
        <v>1</v>
      </c>
      <c r="I1860">
        <f>IFERROR(HLOOKUP(I$2,[57]table_female_hkom2_inj.U6!$A$1:$K$36,23,FALSE),0)</f>
        <v>0</v>
      </c>
      <c r="J1860">
        <f>IFERROR(HLOOKUP(J$2,[57]table_female_hkom2_inj.U6!$A$1:$K$36,23,FALSE),0)</f>
        <v>0</v>
      </c>
      <c r="K1860">
        <f>IFERROR(HLOOKUP(K$2,[57]table_female_hkom2_inj.U6!$A$1:$K$36,23,FALSE),0)</f>
        <v>0</v>
      </c>
      <c r="L1860">
        <f>IFERROR(HLOOKUP(L$2,[57]table_female_hkom2_inj.U6!$A$1:$K$36,23,FALSE),0)</f>
        <v>0</v>
      </c>
      <c r="M1860">
        <f t="shared" si="578"/>
        <v>1</v>
      </c>
      <c r="S1860" t="s">
        <v>91</v>
      </c>
      <c r="T1860" s="5">
        <f t="shared" si="579"/>
        <v>0</v>
      </c>
      <c r="U1860" s="5">
        <f t="shared" si="580"/>
        <v>0</v>
      </c>
      <c r="V1860" s="5">
        <f t="shared" si="581"/>
        <v>0</v>
      </c>
      <c r="W1860" s="5">
        <f t="shared" si="582"/>
        <v>5.2142857142857135</v>
      </c>
      <c r="X1860" s="5">
        <f t="shared" si="583"/>
        <v>0</v>
      </c>
      <c r="Y1860" s="5">
        <f t="shared" si="584"/>
        <v>0</v>
      </c>
      <c r="Z1860" s="5">
        <f t="shared" si="585"/>
        <v>0</v>
      </c>
      <c r="AA1860" s="5">
        <f t="shared" si="586"/>
        <v>3.0303030303030304E-2</v>
      </c>
      <c r="AB1860" s="5">
        <f t="shared" si="576"/>
        <v>5.2445887445887438</v>
      </c>
    </row>
    <row r="1861" spans="4:29" x14ac:dyDescent="0.25">
      <c r="D1861" t="s">
        <v>92</v>
      </c>
      <c r="E1861" s="64"/>
      <c r="F1861" s="64"/>
      <c r="G1861">
        <f>IFERROR(HLOOKUP(G$2,[57]table_female_hkom2_inj.U6!$A$1:$K$36,24,FALSE),0)</f>
        <v>0</v>
      </c>
      <c r="H1861">
        <f>IFERROR(HLOOKUP(H$2,[57]table_female_hkom2_inj.U6!$A$1:$K$36,24,FALSE),0)</f>
        <v>0</v>
      </c>
      <c r="I1861">
        <f>IFERROR(HLOOKUP(I$2,[57]table_female_hkom2_inj.U6!$A$1:$K$36,24,FALSE),0)</f>
        <v>0</v>
      </c>
      <c r="J1861">
        <f>IFERROR(HLOOKUP(J$2,[57]table_female_hkom2_inj.U6!$A$1:$K$36,24,FALSE),0)</f>
        <v>0</v>
      </c>
      <c r="K1861">
        <f>IFERROR(HLOOKUP(K$2,[57]table_female_hkom2_inj.U6!$A$1:$K$36,24,FALSE),0)</f>
        <v>0</v>
      </c>
      <c r="L1861">
        <f>IFERROR(HLOOKUP(L$2,[57]table_female_hkom2_inj.U6!$A$1:$K$36,24,FALSE),0)</f>
        <v>0</v>
      </c>
      <c r="M1861">
        <f t="shared" si="578"/>
        <v>0</v>
      </c>
      <c r="S1861" t="s">
        <v>92</v>
      </c>
      <c r="T1861" s="5">
        <f t="shared" si="579"/>
        <v>0</v>
      </c>
      <c r="U1861" s="5">
        <f t="shared" si="580"/>
        <v>0</v>
      </c>
      <c r="V1861" s="5">
        <f t="shared" si="581"/>
        <v>0</v>
      </c>
      <c r="W1861" s="5">
        <f t="shared" si="582"/>
        <v>0</v>
      </c>
      <c r="X1861" s="5">
        <f t="shared" si="583"/>
        <v>0</v>
      </c>
      <c r="Y1861" s="5">
        <f t="shared" si="584"/>
        <v>0</v>
      </c>
      <c r="Z1861" s="5">
        <f t="shared" si="585"/>
        <v>0</v>
      </c>
      <c r="AA1861" s="5">
        <f t="shared" si="586"/>
        <v>3.0303030303030304E-2</v>
      </c>
      <c r="AB1861" s="5">
        <f t="shared" si="576"/>
        <v>3.0303030303030304E-2</v>
      </c>
    </row>
    <row r="1862" spans="4:29" x14ac:dyDescent="0.25">
      <c r="D1862" t="s">
        <v>93</v>
      </c>
      <c r="E1862" s="64"/>
      <c r="F1862" s="64"/>
      <c r="G1862">
        <f>IFERROR(HLOOKUP(G$2,[57]table_female_hkom2_inj.U6!$A$1:$K$36,25,FALSE),0)</f>
        <v>0</v>
      </c>
      <c r="H1862">
        <f>IFERROR(HLOOKUP(H$2,[57]table_female_hkom2_inj.U6!$A$1:$K$36,25,FALSE),0)</f>
        <v>0</v>
      </c>
      <c r="I1862">
        <f>IFERROR(HLOOKUP(I$2,[57]table_female_hkom2_inj.U6!$A$1:$K$36,25,FALSE),0)</f>
        <v>1</v>
      </c>
      <c r="J1862">
        <f>IFERROR(HLOOKUP(J$2,[57]table_female_hkom2_inj.U6!$A$1:$K$36,25,FALSE),0)</f>
        <v>0</v>
      </c>
      <c r="K1862">
        <f>IFERROR(HLOOKUP(K$2,[57]table_female_hkom2_inj.U6!$A$1:$K$36,25,FALSE),0)</f>
        <v>0</v>
      </c>
      <c r="L1862">
        <f>IFERROR(HLOOKUP(L$2,[57]table_female_hkom2_inj.U6!$A$1:$K$36,25,FALSE),0)</f>
        <v>0</v>
      </c>
      <c r="M1862">
        <f t="shared" si="578"/>
        <v>1</v>
      </c>
      <c r="S1862" t="s">
        <v>93</v>
      </c>
      <c r="T1862" s="5">
        <f t="shared" si="579"/>
        <v>0</v>
      </c>
      <c r="U1862" s="5">
        <f t="shared" si="580"/>
        <v>0</v>
      </c>
      <c r="V1862" s="5">
        <f t="shared" si="581"/>
        <v>0</v>
      </c>
      <c r="W1862" s="5">
        <f t="shared" si="582"/>
        <v>0</v>
      </c>
      <c r="X1862" s="5">
        <f t="shared" si="583"/>
        <v>5.7164179104477615</v>
      </c>
      <c r="Y1862" s="5">
        <f t="shared" si="584"/>
        <v>0</v>
      </c>
      <c r="Z1862" s="5">
        <f t="shared" si="585"/>
        <v>0</v>
      </c>
      <c r="AA1862" s="5">
        <f t="shared" si="586"/>
        <v>3.0303030303030304E-2</v>
      </c>
      <c r="AB1862" s="5">
        <f t="shared" si="576"/>
        <v>5.7467209407507918</v>
      </c>
    </row>
    <row r="1863" spans="4:29" x14ac:dyDescent="0.25">
      <c r="D1863" t="s">
        <v>94</v>
      </c>
      <c r="E1863" s="64"/>
      <c r="F1863" s="64"/>
      <c r="G1863">
        <f>IFERROR(HLOOKUP(G$2,[57]table_female_hkom2_inj.U6!$A$1:$K$36,26,FALSE),0)</f>
        <v>0</v>
      </c>
      <c r="H1863">
        <f>IFERROR(HLOOKUP(H$2,[57]table_female_hkom2_inj.U6!$A$1:$K$36,26,FALSE),0)</f>
        <v>0</v>
      </c>
      <c r="I1863">
        <f>IFERROR(HLOOKUP(I$2,[57]table_female_hkom2_inj.U6!$A$1:$K$36,26,FALSE),0)</f>
        <v>0</v>
      </c>
      <c r="J1863">
        <f>IFERROR(HLOOKUP(J$2,[57]table_female_hkom2_inj.U6!$A$1:$K$36,26,FALSE),0)</f>
        <v>0</v>
      </c>
      <c r="K1863">
        <f>IFERROR(HLOOKUP(K$2,[57]table_female_hkom2_inj.U6!$A$1:$K$36,26,FALSE),0)</f>
        <v>0</v>
      </c>
      <c r="L1863">
        <f>IFERROR(HLOOKUP(L$2,[57]table_female_hkom2_inj.U6!$A$1:$K$36,26,FALSE),0)</f>
        <v>0</v>
      </c>
      <c r="M1863">
        <f t="shared" si="578"/>
        <v>0</v>
      </c>
      <c r="S1863" t="s">
        <v>94</v>
      </c>
      <c r="T1863" s="5">
        <f t="shared" si="579"/>
        <v>0</v>
      </c>
      <c r="U1863" s="5">
        <f t="shared" si="580"/>
        <v>0</v>
      </c>
      <c r="V1863" s="5">
        <f t="shared" si="581"/>
        <v>0</v>
      </c>
      <c r="W1863" s="5">
        <f t="shared" si="582"/>
        <v>0</v>
      </c>
      <c r="X1863" s="5">
        <f t="shared" si="583"/>
        <v>0</v>
      </c>
      <c r="Y1863" s="5">
        <f t="shared" si="584"/>
        <v>0</v>
      </c>
      <c r="Z1863" s="5">
        <f t="shared" si="585"/>
        <v>0</v>
      </c>
      <c r="AA1863" s="5">
        <f t="shared" si="586"/>
        <v>3.0303030303030304E-2</v>
      </c>
      <c r="AB1863" s="5">
        <f t="shared" si="576"/>
        <v>3.0303030303030304E-2</v>
      </c>
    </row>
    <row r="1864" spans="4:29" x14ac:dyDescent="0.25">
      <c r="D1864" t="s">
        <v>95</v>
      </c>
      <c r="E1864" s="64"/>
      <c r="F1864" s="64"/>
      <c r="G1864">
        <f>IFERROR(HLOOKUP(G$2,[57]table_female_hkom2_inj.U6!$A$1:$K$36,27,FALSE),0)</f>
        <v>0</v>
      </c>
      <c r="H1864">
        <f>IFERROR(HLOOKUP(H$2,[57]table_female_hkom2_inj.U6!$A$1:$K$36,27,FALSE),0)</f>
        <v>0</v>
      </c>
      <c r="I1864">
        <f>IFERROR(HLOOKUP(I$2,[57]table_female_hkom2_inj.U6!$A$1:$K$36,27,FALSE),0)</f>
        <v>0</v>
      </c>
      <c r="J1864">
        <f>IFERROR(HLOOKUP(J$2,[57]table_female_hkom2_inj.U6!$A$1:$K$36,27,FALSE),0)</f>
        <v>0</v>
      </c>
      <c r="K1864">
        <f>IFERROR(HLOOKUP(K$2,[57]table_female_hkom2_inj.U6!$A$1:$K$36,27,FALSE),0)</f>
        <v>0</v>
      </c>
      <c r="L1864">
        <f>IFERROR(HLOOKUP(L$2,[57]table_female_hkom2_inj.U6!$A$1:$K$36,27,FALSE),0)</f>
        <v>0</v>
      </c>
      <c r="M1864">
        <f t="shared" si="578"/>
        <v>0</v>
      </c>
      <c r="S1864" t="s">
        <v>95</v>
      </c>
      <c r="T1864" s="5">
        <f t="shared" si="579"/>
        <v>0</v>
      </c>
      <c r="U1864" s="5">
        <f t="shared" si="580"/>
        <v>0</v>
      </c>
      <c r="V1864" s="5">
        <f t="shared" si="581"/>
        <v>0</v>
      </c>
      <c r="W1864" s="5">
        <f t="shared" si="582"/>
        <v>0</v>
      </c>
      <c r="X1864" s="5">
        <f t="shared" si="583"/>
        <v>0</v>
      </c>
      <c r="Y1864" s="5">
        <f t="shared" si="584"/>
        <v>0</v>
      </c>
      <c r="Z1864" s="5">
        <f t="shared" si="585"/>
        <v>0</v>
      </c>
      <c r="AA1864" s="5">
        <f t="shared" si="586"/>
        <v>3.0303030303030304E-2</v>
      </c>
      <c r="AB1864" s="5">
        <f t="shared" si="576"/>
        <v>3.0303030303030304E-2</v>
      </c>
    </row>
    <row r="1865" spans="4:29" x14ac:dyDescent="0.25">
      <c r="D1865" t="s">
        <v>96</v>
      </c>
      <c r="E1865" s="64"/>
      <c r="F1865" s="64"/>
      <c r="G1865">
        <f>IFERROR(HLOOKUP(G$2,[57]table_female_hkom2_inj.U6!$A$1:$K$36,28,FALSE),0)</f>
        <v>0</v>
      </c>
      <c r="H1865">
        <f>IFERROR(HLOOKUP(H$2,[57]table_female_hkom2_inj.U6!$A$1:$K$36,28,FALSE),0)</f>
        <v>0</v>
      </c>
      <c r="I1865">
        <f>IFERROR(HLOOKUP(I$2,[57]table_female_hkom2_inj.U6!$A$1:$K$36,28,FALSE),0)</f>
        <v>0</v>
      </c>
      <c r="J1865">
        <f>IFERROR(HLOOKUP(J$2,[57]table_female_hkom2_inj.U6!$A$1:$K$36,28,FALSE),0)</f>
        <v>0</v>
      </c>
      <c r="K1865">
        <f>IFERROR(HLOOKUP(K$2,[57]table_female_hkom2_inj.U6!$A$1:$K$36,28,FALSE),0)</f>
        <v>0</v>
      </c>
      <c r="L1865">
        <f>IFERROR(HLOOKUP(L$2,[57]table_female_hkom2_inj.U6!$A$1:$K$36,28,FALSE),0)</f>
        <v>0</v>
      </c>
      <c r="M1865">
        <f t="shared" si="578"/>
        <v>0</v>
      </c>
      <c r="S1865" t="s">
        <v>96</v>
      </c>
      <c r="T1865" s="5">
        <f t="shared" si="579"/>
        <v>0</v>
      </c>
      <c r="U1865" s="5">
        <f t="shared" si="580"/>
        <v>0</v>
      </c>
      <c r="V1865" s="5">
        <f t="shared" si="581"/>
        <v>0</v>
      </c>
      <c r="W1865" s="5">
        <f t="shared" si="582"/>
        <v>0</v>
      </c>
      <c r="X1865" s="5">
        <f t="shared" si="583"/>
        <v>0</v>
      </c>
      <c r="Y1865" s="5">
        <f t="shared" si="584"/>
        <v>0</v>
      </c>
      <c r="Z1865" s="5">
        <f t="shared" si="585"/>
        <v>0</v>
      </c>
      <c r="AA1865" s="5">
        <f t="shared" si="586"/>
        <v>3.0303030303030304E-2</v>
      </c>
      <c r="AB1865" s="5">
        <f t="shared" si="576"/>
        <v>3.0303030303030304E-2</v>
      </c>
    </row>
    <row r="1866" spans="4:29" x14ac:dyDescent="0.25">
      <c r="D1866" t="s">
        <v>97</v>
      </c>
      <c r="E1866" s="64"/>
      <c r="F1866" s="64"/>
      <c r="G1866">
        <f>IFERROR(HLOOKUP(G$2,[57]table_female_hkom2_inj.U6!$A$1:$K$36,29,FALSE),0)</f>
        <v>0</v>
      </c>
      <c r="H1866">
        <f>IFERROR(HLOOKUP(H$2,[57]table_female_hkom2_inj.U6!$A$1:$K$36,29,FALSE),0)</f>
        <v>1</v>
      </c>
      <c r="I1866">
        <f>IFERROR(HLOOKUP(I$2,[57]table_female_hkom2_inj.U6!$A$1:$K$36,29,FALSE),0)</f>
        <v>2</v>
      </c>
      <c r="J1866">
        <f>IFERROR(HLOOKUP(J$2,[57]table_female_hkom2_inj.U6!$A$1:$K$36,29,FALSE),0)</f>
        <v>0</v>
      </c>
      <c r="K1866">
        <f>IFERROR(HLOOKUP(K$2,[57]table_female_hkom2_inj.U6!$A$1:$K$36,29,FALSE),0)</f>
        <v>0</v>
      </c>
      <c r="L1866">
        <f>IFERROR(HLOOKUP(L$2,[57]table_female_hkom2_inj.U6!$A$1:$K$36,29,FALSE),0)</f>
        <v>0</v>
      </c>
      <c r="M1866">
        <f t="shared" si="578"/>
        <v>3</v>
      </c>
      <c r="S1866" t="s">
        <v>97</v>
      </c>
      <c r="T1866" s="5">
        <f t="shared" si="579"/>
        <v>0</v>
      </c>
      <c r="U1866" s="5">
        <f t="shared" si="580"/>
        <v>0</v>
      </c>
      <c r="V1866" s="5">
        <f t="shared" si="581"/>
        <v>0</v>
      </c>
      <c r="W1866" s="5">
        <f t="shared" si="582"/>
        <v>5.2142857142857135</v>
      </c>
      <c r="X1866" s="5">
        <f t="shared" si="583"/>
        <v>11.432835820895523</v>
      </c>
      <c r="Y1866" s="5">
        <f t="shared" si="584"/>
        <v>0</v>
      </c>
      <c r="Z1866" s="5">
        <f t="shared" si="585"/>
        <v>0</v>
      </c>
      <c r="AA1866" s="5">
        <f t="shared" si="586"/>
        <v>3.0303030303030304E-2</v>
      </c>
      <c r="AB1866" s="5">
        <f t="shared" si="576"/>
        <v>16.677424565484266</v>
      </c>
    </row>
    <row r="1867" spans="4:29" x14ac:dyDescent="0.25">
      <c r="D1867" t="s">
        <v>98</v>
      </c>
      <c r="E1867" s="64"/>
      <c r="F1867" s="64"/>
      <c r="G1867">
        <f>IFERROR(HLOOKUP(G$2,[57]table_female_hkom2_inj.U6!$A$1:$K$36,30,FALSE),0)</f>
        <v>0</v>
      </c>
      <c r="H1867">
        <f>IFERROR(HLOOKUP(H$2,[57]table_female_hkom2_inj.U6!$A$1:$K$36,30,FALSE),0)</f>
        <v>2</v>
      </c>
      <c r="I1867">
        <f>IFERROR(HLOOKUP(I$2,[57]table_female_hkom2_inj.U6!$A$1:$K$36,30,FALSE),0)</f>
        <v>4</v>
      </c>
      <c r="J1867">
        <f>IFERROR(HLOOKUP(J$2,[57]table_female_hkom2_inj.U6!$A$1:$K$36,30,FALSE),0)</f>
        <v>0</v>
      </c>
      <c r="K1867">
        <f>IFERROR(HLOOKUP(K$2,[57]table_female_hkom2_inj.U6!$A$1:$K$36,30,FALSE),0)</f>
        <v>0</v>
      </c>
      <c r="L1867">
        <f>IFERROR(HLOOKUP(L$2,[57]table_female_hkom2_inj.U6!$A$1:$K$36,30,FALSE),0)</f>
        <v>0</v>
      </c>
      <c r="M1867">
        <f t="shared" si="578"/>
        <v>6</v>
      </c>
      <c r="S1867" t="s">
        <v>98</v>
      </c>
      <c r="T1867" s="5">
        <f t="shared" si="579"/>
        <v>0</v>
      </c>
      <c r="U1867" s="5">
        <f t="shared" si="580"/>
        <v>0</v>
      </c>
      <c r="V1867" s="5">
        <f t="shared" si="581"/>
        <v>0</v>
      </c>
      <c r="W1867" s="5">
        <f t="shared" si="582"/>
        <v>10.428571428571427</v>
      </c>
      <c r="X1867" s="5">
        <f t="shared" si="583"/>
        <v>22.865671641791046</v>
      </c>
      <c r="Y1867" s="5">
        <f t="shared" si="584"/>
        <v>0</v>
      </c>
      <c r="Z1867" s="5">
        <f t="shared" si="585"/>
        <v>0</v>
      </c>
      <c r="AA1867" s="5">
        <f t="shared" si="586"/>
        <v>3.0303030303030304E-2</v>
      </c>
      <c r="AB1867" s="5">
        <f t="shared" si="576"/>
        <v>33.324546100665501</v>
      </c>
    </row>
    <row r="1868" spans="4:29" x14ac:dyDescent="0.25">
      <c r="D1868" t="s">
        <v>119</v>
      </c>
      <c r="E1868" s="64"/>
      <c r="F1868" s="64"/>
      <c r="G1868">
        <f>IFERROR(HLOOKUP(G$2,[57]table_female_hkom2_inj.U6!$A$1:$K$36,31,FALSE),0)</f>
        <v>0</v>
      </c>
      <c r="H1868">
        <f>IFERROR(HLOOKUP(H$2,[57]table_female_hkom2_inj.U6!$A$1:$K$36,31,FALSE),0)</f>
        <v>3</v>
      </c>
      <c r="I1868">
        <f>IFERROR(HLOOKUP(I$2,[57]table_female_hkom2_inj.U6!$A$1:$K$36,31,FALSE),0)</f>
        <v>1</v>
      </c>
      <c r="J1868">
        <f>IFERROR(HLOOKUP(J$2,[57]table_female_hkom2_inj.U6!$A$1:$K$36,31,FALSE),0)</f>
        <v>0</v>
      </c>
      <c r="K1868">
        <f>IFERROR(HLOOKUP(K$2,[57]table_female_hkom2_inj.U6!$A$1:$K$36,31,FALSE),0)</f>
        <v>0</v>
      </c>
      <c r="L1868">
        <f>IFERROR(HLOOKUP(L$2,[57]table_female_hkom2_inj.U6!$A$1:$K$36,31,FALSE),0)</f>
        <v>0</v>
      </c>
      <c r="M1868">
        <f t="shared" si="578"/>
        <v>4</v>
      </c>
      <c r="S1868" t="s">
        <v>119</v>
      </c>
      <c r="T1868" s="5">
        <f t="shared" si="579"/>
        <v>0</v>
      </c>
      <c r="U1868" s="5">
        <f t="shared" si="580"/>
        <v>0</v>
      </c>
      <c r="V1868" s="5">
        <f t="shared" si="581"/>
        <v>0</v>
      </c>
      <c r="W1868" s="5">
        <f t="shared" si="582"/>
        <v>15.642857142857142</v>
      </c>
      <c r="X1868" s="5">
        <f t="shared" si="583"/>
        <v>5.7164179104477615</v>
      </c>
      <c r="Y1868" s="5">
        <f t="shared" si="584"/>
        <v>0</v>
      </c>
      <c r="Z1868" s="5">
        <f t="shared" si="585"/>
        <v>0</v>
      </c>
      <c r="AA1868" s="5">
        <f t="shared" si="586"/>
        <v>3.0303030303030304E-2</v>
      </c>
      <c r="AB1868" s="5">
        <f t="shared" si="576"/>
        <v>21.389578083607937</v>
      </c>
    </row>
    <row r="1869" spans="4:29" x14ac:dyDescent="0.25">
      <c r="D1869" t="s">
        <v>99</v>
      </c>
      <c r="E1869" s="64"/>
      <c r="F1869" s="64"/>
      <c r="G1869">
        <f>IFERROR(HLOOKUP(G$2,[57]table_female_hkom2_inj.U6!$A$1:$K$36,32,FALSE),0)</f>
        <v>1</v>
      </c>
      <c r="H1869">
        <f>IFERROR(HLOOKUP(H$2,[57]table_female_hkom2_inj.U6!$A$1:$K$36,32,FALSE),0)</f>
        <v>4</v>
      </c>
      <c r="I1869">
        <f>IFERROR(HLOOKUP(I$2,[57]table_female_hkom2_inj.U6!$A$1:$K$36,32,FALSE),0)</f>
        <v>0</v>
      </c>
      <c r="J1869">
        <f>IFERROR(HLOOKUP(J$2,[57]table_female_hkom2_inj.U6!$A$1:$K$36,32,FALSE),0)</f>
        <v>0</v>
      </c>
      <c r="K1869">
        <f>IFERROR(HLOOKUP(K$2,[57]table_female_hkom2_inj.U6!$A$1:$K$36,32,FALSE),0)</f>
        <v>0</v>
      </c>
      <c r="L1869">
        <f>IFERROR(HLOOKUP(L$2,[57]table_female_hkom2_inj.U6!$A$1:$K$36,32,FALSE),0)</f>
        <v>0</v>
      </c>
      <c r="M1869">
        <f t="shared" si="578"/>
        <v>5</v>
      </c>
      <c r="S1869" t="s">
        <v>99</v>
      </c>
      <c r="T1869" s="5">
        <f t="shared" si="579"/>
        <v>0</v>
      </c>
      <c r="U1869" s="5">
        <f t="shared" si="580"/>
        <v>0</v>
      </c>
      <c r="V1869" s="5">
        <f t="shared" si="581"/>
        <v>3.4883720930232558</v>
      </c>
      <c r="W1869" s="5">
        <f t="shared" si="582"/>
        <v>20.857142857142854</v>
      </c>
      <c r="X1869" s="5">
        <f t="shared" si="583"/>
        <v>0</v>
      </c>
      <c r="Y1869" s="5">
        <f t="shared" si="584"/>
        <v>0</v>
      </c>
      <c r="Z1869" s="5">
        <f t="shared" si="585"/>
        <v>0</v>
      </c>
      <c r="AA1869" s="5">
        <f t="shared" si="586"/>
        <v>3.0303030303030304E-2</v>
      </c>
      <c r="AB1869" s="5">
        <f t="shared" si="576"/>
        <v>24.37581798046914</v>
      </c>
    </row>
    <row r="1870" spans="4:29" x14ac:dyDescent="0.25">
      <c r="D1870" t="s">
        <v>100</v>
      </c>
      <c r="E1870" s="64"/>
      <c r="F1870" s="64"/>
      <c r="G1870">
        <f>IFERROR(HLOOKUP(G$2,[57]table_female_hkom2_inj.U6!$A$1:$K$36,33,FALSE),0)</f>
        <v>17</v>
      </c>
      <c r="H1870">
        <f>IFERROR(HLOOKUP(H$2,[57]table_female_hkom2_inj.U6!$A$1:$K$36,33,FALSE),0)</f>
        <v>30</v>
      </c>
      <c r="I1870">
        <f>IFERROR(HLOOKUP(I$2,[57]table_female_hkom2_inj.U6!$A$1:$K$36,33,FALSE),0)</f>
        <v>24</v>
      </c>
      <c r="J1870">
        <f>IFERROR(HLOOKUP(J$2,[57]table_female_hkom2_inj.U6!$A$1:$K$36,33,FALSE),0)</f>
        <v>4</v>
      </c>
      <c r="K1870">
        <f>IFERROR(HLOOKUP(K$2,[57]table_female_hkom2_inj.U6!$A$1:$K$36,33,FALSE),0)</f>
        <v>0</v>
      </c>
      <c r="L1870">
        <f>IFERROR(HLOOKUP(L$2,[57]table_female_hkom2_inj.U6!$A$1:$K$36,33,FALSE),0)</f>
        <v>0</v>
      </c>
      <c r="M1870">
        <f t="shared" si="578"/>
        <v>75</v>
      </c>
      <c r="S1870" t="s">
        <v>100</v>
      </c>
      <c r="T1870" s="5">
        <f t="shared" si="579"/>
        <v>0</v>
      </c>
      <c r="U1870" s="5">
        <f t="shared" si="580"/>
        <v>0</v>
      </c>
      <c r="V1870" s="5">
        <f t="shared" si="581"/>
        <v>59.302325581395344</v>
      </c>
      <c r="W1870" s="5">
        <f t="shared" si="582"/>
        <v>156.42857142857144</v>
      </c>
      <c r="X1870" s="5">
        <f t="shared" si="583"/>
        <v>137.19402985074626</v>
      </c>
      <c r="Y1870" s="5">
        <f t="shared" si="584"/>
        <v>23.5</v>
      </c>
      <c r="Z1870" s="5">
        <f t="shared" si="585"/>
        <v>0</v>
      </c>
      <c r="AA1870" s="5">
        <f t="shared" si="586"/>
        <v>3.0303030303030304E-2</v>
      </c>
      <c r="AB1870" s="5">
        <f t="shared" si="576"/>
        <v>376.45522989101607</v>
      </c>
    </row>
    <row r="1871" spans="4:29" x14ac:dyDescent="0.25">
      <c r="D1871" t="s">
        <v>101</v>
      </c>
      <c r="E1871" s="64"/>
      <c r="F1871" s="64"/>
      <c r="G1871">
        <f>IFERROR(HLOOKUP(G$2,[57]table_female_hkom2_inj.U6!$A$1:$K$36,34,FALSE),0)</f>
        <v>3</v>
      </c>
      <c r="H1871">
        <f>IFERROR(HLOOKUP(H$2,[57]table_female_hkom2_inj.U6!$A$1:$K$36,34,FALSE),0)</f>
        <v>4</v>
      </c>
      <c r="I1871">
        <f>IFERROR(HLOOKUP(I$2,[57]table_female_hkom2_inj.U6!$A$1:$K$36,34,FALSE),0)</f>
        <v>0</v>
      </c>
      <c r="J1871">
        <f>IFERROR(HLOOKUP(J$2,[57]table_female_hkom2_inj.U6!$A$1:$K$36,34,FALSE),0)</f>
        <v>1</v>
      </c>
      <c r="K1871">
        <f>IFERROR(HLOOKUP(K$2,[57]table_female_hkom2_inj.U6!$A$1:$K$36,34,FALSE),0)</f>
        <v>0</v>
      </c>
      <c r="L1871">
        <f>IFERROR(HLOOKUP(L$2,[57]table_female_hkom2_inj.U6!$A$1:$K$36,34,FALSE),0)</f>
        <v>0</v>
      </c>
      <c r="M1871">
        <f t="shared" si="578"/>
        <v>8</v>
      </c>
      <c r="S1871" t="s">
        <v>101</v>
      </c>
      <c r="T1871" s="5">
        <f t="shared" si="579"/>
        <v>0</v>
      </c>
      <c r="U1871" s="5">
        <f t="shared" si="580"/>
        <v>0</v>
      </c>
      <c r="V1871" s="5">
        <f t="shared" si="581"/>
        <v>10.465116279069768</v>
      </c>
      <c r="W1871" s="5">
        <f t="shared" si="582"/>
        <v>20.857142857142854</v>
      </c>
      <c r="X1871" s="5">
        <f t="shared" si="583"/>
        <v>0</v>
      </c>
      <c r="Y1871" s="5">
        <f t="shared" si="584"/>
        <v>5.875</v>
      </c>
      <c r="Z1871" s="5">
        <f t="shared" si="585"/>
        <v>0</v>
      </c>
      <c r="AA1871" s="5">
        <f t="shared" si="586"/>
        <v>3.0303030303030304E-2</v>
      </c>
      <c r="AB1871" s="5">
        <f t="shared" si="576"/>
        <v>37.227562166515654</v>
      </c>
    </row>
    <row r="1872" spans="4:29" x14ac:dyDescent="0.25">
      <c r="D1872" t="s">
        <v>102</v>
      </c>
      <c r="E1872" s="64"/>
      <c r="F1872" s="64"/>
      <c r="G1872">
        <f>IFERROR(HLOOKUP(G$2,[57]table_female_hkom2_inj.U6!$A$1:$K$36,35,FALSE),0)</f>
        <v>107</v>
      </c>
      <c r="H1872">
        <f>IFERROR(HLOOKUP(H$2,[57]table_female_hkom2_inj.U6!$A$1:$K$36,35,FALSE),0)</f>
        <v>413</v>
      </c>
      <c r="I1872">
        <f>IFERROR(HLOOKUP(I$2,[57]table_female_hkom2_inj.U6!$A$1:$K$36,35,FALSE),0)</f>
        <v>316</v>
      </c>
      <c r="J1872">
        <f>IFERROR(HLOOKUP(J$2,[57]table_female_hkom2_inj.U6!$A$1:$K$36,35,FALSE),0)</f>
        <v>78</v>
      </c>
      <c r="K1872">
        <f>IFERROR(HLOOKUP(K$2,[57]table_female_hkom2_inj.U6!$A$1:$K$36,35,FALSE),0)</f>
        <v>7</v>
      </c>
      <c r="L1872">
        <f>IFERROR(HLOOKUP(L$2,[57]table_female_hkom2_inj.U6!$A$1:$K$36,35,FALSE),0)</f>
        <v>1</v>
      </c>
      <c r="M1872">
        <f t="shared" si="578"/>
        <v>922</v>
      </c>
      <c r="N1872">
        <f>SUM(M1839:M1872)</f>
        <v>1149</v>
      </c>
      <c r="O1872" s="8">
        <f>SUM([57]table_female_hkom2_inj.U6!$B$2:$L$36)</f>
        <v>1149</v>
      </c>
      <c r="S1872" t="s">
        <v>102</v>
      </c>
      <c r="T1872" s="7"/>
      <c r="U1872" s="7"/>
      <c r="V1872" s="7"/>
      <c r="W1872" s="7"/>
      <c r="X1872" s="7"/>
      <c r="Y1872" s="7"/>
      <c r="Z1872" s="7"/>
      <c r="AA1872" s="7"/>
      <c r="AB1872" s="5">
        <f t="shared" si="576"/>
        <v>0</v>
      </c>
      <c r="AC1872" s="5">
        <f>SUM(AB1839:AB1871)</f>
        <v>1148.9999999999998</v>
      </c>
    </row>
    <row r="1873" spans="1:28" x14ac:dyDescent="0.25">
      <c r="A1873" t="s">
        <v>115</v>
      </c>
      <c r="B1873" t="s">
        <v>117</v>
      </c>
      <c r="C1873" t="s">
        <v>102</v>
      </c>
      <c r="D1873" t="s">
        <v>70</v>
      </c>
      <c r="E1873" s="64"/>
      <c r="F1873" s="64"/>
      <c r="G1873">
        <f>IFERROR(HLOOKUP(G$2,[58]table_female_hkom3_inj.unk!$A$1:$K$36,2,FALSE),0)</f>
        <v>0</v>
      </c>
      <c r="H1873">
        <f>IFERROR(HLOOKUP(H$2,[58]table_female_hkom3_inj.unk!$A$1:$K$36,2,FALSE),0)</f>
        <v>0</v>
      </c>
      <c r="I1873">
        <f>IFERROR(HLOOKUP(I$2,[58]table_female_hkom3_inj.unk!$A$1:$K$36,2,FALSE),0)</f>
        <v>0</v>
      </c>
      <c r="J1873">
        <f>IFERROR(HLOOKUP(J$2,[58]table_female_hkom3_inj.unk!$A$1:$K$36,2,FALSE),0)</f>
        <v>0</v>
      </c>
      <c r="K1873">
        <f>IFERROR(HLOOKUP(K$2,[58]table_female_hkom3_inj.unk!$A$1:$K$36,2,FALSE),0)</f>
        <v>0</v>
      </c>
      <c r="L1873">
        <f>IFERROR(HLOOKUP(L$2,[58]table_female_hkom3_inj.unk!$A$1:$K$36,2,FALSE),0)</f>
        <v>0</v>
      </c>
      <c r="M1873">
        <f>SUM(E1873:L1873)</f>
        <v>0</v>
      </c>
      <c r="P1873" t="s">
        <v>115</v>
      </c>
      <c r="Q1873" t="s">
        <v>117</v>
      </c>
      <c r="R1873" t="s">
        <v>102</v>
      </c>
      <c r="S1873" t="s">
        <v>70</v>
      </c>
      <c r="T1873" s="5">
        <f>IF(SUM(E$1873:E$1905)=0,E$1906/33,E1873+IFERROR(E1873/SUM(E$1873:E$1905)*E$1906,0))</f>
        <v>0</v>
      </c>
      <c r="U1873" s="5">
        <f t="shared" ref="U1873:AA1873" si="587">IF(SUM(F$1873:F$1905)=0,F$1906/33,F1873+IFERROR(F1873/SUM(F$1873:F$1905)*F$1906,0))</f>
        <v>0</v>
      </c>
      <c r="V1873" s="5">
        <f t="shared" si="587"/>
        <v>0</v>
      </c>
      <c r="W1873" s="5">
        <f t="shared" si="587"/>
        <v>0</v>
      </c>
      <c r="X1873" s="5">
        <f t="shared" si="587"/>
        <v>0</v>
      </c>
      <c r="Y1873" s="5">
        <f t="shared" si="587"/>
        <v>0</v>
      </c>
      <c r="Z1873" s="5">
        <f t="shared" si="587"/>
        <v>0</v>
      </c>
      <c r="AA1873" s="5">
        <f t="shared" si="587"/>
        <v>0</v>
      </c>
      <c r="AB1873" s="5">
        <f t="shared" si="576"/>
        <v>0</v>
      </c>
    </row>
    <row r="1874" spans="1:28" x14ac:dyDescent="0.25">
      <c r="D1874" t="s">
        <v>71</v>
      </c>
      <c r="E1874" s="64"/>
      <c r="F1874" s="64"/>
      <c r="G1874">
        <f>IFERROR(HLOOKUP(G$2,[58]table_female_hkom3_inj.unk!$A$1:$K$36,3,FALSE),0)</f>
        <v>0</v>
      </c>
      <c r="H1874">
        <f>IFERROR(HLOOKUP(H$2,[58]table_female_hkom3_inj.unk!$A$1:$K$36,3,FALSE),0)</f>
        <v>0</v>
      </c>
      <c r="I1874">
        <f>IFERROR(HLOOKUP(I$2,[58]table_female_hkom3_inj.unk!$A$1:$K$36,3,FALSE),0)</f>
        <v>0</v>
      </c>
      <c r="J1874">
        <f>IFERROR(HLOOKUP(J$2,[58]table_female_hkom3_inj.unk!$A$1:$K$36,3,FALSE),0)</f>
        <v>0</v>
      </c>
      <c r="K1874">
        <f>IFERROR(HLOOKUP(K$2,[58]table_female_hkom3_inj.unk!$A$1:$K$36,3,FALSE),0)</f>
        <v>0</v>
      </c>
      <c r="L1874">
        <f>IFERROR(HLOOKUP(L$2,[58]table_female_hkom3_inj.unk!$A$1:$K$36,3,FALSE),0)</f>
        <v>0</v>
      </c>
      <c r="M1874">
        <f t="shared" ref="M1874:M1906" si="588">SUM(E1874:L1874)</f>
        <v>0</v>
      </c>
      <c r="S1874" t="s">
        <v>71</v>
      </c>
      <c r="T1874" s="5">
        <f t="shared" ref="T1874:T1905" si="589">IF(SUM(E$1873:E$1905)=0,E$1906/33,E1874+IFERROR(E1874/SUM(E$1873:E$1905)*E$1906,0))</f>
        <v>0</v>
      </c>
      <c r="U1874" s="5">
        <f t="shared" ref="U1874:U1905" si="590">IF(SUM(F$1873:F$1905)=0,F$1906/33,F1874+IFERROR(F1874/SUM(F$1873:F$1905)*F$1906,0))</f>
        <v>0</v>
      </c>
      <c r="V1874" s="5">
        <f t="shared" ref="V1874:V1905" si="591">IF(SUM(G$1873:G$1905)=0,G$1906/33,G1874+IFERROR(G1874/SUM(G$1873:G$1905)*G$1906,0))</f>
        <v>0</v>
      </c>
      <c r="W1874" s="5">
        <f t="shared" ref="W1874:W1905" si="592">IF(SUM(H$1873:H$1905)=0,H$1906/33,H1874+IFERROR(H1874/SUM(H$1873:H$1905)*H$1906,0))</f>
        <v>0</v>
      </c>
      <c r="X1874" s="5">
        <f t="shared" ref="X1874:X1905" si="593">IF(SUM(I$1873:I$1905)=0,I$1906/33,I1874+IFERROR(I1874/SUM(I$1873:I$1905)*I$1906,0))</f>
        <v>0</v>
      </c>
      <c r="Y1874" s="5">
        <f t="shared" ref="Y1874:Y1905" si="594">IF(SUM(J$1873:J$1905)=0,J$1906/33,J1874+IFERROR(J1874/SUM(J$1873:J$1905)*J$1906,0))</f>
        <v>0</v>
      </c>
      <c r="Z1874" s="5">
        <f t="shared" ref="Z1874:Z1905" si="595">IF(SUM(K$1873:K$1905)=0,K$1906/33,K1874+IFERROR(K1874/SUM(K$1873:K$1905)*K$1906,0))</f>
        <v>0</v>
      </c>
      <c r="AA1874" s="5">
        <f t="shared" ref="AA1874:AA1905" si="596">IF(SUM(L$1873:L$1905)=0,L$1906/33,L1874+IFERROR(L1874/SUM(L$1873:L$1905)*L$1906,0))</f>
        <v>0</v>
      </c>
      <c r="AB1874" s="5">
        <f t="shared" si="576"/>
        <v>0</v>
      </c>
    </row>
    <row r="1875" spans="1:28" x14ac:dyDescent="0.25">
      <c r="D1875" t="s">
        <v>72</v>
      </c>
      <c r="E1875" s="64"/>
      <c r="F1875" s="64"/>
      <c r="G1875">
        <f>IFERROR(HLOOKUP(G$2,[58]table_female_hkom3_inj.unk!$A$1:$K$36,4,FALSE),0)</f>
        <v>0</v>
      </c>
      <c r="H1875">
        <f>IFERROR(HLOOKUP(H$2,[58]table_female_hkom3_inj.unk!$A$1:$K$36,4,FALSE),0)</f>
        <v>0</v>
      </c>
      <c r="I1875">
        <f>IFERROR(HLOOKUP(I$2,[58]table_female_hkom3_inj.unk!$A$1:$K$36,4,FALSE),0)</f>
        <v>0</v>
      </c>
      <c r="J1875">
        <f>IFERROR(HLOOKUP(J$2,[58]table_female_hkom3_inj.unk!$A$1:$K$36,4,FALSE),0)</f>
        <v>0</v>
      </c>
      <c r="K1875">
        <f>IFERROR(HLOOKUP(K$2,[58]table_female_hkom3_inj.unk!$A$1:$K$36,4,FALSE),0)</f>
        <v>0</v>
      </c>
      <c r="L1875">
        <f>IFERROR(HLOOKUP(L$2,[58]table_female_hkom3_inj.unk!$A$1:$K$36,4,FALSE),0)</f>
        <v>0</v>
      </c>
      <c r="M1875">
        <f t="shared" si="588"/>
        <v>0</v>
      </c>
      <c r="S1875" t="s">
        <v>72</v>
      </c>
      <c r="T1875" s="5">
        <f t="shared" si="589"/>
        <v>0</v>
      </c>
      <c r="U1875" s="5">
        <f t="shared" si="590"/>
        <v>0</v>
      </c>
      <c r="V1875" s="5">
        <f t="shared" si="591"/>
        <v>0</v>
      </c>
      <c r="W1875" s="5">
        <f t="shared" si="592"/>
        <v>0</v>
      </c>
      <c r="X1875" s="5">
        <f t="shared" si="593"/>
        <v>0</v>
      </c>
      <c r="Y1875" s="5">
        <f t="shared" si="594"/>
        <v>0</v>
      </c>
      <c r="Z1875" s="5">
        <f t="shared" si="595"/>
        <v>0</v>
      </c>
      <c r="AA1875" s="5">
        <f t="shared" si="596"/>
        <v>0</v>
      </c>
      <c r="AB1875" s="5">
        <f t="shared" si="576"/>
        <v>0</v>
      </c>
    </row>
    <row r="1876" spans="1:28" x14ac:dyDescent="0.25">
      <c r="D1876" t="s">
        <v>73</v>
      </c>
      <c r="E1876" s="64"/>
      <c r="F1876" s="64"/>
      <c r="G1876">
        <f>IFERROR(HLOOKUP(G$2,[58]table_female_hkom3_inj.unk!$A$1:$K$36,5,FALSE),0)</f>
        <v>0</v>
      </c>
      <c r="H1876">
        <f>IFERROR(HLOOKUP(H$2,[58]table_female_hkom3_inj.unk!$A$1:$K$36,5,FALSE),0)</f>
        <v>0</v>
      </c>
      <c r="I1876">
        <f>IFERROR(HLOOKUP(I$2,[58]table_female_hkom3_inj.unk!$A$1:$K$36,5,FALSE),0)</f>
        <v>0</v>
      </c>
      <c r="J1876">
        <f>IFERROR(HLOOKUP(J$2,[58]table_female_hkom3_inj.unk!$A$1:$K$36,5,FALSE),0)</f>
        <v>0</v>
      </c>
      <c r="K1876">
        <f>IFERROR(HLOOKUP(K$2,[58]table_female_hkom3_inj.unk!$A$1:$K$36,5,FALSE),0)</f>
        <v>0</v>
      </c>
      <c r="L1876">
        <f>IFERROR(HLOOKUP(L$2,[58]table_female_hkom3_inj.unk!$A$1:$K$36,5,FALSE),0)</f>
        <v>0</v>
      </c>
      <c r="M1876">
        <f t="shared" si="588"/>
        <v>0</v>
      </c>
      <c r="S1876" t="s">
        <v>73</v>
      </c>
      <c r="T1876" s="5">
        <f t="shared" si="589"/>
        <v>0</v>
      </c>
      <c r="U1876" s="5">
        <f t="shared" si="590"/>
        <v>0</v>
      </c>
      <c r="V1876" s="5">
        <f t="shared" si="591"/>
        <v>0</v>
      </c>
      <c r="W1876" s="5">
        <f t="shared" si="592"/>
        <v>0</v>
      </c>
      <c r="X1876" s="5">
        <f t="shared" si="593"/>
        <v>0</v>
      </c>
      <c r="Y1876" s="5">
        <f t="shared" si="594"/>
        <v>0</v>
      </c>
      <c r="Z1876" s="5">
        <f t="shared" si="595"/>
        <v>0</v>
      </c>
      <c r="AA1876" s="5">
        <f t="shared" si="596"/>
        <v>0</v>
      </c>
      <c r="AB1876" s="5">
        <f t="shared" ref="AB1876:AB1939" si="597">SUM(T1876:AA1876)</f>
        <v>0</v>
      </c>
    </row>
    <row r="1877" spans="1:28" x14ac:dyDescent="0.25">
      <c r="D1877" t="s">
        <v>74</v>
      </c>
      <c r="E1877" s="64"/>
      <c r="F1877" s="64"/>
      <c r="G1877">
        <f>IFERROR(HLOOKUP(G$2,[58]table_female_hkom3_inj.unk!$A$1:$K$36,6,FALSE),0)</f>
        <v>0</v>
      </c>
      <c r="H1877">
        <f>IFERROR(HLOOKUP(H$2,[58]table_female_hkom3_inj.unk!$A$1:$K$36,6,FALSE),0)</f>
        <v>0</v>
      </c>
      <c r="I1877">
        <f>IFERROR(HLOOKUP(I$2,[58]table_female_hkom3_inj.unk!$A$1:$K$36,6,FALSE),0)</f>
        <v>0</v>
      </c>
      <c r="J1877">
        <f>IFERROR(HLOOKUP(J$2,[58]table_female_hkom3_inj.unk!$A$1:$K$36,6,FALSE),0)</f>
        <v>0</v>
      </c>
      <c r="K1877">
        <f>IFERROR(HLOOKUP(K$2,[58]table_female_hkom3_inj.unk!$A$1:$K$36,6,FALSE),0)</f>
        <v>0</v>
      </c>
      <c r="L1877">
        <f>IFERROR(HLOOKUP(L$2,[58]table_female_hkom3_inj.unk!$A$1:$K$36,6,FALSE),0)</f>
        <v>0</v>
      </c>
      <c r="M1877">
        <f t="shared" si="588"/>
        <v>0</v>
      </c>
      <c r="S1877" t="s">
        <v>74</v>
      </c>
      <c r="T1877" s="5">
        <f t="shared" si="589"/>
        <v>0</v>
      </c>
      <c r="U1877" s="5">
        <f t="shared" si="590"/>
        <v>0</v>
      </c>
      <c r="V1877" s="5">
        <f t="shared" si="591"/>
        <v>0</v>
      </c>
      <c r="W1877" s="5">
        <f t="shared" si="592"/>
        <v>0</v>
      </c>
      <c r="X1877" s="5">
        <f t="shared" si="593"/>
        <v>0</v>
      </c>
      <c r="Y1877" s="5">
        <f t="shared" si="594"/>
        <v>0</v>
      </c>
      <c r="Z1877" s="5">
        <f t="shared" si="595"/>
        <v>0</v>
      </c>
      <c r="AA1877" s="5">
        <f t="shared" si="596"/>
        <v>0</v>
      </c>
      <c r="AB1877" s="5">
        <f t="shared" si="597"/>
        <v>0</v>
      </c>
    </row>
    <row r="1878" spans="1:28" x14ac:dyDescent="0.25">
      <c r="D1878" t="s">
        <v>75</v>
      </c>
      <c r="E1878" s="64"/>
      <c r="F1878" s="64"/>
      <c r="G1878">
        <f>IFERROR(HLOOKUP(G$2,[58]table_female_hkom3_inj.unk!$A$1:$K$36,7,FALSE),0)</f>
        <v>0</v>
      </c>
      <c r="H1878">
        <f>IFERROR(HLOOKUP(H$2,[58]table_female_hkom3_inj.unk!$A$1:$K$36,7,FALSE),0)</f>
        <v>0</v>
      </c>
      <c r="I1878">
        <f>IFERROR(HLOOKUP(I$2,[58]table_female_hkom3_inj.unk!$A$1:$K$36,7,FALSE),0)</f>
        <v>0</v>
      </c>
      <c r="J1878">
        <f>IFERROR(HLOOKUP(J$2,[58]table_female_hkom3_inj.unk!$A$1:$K$36,7,FALSE),0)</f>
        <v>0</v>
      </c>
      <c r="K1878">
        <f>IFERROR(HLOOKUP(K$2,[58]table_female_hkom3_inj.unk!$A$1:$K$36,7,FALSE),0)</f>
        <v>0</v>
      </c>
      <c r="L1878">
        <f>IFERROR(HLOOKUP(L$2,[58]table_female_hkom3_inj.unk!$A$1:$K$36,7,FALSE),0)</f>
        <v>0</v>
      </c>
      <c r="M1878">
        <f t="shared" si="588"/>
        <v>0</v>
      </c>
      <c r="S1878" t="s">
        <v>75</v>
      </c>
      <c r="T1878" s="5">
        <f t="shared" si="589"/>
        <v>0</v>
      </c>
      <c r="U1878" s="5">
        <f t="shared" si="590"/>
        <v>0</v>
      </c>
      <c r="V1878" s="5">
        <f t="shared" si="591"/>
        <v>0</v>
      </c>
      <c r="W1878" s="5">
        <f t="shared" si="592"/>
        <v>0</v>
      </c>
      <c r="X1878" s="5">
        <f t="shared" si="593"/>
        <v>0</v>
      </c>
      <c r="Y1878" s="5">
        <f t="shared" si="594"/>
        <v>0</v>
      </c>
      <c r="Z1878" s="5">
        <f t="shared" si="595"/>
        <v>0</v>
      </c>
      <c r="AA1878" s="5">
        <f t="shared" si="596"/>
        <v>0</v>
      </c>
      <c r="AB1878" s="5">
        <f t="shared" si="597"/>
        <v>0</v>
      </c>
    </row>
    <row r="1879" spans="1:28" x14ac:dyDescent="0.25">
      <c r="D1879" t="s">
        <v>76</v>
      </c>
      <c r="E1879" s="64"/>
      <c r="F1879" s="64"/>
      <c r="G1879">
        <f>IFERROR(HLOOKUP(G$2,[58]table_female_hkom3_inj.unk!$A$1:$K$36,8,FALSE),0)</f>
        <v>0</v>
      </c>
      <c r="H1879">
        <f>IFERROR(HLOOKUP(H$2,[58]table_female_hkom3_inj.unk!$A$1:$K$36,8,FALSE),0)</f>
        <v>0</v>
      </c>
      <c r="I1879">
        <f>IFERROR(HLOOKUP(I$2,[58]table_female_hkom3_inj.unk!$A$1:$K$36,8,FALSE),0)</f>
        <v>0</v>
      </c>
      <c r="J1879">
        <f>IFERROR(HLOOKUP(J$2,[58]table_female_hkom3_inj.unk!$A$1:$K$36,8,FALSE),0)</f>
        <v>0</v>
      </c>
      <c r="K1879">
        <f>IFERROR(HLOOKUP(K$2,[58]table_female_hkom3_inj.unk!$A$1:$K$36,8,FALSE),0)</f>
        <v>0</v>
      </c>
      <c r="L1879">
        <f>IFERROR(HLOOKUP(L$2,[58]table_female_hkom3_inj.unk!$A$1:$K$36,8,FALSE),0)</f>
        <v>0</v>
      </c>
      <c r="M1879">
        <f t="shared" si="588"/>
        <v>0</v>
      </c>
      <c r="S1879" t="s">
        <v>76</v>
      </c>
      <c r="T1879" s="5">
        <f t="shared" si="589"/>
        <v>0</v>
      </c>
      <c r="U1879" s="5">
        <f t="shared" si="590"/>
        <v>0</v>
      </c>
      <c r="V1879" s="5">
        <f t="shared" si="591"/>
        <v>0</v>
      </c>
      <c r="W1879" s="5">
        <f t="shared" si="592"/>
        <v>0</v>
      </c>
      <c r="X1879" s="5">
        <f t="shared" si="593"/>
        <v>0</v>
      </c>
      <c r="Y1879" s="5">
        <f t="shared" si="594"/>
        <v>0</v>
      </c>
      <c r="Z1879" s="5">
        <f t="shared" si="595"/>
        <v>0</v>
      </c>
      <c r="AA1879" s="5">
        <f t="shared" si="596"/>
        <v>0</v>
      </c>
      <c r="AB1879" s="5">
        <f t="shared" si="597"/>
        <v>0</v>
      </c>
    </row>
    <row r="1880" spans="1:28" x14ac:dyDescent="0.25">
      <c r="D1880" t="s">
        <v>77</v>
      </c>
      <c r="E1880" s="64"/>
      <c r="F1880" s="64"/>
      <c r="G1880">
        <f>IFERROR(HLOOKUP(G$2,[58]table_female_hkom3_inj.unk!$A$1:$K$36,9,FALSE),0)</f>
        <v>0</v>
      </c>
      <c r="H1880">
        <f>IFERROR(HLOOKUP(H$2,[58]table_female_hkom3_inj.unk!$A$1:$K$36,9,FALSE),0)</f>
        <v>0</v>
      </c>
      <c r="I1880">
        <f>IFERROR(HLOOKUP(I$2,[58]table_female_hkom3_inj.unk!$A$1:$K$36,9,FALSE),0)</f>
        <v>0</v>
      </c>
      <c r="J1880">
        <f>IFERROR(HLOOKUP(J$2,[58]table_female_hkom3_inj.unk!$A$1:$K$36,9,FALSE),0)</f>
        <v>0</v>
      </c>
      <c r="K1880">
        <f>IFERROR(HLOOKUP(K$2,[58]table_female_hkom3_inj.unk!$A$1:$K$36,9,FALSE),0)</f>
        <v>0</v>
      </c>
      <c r="L1880">
        <f>IFERROR(HLOOKUP(L$2,[58]table_female_hkom3_inj.unk!$A$1:$K$36,9,FALSE),0)</f>
        <v>0</v>
      </c>
      <c r="M1880">
        <f t="shared" si="588"/>
        <v>0</v>
      </c>
      <c r="S1880" t="s">
        <v>77</v>
      </c>
      <c r="T1880" s="5">
        <f t="shared" si="589"/>
        <v>0</v>
      </c>
      <c r="U1880" s="5">
        <f t="shared" si="590"/>
        <v>0</v>
      </c>
      <c r="V1880" s="5">
        <f t="shared" si="591"/>
        <v>0</v>
      </c>
      <c r="W1880" s="5">
        <f t="shared" si="592"/>
        <v>0</v>
      </c>
      <c r="X1880" s="5">
        <f t="shared" si="593"/>
        <v>0</v>
      </c>
      <c r="Y1880" s="5">
        <f t="shared" si="594"/>
        <v>0</v>
      </c>
      <c r="Z1880" s="5">
        <f t="shared" si="595"/>
        <v>0</v>
      </c>
      <c r="AA1880" s="5">
        <f t="shared" si="596"/>
        <v>0</v>
      </c>
      <c r="AB1880" s="5">
        <f t="shared" si="597"/>
        <v>0</v>
      </c>
    </row>
    <row r="1881" spans="1:28" x14ac:dyDescent="0.25">
      <c r="D1881" t="s">
        <v>78</v>
      </c>
      <c r="E1881" s="64"/>
      <c r="F1881" s="64"/>
      <c r="G1881">
        <f>IFERROR(HLOOKUP(G$2,[58]table_female_hkom3_inj.unk!$A$1:$K$36,10,FALSE),0)</f>
        <v>0</v>
      </c>
      <c r="H1881">
        <f>IFERROR(HLOOKUP(H$2,[58]table_female_hkom3_inj.unk!$A$1:$K$36,10,FALSE),0)</f>
        <v>0</v>
      </c>
      <c r="I1881">
        <f>IFERROR(HLOOKUP(I$2,[58]table_female_hkom3_inj.unk!$A$1:$K$36,10,FALSE),0)</f>
        <v>0</v>
      </c>
      <c r="J1881">
        <f>IFERROR(HLOOKUP(J$2,[58]table_female_hkom3_inj.unk!$A$1:$K$36,10,FALSE),0)</f>
        <v>0</v>
      </c>
      <c r="K1881">
        <f>IFERROR(HLOOKUP(K$2,[58]table_female_hkom3_inj.unk!$A$1:$K$36,10,FALSE),0)</f>
        <v>0</v>
      </c>
      <c r="L1881">
        <f>IFERROR(HLOOKUP(L$2,[58]table_female_hkom3_inj.unk!$A$1:$K$36,10,FALSE),0)</f>
        <v>0</v>
      </c>
      <c r="M1881">
        <f t="shared" si="588"/>
        <v>0</v>
      </c>
      <c r="S1881" t="s">
        <v>78</v>
      </c>
      <c r="T1881" s="5">
        <f t="shared" si="589"/>
        <v>0</v>
      </c>
      <c r="U1881" s="5">
        <f t="shared" si="590"/>
        <v>0</v>
      </c>
      <c r="V1881" s="5">
        <f t="shared" si="591"/>
        <v>0</v>
      </c>
      <c r="W1881" s="5">
        <f t="shared" si="592"/>
        <v>0</v>
      </c>
      <c r="X1881" s="5">
        <f t="shared" si="593"/>
        <v>0</v>
      </c>
      <c r="Y1881" s="5">
        <f t="shared" si="594"/>
        <v>0</v>
      </c>
      <c r="Z1881" s="5">
        <f t="shared" si="595"/>
        <v>0</v>
      </c>
      <c r="AA1881" s="5">
        <f t="shared" si="596"/>
        <v>0</v>
      </c>
      <c r="AB1881" s="5">
        <f t="shared" si="597"/>
        <v>0</v>
      </c>
    </row>
    <row r="1882" spans="1:28" x14ac:dyDescent="0.25">
      <c r="D1882" t="s">
        <v>79</v>
      </c>
      <c r="E1882" s="64"/>
      <c r="F1882" s="64"/>
      <c r="G1882">
        <f>IFERROR(HLOOKUP(G$2,[58]table_female_hkom3_inj.unk!$A$1:$K$36,11,FALSE),0)</f>
        <v>0</v>
      </c>
      <c r="H1882">
        <f>IFERROR(HLOOKUP(H$2,[58]table_female_hkom3_inj.unk!$A$1:$K$36,11,FALSE),0)</f>
        <v>0</v>
      </c>
      <c r="I1882">
        <f>IFERROR(HLOOKUP(I$2,[58]table_female_hkom3_inj.unk!$A$1:$K$36,11,FALSE),0)</f>
        <v>0</v>
      </c>
      <c r="J1882">
        <f>IFERROR(HLOOKUP(J$2,[58]table_female_hkom3_inj.unk!$A$1:$K$36,11,FALSE),0)</f>
        <v>0</v>
      </c>
      <c r="K1882">
        <f>IFERROR(HLOOKUP(K$2,[58]table_female_hkom3_inj.unk!$A$1:$K$36,11,FALSE),0)</f>
        <v>0</v>
      </c>
      <c r="L1882">
        <f>IFERROR(HLOOKUP(L$2,[58]table_female_hkom3_inj.unk!$A$1:$K$36,11,FALSE),0)</f>
        <v>0</v>
      </c>
      <c r="M1882">
        <f t="shared" si="588"/>
        <v>0</v>
      </c>
      <c r="S1882" t="s">
        <v>79</v>
      </c>
      <c r="T1882" s="5">
        <f t="shared" si="589"/>
        <v>0</v>
      </c>
      <c r="U1882" s="5">
        <f t="shared" si="590"/>
        <v>0</v>
      </c>
      <c r="V1882" s="5">
        <f t="shared" si="591"/>
        <v>0</v>
      </c>
      <c r="W1882" s="5">
        <f t="shared" si="592"/>
        <v>0</v>
      </c>
      <c r="X1882" s="5">
        <f t="shared" si="593"/>
        <v>0</v>
      </c>
      <c r="Y1882" s="5">
        <f t="shared" si="594"/>
        <v>0</v>
      </c>
      <c r="Z1882" s="5">
        <f t="shared" si="595"/>
        <v>0</v>
      </c>
      <c r="AA1882" s="5">
        <f t="shared" si="596"/>
        <v>0</v>
      </c>
      <c r="AB1882" s="5">
        <f t="shared" si="597"/>
        <v>0</v>
      </c>
    </row>
    <row r="1883" spans="1:28" x14ac:dyDescent="0.25">
      <c r="D1883" t="s">
        <v>80</v>
      </c>
      <c r="E1883" s="64"/>
      <c r="F1883" s="64"/>
      <c r="G1883">
        <f>IFERROR(HLOOKUP(G$2,[58]table_female_hkom3_inj.unk!$A$1:$K$36,12,FALSE),0)</f>
        <v>0</v>
      </c>
      <c r="H1883">
        <f>IFERROR(HLOOKUP(H$2,[58]table_female_hkom3_inj.unk!$A$1:$K$36,12,FALSE),0)</f>
        <v>0</v>
      </c>
      <c r="I1883">
        <f>IFERROR(HLOOKUP(I$2,[58]table_female_hkom3_inj.unk!$A$1:$K$36,12,FALSE),0)</f>
        <v>0</v>
      </c>
      <c r="J1883">
        <f>IFERROR(HLOOKUP(J$2,[58]table_female_hkom3_inj.unk!$A$1:$K$36,12,FALSE),0)</f>
        <v>0</v>
      </c>
      <c r="K1883">
        <f>IFERROR(HLOOKUP(K$2,[58]table_female_hkom3_inj.unk!$A$1:$K$36,12,FALSE),0)</f>
        <v>0</v>
      </c>
      <c r="L1883">
        <f>IFERROR(HLOOKUP(L$2,[58]table_female_hkom3_inj.unk!$A$1:$K$36,12,FALSE),0)</f>
        <v>0</v>
      </c>
      <c r="M1883">
        <f t="shared" si="588"/>
        <v>0</v>
      </c>
      <c r="S1883" t="s">
        <v>80</v>
      </c>
      <c r="T1883" s="5">
        <f t="shared" si="589"/>
        <v>0</v>
      </c>
      <c r="U1883" s="5">
        <f t="shared" si="590"/>
        <v>0</v>
      </c>
      <c r="V1883" s="5">
        <f t="shared" si="591"/>
        <v>0</v>
      </c>
      <c r="W1883" s="5">
        <f t="shared" si="592"/>
        <v>0</v>
      </c>
      <c r="X1883" s="5">
        <f t="shared" si="593"/>
        <v>0</v>
      </c>
      <c r="Y1883" s="5">
        <f t="shared" si="594"/>
        <v>0</v>
      </c>
      <c r="Z1883" s="5">
        <f t="shared" si="595"/>
        <v>0</v>
      </c>
      <c r="AA1883" s="5">
        <f t="shared" si="596"/>
        <v>0</v>
      </c>
      <c r="AB1883" s="5">
        <f t="shared" si="597"/>
        <v>0</v>
      </c>
    </row>
    <row r="1884" spans="1:28" x14ac:dyDescent="0.25">
      <c r="D1884" t="s">
        <v>81</v>
      </c>
      <c r="E1884" s="64"/>
      <c r="F1884" s="64"/>
      <c r="G1884">
        <f>IFERROR(HLOOKUP(G$2,[58]table_female_hkom3_inj.unk!$A$1:$K$36,13,FALSE),0)</f>
        <v>0</v>
      </c>
      <c r="H1884">
        <f>IFERROR(HLOOKUP(H$2,[58]table_female_hkom3_inj.unk!$A$1:$K$36,13,FALSE),0)</f>
        <v>0</v>
      </c>
      <c r="I1884">
        <f>IFERROR(HLOOKUP(I$2,[58]table_female_hkom3_inj.unk!$A$1:$K$36,13,FALSE),0)</f>
        <v>0</v>
      </c>
      <c r="J1884">
        <f>IFERROR(HLOOKUP(J$2,[58]table_female_hkom3_inj.unk!$A$1:$K$36,13,FALSE),0)</f>
        <v>0</v>
      </c>
      <c r="K1884">
        <f>IFERROR(HLOOKUP(K$2,[58]table_female_hkom3_inj.unk!$A$1:$K$36,13,FALSE),0)</f>
        <v>0</v>
      </c>
      <c r="L1884">
        <f>IFERROR(HLOOKUP(L$2,[58]table_female_hkom3_inj.unk!$A$1:$K$36,13,FALSE),0)</f>
        <v>0</v>
      </c>
      <c r="M1884">
        <f t="shared" si="588"/>
        <v>0</v>
      </c>
      <c r="S1884" t="s">
        <v>81</v>
      </c>
      <c r="T1884" s="5">
        <f t="shared" si="589"/>
        <v>0</v>
      </c>
      <c r="U1884" s="5">
        <f t="shared" si="590"/>
        <v>0</v>
      </c>
      <c r="V1884" s="5">
        <f t="shared" si="591"/>
        <v>0</v>
      </c>
      <c r="W1884" s="5">
        <f t="shared" si="592"/>
        <v>0</v>
      </c>
      <c r="X1884" s="5">
        <f t="shared" si="593"/>
        <v>0</v>
      </c>
      <c r="Y1884" s="5">
        <f t="shared" si="594"/>
        <v>0</v>
      </c>
      <c r="Z1884" s="5">
        <f t="shared" si="595"/>
        <v>0</v>
      </c>
      <c r="AA1884" s="5">
        <f t="shared" si="596"/>
        <v>0</v>
      </c>
      <c r="AB1884" s="5">
        <f t="shared" si="597"/>
        <v>0</v>
      </c>
    </row>
    <row r="1885" spans="1:28" x14ac:dyDescent="0.25">
      <c r="D1885" t="s">
        <v>82</v>
      </c>
      <c r="E1885" s="64"/>
      <c r="F1885" s="64"/>
      <c r="G1885">
        <f>IFERROR(HLOOKUP(G$2,[58]table_female_hkom3_inj.unk!$A$1:$K$36,14,FALSE),0)</f>
        <v>0</v>
      </c>
      <c r="H1885">
        <f>IFERROR(HLOOKUP(H$2,[58]table_female_hkom3_inj.unk!$A$1:$K$36,14,FALSE),0)</f>
        <v>0</v>
      </c>
      <c r="I1885">
        <f>IFERROR(HLOOKUP(I$2,[58]table_female_hkom3_inj.unk!$A$1:$K$36,14,FALSE),0)</f>
        <v>0</v>
      </c>
      <c r="J1885">
        <f>IFERROR(HLOOKUP(J$2,[58]table_female_hkom3_inj.unk!$A$1:$K$36,14,FALSE),0)</f>
        <v>0</v>
      </c>
      <c r="K1885">
        <f>IFERROR(HLOOKUP(K$2,[58]table_female_hkom3_inj.unk!$A$1:$K$36,14,FALSE),0)</f>
        <v>0</v>
      </c>
      <c r="L1885">
        <f>IFERROR(HLOOKUP(L$2,[58]table_female_hkom3_inj.unk!$A$1:$K$36,14,FALSE),0)</f>
        <v>0</v>
      </c>
      <c r="M1885">
        <f t="shared" si="588"/>
        <v>0</v>
      </c>
      <c r="S1885" t="s">
        <v>82</v>
      </c>
      <c r="T1885" s="5">
        <f t="shared" si="589"/>
        <v>0</v>
      </c>
      <c r="U1885" s="5">
        <f t="shared" si="590"/>
        <v>0</v>
      </c>
      <c r="V1885" s="5">
        <f t="shared" si="591"/>
        <v>0</v>
      </c>
      <c r="W1885" s="5">
        <f t="shared" si="592"/>
        <v>0</v>
      </c>
      <c r="X1885" s="5">
        <f t="shared" si="593"/>
        <v>0</v>
      </c>
      <c r="Y1885" s="5">
        <f t="shared" si="594"/>
        <v>0</v>
      </c>
      <c r="Z1885" s="5">
        <f t="shared" si="595"/>
        <v>0</v>
      </c>
      <c r="AA1885" s="5">
        <f t="shared" si="596"/>
        <v>0</v>
      </c>
      <c r="AB1885" s="5">
        <f t="shared" si="597"/>
        <v>0</v>
      </c>
    </row>
    <row r="1886" spans="1:28" x14ac:dyDescent="0.25">
      <c r="D1886" t="s">
        <v>83</v>
      </c>
      <c r="E1886" s="64"/>
      <c r="F1886" s="64"/>
      <c r="G1886">
        <f>IFERROR(HLOOKUP(G$2,[58]table_female_hkom3_inj.unk!$A$1:$K$36,15,FALSE),0)</f>
        <v>0</v>
      </c>
      <c r="H1886">
        <f>IFERROR(HLOOKUP(H$2,[58]table_female_hkom3_inj.unk!$A$1:$K$36,15,FALSE),0)</f>
        <v>0</v>
      </c>
      <c r="I1886">
        <f>IFERROR(HLOOKUP(I$2,[58]table_female_hkom3_inj.unk!$A$1:$K$36,15,FALSE),0)</f>
        <v>0</v>
      </c>
      <c r="J1886">
        <f>IFERROR(HLOOKUP(J$2,[58]table_female_hkom3_inj.unk!$A$1:$K$36,15,FALSE),0)</f>
        <v>0</v>
      </c>
      <c r="K1886">
        <f>IFERROR(HLOOKUP(K$2,[58]table_female_hkom3_inj.unk!$A$1:$K$36,15,FALSE),0)</f>
        <v>0</v>
      </c>
      <c r="L1886">
        <f>IFERROR(HLOOKUP(L$2,[58]table_female_hkom3_inj.unk!$A$1:$K$36,15,FALSE),0)</f>
        <v>0</v>
      </c>
      <c r="M1886">
        <f t="shared" si="588"/>
        <v>0</v>
      </c>
      <c r="S1886" t="s">
        <v>83</v>
      </c>
      <c r="T1886" s="5">
        <f t="shared" si="589"/>
        <v>0</v>
      </c>
      <c r="U1886" s="5">
        <f t="shared" si="590"/>
        <v>0</v>
      </c>
      <c r="V1886" s="5">
        <f t="shared" si="591"/>
        <v>0</v>
      </c>
      <c r="W1886" s="5">
        <f t="shared" si="592"/>
        <v>0</v>
      </c>
      <c r="X1886" s="5">
        <f t="shared" si="593"/>
        <v>0</v>
      </c>
      <c r="Y1886" s="5">
        <f t="shared" si="594"/>
        <v>0</v>
      </c>
      <c r="Z1886" s="5">
        <f t="shared" si="595"/>
        <v>0</v>
      </c>
      <c r="AA1886" s="5">
        <f t="shared" si="596"/>
        <v>0</v>
      </c>
      <c r="AB1886" s="5">
        <f t="shared" si="597"/>
        <v>0</v>
      </c>
    </row>
    <row r="1887" spans="1:28" x14ac:dyDescent="0.25">
      <c r="D1887" t="s">
        <v>84</v>
      </c>
      <c r="E1887" s="64"/>
      <c r="F1887" s="64"/>
      <c r="G1887">
        <f>IFERROR(HLOOKUP(G$2,[58]table_female_hkom3_inj.unk!$A$1:$K$36,16,FALSE),0)</f>
        <v>0</v>
      </c>
      <c r="H1887">
        <f>IFERROR(HLOOKUP(H$2,[58]table_female_hkom3_inj.unk!$A$1:$K$36,16,FALSE),0)</f>
        <v>0</v>
      </c>
      <c r="I1887">
        <f>IFERROR(HLOOKUP(I$2,[58]table_female_hkom3_inj.unk!$A$1:$K$36,16,FALSE),0)</f>
        <v>0</v>
      </c>
      <c r="J1887">
        <f>IFERROR(HLOOKUP(J$2,[58]table_female_hkom3_inj.unk!$A$1:$K$36,16,FALSE),0)</f>
        <v>0</v>
      </c>
      <c r="K1887">
        <f>IFERROR(HLOOKUP(K$2,[58]table_female_hkom3_inj.unk!$A$1:$K$36,16,FALSE),0)</f>
        <v>0</v>
      </c>
      <c r="L1887">
        <f>IFERROR(HLOOKUP(L$2,[58]table_female_hkom3_inj.unk!$A$1:$K$36,16,FALSE),0)</f>
        <v>0</v>
      </c>
      <c r="M1887">
        <f t="shared" si="588"/>
        <v>0</v>
      </c>
      <c r="S1887" t="s">
        <v>84</v>
      </c>
      <c r="T1887" s="5">
        <f t="shared" si="589"/>
        <v>0</v>
      </c>
      <c r="U1887" s="5">
        <f t="shared" si="590"/>
        <v>0</v>
      </c>
      <c r="V1887" s="5">
        <f t="shared" si="591"/>
        <v>0</v>
      </c>
      <c r="W1887" s="5">
        <f t="shared" si="592"/>
        <v>0</v>
      </c>
      <c r="X1887" s="5">
        <f t="shared" si="593"/>
        <v>0</v>
      </c>
      <c r="Y1887" s="5">
        <f t="shared" si="594"/>
        <v>0</v>
      </c>
      <c r="Z1887" s="5">
        <f t="shared" si="595"/>
        <v>0</v>
      </c>
      <c r="AA1887" s="5">
        <f t="shared" si="596"/>
        <v>0</v>
      </c>
      <c r="AB1887" s="5">
        <f t="shared" si="597"/>
        <v>0</v>
      </c>
    </row>
    <row r="1888" spans="1:28" x14ac:dyDescent="0.25">
      <c r="D1888" t="s">
        <v>85</v>
      </c>
      <c r="E1888" s="64"/>
      <c r="F1888" s="64"/>
      <c r="G1888">
        <f>IFERROR(HLOOKUP(G$2,[58]table_female_hkom3_inj.unk!$A$1:$K$36,17,FALSE),0)</f>
        <v>0</v>
      </c>
      <c r="H1888">
        <f>IFERROR(HLOOKUP(H$2,[58]table_female_hkom3_inj.unk!$A$1:$K$36,17,FALSE),0)</f>
        <v>0</v>
      </c>
      <c r="I1888">
        <f>IFERROR(HLOOKUP(I$2,[58]table_female_hkom3_inj.unk!$A$1:$K$36,17,FALSE),0)</f>
        <v>0</v>
      </c>
      <c r="J1888">
        <f>IFERROR(HLOOKUP(J$2,[58]table_female_hkom3_inj.unk!$A$1:$K$36,17,FALSE),0)</f>
        <v>0</v>
      </c>
      <c r="K1888">
        <f>IFERROR(HLOOKUP(K$2,[58]table_female_hkom3_inj.unk!$A$1:$K$36,17,FALSE),0)</f>
        <v>0</v>
      </c>
      <c r="L1888">
        <f>IFERROR(HLOOKUP(L$2,[58]table_female_hkom3_inj.unk!$A$1:$K$36,17,FALSE),0)</f>
        <v>0</v>
      </c>
      <c r="M1888">
        <f t="shared" si="588"/>
        <v>0</v>
      </c>
      <c r="S1888" t="s">
        <v>85</v>
      </c>
      <c r="T1888" s="5">
        <f t="shared" si="589"/>
        <v>0</v>
      </c>
      <c r="U1888" s="5">
        <f t="shared" si="590"/>
        <v>0</v>
      </c>
      <c r="V1888" s="5">
        <f t="shared" si="591"/>
        <v>0</v>
      </c>
      <c r="W1888" s="5">
        <f t="shared" si="592"/>
        <v>0</v>
      </c>
      <c r="X1888" s="5">
        <f t="shared" si="593"/>
        <v>0</v>
      </c>
      <c r="Y1888" s="5">
        <f t="shared" si="594"/>
        <v>0</v>
      </c>
      <c r="Z1888" s="5">
        <f t="shared" si="595"/>
        <v>0</v>
      </c>
      <c r="AA1888" s="5">
        <f t="shared" si="596"/>
        <v>0</v>
      </c>
      <c r="AB1888" s="5">
        <f t="shared" si="597"/>
        <v>0</v>
      </c>
    </row>
    <row r="1889" spans="4:28" x14ac:dyDescent="0.25">
      <c r="D1889" t="s">
        <v>86</v>
      </c>
      <c r="E1889" s="64"/>
      <c r="F1889" s="64"/>
      <c r="G1889">
        <f>IFERROR(HLOOKUP(G$2,[58]table_female_hkom3_inj.unk!$A$1:$K$36,18,FALSE),0)</f>
        <v>0</v>
      </c>
      <c r="H1889">
        <f>IFERROR(HLOOKUP(H$2,[58]table_female_hkom3_inj.unk!$A$1:$K$36,18,FALSE),0)</f>
        <v>0</v>
      </c>
      <c r="I1889">
        <f>IFERROR(HLOOKUP(I$2,[58]table_female_hkom3_inj.unk!$A$1:$K$36,18,FALSE),0)</f>
        <v>0</v>
      </c>
      <c r="J1889">
        <f>IFERROR(HLOOKUP(J$2,[58]table_female_hkom3_inj.unk!$A$1:$K$36,18,FALSE),0)</f>
        <v>0</v>
      </c>
      <c r="K1889">
        <f>IFERROR(HLOOKUP(K$2,[58]table_female_hkom3_inj.unk!$A$1:$K$36,18,FALSE),0)</f>
        <v>0</v>
      </c>
      <c r="L1889">
        <f>IFERROR(HLOOKUP(L$2,[58]table_female_hkom3_inj.unk!$A$1:$K$36,18,FALSE),0)</f>
        <v>0</v>
      </c>
      <c r="M1889">
        <f t="shared" si="588"/>
        <v>0</v>
      </c>
      <c r="S1889" t="s">
        <v>86</v>
      </c>
      <c r="T1889" s="5">
        <f t="shared" si="589"/>
        <v>0</v>
      </c>
      <c r="U1889" s="5">
        <f t="shared" si="590"/>
        <v>0</v>
      </c>
      <c r="V1889" s="5">
        <f t="shared" si="591"/>
        <v>0</v>
      </c>
      <c r="W1889" s="5">
        <f t="shared" si="592"/>
        <v>0</v>
      </c>
      <c r="X1889" s="5">
        <f t="shared" si="593"/>
        <v>0</v>
      </c>
      <c r="Y1889" s="5">
        <f t="shared" si="594"/>
        <v>0</v>
      </c>
      <c r="Z1889" s="5">
        <f t="shared" si="595"/>
        <v>0</v>
      </c>
      <c r="AA1889" s="5">
        <f t="shared" si="596"/>
        <v>0</v>
      </c>
      <c r="AB1889" s="5">
        <f t="shared" si="597"/>
        <v>0</v>
      </c>
    </row>
    <row r="1890" spans="4:28" x14ac:dyDescent="0.25">
      <c r="D1890" t="s">
        <v>87</v>
      </c>
      <c r="E1890" s="64"/>
      <c r="F1890" s="64"/>
      <c r="G1890">
        <f>IFERROR(HLOOKUP(G$2,[58]table_female_hkom3_inj.unk!$A$1:$K$36,19,FALSE),0)</f>
        <v>0</v>
      </c>
      <c r="H1890">
        <f>IFERROR(HLOOKUP(H$2,[58]table_female_hkom3_inj.unk!$A$1:$K$36,19,FALSE),0)</f>
        <v>0</v>
      </c>
      <c r="I1890">
        <f>IFERROR(HLOOKUP(I$2,[58]table_female_hkom3_inj.unk!$A$1:$K$36,19,FALSE),0)</f>
        <v>0</v>
      </c>
      <c r="J1890">
        <f>IFERROR(HLOOKUP(J$2,[58]table_female_hkom3_inj.unk!$A$1:$K$36,19,FALSE),0)</f>
        <v>0</v>
      </c>
      <c r="K1890">
        <f>IFERROR(HLOOKUP(K$2,[58]table_female_hkom3_inj.unk!$A$1:$K$36,19,FALSE),0)</f>
        <v>0</v>
      </c>
      <c r="L1890">
        <f>IFERROR(HLOOKUP(L$2,[58]table_female_hkom3_inj.unk!$A$1:$K$36,19,FALSE),0)</f>
        <v>0</v>
      </c>
      <c r="M1890">
        <f t="shared" si="588"/>
        <v>0</v>
      </c>
      <c r="S1890" t="s">
        <v>87</v>
      </c>
      <c r="T1890" s="5">
        <f t="shared" si="589"/>
        <v>0</v>
      </c>
      <c r="U1890" s="5">
        <f t="shared" si="590"/>
        <v>0</v>
      </c>
      <c r="V1890" s="5">
        <f t="shared" si="591"/>
        <v>0</v>
      </c>
      <c r="W1890" s="5">
        <f t="shared" si="592"/>
        <v>0</v>
      </c>
      <c r="X1890" s="5">
        <f t="shared" si="593"/>
        <v>0</v>
      </c>
      <c r="Y1890" s="5">
        <f t="shared" si="594"/>
        <v>0</v>
      </c>
      <c r="Z1890" s="5">
        <f t="shared" si="595"/>
        <v>0</v>
      </c>
      <c r="AA1890" s="5">
        <f t="shared" si="596"/>
        <v>0</v>
      </c>
      <c r="AB1890" s="5">
        <f t="shared" si="597"/>
        <v>0</v>
      </c>
    </row>
    <row r="1891" spans="4:28" x14ac:dyDescent="0.25">
      <c r="D1891" t="s">
        <v>88</v>
      </c>
      <c r="E1891" s="64"/>
      <c r="F1891" s="64"/>
      <c r="G1891">
        <f>IFERROR(HLOOKUP(G$2,[58]table_female_hkom3_inj.unk!$A$1:$K$36,20,FALSE),0)</f>
        <v>0</v>
      </c>
      <c r="H1891">
        <f>IFERROR(HLOOKUP(H$2,[58]table_female_hkom3_inj.unk!$A$1:$K$36,20,FALSE),0)</f>
        <v>0</v>
      </c>
      <c r="I1891">
        <f>IFERROR(HLOOKUP(I$2,[58]table_female_hkom3_inj.unk!$A$1:$K$36,20,FALSE),0)</f>
        <v>0</v>
      </c>
      <c r="J1891">
        <f>IFERROR(HLOOKUP(J$2,[58]table_female_hkom3_inj.unk!$A$1:$K$36,20,FALSE),0)</f>
        <v>0</v>
      </c>
      <c r="K1891">
        <f>IFERROR(HLOOKUP(K$2,[58]table_female_hkom3_inj.unk!$A$1:$K$36,20,FALSE),0)</f>
        <v>0</v>
      </c>
      <c r="L1891">
        <f>IFERROR(HLOOKUP(L$2,[58]table_female_hkom3_inj.unk!$A$1:$K$36,20,FALSE),0)</f>
        <v>0</v>
      </c>
      <c r="M1891">
        <f t="shared" si="588"/>
        <v>0</v>
      </c>
      <c r="S1891" t="s">
        <v>88</v>
      </c>
      <c r="T1891" s="5">
        <f t="shared" si="589"/>
        <v>0</v>
      </c>
      <c r="U1891" s="5">
        <f t="shared" si="590"/>
        <v>0</v>
      </c>
      <c r="V1891" s="5">
        <f t="shared" si="591"/>
        <v>0</v>
      </c>
      <c r="W1891" s="5">
        <f t="shared" si="592"/>
        <v>0</v>
      </c>
      <c r="X1891" s="5">
        <f t="shared" si="593"/>
        <v>0</v>
      </c>
      <c r="Y1891" s="5">
        <f t="shared" si="594"/>
        <v>0</v>
      </c>
      <c r="Z1891" s="5">
        <f t="shared" si="595"/>
        <v>0</v>
      </c>
      <c r="AA1891" s="5">
        <f t="shared" si="596"/>
        <v>0</v>
      </c>
      <c r="AB1891" s="5">
        <f t="shared" si="597"/>
        <v>0</v>
      </c>
    </row>
    <row r="1892" spans="4:28" x14ac:dyDescent="0.25">
      <c r="D1892" t="s">
        <v>89</v>
      </c>
      <c r="E1892" s="64"/>
      <c r="F1892" s="64"/>
      <c r="G1892">
        <f>IFERROR(HLOOKUP(G$2,[58]table_female_hkom3_inj.unk!$A$1:$K$36,21,FALSE),0)</f>
        <v>0</v>
      </c>
      <c r="H1892">
        <f>IFERROR(HLOOKUP(H$2,[58]table_female_hkom3_inj.unk!$A$1:$K$36,21,FALSE),0)</f>
        <v>0</v>
      </c>
      <c r="I1892">
        <f>IFERROR(HLOOKUP(I$2,[58]table_female_hkom3_inj.unk!$A$1:$K$36,21,FALSE),0)</f>
        <v>0</v>
      </c>
      <c r="J1892">
        <f>IFERROR(HLOOKUP(J$2,[58]table_female_hkom3_inj.unk!$A$1:$K$36,21,FALSE),0)</f>
        <v>0</v>
      </c>
      <c r="K1892">
        <f>IFERROR(HLOOKUP(K$2,[58]table_female_hkom3_inj.unk!$A$1:$K$36,21,FALSE),0)</f>
        <v>0</v>
      </c>
      <c r="L1892">
        <f>IFERROR(HLOOKUP(L$2,[58]table_female_hkom3_inj.unk!$A$1:$K$36,21,FALSE),0)</f>
        <v>0</v>
      </c>
      <c r="M1892">
        <f t="shared" si="588"/>
        <v>0</v>
      </c>
      <c r="S1892" t="s">
        <v>89</v>
      </c>
      <c r="T1892" s="5">
        <f t="shared" si="589"/>
        <v>0</v>
      </c>
      <c r="U1892" s="5">
        <f t="shared" si="590"/>
        <v>0</v>
      </c>
      <c r="V1892" s="5">
        <f t="shared" si="591"/>
        <v>0</v>
      </c>
      <c r="W1892" s="5">
        <f t="shared" si="592"/>
        <v>0</v>
      </c>
      <c r="X1892" s="5">
        <f t="shared" si="593"/>
        <v>0</v>
      </c>
      <c r="Y1892" s="5">
        <f t="shared" si="594"/>
        <v>0</v>
      </c>
      <c r="Z1892" s="5">
        <f t="shared" si="595"/>
        <v>0</v>
      </c>
      <c r="AA1892" s="5">
        <f t="shared" si="596"/>
        <v>0</v>
      </c>
      <c r="AB1892" s="5">
        <f t="shared" si="597"/>
        <v>0</v>
      </c>
    </row>
    <row r="1893" spans="4:28" x14ac:dyDescent="0.25">
      <c r="D1893" t="s">
        <v>90</v>
      </c>
      <c r="E1893" s="64"/>
      <c r="F1893" s="64"/>
      <c r="G1893">
        <f>IFERROR(HLOOKUP(G$2,[58]table_female_hkom3_inj.unk!$A$1:$K$36,22,FALSE),0)</f>
        <v>0</v>
      </c>
      <c r="H1893">
        <f>IFERROR(HLOOKUP(H$2,[58]table_female_hkom3_inj.unk!$A$1:$K$36,22,FALSE),0)</f>
        <v>0</v>
      </c>
      <c r="I1893">
        <f>IFERROR(HLOOKUP(I$2,[58]table_female_hkom3_inj.unk!$A$1:$K$36,22,FALSE),0)</f>
        <v>0</v>
      </c>
      <c r="J1893">
        <f>IFERROR(HLOOKUP(J$2,[58]table_female_hkom3_inj.unk!$A$1:$K$36,22,FALSE),0)</f>
        <v>0</v>
      </c>
      <c r="K1893">
        <f>IFERROR(HLOOKUP(K$2,[58]table_female_hkom3_inj.unk!$A$1:$K$36,22,FALSE),0)</f>
        <v>0</v>
      </c>
      <c r="L1893">
        <f>IFERROR(HLOOKUP(L$2,[58]table_female_hkom3_inj.unk!$A$1:$K$36,22,FALSE),0)</f>
        <v>0</v>
      </c>
      <c r="M1893">
        <f t="shared" si="588"/>
        <v>0</v>
      </c>
      <c r="S1893" t="s">
        <v>90</v>
      </c>
      <c r="T1893" s="5">
        <f t="shared" si="589"/>
        <v>0</v>
      </c>
      <c r="U1893" s="5">
        <f t="shared" si="590"/>
        <v>0</v>
      </c>
      <c r="V1893" s="5">
        <f t="shared" si="591"/>
        <v>0</v>
      </c>
      <c r="W1893" s="5">
        <f t="shared" si="592"/>
        <v>0</v>
      </c>
      <c r="X1893" s="5">
        <f t="shared" si="593"/>
        <v>0</v>
      </c>
      <c r="Y1893" s="5">
        <f t="shared" si="594"/>
        <v>0</v>
      </c>
      <c r="Z1893" s="5">
        <f t="shared" si="595"/>
        <v>0</v>
      </c>
      <c r="AA1893" s="5">
        <f t="shared" si="596"/>
        <v>0</v>
      </c>
      <c r="AB1893" s="5">
        <f t="shared" si="597"/>
        <v>0</v>
      </c>
    </row>
    <row r="1894" spans="4:28" x14ac:dyDescent="0.25">
      <c r="D1894" t="s">
        <v>91</v>
      </c>
      <c r="E1894" s="64"/>
      <c r="F1894" s="64"/>
      <c r="G1894">
        <f>IFERROR(HLOOKUP(G$2,[58]table_female_hkom3_inj.unk!$A$1:$K$36,23,FALSE),0)</f>
        <v>0</v>
      </c>
      <c r="H1894">
        <f>IFERROR(HLOOKUP(H$2,[58]table_female_hkom3_inj.unk!$A$1:$K$36,23,FALSE),0)</f>
        <v>0</v>
      </c>
      <c r="I1894">
        <f>IFERROR(HLOOKUP(I$2,[58]table_female_hkom3_inj.unk!$A$1:$K$36,23,FALSE),0)</f>
        <v>0</v>
      </c>
      <c r="J1894">
        <f>IFERROR(HLOOKUP(J$2,[58]table_female_hkom3_inj.unk!$A$1:$K$36,23,FALSE),0)</f>
        <v>0</v>
      </c>
      <c r="K1894">
        <f>IFERROR(HLOOKUP(K$2,[58]table_female_hkom3_inj.unk!$A$1:$K$36,23,FALSE),0)</f>
        <v>0</v>
      </c>
      <c r="L1894">
        <f>IFERROR(HLOOKUP(L$2,[58]table_female_hkom3_inj.unk!$A$1:$K$36,23,FALSE),0)</f>
        <v>0</v>
      </c>
      <c r="M1894">
        <f t="shared" si="588"/>
        <v>0</v>
      </c>
      <c r="S1894" t="s">
        <v>91</v>
      </c>
      <c r="T1894" s="5">
        <f t="shared" si="589"/>
        <v>0</v>
      </c>
      <c r="U1894" s="5">
        <f t="shared" si="590"/>
        <v>0</v>
      </c>
      <c r="V1894" s="5">
        <f t="shared" si="591"/>
        <v>0</v>
      </c>
      <c r="W1894" s="5">
        <f t="shared" si="592"/>
        <v>0</v>
      </c>
      <c r="X1894" s="5">
        <f t="shared" si="593"/>
        <v>0</v>
      </c>
      <c r="Y1894" s="5">
        <f t="shared" si="594"/>
        <v>0</v>
      </c>
      <c r="Z1894" s="5">
        <f t="shared" si="595"/>
        <v>0</v>
      </c>
      <c r="AA1894" s="5">
        <f t="shared" si="596"/>
        <v>0</v>
      </c>
      <c r="AB1894" s="5">
        <f t="shared" si="597"/>
        <v>0</v>
      </c>
    </row>
    <row r="1895" spans="4:28" x14ac:dyDescent="0.25">
      <c r="D1895" t="s">
        <v>92</v>
      </c>
      <c r="E1895" s="64"/>
      <c r="F1895" s="64"/>
      <c r="G1895">
        <f>IFERROR(HLOOKUP(G$2,[58]table_female_hkom3_inj.unk!$A$1:$K$36,24,FALSE),0)</f>
        <v>0</v>
      </c>
      <c r="H1895">
        <f>IFERROR(HLOOKUP(H$2,[58]table_female_hkom3_inj.unk!$A$1:$K$36,24,FALSE),0)</f>
        <v>0</v>
      </c>
      <c r="I1895">
        <f>IFERROR(HLOOKUP(I$2,[58]table_female_hkom3_inj.unk!$A$1:$K$36,24,FALSE),0)</f>
        <v>0</v>
      </c>
      <c r="J1895">
        <f>IFERROR(HLOOKUP(J$2,[58]table_female_hkom3_inj.unk!$A$1:$K$36,24,FALSE),0)</f>
        <v>0</v>
      </c>
      <c r="K1895">
        <f>IFERROR(HLOOKUP(K$2,[58]table_female_hkom3_inj.unk!$A$1:$K$36,24,FALSE),0)</f>
        <v>0</v>
      </c>
      <c r="L1895">
        <f>IFERROR(HLOOKUP(L$2,[58]table_female_hkom3_inj.unk!$A$1:$K$36,24,FALSE),0)</f>
        <v>0</v>
      </c>
      <c r="M1895">
        <f t="shared" si="588"/>
        <v>0</v>
      </c>
      <c r="S1895" t="s">
        <v>92</v>
      </c>
      <c r="T1895" s="5">
        <f t="shared" si="589"/>
        <v>0</v>
      </c>
      <c r="U1895" s="5">
        <f t="shared" si="590"/>
        <v>0</v>
      </c>
      <c r="V1895" s="5">
        <f t="shared" si="591"/>
        <v>0</v>
      </c>
      <c r="W1895" s="5">
        <f t="shared" si="592"/>
        <v>0</v>
      </c>
      <c r="X1895" s="5">
        <f t="shared" si="593"/>
        <v>0</v>
      </c>
      <c r="Y1895" s="5">
        <f t="shared" si="594"/>
        <v>0</v>
      </c>
      <c r="Z1895" s="5">
        <f t="shared" si="595"/>
        <v>0</v>
      </c>
      <c r="AA1895" s="5">
        <f t="shared" si="596"/>
        <v>0</v>
      </c>
      <c r="AB1895" s="5">
        <f t="shared" si="597"/>
        <v>0</v>
      </c>
    </row>
    <row r="1896" spans="4:28" x14ac:dyDescent="0.25">
      <c r="D1896" t="s">
        <v>93</v>
      </c>
      <c r="E1896" s="64"/>
      <c r="F1896" s="64"/>
      <c r="G1896">
        <f>IFERROR(HLOOKUP(G$2,[58]table_female_hkom3_inj.unk!$A$1:$K$36,25,FALSE),0)</f>
        <v>0</v>
      </c>
      <c r="H1896">
        <f>IFERROR(HLOOKUP(H$2,[58]table_female_hkom3_inj.unk!$A$1:$K$36,25,FALSE),0)</f>
        <v>0</v>
      </c>
      <c r="I1896">
        <f>IFERROR(HLOOKUP(I$2,[58]table_female_hkom3_inj.unk!$A$1:$K$36,25,FALSE),0)</f>
        <v>0</v>
      </c>
      <c r="J1896">
        <f>IFERROR(HLOOKUP(J$2,[58]table_female_hkom3_inj.unk!$A$1:$K$36,25,FALSE),0)</f>
        <v>0</v>
      </c>
      <c r="K1896">
        <f>IFERROR(HLOOKUP(K$2,[58]table_female_hkom3_inj.unk!$A$1:$K$36,25,FALSE),0)</f>
        <v>0</v>
      </c>
      <c r="L1896">
        <f>IFERROR(HLOOKUP(L$2,[58]table_female_hkom3_inj.unk!$A$1:$K$36,25,FALSE),0)</f>
        <v>0</v>
      </c>
      <c r="M1896">
        <f t="shared" si="588"/>
        <v>0</v>
      </c>
      <c r="S1896" t="s">
        <v>93</v>
      </c>
      <c r="T1896" s="5">
        <f t="shared" si="589"/>
        <v>0</v>
      </c>
      <c r="U1896" s="5">
        <f t="shared" si="590"/>
        <v>0</v>
      </c>
      <c r="V1896" s="5">
        <f t="shared" si="591"/>
        <v>0</v>
      </c>
      <c r="W1896" s="5">
        <f t="shared" si="592"/>
        <v>0</v>
      </c>
      <c r="X1896" s="5">
        <f t="shared" si="593"/>
        <v>0</v>
      </c>
      <c r="Y1896" s="5">
        <f t="shared" si="594"/>
        <v>0</v>
      </c>
      <c r="Z1896" s="5">
        <f t="shared" si="595"/>
        <v>0</v>
      </c>
      <c r="AA1896" s="5">
        <f t="shared" si="596"/>
        <v>0</v>
      </c>
      <c r="AB1896" s="5">
        <f t="shared" si="597"/>
        <v>0</v>
      </c>
    </row>
    <row r="1897" spans="4:28" x14ac:dyDescent="0.25">
      <c r="D1897" t="s">
        <v>94</v>
      </c>
      <c r="E1897" s="64"/>
      <c r="F1897" s="64"/>
      <c r="G1897">
        <f>IFERROR(HLOOKUP(G$2,[58]table_female_hkom3_inj.unk!$A$1:$K$36,26,FALSE),0)</f>
        <v>0</v>
      </c>
      <c r="H1897">
        <f>IFERROR(HLOOKUP(H$2,[58]table_female_hkom3_inj.unk!$A$1:$K$36,26,FALSE),0)</f>
        <v>0</v>
      </c>
      <c r="I1897">
        <f>IFERROR(HLOOKUP(I$2,[58]table_female_hkom3_inj.unk!$A$1:$K$36,26,FALSE),0)</f>
        <v>0</v>
      </c>
      <c r="J1897">
        <f>IFERROR(HLOOKUP(J$2,[58]table_female_hkom3_inj.unk!$A$1:$K$36,26,FALSE),0)</f>
        <v>0</v>
      </c>
      <c r="K1897">
        <f>IFERROR(HLOOKUP(K$2,[58]table_female_hkom3_inj.unk!$A$1:$K$36,26,FALSE),0)</f>
        <v>0</v>
      </c>
      <c r="L1897">
        <f>IFERROR(HLOOKUP(L$2,[58]table_female_hkom3_inj.unk!$A$1:$K$36,26,FALSE),0)</f>
        <v>0</v>
      </c>
      <c r="M1897">
        <f t="shared" si="588"/>
        <v>0</v>
      </c>
      <c r="S1897" t="s">
        <v>94</v>
      </c>
      <c r="T1897" s="5">
        <f t="shared" si="589"/>
        <v>0</v>
      </c>
      <c r="U1897" s="5">
        <f t="shared" si="590"/>
        <v>0</v>
      </c>
      <c r="V1897" s="5">
        <f t="shared" si="591"/>
        <v>0</v>
      </c>
      <c r="W1897" s="5">
        <f t="shared" si="592"/>
        <v>0</v>
      </c>
      <c r="X1897" s="5">
        <f t="shared" si="593"/>
        <v>0</v>
      </c>
      <c r="Y1897" s="5">
        <f t="shared" si="594"/>
        <v>0</v>
      </c>
      <c r="Z1897" s="5">
        <f t="shared" si="595"/>
        <v>0</v>
      </c>
      <c r="AA1897" s="5">
        <f t="shared" si="596"/>
        <v>0</v>
      </c>
      <c r="AB1897" s="5">
        <f t="shared" si="597"/>
        <v>0</v>
      </c>
    </row>
    <row r="1898" spans="4:28" x14ac:dyDescent="0.25">
      <c r="D1898" t="s">
        <v>95</v>
      </c>
      <c r="E1898" s="64"/>
      <c r="F1898" s="64"/>
      <c r="G1898">
        <f>IFERROR(HLOOKUP(G$2,[58]table_female_hkom3_inj.unk!$A$1:$K$36,27,FALSE),0)</f>
        <v>0</v>
      </c>
      <c r="H1898">
        <f>IFERROR(HLOOKUP(H$2,[58]table_female_hkom3_inj.unk!$A$1:$K$36,27,FALSE),0)</f>
        <v>0</v>
      </c>
      <c r="I1898">
        <f>IFERROR(HLOOKUP(I$2,[58]table_female_hkom3_inj.unk!$A$1:$K$36,27,FALSE),0)</f>
        <v>0</v>
      </c>
      <c r="J1898">
        <f>IFERROR(HLOOKUP(J$2,[58]table_female_hkom3_inj.unk!$A$1:$K$36,27,FALSE),0)</f>
        <v>0</v>
      </c>
      <c r="K1898">
        <f>IFERROR(HLOOKUP(K$2,[58]table_female_hkom3_inj.unk!$A$1:$K$36,27,FALSE),0)</f>
        <v>0</v>
      </c>
      <c r="L1898">
        <f>IFERROR(HLOOKUP(L$2,[58]table_female_hkom3_inj.unk!$A$1:$K$36,27,FALSE),0)</f>
        <v>0</v>
      </c>
      <c r="M1898">
        <f t="shared" si="588"/>
        <v>0</v>
      </c>
      <c r="S1898" t="s">
        <v>95</v>
      </c>
      <c r="T1898" s="5">
        <f t="shared" si="589"/>
        <v>0</v>
      </c>
      <c r="U1898" s="5">
        <f t="shared" si="590"/>
        <v>0</v>
      </c>
      <c r="V1898" s="5">
        <f t="shared" si="591"/>
        <v>0</v>
      </c>
      <c r="W1898" s="5">
        <f t="shared" si="592"/>
        <v>0</v>
      </c>
      <c r="X1898" s="5">
        <f t="shared" si="593"/>
        <v>0</v>
      </c>
      <c r="Y1898" s="5">
        <f t="shared" si="594"/>
        <v>0</v>
      </c>
      <c r="Z1898" s="5">
        <f t="shared" si="595"/>
        <v>0</v>
      </c>
      <c r="AA1898" s="5">
        <f t="shared" si="596"/>
        <v>0</v>
      </c>
      <c r="AB1898" s="5">
        <f t="shared" si="597"/>
        <v>0</v>
      </c>
    </row>
    <row r="1899" spans="4:28" x14ac:dyDescent="0.25">
      <c r="D1899" t="s">
        <v>96</v>
      </c>
      <c r="E1899" s="64"/>
      <c r="F1899" s="64"/>
      <c r="G1899">
        <f>IFERROR(HLOOKUP(G$2,[58]table_female_hkom3_inj.unk!$A$1:$K$36,28,FALSE),0)</f>
        <v>0</v>
      </c>
      <c r="H1899">
        <f>IFERROR(HLOOKUP(H$2,[58]table_female_hkom3_inj.unk!$A$1:$K$36,28,FALSE),0)</f>
        <v>0</v>
      </c>
      <c r="I1899">
        <f>IFERROR(HLOOKUP(I$2,[58]table_female_hkom3_inj.unk!$A$1:$K$36,28,FALSE),0)</f>
        <v>0</v>
      </c>
      <c r="J1899">
        <f>IFERROR(HLOOKUP(J$2,[58]table_female_hkom3_inj.unk!$A$1:$K$36,28,FALSE),0)</f>
        <v>0</v>
      </c>
      <c r="K1899">
        <f>IFERROR(HLOOKUP(K$2,[58]table_female_hkom3_inj.unk!$A$1:$K$36,28,FALSE),0)</f>
        <v>0</v>
      </c>
      <c r="L1899">
        <f>IFERROR(HLOOKUP(L$2,[58]table_female_hkom3_inj.unk!$A$1:$K$36,28,FALSE),0)</f>
        <v>0</v>
      </c>
      <c r="M1899">
        <f t="shared" si="588"/>
        <v>0</v>
      </c>
      <c r="S1899" t="s">
        <v>96</v>
      </c>
      <c r="T1899" s="5">
        <f t="shared" si="589"/>
        <v>0</v>
      </c>
      <c r="U1899" s="5">
        <f t="shared" si="590"/>
        <v>0</v>
      </c>
      <c r="V1899" s="5">
        <f t="shared" si="591"/>
        <v>0</v>
      </c>
      <c r="W1899" s="5">
        <f t="shared" si="592"/>
        <v>0</v>
      </c>
      <c r="X1899" s="5">
        <f t="shared" si="593"/>
        <v>0</v>
      </c>
      <c r="Y1899" s="5">
        <f t="shared" si="594"/>
        <v>0</v>
      </c>
      <c r="Z1899" s="5">
        <f t="shared" si="595"/>
        <v>0</v>
      </c>
      <c r="AA1899" s="5">
        <f t="shared" si="596"/>
        <v>0</v>
      </c>
      <c r="AB1899" s="5">
        <f t="shared" si="597"/>
        <v>0</v>
      </c>
    </row>
    <row r="1900" spans="4:28" x14ac:dyDescent="0.25">
      <c r="D1900" t="s">
        <v>97</v>
      </c>
      <c r="E1900" s="64"/>
      <c r="F1900" s="64"/>
      <c r="G1900">
        <f>IFERROR(HLOOKUP(G$2,[58]table_female_hkom3_inj.unk!$A$1:$K$36,29,FALSE),0)</f>
        <v>0</v>
      </c>
      <c r="H1900">
        <f>IFERROR(HLOOKUP(H$2,[58]table_female_hkom3_inj.unk!$A$1:$K$36,29,FALSE),0)</f>
        <v>0</v>
      </c>
      <c r="I1900">
        <f>IFERROR(HLOOKUP(I$2,[58]table_female_hkom3_inj.unk!$A$1:$K$36,29,FALSE),0)</f>
        <v>0</v>
      </c>
      <c r="J1900">
        <f>IFERROR(HLOOKUP(J$2,[58]table_female_hkom3_inj.unk!$A$1:$K$36,29,FALSE),0)</f>
        <v>0</v>
      </c>
      <c r="K1900">
        <f>IFERROR(HLOOKUP(K$2,[58]table_female_hkom3_inj.unk!$A$1:$K$36,29,FALSE),0)</f>
        <v>0</v>
      </c>
      <c r="L1900">
        <f>IFERROR(HLOOKUP(L$2,[58]table_female_hkom3_inj.unk!$A$1:$K$36,29,FALSE),0)</f>
        <v>0</v>
      </c>
      <c r="M1900">
        <f t="shared" si="588"/>
        <v>0</v>
      </c>
      <c r="S1900" t="s">
        <v>97</v>
      </c>
      <c r="T1900" s="5">
        <f t="shared" si="589"/>
        <v>0</v>
      </c>
      <c r="U1900" s="5">
        <f t="shared" si="590"/>
        <v>0</v>
      </c>
      <c r="V1900" s="5">
        <f t="shared" si="591"/>
        <v>0</v>
      </c>
      <c r="W1900" s="5">
        <f t="shared" si="592"/>
        <v>0</v>
      </c>
      <c r="X1900" s="5">
        <f t="shared" si="593"/>
        <v>0</v>
      </c>
      <c r="Y1900" s="5">
        <f t="shared" si="594"/>
        <v>0</v>
      </c>
      <c r="Z1900" s="5">
        <f t="shared" si="595"/>
        <v>0</v>
      </c>
      <c r="AA1900" s="5">
        <f t="shared" si="596"/>
        <v>0</v>
      </c>
      <c r="AB1900" s="5">
        <f t="shared" si="597"/>
        <v>0</v>
      </c>
    </row>
    <row r="1901" spans="4:28" x14ac:dyDescent="0.25">
      <c r="D1901" t="s">
        <v>98</v>
      </c>
      <c r="E1901" s="64"/>
      <c r="F1901" s="64"/>
      <c r="G1901">
        <f>IFERROR(HLOOKUP(G$2,[58]table_female_hkom3_inj.unk!$A$1:$K$36,30,FALSE),0)</f>
        <v>0</v>
      </c>
      <c r="H1901">
        <f>IFERROR(HLOOKUP(H$2,[58]table_female_hkom3_inj.unk!$A$1:$K$36,30,FALSE),0)</f>
        <v>0</v>
      </c>
      <c r="I1901">
        <f>IFERROR(HLOOKUP(I$2,[58]table_female_hkom3_inj.unk!$A$1:$K$36,30,FALSE),0)</f>
        <v>0</v>
      </c>
      <c r="J1901">
        <f>IFERROR(HLOOKUP(J$2,[58]table_female_hkom3_inj.unk!$A$1:$K$36,30,FALSE),0)</f>
        <v>0</v>
      </c>
      <c r="K1901">
        <f>IFERROR(HLOOKUP(K$2,[58]table_female_hkom3_inj.unk!$A$1:$K$36,30,FALSE),0)</f>
        <v>0</v>
      </c>
      <c r="L1901">
        <f>IFERROR(HLOOKUP(L$2,[58]table_female_hkom3_inj.unk!$A$1:$K$36,30,FALSE),0)</f>
        <v>0</v>
      </c>
      <c r="M1901">
        <f t="shared" si="588"/>
        <v>0</v>
      </c>
      <c r="S1901" t="s">
        <v>98</v>
      </c>
      <c r="T1901" s="5">
        <f t="shared" si="589"/>
        <v>0</v>
      </c>
      <c r="U1901" s="5">
        <f t="shared" si="590"/>
        <v>0</v>
      </c>
      <c r="V1901" s="5">
        <f t="shared" si="591"/>
        <v>0</v>
      </c>
      <c r="W1901" s="5">
        <f t="shared" si="592"/>
        <v>0</v>
      </c>
      <c r="X1901" s="5">
        <f t="shared" si="593"/>
        <v>0</v>
      </c>
      <c r="Y1901" s="5">
        <f t="shared" si="594"/>
        <v>0</v>
      </c>
      <c r="Z1901" s="5">
        <f t="shared" si="595"/>
        <v>0</v>
      </c>
      <c r="AA1901" s="5">
        <f t="shared" si="596"/>
        <v>0</v>
      </c>
      <c r="AB1901" s="5">
        <f t="shared" si="597"/>
        <v>0</v>
      </c>
    </row>
    <row r="1902" spans="4:28" x14ac:dyDescent="0.25">
      <c r="D1902" t="s">
        <v>119</v>
      </c>
      <c r="E1902" s="64"/>
      <c r="F1902" s="64"/>
      <c r="G1902">
        <f>IFERROR(HLOOKUP(G$2,[58]table_female_hkom3_inj.unk!$A$1:$K$36,31,FALSE),0)</f>
        <v>0</v>
      </c>
      <c r="H1902">
        <f>IFERROR(HLOOKUP(H$2,[58]table_female_hkom3_inj.unk!$A$1:$K$36,31,FALSE),0)</f>
        <v>0</v>
      </c>
      <c r="I1902">
        <f>IFERROR(HLOOKUP(I$2,[58]table_female_hkom3_inj.unk!$A$1:$K$36,31,FALSE),0)</f>
        <v>0</v>
      </c>
      <c r="J1902">
        <f>IFERROR(HLOOKUP(J$2,[58]table_female_hkom3_inj.unk!$A$1:$K$36,31,FALSE),0)</f>
        <v>0</v>
      </c>
      <c r="K1902">
        <f>IFERROR(HLOOKUP(K$2,[58]table_female_hkom3_inj.unk!$A$1:$K$36,31,FALSE),0)</f>
        <v>0</v>
      </c>
      <c r="L1902">
        <f>IFERROR(HLOOKUP(L$2,[58]table_female_hkom3_inj.unk!$A$1:$K$36,31,FALSE),0)</f>
        <v>0</v>
      </c>
      <c r="M1902">
        <f t="shared" si="588"/>
        <v>0</v>
      </c>
      <c r="S1902" t="s">
        <v>119</v>
      </c>
      <c r="T1902" s="5">
        <f t="shared" si="589"/>
        <v>0</v>
      </c>
      <c r="U1902" s="5">
        <f t="shared" si="590"/>
        <v>0</v>
      </c>
      <c r="V1902" s="5">
        <f t="shared" si="591"/>
        <v>0</v>
      </c>
      <c r="W1902" s="5">
        <f t="shared" si="592"/>
        <v>0</v>
      </c>
      <c r="X1902" s="5">
        <f t="shared" si="593"/>
        <v>0</v>
      </c>
      <c r="Y1902" s="5">
        <f t="shared" si="594"/>
        <v>0</v>
      </c>
      <c r="Z1902" s="5">
        <f t="shared" si="595"/>
        <v>0</v>
      </c>
      <c r="AA1902" s="5">
        <f t="shared" si="596"/>
        <v>0</v>
      </c>
      <c r="AB1902" s="5">
        <f t="shared" si="597"/>
        <v>0</v>
      </c>
    </row>
    <row r="1903" spans="4:28" x14ac:dyDescent="0.25">
      <c r="D1903" t="s">
        <v>99</v>
      </c>
      <c r="E1903" s="64"/>
      <c r="F1903" s="64"/>
      <c r="G1903">
        <f>IFERROR(HLOOKUP(G$2,[58]table_female_hkom3_inj.unk!$A$1:$K$36,32,FALSE),0)</f>
        <v>0</v>
      </c>
      <c r="H1903">
        <f>IFERROR(HLOOKUP(H$2,[58]table_female_hkom3_inj.unk!$A$1:$K$36,32,FALSE),0)</f>
        <v>0</v>
      </c>
      <c r="I1903">
        <f>IFERROR(HLOOKUP(I$2,[58]table_female_hkom3_inj.unk!$A$1:$K$36,32,FALSE),0)</f>
        <v>0</v>
      </c>
      <c r="J1903">
        <f>IFERROR(HLOOKUP(J$2,[58]table_female_hkom3_inj.unk!$A$1:$K$36,32,FALSE),0)</f>
        <v>0</v>
      </c>
      <c r="K1903">
        <f>IFERROR(HLOOKUP(K$2,[58]table_female_hkom3_inj.unk!$A$1:$K$36,32,FALSE),0)</f>
        <v>0</v>
      </c>
      <c r="L1903">
        <f>IFERROR(HLOOKUP(L$2,[58]table_female_hkom3_inj.unk!$A$1:$K$36,32,FALSE),0)</f>
        <v>0</v>
      </c>
      <c r="M1903">
        <f t="shared" si="588"/>
        <v>0</v>
      </c>
      <c r="S1903" t="s">
        <v>99</v>
      </c>
      <c r="T1903" s="5">
        <f t="shared" si="589"/>
        <v>0</v>
      </c>
      <c r="U1903" s="5">
        <f t="shared" si="590"/>
        <v>0</v>
      </c>
      <c r="V1903" s="5">
        <f t="shared" si="591"/>
        <v>0</v>
      </c>
      <c r="W1903" s="5">
        <f t="shared" si="592"/>
        <v>0</v>
      </c>
      <c r="X1903" s="5">
        <f t="shared" si="593"/>
        <v>0</v>
      </c>
      <c r="Y1903" s="5">
        <f t="shared" si="594"/>
        <v>0</v>
      </c>
      <c r="Z1903" s="5">
        <f t="shared" si="595"/>
        <v>0</v>
      </c>
      <c r="AA1903" s="5">
        <f t="shared" si="596"/>
        <v>0</v>
      </c>
      <c r="AB1903" s="5">
        <f t="shared" si="597"/>
        <v>0</v>
      </c>
    </row>
    <row r="1904" spans="4:28" x14ac:dyDescent="0.25">
      <c r="D1904" t="s">
        <v>100</v>
      </c>
      <c r="E1904" s="64"/>
      <c r="F1904" s="64"/>
      <c r="G1904">
        <f>IFERROR(HLOOKUP(G$2,[58]table_female_hkom3_inj.unk!$A$1:$K$36,33,FALSE),0)</f>
        <v>0</v>
      </c>
      <c r="H1904">
        <f>IFERROR(HLOOKUP(H$2,[58]table_female_hkom3_inj.unk!$A$1:$K$36,33,FALSE),0)</f>
        <v>0</v>
      </c>
      <c r="I1904">
        <f>IFERROR(HLOOKUP(I$2,[58]table_female_hkom3_inj.unk!$A$1:$K$36,33,FALSE),0)</f>
        <v>0</v>
      </c>
      <c r="J1904">
        <f>IFERROR(HLOOKUP(J$2,[58]table_female_hkom3_inj.unk!$A$1:$K$36,33,FALSE),0)</f>
        <v>0</v>
      </c>
      <c r="K1904">
        <f>IFERROR(HLOOKUP(K$2,[58]table_female_hkom3_inj.unk!$A$1:$K$36,33,FALSE),0)</f>
        <v>0</v>
      </c>
      <c r="L1904">
        <f>IFERROR(HLOOKUP(L$2,[58]table_female_hkom3_inj.unk!$A$1:$K$36,33,FALSE),0)</f>
        <v>0</v>
      </c>
      <c r="M1904">
        <f t="shared" si="588"/>
        <v>0</v>
      </c>
      <c r="S1904" t="s">
        <v>100</v>
      </c>
      <c r="T1904" s="5">
        <f t="shared" si="589"/>
        <v>0</v>
      </c>
      <c r="U1904" s="5">
        <f t="shared" si="590"/>
        <v>0</v>
      </c>
      <c r="V1904" s="5">
        <f t="shared" si="591"/>
        <v>0</v>
      </c>
      <c r="W1904" s="5">
        <f t="shared" si="592"/>
        <v>0</v>
      </c>
      <c r="X1904" s="5">
        <f t="shared" si="593"/>
        <v>0</v>
      </c>
      <c r="Y1904" s="5">
        <f t="shared" si="594"/>
        <v>0</v>
      </c>
      <c r="Z1904" s="5">
        <f t="shared" si="595"/>
        <v>0</v>
      </c>
      <c r="AA1904" s="5">
        <f t="shared" si="596"/>
        <v>0</v>
      </c>
      <c r="AB1904" s="5">
        <f t="shared" si="597"/>
        <v>0</v>
      </c>
    </row>
    <row r="1905" spans="1:29" x14ac:dyDescent="0.25">
      <c r="D1905" t="s">
        <v>101</v>
      </c>
      <c r="E1905" s="64"/>
      <c r="F1905" s="64"/>
      <c r="G1905">
        <f>IFERROR(HLOOKUP(G$2,[58]table_female_hkom3_inj.unk!$A$1:$K$36,34,FALSE),0)</f>
        <v>0</v>
      </c>
      <c r="H1905">
        <f>IFERROR(HLOOKUP(H$2,[58]table_female_hkom3_inj.unk!$A$1:$K$36,34,FALSE),0)</f>
        <v>0</v>
      </c>
      <c r="I1905">
        <f>IFERROR(HLOOKUP(I$2,[58]table_female_hkom3_inj.unk!$A$1:$K$36,34,FALSE),0)</f>
        <v>0</v>
      </c>
      <c r="J1905">
        <f>IFERROR(HLOOKUP(J$2,[58]table_female_hkom3_inj.unk!$A$1:$K$36,34,FALSE),0)</f>
        <v>0</v>
      </c>
      <c r="K1905">
        <f>IFERROR(HLOOKUP(K$2,[58]table_female_hkom3_inj.unk!$A$1:$K$36,34,FALSE),0)</f>
        <v>0</v>
      </c>
      <c r="L1905">
        <f>IFERROR(HLOOKUP(L$2,[58]table_female_hkom3_inj.unk!$A$1:$K$36,34,FALSE),0)</f>
        <v>0</v>
      </c>
      <c r="M1905">
        <f t="shared" si="588"/>
        <v>0</v>
      </c>
      <c r="S1905" t="s">
        <v>101</v>
      </c>
      <c r="T1905" s="5">
        <f t="shared" si="589"/>
        <v>0</v>
      </c>
      <c r="U1905" s="5">
        <f t="shared" si="590"/>
        <v>0</v>
      </c>
      <c r="V1905" s="5">
        <f t="shared" si="591"/>
        <v>0</v>
      </c>
      <c r="W1905" s="5">
        <f t="shared" si="592"/>
        <v>0</v>
      </c>
      <c r="X1905" s="5">
        <f t="shared" si="593"/>
        <v>0</v>
      </c>
      <c r="Y1905" s="5">
        <f t="shared" si="594"/>
        <v>0</v>
      </c>
      <c r="Z1905" s="5">
        <f t="shared" si="595"/>
        <v>0</v>
      </c>
      <c r="AA1905" s="5">
        <f t="shared" si="596"/>
        <v>0</v>
      </c>
      <c r="AB1905" s="5">
        <f t="shared" si="597"/>
        <v>0</v>
      </c>
    </row>
    <row r="1906" spans="1:29" x14ac:dyDescent="0.25">
      <c r="D1906" t="s">
        <v>102</v>
      </c>
      <c r="E1906" s="64"/>
      <c r="F1906" s="64"/>
      <c r="G1906">
        <f>IFERROR(HLOOKUP(G$2,[58]table_female_hkom3_inj.unk!$A$1:$K$36,35,FALSE),0)</f>
        <v>0</v>
      </c>
      <c r="H1906">
        <f>IFERROR(HLOOKUP(H$2,[58]table_female_hkom3_inj.unk!$A$1:$K$36,35,FALSE),0)</f>
        <v>0</v>
      </c>
      <c r="I1906">
        <f>IFERROR(HLOOKUP(I$2,[58]table_female_hkom3_inj.unk!$A$1:$K$36,35,FALSE),0)</f>
        <v>0</v>
      </c>
      <c r="J1906">
        <f>IFERROR(HLOOKUP(J$2,[58]table_female_hkom3_inj.unk!$A$1:$K$36,35,FALSE),0)</f>
        <v>0</v>
      </c>
      <c r="K1906">
        <f>IFERROR(HLOOKUP(K$2,[58]table_female_hkom3_inj.unk!$A$1:$K$36,35,FALSE),0)</f>
        <v>0</v>
      </c>
      <c r="L1906">
        <f>IFERROR(HLOOKUP(L$2,[58]table_female_hkom3_inj.unk!$A$1:$K$36,35,FALSE),0)</f>
        <v>0</v>
      </c>
      <c r="M1906">
        <f t="shared" si="588"/>
        <v>0</v>
      </c>
      <c r="N1906">
        <f>SUM(M1873:M1906)</f>
        <v>0</v>
      </c>
      <c r="O1906" s="8">
        <f>SUM([58]table_female_hkom3_inj.unk!$B$2:$L$36)</f>
        <v>0</v>
      </c>
      <c r="S1906" t="s">
        <v>102</v>
      </c>
      <c r="T1906" s="7"/>
      <c r="U1906" s="7"/>
      <c r="V1906" s="7"/>
      <c r="W1906" s="7"/>
      <c r="X1906" s="7"/>
      <c r="Y1906" s="7"/>
      <c r="Z1906" s="7"/>
      <c r="AA1906" s="7"/>
      <c r="AB1906" s="5">
        <f t="shared" si="597"/>
        <v>0</v>
      </c>
      <c r="AC1906" s="5">
        <f>SUM(AB1873:AB1905)</f>
        <v>0</v>
      </c>
    </row>
    <row r="1907" spans="1:29" x14ac:dyDescent="0.25">
      <c r="A1907" t="s">
        <v>115</v>
      </c>
      <c r="B1907" t="s">
        <v>117</v>
      </c>
      <c r="C1907" t="s">
        <v>105</v>
      </c>
      <c r="D1907" t="s">
        <v>70</v>
      </c>
      <c r="E1907" s="64"/>
      <c r="F1907" s="64"/>
      <c r="G1907">
        <f>IFERROR(HLOOKUP(G$2,[59]table_female_hkom3_inj.V1!$A$1:$K$36,2,FALSE),0)</f>
        <v>0</v>
      </c>
      <c r="H1907">
        <f>IFERROR(HLOOKUP(H$2,[59]table_female_hkom3_inj.V1!$A$1:$K$36,2,FALSE),0)</f>
        <v>0</v>
      </c>
      <c r="I1907">
        <f>IFERROR(HLOOKUP(I$2,[59]table_female_hkom3_inj.V1!$A$1:$K$36,2,FALSE),0)</f>
        <v>0</v>
      </c>
      <c r="J1907">
        <f>IFERROR(HLOOKUP(J$2,[59]table_female_hkom3_inj.V1!$A$1:$K$36,2,FALSE),0)</f>
        <v>0</v>
      </c>
      <c r="K1907">
        <f>IFERROR(HLOOKUP(K$2,[59]table_female_hkom3_inj.V1!$A$1:$K$36,2,FALSE),0)</f>
        <v>0</v>
      </c>
      <c r="L1907">
        <f>IFERROR(HLOOKUP(L$2,[59]table_female_hkom3_inj.V1!$A$1:$K$36,2,FALSE),0)</f>
        <v>0</v>
      </c>
      <c r="M1907">
        <f>SUM(E1907:L1907)</f>
        <v>0</v>
      </c>
      <c r="P1907" t="s">
        <v>115</v>
      </c>
      <c r="Q1907" t="s">
        <v>117</v>
      </c>
      <c r="R1907" t="s">
        <v>105</v>
      </c>
      <c r="S1907" t="s">
        <v>70</v>
      </c>
      <c r="T1907" s="5">
        <f>IF(SUM(E$1907:E$1939)=0,E$1940/33,E1907+IFERROR(E1907/SUM(E$1907:E$1939)*E$1940,0))</f>
        <v>0</v>
      </c>
      <c r="U1907" s="5">
        <f t="shared" ref="U1907:AA1907" si="598">IF(SUM(F$1907:F$1939)=0,F$1940/33,F1907+IFERROR(F1907/SUM(F$1907:F$1939)*F$1940,0))</f>
        <v>0</v>
      </c>
      <c r="V1907" s="5">
        <f t="shared" si="598"/>
        <v>0</v>
      </c>
      <c r="W1907" s="5">
        <f t="shared" si="598"/>
        <v>0</v>
      </c>
      <c r="X1907" s="5">
        <f t="shared" si="598"/>
        <v>0</v>
      </c>
      <c r="Y1907" s="5">
        <f t="shared" si="598"/>
        <v>0</v>
      </c>
      <c r="Z1907" s="5">
        <f t="shared" si="598"/>
        <v>0</v>
      </c>
      <c r="AA1907" s="5">
        <f t="shared" si="598"/>
        <v>0</v>
      </c>
      <c r="AB1907" s="5">
        <f t="shared" si="597"/>
        <v>0</v>
      </c>
    </row>
    <row r="1908" spans="1:29" x14ac:dyDescent="0.25">
      <c r="D1908" t="s">
        <v>71</v>
      </c>
      <c r="E1908" s="64"/>
      <c r="F1908" s="64"/>
      <c r="G1908">
        <f>IFERROR(HLOOKUP(G$2,[59]table_female_hkom3_inj.V1!$A$1:$K$36,3,FALSE),0)</f>
        <v>0</v>
      </c>
      <c r="H1908">
        <f>IFERROR(HLOOKUP(H$2,[59]table_female_hkom3_inj.V1!$A$1:$K$36,3,FALSE),0)</f>
        <v>0</v>
      </c>
      <c r="I1908">
        <f>IFERROR(HLOOKUP(I$2,[59]table_female_hkom3_inj.V1!$A$1:$K$36,3,FALSE),0)</f>
        <v>0</v>
      </c>
      <c r="J1908">
        <f>IFERROR(HLOOKUP(J$2,[59]table_female_hkom3_inj.V1!$A$1:$K$36,3,FALSE),0)</f>
        <v>0</v>
      </c>
      <c r="K1908">
        <f>IFERROR(HLOOKUP(K$2,[59]table_female_hkom3_inj.V1!$A$1:$K$36,3,FALSE),0)</f>
        <v>0</v>
      </c>
      <c r="L1908">
        <f>IFERROR(HLOOKUP(L$2,[59]table_female_hkom3_inj.V1!$A$1:$K$36,3,FALSE),0)</f>
        <v>0</v>
      </c>
      <c r="M1908">
        <f t="shared" ref="M1908:M1940" si="599">SUM(E1908:L1908)</f>
        <v>0</v>
      </c>
      <c r="S1908" t="s">
        <v>71</v>
      </c>
      <c r="T1908" s="5">
        <f t="shared" ref="T1908:T1939" si="600">IF(SUM(E$1907:E$1939)=0,E$1940/33,E1908+IFERROR(E1908/SUM(E$1907:E$1939)*E$1940,0))</f>
        <v>0</v>
      </c>
      <c r="U1908" s="5">
        <f t="shared" ref="U1908:U1939" si="601">IF(SUM(F$1907:F$1939)=0,F$1940/33,F1908+IFERROR(F1908/SUM(F$1907:F$1939)*F$1940,0))</f>
        <v>0</v>
      </c>
      <c r="V1908" s="5">
        <f t="shared" ref="V1908:V1939" si="602">IF(SUM(G$1907:G$1939)=0,G$1940/33,G1908+IFERROR(G1908/SUM(G$1907:G$1939)*G$1940,0))</f>
        <v>0</v>
      </c>
      <c r="W1908" s="5">
        <f t="shared" ref="W1908:W1939" si="603">IF(SUM(H$1907:H$1939)=0,H$1940/33,H1908+IFERROR(H1908/SUM(H$1907:H$1939)*H$1940,0))</f>
        <v>0</v>
      </c>
      <c r="X1908" s="5">
        <f t="shared" ref="X1908:X1939" si="604">IF(SUM(I$1907:I$1939)=0,I$1940/33,I1908+IFERROR(I1908/SUM(I$1907:I$1939)*I$1940,0))</f>
        <v>0</v>
      </c>
      <c r="Y1908" s="5">
        <f t="shared" ref="Y1908:Y1939" si="605">IF(SUM(J$1907:J$1939)=0,J$1940/33,J1908+IFERROR(J1908/SUM(J$1907:J$1939)*J$1940,0))</f>
        <v>0</v>
      </c>
      <c r="Z1908" s="5">
        <f t="shared" ref="Z1908:Z1939" si="606">IF(SUM(K$1907:K$1939)=0,K$1940/33,K1908+IFERROR(K1908/SUM(K$1907:K$1939)*K$1940,0))</f>
        <v>0</v>
      </c>
      <c r="AA1908" s="5">
        <f t="shared" ref="AA1908:AA1939" si="607">IF(SUM(L$1907:L$1939)=0,L$1940/33,L1908+IFERROR(L1908/SUM(L$1907:L$1939)*L$1940,0))</f>
        <v>0</v>
      </c>
      <c r="AB1908" s="5">
        <f t="shared" si="597"/>
        <v>0</v>
      </c>
    </row>
    <row r="1909" spans="1:29" x14ac:dyDescent="0.25">
      <c r="D1909" t="s">
        <v>72</v>
      </c>
      <c r="E1909" s="64"/>
      <c r="F1909" s="64"/>
      <c r="G1909">
        <f>IFERROR(HLOOKUP(G$2,[59]table_female_hkom3_inj.V1!$A$1:$K$36,4,FALSE),0)</f>
        <v>0</v>
      </c>
      <c r="H1909">
        <f>IFERROR(HLOOKUP(H$2,[59]table_female_hkom3_inj.V1!$A$1:$K$36,4,FALSE),0)</f>
        <v>0</v>
      </c>
      <c r="I1909">
        <f>IFERROR(HLOOKUP(I$2,[59]table_female_hkom3_inj.V1!$A$1:$K$36,4,FALSE),0)</f>
        <v>0</v>
      </c>
      <c r="J1909">
        <f>IFERROR(HLOOKUP(J$2,[59]table_female_hkom3_inj.V1!$A$1:$K$36,4,FALSE),0)</f>
        <v>0</v>
      </c>
      <c r="K1909">
        <f>IFERROR(HLOOKUP(K$2,[59]table_female_hkom3_inj.V1!$A$1:$K$36,4,FALSE),0)</f>
        <v>0</v>
      </c>
      <c r="L1909">
        <f>IFERROR(HLOOKUP(L$2,[59]table_female_hkom3_inj.V1!$A$1:$K$36,4,FALSE),0)</f>
        <v>0</v>
      </c>
      <c r="M1909">
        <f t="shared" si="599"/>
        <v>0</v>
      </c>
      <c r="S1909" t="s">
        <v>72</v>
      </c>
      <c r="T1909" s="5">
        <f t="shared" si="600"/>
        <v>0</v>
      </c>
      <c r="U1909" s="5">
        <f t="shared" si="601"/>
        <v>0</v>
      </c>
      <c r="V1909" s="5">
        <f t="shared" si="602"/>
        <v>0</v>
      </c>
      <c r="W1909" s="5">
        <f t="shared" si="603"/>
        <v>0</v>
      </c>
      <c r="X1909" s="5">
        <f t="shared" si="604"/>
        <v>0</v>
      </c>
      <c r="Y1909" s="5">
        <f t="shared" si="605"/>
        <v>0</v>
      </c>
      <c r="Z1909" s="5">
        <f t="shared" si="606"/>
        <v>0</v>
      </c>
      <c r="AA1909" s="5">
        <f t="shared" si="607"/>
        <v>0</v>
      </c>
      <c r="AB1909" s="5">
        <f t="shared" si="597"/>
        <v>0</v>
      </c>
    </row>
    <row r="1910" spans="1:29" x14ac:dyDescent="0.25">
      <c r="D1910" t="s">
        <v>73</v>
      </c>
      <c r="E1910" s="64"/>
      <c r="F1910" s="64"/>
      <c r="G1910">
        <f>IFERROR(HLOOKUP(G$2,[59]table_female_hkom3_inj.V1!$A$1:$K$36,5,FALSE),0)</f>
        <v>0</v>
      </c>
      <c r="H1910">
        <f>IFERROR(HLOOKUP(H$2,[59]table_female_hkom3_inj.V1!$A$1:$K$36,5,FALSE),0)</f>
        <v>0</v>
      </c>
      <c r="I1910">
        <f>IFERROR(HLOOKUP(I$2,[59]table_female_hkom3_inj.V1!$A$1:$K$36,5,FALSE),0)</f>
        <v>0</v>
      </c>
      <c r="J1910">
        <f>IFERROR(HLOOKUP(J$2,[59]table_female_hkom3_inj.V1!$A$1:$K$36,5,FALSE),0)</f>
        <v>0</v>
      </c>
      <c r="K1910">
        <f>IFERROR(HLOOKUP(K$2,[59]table_female_hkom3_inj.V1!$A$1:$K$36,5,FALSE),0)</f>
        <v>0</v>
      </c>
      <c r="L1910">
        <f>IFERROR(HLOOKUP(L$2,[59]table_female_hkom3_inj.V1!$A$1:$K$36,5,FALSE),0)</f>
        <v>0</v>
      </c>
      <c r="M1910">
        <f t="shared" si="599"/>
        <v>0</v>
      </c>
      <c r="S1910" t="s">
        <v>73</v>
      </c>
      <c r="T1910" s="5">
        <f t="shared" si="600"/>
        <v>0</v>
      </c>
      <c r="U1910" s="5">
        <f t="shared" si="601"/>
        <v>0</v>
      </c>
      <c r="V1910" s="5">
        <f t="shared" si="602"/>
        <v>0</v>
      </c>
      <c r="W1910" s="5">
        <f t="shared" si="603"/>
        <v>0</v>
      </c>
      <c r="X1910" s="5">
        <f t="shared" si="604"/>
        <v>0</v>
      </c>
      <c r="Y1910" s="5">
        <f t="shared" si="605"/>
        <v>0</v>
      </c>
      <c r="Z1910" s="5">
        <f t="shared" si="606"/>
        <v>0</v>
      </c>
      <c r="AA1910" s="5">
        <f t="shared" si="607"/>
        <v>0</v>
      </c>
      <c r="AB1910" s="5">
        <f t="shared" si="597"/>
        <v>0</v>
      </c>
    </row>
    <row r="1911" spans="1:29" x14ac:dyDescent="0.25">
      <c r="D1911" t="s">
        <v>74</v>
      </c>
      <c r="E1911" s="64"/>
      <c r="F1911" s="64"/>
      <c r="G1911">
        <f>IFERROR(HLOOKUP(G$2,[59]table_female_hkom3_inj.V1!$A$1:$K$36,6,FALSE),0)</f>
        <v>0</v>
      </c>
      <c r="H1911">
        <f>IFERROR(HLOOKUP(H$2,[59]table_female_hkom3_inj.V1!$A$1:$K$36,6,FALSE),0)</f>
        <v>0</v>
      </c>
      <c r="I1911">
        <f>IFERROR(HLOOKUP(I$2,[59]table_female_hkom3_inj.V1!$A$1:$K$36,6,FALSE),0)</f>
        <v>0</v>
      </c>
      <c r="J1911">
        <f>IFERROR(HLOOKUP(J$2,[59]table_female_hkom3_inj.V1!$A$1:$K$36,6,FALSE),0)</f>
        <v>0</v>
      </c>
      <c r="K1911">
        <f>IFERROR(HLOOKUP(K$2,[59]table_female_hkom3_inj.V1!$A$1:$K$36,6,FALSE),0)</f>
        <v>0</v>
      </c>
      <c r="L1911">
        <f>IFERROR(HLOOKUP(L$2,[59]table_female_hkom3_inj.V1!$A$1:$K$36,6,FALSE),0)</f>
        <v>0</v>
      </c>
      <c r="M1911">
        <f t="shared" si="599"/>
        <v>0</v>
      </c>
      <c r="S1911" t="s">
        <v>74</v>
      </c>
      <c r="T1911" s="5">
        <f t="shared" si="600"/>
        <v>0</v>
      </c>
      <c r="U1911" s="5">
        <f t="shared" si="601"/>
        <v>0</v>
      </c>
      <c r="V1911" s="5">
        <f t="shared" si="602"/>
        <v>0</v>
      </c>
      <c r="W1911" s="5">
        <f t="shared" si="603"/>
        <v>0</v>
      </c>
      <c r="X1911" s="5">
        <f t="shared" si="604"/>
        <v>0</v>
      </c>
      <c r="Y1911" s="5">
        <f t="shared" si="605"/>
        <v>0</v>
      </c>
      <c r="Z1911" s="5">
        <f t="shared" si="606"/>
        <v>0</v>
      </c>
      <c r="AA1911" s="5">
        <f t="shared" si="607"/>
        <v>0</v>
      </c>
      <c r="AB1911" s="5">
        <f t="shared" si="597"/>
        <v>0</v>
      </c>
    </row>
    <row r="1912" spans="1:29" x14ac:dyDescent="0.25">
      <c r="D1912" t="s">
        <v>75</v>
      </c>
      <c r="E1912" s="64"/>
      <c r="F1912" s="64"/>
      <c r="G1912">
        <f>IFERROR(HLOOKUP(G$2,[59]table_female_hkom3_inj.V1!$A$1:$K$36,7,FALSE),0)</f>
        <v>0</v>
      </c>
      <c r="H1912">
        <f>IFERROR(HLOOKUP(H$2,[59]table_female_hkom3_inj.V1!$A$1:$K$36,7,FALSE),0)</f>
        <v>0</v>
      </c>
      <c r="I1912">
        <f>IFERROR(HLOOKUP(I$2,[59]table_female_hkom3_inj.V1!$A$1:$K$36,7,FALSE),0)</f>
        <v>0</v>
      </c>
      <c r="J1912">
        <f>IFERROR(HLOOKUP(J$2,[59]table_female_hkom3_inj.V1!$A$1:$K$36,7,FALSE),0)</f>
        <v>0</v>
      </c>
      <c r="K1912">
        <f>IFERROR(HLOOKUP(K$2,[59]table_female_hkom3_inj.V1!$A$1:$K$36,7,FALSE),0)</f>
        <v>0</v>
      </c>
      <c r="L1912">
        <f>IFERROR(HLOOKUP(L$2,[59]table_female_hkom3_inj.V1!$A$1:$K$36,7,FALSE),0)</f>
        <v>0</v>
      </c>
      <c r="M1912">
        <f t="shared" si="599"/>
        <v>0</v>
      </c>
      <c r="S1912" t="s">
        <v>75</v>
      </c>
      <c r="T1912" s="5">
        <f t="shared" si="600"/>
        <v>0</v>
      </c>
      <c r="U1912" s="5">
        <f t="shared" si="601"/>
        <v>0</v>
      </c>
      <c r="V1912" s="5">
        <f t="shared" si="602"/>
        <v>0</v>
      </c>
      <c r="W1912" s="5">
        <f t="shared" si="603"/>
        <v>0</v>
      </c>
      <c r="X1912" s="5">
        <f t="shared" si="604"/>
        <v>0</v>
      </c>
      <c r="Y1912" s="5">
        <f t="shared" si="605"/>
        <v>0</v>
      </c>
      <c r="Z1912" s="5">
        <f t="shared" si="606"/>
        <v>0</v>
      </c>
      <c r="AA1912" s="5">
        <f t="shared" si="607"/>
        <v>0</v>
      </c>
      <c r="AB1912" s="5">
        <f t="shared" si="597"/>
        <v>0</v>
      </c>
    </row>
    <row r="1913" spans="1:29" x14ac:dyDescent="0.25">
      <c r="D1913" t="s">
        <v>76</v>
      </c>
      <c r="E1913" s="64"/>
      <c r="F1913" s="64"/>
      <c r="G1913">
        <f>IFERROR(HLOOKUP(G$2,[59]table_female_hkom3_inj.V1!$A$1:$K$36,8,FALSE),0)</f>
        <v>0</v>
      </c>
      <c r="H1913">
        <f>IFERROR(HLOOKUP(H$2,[59]table_female_hkom3_inj.V1!$A$1:$K$36,8,FALSE),0)</f>
        <v>0</v>
      </c>
      <c r="I1913">
        <f>IFERROR(HLOOKUP(I$2,[59]table_female_hkom3_inj.V1!$A$1:$K$36,8,FALSE),0)</f>
        <v>0</v>
      </c>
      <c r="J1913">
        <f>IFERROR(HLOOKUP(J$2,[59]table_female_hkom3_inj.V1!$A$1:$K$36,8,FALSE),0)</f>
        <v>0</v>
      </c>
      <c r="K1913">
        <f>IFERROR(HLOOKUP(K$2,[59]table_female_hkom3_inj.V1!$A$1:$K$36,8,FALSE),0)</f>
        <v>0</v>
      </c>
      <c r="L1913">
        <f>IFERROR(HLOOKUP(L$2,[59]table_female_hkom3_inj.V1!$A$1:$K$36,8,FALSE),0)</f>
        <v>0</v>
      </c>
      <c r="M1913">
        <f t="shared" si="599"/>
        <v>0</v>
      </c>
      <c r="S1913" t="s">
        <v>76</v>
      </c>
      <c r="T1913" s="5">
        <f t="shared" si="600"/>
        <v>0</v>
      </c>
      <c r="U1913" s="5">
        <f t="shared" si="601"/>
        <v>0</v>
      </c>
      <c r="V1913" s="5">
        <f t="shared" si="602"/>
        <v>0</v>
      </c>
      <c r="W1913" s="5">
        <f t="shared" si="603"/>
        <v>0</v>
      </c>
      <c r="X1913" s="5">
        <f t="shared" si="604"/>
        <v>0</v>
      </c>
      <c r="Y1913" s="5">
        <f t="shared" si="605"/>
        <v>0</v>
      </c>
      <c r="Z1913" s="5">
        <f t="shared" si="606"/>
        <v>0</v>
      </c>
      <c r="AA1913" s="5">
        <f t="shared" si="607"/>
        <v>0</v>
      </c>
      <c r="AB1913" s="5">
        <f t="shared" si="597"/>
        <v>0</v>
      </c>
    </row>
    <row r="1914" spans="1:29" x14ac:dyDescent="0.25">
      <c r="D1914" t="s">
        <v>77</v>
      </c>
      <c r="E1914" s="64"/>
      <c r="F1914" s="64"/>
      <c r="G1914">
        <f>IFERROR(HLOOKUP(G$2,[59]table_female_hkom3_inj.V1!$A$1:$K$36,9,FALSE),0)</f>
        <v>0</v>
      </c>
      <c r="H1914">
        <f>IFERROR(HLOOKUP(H$2,[59]table_female_hkom3_inj.V1!$A$1:$K$36,9,FALSE),0)</f>
        <v>0</v>
      </c>
      <c r="I1914">
        <f>IFERROR(HLOOKUP(I$2,[59]table_female_hkom3_inj.V1!$A$1:$K$36,9,FALSE),0)</f>
        <v>0</v>
      </c>
      <c r="J1914">
        <f>IFERROR(HLOOKUP(J$2,[59]table_female_hkom3_inj.V1!$A$1:$K$36,9,FALSE),0)</f>
        <v>0</v>
      </c>
      <c r="K1914">
        <f>IFERROR(HLOOKUP(K$2,[59]table_female_hkom3_inj.V1!$A$1:$K$36,9,FALSE),0)</f>
        <v>0</v>
      </c>
      <c r="L1914">
        <f>IFERROR(HLOOKUP(L$2,[59]table_female_hkom3_inj.V1!$A$1:$K$36,9,FALSE),0)</f>
        <v>0</v>
      </c>
      <c r="M1914">
        <f t="shared" si="599"/>
        <v>0</v>
      </c>
      <c r="S1914" t="s">
        <v>77</v>
      </c>
      <c r="T1914" s="5">
        <f t="shared" si="600"/>
        <v>0</v>
      </c>
      <c r="U1914" s="5">
        <f t="shared" si="601"/>
        <v>0</v>
      </c>
      <c r="V1914" s="5">
        <f t="shared" si="602"/>
        <v>0</v>
      </c>
      <c r="W1914" s="5">
        <f t="shared" si="603"/>
        <v>0</v>
      </c>
      <c r="X1914" s="5">
        <f t="shared" si="604"/>
        <v>0</v>
      </c>
      <c r="Y1914" s="5">
        <f t="shared" si="605"/>
        <v>0</v>
      </c>
      <c r="Z1914" s="5">
        <f t="shared" si="606"/>
        <v>0</v>
      </c>
      <c r="AA1914" s="5">
        <f t="shared" si="607"/>
        <v>0</v>
      </c>
      <c r="AB1914" s="5">
        <f t="shared" si="597"/>
        <v>0</v>
      </c>
    </row>
    <row r="1915" spans="1:29" x14ac:dyDescent="0.25">
      <c r="D1915" t="s">
        <v>78</v>
      </c>
      <c r="E1915" s="64"/>
      <c r="F1915" s="64"/>
      <c r="G1915">
        <f>IFERROR(HLOOKUP(G$2,[59]table_female_hkom3_inj.V1!$A$1:$K$36,10,FALSE),0)</f>
        <v>0</v>
      </c>
      <c r="H1915">
        <f>IFERROR(HLOOKUP(H$2,[59]table_female_hkom3_inj.V1!$A$1:$K$36,10,FALSE),0)</f>
        <v>0</v>
      </c>
      <c r="I1915">
        <f>IFERROR(HLOOKUP(I$2,[59]table_female_hkom3_inj.V1!$A$1:$K$36,10,FALSE),0)</f>
        <v>0</v>
      </c>
      <c r="J1915">
        <f>IFERROR(HLOOKUP(J$2,[59]table_female_hkom3_inj.V1!$A$1:$K$36,10,FALSE),0)</f>
        <v>0</v>
      </c>
      <c r="K1915">
        <f>IFERROR(HLOOKUP(K$2,[59]table_female_hkom3_inj.V1!$A$1:$K$36,10,FALSE),0)</f>
        <v>0</v>
      </c>
      <c r="L1915">
        <f>IFERROR(HLOOKUP(L$2,[59]table_female_hkom3_inj.V1!$A$1:$K$36,10,FALSE),0)</f>
        <v>0</v>
      </c>
      <c r="M1915">
        <f t="shared" si="599"/>
        <v>0</v>
      </c>
      <c r="S1915" t="s">
        <v>78</v>
      </c>
      <c r="T1915" s="5">
        <f t="shared" si="600"/>
        <v>0</v>
      </c>
      <c r="U1915" s="5">
        <f t="shared" si="601"/>
        <v>0</v>
      </c>
      <c r="V1915" s="5">
        <f t="shared" si="602"/>
        <v>0</v>
      </c>
      <c r="W1915" s="5">
        <f t="shared" si="603"/>
        <v>0</v>
      </c>
      <c r="X1915" s="5">
        <f t="shared" si="604"/>
        <v>0</v>
      </c>
      <c r="Y1915" s="5">
        <f t="shared" si="605"/>
        <v>0</v>
      </c>
      <c r="Z1915" s="5">
        <f t="shared" si="606"/>
        <v>0</v>
      </c>
      <c r="AA1915" s="5">
        <f t="shared" si="607"/>
        <v>0</v>
      </c>
      <c r="AB1915" s="5">
        <f t="shared" si="597"/>
        <v>0</v>
      </c>
    </row>
    <row r="1916" spans="1:29" x14ac:dyDescent="0.25">
      <c r="D1916" t="s">
        <v>79</v>
      </c>
      <c r="E1916" s="64"/>
      <c r="F1916" s="64"/>
      <c r="G1916">
        <f>IFERROR(HLOOKUP(G$2,[59]table_female_hkom3_inj.V1!$A$1:$K$36,11,FALSE),0)</f>
        <v>0</v>
      </c>
      <c r="H1916">
        <f>IFERROR(HLOOKUP(H$2,[59]table_female_hkom3_inj.V1!$A$1:$K$36,11,FALSE),0)</f>
        <v>0</v>
      </c>
      <c r="I1916">
        <f>IFERROR(HLOOKUP(I$2,[59]table_female_hkom3_inj.V1!$A$1:$K$36,11,FALSE),0)</f>
        <v>0</v>
      </c>
      <c r="J1916">
        <f>IFERROR(HLOOKUP(J$2,[59]table_female_hkom3_inj.V1!$A$1:$K$36,11,FALSE),0)</f>
        <v>0</v>
      </c>
      <c r="K1916">
        <f>IFERROR(HLOOKUP(K$2,[59]table_female_hkom3_inj.V1!$A$1:$K$36,11,FALSE),0)</f>
        <v>0</v>
      </c>
      <c r="L1916">
        <f>IFERROR(HLOOKUP(L$2,[59]table_female_hkom3_inj.V1!$A$1:$K$36,11,FALSE),0)</f>
        <v>0</v>
      </c>
      <c r="M1916">
        <f t="shared" si="599"/>
        <v>0</v>
      </c>
      <c r="S1916" t="s">
        <v>79</v>
      </c>
      <c r="T1916" s="5">
        <f t="shared" si="600"/>
        <v>0</v>
      </c>
      <c r="U1916" s="5">
        <f t="shared" si="601"/>
        <v>0</v>
      </c>
      <c r="V1916" s="5">
        <f t="shared" si="602"/>
        <v>0</v>
      </c>
      <c r="W1916" s="5">
        <f t="shared" si="603"/>
        <v>0</v>
      </c>
      <c r="X1916" s="5">
        <f t="shared" si="604"/>
        <v>0</v>
      </c>
      <c r="Y1916" s="5">
        <f t="shared" si="605"/>
        <v>0</v>
      </c>
      <c r="Z1916" s="5">
        <f t="shared" si="606"/>
        <v>0</v>
      </c>
      <c r="AA1916" s="5">
        <f t="shared" si="607"/>
        <v>0</v>
      </c>
      <c r="AB1916" s="5">
        <f t="shared" si="597"/>
        <v>0</v>
      </c>
    </row>
    <row r="1917" spans="1:29" x14ac:dyDescent="0.25">
      <c r="D1917" t="s">
        <v>80</v>
      </c>
      <c r="E1917" s="64"/>
      <c r="F1917" s="64"/>
      <c r="G1917">
        <f>IFERROR(HLOOKUP(G$2,[59]table_female_hkom3_inj.V1!$A$1:$K$36,12,FALSE),0)</f>
        <v>0</v>
      </c>
      <c r="H1917">
        <f>IFERROR(HLOOKUP(H$2,[59]table_female_hkom3_inj.V1!$A$1:$K$36,12,FALSE),0)</f>
        <v>0</v>
      </c>
      <c r="I1917">
        <f>IFERROR(HLOOKUP(I$2,[59]table_female_hkom3_inj.V1!$A$1:$K$36,12,FALSE),0)</f>
        <v>0</v>
      </c>
      <c r="J1917">
        <f>IFERROR(HLOOKUP(J$2,[59]table_female_hkom3_inj.V1!$A$1:$K$36,12,FALSE),0)</f>
        <v>0</v>
      </c>
      <c r="K1917">
        <f>IFERROR(HLOOKUP(K$2,[59]table_female_hkom3_inj.V1!$A$1:$K$36,12,FALSE),0)</f>
        <v>0</v>
      </c>
      <c r="L1917">
        <f>IFERROR(HLOOKUP(L$2,[59]table_female_hkom3_inj.V1!$A$1:$K$36,12,FALSE),0)</f>
        <v>0</v>
      </c>
      <c r="M1917">
        <f t="shared" si="599"/>
        <v>0</v>
      </c>
      <c r="S1917" t="s">
        <v>80</v>
      </c>
      <c r="T1917" s="5">
        <f t="shared" si="600"/>
        <v>0</v>
      </c>
      <c r="U1917" s="5">
        <f t="shared" si="601"/>
        <v>0</v>
      </c>
      <c r="V1917" s="5">
        <f t="shared" si="602"/>
        <v>0</v>
      </c>
      <c r="W1917" s="5">
        <f t="shared" si="603"/>
        <v>0</v>
      </c>
      <c r="X1917" s="5">
        <f t="shared" si="604"/>
        <v>0</v>
      </c>
      <c r="Y1917" s="5">
        <f t="shared" si="605"/>
        <v>0</v>
      </c>
      <c r="Z1917" s="5">
        <f t="shared" si="606"/>
        <v>0</v>
      </c>
      <c r="AA1917" s="5">
        <f t="shared" si="607"/>
        <v>0</v>
      </c>
      <c r="AB1917" s="5">
        <f t="shared" si="597"/>
        <v>0</v>
      </c>
    </row>
    <row r="1918" spans="1:29" x14ac:dyDescent="0.25">
      <c r="D1918" t="s">
        <v>81</v>
      </c>
      <c r="E1918" s="64"/>
      <c r="F1918" s="64"/>
      <c r="G1918">
        <f>IFERROR(HLOOKUP(G$2,[59]table_female_hkom3_inj.V1!$A$1:$K$36,13,FALSE),0)</f>
        <v>0</v>
      </c>
      <c r="H1918">
        <f>IFERROR(HLOOKUP(H$2,[59]table_female_hkom3_inj.V1!$A$1:$K$36,13,FALSE),0)</f>
        <v>0</v>
      </c>
      <c r="I1918">
        <f>IFERROR(HLOOKUP(I$2,[59]table_female_hkom3_inj.V1!$A$1:$K$36,13,FALSE),0)</f>
        <v>0</v>
      </c>
      <c r="J1918">
        <f>IFERROR(HLOOKUP(J$2,[59]table_female_hkom3_inj.V1!$A$1:$K$36,13,FALSE),0)</f>
        <v>0</v>
      </c>
      <c r="K1918">
        <f>IFERROR(HLOOKUP(K$2,[59]table_female_hkom3_inj.V1!$A$1:$K$36,13,FALSE),0)</f>
        <v>0</v>
      </c>
      <c r="L1918">
        <f>IFERROR(HLOOKUP(L$2,[59]table_female_hkom3_inj.V1!$A$1:$K$36,13,FALSE),0)</f>
        <v>0</v>
      </c>
      <c r="M1918">
        <f t="shared" si="599"/>
        <v>0</v>
      </c>
      <c r="S1918" t="s">
        <v>81</v>
      </c>
      <c r="T1918" s="5">
        <f t="shared" si="600"/>
        <v>0</v>
      </c>
      <c r="U1918" s="5">
        <f t="shared" si="601"/>
        <v>0</v>
      </c>
      <c r="V1918" s="5">
        <f t="shared" si="602"/>
        <v>0</v>
      </c>
      <c r="W1918" s="5">
        <f t="shared" si="603"/>
        <v>0</v>
      </c>
      <c r="X1918" s="5">
        <f t="shared" si="604"/>
        <v>0</v>
      </c>
      <c r="Y1918" s="5">
        <f t="shared" si="605"/>
        <v>0</v>
      </c>
      <c r="Z1918" s="5">
        <f t="shared" si="606"/>
        <v>0</v>
      </c>
      <c r="AA1918" s="5">
        <f t="shared" si="607"/>
        <v>0</v>
      </c>
      <c r="AB1918" s="5">
        <f t="shared" si="597"/>
        <v>0</v>
      </c>
    </row>
    <row r="1919" spans="1:29" x14ac:dyDescent="0.25">
      <c r="D1919" t="s">
        <v>82</v>
      </c>
      <c r="E1919" s="64"/>
      <c r="F1919" s="64"/>
      <c r="G1919">
        <f>IFERROR(HLOOKUP(G$2,[59]table_female_hkom3_inj.V1!$A$1:$K$36,14,FALSE),0)</f>
        <v>0</v>
      </c>
      <c r="H1919">
        <f>IFERROR(HLOOKUP(H$2,[59]table_female_hkom3_inj.V1!$A$1:$K$36,14,FALSE),0)</f>
        <v>0</v>
      </c>
      <c r="I1919">
        <f>IFERROR(HLOOKUP(I$2,[59]table_female_hkom3_inj.V1!$A$1:$K$36,14,FALSE),0)</f>
        <v>0</v>
      </c>
      <c r="J1919">
        <f>IFERROR(HLOOKUP(J$2,[59]table_female_hkom3_inj.V1!$A$1:$K$36,14,FALSE),0)</f>
        <v>0</v>
      </c>
      <c r="K1919">
        <f>IFERROR(HLOOKUP(K$2,[59]table_female_hkom3_inj.V1!$A$1:$K$36,14,FALSE),0)</f>
        <v>0</v>
      </c>
      <c r="L1919">
        <f>IFERROR(HLOOKUP(L$2,[59]table_female_hkom3_inj.V1!$A$1:$K$36,14,FALSE),0)</f>
        <v>0</v>
      </c>
      <c r="M1919">
        <f t="shared" si="599"/>
        <v>0</v>
      </c>
      <c r="S1919" t="s">
        <v>82</v>
      </c>
      <c r="T1919" s="5">
        <f t="shared" si="600"/>
        <v>0</v>
      </c>
      <c r="U1919" s="5">
        <f t="shared" si="601"/>
        <v>0</v>
      </c>
      <c r="V1919" s="5">
        <f t="shared" si="602"/>
        <v>0</v>
      </c>
      <c r="W1919" s="5">
        <f t="shared" si="603"/>
        <v>0</v>
      </c>
      <c r="X1919" s="5">
        <f t="shared" si="604"/>
        <v>0</v>
      </c>
      <c r="Y1919" s="5">
        <f t="shared" si="605"/>
        <v>0</v>
      </c>
      <c r="Z1919" s="5">
        <f t="shared" si="606"/>
        <v>0</v>
      </c>
      <c r="AA1919" s="5">
        <f t="shared" si="607"/>
        <v>0</v>
      </c>
      <c r="AB1919" s="5">
        <f t="shared" si="597"/>
        <v>0</v>
      </c>
    </row>
    <row r="1920" spans="1:29" x14ac:dyDescent="0.25">
      <c r="D1920" t="s">
        <v>83</v>
      </c>
      <c r="E1920" s="64"/>
      <c r="F1920" s="64"/>
      <c r="G1920">
        <f>IFERROR(HLOOKUP(G$2,[59]table_female_hkom3_inj.V1!$A$1:$K$36,15,FALSE),0)</f>
        <v>0</v>
      </c>
      <c r="H1920">
        <f>IFERROR(HLOOKUP(H$2,[59]table_female_hkom3_inj.V1!$A$1:$K$36,15,FALSE),0)</f>
        <v>0</v>
      </c>
      <c r="I1920">
        <f>IFERROR(HLOOKUP(I$2,[59]table_female_hkom3_inj.V1!$A$1:$K$36,15,FALSE),0)</f>
        <v>0</v>
      </c>
      <c r="J1920">
        <f>IFERROR(HLOOKUP(J$2,[59]table_female_hkom3_inj.V1!$A$1:$K$36,15,FALSE),0)</f>
        <v>0</v>
      </c>
      <c r="K1920">
        <f>IFERROR(HLOOKUP(K$2,[59]table_female_hkom3_inj.V1!$A$1:$K$36,15,FALSE),0)</f>
        <v>0</v>
      </c>
      <c r="L1920">
        <f>IFERROR(HLOOKUP(L$2,[59]table_female_hkom3_inj.V1!$A$1:$K$36,15,FALSE),0)</f>
        <v>0</v>
      </c>
      <c r="M1920">
        <f t="shared" si="599"/>
        <v>0</v>
      </c>
      <c r="S1920" t="s">
        <v>83</v>
      </c>
      <c r="T1920" s="5">
        <f t="shared" si="600"/>
        <v>0</v>
      </c>
      <c r="U1920" s="5">
        <f t="shared" si="601"/>
        <v>0</v>
      </c>
      <c r="V1920" s="5">
        <f t="shared" si="602"/>
        <v>0</v>
      </c>
      <c r="W1920" s="5">
        <f t="shared" si="603"/>
        <v>0</v>
      </c>
      <c r="X1920" s="5">
        <f t="shared" si="604"/>
        <v>0</v>
      </c>
      <c r="Y1920" s="5">
        <f t="shared" si="605"/>
        <v>0</v>
      </c>
      <c r="Z1920" s="5">
        <f t="shared" si="606"/>
        <v>0</v>
      </c>
      <c r="AA1920" s="5">
        <f t="shared" si="607"/>
        <v>0</v>
      </c>
      <c r="AB1920" s="5">
        <f t="shared" si="597"/>
        <v>0</v>
      </c>
    </row>
    <row r="1921" spans="4:28" x14ac:dyDescent="0.25">
      <c r="D1921" t="s">
        <v>84</v>
      </c>
      <c r="E1921" s="64"/>
      <c r="F1921" s="64"/>
      <c r="G1921">
        <f>IFERROR(HLOOKUP(G$2,[59]table_female_hkom3_inj.V1!$A$1:$K$36,16,FALSE),0)</f>
        <v>0</v>
      </c>
      <c r="H1921">
        <f>IFERROR(HLOOKUP(H$2,[59]table_female_hkom3_inj.V1!$A$1:$K$36,16,FALSE),0)</f>
        <v>0</v>
      </c>
      <c r="I1921">
        <f>IFERROR(HLOOKUP(I$2,[59]table_female_hkom3_inj.V1!$A$1:$K$36,16,FALSE),0)</f>
        <v>0</v>
      </c>
      <c r="J1921">
        <f>IFERROR(HLOOKUP(J$2,[59]table_female_hkom3_inj.V1!$A$1:$K$36,16,FALSE),0)</f>
        <v>0</v>
      </c>
      <c r="K1921">
        <f>IFERROR(HLOOKUP(K$2,[59]table_female_hkom3_inj.V1!$A$1:$K$36,16,FALSE),0)</f>
        <v>0</v>
      </c>
      <c r="L1921">
        <f>IFERROR(HLOOKUP(L$2,[59]table_female_hkom3_inj.V1!$A$1:$K$36,16,FALSE),0)</f>
        <v>0</v>
      </c>
      <c r="M1921">
        <f t="shared" si="599"/>
        <v>0</v>
      </c>
      <c r="S1921" t="s">
        <v>84</v>
      </c>
      <c r="T1921" s="5">
        <f t="shared" si="600"/>
        <v>0</v>
      </c>
      <c r="U1921" s="5">
        <f t="shared" si="601"/>
        <v>0</v>
      </c>
      <c r="V1921" s="5">
        <f t="shared" si="602"/>
        <v>0</v>
      </c>
      <c r="W1921" s="5">
        <f t="shared" si="603"/>
        <v>0</v>
      </c>
      <c r="X1921" s="5">
        <f t="shared" si="604"/>
        <v>0</v>
      </c>
      <c r="Y1921" s="5">
        <f t="shared" si="605"/>
        <v>0</v>
      </c>
      <c r="Z1921" s="5">
        <f t="shared" si="606"/>
        <v>0</v>
      </c>
      <c r="AA1921" s="5">
        <f t="shared" si="607"/>
        <v>0</v>
      </c>
      <c r="AB1921" s="5">
        <f t="shared" si="597"/>
        <v>0</v>
      </c>
    </row>
    <row r="1922" spans="4:28" x14ac:dyDescent="0.25">
      <c r="D1922" t="s">
        <v>85</v>
      </c>
      <c r="E1922" s="64"/>
      <c r="F1922" s="64"/>
      <c r="G1922">
        <f>IFERROR(HLOOKUP(G$2,[59]table_female_hkom3_inj.V1!$A$1:$K$36,17,FALSE),0)</f>
        <v>0</v>
      </c>
      <c r="H1922">
        <f>IFERROR(HLOOKUP(H$2,[59]table_female_hkom3_inj.V1!$A$1:$K$36,17,FALSE),0)</f>
        <v>0</v>
      </c>
      <c r="I1922">
        <f>IFERROR(HLOOKUP(I$2,[59]table_female_hkom3_inj.V1!$A$1:$K$36,17,FALSE),0)</f>
        <v>0</v>
      </c>
      <c r="J1922">
        <f>IFERROR(HLOOKUP(J$2,[59]table_female_hkom3_inj.V1!$A$1:$K$36,17,FALSE),0)</f>
        <v>0</v>
      </c>
      <c r="K1922">
        <f>IFERROR(HLOOKUP(K$2,[59]table_female_hkom3_inj.V1!$A$1:$K$36,17,FALSE),0)</f>
        <v>0</v>
      </c>
      <c r="L1922">
        <f>IFERROR(HLOOKUP(L$2,[59]table_female_hkom3_inj.V1!$A$1:$K$36,17,FALSE),0)</f>
        <v>0</v>
      </c>
      <c r="M1922">
        <f t="shared" si="599"/>
        <v>0</v>
      </c>
      <c r="S1922" t="s">
        <v>85</v>
      </c>
      <c r="T1922" s="5">
        <f t="shared" si="600"/>
        <v>0</v>
      </c>
      <c r="U1922" s="5">
        <f t="shared" si="601"/>
        <v>0</v>
      </c>
      <c r="V1922" s="5">
        <f t="shared" si="602"/>
        <v>0</v>
      </c>
      <c r="W1922" s="5">
        <f t="shared" si="603"/>
        <v>0</v>
      </c>
      <c r="X1922" s="5">
        <f t="shared" si="604"/>
        <v>0</v>
      </c>
      <c r="Y1922" s="5">
        <f t="shared" si="605"/>
        <v>0</v>
      </c>
      <c r="Z1922" s="5">
        <f t="shared" si="606"/>
        <v>0</v>
      </c>
      <c r="AA1922" s="5">
        <f t="shared" si="607"/>
        <v>0</v>
      </c>
      <c r="AB1922" s="5">
        <f t="shared" si="597"/>
        <v>0</v>
      </c>
    </row>
    <row r="1923" spans="4:28" x14ac:dyDescent="0.25">
      <c r="D1923" t="s">
        <v>86</v>
      </c>
      <c r="E1923" s="64"/>
      <c r="F1923" s="64"/>
      <c r="G1923">
        <f>IFERROR(HLOOKUP(G$2,[59]table_female_hkom3_inj.V1!$A$1:$K$36,18,FALSE),0)</f>
        <v>0</v>
      </c>
      <c r="H1923">
        <f>IFERROR(HLOOKUP(H$2,[59]table_female_hkom3_inj.V1!$A$1:$K$36,18,FALSE),0)</f>
        <v>0</v>
      </c>
      <c r="I1923">
        <f>IFERROR(HLOOKUP(I$2,[59]table_female_hkom3_inj.V1!$A$1:$K$36,18,FALSE),0)</f>
        <v>0</v>
      </c>
      <c r="J1923">
        <f>IFERROR(HLOOKUP(J$2,[59]table_female_hkom3_inj.V1!$A$1:$K$36,18,FALSE),0)</f>
        <v>0</v>
      </c>
      <c r="K1923">
        <f>IFERROR(HLOOKUP(K$2,[59]table_female_hkom3_inj.V1!$A$1:$K$36,18,FALSE),0)</f>
        <v>0</v>
      </c>
      <c r="L1923">
        <f>IFERROR(HLOOKUP(L$2,[59]table_female_hkom3_inj.V1!$A$1:$K$36,18,FALSE),0)</f>
        <v>0</v>
      </c>
      <c r="M1923">
        <f t="shared" si="599"/>
        <v>0</v>
      </c>
      <c r="S1923" t="s">
        <v>86</v>
      </c>
      <c r="T1923" s="5">
        <f t="shared" si="600"/>
        <v>0</v>
      </c>
      <c r="U1923" s="5">
        <f t="shared" si="601"/>
        <v>0</v>
      </c>
      <c r="V1923" s="5">
        <f t="shared" si="602"/>
        <v>0</v>
      </c>
      <c r="W1923" s="5">
        <f t="shared" si="603"/>
        <v>0</v>
      </c>
      <c r="X1923" s="5">
        <f t="shared" si="604"/>
        <v>0</v>
      </c>
      <c r="Y1923" s="5">
        <f t="shared" si="605"/>
        <v>0</v>
      </c>
      <c r="Z1923" s="5">
        <f t="shared" si="606"/>
        <v>0</v>
      </c>
      <c r="AA1923" s="5">
        <f t="shared" si="607"/>
        <v>0</v>
      </c>
      <c r="AB1923" s="5">
        <f t="shared" si="597"/>
        <v>0</v>
      </c>
    </row>
    <row r="1924" spans="4:28" x14ac:dyDescent="0.25">
      <c r="D1924" t="s">
        <v>87</v>
      </c>
      <c r="E1924" s="64"/>
      <c r="F1924" s="64"/>
      <c r="G1924">
        <f>IFERROR(HLOOKUP(G$2,[59]table_female_hkom3_inj.V1!$A$1:$K$36,19,FALSE),0)</f>
        <v>0</v>
      </c>
      <c r="H1924">
        <f>IFERROR(HLOOKUP(H$2,[59]table_female_hkom3_inj.V1!$A$1:$K$36,19,FALSE),0)</f>
        <v>0</v>
      </c>
      <c r="I1924">
        <f>IFERROR(HLOOKUP(I$2,[59]table_female_hkom3_inj.V1!$A$1:$K$36,19,FALSE),0)</f>
        <v>0</v>
      </c>
      <c r="J1924">
        <f>IFERROR(HLOOKUP(J$2,[59]table_female_hkom3_inj.V1!$A$1:$K$36,19,FALSE),0)</f>
        <v>0</v>
      </c>
      <c r="K1924">
        <f>IFERROR(HLOOKUP(K$2,[59]table_female_hkom3_inj.V1!$A$1:$K$36,19,FALSE),0)</f>
        <v>0</v>
      </c>
      <c r="L1924">
        <f>IFERROR(HLOOKUP(L$2,[59]table_female_hkom3_inj.V1!$A$1:$K$36,19,FALSE),0)</f>
        <v>0</v>
      </c>
      <c r="M1924">
        <f t="shared" si="599"/>
        <v>0</v>
      </c>
      <c r="S1924" t="s">
        <v>87</v>
      </c>
      <c r="T1924" s="5">
        <f t="shared" si="600"/>
        <v>0</v>
      </c>
      <c r="U1924" s="5">
        <f t="shared" si="601"/>
        <v>0</v>
      </c>
      <c r="V1924" s="5">
        <f t="shared" si="602"/>
        <v>0</v>
      </c>
      <c r="W1924" s="5">
        <f t="shared" si="603"/>
        <v>0</v>
      </c>
      <c r="X1924" s="5">
        <f t="shared" si="604"/>
        <v>0</v>
      </c>
      <c r="Y1924" s="5">
        <f t="shared" si="605"/>
        <v>0</v>
      </c>
      <c r="Z1924" s="5">
        <f t="shared" si="606"/>
        <v>0</v>
      </c>
      <c r="AA1924" s="5">
        <f t="shared" si="607"/>
        <v>0</v>
      </c>
      <c r="AB1924" s="5">
        <f t="shared" si="597"/>
        <v>0</v>
      </c>
    </row>
    <row r="1925" spans="4:28" x14ac:dyDescent="0.25">
      <c r="D1925" t="s">
        <v>88</v>
      </c>
      <c r="E1925" s="64"/>
      <c r="F1925" s="64"/>
      <c r="G1925">
        <f>IFERROR(HLOOKUP(G$2,[59]table_female_hkom3_inj.V1!$A$1:$K$36,20,FALSE),0)</f>
        <v>0</v>
      </c>
      <c r="H1925">
        <f>IFERROR(HLOOKUP(H$2,[59]table_female_hkom3_inj.V1!$A$1:$K$36,20,FALSE),0)</f>
        <v>1</v>
      </c>
      <c r="I1925">
        <f>IFERROR(HLOOKUP(I$2,[59]table_female_hkom3_inj.V1!$A$1:$K$36,20,FALSE),0)</f>
        <v>0</v>
      </c>
      <c r="J1925">
        <f>IFERROR(HLOOKUP(J$2,[59]table_female_hkom3_inj.V1!$A$1:$K$36,20,FALSE),0)</f>
        <v>0</v>
      </c>
      <c r="K1925">
        <f>IFERROR(HLOOKUP(K$2,[59]table_female_hkom3_inj.V1!$A$1:$K$36,20,FALSE),0)</f>
        <v>0</v>
      </c>
      <c r="L1925">
        <f>IFERROR(HLOOKUP(L$2,[59]table_female_hkom3_inj.V1!$A$1:$K$36,20,FALSE),0)</f>
        <v>0</v>
      </c>
      <c r="M1925">
        <f t="shared" si="599"/>
        <v>1</v>
      </c>
      <c r="S1925" t="s">
        <v>88</v>
      </c>
      <c r="T1925" s="5">
        <f t="shared" si="600"/>
        <v>0</v>
      </c>
      <c r="U1925" s="5">
        <f t="shared" si="601"/>
        <v>0</v>
      </c>
      <c r="V1925" s="5">
        <f t="shared" si="602"/>
        <v>0</v>
      </c>
      <c r="W1925" s="5">
        <f t="shared" si="603"/>
        <v>1</v>
      </c>
      <c r="X1925" s="5">
        <f t="shared" si="604"/>
        <v>0</v>
      </c>
      <c r="Y1925" s="5">
        <f t="shared" si="605"/>
        <v>0</v>
      </c>
      <c r="Z1925" s="5">
        <f t="shared" si="606"/>
        <v>0</v>
      </c>
      <c r="AA1925" s="5">
        <f t="shared" si="607"/>
        <v>0</v>
      </c>
      <c r="AB1925" s="5">
        <f t="shared" si="597"/>
        <v>1</v>
      </c>
    </row>
    <row r="1926" spans="4:28" x14ac:dyDescent="0.25">
      <c r="D1926" t="s">
        <v>89</v>
      </c>
      <c r="E1926" s="64"/>
      <c r="F1926" s="64"/>
      <c r="G1926">
        <f>IFERROR(HLOOKUP(G$2,[59]table_female_hkom3_inj.V1!$A$1:$K$36,21,FALSE),0)</f>
        <v>0</v>
      </c>
      <c r="H1926">
        <f>IFERROR(HLOOKUP(H$2,[59]table_female_hkom3_inj.V1!$A$1:$K$36,21,FALSE),0)</f>
        <v>0</v>
      </c>
      <c r="I1926">
        <f>IFERROR(HLOOKUP(I$2,[59]table_female_hkom3_inj.V1!$A$1:$K$36,21,FALSE),0)</f>
        <v>0</v>
      </c>
      <c r="J1926">
        <f>IFERROR(HLOOKUP(J$2,[59]table_female_hkom3_inj.V1!$A$1:$K$36,21,FALSE),0)</f>
        <v>0</v>
      </c>
      <c r="K1926">
        <f>IFERROR(HLOOKUP(K$2,[59]table_female_hkom3_inj.V1!$A$1:$K$36,21,FALSE),0)</f>
        <v>0</v>
      </c>
      <c r="L1926">
        <f>IFERROR(HLOOKUP(L$2,[59]table_female_hkom3_inj.V1!$A$1:$K$36,21,FALSE),0)</f>
        <v>0</v>
      </c>
      <c r="M1926">
        <f t="shared" si="599"/>
        <v>0</v>
      </c>
      <c r="S1926" t="s">
        <v>89</v>
      </c>
      <c r="T1926" s="5">
        <f t="shared" si="600"/>
        <v>0</v>
      </c>
      <c r="U1926" s="5">
        <f t="shared" si="601"/>
        <v>0</v>
      </c>
      <c r="V1926" s="5">
        <f t="shared" si="602"/>
        <v>0</v>
      </c>
      <c r="W1926" s="5">
        <f t="shared" si="603"/>
        <v>0</v>
      </c>
      <c r="X1926" s="5">
        <f t="shared" si="604"/>
        <v>0</v>
      </c>
      <c r="Y1926" s="5">
        <f t="shared" si="605"/>
        <v>0</v>
      </c>
      <c r="Z1926" s="5">
        <f t="shared" si="606"/>
        <v>0</v>
      </c>
      <c r="AA1926" s="5">
        <f t="shared" si="607"/>
        <v>0</v>
      </c>
      <c r="AB1926" s="5">
        <f t="shared" si="597"/>
        <v>0</v>
      </c>
    </row>
    <row r="1927" spans="4:28" x14ac:dyDescent="0.25">
      <c r="D1927" t="s">
        <v>90</v>
      </c>
      <c r="E1927" s="64"/>
      <c r="F1927" s="64"/>
      <c r="G1927">
        <f>IFERROR(HLOOKUP(G$2,[59]table_female_hkom3_inj.V1!$A$1:$K$36,22,FALSE),0)</f>
        <v>0</v>
      </c>
      <c r="H1927">
        <f>IFERROR(HLOOKUP(H$2,[59]table_female_hkom3_inj.V1!$A$1:$K$36,22,FALSE),0)</f>
        <v>0</v>
      </c>
      <c r="I1927">
        <f>IFERROR(HLOOKUP(I$2,[59]table_female_hkom3_inj.V1!$A$1:$K$36,22,FALSE),0)</f>
        <v>0</v>
      </c>
      <c r="J1927">
        <f>IFERROR(HLOOKUP(J$2,[59]table_female_hkom3_inj.V1!$A$1:$K$36,22,FALSE),0)</f>
        <v>0</v>
      </c>
      <c r="K1927">
        <f>IFERROR(HLOOKUP(K$2,[59]table_female_hkom3_inj.V1!$A$1:$K$36,22,FALSE),0)</f>
        <v>0</v>
      </c>
      <c r="L1927">
        <f>IFERROR(HLOOKUP(L$2,[59]table_female_hkom3_inj.V1!$A$1:$K$36,22,FALSE),0)</f>
        <v>0</v>
      </c>
      <c r="M1927">
        <f t="shared" si="599"/>
        <v>0</v>
      </c>
      <c r="S1927" t="s">
        <v>90</v>
      </c>
      <c r="T1927" s="5">
        <f t="shared" si="600"/>
        <v>0</v>
      </c>
      <c r="U1927" s="5">
        <f t="shared" si="601"/>
        <v>0</v>
      </c>
      <c r="V1927" s="5">
        <f t="shared" si="602"/>
        <v>0</v>
      </c>
      <c r="W1927" s="5">
        <f t="shared" si="603"/>
        <v>0</v>
      </c>
      <c r="X1927" s="5">
        <f t="shared" si="604"/>
        <v>0</v>
      </c>
      <c r="Y1927" s="5">
        <f t="shared" si="605"/>
        <v>0</v>
      </c>
      <c r="Z1927" s="5">
        <f t="shared" si="606"/>
        <v>0</v>
      </c>
      <c r="AA1927" s="5">
        <f t="shared" si="607"/>
        <v>0</v>
      </c>
      <c r="AB1927" s="5">
        <f t="shared" si="597"/>
        <v>0</v>
      </c>
    </row>
    <row r="1928" spans="4:28" x14ac:dyDescent="0.25">
      <c r="D1928" t="s">
        <v>91</v>
      </c>
      <c r="E1928" s="64"/>
      <c r="F1928" s="64"/>
      <c r="G1928">
        <f>IFERROR(HLOOKUP(G$2,[59]table_female_hkom3_inj.V1!$A$1:$K$36,23,FALSE),0)</f>
        <v>0</v>
      </c>
      <c r="H1928">
        <f>IFERROR(HLOOKUP(H$2,[59]table_female_hkom3_inj.V1!$A$1:$K$36,23,FALSE),0)</f>
        <v>0</v>
      </c>
      <c r="I1928">
        <f>IFERROR(HLOOKUP(I$2,[59]table_female_hkom3_inj.V1!$A$1:$K$36,23,FALSE),0)</f>
        <v>0</v>
      </c>
      <c r="J1928">
        <f>IFERROR(HLOOKUP(J$2,[59]table_female_hkom3_inj.V1!$A$1:$K$36,23,FALSE),0)</f>
        <v>0</v>
      </c>
      <c r="K1928">
        <f>IFERROR(HLOOKUP(K$2,[59]table_female_hkom3_inj.V1!$A$1:$K$36,23,FALSE),0)</f>
        <v>0</v>
      </c>
      <c r="L1928">
        <f>IFERROR(HLOOKUP(L$2,[59]table_female_hkom3_inj.V1!$A$1:$K$36,23,FALSE),0)</f>
        <v>0</v>
      </c>
      <c r="M1928">
        <f t="shared" si="599"/>
        <v>0</v>
      </c>
      <c r="S1928" t="s">
        <v>91</v>
      </c>
      <c r="T1928" s="5">
        <f t="shared" si="600"/>
        <v>0</v>
      </c>
      <c r="U1928" s="5">
        <f t="shared" si="601"/>
        <v>0</v>
      </c>
      <c r="V1928" s="5">
        <f t="shared" si="602"/>
        <v>0</v>
      </c>
      <c r="W1928" s="5">
        <f t="shared" si="603"/>
        <v>0</v>
      </c>
      <c r="X1928" s="5">
        <f t="shared" si="604"/>
        <v>0</v>
      </c>
      <c r="Y1928" s="5">
        <f t="shared" si="605"/>
        <v>0</v>
      </c>
      <c r="Z1928" s="5">
        <f t="shared" si="606"/>
        <v>0</v>
      </c>
      <c r="AA1928" s="5">
        <f t="shared" si="607"/>
        <v>0</v>
      </c>
      <c r="AB1928" s="5">
        <f t="shared" si="597"/>
        <v>0</v>
      </c>
    </row>
    <row r="1929" spans="4:28" x14ac:dyDescent="0.25">
      <c r="D1929" t="s">
        <v>92</v>
      </c>
      <c r="E1929" s="64"/>
      <c r="F1929" s="64"/>
      <c r="G1929">
        <f>IFERROR(HLOOKUP(G$2,[59]table_female_hkom3_inj.V1!$A$1:$K$36,24,FALSE),0)</f>
        <v>0</v>
      </c>
      <c r="H1929">
        <f>IFERROR(HLOOKUP(H$2,[59]table_female_hkom3_inj.V1!$A$1:$K$36,24,FALSE),0)</f>
        <v>0</v>
      </c>
      <c r="I1929">
        <f>IFERROR(HLOOKUP(I$2,[59]table_female_hkom3_inj.V1!$A$1:$K$36,24,FALSE),0)</f>
        <v>0</v>
      </c>
      <c r="J1929">
        <f>IFERROR(HLOOKUP(J$2,[59]table_female_hkom3_inj.V1!$A$1:$K$36,24,FALSE),0)</f>
        <v>0</v>
      </c>
      <c r="K1929">
        <f>IFERROR(HLOOKUP(K$2,[59]table_female_hkom3_inj.V1!$A$1:$K$36,24,FALSE),0)</f>
        <v>0</v>
      </c>
      <c r="L1929">
        <f>IFERROR(HLOOKUP(L$2,[59]table_female_hkom3_inj.V1!$A$1:$K$36,24,FALSE),0)</f>
        <v>0</v>
      </c>
      <c r="M1929">
        <f t="shared" si="599"/>
        <v>0</v>
      </c>
      <c r="S1929" t="s">
        <v>92</v>
      </c>
      <c r="T1929" s="5">
        <f t="shared" si="600"/>
        <v>0</v>
      </c>
      <c r="U1929" s="5">
        <f t="shared" si="601"/>
        <v>0</v>
      </c>
      <c r="V1929" s="5">
        <f t="shared" si="602"/>
        <v>0</v>
      </c>
      <c r="W1929" s="5">
        <f t="shared" si="603"/>
        <v>0</v>
      </c>
      <c r="X1929" s="5">
        <f t="shared" si="604"/>
        <v>0</v>
      </c>
      <c r="Y1929" s="5">
        <f t="shared" si="605"/>
        <v>0</v>
      </c>
      <c r="Z1929" s="5">
        <f t="shared" si="606"/>
        <v>0</v>
      </c>
      <c r="AA1929" s="5">
        <f t="shared" si="607"/>
        <v>0</v>
      </c>
      <c r="AB1929" s="5">
        <f t="shared" si="597"/>
        <v>0</v>
      </c>
    </row>
    <row r="1930" spans="4:28" x14ac:dyDescent="0.25">
      <c r="D1930" t="s">
        <v>93</v>
      </c>
      <c r="E1930" s="64"/>
      <c r="F1930" s="64"/>
      <c r="G1930">
        <f>IFERROR(HLOOKUP(G$2,[59]table_female_hkom3_inj.V1!$A$1:$K$36,25,FALSE),0)</f>
        <v>0</v>
      </c>
      <c r="H1930">
        <f>IFERROR(HLOOKUP(H$2,[59]table_female_hkom3_inj.V1!$A$1:$K$36,25,FALSE),0)</f>
        <v>0</v>
      </c>
      <c r="I1930">
        <f>IFERROR(HLOOKUP(I$2,[59]table_female_hkom3_inj.V1!$A$1:$K$36,25,FALSE),0)</f>
        <v>0</v>
      </c>
      <c r="J1930">
        <f>IFERROR(HLOOKUP(J$2,[59]table_female_hkom3_inj.V1!$A$1:$K$36,25,FALSE),0)</f>
        <v>0</v>
      </c>
      <c r="K1930">
        <f>IFERROR(HLOOKUP(K$2,[59]table_female_hkom3_inj.V1!$A$1:$K$36,25,FALSE),0)</f>
        <v>0</v>
      </c>
      <c r="L1930">
        <f>IFERROR(HLOOKUP(L$2,[59]table_female_hkom3_inj.V1!$A$1:$K$36,25,FALSE),0)</f>
        <v>0</v>
      </c>
      <c r="M1930">
        <f t="shared" si="599"/>
        <v>0</v>
      </c>
      <c r="S1930" t="s">
        <v>93</v>
      </c>
      <c r="T1930" s="5">
        <f t="shared" si="600"/>
        <v>0</v>
      </c>
      <c r="U1930" s="5">
        <f t="shared" si="601"/>
        <v>0</v>
      </c>
      <c r="V1930" s="5">
        <f t="shared" si="602"/>
        <v>0</v>
      </c>
      <c r="W1930" s="5">
        <f t="shared" si="603"/>
        <v>0</v>
      </c>
      <c r="X1930" s="5">
        <f t="shared" si="604"/>
        <v>0</v>
      </c>
      <c r="Y1930" s="5">
        <f t="shared" si="605"/>
        <v>0</v>
      </c>
      <c r="Z1930" s="5">
        <f t="shared" si="606"/>
        <v>0</v>
      </c>
      <c r="AA1930" s="5">
        <f t="shared" si="607"/>
        <v>0</v>
      </c>
      <c r="AB1930" s="5">
        <f t="shared" si="597"/>
        <v>0</v>
      </c>
    </row>
    <row r="1931" spans="4:28" x14ac:dyDescent="0.25">
      <c r="D1931" t="s">
        <v>94</v>
      </c>
      <c r="E1931" s="64"/>
      <c r="F1931" s="64"/>
      <c r="G1931">
        <f>IFERROR(HLOOKUP(G$2,[59]table_female_hkom3_inj.V1!$A$1:$K$36,26,FALSE),0)</f>
        <v>0</v>
      </c>
      <c r="H1931">
        <f>IFERROR(HLOOKUP(H$2,[59]table_female_hkom3_inj.V1!$A$1:$K$36,26,FALSE),0)</f>
        <v>0</v>
      </c>
      <c r="I1931">
        <f>IFERROR(HLOOKUP(I$2,[59]table_female_hkom3_inj.V1!$A$1:$K$36,26,FALSE),0)</f>
        <v>0</v>
      </c>
      <c r="J1931">
        <f>IFERROR(HLOOKUP(J$2,[59]table_female_hkom3_inj.V1!$A$1:$K$36,26,FALSE),0)</f>
        <v>0</v>
      </c>
      <c r="K1931">
        <f>IFERROR(HLOOKUP(K$2,[59]table_female_hkom3_inj.V1!$A$1:$K$36,26,FALSE),0)</f>
        <v>0</v>
      </c>
      <c r="L1931">
        <f>IFERROR(HLOOKUP(L$2,[59]table_female_hkom3_inj.V1!$A$1:$K$36,26,FALSE),0)</f>
        <v>0</v>
      </c>
      <c r="M1931">
        <f t="shared" si="599"/>
        <v>0</v>
      </c>
      <c r="S1931" t="s">
        <v>94</v>
      </c>
      <c r="T1931" s="5">
        <f t="shared" si="600"/>
        <v>0</v>
      </c>
      <c r="U1931" s="5">
        <f t="shared" si="601"/>
        <v>0</v>
      </c>
      <c r="V1931" s="5">
        <f t="shared" si="602"/>
        <v>0</v>
      </c>
      <c r="W1931" s="5">
        <f t="shared" si="603"/>
        <v>0</v>
      </c>
      <c r="X1931" s="5">
        <f t="shared" si="604"/>
        <v>0</v>
      </c>
      <c r="Y1931" s="5">
        <f t="shared" si="605"/>
        <v>0</v>
      </c>
      <c r="Z1931" s="5">
        <f t="shared" si="606"/>
        <v>0</v>
      </c>
      <c r="AA1931" s="5">
        <f t="shared" si="607"/>
        <v>0</v>
      </c>
      <c r="AB1931" s="5">
        <f t="shared" si="597"/>
        <v>0</v>
      </c>
    </row>
    <row r="1932" spans="4:28" x14ac:dyDescent="0.25">
      <c r="D1932" t="s">
        <v>95</v>
      </c>
      <c r="E1932" s="64"/>
      <c r="F1932" s="64"/>
      <c r="G1932">
        <f>IFERROR(HLOOKUP(G$2,[59]table_female_hkom3_inj.V1!$A$1:$K$36,27,FALSE),0)</f>
        <v>0</v>
      </c>
      <c r="H1932">
        <f>IFERROR(HLOOKUP(H$2,[59]table_female_hkom3_inj.V1!$A$1:$K$36,27,FALSE),0)</f>
        <v>0</v>
      </c>
      <c r="I1932">
        <f>IFERROR(HLOOKUP(I$2,[59]table_female_hkom3_inj.V1!$A$1:$K$36,27,FALSE),0)</f>
        <v>0</v>
      </c>
      <c r="J1932">
        <f>IFERROR(HLOOKUP(J$2,[59]table_female_hkom3_inj.V1!$A$1:$K$36,27,FALSE),0)</f>
        <v>0</v>
      </c>
      <c r="K1932">
        <f>IFERROR(HLOOKUP(K$2,[59]table_female_hkom3_inj.V1!$A$1:$K$36,27,FALSE),0)</f>
        <v>0</v>
      </c>
      <c r="L1932">
        <f>IFERROR(HLOOKUP(L$2,[59]table_female_hkom3_inj.V1!$A$1:$K$36,27,FALSE),0)</f>
        <v>0</v>
      </c>
      <c r="M1932">
        <f t="shared" si="599"/>
        <v>0</v>
      </c>
      <c r="S1932" t="s">
        <v>95</v>
      </c>
      <c r="T1932" s="5">
        <f t="shared" si="600"/>
        <v>0</v>
      </c>
      <c r="U1932" s="5">
        <f t="shared" si="601"/>
        <v>0</v>
      </c>
      <c r="V1932" s="5">
        <f t="shared" si="602"/>
        <v>0</v>
      </c>
      <c r="W1932" s="5">
        <f t="shared" si="603"/>
        <v>0</v>
      </c>
      <c r="X1932" s="5">
        <f t="shared" si="604"/>
        <v>0</v>
      </c>
      <c r="Y1932" s="5">
        <f t="shared" si="605"/>
        <v>0</v>
      </c>
      <c r="Z1932" s="5">
        <f t="shared" si="606"/>
        <v>0</v>
      </c>
      <c r="AA1932" s="5">
        <f t="shared" si="607"/>
        <v>0</v>
      </c>
      <c r="AB1932" s="5">
        <f t="shared" si="597"/>
        <v>0</v>
      </c>
    </row>
    <row r="1933" spans="4:28" x14ac:dyDescent="0.25">
      <c r="D1933" t="s">
        <v>96</v>
      </c>
      <c r="E1933" s="64"/>
      <c r="F1933" s="64"/>
      <c r="G1933">
        <f>IFERROR(HLOOKUP(G$2,[59]table_female_hkom3_inj.V1!$A$1:$K$36,28,FALSE),0)</f>
        <v>0</v>
      </c>
      <c r="H1933">
        <f>IFERROR(HLOOKUP(H$2,[59]table_female_hkom3_inj.V1!$A$1:$K$36,28,FALSE),0)</f>
        <v>0</v>
      </c>
      <c r="I1933">
        <f>IFERROR(HLOOKUP(I$2,[59]table_female_hkom3_inj.V1!$A$1:$K$36,28,FALSE),0)</f>
        <v>0</v>
      </c>
      <c r="J1933">
        <f>IFERROR(HLOOKUP(J$2,[59]table_female_hkom3_inj.V1!$A$1:$K$36,28,FALSE),0)</f>
        <v>0</v>
      </c>
      <c r="K1933">
        <f>IFERROR(HLOOKUP(K$2,[59]table_female_hkom3_inj.V1!$A$1:$K$36,28,FALSE),0)</f>
        <v>0</v>
      </c>
      <c r="L1933">
        <f>IFERROR(HLOOKUP(L$2,[59]table_female_hkom3_inj.V1!$A$1:$K$36,28,FALSE),0)</f>
        <v>0</v>
      </c>
      <c r="M1933">
        <f t="shared" si="599"/>
        <v>0</v>
      </c>
      <c r="S1933" t="s">
        <v>96</v>
      </c>
      <c r="T1933" s="5">
        <f t="shared" si="600"/>
        <v>0</v>
      </c>
      <c r="U1933" s="5">
        <f t="shared" si="601"/>
        <v>0</v>
      </c>
      <c r="V1933" s="5">
        <f t="shared" si="602"/>
        <v>0</v>
      </c>
      <c r="W1933" s="5">
        <f t="shared" si="603"/>
        <v>0</v>
      </c>
      <c r="X1933" s="5">
        <f t="shared" si="604"/>
        <v>0</v>
      </c>
      <c r="Y1933" s="5">
        <f t="shared" si="605"/>
        <v>0</v>
      </c>
      <c r="Z1933" s="5">
        <f t="shared" si="606"/>
        <v>0</v>
      </c>
      <c r="AA1933" s="5">
        <f t="shared" si="607"/>
        <v>0</v>
      </c>
      <c r="AB1933" s="5">
        <f t="shared" si="597"/>
        <v>0</v>
      </c>
    </row>
    <row r="1934" spans="4:28" x14ac:dyDescent="0.25">
      <c r="D1934" t="s">
        <v>97</v>
      </c>
      <c r="E1934" s="64"/>
      <c r="F1934" s="64"/>
      <c r="G1934">
        <f>IFERROR(HLOOKUP(G$2,[59]table_female_hkom3_inj.V1!$A$1:$K$36,29,FALSE),0)</f>
        <v>0</v>
      </c>
      <c r="H1934">
        <f>IFERROR(HLOOKUP(H$2,[59]table_female_hkom3_inj.V1!$A$1:$K$36,29,FALSE),0)</f>
        <v>0</v>
      </c>
      <c r="I1934">
        <f>IFERROR(HLOOKUP(I$2,[59]table_female_hkom3_inj.V1!$A$1:$K$36,29,FALSE),0)</f>
        <v>0</v>
      </c>
      <c r="J1934">
        <f>IFERROR(HLOOKUP(J$2,[59]table_female_hkom3_inj.V1!$A$1:$K$36,29,FALSE),0)</f>
        <v>0</v>
      </c>
      <c r="K1934">
        <f>IFERROR(HLOOKUP(K$2,[59]table_female_hkom3_inj.V1!$A$1:$K$36,29,FALSE),0)</f>
        <v>0</v>
      </c>
      <c r="L1934">
        <f>IFERROR(HLOOKUP(L$2,[59]table_female_hkom3_inj.V1!$A$1:$K$36,29,FALSE),0)</f>
        <v>0</v>
      </c>
      <c r="M1934">
        <f t="shared" si="599"/>
        <v>0</v>
      </c>
      <c r="S1934" t="s">
        <v>97</v>
      </c>
      <c r="T1934" s="5">
        <f t="shared" si="600"/>
        <v>0</v>
      </c>
      <c r="U1934" s="5">
        <f t="shared" si="601"/>
        <v>0</v>
      </c>
      <c r="V1934" s="5">
        <f t="shared" si="602"/>
        <v>0</v>
      </c>
      <c r="W1934" s="5">
        <f t="shared" si="603"/>
        <v>0</v>
      </c>
      <c r="X1934" s="5">
        <f t="shared" si="604"/>
        <v>0</v>
      </c>
      <c r="Y1934" s="5">
        <f t="shared" si="605"/>
        <v>0</v>
      </c>
      <c r="Z1934" s="5">
        <f t="shared" si="606"/>
        <v>0</v>
      </c>
      <c r="AA1934" s="5">
        <f t="shared" si="607"/>
        <v>0</v>
      </c>
      <c r="AB1934" s="5">
        <f t="shared" si="597"/>
        <v>0</v>
      </c>
    </row>
    <row r="1935" spans="4:28" x14ac:dyDescent="0.25">
      <c r="D1935" t="s">
        <v>98</v>
      </c>
      <c r="E1935" s="64"/>
      <c r="F1935" s="64"/>
      <c r="G1935">
        <f>IFERROR(HLOOKUP(G$2,[59]table_female_hkom3_inj.V1!$A$1:$K$36,30,FALSE),0)</f>
        <v>0</v>
      </c>
      <c r="H1935">
        <f>IFERROR(HLOOKUP(H$2,[59]table_female_hkom3_inj.V1!$A$1:$K$36,30,FALSE),0)</f>
        <v>0</v>
      </c>
      <c r="I1935">
        <f>IFERROR(HLOOKUP(I$2,[59]table_female_hkom3_inj.V1!$A$1:$K$36,30,FALSE),0)</f>
        <v>0</v>
      </c>
      <c r="J1935">
        <f>IFERROR(HLOOKUP(J$2,[59]table_female_hkom3_inj.V1!$A$1:$K$36,30,FALSE),0)</f>
        <v>1</v>
      </c>
      <c r="K1935">
        <f>IFERROR(HLOOKUP(K$2,[59]table_female_hkom3_inj.V1!$A$1:$K$36,30,FALSE),0)</f>
        <v>0</v>
      </c>
      <c r="L1935">
        <f>IFERROR(HLOOKUP(L$2,[59]table_female_hkom3_inj.V1!$A$1:$K$36,30,FALSE),0)</f>
        <v>0</v>
      </c>
      <c r="M1935">
        <f t="shared" si="599"/>
        <v>1</v>
      </c>
      <c r="S1935" t="s">
        <v>98</v>
      </c>
      <c r="T1935" s="5">
        <f t="shared" si="600"/>
        <v>0</v>
      </c>
      <c r="U1935" s="5">
        <f t="shared" si="601"/>
        <v>0</v>
      </c>
      <c r="V1935" s="5">
        <f t="shared" si="602"/>
        <v>0</v>
      </c>
      <c r="W1935" s="5">
        <f t="shared" si="603"/>
        <v>0</v>
      </c>
      <c r="X1935" s="5">
        <f t="shared" si="604"/>
        <v>0</v>
      </c>
      <c r="Y1935" s="5">
        <f t="shared" si="605"/>
        <v>1</v>
      </c>
      <c r="Z1935" s="5">
        <f t="shared" si="606"/>
        <v>0</v>
      </c>
      <c r="AA1935" s="5">
        <f t="shared" si="607"/>
        <v>0</v>
      </c>
      <c r="AB1935" s="5">
        <f t="shared" si="597"/>
        <v>1</v>
      </c>
    </row>
    <row r="1936" spans="4:28" x14ac:dyDescent="0.25">
      <c r="D1936" t="s">
        <v>119</v>
      </c>
      <c r="E1936" s="64"/>
      <c r="F1936" s="64"/>
      <c r="G1936">
        <f>IFERROR(HLOOKUP(G$2,[59]table_female_hkom3_inj.V1!$A$1:$K$36,31,FALSE),0)</f>
        <v>0</v>
      </c>
      <c r="H1936">
        <f>IFERROR(HLOOKUP(H$2,[59]table_female_hkom3_inj.V1!$A$1:$K$36,31,FALSE),0)</f>
        <v>0</v>
      </c>
      <c r="I1936">
        <f>IFERROR(HLOOKUP(I$2,[59]table_female_hkom3_inj.V1!$A$1:$K$36,31,FALSE),0)</f>
        <v>0</v>
      </c>
      <c r="J1936">
        <f>IFERROR(HLOOKUP(J$2,[59]table_female_hkom3_inj.V1!$A$1:$K$36,31,FALSE),0)</f>
        <v>0</v>
      </c>
      <c r="K1936">
        <f>IFERROR(HLOOKUP(K$2,[59]table_female_hkom3_inj.V1!$A$1:$K$36,31,FALSE),0)</f>
        <v>0</v>
      </c>
      <c r="L1936">
        <f>IFERROR(HLOOKUP(L$2,[59]table_female_hkom3_inj.V1!$A$1:$K$36,31,FALSE),0)</f>
        <v>0</v>
      </c>
      <c r="M1936">
        <f t="shared" si="599"/>
        <v>0</v>
      </c>
      <c r="S1936" t="s">
        <v>119</v>
      </c>
      <c r="T1936" s="5">
        <f t="shared" si="600"/>
        <v>0</v>
      </c>
      <c r="U1936" s="5">
        <f t="shared" si="601"/>
        <v>0</v>
      </c>
      <c r="V1936" s="5">
        <f t="shared" si="602"/>
        <v>0</v>
      </c>
      <c r="W1936" s="5">
        <f t="shared" si="603"/>
        <v>0</v>
      </c>
      <c r="X1936" s="5">
        <f t="shared" si="604"/>
        <v>0</v>
      </c>
      <c r="Y1936" s="5">
        <f t="shared" si="605"/>
        <v>0</v>
      </c>
      <c r="Z1936" s="5">
        <f t="shared" si="606"/>
        <v>0</v>
      </c>
      <c r="AA1936" s="5">
        <f t="shared" si="607"/>
        <v>0</v>
      </c>
      <c r="AB1936" s="5">
        <f t="shared" si="597"/>
        <v>0</v>
      </c>
    </row>
    <row r="1937" spans="1:29" x14ac:dyDescent="0.25">
      <c r="D1937" t="s">
        <v>99</v>
      </c>
      <c r="E1937" s="64"/>
      <c r="F1937" s="64"/>
      <c r="G1937">
        <f>IFERROR(HLOOKUP(G$2,[59]table_female_hkom3_inj.V1!$A$1:$K$36,32,FALSE),0)</f>
        <v>0</v>
      </c>
      <c r="H1937">
        <f>IFERROR(HLOOKUP(H$2,[59]table_female_hkom3_inj.V1!$A$1:$K$36,32,FALSE),0)</f>
        <v>0</v>
      </c>
      <c r="I1937">
        <f>IFERROR(HLOOKUP(I$2,[59]table_female_hkom3_inj.V1!$A$1:$K$36,32,FALSE),0)</f>
        <v>0</v>
      </c>
      <c r="J1937">
        <f>IFERROR(HLOOKUP(J$2,[59]table_female_hkom3_inj.V1!$A$1:$K$36,32,FALSE),0)</f>
        <v>0</v>
      </c>
      <c r="K1937">
        <f>IFERROR(HLOOKUP(K$2,[59]table_female_hkom3_inj.V1!$A$1:$K$36,32,FALSE),0)</f>
        <v>0</v>
      </c>
      <c r="L1937">
        <f>IFERROR(HLOOKUP(L$2,[59]table_female_hkom3_inj.V1!$A$1:$K$36,32,FALSE),0)</f>
        <v>0</v>
      </c>
      <c r="M1937">
        <f t="shared" si="599"/>
        <v>0</v>
      </c>
      <c r="S1937" t="s">
        <v>99</v>
      </c>
      <c r="T1937" s="5">
        <f t="shared" si="600"/>
        <v>0</v>
      </c>
      <c r="U1937" s="5">
        <f t="shared" si="601"/>
        <v>0</v>
      </c>
      <c r="V1937" s="5">
        <f t="shared" si="602"/>
        <v>0</v>
      </c>
      <c r="W1937" s="5">
        <f t="shared" si="603"/>
        <v>0</v>
      </c>
      <c r="X1937" s="5">
        <f t="shared" si="604"/>
        <v>0</v>
      </c>
      <c r="Y1937" s="5">
        <f t="shared" si="605"/>
        <v>0</v>
      </c>
      <c r="Z1937" s="5">
        <f t="shared" si="606"/>
        <v>0</v>
      </c>
      <c r="AA1937" s="5">
        <f t="shared" si="607"/>
        <v>0</v>
      </c>
      <c r="AB1937" s="5">
        <f t="shared" si="597"/>
        <v>0</v>
      </c>
    </row>
    <row r="1938" spans="1:29" x14ac:dyDescent="0.25">
      <c r="D1938" t="s">
        <v>100</v>
      </c>
      <c r="E1938" s="64"/>
      <c r="F1938" s="64"/>
      <c r="G1938">
        <f>IFERROR(HLOOKUP(G$2,[59]table_female_hkom3_inj.V1!$A$1:$K$36,33,FALSE),0)</f>
        <v>8</v>
      </c>
      <c r="H1938">
        <f>IFERROR(HLOOKUP(H$2,[59]table_female_hkom3_inj.V1!$A$1:$K$36,33,FALSE),0)</f>
        <v>6</v>
      </c>
      <c r="I1938">
        <f>IFERROR(HLOOKUP(I$2,[59]table_female_hkom3_inj.V1!$A$1:$K$36,33,FALSE),0)</f>
        <v>4</v>
      </c>
      <c r="J1938">
        <f>IFERROR(HLOOKUP(J$2,[59]table_female_hkom3_inj.V1!$A$1:$K$36,33,FALSE),0)</f>
        <v>1</v>
      </c>
      <c r="K1938">
        <f>IFERROR(HLOOKUP(K$2,[59]table_female_hkom3_inj.V1!$A$1:$K$36,33,FALSE),0)</f>
        <v>0</v>
      </c>
      <c r="L1938">
        <f>IFERROR(HLOOKUP(L$2,[59]table_female_hkom3_inj.V1!$A$1:$K$36,33,FALSE),0)</f>
        <v>1</v>
      </c>
      <c r="M1938">
        <f t="shared" si="599"/>
        <v>20</v>
      </c>
      <c r="S1938" t="s">
        <v>100</v>
      </c>
      <c r="T1938" s="5">
        <f t="shared" si="600"/>
        <v>0</v>
      </c>
      <c r="U1938" s="5">
        <f t="shared" si="601"/>
        <v>0</v>
      </c>
      <c r="V1938" s="5">
        <f t="shared" si="602"/>
        <v>8</v>
      </c>
      <c r="W1938" s="5">
        <f t="shared" si="603"/>
        <v>6</v>
      </c>
      <c r="X1938" s="5">
        <f t="shared" si="604"/>
        <v>4</v>
      </c>
      <c r="Y1938" s="5">
        <f t="shared" si="605"/>
        <v>1</v>
      </c>
      <c r="Z1938" s="5">
        <f t="shared" si="606"/>
        <v>0</v>
      </c>
      <c r="AA1938" s="5">
        <f t="shared" si="607"/>
        <v>1</v>
      </c>
      <c r="AB1938" s="5">
        <f t="shared" si="597"/>
        <v>20</v>
      </c>
    </row>
    <row r="1939" spans="1:29" x14ac:dyDescent="0.25">
      <c r="D1939" t="s">
        <v>101</v>
      </c>
      <c r="E1939" s="64"/>
      <c r="F1939" s="64"/>
      <c r="G1939">
        <f>IFERROR(HLOOKUP(G$2,[59]table_female_hkom3_inj.V1!$A$1:$K$36,34,FALSE),0)</f>
        <v>0</v>
      </c>
      <c r="H1939">
        <f>IFERROR(HLOOKUP(H$2,[59]table_female_hkom3_inj.V1!$A$1:$K$36,34,FALSE),0)</f>
        <v>0</v>
      </c>
      <c r="I1939">
        <f>IFERROR(HLOOKUP(I$2,[59]table_female_hkom3_inj.V1!$A$1:$K$36,34,FALSE),0)</f>
        <v>0</v>
      </c>
      <c r="J1939">
        <f>IFERROR(HLOOKUP(J$2,[59]table_female_hkom3_inj.V1!$A$1:$K$36,34,FALSE),0)</f>
        <v>0</v>
      </c>
      <c r="K1939">
        <f>IFERROR(HLOOKUP(K$2,[59]table_female_hkom3_inj.V1!$A$1:$K$36,34,FALSE),0)</f>
        <v>0</v>
      </c>
      <c r="L1939">
        <f>IFERROR(HLOOKUP(L$2,[59]table_female_hkom3_inj.V1!$A$1:$K$36,34,FALSE),0)</f>
        <v>0</v>
      </c>
      <c r="M1939">
        <f t="shared" si="599"/>
        <v>0</v>
      </c>
      <c r="S1939" t="s">
        <v>101</v>
      </c>
      <c r="T1939" s="5">
        <f t="shared" si="600"/>
        <v>0</v>
      </c>
      <c r="U1939" s="5">
        <f t="shared" si="601"/>
        <v>0</v>
      </c>
      <c r="V1939" s="5">
        <f t="shared" si="602"/>
        <v>0</v>
      </c>
      <c r="W1939" s="5">
        <f t="shared" si="603"/>
        <v>0</v>
      </c>
      <c r="X1939" s="5">
        <f t="shared" si="604"/>
        <v>0</v>
      </c>
      <c r="Y1939" s="5">
        <f t="shared" si="605"/>
        <v>0</v>
      </c>
      <c r="Z1939" s="5">
        <f t="shared" si="606"/>
        <v>0</v>
      </c>
      <c r="AA1939" s="5">
        <f t="shared" si="607"/>
        <v>0</v>
      </c>
      <c r="AB1939" s="5">
        <f t="shared" si="597"/>
        <v>0</v>
      </c>
    </row>
    <row r="1940" spans="1:29" x14ac:dyDescent="0.25">
      <c r="D1940" t="s">
        <v>102</v>
      </c>
      <c r="E1940" s="64"/>
      <c r="F1940" s="64"/>
      <c r="G1940">
        <f>IFERROR(HLOOKUP(G$2,[59]table_female_hkom3_inj.V1!$A$1:$K$36,35,FALSE),0)</f>
        <v>0</v>
      </c>
      <c r="H1940">
        <f>IFERROR(HLOOKUP(H$2,[59]table_female_hkom3_inj.V1!$A$1:$K$36,35,FALSE),0)</f>
        <v>0</v>
      </c>
      <c r="I1940">
        <f>IFERROR(HLOOKUP(I$2,[59]table_female_hkom3_inj.V1!$A$1:$K$36,35,FALSE),0)</f>
        <v>0</v>
      </c>
      <c r="J1940">
        <f>IFERROR(HLOOKUP(J$2,[59]table_female_hkom3_inj.V1!$A$1:$K$36,35,FALSE),0)</f>
        <v>0</v>
      </c>
      <c r="K1940">
        <f>IFERROR(HLOOKUP(K$2,[59]table_female_hkom3_inj.V1!$A$1:$K$36,35,FALSE),0)</f>
        <v>0</v>
      </c>
      <c r="L1940">
        <f>IFERROR(HLOOKUP(L$2,[59]table_female_hkom3_inj.V1!$A$1:$K$36,35,FALSE),0)</f>
        <v>0</v>
      </c>
      <c r="M1940">
        <f t="shared" si="599"/>
        <v>0</v>
      </c>
      <c r="N1940">
        <f>SUM(M1907:M1940)</f>
        <v>22</v>
      </c>
      <c r="O1940" s="8">
        <f>SUM([59]table_female_hkom3_inj.V1!$B$2:$L$36)</f>
        <v>22</v>
      </c>
      <c r="S1940" t="s">
        <v>102</v>
      </c>
      <c r="T1940" s="7"/>
      <c r="U1940" s="7"/>
      <c r="V1940" s="7"/>
      <c r="W1940" s="7"/>
      <c r="X1940" s="7"/>
      <c r="Y1940" s="7"/>
      <c r="Z1940" s="7"/>
      <c r="AA1940" s="7"/>
      <c r="AB1940" s="5">
        <f t="shared" ref="AB1940:AB2003" si="608">SUM(T1940:AA1940)</f>
        <v>0</v>
      </c>
      <c r="AC1940" s="5">
        <f>SUM(AB1907:AB1939)</f>
        <v>22</v>
      </c>
    </row>
    <row r="1941" spans="1:29" x14ac:dyDescent="0.25">
      <c r="A1941" t="s">
        <v>115</v>
      </c>
      <c r="B1941" t="s">
        <v>117</v>
      </c>
      <c r="C1941" t="s">
        <v>106</v>
      </c>
      <c r="D1941" t="s">
        <v>70</v>
      </c>
      <c r="E1941" s="64"/>
      <c r="F1941" s="64"/>
      <c r="G1941">
        <f>IFERROR(HLOOKUP(G$2,[60]table_female_hkom3_inj.V2!$A$1:$K$36,2,FALSE),0)</f>
        <v>3</v>
      </c>
      <c r="H1941">
        <f>IFERROR(HLOOKUP(H$2,[60]table_female_hkom3_inj.V2!$A$1:$K$36,2,FALSE),0)</f>
        <v>3</v>
      </c>
      <c r="I1941">
        <f>IFERROR(HLOOKUP(I$2,[60]table_female_hkom3_inj.V2!$A$1:$K$36,2,FALSE),0)</f>
        <v>0</v>
      </c>
      <c r="J1941">
        <f>IFERROR(HLOOKUP(J$2,[60]table_female_hkom3_inj.V2!$A$1:$K$36,2,FALSE),0)</f>
        <v>0</v>
      </c>
      <c r="K1941">
        <f>IFERROR(HLOOKUP(K$2,[60]table_female_hkom3_inj.V2!$A$1:$K$36,2,FALSE),0)</f>
        <v>0</v>
      </c>
      <c r="L1941">
        <f>IFERROR(HLOOKUP(L$2,[60]table_female_hkom3_inj.V2!$A$1:$K$36,2,FALSE),0)</f>
        <v>0</v>
      </c>
      <c r="M1941">
        <f>SUM(E1941:L1941)</f>
        <v>6</v>
      </c>
      <c r="P1941" t="s">
        <v>115</v>
      </c>
      <c r="Q1941" t="s">
        <v>117</v>
      </c>
      <c r="R1941" t="s">
        <v>106</v>
      </c>
      <c r="S1941" t="s">
        <v>70</v>
      </c>
      <c r="T1941" s="5">
        <f>IF(SUM(E$1941:E$1973)=0,E$1974/33,E1941+IFERROR(E1941/SUM(E$1941:E$1973)*E$1974,0))</f>
        <v>0</v>
      </c>
      <c r="U1941" s="5">
        <f t="shared" ref="U1941:AA1941" si="609">IF(SUM(F$1941:F$1973)=0,F$1974/33,F1941+IFERROR(F1941/SUM(F$1941:F$1973)*F$1974,0))</f>
        <v>0</v>
      </c>
      <c r="V1941" s="5">
        <f t="shared" si="609"/>
        <v>4.4010989010989015</v>
      </c>
      <c r="W1941" s="5">
        <f t="shared" si="609"/>
        <v>3.9736842105263159</v>
      </c>
      <c r="X1941" s="5">
        <f t="shared" si="609"/>
        <v>0</v>
      </c>
      <c r="Y1941" s="5">
        <f t="shared" si="609"/>
        <v>0</v>
      </c>
      <c r="Z1941" s="5">
        <f t="shared" si="609"/>
        <v>0</v>
      </c>
      <c r="AA1941" s="5">
        <f t="shared" si="609"/>
        <v>0</v>
      </c>
      <c r="AB1941" s="5">
        <f t="shared" si="608"/>
        <v>8.3747831116252165</v>
      </c>
    </row>
    <row r="1942" spans="1:29" x14ac:dyDescent="0.25">
      <c r="D1942" t="s">
        <v>71</v>
      </c>
      <c r="E1942" s="64"/>
      <c r="F1942" s="64"/>
      <c r="G1942">
        <f>IFERROR(HLOOKUP(G$2,[60]table_female_hkom3_inj.V2!$A$1:$K$36,3,FALSE),0)</f>
        <v>47</v>
      </c>
      <c r="H1942">
        <f>IFERROR(HLOOKUP(H$2,[60]table_female_hkom3_inj.V2!$A$1:$K$36,3,FALSE),0)</f>
        <v>37</v>
      </c>
      <c r="I1942">
        <f>IFERROR(HLOOKUP(I$2,[60]table_female_hkom3_inj.V2!$A$1:$K$36,3,FALSE),0)</f>
        <v>9</v>
      </c>
      <c r="J1942">
        <f>IFERROR(HLOOKUP(J$2,[60]table_female_hkom3_inj.V2!$A$1:$K$36,3,FALSE),0)</f>
        <v>0</v>
      </c>
      <c r="K1942">
        <f>IFERROR(HLOOKUP(K$2,[60]table_female_hkom3_inj.V2!$A$1:$K$36,3,FALSE),0)</f>
        <v>0</v>
      </c>
      <c r="L1942">
        <f>IFERROR(HLOOKUP(L$2,[60]table_female_hkom3_inj.V2!$A$1:$K$36,3,FALSE),0)</f>
        <v>0</v>
      </c>
      <c r="M1942">
        <f t="shared" ref="M1942:M1974" si="610">SUM(E1942:L1942)</f>
        <v>93</v>
      </c>
      <c r="S1942" t="s">
        <v>71</v>
      </c>
      <c r="T1942" s="5">
        <f t="shared" ref="T1942:T1973" si="611">IF(SUM(E$1941:E$1973)=0,E$1974/33,E1942+IFERROR(E1942/SUM(E$1941:E$1973)*E$1974,0))</f>
        <v>0</v>
      </c>
      <c r="U1942" s="5">
        <f t="shared" ref="U1942:U1973" si="612">IF(SUM(F$1941:F$1973)=0,F$1974/33,F1942+IFERROR(F1942/SUM(F$1941:F$1973)*F$1974,0))</f>
        <v>0</v>
      </c>
      <c r="V1942" s="5">
        <f t="shared" ref="V1942:V1973" si="613">IF(SUM(G$1941:G$1973)=0,G$1974/33,G1942+IFERROR(G1942/SUM(G$1941:G$1973)*G$1974,0))</f>
        <v>68.95054945054946</v>
      </c>
      <c r="W1942" s="5">
        <f t="shared" ref="W1942:W1973" si="614">IF(SUM(H$1941:H$1973)=0,H$1974/33,H1942+IFERROR(H1942/SUM(H$1941:H$1973)*H$1974,0))</f>
        <v>49.008771929824562</v>
      </c>
      <c r="X1942" s="5">
        <f t="shared" ref="X1942:X1973" si="615">IF(SUM(I$1941:I$1973)=0,I$1974/33,I1942+IFERROR(I1942/SUM(I$1941:I$1973)*I$1974,0))</f>
        <v>12.483870967741936</v>
      </c>
      <c r="Y1942" s="5">
        <f t="shared" ref="Y1942:Y1973" si="616">IF(SUM(J$1941:J$1973)=0,J$1974/33,J1942+IFERROR(J1942/SUM(J$1941:J$1973)*J$1974,0))</f>
        <v>0</v>
      </c>
      <c r="Z1942" s="5">
        <f t="shared" ref="Z1942:Z1973" si="617">IF(SUM(K$1941:K$1973)=0,K$1974/33,K1942+IFERROR(K1942/SUM(K$1941:K$1973)*K$1974,0))</f>
        <v>0</v>
      </c>
      <c r="AA1942" s="5">
        <f t="shared" ref="AA1942:AA1973" si="618">IF(SUM(L$1941:L$1973)=0,L$1974/33,L1942+IFERROR(L1942/SUM(L$1941:L$1973)*L$1974,0))</f>
        <v>0</v>
      </c>
      <c r="AB1942" s="5">
        <f t="shared" si="608"/>
        <v>130.44319234811596</v>
      </c>
    </row>
    <row r="1943" spans="1:29" x14ac:dyDescent="0.25">
      <c r="D1943" t="s">
        <v>72</v>
      </c>
      <c r="E1943" s="64"/>
      <c r="F1943" s="64"/>
      <c r="G1943">
        <f>IFERROR(HLOOKUP(G$2,[60]table_female_hkom3_inj.V2!$A$1:$K$36,4,FALSE),0)</f>
        <v>0</v>
      </c>
      <c r="H1943">
        <f>IFERROR(HLOOKUP(H$2,[60]table_female_hkom3_inj.V2!$A$1:$K$36,4,FALSE),0)</f>
        <v>0</v>
      </c>
      <c r="I1943">
        <f>IFERROR(HLOOKUP(I$2,[60]table_female_hkom3_inj.V2!$A$1:$K$36,4,FALSE),0)</f>
        <v>1</v>
      </c>
      <c r="J1943">
        <f>IFERROR(HLOOKUP(J$2,[60]table_female_hkom3_inj.V2!$A$1:$K$36,4,FALSE),0)</f>
        <v>0</v>
      </c>
      <c r="K1943">
        <f>IFERROR(HLOOKUP(K$2,[60]table_female_hkom3_inj.V2!$A$1:$K$36,4,FALSE),0)</f>
        <v>0</v>
      </c>
      <c r="L1943">
        <f>IFERROR(HLOOKUP(L$2,[60]table_female_hkom3_inj.V2!$A$1:$K$36,4,FALSE),0)</f>
        <v>0</v>
      </c>
      <c r="M1943">
        <f t="shared" si="610"/>
        <v>1</v>
      </c>
      <c r="S1943" t="s">
        <v>72</v>
      </c>
      <c r="T1943" s="5">
        <f t="shared" si="611"/>
        <v>0</v>
      </c>
      <c r="U1943" s="5">
        <f t="shared" si="612"/>
        <v>0</v>
      </c>
      <c r="V1943" s="5">
        <f t="shared" si="613"/>
        <v>0</v>
      </c>
      <c r="W1943" s="5">
        <f t="shared" si="614"/>
        <v>0</v>
      </c>
      <c r="X1943" s="5">
        <f t="shared" si="615"/>
        <v>1.3870967741935485</v>
      </c>
      <c r="Y1943" s="5">
        <f t="shared" si="616"/>
        <v>0</v>
      </c>
      <c r="Z1943" s="5">
        <f t="shared" si="617"/>
        <v>0</v>
      </c>
      <c r="AA1943" s="5">
        <f t="shared" si="618"/>
        <v>0</v>
      </c>
      <c r="AB1943" s="5">
        <f t="shared" si="608"/>
        <v>1.3870967741935485</v>
      </c>
    </row>
    <row r="1944" spans="1:29" x14ac:dyDescent="0.25">
      <c r="D1944" t="s">
        <v>73</v>
      </c>
      <c r="E1944" s="64"/>
      <c r="F1944" s="64"/>
      <c r="G1944">
        <f>IFERROR(HLOOKUP(G$2,[60]table_female_hkom3_inj.V2!$A$1:$K$36,5,FALSE),0)</f>
        <v>1</v>
      </c>
      <c r="H1944">
        <f>IFERROR(HLOOKUP(H$2,[60]table_female_hkom3_inj.V2!$A$1:$K$36,5,FALSE),0)</f>
        <v>0</v>
      </c>
      <c r="I1944">
        <f>IFERROR(HLOOKUP(I$2,[60]table_female_hkom3_inj.V2!$A$1:$K$36,5,FALSE),0)</f>
        <v>0</v>
      </c>
      <c r="J1944">
        <f>IFERROR(HLOOKUP(J$2,[60]table_female_hkom3_inj.V2!$A$1:$K$36,5,FALSE),0)</f>
        <v>0</v>
      </c>
      <c r="K1944">
        <f>IFERROR(HLOOKUP(K$2,[60]table_female_hkom3_inj.V2!$A$1:$K$36,5,FALSE),0)</f>
        <v>0</v>
      </c>
      <c r="L1944">
        <f>IFERROR(HLOOKUP(L$2,[60]table_female_hkom3_inj.V2!$A$1:$K$36,5,FALSE),0)</f>
        <v>0</v>
      </c>
      <c r="M1944">
        <f t="shared" si="610"/>
        <v>1</v>
      </c>
      <c r="S1944" t="s">
        <v>73</v>
      </c>
      <c r="T1944" s="5">
        <f t="shared" si="611"/>
        <v>0</v>
      </c>
      <c r="U1944" s="5">
        <f t="shared" si="612"/>
        <v>0</v>
      </c>
      <c r="V1944" s="5">
        <f t="shared" si="613"/>
        <v>1.4670329670329672</v>
      </c>
      <c r="W1944" s="5">
        <f t="shared" si="614"/>
        <v>0</v>
      </c>
      <c r="X1944" s="5">
        <f t="shared" si="615"/>
        <v>0</v>
      </c>
      <c r="Y1944" s="5">
        <f t="shared" si="616"/>
        <v>0</v>
      </c>
      <c r="Z1944" s="5">
        <f t="shared" si="617"/>
        <v>0</v>
      </c>
      <c r="AA1944" s="5">
        <f t="shared" si="618"/>
        <v>0</v>
      </c>
      <c r="AB1944" s="5">
        <f t="shared" si="608"/>
        <v>1.4670329670329672</v>
      </c>
    </row>
    <row r="1945" spans="1:29" x14ac:dyDescent="0.25">
      <c r="D1945" t="s">
        <v>74</v>
      </c>
      <c r="E1945" s="64"/>
      <c r="F1945" s="64"/>
      <c r="G1945">
        <f>IFERROR(HLOOKUP(G$2,[60]table_female_hkom3_inj.V2!$A$1:$K$36,6,FALSE),0)</f>
        <v>5</v>
      </c>
      <c r="H1945">
        <f>IFERROR(HLOOKUP(H$2,[60]table_female_hkom3_inj.V2!$A$1:$K$36,6,FALSE),0)</f>
        <v>7</v>
      </c>
      <c r="I1945">
        <f>IFERROR(HLOOKUP(I$2,[60]table_female_hkom3_inj.V2!$A$1:$K$36,6,FALSE),0)</f>
        <v>3</v>
      </c>
      <c r="J1945">
        <f>IFERROR(HLOOKUP(J$2,[60]table_female_hkom3_inj.V2!$A$1:$K$36,6,FALSE),0)</f>
        <v>0</v>
      </c>
      <c r="K1945">
        <f>IFERROR(HLOOKUP(K$2,[60]table_female_hkom3_inj.V2!$A$1:$K$36,6,FALSE),0)</f>
        <v>0</v>
      </c>
      <c r="L1945">
        <f>IFERROR(HLOOKUP(L$2,[60]table_female_hkom3_inj.V2!$A$1:$K$36,6,FALSE),0)</f>
        <v>0</v>
      </c>
      <c r="M1945">
        <f t="shared" si="610"/>
        <v>15</v>
      </c>
      <c r="S1945" t="s">
        <v>74</v>
      </c>
      <c r="T1945" s="5">
        <f t="shared" si="611"/>
        <v>0</v>
      </c>
      <c r="U1945" s="5">
        <f t="shared" si="612"/>
        <v>0</v>
      </c>
      <c r="V1945" s="5">
        <f t="shared" si="613"/>
        <v>7.3351648351648358</v>
      </c>
      <c r="W1945" s="5">
        <f t="shared" si="614"/>
        <v>9.2719298245614041</v>
      </c>
      <c r="X1945" s="5">
        <f t="shared" si="615"/>
        <v>4.161290322580645</v>
      </c>
      <c r="Y1945" s="5">
        <f t="shared" si="616"/>
        <v>0</v>
      </c>
      <c r="Z1945" s="5">
        <f t="shared" si="617"/>
        <v>0</v>
      </c>
      <c r="AA1945" s="5">
        <f t="shared" si="618"/>
        <v>0</v>
      </c>
      <c r="AB1945" s="5">
        <f t="shared" si="608"/>
        <v>20.768384982306884</v>
      </c>
    </row>
    <row r="1946" spans="1:29" x14ac:dyDescent="0.25">
      <c r="D1946" t="s">
        <v>75</v>
      </c>
      <c r="E1946" s="64"/>
      <c r="F1946" s="64"/>
      <c r="G1946">
        <f>IFERROR(HLOOKUP(G$2,[60]table_female_hkom3_inj.V2!$A$1:$K$36,7,FALSE),0)</f>
        <v>0</v>
      </c>
      <c r="H1946">
        <f>IFERROR(HLOOKUP(H$2,[60]table_female_hkom3_inj.V2!$A$1:$K$36,7,FALSE),0)</f>
        <v>0</v>
      </c>
      <c r="I1946">
        <f>IFERROR(HLOOKUP(I$2,[60]table_female_hkom3_inj.V2!$A$1:$K$36,7,FALSE),0)</f>
        <v>0</v>
      </c>
      <c r="J1946">
        <f>IFERROR(HLOOKUP(J$2,[60]table_female_hkom3_inj.V2!$A$1:$K$36,7,FALSE),0)</f>
        <v>0</v>
      </c>
      <c r="K1946">
        <f>IFERROR(HLOOKUP(K$2,[60]table_female_hkom3_inj.V2!$A$1:$K$36,7,FALSE),0)</f>
        <v>0</v>
      </c>
      <c r="L1946">
        <f>IFERROR(HLOOKUP(L$2,[60]table_female_hkom3_inj.V2!$A$1:$K$36,7,FALSE),0)</f>
        <v>0</v>
      </c>
      <c r="M1946">
        <f t="shared" si="610"/>
        <v>0</v>
      </c>
      <c r="S1946" t="s">
        <v>75</v>
      </c>
      <c r="T1946" s="5">
        <f t="shared" si="611"/>
        <v>0</v>
      </c>
      <c r="U1946" s="5">
        <f t="shared" si="612"/>
        <v>0</v>
      </c>
      <c r="V1946" s="5">
        <f t="shared" si="613"/>
        <v>0</v>
      </c>
      <c r="W1946" s="5">
        <f t="shared" si="614"/>
        <v>0</v>
      </c>
      <c r="X1946" s="5">
        <f t="shared" si="615"/>
        <v>0</v>
      </c>
      <c r="Y1946" s="5">
        <f t="shared" si="616"/>
        <v>0</v>
      </c>
      <c r="Z1946" s="5">
        <f t="shared" si="617"/>
        <v>0</v>
      </c>
      <c r="AA1946" s="5">
        <f t="shared" si="618"/>
        <v>0</v>
      </c>
      <c r="AB1946" s="5">
        <f t="shared" si="608"/>
        <v>0</v>
      </c>
    </row>
    <row r="1947" spans="1:29" x14ac:dyDescent="0.25">
      <c r="D1947" t="s">
        <v>76</v>
      </c>
      <c r="E1947" s="64"/>
      <c r="F1947" s="64"/>
      <c r="G1947">
        <f>IFERROR(HLOOKUP(G$2,[60]table_female_hkom3_inj.V2!$A$1:$K$36,8,FALSE),0)</f>
        <v>5</v>
      </c>
      <c r="H1947">
        <f>IFERROR(HLOOKUP(H$2,[60]table_female_hkom3_inj.V2!$A$1:$K$36,8,FALSE),0)</f>
        <v>2</v>
      </c>
      <c r="I1947">
        <f>IFERROR(HLOOKUP(I$2,[60]table_female_hkom3_inj.V2!$A$1:$K$36,8,FALSE),0)</f>
        <v>2</v>
      </c>
      <c r="J1947">
        <f>IFERROR(HLOOKUP(J$2,[60]table_female_hkom3_inj.V2!$A$1:$K$36,8,FALSE),0)</f>
        <v>0</v>
      </c>
      <c r="K1947">
        <f>IFERROR(HLOOKUP(K$2,[60]table_female_hkom3_inj.V2!$A$1:$K$36,8,FALSE),0)</f>
        <v>0</v>
      </c>
      <c r="L1947">
        <f>IFERROR(HLOOKUP(L$2,[60]table_female_hkom3_inj.V2!$A$1:$K$36,8,FALSE),0)</f>
        <v>0</v>
      </c>
      <c r="M1947">
        <f t="shared" si="610"/>
        <v>9</v>
      </c>
      <c r="S1947" t="s">
        <v>76</v>
      </c>
      <c r="T1947" s="5">
        <f t="shared" si="611"/>
        <v>0</v>
      </c>
      <c r="U1947" s="5">
        <f t="shared" si="612"/>
        <v>0</v>
      </c>
      <c r="V1947" s="5">
        <f t="shared" si="613"/>
        <v>7.3351648351648358</v>
      </c>
      <c r="W1947" s="5">
        <f t="shared" si="614"/>
        <v>2.6491228070175437</v>
      </c>
      <c r="X1947" s="5">
        <f t="shared" si="615"/>
        <v>2.774193548387097</v>
      </c>
      <c r="Y1947" s="5">
        <f t="shared" si="616"/>
        <v>0</v>
      </c>
      <c r="Z1947" s="5">
        <f t="shared" si="617"/>
        <v>0</v>
      </c>
      <c r="AA1947" s="5">
        <f t="shared" si="618"/>
        <v>0</v>
      </c>
      <c r="AB1947" s="5">
        <f t="shared" si="608"/>
        <v>12.758481190569476</v>
      </c>
    </row>
    <row r="1948" spans="1:29" x14ac:dyDescent="0.25">
      <c r="D1948" t="s">
        <v>77</v>
      </c>
      <c r="E1948" s="64"/>
      <c r="F1948" s="64"/>
      <c r="G1948">
        <f>IFERROR(HLOOKUP(G$2,[60]table_female_hkom3_inj.V2!$A$1:$K$36,9,FALSE),0)</f>
        <v>7</v>
      </c>
      <c r="H1948">
        <f>IFERROR(HLOOKUP(H$2,[60]table_female_hkom3_inj.V2!$A$1:$K$36,9,FALSE),0)</f>
        <v>17</v>
      </c>
      <c r="I1948">
        <f>IFERROR(HLOOKUP(I$2,[60]table_female_hkom3_inj.V2!$A$1:$K$36,9,FALSE),0)</f>
        <v>4</v>
      </c>
      <c r="J1948">
        <f>IFERROR(HLOOKUP(J$2,[60]table_female_hkom3_inj.V2!$A$1:$K$36,9,FALSE),0)</f>
        <v>1</v>
      </c>
      <c r="K1948">
        <f>IFERROR(HLOOKUP(K$2,[60]table_female_hkom3_inj.V2!$A$1:$K$36,9,FALSE),0)</f>
        <v>0</v>
      </c>
      <c r="L1948">
        <f>IFERROR(HLOOKUP(L$2,[60]table_female_hkom3_inj.V2!$A$1:$K$36,9,FALSE),0)</f>
        <v>0</v>
      </c>
      <c r="M1948">
        <f t="shared" si="610"/>
        <v>29</v>
      </c>
      <c r="S1948" t="s">
        <v>77</v>
      </c>
      <c r="T1948" s="5">
        <f t="shared" si="611"/>
        <v>0</v>
      </c>
      <c r="U1948" s="5">
        <f t="shared" si="612"/>
        <v>0</v>
      </c>
      <c r="V1948" s="5">
        <f t="shared" si="613"/>
        <v>10.26923076923077</v>
      </c>
      <c r="W1948" s="5">
        <f t="shared" si="614"/>
        <v>22.517543859649123</v>
      </c>
      <c r="X1948" s="5">
        <f t="shared" si="615"/>
        <v>5.5483870967741939</v>
      </c>
      <c r="Y1948" s="5">
        <f t="shared" si="616"/>
        <v>2</v>
      </c>
      <c r="Z1948" s="5">
        <f t="shared" si="617"/>
        <v>0</v>
      </c>
      <c r="AA1948" s="5">
        <f t="shared" si="618"/>
        <v>0</v>
      </c>
      <c r="AB1948" s="5">
        <f t="shared" si="608"/>
        <v>40.335161725654089</v>
      </c>
    </row>
    <row r="1949" spans="1:29" x14ac:dyDescent="0.25">
      <c r="D1949" t="s">
        <v>78</v>
      </c>
      <c r="E1949" s="64"/>
      <c r="F1949" s="64"/>
      <c r="G1949">
        <f>IFERROR(HLOOKUP(G$2,[60]table_female_hkom3_inj.V2!$A$1:$K$36,10,FALSE),0)</f>
        <v>4</v>
      </c>
      <c r="H1949">
        <f>IFERROR(HLOOKUP(H$2,[60]table_female_hkom3_inj.V2!$A$1:$K$36,10,FALSE),0)</f>
        <v>11</v>
      </c>
      <c r="I1949">
        <f>IFERROR(HLOOKUP(I$2,[60]table_female_hkom3_inj.V2!$A$1:$K$36,10,FALSE),0)</f>
        <v>3</v>
      </c>
      <c r="J1949">
        <f>IFERROR(HLOOKUP(J$2,[60]table_female_hkom3_inj.V2!$A$1:$K$36,10,FALSE),0)</f>
        <v>0</v>
      </c>
      <c r="K1949">
        <f>IFERROR(HLOOKUP(K$2,[60]table_female_hkom3_inj.V2!$A$1:$K$36,10,FALSE),0)</f>
        <v>0</v>
      </c>
      <c r="L1949">
        <f>IFERROR(HLOOKUP(L$2,[60]table_female_hkom3_inj.V2!$A$1:$K$36,10,FALSE),0)</f>
        <v>0</v>
      </c>
      <c r="M1949">
        <f t="shared" si="610"/>
        <v>18</v>
      </c>
      <c r="S1949" t="s">
        <v>78</v>
      </c>
      <c r="T1949" s="5">
        <f t="shared" si="611"/>
        <v>0</v>
      </c>
      <c r="U1949" s="5">
        <f t="shared" si="612"/>
        <v>0</v>
      </c>
      <c r="V1949" s="5">
        <f t="shared" si="613"/>
        <v>5.8681318681318686</v>
      </c>
      <c r="W1949" s="5">
        <f t="shared" si="614"/>
        <v>14.570175438596491</v>
      </c>
      <c r="X1949" s="5">
        <f t="shared" si="615"/>
        <v>4.161290322580645</v>
      </c>
      <c r="Y1949" s="5">
        <f t="shared" si="616"/>
        <v>0</v>
      </c>
      <c r="Z1949" s="5">
        <f t="shared" si="617"/>
        <v>0</v>
      </c>
      <c r="AA1949" s="5">
        <f t="shared" si="618"/>
        <v>0</v>
      </c>
      <c r="AB1949" s="5">
        <f t="shared" si="608"/>
        <v>24.599597629309006</v>
      </c>
    </row>
    <row r="1950" spans="1:29" x14ac:dyDescent="0.25">
      <c r="D1950" t="s">
        <v>79</v>
      </c>
      <c r="E1950" s="64"/>
      <c r="F1950" s="64"/>
      <c r="G1950">
        <f>IFERROR(HLOOKUP(G$2,[60]table_female_hkom3_inj.V2!$A$1:$K$36,11,FALSE),0)</f>
        <v>1</v>
      </c>
      <c r="H1950">
        <f>IFERROR(HLOOKUP(H$2,[60]table_female_hkom3_inj.V2!$A$1:$K$36,11,FALSE),0)</f>
        <v>0</v>
      </c>
      <c r="I1950">
        <f>IFERROR(HLOOKUP(I$2,[60]table_female_hkom3_inj.V2!$A$1:$K$36,11,FALSE),0)</f>
        <v>0</v>
      </c>
      <c r="J1950">
        <f>IFERROR(HLOOKUP(J$2,[60]table_female_hkom3_inj.V2!$A$1:$K$36,11,FALSE),0)</f>
        <v>0</v>
      </c>
      <c r="K1950">
        <f>IFERROR(HLOOKUP(K$2,[60]table_female_hkom3_inj.V2!$A$1:$K$36,11,FALSE),0)</f>
        <v>0</v>
      </c>
      <c r="L1950">
        <f>IFERROR(HLOOKUP(L$2,[60]table_female_hkom3_inj.V2!$A$1:$K$36,11,FALSE),0)</f>
        <v>0</v>
      </c>
      <c r="M1950">
        <f t="shared" si="610"/>
        <v>1</v>
      </c>
      <c r="S1950" t="s">
        <v>79</v>
      </c>
      <c r="T1950" s="5">
        <f t="shared" si="611"/>
        <v>0</v>
      </c>
      <c r="U1950" s="5">
        <f t="shared" si="612"/>
        <v>0</v>
      </c>
      <c r="V1950" s="5">
        <f t="shared" si="613"/>
        <v>1.4670329670329672</v>
      </c>
      <c r="W1950" s="5">
        <f t="shared" si="614"/>
        <v>0</v>
      </c>
      <c r="X1950" s="5">
        <f t="shared" si="615"/>
        <v>0</v>
      </c>
      <c r="Y1950" s="5">
        <f t="shared" si="616"/>
        <v>0</v>
      </c>
      <c r="Z1950" s="5">
        <f t="shared" si="617"/>
        <v>0</v>
      </c>
      <c r="AA1950" s="5">
        <f t="shared" si="618"/>
        <v>0</v>
      </c>
      <c r="AB1950" s="5">
        <f t="shared" si="608"/>
        <v>1.4670329670329672</v>
      </c>
    </row>
    <row r="1951" spans="1:29" x14ac:dyDescent="0.25">
      <c r="D1951" t="s">
        <v>80</v>
      </c>
      <c r="E1951" s="64"/>
      <c r="F1951" s="64"/>
      <c r="G1951">
        <f>IFERROR(HLOOKUP(G$2,[60]table_female_hkom3_inj.V2!$A$1:$K$36,12,FALSE),0)</f>
        <v>0</v>
      </c>
      <c r="H1951">
        <f>IFERROR(HLOOKUP(H$2,[60]table_female_hkom3_inj.V2!$A$1:$K$36,12,FALSE),0)</f>
        <v>2</v>
      </c>
      <c r="I1951">
        <f>IFERROR(HLOOKUP(I$2,[60]table_female_hkom3_inj.V2!$A$1:$K$36,12,FALSE),0)</f>
        <v>0</v>
      </c>
      <c r="J1951">
        <f>IFERROR(HLOOKUP(J$2,[60]table_female_hkom3_inj.V2!$A$1:$K$36,12,FALSE),0)</f>
        <v>0</v>
      </c>
      <c r="K1951">
        <f>IFERROR(HLOOKUP(K$2,[60]table_female_hkom3_inj.V2!$A$1:$K$36,12,FALSE),0)</f>
        <v>0</v>
      </c>
      <c r="L1951">
        <f>IFERROR(HLOOKUP(L$2,[60]table_female_hkom3_inj.V2!$A$1:$K$36,12,FALSE),0)</f>
        <v>0</v>
      </c>
      <c r="M1951">
        <f t="shared" si="610"/>
        <v>2</v>
      </c>
      <c r="S1951" t="s">
        <v>80</v>
      </c>
      <c r="T1951" s="5">
        <f t="shared" si="611"/>
        <v>0</v>
      </c>
      <c r="U1951" s="5">
        <f t="shared" si="612"/>
        <v>0</v>
      </c>
      <c r="V1951" s="5">
        <f t="shared" si="613"/>
        <v>0</v>
      </c>
      <c r="W1951" s="5">
        <f t="shared" si="614"/>
        <v>2.6491228070175437</v>
      </c>
      <c r="X1951" s="5">
        <f t="shared" si="615"/>
        <v>0</v>
      </c>
      <c r="Y1951" s="5">
        <f t="shared" si="616"/>
        <v>0</v>
      </c>
      <c r="Z1951" s="5">
        <f t="shared" si="617"/>
        <v>0</v>
      </c>
      <c r="AA1951" s="5">
        <f t="shared" si="618"/>
        <v>0</v>
      </c>
      <c r="AB1951" s="5">
        <f t="shared" si="608"/>
        <v>2.6491228070175437</v>
      </c>
    </row>
    <row r="1952" spans="1:29" x14ac:dyDescent="0.25">
      <c r="D1952" t="s">
        <v>81</v>
      </c>
      <c r="E1952" s="64"/>
      <c r="F1952" s="64"/>
      <c r="G1952">
        <f>IFERROR(HLOOKUP(G$2,[60]table_female_hkom3_inj.V2!$A$1:$K$36,13,FALSE),0)</f>
        <v>0</v>
      </c>
      <c r="H1952">
        <f>IFERROR(HLOOKUP(H$2,[60]table_female_hkom3_inj.V2!$A$1:$K$36,13,FALSE),0)</f>
        <v>1</v>
      </c>
      <c r="I1952">
        <f>IFERROR(HLOOKUP(I$2,[60]table_female_hkom3_inj.V2!$A$1:$K$36,13,FALSE),0)</f>
        <v>1</v>
      </c>
      <c r="J1952">
        <f>IFERROR(HLOOKUP(J$2,[60]table_female_hkom3_inj.V2!$A$1:$K$36,13,FALSE),0)</f>
        <v>0</v>
      </c>
      <c r="K1952">
        <f>IFERROR(HLOOKUP(K$2,[60]table_female_hkom3_inj.V2!$A$1:$K$36,13,FALSE),0)</f>
        <v>0</v>
      </c>
      <c r="L1952">
        <f>IFERROR(HLOOKUP(L$2,[60]table_female_hkom3_inj.V2!$A$1:$K$36,13,FALSE),0)</f>
        <v>0</v>
      </c>
      <c r="M1952">
        <f t="shared" si="610"/>
        <v>2</v>
      </c>
      <c r="S1952" t="s">
        <v>81</v>
      </c>
      <c r="T1952" s="5">
        <f t="shared" si="611"/>
        <v>0</v>
      </c>
      <c r="U1952" s="5">
        <f t="shared" si="612"/>
        <v>0</v>
      </c>
      <c r="V1952" s="5">
        <f t="shared" si="613"/>
        <v>0</v>
      </c>
      <c r="W1952" s="5">
        <f t="shared" si="614"/>
        <v>1.3245614035087718</v>
      </c>
      <c r="X1952" s="5">
        <f t="shared" si="615"/>
        <v>1.3870967741935485</v>
      </c>
      <c r="Y1952" s="5">
        <f t="shared" si="616"/>
        <v>0</v>
      </c>
      <c r="Z1952" s="5">
        <f t="shared" si="617"/>
        <v>0</v>
      </c>
      <c r="AA1952" s="5">
        <f t="shared" si="618"/>
        <v>0</v>
      </c>
      <c r="AB1952" s="5">
        <f t="shared" si="608"/>
        <v>2.7116581777023203</v>
      </c>
    </row>
    <row r="1953" spans="4:28" x14ac:dyDescent="0.25">
      <c r="D1953" t="s">
        <v>82</v>
      </c>
      <c r="E1953" s="64"/>
      <c r="F1953" s="64"/>
      <c r="G1953">
        <f>IFERROR(HLOOKUP(G$2,[60]table_female_hkom3_inj.V2!$A$1:$K$36,14,FALSE),0)</f>
        <v>1</v>
      </c>
      <c r="H1953">
        <f>IFERROR(HLOOKUP(H$2,[60]table_female_hkom3_inj.V2!$A$1:$K$36,14,FALSE),0)</f>
        <v>0</v>
      </c>
      <c r="I1953">
        <f>IFERROR(HLOOKUP(I$2,[60]table_female_hkom3_inj.V2!$A$1:$K$36,14,FALSE),0)</f>
        <v>0</v>
      </c>
      <c r="J1953">
        <f>IFERROR(HLOOKUP(J$2,[60]table_female_hkom3_inj.V2!$A$1:$K$36,14,FALSE),0)</f>
        <v>0</v>
      </c>
      <c r="K1953">
        <f>IFERROR(HLOOKUP(K$2,[60]table_female_hkom3_inj.V2!$A$1:$K$36,14,FALSE),0)</f>
        <v>0</v>
      </c>
      <c r="L1953">
        <f>IFERROR(HLOOKUP(L$2,[60]table_female_hkom3_inj.V2!$A$1:$K$36,14,FALSE),0)</f>
        <v>0</v>
      </c>
      <c r="M1953">
        <f t="shared" si="610"/>
        <v>1</v>
      </c>
      <c r="S1953" t="s">
        <v>82</v>
      </c>
      <c r="T1953" s="5">
        <f t="shared" si="611"/>
        <v>0</v>
      </c>
      <c r="U1953" s="5">
        <f t="shared" si="612"/>
        <v>0</v>
      </c>
      <c r="V1953" s="5">
        <f t="shared" si="613"/>
        <v>1.4670329670329672</v>
      </c>
      <c r="W1953" s="5">
        <f t="shared" si="614"/>
        <v>0</v>
      </c>
      <c r="X1953" s="5">
        <f t="shared" si="615"/>
        <v>0</v>
      </c>
      <c r="Y1953" s="5">
        <f t="shared" si="616"/>
        <v>0</v>
      </c>
      <c r="Z1953" s="5">
        <f t="shared" si="617"/>
        <v>0</v>
      </c>
      <c r="AA1953" s="5">
        <f t="shared" si="618"/>
        <v>0</v>
      </c>
      <c r="AB1953" s="5">
        <f t="shared" si="608"/>
        <v>1.4670329670329672</v>
      </c>
    </row>
    <row r="1954" spans="4:28" x14ac:dyDescent="0.25">
      <c r="D1954" t="s">
        <v>83</v>
      </c>
      <c r="E1954" s="64"/>
      <c r="F1954" s="64"/>
      <c r="G1954">
        <f>IFERROR(HLOOKUP(G$2,[60]table_female_hkom3_inj.V2!$A$1:$K$36,15,FALSE),0)</f>
        <v>1</v>
      </c>
      <c r="H1954">
        <f>IFERROR(HLOOKUP(H$2,[60]table_female_hkom3_inj.V2!$A$1:$K$36,15,FALSE),0)</f>
        <v>2</v>
      </c>
      <c r="I1954">
        <f>IFERROR(HLOOKUP(I$2,[60]table_female_hkom3_inj.V2!$A$1:$K$36,15,FALSE),0)</f>
        <v>0</v>
      </c>
      <c r="J1954">
        <f>IFERROR(HLOOKUP(J$2,[60]table_female_hkom3_inj.V2!$A$1:$K$36,15,FALSE),0)</f>
        <v>0</v>
      </c>
      <c r="K1954">
        <f>IFERROR(HLOOKUP(K$2,[60]table_female_hkom3_inj.V2!$A$1:$K$36,15,FALSE),0)</f>
        <v>0</v>
      </c>
      <c r="L1954">
        <f>IFERROR(HLOOKUP(L$2,[60]table_female_hkom3_inj.V2!$A$1:$K$36,15,FALSE),0)</f>
        <v>0</v>
      </c>
      <c r="M1954">
        <f t="shared" si="610"/>
        <v>3</v>
      </c>
      <c r="S1954" t="s">
        <v>83</v>
      </c>
      <c r="T1954" s="5">
        <f t="shared" si="611"/>
        <v>0</v>
      </c>
      <c r="U1954" s="5">
        <f t="shared" si="612"/>
        <v>0</v>
      </c>
      <c r="V1954" s="5">
        <f t="shared" si="613"/>
        <v>1.4670329670329672</v>
      </c>
      <c r="W1954" s="5">
        <f t="shared" si="614"/>
        <v>2.6491228070175437</v>
      </c>
      <c r="X1954" s="5">
        <f t="shared" si="615"/>
        <v>0</v>
      </c>
      <c r="Y1954" s="5">
        <f t="shared" si="616"/>
        <v>0</v>
      </c>
      <c r="Z1954" s="5">
        <f t="shared" si="617"/>
        <v>0</v>
      </c>
      <c r="AA1954" s="5">
        <f t="shared" si="618"/>
        <v>0</v>
      </c>
      <c r="AB1954" s="5">
        <f t="shared" si="608"/>
        <v>4.1161557740505108</v>
      </c>
    </row>
    <row r="1955" spans="4:28" x14ac:dyDescent="0.25">
      <c r="D1955" t="s">
        <v>84</v>
      </c>
      <c r="E1955" s="64"/>
      <c r="F1955" s="64"/>
      <c r="G1955">
        <f>IFERROR(HLOOKUP(G$2,[60]table_female_hkom3_inj.V2!$A$1:$K$36,16,FALSE),0)</f>
        <v>0</v>
      </c>
      <c r="H1955">
        <f>IFERROR(HLOOKUP(H$2,[60]table_female_hkom3_inj.V2!$A$1:$K$36,16,FALSE),0)</f>
        <v>0</v>
      </c>
      <c r="I1955">
        <f>IFERROR(HLOOKUP(I$2,[60]table_female_hkom3_inj.V2!$A$1:$K$36,16,FALSE),0)</f>
        <v>0</v>
      </c>
      <c r="J1955">
        <f>IFERROR(HLOOKUP(J$2,[60]table_female_hkom3_inj.V2!$A$1:$K$36,16,FALSE),0)</f>
        <v>0</v>
      </c>
      <c r="K1955">
        <f>IFERROR(HLOOKUP(K$2,[60]table_female_hkom3_inj.V2!$A$1:$K$36,16,FALSE),0)</f>
        <v>0</v>
      </c>
      <c r="L1955">
        <f>IFERROR(HLOOKUP(L$2,[60]table_female_hkom3_inj.V2!$A$1:$K$36,16,FALSE),0)</f>
        <v>0</v>
      </c>
      <c r="M1955">
        <f t="shared" si="610"/>
        <v>0</v>
      </c>
      <c r="S1955" t="s">
        <v>84</v>
      </c>
      <c r="T1955" s="5">
        <f t="shared" si="611"/>
        <v>0</v>
      </c>
      <c r="U1955" s="5">
        <f t="shared" si="612"/>
        <v>0</v>
      </c>
      <c r="V1955" s="5">
        <f t="shared" si="613"/>
        <v>0</v>
      </c>
      <c r="W1955" s="5">
        <f t="shared" si="614"/>
        <v>0</v>
      </c>
      <c r="X1955" s="5">
        <f t="shared" si="615"/>
        <v>0</v>
      </c>
      <c r="Y1955" s="5">
        <f t="shared" si="616"/>
        <v>0</v>
      </c>
      <c r="Z1955" s="5">
        <f t="shared" si="617"/>
        <v>0</v>
      </c>
      <c r="AA1955" s="5">
        <f t="shared" si="618"/>
        <v>0</v>
      </c>
      <c r="AB1955" s="5">
        <f t="shared" si="608"/>
        <v>0</v>
      </c>
    </row>
    <row r="1956" spans="4:28" x14ac:dyDescent="0.25">
      <c r="D1956" t="s">
        <v>85</v>
      </c>
      <c r="E1956" s="64"/>
      <c r="F1956" s="64"/>
      <c r="G1956">
        <f>IFERROR(HLOOKUP(G$2,[60]table_female_hkom3_inj.V2!$A$1:$K$36,17,FALSE),0)</f>
        <v>6</v>
      </c>
      <c r="H1956">
        <f>IFERROR(HLOOKUP(H$2,[60]table_female_hkom3_inj.V2!$A$1:$K$36,17,FALSE),0)</f>
        <v>6</v>
      </c>
      <c r="I1956">
        <f>IFERROR(HLOOKUP(I$2,[60]table_female_hkom3_inj.V2!$A$1:$K$36,17,FALSE),0)</f>
        <v>1</v>
      </c>
      <c r="J1956">
        <f>IFERROR(HLOOKUP(J$2,[60]table_female_hkom3_inj.V2!$A$1:$K$36,17,FALSE),0)</f>
        <v>0</v>
      </c>
      <c r="K1956">
        <f>IFERROR(HLOOKUP(K$2,[60]table_female_hkom3_inj.V2!$A$1:$K$36,17,FALSE),0)</f>
        <v>0</v>
      </c>
      <c r="L1956">
        <f>IFERROR(HLOOKUP(L$2,[60]table_female_hkom3_inj.V2!$A$1:$K$36,17,FALSE),0)</f>
        <v>0</v>
      </c>
      <c r="M1956">
        <f t="shared" si="610"/>
        <v>13</v>
      </c>
      <c r="S1956" t="s">
        <v>85</v>
      </c>
      <c r="T1956" s="5">
        <f t="shared" si="611"/>
        <v>0</v>
      </c>
      <c r="U1956" s="5">
        <f t="shared" si="612"/>
        <v>0</v>
      </c>
      <c r="V1956" s="5">
        <f t="shared" si="613"/>
        <v>8.8021978021978029</v>
      </c>
      <c r="W1956" s="5">
        <f t="shared" si="614"/>
        <v>7.9473684210526319</v>
      </c>
      <c r="X1956" s="5">
        <f t="shared" si="615"/>
        <v>1.3870967741935485</v>
      </c>
      <c r="Y1956" s="5">
        <f t="shared" si="616"/>
        <v>0</v>
      </c>
      <c r="Z1956" s="5">
        <f t="shared" si="617"/>
        <v>0</v>
      </c>
      <c r="AA1956" s="5">
        <f t="shared" si="618"/>
        <v>0</v>
      </c>
      <c r="AB1956" s="5">
        <f t="shared" si="608"/>
        <v>18.136662997443981</v>
      </c>
    </row>
    <row r="1957" spans="4:28" x14ac:dyDescent="0.25">
      <c r="D1957" t="s">
        <v>86</v>
      </c>
      <c r="E1957" s="64"/>
      <c r="F1957" s="64"/>
      <c r="G1957">
        <f>IFERROR(HLOOKUP(G$2,[60]table_female_hkom3_inj.V2!$A$1:$K$36,18,FALSE),0)</f>
        <v>36</v>
      </c>
      <c r="H1957">
        <f>IFERROR(HLOOKUP(H$2,[60]table_female_hkom3_inj.V2!$A$1:$K$36,18,FALSE),0)</f>
        <v>60</v>
      </c>
      <c r="I1957">
        <f>IFERROR(HLOOKUP(I$2,[60]table_female_hkom3_inj.V2!$A$1:$K$36,18,FALSE),0)</f>
        <v>12</v>
      </c>
      <c r="J1957">
        <f>IFERROR(HLOOKUP(J$2,[60]table_female_hkom3_inj.V2!$A$1:$K$36,18,FALSE),0)</f>
        <v>0</v>
      </c>
      <c r="K1957">
        <f>IFERROR(HLOOKUP(K$2,[60]table_female_hkom3_inj.V2!$A$1:$K$36,18,FALSE),0)</f>
        <v>0</v>
      </c>
      <c r="L1957">
        <f>IFERROR(HLOOKUP(L$2,[60]table_female_hkom3_inj.V2!$A$1:$K$36,18,FALSE),0)</f>
        <v>0</v>
      </c>
      <c r="M1957">
        <f t="shared" si="610"/>
        <v>108</v>
      </c>
      <c r="S1957" t="s">
        <v>86</v>
      </c>
      <c r="T1957" s="5">
        <f t="shared" si="611"/>
        <v>0</v>
      </c>
      <c r="U1957" s="5">
        <f t="shared" si="612"/>
        <v>0</v>
      </c>
      <c r="V1957" s="5">
        <f t="shared" si="613"/>
        <v>52.813186813186817</v>
      </c>
      <c r="W1957" s="5">
        <f t="shared" si="614"/>
        <v>79.473684210526315</v>
      </c>
      <c r="X1957" s="5">
        <f t="shared" si="615"/>
        <v>16.64516129032258</v>
      </c>
      <c r="Y1957" s="5">
        <f t="shared" si="616"/>
        <v>0</v>
      </c>
      <c r="Z1957" s="5">
        <f t="shared" si="617"/>
        <v>0</v>
      </c>
      <c r="AA1957" s="5">
        <f t="shared" si="618"/>
        <v>0</v>
      </c>
      <c r="AB1957" s="5">
        <f t="shared" si="608"/>
        <v>148.93203231403572</v>
      </c>
    </row>
    <row r="1958" spans="4:28" x14ac:dyDescent="0.25">
      <c r="D1958" t="s">
        <v>87</v>
      </c>
      <c r="E1958" s="64"/>
      <c r="F1958" s="64"/>
      <c r="G1958">
        <f>IFERROR(HLOOKUP(G$2,[60]table_female_hkom3_inj.V2!$A$1:$K$36,19,FALSE),0)</f>
        <v>10</v>
      </c>
      <c r="H1958">
        <f>IFERROR(HLOOKUP(H$2,[60]table_female_hkom3_inj.V2!$A$1:$K$36,19,FALSE),0)</f>
        <v>7</v>
      </c>
      <c r="I1958">
        <f>IFERROR(HLOOKUP(I$2,[60]table_female_hkom3_inj.V2!$A$1:$K$36,19,FALSE),0)</f>
        <v>1</v>
      </c>
      <c r="J1958">
        <f>IFERROR(HLOOKUP(J$2,[60]table_female_hkom3_inj.V2!$A$1:$K$36,19,FALSE),0)</f>
        <v>0</v>
      </c>
      <c r="K1958">
        <f>IFERROR(HLOOKUP(K$2,[60]table_female_hkom3_inj.V2!$A$1:$K$36,19,FALSE),0)</f>
        <v>0</v>
      </c>
      <c r="L1958">
        <f>IFERROR(HLOOKUP(L$2,[60]table_female_hkom3_inj.V2!$A$1:$K$36,19,FALSE),0)</f>
        <v>0</v>
      </c>
      <c r="M1958">
        <f t="shared" si="610"/>
        <v>18</v>
      </c>
      <c r="S1958" t="s">
        <v>87</v>
      </c>
      <c r="T1958" s="5">
        <f t="shared" si="611"/>
        <v>0</v>
      </c>
      <c r="U1958" s="5">
        <f t="shared" si="612"/>
        <v>0</v>
      </c>
      <c r="V1958" s="5">
        <f t="shared" si="613"/>
        <v>14.670329670329672</v>
      </c>
      <c r="W1958" s="5">
        <f t="shared" si="614"/>
        <v>9.2719298245614041</v>
      </c>
      <c r="X1958" s="5">
        <f t="shared" si="615"/>
        <v>1.3870967741935485</v>
      </c>
      <c r="Y1958" s="5">
        <f t="shared" si="616"/>
        <v>0</v>
      </c>
      <c r="Z1958" s="5">
        <f t="shared" si="617"/>
        <v>0</v>
      </c>
      <c r="AA1958" s="5">
        <f t="shared" si="618"/>
        <v>0</v>
      </c>
      <c r="AB1958" s="5">
        <f t="shared" si="608"/>
        <v>25.329356269084624</v>
      </c>
    </row>
    <row r="1959" spans="4:28" x14ac:dyDescent="0.25">
      <c r="D1959" t="s">
        <v>88</v>
      </c>
      <c r="E1959" s="64"/>
      <c r="F1959" s="64"/>
      <c r="G1959">
        <f>IFERROR(HLOOKUP(G$2,[60]table_female_hkom3_inj.V2!$A$1:$K$36,20,FALSE),0)</f>
        <v>39</v>
      </c>
      <c r="H1959">
        <f>IFERROR(HLOOKUP(H$2,[60]table_female_hkom3_inj.V2!$A$1:$K$36,20,FALSE),0)</f>
        <v>46</v>
      </c>
      <c r="I1959">
        <f>IFERROR(HLOOKUP(I$2,[60]table_female_hkom3_inj.V2!$A$1:$K$36,20,FALSE),0)</f>
        <v>19</v>
      </c>
      <c r="J1959">
        <f>IFERROR(HLOOKUP(J$2,[60]table_female_hkom3_inj.V2!$A$1:$K$36,20,FALSE),0)</f>
        <v>1</v>
      </c>
      <c r="K1959">
        <f>IFERROR(HLOOKUP(K$2,[60]table_female_hkom3_inj.V2!$A$1:$K$36,20,FALSE),0)</f>
        <v>0</v>
      </c>
      <c r="L1959">
        <f>IFERROR(HLOOKUP(L$2,[60]table_female_hkom3_inj.V2!$A$1:$K$36,20,FALSE),0)</f>
        <v>0</v>
      </c>
      <c r="M1959">
        <f t="shared" si="610"/>
        <v>105</v>
      </c>
      <c r="S1959" t="s">
        <v>88</v>
      </c>
      <c r="T1959" s="5">
        <f t="shared" si="611"/>
        <v>0</v>
      </c>
      <c r="U1959" s="5">
        <f t="shared" si="612"/>
        <v>0</v>
      </c>
      <c r="V1959" s="5">
        <f t="shared" si="613"/>
        <v>57.214285714285708</v>
      </c>
      <c r="W1959" s="5">
        <f t="shared" si="614"/>
        <v>60.929824561403507</v>
      </c>
      <c r="X1959" s="5">
        <f t="shared" si="615"/>
        <v>26.35483870967742</v>
      </c>
      <c r="Y1959" s="5">
        <f t="shared" si="616"/>
        <v>2</v>
      </c>
      <c r="Z1959" s="5">
        <f t="shared" si="617"/>
        <v>0</v>
      </c>
      <c r="AA1959" s="5">
        <f t="shared" si="618"/>
        <v>0</v>
      </c>
      <c r="AB1959" s="5">
        <f t="shared" si="608"/>
        <v>146.49894898536664</v>
      </c>
    </row>
    <row r="1960" spans="4:28" x14ac:dyDescent="0.25">
      <c r="D1960" t="s">
        <v>89</v>
      </c>
      <c r="E1960" s="64"/>
      <c r="F1960" s="64"/>
      <c r="G1960">
        <f>IFERROR(HLOOKUP(G$2,[60]table_female_hkom3_inj.V2!$A$1:$K$36,21,FALSE),0)</f>
        <v>6</v>
      </c>
      <c r="H1960">
        <f>IFERROR(HLOOKUP(H$2,[60]table_female_hkom3_inj.V2!$A$1:$K$36,21,FALSE),0)</f>
        <v>9</v>
      </c>
      <c r="I1960">
        <f>IFERROR(HLOOKUP(I$2,[60]table_female_hkom3_inj.V2!$A$1:$K$36,21,FALSE),0)</f>
        <v>2</v>
      </c>
      <c r="J1960">
        <f>IFERROR(HLOOKUP(J$2,[60]table_female_hkom3_inj.V2!$A$1:$K$36,21,FALSE),0)</f>
        <v>0</v>
      </c>
      <c r="K1960">
        <f>IFERROR(HLOOKUP(K$2,[60]table_female_hkom3_inj.V2!$A$1:$K$36,21,FALSE),0)</f>
        <v>0</v>
      </c>
      <c r="L1960">
        <f>IFERROR(HLOOKUP(L$2,[60]table_female_hkom3_inj.V2!$A$1:$K$36,21,FALSE),0)</f>
        <v>0</v>
      </c>
      <c r="M1960">
        <f t="shared" si="610"/>
        <v>17</v>
      </c>
      <c r="S1960" t="s">
        <v>89</v>
      </c>
      <c r="T1960" s="5">
        <f t="shared" si="611"/>
        <v>0</v>
      </c>
      <c r="U1960" s="5">
        <f t="shared" si="612"/>
        <v>0</v>
      </c>
      <c r="V1960" s="5">
        <f t="shared" si="613"/>
        <v>8.8021978021978029</v>
      </c>
      <c r="W1960" s="5">
        <f t="shared" si="614"/>
        <v>11.921052631578947</v>
      </c>
      <c r="X1960" s="5">
        <f t="shared" si="615"/>
        <v>2.774193548387097</v>
      </c>
      <c r="Y1960" s="5">
        <f t="shared" si="616"/>
        <v>0</v>
      </c>
      <c r="Z1960" s="5">
        <f t="shared" si="617"/>
        <v>0</v>
      </c>
      <c r="AA1960" s="5">
        <f t="shared" si="618"/>
        <v>0</v>
      </c>
      <c r="AB1960" s="5">
        <f t="shared" si="608"/>
        <v>23.497443982163844</v>
      </c>
    </row>
    <row r="1961" spans="4:28" x14ac:dyDescent="0.25">
      <c r="D1961" t="s">
        <v>90</v>
      </c>
      <c r="E1961" s="64"/>
      <c r="F1961" s="64"/>
      <c r="G1961">
        <f>IFERROR(HLOOKUP(G$2,[60]table_female_hkom3_inj.V2!$A$1:$K$36,22,FALSE),0)</f>
        <v>0</v>
      </c>
      <c r="H1961">
        <f>IFERROR(HLOOKUP(H$2,[60]table_female_hkom3_inj.V2!$A$1:$K$36,22,FALSE),0)</f>
        <v>0</v>
      </c>
      <c r="I1961">
        <f>IFERROR(HLOOKUP(I$2,[60]table_female_hkom3_inj.V2!$A$1:$K$36,22,FALSE),0)</f>
        <v>0</v>
      </c>
      <c r="J1961">
        <f>IFERROR(HLOOKUP(J$2,[60]table_female_hkom3_inj.V2!$A$1:$K$36,22,FALSE),0)</f>
        <v>0</v>
      </c>
      <c r="K1961">
        <f>IFERROR(HLOOKUP(K$2,[60]table_female_hkom3_inj.V2!$A$1:$K$36,22,FALSE),0)</f>
        <v>0</v>
      </c>
      <c r="L1961">
        <f>IFERROR(HLOOKUP(L$2,[60]table_female_hkom3_inj.V2!$A$1:$K$36,22,FALSE),0)</f>
        <v>0</v>
      </c>
      <c r="M1961">
        <f t="shared" si="610"/>
        <v>0</v>
      </c>
      <c r="S1961" t="s">
        <v>90</v>
      </c>
      <c r="T1961" s="5">
        <f t="shared" si="611"/>
        <v>0</v>
      </c>
      <c r="U1961" s="5">
        <f t="shared" si="612"/>
        <v>0</v>
      </c>
      <c r="V1961" s="5">
        <f t="shared" si="613"/>
        <v>0</v>
      </c>
      <c r="W1961" s="5">
        <f t="shared" si="614"/>
        <v>0</v>
      </c>
      <c r="X1961" s="5">
        <f t="shared" si="615"/>
        <v>0</v>
      </c>
      <c r="Y1961" s="5">
        <f t="shared" si="616"/>
        <v>0</v>
      </c>
      <c r="Z1961" s="5">
        <f t="shared" si="617"/>
        <v>0</v>
      </c>
      <c r="AA1961" s="5">
        <f t="shared" si="618"/>
        <v>0</v>
      </c>
      <c r="AB1961" s="5">
        <f t="shared" si="608"/>
        <v>0</v>
      </c>
    </row>
    <row r="1962" spans="4:28" x14ac:dyDescent="0.25">
      <c r="D1962" t="s">
        <v>91</v>
      </c>
      <c r="E1962" s="64"/>
      <c r="F1962" s="64"/>
      <c r="G1962">
        <f>IFERROR(HLOOKUP(G$2,[60]table_female_hkom3_inj.V2!$A$1:$K$36,23,FALSE),0)</f>
        <v>0</v>
      </c>
      <c r="H1962">
        <f>IFERROR(HLOOKUP(H$2,[60]table_female_hkom3_inj.V2!$A$1:$K$36,23,FALSE),0)</f>
        <v>0</v>
      </c>
      <c r="I1962">
        <f>IFERROR(HLOOKUP(I$2,[60]table_female_hkom3_inj.V2!$A$1:$K$36,23,FALSE),0)</f>
        <v>0</v>
      </c>
      <c r="J1962">
        <f>IFERROR(HLOOKUP(J$2,[60]table_female_hkom3_inj.V2!$A$1:$K$36,23,FALSE),0)</f>
        <v>0</v>
      </c>
      <c r="K1962">
        <f>IFERROR(HLOOKUP(K$2,[60]table_female_hkom3_inj.V2!$A$1:$K$36,23,FALSE),0)</f>
        <v>0</v>
      </c>
      <c r="L1962">
        <f>IFERROR(HLOOKUP(L$2,[60]table_female_hkom3_inj.V2!$A$1:$K$36,23,FALSE),0)</f>
        <v>0</v>
      </c>
      <c r="M1962">
        <f t="shared" si="610"/>
        <v>0</v>
      </c>
      <c r="S1962" t="s">
        <v>91</v>
      </c>
      <c r="T1962" s="5">
        <f t="shared" si="611"/>
        <v>0</v>
      </c>
      <c r="U1962" s="5">
        <f t="shared" si="612"/>
        <v>0</v>
      </c>
      <c r="V1962" s="5">
        <f t="shared" si="613"/>
        <v>0</v>
      </c>
      <c r="W1962" s="5">
        <f t="shared" si="614"/>
        <v>0</v>
      </c>
      <c r="X1962" s="5">
        <f t="shared" si="615"/>
        <v>0</v>
      </c>
      <c r="Y1962" s="5">
        <f t="shared" si="616"/>
        <v>0</v>
      </c>
      <c r="Z1962" s="5">
        <f t="shared" si="617"/>
        <v>0</v>
      </c>
      <c r="AA1962" s="5">
        <f t="shared" si="618"/>
        <v>0</v>
      </c>
      <c r="AB1962" s="5">
        <f t="shared" si="608"/>
        <v>0</v>
      </c>
    </row>
    <row r="1963" spans="4:28" x14ac:dyDescent="0.25">
      <c r="D1963" t="s">
        <v>92</v>
      </c>
      <c r="E1963" s="64"/>
      <c r="F1963" s="64"/>
      <c r="G1963">
        <f>IFERROR(HLOOKUP(G$2,[60]table_female_hkom3_inj.V2!$A$1:$K$36,24,FALSE),0)</f>
        <v>0</v>
      </c>
      <c r="H1963">
        <f>IFERROR(HLOOKUP(H$2,[60]table_female_hkom3_inj.V2!$A$1:$K$36,24,FALSE),0)</f>
        <v>1</v>
      </c>
      <c r="I1963">
        <f>IFERROR(HLOOKUP(I$2,[60]table_female_hkom3_inj.V2!$A$1:$K$36,24,FALSE),0)</f>
        <v>0</v>
      </c>
      <c r="J1963">
        <f>IFERROR(HLOOKUP(J$2,[60]table_female_hkom3_inj.V2!$A$1:$K$36,24,FALSE),0)</f>
        <v>0</v>
      </c>
      <c r="K1963">
        <f>IFERROR(HLOOKUP(K$2,[60]table_female_hkom3_inj.V2!$A$1:$K$36,24,FALSE),0)</f>
        <v>0</v>
      </c>
      <c r="L1963">
        <f>IFERROR(HLOOKUP(L$2,[60]table_female_hkom3_inj.V2!$A$1:$K$36,24,FALSE),0)</f>
        <v>0</v>
      </c>
      <c r="M1963">
        <f t="shared" si="610"/>
        <v>1</v>
      </c>
      <c r="S1963" t="s">
        <v>92</v>
      </c>
      <c r="T1963" s="5">
        <f t="shared" si="611"/>
        <v>0</v>
      </c>
      <c r="U1963" s="5">
        <f t="shared" si="612"/>
        <v>0</v>
      </c>
      <c r="V1963" s="5">
        <f t="shared" si="613"/>
        <v>0</v>
      </c>
      <c r="W1963" s="5">
        <f t="shared" si="614"/>
        <v>1.3245614035087718</v>
      </c>
      <c r="X1963" s="5">
        <f t="shared" si="615"/>
        <v>0</v>
      </c>
      <c r="Y1963" s="5">
        <f t="shared" si="616"/>
        <v>0</v>
      </c>
      <c r="Z1963" s="5">
        <f t="shared" si="617"/>
        <v>0</v>
      </c>
      <c r="AA1963" s="5">
        <f t="shared" si="618"/>
        <v>0</v>
      </c>
      <c r="AB1963" s="5">
        <f t="shared" si="608"/>
        <v>1.3245614035087718</v>
      </c>
    </row>
    <row r="1964" spans="4:28" x14ac:dyDescent="0.25">
      <c r="D1964" t="s">
        <v>93</v>
      </c>
      <c r="E1964" s="64"/>
      <c r="F1964" s="64"/>
      <c r="G1964">
        <f>IFERROR(HLOOKUP(G$2,[60]table_female_hkom3_inj.V2!$A$1:$K$36,25,FALSE),0)</f>
        <v>0</v>
      </c>
      <c r="H1964">
        <f>IFERROR(HLOOKUP(H$2,[60]table_female_hkom3_inj.V2!$A$1:$K$36,25,FALSE),0)</f>
        <v>0</v>
      </c>
      <c r="I1964">
        <f>IFERROR(HLOOKUP(I$2,[60]table_female_hkom3_inj.V2!$A$1:$K$36,25,FALSE),0)</f>
        <v>0</v>
      </c>
      <c r="J1964">
        <f>IFERROR(HLOOKUP(J$2,[60]table_female_hkom3_inj.V2!$A$1:$K$36,25,FALSE),0)</f>
        <v>0</v>
      </c>
      <c r="K1964">
        <f>IFERROR(HLOOKUP(K$2,[60]table_female_hkom3_inj.V2!$A$1:$K$36,25,FALSE),0)</f>
        <v>0</v>
      </c>
      <c r="L1964">
        <f>IFERROR(HLOOKUP(L$2,[60]table_female_hkom3_inj.V2!$A$1:$K$36,25,FALSE),0)</f>
        <v>0</v>
      </c>
      <c r="M1964">
        <f t="shared" si="610"/>
        <v>0</v>
      </c>
      <c r="S1964" t="s">
        <v>93</v>
      </c>
      <c r="T1964" s="5">
        <f t="shared" si="611"/>
        <v>0</v>
      </c>
      <c r="U1964" s="5">
        <f t="shared" si="612"/>
        <v>0</v>
      </c>
      <c r="V1964" s="5">
        <f t="shared" si="613"/>
        <v>0</v>
      </c>
      <c r="W1964" s="5">
        <f t="shared" si="614"/>
        <v>0</v>
      </c>
      <c r="X1964" s="5">
        <f t="shared" si="615"/>
        <v>0</v>
      </c>
      <c r="Y1964" s="5">
        <f t="shared" si="616"/>
        <v>0</v>
      </c>
      <c r="Z1964" s="5">
        <f t="shared" si="617"/>
        <v>0</v>
      </c>
      <c r="AA1964" s="5">
        <f t="shared" si="618"/>
        <v>0</v>
      </c>
      <c r="AB1964" s="5">
        <f t="shared" si="608"/>
        <v>0</v>
      </c>
    </row>
    <row r="1965" spans="4:28" x14ac:dyDescent="0.25">
      <c r="D1965" t="s">
        <v>94</v>
      </c>
      <c r="E1965" s="64"/>
      <c r="F1965" s="64"/>
      <c r="G1965">
        <f>IFERROR(HLOOKUP(G$2,[60]table_female_hkom3_inj.V2!$A$1:$K$36,26,FALSE),0)</f>
        <v>0</v>
      </c>
      <c r="H1965">
        <f>IFERROR(HLOOKUP(H$2,[60]table_female_hkom3_inj.V2!$A$1:$K$36,26,FALSE),0)</f>
        <v>0</v>
      </c>
      <c r="I1965">
        <f>IFERROR(HLOOKUP(I$2,[60]table_female_hkom3_inj.V2!$A$1:$K$36,26,FALSE),0)</f>
        <v>0</v>
      </c>
      <c r="J1965">
        <f>IFERROR(HLOOKUP(J$2,[60]table_female_hkom3_inj.V2!$A$1:$K$36,26,FALSE),0)</f>
        <v>0</v>
      </c>
      <c r="K1965">
        <f>IFERROR(HLOOKUP(K$2,[60]table_female_hkom3_inj.V2!$A$1:$K$36,26,FALSE),0)</f>
        <v>0</v>
      </c>
      <c r="L1965">
        <f>IFERROR(HLOOKUP(L$2,[60]table_female_hkom3_inj.V2!$A$1:$K$36,26,FALSE),0)</f>
        <v>0</v>
      </c>
      <c r="M1965">
        <f t="shared" si="610"/>
        <v>0</v>
      </c>
      <c r="S1965" t="s">
        <v>94</v>
      </c>
      <c r="T1965" s="5">
        <f t="shared" si="611"/>
        <v>0</v>
      </c>
      <c r="U1965" s="5">
        <f t="shared" si="612"/>
        <v>0</v>
      </c>
      <c r="V1965" s="5">
        <f t="shared" si="613"/>
        <v>0</v>
      </c>
      <c r="W1965" s="5">
        <f t="shared" si="614"/>
        <v>0</v>
      </c>
      <c r="X1965" s="5">
        <f t="shared" si="615"/>
        <v>0</v>
      </c>
      <c r="Y1965" s="5">
        <f t="shared" si="616"/>
        <v>0</v>
      </c>
      <c r="Z1965" s="5">
        <f t="shared" si="617"/>
        <v>0</v>
      </c>
      <c r="AA1965" s="5">
        <f t="shared" si="618"/>
        <v>0</v>
      </c>
      <c r="AB1965" s="5">
        <f t="shared" si="608"/>
        <v>0</v>
      </c>
    </row>
    <row r="1966" spans="4:28" x14ac:dyDescent="0.25">
      <c r="D1966" t="s">
        <v>95</v>
      </c>
      <c r="E1966" s="64"/>
      <c r="F1966" s="64"/>
      <c r="G1966">
        <f>IFERROR(HLOOKUP(G$2,[60]table_female_hkom3_inj.V2!$A$1:$K$36,27,FALSE),0)</f>
        <v>0</v>
      </c>
      <c r="H1966">
        <f>IFERROR(HLOOKUP(H$2,[60]table_female_hkom3_inj.V2!$A$1:$K$36,27,FALSE),0)</f>
        <v>0</v>
      </c>
      <c r="I1966">
        <f>IFERROR(HLOOKUP(I$2,[60]table_female_hkom3_inj.V2!$A$1:$K$36,27,FALSE),0)</f>
        <v>0</v>
      </c>
      <c r="J1966">
        <f>IFERROR(HLOOKUP(J$2,[60]table_female_hkom3_inj.V2!$A$1:$K$36,27,FALSE),0)</f>
        <v>0</v>
      </c>
      <c r="K1966">
        <f>IFERROR(HLOOKUP(K$2,[60]table_female_hkom3_inj.V2!$A$1:$K$36,27,FALSE),0)</f>
        <v>0</v>
      </c>
      <c r="L1966">
        <f>IFERROR(HLOOKUP(L$2,[60]table_female_hkom3_inj.V2!$A$1:$K$36,27,FALSE),0)</f>
        <v>0</v>
      </c>
      <c r="M1966">
        <f t="shared" si="610"/>
        <v>0</v>
      </c>
      <c r="S1966" t="s">
        <v>95</v>
      </c>
      <c r="T1966" s="5">
        <f t="shared" si="611"/>
        <v>0</v>
      </c>
      <c r="U1966" s="5">
        <f t="shared" si="612"/>
        <v>0</v>
      </c>
      <c r="V1966" s="5">
        <f t="shared" si="613"/>
        <v>0</v>
      </c>
      <c r="W1966" s="5">
        <f t="shared" si="614"/>
        <v>0</v>
      </c>
      <c r="X1966" s="5">
        <f t="shared" si="615"/>
        <v>0</v>
      </c>
      <c r="Y1966" s="5">
        <f t="shared" si="616"/>
        <v>0</v>
      </c>
      <c r="Z1966" s="5">
        <f t="shared" si="617"/>
        <v>0</v>
      </c>
      <c r="AA1966" s="5">
        <f t="shared" si="618"/>
        <v>0</v>
      </c>
      <c r="AB1966" s="5">
        <f t="shared" si="608"/>
        <v>0</v>
      </c>
    </row>
    <row r="1967" spans="4:28" x14ac:dyDescent="0.25">
      <c r="D1967" t="s">
        <v>96</v>
      </c>
      <c r="E1967" s="64"/>
      <c r="F1967" s="64"/>
      <c r="G1967">
        <f>IFERROR(HLOOKUP(G$2,[60]table_female_hkom3_inj.V2!$A$1:$K$36,28,FALSE),0)</f>
        <v>1</v>
      </c>
      <c r="H1967">
        <f>IFERROR(HLOOKUP(H$2,[60]table_female_hkom3_inj.V2!$A$1:$K$36,28,FALSE),0)</f>
        <v>0</v>
      </c>
      <c r="I1967">
        <f>IFERROR(HLOOKUP(I$2,[60]table_female_hkom3_inj.V2!$A$1:$K$36,28,FALSE),0)</f>
        <v>1</v>
      </c>
      <c r="J1967">
        <f>IFERROR(HLOOKUP(J$2,[60]table_female_hkom3_inj.V2!$A$1:$K$36,28,FALSE),0)</f>
        <v>0</v>
      </c>
      <c r="K1967">
        <f>IFERROR(HLOOKUP(K$2,[60]table_female_hkom3_inj.V2!$A$1:$K$36,28,FALSE),0)</f>
        <v>0</v>
      </c>
      <c r="L1967">
        <f>IFERROR(HLOOKUP(L$2,[60]table_female_hkom3_inj.V2!$A$1:$K$36,28,FALSE),0)</f>
        <v>0</v>
      </c>
      <c r="M1967">
        <f t="shared" si="610"/>
        <v>2</v>
      </c>
      <c r="S1967" t="s">
        <v>96</v>
      </c>
      <c r="T1967" s="5">
        <f t="shared" si="611"/>
        <v>0</v>
      </c>
      <c r="U1967" s="5">
        <f t="shared" si="612"/>
        <v>0</v>
      </c>
      <c r="V1967" s="5">
        <f t="shared" si="613"/>
        <v>1.4670329670329672</v>
      </c>
      <c r="W1967" s="5">
        <f t="shared" si="614"/>
        <v>0</v>
      </c>
      <c r="X1967" s="5">
        <f t="shared" si="615"/>
        <v>1.3870967741935485</v>
      </c>
      <c r="Y1967" s="5">
        <f t="shared" si="616"/>
        <v>0</v>
      </c>
      <c r="Z1967" s="5">
        <f t="shared" si="617"/>
        <v>0</v>
      </c>
      <c r="AA1967" s="5">
        <f t="shared" si="618"/>
        <v>0</v>
      </c>
      <c r="AB1967" s="5">
        <f t="shared" si="608"/>
        <v>2.8541297412265156</v>
      </c>
    </row>
    <row r="1968" spans="4:28" x14ac:dyDescent="0.25">
      <c r="D1968" t="s">
        <v>97</v>
      </c>
      <c r="E1968" s="64"/>
      <c r="F1968" s="64"/>
      <c r="G1968">
        <f>IFERROR(HLOOKUP(G$2,[60]table_female_hkom3_inj.V2!$A$1:$K$36,29,FALSE),0)</f>
        <v>0</v>
      </c>
      <c r="H1968">
        <f>IFERROR(HLOOKUP(H$2,[60]table_female_hkom3_inj.V2!$A$1:$K$36,29,FALSE),0)</f>
        <v>0</v>
      </c>
      <c r="I1968">
        <f>IFERROR(HLOOKUP(I$2,[60]table_female_hkom3_inj.V2!$A$1:$K$36,29,FALSE),0)</f>
        <v>0</v>
      </c>
      <c r="J1968">
        <f>IFERROR(HLOOKUP(J$2,[60]table_female_hkom3_inj.V2!$A$1:$K$36,29,FALSE),0)</f>
        <v>0</v>
      </c>
      <c r="K1968">
        <f>IFERROR(HLOOKUP(K$2,[60]table_female_hkom3_inj.V2!$A$1:$K$36,29,FALSE),0)</f>
        <v>0</v>
      </c>
      <c r="L1968">
        <f>IFERROR(HLOOKUP(L$2,[60]table_female_hkom3_inj.V2!$A$1:$K$36,29,FALSE),0)</f>
        <v>0</v>
      </c>
      <c r="M1968">
        <f t="shared" si="610"/>
        <v>0</v>
      </c>
      <c r="S1968" t="s">
        <v>97</v>
      </c>
      <c r="T1968" s="5">
        <f t="shared" si="611"/>
        <v>0</v>
      </c>
      <c r="U1968" s="5">
        <f t="shared" si="612"/>
        <v>0</v>
      </c>
      <c r="V1968" s="5">
        <f t="shared" si="613"/>
        <v>0</v>
      </c>
      <c r="W1968" s="5">
        <f t="shared" si="614"/>
        <v>0</v>
      </c>
      <c r="X1968" s="5">
        <f t="shared" si="615"/>
        <v>0</v>
      </c>
      <c r="Y1968" s="5">
        <f t="shared" si="616"/>
        <v>0</v>
      </c>
      <c r="Z1968" s="5">
        <f t="shared" si="617"/>
        <v>0</v>
      </c>
      <c r="AA1968" s="5">
        <f t="shared" si="618"/>
        <v>0</v>
      </c>
      <c r="AB1968" s="5">
        <f t="shared" si="608"/>
        <v>0</v>
      </c>
    </row>
    <row r="1969" spans="1:29" x14ac:dyDescent="0.25">
      <c r="D1969" t="s">
        <v>98</v>
      </c>
      <c r="E1969" s="64"/>
      <c r="F1969" s="64"/>
      <c r="G1969">
        <f>IFERROR(HLOOKUP(G$2,[60]table_female_hkom3_inj.V2!$A$1:$K$36,30,FALSE),0)</f>
        <v>0</v>
      </c>
      <c r="H1969">
        <f>IFERROR(HLOOKUP(H$2,[60]table_female_hkom3_inj.V2!$A$1:$K$36,30,FALSE),0)</f>
        <v>1</v>
      </c>
      <c r="I1969">
        <f>IFERROR(HLOOKUP(I$2,[60]table_female_hkom3_inj.V2!$A$1:$K$36,30,FALSE),0)</f>
        <v>0</v>
      </c>
      <c r="J1969">
        <f>IFERROR(HLOOKUP(J$2,[60]table_female_hkom3_inj.V2!$A$1:$K$36,30,FALSE),0)</f>
        <v>0</v>
      </c>
      <c r="K1969">
        <f>IFERROR(HLOOKUP(K$2,[60]table_female_hkom3_inj.V2!$A$1:$K$36,30,FALSE),0)</f>
        <v>0</v>
      </c>
      <c r="L1969">
        <f>IFERROR(HLOOKUP(L$2,[60]table_female_hkom3_inj.V2!$A$1:$K$36,30,FALSE),0)</f>
        <v>0</v>
      </c>
      <c r="M1969">
        <f t="shared" si="610"/>
        <v>1</v>
      </c>
      <c r="S1969" t="s">
        <v>98</v>
      </c>
      <c r="T1969" s="5">
        <f t="shared" si="611"/>
        <v>0</v>
      </c>
      <c r="U1969" s="5">
        <f t="shared" si="612"/>
        <v>0</v>
      </c>
      <c r="V1969" s="5">
        <f t="shared" si="613"/>
        <v>0</v>
      </c>
      <c r="W1969" s="5">
        <f t="shared" si="614"/>
        <v>1.3245614035087718</v>
      </c>
      <c r="X1969" s="5">
        <f t="shared" si="615"/>
        <v>0</v>
      </c>
      <c r="Y1969" s="5">
        <f t="shared" si="616"/>
        <v>0</v>
      </c>
      <c r="Z1969" s="5">
        <f t="shared" si="617"/>
        <v>0</v>
      </c>
      <c r="AA1969" s="5">
        <f t="shared" si="618"/>
        <v>0</v>
      </c>
      <c r="AB1969" s="5">
        <f t="shared" si="608"/>
        <v>1.3245614035087718</v>
      </c>
    </row>
    <row r="1970" spans="1:29" x14ac:dyDescent="0.25">
      <c r="D1970" t="s">
        <v>119</v>
      </c>
      <c r="E1970" s="64"/>
      <c r="F1970" s="64"/>
      <c r="G1970">
        <f>IFERROR(HLOOKUP(G$2,[60]table_female_hkom3_inj.V2!$A$1:$K$36,31,FALSE),0)</f>
        <v>0</v>
      </c>
      <c r="H1970">
        <f>IFERROR(HLOOKUP(H$2,[60]table_female_hkom3_inj.V2!$A$1:$K$36,31,FALSE),0)</f>
        <v>0</v>
      </c>
      <c r="I1970">
        <f>IFERROR(HLOOKUP(I$2,[60]table_female_hkom3_inj.V2!$A$1:$K$36,31,FALSE),0)</f>
        <v>0</v>
      </c>
      <c r="J1970">
        <f>IFERROR(HLOOKUP(J$2,[60]table_female_hkom3_inj.V2!$A$1:$K$36,31,FALSE),0)</f>
        <v>0</v>
      </c>
      <c r="K1970">
        <f>IFERROR(HLOOKUP(K$2,[60]table_female_hkom3_inj.V2!$A$1:$K$36,31,FALSE),0)</f>
        <v>0</v>
      </c>
      <c r="L1970">
        <f>IFERROR(HLOOKUP(L$2,[60]table_female_hkom3_inj.V2!$A$1:$K$36,31,FALSE),0)</f>
        <v>0</v>
      </c>
      <c r="M1970">
        <f t="shared" si="610"/>
        <v>0</v>
      </c>
      <c r="S1970" t="s">
        <v>119</v>
      </c>
      <c r="T1970" s="5">
        <f t="shared" si="611"/>
        <v>0</v>
      </c>
      <c r="U1970" s="5">
        <f t="shared" si="612"/>
        <v>0</v>
      </c>
      <c r="V1970" s="5">
        <f t="shared" si="613"/>
        <v>0</v>
      </c>
      <c r="W1970" s="5">
        <f t="shared" si="614"/>
        <v>0</v>
      </c>
      <c r="X1970" s="5">
        <f t="shared" si="615"/>
        <v>0</v>
      </c>
      <c r="Y1970" s="5">
        <f t="shared" si="616"/>
        <v>0</v>
      </c>
      <c r="Z1970" s="5">
        <f t="shared" si="617"/>
        <v>0</v>
      </c>
      <c r="AA1970" s="5">
        <f t="shared" si="618"/>
        <v>0</v>
      </c>
      <c r="AB1970" s="5">
        <f t="shared" si="608"/>
        <v>0</v>
      </c>
    </row>
    <row r="1971" spans="1:29" x14ac:dyDescent="0.25">
      <c r="D1971" t="s">
        <v>99</v>
      </c>
      <c r="E1971" s="64"/>
      <c r="F1971" s="64"/>
      <c r="G1971">
        <f>IFERROR(HLOOKUP(G$2,[60]table_female_hkom3_inj.V2!$A$1:$K$36,32,FALSE),0)</f>
        <v>2</v>
      </c>
      <c r="H1971">
        <f>IFERROR(HLOOKUP(H$2,[60]table_female_hkom3_inj.V2!$A$1:$K$36,32,FALSE),0)</f>
        <v>5</v>
      </c>
      <c r="I1971">
        <f>IFERROR(HLOOKUP(I$2,[60]table_female_hkom3_inj.V2!$A$1:$K$36,32,FALSE),0)</f>
        <v>2</v>
      </c>
      <c r="J1971">
        <f>IFERROR(HLOOKUP(J$2,[60]table_female_hkom3_inj.V2!$A$1:$K$36,32,FALSE),0)</f>
        <v>0</v>
      </c>
      <c r="K1971">
        <f>IFERROR(HLOOKUP(K$2,[60]table_female_hkom3_inj.V2!$A$1:$K$36,32,FALSE),0)</f>
        <v>0</v>
      </c>
      <c r="L1971">
        <f>IFERROR(HLOOKUP(L$2,[60]table_female_hkom3_inj.V2!$A$1:$K$36,32,FALSE),0)</f>
        <v>0</v>
      </c>
      <c r="M1971">
        <f t="shared" si="610"/>
        <v>9</v>
      </c>
      <c r="S1971" t="s">
        <v>99</v>
      </c>
      <c r="T1971" s="5">
        <f t="shared" si="611"/>
        <v>0</v>
      </c>
      <c r="U1971" s="5">
        <f t="shared" si="612"/>
        <v>0</v>
      </c>
      <c r="V1971" s="5">
        <f t="shared" si="613"/>
        <v>2.9340659340659343</v>
      </c>
      <c r="W1971" s="5">
        <f t="shared" si="614"/>
        <v>6.6228070175438596</v>
      </c>
      <c r="X1971" s="5">
        <f t="shared" si="615"/>
        <v>2.774193548387097</v>
      </c>
      <c r="Y1971" s="5">
        <f t="shared" si="616"/>
        <v>0</v>
      </c>
      <c r="Z1971" s="5">
        <f t="shared" si="617"/>
        <v>0</v>
      </c>
      <c r="AA1971" s="5">
        <f t="shared" si="618"/>
        <v>0</v>
      </c>
      <c r="AB1971" s="5">
        <f t="shared" si="608"/>
        <v>12.33106649999689</v>
      </c>
    </row>
    <row r="1972" spans="1:29" x14ac:dyDescent="0.25">
      <c r="D1972" t="s">
        <v>100</v>
      </c>
      <c r="E1972" s="64"/>
      <c r="F1972" s="64"/>
      <c r="G1972">
        <f>IFERROR(HLOOKUP(G$2,[60]table_female_hkom3_inj.V2!$A$1:$K$36,33,FALSE),0)</f>
        <v>1</v>
      </c>
      <c r="H1972">
        <f>IFERROR(HLOOKUP(H$2,[60]table_female_hkom3_inj.V2!$A$1:$K$36,33,FALSE),0)</f>
        <v>2</v>
      </c>
      <c r="I1972">
        <f>IFERROR(HLOOKUP(I$2,[60]table_female_hkom3_inj.V2!$A$1:$K$36,33,FALSE),0)</f>
        <v>0</v>
      </c>
      <c r="J1972">
        <f>IFERROR(HLOOKUP(J$2,[60]table_female_hkom3_inj.V2!$A$1:$K$36,33,FALSE),0)</f>
        <v>0</v>
      </c>
      <c r="K1972">
        <f>IFERROR(HLOOKUP(K$2,[60]table_female_hkom3_inj.V2!$A$1:$K$36,33,FALSE),0)</f>
        <v>0</v>
      </c>
      <c r="L1972">
        <f>IFERROR(HLOOKUP(L$2,[60]table_female_hkom3_inj.V2!$A$1:$K$36,33,FALSE),0)</f>
        <v>0</v>
      </c>
      <c r="M1972">
        <f t="shared" si="610"/>
        <v>3</v>
      </c>
      <c r="S1972" t="s">
        <v>100</v>
      </c>
      <c r="T1972" s="5">
        <f t="shared" si="611"/>
        <v>0</v>
      </c>
      <c r="U1972" s="5">
        <f t="shared" si="612"/>
        <v>0</v>
      </c>
      <c r="V1972" s="5">
        <f t="shared" si="613"/>
        <v>1.4670329670329672</v>
      </c>
      <c r="W1972" s="5">
        <f t="shared" si="614"/>
        <v>2.6491228070175437</v>
      </c>
      <c r="X1972" s="5">
        <f t="shared" si="615"/>
        <v>0</v>
      </c>
      <c r="Y1972" s="5">
        <f t="shared" si="616"/>
        <v>0</v>
      </c>
      <c r="Z1972" s="5">
        <f t="shared" si="617"/>
        <v>0</v>
      </c>
      <c r="AA1972" s="5">
        <f t="shared" si="618"/>
        <v>0</v>
      </c>
      <c r="AB1972" s="5">
        <f t="shared" si="608"/>
        <v>4.1161557740505108</v>
      </c>
    </row>
    <row r="1973" spans="1:29" x14ac:dyDescent="0.25">
      <c r="D1973" t="s">
        <v>101</v>
      </c>
      <c r="E1973" s="64"/>
      <c r="F1973" s="64"/>
      <c r="G1973">
        <f>IFERROR(HLOOKUP(G$2,[60]table_female_hkom3_inj.V2!$A$1:$K$36,34,FALSE),0)</f>
        <v>6</v>
      </c>
      <c r="H1973">
        <f>IFERROR(HLOOKUP(H$2,[60]table_female_hkom3_inj.V2!$A$1:$K$36,34,FALSE),0)</f>
        <v>9</v>
      </c>
      <c r="I1973">
        <f>IFERROR(HLOOKUP(I$2,[60]table_female_hkom3_inj.V2!$A$1:$K$36,34,FALSE),0)</f>
        <v>1</v>
      </c>
      <c r="J1973">
        <f>IFERROR(HLOOKUP(J$2,[60]table_female_hkom3_inj.V2!$A$1:$K$36,34,FALSE),0)</f>
        <v>0</v>
      </c>
      <c r="K1973">
        <f>IFERROR(HLOOKUP(K$2,[60]table_female_hkom3_inj.V2!$A$1:$K$36,34,FALSE),0)</f>
        <v>0</v>
      </c>
      <c r="L1973">
        <f>IFERROR(HLOOKUP(L$2,[60]table_female_hkom3_inj.V2!$A$1:$K$36,34,FALSE),0)</f>
        <v>0</v>
      </c>
      <c r="M1973">
        <f t="shared" si="610"/>
        <v>16</v>
      </c>
      <c r="S1973" t="s">
        <v>101</v>
      </c>
      <c r="T1973" s="5">
        <f t="shared" si="611"/>
        <v>0</v>
      </c>
      <c r="U1973" s="5">
        <f t="shared" si="612"/>
        <v>0</v>
      </c>
      <c r="V1973" s="5">
        <f t="shared" si="613"/>
        <v>8.8021978021978029</v>
      </c>
      <c r="W1973" s="5">
        <f t="shared" si="614"/>
        <v>11.921052631578947</v>
      </c>
      <c r="X1973" s="5">
        <f t="shared" si="615"/>
        <v>1.3870967741935485</v>
      </c>
      <c r="Y1973" s="5">
        <f t="shared" si="616"/>
        <v>0</v>
      </c>
      <c r="Z1973" s="5">
        <f t="shared" si="617"/>
        <v>0</v>
      </c>
      <c r="AA1973" s="5">
        <f t="shared" si="618"/>
        <v>0</v>
      </c>
      <c r="AB1973" s="5">
        <f t="shared" si="608"/>
        <v>22.110347207970296</v>
      </c>
    </row>
    <row r="1974" spans="1:29" x14ac:dyDescent="0.25">
      <c r="D1974" t="s">
        <v>102</v>
      </c>
      <c r="E1974" s="64"/>
      <c r="F1974" s="64"/>
      <c r="G1974">
        <f>IFERROR(HLOOKUP(G$2,[60]table_female_hkom3_inj.V2!$A$1:$K$36,35,FALSE),0)</f>
        <v>85</v>
      </c>
      <c r="H1974">
        <f>IFERROR(HLOOKUP(H$2,[60]table_female_hkom3_inj.V2!$A$1:$K$36,35,FALSE),0)</f>
        <v>74</v>
      </c>
      <c r="I1974">
        <f>IFERROR(HLOOKUP(I$2,[60]table_female_hkom3_inj.V2!$A$1:$K$36,35,FALSE),0)</f>
        <v>24</v>
      </c>
      <c r="J1974">
        <f>IFERROR(HLOOKUP(J$2,[60]table_female_hkom3_inj.V2!$A$1:$K$36,35,FALSE),0)</f>
        <v>2</v>
      </c>
      <c r="K1974">
        <f>IFERROR(HLOOKUP(K$2,[60]table_female_hkom3_inj.V2!$A$1:$K$36,35,FALSE),0)</f>
        <v>0</v>
      </c>
      <c r="L1974">
        <f>IFERROR(HLOOKUP(L$2,[60]table_female_hkom3_inj.V2!$A$1:$K$36,35,FALSE),0)</f>
        <v>0</v>
      </c>
      <c r="M1974">
        <f t="shared" si="610"/>
        <v>185</v>
      </c>
      <c r="N1974">
        <f>SUM(M1941:M1974)</f>
        <v>659</v>
      </c>
      <c r="O1974" s="8">
        <f>SUM([60]table_female_hkom3_inj.V2!$B$2:$L$36)</f>
        <v>659</v>
      </c>
      <c r="S1974" t="s">
        <v>102</v>
      </c>
      <c r="T1974" s="7"/>
      <c r="U1974" s="7"/>
      <c r="V1974" s="7"/>
      <c r="W1974" s="7"/>
      <c r="X1974" s="7"/>
      <c r="Y1974" s="7"/>
      <c r="Z1974" s="7"/>
      <c r="AA1974" s="7"/>
      <c r="AB1974" s="5">
        <f t="shared" si="608"/>
        <v>0</v>
      </c>
      <c r="AC1974" s="5">
        <f>SUM(AB1941:AB1973)</f>
        <v>659.00000000000011</v>
      </c>
    </row>
    <row r="1975" spans="1:29" x14ac:dyDescent="0.25">
      <c r="A1975" t="s">
        <v>115</v>
      </c>
      <c r="B1975" t="s">
        <v>117</v>
      </c>
      <c r="C1975" t="s">
        <v>107</v>
      </c>
      <c r="D1975" t="s">
        <v>70</v>
      </c>
      <c r="E1975" s="64"/>
      <c r="F1975" s="64"/>
      <c r="G1975">
        <f>IFERROR(HLOOKUP(G$2,[61]table_female_hkom3_inj.V3!$A$1:$K$36,2,FALSE),0)</f>
        <v>0</v>
      </c>
      <c r="H1975">
        <f>IFERROR(HLOOKUP(H$2,[61]table_female_hkom3_inj.V3!$A$1:$K$36,2,FALSE),0)</f>
        <v>0</v>
      </c>
      <c r="I1975">
        <f>IFERROR(HLOOKUP(I$2,[61]table_female_hkom3_inj.V3!$A$1:$K$36,2,FALSE),0)</f>
        <v>0</v>
      </c>
      <c r="J1975">
        <f>IFERROR(HLOOKUP(J$2,[61]table_female_hkom3_inj.V3!$A$1:$K$36,2,FALSE),0)</f>
        <v>0</v>
      </c>
      <c r="K1975">
        <f>IFERROR(HLOOKUP(K$2,[61]table_female_hkom3_inj.V3!$A$1:$K$36,2,FALSE),0)</f>
        <v>0</v>
      </c>
      <c r="L1975">
        <f>IFERROR(HLOOKUP(L$2,[61]table_female_hkom3_inj.V3!$A$1:$K$36,2,FALSE),0)</f>
        <v>0</v>
      </c>
      <c r="M1975">
        <f>SUM(E1975:L1975)</f>
        <v>0</v>
      </c>
      <c r="P1975" t="s">
        <v>115</v>
      </c>
      <c r="Q1975" t="s">
        <v>117</v>
      </c>
      <c r="R1975" t="s">
        <v>107</v>
      </c>
      <c r="S1975" t="s">
        <v>70</v>
      </c>
      <c r="T1975" s="5">
        <f>IF(SUM(E$1975:E$2007)=0,E$2008/33,E1975+IFERROR(E1975/SUM(E$1975:E$2007)*E$2008,0))</f>
        <v>0</v>
      </c>
      <c r="U1975" s="5">
        <f t="shared" ref="U1975:AA1975" si="619">IF(SUM(F$1975:F$2007)=0,F$2008/33,F1975+IFERROR(F1975/SUM(F$1975:F$2007)*F$2008,0))</f>
        <v>0</v>
      </c>
      <c r="V1975" s="5">
        <f t="shared" si="619"/>
        <v>0</v>
      </c>
      <c r="W1975" s="5">
        <f t="shared" si="619"/>
        <v>0</v>
      </c>
      <c r="X1975" s="5">
        <f t="shared" si="619"/>
        <v>0</v>
      </c>
      <c r="Y1975" s="5">
        <f t="shared" si="619"/>
        <v>0</v>
      </c>
      <c r="Z1975" s="5">
        <f t="shared" si="619"/>
        <v>0</v>
      </c>
      <c r="AA1975" s="5">
        <f t="shared" si="619"/>
        <v>0</v>
      </c>
      <c r="AB1975" s="5">
        <f t="shared" si="608"/>
        <v>0</v>
      </c>
    </row>
    <row r="1976" spans="1:29" x14ac:dyDescent="0.25">
      <c r="D1976" t="s">
        <v>71</v>
      </c>
      <c r="E1976" s="64"/>
      <c r="F1976" s="64"/>
      <c r="G1976">
        <f>IFERROR(HLOOKUP(G$2,[61]table_female_hkom3_inj.V3!$A$1:$K$36,3,FALSE),0)</f>
        <v>0</v>
      </c>
      <c r="H1976">
        <f>IFERROR(HLOOKUP(H$2,[61]table_female_hkom3_inj.V3!$A$1:$K$36,3,FALSE),0)</f>
        <v>0</v>
      </c>
      <c r="I1976">
        <f>IFERROR(HLOOKUP(I$2,[61]table_female_hkom3_inj.V3!$A$1:$K$36,3,FALSE),0)</f>
        <v>0</v>
      </c>
      <c r="J1976">
        <f>IFERROR(HLOOKUP(J$2,[61]table_female_hkom3_inj.V3!$A$1:$K$36,3,FALSE),0)</f>
        <v>0</v>
      </c>
      <c r="K1976">
        <f>IFERROR(HLOOKUP(K$2,[61]table_female_hkom3_inj.V3!$A$1:$K$36,3,FALSE),0)</f>
        <v>0</v>
      </c>
      <c r="L1976">
        <f>IFERROR(HLOOKUP(L$2,[61]table_female_hkom3_inj.V3!$A$1:$K$36,3,FALSE),0)</f>
        <v>0</v>
      </c>
      <c r="M1976">
        <f t="shared" ref="M1976:M2008" si="620">SUM(E1976:L1976)</f>
        <v>0</v>
      </c>
      <c r="S1976" t="s">
        <v>71</v>
      </c>
      <c r="T1976" s="5">
        <f t="shared" ref="T1976:T2007" si="621">IF(SUM(E$1975:E$2007)=0,E$2008/33,E1976+IFERROR(E1976/SUM(E$1975:E$2007)*E$2008,0))</f>
        <v>0</v>
      </c>
      <c r="U1976" s="5">
        <f t="shared" ref="U1976:U2007" si="622">IF(SUM(F$1975:F$2007)=0,F$2008/33,F1976+IFERROR(F1976/SUM(F$1975:F$2007)*F$2008,0))</f>
        <v>0</v>
      </c>
      <c r="V1976" s="5">
        <f t="shared" ref="V1976:V2007" si="623">IF(SUM(G$1975:G$2007)=0,G$2008/33,G1976+IFERROR(G1976/SUM(G$1975:G$2007)*G$2008,0))</f>
        <v>0</v>
      </c>
      <c r="W1976" s="5">
        <f t="shared" ref="W1976:W2007" si="624">IF(SUM(H$1975:H$2007)=0,H$2008/33,H1976+IFERROR(H1976/SUM(H$1975:H$2007)*H$2008,0))</f>
        <v>0</v>
      </c>
      <c r="X1976" s="5">
        <f t="shared" ref="X1976:X2007" si="625">IF(SUM(I$1975:I$2007)=0,I$2008/33,I1976+IFERROR(I1976/SUM(I$1975:I$2007)*I$2008,0))</f>
        <v>0</v>
      </c>
      <c r="Y1976" s="5">
        <f t="shared" ref="Y1976:Y2007" si="626">IF(SUM(J$1975:J$2007)=0,J$2008/33,J1976+IFERROR(J1976/SUM(J$1975:J$2007)*J$2008,0))</f>
        <v>0</v>
      </c>
      <c r="Z1976" s="5">
        <f t="shared" ref="Z1976:Z2007" si="627">IF(SUM(K$1975:K$2007)=0,K$2008/33,K1976+IFERROR(K1976/SUM(K$1975:K$2007)*K$2008,0))</f>
        <v>0</v>
      </c>
      <c r="AA1976" s="5">
        <f t="shared" ref="AA1976:AA2007" si="628">IF(SUM(L$1975:L$2007)=0,L$2008/33,L1976+IFERROR(L1976/SUM(L$1975:L$2007)*L$2008,0))</f>
        <v>0</v>
      </c>
      <c r="AB1976" s="5">
        <f t="shared" si="608"/>
        <v>0</v>
      </c>
    </row>
    <row r="1977" spans="1:29" x14ac:dyDescent="0.25">
      <c r="D1977" t="s">
        <v>72</v>
      </c>
      <c r="E1977" s="64"/>
      <c r="F1977" s="64"/>
      <c r="G1977">
        <f>IFERROR(HLOOKUP(G$2,[61]table_female_hkom3_inj.V3!$A$1:$K$36,4,FALSE),0)</f>
        <v>0</v>
      </c>
      <c r="H1977">
        <f>IFERROR(HLOOKUP(H$2,[61]table_female_hkom3_inj.V3!$A$1:$K$36,4,FALSE),0)</f>
        <v>0</v>
      </c>
      <c r="I1977">
        <f>IFERROR(HLOOKUP(I$2,[61]table_female_hkom3_inj.V3!$A$1:$K$36,4,FALSE),0)</f>
        <v>0</v>
      </c>
      <c r="J1977">
        <f>IFERROR(HLOOKUP(J$2,[61]table_female_hkom3_inj.V3!$A$1:$K$36,4,FALSE),0)</f>
        <v>0</v>
      </c>
      <c r="K1977">
        <f>IFERROR(HLOOKUP(K$2,[61]table_female_hkom3_inj.V3!$A$1:$K$36,4,FALSE),0)</f>
        <v>0</v>
      </c>
      <c r="L1977">
        <f>IFERROR(HLOOKUP(L$2,[61]table_female_hkom3_inj.V3!$A$1:$K$36,4,FALSE),0)</f>
        <v>0</v>
      </c>
      <c r="M1977">
        <f t="shared" si="620"/>
        <v>0</v>
      </c>
      <c r="S1977" t="s">
        <v>72</v>
      </c>
      <c r="T1977" s="5">
        <f t="shared" si="621"/>
        <v>0</v>
      </c>
      <c r="U1977" s="5">
        <f t="shared" si="622"/>
        <v>0</v>
      </c>
      <c r="V1977" s="5">
        <f t="shared" si="623"/>
        <v>0</v>
      </c>
      <c r="W1977" s="5">
        <f t="shared" si="624"/>
        <v>0</v>
      </c>
      <c r="X1977" s="5">
        <f t="shared" si="625"/>
        <v>0</v>
      </c>
      <c r="Y1977" s="5">
        <f t="shared" si="626"/>
        <v>0</v>
      </c>
      <c r="Z1977" s="5">
        <f t="shared" si="627"/>
        <v>0</v>
      </c>
      <c r="AA1977" s="5">
        <f t="shared" si="628"/>
        <v>0</v>
      </c>
      <c r="AB1977" s="5">
        <f t="shared" si="608"/>
        <v>0</v>
      </c>
    </row>
    <row r="1978" spans="1:29" x14ac:dyDescent="0.25">
      <c r="D1978" t="s">
        <v>73</v>
      </c>
      <c r="E1978" s="64"/>
      <c r="F1978" s="64"/>
      <c r="G1978">
        <f>IFERROR(HLOOKUP(G$2,[61]table_female_hkom3_inj.V3!$A$1:$K$36,5,FALSE),0)</f>
        <v>0</v>
      </c>
      <c r="H1978">
        <f>IFERROR(HLOOKUP(H$2,[61]table_female_hkom3_inj.V3!$A$1:$K$36,5,FALSE),0)</f>
        <v>0</v>
      </c>
      <c r="I1978">
        <f>IFERROR(HLOOKUP(I$2,[61]table_female_hkom3_inj.V3!$A$1:$K$36,5,FALSE),0)</f>
        <v>0</v>
      </c>
      <c r="J1978">
        <f>IFERROR(HLOOKUP(J$2,[61]table_female_hkom3_inj.V3!$A$1:$K$36,5,FALSE),0)</f>
        <v>0</v>
      </c>
      <c r="K1978">
        <f>IFERROR(HLOOKUP(K$2,[61]table_female_hkom3_inj.V3!$A$1:$K$36,5,FALSE),0)</f>
        <v>0</v>
      </c>
      <c r="L1978">
        <f>IFERROR(HLOOKUP(L$2,[61]table_female_hkom3_inj.V3!$A$1:$K$36,5,FALSE),0)</f>
        <v>0</v>
      </c>
      <c r="M1978">
        <f t="shared" si="620"/>
        <v>0</v>
      </c>
      <c r="S1978" t="s">
        <v>73</v>
      </c>
      <c r="T1978" s="5">
        <f t="shared" si="621"/>
        <v>0</v>
      </c>
      <c r="U1978" s="5">
        <f t="shared" si="622"/>
        <v>0</v>
      </c>
      <c r="V1978" s="5">
        <f t="shared" si="623"/>
        <v>0</v>
      </c>
      <c r="W1978" s="5">
        <f t="shared" si="624"/>
        <v>0</v>
      </c>
      <c r="X1978" s="5">
        <f t="shared" si="625"/>
        <v>0</v>
      </c>
      <c r="Y1978" s="5">
        <f t="shared" si="626"/>
        <v>0</v>
      </c>
      <c r="Z1978" s="5">
        <f t="shared" si="627"/>
        <v>0</v>
      </c>
      <c r="AA1978" s="5">
        <f t="shared" si="628"/>
        <v>0</v>
      </c>
      <c r="AB1978" s="5">
        <f t="shared" si="608"/>
        <v>0</v>
      </c>
    </row>
    <row r="1979" spans="1:29" x14ac:dyDescent="0.25">
      <c r="D1979" t="s">
        <v>74</v>
      </c>
      <c r="E1979" s="64"/>
      <c r="F1979" s="64"/>
      <c r="G1979">
        <f>IFERROR(HLOOKUP(G$2,[61]table_female_hkom3_inj.V3!$A$1:$K$36,6,FALSE),0)</f>
        <v>0</v>
      </c>
      <c r="H1979">
        <f>IFERROR(HLOOKUP(H$2,[61]table_female_hkom3_inj.V3!$A$1:$K$36,6,FALSE),0)</f>
        <v>0</v>
      </c>
      <c r="I1979">
        <f>IFERROR(HLOOKUP(I$2,[61]table_female_hkom3_inj.V3!$A$1:$K$36,6,FALSE),0)</f>
        <v>0</v>
      </c>
      <c r="J1979">
        <f>IFERROR(HLOOKUP(J$2,[61]table_female_hkom3_inj.V3!$A$1:$K$36,6,FALSE),0)</f>
        <v>0</v>
      </c>
      <c r="K1979">
        <f>IFERROR(HLOOKUP(K$2,[61]table_female_hkom3_inj.V3!$A$1:$K$36,6,FALSE),0)</f>
        <v>0</v>
      </c>
      <c r="L1979">
        <f>IFERROR(HLOOKUP(L$2,[61]table_female_hkom3_inj.V3!$A$1:$K$36,6,FALSE),0)</f>
        <v>0</v>
      </c>
      <c r="M1979">
        <f t="shared" si="620"/>
        <v>0</v>
      </c>
      <c r="S1979" t="s">
        <v>74</v>
      </c>
      <c r="T1979" s="5">
        <f t="shared" si="621"/>
        <v>0</v>
      </c>
      <c r="U1979" s="5">
        <f t="shared" si="622"/>
        <v>0</v>
      </c>
      <c r="V1979" s="5">
        <f t="shared" si="623"/>
        <v>0</v>
      </c>
      <c r="W1979" s="5">
        <f t="shared" si="624"/>
        <v>0</v>
      </c>
      <c r="X1979" s="5">
        <f t="shared" si="625"/>
        <v>0</v>
      </c>
      <c r="Y1979" s="5">
        <f t="shared" si="626"/>
        <v>0</v>
      </c>
      <c r="Z1979" s="5">
        <f t="shared" si="627"/>
        <v>0</v>
      </c>
      <c r="AA1979" s="5">
        <f t="shared" si="628"/>
        <v>0</v>
      </c>
      <c r="AB1979" s="5">
        <f t="shared" si="608"/>
        <v>0</v>
      </c>
    </row>
    <row r="1980" spans="1:29" x14ac:dyDescent="0.25">
      <c r="D1980" t="s">
        <v>75</v>
      </c>
      <c r="E1980" s="64"/>
      <c r="F1980" s="64"/>
      <c r="G1980">
        <f>IFERROR(HLOOKUP(G$2,[61]table_female_hkom3_inj.V3!$A$1:$K$36,7,FALSE),0)</f>
        <v>0</v>
      </c>
      <c r="H1980">
        <f>IFERROR(HLOOKUP(H$2,[61]table_female_hkom3_inj.V3!$A$1:$K$36,7,FALSE),0)</f>
        <v>0</v>
      </c>
      <c r="I1980">
        <f>IFERROR(HLOOKUP(I$2,[61]table_female_hkom3_inj.V3!$A$1:$K$36,7,FALSE),0)</f>
        <v>0</v>
      </c>
      <c r="J1980">
        <f>IFERROR(HLOOKUP(J$2,[61]table_female_hkom3_inj.V3!$A$1:$K$36,7,FALSE),0)</f>
        <v>0</v>
      </c>
      <c r="K1980">
        <f>IFERROR(HLOOKUP(K$2,[61]table_female_hkom3_inj.V3!$A$1:$K$36,7,FALSE),0)</f>
        <v>0</v>
      </c>
      <c r="L1980">
        <f>IFERROR(HLOOKUP(L$2,[61]table_female_hkom3_inj.V3!$A$1:$K$36,7,FALSE),0)</f>
        <v>0</v>
      </c>
      <c r="M1980">
        <f t="shared" si="620"/>
        <v>0</v>
      </c>
      <c r="S1980" t="s">
        <v>75</v>
      </c>
      <c r="T1980" s="5">
        <f t="shared" si="621"/>
        <v>0</v>
      </c>
      <c r="U1980" s="5">
        <f t="shared" si="622"/>
        <v>0</v>
      </c>
      <c r="V1980" s="5">
        <f t="shared" si="623"/>
        <v>0</v>
      </c>
      <c r="W1980" s="5">
        <f t="shared" si="624"/>
        <v>0</v>
      </c>
      <c r="X1980" s="5">
        <f t="shared" si="625"/>
        <v>0</v>
      </c>
      <c r="Y1980" s="5">
        <f t="shared" si="626"/>
        <v>0</v>
      </c>
      <c r="Z1980" s="5">
        <f t="shared" si="627"/>
        <v>0</v>
      </c>
      <c r="AA1980" s="5">
        <f t="shared" si="628"/>
        <v>0</v>
      </c>
      <c r="AB1980" s="5">
        <f t="shared" si="608"/>
        <v>0</v>
      </c>
    </row>
    <row r="1981" spans="1:29" x14ac:dyDescent="0.25">
      <c r="D1981" t="s">
        <v>76</v>
      </c>
      <c r="E1981" s="64"/>
      <c r="F1981" s="64"/>
      <c r="G1981">
        <f>IFERROR(HLOOKUP(G$2,[61]table_female_hkom3_inj.V3!$A$1:$K$36,8,FALSE),0)</f>
        <v>0</v>
      </c>
      <c r="H1981">
        <f>IFERROR(HLOOKUP(H$2,[61]table_female_hkom3_inj.V3!$A$1:$K$36,8,FALSE),0)</f>
        <v>0</v>
      </c>
      <c r="I1981">
        <f>IFERROR(HLOOKUP(I$2,[61]table_female_hkom3_inj.V3!$A$1:$K$36,8,FALSE),0)</f>
        <v>0</v>
      </c>
      <c r="J1981">
        <f>IFERROR(HLOOKUP(J$2,[61]table_female_hkom3_inj.V3!$A$1:$K$36,8,FALSE),0)</f>
        <v>0</v>
      </c>
      <c r="K1981">
        <f>IFERROR(HLOOKUP(K$2,[61]table_female_hkom3_inj.V3!$A$1:$K$36,8,FALSE),0)</f>
        <v>0</v>
      </c>
      <c r="L1981">
        <f>IFERROR(HLOOKUP(L$2,[61]table_female_hkom3_inj.V3!$A$1:$K$36,8,FALSE),0)</f>
        <v>0</v>
      </c>
      <c r="M1981">
        <f t="shared" si="620"/>
        <v>0</v>
      </c>
      <c r="S1981" t="s">
        <v>76</v>
      </c>
      <c r="T1981" s="5">
        <f t="shared" si="621"/>
        <v>0</v>
      </c>
      <c r="U1981" s="5">
        <f t="shared" si="622"/>
        <v>0</v>
      </c>
      <c r="V1981" s="5">
        <f t="shared" si="623"/>
        <v>0</v>
      </c>
      <c r="W1981" s="5">
        <f t="shared" si="624"/>
        <v>0</v>
      </c>
      <c r="X1981" s="5">
        <f t="shared" si="625"/>
        <v>0</v>
      </c>
      <c r="Y1981" s="5">
        <f t="shared" si="626"/>
        <v>0</v>
      </c>
      <c r="Z1981" s="5">
        <f t="shared" si="627"/>
        <v>0</v>
      </c>
      <c r="AA1981" s="5">
        <f t="shared" si="628"/>
        <v>0</v>
      </c>
      <c r="AB1981" s="5">
        <f t="shared" si="608"/>
        <v>0</v>
      </c>
    </row>
    <row r="1982" spans="1:29" x14ac:dyDescent="0.25">
      <c r="D1982" t="s">
        <v>77</v>
      </c>
      <c r="E1982" s="64"/>
      <c r="F1982" s="64"/>
      <c r="G1982">
        <f>IFERROR(HLOOKUP(G$2,[61]table_female_hkom3_inj.V3!$A$1:$K$36,9,FALSE),0)</f>
        <v>0</v>
      </c>
      <c r="H1982">
        <f>IFERROR(HLOOKUP(H$2,[61]table_female_hkom3_inj.V3!$A$1:$K$36,9,FALSE),0)</f>
        <v>0</v>
      </c>
      <c r="I1982">
        <f>IFERROR(HLOOKUP(I$2,[61]table_female_hkom3_inj.V3!$A$1:$K$36,9,FALSE),0)</f>
        <v>0</v>
      </c>
      <c r="J1982">
        <f>IFERROR(HLOOKUP(J$2,[61]table_female_hkom3_inj.V3!$A$1:$K$36,9,FALSE),0)</f>
        <v>0</v>
      </c>
      <c r="K1982">
        <f>IFERROR(HLOOKUP(K$2,[61]table_female_hkom3_inj.V3!$A$1:$K$36,9,FALSE),0)</f>
        <v>0</v>
      </c>
      <c r="L1982">
        <f>IFERROR(HLOOKUP(L$2,[61]table_female_hkom3_inj.V3!$A$1:$K$36,9,FALSE),0)</f>
        <v>0</v>
      </c>
      <c r="M1982">
        <f t="shared" si="620"/>
        <v>0</v>
      </c>
      <c r="S1982" t="s">
        <v>77</v>
      </c>
      <c r="T1982" s="5">
        <f t="shared" si="621"/>
        <v>0</v>
      </c>
      <c r="U1982" s="5">
        <f t="shared" si="622"/>
        <v>0</v>
      </c>
      <c r="V1982" s="5">
        <f t="shared" si="623"/>
        <v>0</v>
      </c>
      <c r="W1982" s="5">
        <f t="shared" si="624"/>
        <v>0</v>
      </c>
      <c r="X1982" s="5">
        <f t="shared" si="625"/>
        <v>0</v>
      </c>
      <c r="Y1982" s="5">
        <f t="shared" si="626"/>
        <v>0</v>
      </c>
      <c r="Z1982" s="5">
        <f t="shared" si="627"/>
        <v>0</v>
      </c>
      <c r="AA1982" s="5">
        <f t="shared" si="628"/>
        <v>0</v>
      </c>
      <c r="AB1982" s="5">
        <f t="shared" si="608"/>
        <v>0</v>
      </c>
    </row>
    <row r="1983" spans="1:29" x14ac:dyDescent="0.25">
      <c r="D1983" t="s">
        <v>78</v>
      </c>
      <c r="E1983" s="64"/>
      <c r="F1983" s="64"/>
      <c r="G1983">
        <f>IFERROR(HLOOKUP(G$2,[61]table_female_hkom3_inj.V3!$A$1:$K$36,10,FALSE),0)</f>
        <v>0</v>
      </c>
      <c r="H1983">
        <f>IFERROR(HLOOKUP(H$2,[61]table_female_hkom3_inj.V3!$A$1:$K$36,10,FALSE),0)</f>
        <v>0</v>
      </c>
      <c r="I1983">
        <f>IFERROR(HLOOKUP(I$2,[61]table_female_hkom3_inj.V3!$A$1:$K$36,10,FALSE),0)</f>
        <v>0</v>
      </c>
      <c r="J1983">
        <f>IFERROR(HLOOKUP(J$2,[61]table_female_hkom3_inj.V3!$A$1:$K$36,10,FALSE),0)</f>
        <v>0</v>
      </c>
      <c r="K1983">
        <f>IFERROR(HLOOKUP(K$2,[61]table_female_hkom3_inj.V3!$A$1:$K$36,10,FALSE),0)</f>
        <v>0</v>
      </c>
      <c r="L1983">
        <f>IFERROR(HLOOKUP(L$2,[61]table_female_hkom3_inj.V3!$A$1:$K$36,10,FALSE),0)</f>
        <v>0</v>
      </c>
      <c r="M1983">
        <f t="shared" si="620"/>
        <v>0</v>
      </c>
      <c r="S1983" t="s">
        <v>78</v>
      </c>
      <c r="T1983" s="5">
        <f t="shared" si="621"/>
        <v>0</v>
      </c>
      <c r="U1983" s="5">
        <f t="shared" si="622"/>
        <v>0</v>
      </c>
      <c r="V1983" s="5">
        <f t="shared" si="623"/>
        <v>0</v>
      </c>
      <c r="W1983" s="5">
        <f t="shared" si="624"/>
        <v>0</v>
      </c>
      <c r="X1983" s="5">
        <f t="shared" si="625"/>
        <v>0</v>
      </c>
      <c r="Y1983" s="5">
        <f t="shared" si="626"/>
        <v>0</v>
      </c>
      <c r="Z1983" s="5">
        <f t="shared" si="627"/>
        <v>0</v>
      </c>
      <c r="AA1983" s="5">
        <f t="shared" si="628"/>
        <v>0</v>
      </c>
      <c r="AB1983" s="5">
        <f t="shared" si="608"/>
        <v>0</v>
      </c>
    </row>
    <row r="1984" spans="1:29" x14ac:dyDescent="0.25">
      <c r="D1984" t="s">
        <v>79</v>
      </c>
      <c r="E1984" s="64"/>
      <c r="F1984" s="64"/>
      <c r="G1984">
        <f>IFERROR(HLOOKUP(G$2,[61]table_female_hkom3_inj.V3!$A$1:$K$36,11,FALSE),0)</f>
        <v>0</v>
      </c>
      <c r="H1984">
        <f>IFERROR(HLOOKUP(H$2,[61]table_female_hkom3_inj.V3!$A$1:$K$36,11,FALSE),0)</f>
        <v>0</v>
      </c>
      <c r="I1984">
        <f>IFERROR(HLOOKUP(I$2,[61]table_female_hkom3_inj.V3!$A$1:$K$36,11,FALSE),0)</f>
        <v>0</v>
      </c>
      <c r="J1984">
        <f>IFERROR(HLOOKUP(J$2,[61]table_female_hkom3_inj.V3!$A$1:$K$36,11,FALSE),0)</f>
        <v>0</v>
      </c>
      <c r="K1984">
        <f>IFERROR(HLOOKUP(K$2,[61]table_female_hkom3_inj.V3!$A$1:$K$36,11,FALSE),0)</f>
        <v>0</v>
      </c>
      <c r="L1984">
        <f>IFERROR(HLOOKUP(L$2,[61]table_female_hkom3_inj.V3!$A$1:$K$36,11,FALSE),0)</f>
        <v>0</v>
      </c>
      <c r="M1984">
        <f t="shared" si="620"/>
        <v>0</v>
      </c>
      <c r="S1984" t="s">
        <v>79</v>
      </c>
      <c r="T1984" s="5">
        <f t="shared" si="621"/>
        <v>0</v>
      </c>
      <c r="U1984" s="5">
        <f t="shared" si="622"/>
        <v>0</v>
      </c>
      <c r="V1984" s="5">
        <f t="shared" si="623"/>
        <v>0</v>
      </c>
      <c r="W1984" s="5">
        <f t="shared" si="624"/>
        <v>0</v>
      </c>
      <c r="X1984" s="5">
        <f t="shared" si="625"/>
        <v>0</v>
      </c>
      <c r="Y1984" s="5">
        <f t="shared" si="626"/>
        <v>0</v>
      </c>
      <c r="Z1984" s="5">
        <f t="shared" si="627"/>
        <v>0</v>
      </c>
      <c r="AA1984" s="5">
        <f t="shared" si="628"/>
        <v>0</v>
      </c>
      <c r="AB1984" s="5">
        <f t="shared" si="608"/>
        <v>0</v>
      </c>
    </row>
    <row r="1985" spans="4:28" x14ac:dyDescent="0.25">
      <c r="D1985" t="s">
        <v>80</v>
      </c>
      <c r="E1985" s="64"/>
      <c r="F1985" s="64"/>
      <c r="G1985">
        <f>IFERROR(HLOOKUP(G$2,[61]table_female_hkom3_inj.V3!$A$1:$K$36,12,FALSE),0)</f>
        <v>0</v>
      </c>
      <c r="H1985">
        <f>IFERROR(HLOOKUP(H$2,[61]table_female_hkom3_inj.V3!$A$1:$K$36,12,FALSE),0)</f>
        <v>0</v>
      </c>
      <c r="I1985">
        <f>IFERROR(HLOOKUP(I$2,[61]table_female_hkom3_inj.V3!$A$1:$K$36,12,FALSE),0)</f>
        <v>0</v>
      </c>
      <c r="J1985">
        <f>IFERROR(HLOOKUP(J$2,[61]table_female_hkom3_inj.V3!$A$1:$K$36,12,FALSE),0)</f>
        <v>0</v>
      </c>
      <c r="K1985">
        <f>IFERROR(HLOOKUP(K$2,[61]table_female_hkom3_inj.V3!$A$1:$K$36,12,FALSE),0)</f>
        <v>0</v>
      </c>
      <c r="L1985">
        <f>IFERROR(HLOOKUP(L$2,[61]table_female_hkom3_inj.V3!$A$1:$K$36,12,FALSE),0)</f>
        <v>0</v>
      </c>
      <c r="M1985">
        <f t="shared" si="620"/>
        <v>0</v>
      </c>
      <c r="S1985" t="s">
        <v>80</v>
      </c>
      <c r="T1985" s="5">
        <f t="shared" si="621"/>
        <v>0</v>
      </c>
      <c r="U1985" s="5">
        <f t="shared" si="622"/>
        <v>0</v>
      </c>
      <c r="V1985" s="5">
        <f t="shared" si="623"/>
        <v>0</v>
      </c>
      <c r="W1985" s="5">
        <f t="shared" si="624"/>
        <v>0</v>
      </c>
      <c r="X1985" s="5">
        <f t="shared" si="625"/>
        <v>0</v>
      </c>
      <c r="Y1985" s="5">
        <f t="shared" si="626"/>
        <v>0</v>
      </c>
      <c r="Z1985" s="5">
        <f t="shared" si="627"/>
        <v>0</v>
      </c>
      <c r="AA1985" s="5">
        <f t="shared" si="628"/>
        <v>0</v>
      </c>
      <c r="AB1985" s="5">
        <f t="shared" si="608"/>
        <v>0</v>
      </c>
    </row>
    <row r="1986" spans="4:28" x14ac:dyDescent="0.25">
      <c r="D1986" t="s">
        <v>81</v>
      </c>
      <c r="E1986" s="64"/>
      <c r="F1986" s="64"/>
      <c r="G1986">
        <f>IFERROR(HLOOKUP(G$2,[61]table_female_hkom3_inj.V3!$A$1:$K$36,13,FALSE),0)</f>
        <v>0</v>
      </c>
      <c r="H1986">
        <f>IFERROR(HLOOKUP(H$2,[61]table_female_hkom3_inj.V3!$A$1:$K$36,13,FALSE),0)</f>
        <v>0</v>
      </c>
      <c r="I1986">
        <f>IFERROR(HLOOKUP(I$2,[61]table_female_hkom3_inj.V3!$A$1:$K$36,13,FALSE),0)</f>
        <v>0</v>
      </c>
      <c r="J1986">
        <f>IFERROR(HLOOKUP(J$2,[61]table_female_hkom3_inj.V3!$A$1:$K$36,13,FALSE),0)</f>
        <v>0</v>
      </c>
      <c r="K1986">
        <f>IFERROR(HLOOKUP(K$2,[61]table_female_hkom3_inj.V3!$A$1:$K$36,13,FALSE),0)</f>
        <v>0</v>
      </c>
      <c r="L1986">
        <f>IFERROR(HLOOKUP(L$2,[61]table_female_hkom3_inj.V3!$A$1:$K$36,13,FALSE),0)</f>
        <v>0</v>
      </c>
      <c r="M1986">
        <f t="shared" si="620"/>
        <v>0</v>
      </c>
      <c r="S1986" t="s">
        <v>81</v>
      </c>
      <c r="T1986" s="5">
        <f t="shared" si="621"/>
        <v>0</v>
      </c>
      <c r="U1986" s="5">
        <f t="shared" si="622"/>
        <v>0</v>
      </c>
      <c r="V1986" s="5">
        <f t="shared" si="623"/>
        <v>0</v>
      </c>
      <c r="W1986" s="5">
        <f t="shared" si="624"/>
        <v>0</v>
      </c>
      <c r="X1986" s="5">
        <f t="shared" si="625"/>
        <v>0</v>
      </c>
      <c r="Y1986" s="5">
        <f t="shared" si="626"/>
        <v>0</v>
      </c>
      <c r="Z1986" s="5">
        <f t="shared" si="627"/>
        <v>0</v>
      </c>
      <c r="AA1986" s="5">
        <f t="shared" si="628"/>
        <v>0</v>
      </c>
      <c r="AB1986" s="5">
        <f t="shared" si="608"/>
        <v>0</v>
      </c>
    </row>
    <row r="1987" spans="4:28" x14ac:dyDescent="0.25">
      <c r="D1987" t="s">
        <v>82</v>
      </c>
      <c r="E1987" s="64"/>
      <c r="F1987" s="64"/>
      <c r="G1987">
        <f>IFERROR(HLOOKUP(G$2,[61]table_female_hkom3_inj.V3!$A$1:$K$36,14,FALSE),0)</f>
        <v>0</v>
      </c>
      <c r="H1987">
        <f>IFERROR(HLOOKUP(H$2,[61]table_female_hkom3_inj.V3!$A$1:$K$36,14,FALSE),0)</f>
        <v>0</v>
      </c>
      <c r="I1987">
        <f>IFERROR(HLOOKUP(I$2,[61]table_female_hkom3_inj.V3!$A$1:$K$36,14,FALSE),0)</f>
        <v>0</v>
      </c>
      <c r="J1987">
        <f>IFERROR(HLOOKUP(J$2,[61]table_female_hkom3_inj.V3!$A$1:$K$36,14,FALSE),0)</f>
        <v>0</v>
      </c>
      <c r="K1987">
        <f>IFERROR(HLOOKUP(K$2,[61]table_female_hkom3_inj.V3!$A$1:$K$36,14,FALSE),0)</f>
        <v>0</v>
      </c>
      <c r="L1987">
        <f>IFERROR(HLOOKUP(L$2,[61]table_female_hkom3_inj.V3!$A$1:$K$36,14,FALSE),0)</f>
        <v>0</v>
      </c>
      <c r="M1987">
        <f t="shared" si="620"/>
        <v>0</v>
      </c>
      <c r="S1987" t="s">
        <v>82</v>
      </c>
      <c r="T1987" s="5">
        <f t="shared" si="621"/>
        <v>0</v>
      </c>
      <c r="U1987" s="5">
        <f t="shared" si="622"/>
        <v>0</v>
      </c>
      <c r="V1987" s="5">
        <f t="shared" si="623"/>
        <v>0</v>
      </c>
      <c r="W1987" s="5">
        <f t="shared" si="624"/>
        <v>0</v>
      </c>
      <c r="X1987" s="5">
        <f t="shared" si="625"/>
        <v>0</v>
      </c>
      <c r="Y1987" s="5">
        <f t="shared" si="626"/>
        <v>0</v>
      </c>
      <c r="Z1987" s="5">
        <f t="shared" si="627"/>
        <v>0</v>
      </c>
      <c r="AA1987" s="5">
        <f t="shared" si="628"/>
        <v>0</v>
      </c>
      <c r="AB1987" s="5">
        <f t="shared" si="608"/>
        <v>0</v>
      </c>
    </row>
    <row r="1988" spans="4:28" x14ac:dyDescent="0.25">
      <c r="D1988" t="s">
        <v>83</v>
      </c>
      <c r="E1988" s="64"/>
      <c r="F1988" s="64"/>
      <c r="G1988">
        <f>IFERROR(HLOOKUP(G$2,[61]table_female_hkom3_inj.V3!$A$1:$K$36,15,FALSE),0)</f>
        <v>0</v>
      </c>
      <c r="H1988">
        <f>IFERROR(HLOOKUP(H$2,[61]table_female_hkom3_inj.V3!$A$1:$K$36,15,FALSE),0)</f>
        <v>0</v>
      </c>
      <c r="I1988">
        <f>IFERROR(HLOOKUP(I$2,[61]table_female_hkom3_inj.V3!$A$1:$K$36,15,FALSE),0)</f>
        <v>0</v>
      </c>
      <c r="J1988">
        <f>IFERROR(HLOOKUP(J$2,[61]table_female_hkom3_inj.V3!$A$1:$K$36,15,FALSE),0)</f>
        <v>0</v>
      </c>
      <c r="K1988">
        <f>IFERROR(HLOOKUP(K$2,[61]table_female_hkom3_inj.V3!$A$1:$K$36,15,FALSE),0)</f>
        <v>0</v>
      </c>
      <c r="L1988">
        <f>IFERROR(HLOOKUP(L$2,[61]table_female_hkom3_inj.V3!$A$1:$K$36,15,FALSE),0)</f>
        <v>0</v>
      </c>
      <c r="M1988">
        <f t="shared" si="620"/>
        <v>0</v>
      </c>
      <c r="S1988" t="s">
        <v>83</v>
      </c>
      <c r="T1988" s="5">
        <f t="shared" si="621"/>
        <v>0</v>
      </c>
      <c r="U1988" s="5">
        <f t="shared" si="622"/>
        <v>0</v>
      </c>
      <c r="V1988" s="5">
        <f t="shared" si="623"/>
        <v>0</v>
      </c>
      <c r="W1988" s="5">
        <f t="shared" si="624"/>
        <v>0</v>
      </c>
      <c r="X1988" s="5">
        <f t="shared" si="625"/>
        <v>0</v>
      </c>
      <c r="Y1988" s="5">
        <f t="shared" si="626"/>
        <v>0</v>
      </c>
      <c r="Z1988" s="5">
        <f t="shared" si="627"/>
        <v>0</v>
      </c>
      <c r="AA1988" s="5">
        <f t="shared" si="628"/>
        <v>0</v>
      </c>
      <c r="AB1988" s="5">
        <f t="shared" si="608"/>
        <v>0</v>
      </c>
    </row>
    <row r="1989" spans="4:28" x14ac:dyDescent="0.25">
      <c r="D1989" t="s">
        <v>84</v>
      </c>
      <c r="E1989" s="64"/>
      <c r="F1989" s="64"/>
      <c r="G1989">
        <f>IFERROR(HLOOKUP(G$2,[61]table_female_hkom3_inj.V3!$A$1:$K$36,16,FALSE),0)</f>
        <v>0</v>
      </c>
      <c r="H1989">
        <f>IFERROR(HLOOKUP(H$2,[61]table_female_hkom3_inj.V3!$A$1:$K$36,16,FALSE),0)</f>
        <v>0</v>
      </c>
      <c r="I1989">
        <f>IFERROR(HLOOKUP(I$2,[61]table_female_hkom3_inj.V3!$A$1:$K$36,16,FALSE),0)</f>
        <v>0</v>
      </c>
      <c r="J1989">
        <f>IFERROR(HLOOKUP(J$2,[61]table_female_hkom3_inj.V3!$A$1:$K$36,16,FALSE),0)</f>
        <v>0</v>
      </c>
      <c r="K1989">
        <f>IFERROR(HLOOKUP(K$2,[61]table_female_hkom3_inj.V3!$A$1:$K$36,16,FALSE),0)</f>
        <v>0</v>
      </c>
      <c r="L1989">
        <f>IFERROR(HLOOKUP(L$2,[61]table_female_hkom3_inj.V3!$A$1:$K$36,16,FALSE),0)</f>
        <v>0</v>
      </c>
      <c r="M1989">
        <f t="shared" si="620"/>
        <v>0</v>
      </c>
      <c r="S1989" t="s">
        <v>84</v>
      </c>
      <c r="T1989" s="5">
        <f t="shared" si="621"/>
        <v>0</v>
      </c>
      <c r="U1989" s="5">
        <f t="shared" si="622"/>
        <v>0</v>
      </c>
      <c r="V1989" s="5">
        <f t="shared" si="623"/>
        <v>0</v>
      </c>
      <c r="W1989" s="5">
        <f t="shared" si="624"/>
        <v>0</v>
      </c>
      <c r="X1989" s="5">
        <f t="shared" si="625"/>
        <v>0</v>
      </c>
      <c r="Y1989" s="5">
        <f t="shared" si="626"/>
        <v>0</v>
      </c>
      <c r="Z1989" s="5">
        <f t="shared" si="627"/>
        <v>0</v>
      </c>
      <c r="AA1989" s="5">
        <f t="shared" si="628"/>
        <v>0</v>
      </c>
      <c r="AB1989" s="5">
        <f t="shared" si="608"/>
        <v>0</v>
      </c>
    </row>
    <row r="1990" spans="4:28" x14ac:dyDescent="0.25">
      <c r="D1990" t="s">
        <v>85</v>
      </c>
      <c r="E1990" s="64"/>
      <c r="F1990" s="64"/>
      <c r="G1990">
        <f>IFERROR(HLOOKUP(G$2,[61]table_female_hkom3_inj.V3!$A$1:$K$36,17,FALSE),0)</f>
        <v>0</v>
      </c>
      <c r="H1990">
        <f>IFERROR(HLOOKUP(H$2,[61]table_female_hkom3_inj.V3!$A$1:$K$36,17,FALSE),0)</f>
        <v>0</v>
      </c>
      <c r="I1990">
        <f>IFERROR(HLOOKUP(I$2,[61]table_female_hkom3_inj.V3!$A$1:$K$36,17,FALSE),0)</f>
        <v>0</v>
      </c>
      <c r="J1990">
        <f>IFERROR(HLOOKUP(J$2,[61]table_female_hkom3_inj.V3!$A$1:$K$36,17,FALSE),0)</f>
        <v>0</v>
      </c>
      <c r="K1990">
        <f>IFERROR(HLOOKUP(K$2,[61]table_female_hkom3_inj.V3!$A$1:$K$36,17,FALSE),0)</f>
        <v>0</v>
      </c>
      <c r="L1990">
        <f>IFERROR(HLOOKUP(L$2,[61]table_female_hkom3_inj.V3!$A$1:$K$36,17,FALSE),0)</f>
        <v>0</v>
      </c>
      <c r="M1990">
        <f t="shared" si="620"/>
        <v>0</v>
      </c>
      <c r="S1990" t="s">
        <v>85</v>
      </c>
      <c r="T1990" s="5">
        <f t="shared" si="621"/>
        <v>0</v>
      </c>
      <c r="U1990" s="5">
        <f t="shared" si="622"/>
        <v>0</v>
      </c>
      <c r="V1990" s="5">
        <f t="shared" si="623"/>
        <v>0</v>
      </c>
      <c r="W1990" s="5">
        <f t="shared" si="624"/>
        <v>0</v>
      </c>
      <c r="X1990" s="5">
        <f t="shared" si="625"/>
        <v>0</v>
      </c>
      <c r="Y1990" s="5">
        <f t="shared" si="626"/>
        <v>0</v>
      </c>
      <c r="Z1990" s="5">
        <f t="shared" si="627"/>
        <v>0</v>
      </c>
      <c r="AA1990" s="5">
        <f t="shared" si="628"/>
        <v>0</v>
      </c>
      <c r="AB1990" s="5">
        <f t="shared" si="608"/>
        <v>0</v>
      </c>
    </row>
    <row r="1991" spans="4:28" x14ac:dyDescent="0.25">
      <c r="D1991" t="s">
        <v>86</v>
      </c>
      <c r="E1991" s="64"/>
      <c r="F1991" s="64"/>
      <c r="G1991">
        <f>IFERROR(HLOOKUP(G$2,[61]table_female_hkom3_inj.V3!$A$1:$K$36,18,FALSE),0)</f>
        <v>0</v>
      </c>
      <c r="H1991">
        <f>IFERROR(HLOOKUP(H$2,[61]table_female_hkom3_inj.V3!$A$1:$K$36,18,FALSE),0)</f>
        <v>0</v>
      </c>
      <c r="I1991">
        <f>IFERROR(HLOOKUP(I$2,[61]table_female_hkom3_inj.V3!$A$1:$K$36,18,FALSE),0)</f>
        <v>0</v>
      </c>
      <c r="J1991">
        <f>IFERROR(HLOOKUP(J$2,[61]table_female_hkom3_inj.V3!$A$1:$K$36,18,FALSE),0)</f>
        <v>0</v>
      </c>
      <c r="K1991">
        <f>IFERROR(HLOOKUP(K$2,[61]table_female_hkom3_inj.V3!$A$1:$K$36,18,FALSE),0)</f>
        <v>0</v>
      </c>
      <c r="L1991">
        <f>IFERROR(HLOOKUP(L$2,[61]table_female_hkom3_inj.V3!$A$1:$K$36,18,FALSE),0)</f>
        <v>0</v>
      </c>
      <c r="M1991">
        <f t="shared" si="620"/>
        <v>0</v>
      </c>
      <c r="S1991" t="s">
        <v>86</v>
      </c>
      <c r="T1991" s="5">
        <f t="shared" si="621"/>
        <v>0</v>
      </c>
      <c r="U1991" s="5">
        <f t="shared" si="622"/>
        <v>0</v>
      </c>
      <c r="V1991" s="5">
        <f t="shared" si="623"/>
        <v>0</v>
      </c>
      <c r="W1991" s="5">
        <f t="shared" si="624"/>
        <v>0</v>
      </c>
      <c r="X1991" s="5">
        <f t="shared" si="625"/>
        <v>0</v>
      </c>
      <c r="Y1991" s="5">
        <f t="shared" si="626"/>
        <v>0</v>
      </c>
      <c r="Z1991" s="5">
        <f t="shared" si="627"/>
        <v>0</v>
      </c>
      <c r="AA1991" s="5">
        <f t="shared" si="628"/>
        <v>0</v>
      </c>
      <c r="AB1991" s="5">
        <f t="shared" si="608"/>
        <v>0</v>
      </c>
    </row>
    <row r="1992" spans="4:28" x14ac:dyDescent="0.25">
      <c r="D1992" t="s">
        <v>87</v>
      </c>
      <c r="E1992" s="64"/>
      <c r="F1992" s="64"/>
      <c r="G1992">
        <f>IFERROR(HLOOKUP(G$2,[61]table_female_hkom3_inj.V3!$A$1:$K$36,19,FALSE),0)</f>
        <v>0</v>
      </c>
      <c r="H1992">
        <f>IFERROR(HLOOKUP(H$2,[61]table_female_hkom3_inj.V3!$A$1:$K$36,19,FALSE),0)</f>
        <v>0</v>
      </c>
      <c r="I1992">
        <f>IFERROR(HLOOKUP(I$2,[61]table_female_hkom3_inj.V3!$A$1:$K$36,19,FALSE),0)</f>
        <v>0</v>
      </c>
      <c r="J1992">
        <f>IFERROR(HLOOKUP(J$2,[61]table_female_hkom3_inj.V3!$A$1:$K$36,19,FALSE),0)</f>
        <v>0</v>
      </c>
      <c r="K1992">
        <f>IFERROR(HLOOKUP(K$2,[61]table_female_hkom3_inj.V3!$A$1:$K$36,19,FALSE),0)</f>
        <v>0</v>
      </c>
      <c r="L1992">
        <f>IFERROR(HLOOKUP(L$2,[61]table_female_hkom3_inj.V3!$A$1:$K$36,19,FALSE),0)</f>
        <v>0</v>
      </c>
      <c r="M1992">
        <f t="shared" si="620"/>
        <v>0</v>
      </c>
      <c r="S1992" t="s">
        <v>87</v>
      </c>
      <c r="T1992" s="5">
        <f t="shared" si="621"/>
        <v>0</v>
      </c>
      <c r="U1992" s="5">
        <f t="shared" si="622"/>
        <v>0</v>
      </c>
      <c r="V1992" s="5">
        <f t="shared" si="623"/>
        <v>0</v>
      </c>
      <c r="W1992" s="5">
        <f t="shared" si="624"/>
        <v>0</v>
      </c>
      <c r="X1992" s="5">
        <f t="shared" si="625"/>
        <v>0</v>
      </c>
      <c r="Y1992" s="5">
        <f t="shared" si="626"/>
        <v>0</v>
      </c>
      <c r="Z1992" s="5">
        <f t="shared" si="627"/>
        <v>0</v>
      </c>
      <c r="AA1992" s="5">
        <f t="shared" si="628"/>
        <v>0</v>
      </c>
      <c r="AB1992" s="5">
        <f t="shared" si="608"/>
        <v>0</v>
      </c>
    </row>
    <row r="1993" spans="4:28" x14ac:dyDescent="0.25">
      <c r="D1993" t="s">
        <v>88</v>
      </c>
      <c r="E1993" s="64"/>
      <c r="F1993" s="64"/>
      <c r="G1993">
        <f>IFERROR(HLOOKUP(G$2,[61]table_female_hkom3_inj.V3!$A$1:$K$36,20,FALSE),0)</f>
        <v>0</v>
      </c>
      <c r="H1993">
        <f>IFERROR(HLOOKUP(H$2,[61]table_female_hkom3_inj.V3!$A$1:$K$36,20,FALSE),0)</f>
        <v>0</v>
      </c>
      <c r="I1993">
        <f>IFERROR(HLOOKUP(I$2,[61]table_female_hkom3_inj.V3!$A$1:$K$36,20,FALSE),0)</f>
        <v>0</v>
      </c>
      <c r="J1993">
        <f>IFERROR(HLOOKUP(J$2,[61]table_female_hkom3_inj.V3!$A$1:$K$36,20,FALSE),0)</f>
        <v>0</v>
      </c>
      <c r="K1993">
        <f>IFERROR(HLOOKUP(K$2,[61]table_female_hkom3_inj.V3!$A$1:$K$36,20,FALSE),0)</f>
        <v>0</v>
      </c>
      <c r="L1993">
        <f>IFERROR(HLOOKUP(L$2,[61]table_female_hkom3_inj.V3!$A$1:$K$36,20,FALSE),0)</f>
        <v>0</v>
      </c>
      <c r="M1993">
        <f t="shared" si="620"/>
        <v>0</v>
      </c>
      <c r="S1993" t="s">
        <v>88</v>
      </c>
      <c r="T1993" s="5">
        <f t="shared" si="621"/>
        <v>0</v>
      </c>
      <c r="U1993" s="5">
        <f t="shared" si="622"/>
        <v>0</v>
      </c>
      <c r="V1993" s="5">
        <f t="shared" si="623"/>
        <v>0</v>
      </c>
      <c r="W1993" s="5">
        <f t="shared" si="624"/>
        <v>0</v>
      </c>
      <c r="X1993" s="5">
        <f t="shared" si="625"/>
        <v>0</v>
      </c>
      <c r="Y1993" s="5">
        <f t="shared" si="626"/>
        <v>0</v>
      </c>
      <c r="Z1993" s="5">
        <f t="shared" si="627"/>
        <v>0</v>
      </c>
      <c r="AA1993" s="5">
        <f t="shared" si="628"/>
        <v>0</v>
      </c>
      <c r="AB1993" s="5">
        <f t="shared" si="608"/>
        <v>0</v>
      </c>
    </row>
    <row r="1994" spans="4:28" x14ac:dyDescent="0.25">
      <c r="D1994" t="s">
        <v>89</v>
      </c>
      <c r="E1994" s="64"/>
      <c r="F1994" s="64"/>
      <c r="G1994">
        <f>IFERROR(HLOOKUP(G$2,[61]table_female_hkom3_inj.V3!$A$1:$K$36,21,FALSE),0)</f>
        <v>0</v>
      </c>
      <c r="H1994">
        <f>IFERROR(HLOOKUP(H$2,[61]table_female_hkom3_inj.V3!$A$1:$K$36,21,FALSE),0)</f>
        <v>0</v>
      </c>
      <c r="I1994">
        <f>IFERROR(HLOOKUP(I$2,[61]table_female_hkom3_inj.V3!$A$1:$K$36,21,FALSE),0)</f>
        <v>0</v>
      </c>
      <c r="J1994">
        <f>IFERROR(HLOOKUP(J$2,[61]table_female_hkom3_inj.V3!$A$1:$K$36,21,FALSE),0)</f>
        <v>0</v>
      </c>
      <c r="K1994">
        <f>IFERROR(HLOOKUP(K$2,[61]table_female_hkom3_inj.V3!$A$1:$K$36,21,FALSE),0)</f>
        <v>0</v>
      </c>
      <c r="L1994">
        <f>IFERROR(HLOOKUP(L$2,[61]table_female_hkom3_inj.V3!$A$1:$K$36,21,FALSE),0)</f>
        <v>0</v>
      </c>
      <c r="M1994">
        <f t="shared" si="620"/>
        <v>0</v>
      </c>
      <c r="S1994" t="s">
        <v>89</v>
      </c>
      <c r="T1994" s="5">
        <f t="shared" si="621"/>
        <v>0</v>
      </c>
      <c r="U1994" s="5">
        <f t="shared" si="622"/>
        <v>0</v>
      </c>
      <c r="V1994" s="5">
        <f t="shared" si="623"/>
        <v>0</v>
      </c>
      <c r="W1994" s="5">
        <f t="shared" si="624"/>
        <v>0</v>
      </c>
      <c r="X1994" s="5">
        <f t="shared" si="625"/>
        <v>0</v>
      </c>
      <c r="Y1994" s="5">
        <f t="shared" si="626"/>
        <v>0</v>
      </c>
      <c r="Z1994" s="5">
        <f t="shared" si="627"/>
        <v>0</v>
      </c>
      <c r="AA1994" s="5">
        <f t="shared" si="628"/>
        <v>0</v>
      </c>
      <c r="AB1994" s="5">
        <f t="shared" si="608"/>
        <v>0</v>
      </c>
    </row>
    <row r="1995" spans="4:28" x14ac:dyDescent="0.25">
      <c r="D1995" t="s">
        <v>90</v>
      </c>
      <c r="E1995" s="64"/>
      <c r="F1995" s="64"/>
      <c r="G1995">
        <f>IFERROR(HLOOKUP(G$2,[61]table_female_hkom3_inj.V3!$A$1:$K$36,22,FALSE),0)</f>
        <v>0</v>
      </c>
      <c r="H1995">
        <f>IFERROR(HLOOKUP(H$2,[61]table_female_hkom3_inj.V3!$A$1:$K$36,22,FALSE),0)</f>
        <v>0</v>
      </c>
      <c r="I1995">
        <f>IFERROR(HLOOKUP(I$2,[61]table_female_hkom3_inj.V3!$A$1:$K$36,22,FALSE),0)</f>
        <v>0</v>
      </c>
      <c r="J1995">
        <f>IFERROR(HLOOKUP(J$2,[61]table_female_hkom3_inj.V3!$A$1:$K$36,22,FALSE),0)</f>
        <v>0</v>
      </c>
      <c r="K1995">
        <f>IFERROR(HLOOKUP(K$2,[61]table_female_hkom3_inj.V3!$A$1:$K$36,22,FALSE),0)</f>
        <v>0</v>
      </c>
      <c r="L1995">
        <f>IFERROR(HLOOKUP(L$2,[61]table_female_hkom3_inj.V3!$A$1:$K$36,22,FALSE),0)</f>
        <v>0</v>
      </c>
      <c r="M1995">
        <f t="shared" si="620"/>
        <v>0</v>
      </c>
      <c r="S1995" t="s">
        <v>90</v>
      </c>
      <c r="T1995" s="5">
        <f t="shared" si="621"/>
        <v>0</v>
      </c>
      <c r="U1995" s="5">
        <f t="shared" si="622"/>
        <v>0</v>
      </c>
      <c r="V1995" s="5">
        <f t="shared" si="623"/>
        <v>0</v>
      </c>
      <c r="W1995" s="5">
        <f t="shared" si="624"/>
        <v>0</v>
      </c>
      <c r="X1995" s="5">
        <f t="shared" si="625"/>
        <v>0</v>
      </c>
      <c r="Y1995" s="5">
        <f t="shared" si="626"/>
        <v>0</v>
      </c>
      <c r="Z1995" s="5">
        <f t="shared" si="627"/>
        <v>0</v>
      </c>
      <c r="AA1995" s="5">
        <f t="shared" si="628"/>
        <v>0</v>
      </c>
      <c r="AB1995" s="5">
        <f t="shared" si="608"/>
        <v>0</v>
      </c>
    </row>
    <row r="1996" spans="4:28" x14ac:dyDescent="0.25">
      <c r="D1996" t="s">
        <v>91</v>
      </c>
      <c r="E1996" s="64"/>
      <c r="F1996" s="64"/>
      <c r="G1996">
        <f>IFERROR(HLOOKUP(G$2,[61]table_female_hkom3_inj.V3!$A$1:$K$36,23,FALSE),0)</f>
        <v>0</v>
      </c>
      <c r="H1996">
        <f>IFERROR(HLOOKUP(H$2,[61]table_female_hkom3_inj.V3!$A$1:$K$36,23,FALSE),0)</f>
        <v>0</v>
      </c>
      <c r="I1996">
        <f>IFERROR(HLOOKUP(I$2,[61]table_female_hkom3_inj.V3!$A$1:$K$36,23,FALSE),0)</f>
        <v>0</v>
      </c>
      <c r="J1996">
        <f>IFERROR(HLOOKUP(J$2,[61]table_female_hkom3_inj.V3!$A$1:$K$36,23,FALSE),0)</f>
        <v>0</v>
      </c>
      <c r="K1996">
        <f>IFERROR(HLOOKUP(K$2,[61]table_female_hkom3_inj.V3!$A$1:$K$36,23,FALSE),0)</f>
        <v>0</v>
      </c>
      <c r="L1996">
        <f>IFERROR(HLOOKUP(L$2,[61]table_female_hkom3_inj.V3!$A$1:$K$36,23,FALSE),0)</f>
        <v>0</v>
      </c>
      <c r="M1996">
        <f t="shared" si="620"/>
        <v>0</v>
      </c>
      <c r="S1996" t="s">
        <v>91</v>
      </c>
      <c r="T1996" s="5">
        <f t="shared" si="621"/>
        <v>0</v>
      </c>
      <c r="U1996" s="5">
        <f t="shared" si="622"/>
        <v>0</v>
      </c>
      <c r="V1996" s="5">
        <f t="shared" si="623"/>
        <v>0</v>
      </c>
      <c r="W1996" s="5">
        <f t="shared" si="624"/>
        <v>0</v>
      </c>
      <c r="X1996" s="5">
        <f t="shared" si="625"/>
        <v>0</v>
      </c>
      <c r="Y1996" s="5">
        <f t="shared" si="626"/>
        <v>0</v>
      </c>
      <c r="Z1996" s="5">
        <f t="shared" si="627"/>
        <v>0</v>
      </c>
      <c r="AA1996" s="5">
        <f t="shared" si="628"/>
        <v>0</v>
      </c>
      <c r="AB1996" s="5">
        <f t="shared" si="608"/>
        <v>0</v>
      </c>
    </row>
    <row r="1997" spans="4:28" x14ac:dyDescent="0.25">
      <c r="D1997" t="s">
        <v>92</v>
      </c>
      <c r="E1997" s="64"/>
      <c r="F1997" s="64"/>
      <c r="G1997">
        <f>IFERROR(HLOOKUP(G$2,[61]table_female_hkom3_inj.V3!$A$1:$K$36,24,FALSE),0)</f>
        <v>0</v>
      </c>
      <c r="H1997">
        <f>IFERROR(HLOOKUP(H$2,[61]table_female_hkom3_inj.V3!$A$1:$K$36,24,FALSE),0)</f>
        <v>0</v>
      </c>
      <c r="I1997">
        <f>IFERROR(HLOOKUP(I$2,[61]table_female_hkom3_inj.V3!$A$1:$K$36,24,FALSE),0)</f>
        <v>0</v>
      </c>
      <c r="J1997">
        <f>IFERROR(HLOOKUP(J$2,[61]table_female_hkom3_inj.V3!$A$1:$K$36,24,FALSE),0)</f>
        <v>0</v>
      </c>
      <c r="K1997">
        <f>IFERROR(HLOOKUP(K$2,[61]table_female_hkom3_inj.V3!$A$1:$K$36,24,FALSE),0)</f>
        <v>0</v>
      </c>
      <c r="L1997">
        <f>IFERROR(HLOOKUP(L$2,[61]table_female_hkom3_inj.V3!$A$1:$K$36,24,FALSE),0)</f>
        <v>0</v>
      </c>
      <c r="M1997">
        <f t="shared" si="620"/>
        <v>0</v>
      </c>
      <c r="S1997" t="s">
        <v>92</v>
      </c>
      <c r="T1997" s="5">
        <f t="shared" si="621"/>
        <v>0</v>
      </c>
      <c r="U1997" s="5">
        <f t="shared" si="622"/>
        <v>0</v>
      </c>
      <c r="V1997" s="5">
        <f t="shared" si="623"/>
        <v>0</v>
      </c>
      <c r="W1997" s="5">
        <f t="shared" si="624"/>
        <v>0</v>
      </c>
      <c r="X1997" s="5">
        <f t="shared" si="625"/>
        <v>0</v>
      </c>
      <c r="Y1997" s="5">
        <f t="shared" si="626"/>
        <v>0</v>
      </c>
      <c r="Z1997" s="5">
        <f t="shared" si="627"/>
        <v>0</v>
      </c>
      <c r="AA1997" s="5">
        <f t="shared" si="628"/>
        <v>0</v>
      </c>
      <c r="AB1997" s="5">
        <f t="shared" si="608"/>
        <v>0</v>
      </c>
    </row>
    <row r="1998" spans="4:28" x14ac:dyDescent="0.25">
      <c r="D1998" t="s">
        <v>93</v>
      </c>
      <c r="E1998" s="64"/>
      <c r="F1998" s="64"/>
      <c r="G1998">
        <f>IFERROR(HLOOKUP(G$2,[61]table_female_hkom3_inj.V3!$A$1:$K$36,25,FALSE),0)</f>
        <v>0</v>
      </c>
      <c r="H1998">
        <f>IFERROR(HLOOKUP(H$2,[61]table_female_hkom3_inj.V3!$A$1:$K$36,25,FALSE),0)</f>
        <v>0</v>
      </c>
      <c r="I1998">
        <f>IFERROR(HLOOKUP(I$2,[61]table_female_hkom3_inj.V3!$A$1:$K$36,25,FALSE),0)</f>
        <v>0</v>
      </c>
      <c r="J1998">
        <f>IFERROR(HLOOKUP(J$2,[61]table_female_hkom3_inj.V3!$A$1:$K$36,25,FALSE),0)</f>
        <v>0</v>
      </c>
      <c r="K1998">
        <f>IFERROR(HLOOKUP(K$2,[61]table_female_hkom3_inj.V3!$A$1:$K$36,25,FALSE),0)</f>
        <v>0</v>
      </c>
      <c r="L1998">
        <f>IFERROR(HLOOKUP(L$2,[61]table_female_hkom3_inj.V3!$A$1:$K$36,25,FALSE),0)</f>
        <v>0</v>
      </c>
      <c r="M1998">
        <f t="shared" si="620"/>
        <v>0</v>
      </c>
      <c r="S1998" t="s">
        <v>93</v>
      </c>
      <c r="T1998" s="5">
        <f t="shared" si="621"/>
        <v>0</v>
      </c>
      <c r="U1998" s="5">
        <f t="shared" si="622"/>
        <v>0</v>
      </c>
      <c r="V1998" s="5">
        <f t="shared" si="623"/>
        <v>0</v>
      </c>
      <c r="W1998" s="5">
        <f t="shared" si="624"/>
        <v>0</v>
      </c>
      <c r="X1998" s="5">
        <f t="shared" si="625"/>
        <v>0</v>
      </c>
      <c r="Y1998" s="5">
        <f t="shared" si="626"/>
        <v>0</v>
      </c>
      <c r="Z1998" s="5">
        <f t="shared" si="627"/>
        <v>0</v>
      </c>
      <c r="AA1998" s="5">
        <f t="shared" si="628"/>
        <v>0</v>
      </c>
      <c r="AB1998" s="5">
        <f t="shared" si="608"/>
        <v>0</v>
      </c>
    </row>
    <row r="1999" spans="4:28" x14ac:dyDescent="0.25">
      <c r="D1999" t="s">
        <v>94</v>
      </c>
      <c r="E1999" s="64"/>
      <c r="F1999" s="64"/>
      <c r="G1999">
        <f>IFERROR(HLOOKUP(G$2,[61]table_female_hkom3_inj.V3!$A$1:$K$36,26,FALSE),0)</f>
        <v>0</v>
      </c>
      <c r="H1999">
        <f>IFERROR(HLOOKUP(H$2,[61]table_female_hkom3_inj.V3!$A$1:$K$36,26,FALSE),0)</f>
        <v>0</v>
      </c>
      <c r="I1999">
        <f>IFERROR(HLOOKUP(I$2,[61]table_female_hkom3_inj.V3!$A$1:$K$36,26,FALSE),0)</f>
        <v>0</v>
      </c>
      <c r="J1999">
        <f>IFERROR(HLOOKUP(J$2,[61]table_female_hkom3_inj.V3!$A$1:$K$36,26,FALSE),0)</f>
        <v>0</v>
      </c>
      <c r="K1999">
        <f>IFERROR(HLOOKUP(K$2,[61]table_female_hkom3_inj.V3!$A$1:$K$36,26,FALSE),0)</f>
        <v>0</v>
      </c>
      <c r="L1999">
        <f>IFERROR(HLOOKUP(L$2,[61]table_female_hkom3_inj.V3!$A$1:$K$36,26,FALSE),0)</f>
        <v>0</v>
      </c>
      <c r="M1999">
        <f t="shared" si="620"/>
        <v>0</v>
      </c>
      <c r="S1999" t="s">
        <v>94</v>
      </c>
      <c r="T1999" s="5">
        <f t="shared" si="621"/>
        <v>0</v>
      </c>
      <c r="U1999" s="5">
        <f t="shared" si="622"/>
        <v>0</v>
      </c>
      <c r="V1999" s="5">
        <f t="shared" si="623"/>
        <v>0</v>
      </c>
      <c r="W1999" s="5">
        <f t="shared" si="624"/>
        <v>0</v>
      </c>
      <c r="X1999" s="5">
        <f t="shared" si="625"/>
        <v>0</v>
      </c>
      <c r="Y1999" s="5">
        <f t="shared" si="626"/>
        <v>0</v>
      </c>
      <c r="Z1999" s="5">
        <f t="shared" si="627"/>
        <v>0</v>
      </c>
      <c r="AA1999" s="5">
        <f t="shared" si="628"/>
        <v>0</v>
      </c>
      <c r="AB1999" s="5">
        <f t="shared" si="608"/>
        <v>0</v>
      </c>
    </row>
    <row r="2000" spans="4:28" x14ac:dyDescent="0.25">
      <c r="D2000" t="s">
        <v>95</v>
      </c>
      <c r="E2000" s="64"/>
      <c r="F2000" s="64"/>
      <c r="G2000">
        <f>IFERROR(HLOOKUP(G$2,[61]table_female_hkom3_inj.V3!$A$1:$K$36,27,FALSE),0)</f>
        <v>0</v>
      </c>
      <c r="H2000">
        <f>IFERROR(HLOOKUP(H$2,[61]table_female_hkom3_inj.V3!$A$1:$K$36,27,FALSE),0)</f>
        <v>0</v>
      </c>
      <c r="I2000">
        <f>IFERROR(HLOOKUP(I$2,[61]table_female_hkom3_inj.V3!$A$1:$K$36,27,FALSE),0)</f>
        <v>0</v>
      </c>
      <c r="J2000">
        <f>IFERROR(HLOOKUP(J$2,[61]table_female_hkom3_inj.V3!$A$1:$K$36,27,FALSE),0)</f>
        <v>0</v>
      </c>
      <c r="K2000">
        <f>IFERROR(HLOOKUP(K$2,[61]table_female_hkom3_inj.V3!$A$1:$K$36,27,FALSE),0)</f>
        <v>0</v>
      </c>
      <c r="L2000">
        <f>IFERROR(HLOOKUP(L$2,[61]table_female_hkom3_inj.V3!$A$1:$K$36,27,FALSE),0)</f>
        <v>0</v>
      </c>
      <c r="M2000">
        <f t="shared" si="620"/>
        <v>0</v>
      </c>
      <c r="S2000" t="s">
        <v>95</v>
      </c>
      <c r="T2000" s="5">
        <f t="shared" si="621"/>
        <v>0</v>
      </c>
      <c r="U2000" s="5">
        <f t="shared" si="622"/>
        <v>0</v>
      </c>
      <c r="V2000" s="5">
        <f t="shared" si="623"/>
        <v>0</v>
      </c>
      <c r="W2000" s="5">
        <f t="shared" si="624"/>
        <v>0</v>
      </c>
      <c r="X2000" s="5">
        <f t="shared" si="625"/>
        <v>0</v>
      </c>
      <c r="Y2000" s="5">
        <f t="shared" si="626"/>
        <v>0</v>
      </c>
      <c r="Z2000" s="5">
        <f t="shared" si="627"/>
        <v>0</v>
      </c>
      <c r="AA2000" s="5">
        <f t="shared" si="628"/>
        <v>0</v>
      </c>
      <c r="AB2000" s="5">
        <f t="shared" si="608"/>
        <v>0</v>
      </c>
    </row>
    <row r="2001" spans="1:29" x14ac:dyDescent="0.25">
      <c r="D2001" t="s">
        <v>96</v>
      </c>
      <c r="E2001" s="64"/>
      <c r="F2001" s="64"/>
      <c r="G2001">
        <f>IFERROR(HLOOKUP(G$2,[61]table_female_hkom3_inj.V3!$A$1:$K$36,28,FALSE),0)</f>
        <v>0</v>
      </c>
      <c r="H2001">
        <f>IFERROR(HLOOKUP(H$2,[61]table_female_hkom3_inj.V3!$A$1:$K$36,28,FALSE),0)</f>
        <v>0</v>
      </c>
      <c r="I2001">
        <f>IFERROR(HLOOKUP(I$2,[61]table_female_hkom3_inj.V3!$A$1:$K$36,28,FALSE),0)</f>
        <v>0</v>
      </c>
      <c r="J2001">
        <f>IFERROR(HLOOKUP(J$2,[61]table_female_hkom3_inj.V3!$A$1:$K$36,28,FALSE),0)</f>
        <v>0</v>
      </c>
      <c r="K2001">
        <f>IFERROR(HLOOKUP(K$2,[61]table_female_hkom3_inj.V3!$A$1:$K$36,28,FALSE),0)</f>
        <v>0</v>
      </c>
      <c r="L2001">
        <f>IFERROR(HLOOKUP(L$2,[61]table_female_hkom3_inj.V3!$A$1:$K$36,28,FALSE),0)</f>
        <v>0</v>
      </c>
      <c r="M2001">
        <f t="shared" si="620"/>
        <v>0</v>
      </c>
      <c r="S2001" t="s">
        <v>96</v>
      </c>
      <c r="T2001" s="5">
        <f t="shared" si="621"/>
        <v>0</v>
      </c>
      <c r="U2001" s="5">
        <f t="shared" si="622"/>
        <v>0</v>
      </c>
      <c r="V2001" s="5">
        <f t="shared" si="623"/>
        <v>0</v>
      </c>
      <c r="W2001" s="5">
        <f t="shared" si="624"/>
        <v>0</v>
      </c>
      <c r="X2001" s="5">
        <f t="shared" si="625"/>
        <v>0</v>
      </c>
      <c r="Y2001" s="5">
        <f t="shared" si="626"/>
        <v>0</v>
      </c>
      <c r="Z2001" s="5">
        <f t="shared" si="627"/>
        <v>0</v>
      </c>
      <c r="AA2001" s="5">
        <f t="shared" si="628"/>
        <v>0</v>
      </c>
      <c r="AB2001" s="5">
        <f t="shared" si="608"/>
        <v>0</v>
      </c>
    </row>
    <row r="2002" spans="1:29" x14ac:dyDescent="0.25">
      <c r="D2002" t="s">
        <v>97</v>
      </c>
      <c r="E2002" s="64"/>
      <c r="F2002" s="64"/>
      <c r="G2002">
        <f>IFERROR(HLOOKUP(G$2,[61]table_female_hkom3_inj.V3!$A$1:$K$36,29,FALSE),0)</f>
        <v>0</v>
      </c>
      <c r="H2002">
        <f>IFERROR(HLOOKUP(H$2,[61]table_female_hkom3_inj.V3!$A$1:$K$36,29,FALSE),0)</f>
        <v>0</v>
      </c>
      <c r="I2002">
        <f>IFERROR(HLOOKUP(I$2,[61]table_female_hkom3_inj.V3!$A$1:$K$36,29,FALSE),0)</f>
        <v>0</v>
      </c>
      <c r="J2002">
        <f>IFERROR(HLOOKUP(J$2,[61]table_female_hkom3_inj.V3!$A$1:$K$36,29,FALSE),0)</f>
        <v>0</v>
      </c>
      <c r="K2002">
        <f>IFERROR(HLOOKUP(K$2,[61]table_female_hkom3_inj.V3!$A$1:$K$36,29,FALSE),0)</f>
        <v>0</v>
      </c>
      <c r="L2002">
        <f>IFERROR(HLOOKUP(L$2,[61]table_female_hkom3_inj.V3!$A$1:$K$36,29,FALSE),0)</f>
        <v>0</v>
      </c>
      <c r="M2002">
        <f t="shared" si="620"/>
        <v>0</v>
      </c>
      <c r="S2002" t="s">
        <v>97</v>
      </c>
      <c r="T2002" s="5">
        <f t="shared" si="621"/>
        <v>0</v>
      </c>
      <c r="U2002" s="5">
        <f t="shared" si="622"/>
        <v>0</v>
      </c>
      <c r="V2002" s="5">
        <f t="shared" si="623"/>
        <v>0</v>
      </c>
      <c r="W2002" s="5">
        <f t="shared" si="624"/>
        <v>0</v>
      </c>
      <c r="X2002" s="5">
        <f t="shared" si="625"/>
        <v>0</v>
      </c>
      <c r="Y2002" s="5">
        <f t="shared" si="626"/>
        <v>0</v>
      </c>
      <c r="Z2002" s="5">
        <f t="shared" si="627"/>
        <v>0</v>
      </c>
      <c r="AA2002" s="5">
        <f t="shared" si="628"/>
        <v>0</v>
      </c>
      <c r="AB2002" s="5">
        <f t="shared" si="608"/>
        <v>0</v>
      </c>
    </row>
    <row r="2003" spans="1:29" x14ac:dyDescent="0.25">
      <c r="D2003" t="s">
        <v>98</v>
      </c>
      <c r="E2003" s="64"/>
      <c r="F2003" s="64"/>
      <c r="G2003">
        <f>IFERROR(HLOOKUP(G$2,[61]table_female_hkom3_inj.V3!$A$1:$K$36,30,FALSE),0)</f>
        <v>0</v>
      </c>
      <c r="H2003">
        <f>IFERROR(HLOOKUP(H$2,[61]table_female_hkom3_inj.V3!$A$1:$K$36,30,FALSE),0)</f>
        <v>0</v>
      </c>
      <c r="I2003">
        <f>IFERROR(HLOOKUP(I$2,[61]table_female_hkom3_inj.V3!$A$1:$K$36,30,FALSE),0)</f>
        <v>0</v>
      </c>
      <c r="J2003">
        <f>IFERROR(HLOOKUP(J$2,[61]table_female_hkom3_inj.V3!$A$1:$K$36,30,FALSE),0)</f>
        <v>0</v>
      </c>
      <c r="K2003">
        <f>IFERROR(HLOOKUP(K$2,[61]table_female_hkom3_inj.V3!$A$1:$K$36,30,FALSE),0)</f>
        <v>0</v>
      </c>
      <c r="L2003">
        <f>IFERROR(HLOOKUP(L$2,[61]table_female_hkom3_inj.V3!$A$1:$K$36,30,FALSE),0)</f>
        <v>0</v>
      </c>
      <c r="M2003">
        <f t="shared" si="620"/>
        <v>0</v>
      </c>
      <c r="S2003" t="s">
        <v>98</v>
      </c>
      <c r="T2003" s="5">
        <f t="shared" si="621"/>
        <v>0</v>
      </c>
      <c r="U2003" s="5">
        <f t="shared" si="622"/>
        <v>0</v>
      </c>
      <c r="V2003" s="5">
        <f t="shared" si="623"/>
        <v>0</v>
      </c>
      <c r="W2003" s="5">
        <f t="shared" si="624"/>
        <v>0</v>
      </c>
      <c r="X2003" s="5">
        <f t="shared" si="625"/>
        <v>0</v>
      </c>
      <c r="Y2003" s="5">
        <f t="shared" si="626"/>
        <v>0</v>
      </c>
      <c r="Z2003" s="5">
        <f t="shared" si="627"/>
        <v>0</v>
      </c>
      <c r="AA2003" s="5">
        <f t="shared" si="628"/>
        <v>0</v>
      </c>
      <c r="AB2003" s="5">
        <f t="shared" si="608"/>
        <v>0</v>
      </c>
    </row>
    <row r="2004" spans="1:29" x14ac:dyDescent="0.25">
      <c r="D2004" t="s">
        <v>119</v>
      </c>
      <c r="E2004" s="64"/>
      <c r="F2004" s="64"/>
      <c r="G2004">
        <f>IFERROR(HLOOKUP(G$2,[61]table_female_hkom3_inj.V3!$A$1:$K$36,31,FALSE),0)</f>
        <v>0</v>
      </c>
      <c r="H2004">
        <f>IFERROR(HLOOKUP(H$2,[61]table_female_hkom3_inj.V3!$A$1:$K$36,31,FALSE),0)</f>
        <v>0</v>
      </c>
      <c r="I2004">
        <f>IFERROR(HLOOKUP(I$2,[61]table_female_hkom3_inj.V3!$A$1:$K$36,31,FALSE),0)</f>
        <v>0</v>
      </c>
      <c r="J2004">
        <f>IFERROR(HLOOKUP(J$2,[61]table_female_hkom3_inj.V3!$A$1:$K$36,31,FALSE),0)</f>
        <v>0</v>
      </c>
      <c r="K2004">
        <f>IFERROR(HLOOKUP(K$2,[61]table_female_hkom3_inj.V3!$A$1:$K$36,31,FALSE),0)</f>
        <v>0</v>
      </c>
      <c r="L2004">
        <f>IFERROR(HLOOKUP(L$2,[61]table_female_hkom3_inj.V3!$A$1:$K$36,31,FALSE),0)</f>
        <v>0</v>
      </c>
      <c r="M2004">
        <f t="shared" si="620"/>
        <v>0</v>
      </c>
      <c r="S2004" t="s">
        <v>119</v>
      </c>
      <c r="T2004" s="5">
        <f t="shared" si="621"/>
        <v>0</v>
      </c>
      <c r="U2004" s="5">
        <f t="shared" si="622"/>
        <v>0</v>
      </c>
      <c r="V2004" s="5">
        <f t="shared" si="623"/>
        <v>0</v>
      </c>
      <c r="W2004" s="5">
        <f t="shared" si="624"/>
        <v>0</v>
      </c>
      <c r="X2004" s="5">
        <f t="shared" si="625"/>
        <v>0</v>
      </c>
      <c r="Y2004" s="5">
        <f t="shared" si="626"/>
        <v>0</v>
      </c>
      <c r="Z2004" s="5">
        <f t="shared" si="627"/>
        <v>0</v>
      </c>
      <c r="AA2004" s="5">
        <f t="shared" si="628"/>
        <v>0</v>
      </c>
      <c r="AB2004" s="5">
        <f t="shared" ref="AB2004:AB2067" si="629">SUM(T2004:AA2004)</f>
        <v>0</v>
      </c>
    </row>
    <row r="2005" spans="1:29" x14ac:dyDescent="0.25">
      <c r="D2005" t="s">
        <v>99</v>
      </c>
      <c r="E2005" s="64"/>
      <c r="F2005" s="64"/>
      <c r="G2005">
        <f>IFERROR(HLOOKUP(G$2,[61]table_female_hkom3_inj.V3!$A$1:$K$36,32,FALSE),0)</f>
        <v>0</v>
      </c>
      <c r="H2005">
        <f>IFERROR(HLOOKUP(H$2,[61]table_female_hkom3_inj.V3!$A$1:$K$36,32,FALSE),0)</f>
        <v>0</v>
      </c>
      <c r="I2005">
        <f>IFERROR(HLOOKUP(I$2,[61]table_female_hkom3_inj.V3!$A$1:$K$36,32,FALSE),0)</f>
        <v>0</v>
      </c>
      <c r="J2005">
        <f>IFERROR(HLOOKUP(J$2,[61]table_female_hkom3_inj.V3!$A$1:$K$36,32,FALSE),0)</f>
        <v>0</v>
      </c>
      <c r="K2005">
        <f>IFERROR(HLOOKUP(K$2,[61]table_female_hkom3_inj.V3!$A$1:$K$36,32,FALSE),0)</f>
        <v>0</v>
      </c>
      <c r="L2005">
        <f>IFERROR(HLOOKUP(L$2,[61]table_female_hkom3_inj.V3!$A$1:$K$36,32,FALSE),0)</f>
        <v>0</v>
      </c>
      <c r="M2005">
        <f t="shared" si="620"/>
        <v>0</v>
      </c>
      <c r="S2005" t="s">
        <v>99</v>
      </c>
      <c r="T2005" s="5">
        <f t="shared" si="621"/>
        <v>0</v>
      </c>
      <c r="U2005" s="5">
        <f t="shared" si="622"/>
        <v>0</v>
      </c>
      <c r="V2005" s="5">
        <f t="shared" si="623"/>
        <v>0</v>
      </c>
      <c r="W2005" s="5">
        <f t="shared" si="624"/>
        <v>0</v>
      </c>
      <c r="X2005" s="5">
        <f t="shared" si="625"/>
        <v>0</v>
      </c>
      <c r="Y2005" s="5">
        <f t="shared" si="626"/>
        <v>0</v>
      </c>
      <c r="Z2005" s="5">
        <f t="shared" si="627"/>
        <v>0</v>
      </c>
      <c r="AA2005" s="5">
        <f t="shared" si="628"/>
        <v>0</v>
      </c>
      <c r="AB2005" s="5">
        <f t="shared" si="629"/>
        <v>0</v>
      </c>
    </row>
    <row r="2006" spans="1:29" x14ac:dyDescent="0.25">
      <c r="D2006" t="s">
        <v>100</v>
      </c>
      <c r="E2006" s="64"/>
      <c r="F2006" s="64"/>
      <c r="G2006">
        <f>IFERROR(HLOOKUP(G$2,[61]table_female_hkom3_inj.V3!$A$1:$K$36,33,FALSE),0)</f>
        <v>0</v>
      </c>
      <c r="H2006">
        <f>IFERROR(HLOOKUP(H$2,[61]table_female_hkom3_inj.V3!$A$1:$K$36,33,FALSE),0)</f>
        <v>0</v>
      </c>
      <c r="I2006">
        <f>IFERROR(HLOOKUP(I$2,[61]table_female_hkom3_inj.V3!$A$1:$K$36,33,FALSE),0)</f>
        <v>1</v>
      </c>
      <c r="J2006">
        <f>IFERROR(HLOOKUP(J$2,[61]table_female_hkom3_inj.V3!$A$1:$K$36,33,FALSE),0)</f>
        <v>0</v>
      </c>
      <c r="K2006">
        <f>IFERROR(HLOOKUP(K$2,[61]table_female_hkom3_inj.V3!$A$1:$K$36,33,FALSE),0)</f>
        <v>0</v>
      </c>
      <c r="L2006">
        <f>IFERROR(HLOOKUP(L$2,[61]table_female_hkom3_inj.V3!$A$1:$K$36,33,FALSE),0)</f>
        <v>0</v>
      </c>
      <c r="M2006">
        <f t="shared" si="620"/>
        <v>1</v>
      </c>
      <c r="S2006" t="s">
        <v>100</v>
      </c>
      <c r="T2006" s="5">
        <f t="shared" si="621"/>
        <v>0</v>
      </c>
      <c r="U2006" s="5">
        <f t="shared" si="622"/>
        <v>0</v>
      </c>
      <c r="V2006" s="5">
        <f t="shared" si="623"/>
        <v>0</v>
      </c>
      <c r="W2006" s="5">
        <f t="shared" si="624"/>
        <v>0</v>
      </c>
      <c r="X2006" s="5">
        <f t="shared" si="625"/>
        <v>1</v>
      </c>
      <c r="Y2006" s="5">
        <f t="shared" si="626"/>
        <v>0</v>
      </c>
      <c r="Z2006" s="5">
        <f t="shared" si="627"/>
        <v>0</v>
      </c>
      <c r="AA2006" s="5">
        <f t="shared" si="628"/>
        <v>0</v>
      </c>
      <c r="AB2006" s="5">
        <f t="shared" si="629"/>
        <v>1</v>
      </c>
    </row>
    <row r="2007" spans="1:29" x14ac:dyDescent="0.25">
      <c r="D2007" t="s">
        <v>101</v>
      </c>
      <c r="E2007" s="64"/>
      <c r="F2007" s="64"/>
      <c r="G2007">
        <f>IFERROR(HLOOKUP(G$2,[61]table_female_hkom3_inj.V3!$A$1:$K$36,34,FALSE),0)</f>
        <v>0</v>
      </c>
      <c r="H2007">
        <f>IFERROR(HLOOKUP(H$2,[61]table_female_hkom3_inj.V3!$A$1:$K$36,34,FALSE),0)</f>
        <v>0</v>
      </c>
      <c r="I2007">
        <f>IFERROR(HLOOKUP(I$2,[61]table_female_hkom3_inj.V3!$A$1:$K$36,34,FALSE),0)</f>
        <v>0</v>
      </c>
      <c r="J2007">
        <f>IFERROR(HLOOKUP(J$2,[61]table_female_hkom3_inj.V3!$A$1:$K$36,34,FALSE),0)</f>
        <v>0</v>
      </c>
      <c r="K2007">
        <f>IFERROR(HLOOKUP(K$2,[61]table_female_hkom3_inj.V3!$A$1:$K$36,34,FALSE),0)</f>
        <v>0</v>
      </c>
      <c r="L2007">
        <f>IFERROR(HLOOKUP(L$2,[61]table_female_hkom3_inj.V3!$A$1:$K$36,34,FALSE),0)</f>
        <v>0</v>
      </c>
      <c r="M2007">
        <f t="shared" si="620"/>
        <v>0</v>
      </c>
      <c r="S2007" t="s">
        <v>101</v>
      </c>
      <c r="T2007" s="5">
        <f t="shared" si="621"/>
        <v>0</v>
      </c>
      <c r="U2007" s="5">
        <f t="shared" si="622"/>
        <v>0</v>
      </c>
      <c r="V2007" s="5">
        <f t="shared" si="623"/>
        <v>0</v>
      </c>
      <c r="W2007" s="5">
        <f t="shared" si="624"/>
        <v>0</v>
      </c>
      <c r="X2007" s="5">
        <f t="shared" si="625"/>
        <v>0</v>
      </c>
      <c r="Y2007" s="5">
        <f t="shared" si="626"/>
        <v>0</v>
      </c>
      <c r="Z2007" s="5">
        <f t="shared" si="627"/>
        <v>0</v>
      </c>
      <c r="AA2007" s="5">
        <f t="shared" si="628"/>
        <v>0</v>
      </c>
      <c r="AB2007" s="5">
        <f t="shared" si="629"/>
        <v>0</v>
      </c>
    </row>
    <row r="2008" spans="1:29" x14ac:dyDescent="0.25">
      <c r="D2008" t="s">
        <v>102</v>
      </c>
      <c r="E2008" s="64"/>
      <c r="F2008" s="64"/>
      <c r="G2008">
        <f>IFERROR(HLOOKUP(G$2,[61]table_female_hkom3_inj.V3!$A$1:$K$36,35,FALSE),0)</f>
        <v>0</v>
      </c>
      <c r="H2008">
        <f>IFERROR(HLOOKUP(H$2,[61]table_female_hkom3_inj.V3!$A$1:$K$36,35,FALSE),0)</f>
        <v>0</v>
      </c>
      <c r="I2008">
        <f>IFERROR(HLOOKUP(I$2,[61]table_female_hkom3_inj.V3!$A$1:$K$36,35,FALSE),0)</f>
        <v>0</v>
      </c>
      <c r="J2008">
        <f>IFERROR(HLOOKUP(J$2,[61]table_female_hkom3_inj.V3!$A$1:$K$36,35,FALSE),0)</f>
        <v>0</v>
      </c>
      <c r="K2008">
        <f>IFERROR(HLOOKUP(K$2,[61]table_female_hkom3_inj.V3!$A$1:$K$36,35,FALSE),0)</f>
        <v>0</v>
      </c>
      <c r="L2008">
        <f>IFERROR(HLOOKUP(L$2,[61]table_female_hkom3_inj.V3!$A$1:$K$36,35,FALSE),0)</f>
        <v>0</v>
      </c>
      <c r="M2008">
        <f t="shared" si="620"/>
        <v>0</v>
      </c>
      <c r="N2008">
        <f>SUM(M1975:M2008)</f>
        <v>1</v>
      </c>
      <c r="O2008" s="8">
        <f>SUM([61]table_female_hkom3_inj.V3!$B$2:$L$36)</f>
        <v>1</v>
      </c>
      <c r="S2008" t="s">
        <v>102</v>
      </c>
      <c r="T2008" s="7"/>
      <c r="U2008" s="7"/>
      <c r="V2008" s="7"/>
      <c r="W2008" s="7"/>
      <c r="X2008" s="7"/>
      <c r="Y2008" s="7"/>
      <c r="Z2008" s="7"/>
      <c r="AA2008" s="7"/>
      <c r="AB2008" s="5">
        <f t="shared" si="629"/>
        <v>0</v>
      </c>
      <c r="AC2008" s="5">
        <f>SUM(AB1975:AB2007)</f>
        <v>1</v>
      </c>
    </row>
    <row r="2009" spans="1:29" x14ac:dyDescent="0.25">
      <c r="A2009" t="s">
        <v>115</v>
      </c>
      <c r="B2009" t="s">
        <v>117</v>
      </c>
      <c r="C2009" t="s">
        <v>108</v>
      </c>
      <c r="D2009" t="s">
        <v>70</v>
      </c>
      <c r="E2009" s="64"/>
      <c r="F2009" s="64"/>
      <c r="G2009">
        <f>IFERROR(HLOOKUP(G$2,[62]table_female_hkom3_inj.V4!$A$1:$K$36,2,FALSE),0)</f>
        <v>0</v>
      </c>
      <c r="H2009">
        <f>IFERROR(HLOOKUP(H$2,[62]table_female_hkom3_inj.V4!$A$1:$K$36,2,FALSE),0)</f>
        <v>0</v>
      </c>
      <c r="I2009">
        <f>IFERROR(HLOOKUP(I$2,[62]table_female_hkom3_inj.V4!$A$1:$K$36,2,FALSE),0)</f>
        <v>0</v>
      </c>
      <c r="J2009">
        <f>IFERROR(HLOOKUP(J$2,[62]table_female_hkom3_inj.V4!$A$1:$K$36,2,FALSE),0)</f>
        <v>0</v>
      </c>
      <c r="K2009">
        <f>IFERROR(HLOOKUP(K$2,[62]table_female_hkom3_inj.V4!$A$1:$K$36,2,FALSE),0)</f>
        <v>0</v>
      </c>
      <c r="L2009">
        <f>IFERROR(HLOOKUP(L$2,[62]table_female_hkom3_inj.V4!$A$1:$K$36,2,FALSE),0)</f>
        <v>0</v>
      </c>
      <c r="M2009">
        <f>SUM(E2009:L2009)</f>
        <v>0</v>
      </c>
      <c r="P2009" t="s">
        <v>115</v>
      </c>
      <c r="Q2009" t="s">
        <v>117</v>
      </c>
      <c r="R2009" t="s">
        <v>108</v>
      </c>
      <c r="S2009" t="s">
        <v>70</v>
      </c>
      <c r="T2009" s="5">
        <f>IF(SUM(E$2009:E$2041)=0,E$2042/33,E2009+IFERROR(E2009/SUM(E$2009:E$2041)*E$2042,0))</f>
        <v>0</v>
      </c>
      <c r="U2009" s="5">
        <f t="shared" ref="U2009:AA2009" si="630">IF(SUM(F$2009:F$2041)=0,F$2042/33,F2009+IFERROR(F2009/SUM(F$2009:F$2041)*F$2042,0))</f>
        <v>0</v>
      </c>
      <c r="V2009" s="5">
        <f t="shared" si="630"/>
        <v>0</v>
      </c>
      <c r="W2009" s="5">
        <f t="shared" si="630"/>
        <v>0</v>
      </c>
      <c r="X2009" s="5">
        <f t="shared" si="630"/>
        <v>0</v>
      </c>
      <c r="Y2009" s="5">
        <f t="shared" si="630"/>
        <v>0</v>
      </c>
      <c r="Z2009" s="5">
        <f t="shared" si="630"/>
        <v>0</v>
      </c>
      <c r="AA2009" s="5">
        <f t="shared" si="630"/>
        <v>0</v>
      </c>
      <c r="AB2009" s="5">
        <f t="shared" si="629"/>
        <v>0</v>
      </c>
    </row>
    <row r="2010" spans="1:29" x14ac:dyDescent="0.25">
      <c r="D2010" t="s">
        <v>71</v>
      </c>
      <c r="E2010" s="64"/>
      <c r="F2010" s="64"/>
      <c r="G2010">
        <f>IFERROR(HLOOKUP(G$2,[62]table_female_hkom3_inj.V4!$A$1:$K$36,3,FALSE),0)</f>
        <v>0</v>
      </c>
      <c r="H2010">
        <f>IFERROR(HLOOKUP(H$2,[62]table_female_hkom3_inj.V4!$A$1:$K$36,3,FALSE),0)</f>
        <v>0</v>
      </c>
      <c r="I2010">
        <f>IFERROR(HLOOKUP(I$2,[62]table_female_hkom3_inj.V4!$A$1:$K$36,3,FALSE),0)</f>
        <v>0</v>
      </c>
      <c r="J2010">
        <f>IFERROR(HLOOKUP(J$2,[62]table_female_hkom3_inj.V4!$A$1:$K$36,3,FALSE),0)</f>
        <v>0</v>
      </c>
      <c r="K2010">
        <f>IFERROR(HLOOKUP(K$2,[62]table_female_hkom3_inj.V4!$A$1:$K$36,3,FALSE),0)</f>
        <v>0</v>
      </c>
      <c r="L2010">
        <f>IFERROR(HLOOKUP(L$2,[62]table_female_hkom3_inj.V4!$A$1:$K$36,3,FALSE),0)</f>
        <v>0</v>
      </c>
      <c r="M2010">
        <f t="shared" ref="M2010:M2042" si="631">SUM(E2010:L2010)</f>
        <v>0</v>
      </c>
      <c r="S2010" t="s">
        <v>71</v>
      </c>
      <c r="T2010" s="5">
        <f t="shared" ref="T2010:T2041" si="632">IF(SUM(E$2009:E$2041)=0,E$2042/33,E2010+IFERROR(E2010/SUM(E$2009:E$2041)*E$2042,0))</f>
        <v>0</v>
      </c>
      <c r="U2010" s="5">
        <f t="shared" ref="U2010:U2041" si="633">IF(SUM(F$2009:F$2041)=0,F$2042/33,F2010+IFERROR(F2010/SUM(F$2009:F$2041)*F$2042,0))</f>
        <v>0</v>
      </c>
      <c r="V2010" s="5">
        <f t="shared" ref="V2010:V2041" si="634">IF(SUM(G$2009:G$2041)=0,G$2042/33,G2010+IFERROR(G2010/SUM(G$2009:G$2041)*G$2042,0))</f>
        <v>0</v>
      </c>
      <c r="W2010" s="5">
        <f t="shared" ref="W2010:W2041" si="635">IF(SUM(H$2009:H$2041)=0,H$2042/33,H2010+IFERROR(H2010/SUM(H$2009:H$2041)*H$2042,0))</f>
        <v>0</v>
      </c>
      <c r="X2010" s="5">
        <f t="shared" ref="X2010:X2041" si="636">IF(SUM(I$2009:I$2041)=0,I$2042/33,I2010+IFERROR(I2010/SUM(I$2009:I$2041)*I$2042,0))</f>
        <v>0</v>
      </c>
      <c r="Y2010" s="5">
        <f t="shared" ref="Y2010:Y2041" si="637">IF(SUM(J$2009:J$2041)=0,J$2042/33,J2010+IFERROR(J2010/SUM(J$2009:J$2041)*J$2042,0))</f>
        <v>0</v>
      </c>
      <c r="Z2010" s="5">
        <f t="shared" ref="Z2010:Z2041" si="638">IF(SUM(K$2009:K$2041)=0,K$2042/33,K2010+IFERROR(K2010/SUM(K$2009:K$2041)*K$2042,0))</f>
        <v>0</v>
      </c>
      <c r="AA2010" s="5">
        <f t="shared" ref="AA2010:AA2041" si="639">IF(SUM(L$2009:L$2041)=0,L$2042/33,L2010+IFERROR(L2010/SUM(L$2009:L$2041)*L$2042,0))</f>
        <v>0</v>
      </c>
      <c r="AB2010" s="5">
        <f t="shared" si="629"/>
        <v>0</v>
      </c>
    </row>
    <row r="2011" spans="1:29" x14ac:dyDescent="0.25">
      <c r="D2011" t="s">
        <v>72</v>
      </c>
      <c r="E2011" s="64"/>
      <c r="F2011" s="64"/>
      <c r="G2011">
        <f>IFERROR(HLOOKUP(G$2,[62]table_female_hkom3_inj.V4!$A$1:$K$36,4,FALSE),0)</f>
        <v>0</v>
      </c>
      <c r="H2011">
        <f>IFERROR(HLOOKUP(H$2,[62]table_female_hkom3_inj.V4!$A$1:$K$36,4,FALSE),0)</f>
        <v>0</v>
      </c>
      <c r="I2011">
        <f>IFERROR(HLOOKUP(I$2,[62]table_female_hkom3_inj.V4!$A$1:$K$36,4,FALSE),0)</f>
        <v>0</v>
      </c>
      <c r="J2011">
        <f>IFERROR(HLOOKUP(J$2,[62]table_female_hkom3_inj.V4!$A$1:$K$36,4,FALSE),0)</f>
        <v>0</v>
      </c>
      <c r="K2011">
        <f>IFERROR(HLOOKUP(K$2,[62]table_female_hkom3_inj.V4!$A$1:$K$36,4,FALSE),0)</f>
        <v>0</v>
      </c>
      <c r="L2011">
        <f>IFERROR(HLOOKUP(L$2,[62]table_female_hkom3_inj.V4!$A$1:$K$36,4,FALSE),0)</f>
        <v>0</v>
      </c>
      <c r="M2011">
        <f t="shared" si="631"/>
        <v>0</v>
      </c>
      <c r="S2011" t="s">
        <v>72</v>
      </c>
      <c r="T2011" s="5">
        <f t="shared" si="632"/>
        <v>0</v>
      </c>
      <c r="U2011" s="5">
        <f t="shared" si="633"/>
        <v>0</v>
      </c>
      <c r="V2011" s="5">
        <f t="shared" si="634"/>
        <v>0</v>
      </c>
      <c r="W2011" s="5">
        <f t="shared" si="635"/>
        <v>0</v>
      </c>
      <c r="X2011" s="5">
        <f t="shared" si="636"/>
        <v>0</v>
      </c>
      <c r="Y2011" s="5">
        <f t="shared" si="637"/>
        <v>0</v>
      </c>
      <c r="Z2011" s="5">
        <f t="shared" si="638"/>
        <v>0</v>
      </c>
      <c r="AA2011" s="5">
        <f t="shared" si="639"/>
        <v>0</v>
      </c>
      <c r="AB2011" s="5">
        <f t="shared" si="629"/>
        <v>0</v>
      </c>
    </row>
    <row r="2012" spans="1:29" x14ac:dyDescent="0.25">
      <c r="D2012" t="s">
        <v>73</v>
      </c>
      <c r="E2012" s="64"/>
      <c r="F2012" s="64"/>
      <c r="G2012">
        <f>IFERROR(HLOOKUP(G$2,[62]table_female_hkom3_inj.V4!$A$1:$K$36,5,FALSE),0)</f>
        <v>0</v>
      </c>
      <c r="H2012">
        <f>IFERROR(HLOOKUP(H$2,[62]table_female_hkom3_inj.V4!$A$1:$K$36,5,FALSE),0)</f>
        <v>0</v>
      </c>
      <c r="I2012">
        <f>IFERROR(HLOOKUP(I$2,[62]table_female_hkom3_inj.V4!$A$1:$K$36,5,FALSE),0)</f>
        <v>0</v>
      </c>
      <c r="J2012">
        <f>IFERROR(HLOOKUP(J$2,[62]table_female_hkom3_inj.V4!$A$1:$K$36,5,FALSE),0)</f>
        <v>0</v>
      </c>
      <c r="K2012">
        <f>IFERROR(HLOOKUP(K$2,[62]table_female_hkom3_inj.V4!$A$1:$K$36,5,FALSE),0)</f>
        <v>0</v>
      </c>
      <c r="L2012">
        <f>IFERROR(HLOOKUP(L$2,[62]table_female_hkom3_inj.V4!$A$1:$K$36,5,FALSE),0)</f>
        <v>0</v>
      </c>
      <c r="M2012">
        <f t="shared" si="631"/>
        <v>0</v>
      </c>
      <c r="S2012" t="s">
        <v>73</v>
      </c>
      <c r="T2012" s="5">
        <f t="shared" si="632"/>
        <v>0</v>
      </c>
      <c r="U2012" s="5">
        <f t="shared" si="633"/>
        <v>0</v>
      </c>
      <c r="V2012" s="5">
        <f t="shared" si="634"/>
        <v>0</v>
      </c>
      <c r="W2012" s="5">
        <f t="shared" si="635"/>
        <v>0</v>
      </c>
      <c r="X2012" s="5">
        <f t="shared" si="636"/>
        <v>0</v>
      </c>
      <c r="Y2012" s="5">
        <f t="shared" si="637"/>
        <v>0</v>
      </c>
      <c r="Z2012" s="5">
        <f t="shared" si="638"/>
        <v>0</v>
      </c>
      <c r="AA2012" s="5">
        <f t="shared" si="639"/>
        <v>0</v>
      </c>
      <c r="AB2012" s="5">
        <f t="shared" si="629"/>
        <v>0</v>
      </c>
    </row>
    <row r="2013" spans="1:29" x14ac:dyDescent="0.25">
      <c r="D2013" t="s">
        <v>74</v>
      </c>
      <c r="E2013" s="64"/>
      <c r="F2013" s="64"/>
      <c r="G2013">
        <f>IFERROR(HLOOKUP(G$2,[62]table_female_hkom3_inj.V4!$A$1:$K$36,6,FALSE),0)</f>
        <v>0</v>
      </c>
      <c r="H2013">
        <f>IFERROR(HLOOKUP(H$2,[62]table_female_hkom3_inj.V4!$A$1:$K$36,6,FALSE),0)</f>
        <v>0</v>
      </c>
      <c r="I2013">
        <f>IFERROR(HLOOKUP(I$2,[62]table_female_hkom3_inj.V4!$A$1:$K$36,6,FALSE),0)</f>
        <v>0</v>
      </c>
      <c r="J2013">
        <f>IFERROR(HLOOKUP(J$2,[62]table_female_hkom3_inj.V4!$A$1:$K$36,6,FALSE),0)</f>
        <v>0</v>
      </c>
      <c r="K2013">
        <f>IFERROR(HLOOKUP(K$2,[62]table_female_hkom3_inj.V4!$A$1:$K$36,6,FALSE),0)</f>
        <v>0</v>
      </c>
      <c r="L2013">
        <f>IFERROR(HLOOKUP(L$2,[62]table_female_hkom3_inj.V4!$A$1:$K$36,6,FALSE),0)</f>
        <v>0</v>
      </c>
      <c r="M2013">
        <f t="shared" si="631"/>
        <v>0</v>
      </c>
      <c r="S2013" t="s">
        <v>74</v>
      </c>
      <c r="T2013" s="5">
        <f t="shared" si="632"/>
        <v>0</v>
      </c>
      <c r="U2013" s="5">
        <f t="shared" si="633"/>
        <v>0</v>
      </c>
      <c r="V2013" s="5">
        <f t="shared" si="634"/>
        <v>0</v>
      </c>
      <c r="W2013" s="5">
        <f t="shared" si="635"/>
        <v>0</v>
      </c>
      <c r="X2013" s="5">
        <f t="shared" si="636"/>
        <v>0</v>
      </c>
      <c r="Y2013" s="5">
        <f t="shared" si="637"/>
        <v>0</v>
      </c>
      <c r="Z2013" s="5">
        <f t="shared" si="638"/>
        <v>0</v>
      </c>
      <c r="AA2013" s="5">
        <f t="shared" si="639"/>
        <v>0</v>
      </c>
      <c r="AB2013" s="5">
        <f t="shared" si="629"/>
        <v>0</v>
      </c>
    </row>
    <row r="2014" spans="1:29" x14ac:dyDescent="0.25">
      <c r="D2014" t="s">
        <v>75</v>
      </c>
      <c r="E2014" s="64"/>
      <c r="F2014" s="64"/>
      <c r="G2014">
        <f>IFERROR(HLOOKUP(G$2,[62]table_female_hkom3_inj.V4!$A$1:$K$36,7,FALSE),0)</f>
        <v>0</v>
      </c>
      <c r="H2014">
        <f>IFERROR(HLOOKUP(H$2,[62]table_female_hkom3_inj.V4!$A$1:$K$36,7,FALSE),0)</f>
        <v>0</v>
      </c>
      <c r="I2014">
        <f>IFERROR(HLOOKUP(I$2,[62]table_female_hkom3_inj.V4!$A$1:$K$36,7,FALSE),0)</f>
        <v>0</v>
      </c>
      <c r="J2014">
        <f>IFERROR(HLOOKUP(J$2,[62]table_female_hkom3_inj.V4!$A$1:$K$36,7,FALSE),0)</f>
        <v>0</v>
      </c>
      <c r="K2014">
        <f>IFERROR(HLOOKUP(K$2,[62]table_female_hkom3_inj.V4!$A$1:$K$36,7,FALSE),0)</f>
        <v>0</v>
      </c>
      <c r="L2014">
        <f>IFERROR(HLOOKUP(L$2,[62]table_female_hkom3_inj.V4!$A$1:$K$36,7,FALSE),0)</f>
        <v>0</v>
      </c>
      <c r="M2014">
        <f t="shared" si="631"/>
        <v>0</v>
      </c>
      <c r="S2014" t="s">
        <v>75</v>
      </c>
      <c r="T2014" s="5">
        <f t="shared" si="632"/>
        <v>0</v>
      </c>
      <c r="U2014" s="5">
        <f t="shared" si="633"/>
        <v>0</v>
      </c>
      <c r="V2014" s="5">
        <f t="shared" si="634"/>
        <v>0</v>
      </c>
      <c r="W2014" s="5">
        <f t="shared" si="635"/>
        <v>0</v>
      </c>
      <c r="X2014" s="5">
        <f t="shared" si="636"/>
        <v>0</v>
      </c>
      <c r="Y2014" s="5">
        <f t="shared" si="637"/>
        <v>0</v>
      </c>
      <c r="Z2014" s="5">
        <f t="shared" si="638"/>
        <v>0</v>
      </c>
      <c r="AA2014" s="5">
        <f t="shared" si="639"/>
        <v>0</v>
      </c>
      <c r="AB2014" s="5">
        <f t="shared" si="629"/>
        <v>0</v>
      </c>
    </row>
    <row r="2015" spans="1:29" x14ac:dyDescent="0.25">
      <c r="D2015" t="s">
        <v>76</v>
      </c>
      <c r="E2015" s="64"/>
      <c r="F2015" s="64"/>
      <c r="G2015">
        <f>IFERROR(HLOOKUP(G$2,[62]table_female_hkom3_inj.V4!$A$1:$K$36,8,FALSE),0)</f>
        <v>0</v>
      </c>
      <c r="H2015">
        <f>IFERROR(HLOOKUP(H$2,[62]table_female_hkom3_inj.V4!$A$1:$K$36,8,FALSE),0)</f>
        <v>0</v>
      </c>
      <c r="I2015">
        <f>IFERROR(HLOOKUP(I$2,[62]table_female_hkom3_inj.V4!$A$1:$K$36,8,FALSE),0)</f>
        <v>0</v>
      </c>
      <c r="J2015">
        <f>IFERROR(HLOOKUP(J$2,[62]table_female_hkom3_inj.V4!$A$1:$K$36,8,FALSE),0)</f>
        <v>0</v>
      </c>
      <c r="K2015">
        <f>IFERROR(HLOOKUP(K$2,[62]table_female_hkom3_inj.V4!$A$1:$K$36,8,FALSE),0)</f>
        <v>0</v>
      </c>
      <c r="L2015">
        <f>IFERROR(HLOOKUP(L$2,[62]table_female_hkom3_inj.V4!$A$1:$K$36,8,FALSE),0)</f>
        <v>0</v>
      </c>
      <c r="M2015">
        <f t="shared" si="631"/>
        <v>0</v>
      </c>
      <c r="S2015" t="s">
        <v>76</v>
      </c>
      <c r="T2015" s="5">
        <f t="shared" si="632"/>
        <v>0</v>
      </c>
      <c r="U2015" s="5">
        <f t="shared" si="633"/>
        <v>0</v>
      </c>
      <c r="V2015" s="5">
        <f t="shared" si="634"/>
        <v>0</v>
      </c>
      <c r="W2015" s="5">
        <f t="shared" si="635"/>
        <v>0</v>
      </c>
      <c r="X2015" s="5">
        <f t="shared" si="636"/>
        <v>0</v>
      </c>
      <c r="Y2015" s="5">
        <f t="shared" si="637"/>
        <v>0</v>
      </c>
      <c r="Z2015" s="5">
        <f t="shared" si="638"/>
        <v>0</v>
      </c>
      <c r="AA2015" s="5">
        <f t="shared" si="639"/>
        <v>0</v>
      </c>
      <c r="AB2015" s="5">
        <f t="shared" si="629"/>
        <v>0</v>
      </c>
    </row>
    <row r="2016" spans="1:29" x14ac:dyDescent="0.25">
      <c r="D2016" t="s">
        <v>77</v>
      </c>
      <c r="E2016" s="64"/>
      <c r="F2016" s="64"/>
      <c r="G2016">
        <f>IFERROR(HLOOKUP(G$2,[62]table_female_hkom3_inj.V4!$A$1:$K$36,9,FALSE),0)</f>
        <v>0</v>
      </c>
      <c r="H2016">
        <f>IFERROR(HLOOKUP(H$2,[62]table_female_hkom3_inj.V4!$A$1:$K$36,9,FALSE),0)</f>
        <v>0</v>
      </c>
      <c r="I2016">
        <f>IFERROR(HLOOKUP(I$2,[62]table_female_hkom3_inj.V4!$A$1:$K$36,9,FALSE),0)</f>
        <v>0</v>
      </c>
      <c r="J2016">
        <f>IFERROR(HLOOKUP(J$2,[62]table_female_hkom3_inj.V4!$A$1:$K$36,9,FALSE),0)</f>
        <v>0</v>
      </c>
      <c r="K2016">
        <f>IFERROR(HLOOKUP(K$2,[62]table_female_hkom3_inj.V4!$A$1:$K$36,9,FALSE),0)</f>
        <v>0</v>
      </c>
      <c r="L2016">
        <f>IFERROR(HLOOKUP(L$2,[62]table_female_hkom3_inj.V4!$A$1:$K$36,9,FALSE),0)</f>
        <v>0</v>
      </c>
      <c r="M2016">
        <f t="shared" si="631"/>
        <v>0</v>
      </c>
      <c r="S2016" t="s">
        <v>77</v>
      </c>
      <c r="T2016" s="5">
        <f t="shared" si="632"/>
        <v>0</v>
      </c>
      <c r="U2016" s="5">
        <f t="shared" si="633"/>
        <v>0</v>
      </c>
      <c r="V2016" s="5">
        <f t="shared" si="634"/>
        <v>0</v>
      </c>
      <c r="W2016" s="5">
        <f t="shared" si="635"/>
        <v>0</v>
      </c>
      <c r="X2016" s="5">
        <f t="shared" si="636"/>
        <v>0</v>
      </c>
      <c r="Y2016" s="5">
        <f t="shared" si="637"/>
        <v>0</v>
      </c>
      <c r="Z2016" s="5">
        <f t="shared" si="638"/>
        <v>0</v>
      </c>
      <c r="AA2016" s="5">
        <f t="shared" si="639"/>
        <v>0</v>
      </c>
      <c r="AB2016" s="5">
        <f t="shared" si="629"/>
        <v>0</v>
      </c>
    </row>
    <row r="2017" spans="4:28" x14ac:dyDescent="0.25">
      <c r="D2017" t="s">
        <v>78</v>
      </c>
      <c r="E2017" s="64"/>
      <c r="F2017" s="64"/>
      <c r="G2017">
        <f>IFERROR(HLOOKUP(G$2,[62]table_female_hkom3_inj.V4!$A$1:$K$36,10,FALSE),0)</f>
        <v>0</v>
      </c>
      <c r="H2017">
        <f>IFERROR(HLOOKUP(H$2,[62]table_female_hkom3_inj.V4!$A$1:$K$36,10,FALSE),0)</f>
        <v>0</v>
      </c>
      <c r="I2017">
        <f>IFERROR(HLOOKUP(I$2,[62]table_female_hkom3_inj.V4!$A$1:$K$36,10,FALSE),0)</f>
        <v>0</v>
      </c>
      <c r="J2017">
        <f>IFERROR(HLOOKUP(J$2,[62]table_female_hkom3_inj.V4!$A$1:$K$36,10,FALSE),0)</f>
        <v>0</v>
      </c>
      <c r="K2017">
        <f>IFERROR(HLOOKUP(K$2,[62]table_female_hkom3_inj.V4!$A$1:$K$36,10,FALSE),0)</f>
        <v>0</v>
      </c>
      <c r="L2017">
        <f>IFERROR(HLOOKUP(L$2,[62]table_female_hkom3_inj.V4!$A$1:$K$36,10,FALSE),0)</f>
        <v>0</v>
      </c>
      <c r="M2017">
        <f t="shared" si="631"/>
        <v>0</v>
      </c>
      <c r="S2017" t="s">
        <v>78</v>
      </c>
      <c r="T2017" s="5">
        <f t="shared" si="632"/>
        <v>0</v>
      </c>
      <c r="U2017" s="5">
        <f t="shared" si="633"/>
        <v>0</v>
      </c>
      <c r="V2017" s="5">
        <f t="shared" si="634"/>
        <v>0</v>
      </c>
      <c r="W2017" s="5">
        <f t="shared" si="635"/>
        <v>0</v>
      </c>
      <c r="X2017" s="5">
        <f t="shared" si="636"/>
        <v>0</v>
      </c>
      <c r="Y2017" s="5">
        <f t="shared" si="637"/>
        <v>0</v>
      </c>
      <c r="Z2017" s="5">
        <f t="shared" si="638"/>
        <v>0</v>
      </c>
      <c r="AA2017" s="5">
        <f t="shared" si="639"/>
        <v>0</v>
      </c>
      <c r="AB2017" s="5">
        <f t="shared" si="629"/>
        <v>0</v>
      </c>
    </row>
    <row r="2018" spans="4:28" x14ac:dyDescent="0.25">
      <c r="D2018" t="s">
        <v>79</v>
      </c>
      <c r="E2018" s="64"/>
      <c r="F2018" s="64"/>
      <c r="G2018">
        <f>IFERROR(HLOOKUP(G$2,[62]table_female_hkom3_inj.V4!$A$1:$K$36,11,FALSE),0)</f>
        <v>0</v>
      </c>
      <c r="H2018">
        <f>IFERROR(HLOOKUP(H$2,[62]table_female_hkom3_inj.V4!$A$1:$K$36,11,FALSE),0)</f>
        <v>0</v>
      </c>
      <c r="I2018">
        <f>IFERROR(HLOOKUP(I$2,[62]table_female_hkom3_inj.V4!$A$1:$K$36,11,FALSE),0)</f>
        <v>0</v>
      </c>
      <c r="J2018">
        <f>IFERROR(HLOOKUP(J$2,[62]table_female_hkom3_inj.V4!$A$1:$K$36,11,FALSE),0)</f>
        <v>0</v>
      </c>
      <c r="K2018">
        <f>IFERROR(HLOOKUP(K$2,[62]table_female_hkom3_inj.V4!$A$1:$K$36,11,FALSE),0)</f>
        <v>0</v>
      </c>
      <c r="L2018">
        <f>IFERROR(HLOOKUP(L$2,[62]table_female_hkom3_inj.V4!$A$1:$K$36,11,FALSE),0)</f>
        <v>0</v>
      </c>
      <c r="M2018">
        <f t="shared" si="631"/>
        <v>0</v>
      </c>
      <c r="S2018" t="s">
        <v>79</v>
      </c>
      <c r="T2018" s="5">
        <f t="shared" si="632"/>
        <v>0</v>
      </c>
      <c r="U2018" s="5">
        <f t="shared" si="633"/>
        <v>0</v>
      </c>
      <c r="V2018" s="5">
        <f t="shared" si="634"/>
        <v>0</v>
      </c>
      <c r="W2018" s="5">
        <f t="shared" si="635"/>
        <v>0</v>
      </c>
      <c r="X2018" s="5">
        <f t="shared" si="636"/>
        <v>0</v>
      </c>
      <c r="Y2018" s="5">
        <f t="shared" si="637"/>
        <v>0</v>
      </c>
      <c r="Z2018" s="5">
        <f t="shared" si="638"/>
        <v>0</v>
      </c>
      <c r="AA2018" s="5">
        <f t="shared" si="639"/>
        <v>0</v>
      </c>
      <c r="AB2018" s="5">
        <f t="shared" si="629"/>
        <v>0</v>
      </c>
    </row>
    <row r="2019" spans="4:28" x14ac:dyDescent="0.25">
      <c r="D2019" t="s">
        <v>80</v>
      </c>
      <c r="E2019" s="64"/>
      <c r="F2019" s="64"/>
      <c r="G2019">
        <f>IFERROR(HLOOKUP(G$2,[62]table_female_hkom3_inj.V4!$A$1:$K$36,12,FALSE),0)</f>
        <v>0</v>
      </c>
      <c r="H2019">
        <f>IFERROR(HLOOKUP(H$2,[62]table_female_hkom3_inj.V4!$A$1:$K$36,12,FALSE),0)</f>
        <v>0</v>
      </c>
      <c r="I2019">
        <f>IFERROR(HLOOKUP(I$2,[62]table_female_hkom3_inj.V4!$A$1:$K$36,12,FALSE),0)</f>
        <v>0</v>
      </c>
      <c r="J2019">
        <f>IFERROR(HLOOKUP(J$2,[62]table_female_hkom3_inj.V4!$A$1:$K$36,12,FALSE),0)</f>
        <v>0</v>
      </c>
      <c r="K2019">
        <f>IFERROR(HLOOKUP(K$2,[62]table_female_hkom3_inj.V4!$A$1:$K$36,12,FALSE),0)</f>
        <v>0</v>
      </c>
      <c r="L2019">
        <f>IFERROR(HLOOKUP(L$2,[62]table_female_hkom3_inj.V4!$A$1:$K$36,12,FALSE),0)</f>
        <v>0</v>
      </c>
      <c r="M2019">
        <f t="shared" si="631"/>
        <v>0</v>
      </c>
      <c r="S2019" t="s">
        <v>80</v>
      </c>
      <c r="T2019" s="5">
        <f t="shared" si="632"/>
        <v>0</v>
      </c>
      <c r="U2019" s="5">
        <f t="shared" si="633"/>
        <v>0</v>
      </c>
      <c r="V2019" s="5">
        <f t="shared" si="634"/>
        <v>0</v>
      </c>
      <c r="W2019" s="5">
        <f t="shared" si="635"/>
        <v>0</v>
      </c>
      <c r="X2019" s="5">
        <f t="shared" si="636"/>
        <v>0</v>
      </c>
      <c r="Y2019" s="5">
        <f t="shared" si="637"/>
        <v>0</v>
      </c>
      <c r="Z2019" s="5">
        <f t="shared" si="638"/>
        <v>0</v>
      </c>
      <c r="AA2019" s="5">
        <f t="shared" si="639"/>
        <v>0</v>
      </c>
      <c r="AB2019" s="5">
        <f t="shared" si="629"/>
        <v>0</v>
      </c>
    </row>
    <row r="2020" spans="4:28" x14ac:dyDescent="0.25">
      <c r="D2020" t="s">
        <v>81</v>
      </c>
      <c r="E2020" s="64"/>
      <c r="F2020" s="64"/>
      <c r="G2020">
        <f>IFERROR(HLOOKUP(G$2,[62]table_female_hkom3_inj.V4!$A$1:$K$36,13,FALSE),0)</f>
        <v>0</v>
      </c>
      <c r="H2020">
        <f>IFERROR(HLOOKUP(H$2,[62]table_female_hkom3_inj.V4!$A$1:$K$36,13,FALSE),0)</f>
        <v>0</v>
      </c>
      <c r="I2020">
        <f>IFERROR(HLOOKUP(I$2,[62]table_female_hkom3_inj.V4!$A$1:$K$36,13,FALSE),0)</f>
        <v>0</v>
      </c>
      <c r="J2020">
        <f>IFERROR(HLOOKUP(J$2,[62]table_female_hkom3_inj.V4!$A$1:$K$36,13,FALSE),0)</f>
        <v>0</v>
      </c>
      <c r="K2020">
        <f>IFERROR(HLOOKUP(K$2,[62]table_female_hkom3_inj.V4!$A$1:$K$36,13,FALSE),0)</f>
        <v>0</v>
      </c>
      <c r="L2020">
        <f>IFERROR(HLOOKUP(L$2,[62]table_female_hkom3_inj.V4!$A$1:$K$36,13,FALSE),0)</f>
        <v>0</v>
      </c>
      <c r="M2020">
        <f t="shared" si="631"/>
        <v>0</v>
      </c>
      <c r="S2020" t="s">
        <v>81</v>
      </c>
      <c r="T2020" s="5">
        <f t="shared" si="632"/>
        <v>0</v>
      </c>
      <c r="U2020" s="5">
        <f t="shared" si="633"/>
        <v>0</v>
      </c>
      <c r="V2020" s="5">
        <f t="shared" si="634"/>
        <v>0</v>
      </c>
      <c r="W2020" s="5">
        <f t="shared" si="635"/>
        <v>0</v>
      </c>
      <c r="X2020" s="5">
        <f t="shared" si="636"/>
        <v>0</v>
      </c>
      <c r="Y2020" s="5">
        <f t="shared" si="637"/>
        <v>0</v>
      </c>
      <c r="Z2020" s="5">
        <f t="shared" si="638"/>
        <v>0</v>
      </c>
      <c r="AA2020" s="5">
        <f t="shared" si="639"/>
        <v>0</v>
      </c>
      <c r="AB2020" s="5">
        <f t="shared" si="629"/>
        <v>0</v>
      </c>
    </row>
    <row r="2021" spans="4:28" x14ac:dyDescent="0.25">
      <c r="D2021" t="s">
        <v>82</v>
      </c>
      <c r="E2021" s="64"/>
      <c r="F2021" s="64"/>
      <c r="G2021">
        <f>IFERROR(HLOOKUP(G$2,[62]table_female_hkom3_inj.V4!$A$1:$K$36,14,FALSE),0)</f>
        <v>0</v>
      </c>
      <c r="H2021">
        <f>IFERROR(HLOOKUP(H$2,[62]table_female_hkom3_inj.V4!$A$1:$K$36,14,FALSE),0)</f>
        <v>0</v>
      </c>
      <c r="I2021">
        <f>IFERROR(HLOOKUP(I$2,[62]table_female_hkom3_inj.V4!$A$1:$K$36,14,FALSE),0)</f>
        <v>0</v>
      </c>
      <c r="J2021">
        <f>IFERROR(HLOOKUP(J$2,[62]table_female_hkom3_inj.V4!$A$1:$K$36,14,FALSE),0)</f>
        <v>0</v>
      </c>
      <c r="K2021">
        <f>IFERROR(HLOOKUP(K$2,[62]table_female_hkom3_inj.V4!$A$1:$K$36,14,FALSE),0)</f>
        <v>0</v>
      </c>
      <c r="L2021">
        <f>IFERROR(HLOOKUP(L$2,[62]table_female_hkom3_inj.V4!$A$1:$K$36,14,FALSE),0)</f>
        <v>0</v>
      </c>
      <c r="M2021">
        <f t="shared" si="631"/>
        <v>0</v>
      </c>
      <c r="S2021" t="s">
        <v>82</v>
      </c>
      <c r="T2021" s="5">
        <f t="shared" si="632"/>
        <v>0</v>
      </c>
      <c r="U2021" s="5">
        <f t="shared" si="633"/>
        <v>0</v>
      </c>
      <c r="V2021" s="5">
        <f t="shared" si="634"/>
        <v>0</v>
      </c>
      <c r="W2021" s="5">
        <f t="shared" si="635"/>
        <v>0</v>
      </c>
      <c r="X2021" s="5">
        <f t="shared" si="636"/>
        <v>0</v>
      </c>
      <c r="Y2021" s="5">
        <f t="shared" si="637"/>
        <v>0</v>
      </c>
      <c r="Z2021" s="5">
        <f t="shared" si="638"/>
        <v>0</v>
      </c>
      <c r="AA2021" s="5">
        <f t="shared" si="639"/>
        <v>0</v>
      </c>
      <c r="AB2021" s="5">
        <f t="shared" si="629"/>
        <v>0</v>
      </c>
    </row>
    <row r="2022" spans="4:28" x14ac:dyDescent="0.25">
      <c r="D2022" t="s">
        <v>83</v>
      </c>
      <c r="E2022" s="64"/>
      <c r="F2022" s="64"/>
      <c r="G2022">
        <f>IFERROR(HLOOKUP(G$2,[62]table_female_hkom3_inj.V4!$A$1:$K$36,15,FALSE),0)</f>
        <v>0</v>
      </c>
      <c r="H2022">
        <f>IFERROR(HLOOKUP(H$2,[62]table_female_hkom3_inj.V4!$A$1:$K$36,15,FALSE),0)</f>
        <v>0</v>
      </c>
      <c r="I2022">
        <f>IFERROR(HLOOKUP(I$2,[62]table_female_hkom3_inj.V4!$A$1:$K$36,15,FALSE),0)</f>
        <v>0</v>
      </c>
      <c r="J2022">
        <f>IFERROR(HLOOKUP(J$2,[62]table_female_hkom3_inj.V4!$A$1:$K$36,15,FALSE),0)</f>
        <v>0</v>
      </c>
      <c r="K2022">
        <f>IFERROR(HLOOKUP(K$2,[62]table_female_hkom3_inj.V4!$A$1:$K$36,15,FALSE),0)</f>
        <v>0</v>
      </c>
      <c r="L2022">
        <f>IFERROR(HLOOKUP(L$2,[62]table_female_hkom3_inj.V4!$A$1:$K$36,15,FALSE),0)</f>
        <v>0</v>
      </c>
      <c r="M2022">
        <f t="shared" si="631"/>
        <v>0</v>
      </c>
      <c r="S2022" t="s">
        <v>83</v>
      </c>
      <c r="T2022" s="5">
        <f t="shared" si="632"/>
        <v>0</v>
      </c>
      <c r="U2022" s="5">
        <f t="shared" si="633"/>
        <v>0</v>
      </c>
      <c r="V2022" s="5">
        <f t="shared" si="634"/>
        <v>0</v>
      </c>
      <c r="W2022" s="5">
        <f t="shared" si="635"/>
        <v>0</v>
      </c>
      <c r="X2022" s="5">
        <f t="shared" si="636"/>
        <v>0</v>
      </c>
      <c r="Y2022" s="5">
        <f t="shared" si="637"/>
        <v>0</v>
      </c>
      <c r="Z2022" s="5">
        <f t="shared" si="638"/>
        <v>0</v>
      </c>
      <c r="AA2022" s="5">
        <f t="shared" si="639"/>
        <v>0</v>
      </c>
      <c r="AB2022" s="5">
        <f t="shared" si="629"/>
        <v>0</v>
      </c>
    </row>
    <row r="2023" spans="4:28" x14ac:dyDescent="0.25">
      <c r="D2023" t="s">
        <v>84</v>
      </c>
      <c r="E2023" s="64"/>
      <c r="F2023" s="64"/>
      <c r="G2023">
        <f>IFERROR(HLOOKUP(G$2,[62]table_female_hkom3_inj.V4!$A$1:$K$36,16,FALSE),0)</f>
        <v>0</v>
      </c>
      <c r="H2023">
        <f>IFERROR(HLOOKUP(H$2,[62]table_female_hkom3_inj.V4!$A$1:$K$36,16,FALSE),0)</f>
        <v>0</v>
      </c>
      <c r="I2023">
        <f>IFERROR(HLOOKUP(I$2,[62]table_female_hkom3_inj.V4!$A$1:$K$36,16,FALSE),0)</f>
        <v>0</v>
      </c>
      <c r="J2023">
        <f>IFERROR(HLOOKUP(J$2,[62]table_female_hkom3_inj.V4!$A$1:$K$36,16,FALSE),0)</f>
        <v>0</v>
      </c>
      <c r="K2023">
        <f>IFERROR(HLOOKUP(K$2,[62]table_female_hkom3_inj.V4!$A$1:$K$36,16,FALSE),0)</f>
        <v>0</v>
      </c>
      <c r="L2023">
        <f>IFERROR(HLOOKUP(L$2,[62]table_female_hkom3_inj.V4!$A$1:$K$36,16,FALSE),0)</f>
        <v>0</v>
      </c>
      <c r="M2023">
        <f t="shared" si="631"/>
        <v>0</v>
      </c>
      <c r="S2023" t="s">
        <v>84</v>
      </c>
      <c r="T2023" s="5">
        <f t="shared" si="632"/>
        <v>0</v>
      </c>
      <c r="U2023" s="5">
        <f t="shared" si="633"/>
        <v>0</v>
      </c>
      <c r="V2023" s="5">
        <f t="shared" si="634"/>
        <v>0</v>
      </c>
      <c r="W2023" s="5">
        <f t="shared" si="635"/>
        <v>0</v>
      </c>
      <c r="X2023" s="5">
        <f t="shared" si="636"/>
        <v>0</v>
      </c>
      <c r="Y2023" s="5">
        <f t="shared" si="637"/>
        <v>0</v>
      </c>
      <c r="Z2023" s="5">
        <f t="shared" si="638"/>
        <v>0</v>
      </c>
      <c r="AA2023" s="5">
        <f t="shared" si="639"/>
        <v>0</v>
      </c>
      <c r="AB2023" s="5">
        <f t="shared" si="629"/>
        <v>0</v>
      </c>
    </row>
    <row r="2024" spans="4:28" x14ac:dyDescent="0.25">
      <c r="D2024" t="s">
        <v>85</v>
      </c>
      <c r="E2024" s="64"/>
      <c r="F2024" s="64"/>
      <c r="G2024">
        <f>IFERROR(HLOOKUP(G$2,[62]table_female_hkom3_inj.V4!$A$1:$K$36,17,FALSE),0)</f>
        <v>0</v>
      </c>
      <c r="H2024">
        <f>IFERROR(HLOOKUP(H$2,[62]table_female_hkom3_inj.V4!$A$1:$K$36,17,FALSE),0)</f>
        <v>0</v>
      </c>
      <c r="I2024">
        <f>IFERROR(HLOOKUP(I$2,[62]table_female_hkom3_inj.V4!$A$1:$K$36,17,FALSE),0)</f>
        <v>0</v>
      </c>
      <c r="J2024">
        <f>IFERROR(HLOOKUP(J$2,[62]table_female_hkom3_inj.V4!$A$1:$K$36,17,FALSE),0)</f>
        <v>0</v>
      </c>
      <c r="K2024">
        <f>IFERROR(HLOOKUP(K$2,[62]table_female_hkom3_inj.V4!$A$1:$K$36,17,FALSE),0)</f>
        <v>0</v>
      </c>
      <c r="L2024">
        <f>IFERROR(HLOOKUP(L$2,[62]table_female_hkom3_inj.V4!$A$1:$K$36,17,FALSE),0)</f>
        <v>0</v>
      </c>
      <c r="M2024">
        <f t="shared" si="631"/>
        <v>0</v>
      </c>
      <c r="S2024" t="s">
        <v>85</v>
      </c>
      <c r="T2024" s="5">
        <f t="shared" si="632"/>
        <v>0</v>
      </c>
      <c r="U2024" s="5">
        <f t="shared" si="633"/>
        <v>0</v>
      </c>
      <c r="V2024" s="5">
        <f t="shared" si="634"/>
        <v>0</v>
      </c>
      <c r="W2024" s="5">
        <f t="shared" si="635"/>
        <v>0</v>
      </c>
      <c r="X2024" s="5">
        <f t="shared" si="636"/>
        <v>0</v>
      </c>
      <c r="Y2024" s="5">
        <f t="shared" si="637"/>
        <v>0</v>
      </c>
      <c r="Z2024" s="5">
        <f t="shared" si="638"/>
        <v>0</v>
      </c>
      <c r="AA2024" s="5">
        <f t="shared" si="639"/>
        <v>0</v>
      </c>
      <c r="AB2024" s="5">
        <f t="shared" si="629"/>
        <v>0</v>
      </c>
    </row>
    <row r="2025" spans="4:28" x14ac:dyDescent="0.25">
      <c r="D2025" t="s">
        <v>86</v>
      </c>
      <c r="E2025" s="64"/>
      <c r="F2025" s="64"/>
      <c r="G2025">
        <f>IFERROR(HLOOKUP(G$2,[62]table_female_hkom3_inj.V4!$A$1:$K$36,18,FALSE),0)</f>
        <v>0</v>
      </c>
      <c r="H2025">
        <f>IFERROR(HLOOKUP(H$2,[62]table_female_hkom3_inj.V4!$A$1:$K$36,18,FALSE),0)</f>
        <v>0</v>
      </c>
      <c r="I2025">
        <f>IFERROR(HLOOKUP(I$2,[62]table_female_hkom3_inj.V4!$A$1:$K$36,18,FALSE),0)</f>
        <v>0</v>
      </c>
      <c r="J2025">
        <f>IFERROR(HLOOKUP(J$2,[62]table_female_hkom3_inj.V4!$A$1:$K$36,18,FALSE),0)</f>
        <v>0</v>
      </c>
      <c r="K2025">
        <f>IFERROR(HLOOKUP(K$2,[62]table_female_hkom3_inj.V4!$A$1:$K$36,18,FALSE),0)</f>
        <v>0</v>
      </c>
      <c r="L2025">
        <f>IFERROR(HLOOKUP(L$2,[62]table_female_hkom3_inj.V4!$A$1:$K$36,18,FALSE),0)</f>
        <v>0</v>
      </c>
      <c r="M2025">
        <f t="shared" si="631"/>
        <v>0</v>
      </c>
      <c r="S2025" t="s">
        <v>86</v>
      </c>
      <c r="T2025" s="5">
        <f t="shared" si="632"/>
        <v>0</v>
      </c>
      <c r="U2025" s="5">
        <f t="shared" si="633"/>
        <v>0</v>
      </c>
      <c r="V2025" s="5">
        <f t="shared" si="634"/>
        <v>0</v>
      </c>
      <c r="W2025" s="5">
        <f t="shared" si="635"/>
        <v>0</v>
      </c>
      <c r="X2025" s="5">
        <f t="shared" si="636"/>
        <v>0</v>
      </c>
      <c r="Y2025" s="5">
        <f t="shared" si="637"/>
        <v>0</v>
      </c>
      <c r="Z2025" s="5">
        <f t="shared" si="638"/>
        <v>0</v>
      </c>
      <c r="AA2025" s="5">
        <f t="shared" si="639"/>
        <v>0</v>
      </c>
      <c r="AB2025" s="5">
        <f t="shared" si="629"/>
        <v>0</v>
      </c>
    </row>
    <row r="2026" spans="4:28" x14ac:dyDescent="0.25">
      <c r="D2026" t="s">
        <v>87</v>
      </c>
      <c r="E2026" s="64"/>
      <c r="F2026" s="64"/>
      <c r="G2026">
        <f>IFERROR(HLOOKUP(G$2,[62]table_female_hkom3_inj.V4!$A$1:$K$36,19,FALSE),0)</f>
        <v>0</v>
      </c>
      <c r="H2026">
        <f>IFERROR(HLOOKUP(H$2,[62]table_female_hkom3_inj.V4!$A$1:$K$36,19,FALSE),0)</f>
        <v>0</v>
      </c>
      <c r="I2026">
        <f>IFERROR(HLOOKUP(I$2,[62]table_female_hkom3_inj.V4!$A$1:$K$36,19,FALSE),0)</f>
        <v>0</v>
      </c>
      <c r="J2026">
        <f>IFERROR(HLOOKUP(J$2,[62]table_female_hkom3_inj.V4!$A$1:$K$36,19,FALSE),0)</f>
        <v>0</v>
      </c>
      <c r="K2026">
        <f>IFERROR(HLOOKUP(K$2,[62]table_female_hkom3_inj.V4!$A$1:$K$36,19,FALSE),0)</f>
        <v>0</v>
      </c>
      <c r="L2026">
        <f>IFERROR(HLOOKUP(L$2,[62]table_female_hkom3_inj.V4!$A$1:$K$36,19,FALSE),0)</f>
        <v>0</v>
      </c>
      <c r="M2026">
        <f t="shared" si="631"/>
        <v>0</v>
      </c>
      <c r="S2026" t="s">
        <v>87</v>
      </c>
      <c r="T2026" s="5">
        <f t="shared" si="632"/>
        <v>0</v>
      </c>
      <c r="U2026" s="5">
        <f t="shared" si="633"/>
        <v>0</v>
      </c>
      <c r="V2026" s="5">
        <f t="shared" si="634"/>
        <v>0</v>
      </c>
      <c r="W2026" s="5">
        <f t="shared" si="635"/>
        <v>0</v>
      </c>
      <c r="X2026" s="5">
        <f t="shared" si="636"/>
        <v>0</v>
      </c>
      <c r="Y2026" s="5">
        <f t="shared" si="637"/>
        <v>0</v>
      </c>
      <c r="Z2026" s="5">
        <f t="shared" si="638"/>
        <v>0</v>
      </c>
      <c r="AA2026" s="5">
        <f t="shared" si="639"/>
        <v>0</v>
      </c>
      <c r="AB2026" s="5">
        <f t="shared" si="629"/>
        <v>0</v>
      </c>
    </row>
    <row r="2027" spans="4:28" x14ac:dyDescent="0.25">
      <c r="D2027" t="s">
        <v>88</v>
      </c>
      <c r="E2027" s="64"/>
      <c r="F2027" s="64"/>
      <c r="G2027">
        <f>IFERROR(HLOOKUP(G$2,[62]table_female_hkom3_inj.V4!$A$1:$K$36,20,FALSE),0)</f>
        <v>0</v>
      </c>
      <c r="H2027">
        <f>IFERROR(HLOOKUP(H$2,[62]table_female_hkom3_inj.V4!$A$1:$K$36,20,FALSE),0)</f>
        <v>0</v>
      </c>
      <c r="I2027">
        <f>IFERROR(HLOOKUP(I$2,[62]table_female_hkom3_inj.V4!$A$1:$K$36,20,FALSE),0)</f>
        <v>0</v>
      </c>
      <c r="J2027">
        <f>IFERROR(HLOOKUP(J$2,[62]table_female_hkom3_inj.V4!$A$1:$K$36,20,FALSE),0)</f>
        <v>0</v>
      </c>
      <c r="K2027">
        <f>IFERROR(HLOOKUP(K$2,[62]table_female_hkom3_inj.V4!$A$1:$K$36,20,FALSE),0)</f>
        <v>0</v>
      </c>
      <c r="L2027">
        <f>IFERROR(HLOOKUP(L$2,[62]table_female_hkom3_inj.V4!$A$1:$K$36,20,FALSE),0)</f>
        <v>0</v>
      </c>
      <c r="M2027">
        <f t="shared" si="631"/>
        <v>0</v>
      </c>
      <c r="S2027" t="s">
        <v>88</v>
      </c>
      <c r="T2027" s="5">
        <f t="shared" si="632"/>
        <v>0</v>
      </c>
      <c r="U2027" s="5">
        <f t="shared" si="633"/>
        <v>0</v>
      </c>
      <c r="V2027" s="5">
        <f t="shared" si="634"/>
        <v>0</v>
      </c>
      <c r="W2027" s="5">
        <f t="shared" si="635"/>
        <v>0</v>
      </c>
      <c r="X2027" s="5">
        <f t="shared" si="636"/>
        <v>0</v>
      </c>
      <c r="Y2027" s="5">
        <f t="shared" si="637"/>
        <v>0</v>
      </c>
      <c r="Z2027" s="5">
        <f t="shared" si="638"/>
        <v>0</v>
      </c>
      <c r="AA2027" s="5">
        <f t="shared" si="639"/>
        <v>0</v>
      </c>
      <c r="AB2027" s="5">
        <f t="shared" si="629"/>
        <v>0</v>
      </c>
    </row>
    <row r="2028" spans="4:28" x14ac:dyDescent="0.25">
      <c r="D2028" t="s">
        <v>89</v>
      </c>
      <c r="E2028" s="64"/>
      <c r="F2028" s="64"/>
      <c r="G2028">
        <f>IFERROR(HLOOKUP(G$2,[62]table_female_hkom3_inj.V4!$A$1:$K$36,21,FALSE),0)</f>
        <v>0</v>
      </c>
      <c r="H2028">
        <f>IFERROR(HLOOKUP(H$2,[62]table_female_hkom3_inj.V4!$A$1:$K$36,21,FALSE),0)</f>
        <v>0</v>
      </c>
      <c r="I2028">
        <f>IFERROR(HLOOKUP(I$2,[62]table_female_hkom3_inj.V4!$A$1:$K$36,21,FALSE),0)</f>
        <v>0</v>
      </c>
      <c r="J2028">
        <f>IFERROR(HLOOKUP(J$2,[62]table_female_hkom3_inj.V4!$A$1:$K$36,21,FALSE),0)</f>
        <v>0</v>
      </c>
      <c r="K2028">
        <f>IFERROR(HLOOKUP(K$2,[62]table_female_hkom3_inj.V4!$A$1:$K$36,21,FALSE),0)</f>
        <v>0</v>
      </c>
      <c r="L2028">
        <f>IFERROR(HLOOKUP(L$2,[62]table_female_hkom3_inj.V4!$A$1:$K$36,21,FALSE),0)</f>
        <v>0</v>
      </c>
      <c r="M2028">
        <f t="shared" si="631"/>
        <v>0</v>
      </c>
      <c r="S2028" t="s">
        <v>89</v>
      </c>
      <c r="T2028" s="5">
        <f t="shared" si="632"/>
        <v>0</v>
      </c>
      <c r="U2028" s="5">
        <f t="shared" si="633"/>
        <v>0</v>
      </c>
      <c r="V2028" s="5">
        <f t="shared" si="634"/>
        <v>0</v>
      </c>
      <c r="W2028" s="5">
        <f t="shared" si="635"/>
        <v>0</v>
      </c>
      <c r="X2028" s="5">
        <f t="shared" si="636"/>
        <v>0</v>
      </c>
      <c r="Y2028" s="5">
        <f t="shared" si="637"/>
        <v>0</v>
      </c>
      <c r="Z2028" s="5">
        <f t="shared" si="638"/>
        <v>0</v>
      </c>
      <c r="AA2028" s="5">
        <f t="shared" si="639"/>
        <v>0</v>
      </c>
      <c r="AB2028" s="5">
        <f t="shared" si="629"/>
        <v>0</v>
      </c>
    </row>
    <row r="2029" spans="4:28" x14ac:dyDescent="0.25">
      <c r="D2029" t="s">
        <v>90</v>
      </c>
      <c r="E2029" s="64"/>
      <c r="F2029" s="64"/>
      <c r="G2029">
        <f>IFERROR(HLOOKUP(G$2,[62]table_female_hkom3_inj.V4!$A$1:$K$36,22,FALSE),0)</f>
        <v>0</v>
      </c>
      <c r="H2029">
        <f>IFERROR(HLOOKUP(H$2,[62]table_female_hkom3_inj.V4!$A$1:$K$36,22,FALSE),0)</f>
        <v>0</v>
      </c>
      <c r="I2029">
        <f>IFERROR(HLOOKUP(I$2,[62]table_female_hkom3_inj.V4!$A$1:$K$36,22,FALSE),0)</f>
        <v>0</v>
      </c>
      <c r="J2029">
        <f>IFERROR(HLOOKUP(J$2,[62]table_female_hkom3_inj.V4!$A$1:$K$36,22,FALSE),0)</f>
        <v>0</v>
      </c>
      <c r="K2029">
        <f>IFERROR(HLOOKUP(K$2,[62]table_female_hkom3_inj.V4!$A$1:$K$36,22,FALSE),0)</f>
        <v>0</v>
      </c>
      <c r="L2029">
        <f>IFERROR(HLOOKUP(L$2,[62]table_female_hkom3_inj.V4!$A$1:$K$36,22,FALSE),0)</f>
        <v>0</v>
      </c>
      <c r="M2029">
        <f t="shared" si="631"/>
        <v>0</v>
      </c>
      <c r="S2029" t="s">
        <v>90</v>
      </c>
      <c r="T2029" s="5">
        <f t="shared" si="632"/>
        <v>0</v>
      </c>
      <c r="U2029" s="5">
        <f t="shared" si="633"/>
        <v>0</v>
      </c>
      <c r="V2029" s="5">
        <f t="shared" si="634"/>
        <v>0</v>
      </c>
      <c r="W2029" s="5">
        <f t="shared" si="635"/>
        <v>0</v>
      </c>
      <c r="X2029" s="5">
        <f t="shared" si="636"/>
        <v>0</v>
      </c>
      <c r="Y2029" s="5">
        <f t="shared" si="637"/>
        <v>0</v>
      </c>
      <c r="Z2029" s="5">
        <f t="shared" si="638"/>
        <v>0</v>
      </c>
      <c r="AA2029" s="5">
        <f t="shared" si="639"/>
        <v>0</v>
      </c>
      <c r="AB2029" s="5">
        <f t="shared" si="629"/>
        <v>0</v>
      </c>
    </row>
    <row r="2030" spans="4:28" x14ac:dyDescent="0.25">
      <c r="D2030" t="s">
        <v>91</v>
      </c>
      <c r="E2030" s="64"/>
      <c r="F2030" s="64"/>
      <c r="G2030">
        <f>IFERROR(HLOOKUP(G$2,[62]table_female_hkom3_inj.V4!$A$1:$K$36,23,FALSE),0)</f>
        <v>0</v>
      </c>
      <c r="H2030">
        <f>IFERROR(HLOOKUP(H$2,[62]table_female_hkom3_inj.V4!$A$1:$K$36,23,FALSE),0)</f>
        <v>0</v>
      </c>
      <c r="I2030">
        <f>IFERROR(HLOOKUP(I$2,[62]table_female_hkom3_inj.V4!$A$1:$K$36,23,FALSE),0)</f>
        <v>0</v>
      </c>
      <c r="J2030">
        <f>IFERROR(HLOOKUP(J$2,[62]table_female_hkom3_inj.V4!$A$1:$K$36,23,FALSE),0)</f>
        <v>0</v>
      </c>
      <c r="K2030">
        <f>IFERROR(HLOOKUP(K$2,[62]table_female_hkom3_inj.V4!$A$1:$K$36,23,FALSE),0)</f>
        <v>0</v>
      </c>
      <c r="L2030">
        <f>IFERROR(HLOOKUP(L$2,[62]table_female_hkom3_inj.V4!$A$1:$K$36,23,FALSE),0)</f>
        <v>0</v>
      </c>
      <c r="M2030">
        <f t="shared" si="631"/>
        <v>0</v>
      </c>
      <c r="S2030" t="s">
        <v>91</v>
      </c>
      <c r="T2030" s="5">
        <f t="shared" si="632"/>
        <v>0</v>
      </c>
      <c r="U2030" s="5">
        <f t="shared" si="633"/>
        <v>0</v>
      </c>
      <c r="V2030" s="5">
        <f t="shared" si="634"/>
        <v>0</v>
      </c>
      <c r="W2030" s="5">
        <f t="shared" si="635"/>
        <v>0</v>
      </c>
      <c r="X2030" s="5">
        <f t="shared" si="636"/>
        <v>0</v>
      </c>
      <c r="Y2030" s="5">
        <f t="shared" si="637"/>
        <v>0</v>
      </c>
      <c r="Z2030" s="5">
        <f t="shared" si="638"/>
        <v>0</v>
      </c>
      <c r="AA2030" s="5">
        <f t="shared" si="639"/>
        <v>0</v>
      </c>
      <c r="AB2030" s="5">
        <f t="shared" si="629"/>
        <v>0</v>
      </c>
    </row>
    <row r="2031" spans="4:28" x14ac:dyDescent="0.25">
      <c r="D2031" t="s">
        <v>92</v>
      </c>
      <c r="E2031" s="64"/>
      <c r="F2031" s="64"/>
      <c r="G2031">
        <f>IFERROR(HLOOKUP(G$2,[62]table_female_hkom3_inj.V4!$A$1:$K$36,24,FALSE),0)</f>
        <v>0</v>
      </c>
      <c r="H2031">
        <f>IFERROR(HLOOKUP(H$2,[62]table_female_hkom3_inj.V4!$A$1:$K$36,24,FALSE),0)</f>
        <v>0</v>
      </c>
      <c r="I2031">
        <f>IFERROR(HLOOKUP(I$2,[62]table_female_hkom3_inj.V4!$A$1:$K$36,24,FALSE),0)</f>
        <v>0</v>
      </c>
      <c r="J2031">
        <f>IFERROR(HLOOKUP(J$2,[62]table_female_hkom3_inj.V4!$A$1:$K$36,24,FALSE),0)</f>
        <v>0</v>
      </c>
      <c r="K2031">
        <f>IFERROR(HLOOKUP(K$2,[62]table_female_hkom3_inj.V4!$A$1:$K$36,24,FALSE),0)</f>
        <v>0</v>
      </c>
      <c r="L2031">
        <f>IFERROR(HLOOKUP(L$2,[62]table_female_hkom3_inj.V4!$A$1:$K$36,24,FALSE),0)</f>
        <v>0</v>
      </c>
      <c r="M2031">
        <f t="shared" si="631"/>
        <v>0</v>
      </c>
      <c r="S2031" t="s">
        <v>92</v>
      </c>
      <c r="T2031" s="5">
        <f t="shared" si="632"/>
        <v>0</v>
      </c>
      <c r="U2031" s="5">
        <f t="shared" si="633"/>
        <v>0</v>
      </c>
      <c r="V2031" s="5">
        <f t="shared" si="634"/>
        <v>0</v>
      </c>
      <c r="W2031" s="5">
        <f t="shared" si="635"/>
        <v>0</v>
      </c>
      <c r="X2031" s="5">
        <f t="shared" si="636"/>
        <v>0</v>
      </c>
      <c r="Y2031" s="5">
        <f t="shared" si="637"/>
        <v>0</v>
      </c>
      <c r="Z2031" s="5">
        <f t="shared" si="638"/>
        <v>0</v>
      </c>
      <c r="AA2031" s="5">
        <f t="shared" si="639"/>
        <v>0</v>
      </c>
      <c r="AB2031" s="5">
        <f t="shared" si="629"/>
        <v>0</v>
      </c>
    </row>
    <row r="2032" spans="4:28" x14ac:dyDescent="0.25">
      <c r="D2032" t="s">
        <v>93</v>
      </c>
      <c r="E2032" s="64"/>
      <c r="F2032" s="64"/>
      <c r="G2032">
        <f>IFERROR(HLOOKUP(G$2,[62]table_female_hkom3_inj.V4!$A$1:$K$36,25,FALSE),0)</f>
        <v>0</v>
      </c>
      <c r="H2032">
        <f>IFERROR(HLOOKUP(H$2,[62]table_female_hkom3_inj.V4!$A$1:$K$36,25,FALSE),0)</f>
        <v>0</v>
      </c>
      <c r="I2032">
        <f>IFERROR(HLOOKUP(I$2,[62]table_female_hkom3_inj.V4!$A$1:$K$36,25,FALSE),0)</f>
        <v>0</v>
      </c>
      <c r="J2032">
        <f>IFERROR(HLOOKUP(J$2,[62]table_female_hkom3_inj.V4!$A$1:$K$36,25,FALSE),0)</f>
        <v>0</v>
      </c>
      <c r="K2032">
        <f>IFERROR(HLOOKUP(K$2,[62]table_female_hkom3_inj.V4!$A$1:$K$36,25,FALSE),0)</f>
        <v>0</v>
      </c>
      <c r="L2032">
        <f>IFERROR(HLOOKUP(L$2,[62]table_female_hkom3_inj.V4!$A$1:$K$36,25,FALSE),0)</f>
        <v>0</v>
      </c>
      <c r="M2032">
        <f t="shared" si="631"/>
        <v>0</v>
      </c>
      <c r="S2032" t="s">
        <v>93</v>
      </c>
      <c r="T2032" s="5">
        <f t="shared" si="632"/>
        <v>0</v>
      </c>
      <c r="U2032" s="5">
        <f t="shared" si="633"/>
        <v>0</v>
      </c>
      <c r="V2032" s="5">
        <f t="shared" si="634"/>
        <v>0</v>
      </c>
      <c r="W2032" s="5">
        <f t="shared" si="635"/>
        <v>0</v>
      </c>
      <c r="X2032" s="5">
        <f t="shared" si="636"/>
        <v>0</v>
      </c>
      <c r="Y2032" s="5">
        <f t="shared" si="637"/>
        <v>0</v>
      </c>
      <c r="Z2032" s="5">
        <f t="shared" si="638"/>
        <v>0</v>
      </c>
      <c r="AA2032" s="5">
        <f t="shared" si="639"/>
        <v>0</v>
      </c>
      <c r="AB2032" s="5">
        <f t="shared" si="629"/>
        <v>0</v>
      </c>
    </row>
    <row r="2033" spans="1:29" x14ac:dyDescent="0.25">
      <c r="D2033" t="s">
        <v>94</v>
      </c>
      <c r="E2033" s="64"/>
      <c r="F2033" s="64"/>
      <c r="G2033">
        <f>IFERROR(HLOOKUP(G$2,[62]table_female_hkom3_inj.V4!$A$1:$K$36,26,FALSE),0)</f>
        <v>0</v>
      </c>
      <c r="H2033">
        <f>IFERROR(HLOOKUP(H$2,[62]table_female_hkom3_inj.V4!$A$1:$K$36,26,FALSE),0)</f>
        <v>0</v>
      </c>
      <c r="I2033">
        <f>IFERROR(HLOOKUP(I$2,[62]table_female_hkom3_inj.V4!$A$1:$K$36,26,FALSE),0)</f>
        <v>0</v>
      </c>
      <c r="J2033">
        <f>IFERROR(HLOOKUP(J$2,[62]table_female_hkom3_inj.V4!$A$1:$K$36,26,FALSE),0)</f>
        <v>0</v>
      </c>
      <c r="K2033">
        <f>IFERROR(HLOOKUP(K$2,[62]table_female_hkom3_inj.V4!$A$1:$K$36,26,FALSE),0)</f>
        <v>0</v>
      </c>
      <c r="L2033">
        <f>IFERROR(HLOOKUP(L$2,[62]table_female_hkom3_inj.V4!$A$1:$K$36,26,FALSE),0)</f>
        <v>0</v>
      </c>
      <c r="M2033">
        <f t="shared" si="631"/>
        <v>0</v>
      </c>
      <c r="S2033" t="s">
        <v>94</v>
      </c>
      <c r="T2033" s="5">
        <f t="shared" si="632"/>
        <v>0</v>
      </c>
      <c r="U2033" s="5">
        <f t="shared" si="633"/>
        <v>0</v>
      </c>
      <c r="V2033" s="5">
        <f t="shared" si="634"/>
        <v>0</v>
      </c>
      <c r="W2033" s="5">
        <f t="shared" si="635"/>
        <v>0</v>
      </c>
      <c r="X2033" s="5">
        <f t="shared" si="636"/>
        <v>0</v>
      </c>
      <c r="Y2033" s="5">
        <f t="shared" si="637"/>
        <v>0</v>
      </c>
      <c r="Z2033" s="5">
        <f t="shared" si="638"/>
        <v>0</v>
      </c>
      <c r="AA2033" s="5">
        <f t="shared" si="639"/>
        <v>0</v>
      </c>
      <c r="AB2033" s="5">
        <f t="shared" si="629"/>
        <v>0</v>
      </c>
    </row>
    <row r="2034" spans="1:29" x14ac:dyDescent="0.25">
      <c r="D2034" t="s">
        <v>95</v>
      </c>
      <c r="E2034" s="64"/>
      <c r="F2034" s="64"/>
      <c r="G2034">
        <f>IFERROR(HLOOKUP(G$2,[62]table_female_hkom3_inj.V4!$A$1:$K$36,27,FALSE),0)</f>
        <v>0</v>
      </c>
      <c r="H2034">
        <f>IFERROR(HLOOKUP(H$2,[62]table_female_hkom3_inj.V4!$A$1:$K$36,27,FALSE),0)</f>
        <v>0</v>
      </c>
      <c r="I2034">
        <f>IFERROR(HLOOKUP(I$2,[62]table_female_hkom3_inj.V4!$A$1:$K$36,27,FALSE),0)</f>
        <v>0</v>
      </c>
      <c r="J2034">
        <f>IFERROR(HLOOKUP(J$2,[62]table_female_hkom3_inj.V4!$A$1:$K$36,27,FALSE),0)</f>
        <v>0</v>
      </c>
      <c r="K2034">
        <f>IFERROR(HLOOKUP(K$2,[62]table_female_hkom3_inj.V4!$A$1:$K$36,27,FALSE),0)</f>
        <v>0</v>
      </c>
      <c r="L2034">
        <f>IFERROR(HLOOKUP(L$2,[62]table_female_hkom3_inj.V4!$A$1:$K$36,27,FALSE),0)</f>
        <v>0</v>
      </c>
      <c r="M2034">
        <f t="shared" si="631"/>
        <v>0</v>
      </c>
      <c r="S2034" t="s">
        <v>95</v>
      </c>
      <c r="T2034" s="5">
        <f t="shared" si="632"/>
        <v>0</v>
      </c>
      <c r="U2034" s="5">
        <f t="shared" si="633"/>
        <v>0</v>
      </c>
      <c r="V2034" s="5">
        <f t="shared" si="634"/>
        <v>0</v>
      </c>
      <c r="W2034" s="5">
        <f t="shared" si="635"/>
        <v>0</v>
      </c>
      <c r="X2034" s="5">
        <f t="shared" si="636"/>
        <v>0</v>
      </c>
      <c r="Y2034" s="5">
        <f t="shared" si="637"/>
        <v>0</v>
      </c>
      <c r="Z2034" s="5">
        <f t="shared" si="638"/>
        <v>0</v>
      </c>
      <c r="AA2034" s="5">
        <f t="shared" si="639"/>
        <v>0</v>
      </c>
      <c r="AB2034" s="5">
        <f t="shared" si="629"/>
        <v>0</v>
      </c>
    </row>
    <row r="2035" spans="1:29" x14ac:dyDescent="0.25">
      <c r="D2035" t="s">
        <v>96</v>
      </c>
      <c r="E2035" s="64"/>
      <c r="F2035" s="64"/>
      <c r="G2035">
        <f>IFERROR(HLOOKUP(G$2,[62]table_female_hkom3_inj.V4!$A$1:$K$36,28,FALSE),0)</f>
        <v>0</v>
      </c>
      <c r="H2035">
        <f>IFERROR(HLOOKUP(H$2,[62]table_female_hkom3_inj.V4!$A$1:$K$36,28,FALSE),0)</f>
        <v>0</v>
      </c>
      <c r="I2035">
        <f>IFERROR(HLOOKUP(I$2,[62]table_female_hkom3_inj.V4!$A$1:$K$36,28,FALSE),0)</f>
        <v>0</v>
      </c>
      <c r="J2035">
        <f>IFERROR(HLOOKUP(J$2,[62]table_female_hkom3_inj.V4!$A$1:$K$36,28,FALSE),0)</f>
        <v>0</v>
      </c>
      <c r="K2035">
        <f>IFERROR(HLOOKUP(K$2,[62]table_female_hkom3_inj.V4!$A$1:$K$36,28,FALSE),0)</f>
        <v>0</v>
      </c>
      <c r="L2035">
        <f>IFERROR(HLOOKUP(L$2,[62]table_female_hkom3_inj.V4!$A$1:$K$36,28,FALSE),0)</f>
        <v>0</v>
      </c>
      <c r="M2035">
        <f t="shared" si="631"/>
        <v>0</v>
      </c>
      <c r="S2035" t="s">
        <v>96</v>
      </c>
      <c r="T2035" s="5">
        <f t="shared" si="632"/>
        <v>0</v>
      </c>
      <c r="U2035" s="5">
        <f t="shared" si="633"/>
        <v>0</v>
      </c>
      <c r="V2035" s="5">
        <f t="shared" si="634"/>
        <v>0</v>
      </c>
      <c r="W2035" s="5">
        <f t="shared" si="635"/>
        <v>0</v>
      </c>
      <c r="X2035" s="5">
        <f t="shared" si="636"/>
        <v>0</v>
      </c>
      <c r="Y2035" s="5">
        <f t="shared" si="637"/>
        <v>0</v>
      </c>
      <c r="Z2035" s="5">
        <f t="shared" si="638"/>
        <v>0</v>
      </c>
      <c r="AA2035" s="5">
        <f t="shared" si="639"/>
        <v>0</v>
      </c>
      <c r="AB2035" s="5">
        <f t="shared" si="629"/>
        <v>0</v>
      </c>
    </row>
    <row r="2036" spans="1:29" x14ac:dyDescent="0.25">
      <c r="D2036" t="s">
        <v>97</v>
      </c>
      <c r="E2036" s="64"/>
      <c r="F2036" s="64"/>
      <c r="G2036">
        <f>IFERROR(HLOOKUP(G$2,[62]table_female_hkom3_inj.V4!$A$1:$K$36,29,FALSE),0)</f>
        <v>0</v>
      </c>
      <c r="H2036">
        <f>IFERROR(HLOOKUP(H$2,[62]table_female_hkom3_inj.V4!$A$1:$K$36,29,FALSE),0)</f>
        <v>0</v>
      </c>
      <c r="I2036">
        <f>IFERROR(HLOOKUP(I$2,[62]table_female_hkom3_inj.V4!$A$1:$K$36,29,FALSE),0)</f>
        <v>0</v>
      </c>
      <c r="J2036">
        <f>IFERROR(HLOOKUP(J$2,[62]table_female_hkom3_inj.V4!$A$1:$K$36,29,FALSE),0)</f>
        <v>0</v>
      </c>
      <c r="K2036">
        <f>IFERROR(HLOOKUP(K$2,[62]table_female_hkom3_inj.V4!$A$1:$K$36,29,FALSE),0)</f>
        <v>0</v>
      </c>
      <c r="L2036">
        <f>IFERROR(HLOOKUP(L$2,[62]table_female_hkom3_inj.V4!$A$1:$K$36,29,FALSE),0)</f>
        <v>0</v>
      </c>
      <c r="M2036">
        <f t="shared" si="631"/>
        <v>0</v>
      </c>
      <c r="S2036" t="s">
        <v>97</v>
      </c>
      <c r="T2036" s="5">
        <f t="shared" si="632"/>
        <v>0</v>
      </c>
      <c r="U2036" s="5">
        <f t="shared" si="633"/>
        <v>0</v>
      </c>
      <c r="V2036" s="5">
        <f t="shared" si="634"/>
        <v>0</v>
      </c>
      <c r="W2036" s="5">
        <f t="shared" si="635"/>
        <v>0</v>
      </c>
      <c r="X2036" s="5">
        <f t="shared" si="636"/>
        <v>0</v>
      </c>
      <c r="Y2036" s="5">
        <f t="shared" si="637"/>
        <v>0</v>
      </c>
      <c r="Z2036" s="5">
        <f t="shared" si="638"/>
        <v>0</v>
      </c>
      <c r="AA2036" s="5">
        <f t="shared" si="639"/>
        <v>0</v>
      </c>
      <c r="AB2036" s="5">
        <f t="shared" si="629"/>
        <v>0</v>
      </c>
    </row>
    <row r="2037" spans="1:29" x14ac:dyDescent="0.25">
      <c r="D2037" t="s">
        <v>98</v>
      </c>
      <c r="E2037" s="64"/>
      <c r="F2037" s="64"/>
      <c r="G2037">
        <f>IFERROR(HLOOKUP(G$2,[62]table_female_hkom3_inj.V4!$A$1:$K$36,30,FALSE),0)</f>
        <v>0</v>
      </c>
      <c r="H2037">
        <f>IFERROR(HLOOKUP(H$2,[62]table_female_hkom3_inj.V4!$A$1:$K$36,30,FALSE),0)</f>
        <v>0</v>
      </c>
      <c r="I2037">
        <f>IFERROR(HLOOKUP(I$2,[62]table_female_hkom3_inj.V4!$A$1:$K$36,30,FALSE),0)</f>
        <v>0</v>
      </c>
      <c r="J2037">
        <f>IFERROR(HLOOKUP(J$2,[62]table_female_hkom3_inj.V4!$A$1:$K$36,30,FALSE),0)</f>
        <v>0</v>
      </c>
      <c r="K2037">
        <f>IFERROR(HLOOKUP(K$2,[62]table_female_hkom3_inj.V4!$A$1:$K$36,30,FALSE),0)</f>
        <v>0</v>
      </c>
      <c r="L2037">
        <f>IFERROR(HLOOKUP(L$2,[62]table_female_hkom3_inj.V4!$A$1:$K$36,30,FALSE),0)</f>
        <v>0</v>
      </c>
      <c r="M2037">
        <f t="shared" si="631"/>
        <v>0</v>
      </c>
      <c r="S2037" t="s">
        <v>98</v>
      </c>
      <c r="T2037" s="5">
        <f t="shared" si="632"/>
        <v>0</v>
      </c>
      <c r="U2037" s="5">
        <f t="shared" si="633"/>
        <v>0</v>
      </c>
      <c r="V2037" s="5">
        <f t="shared" si="634"/>
        <v>0</v>
      </c>
      <c r="W2037" s="5">
        <f t="shared" si="635"/>
        <v>0</v>
      </c>
      <c r="X2037" s="5">
        <f t="shared" si="636"/>
        <v>0</v>
      </c>
      <c r="Y2037" s="5">
        <f t="shared" si="637"/>
        <v>0</v>
      </c>
      <c r="Z2037" s="5">
        <f t="shared" si="638"/>
        <v>0</v>
      </c>
      <c r="AA2037" s="5">
        <f t="shared" si="639"/>
        <v>0</v>
      </c>
      <c r="AB2037" s="5">
        <f t="shared" si="629"/>
        <v>0</v>
      </c>
    </row>
    <row r="2038" spans="1:29" x14ac:dyDescent="0.25">
      <c r="D2038" t="s">
        <v>119</v>
      </c>
      <c r="E2038" s="64"/>
      <c r="F2038" s="64"/>
      <c r="G2038">
        <f>IFERROR(HLOOKUP(G$2,[62]table_female_hkom3_inj.V4!$A$1:$K$36,31,FALSE),0)</f>
        <v>0</v>
      </c>
      <c r="H2038">
        <f>IFERROR(HLOOKUP(H$2,[62]table_female_hkom3_inj.V4!$A$1:$K$36,31,FALSE),0)</f>
        <v>0</v>
      </c>
      <c r="I2038">
        <f>IFERROR(HLOOKUP(I$2,[62]table_female_hkom3_inj.V4!$A$1:$K$36,31,FALSE),0)</f>
        <v>0</v>
      </c>
      <c r="J2038">
        <f>IFERROR(HLOOKUP(J$2,[62]table_female_hkom3_inj.V4!$A$1:$K$36,31,FALSE),0)</f>
        <v>0</v>
      </c>
      <c r="K2038">
        <f>IFERROR(HLOOKUP(K$2,[62]table_female_hkom3_inj.V4!$A$1:$K$36,31,FALSE),0)</f>
        <v>0</v>
      </c>
      <c r="L2038">
        <f>IFERROR(HLOOKUP(L$2,[62]table_female_hkom3_inj.V4!$A$1:$K$36,31,FALSE),0)</f>
        <v>0</v>
      </c>
      <c r="M2038">
        <f t="shared" si="631"/>
        <v>0</v>
      </c>
      <c r="S2038" t="s">
        <v>119</v>
      </c>
      <c r="T2038" s="5">
        <f t="shared" si="632"/>
        <v>0</v>
      </c>
      <c r="U2038" s="5">
        <f t="shared" si="633"/>
        <v>0</v>
      </c>
      <c r="V2038" s="5">
        <f t="shared" si="634"/>
        <v>0</v>
      </c>
      <c r="W2038" s="5">
        <f t="shared" si="635"/>
        <v>0</v>
      </c>
      <c r="X2038" s="5">
        <f t="shared" si="636"/>
        <v>0</v>
      </c>
      <c r="Y2038" s="5">
        <f t="shared" si="637"/>
        <v>0</v>
      </c>
      <c r="Z2038" s="5">
        <f t="shared" si="638"/>
        <v>0</v>
      </c>
      <c r="AA2038" s="5">
        <f t="shared" si="639"/>
        <v>0</v>
      </c>
      <c r="AB2038" s="5">
        <f t="shared" si="629"/>
        <v>0</v>
      </c>
    </row>
    <row r="2039" spans="1:29" x14ac:dyDescent="0.25">
      <c r="D2039" t="s">
        <v>99</v>
      </c>
      <c r="E2039" s="64"/>
      <c r="F2039" s="64"/>
      <c r="G2039">
        <f>IFERROR(HLOOKUP(G$2,[62]table_female_hkom3_inj.V4!$A$1:$K$36,32,FALSE),0)</f>
        <v>0</v>
      </c>
      <c r="H2039">
        <f>IFERROR(HLOOKUP(H$2,[62]table_female_hkom3_inj.V4!$A$1:$K$36,32,FALSE),0)</f>
        <v>0</v>
      </c>
      <c r="I2039">
        <f>IFERROR(HLOOKUP(I$2,[62]table_female_hkom3_inj.V4!$A$1:$K$36,32,FALSE),0)</f>
        <v>0</v>
      </c>
      <c r="J2039">
        <f>IFERROR(HLOOKUP(J$2,[62]table_female_hkom3_inj.V4!$A$1:$K$36,32,FALSE),0)</f>
        <v>0</v>
      </c>
      <c r="K2039">
        <f>IFERROR(HLOOKUP(K$2,[62]table_female_hkom3_inj.V4!$A$1:$K$36,32,FALSE),0)</f>
        <v>0</v>
      </c>
      <c r="L2039">
        <f>IFERROR(HLOOKUP(L$2,[62]table_female_hkom3_inj.V4!$A$1:$K$36,32,FALSE),0)</f>
        <v>0</v>
      </c>
      <c r="M2039">
        <f t="shared" si="631"/>
        <v>0</v>
      </c>
      <c r="S2039" t="s">
        <v>99</v>
      </c>
      <c r="T2039" s="5">
        <f t="shared" si="632"/>
        <v>0</v>
      </c>
      <c r="U2039" s="5">
        <f t="shared" si="633"/>
        <v>0</v>
      </c>
      <c r="V2039" s="5">
        <f t="shared" si="634"/>
        <v>0</v>
      </c>
      <c r="W2039" s="5">
        <f t="shared" si="635"/>
        <v>0</v>
      </c>
      <c r="X2039" s="5">
        <f t="shared" si="636"/>
        <v>0</v>
      </c>
      <c r="Y2039" s="5">
        <f t="shared" si="637"/>
        <v>0</v>
      </c>
      <c r="Z2039" s="5">
        <f t="shared" si="638"/>
        <v>0</v>
      </c>
      <c r="AA2039" s="5">
        <f t="shared" si="639"/>
        <v>0</v>
      </c>
      <c r="AB2039" s="5">
        <f t="shared" si="629"/>
        <v>0</v>
      </c>
    </row>
    <row r="2040" spans="1:29" x14ac:dyDescent="0.25">
      <c r="D2040" t="s">
        <v>100</v>
      </c>
      <c r="E2040" s="64"/>
      <c r="F2040" s="64"/>
      <c r="G2040">
        <f>IFERROR(HLOOKUP(G$2,[62]table_female_hkom3_inj.V4!$A$1:$K$36,33,FALSE),0)</f>
        <v>0</v>
      </c>
      <c r="H2040">
        <f>IFERROR(HLOOKUP(H$2,[62]table_female_hkom3_inj.V4!$A$1:$K$36,33,FALSE),0)</f>
        <v>0</v>
      </c>
      <c r="I2040">
        <f>IFERROR(HLOOKUP(I$2,[62]table_female_hkom3_inj.V4!$A$1:$K$36,33,FALSE),0)</f>
        <v>0</v>
      </c>
      <c r="J2040">
        <f>IFERROR(HLOOKUP(J$2,[62]table_female_hkom3_inj.V4!$A$1:$K$36,33,FALSE),0)</f>
        <v>0</v>
      </c>
      <c r="K2040">
        <f>IFERROR(HLOOKUP(K$2,[62]table_female_hkom3_inj.V4!$A$1:$K$36,33,FALSE),0)</f>
        <v>0</v>
      </c>
      <c r="L2040">
        <f>IFERROR(HLOOKUP(L$2,[62]table_female_hkom3_inj.V4!$A$1:$K$36,33,FALSE),0)</f>
        <v>0</v>
      </c>
      <c r="M2040">
        <f t="shared" si="631"/>
        <v>0</v>
      </c>
      <c r="S2040" t="s">
        <v>100</v>
      </c>
      <c r="T2040" s="5">
        <f t="shared" si="632"/>
        <v>0</v>
      </c>
      <c r="U2040" s="5">
        <f t="shared" si="633"/>
        <v>0</v>
      </c>
      <c r="V2040" s="5">
        <f t="shared" si="634"/>
        <v>0</v>
      </c>
      <c r="W2040" s="5">
        <f t="shared" si="635"/>
        <v>0</v>
      </c>
      <c r="X2040" s="5">
        <f t="shared" si="636"/>
        <v>0</v>
      </c>
      <c r="Y2040" s="5">
        <f t="shared" si="637"/>
        <v>0</v>
      </c>
      <c r="Z2040" s="5">
        <f t="shared" si="638"/>
        <v>0</v>
      </c>
      <c r="AA2040" s="5">
        <f t="shared" si="639"/>
        <v>0</v>
      </c>
      <c r="AB2040" s="5">
        <f t="shared" si="629"/>
        <v>0</v>
      </c>
    </row>
    <row r="2041" spans="1:29" x14ac:dyDescent="0.25">
      <c r="D2041" t="s">
        <v>101</v>
      </c>
      <c r="E2041" s="64"/>
      <c r="F2041" s="64"/>
      <c r="G2041">
        <f>IFERROR(HLOOKUP(G$2,[62]table_female_hkom3_inj.V4!$A$1:$K$36,34,FALSE),0)</f>
        <v>0</v>
      </c>
      <c r="H2041">
        <f>IFERROR(HLOOKUP(H$2,[62]table_female_hkom3_inj.V4!$A$1:$K$36,34,FALSE),0)</f>
        <v>0</v>
      </c>
      <c r="I2041">
        <f>IFERROR(HLOOKUP(I$2,[62]table_female_hkom3_inj.V4!$A$1:$K$36,34,FALSE),0)</f>
        <v>0</v>
      </c>
      <c r="J2041">
        <f>IFERROR(HLOOKUP(J$2,[62]table_female_hkom3_inj.V4!$A$1:$K$36,34,FALSE),0)</f>
        <v>0</v>
      </c>
      <c r="K2041">
        <f>IFERROR(HLOOKUP(K$2,[62]table_female_hkom3_inj.V4!$A$1:$K$36,34,FALSE),0)</f>
        <v>0</v>
      </c>
      <c r="L2041">
        <f>IFERROR(HLOOKUP(L$2,[62]table_female_hkom3_inj.V4!$A$1:$K$36,34,FALSE),0)</f>
        <v>0</v>
      </c>
      <c r="M2041">
        <f t="shared" si="631"/>
        <v>0</v>
      </c>
      <c r="S2041" t="s">
        <v>101</v>
      </c>
      <c r="T2041" s="5">
        <f t="shared" si="632"/>
        <v>0</v>
      </c>
      <c r="U2041" s="5">
        <f t="shared" si="633"/>
        <v>0</v>
      </c>
      <c r="V2041" s="5">
        <f t="shared" si="634"/>
        <v>0</v>
      </c>
      <c r="W2041" s="5">
        <f t="shared" si="635"/>
        <v>0</v>
      </c>
      <c r="X2041" s="5">
        <f t="shared" si="636"/>
        <v>0</v>
      </c>
      <c r="Y2041" s="5">
        <f t="shared" si="637"/>
        <v>0</v>
      </c>
      <c r="Z2041" s="5">
        <f t="shared" si="638"/>
        <v>0</v>
      </c>
      <c r="AA2041" s="5">
        <f t="shared" si="639"/>
        <v>0</v>
      </c>
      <c r="AB2041" s="5">
        <f t="shared" si="629"/>
        <v>0</v>
      </c>
    </row>
    <row r="2042" spans="1:29" x14ac:dyDescent="0.25">
      <c r="D2042" t="s">
        <v>102</v>
      </c>
      <c r="E2042" s="64"/>
      <c r="F2042" s="64"/>
      <c r="G2042">
        <f>IFERROR(HLOOKUP(G$2,[62]table_female_hkom3_inj.V4!$A$1:$K$36,35,FALSE),0)</f>
        <v>0</v>
      </c>
      <c r="H2042">
        <f>IFERROR(HLOOKUP(H$2,[62]table_female_hkom3_inj.V4!$A$1:$K$36,35,FALSE),0)</f>
        <v>0</v>
      </c>
      <c r="I2042">
        <f>IFERROR(HLOOKUP(I$2,[62]table_female_hkom3_inj.V4!$A$1:$K$36,35,FALSE),0)</f>
        <v>0</v>
      </c>
      <c r="J2042">
        <f>IFERROR(HLOOKUP(J$2,[62]table_female_hkom3_inj.V4!$A$1:$K$36,35,FALSE),0)</f>
        <v>0</v>
      </c>
      <c r="K2042">
        <f>IFERROR(HLOOKUP(K$2,[62]table_female_hkom3_inj.V4!$A$1:$K$36,35,FALSE),0)</f>
        <v>0</v>
      </c>
      <c r="L2042">
        <f>IFERROR(HLOOKUP(L$2,[62]table_female_hkom3_inj.V4!$A$1:$K$36,35,FALSE),0)</f>
        <v>0</v>
      </c>
      <c r="M2042">
        <f t="shared" si="631"/>
        <v>0</v>
      </c>
      <c r="N2042">
        <f>SUM(M2009:M2042)</f>
        <v>0</v>
      </c>
      <c r="O2042" s="8">
        <f>SUM([62]table_female_hkom3_inj.V4!$B$2:$L$36)</f>
        <v>0</v>
      </c>
      <c r="S2042" t="s">
        <v>102</v>
      </c>
      <c r="T2042" s="7"/>
      <c r="U2042" s="7"/>
      <c r="V2042" s="7"/>
      <c r="W2042" s="7"/>
      <c r="X2042" s="7"/>
      <c r="Y2042" s="7"/>
      <c r="Z2042" s="7"/>
      <c r="AA2042" s="7"/>
      <c r="AB2042" s="5">
        <f t="shared" si="629"/>
        <v>0</v>
      </c>
      <c r="AC2042" s="5">
        <f>SUM(AB2009:AB2041)</f>
        <v>0</v>
      </c>
    </row>
    <row r="2043" spans="1:29" x14ac:dyDescent="0.25">
      <c r="A2043" t="s">
        <v>115</v>
      </c>
      <c r="B2043" t="s">
        <v>117</v>
      </c>
      <c r="C2043" t="s">
        <v>109</v>
      </c>
      <c r="D2043" t="s">
        <v>70</v>
      </c>
      <c r="E2043" s="64"/>
      <c r="F2043" s="64"/>
      <c r="G2043">
        <f>IFERROR(HLOOKUP(G$2,[63]table_female_hkom3_inj.U1!$A$1:$K$36,2,FALSE),0)</f>
        <v>11</v>
      </c>
      <c r="H2043">
        <f>IFERROR(HLOOKUP(H$2,[63]table_female_hkom3_inj.U1!$A$1:$K$36,2,FALSE),0)</f>
        <v>20</v>
      </c>
      <c r="I2043">
        <f>IFERROR(HLOOKUP(I$2,[63]table_female_hkom3_inj.U1!$A$1:$K$36,2,FALSE),0)</f>
        <v>7</v>
      </c>
      <c r="J2043">
        <f>IFERROR(HLOOKUP(J$2,[63]table_female_hkom3_inj.U1!$A$1:$K$36,2,FALSE),0)</f>
        <v>1</v>
      </c>
      <c r="K2043">
        <f>IFERROR(HLOOKUP(K$2,[63]table_female_hkom3_inj.U1!$A$1:$K$36,2,FALSE),0)</f>
        <v>0</v>
      </c>
      <c r="L2043">
        <f>IFERROR(HLOOKUP(L$2,[63]table_female_hkom3_inj.U1!$A$1:$K$36,2,FALSE),0)</f>
        <v>0</v>
      </c>
      <c r="M2043">
        <f>SUM(E2043:L2043)</f>
        <v>39</v>
      </c>
      <c r="P2043" t="s">
        <v>115</v>
      </c>
      <c r="Q2043" t="s">
        <v>117</v>
      </c>
      <c r="R2043" t="s">
        <v>109</v>
      </c>
      <c r="S2043" t="s">
        <v>70</v>
      </c>
      <c r="T2043" s="5">
        <f>IF(SUM(E$2043:E$2075)=0,E$2076/33,E2043+IFERROR(E2043/SUM(E$2043:E$2075)*E$2076,0))</f>
        <v>0</v>
      </c>
      <c r="U2043" s="5">
        <f t="shared" ref="U2043:AA2043" si="640">IF(SUM(F$2043:F$2075)=0,F$2076/33,F2043+IFERROR(F2043/SUM(F$2043:F$2075)*F$2076,0))</f>
        <v>0</v>
      </c>
      <c r="V2043" s="5">
        <f t="shared" si="640"/>
        <v>14.177777777777777</v>
      </c>
      <c r="W2043" s="5">
        <f t="shared" si="640"/>
        <v>24.412713035467526</v>
      </c>
      <c r="X2043" s="5">
        <f t="shared" si="640"/>
        <v>8.0882352941176467</v>
      </c>
      <c r="Y2043" s="5">
        <f t="shared" si="640"/>
        <v>1.2105263157894737</v>
      </c>
      <c r="Z2043" s="5">
        <f t="shared" si="640"/>
        <v>0</v>
      </c>
      <c r="AA2043" s="5">
        <f t="shared" si="640"/>
        <v>0</v>
      </c>
      <c r="AB2043" s="5">
        <f t="shared" si="629"/>
        <v>47.889252423152421</v>
      </c>
    </row>
    <row r="2044" spans="1:29" x14ac:dyDescent="0.25">
      <c r="D2044" t="s">
        <v>71</v>
      </c>
      <c r="E2044" s="64"/>
      <c r="F2044" s="64"/>
      <c r="G2044">
        <f>IFERROR(HLOOKUP(G$2,[63]table_female_hkom3_inj.U1!$A$1:$K$36,3,FALSE),0)</f>
        <v>114</v>
      </c>
      <c r="H2044">
        <f>IFERROR(HLOOKUP(H$2,[63]table_female_hkom3_inj.U1!$A$1:$K$36,3,FALSE),0)</f>
        <v>112</v>
      </c>
      <c r="I2044">
        <f>IFERROR(HLOOKUP(I$2,[63]table_female_hkom3_inj.U1!$A$1:$K$36,3,FALSE),0)</f>
        <v>40</v>
      </c>
      <c r="J2044">
        <f>IFERROR(HLOOKUP(J$2,[63]table_female_hkom3_inj.U1!$A$1:$K$36,3,FALSE),0)</f>
        <v>6</v>
      </c>
      <c r="K2044">
        <f>IFERROR(HLOOKUP(K$2,[63]table_female_hkom3_inj.U1!$A$1:$K$36,3,FALSE),0)</f>
        <v>0</v>
      </c>
      <c r="L2044">
        <f>IFERROR(HLOOKUP(L$2,[63]table_female_hkom3_inj.U1!$A$1:$K$36,3,FALSE),0)</f>
        <v>0</v>
      </c>
      <c r="M2044">
        <f t="shared" ref="M2044:M2076" si="641">SUM(E2044:L2044)</f>
        <v>272</v>
      </c>
      <c r="S2044" t="s">
        <v>71</v>
      </c>
      <c r="T2044" s="5">
        <f t="shared" ref="T2044:T2075" si="642">IF(SUM(E$2043:E$2075)=0,E$2076/33,E2044+IFERROR(E2044/SUM(E$2043:E$2075)*E$2076,0))</f>
        <v>0</v>
      </c>
      <c r="U2044" s="5">
        <f t="shared" ref="U2044:U2075" si="643">IF(SUM(F$2043:F$2075)=0,F$2076/33,F2044+IFERROR(F2044/SUM(F$2043:F$2075)*F$2076,0))</f>
        <v>0</v>
      </c>
      <c r="V2044" s="5">
        <f t="shared" ref="V2044:V2075" si="644">IF(SUM(G$2043:G$2075)=0,G$2076/33,G2044+IFERROR(G2044/SUM(G$2043:G$2075)*G$2076,0))</f>
        <v>146.93333333333334</v>
      </c>
      <c r="W2044" s="5">
        <f t="shared" ref="W2044:W2075" si="645">IF(SUM(H$2043:H$2075)=0,H$2076/33,H2044+IFERROR(H2044/SUM(H$2043:H$2075)*H$2076,0))</f>
        <v>136.71119299861815</v>
      </c>
      <c r="X2044" s="5">
        <f t="shared" ref="X2044:X2075" si="646">IF(SUM(I$2043:I$2075)=0,I$2076/33,I2044+IFERROR(I2044/SUM(I$2043:I$2075)*I$2076,0))</f>
        <v>46.218487394957982</v>
      </c>
      <c r="Y2044" s="5">
        <f t="shared" ref="Y2044:Y2075" si="647">IF(SUM(J$2043:J$2075)=0,J$2076/33,J2044+IFERROR(J2044/SUM(J$2043:J$2075)*J$2076,0))</f>
        <v>7.2631578947368425</v>
      </c>
      <c r="Z2044" s="5">
        <f t="shared" ref="Z2044:Z2075" si="648">IF(SUM(K$2043:K$2075)=0,K$2076/33,K2044+IFERROR(K2044/SUM(K$2043:K$2075)*K$2076,0))</f>
        <v>0</v>
      </c>
      <c r="AA2044" s="5">
        <f t="shared" ref="AA2044:AA2075" si="649">IF(SUM(L$2043:L$2075)=0,L$2076/33,L2044+IFERROR(L2044/SUM(L$2043:L$2075)*L$2076,0))</f>
        <v>0</v>
      </c>
      <c r="AB2044" s="5">
        <f t="shared" si="629"/>
        <v>337.12617162164634</v>
      </c>
    </row>
    <row r="2045" spans="1:29" x14ac:dyDescent="0.25">
      <c r="D2045" t="s">
        <v>72</v>
      </c>
      <c r="E2045" s="64"/>
      <c r="F2045" s="64"/>
      <c r="G2045">
        <f>IFERROR(HLOOKUP(G$2,[63]table_female_hkom3_inj.U1!$A$1:$K$36,4,FALSE),0)</f>
        <v>36</v>
      </c>
      <c r="H2045">
        <f>IFERROR(HLOOKUP(H$2,[63]table_female_hkom3_inj.U1!$A$1:$K$36,4,FALSE),0)</f>
        <v>59</v>
      </c>
      <c r="I2045">
        <f>IFERROR(HLOOKUP(I$2,[63]table_female_hkom3_inj.U1!$A$1:$K$36,4,FALSE),0)</f>
        <v>25</v>
      </c>
      <c r="J2045">
        <f>IFERROR(HLOOKUP(J$2,[63]table_female_hkom3_inj.U1!$A$1:$K$36,4,FALSE),0)</f>
        <v>5</v>
      </c>
      <c r="K2045">
        <f>IFERROR(HLOOKUP(K$2,[63]table_female_hkom3_inj.U1!$A$1:$K$36,4,FALSE),0)</f>
        <v>0</v>
      </c>
      <c r="L2045">
        <f>IFERROR(HLOOKUP(L$2,[63]table_female_hkom3_inj.U1!$A$1:$K$36,4,FALSE),0)</f>
        <v>0</v>
      </c>
      <c r="M2045">
        <f t="shared" si="641"/>
        <v>125</v>
      </c>
      <c r="S2045" t="s">
        <v>72</v>
      </c>
      <c r="T2045" s="5">
        <f t="shared" si="642"/>
        <v>0</v>
      </c>
      <c r="U2045" s="5">
        <f t="shared" si="643"/>
        <v>0</v>
      </c>
      <c r="V2045" s="5">
        <f t="shared" si="644"/>
        <v>46.4</v>
      </c>
      <c r="W2045" s="5">
        <f t="shared" si="645"/>
        <v>72.017503454629207</v>
      </c>
      <c r="X2045" s="5">
        <f t="shared" si="646"/>
        <v>28.886554621848738</v>
      </c>
      <c r="Y2045" s="5">
        <f t="shared" si="647"/>
        <v>6.0526315789473681</v>
      </c>
      <c r="Z2045" s="5">
        <f t="shared" si="648"/>
        <v>0</v>
      </c>
      <c r="AA2045" s="5">
        <f t="shared" si="649"/>
        <v>0</v>
      </c>
      <c r="AB2045" s="5">
        <f t="shared" si="629"/>
        <v>153.35668965542533</v>
      </c>
    </row>
    <row r="2046" spans="1:29" x14ac:dyDescent="0.25">
      <c r="D2046" t="s">
        <v>73</v>
      </c>
      <c r="E2046" s="64"/>
      <c r="F2046" s="64"/>
      <c r="G2046">
        <f>IFERROR(HLOOKUP(G$2,[63]table_female_hkom3_inj.U1!$A$1:$K$36,5,FALSE),0)</f>
        <v>6</v>
      </c>
      <c r="H2046">
        <f>IFERROR(HLOOKUP(H$2,[63]table_female_hkom3_inj.U1!$A$1:$K$36,5,FALSE),0)</f>
        <v>10</v>
      </c>
      <c r="I2046">
        <f>IFERROR(HLOOKUP(I$2,[63]table_female_hkom3_inj.U1!$A$1:$K$36,5,FALSE),0)</f>
        <v>3</v>
      </c>
      <c r="J2046">
        <f>IFERROR(HLOOKUP(J$2,[63]table_female_hkom3_inj.U1!$A$1:$K$36,5,FALSE),0)</f>
        <v>0</v>
      </c>
      <c r="K2046">
        <f>IFERROR(HLOOKUP(K$2,[63]table_female_hkom3_inj.U1!$A$1:$K$36,5,FALSE),0)</f>
        <v>0</v>
      </c>
      <c r="L2046">
        <f>IFERROR(HLOOKUP(L$2,[63]table_female_hkom3_inj.U1!$A$1:$K$36,5,FALSE),0)</f>
        <v>0</v>
      </c>
      <c r="M2046">
        <f t="shared" si="641"/>
        <v>19</v>
      </c>
      <c r="S2046" t="s">
        <v>73</v>
      </c>
      <c r="T2046" s="5">
        <f t="shared" si="642"/>
        <v>0</v>
      </c>
      <c r="U2046" s="5">
        <f t="shared" si="643"/>
        <v>0</v>
      </c>
      <c r="V2046" s="5">
        <f t="shared" si="644"/>
        <v>7.7333333333333334</v>
      </c>
      <c r="W2046" s="5">
        <f t="shared" si="645"/>
        <v>12.206356517733763</v>
      </c>
      <c r="X2046" s="5">
        <f t="shared" si="646"/>
        <v>3.4663865546218489</v>
      </c>
      <c r="Y2046" s="5">
        <f t="shared" si="647"/>
        <v>0</v>
      </c>
      <c r="Z2046" s="5">
        <f t="shared" si="648"/>
        <v>0</v>
      </c>
      <c r="AA2046" s="5">
        <f t="shared" si="649"/>
        <v>0</v>
      </c>
      <c r="AB2046" s="5">
        <f t="shared" si="629"/>
        <v>23.406076405688946</v>
      </c>
    </row>
    <row r="2047" spans="1:29" x14ac:dyDescent="0.25">
      <c r="D2047" t="s">
        <v>74</v>
      </c>
      <c r="E2047" s="64"/>
      <c r="F2047" s="64"/>
      <c r="G2047">
        <f>IFERROR(HLOOKUP(G$2,[63]table_female_hkom3_inj.U1!$A$1:$K$36,6,FALSE),0)</f>
        <v>17</v>
      </c>
      <c r="H2047">
        <f>IFERROR(HLOOKUP(H$2,[63]table_female_hkom3_inj.U1!$A$1:$K$36,6,FALSE),0)</f>
        <v>67</v>
      </c>
      <c r="I2047">
        <f>IFERROR(HLOOKUP(I$2,[63]table_female_hkom3_inj.U1!$A$1:$K$36,6,FALSE),0)</f>
        <v>55</v>
      </c>
      <c r="J2047">
        <f>IFERROR(HLOOKUP(J$2,[63]table_female_hkom3_inj.U1!$A$1:$K$36,6,FALSE),0)</f>
        <v>5</v>
      </c>
      <c r="K2047">
        <f>IFERROR(HLOOKUP(K$2,[63]table_female_hkom3_inj.U1!$A$1:$K$36,6,FALSE),0)</f>
        <v>0</v>
      </c>
      <c r="L2047">
        <f>IFERROR(HLOOKUP(L$2,[63]table_female_hkom3_inj.U1!$A$1:$K$36,6,FALSE),0)</f>
        <v>0</v>
      </c>
      <c r="M2047">
        <f t="shared" si="641"/>
        <v>144</v>
      </c>
      <c r="S2047" t="s">
        <v>74</v>
      </c>
      <c r="T2047" s="5">
        <f t="shared" si="642"/>
        <v>0</v>
      </c>
      <c r="U2047" s="5">
        <f t="shared" si="643"/>
        <v>0</v>
      </c>
      <c r="V2047" s="5">
        <f t="shared" si="644"/>
        <v>21.911111111111111</v>
      </c>
      <c r="W2047" s="5">
        <f t="shared" si="645"/>
        <v>81.782588668816217</v>
      </c>
      <c r="X2047" s="5">
        <f t="shared" si="646"/>
        <v>63.550420168067227</v>
      </c>
      <c r="Y2047" s="5">
        <f t="shared" si="647"/>
        <v>6.0526315789473681</v>
      </c>
      <c r="Z2047" s="5">
        <f t="shared" si="648"/>
        <v>0</v>
      </c>
      <c r="AA2047" s="5">
        <f t="shared" si="649"/>
        <v>0</v>
      </c>
      <c r="AB2047" s="5">
        <f t="shared" si="629"/>
        <v>173.29675152694193</v>
      </c>
    </row>
    <row r="2048" spans="1:29" x14ac:dyDescent="0.25">
      <c r="D2048" t="s">
        <v>75</v>
      </c>
      <c r="E2048" s="64"/>
      <c r="F2048" s="64"/>
      <c r="G2048">
        <f>IFERROR(HLOOKUP(G$2,[63]table_female_hkom3_inj.U1!$A$1:$K$36,7,FALSE),0)</f>
        <v>32</v>
      </c>
      <c r="H2048">
        <f>IFERROR(HLOOKUP(H$2,[63]table_female_hkom3_inj.U1!$A$1:$K$36,7,FALSE),0)</f>
        <v>44</v>
      </c>
      <c r="I2048">
        <f>IFERROR(HLOOKUP(I$2,[63]table_female_hkom3_inj.U1!$A$1:$K$36,7,FALSE),0)</f>
        <v>18</v>
      </c>
      <c r="J2048">
        <f>IFERROR(HLOOKUP(J$2,[63]table_female_hkom3_inj.U1!$A$1:$K$36,7,FALSE),0)</f>
        <v>0</v>
      </c>
      <c r="K2048">
        <f>IFERROR(HLOOKUP(K$2,[63]table_female_hkom3_inj.U1!$A$1:$K$36,7,FALSE),0)</f>
        <v>0</v>
      </c>
      <c r="L2048">
        <f>IFERROR(HLOOKUP(L$2,[63]table_female_hkom3_inj.U1!$A$1:$K$36,7,FALSE),0)</f>
        <v>0</v>
      </c>
      <c r="M2048">
        <f t="shared" si="641"/>
        <v>94</v>
      </c>
      <c r="S2048" t="s">
        <v>75</v>
      </c>
      <c r="T2048" s="5">
        <f t="shared" si="642"/>
        <v>0</v>
      </c>
      <c r="U2048" s="5">
        <f t="shared" si="643"/>
        <v>0</v>
      </c>
      <c r="V2048" s="5">
        <f t="shared" si="644"/>
        <v>41.24444444444444</v>
      </c>
      <c r="W2048" s="5">
        <f t="shared" si="645"/>
        <v>53.707968678028557</v>
      </c>
      <c r="X2048" s="5">
        <f t="shared" si="646"/>
        <v>20.798319327731093</v>
      </c>
      <c r="Y2048" s="5">
        <f t="shared" si="647"/>
        <v>0</v>
      </c>
      <c r="Z2048" s="5">
        <f t="shared" si="648"/>
        <v>0</v>
      </c>
      <c r="AA2048" s="5">
        <f t="shared" si="649"/>
        <v>0</v>
      </c>
      <c r="AB2048" s="5">
        <f t="shared" si="629"/>
        <v>115.75073245020408</v>
      </c>
    </row>
    <row r="2049" spans="4:28" x14ac:dyDescent="0.25">
      <c r="D2049" t="s">
        <v>76</v>
      </c>
      <c r="E2049" s="64"/>
      <c r="F2049" s="64"/>
      <c r="G2049">
        <f>IFERROR(HLOOKUP(G$2,[63]table_female_hkom3_inj.U1!$A$1:$K$36,8,FALSE),0)</f>
        <v>87</v>
      </c>
      <c r="H2049">
        <f>IFERROR(HLOOKUP(H$2,[63]table_female_hkom3_inj.U1!$A$1:$K$36,8,FALSE),0)</f>
        <v>109</v>
      </c>
      <c r="I2049">
        <f>IFERROR(HLOOKUP(I$2,[63]table_female_hkom3_inj.U1!$A$1:$K$36,8,FALSE),0)</f>
        <v>60</v>
      </c>
      <c r="J2049">
        <f>IFERROR(HLOOKUP(J$2,[63]table_female_hkom3_inj.U1!$A$1:$K$36,8,FALSE),0)</f>
        <v>4</v>
      </c>
      <c r="K2049">
        <f>IFERROR(HLOOKUP(K$2,[63]table_female_hkom3_inj.U1!$A$1:$K$36,8,FALSE),0)</f>
        <v>0</v>
      </c>
      <c r="L2049">
        <f>IFERROR(HLOOKUP(L$2,[63]table_female_hkom3_inj.U1!$A$1:$K$36,8,FALSE),0)</f>
        <v>0</v>
      </c>
      <c r="M2049">
        <f t="shared" si="641"/>
        <v>260</v>
      </c>
      <c r="S2049" t="s">
        <v>76</v>
      </c>
      <c r="T2049" s="5">
        <f t="shared" si="642"/>
        <v>0</v>
      </c>
      <c r="U2049" s="5">
        <f t="shared" si="643"/>
        <v>0</v>
      </c>
      <c r="V2049" s="5">
        <f t="shared" si="644"/>
        <v>112.13333333333333</v>
      </c>
      <c r="W2049" s="5">
        <f t="shared" si="645"/>
        <v>133.04928604329803</v>
      </c>
      <c r="X2049" s="5">
        <f t="shared" si="646"/>
        <v>69.327731092436977</v>
      </c>
      <c r="Y2049" s="5">
        <f t="shared" si="647"/>
        <v>4.8421052631578947</v>
      </c>
      <c r="Z2049" s="5">
        <f t="shared" si="648"/>
        <v>0</v>
      </c>
      <c r="AA2049" s="5">
        <f t="shared" si="649"/>
        <v>0</v>
      </c>
      <c r="AB2049" s="5">
        <f t="shared" si="629"/>
        <v>319.35245573222625</v>
      </c>
    </row>
    <row r="2050" spans="4:28" x14ac:dyDescent="0.25">
      <c r="D2050" t="s">
        <v>77</v>
      </c>
      <c r="E2050" s="64"/>
      <c r="F2050" s="64"/>
      <c r="G2050">
        <f>IFERROR(HLOOKUP(G$2,[63]table_female_hkom3_inj.U1!$A$1:$K$36,9,FALSE),0)</f>
        <v>75</v>
      </c>
      <c r="H2050">
        <f>IFERROR(HLOOKUP(H$2,[63]table_female_hkom3_inj.U1!$A$1:$K$36,9,FALSE),0)</f>
        <v>151</v>
      </c>
      <c r="I2050">
        <f>IFERROR(HLOOKUP(I$2,[63]table_female_hkom3_inj.U1!$A$1:$K$36,9,FALSE),0)</f>
        <v>77</v>
      </c>
      <c r="J2050">
        <f>IFERROR(HLOOKUP(J$2,[63]table_female_hkom3_inj.U1!$A$1:$K$36,9,FALSE),0)</f>
        <v>3</v>
      </c>
      <c r="K2050">
        <f>IFERROR(HLOOKUP(K$2,[63]table_female_hkom3_inj.U1!$A$1:$K$36,9,FALSE),0)</f>
        <v>0</v>
      </c>
      <c r="L2050">
        <f>IFERROR(HLOOKUP(L$2,[63]table_female_hkom3_inj.U1!$A$1:$K$36,9,FALSE),0)</f>
        <v>0</v>
      </c>
      <c r="M2050">
        <f t="shared" si="641"/>
        <v>306</v>
      </c>
      <c r="S2050" t="s">
        <v>77</v>
      </c>
      <c r="T2050" s="5">
        <f t="shared" si="642"/>
        <v>0</v>
      </c>
      <c r="U2050" s="5">
        <f t="shared" si="643"/>
        <v>0</v>
      </c>
      <c r="V2050" s="5">
        <f t="shared" si="644"/>
        <v>96.666666666666657</v>
      </c>
      <c r="W2050" s="5">
        <f t="shared" si="645"/>
        <v>184.31598341777982</v>
      </c>
      <c r="X2050" s="5">
        <f t="shared" si="646"/>
        <v>88.970588235294116</v>
      </c>
      <c r="Y2050" s="5">
        <f t="shared" si="647"/>
        <v>3.6315789473684212</v>
      </c>
      <c r="Z2050" s="5">
        <f t="shared" si="648"/>
        <v>0</v>
      </c>
      <c r="AA2050" s="5">
        <f t="shared" si="649"/>
        <v>0</v>
      </c>
      <c r="AB2050" s="5">
        <f t="shared" si="629"/>
        <v>373.58481726710909</v>
      </c>
    </row>
    <row r="2051" spans="4:28" x14ac:dyDescent="0.25">
      <c r="D2051" t="s">
        <v>78</v>
      </c>
      <c r="E2051" s="64"/>
      <c r="F2051" s="64"/>
      <c r="G2051">
        <f>IFERROR(HLOOKUP(G$2,[63]table_female_hkom3_inj.U1!$A$1:$K$36,10,FALSE),0)</f>
        <v>46</v>
      </c>
      <c r="H2051">
        <f>IFERROR(HLOOKUP(H$2,[63]table_female_hkom3_inj.U1!$A$1:$K$36,10,FALSE),0)</f>
        <v>77</v>
      </c>
      <c r="I2051">
        <f>IFERROR(HLOOKUP(I$2,[63]table_female_hkom3_inj.U1!$A$1:$K$36,10,FALSE),0)</f>
        <v>48</v>
      </c>
      <c r="J2051">
        <f>IFERROR(HLOOKUP(J$2,[63]table_female_hkom3_inj.U1!$A$1:$K$36,10,FALSE),0)</f>
        <v>1</v>
      </c>
      <c r="K2051">
        <f>IFERROR(HLOOKUP(K$2,[63]table_female_hkom3_inj.U1!$A$1:$K$36,10,FALSE),0)</f>
        <v>0</v>
      </c>
      <c r="L2051">
        <f>IFERROR(HLOOKUP(L$2,[63]table_female_hkom3_inj.U1!$A$1:$K$36,10,FALSE),0)</f>
        <v>0</v>
      </c>
      <c r="M2051">
        <f t="shared" si="641"/>
        <v>172</v>
      </c>
      <c r="S2051" t="s">
        <v>78</v>
      </c>
      <c r="T2051" s="5">
        <f t="shared" si="642"/>
        <v>0</v>
      </c>
      <c r="U2051" s="5">
        <f t="shared" si="643"/>
        <v>0</v>
      </c>
      <c r="V2051" s="5">
        <f t="shared" si="644"/>
        <v>59.288888888888891</v>
      </c>
      <c r="W2051" s="5">
        <f t="shared" si="645"/>
        <v>93.988945186549984</v>
      </c>
      <c r="X2051" s="5">
        <f t="shared" si="646"/>
        <v>55.462184873949582</v>
      </c>
      <c r="Y2051" s="5">
        <f t="shared" si="647"/>
        <v>1.2105263157894737</v>
      </c>
      <c r="Z2051" s="5">
        <f t="shared" si="648"/>
        <v>0</v>
      </c>
      <c r="AA2051" s="5">
        <f t="shared" si="649"/>
        <v>0</v>
      </c>
      <c r="AB2051" s="5">
        <f t="shared" si="629"/>
        <v>209.95054526517794</v>
      </c>
    </row>
    <row r="2052" spans="4:28" x14ac:dyDescent="0.25">
      <c r="D2052" t="s">
        <v>79</v>
      </c>
      <c r="E2052" s="64"/>
      <c r="F2052" s="64"/>
      <c r="G2052">
        <f>IFERROR(HLOOKUP(G$2,[63]table_female_hkom3_inj.U1!$A$1:$K$36,11,FALSE),0)</f>
        <v>70</v>
      </c>
      <c r="H2052">
        <f>IFERROR(HLOOKUP(H$2,[63]table_female_hkom3_inj.U1!$A$1:$K$36,11,FALSE),0)</f>
        <v>49</v>
      </c>
      <c r="I2052">
        <f>IFERROR(HLOOKUP(I$2,[63]table_female_hkom3_inj.U1!$A$1:$K$36,11,FALSE),0)</f>
        <v>24</v>
      </c>
      <c r="J2052">
        <f>IFERROR(HLOOKUP(J$2,[63]table_female_hkom3_inj.U1!$A$1:$K$36,11,FALSE),0)</f>
        <v>4</v>
      </c>
      <c r="K2052">
        <f>IFERROR(HLOOKUP(K$2,[63]table_female_hkom3_inj.U1!$A$1:$K$36,11,FALSE),0)</f>
        <v>0</v>
      </c>
      <c r="L2052">
        <f>IFERROR(HLOOKUP(L$2,[63]table_female_hkom3_inj.U1!$A$1:$K$36,11,FALSE),0)</f>
        <v>0</v>
      </c>
      <c r="M2052">
        <f t="shared" si="641"/>
        <v>147</v>
      </c>
      <c r="S2052" t="s">
        <v>79</v>
      </c>
      <c r="T2052" s="5">
        <f t="shared" si="642"/>
        <v>0</v>
      </c>
      <c r="U2052" s="5">
        <f t="shared" si="643"/>
        <v>0</v>
      </c>
      <c r="V2052" s="5">
        <f t="shared" si="644"/>
        <v>90.222222222222229</v>
      </c>
      <c r="W2052" s="5">
        <f t="shared" si="645"/>
        <v>59.81114693689544</v>
      </c>
      <c r="X2052" s="5">
        <f t="shared" si="646"/>
        <v>27.731092436974791</v>
      </c>
      <c r="Y2052" s="5">
        <f t="shared" si="647"/>
        <v>4.8421052631578947</v>
      </c>
      <c r="Z2052" s="5">
        <f t="shared" si="648"/>
        <v>0</v>
      </c>
      <c r="AA2052" s="5">
        <f t="shared" si="649"/>
        <v>0</v>
      </c>
      <c r="AB2052" s="5">
        <f t="shared" si="629"/>
        <v>182.60656685925036</v>
      </c>
    </row>
    <row r="2053" spans="4:28" x14ac:dyDescent="0.25">
      <c r="D2053" t="s">
        <v>80</v>
      </c>
      <c r="E2053" s="64"/>
      <c r="F2053" s="64"/>
      <c r="G2053">
        <f>IFERROR(HLOOKUP(G$2,[63]table_female_hkom3_inj.U1!$A$1:$K$36,12,FALSE),0)</f>
        <v>97</v>
      </c>
      <c r="H2053">
        <f>IFERROR(HLOOKUP(H$2,[63]table_female_hkom3_inj.U1!$A$1:$K$36,12,FALSE),0)</f>
        <v>137</v>
      </c>
      <c r="I2053">
        <f>IFERROR(HLOOKUP(I$2,[63]table_female_hkom3_inj.U1!$A$1:$K$36,12,FALSE),0)</f>
        <v>74</v>
      </c>
      <c r="J2053">
        <f>IFERROR(HLOOKUP(J$2,[63]table_female_hkom3_inj.U1!$A$1:$K$36,12,FALSE),0)</f>
        <v>8</v>
      </c>
      <c r="K2053">
        <f>IFERROR(HLOOKUP(K$2,[63]table_female_hkom3_inj.U1!$A$1:$K$36,12,FALSE),0)</f>
        <v>1</v>
      </c>
      <c r="L2053">
        <f>IFERROR(HLOOKUP(L$2,[63]table_female_hkom3_inj.U1!$A$1:$K$36,12,FALSE),0)</f>
        <v>0</v>
      </c>
      <c r="M2053">
        <f t="shared" si="641"/>
        <v>317</v>
      </c>
      <c r="S2053" t="s">
        <v>80</v>
      </c>
      <c r="T2053" s="5">
        <f t="shared" si="642"/>
        <v>0</v>
      </c>
      <c r="U2053" s="5">
        <f t="shared" si="643"/>
        <v>0</v>
      </c>
      <c r="V2053" s="5">
        <f t="shared" si="644"/>
        <v>125.02222222222223</v>
      </c>
      <c r="W2053" s="5">
        <f t="shared" si="645"/>
        <v>167.22708429295255</v>
      </c>
      <c r="X2053" s="5">
        <f t="shared" si="646"/>
        <v>85.504201680672267</v>
      </c>
      <c r="Y2053" s="5">
        <f t="shared" si="647"/>
        <v>9.6842105263157894</v>
      </c>
      <c r="Z2053" s="5">
        <f t="shared" si="648"/>
        <v>1</v>
      </c>
      <c r="AA2053" s="5">
        <f t="shared" si="649"/>
        <v>0</v>
      </c>
      <c r="AB2053" s="5">
        <f t="shared" si="629"/>
        <v>388.43771872216286</v>
      </c>
    </row>
    <row r="2054" spans="4:28" x14ac:dyDescent="0.25">
      <c r="D2054" t="s">
        <v>81</v>
      </c>
      <c r="E2054" s="64"/>
      <c r="F2054" s="64"/>
      <c r="G2054">
        <f>IFERROR(HLOOKUP(G$2,[63]table_female_hkom3_inj.U1!$A$1:$K$36,13,FALSE),0)</f>
        <v>21</v>
      </c>
      <c r="H2054">
        <f>IFERROR(HLOOKUP(H$2,[63]table_female_hkom3_inj.U1!$A$1:$K$36,13,FALSE),0)</f>
        <v>31</v>
      </c>
      <c r="I2054">
        <f>IFERROR(HLOOKUP(I$2,[63]table_female_hkom3_inj.U1!$A$1:$K$36,13,FALSE),0)</f>
        <v>13</v>
      </c>
      <c r="J2054">
        <f>IFERROR(HLOOKUP(J$2,[63]table_female_hkom3_inj.U1!$A$1:$K$36,13,FALSE),0)</f>
        <v>1</v>
      </c>
      <c r="K2054">
        <f>IFERROR(HLOOKUP(K$2,[63]table_female_hkom3_inj.U1!$A$1:$K$36,13,FALSE),0)</f>
        <v>0</v>
      </c>
      <c r="L2054">
        <f>IFERROR(HLOOKUP(L$2,[63]table_female_hkom3_inj.U1!$A$1:$K$36,13,FALSE),0)</f>
        <v>0</v>
      </c>
      <c r="M2054">
        <f t="shared" si="641"/>
        <v>66</v>
      </c>
      <c r="S2054" t="s">
        <v>81</v>
      </c>
      <c r="T2054" s="5">
        <f t="shared" si="642"/>
        <v>0</v>
      </c>
      <c r="U2054" s="5">
        <f t="shared" si="643"/>
        <v>0</v>
      </c>
      <c r="V2054" s="5">
        <f t="shared" si="644"/>
        <v>27.066666666666666</v>
      </c>
      <c r="W2054" s="5">
        <f t="shared" si="645"/>
        <v>37.839705204974663</v>
      </c>
      <c r="X2054" s="5">
        <f t="shared" si="646"/>
        <v>15.021008403361344</v>
      </c>
      <c r="Y2054" s="5">
        <f t="shared" si="647"/>
        <v>1.2105263157894737</v>
      </c>
      <c r="Z2054" s="5">
        <f t="shared" si="648"/>
        <v>0</v>
      </c>
      <c r="AA2054" s="5">
        <f t="shared" si="649"/>
        <v>0</v>
      </c>
      <c r="AB2054" s="5">
        <f t="shared" si="629"/>
        <v>81.137906590792156</v>
      </c>
    </row>
    <row r="2055" spans="4:28" x14ac:dyDescent="0.25">
      <c r="D2055" t="s">
        <v>82</v>
      </c>
      <c r="E2055" s="64"/>
      <c r="F2055" s="64"/>
      <c r="G2055">
        <f>IFERROR(HLOOKUP(G$2,[63]table_female_hkom3_inj.U1!$A$1:$K$36,14,FALSE),0)</f>
        <v>70</v>
      </c>
      <c r="H2055">
        <f>IFERROR(HLOOKUP(H$2,[63]table_female_hkom3_inj.U1!$A$1:$K$36,14,FALSE),0)</f>
        <v>74</v>
      </c>
      <c r="I2055">
        <f>IFERROR(HLOOKUP(I$2,[63]table_female_hkom3_inj.U1!$A$1:$K$36,14,FALSE),0)</f>
        <v>33</v>
      </c>
      <c r="J2055">
        <f>IFERROR(HLOOKUP(J$2,[63]table_female_hkom3_inj.U1!$A$1:$K$36,14,FALSE),0)</f>
        <v>2</v>
      </c>
      <c r="K2055">
        <f>IFERROR(HLOOKUP(K$2,[63]table_female_hkom3_inj.U1!$A$1:$K$36,14,FALSE),0)</f>
        <v>1</v>
      </c>
      <c r="L2055">
        <f>IFERROR(HLOOKUP(L$2,[63]table_female_hkom3_inj.U1!$A$1:$K$36,14,FALSE),0)</f>
        <v>0</v>
      </c>
      <c r="M2055">
        <f t="shared" si="641"/>
        <v>180</v>
      </c>
      <c r="S2055" t="s">
        <v>82</v>
      </c>
      <c r="T2055" s="5">
        <f t="shared" si="642"/>
        <v>0</v>
      </c>
      <c r="U2055" s="5">
        <f t="shared" si="643"/>
        <v>0</v>
      </c>
      <c r="V2055" s="5">
        <f t="shared" si="644"/>
        <v>90.222222222222229</v>
      </c>
      <c r="W2055" s="5">
        <f t="shared" si="645"/>
        <v>90.327038231229849</v>
      </c>
      <c r="X2055" s="5">
        <f t="shared" si="646"/>
        <v>38.130252100840337</v>
      </c>
      <c r="Y2055" s="5">
        <f t="shared" si="647"/>
        <v>2.4210526315789473</v>
      </c>
      <c r="Z2055" s="5">
        <f t="shared" si="648"/>
        <v>1</v>
      </c>
      <c r="AA2055" s="5">
        <f t="shared" si="649"/>
        <v>0</v>
      </c>
      <c r="AB2055" s="5">
        <f t="shared" si="629"/>
        <v>222.10056518587135</v>
      </c>
    </row>
    <row r="2056" spans="4:28" x14ac:dyDescent="0.25">
      <c r="D2056" t="s">
        <v>83</v>
      </c>
      <c r="E2056" s="64"/>
      <c r="F2056" s="64"/>
      <c r="G2056">
        <f>IFERROR(HLOOKUP(G$2,[63]table_female_hkom3_inj.U1!$A$1:$K$36,15,FALSE),0)</f>
        <v>9</v>
      </c>
      <c r="H2056">
        <f>IFERROR(HLOOKUP(H$2,[63]table_female_hkom3_inj.U1!$A$1:$K$36,15,FALSE),0)</f>
        <v>15</v>
      </c>
      <c r="I2056">
        <f>IFERROR(HLOOKUP(I$2,[63]table_female_hkom3_inj.U1!$A$1:$K$36,15,FALSE),0)</f>
        <v>8</v>
      </c>
      <c r="J2056">
        <f>IFERROR(HLOOKUP(J$2,[63]table_female_hkom3_inj.U1!$A$1:$K$36,15,FALSE),0)</f>
        <v>0</v>
      </c>
      <c r="K2056">
        <f>IFERROR(HLOOKUP(K$2,[63]table_female_hkom3_inj.U1!$A$1:$K$36,15,FALSE),0)</f>
        <v>0</v>
      </c>
      <c r="L2056">
        <f>IFERROR(HLOOKUP(L$2,[63]table_female_hkom3_inj.U1!$A$1:$K$36,15,FALSE),0)</f>
        <v>0</v>
      </c>
      <c r="M2056">
        <f t="shared" si="641"/>
        <v>32</v>
      </c>
      <c r="S2056" t="s">
        <v>83</v>
      </c>
      <c r="T2056" s="5">
        <f t="shared" si="642"/>
        <v>0</v>
      </c>
      <c r="U2056" s="5">
        <f t="shared" si="643"/>
        <v>0</v>
      </c>
      <c r="V2056" s="5">
        <f t="shared" si="644"/>
        <v>11.6</v>
      </c>
      <c r="W2056" s="5">
        <f t="shared" si="645"/>
        <v>18.309534776600646</v>
      </c>
      <c r="X2056" s="5">
        <f t="shared" si="646"/>
        <v>9.2436974789915958</v>
      </c>
      <c r="Y2056" s="5">
        <f t="shared" si="647"/>
        <v>0</v>
      </c>
      <c r="Z2056" s="5">
        <f t="shared" si="648"/>
        <v>0</v>
      </c>
      <c r="AA2056" s="5">
        <f t="shared" si="649"/>
        <v>0</v>
      </c>
      <c r="AB2056" s="5">
        <f t="shared" si="629"/>
        <v>39.153232255592243</v>
      </c>
    </row>
    <row r="2057" spans="4:28" x14ac:dyDescent="0.25">
      <c r="D2057" t="s">
        <v>84</v>
      </c>
      <c r="E2057" s="64"/>
      <c r="F2057" s="64"/>
      <c r="G2057">
        <f>IFERROR(HLOOKUP(G$2,[63]table_female_hkom3_inj.U1!$A$1:$K$36,16,FALSE),0)</f>
        <v>8</v>
      </c>
      <c r="H2057">
        <f>IFERROR(HLOOKUP(H$2,[63]table_female_hkom3_inj.U1!$A$1:$K$36,16,FALSE),0)</f>
        <v>20</v>
      </c>
      <c r="I2057">
        <f>IFERROR(HLOOKUP(I$2,[63]table_female_hkom3_inj.U1!$A$1:$K$36,16,FALSE),0)</f>
        <v>10</v>
      </c>
      <c r="J2057">
        <f>IFERROR(HLOOKUP(J$2,[63]table_female_hkom3_inj.U1!$A$1:$K$36,16,FALSE),0)</f>
        <v>0</v>
      </c>
      <c r="K2057">
        <f>IFERROR(HLOOKUP(K$2,[63]table_female_hkom3_inj.U1!$A$1:$K$36,16,FALSE),0)</f>
        <v>0</v>
      </c>
      <c r="L2057">
        <f>IFERROR(HLOOKUP(L$2,[63]table_female_hkom3_inj.U1!$A$1:$K$36,16,FALSE),0)</f>
        <v>0</v>
      </c>
      <c r="M2057">
        <f t="shared" si="641"/>
        <v>38</v>
      </c>
      <c r="S2057" t="s">
        <v>84</v>
      </c>
      <c r="T2057" s="5">
        <f t="shared" si="642"/>
        <v>0</v>
      </c>
      <c r="U2057" s="5">
        <f t="shared" si="643"/>
        <v>0</v>
      </c>
      <c r="V2057" s="5">
        <f t="shared" si="644"/>
        <v>10.31111111111111</v>
      </c>
      <c r="W2057" s="5">
        <f t="shared" si="645"/>
        <v>24.412713035467526</v>
      </c>
      <c r="X2057" s="5">
        <f t="shared" si="646"/>
        <v>11.554621848739496</v>
      </c>
      <c r="Y2057" s="5">
        <f t="shared" si="647"/>
        <v>0</v>
      </c>
      <c r="Z2057" s="5">
        <f t="shared" si="648"/>
        <v>0</v>
      </c>
      <c r="AA2057" s="5">
        <f t="shared" si="649"/>
        <v>0</v>
      </c>
      <c r="AB2057" s="5">
        <f t="shared" si="629"/>
        <v>46.27844599531813</v>
      </c>
    </row>
    <row r="2058" spans="4:28" x14ac:dyDescent="0.25">
      <c r="D2058" t="s">
        <v>85</v>
      </c>
      <c r="E2058" s="64"/>
      <c r="F2058" s="64"/>
      <c r="G2058">
        <f>IFERROR(HLOOKUP(G$2,[63]table_female_hkom3_inj.U1!$A$1:$K$36,17,FALSE),0)</f>
        <v>129</v>
      </c>
      <c r="H2058">
        <f>IFERROR(HLOOKUP(H$2,[63]table_female_hkom3_inj.U1!$A$1:$K$36,17,FALSE),0)</f>
        <v>169</v>
      </c>
      <c r="I2058">
        <f>IFERROR(HLOOKUP(I$2,[63]table_female_hkom3_inj.U1!$A$1:$K$36,17,FALSE),0)</f>
        <v>56</v>
      </c>
      <c r="J2058">
        <f>IFERROR(HLOOKUP(J$2,[63]table_female_hkom3_inj.U1!$A$1:$K$36,17,FALSE),0)</f>
        <v>3</v>
      </c>
      <c r="K2058">
        <f>IFERROR(HLOOKUP(K$2,[63]table_female_hkom3_inj.U1!$A$1:$K$36,17,FALSE),0)</f>
        <v>0</v>
      </c>
      <c r="L2058">
        <f>IFERROR(HLOOKUP(L$2,[63]table_female_hkom3_inj.U1!$A$1:$K$36,17,FALSE),0)</f>
        <v>0</v>
      </c>
      <c r="M2058">
        <f t="shared" si="641"/>
        <v>357</v>
      </c>
      <c r="S2058" t="s">
        <v>85</v>
      </c>
      <c r="T2058" s="5">
        <f t="shared" si="642"/>
        <v>0</v>
      </c>
      <c r="U2058" s="5">
        <f t="shared" si="643"/>
        <v>0</v>
      </c>
      <c r="V2058" s="5">
        <f t="shared" si="644"/>
        <v>166.26666666666665</v>
      </c>
      <c r="W2058" s="5">
        <f t="shared" si="645"/>
        <v>206.2874251497006</v>
      </c>
      <c r="X2058" s="5">
        <f t="shared" si="646"/>
        <v>64.705882352941174</v>
      </c>
      <c r="Y2058" s="5">
        <f t="shared" si="647"/>
        <v>3.6315789473684212</v>
      </c>
      <c r="Z2058" s="5">
        <f t="shared" si="648"/>
        <v>0</v>
      </c>
      <c r="AA2058" s="5">
        <f t="shared" si="649"/>
        <v>0</v>
      </c>
      <c r="AB2058" s="5">
        <f t="shared" si="629"/>
        <v>440.89155311667685</v>
      </c>
    </row>
    <row r="2059" spans="4:28" x14ac:dyDescent="0.25">
      <c r="D2059" t="s">
        <v>86</v>
      </c>
      <c r="E2059" s="64"/>
      <c r="F2059" s="64"/>
      <c r="G2059">
        <f>IFERROR(HLOOKUP(G$2,[63]table_female_hkom3_inj.U1!$A$1:$K$36,18,FALSE),0)</f>
        <v>481</v>
      </c>
      <c r="H2059">
        <f>IFERROR(HLOOKUP(H$2,[63]table_female_hkom3_inj.U1!$A$1:$K$36,18,FALSE),0)</f>
        <v>554</v>
      </c>
      <c r="I2059">
        <f>IFERROR(HLOOKUP(I$2,[63]table_female_hkom3_inj.U1!$A$1:$K$36,18,FALSE),0)</f>
        <v>229</v>
      </c>
      <c r="J2059">
        <f>IFERROR(HLOOKUP(J$2,[63]table_female_hkom3_inj.U1!$A$1:$K$36,18,FALSE),0)</f>
        <v>25</v>
      </c>
      <c r="K2059">
        <f>IFERROR(HLOOKUP(K$2,[63]table_female_hkom3_inj.U1!$A$1:$K$36,18,FALSE),0)</f>
        <v>1</v>
      </c>
      <c r="L2059">
        <f>IFERROR(HLOOKUP(L$2,[63]table_female_hkom3_inj.U1!$A$1:$K$36,18,FALSE),0)</f>
        <v>0</v>
      </c>
      <c r="M2059">
        <f t="shared" si="641"/>
        <v>1290</v>
      </c>
      <c r="S2059" t="s">
        <v>86</v>
      </c>
      <c r="T2059" s="5">
        <f t="shared" si="642"/>
        <v>0</v>
      </c>
      <c r="U2059" s="5">
        <f t="shared" si="643"/>
        <v>0</v>
      </c>
      <c r="V2059" s="5">
        <f t="shared" si="644"/>
        <v>619.95555555555552</v>
      </c>
      <c r="W2059" s="5">
        <f t="shared" si="645"/>
        <v>676.23215108245051</v>
      </c>
      <c r="X2059" s="5">
        <f t="shared" si="646"/>
        <v>264.60084033613447</v>
      </c>
      <c r="Y2059" s="5">
        <f t="shared" si="647"/>
        <v>30.263157894736842</v>
      </c>
      <c r="Z2059" s="5">
        <f t="shared" si="648"/>
        <v>1</v>
      </c>
      <c r="AA2059" s="5">
        <f t="shared" si="649"/>
        <v>0</v>
      </c>
      <c r="AB2059" s="5">
        <f t="shared" si="629"/>
        <v>1592.0517048688776</v>
      </c>
    </row>
    <row r="2060" spans="4:28" x14ac:dyDescent="0.25">
      <c r="D2060" t="s">
        <v>87</v>
      </c>
      <c r="E2060" s="64"/>
      <c r="F2060" s="64"/>
      <c r="G2060">
        <f>IFERROR(HLOOKUP(G$2,[63]table_female_hkom3_inj.U1!$A$1:$K$36,19,FALSE),0)</f>
        <v>18</v>
      </c>
      <c r="H2060">
        <f>IFERROR(HLOOKUP(H$2,[63]table_female_hkom3_inj.U1!$A$1:$K$36,19,FALSE),0)</f>
        <v>22</v>
      </c>
      <c r="I2060">
        <f>IFERROR(HLOOKUP(I$2,[63]table_female_hkom3_inj.U1!$A$1:$K$36,19,FALSE),0)</f>
        <v>10</v>
      </c>
      <c r="J2060">
        <f>IFERROR(HLOOKUP(J$2,[63]table_female_hkom3_inj.U1!$A$1:$K$36,19,FALSE),0)</f>
        <v>1</v>
      </c>
      <c r="K2060">
        <f>IFERROR(HLOOKUP(K$2,[63]table_female_hkom3_inj.U1!$A$1:$K$36,19,FALSE),0)</f>
        <v>0</v>
      </c>
      <c r="L2060">
        <f>IFERROR(HLOOKUP(L$2,[63]table_female_hkom3_inj.U1!$A$1:$K$36,19,FALSE),0)</f>
        <v>0</v>
      </c>
      <c r="M2060">
        <f t="shared" si="641"/>
        <v>51</v>
      </c>
      <c r="S2060" t="s">
        <v>87</v>
      </c>
      <c r="T2060" s="5">
        <f t="shared" si="642"/>
        <v>0</v>
      </c>
      <c r="U2060" s="5">
        <f t="shared" si="643"/>
        <v>0</v>
      </c>
      <c r="V2060" s="5">
        <f t="shared" si="644"/>
        <v>23.2</v>
      </c>
      <c r="W2060" s="5">
        <f t="shared" si="645"/>
        <v>26.853984339014279</v>
      </c>
      <c r="X2060" s="5">
        <f t="shared" si="646"/>
        <v>11.554621848739496</v>
      </c>
      <c r="Y2060" s="5">
        <f t="shared" si="647"/>
        <v>1.2105263157894737</v>
      </c>
      <c r="Z2060" s="5">
        <f t="shared" si="648"/>
        <v>0</v>
      </c>
      <c r="AA2060" s="5">
        <f t="shared" si="649"/>
        <v>0</v>
      </c>
      <c r="AB2060" s="5">
        <f t="shared" si="629"/>
        <v>62.819132503543244</v>
      </c>
    </row>
    <row r="2061" spans="4:28" x14ac:dyDescent="0.25">
      <c r="D2061" t="s">
        <v>88</v>
      </c>
      <c r="E2061" s="64"/>
      <c r="F2061" s="64"/>
      <c r="G2061">
        <f>IFERROR(HLOOKUP(G$2,[63]table_female_hkom3_inj.U1!$A$1:$K$36,20,FALSE),0)</f>
        <v>240</v>
      </c>
      <c r="H2061">
        <f>IFERROR(HLOOKUP(H$2,[63]table_female_hkom3_inj.U1!$A$1:$K$36,20,FALSE),0)</f>
        <v>339</v>
      </c>
      <c r="I2061">
        <f>IFERROR(HLOOKUP(I$2,[63]table_female_hkom3_inj.U1!$A$1:$K$36,20,FALSE),0)</f>
        <v>130</v>
      </c>
      <c r="J2061">
        <f>IFERROR(HLOOKUP(J$2,[63]table_female_hkom3_inj.U1!$A$1:$K$36,20,FALSE),0)</f>
        <v>4</v>
      </c>
      <c r="K2061">
        <f>IFERROR(HLOOKUP(K$2,[63]table_female_hkom3_inj.U1!$A$1:$K$36,20,FALSE),0)</f>
        <v>1</v>
      </c>
      <c r="L2061">
        <f>IFERROR(HLOOKUP(L$2,[63]table_female_hkom3_inj.U1!$A$1:$K$36,20,FALSE),0)</f>
        <v>0</v>
      </c>
      <c r="M2061">
        <f t="shared" si="641"/>
        <v>714</v>
      </c>
      <c r="S2061" t="s">
        <v>88</v>
      </c>
      <c r="T2061" s="5">
        <f t="shared" si="642"/>
        <v>0</v>
      </c>
      <c r="U2061" s="5">
        <f t="shared" si="643"/>
        <v>0</v>
      </c>
      <c r="V2061" s="5">
        <f t="shared" si="644"/>
        <v>309.33333333333331</v>
      </c>
      <c r="W2061" s="5">
        <f t="shared" si="645"/>
        <v>413.79548595117456</v>
      </c>
      <c r="X2061" s="5">
        <f t="shared" si="646"/>
        <v>150.21008403361344</v>
      </c>
      <c r="Y2061" s="5">
        <f t="shared" si="647"/>
        <v>4.8421052631578947</v>
      </c>
      <c r="Z2061" s="5">
        <f t="shared" si="648"/>
        <v>1</v>
      </c>
      <c r="AA2061" s="5">
        <f t="shared" si="649"/>
        <v>0</v>
      </c>
      <c r="AB2061" s="5">
        <f t="shared" si="629"/>
        <v>879.18100858127923</v>
      </c>
    </row>
    <row r="2062" spans="4:28" x14ac:dyDescent="0.25">
      <c r="D2062" t="s">
        <v>89</v>
      </c>
      <c r="E2062" s="64"/>
      <c r="F2062" s="64"/>
      <c r="G2062">
        <f>IFERROR(HLOOKUP(G$2,[63]table_female_hkom3_inj.U1!$A$1:$K$36,21,FALSE),0)</f>
        <v>3</v>
      </c>
      <c r="H2062">
        <f>IFERROR(HLOOKUP(H$2,[63]table_female_hkom3_inj.U1!$A$1:$K$36,21,FALSE),0)</f>
        <v>0</v>
      </c>
      <c r="I2062">
        <f>IFERROR(HLOOKUP(I$2,[63]table_female_hkom3_inj.U1!$A$1:$K$36,21,FALSE),0)</f>
        <v>1</v>
      </c>
      <c r="J2062">
        <f>IFERROR(HLOOKUP(J$2,[63]table_female_hkom3_inj.U1!$A$1:$K$36,21,FALSE),0)</f>
        <v>0</v>
      </c>
      <c r="K2062">
        <f>IFERROR(HLOOKUP(K$2,[63]table_female_hkom3_inj.U1!$A$1:$K$36,21,FALSE),0)</f>
        <v>0</v>
      </c>
      <c r="L2062">
        <f>IFERROR(HLOOKUP(L$2,[63]table_female_hkom3_inj.U1!$A$1:$K$36,21,FALSE),0)</f>
        <v>0</v>
      </c>
      <c r="M2062">
        <f t="shared" si="641"/>
        <v>4</v>
      </c>
      <c r="S2062" t="s">
        <v>89</v>
      </c>
      <c r="T2062" s="5">
        <f t="shared" si="642"/>
        <v>0</v>
      </c>
      <c r="U2062" s="5">
        <f t="shared" si="643"/>
        <v>0</v>
      </c>
      <c r="V2062" s="5">
        <f t="shared" si="644"/>
        <v>3.8666666666666667</v>
      </c>
      <c r="W2062" s="5">
        <f t="shared" si="645"/>
        <v>0</v>
      </c>
      <c r="X2062" s="5">
        <f t="shared" si="646"/>
        <v>1.1554621848739495</v>
      </c>
      <c r="Y2062" s="5">
        <f t="shared" si="647"/>
        <v>0</v>
      </c>
      <c r="Z2062" s="5">
        <f t="shared" si="648"/>
        <v>0</v>
      </c>
      <c r="AA2062" s="5">
        <f t="shared" si="649"/>
        <v>0</v>
      </c>
      <c r="AB2062" s="5">
        <f t="shared" si="629"/>
        <v>5.0221288515406162</v>
      </c>
    </row>
    <row r="2063" spans="4:28" x14ac:dyDescent="0.25">
      <c r="D2063" t="s">
        <v>90</v>
      </c>
      <c r="E2063" s="64"/>
      <c r="F2063" s="64"/>
      <c r="G2063">
        <f>IFERROR(HLOOKUP(G$2,[63]table_female_hkom3_inj.U1!$A$1:$K$36,22,FALSE),0)</f>
        <v>0</v>
      </c>
      <c r="H2063">
        <f>IFERROR(HLOOKUP(H$2,[63]table_female_hkom3_inj.U1!$A$1:$K$36,22,FALSE),0)</f>
        <v>0</v>
      </c>
      <c r="I2063">
        <f>IFERROR(HLOOKUP(I$2,[63]table_female_hkom3_inj.U1!$A$1:$K$36,22,FALSE),0)</f>
        <v>0</v>
      </c>
      <c r="J2063">
        <f>IFERROR(HLOOKUP(J$2,[63]table_female_hkom3_inj.U1!$A$1:$K$36,22,FALSE),0)</f>
        <v>0</v>
      </c>
      <c r="K2063">
        <f>IFERROR(HLOOKUP(K$2,[63]table_female_hkom3_inj.U1!$A$1:$K$36,22,FALSE),0)</f>
        <v>0</v>
      </c>
      <c r="L2063">
        <f>IFERROR(HLOOKUP(L$2,[63]table_female_hkom3_inj.U1!$A$1:$K$36,22,FALSE),0)</f>
        <v>0</v>
      </c>
      <c r="M2063">
        <f t="shared" si="641"/>
        <v>0</v>
      </c>
      <c r="S2063" t="s">
        <v>90</v>
      </c>
      <c r="T2063" s="5">
        <f t="shared" si="642"/>
        <v>0</v>
      </c>
      <c r="U2063" s="5">
        <f t="shared" si="643"/>
        <v>0</v>
      </c>
      <c r="V2063" s="5">
        <f t="shared" si="644"/>
        <v>0</v>
      </c>
      <c r="W2063" s="5">
        <f t="shared" si="645"/>
        <v>0</v>
      </c>
      <c r="X2063" s="5">
        <f t="shared" si="646"/>
        <v>0</v>
      </c>
      <c r="Y2063" s="5">
        <f t="shared" si="647"/>
        <v>0</v>
      </c>
      <c r="Z2063" s="5">
        <f t="shared" si="648"/>
        <v>0</v>
      </c>
      <c r="AA2063" s="5">
        <f t="shared" si="649"/>
        <v>0</v>
      </c>
      <c r="AB2063" s="5">
        <f t="shared" si="629"/>
        <v>0</v>
      </c>
    </row>
    <row r="2064" spans="4:28" x14ac:dyDescent="0.25">
      <c r="D2064" t="s">
        <v>91</v>
      </c>
      <c r="E2064" s="64"/>
      <c r="F2064" s="64"/>
      <c r="G2064">
        <f>IFERROR(HLOOKUP(G$2,[63]table_female_hkom3_inj.U1!$A$1:$K$36,23,FALSE),0)</f>
        <v>1</v>
      </c>
      <c r="H2064">
        <f>IFERROR(HLOOKUP(H$2,[63]table_female_hkom3_inj.U1!$A$1:$K$36,23,FALSE),0)</f>
        <v>2</v>
      </c>
      <c r="I2064">
        <f>IFERROR(HLOOKUP(I$2,[63]table_female_hkom3_inj.U1!$A$1:$K$36,23,FALSE),0)</f>
        <v>1</v>
      </c>
      <c r="J2064">
        <f>IFERROR(HLOOKUP(J$2,[63]table_female_hkom3_inj.U1!$A$1:$K$36,23,FALSE),0)</f>
        <v>0</v>
      </c>
      <c r="K2064">
        <f>IFERROR(HLOOKUP(K$2,[63]table_female_hkom3_inj.U1!$A$1:$K$36,23,FALSE),0)</f>
        <v>0</v>
      </c>
      <c r="L2064">
        <f>IFERROR(HLOOKUP(L$2,[63]table_female_hkom3_inj.U1!$A$1:$K$36,23,FALSE),0)</f>
        <v>0</v>
      </c>
      <c r="M2064">
        <f t="shared" si="641"/>
        <v>4</v>
      </c>
      <c r="S2064" t="s">
        <v>91</v>
      </c>
      <c r="T2064" s="5">
        <f t="shared" si="642"/>
        <v>0</v>
      </c>
      <c r="U2064" s="5">
        <f t="shared" si="643"/>
        <v>0</v>
      </c>
      <c r="V2064" s="5">
        <f t="shared" si="644"/>
        <v>1.2888888888888888</v>
      </c>
      <c r="W2064" s="5">
        <f t="shared" si="645"/>
        <v>2.4412713035467526</v>
      </c>
      <c r="X2064" s="5">
        <f t="shared" si="646"/>
        <v>1.1554621848739495</v>
      </c>
      <c r="Y2064" s="5">
        <f t="shared" si="647"/>
        <v>0</v>
      </c>
      <c r="Z2064" s="5">
        <f t="shared" si="648"/>
        <v>0</v>
      </c>
      <c r="AA2064" s="5">
        <f t="shared" si="649"/>
        <v>0</v>
      </c>
      <c r="AB2064" s="5">
        <f t="shared" si="629"/>
        <v>4.8856223773095913</v>
      </c>
    </row>
    <row r="2065" spans="1:29" x14ac:dyDescent="0.25">
      <c r="D2065" t="s">
        <v>92</v>
      </c>
      <c r="E2065" s="64"/>
      <c r="F2065" s="64"/>
      <c r="G2065">
        <f>IFERROR(HLOOKUP(G$2,[63]table_female_hkom3_inj.U1!$A$1:$K$36,24,FALSE),0)</f>
        <v>1</v>
      </c>
      <c r="H2065">
        <f>IFERROR(HLOOKUP(H$2,[63]table_female_hkom3_inj.U1!$A$1:$K$36,24,FALSE),0)</f>
        <v>0</v>
      </c>
      <c r="I2065">
        <f>IFERROR(HLOOKUP(I$2,[63]table_female_hkom3_inj.U1!$A$1:$K$36,24,FALSE),0)</f>
        <v>0</v>
      </c>
      <c r="J2065">
        <f>IFERROR(HLOOKUP(J$2,[63]table_female_hkom3_inj.U1!$A$1:$K$36,24,FALSE),0)</f>
        <v>0</v>
      </c>
      <c r="K2065">
        <f>IFERROR(HLOOKUP(K$2,[63]table_female_hkom3_inj.U1!$A$1:$K$36,24,FALSE),0)</f>
        <v>0</v>
      </c>
      <c r="L2065">
        <f>IFERROR(HLOOKUP(L$2,[63]table_female_hkom3_inj.U1!$A$1:$K$36,24,FALSE),0)</f>
        <v>0</v>
      </c>
      <c r="M2065">
        <f t="shared" si="641"/>
        <v>1</v>
      </c>
      <c r="S2065" t="s">
        <v>92</v>
      </c>
      <c r="T2065" s="5">
        <f t="shared" si="642"/>
        <v>0</v>
      </c>
      <c r="U2065" s="5">
        <f t="shared" si="643"/>
        <v>0</v>
      </c>
      <c r="V2065" s="5">
        <f t="shared" si="644"/>
        <v>1.2888888888888888</v>
      </c>
      <c r="W2065" s="5">
        <f t="shared" si="645"/>
        <v>0</v>
      </c>
      <c r="X2065" s="5">
        <f t="shared" si="646"/>
        <v>0</v>
      </c>
      <c r="Y2065" s="5">
        <f t="shared" si="647"/>
        <v>0</v>
      </c>
      <c r="Z2065" s="5">
        <f t="shared" si="648"/>
        <v>0</v>
      </c>
      <c r="AA2065" s="5">
        <f t="shared" si="649"/>
        <v>0</v>
      </c>
      <c r="AB2065" s="5">
        <f t="shared" si="629"/>
        <v>1.2888888888888888</v>
      </c>
    </row>
    <row r="2066" spans="1:29" x14ac:dyDescent="0.25">
      <c r="D2066" t="s">
        <v>93</v>
      </c>
      <c r="E2066" s="64"/>
      <c r="F2066" s="64"/>
      <c r="G2066">
        <f>IFERROR(HLOOKUP(G$2,[63]table_female_hkom3_inj.U1!$A$1:$K$36,25,FALSE),0)</f>
        <v>0</v>
      </c>
      <c r="H2066">
        <f>IFERROR(HLOOKUP(H$2,[63]table_female_hkom3_inj.U1!$A$1:$K$36,25,FALSE),0)</f>
        <v>0</v>
      </c>
      <c r="I2066">
        <f>IFERROR(HLOOKUP(I$2,[63]table_female_hkom3_inj.U1!$A$1:$K$36,25,FALSE),0)</f>
        <v>0</v>
      </c>
      <c r="J2066">
        <f>IFERROR(HLOOKUP(J$2,[63]table_female_hkom3_inj.U1!$A$1:$K$36,25,FALSE),0)</f>
        <v>0</v>
      </c>
      <c r="K2066">
        <f>IFERROR(HLOOKUP(K$2,[63]table_female_hkom3_inj.U1!$A$1:$K$36,25,FALSE),0)</f>
        <v>0</v>
      </c>
      <c r="L2066">
        <f>IFERROR(HLOOKUP(L$2,[63]table_female_hkom3_inj.U1!$A$1:$K$36,25,FALSE),0)</f>
        <v>0</v>
      </c>
      <c r="M2066">
        <f t="shared" si="641"/>
        <v>0</v>
      </c>
      <c r="S2066" t="s">
        <v>93</v>
      </c>
      <c r="T2066" s="5">
        <f t="shared" si="642"/>
        <v>0</v>
      </c>
      <c r="U2066" s="5">
        <f t="shared" si="643"/>
        <v>0</v>
      </c>
      <c r="V2066" s="5">
        <f t="shared" si="644"/>
        <v>0</v>
      </c>
      <c r="W2066" s="5">
        <f t="shared" si="645"/>
        <v>0</v>
      </c>
      <c r="X2066" s="5">
        <f t="shared" si="646"/>
        <v>0</v>
      </c>
      <c r="Y2066" s="5">
        <f t="shared" si="647"/>
        <v>0</v>
      </c>
      <c r="Z2066" s="5">
        <f t="shared" si="648"/>
        <v>0</v>
      </c>
      <c r="AA2066" s="5">
        <f t="shared" si="649"/>
        <v>0</v>
      </c>
      <c r="AB2066" s="5">
        <f t="shared" si="629"/>
        <v>0</v>
      </c>
    </row>
    <row r="2067" spans="1:29" x14ac:dyDescent="0.25">
      <c r="D2067" t="s">
        <v>94</v>
      </c>
      <c r="E2067" s="64"/>
      <c r="F2067" s="64"/>
      <c r="G2067">
        <f>IFERROR(HLOOKUP(G$2,[63]table_female_hkom3_inj.U1!$A$1:$K$36,26,FALSE),0)</f>
        <v>0</v>
      </c>
      <c r="H2067">
        <f>IFERROR(HLOOKUP(H$2,[63]table_female_hkom3_inj.U1!$A$1:$K$36,26,FALSE),0)</f>
        <v>0</v>
      </c>
      <c r="I2067">
        <f>IFERROR(HLOOKUP(I$2,[63]table_female_hkom3_inj.U1!$A$1:$K$36,26,FALSE),0)</f>
        <v>0</v>
      </c>
      <c r="J2067">
        <f>IFERROR(HLOOKUP(J$2,[63]table_female_hkom3_inj.U1!$A$1:$K$36,26,FALSE),0)</f>
        <v>0</v>
      </c>
      <c r="K2067">
        <f>IFERROR(HLOOKUP(K$2,[63]table_female_hkom3_inj.U1!$A$1:$K$36,26,FALSE),0)</f>
        <v>0</v>
      </c>
      <c r="L2067">
        <f>IFERROR(HLOOKUP(L$2,[63]table_female_hkom3_inj.U1!$A$1:$K$36,26,FALSE),0)</f>
        <v>0</v>
      </c>
      <c r="M2067">
        <f t="shared" si="641"/>
        <v>0</v>
      </c>
      <c r="S2067" t="s">
        <v>94</v>
      </c>
      <c r="T2067" s="5">
        <f t="shared" si="642"/>
        <v>0</v>
      </c>
      <c r="U2067" s="5">
        <f t="shared" si="643"/>
        <v>0</v>
      </c>
      <c r="V2067" s="5">
        <f t="shared" si="644"/>
        <v>0</v>
      </c>
      <c r="W2067" s="5">
        <f t="shared" si="645"/>
        <v>0</v>
      </c>
      <c r="X2067" s="5">
        <f t="shared" si="646"/>
        <v>0</v>
      </c>
      <c r="Y2067" s="5">
        <f t="shared" si="647"/>
        <v>0</v>
      </c>
      <c r="Z2067" s="5">
        <f t="shared" si="648"/>
        <v>0</v>
      </c>
      <c r="AA2067" s="5">
        <f t="shared" si="649"/>
        <v>0</v>
      </c>
      <c r="AB2067" s="5">
        <f t="shared" si="629"/>
        <v>0</v>
      </c>
    </row>
    <row r="2068" spans="1:29" x14ac:dyDescent="0.25">
      <c r="D2068" t="s">
        <v>95</v>
      </c>
      <c r="E2068" s="64"/>
      <c r="F2068" s="64"/>
      <c r="G2068">
        <f>IFERROR(HLOOKUP(G$2,[63]table_female_hkom3_inj.U1!$A$1:$K$36,27,FALSE),0)</f>
        <v>0</v>
      </c>
      <c r="H2068">
        <f>IFERROR(HLOOKUP(H$2,[63]table_female_hkom3_inj.U1!$A$1:$K$36,27,FALSE),0)</f>
        <v>0</v>
      </c>
      <c r="I2068">
        <f>IFERROR(HLOOKUP(I$2,[63]table_female_hkom3_inj.U1!$A$1:$K$36,27,FALSE),0)</f>
        <v>0</v>
      </c>
      <c r="J2068">
        <f>IFERROR(HLOOKUP(J$2,[63]table_female_hkom3_inj.U1!$A$1:$K$36,27,FALSE),0)</f>
        <v>0</v>
      </c>
      <c r="K2068">
        <f>IFERROR(HLOOKUP(K$2,[63]table_female_hkom3_inj.U1!$A$1:$K$36,27,FALSE),0)</f>
        <v>0</v>
      </c>
      <c r="L2068">
        <f>IFERROR(HLOOKUP(L$2,[63]table_female_hkom3_inj.U1!$A$1:$K$36,27,FALSE),0)</f>
        <v>0</v>
      </c>
      <c r="M2068">
        <f t="shared" si="641"/>
        <v>0</v>
      </c>
      <c r="S2068" t="s">
        <v>95</v>
      </c>
      <c r="T2068" s="5">
        <f t="shared" si="642"/>
        <v>0</v>
      </c>
      <c r="U2068" s="5">
        <f t="shared" si="643"/>
        <v>0</v>
      </c>
      <c r="V2068" s="5">
        <f t="shared" si="644"/>
        <v>0</v>
      </c>
      <c r="W2068" s="5">
        <f t="shared" si="645"/>
        <v>0</v>
      </c>
      <c r="X2068" s="5">
        <f t="shared" si="646"/>
        <v>0</v>
      </c>
      <c r="Y2068" s="5">
        <f t="shared" si="647"/>
        <v>0</v>
      </c>
      <c r="Z2068" s="5">
        <f t="shared" si="648"/>
        <v>0</v>
      </c>
      <c r="AA2068" s="5">
        <f t="shared" si="649"/>
        <v>0</v>
      </c>
      <c r="AB2068" s="5">
        <f t="shared" ref="AB2068:AB2131" si="650">SUM(T2068:AA2068)</f>
        <v>0</v>
      </c>
    </row>
    <row r="2069" spans="1:29" x14ac:dyDescent="0.25">
      <c r="D2069" t="s">
        <v>96</v>
      </c>
      <c r="E2069" s="64"/>
      <c r="F2069" s="64"/>
      <c r="G2069">
        <f>IFERROR(HLOOKUP(G$2,[63]table_female_hkom3_inj.U1!$A$1:$K$36,28,FALSE),0)</f>
        <v>15</v>
      </c>
      <c r="H2069">
        <f>IFERROR(HLOOKUP(H$2,[63]table_female_hkom3_inj.U1!$A$1:$K$36,28,FALSE),0)</f>
        <v>13</v>
      </c>
      <c r="I2069">
        <f>IFERROR(HLOOKUP(I$2,[63]table_female_hkom3_inj.U1!$A$1:$K$36,28,FALSE),0)</f>
        <v>2</v>
      </c>
      <c r="J2069">
        <f>IFERROR(HLOOKUP(J$2,[63]table_female_hkom3_inj.U1!$A$1:$K$36,28,FALSE),0)</f>
        <v>2</v>
      </c>
      <c r="K2069">
        <f>IFERROR(HLOOKUP(K$2,[63]table_female_hkom3_inj.U1!$A$1:$K$36,28,FALSE),0)</f>
        <v>0</v>
      </c>
      <c r="L2069">
        <f>IFERROR(HLOOKUP(L$2,[63]table_female_hkom3_inj.U1!$A$1:$K$36,28,FALSE),0)</f>
        <v>0</v>
      </c>
      <c r="M2069">
        <f t="shared" si="641"/>
        <v>32</v>
      </c>
      <c r="S2069" t="s">
        <v>96</v>
      </c>
      <c r="T2069" s="5">
        <f t="shared" si="642"/>
        <v>0</v>
      </c>
      <c r="U2069" s="5">
        <f t="shared" si="643"/>
        <v>0</v>
      </c>
      <c r="V2069" s="5">
        <f t="shared" si="644"/>
        <v>19.333333333333332</v>
      </c>
      <c r="W2069" s="5">
        <f t="shared" si="645"/>
        <v>15.868263473053892</v>
      </c>
      <c r="X2069" s="5">
        <f t="shared" si="646"/>
        <v>2.3109243697478989</v>
      </c>
      <c r="Y2069" s="5">
        <f t="shared" si="647"/>
        <v>2.4210526315789473</v>
      </c>
      <c r="Z2069" s="5">
        <f t="shared" si="648"/>
        <v>0</v>
      </c>
      <c r="AA2069" s="5">
        <f t="shared" si="649"/>
        <v>0</v>
      </c>
      <c r="AB2069" s="5">
        <f t="shared" si="650"/>
        <v>39.933573807714069</v>
      </c>
    </row>
    <row r="2070" spans="1:29" x14ac:dyDescent="0.25">
      <c r="D2070" t="s">
        <v>97</v>
      </c>
      <c r="E2070" s="64"/>
      <c r="F2070" s="64"/>
      <c r="G2070">
        <f>IFERROR(HLOOKUP(G$2,[63]table_female_hkom3_inj.U1!$A$1:$K$36,29,FALSE),0)</f>
        <v>1</v>
      </c>
      <c r="H2070">
        <f>IFERROR(HLOOKUP(H$2,[63]table_female_hkom3_inj.U1!$A$1:$K$36,29,FALSE),0)</f>
        <v>0</v>
      </c>
      <c r="I2070">
        <f>IFERROR(HLOOKUP(I$2,[63]table_female_hkom3_inj.U1!$A$1:$K$36,29,FALSE),0)</f>
        <v>0</v>
      </c>
      <c r="J2070">
        <f>IFERROR(HLOOKUP(J$2,[63]table_female_hkom3_inj.U1!$A$1:$K$36,29,FALSE),0)</f>
        <v>0</v>
      </c>
      <c r="K2070">
        <f>IFERROR(HLOOKUP(K$2,[63]table_female_hkom3_inj.U1!$A$1:$K$36,29,FALSE),0)</f>
        <v>0</v>
      </c>
      <c r="L2070">
        <f>IFERROR(HLOOKUP(L$2,[63]table_female_hkom3_inj.U1!$A$1:$K$36,29,FALSE),0)</f>
        <v>0</v>
      </c>
      <c r="M2070">
        <f t="shared" si="641"/>
        <v>1</v>
      </c>
      <c r="S2070" t="s">
        <v>97</v>
      </c>
      <c r="T2070" s="5">
        <f t="shared" si="642"/>
        <v>0</v>
      </c>
      <c r="U2070" s="5">
        <f t="shared" si="643"/>
        <v>0</v>
      </c>
      <c r="V2070" s="5">
        <f t="shared" si="644"/>
        <v>1.2888888888888888</v>
      </c>
      <c r="W2070" s="5">
        <f t="shared" si="645"/>
        <v>0</v>
      </c>
      <c r="X2070" s="5">
        <f t="shared" si="646"/>
        <v>0</v>
      </c>
      <c r="Y2070" s="5">
        <f t="shared" si="647"/>
        <v>0</v>
      </c>
      <c r="Z2070" s="5">
        <f t="shared" si="648"/>
        <v>0</v>
      </c>
      <c r="AA2070" s="5">
        <f t="shared" si="649"/>
        <v>0</v>
      </c>
      <c r="AB2070" s="5">
        <f t="shared" si="650"/>
        <v>1.2888888888888888</v>
      </c>
    </row>
    <row r="2071" spans="1:29" x14ac:dyDescent="0.25">
      <c r="D2071" t="s">
        <v>98</v>
      </c>
      <c r="E2071" s="64"/>
      <c r="F2071" s="64"/>
      <c r="G2071">
        <f>IFERROR(HLOOKUP(G$2,[63]table_female_hkom3_inj.U1!$A$1:$K$36,30,FALSE),0)</f>
        <v>2</v>
      </c>
      <c r="H2071">
        <f>IFERROR(HLOOKUP(H$2,[63]table_female_hkom3_inj.U1!$A$1:$K$36,30,FALSE),0)</f>
        <v>2</v>
      </c>
      <c r="I2071">
        <f>IFERROR(HLOOKUP(I$2,[63]table_female_hkom3_inj.U1!$A$1:$K$36,30,FALSE),0)</f>
        <v>0</v>
      </c>
      <c r="J2071">
        <f>IFERROR(HLOOKUP(J$2,[63]table_female_hkom3_inj.U1!$A$1:$K$36,30,FALSE),0)</f>
        <v>0</v>
      </c>
      <c r="K2071">
        <f>IFERROR(HLOOKUP(K$2,[63]table_female_hkom3_inj.U1!$A$1:$K$36,30,FALSE),0)</f>
        <v>0</v>
      </c>
      <c r="L2071">
        <f>IFERROR(HLOOKUP(L$2,[63]table_female_hkom3_inj.U1!$A$1:$K$36,30,FALSE),0)</f>
        <v>0</v>
      </c>
      <c r="M2071">
        <f t="shared" si="641"/>
        <v>4</v>
      </c>
      <c r="S2071" t="s">
        <v>98</v>
      </c>
      <c r="T2071" s="5">
        <f t="shared" si="642"/>
        <v>0</v>
      </c>
      <c r="U2071" s="5">
        <f t="shared" si="643"/>
        <v>0</v>
      </c>
      <c r="V2071" s="5">
        <f t="shared" si="644"/>
        <v>2.5777777777777775</v>
      </c>
      <c r="W2071" s="5">
        <f t="shared" si="645"/>
        <v>2.4412713035467526</v>
      </c>
      <c r="X2071" s="5">
        <f t="shared" si="646"/>
        <v>0</v>
      </c>
      <c r="Y2071" s="5">
        <f t="shared" si="647"/>
        <v>0</v>
      </c>
      <c r="Z2071" s="5">
        <f t="shared" si="648"/>
        <v>0</v>
      </c>
      <c r="AA2071" s="5">
        <f t="shared" si="649"/>
        <v>0</v>
      </c>
      <c r="AB2071" s="5">
        <f t="shared" si="650"/>
        <v>5.0190490813245301</v>
      </c>
    </row>
    <row r="2072" spans="1:29" x14ac:dyDescent="0.25">
      <c r="D2072" t="s">
        <v>119</v>
      </c>
      <c r="E2072" s="64"/>
      <c r="F2072" s="64"/>
      <c r="G2072">
        <f>IFERROR(HLOOKUP(G$2,[63]table_female_hkom3_inj.U1!$A$1:$K$36,31,FALSE),0)</f>
        <v>1</v>
      </c>
      <c r="H2072">
        <f>IFERROR(HLOOKUP(H$2,[63]table_female_hkom3_inj.U1!$A$1:$K$36,31,FALSE),0)</f>
        <v>0</v>
      </c>
      <c r="I2072">
        <f>IFERROR(HLOOKUP(I$2,[63]table_female_hkom3_inj.U1!$A$1:$K$36,31,FALSE),0)</f>
        <v>0</v>
      </c>
      <c r="J2072">
        <f>IFERROR(HLOOKUP(J$2,[63]table_female_hkom3_inj.U1!$A$1:$K$36,31,FALSE),0)</f>
        <v>0</v>
      </c>
      <c r="K2072">
        <f>IFERROR(HLOOKUP(K$2,[63]table_female_hkom3_inj.U1!$A$1:$K$36,31,FALSE),0)</f>
        <v>0</v>
      </c>
      <c r="L2072">
        <f>IFERROR(HLOOKUP(L$2,[63]table_female_hkom3_inj.U1!$A$1:$K$36,31,FALSE),0)</f>
        <v>0</v>
      </c>
      <c r="M2072">
        <f t="shared" si="641"/>
        <v>1</v>
      </c>
      <c r="S2072" t="s">
        <v>119</v>
      </c>
      <c r="T2072" s="5">
        <f t="shared" si="642"/>
        <v>0</v>
      </c>
      <c r="U2072" s="5">
        <f t="shared" si="643"/>
        <v>0</v>
      </c>
      <c r="V2072" s="5">
        <f t="shared" si="644"/>
        <v>1.2888888888888888</v>
      </c>
      <c r="W2072" s="5">
        <f t="shared" si="645"/>
        <v>0</v>
      </c>
      <c r="X2072" s="5">
        <f t="shared" si="646"/>
        <v>0</v>
      </c>
      <c r="Y2072" s="5">
        <f t="shared" si="647"/>
        <v>0</v>
      </c>
      <c r="Z2072" s="5">
        <f t="shared" si="648"/>
        <v>0</v>
      </c>
      <c r="AA2072" s="5">
        <f t="shared" si="649"/>
        <v>0</v>
      </c>
      <c r="AB2072" s="5">
        <f t="shared" si="650"/>
        <v>1.2888888888888888</v>
      </c>
    </row>
    <row r="2073" spans="1:29" x14ac:dyDescent="0.25">
      <c r="D2073" t="s">
        <v>99</v>
      </c>
      <c r="E2073" s="64"/>
      <c r="F2073" s="64"/>
      <c r="G2073">
        <f>IFERROR(HLOOKUP(G$2,[63]table_female_hkom3_inj.U1!$A$1:$K$36,32,FALSE),0)</f>
        <v>13</v>
      </c>
      <c r="H2073">
        <f>IFERROR(HLOOKUP(H$2,[63]table_female_hkom3_inj.U1!$A$1:$K$36,32,FALSE),0)</f>
        <v>27</v>
      </c>
      <c r="I2073">
        <f>IFERROR(HLOOKUP(I$2,[63]table_female_hkom3_inj.U1!$A$1:$K$36,32,FALSE),0)</f>
        <v>6</v>
      </c>
      <c r="J2073">
        <f>IFERROR(HLOOKUP(J$2,[63]table_female_hkom3_inj.U1!$A$1:$K$36,32,FALSE),0)</f>
        <v>0</v>
      </c>
      <c r="K2073">
        <f>IFERROR(HLOOKUP(K$2,[63]table_female_hkom3_inj.U1!$A$1:$K$36,32,FALSE),0)</f>
        <v>0</v>
      </c>
      <c r="L2073">
        <f>IFERROR(HLOOKUP(L$2,[63]table_female_hkom3_inj.U1!$A$1:$K$36,32,FALSE),0)</f>
        <v>0</v>
      </c>
      <c r="M2073">
        <f t="shared" si="641"/>
        <v>46</v>
      </c>
      <c r="S2073" t="s">
        <v>99</v>
      </c>
      <c r="T2073" s="5">
        <f t="shared" si="642"/>
        <v>0</v>
      </c>
      <c r="U2073" s="5">
        <f t="shared" si="643"/>
        <v>0</v>
      </c>
      <c r="V2073" s="5">
        <f t="shared" si="644"/>
        <v>16.755555555555556</v>
      </c>
      <c r="W2073" s="5">
        <f t="shared" si="645"/>
        <v>32.957162597881158</v>
      </c>
      <c r="X2073" s="5">
        <f t="shared" si="646"/>
        <v>6.9327731092436977</v>
      </c>
      <c r="Y2073" s="5">
        <f t="shared" si="647"/>
        <v>0</v>
      </c>
      <c r="Z2073" s="5">
        <f t="shared" si="648"/>
        <v>0</v>
      </c>
      <c r="AA2073" s="5">
        <f t="shared" si="649"/>
        <v>0</v>
      </c>
      <c r="AB2073" s="5">
        <f t="shared" si="650"/>
        <v>56.645491262680409</v>
      </c>
    </row>
    <row r="2074" spans="1:29" x14ac:dyDescent="0.25">
      <c r="D2074" t="s">
        <v>100</v>
      </c>
      <c r="E2074" s="64"/>
      <c r="F2074" s="64"/>
      <c r="G2074">
        <f>IFERROR(HLOOKUP(G$2,[63]table_female_hkom3_inj.U1!$A$1:$K$36,33,FALSE),0)</f>
        <v>1</v>
      </c>
      <c r="H2074">
        <f>IFERROR(HLOOKUP(H$2,[63]table_female_hkom3_inj.U1!$A$1:$K$36,33,FALSE),0)</f>
        <v>0</v>
      </c>
      <c r="I2074">
        <f>IFERROR(HLOOKUP(I$2,[63]table_female_hkom3_inj.U1!$A$1:$K$36,33,FALSE),0)</f>
        <v>0</v>
      </c>
      <c r="J2074">
        <f>IFERROR(HLOOKUP(J$2,[63]table_female_hkom3_inj.U1!$A$1:$K$36,33,FALSE),0)</f>
        <v>0</v>
      </c>
      <c r="K2074">
        <f>IFERROR(HLOOKUP(K$2,[63]table_female_hkom3_inj.U1!$A$1:$K$36,33,FALSE),0)</f>
        <v>0</v>
      </c>
      <c r="L2074">
        <f>IFERROR(HLOOKUP(L$2,[63]table_female_hkom3_inj.U1!$A$1:$K$36,33,FALSE),0)</f>
        <v>0</v>
      </c>
      <c r="M2074">
        <f t="shared" si="641"/>
        <v>1</v>
      </c>
      <c r="S2074" t="s">
        <v>100</v>
      </c>
      <c r="T2074" s="5">
        <f t="shared" si="642"/>
        <v>0</v>
      </c>
      <c r="U2074" s="5">
        <f t="shared" si="643"/>
        <v>0</v>
      </c>
      <c r="V2074" s="5">
        <f t="shared" si="644"/>
        <v>1.2888888888888888</v>
      </c>
      <c r="W2074" s="5">
        <f t="shared" si="645"/>
        <v>0</v>
      </c>
      <c r="X2074" s="5">
        <f t="shared" si="646"/>
        <v>0</v>
      </c>
      <c r="Y2074" s="5">
        <f t="shared" si="647"/>
        <v>0</v>
      </c>
      <c r="Z2074" s="5">
        <f t="shared" si="648"/>
        <v>0</v>
      </c>
      <c r="AA2074" s="5">
        <f t="shared" si="649"/>
        <v>0</v>
      </c>
      <c r="AB2074" s="5">
        <f t="shared" si="650"/>
        <v>1.2888888888888888</v>
      </c>
    </row>
    <row r="2075" spans="1:29" x14ac:dyDescent="0.25">
      <c r="D2075" t="s">
        <v>101</v>
      </c>
      <c r="E2075" s="64"/>
      <c r="F2075" s="64"/>
      <c r="G2075">
        <f>IFERROR(HLOOKUP(G$2,[63]table_female_hkom3_inj.U1!$A$1:$K$36,34,FALSE),0)</f>
        <v>60</v>
      </c>
      <c r="H2075">
        <f>IFERROR(HLOOKUP(H$2,[63]table_female_hkom3_inj.U1!$A$1:$K$36,34,FALSE),0)</f>
        <v>68</v>
      </c>
      <c r="I2075">
        <f>IFERROR(HLOOKUP(I$2,[63]table_female_hkom3_inj.U1!$A$1:$K$36,34,FALSE),0)</f>
        <v>22</v>
      </c>
      <c r="J2075">
        <f>IFERROR(HLOOKUP(J$2,[63]table_female_hkom3_inj.U1!$A$1:$K$36,34,FALSE),0)</f>
        <v>1</v>
      </c>
      <c r="K2075">
        <f>IFERROR(HLOOKUP(K$2,[63]table_female_hkom3_inj.U1!$A$1:$K$36,34,FALSE),0)</f>
        <v>0</v>
      </c>
      <c r="L2075">
        <f>IFERROR(HLOOKUP(L$2,[63]table_female_hkom3_inj.U1!$A$1:$K$36,34,FALSE),0)</f>
        <v>0</v>
      </c>
      <c r="M2075">
        <f t="shared" si="641"/>
        <v>151</v>
      </c>
      <c r="S2075" t="s">
        <v>101</v>
      </c>
      <c r="T2075" s="5">
        <f t="shared" si="642"/>
        <v>0</v>
      </c>
      <c r="U2075" s="5">
        <f t="shared" si="643"/>
        <v>0</v>
      </c>
      <c r="V2075" s="5">
        <f t="shared" si="644"/>
        <v>77.333333333333329</v>
      </c>
      <c r="W2075" s="5">
        <f t="shared" si="645"/>
        <v>83.003224320589595</v>
      </c>
      <c r="X2075" s="5">
        <f t="shared" si="646"/>
        <v>25.420168067226889</v>
      </c>
      <c r="Y2075" s="5">
        <f t="shared" si="647"/>
        <v>1.2105263157894737</v>
      </c>
      <c r="Z2075" s="5">
        <f t="shared" si="648"/>
        <v>0</v>
      </c>
      <c r="AA2075" s="5">
        <f t="shared" si="649"/>
        <v>0</v>
      </c>
      <c r="AB2075" s="5">
        <f t="shared" si="650"/>
        <v>186.96725203693927</v>
      </c>
    </row>
    <row r="2076" spans="1:29" x14ac:dyDescent="0.25">
      <c r="D2076" t="s">
        <v>102</v>
      </c>
      <c r="E2076" s="64"/>
      <c r="F2076" s="64"/>
      <c r="G2076">
        <f>IFERROR(HLOOKUP(G$2,[63]table_female_hkom3_inj.U1!$A$1:$K$36,35,FALSE),0)</f>
        <v>481</v>
      </c>
      <c r="H2076">
        <f>IFERROR(HLOOKUP(H$2,[63]table_female_hkom3_inj.U1!$A$1:$K$36,35,FALSE),0)</f>
        <v>479</v>
      </c>
      <c r="I2076">
        <f>IFERROR(HLOOKUP(I$2,[63]table_female_hkom3_inj.U1!$A$1:$K$36,35,FALSE),0)</f>
        <v>148</v>
      </c>
      <c r="J2076">
        <f>IFERROR(HLOOKUP(J$2,[63]table_female_hkom3_inj.U1!$A$1:$K$36,35,FALSE),0)</f>
        <v>16</v>
      </c>
      <c r="K2076">
        <f>IFERROR(HLOOKUP(K$2,[63]table_female_hkom3_inj.U1!$A$1:$K$36,35,FALSE),0)</f>
        <v>0</v>
      </c>
      <c r="L2076">
        <f>IFERROR(HLOOKUP(L$2,[63]table_female_hkom3_inj.U1!$A$1:$K$36,35,FALSE),0)</f>
        <v>0</v>
      </c>
      <c r="M2076">
        <f t="shared" si="641"/>
        <v>1124</v>
      </c>
      <c r="N2076">
        <f>SUM(M2043:M2076)</f>
        <v>5992</v>
      </c>
      <c r="O2076" s="8">
        <f>SUM([63]table_female_hkom3_inj.U1!$B$2:$L$36)</f>
        <v>5992</v>
      </c>
      <c r="S2076" t="s">
        <v>102</v>
      </c>
      <c r="T2076" s="7"/>
      <c r="U2076" s="7"/>
      <c r="V2076" s="7"/>
      <c r="W2076" s="7"/>
      <c r="X2076" s="7"/>
      <c r="Y2076" s="7"/>
      <c r="Z2076" s="7"/>
      <c r="AA2076" s="7"/>
      <c r="AB2076" s="5">
        <f t="shared" si="650"/>
        <v>0</v>
      </c>
      <c r="AC2076" s="5">
        <f>SUM(AB2043:AB2075)</f>
        <v>5992.0000000000027</v>
      </c>
    </row>
    <row r="2077" spans="1:29" x14ac:dyDescent="0.25">
      <c r="A2077" t="s">
        <v>115</v>
      </c>
      <c r="B2077" t="s">
        <v>117</v>
      </c>
      <c r="C2077" t="s">
        <v>110</v>
      </c>
      <c r="D2077" t="s">
        <v>70</v>
      </c>
      <c r="E2077" s="64"/>
      <c r="F2077" s="64"/>
      <c r="G2077">
        <f>IFERROR(HLOOKUP(G$2,[64]table_female_hkom3_inj.U2!$A$1:$K$36,2,FALSE),0)</f>
        <v>0</v>
      </c>
      <c r="H2077">
        <f>IFERROR(HLOOKUP(H$2,[64]table_female_hkom3_inj.U2!$A$1:$K$36,2,FALSE),0)</f>
        <v>0</v>
      </c>
      <c r="I2077">
        <f>IFERROR(HLOOKUP(I$2,[64]table_female_hkom3_inj.U2!$A$1:$K$36,2,FALSE),0)</f>
        <v>0</v>
      </c>
      <c r="J2077">
        <f>IFERROR(HLOOKUP(J$2,[64]table_female_hkom3_inj.U2!$A$1:$K$36,2,FALSE),0)</f>
        <v>0</v>
      </c>
      <c r="K2077">
        <f>IFERROR(HLOOKUP(K$2,[64]table_female_hkom3_inj.U2!$A$1:$K$36,2,FALSE),0)</f>
        <v>0</v>
      </c>
      <c r="L2077">
        <f>IFERROR(HLOOKUP(L$2,[64]table_female_hkom3_inj.U2!$A$1:$K$36,2,FALSE),0)</f>
        <v>0</v>
      </c>
      <c r="M2077">
        <f>SUM(E2077:L2077)</f>
        <v>0</v>
      </c>
      <c r="P2077" t="s">
        <v>115</v>
      </c>
      <c r="Q2077" t="s">
        <v>117</v>
      </c>
      <c r="R2077" t="s">
        <v>110</v>
      </c>
      <c r="S2077" t="s">
        <v>70</v>
      </c>
      <c r="T2077" s="5">
        <f>IF(SUM(E$2077:E$2109)=0,E$2110/33,E2077+IFERROR(E2077/SUM(E$2077:E$2109)*E$2110,0))</f>
        <v>0</v>
      </c>
      <c r="U2077" s="5">
        <f t="shared" ref="U2077:AA2077" si="651">IF(SUM(F$2077:F$2109)=0,F$2110/33,F2077+IFERROR(F2077/SUM(F$2077:F$2109)*F$2110,0))</f>
        <v>0</v>
      </c>
      <c r="V2077" s="5">
        <f t="shared" si="651"/>
        <v>0</v>
      </c>
      <c r="W2077" s="5">
        <f t="shared" si="651"/>
        <v>0</v>
      </c>
      <c r="X2077" s="5">
        <f t="shared" si="651"/>
        <v>0</v>
      </c>
      <c r="Y2077" s="5">
        <f t="shared" si="651"/>
        <v>0</v>
      </c>
      <c r="Z2077" s="5">
        <f t="shared" si="651"/>
        <v>3.0303030303030304E-2</v>
      </c>
      <c r="AA2077" s="5">
        <f t="shared" si="651"/>
        <v>0</v>
      </c>
      <c r="AB2077" s="5">
        <f t="shared" si="650"/>
        <v>3.0303030303030304E-2</v>
      </c>
    </row>
    <row r="2078" spans="1:29" x14ac:dyDescent="0.25">
      <c r="D2078" t="s">
        <v>71</v>
      </c>
      <c r="E2078" s="64"/>
      <c r="F2078" s="64"/>
      <c r="G2078">
        <f>IFERROR(HLOOKUP(G$2,[64]table_female_hkom3_inj.U2!$A$1:$K$36,3,FALSE),0)</f>
        <v>0</v>
      </c>
      <c r="H2078">
        <f>IFERROR(HLOOKUP(H$2,[64]table_female_hkom3_inj.U2!$A$1:$K$36,3,FALSE),0)</f>
        <v>0</v>
      </c>
      <c r="I2078">
        <f>IFERROR(HLOOKUP(I$2,[64]table_female_hkom3_inj.U2!$A$1:$K$36,3,FALSE),0)</f>
        <v>0</v>
      </c>
      <c r="J2078">
        <f>IFERROR(HLOOKUP(J$2,[64]table_female_hkom3_inj.U2!$A$1:$K$36,3,FALSE),0)</f>
        <v>0</v>
      </c>
      <c r="K2078">
        <f>IFERROR(HLOOKUP(K$2,[64]table_female_hkom3_inj.U2!$A$1:$K$36,3,FALSE),0)</f>
        <v>0</v>
      </c>
      <c r="L2078">
        <f>IFERROR(HLOOKUP(L$2,[64]table_female_hkom3_inj.U2!$A$1:$K$36,3,FALSE),0)</f>
        <v>0</v>
      </c>
      <c r="M2078">
        <f t="shared" ref="M2078:M2110" si="652">SUM(E2078:L2078)</f>
        <v>0</v>
      </c>
      <c r="S2078" t="s">
        <v>71</v>
      </c>
      <c r="T2078" s="5">
        <f t="shared" ref="T2078:T2109" si="653">IF(SUM(E$2077:E$2109)=0,E$2110/33,E2078+IFERROR(E2078/SUM(E$2077:E$2109)*E$2110,0))</f>
        <v>0</v>
      </c>
      <c r="U2078" s="5">
        <f t="shared" ref="U2078:U2109" si="654">IF(SUM(F$2077:F$2109)=0,F$2110/33,F2078+IFERROR(F2078/SUM(F$2077:F$2109)*F$2110,0))</f>
        <v>0</v>
      </c>
      <c r="V2078" s="5">
        <f t="shared" ref="V2078:V2109" si="655">IF(SUM(G$2077:G$2109)=0,G$2110/33,G2078+IFERROR(G2078/SUM(G$2077:G$2109)*G$2110,0))</f>
        <v>0</v>
      </c>
      <c r="W2078" s="5">
        <f t="shared" ref="W2078:W2109" si="656">IF(SUM(H$2077:H$2109)=0,H$2110/33,H2078+IFERROR(H2078/SUM(H$2077:H$2109)*H$2110,0))</f>
        <v>0</v>
      </c>
      <c r="X2078" s="5">
        <f t="shared" ref="X2078:X2109" si="657">IF(SUM(I$2077:I$2109)=0,I$2110/33,I2078+IFERROR(I2078/SUM(I$2077:I$2109)*I$2110,0))</f>
        <v>0</v>
      </c>
      <c r="Y2078" s="5">
        <f t="shared" ref="Y2078:Y2109" si="658">IF(SUM(J$2077:J$2109)=0,J$2110/33,J2078+IFERROR(J2078/SUM(J$2077:J$2109)*J$2110,0))</f>
        <v>0</v>
      </c>
      <c r="Z2078" s="5">
        <f t="shared" ref="Z2078:Z2109" si="659">IF(SUM(K$2077:K$2109)=0,K$2110/33,K2078+IFERROR(K2078/SUM(K$2077:K$2109)*K$2110,0))</f>
        <v>3.0303030303030304E-2</v>
      </c>
      <c r="AA2078" s="5">
        <f t="shared" ref="AA2078:AA2109" si="660">IF(SUM(L$2077:L$2109)=0,L$2110/33,L2078+IFERROR(L2078/SUM(L$2077:L$2109)*L$2110,0))</f>
        <v>0</v>
      </c>
      <c r="AB2078" s="5">
        <f t="shared" si="650"/>
        <v>3.0303030303030304E-2</v>
      </c>
    </row>
    <row r="2079" spans="1:29" x14ac:dyDescent="0.25">
      <c r="D2079" t="s">
        <v>72</v>
      </c>
      <c r="E2079" s="64"/>
      <c r="F2079" s="64"/>
      <c r="G2079">
        <f>IFERROR(HLOOKUP(G$2,[64]table_female_hkom3_inj.U2!$A$1:$K$36,4,FALSE),0)</f>
        <v>0</v>
      </c>
      <c r="H2079">
        <f>IFERROR(HLOOKUP(H$2,[64]table_female_hkom3_inj.U2!$A$1:$K$36,4,FALSE),0)</f>
        <v>0</v>
      </c>
      <c r="I2079">
        <f>IFERROR(HLOOKUP(I$2,[64]table_female_hkom3_inj.U2!$A$1:$K$36,4,FALSE),0)</f>
        <v>0</v>
      </c>
      <c r="J2079">
        <f>IFERROR(HLOOKUP(J$2,[64]table_female_hkom3_inj.U2!$A$1:$K$36,4,FALSE),0)</f>
        <v>0</v>
      </c>
      <c r="K2079">
        <f>IFERROR(HLOOKUP(K$2,[64]table_female_hkom3_inj.U2!$A$1:$K$36,4,FALSE),0)</f>
        <v>0</v>
      </c>
      <c r="L2079">
        <f>IFERROR(HLOOKUP(L$2,[64]table_female_hkom3_inj.U2!$A$1:$K$36,4,FALSE),0)</f>
        <v>0</v>
      </c>
      <c r="M2079">
        <f t="shared" si="652"/>
        <v>0</v>
      </c>
      <c r="S2079" t="s">
        <v>72</v>
      </c>
      <c r="T2079" s="5">
        <f t="shared" si="653"/>
        <v>0</v>
      </c>
      <c r="U2079" s="5">
        <f t="shared" si="654"/>
        <v>0</v>
      </c>
      <c r="V2079" s="5">
        <f t="shared" si="655"/>
        <v>0</v>
      </c>
      <c r="W2079" s="5">
        <f t="shared" si="656"/>
        <v>0</v>
      </c>
      <c r="X2079" s="5">
        <f t="shared" si="657"/>
        <v>0</v>
      </c>
      <c r="Y2079" s="5">
        <f t="shared" si="658"/>
        <v>0</v>
      </c>
      <c r="Z2079" s="5">
        <f t="shared" si="659"/>
        <v>3.0303030303030304E-2</v>
      </c>
      <c r="AA2079" s="5">
        <f t="shared" si="660"/>
        <v>0</v>
      </c>
      <c r="AB2079" s="5">
        <f t="shared" si="650"/>
        <v>3.0303030303030304E-2</v>
      </c>
    </row>
    <row r="2080" spans="1:29" x14ac:dyDescent="0.25">
      <c r="D2080" t="s">
        <v>73</v>
      </c>
      <c r="E2080" s="64"/>
      <c r="F2080" s="64"/>
      <c r="G2080">
        <f>IFERROR(HLOOKUP(G$2,[64]table_female_hkom3_inj.U2!$A$1:$K$36,5,FALSE),0)</f>
        <v>0</v>
      </c>
      <c r="H2080">
        <f>IFERROR(HLOOKUP(H$2,[64]table_female_hkom3_inj.U2!$A$1:$K$36,5,FALSE),0)</f>
        <v>0</v>
      </c>
      <c r="I2080">
        <f>IFERROR(HLOOKUP(I$2,[64]table_female_hkom3_inj.U2!$A$1:$K$36,5,FALSE),0)</f>
        <v>0</v>
      </c>
      <c r="J2080">
        <f>IFERROR(HLOOKUP(J$2,[64]table_female_hkom3_inj.U2!$A$1:$K$36,5,FALSE),0)</f>
        <v>0</v>
      </c>
      <c r="K2080">
        <f>IFERROR(HLOOKUP(K$2,[64]table_female_hkom3_inj.U2!$A$1:$K$36,5,FALSE),0)</f>
        <v>0</v>
      </c>
      <c r="L2080">
        <f>IFERROR(HLOOKUP(L$2,[64]table_female_hkom3_inj.U2!$A$1:$K$36,5,FALSE),0)</f>
        <v>0</v>
      </c>
      <c r="M2080">
        <f t="shared" si="652"/>
        <v>0</v>
      </c>
      <c r="S2080" t="s">
        <v>73</v>
      </c>
      <c r="T2080" s="5">
        <f t="shared" si="653"/>
        <v>0</v>
      </c>
      <c r="U2080" s="5">
        <f t="shared" si="654"/>
        <v>0</v>
      </c>
      <c r="V2080" s="5">
        <f t="shared" si="655"/>
        <v>0</v>
      </c>
      <c r="W2080" s="5">
        <f t="shared" si="656"/>
        <v>0</v>
      </c>
      <c r="X2080" s="5">
        <f t="shared" si="657"/>
        <v>0</v>
      </c>
      <c r="Y2080" s="5">
        <f t="shared" si="658"/>
        <v>0</v>
      </c>
      <c r="Z2080" s="5">
        <f t="shared" si="659"/>
        <v>3.0303030303030304E-2</v>
      </c>
      <c r="AA2080" s="5">
        <f t="shared" si="660"/>
        <v>0</v>
      </c>
      <c r="AB2080" s="5">
        <f t="shared" si="650"/>
        <v>3.0303030303030304E-2</v>
      </c>
    </row>
    <row r="2081" spans="4:28" x14ac:dyDescent="0.25">
      <c r="D2081" t="s">
        <v>74</v>
      </c>
      <c r="E2081" s="64"/>
      <c r="F2081" s="64"/>
      <c r="G2081">
        <f>IFERROR(HLOOKUP(G$2,[64]table_female_hkom3_inj.U2!$A$1:$K$36,6,FALSE),0)</f>
        <v>0</v>
      </c>
      <c r="H2081">
        <f>IFERROR(HLOOKUP(H$2,[64]table_female_hkom3_inj.U2!$A$1:$K$36,6,FALSE),0)</f>
        <v>0</v>
      </c>
      <c r="I2081">
        <f>IFERROR(HLOOKUP(I$2,[64]table_female_hkom3_inj.U2!$A$1:$K$36,6,FALSE),0)</f>
        <v>0</v>
      </c>
      <c r="J2081">
        <f>IFERROR(HLOOKUP(J$2,[64]table_female_hkom3_inj.U2!$A$1:$K$36,6,FALSE),0)</f>
        <v>0</v>
      </c>
      <c r="K2081">
        <f>IFERROR(HLOOKUP(K$2,[64]table_female_hkom3_inj.U2!$A$1:$K$36,6,FALSE),0)</f>
        <v>0</v>
      </c>
      <c r="L2081">
        <f>IFERROR(HLOOKUP(L$2,[64]table_female_hkom3_inj.U2!$A$1:$K$36,6,FALSE),0)</f>
        <v>0</v>
      </c>
      <c r="M2081">
        <f t="shared" si="652"/>
        <v>0</v>
      </c>
      <c r="S2081" t="s">
        <v>74</v>
      </c>
      <c r="T2081" s="5">
        <f t="shared" si="653"/>
        <v>0</v>
      </c>
      <c r="U2081" s="5">
        <f t="shared" si="654"/>
        <v>0</v>
      </c>
      <c r="V2081" s="5">
        <f t="shared" si="655"/>
        <v>0</v>
      </c>
      <c r="W2081" s="5">
        <f t="shared" si="656"/>
        <v>0</v>
      </c>
      <c r="X2081" s="5">
        <f t="shared" si="657"/>
        <v>0</v>
      </c>
      <c r="Y2081" s="5">
        <f t="shared" si="658"/>
        <v>0</v>
      </c>
      <c r="Z2081" s="5">
        <f t="shared" si="659"/>
        <v>3.0303030303030304E-2</v>
      </c>
      <c r="AA2081" s="5">
        <f t="shared" si="660"/>
        <v>0</v>
      </c>
      <c r="AB2081" s="5">
        <f t="shared" si="650"/>
        <v>3.0303030303030304E-2</v>
      </c>
    </row>
    <row r="2082" spans="4:28" x14ac:dyDescent="0.25">
      <c r="D2082" t="s">
        <v>75</v>
      </c>
      <c r="E2082" s="64"/>
      <c r="F2082" s="64"/>
      <c r="G2082">
        <f>IFERROR(HLOOKUP(G$2,[64]table_female_hkom3_inj.U2!$A$1:$K$36,7,FALSE),0)</f>
        <v>0</v>
      </c>
      <c r="H2082">
        <f>IFERROR(HLOOKUP(H$2,[64]table_female_hkom3_inj.U2!$A$1:$K$36,7,FALSE),0)</f>
        <v>0</v>
      </c>
      <c r="I2082">
        <f>IFERROR(HLOOKUP(I$2,[64]table_female_hkom3_inj.U2!$A$1:$K$36,7,FALSE),0)</f>
        <v>0</v>
      </c>
      <c r="J2082">
        <f>IFERROR(HLOOKUP(J$2,[64]table_female_hkom3_inj.U2!$A$1:$K$36,7,FALSE),0)</f>
        <v>0</v>
      </c>
      <c r="K2082">
        <f>IFERROR(HLOOKUP(K$2,[64]table_female_hkom3_inj.U2!$A$1:$K$36,7,FALSE),0)</f>
        <v>0</v>
      </c>
      <c r="L2082">
        <f>IFERROR(HLOOKUP(L$2,[64]table_female_hkom3_inj.U2!$A$1:$K$36,7,FALSE),0)</f>
        <v>0</v>
      </c>
      <c r="M2082">
        <f t="shared" si="652"/>
        <v>0</v>
      </c>
      <c r="S2082" t="s">
        <v>75</v>
      </c>
      <c r="T2082" s="5">
        <f t="shared" si="653"/>
        <v>0</v>
      </c>
      <c r="U2082" s="5">
        <f t="shared" si="654"/>
        <v>0</v>
      </c>
      <c r="V2082" s="5">
        <f t="shared" si="655"/>
        <v>0</v>
      </c>
      <c r="W2082" s="5">
        <f t="shared" si="656"/>
        <v>0</v>
      </c>
      <c r="X2082" s="5">
        <f t="shared" si="657"/>
        <v>0</v>
      </c>
      <c r="Y2082" s="5">
        <f t="shared" si="658"/>
        <v>0</v>
      </c>
      <c r="Z2082" s="5">
        <f t="shared" si="659"/>
        <v>3.0303030303030304E-2</v>
      </c>
      <c r="AA2082" s="5">
        <f t="shared" si="660"/>
        <v>0</v>
      </c>
      <c r="AB2082" s="5">
        <f t="shared" si="650"/>
        <v>3.0303030303030304E-2</v>
      </c>
    </row>
    <row r="2083" spans="4:28" x14ac:dyDescent="0.25">
      <c r="D2083" t="s">
        <v>76</v>
      </c>
      <c r="E2083" s="64"/>
      <c r="F2083" s="64"/>
      <c r="G2083">
        <f>IFERROR(HLOOKUP(G$2,[64]table_female_hkom3_inj.U2!$A$1:$K$36,8,FALSE),0)</f>
        <v>0</v>
      </c>
      <c r="H2083">
        <f>IFERROR(HLOOKUP(H$2,[64]table_female_hkom3_inj.U2!$A$1:$K$36,8,FALSE),0)</f>
        <v>0</v>
      </c>
      <c r="I2083">
        <f>IFERROR(HLOOKUP(I$2,[64]table_female_hkom3_inj.U2!$A$1:$K$36,8,FALSE),0)</f>
        <v>0</v>
      </c>
      <c r="J2083">
        <f>IFERROR(HLOOKUP(J$2,[64]table_female_hkom3_inj.U2!$A$1:$K$36,8,FALSE),0)</f>
        <v>0</v>
      </c>
      <c r="K2083">
        <f>IFERROR(HLOOKUP(K$2,[64]table_female_hkom3_inj.U2!$A$1:$K$36,8,FALSE),0)</f>
        <v>0</v>
      </c>
      <c r="L2083">
        <f>IFERROR(HLOOKUP(L$2,[64]table_female_hkom3_inj.U2!$A$1:$K$36,8,FALSE),0)</f>
        <v>0</v>
      </c>
      <c r="M2083">
        <f t="shared" si="652"/>
        <v>0</v>
      </c>
      <c r="S2083" t="s">
        <v>76</v>
      </c>
      <c r="T2083" s="5">
        <f t="shared" si="653"/>
        <v>0</v>
      </c>
      <c r="U2083" s="5">
        <f t="shared" si="654"/>
        <v>0</v>
      </c>
      <c r="V2083" s="5">
        <f t="shared" si="655"/>
        <v>0</v>
      </c>
      <c r="W2083" s="5">
        <f t="shared" si="656"/>
        <v>0</v>
      </c>
      <c r="X2083" s="5">
        <f t="shared" si="657"/>
        <v>0</v>
      </c>
      <c r="Y2083" s="5">
        <f t="shared" si="658"/>
        <v>0</v>
      </c>
      <c r="Z2083" s="5">
        <f t="shared" si="659"/>
        <v>3.0303030303030304E-2</v>
      </c>
      <c r="AA2083" s="5">
        <f t="shared" si="660"/>
        <v>0</v>
      </c>
      <c r="AB2083" s="5">
        <f t="shared" si="650"/>
        <v>3.0303030303030304E-2</v>
      </c>
    </row>
    <row r="2084" spans="4:28" x14ac:dyDescent="0.25">
      <c r="D2084" t="s">
        <v>77</v>
      </c>
      <c r="E2084" s="64"/>
      <c r="F2084" s="64"/>
      <c r="G2084">
        <f>IFERROR(HLOOKUP(G$2,[64]table_female_hkom3_inj.U2!$A$1:$K$36,9,FALSE),0)</f>
        <v>0</v>
      </c>
      <c r="H2084">
        <f>IFERROR(HLOOKUP(H$2,[64]table_female_hkom3_inj.U2!$A$1:$K$36,9,FALSE),0)</f>
        <v>0</v>
      </c>
      <c r="I2084">
        <f>IFERROR(HLOOKUP(I$2,[64]table_female_hkom3_inj.U2!$A$1:$K$36,9,FALSE),0)</f>
        <v>0</v>
      </c>
      <c r="J2084">
        <f>IFERROR(HLOOKUP(J$2,[64]table_female_hkom3_inj.U2!$A$1:$K$36,9,FALSE),0)</f>
        <v>0</v>
      </c>
      <c r="K2084">
        <f>IFERROR(HLOOKUP(K$2,[64]table_female_hkom3_inj.U2!$A$1:$K$36,9,FALSE),0)</f>
        <v>0</v>
      </c>
      <c r="L2084">
        <f>IFERROR(HLOOKUP(L$2,[64]table_female_hkom3_inj.U2!$A$1:$K$36,9,FALSE),0)</f>
        <v>0</v>
      </c>
      <c r="M2084">
        <f t="shared" si="652"/>
        <v>0</v>
      </c>
      <c r="S2084" t="s">
        <v>77</v>
      </c>
      <c r="T2084" s="5">
        <f t="shared" si="653"/>
        <v>0</v>
      </c>
      <c r="U2084" s="5">
        <f t="shared" si="654"/>
        <v>0</v>
      </c>
      <c r="V2084" s="5">
        <f t="shared" si="655"/>
        <v>0</v>
      </c>
      <c r="W2084" s="5">
        <f t="shared" si="656"/>
        <v>0</v>
      </c>
      <c r="X2084" s="5">
        <f t="shared" si="657"/>
        <v>0</v>
      </c>
      <c r="Y2084" s="5">
        <f t="shared" si="658"/>
        <v>0</v>
      </c>
      <c r="Z2084" s="5">
        <f t="shared" si="659"/>
        <v>3.0303030303030304E-2</v>
      </c>
      <c r="AA2084" s="5">
        <f t="shared" si="660"/>
        <v>0</v>
      </c>
      <c r="AB2084" s="5">
        <f t="shared" si="650"/>
        <v>3.0303030303030304E-2</v>
      </c>
    </row>
    <row r="2085" spans="4:28" x14ac:dyDescent="0.25">
      <c r="D2085" t="s">
        <v>78</v>
      </c>
      <c r="E2085" s="64"/>
      <c r="F2085" s="64"/>
      <c r="G2085">
        <f>IFERROR(HLOOKUP(G$2,[64]table_female_hkom3_inj.U2!$A$1:$K$36,10,FALSE),0)</f>
        <v>0</v>
      </c>
      <c r="H2085">
        <f>IFERROR(HLOOKUP(H$2,[64]table_female_hkom3_inj.U2!$A$1:$K$36,10,FALSE),0)</f>
        <v>0</v>
      </c>
      <c r="I2085">
        <f>IFERROR(HLOOKUP(I$2,[64]table_female_hkom3_inj.U2!$A$1:$K$36,10,FALSE),0)</f>
        <v>0</v>
      </c>
      <c r="J2085">
        <f>IFERROR(HLOOKUP(J$2,[64]table_female_hkom3_inj.U2!$A$1:$K$36,10,FALSE),0)</f>
        <v>0</v>
      </c>
      <c r="K2085">
        <f>IFERROR(HLOOKUP(K$2,[64]table_female_hkom3_inj.U2!$A$1:$K$36,10,FALSE),0)</f>
        <v>0</v>
      </c>
      <c r="L2085">
        <f>IFERROR(HLOOKUP(L$2,[64]table_female_hkom3_inj.U2!$A$1:$K$36,10,FALSE),0)</f>
        <v>0</v>
      </c>
      <c r="M2085">
        <f t="shared" si="652"/>
        <v>0</v>
      </c>
      <c r="S2085" t="s">
        <v>78</v>
      </c>
      <c r="T2085" s="5">
        <f t="shared" si="653"/>
        <v>0</v>
      </c>
      <c r="U2085" s="5">
        <f t="shared" si="654"/>
        <v>0</v>
      </c>
      <c r="V2085" s="5">
        <f t="shared" si="655"/>
        <v>0</v>
      </c>
      <c r="W2085" s="5">
        <f t="shared" si="656"/>
        <v>0</v>
      </c>
      <c r="X2085" s="5">
        <f t="shared" si="657"/>
        <v>0</v>
      </c>
      <c r="Y2085" s="5">
        <f t="shared" si="658"/>
        <v>0</v>
      </c>
      <c r="Z2085" s="5">
        <f t="shared" si="659"/>
        <v>3.0303030303030304E-2</v>
      </c>
      <c r="AA2085" s="5">
        <f t="shared" si="660"/>
        <v>0</v>
      </c>
      <c r="AB2085" s="5">
        <f t="shared" si="650"/>
        <v>3.0303030303030304E-2</v>
      </c>
    </row>
    <row r="2086" spans="4:28" x14ac:dyDescent="0.25">
      <c r="D2086" t="s">
        <v>79</v>
      </c>
      <c r="E2086" s="64"/>
      <c r="F2086" s="64"/>
      <c r="G2086">
        <f>IFERROR(HLOOKUP(G$2,[64]table_female_hkom3_inj.U2!$A$1:$K$36,11,FALSE),0)</f>
        <v>0</v>
      </c>
      <c r="H2086">
        <f>IFERROR(HLOOKUP(H$2,[64]table_female_hkom3_inj.U2!$A$1:$K$36,11,FALSE),0)</f>
        <v>0</v>
      </c>
      <c r="I2086">
        <f>IFERROR(HLOOKUP(I$2,[64]table_female_hkom3_inj.U2!$A$1:$K$36,11,FALSE),0)</f>
        <v>0</v>
      </c>
      <c r="J2086">
        <f>IFERROR(HLOOKUP(J$2,[64]table_female_hkom3_inj.U2!$A$1:$K$36,11,FALSE),0)</f>
        <v>0</v>
      </c>
      <c r="K2086">
        <f>IFERROR(HLOOKUP(K$2,[64]table_female_hkom3_inj.U2!$A$1:$K$36,11,FALSE),0)</f>
        <v>0</v>
      </c>
      <c r="L2086">
        <f>IFERROR(HLOOKUP(L$2,[64]table_female_hkom3_inj.U2!$A$1:$K$36,11,FALSE),0)</f>
        <v>0</v>
      </c>
      <c r="M2086">
        <f t="shared" si="652"/>
        <v>0</v>
      </c>
      <c r="S2086" t="s">
        <v>79</v>
      </c>
      <c r="T2086" s="5">
        <f t="shared" si="653"/>
        <v>0</v>
      </c>
      <c r="U2086" s="5">
        <f t="shared" si="654"/>
        <v>0</v>
      </c>
      <c r="V2086" s="5">
        <f t="shared" si="655"/>
        <v>0</v>
      </c>
      <c r="W2086" s="5">
        <f t="shared" si="656"/>
        <v>0</v>
      </c>
      <c r="X2086" s="5">
        <f t="shared" si="657"/>
        <v>0</v>
      </c>
      <c r="Y2086" s="5">
        <f t="shared" si="658"/>
        <v>0</v>
      </c>
      <c r="Z2086" s="5">
        <f t="shared" si="659"/>
        <v>3.0303030303030304E-2</v>
      </c>
      <c r="AA2086" s="5">
        <f t="shared" si="660"/>
        <v>0</v>
      </c>
      <c r="AB2086" s="5">
        <f t="shared" si="650"/>
        <v>3.0303030303030304E-2</v>
      </c>
    </row>
    <row r="2087" spans="4:28" x14ac:dyDescent="0.25">
      <c r="D2087" t="s">
        <v>80</v>
      </c>
      <c r="E2087" s="64"/>
      <c r="F2087" s="64"/>
      <c r="G2087">
        <f>IFERROR(HLOOKUP(G$2,[64]table_female_hkom3_inj.U2!$A$1:$K$36,12,FALSE),0)</f>
        <v>0</v>
      </c>
      <c r="H2087">
        <f>IFERROR(HLOOKUP(H$2,[64]table_female_hkom3_inj.U2!$A$1:$K$36,12,FALSE),0)</f>
        <v>0</v>
      </c>
      <c r="I2087">
        <f>IFERROR(HLOOKUP(I$2,[64]table_female_hkom3_inj.U2!$A$1:$K$36,12,FALSE),0)</f>
        <v>0</v>
      </c>
      <c r="J2087">
        <f>IFERROR(HLOOKUP(J$2,[64]table_female_hkom3_inj.U2!$A$1:$K$36,12,FALSE),0)</f>
        <v>0</v>
      </c>
      <c r="K2087">
        <f>IFERROR(HLOOKUP(K$2,[64]table_female_hkom3_inj.U2!$A$1:$K$36,12,FALSE),0)</f>
        <v>0</v>
      </c>
      <c r="L2087">
        <f>IFERROR(HLOOKUP(L$2,[64]table_female_hkom3_inj.U2!$A$1:$K$36,12,FALSE),0)</f>
        <v>0</v>
      </c>
      <c r="M2087">
        <f t="shared" si="652"/>
        <v>0</v>
      </c>
      <c r="S2087" t="s">
        <v>80</v>
      </c>
      <c r="T2087" s="5">
        <f t="shared" si="653"/>
        <v>0</v>
      </c>
      <c r="U2087" s="5">
        <f t="shared" si="654"/>
        <v>0</v>
      </c>
      <c r="V2087" s="5">
        <f t="shared" si="655"/>
        <v>0</v>
      </c>
      <c r="W2087" s="5">
        <f t="shared" si="656"/>
        <v>0</v>
      </c>
      <c r="X2087" s="5">
        <f t="shared" si="657"/>
        <v>0</v>
      </c>
      <c r="Y2087" s="5">
        <f t="shared" si="658"/>
        <v>0</v>
      </c>
      <c r="Z2087" s="5">
        <f t="shared" si="659"/>
        <v>3.0303030303030304E-2</v>
      </c>
      <c r="AA2087" s="5">
        <f t="shared" si="660"/>
        <v>0</v>
      </c>
      <c r="AB2087" s="5">
        <f t="shared" si="650"/>
        <v>3.0303030303030304E-2</v>
      </c>
    </row>
    <row r="2088" spans="4:28" x14ac:dyDescent="0.25">
      <c r="D2088" t="s">
        <v>81</v>
      </c>
      <c r="E2088" s="64"/>
      <c r="F2088" s="64"/>
      <c r="G2088">
        <f>IFERROR(HLOOKUP(G$2,[64]table_female_hkom3_inj.U2!$A$1:$K$36,13,FALSE),0)</f>
        <v>0</v>
      </c>
      <c r="H2088">
        <f>IFERROR(HLOOKUP(H$2,[64]table_female_hkom3_inj.U2!$A$1:$K$36,13,FALSE),0)</f>
        <v>0</v>
      </c>
      <c r="I2088">
        <f>IFERROR(HLOOKUP(I$2,[64]table_female_hkom3_inj.U2!$A$1:$K$36,13,FALSE),0)</f>
        <v>0</v>
      </c>
      <c r="J2088">
        <f>IFERROR(HLOOKUP(J$2,[64]table_female_hkom3_inj.U2!$A$1:$K$36,13,FALSE),0)</f>
        <v>0</v>
      </c>
      <c r="K2088">
        <f>IFERROR(HLOOKUP(K$2,[64]table_female_hkom3_inj.U2!$A$1:$K$36,13,FALSE),0)</f>
        <v>0</v>
      </c>
      <c r="L2088">
        <f>IFERROR(HLOOKUP(L$2,[64]table_female_hkom3_inj.U2!$A$1:$K$36,13,FALSE),0)</f>
        <v>0</v>
      </c>
      <c r="M2088">
        <f t="shared" si="652"/>
        <v>0</v>
      </c>
      <c r="S2088" t="s">
        <v>81</v>
      </c>
      <c r="T2088" s="5">
        <f t="shared" si="653"/>
        <v>0</v>
      </c>
      <c r="U2088" s="5">
        <f t="shared" si="654"/>
        <v>0</v>
      </c>
      <c r="V2088" s="5">
        <f t="shared" si="655"/>
        <v>0</v>
      </c>
      <c r="W2088" s="5">
        <f t="shared" si="656"/>
        <v>0</v>
      </c>
      <c r="X2088" s="5">
        <f t="shared" si="657"/>
        <v>0</v>
      </c>
      <c r="Y2088" s="5">
        <f t="shared" si="658"/>
        <v>0</v>
      </c>
      <c r="Z2088" s="5">
        <f t="shared" si="659"/>
        <v>3.0303030303030304E-2</v>
      </c>
      <c r="AA2088" s="5">
        <f t="shared" si="660"/>
        <v>0</v>
      </c>
      <c r="AB2088" s="5">
        <f t="shared" si="650"/>
        <v>3.0303030303030304E-2</v>
      </c>
    </row>
    <row r="2089" spans="4:28" x14ac:dyDescent="0.25">
      <c r="D2089" t="s">
        <v>82</v>
      </c>
      <c r="E2089" s="64"/>
      <c r="F2089" s="64"/>
      <c r="G2089">
        <f>IFERROR(HLOOKUP(G$2,[64]table_female_hkom3_inj.U2!$A$1:$K$36,14,FALSE),0)</f>
        <v>0</v>
      </c>
      <c r="H2089">
        <f>IFERROR(HLOOKUP(H$2,[64]table_female_hkom3_inj.U2!$A$1:$K$36,14,FALSE),0)</f>
        <v>0</v>
      </c>
      <c r="I2089">
        <f>IFERROR(HLOOKUP(I$2,[64]table_female_hkom3_inj.U2!$A$1:$K$36,14,FALSE),0)</f>
        <v>0</v>
      </c>
      <c r="J2089">
        <f>IFERROR(HLOOKUP(J$2,[64]table_female_hkom3_inj.U2!$A$1:$K$36,14,FALSE),0)</f>
        <v>0</v>
      </c>
      <c r="K2089">
        <f>IFERROR(HLOOKUP(K$2,[64]table_female_hkom3_inj.U2!$A$1:$K$36,14,FALSE),0)</f>
        <v>0</v>
      </c>
      <c r="L2089">
        <f>IFERROR(HLOOKUP(L$2,[64]table_female_hkom3_inj.U2!$A$1:$K$36,14,FALSE),0)</f>
        <v>0</v>
      </c>
      <c r="M2089">
        <f t="shared" si="652"/>
        <v>0</v>
      </c>
      <c r="S2089" t="s">
        <v>82</v>
      </c>
      <c r="T2089" s="5">
        <f t="shared" si="653"/>
        <v>0</v>
      </c>
      <c r="U2089" s="5">
        <f t="shared" si="654"/>
        <v>0</v>
      </c>
      <c r="V2089" s="5">
        <f t="shared" si="655"/>
        <v>0</v>
      </c>
      <c r="W2089" s="5">
        <f t="shared" si="656"/>
        <v>0</v>
      </c>
      <c r="X2089" s="5">
        <f t="shared" si="657"/>
        <v>0</v>
      </c>
      <c r="Y2089" s="5">
        <f t="shared" si="658"/>
        <v>0</v>
      </c>
      <c r="Z2089" s="5">
        <f t="shared" si="659"/>
        <v>3.0303030303030304E-2</v>
      </c>
      <c r="AA2089" s="5">
        <f t="shared" si="660"/>
        <v>0</v>
      </c>
      <c r="AB2089" s="5">
        <f t="shared" si="650"/>
        <v>3.0303030303030304E-2</v>
      </c>
    </row>
    <row r="2090" spans="4:28" x14ac:dyDescent="0.25">
      <c r="D2090" t="s">
        <v>83</v>
      </c>
      <c r="E2090" s="64"/>
      <c r="F2090" s="64"/>
      <c r="G2090">
        <f>IFERROR(HLOOKUP(G$2,[64]table_female_hkom3_inj.U2!$A$1:$K$36,15,FALSE),0)</f>
        <v>0</v>
      </c>
      <c r="H2090">
        <f>IFERROR(HLOOKUP(H$2,[64]table_female_hkom3_inj.U2!$A$1:$K$36,15,FALSE),0)</f>
        <v>0</v>
      </c>
      <c r="I2090">
        <f>IFERROR(HLOOKUP(I$2,[64]table_female_hkom3_inj.U2!$A$1:$K$36,15,FALSE),0)</f>
        <v>0</v>
      </c>
      <c r="J2090">
        <f>IFERROR(HLOOKUP(J$2,[64]table_female_hkom3_inj.U2!$A$1:$K$36,15,FALSE),0)</f>
        <v>0</v>
      </c>
      <c r="K2090">
        <f>IFERROR(HLOOKUP(K$2,[64]table_female_hkom3_inj.U2!$A$1:$K$36,15,FALSE),0)</f>
        <v>0</v>
      </c>
      <c r="L2090">
        <f>IFERROR(HLOOKUP(L$2,[64]table_female_hkom3_inj.U2!$A$1:$K$36,15,FALSE),0)</f>
        <v>0</v>
      </c>
      <c r="M2090">
        <f t="shared" si="652"/>
        <v>0</v>
      </c>
      <c r="S2090" t="s">
        <v>83</v>
      </c>
      <c r="T2090" s="5">
        <f t="shared" si="653"/>
        <v>0</v>
      </c>
      <c r="U2090" s="5">
        <f t="shared" si="654"/>
        <v>0</v>
      </c>
      <c r="V2090" s="5">
        <f t="shared" si="655"/>
        <v>0</v>
      </c>
      <c r="W2090" s="5">
        <f t="shared" si="656"/>
        <v>0</v>
      </c>
      <c r="X2090" s="5">
        <f t="shared" si="657"/>
        <v>0</v>
      </c>
      <c r="Y2090" s="5">
        <f t="shared" si="658"/>
        <v>0</v>
      </c>
      <c r="Z2090" s="5">
        <f t="shared" si="659"/>
        <v>3.0303030303030304E-2</v>
      </c>
      <c r="AA2090" s="5">
        <f t="shared" si="660"/>
        <v>0</v>
      </c>
      <c r="AB2090" s="5">
        <f t="shared" si="650"/>
        <v>3.0303030303030304E-2</v>
      </c>
    </row>
    <row r="2091" spans="4:28" x14ac:dyDescent="0.25">
      <c r="D2091" t="s">
        <v>84</v>
      </c>
      <c r="E2091" s="64"/>
      <c r="F2091" s="64"/>
      <c r="G2091">
        <f>IFERROR(HLOOKUP(G$2,[64]table_female_hkom3_inj.U2!$A$1:$K$36,16,FALSE),0)</f>
        <v>0</v>
      </c>
      <c r="H2091">
        <f>IFERROR(HLOOKUP(H$2,[64]table_female_hkom3_inj.U2!$A$1:$K$36,16,FALSE),0)</f>
        <v>0</v>
      </c>
      <c r="I2091">
        <f>IFERROR(HLOOKUP(I$2,[64]table_female_hkom3_inj.U2!$A$1:$K$36,16,FALSE),0)</f>
        <v>0</v>
      </c>
      <c r="J2091">
        <f>IFERROR(HLOOKUP(J$2,[64]table_female_hkom3_inj.U2!$A$1:$K$36,16,FALSE),0)</f>
        <v>0</v>
      </c>
      <c r="K2091">
        <f>IFERROR(HLOOKUP(K$2,[64]table_female_hkom3_inj.U2!$A$1:$K$36,16,FALSE),0)</f>
        <v>0</v>
      </c>
      <c r="L2091">
        <f>IFERROR(HLOOKUP(L$2,[64]table_female_hkom3_inj.U2!$A$1:$K$36,16,FALSE),0)</f>
        <v>0</v>
      </c>
      <c r="M2091">
        <f t="shared" si="652"/>
        <v>0</v>
      </c>
      <c r="S2091" t="s">
        <v>84</v>
      </c>
      <c r="T2091" s="5">
        <f t="shared" si="653"/>
        <v>0</v>
      </c>
      <c r="U2091" s="5">
        <f t="shared" si="654"/>
        <v>0</v>
      </c>
      <c r="V2091" s="5">
        <f t="shared" si="655"/>
        <v>0</v>
      </c>
      <c r="W2091" s="5">
        <f t="shared" si="656"/>
        <v>0</v>
      </c>
      <c r="X2091" s="5">
        <f t="shared" si="657"/>
        <v>0</v>
      </c>
      <c r="Y2091" s="5">
        <f t="shared" si="658"/>
        <v>0</v>
      </c>
      <c r="Z2091" s="5">
        <f t="shared" si="659"/>
        <v>3.0303030303030304E-2</v>
      </c>
      <c r="AA2091" s="5">
        <f t="shared" si="660"/>
        <v>0</v>
      </c>
      <c r="AB2091" s="5">
        <f t="shared" si="650"/>
        <v>3.0303030303030304E-2</v>
      </c>
    </row>
    <row r="2092" spans="4:28" x14ac:dyDescent="0.25">
      <c r="D2092" t="s">
        <v>85</v>
      </c>
      <c r="E2092" s="64"/>
      <c r="F2092" s="64"/>
      <c r="G2092">
        <f>IFERROR(HLOOKUP(G$2,[64]table_female_hkom3_inj.U2!$A$1:$K$36,17,FALSE),0)</f>
        <v>1</v>
      </c>
      <c r="H2092">
        <f>IFERROR(HLOOKUP(H$2,[64]table_female_hkom3_inj.U2!$A$1:$K$36,17,FALSE),0)</f>
        <v>0</v>
      </c>
      <c r="I2092">
        <f>IFERROR(HLOOKUP(I$2,[64]table_female_hkom3_inj.U2!$A$1:$K$36,17,FALSE),0)</f>
        <v>0</v>
      </c>
      <c r="J2092">
        <f>IFERROR(HLOOKUP(J$2,[64]table_female_hkom3_inj.U2!$A$1:$K$36,17,FALSE),0)</f>
        <v>0</v>
      </c>
      <c r="K2092">
        <f>IFERROR(HLOOKUP(K$2,[64]table_female_hkom3_inj.U2!$A$1:$K$36,17,FALSE),0)</f>
        <v>0</v>
      </c>
      <c r="L2092">
        <f>IFERROR(HLOOKUP(L$2,[64]table_female_hkom3_inj.U2!$A$1:$K$36,17,FALSE),0)</f>
        <v>0</v>
      </c>
      <c r="M2092">
        <f t="shared" si="652"/>
        <v>1</v>
      </c>
      <c r="S2092" t="s">
        <v>85</v>
      </c>
      <c r="T2092" s="5">
        <f t="shared" si="653"/>
        <v>0</v>
      </c>
      <c r="U2092" s="5">
        <f t="shared" si="654"/>
        <v>0</v>
      </c>
      <c r="V2092" s="5">
        <f t="shared" si="655"/>
        <v>2.6229508196721314</v>
      </c>
      <c r="W2092" s="5">
        <f t="shared" si="656"/>
        <v>0</v>
      </c>
      <c r="X2092" s="5">
        <f t="shared" si="657"/>
        <v>0</v>
      </c>
      <c r="Y2092" s="5">
        <f t="shared" si="658"/>
        <v>0</v>
      </c>
      <c r="Z2092" s="5">
        <f t="shared" si="659"/>
        <v>3.0303030303030304E-2</v>
      </c>
      <c r="AA2092" s="5">
        <f t="shared" si="660"/>
        <v>0</v>
      </c>
      <c r="AB2092" s="5">
        <f t="shared" si="650"/>
        <v>2.6532538499751617</v>
      </c>
    </row>
    <row r="2093" spans="4:28" x14ac:dyDescent="0.25">
      <c r="D2093" t="s">
        <v>86</v>
      </c>
      <c r="E2093" s="64"/>
      <c r="F2093" s="64"/>
      <c r="G2093">
        <f>IFERROR(HLOOKUP(G$2,[64]table_female_hkom3_inj.U2!$A$1:$K$36,18,FALSE),0)</f>
        <v>0</v>
      </c>
      <c r="H2093">
        <f>IFERROR(HLOOKUP(H$2,[64]table_female_hkom3_inj.U2!$A$1:$K$36,18,FALSE),0)</f>
        <v>0</v>
      </c>
      <c r="I2093">
        <f>IFERROR(HLOOKUP(I$2,[64]table_female_hkom3_inj.U2!$A$1:$K$36,18,FALSE),0)</f>
        <v>0</v>
      </c>
      <c r="J2093">
        <f>IFERROR(HLOOKUP(J$2,[64]table_female_hkom3_inj.U2!$A$1:$K$36,18,FALSE),0)</f>
        <v>0</v>
      </c>
      <c r="K2093">
        <f>IFERROR(HLOOKUP(K$2,[64]table_female_hkom3_inj.U2!$A$1:$K$36,18,FALSE),0)</f>
        <v>0</v>
      </c>
      <c r="L2093">
        <f>IFERROR(HLOOKUP(L$2,[64]table_female_hkom3_inj.U2!$A$1:$K$36,18,FALSE),0)</f>
        <v>0</v>
      </c>
      <c r="M2093">
        <f t="shared" si="652"/>
        <v>0</v>
      </c>
      <c r="S2093" t="s">
        <v>86</v>
      </c>
      <c r="T2093" s="5">
        <f t="shared" si="653"/>
        <v>0</v>
      </c>
      <c r="U2093" s="5">
        <f t="shared" si="654"/>
        <v>0</v>
      </c>
      <c r="V2093" s="5">
        <f t="shared" si="655"/>
        <v>0</v>
      </c>
      <c r="W2093" s="5">
        <f t="shared" si="656"/>
        <v>0</v>
      </c>
      <c r="X2093" s="5">
        <f t="shared" si="657"/>
        <v>0</v>
      </c>
      <c r="Y2093" s="5">
        <f t="shared" si="658"/>
        <v>0</v>
      </c>
      <c r="Z2093" s="5">
        <f t="shared" si="659"/>
        <v>3.0303030303030304E-2</v>
      </c>
      <c r="AA2093" s="5">
        <f t="shared" si="660"/>
        <v>0</v>
      </c>
      <c r="AB2093" s="5">
        <f t="shared" si="650"/>
        <v>3.0303030303030304E-2</v>
      </c>
    </row>
    <row r="2094" spans="4:28" x14ac:dyDescent="0.25">
      <c r="D2094" t="s">
        <v>87</v>
      </c>
      <c r="E2094" s="64"/>
      <c r="F2094" s="64"/>
      <c r="G2094">
        <f>IFERROR(HLOOKUP(G$2,[64]table_female_hkom3_inj.U2!$A$1:$K$36,19,FALSE),0)</f>
        <v>0</v>
      </c>
      <c r="H2094">
        <f>IFERROR(HLOOKUP(H$2,[64]table_female_hkom3_inj.U2!$A$1:$K$36,19,FALSE),0)</f>
        <v>0</v>
      </c>
      <c r="I2094">
        <f>IFERROR(HLOOKUP(I$2,[64]table_female_hkom3_inj.U2!$A$1:$K$36,19,FALSE),0)</f>
        <v>0</v>
      </c>
      <c r="J2094">
        <f>IFERROR(HLOOKUP(J$2,[64]table_female_hkom3_inj.U2!$A$1:$K$36,19,FALSE),0)</f>
        <v>0</v>
      </c>
      <c r="K2094">
        <f>IFERROR(HLOOKUP(K$2,[64]table_female_hkom3_inj.U2!$A$1:$K$36,19,FALSE),0)</f>
        <v>0</v>
      </c>
      <c r="L2094">
        <f>IFERROR(HLOOKUP(L$2,[64]table_female_hkom3_inj.U2!$A$1:$K$36,19,FALSE),0)</f>
        <v>0</v>
      </c>
      <c r="M2094">
        <f t="shared" si="652"/>
        <v>0</v>
      </c>
      <c r="S2094" t="s">
        <v>87</v>
      </c>
      <c r="T2094" s="5">
        <f t="shared" si="653"/>
        <v>0</v>
      </c>
      <c r="U2094" s="5">
        <f t="shared" si="654"/>
        <v>0</v>
      </c>
      <c r="V2094" s="5">
        <f t="shared" si="655"/>
        <v>0</v>
      </c>
      <c r="W2094" s="5">
        <f t="shared" si="656"/>
        <v>0</v>
      </c>
      <c r="X2094" s="5">
        <f t="shared" si="657"/>
        <v>0</v>
      </c>
      <c r="Y2094" s="5">
        <f t="shared" si="658"/>
        <v>0</v>
      </c>
      <c r="Z2094" s="5">
        <f t="shared" si="659"/>
        <v>3.0303030303030304E-2</v>
      </c>
      <c r="AA2094" s="5">
        <f t="shared" si="660"/>
        <v>0</v>
      </c>
      <c r="AB2094" s="5">
        <f t="shared" si="650"/>
        <v>3.0303030303030304E-2</v>
      </c>
    </row>
    <row r="2095" spans="4:28" x14ac:dyDescent="0.25">
      <c r="D2095" t="s">
        <v>88</v>
      </c>
      <c r="E2095" s="64"/>
      <c r="F2095" s="64"/>
      <c r="G2095">
        <f>IFERROR(HLOOKUP(G$2,[64]table_female_hkom3_inj.U2!$A$1:$K$36,20,FALSE),0)</f>
        <v>0</v>
      </c>
      <c r="H2095">
        <f>IFERROR(HLOOKUP(H$2,[64]table_female_hkom3_inj.U2!$A$1:$K$36,20,FALSE),0)</f>
        <v>1</v>
      </c>
      <c r="I2095">
        <f>IFERROR(HLOOKUP(I$2,[64]table_female_hkom3_inj.U2!$A$1:$K$36,20,FALSE),0)</f>
        <v>1</v>
      </c>
      <c r="J2095">
        <f>IFERROR(HLOOKUP(J$2,[64]table_female_hkom3_inj.U2!$A$1:$K$36,20,FALSE),0)</f>
        <v>0</v>
      </c>
      <c r="K2095">
        <f>IFERROR(HLOOKUP(K$2,[64]table_female_hkom3_inj.U2!$A$1:$K$36,20,FALSE),0)</f>
        <v>0</v>
      </c>
      <c r="L2095">
        <f>IFERROR(HLOOKUP(L$2,[64]table_female_hkom3_inj.U2!$A$1:$K$36,20,FALSE),0)</f>
        <v>0</v>
      </c>
      <c r="M2095">
        <f t="shared" si="652"/>
        <v>2</v>
      </c>
      <c r="S2095" t="s">
        <v>88</v>
      </c>
      <c r="T2095" s="5">
        <f t="shared" si="653"/>
        <v>0</v>
      </c>
      <c r="U2095" s="5">
        <f t="shared" si="654"/>
        <v>0</v>
      </c>
      <c r="V2095" s="5">
        <f t="shared" si="655"/>
        <v>0</v>
      </c>
      <c r="W2095" s="5">
        <f t="shared" si="656"/>
        <v>2.8837209302325579</v>
      </c>
      <c r="X2095" s="5">
        <f t="shared" si="657"/>
        <v>2.5957446808510638</v>
      </c>
      <c r="Y2095" s="5">
        <f t="shared" si="658"/>
        <v>0</v>
      </c>
      <c r="Z2095" s="5">
        <f t="shared" si="659"/>
        <v>3.0303030303030304E-2</v>
      </c>
      <c r="AA2095" s="5">
        <f t="shared" si="660"/>
        <v>0</v>
      </c>
      <c r="AB2095" s="5">
        <f t="shared" si="650"/>
        <v>5.5097686413866525</v>
      </c>
    </row>
    <row r="2096" spans="4:28" x14ac:dyDescent="0.25">
      <c r="D2096" t="s">
        <v>89</v>
      </c>
      <c r="E2096" s="64"/>
      <c r="F2096" s="64"/>
      <c r="G2096">
        <f>IFERROR(HLOOKUP(G$2,[64]table_female_hkom3_inj.U2!$A$1:$K$36,21,FALSE),0)</f>
        <v>0</v>
      </c>
      <c r="H2096">
        <f>IFERROR(HLOOKUP(H$2,[64]table_female_hkom3_inj.U2!$A$1:$K$36,21,FALSE),0)</f>
        <v>2</v>
      </c>
      <c r="I2096">
        <f>IFERROR(HLOOKUP(I$2,[64]table_female_hkom3_inj.U2!$A$1:$K$36,21,FALSE),0)</f>
        <v>0</v>
      </c>
      <c r="J2096">
        <f>IFERROR(HLOOKUP(J$2,[64]table_female_hkom3_inj.U2!$A$1:$K$36,21,FALSE),0)</f>
        <v>0</v>
      </c>
      <c r="K2096">
        <f>IFERROR(HLOOKUP(K$2,[64]table_female_hkom3_inj.U2!$A$1:$K$36,21,FALSE),0)</f>
        <v>0</v>
      </c>
      <c r="L2096">
        <f>IFERROR(HLOOKUP(L$2,[64]table_female_hkom3_inj.U2!$A$1:$K$36,21,FALSE),0)</f>
        <v>0</v>
      </c>
      <c r="M2096">
        <f t="shared" si="652"/>
        <v>2</v>
      </c>
      <c r="S2096" t="s">
        <v>89</v>
      </c>
      <c r="T2096" s="5">
        <f t="shared" si="653"/>
        <v>0</v>
      </c>
      <c r="U2096" s="5">
        <f t="shared" si="654"/>
        <v>0</v>
      </c>
      <c r="V2096" s="5">
        <f t="shared" si="655"/>
        <v>0</v>
      </c>
      <c r="W2096" s="5">
        <f t="shared" si="656"/>
        <v>5.7674418604651159</v>
      </c>
      <c r="X2096" s="5">
        <f t="shared" si="657"/>
        <v>0</v>
      </c>
      <c r="Y2096" s="5">
        <f t="shared" si="658"/>
        <v>0</v>
      </c>
      <c r="Z2096" s="5">
        <f t="shared" si="659"/>
        <v>3.0303030303030304E-2</v>
      </c>
      <c r="AA2096" s="5">
        <f t="shared" si="660"/>
        <v>0</v>
      </c>
      <c r="AB2096" s="5">
        <f t="shared" si="650"/>
        <v>5.7977448907681461</v>
      </c>
    </row>
    <row r="2097" spans="1:29" x14ac:dyDescent="0.25">
      <c r="D2097" t="s">
        <v>90</v>
      </c>
      <c r="E2097" s="64"/>
      <c r="F2097" s="64"/>
      <c r="G2097">
        <f>IFERROR(HLOOKUP(G$2,[64]table_female_hkom3_inj.U2!$A$1:$K$36,22,FALSE),0)</f>
        <v>0</v>
      </c>
      <c r="H2097">
        <f>IFERROR(HLOOKUP(H$2,[64]table_female_hkom3_inj.U2!$A$1:$K$36,22,FALSE),0)</f>
        <v>0</v>
      </c>
      <c r="I2097">
        <f>IFERROR(HLOOKUP(I$2,[64]table_female_hkom3_inj.U2!$A$1:$K$36,22,FALSE),0)</f>
        <v>0</v>
      </c>
      <c r="J2097">
        <f>IFERROR(HLOOKUP(J$2,[64]table_female_hkom3_inj.U2!$A$1:$K$36,22,FALSE),0)</f>
        <v>0</v>
      </c>
      <c r="K2097">
        <f>IFERROR(HLOOKUP(K$2,[64]table_female_hkom3_inj.U2!$A$1:$K$36,22,FALSE),0)</f>
        <v>0</v>
      </c>
      <c r="L2097">
        <f>IFERROR(HLOOKUP(L$2,[64]table_female_hkom3_inj.U2!$A$1:$K$36,22,FALSE),0)</f>
        <v>0</v>
      </c>
      <c r="M2097">
        <f t="shared" si="652"/>
        <v>0</v>
      </c>
      <c r="S2097" t="s">
        <v>90</v>
      </c>
      <c r="T2097" s="5">
        <f t="shared" si="653"/>
        <v>0</v>
      </c>
      <c r="U2097" s="5">
        <f t="shared" si="654"/>
        <v>0</v>
      </c>
      <c r="V2097" s="5">
        <f t="shared" si="655"/>
        <v>0</v>
      </c>
      <c r="W2097" s="5">
        <f t="shared" si="656"/>
        <v>0</v>
      </c>
      <c r="X2097" s="5">
        <f t="shared" si="657"/>
        <v>0</v>
      </c>
      <c r="Y2097" s="5">
        <f t="shared" si="658"/>
        <v>0</v>
      </c>
      <c r="Z2097" s="5">
        <f t="shared" si="659"/>
        <v>3.0303030303030304E-2</v>
      </c>
      <c r="AA2097" s="5">
        <f t="shared" si="660"/>
        <v>0</v>
      </c>
      <c r="AB2097" s="5">
        <f t="shared" si="650"/>
        <v>3.0303030303030304E-2</v>
      </c>
    </row>
    <row r="2098" spans="1:29" x14ac:dyDescent="0.25">
      <c r="D2098" t="s">
        <v>91</v>
      </c>
      <c r="E2098" s="64"/>
      <c r="F2098" s="64"/>
      <c r="G2098">
        <f>IFERROR(HLOOKUP(G$2,[64]table_female_hkom3_inj.U2!$A$1:$K$36,23,FALSE),0)</f>
        <v>0</v>
      </c>
      <c r="H2098">
        <f>IFERROR(HLOOKUP(H$2,[64]table_female_hkom3_inj.U2!$A$1:$K$36,23,FALSE),0)</f>
        <v>0</v>
      </c>
      <c r="I2098">
        <f>IFERROR(HLOOKUP(I$2,[64]table_female_hkom3_inj.U2!$A$1:$K$36,23,FALSE),0)</f>
        <v>0</v>
      </c>
      <c r="J2098">
        <f>IFERROR(HLOOKUP(J$2,[64]table_female_hkom3_inj.U2!$A$1:$K$36,23,FALSE),0)</f>
        <v>0</v>
      </c>
      <c r="K2098">
        <f>IFERROR(HLOOKUP(K$2,[64]table_female_hkom3_inj.U2!$A$1:$K$36,23,FALSE),0)</f>
        <v>0</v>
      </c>
      <c r="L2098">
        <f>IFERROR(HLOOKUP(L$2,[64]table_female_hkom3_inj.U2!$A$1:$K$36,23,FALSE),0)</f>
        <v>0</v>
      </c>
      <c r="M2098">
        <f t="shared" si="652"/>
        <v>0</v>
      </c>
      <c r="S2098" t="s">
        <v>91</v>
      </c>
      <c r="T2098" s="5">
        <f t="shared" si="653"/>
        <v>0</v>
      </c>
      <c r="U2098" s="5">
        <f t="shared" si="654"/>
        <v>0</v>
      </c>
      <c r="V2098" s="5">
        <f t="shared" si="655"/>
        <v>0</v>
      </c>
      <c r="W2098" s="5">
        <f t="shared" si="656"/>
        <v>0</v>
      </c>
      <c r="X2098" s="5">
        <f t="shared" si="657"/>
        <v>0</v>
      </c>
      <c r="Y2098" s="5">
        <f t="shared" si="658"/>
        <v>0</v>
      </c>
      <c r="Z2098" s="5">
        <f t="shared" si="659"/>
        <v>3.0303030303030304E-2</v>
      </c>
      <c r="AA2098" s="5">
        <f t="shared" si="660"/>
        <v>0</v>
      </c>
      <c r="AB2098" s="5">
        <f t="shared" si="650"/>
        <v>3.0303030303030304E-2</v>
      </c>
    </row>
    <row r="2099" spans="1:29" x14ac:dyDescent="0.25">
      <c r="D2099" t="s">
        <v>92</v>
      </c>
      <c r="E2099" s="64"/>
      <c r="F2099" s="64"/>
      <c r="G2099">
        <f>IFERROR(HLOOKUP(G$2,[64]table_female_hkom3_inj.U2!$A$1:$K$36,24,FALSE),0)</f>
        <v>0</v>
      </c>
      <c r="H2099">
        <f>IFERROR(HLOOKUP(H$2,[64]table_female_hkom3_inj.U2!$A$1:$K$36,24,FALSE),0)</f>
        <v>0</v>
      </c>
      <c r="I2099">
        <f>IFERROR(HLOOKUP(I$2,[64]table_female_hkom3_inj.U2!$A$1:$K$36,24,FALSE),0)</f>
        <v>0</v>
      </c>
      <c r="J2099">
        <f>IFERROR(HLOOKUP(J$2,[64]table_female_hkom3_inj.U2!$A$1:$K$36,24,FALSE),0)</f>
        <v>0</v>
      </c>
      <c r="K2099">
        <f>IFERROR(HLOOKUP(K$2,[64]table_female_hkom3_inj.U2!$A$1:$K$36,24,FALSE),0)</f>
        <v>0</v>
      </c>
      <c r="L2099">
        <f>IFERROR(HLOOKUP(L$2,[64]table_female_hkom3_inj.U2!$A$1:$K$36,24,FALSE),0)</f>
        <v>0</v>
      </c>
      <c r="M2099">
        <f t="shared" si="652"/>
        <v>0</v>
      </c>
      <c r="S2099" t="s">
        <v>92</v>
      </c>
      <c r="T2099" s="5">
        <f t="shared" si="653"/>
        <v>0</v>
      </c>
      <c r="U2099" s="5">
        <f t="shared" si="654"/>
        <v>0</v>
      </c>
      <c r="V2099" s="5">
        <f t="shared" si="655"/>
        <v>0</v>
      </c>
      <c r="W2099" s="5">
        <f t="shared" si="656"/>
        <v>0</v>
      </c>
      <c r="X2099" s="5">
        <f t="shared" si="657"/>
        <v>0</v>
      </c>
      <c r="Y2099" s="5">
        <f t="shared" si="658"/>
        <v>0</v>
      </c>
      <c r="Z2099" s="5">
        <f t="shared" si="659"/>
        <v>3.0303030303030304E-2</v>
      </c>
      <c r="AA2099" s="5">
        <f t="shared" si="660"/>
        <v>0</v>
      </c>
      <c r="AB2099" s="5">
        <f t="shared" si="650"/>
        <v>3.0303030303030304E-2</v>
      </c>
    </row>
    <row r="2100" spans="1:29" x14ac:dyDescent="0.25">
      <c r="D2100" t="s">
        <v>93</v>
      </c>
      <c r="E2100" s="64"/>
      <c r="F2100" s="64"/>
      <c r="G2100">
        <f>IFERROR(HLOOKUP(G$2,[64]table_female_hkom3_inj.U2!$A$1:$K$36,25,FALSE),0)</f>
        <v>0</v>
      </c>
      <c r="H2100">
        <f>IFERROR(HLOOKUP(H$2,[64]table_female_hkom3_inj.U2!$A$1:$K$36,25,FALSE),0)</f>
        <v>0</v>
      </c>
      <c r="I2100">
        <f>IFERROR(HLOOKUP(I$2,[64]table_female_hkom3_inj.U2!$A$1:$K$36,25,FALSE),0)</f>
        <v>0</v>
      </c>
      <c r="J2100">
        <f>IFERROR(HLOOKUP(J$2,[64]table_female_hkom3_inj.U2!$A$1:$K$36,25,FALSE),0)</f>
        <v>0</v>
      </c>
      <c r="K2100">
        <f>IFERROR(HLOOKUP(K$2,[64]table_female_hkom3_inj.U2!$A$1:$K$36,25,FALSE),0)</f>
        <v>0</v>
      </c>
      <c r="L2100">
        <f>IFERROR(HLOOKUP(L$2,[64]table_female_hkom3_inj.U2!$A$1:$K$36,25,FALSE),0)</f>
        <v>0</v>
      </c>
      <c r="M2100">
        <f t="shared" si="652"/>
        <v>0</v>
      </c>
      <c r="S2100" t="s">
        <v>93</v>
      </c>
      <c r="T2100" s="5">
        <f t="shared" si="653"/>
        <v>0</v>
      </c>
      <c r="U2100" s="5">
        <f t="shared" si="654"/>
        <v>0</v>
      </c>
      <c r="V2100" s="5">
        <f t="shared" si="655"/>
        <v>0</v>
      </c>
      <c r="W2100" s="5">
        <f t="shared" si="656"/>
        <v>0</v>
      </c>
      <c r="X2100" s="5">
        <f t="shared" si="657"/>
        <v>0</v>
      </c>
      <c r="Y2100" s="5">
        <f t="shared" si="658"/>
        <v>0</v>
      </c>
      <c r="Z2100" s="5">
        <f t="shared" si="659"/>
        <v>3.0303030303030304E-2</v>
      </c>
      <c r="AA2100" s="5">
        <f t="shared" si="660"/>
        <v>0</v>
      </c>
      <c r="AB2100" s="5">
        <f t="shared" si="650"/>
        <v>3.0303030303030304E-2</v>
      </c>
    </row>
    <row r="2101" spans="1:29" x14ac:dyDescent="0.25">
      <c r="D2101" t="s">
        <v>94</v>
      </c>
      <c r="E2101" s="64"/>
      <c r="F2101" s="64"/>
      <c r="G2101">
        <f>IFERROR(HLOOKUP(G$2,[64]table_female_hkom3_inj.U2!$A$1:$K$36,26,FALSE),0)</f>
        <v>0</v>
      </c>
      <c r="H2101">
        <f>IFERROR(HLOOKUP(H$2,[64]table_female_hkom3_inj.U2!$A$1:$K$36,26,FALSE),0)</f>
        <v>0</v>
      </c>
      <c r="I2101">
        <f>IFERROR(HLOOKUP(I$2,[64]table_female_hkom3_inj.U2!$A$1:$K$36,26,FALSE),0)</f>
        <v>0</v>
      </c>
      <c r="J2101">
        <f>IFERROR(HLOOKUP(J$2,[64]table_female_hkom3_inj.U2!$A$1:$K$36,26,FALSE),0)</f>
        <v>0</v>
      </c>
      <c r="K2101">
        <f>IFERROR(HLOOKUP(K$2,[64]table_female_hkom3_inj.U2!$A$1:$K$36,26,FALSE),0)</f>
        <v>0</v>
      </c>
      <c r="L2101">
        <f>IFERROR(HLOOKUP(L$2,[64]table_female_hkom3_inj.U2!$A$1:$K$36,26,FALSE),0)</f>
        <v>0</v>
      </c>
      <c r="M2101">
        <f t="shared" si="652"/>
        <v>0</v>
      </c>
      <c r="S2101" t="s">
        <v>94</v>
      </c>
      <c r="T2101" s="5">
        <f t="shared" si="653"/>
        <v>0</v>
      </c>
      <c r="U2101" s="5">
        <f t="shared" si="654"/>
        <v>0</v>
      </c>
      <c r="V2101" s="5">
        <f t="shared" si="655"/>
        <v>0</v>
      </c>
      <c r="W2101" s="5">
        <f t="shared" si="656"/>
        <v>0</v>
      </c>
      <c r="X2101" s="5">
        <f t="shared" si="657"/>
        <v>0</v>
      </c>
      <c r="Y2101" s="5">
        <f t="shared" si="658"/>
        <v>0</v>
      </c>
      <c r="Z2101" s="5">
        <f t="shared" si="659"/>
        <v>3.0303030303030304E-2</v>
      </c>
      <c r="AA2101" s="5">
        <f t="shared" si="660"/>
        <v>0</v>
      </c>
      <c r="AB2101" s="5">
        <f t="shared" si="650"/>
        <v>3.0303030303030304E-2</v>
      </c>
    </row>
    <row r="2102" spans="1:29" x14ac:dyDescent="0.25">
      <c r="D2102" t="s">
        <v>95</v>
      </c>
      <c r="E2102" s="64"/>
      <c r="F2102" s="64"/>
      <c r="G2102">
        <f>IFERROR(HLOOKUP(G$2,[64]table_female_hkom3_inj.U2!$A$1:$K$36,27,FALSE),0)</f>
        <v>0</v>
      </c>
      <c r="H2102">
        <f>IFERROR(HLOOKUP(H$2,[64]table_female_hkom3_inj.U2!$A$1:$K$36,27,FALSE),0)</f>
        <v>0</v>
      </c>
      <c r="I2102">
        <f>IFERROR(HLOOKUP(I$2,[64]table_female_hkom3_inj.U2!$A$1:$K$36,27,FALSE),0)</f>
        <v>0</v>
      </c>
      <c r="J2102">
        <f>IFERROR(HLOOKUP(J$2,[64]table_female_hkom3_inj.U2!$A$1:$K$36,27,FALSE),0)</f>
        <v>0</v>
      </c>
      <c r="K2102">
        <f>IFERROR(HLOOKUP(K$2,[64]table_female_hkom3_inj.U2!$A$1:$K$36,27,FALSE),0)</f>
        <v>0</v>
      </c>
      <c r="L2102">
        <f>IFERROR(HLOOKUP(L$2,[64]table_female_hkom3_inj.U2!$A$1:$K$36,27,FALSE),0)</f>
        <v>0</v>
      </c>
      <c r="M2102">
        <f t="shared" si="652"/>
        <v>0</v>
      </c>
      <c r="S2102" t="s">
        <v>95</v>
      </c>
      <c r="T2102" s="5">
        <f t="shared" si="653"/>
        <v>0</v>
      </c>
      <c r="U2102" s="5">
        <f t="shared" si="654"/>
        <v>0</v>
      </c>
      <c r="V2102" s="5">
        <f t="shared" si="655"/>
        <v>0</v>
      </c>
      <c r="W2102" s="5">
        <f t="shared" si="656"/>
        <v>0</v>
      </c>
      <c r="X2102" s="5">
        <f t="shared" si="657"/>
        <v>0</v>
      </c>
      <c r="Y2102" s="5">
        <f t="shared" si="658"/>
        <v>0</v>
      </c>
      <c r="Z2102" s="5">
        <f t="shared" si="659"/>
        <v>3.0303030303030304E-2</v>
      </c>
      <c r="AA2102" s="5">
        <f t="shared" si="660"/>
        <v>0</v>
      </c>
      <c r="AB2102" s="5">
        <f t="shared" si="650"/>
        <v>3.0303030303030304E-2</v>
      </c>
    </row>
    <row r="2103" spans="1:29" x14ac:dyDescent="0.25">
      <c r="D2103" t="s">
        <v>96</v>
      </c>
      <c r="E2103" s="64"/>
      <c r="F2103" s="64"/>
      <c r="G2103">
        <f>IFERROR(HLOOKUP(G$2,[64]table_female_hkom3_inj.U2!$A$1:$K$36,28,FALSE),0)</f>
        <v>0</v>
      </c>
      <c r="H2103">
        <f>IFERROR(HLOOKUP(H$2,[64]table_female_hkom3_inj.U2!$A$1:$K$36,28,FALSE),0)</f>
        <v>0</v>
      </c>
      <c r="I2103">
        <f>IFERROR(HLOOKUP(I$2,[64]table_female_hkom3_inj.U2!$A$1:$K$36,28,FALSE),0)</f>
        <v>0</v>
      </c>
      <c r="J2103">
        <f>IFERROR(HLOOKUP(J$2,[64]table_female_hkom3_inj.U2!$A$1:$K$36,28,FALSE),0)</f>
        <v>0</v>
      </c>
      <c r="K2103">
        <f>IFERROR(HLOOKUP(K$2,[64]table_female_hkom3_inj.U2!$A$1:$K$36,28,FALSE),0)</f>
        <v>0</v>
      </c>
      <c r="L2103">
        <f>IFERROR(HLOOKUP(L$2,[64]table_female_hkom3_inj.U2!$A$1:$K$36,28,FALSE),0)</f>
        <v>0</v>
      </c>
      <c r="M2103">
        <f t="shared" si="652"/>
        <v>0</v>
      </c>
      <c r="S2103" t="s">
        <v>96</v>
      </c>
      <c r="T2103" s="5">
        <f t="shared" si="653"/>
        <v>0</v>
      </c>
      <c r="U2103" s="5">
        <f t="shared" si="654"/>
        <v>0</v>
      </c>
      <c r="V2103" s="5">
        <f t="shared" si="655"/>
        <v>0</v>
      </c>
      <c r="W2103" s="5">
        <f t="shared" si="656"/>
        <v>0</v>
      </c>
      <c r="X2103" s="5">
        <f t="shared" si="657"/>
        <v>0</v>
      </c>
      <c r="Y2103" s="5">
        <f t="shared" si="658"/>
        <v>0</v>
      </c>
      <c r="Z2103" s="5">
        <f t="shared" si="659"/>
        <v>3.0303030303030304E-2</v>
      </c>
      <c r="AA2103" s="5">
        <f t="shared" si="660"/>
        <v>0</v>
      </c>
      <c r="AB2103" s="5">
        <f t="shared" si="650"/>
        <v>3.0303030303030304E-2</v>
      </c>
    </row>
    <row r="2104" spans="1:29" x14ac:dyDescent="0.25">
      <c r="D2104" t="s">
        <v>97</v>
      </c>
      <c r="E2104" s="64"/>
      <c r="F2104" s="64"/>
      <c r="G2104">
        <f>IFERROR(HLOOKUP(G$2,[64]table_female_hkom3_inj.U2!$A$1:$K$36,29,FALSE),0)</f>
        <v>0</v>
      </c>
      <c r="H2104">
        <f>IFERROR(HLOOKUP(H$2,[64]table_female_hkom3_inj.U2!$A$1:$K$36,29,FALSE),0)</f>
        <v>2</v>
      </c>
      <c r="I2104">
        <f>IFERROR(HLOOKUP(I$2,[64]table_female_hkom3_inj.U2!$A$1:$K$36,29,FALSE),0)</f>
        <v>0</v>
      </c>
      <c r="J2104">
        <f>IFERROR(HLOOKUP(J$2,[64]table_female_hkom3_inj.U2!$A$1:$K$36,29,FALSE),0)</f>
        <v>0</v>
      </c>
      <c r="K2104">
        <f>IFERROR(HLOOKUP(K$2,[64]table_female_hkom3_inj.U2!$A$1:$K$36,29,FALSE),0)</f>
        <v>0</v>
      </c>
      <c r="L2104">
        <f>IFERROR(HLOOKUP(L$2,[64]table_female_hkom3_inj.U2!$A$1:$K$36,29,FALSE),0)</f>
        <v>0</v>
      </c>
      <c r="M2104">
        <f t="shared" si="652"/>
        <v>2</v>
      </c>
      <c r="S2104" t="s">
        <v>97</v>
      </c>
      <c r="T2104" s="5">
        <f t="shared" si="653"/>
        <v>0</v>
      </c>
      <c r="U2104" s="5">
        <f t="shared" si="654"/>
        <v>0</v>
      </c>
      <c r="V2104" s="5">
        <f t="shared" si="655"/>
        <v>0</v>
      </c>
      <c r="W2104" s="5">
        <f t="shared" si="656"/>
        <v>5.7674418604651159</v>
      </c>
      <c r="X2104" s="5">
        <f t="shared" si="657"/>
        <v>0</v>
      </c>
      <c r="Y2104" s="5">
        <f t="shared" si="658"/>
        <v>0</v>
      </c>
      <c r="Z2104" s="5">
        <f t="shared" si="659"/>
        <v>3.0303030303030304E-2</v>
      </c>
      <c r="AA2104" s="5">
        <f t="shared" si="660"/>
        <v>0</v>
      </c>
      <c r="AB2104" s="5">
        <f t="shared" si="650"/>
        <v>5.7977448907681461</v>
      </c>
    </row>
    <row r="2105" spans="1:29" x14ac:dyDescent="0.25">
      <c r="D2105" t="s">
        <v>98</v>
      </c>
      <c r="E2105" s="64"/>
      <c r="F2105" s="64"/>
      <c r="G2105">
        <f>IFERROR(HLOOKUP(G$2,[64]table_female_hkom3_inj.U2!$A$1:$K$36,30,FALSE),0)</f>
        <v>1</v>
      </c>
      <c r="H2105">
        <f>IFERROR(HLOOKUP(H$2,[64]table_female_hkom3_inj.U2!$A$1:$K$36,30,FALSE),0)</f>
        <v>0</v>
      </c>
      <c r="I2105">
        <f>IFERROR(HLOOKUP(I$2,[64]table_female_hkom3_inj.U2!$A$1:$K$36,30,FALSE),0)</f>
        <v>0</v>
      </c>
      <c r="J2105">
        <f>IFERROR(HLOOKUP(J$2,[64]table_female_hkom3_inj.U2!$A$1:$K$36,30,FALSE),0)</f>
        <v>0</v>
      </c>
      <c r="K2105">
        <f>IFERROR(HLOOKUP(K$2,[64]table_female_hkom3_inj.U2!$A$1:$K$36,30,FALSE),0)</f>
        <v>0</v>
      </c>
      <c r="L2105">
        <f>IFERROR(HLOOKUP(L$2,[64]table_female_hkom3_inj.U2!$A$1:$K$36,30,FALSE),0)</f>
        <v>0</v>
      </c>
      <c r="M2105">
        <f t="shared" si="652"/>
        <v>1</v>
      </c>
      <c r="S2105" t="s">
        <v>98</v>
      </c>
      <c r="T2105" s="5">
        <f t="shared" si="653"/>
        <v>0</v>
      </c>
      <c r="U2105" s="5">
        <f t="shared" si="654"/>
        <v>0</v>
      </c>
      <c r="V2105" s="5">
        <f t="shared" si="655"/>
        <v>2.6229508196721314</v>
      </c>
      <c r="W2105" s="5">
        <f t="shared" si="656"/>
        <v>0</v>
      </c>
      <c r="X2105" s="5">
        <f t="shared" si="657"/>
        <v>0</v>
      </c>
      <c r="Y2105" s="5">
        <f t="shared" si="658"/>
        <v>0</v>
      </c>
      <c r="Z2105" s="5">
        <f t="shared" si="659"/>
        <v>3.0303030303030304E-2</v>
      </c>
      <c r="AA2105" s="5">
        <f t="shared" si="660"/>
        <v>0</v>
      </c>
      <c r="AB2105" s="5">
        <f t="shared" si="650"/>
        <v>2.6532538499751617</v>
      </c>
    </row>
    <row r="2106" spans="1:29" x14ac:dyDescent="0.25">
      <c r="D2106" t="s">
        <v>119</v>
      </c>
      <c r="E2106" s="64"/>
      <c r="F2106" s="64"/>
      <c r="G2106">
        <f>IFERROR(HLOOKUP(G$2,[64]table_female_hkom3_inj.U2!$A$1:$K$36,31,FALSE),0)</f>
        <v>1</v>
      </c>
      <c r="H2106">
        <f>IFERROR(HLOOKUP(H$2,[64]table_female_hkom3_inj.U2!$A$1:$K$36,31,FALSE),0)</f>
        <v>0</v>
      </c>
      <c r="I2106">
        <f>IFERROR(HLOOKUP(I$2,[64]table_female_hkom3_inj.U2!$A$1:$K$36,31,FALSE),0)</f>
        <v>0</v>
      </c>
      <c r="J2106">
        <f>IFERROR(HLOOKUP(J$2,[64]table_female_hkom3_inj.U2!$A$1:$K$36,31,FALSE),0)</f>
        <v>0</v>
      </c>
      <c r="K2106">
        <f>IFERROR(HLOOKUP(K$2,[64]table_female_hkom3_inj.U2!$A$1:$K$36,31,FALSE),0)</f>
        <v>0</v>
      </c>
      <c r="L2106">
        <f>IFERROR(HLOOKUP(L$2,[64]table_female_hkom3_inj.U2!$A$1:$K$36,31,FALSE),0)</f>
        <v>0</v>
      </c>
      <c r="M2106">
        <f t="shared" si="652"/>
        <v>1</v>
      </c>
      <c r="S2106" t="s">
        <v>119</v>
      </c>
      <c r="T2106" s="5">
        <f t="shared" si="653"/>
        <v>0</v>
      </c>
      <c r="U2106" s="5">
        <f t="shared" si="654"/>
        <v>0</v>
      </c>
      <c r="V2106" s="5">
        <f t="shared" si="655"/>
        <v>2.6229508196721314</v>
      </c>
      <c r="W2106" s="5">
        <f t="shared" si="656"/>
        <v>0</v>
      </c>
      <c r="X2106" s="5">
        <f t="shared" si="657"/>
        <v>0</v>
      </c>
      <c r="Y2106" s="5">
        <f t="shared" si="658"/>
        <v>0</v>
      </c>
      <c r="Z2106" s="5">
        <f t="shared" si="659"/>
        <v>3.0303030303030304E-2</v>
      </c>
      <c r="AA2106" s="5">
        <f t="shared" si="660"/>
        <v>0</v>
      </c>
      <c r="AB2106" s="5">
        <f t="shared" si="650"/>
        <v>2.6532538499751617</v>
      </c>
    </row>
    <row r="2107" spans="1:29" x14ac:dyDescent="0.25">
      <c r="D2107" t="s">
        <v>99</v>
      </c>
      <c r="E2107" s="64"/>
      <c r="F2107" s="64"/>
      <c r="G2107">
        <f>IFERROR(HLOOKUP(G$2,[64]table_female_hkom3_inj.U2!$A$1:$K$36,32,FALSE),0)</f>
        <v>0</v>
      </c>
      <c r="H2107">
        <f>IFERROR(HLOOKUP(H$2,[64]table_female_hkom3_inj.U2!$A$1:$K$36,32,FALSE),0)</f>
        <v>0</v>
      </c>
      <c r="I2107">
        <f>IFERROR(HLOOKUP(I$2,[64]table_female_hkom3_inj.U2!$A$1:$K$36,32,FALSE),0)</f>
        <v>0</v>
      </c>
      <c r="J2107">
        <f>IFERROR(HLOOKUP(J$2,[64]table_female_hkom3_inj.U2!$A$1:$K$36,32,FALSE),0)</f>
        <v>0</v>
      </c>
      <c r="K2107">
        <f>IFERROR(HLOOKUP(K$2,[64]table_female_hkom3_inj.U2!$A$1:$K$36,32,FALSE),0)</f>
        <v>0</v>
      </c>
      <c r="L2107">
        <f>IFERROR(HLOOKUP(L$2,[64]table_female_hkom3_inj.U2!$A$1:$K$36,32,FALSE),0)</f>
        <v>0</v>
      </c>
      <c r="M2107">
        <f t="shared" si="652"/>
        <v>0</v>
      </c>
      <c r="S2107" t="s">
        <v>99</v>
      </c>
      <c r="T2107" s="5">
        <f t="shared" si="653"/>
        <v>0</v>
      </c>
      <c r="U2107" s="5">
        <f t="shared" si="654"/>
        <v>0</v>
      </c>
      <c r="V2107" s="5">
        <f t="shared" si="655"/>
        <v>0</v>
      </c>
      <c r="W2107" s="5">
        <f t="shared" si="656"/>
        <v>0</v>
      </c>
      <c r="X2107" s="5">
        <f t="shared" si="657"/>
        <v>0</v>
      </c>
      <c r="Y2107" s="5">
        <f t="shared" si="658"/>
        <v>0</v>
      </c>
      <c r="Z2107" s="5">
        <f t="shared" si="659"/>
        <v>3.0303030303030304E-2</v>
      </c>
      <c r="AA2107" s="5">
        <f t="shared" si="660"/>
        <v>0</v>
      </c>
      <c r="AB2107" s="5">
        <f t="shared" si="650"/>
        <v>3.0303030303030304E-2</v>
      </c>
    </row>
    <row r="2108" spans="1:29" x14ac:dyDescent="0.25">
      <c r="D2108" t="s">
        <v>100</v>
      </c>
      <c r="E2108" s="64"/>
      <c r="F2108" s="64"/>
      <c r="G2108">
        <f>IFERROR(HLOOKUP(G$2,[64]table_female_hkom3_inj.U2!$A$1:$K$36,33,FALSE),0)</f>
        <v>58</v>
      </c>
      <c r="H2108">
        <f>IFERROR(HLOOKUP(H$2,[64]table_female_hkom3_inj.U2!$A$1:$K$36,33,FALSE),0)</f>
        <v>81</v>
      </c>
      <c r="I2108">
        <f>IFERROR(HLOOKUP(I$2,[64]table_female_hkom3_inj.U2!$A$1:$K$36,33,FALSE),0)</f>
        <v>46</v>
      </c>
      <c r="J2108">
        <f>IFERROR(HLOOKUP(J$2,[64]table_female_hkom3_inj.U2!$A$1:$K$36,33,FALSE),0)</f>
        <v>8</v>
      </c>
      <c r="K2108">
        <f>IFERROR(HLOOKUP(K$2,[64]table_female_hkom3_inj.U2!$A$1:$K$36,33,FALSE),0)</f>
        <v>0</v>
      </c>
      <c r="L2108">
        <f>IFERROR(HLOOKUP(L$2,[64]table_female_hkom3_inj.U2!$A$1:$K$36,33,FALSE),0)</f>
        <v>0</v>
      </c>
      <c r="M2108">
        <f t="shared" si="652"/>
        <v>193</v>
      </c>
      <c r="S2108" t="s">
        <v>100</v>
      </c>
      <c r="T2108" s="5">
        <f t="shared" si="653"/>
        <v>0</v>
      </c>
      <c r="U2108" s="5">
        <f t="shared" si="654"/>
        <v>0</v>
      </c>
      <c r="V2108" s="5">
        <f t="shared" si="655"/>
        <v>152.13114754098359</v>
      </c>
      <c r="W2108" s="5">
        <f t="shared" si="656"/>
        <v>233.58139534883722</v>
      </c>
      <c r="X2108" s="5">
        <f t="shared" si="657"/>
        <v>119.40425531914893</v>
      </c>
      <c r="Y2108" s="5">
        <f t="shared" si="658"/>
        <v>18</v>
      </c>
      <c r="Z2108" s="5">
        <f t="shared" si="659"/>
        <v>3.0303030303030304E-2</v>
      </c>
      <c r="AA2108" s="5">
        <f t="shared" si="660"/>
        <v>0</v>
      </c>
      <c r="AB2108" s="5">
        <f t="shared" si="650"/>
        <v>523.14710123927284</v>
      </c>
    </row>
    <row r="2109" spans="1:29" x14ac:dyDescent="0.25">
      <c r="D2109" t="s">
        <v>101</v>
      </c>
      <c r="E2109" s="64"/>
      <c r="F2109" s="64"/>
      <c r="G2109">
        <f>IFERROR(HLOOKUP(G$2,[64]table_female_hkom3_inj.U2!$A$1:$K$36,34,FALSE),0)</f>
        <v>0</v>
      </c>
      <c r="H2109">
        <f>IFERROR(HLOOKUP(H$2,[64]table_female_hkom3_inj.U2!$A$1:$K$36,34,FALSE),0)</f>
        <v>0</v>
      </c>
      <c r="I2109">
        <f>IFERROR(HLOOKUP(I$2,[64]table_female_hkom3_inj.U2!$A$1:$K$36,34,FALSE),0)</f>
        <v>0</v>
      </c>
      <c r="J2109">
        <f>IFERROR(HLOOKUP(J$2,[64]table_female_hkom3_inj.U2!$A$1:$K$36,34,FALSE),0)</f>
        <v>0</v>
      </c>
      <c r="K2109">
        <f>IFERROR(HLOOKUP(K$2,[64]table_female_hkom3_inj.U2!$A$1:$K$36,34,FALSE),0)</f>
        <v>0</v>
      </c>
      <c r="L2109">
        <f>IFERROR(HLOOKUP(L$2,[64]table_female_hkom3_inj.U2!$A$1:$K$36,34,FALSE),0)</f>
        <v>0</v>
      </c>
      <c r="M2109">
        <f t="shared" si="652"/>
        <v>0</v>
      </c>
      <c r="S2109" t="s">
        <v>101</v>
      </c>
      <c r="T2109" s="5">
        <f t="shared" si="653"/>
        <v>0</v>
      </c>
      <c r="U2109" s="5">
        <f t="shared" si="654"/>
        <v>0</v>
      </c>
      <c r="V2109" s="5">
        <f t="shared" si="655"/>
        <v>0</v>
      </c>
      <c r="W2109" s="5">
        <f t="shared" si="656"/>
        <v>0</v>
      </c>
      <c r="X2109" s="5">
        <f t="shared" si="657"/>
        <v>0</v>
      </c>
      <c r="Y2109" s="5">
        <f t="shared" si="658"/>
        <v>0</v>
      </c>
      <c r="Z2109" s="5">
        <f t="shared" si="659"/>
        <v>3.0303030303030304E-2</v>
      </c>
      <c r="AA2109" s="5">
        <f t="shared" si="660"/>
        <v>0</v>
      </c>
      <c r="AB2109" s="5">
        <f t="shared" si="650"/>
        <v>3.0303030303030304E-2</v>
      </c>
    </row>
    <row r="2110" spans="1:29" x14ac:dyDescent="0.25">
      <c r="D2110" t="s">
        <v>102</v>
      </c>
      <c r="E2110" s="64"/>
      <c r="F2110" s="64"/>
      <c r="G2110">
        <f>IFERROR(HLOOKUP(G$2,[64]table_female_hkom3_inj.U2!$A$1:$K$36,35,FALSE),0)</f>
        <v>99</v>
      </c>
      <c r="H2110">
        <f>IFERROR(HLOOKUP(H$2,[64]table_female_hkom3_inj.U2!$A$1:$K$36,35,FALSE),0)</f>
        <v>162</v>
      </c>
      <c r="I2110">
        <f>IFERROR(HLOOKUP(I$2,[64]table_female_hkom3_inj.U2!$A$1:$K$36,35,FALSE),0)</f>
        <v>75</v>
      </c>
      <c r="J2110">
        <f>IFERROR(HLOOKUP(J$2,[64]table_female_hkom3_inj.U2!$A$1:$K$36,35,FALSE),0)</f>
        <v>10</v>
      </c>
      <c r="K2110">
        <f>IFERROR(HLOOKUP(K$2,[64]table_female_hkom3_inj.U2!$A$1:$K$36,35,FALSE),0)</f>
        <v>1</v>
      </c>
      <c r="L2110">
        <f>IFERROR(HLOOKUP(L$2,[64]table_female_hkom3_inj.U2!$A$1:$K$36,35,FALSE),0)</f>
        <v>0</v>
      </c>
      <c r="M2110">
        <f t="shared" si="652"/>
        <v>347</v>
      </c>
      <c r="N2110">
        <f>SUM(M2077:M2110)</f>
        <v>549</v>
      </c>
      <c r="O2110" s="8">
        <f>SUM([64]table_female_hkom3_inj.U2!$B$2:$L$36)</f>
        <v>549</v>
      </c>
      <c r="S2110" t="s">
        <v>102</v>
      </c>
      <c r="T2110" s="7"/>
      <c r="U2110" s="7"/>
      <c r="V2110" s="7"/>
      <c r="W2110" s="7"/>
      <c r="X2110" s="7"/>
      <c r="Y2110" s="7"/>
      <c r="Z2110" s="7"/>
      <c r="AA2110" s="7"/>
      <c r="AB2110" s="5">
        <f t="shared" si="650"/>
        <v>0</v>
      </c>
      <c r="AC2110" s="5">
        <f>SUM(AB2077:AB2109)</f>
        <v>549</v>
      </c>
    </row>
    <row r="2111" spans="1:29" x14ac:dyDescent="0.25">
      <c r="A2111" t="s">
        <v>115</v>
      </c>
      <c r="B2111" t="s">
        <v>117</v>
      </c>
      <c r="C2111" t="s">
        <v>111</v>
      </c>
      <c r="D2111" t="s">
        <v>70</v>
      </c>
      <c r="E2111" s="64"/>
      <c r="F2111" s="64"/>
      <c r="G2111">
        <f>IFERROR(HLOOKUP(G$2,[65]table_female_hkom3_inj.U3!$A$1:$K$36,2,FALSE),0)</f>
        <v>0</v>
      </c>
      <c r="H2111">
        <f>IFERROR(HLOOKUP(H$2,[65]table_female_hkom3_inj.U3!$A$1:$K$36,2,FALSE),0)</f>
        <v>3</v>
      </c>
      <c r="I2111">
        <f>IFERROR(HLOOKUP(I$2,[65]table_female_hkom3_inj.U3!$A$1:$K$36,2,FALSE),0)</f>
        <v>2</v>
      </c>
      <c r="J2111">
        <f>IFERROR(HLOOKUP(J$2,[65]table_female_hkom3_inj.U3!$A$1:$K$36,2,FALSE),0)</f>
        <v>0</v>
      </c>
      <c r="K2111">
        <f>IFERROR(HLOOKUP(K$2,[65]table_female_hkom3_inj.U3!$A$1:$K$36,2,FALSE),0)</f>
        <v>0</v>
      </c>
      <c r="L2111">
        <f>IFERROR(HLOOKUP(L$2,[65]table_female_hkom3_inj.U3!$A$1:$K$36,2,FALSE),0)</f>
        <v>0</v>
      </c>
      <c r="M2111">
        <f>SUM(E2111:L2111)</f>
        <v>5</v>
      </c>
      <c r="P2111" t="s">
        <v>115</v>
      </c>
      <c r="Q2111" t="s">
        <v>117</v>
      </c>
      <c r="R2111" t="s">
        <v>111</v>
      </c>
      <c r="S2111" t="s">
        <v>70</v>
      </c>
      <c r="T2111" s="5">
        <f>IF(SUM(E$2111:E$2143)=0,E$2144/33,E2111+IFERROR(E2111/SUM(E$2111:E$2143)*E$2144,0))</f>
        <v>0</v>
      </c>
      <c r="U2111" s="5">
        <f t="shared" ref="U2111:AA2111" si="661">IF(SUM(F$2111:F$2143)=0,F$2144/33,F2111+IFERROR(F2111/SUM(F$2111:F$2143)*F$2144,0))</f>
        <v>0</v>
      </c>
      <c r="V2111" s="5">
        <f t="shared" si="661"/>
        <v>0</v>
      </c>
      <c r="W2111" s="5">
        <f t="shared" si="661"/>
        <v>4.197183098591549</v>
      </c>
      <c r="X2111" s="5">
        <f t="shared" si="661"/>
        <v>2.6349206349206349</v>
      </c>
      <c r="Y2111" s="5">
        <f t="shared" si="661"/>
        <v>0</v>
      </c>
      <c r="Z2111" s="5">
        <f t="shared" si="661"/>
        <v>0</v>
      </c>
      <c r="AA2111" s="5">
        <f t="shared" si="661"/>
        <v>0</v>
      </c>
      <c r="AB2111" s="5">
        <f t="shared" si="650"/>
        <v>6.8321037335121844</v>
      </c>
    </row>
    <row r="2112" spans="1:29" x14ac:dyDescent="0.25">
      <c r="D2112" t="s">
        <v>71</v>
      </c>
      <c r="E2112" s="64"/>
      <c r="F2112" s="64"/>
      <c r="G2112">
        <f>IFERROR(HLOOKUP(G$2,[65]table_female_hkom3_inj.U3!$A$1:$K$36,3,FALSE),0)</f>
        <v>23</v>
      </c>
      <c r="H2112">
        <f>IFERROR(HLOOKUP(H$2,[65]table_female_hkom3_inj.U3!$A$1:$K$36,3,FALSE),0)</f>
        <v>27</v>
      </c>
      <c r="I2112">
        <f>IFERROR(HLOOKUP(I$2,[65]table_female_hkom3_inj.U3!$A$1:$K$36,3,FALSE),0)</f>
        <v>5</v>
      </c>
      <c r="J2112">
        <f>IFERROR(HLOOKUP(J$2,[65]table_female_hkom3_inj.U3!$A$1:$K$36,3,FALSE),0)</f>
        <v>2</v>
      </c>
      <c r="K2112">
        <f>IFERROR(HLOOKUP(K$2,[65]table_female_hkom3_inj.U3!$A$1:$K$36,3,FALSE),0)</f>
        <v>0</v>
      </c>
      <c r="L2112">
        <f>IFERROR(HLOOKUP(L$2,[65]table_female_hkom3_inj.U3!$A$1:$K$36,3,FALSE),0)</f>
        <v>0</v>
      </c>
      <c r="M2112">
        <f t="shared" ref="M2112:M2144" si="662">SUM(E2112:L2112)</f>
        <v>57</v>
      </c>
      <c r="S2112" t="s">
        <v>71</v>
      </c>
      <c r="T2112" s="5">
        <f t="shared" ref="T2112:T2143" si="663">IF(SUM(E$2111:E$2143)=0,E$2144/33,E2112+IFERROR(E2112/SUM(E$2111:E$2143)*E$2144,0))</f>
        <v>0</v>
      </c>
      <c r="U2112" s="5">
        <f t="shared" ref="U2112:U2143" si="664">IF(SUM(F$2111:F$2143)=0,F$2144/33,F2112+IFERROR(F2112/SUM(F$2111:F$2143)*F$2144,0))</f>
        <v>0</v>
      </c>
      <c r="V2112" s="5">
        <f t="shared" ref="V2112:V2143" si="665">IF(SUM(G$2111:G$2143)=0,G$2144/33,G2112+IFERROR(G2112/SUM(G$2111:G$2143)*G$2144,0))</f>
        <v>34.462540716612381</v>
      </c>
      <c r="W2112" s="5">
        <f t="shared" ref="W2112:W2143" si="666">IF(SUM(H$2111:H$2143)=0,H$2144/33,H2112+IFERROR(H2112/SUM(H$2111:H$2143)*H$2144,0))</f>
        <v>37.774647887323944</v>
      </c>
      <c r="X2112" s="5">
        <f t="shared" ref="X2112:X2143" si="667">IF(SUM(I$2111:I$2143)=0,I$2144/33,I2112+IFERROR(I2112/SUM(I$2111:I$2143)*I$2144,0))</f>
        <v>6.587301587301587</v>
      </c>
      <c r="Y2112" s="5">
        <f t="shared" ref="Y2112:Y2143" si="668">IF(SUM(J$2111:J$2143)=0,J$2144/33,J2112+IFERROR(J2112/SUM(J$2111:J$2143)*J$2144,0))</f>
        <v>2.3855421686746987</v>
      </c>
      <c r="Z2112" s="5">
        <f t="shared" ref="Z2112:Z2143" si="669">IF(SUM(K$2111:K$2143)=0,K$2144/33,K2112+IFERROR(K2112/SUM(K$2111:K$2143)*K$2144,0))</f>
        <v>0</v>
      </c>
      <c r="AA2112" s="5">
        <f t="shared" ref="AA2112:AA2143" si="670">IF(SUM(L$2111:L$2143)=0,L$2144/33,L2112+IFERROR(L2112/SUM(L$2111:L$2143)*L$2144,0))</f>
        <v>0</v>
      </c>
      <c r="AB2112" s="5">
        <f t="shared" si="650"/>
        <v>81.210032359912603</v>
      </c>
    </row>
    <row r="2113" spans="4:28" x14ac:dyDescent="0.25">
      <c r="D2113" t="s">
        <v>72</v>
      </c>
      <c r="E2113" s="64"/>
      <c r="F2113" s="64"/>
      <c r="G2113">
        <f>IFERROR(HLOOKUP(G$2,[65]table_female_hkom3_inj.U3!$A$1:$K$36,4,FALSE),0)</f>
        <v>13</v>
      </c>
      <c r="H2113">
        <f>IFERROR(HLOOKUP(H$2,[65]table_female_hkom3_inj.U3!$A$1:$K$36,4,FALSE),0)</f>
        <v>21</v>
      </c>
      <c r="I2113">
        <f>IFERROR(HLOOKUP(I$2,[65]table_female_hkom3_inj.U3!$A$1:$K$36,4,FALSE),0)</f>
        <v>44</v>
      </c>
      <c r="J2113">
        <f>IFERROR(HLOOKUP(J$2,[65]table_female_hkom3_inj.U3!$A$1:$K$36,4,FALSE),0)</f>
        <v>15</v>
      </c>
      <c r="K2113">
        <f>IFERROR(HLOOKUP(K$2,[65]table_female_hkom3_inj.U3!$A$1:$K$36,4,FALSE),0)</f>
        <v>4</v>
      </c>
      <c r="L2113">
        <f>IFERROR(HLOOKUP(L$2,[65]table_female_hkom3_inj.U3!$A$1:$K$36,4,FALSE),0)</f>
        <v>0</v>
      </c>
      <c r="M2113">
        <f t="shared" si="662"/>
        <v>97</v>
      </c>
      <c r="S2113" t="s">
        <v>72</v>
      </c>
      <c r="T2113" s="5">
        <f t="shared" si="663"/>
        <v>0</v>
      </c>
      <c r="U2113" s="5">
        <f t="shared" si="664"/>
        <v>0</v>
      </c>
      <c r="V2113" s="5">
        <f t="shared" si="665"/>
        <v>19.478827361563518</v>
      </c>
      <c r="W2113" s="5">
        <f t="shared" si="666"/>
        <v>29.380281690140848</v>
      </c>
      <c r="X2113" s="5">
        <f t="shared" si="667"/>
        <v>57.968253968253968</v>
      </c>
      <c r="Y2113" s="5">
        <f t="shared" si="668"/>
        <v>17.891566265060241</v>
      </c>
      <c r="Z2113" s="5">
        <f t="shared" si="669"/>
        <v>4.7058823529411766</v>
      </c>
      <c r="AA2113" s="5">
        <f t="shared" si="670"/>
        <v>0</v>
      </c>
      <c r="AB2113" s="5">
        <f t="shared" si="650"/>
        <v>129.42481163795978</v>
      </c>
    </row>
    <row r="2114" spans="4:28" x14ac:dyDescent="0.25">
      <c r="D2114" t="s">
        <v>73</v>
      </c>
      <c r="E2114" s="64"/>
      <c r="F2114" s="64"/>
      <c r="G2114">
        <f>IFERROR(HLOOKUP(G$2,[65]table_female_hkom3_inj.U3!$A$1:$K$36,5,FALSE),0)</f>
        <v>2</v>
      </c>
      <c r="H2114">
        <f>IFERROR(HLOOKUP(H$2,[65]table_female_hkom3_inj.U3!$A$1:$K$36,5,FALSE),0)</f>
        <v>3</v>
      </c>
      <c r="I2114">
        <f>IFERROR(HLOOKUP(I$2,[65]table_female_hkom3_inj.U3!$A$1:$K$36,5,FALSE),0)</f>
        <v>2</v>
      </c>
      <c r="J2114">
        <f>IFERROR(HLOOKUP(J$2,[65]table_female_hkom3_inj.U3!$A$1:$K$36,5,FALSE),0)</f>
        <v>0</v>
      </c>
      <c r="K2114">
        <f>IFERROR(HLOOKUP(K$2,[65]table_female_hkom3_inj.U3!$A$1:$K$36,5,FALSE),0)</f>
        <v>0</v>
      </c>
      <c r="L2114">
        <f>IFERROR(HLOOKUP(L$2,[65]table_female_hkom3_inj.U3!$A$1:$K$36,5,FALSE),0)</f>
        <v>0</v>
      </c>
      <c r="M2114">
        <f t="shared" si="662"/>
        <v>7</v>
      </c>
      <c r="S2114" t="s">
        <v>73</v>
      </c>
      <c r="T2114" s="5">
        <f t="shared" si="663"/>
        <v>0</v>
      </c>
      <c r="U2114" s="5">
        <f t="shared" si="664"/>
        <v>0</v>
      </c>
      <c r="V2114" s="5">
        <f t="shared" si="665"/>
        <v>2.996742671009772</v>
      </c>
      <c r="W2114" s="5">
        <f t="shared" si="666"/>
        <v>4.197183098591549</v>
      </c>
      <c r="X2114" s="5">
        <f t="shared" si="667"/>
        <v>2.6349206349206349</v>
      </c>
      <c r="Y2114" s="5">
        <f t="shared" si="668"/>
        <v>0</v>
      </c>
      <c r="Z2114" s="5">
        <f t="shared" si="669"/>
        <v>0</v>
      </c>
      <c r="AA2114" s="5">
        <f t="shared" si="670"/>
        <v>0</v>
      </c>
      <c r="AB2114" s="5">
        <f t="shared" si="650"/>
        <v>9.8288464045219559</v>
      </c>
    </row>
    <row r="2115" spans="4:28" x14ac:dyDescent="0.25">
      <c r="D2115" t="s">
        <v>74</v>
      </c>
      <c r="E2115" s="64"/>
      <c r="F2115" s="64"/>
      <c r="G2115">
        <f>IFERROR(HLOOKUP(G$2,[65]table_female_hkom3_inj.U3!$A$1:$K$36,6,FALSE),0)</f>
        <v>3</v>
      </c>
      <c r="H2115">
        <f>IFERROR(HLOOKUP(H$2,[65]table_female_hkom3_inj.U3!$A$1:$K$36,6,FALSE),0)</f>
        <v>11</v>
      </c>
      <c r="I2115">
        <f>IFERROR(HLOOKUP(I$2,[65]table_female_hkom3_inj.U3!$A$1:$K$36,6,FALSE),0)</f>
        <v>18</v>
      </c>
      <c r="J2115">
        <f>IFERROR(HLOOKUP(J$2,[65]table_female_hkom3_inj.U3!$A$1:$K$36,6,FALSE),0)</f>
        <v>3</v>
      </c>
      <c r="K2115">
        <f>IFERROR(HLOOKUP(K$2,[65]table_female_hkom3_inj.U3!$A$1:$K$36,6,FALSE),0)</f>
        <v>0</v>
      </c>
      <c r="L2115">
        <f>IFERROR(HLOOKUP(L$2,[65]table_female_hkom3_inj.U3!$A$1:$K$36,6,FALSE),0)</f>
        <v>0</v>
      </c>
      <c r="M2115">
        <f t="shared" si="662"/>
        <v>35</v>
      </c>
      <c r="S2115" t="s">
        <v>74</v>
      </c>
      <c r="T2115" s="5">
        <f t="shared" si="663"/>
        <v>0</v>
      </c>
      <c r="U2115" s="5">
        <f t="shared" si="664"/>
        <v>0</v>
      </c>
      <c r="V2115" s="5">
        <f t="shared" si="665"/>
        <v>4.4951140065146582</v>
      </c>
      <c r="W2115" s="5">
        <f t="shared" si="666"/>
        <v>15.389671361502348</v>
      </c>
      <c r="X2115" s="5">
        <f t="shared" si="667"/>
        <v>23.714285714285715</v>
      </c>
      <c r="Y2115" s="5">
        <f t="shared" si="668"/>
        <v>3.5783132530120483</v>
      </c>
      <c r="Z2115" s="5">
        <f t="shared" si="669"/>
        <v>0</v>
      </c>
      <c r="AA2115" s="5">
        <f t="shared" si="670"/>
        <v>0</v>
      </c>
      <c r="AB2115" s="5">
        <f t="shared" si="650"/>
        <v>47.17738433531477</v>
      </c>
    </row>
    <row r="2116" spans="4:28" x14ac:dyDescent="0.25">
      <c r="D2116" t="s">
        <v>75</v>
      </c>
      <c r="E2116" s="64"/>
      <c r="F2116" s="64"/>
      <c r="G2116">
        <f>IFERROR(HLOOKUP(G$2,[65]table_female_hkom3_inj.U3!$A$1:$K$36,7,FALSE),0)</f>
        <v>3</v>
      </c>
      <c r="H2116">
        <f>IFERROR(HLOOKUP(H$2,[65]table_female_hkom3_inj.U3!$A$1:$K$36,7,FALSE),0)</f>
        <v>12</v>
      </c>
      <c r="I2116">
        <f>IFERROR(HLOOKUP(I$2,[65]table_female_hkom3_inj.U3!$A$1:$K$36,7,FALSE),0)</f>
        <v>7</v>
      </c>
      <c r="J2116">
        <f>IFERROR(HLOOKUP(J$2,[65]table_female_hkom3_inj.U3!$A$1:$K$36,7,FALSE),0)</f>
        <v>4</v>
      </c>
      <c r="K2116">
        <f>IFERROR(HLOOKUP(K$2,[65]table_female_hkom3_inj.U3!$A$1:$K$36,7,FALSE),0)</f>
        <v>0</v>
      </c>
      <c r="L2116">
        <f>IFERROR(HLOOKUP(L$2,[65]table_female_hkom3_inj.U3!$A$1:$K$36,7,FALSE),0)</f>
        <v>0</v>
      </c>
      <c r="M2116">
        <f t="shared" si="662"/>
        <v>26</v>
      </c>
      <c r="S2116" t="s">
        <v>75</v>
      </c>
      <c r="T2116" s="5">
        <f t="shared" si="663"/>
        <v>0</v>
      </c>
      <c r="U2116" s="5">
        <f t="shared" si="664"/>
        <v>0</v>
      </c>
      <c r="V2116" s="5">
        <f t="shared" si="665"/>
        <v>4.4951140065146582</v>
      </c>
      <c r="W2116" s="5">
        <f t="shared" si="666"/>
        <v>16.788732394366196</v>
      </c>
      <c r="X2116" s="5">
        <f t="shared" si="667"/>
        <v>9.2222222222222214</v>
      </c>
      <c r="Y2116" s="5">
        <f t="shared" si="668"/>
        <v>4.7710843373493974</v>
      </c>
      <c r="Z2116" s="5">
        <f t="shared" si="669"/>
        <v>0</v>
      </c>
      <c r="AA2116" s="5">
        <f t="shared" si="670"/>
        <v>0</v>
      </c>
      <c r="AB2116" s="5">
        <f t="shared" si="650"/>
        <v>35.277152960452476</v>
      </c>
    </row>
    <row r="2117" spans="4:28" x14ac:dyDescent="0.25">
      <c r="D2117" t="s">
        <v>76</v>
      </c>
      <c r="E2117" s="64"/>
      <c r="F2117" s="64"/>
      <c r="G2117">
        <f>IFERROR(HLOOKUP(G$2,[65]table_female_hkom3_inj.U3!$A$1:$K$36,8,FALSE),0)</f>
        <v>6</v>
      </c>
      <c r="H2117">
        <f>IFERROR(HLOOKUP(H$2,[65]table_female_hkom3_inj.U3!$A$1:$K$36,8,FALSE),0)</f>
        <v>26</v>
      </c>
      <c r="I2117">
        <f>IFERROR(HLOOKUP(I$2,[65]table_female_hkom3_inj.U3!$A$1:$K$36,8,FALSE),0)</f>
        <v>18</v>
      </c>
      <c r="J2117">
        <f>IFERROR(HLOOKUP(J$2,[65]table_female_hkom3_inj.U3!$A$1:$K$36,8,FALSE),0)</f>
        <v>9</v>
      </c>
      <c r="K2117">
        <f>IFERROR(HLOOKUP(K$2,[65]table_female_hkom3_inj.U3!$A$1:$K$36,8,FALSE),0)</f>
        <v>8</v>
      </c>
      <c r="L2117">
        <f>IFERROR(HLOOKUP(L$2,[65]table_female_hkom3_inj.U3!$A$1:$K$36,8,FALSE),0)</f>
        <v>0</v>
      </c>
      <c r="M2117">
        <f t="shared" si="662"/>
        <v>67</v>
      </c>
      <c r="S2117" t="s">
        <v>76</v>
      </c>
      <c r="T2117" s="5">
        <f t="shared" si="663"/>
        <v>0</v>
      </c>
      <c r="U2117" s="5">
        <f t="shared" si="664"/>
        <v>0</v>
      </c>
      <c r="V2117" s="5">
        <f t="shared" si="665"/>
        <v>8.9902280130293164</v>
      </c>
      <c r="W2117" s="5">
        <f t="shared" si="666"/>
        <v>36.375586854460096</v>
      </c>
      <c r="X2117" s="5">
        <f t="shared" si="667"/>
        <v>23.714285714285715</v>
      </c>
      <c r="Y2117" s="5">
        <f t="shared" si="668"/>
        <v>10.734939759036145</v>
      </c>
      <c r="Z2117" s="5">
        <f t="shared" si="669"/>
        <v>9.4117647058823533</v>
      </c>
      <c r="AA2117" s="5">
        <f t="shared" si="670"/>
        <v>0</v>
      </c>
      <c r="AB2117" s="5">
        <f t="shared" si="650"/>
        <v>89.226805046693613</v>
      </c>
    </row>
    <row r="2118" spans="4:28" x14ac:dyDescent="0.25">
      <c r="D2118" t="s">
        <v>77</v>
      </c>
      <c r="E2118" s="64"/>
      <c r="F2118" s="64"/>
      <c r="G2118">
        <f>IFERROR(HLOOKUP(G$2,[65]table_female_hkom3_inj.U3!$A$1:$K$36,9,FALSE),0)</f>
        <v>24</v>
      </c>
      <c r="H2118">
        <f>IFERROR(HLOOKUP(H$2,[65]table_female_hkom3_inj.U3!$A$1:$K$36,9,FALSE),0)</f>
        <v>77</v>
      </c>
      <c r="I2118">
        <f>IFERROR(HLOOKUP(I$2,[65]table_female_hkom3_inj.U3!$A$1:$K$36,9,FALSE),0)</f>
        <v>113</v>
      </c>
      <c r="J2118">
        <f>IFERROR(HLOOKUP(J$2,[65]table_female_hkom3_inj.U3!$A$1:$K$36,9,FALSE),0)</f>
        <v>25</v>
      </c>
      <c r="K2118">
        <f>IFERROR(HLOOKUP(K$2,[65]table_female_hkom3_inj.U3!$A$1:$K$36,9,FALSE),0)</f>
        <v>0</v>
      </c>
      <c r="L2118">
        <f>IFERROR(HLOOKUP(L$2,[65]table_female_hkom3_inj.U3!$A$1:$K$36,9,FALSE),0)</f>
        <v>1</v>
      </c>
      <c r="M2118">
        <f t="shared" si="662"/>
        <v>240</v>
      </c>
      <c r="S2118" t="s">
        <v>77</v>
      </c>
      <c r="T2118" s="5">
        <f t="shared" si="663"/>
        <v>0</v>
      </c>
      <c r="U2118" s="5">
        <f t="shared" si="664"/>
        <v>0</v>
      </c>
      <c r="V2118" s="5">
        <f t="shared" si="665"/>
        <v>35.960912052117266</v>
      </c>
      <c r="W2118" s="5">
        <f t="shared" si="666"/>
        <v>107.72769953051643</v>
      </c>
      <c r="X2118" s="5">
        <f t="shared" si="667"/>
        <v>148.87301587301587</v>
      </c>
      <c r="Y2118" s="5">
        <f t="shared" si="668"/>
        <v>29.819277108433734</v>
      </c>
      <c r="Z2118" s="5">
        <f t="shared" si="669"/>
        <v>0</v>
      </c>
      <c r="AA2118" s="5">
        <f t="shared" si="670"/>
        <v>1</v>
      </c>
      <c r="AB2118" s="5">
        <f t="shared" si="650"/>
        <v>323.38090456408332</v>
      </c>
    </row>
    <row r="2119" spans="4:28" x14ac:dyDescent="0.25">
      <c r="D2119" t="s">
        <v>78</v>
      </c>
      <c r="E2119" s="64"/>
      <c r="F2119" s="64"/>
      <c r="G2119">
        <f>IFERROR(HLOOKUP(G$2,[65]table_female_hkom3_inj.U3!$A$1:$K$36,10,FALSE),0)</f>
        <v>11</v>
      </c>
      <c r="H2119">
        <f>IFERROR(HLOOKUP(H$2,[65]table_female_hkom3_inj.U3!$A$1:$K$36,10,FALSE),0)</f>
        <v>27</v>
      </c>
      <c r="I2119">
        <f>IFERROR(HLOOKUP(I$2,[65]table_female_hkom3_inj.U3!$A$1:$K$36,10,FALSE),0)</f>
        <v>19</v>
      </c>
      <c r="J2119">
        <f>IFERROR(HLOOKUP(J$2,[65]table_female_hkom3_inj.U3!$A$1:$K$36,10,FALSE),0)</f>
        <v>2</v>
      </c>
      <c r="K2119">
        <f>IFERROR(HLOOKUP(K$2,[65]table_female_hkom3_inj.U3!$A$1:$K$36,10,FALSE),0)</f>
        <v>0</v>
      </c>
      <c r="L2119">
        <f>IFERROR(HLOOKUP(L$2,[65]table_female_hkom3_inj.U3!$A$1:$K$36,10,FALSE),0)</f>
        <v>0</v>
      </c>
      <c r="M2119">
        <f t="shared" si="662"/>
        <v>59</v>
      </c>
      <c r="S2119" t="s">
        <v>78</v>
      </c>
      <c r="T2119" s="5">
        <f t="shared" si="663"/>
        <v>0</v>
      </c>
      <c r="U2119" s="5">
        <f t="shared" si="664"/>
        <v>0</v>
      </c>
      <c r="V2119" s="5">
        <f t="shared" si="665"/>
        <v>16.482084690553748</v>
      </c>
      <c r="W2119" s="5">
        <f t="shared" si="666"/>
        <v>37.774647887323944</v>
      </c>
      <c r="X2119" s="5">
        <f t="shared" si="667"/>
        <v>25.031746031746032</v>
      </c>
      <c r="Y2119" s="5">
        <f t="shared" si="668"/>
        <v>2.3855421686746987</v>
      </c>
      <c r="Z2119" s="5">
        <f t="shared" si="669"/>
        <v>0</v>
      </c>
      <c r="AA2119" s="5">
        <f t="shared" si="670"/>
        <v>0</v>
      </c>
      <c r="AB2119" s="5">
        <f t="shared" si="650"/>
        <v>81.674020778298427</v>
      </c>
    </row>
    <row r="2120" spans="4:28" x14ac:dyDescent="0.25">
      <c r="D2120" t="s">
        <v>79</v>
      </c>
      <c r="E2120" s="64"/>
      <c r="F2120" s="64"/>
      <c r="G2120">
        <f>IFERROR(HLOOKUP(G$2,[65]table_female_hkom3_inj.U3!$A$1:$K$36,11,FALSE),0)</f>
        <v>5</v>
      </c>
      <c r="H2120">
        <f>IFERROR(HLOOKUP(H$2,[65]table_female_hkom3_inj.U3!$A$1:$K$36,11,FALSE),0)</f>
        <v>15</v>
      </c>
      <c r="I2120">
        <f>IFERROR(HLOOKUP(I$2,[65]table_female_hkom3_inj.U3!$A$1:$K$36,11,FALSE),0)</f>
        <v>35</v>
      </c>
      <c r="J2120">
        <f>IFERROR(HLOOKUP(J$2,[65]table_female_hkom3_inj.U3!$A$1:$K$36,11,FALSE),0)</f>
        <v>33</v>
      </c>
      <c r="K2120">
        <f>IFERROR(HLOOKUP(K$2,[65]table_female_hkom3_inj.U3!$A$1:$K$36,11,FALSE),0)</f>
        <v>9</v>
      </c>
      <c r="L2120">
        <f>IFERROR(HLOOKUP(L$2,[65]table_female_hkom3_inj.U3!$A$1:$K$36,11,FALSE),0)</f>
        <v>1</v>
      </c>
      <c r="M2120">
        <f t="shared" si="662"/>
        <v>98</v>
      </c>
      <c r="S2120" t="s">
        <v>79</v>
      </c>
      <c r="T2120" s="5">
        <f t="shared" si="663"/>
        <v>0</v>
      </c>
      <c r="U2120" s="5">
        <f t="shared" si="664"/>
        <v>0</v>
      </c>
      <c r="V2120" s="5">
        <f t="shared" si="665"/>
        <v>7.4918566775244297</v>
      </c>
      <c r="W2120" s="5">
        <f t="shared" si="666"/>
        <v>20.985915492957744</v>
      </c>
      <c r="X2120" s="5">
        <f t="shared" si="667"/>
        <v>46.111111111111114</v>
      </c>
      <c r="Y2120" s="5">
        <f t="shared" si="668"/>
        <v>39.361445783132531</v>
      </c>
      <c r="Z2120" s="5">
        <f t="shared" si="669"/>
        <v>10.588235294117647</v>
      </c>
      <c r="AA2120" s="5">
        <f t="shared" si="670"/>
        <v>1</v>
      </c>
      <c r="AB2120" s="5">
        <f t="shared" si="650"/>
        <v>125.53856435884347</v>
      </c>
    </row>
    <row r="2121" spans="4:28" x14ac:dyDescent="0.25">
      <c r="D2121" t="s">
        <v>80</v>
      </c>
      <c r="E2121" s="64"/>
      <c r="F2121" s="64"/>
      <c r="G2121">
        <f>IFERROR(HLOOKUP(G$2,[65]table_female_hkom3_inj.U3!$A$1:$K$36,12,FALSE),0)</f>
        <v>11</v>
      </c>
      <c r="H2121">
        <f>IFERROR(HLOOKUP(H$2,[65]table_female_hkom3_inj.U3!$A$1:$K$36,12,FALSE),0)</f>
        <v>44</v>
      </c>
      <c r="I2121">
        <f>IFERROR(HLOOKUP(I$2,[65]table_female_hkom3_inj.U3!$A$1:$K$36,12,FALSE),0)</f>
        <v>35</v>
      </c>
      <c r="J2121">
        <f>IFERROR(HLOOKUP(J$2,[65]table_female_hkom3_inj.U3!$A$1:$K$36,12,FALSE),0)</f>
        <v>13</v>
      </c>
      <c r="K2121">
        <f>IFERROR(HLOOKUP(K$2,[65]table_female_hkom3_inj.U3!$A$1:$K$36,12,FALSE),0)</f>
        <v>0</v>
      </c>
      <c r="L2121">
        <f>IFERROR(HLOOKUP(L$2,[65]table_female_hkom3_inj.U3!$A$1:$K$36,12,FALSE),0)</f>
        <v>0</v>
      </c>
      <c r="M2121">
        <f t="shared" si="662"/>
        <v>103</v>
      </c>
      <c r="S2121" t="s">
        <v>80</v>
      </c>
      <c r="T2121" s="5">
        <f t="shared" si="663"/>
        <v>0</v>
      </c>
      <c r="U2121" s="5">
        <f t="shared" si="664"/>
        <v>0</v>
      </c>
      <c r="V2121" s="5">
        <f t="shared" si="665"/>
        <v>16.482084690553748</v>
      </c>
      <c r="W2121" s="5">
        <f t="shared" si="666"/>
        <v>61.558685446009392</v>
      </c>
      <c r="X2121" s="5">
        <f t="shared" si="667"/>
        <v>46.111111111111114</v>
      </c>
      <c r="Y2121" s="5">
        <f t="shared" si="668"/>
        <v>15.506024096385541</v>
      </c>
      <c r="Z2121" s="5">
        <f t="shared" si="669"/>
        <v>0</v>
      </c>
      <c r="AA2121" s="5">
        <f t="shared" si="670"/>
        <v>0</v>
      </c>
      <c r="AB2121" s="5">
        <f t="shared" si="650"/>
        <v>139.6579053440598</v>
      </c>
    </row>
    <row r="2122" spans="4:28" x14ac:dyDescent="0.25">
      <c r="D2122" t="s">
        <v>81</v>
      </c>
      <c r="E2122" s="64"/>
      <c r="F2122" s="64"/>
      <c r="G2122">
        <f>IFERROR(HLOOKUP(G$2,[65]table_female_hkom3_inj.U3!$A$1:$K$36,13,FALSE),0)</f>
        <v>14</v>
      </c>
      <c r="H2122">
        <f>IFERROR(HLOOKUP(H$2,[65]table_female_hkom3_inj.U3!$A$1:$K$36,13,FALSE),0)</f>
        <v>37</v>
      </c>
      <c r="I2122">
        <f>IFERROR(HLOOKUP(I$2,[65]table_female_hkom3_inj.U3!$A$1:$K$36,13,FALSE),0)</f>
        <v>39</v>
      </c>
      <c r="J2122">
        <f>IFERROR(HLOOKUP(J$2,[65]table_female_hkom3_inj.U3!$A$1:$K$36,13,FALSE),0)</f>
        <v>7</v>
      </c>
      <c r="K2122">
        <f>IFERROR(HLOOKUP(K$2,[65]table_female_hkom3_inj.U3!$A$1:$K$36,13,FALSE),0)</f>
        <v>2</v>
      </c>
      <c r="L2122">
        <f>IFERROR(HLOOKUP(L$2,[65]table_female_hkom3_inj.U3!$A$1:$K$36,13,FALSE),0)</f>
        <v>0</v>
      </c>
      <c r="M2122">
        <f t="shared" si="662"/>
        <v>99</v>
      </c>
      <c r="S2122" t="s">
        <v>81</v>
      </c>
      <c r="T2122" s="5">
        <f t="shared" si="663"/>
        <v>0</v>
      </c>
      <c r="U2122" s="5">
        <f t="shared" si="664"/>
        <v>0</v>
      </c>
      <c r="V2122" s="5">
        <f t="shared" si="665"/>
        <v>20.977198697068403</v>
      </c>
      <c r="W2122" s="5">
        <f t="shared" si="666"/>
        <v>51.76525821596244</v>
      </c>
      <c r="X2122" s="5">
        <f t="shared" si="667"/>
        <v>51.38095238095238</v>
      </c>
      <c r="Y2122" s="5">
        <f t="shared" si="668"/>
        <v>8.3493975903614448</v>
      </c>
      <c r="Z2122" s="5">
        <f t="shared" si="669"/>
        <v>2.3529411764705883</v>
      </c>
      <c r="AA2122" s="5">
        <f t="shared" si="670"/>
        <v>0</v>
      </c>
      <c r="AB2122" s="5">
        <f t="shared" si="650"/>
        <v>134.82574806081524</v>
      </c>
    </row>
    <row r="2123" spans="4:28" x14ac:dyDescent="0.25">
      <c r="D2123" t="s">
        <v>82</v>
      </c>
      <c r="E2123" s="64"/>
      <c r="F2123" s="64"/>
      <c r="G2123">
        <f>IFERROR(HLOOKUP(G$2,[65]table_female_hkom3_inj.U3!$A$1:$K$36,14,FALSE),0)</f>
        <v>4</v>
      </c>
      <c r="H2123">
        <f>IFERROR(HLOOKUP(H$2,[65]table_female_hkom3_inj.U3!$A$1:$K$36,14,FALSE),0)</f>
        <v>30</v>
      </c>
      <c r="I2123">
        <f>IFERROR(HLOOKUP(I$2,[65]table_female_hkom3_inj.U3!$A$1:$K$36,14,FALSE),0)</f>
        <v>10</v>
      </c>
      <c r="J2123">
        <f>IFERROR(HLOOKUP(J$2,[65]table_female_hkom3_inj.U3!$A$1:$K$36,14,FALSE),0)</f>
        <v>4</v>
      </c>
      <c r="K2123">
        <f>IFERROR(HLOOKUP(K$2,[65]table_female_hkom3_inj.U3!$A$1:$K$36,14,FALSE),0)</f>
        <v>0</v>
      </c>
      <c r="L2123">
        <f>IFERROR(HLOOKUP(L$2,[65]table_female_hkom3_inj.U3!$A$1:$K$36,14,FALSE),0)</f>
        <v>0</v>
      </c>
      <c r="M2123">
        <f t="shared" si="662"/>
        <v>48</v>
      </c>
      <c r="S2123" t="s">
        <v>82</v>
      </c>
      <c r="T2123" s="5">
        <f t="shared" si="663"/>
        <v>0</v>
      </c>
      <c r="U2123" s="5">
        <f t="shared" si="664"/>
        <v>0</v>
      </c>
      <c r="V2123" s="5">
        <f t="shared" si="665"/>
        <v>5.993485342019544</v>
      </c>
      <c r="W2123" s="5">
        <f t="shared" si="666"/>
        <v>41.971830985915489</v>
      </c>
      <c r="X2123" s="5">
        <f t="shared" si="667"/>
        <v>13.174603174603174</v>
      </c>
      <c r="Y2123" s="5">
        <f t="shared" si="668"/>
        <v>4.7710843373493974</v>
      </c>
      <c r="Z2123" s="5">
        <f t="shared" si="669"/>
        <v>0</v>
      </c>
      <c r="AA2123" s="5">
        <f t="shared" si="670"/>
        <v>0</v>
      </c>
      <c r="AB2123" s="5">
        <f t="shared" si="650"/>
        <v>65.911003839887599</v>
      </c>
    </row>
    <row r="2124" spans="4:28" x14ac:dyDescent="0.25">
      <c r="D2124" t="s">
        <v>83</v>
      </c>
      <c r="E2124" s="64"/>
      <c r="F2124" s="64"/>
      <c r="G2124">
        <f>IFERROR(HLOOKUP(G$2,[65]table_female_hkom3_inj.U3!$A$1:$K$36,15,FALSE),0)</f>
        <v>6</v>
      </c>
      <c r="H2124">
        <f>IFERROR(HLOOKUP(H$2,[65]table_female_hkom3_inj.U3!$A$1:$K$36,15,FALSE),0)</f>
        <v>7</v>
      </c>
      <c r="I2124">
        <f>IFERROR(HLOOKUP(I$2,[65]table_female_hkom3_inj.U3!$A$1:$K$36,15,FALSE),0)</f>
        <v>4</v>
      </c>
      <c r="J2124">
        <f>IFERROR(HLOOKUP(J$2,[65]table_female_hkom3_inj.U3!$A$1:$K$36,15,FALSE),0)</f>
        <v>0</v>
      </c>
      <c r="K2124">
        <f>IFERROR(HLOOKUP(K$2,[65]table_female_hkom3_inj.U3!$A$1:$K$36,15,FALSE),0)</f>
        <v>0</v>
      </c>
      <c r="L2124">
        <f>IFERROR(HLOOKUP(L$2,[65]table_female_hkom3_inj.U3!$A$1:$K$36,15,FALSE),0)</f>
        <v>0</v>
      </c>
      <c r="M2124">
        <f t="shared" si="662"/>
        <v>17</v>
      </c>
      <c r="S2124" t="s">
        <v>83</v>
      </c>
      <c r="T2124" s="5">
        <f t="shared" si="663"/>
        <v>0</v>
      </c>
      <c r="U2124" s="5">
        <f t="shared" si="664"/>
        <v>0</v>
      </c>
      <c r="V2124" s="5">
        <f t="shared" si="665"/>
        <v>8.9902280130293164</v>
      </c>
      <c r="W2124" s="5">
        <f t="shared" si="666"/>
        <v>9.793427230046948</v>
      </c>
      <c r="X2124" s="5">
        <f t="shared" si="667"/>
        <v>5.2698412698412698</v>
      </c>
      <c r="Y2124" s="5">
        <f t="shared" si="668"/>
        <v>0</v>
      </c>
      <c r="Z2124" s="5">
        <f t="shared" si="669"/>
        <v>0</v>
      </c>
      <c r="AA2124" s="5">
        <f t="shared" si="670"/>
        <v>0</v>
      </c>
      <c r="AB2124" s="5">
        <f t="shared" si="650"/>
        <v>24.053496512917533</v>
      </c>
    </row>
    <row r="2125" spans="4:28" x14ac:dyDescent="0.25">
      <c r="D2125" t="s">
        <v>84</v>
      </c>
      <c r="E2125" s="64"/>
      <c r="F2125" s="64"/>
      <c r="G2125">
        <f>IFERROR(HLOOKUP(G$2,[65]table_female_hkom3_inj.U3!$A$1:$K$36,16,FALSE),0)</f>
        <v>6</v>
      </c>
      <c r="H2125">
        <f>IFERROR(HLOOKUP(H$2,[65]table_female_hkom3_inj.U3!$A$1:$K$36,16,FALSE),0)</f>
        <v>10</v>
      </c>
      <c r="I2125">
        <f>IFERROR(HLOOKUP(I$2,[65]table_female_hkom3_inj.U3!$A$1:$K$36,16,FALSE),0)</f>
        <v>10</v>
      </c>
      <c r="J2125">
        <f>IFERROR(HLOOKUP(J$2,[65]table_female_hkom3_inj.U3!$A$1:$K$36,16,FALSE),0)</f>
        <v>3</v>
      </c>
      <c r="K2125">
        <f>IFERROR(HLOOKUP(K$2,[65]table_female_hkom3_inj.U3!$A$1:$K$36,16,FALSE),0)</f>
        <v>0</v>
      </c>
      <c r="L2125">
        <f>IFERROR(HLOOKUP(L$2,[65]table_female_hkom3_inj.U3!$A$1:$K$36,16,FALSE),0)</f>
        <v>0</v>
      </c>
      <c r="M2125">
        <f t="shared" si="662"/>
        <v>29</v>
      </c>
      <c r="S2125" t="s">
        <v>84</v>
      </c>
      <c r="T2125" s="5">
        <f t="shared" si="663"/>
        <v>0</v>
      </c>
      <c r="U2125" s="5">
        <f t="shared" si="664"/>
        <v>0</v>
      </c>
      <c r="V2125" s="5">
        <f t="shared" si="665"/>
        <v>8.9902280130293164</v>
      </c>
      <c r="W2125" s="5">
        <f t="shared" si="666"/>
        <v>13.990610328638498</v>
      </c>
      <c r="X2125" s="5">
        <f t="shared" si="667"/>
        <v>13.174603174603174</v>
      </c>
      <c r="Y2125" s="5">
        <f t="shared" si="668"/>
        <v>3.5783132530120483</v>
      </c>
      <c r="Z2125" s="5">
        <f t="shared" si="669"/>
        <v>0</v>
      </c>
      <c r="AA2125" s="5">
        <f t="shared" si="670"/>
        <v>0</v>
      </c>
      <c r="AB2125" s="5">
        <f t="shared" si="650"/>
        <v>39.733754769283031</v>
      </c>
    </row>
    <row r="2126" spans="4:28" x14ac:dyDescent="0.25">
      <c r="D2126" t="s">
        <v>85</v>
      </c>
      <c r="E2126" s="64"/>
      <c r="F2126" s="64"/>
      <c r="G2126">
        <f>IFERROR(HLOOKUP(G$2,[65]table_female_hkom3_inj.U3!$A$1:$K$36,17,FALSE),0)</f>
        <v>25</v>
      </c>
      <c r="H2126">
        <f>IFERROR(HLOOKUP(H$2,[65]table_female_hkom3_inj.U3!$A$1:$K$36,17,FALSE),0)</f>
        <v>67</v>
      </c>
      <c r="I2126">
        <f>IFERROR(HLOOKUP(I$2,[65]table_female_hkom3_inj.U3!$A$1:$K$36,17,FALSE),0)</f>
        <v>42</v>
      </c>
      <c r="J2126">
        <f>IFERROR(HLOOKUP(J$2,[65]table_female_hkom3_inj.U3!$A$1:$K$36,17,FALSE),0)</f>
        <v>3</v>
      </c>
      <c r="K2126">
        <f>IFERROR(HLOOKUP(K$2,[65]table_female_hkom3_inj.U3!$A$1:$K$36,17,FALSE),0)</f>
        <v>2</v>
      </c>
      <c r="L2126">
        <f>IFERROR(HLOOKUP(L$2,[65]table_female_hkom3_inj.U3!$A$1:$K$36,17,FALSE),0)</f>
        <v>0</v>
      </c>
      <c r="M2126">
        <f t="shared" si="662"/>
        <v>139</v>
      </c>
      <c r="S2126" t="s">
        <v>85</v>
      </c>
      <c r="T2126" s="5">
        <f t="shared" si="663"/>
        <v>0</v>
      </c>
      <c r="U2126" s="5">
        <f t="shared" si="664"/>
        <v>0</v>
      </c>
      <c r="V2126" s="5">
        <f t="shared" si="665"/>
        <v>37.45928338762215</v>
      </c>
      <c r="W2126" s="5">
        <f t="shared" si="666"/>
        <v>93.737089201877936</v>
      </c>
      <c r="X2126" s="5">
        <f t="shared" si="667"/>
        <v>55.333333333333329</v>
      </c>
      <c r="Y2126" s="5">
        <f t="shared" si="668"/>
        <v>3.5783132530120483</v>
      </c>
      <c r="Z2126" s="5">
        <f t="shared" si="669"/>
        <v>2.3529411764705883</v>
      </c>
      <c r="AA2126" s="5">
        <f t="shared" si="670"/>
        <v>0</v>
      </c>
      <c r="AB2126" s="5">
        <f t="shared" si="650"/>
        <v>192.46096035231602</v>
      </c>
    </row>
    <row r="2127" spans="4:28" x14ac:dyDescent="0.25">
      <c r="D2127" t="s">
        <v>86</v>
      </c>
      <c r="E2127" s="64"/>
      <c r="F2127" s="64"/>
      <c r="G2127">
        <f>IFERROR(HLOOKUP(G$2,[65]table_female_hkom3_inj.U3!$A$1:$K$36,18,FALSE),0)</f>
        <v>79</v>
      </c>
      <c r="H2127">
        <f>IFERROR(HLOOKUP(H$2,[65]table_female_hkom3_inj.U3!$A$1:$K$36,18,FALSE),0)</f>
        <v>102</v>
      </c>
      <c r="I2127">
        <f>IFERROR(HLOOKUP(I$2,[65]table_female_hkom3_inj.U3!$A$1:$K$36,18,FALSE),0)</f>
        <v>81</v>
      </c>
      <c r="J2127">
        <f>IFERROR(HLOOKUP(J$2,[65]table_female_hkom3_inj.U3!$A$1:$K$36,18,FALSE),0)</f>
        <v>17</v>
      </c>
      <c r="K2127">
        <f>IFERROR(HLOOKUP(K$2,[65]table_female_hkom3_inj.U3!$A$1:$K$36,18,FALSE),0)</f>
        <v>6</v>
      </c>
      <c r="L2127">
        <f>IFERROR(HLOOKUP(L$2,[65]table_female_hkom3_inj.U3!$A$1:$K$36,18,FALSE),0)</f>
        <v>2</v>
      </c>
      <c r="M2127">
        <f t="shared" si="662"/>
        <v>287</v>
      </c>
      <c r="S2127" t="s">
        <v>86</v>
      </c>
      <c r="T2127" s="5">
        <f t="shared" si="663"/>
        <v>0</v>
      </c>
      <c r="U2127" s="5">
        <f t="shared" si="664"/>
        <v>0</v>
      </c>
      <c r="V2127" s="5">
        <f t="shared" si="665"/>
        <v>118.37133550488599</v>
      </c>
      <c r="W2127" s="5">
        <f t="shared" si="666"/>
        <v>142.70422535211267</v>
      </c>
      <c r="X2127" s="5">
        <f t="shared" si="667"/>
        <v>106.71428571428571</v>
      </c>
      <c r="Y2127" s="5">
        <f t="shared" si="668"/>
        <v>20.277108433734938</v>
      </c>
      <c r="Z2127" s="5">
        <f t="shared" si="669"/>
        <v>7.0588235294117645</v>
      </c>
      <c r="AA2127" s="5">
        <f t="shared" si="670"/>
        <v>2</v>
      </c>
      <c r="AB2127" s="5">
        <f t="shared" si="650"/>
        <v>397.12577853443111</v>
      </c>
    </row>
    <row r="2128" spans="4:28" x14ac:dyDescent="0.25">
      <c r="D2128" t="s">
        <v>87</v>
      </c>
      <c r="E2128" s="64"/>
      <c r="F2128" s="64"/>
      <c r="G2128">
        <f>IFERROR(HLOOKUP(G$2,[65]table_female_hkom3_inj.U3!$A$1:$K$36,19,FALSE),0)</f>
        <v>1</v>
      </c>
      <c r="H2128">
        <f>IFERROR(HLOOKUP(H$2,[65]table_female_hkom3_inj.U3!$A$1:$K$36,19,FALSE),0)</f>
        <v>4</v>
      </c>
      <c r="I2128">
        <f>IFERROR(HLOOKUP(I$2,[65]table_female_hkom3_inj.U3!$A$1:$K$36,19,FALSE),0)</f>
        <v>6</v>
      </c>
      <c r="J2128">
        <f>IFERROR(HLOOKUP(J$2,[65]table_female_hkom3_inj.U3!$A$1:$K$36,19,FALSE),0)</f>
        <v>0</v>
      </c>
      <c r="K2128">
        <f>IFERROR(HLOOKUP(K$2,[65]table_female_hkom3_inj.U3!$A$1:$K$36,19,FALSE),0)</f>
        <v>0</v>
      </c>
      <c r="L2128">
        <f>IFERROR(HLOOKUP(L$2,[65]table_female_hkom3_inj.U3!$A$1:$K$36,19,FALSE),0)</f>
        <v>0</v>
      </c>
      <c r="M2128">
        <f t="shared" si="662"/>
        <v>11</v>
      </c>
      <c r="S2128" t="s">
        <v>87</v>
      </c>
      <c r="T2128" s="5">
        <f t="shared" si="663"/>
        <v>0</v>
      </c>
      <c r="U2128" s="5">
        <f t="shared" si="664"/>
        <v>0</v>
      </c>
      <c r="V2128" s="5">
        <f t="shared" si="665"/>
        <v>1.498371335504886</v>
      </c>
      <c r="W2128" s="5">
        <f t="shared" si="666"/>
        <v>5.596244131455399</v>
      </c>
      <c r="X2128" s="5">
        <f t="shared" si="667"/>
        <v>7.9047619047619051</v>
      </c>
      <c r="Y2128" s="5">
        <f t="shared" si="668"/>
        <v>0</v>
      </c>
      <c r="Z2128" s="5">
        <f t="shared" si="669"/>
        <v>0</v>
      </c>
      <c r="AA2128" s="5">
        <f t="shared" si="670"/>
        <v>0</v>
      </c>
      <c r="AB2128" s="5">
        <f t="shared" si="650"/>
        <v>14.99937737172219</v>
      </c>
    </row>
    <row r="2129" spans="4:29" x14ac:dyDescent="0.25">
      <c r="D2129" t="s">
        <v>88</v>
      </c>
      <c r="E2129" s="64"/>
      <c r="F2129" s="64"/>
      <c r="G2129">
        <f>IFERROR(HLOOKUP(G$2,[65]table_female_hkom3_inj.U3!$A$1:$K$36,20,FALSE),0)</f>
        <v>49</v>
      </c>
      <c r="H2129">
        <f>IFERROR(HLOOKUP(H$2,[65]table_female_hkom3_inj.U3!$A$1:$K$36,20,FALSE),0)</f>
        <v>77</v>
      </c>
      <c r="I2129">
        <f>IFERROR(HLOOKUP(I$2,[65]table_female_hkom3_inj.U3!$A$1:$K$36,20,FALSE),0)</f>
        <v>54</v>
      </c>
      <c r="J2129">
        <f>IFERROR(HLOOKUP(J$2,[65]table_female_hkom3_inj.U3!$A$1:$K$36,20,FALSE),0)</f>
        <v>19</v>
      </c>
      <c r="K2129">
        <f>IFERROR(HLOOKUP(K$2,[65]table_female_hkom3_inj.U3!$A$1:$K$36,20,FALSE),0)</f>
        <v>2</v>
      </c>
      <c r="L2129">
        <f>IFERROR(HLOOKUP(L$2,[65]table_female_hkom3_inj.U3!$A$1:$K$36,20,FALSE),0)</f>
        <v>2</v>
      </c>
      <c r="M2129">
        <f t="shared" si="662"/>
        <v>203</v>
      </c>
      <c r="S2129" t="s">
        <v>88</v>
      </c>
      <c r="T2129" s="5">
        <f t="shared" si="663"/>
        <v>0</v>
      </c>
      <c r="U2129" s="5">
        <f t="shared" si="664"/>
        <v>0</v>
      </c>
      <c r="V2129" s="5">
        <f t="shared" si="665"/>
        <v>73.420195439739416</v>
      </c>
      <c r="W2129" s="5">
        <f t="shared" si="666"/>
        <v>107.72769953051643</v>
      </c>
      <c r="X2129" s="5">
        <f t="shared" si="667"/>
        <v>71.142857142857139</v>
      </c>
      <c r="Y2129" s="5">
        <f t="shared" si="668"/>
        <v>22.662650602409638</v>
      </c>
      <c r="Z2129" s="5">
        <f t="shared" si="669"/>
        <v>2.3529411764705883</v>
      </c>
      <c r="AA2129" s="5">
        <f t="shared" si="670"/>
        <v>2</v>
      </c>
      <c r="AB2129" s="5">
        <f t="shared" si="650"/>
        <v>279.30634389199321</v>
      </c>
    </row>
    <row r="2130" spans="4:29" x14ac:dyDescent="0.25">
      <c r="D2130" t="s">
        <v>89</v>
      </c>
      <c r="E2130" s="64"/>
      <c r="F2130" s="64"/>
      <c r="G2130">
        <f>IFERROR(HLOOKUP(G$2,[65]table_female_hkom3_inj.U3!$A$1:$K$36,21,FALSE),0)</f>
        <v>2</v>
      </c>
      <c r="H2130">
        <f>IFERROR(HLOOKUP(H$2,[65]table_female_hkom3_inj.U3!$A$1:$K$36,21,FALSE),0)</f>
        <v>4</v>
      </c>
      <c r="I2130">
        <f>IFERROR(HLOOKUP(I$2,[65]table_female_hkom3_inj.U3!$A$1:$K$36,21,FALSE),0)</f>
        <v>0</v>
      </c>
      <c r="J2130">
        <f>IFERROR(HLOOKUP(J$2,[65]table_female_hkom3_inj.U3!$A$1:$K$36,21,FALSE),0)</f>
        <v>2</v>
      </c>
      <c r="K2130">
        <f>IFERROR(HLOOKUP(K$2,[65]table_female_hkom3_inj.U3!$A$1:$K$36,21,FALSE),0)</f>
        <v>0</v>
      </c>
      <c r="L2130">
        <f>IFERROR(HLOOKUP(L$2,[65]table_female_hkom3_inj.U3!$A$1:$K$36,21,FALSE),0)</f>
        <v>0</v>
      </c>
      <c r="M2130">
        <f t="shared" si="662"/>
        <v>8</v>
      </c>
      <c r="S2130" t="s">
        <v>89</v>
      </c>
      <c r="T2130" s="5">
        <f t="shared" si="663"/>
        <v>0</v>
      </c>
      <c r="U2130" s="5">
        <f t="shared" si="664"/>
        <v>0</v>
      </c>
      <c r="V2130" s="5">
        <f t="shared" si="665"/>
        <v>2.996742671009772</v>
      </c>
      <c r="W2130" s="5">
        <f t="shared" si="666"/>
        <v>5.596244131455399</v>
      </c>
      <c r="X2130" s="5">
        <f t="shared" si="667"/>
        <v>0</v>
      </c>
      <c r="Y2130" s="5">
        <f t="shared" si="668"/>
        <v>2.3855421686746987</v>
      </c>
      <c r="Z2130" s="5">
        <f t="shared" si="669"/>
        <v>0</v>
      </c>
      <c r="AA2130" s="5">
        <f t="shared" si="670"/>
        <v>0</v>
      </c>
      <c r="AB2130" s="5">
        <f t="shared" si="650"/>
        <v>10.97852897113987</v>
      </c>
    </row>
    <row r="2131" spans="4:29" x14ac:dyDescent="0.25">
      <c r="D2131" t="s">
        <v>90</v>
      </c>
      <c r="E2131" s="64"/>
      <c r="F2131" s="64"/>
      <c r="G2131">
        <f>IFERROR(HLOOKUP(G$2,[65]table_female_hkom3_inj.U3!$A$1:$K$36,22,FALSE),0)</f>
        <v>0</v>
      </c>
      <c r="H2131">
        <f>IFERROR(HLOOKUP(H$2,[65]table_female_hkom3_inj.U3!$A$1:$K$36,22,FALSE),0)</f>
        <v>0</v>
      </c>
      <c r="I2131">
        <f>IFERROR(HLOOKUP(I$2,[65]table_female_hkom3_inj.U3!$A$1:$K$36,22,FALSE),0)</f>
        <v>0</v>
      </c>
      <c r="J2131">
        <f>IFERROR(HLOOKUP(J$2,[65]table_female_hkom3_inj.U3!$A$1:$K$36,22,FALSE),0)</f>
        <v>0</v>
      </c>
      <c r="K2131">
        <f>IFERROR(HLOOKUP(K$2,[65]table_female_hkom3_inj.U3!$A$1:$K$36,22,FALSE),0)</f>
        <v>0</v>
      </c>
      <c r="L2131">
        <f>IFERROR(HLOOKUP(L$2,[65]table_female_hkom3_inj.U3!$A$1:$K$36,22,FALSE),0)</f>
        <v>0</v>
      </c>
      <c r="M2131">
        <f t="shared" si="662"/>
        <v>0</v>
      </c>
      <c r="S2131" t="s">
        <v>90</v>
      </c>
      <c r="T2131" s="5">
        <f t="shared" si="663"/>
        <v>0</v>
      </c>
      <c r="U2131" s="5">
        <f t="shared" si="664"/>
        <v>0</v>
      </c>
      <c r="V2131" s="5">
        <f t="shared" si="665"/>
        <v>0</v>
      </c>
      <c r="W2131" s="5">
        <f t="shared" si="666"/>
        <v>0</v>
      </c>
      <c r="X2131" s="5">
        <f t="shared" si="667"/>
        <v>0</v>
      </c>
      <c r="Y2131" s="5">
        <f t="shared" si="668"/>
        <v>0</v>
      </c>
      <c r="Z2131" s="5">
        <f t="shared" si="669"/>
        <v>0</v>
      </c>
      <c r="AA2131" s="5">
        <f t="shared" si="670"/>
        <v>0</v>
      </c>
      <c r="AB2131" s="5">
        <f t="shared" si="650"/>
        <v>0</v>
      </c>
    </row>
    <row r="2132" spans="4:29" x14ac:dyDescent="0.25">
      <c r="D2132" t="s">
        <v>91</v>
      </c>
      <c r="E2132" s="64"/>
      <c r="F2132" s="64"/>
      <c r="G2132">
        <f>IFERROR(HLOOKUP(G$2,[65]table_female_hkom3_inj.U3!$A$1:$K$36,23,FALSE),0)</f>
        <v>0</v>
      </c>
      <c r="H2132">
        <f>IFERROR(HLOOKUP(H$2,[65]table_female_hkom3_inj.U3!$A$1:$K$36,23,FALSE),0)</f>
        <v>0</v>
      </c>
      <c r="I2132">
        <f>IFERROR(HLOOKUP(I$2,[65]table_female_hkom3_inj.U3!$A$1:$K$36,23,FALSE),0)</f>
        <v>1</v>
      </c>
      <c r="J2132">
        <f>IFERROR(HLOOKUP(J$2,[65]table_female_hkom3_inj.U3!$A$1:$K$36,23,FALSE),0)</f>
        <v>0</v>
      </c>
      <c r="K2132">
        <f>IFERROR(HLOOKUP(K$2,[65]table_female_hkom3_inj.U3!$A$1:$K$36,23,FALSE),0)</f>
        <v>0</v>
      </c>
      <c r="L2132">
        <f>IFERROR(HLOOKUP(L$2,[65]table_female_hkom3_inj.U3!$A$1:$K$36,23,FALSE),0)</f>
        <v>0</v>
      </c>
      <c r="M2132">
        <f t="shared" si="662"/>
        <v>1</v>
      </c>
      <c r="S2132" t="s">
        <v>91</v>
      </c>
      <c r="T2132" s="5">
        <f t="shared" si="663"/>
        <v>0</v>
      </c>
      <c r="U2132" s="5">
        <f t="shared" si="664"/>
        <v>0</v>
      </c>
      <c r="V2132" s="5">
        <f t="shared" si="665"/>
        <v>0</v>
      </c>
      <c r="W2132" s="5">
        <f t="shared" si="666"/>
        <v>0</v>
      </c>
      <c r="X2132" s="5">
        <f t="shared" si="667"/>
        <v>1.3174603174603174</v>
      </c>
      <c r="Y2132" s="5">
        <f t="shared" si="668"/>
        <v>0</v>
      </c>
      <c r="Z2132" s="5">
        <f t="shared" si="669"/>
        <v>0</v>
      </c>
      <c r="AA2132" s="5">
        <f t="shared" si="670"/>
        <v>0</v>
      </c>
      <c r="AB2132" s="5">
        <f t="shared" ref="AB2132:AB2195" si="671">SUM(T2132:AA2132)</f>
        <v>1.3174603174603174</v>
      </c>
    </row>
    <row r="2133" spans="4:29" x14ac:dyDescent="0.25">
      <c r="D2133" t="s">
        <v>92</v>
      </c>
      <c r="E2133" s="64"/>
      <c r="F2133" s="64"/>
      <c r="G2133">
        <f>IFERROR(HLOOKUP(G$2,[65]table_female_hkom3_inj.U3!$A$1:$K$36,24,FALSE),0)</f>
        <v>0</v>
      </c>
      <c r="H2133">
        <f>IFERROR(HLOOKUP(H$2,[65]table_female_hkom3_inj.U3!$A$1:$K$36,24,FALSE),0)</f>
        <v>0</v>
      </c>
      <c r="I2133">
        <f>IFERROR(HLOOKUP(I$2,[65]table_female_hkom3_inj.U3!$A$1:$K$36,24,FALSE),0)</f>
        <v>0</v>
      </c>
      <c r="J2133">
        <f>IFERROR(HLOOKUP(J$2,[65]table_female_hkom3_inj.U3!$A$1:$K$36,24,FALSE),0)</f>
        <v>0</v>
      </c>
      <c r="K2133">
        <f>IFERROR(HLOOKUP(K$2,[65]table_female_hkom3_inj.U3!$A$1:$K$36,24,FALSE),0)</f>
        <v>0</v>
      </c>
      <c r="L2133">
        <f>IFERROR(HLOOKUP(L$2,[65]table_female_hkom3_inj.U3!$A$1:$K$36,24,FALSE),0)</f>
        <v>0</v>
      </c>
      <c r="M2133">
        <f t="shared" si="662"/>
        <v>0</v>
      </c>
      <c r="S2133" t="s">
        <v>92</v>
      </c>
      <c r="T2133" s="5">
        <f t="shared" si="663"/>
        <v>0</v>
      </c>
      <c r="U2133" s="5">
        <f t="shared" si="664"/>
        <v>0</v>
      </c>
      <c r="V2133" s="5">
        <f t="shared" si="665"/>
        <v>0</v>
      </c>
      <c r="W2133" s="5">
        <f t="shared" si="666"/>
        <v>0</v>
      </c>
      <c r="X2133" s="5">
        <f t="shared" si="667"/>
        <v>0</v>
      </c>
      <c r="Y2133" s="5">
        <f t="shared" si="668"/>
        <v>0</v>
      </c>
      <c r="Z2133" s="5">
        <f t="shared" si="669"/>
        <v>0</v>
      </c>
      <c r="AA2133" s="5">
        <f t="shared" si="670"/>
        <v>0</v>
      </c>
      <c r="AB2133" s="5">
        <f t="shared" si="671"/>
        <v>0</v>
      </c>
    </row>
    <row r="2134" spans="4:29" x14ac:dyDescent="0.25">
      <c r="D2134" t="s">
        <v>93</v>
      </c>
      <c r="E2134" s="64"/>
      <c r="F2134" s="64"/>
      <c r="G2134">
        <f>IFERROR(HLOOKUP(G$2,[65]table_female_hkom3_inj.U3!$A$1:$K$36,25,FALSE),0)</f>
        <v>0</v>
      </c>
      <c r="H2134">
        <f>IFERROR(HLOOKUP(H$2,[65]table_female_hkom3_inj.U3!$A$1:$K$36,25,FALSE),0)</f>
        <v>0</v>
      </c>
      <c r="I2134">
        <f>IFERROR(HLOOKUP(I$2,[65]table_female_hkom3_inj.U3!$A$1:$K$36,25,FALSE),0)</f>
        <v>0</v>
      </c>
      <c r="J2134">
        <f>IFERROR(HLOOKUP(J$2,[65]table_female_hkom3_inj.U3!$A$1:$K$36,25,FALSE),0)</f>
        <v>0</v>
      </c>
      <c r="K2134">
        <f>IFERROR(HLOOKUP(K$2,[65]table_female_hkom3_inj.U3!$A$1:$K$36,25,FALSE),0)</f>
        <v>0</v>
      </c>
      <c r="L2134">
        <f>IFERROR(HLOOKUP(L$2,[65]table_female_hkom3_inj.U3!$A$1:$K$36,25,FALSE),0)</f>
        <v>0</v>
      </c>
      <c r="M2134">
        <f t="shared" si="662"/>
        <v>0</v>
      </c>
      <c r="S2134" t="s">
        <v>93</v>
      </c>
      <c r="T2134" s="5">
        <f t="shared" si="663"/>
        <v>0</v>
      </c>
      <c r="U2134" s="5">
        <f t="shared" si="664"/>
        <v>0</v>
      </c>
      <c r="V2134" s="5">
        <f t="shared" si="665"/>
        <v>0</v>
      </c>
      <c r="W2134" s="5">
        <f t="shared" si="666"/>
        <v>0</v>
      </c>
      <c r="X2134" s="5">
        <f t="shared" si="667"/>
        <v>0</v>
      </c>
      <c r="Y2134" s="5">
        <f t="shared" si="668"/>
        <v>0</v>
      </c>
      <c r="Z2134" s="5">
        <f t="shared" si="669"/>
        <v>0</v>
      </c>
      <c r="AA2134" s="5">
        <f t="shared" si="670"/>
        <v>0</v>
      </c>
      <c r="AB2134" s="5">
        <f t="shared" si="671"/>
        <v>0</v>
      </c>
    </row>
    <row r="2135" spans="4:29" x14ac:dyDescent="0.25">
      <c r="D2135" t="s">
        <v>94</v>
      </c>
      <c r="E2135" s="64"/>
      <c r="F2135" s="64"/>
      <c r="G2135">
        <f>IFERROR(HLOOKUP(G$2,[65]table_female_hkom3_inj.U3!$A$1:$K$36,26,FALSE),0)</f>
        <v>0</v>
      </c>
      <c r="H2135">
        <f>IFERROR(HLOOKUP(H$2,[65]table_female_hkom3_inj.U3!$A$1:$K$36,26,FALSE),0)</f>
        <v>0</v>
      </c>
      <c r="I2135">
        <f>IFERROR(HLOOKUP(I$2,[65]table_female_hkom3_inj.U3!$A$1:$K$36,26,FALSE),0)</f>
        <v>0</v>
      </c>
      <c r="J2135">
        <f>IFERROR(HLOOKUP(J$2,[65]table_female_hkom3_inj.U3!$A$1:$K$36,26,FALSE),0)</f>
        <v>0</v>
      </c>
      <c r="K2135">
        <f>IFERROR(HLOOKUP(K$2,[65]table_female_hkom3_inj.U3!$A$1:$K$36,26,FALSE),0)</f>
        <v>0</v>
      </c>
      <c r="L2135">
        <f>IFERROR(HLOOKUP(L$2,[65]table_female_hkom3_inj.U3!$A$1:$K$36,26,FALSE),0)</f>
        <v>0</v>
      </c>
      <c r="M2135">
        <f t="shared" si="662"/>
        <v>0</v>
      </c>
      <c r="S2135" t="s">
        <v>94</v>
      </c>
      <c r="T2135" s="5">
        <f t="shared" si="663"/>
        <v>0</v>
      </c>
      <c r="U2135" s="5">
        <f t="shared" si="664"/>
        <v>0</v>
      </c>
      <c r="V2135" s="5">
        <f t="shared" si="665"/>
        <v>0</v>
      </c>
      <c r="W2135" s="5">
        <f t="shared" si="666"/>
        <v>0</v>
      </c>
      <c r="X2135" s="5">
        <f t="shared" si="667"/>
        <v>0</v>
      </c>
      <c r="Y2135" s="5">
        <f t="shared" si="668"/>
        <v>0</v>
      </c>
      <c r="Z2135" s="5">
        <f t="shared" si="669"/>
        <v>0</v>
      </c>
      <c r="AA2135" s="5">
        <f t="shared" si="670"/>
        <v>0</v>
      </c>
      <c r="AB2135" s="5">
        <f t="shared" si="671"/>
        <v>0</v>
      </c>
    </row>
    <row r="2136" spans="4:29" x14ac:dyDescent="0.25">
      <c r="D2136" t="s">
        <v>95</v>
      </c>
      <c r="E2136" s="64"/>
      <c r="F2136" s="64"/>
      <c r="G2136">
        <f>IFERROR(HLOOKUP(G$2,[65]table_female_hkom3_inj.U3!$A$1:$K$36,27,FALSE),0)</f>
        <v>0</v>
      </c>
      <c r="H2136">
        <f>IFERROR(HLOOKUP(H$2,[65]table_female_hkom3_inj.U3!$A$1:$K$36,27,FALSE),0)</f>
        <v>0</v>
      </c>
      <c r="I2136">
        <f>IFERROR(HLOOKUP(I$2,[65]table_female_hkom3_inj.U3!$A$1:$K$36,27,FALSE),0)</f>
        <v>0</v>
      </c>
      <c r="J2136">
        <f>IFERROR(HLOOKUP(J$2,[65]table_female_hkom3_inj.U3!$A$1:$K$36,27,FALSE),0)</f>
        <v>0</v>
      </c>
      <c r="K2136">
        <f>IFERROR(HLOOKUP(K$2,[65]table_female_hkom3_inj.U3!$A$1:$K$36,27,FALSE),0)</f>
        <v>0</v>
      </c>
      <c r="L2136">
        <f>IFERROR(HLOOKUP(L$2,[65]table_female_hkom3_inj.U3!$A$1:$K$36,27,FALSE),0)</f>
        <v>0</v>
      </c>
      <c r="M2136">
        <f t="shared" si="662"/>
        <v>0</v>
      </c>
      <c r="S2136" t="s">
        <v>95</v>
      </c>
      <c r="T2136" s="5">
        <f t="shared" si="663"/>
        <v>0</v>
      </c>
      <c r="U2136" s="5">
        <f t="shared" si="664"/>
        <v>0</v>
      </c>
      <c r="V2136" s="5">
        <f t="shared" si="665"/>
        <v>0</v>
      </c>
      <c r="W2136" s="5">
        <f t="shared" si="666"/>
        <v>0</v>
      </c>
      <c r="X2136" s="5">
        <f t="shared" si="667"/>
        <v>0</v>
      </c>
      <c r="Y2136" s="5">
        <f t="shared" si="668"/>
        <v>0</v>
      </c>
      <c r="Z2136" s="5">
        <f t="shared" si="669"/>
        <v>0</v>
      </c>
      <c r="AA2136" s="5">
        <f t="shared" si="670"/>
        <v>0</v>
      </c>
      <c r="AB2136" s="5">
        <f t="shared" si="671"/>
        <v>0</v>
      </c>
    </row>
    <row r="2137" spans="4:29" x14ac:dyDescent="0.25">
      <c r="D2137" t="s">
        <v>96</v>
      </c>
      <c r="E2137" s="64"/>
      <c r="F2137" s="64"/>
      <c r="G2137">
        <f>IFERROR(HLOOKUP(G$2,[65]table_female_hkom3_inj.U3!$A$1:$K$36,28,FALSE),0)</f>
        <v>2</v>
      </c>
      <c r="H2137">
        <f>IFERROR(HLOOKUP(H$2,[65]table_female_hkom3_inj.U3!$A$1:$K$36,28,FALSE),0)</f>
        <v>1</v>
      </c>
      <c r="I2137">
        <f>IFERROR(HLOOKUP(I$2,[65]table_female_hkom3_inj.U3!$A$1:$K$36,28,FALSE),0)</f>
        <v>1</v>
      </c>
      <c r="J2137">
        <f>IFERROR(HLOOKUP(J$2,[65]table_female_hkom3_inj.U3!$A$1:$K$36,28,FALSE),0)</f>
        <v>2</v>
      </c>
      <c r="K2137">
        <f>IFERROR(HLOOKUP(K$2,[65]table_female_hkom3_inj.U3!$A$1:$K$36,28,FALSE),0)</f>
        <v>0</v>
      </c>
      <c r="L2137">
        <f>IFERROR(HLOOKUP(L$2,[65]table_female_hkom3_inj.U3!$A$1:$K$36,28,FALSE),0)</f>
        <v>0</v>
      </c>
      <c r="M2137">
        <f t="shared" si="662"/>
        <v>6</v>
      </c>
      <c r="S2137" t="s">
        <v>96</v>
      </c>
      <c r="T2137" s="5">
        <f t="shared" si="663"/>
        <v>0</v>
      </c>
      <c r="U2137" s="5">
        <f t="shared" si="664"/>
        <v>0</v>
      </c>
      <c r="V2137" s="5">
        <f t="shared" si="665"/>
        <v>2.996742671009772</v>
      </c>
      <c r="W2137" s="5">
        <f t="shared" si="666"/>
        <v>1.3990610328638498</v>
      </c>
      <c r="X2137" s="5">
        <f t="shared" si="667"/>
        <v>1.3174603174603174</v>
      </c>
      <c r="Y2137" s="5">
        <f t="shared" si="668"/>
        <v>2.3855421686746987</v>
      </c>
      <c r="Z2137" s="5">
        <f t="shared" si="669"/>
        <v>0</v>
      </c>
      <c r="AA2137" s="5">
        <f t="shared" si="670"/>
        <v>0</v>
      </c>
      <c r="AB2137" s="5">
        <f t="shared" si="671"/>
        <v>8.0988061900086379</v>
      </c>
    </row>
    <row r="2138" spans="4:29" x14ac:dyDescent="0.25">
      <c r="D2138" t="s">
        <v>97</v>
      </c>
      <c r="E2138" s="64"/>
      <c r="F2138" s="64"/>
      <c r="G2138">
        <f>IFERROR(HLOOKUP(G$2,[65]table_female_hkom3_inj.U3!$A$1:$K$36,29,FALSE),0)</f>
        <v>0</v>
      </c>
      <c r="H2138">
        <f>IFERROR(HLOOKUP(H$2,[65]table_female_hkom3_inj.U3!$A$1:$K$36,29,FALSE),0)</f>
        <v>0</v>
      </c>
      <c r="I2138">
        <f>IFERROR(HLOOKUP(I$2,[65]table_female_hkom3_inj.U3!$A$1:$K$36,29,FALSE),0)</f>
        <v>1</v>
      </c>
      <c r="J2138">
        <f>IFERROR(HLOOKUP(J$2,[65]table_female_hkom3_inj.U3!$A$1:$K$36,29,FALSE),0)</f>
        <v>0</v>
      </c>
      <c r="K2138">
        <f>IFERROR(HLOOKUP(K$2,[65]table_female_hkom3_inj.U3!$A$1:$K$36,29,FALSE),0)</f>
        <v>0</v>
      </c>
      <c r="L2138">
        <f>IFERROR(HLOOKUP(L$2,[65]table_female_hkom3_inj.U3!$A$1:$K$36,29,FALSE),0)</f>
        <v>0</v>
      </c>
      <c r="M2138">
        <f t="shared" si="662"/>
        <v>1</v>
      </c>
      <c r="S2138" t="s">
        <v>97</v>
      </c>
      <c r="T2138" s="5">
        <f t="shared" si="663"/>
        <v>0</v>
      </c>
      <c r="U2138" s="5">
        <f t="shared" si="664"/>
        <v>0</v>
      </c>
      <c r="V2138" s="5">
        <f t="shared" si="665"/>
        <v>0</v>
      </c>
      <c r="W2138" s="5">
        <f t="shared" si="666"/>
        <v>0</v>
      </c>
      <c r="X2138" s="5">
        <f t="shared" si="667"/>
        <v>1.3174603174603174</v>
      </c>
      <c r="Y2138" s="5">
        <f t="shared" si="668"/>
        <v>0</v>
      </c>
      <c r="Z2138" s="5">
        <f t="shared" si="669"/>
        <v>0</v>
      </c>
      <c r="AA2138" s="5">
        <f t="shared" si="670"/>
        <v>0</v>
      </c>
      <c r="AB2138" s="5">
        <f t="shared" si="671"/>
        <v>1.3174603174603174</v>
      </c>
    </row>
    <row r="2139" spans="4:29" x14ac:dyDescent="0.25">
      <c r="D2139" t="s">
        <v>98</v>
      </c>
      <c r="E2139" s="64"/>
      <c r="F2139" s="64"/>
      <c r="G2139">
        <f>IFERROR(HLOOKUP(G$2,[65]table_female_hkom3_inj.U3!$A$1:$K$36,30,FALSE),0)</f>
        <v>0</v>
      </c>
      <c r="H2139">
        <f>IFERROR(HLOOKUP(H$2,[65]table_female_hkom3_inj.U3!$A$1:$K$36,30,FALSE),0)</f>
        <v>0</v>
      </c>
      <c r="I2139">
        <f>IFERROR(HLOOKUP(I$2,[65]table_female_hkom3_inj.U3!$A$1:$K$36,30,FALSE),0)</f>
        <v>1</v>
      </c>
      <c r="J2139">
        <f>IFERROR(HLOOKUP(J$2,[65]table_female_hkom3_inj.U3!$A$1:$K$36,30,FALSE),0)</f>
        <v>0</v>
      </c>
      <c r="K2139">
        <f>IFERROR(HLOOKUP(K$2,[65]table_female_hkom3_inj.U3!$A$1:$K$36,30,FALSE),0)</f>
        <v>0</v>
      </c>
      <c r="L2139">
        <f>IFERROR(HLOOKUP(L$2,[65]table_female_hkom3_inj.U3!$A$1:$K$36,30,FALSE),0)</f>
        <v>0</v>
      </c>
      <c r="M2139">
        <f t="shared" si="662"/>
        <v>1</v>
      </c>
      <c r="S2139" t="s">
        <v>98</v>
      </c>
      <c r="T2139" s="5">
        <f t="shared" si="663"/>
        <v>0</v>
      </c>
      <c r="U2139" s="5">
        <f t="shared" si="664"/>
        <v>0</v>
      </c>
      <c r="V2139" s="5">
        <f t="shared" si="665"/>
        <v>0</v>
      </c>
      <c r="W2139" s="5">
        <f t="shared" si="666"/>
        <v>0</v>
      </c>
      <c r="X2139" s="5">
        <f t="shared" si="667"/>
        <v>1.3174603174603174</v>
      </c>
      <c r="Y2139" s="5">
        <f t="shared" si="668"/>
        <v>0</v>
      </c>
      <c r="Z2139" s="5">
        <f t="shared" si="669"/>
        <v>0</v>
      </c>
      <c r="AA2139" s="5">
        <f t="shared" si="670"/>
        <v>0</v>
      </c>
      <c r="AB2139" s="5">
        <f t="shared" si="671"/>
        <v>1.3174603174603174</v>
      </c>
    </row>
    <row r="2140" spans="4:29" x14ac:dyDescent="0.25">
      <c r="D2140" t="s">
        <v>119</v>
      </c>
      <c r="E2140" s="64"/>
      <c r="F2140" s="64"/>
      <c r="G2140">
        <f>IFERROR(HLOOKUP(G$2,[65]table_female_hkom3_inj.U3!$A$1:$K$36,31,FALSE),0)</f>
        <v>0</v>
      </c>
      <c r="H2140">
        <f>IFERROR(HLOOKUP(H$2,[65]table_female_hkom3_inj.U3!$A$1:$K$36,31,FALSE),0)</f>
        <v>0</v>
      </c>
      <c r="I2140">
        <f>IFERROR(HLOOKUP(I$2,[65]table_female_hkom3_inj.U3!$A$1:$K$36,31,FALSE),0)</f>
        <v>0</v>
      </c>
      <c r="J2140">
        <f>IFERROR(HLOOKUP(J$2,[65]table_female_hkom3_inj.U3!$A$1:$K$36,31,FALSE),0)</f>
        <v>0</v>
      </c>
      <c r="K2140">
        <f>IFERROR(HLOOKUP(K$2,[65]table_female_hkom3_inj.U3!$A$1:$K$36,31,FALSE),0)</f>
        <v>0</v>
      </c>
      <c r="L2140">
        <f>IFERROR(HLOOKUP(L$2,[65]table_female_hkom3_inj.U3!$A$1:$K$36,31,FALSE),0)</f>
        <v>0</v>
      </c>
      <c r="M2140">
        <f t="shared" si="662"/>
        <v>0</v>
      </c>
      <c r="S2140" t="s">
        <v>119</v>
      </c>
      <c r="T2140" s="5">
        <f t="shared" si="663"/>
        <v>0</v>
      </c>
      <c r="U2140" s="5">
        <f t="shared" si="664"/>
        <v>0</v>
      </c>
      <c r="V2140" s="5">
        <f t="shared" si="665"/>
        <v>0</v>
      </c>
      <c r="W2140" s="5">
        <f t="shared" si="666"/>
        <v>0</v>
      </c>
      <c r="X2140" s="5">
        <f t="shared" si="667"/>
        <v>0</v>
      </c>
      <c r="Y2140" s="5">
        <f t="shared" si="668"/>
        <v>0</v>
      </c>
      <c r="Z2140" s="5">
        <f t="shared" si="669"/>
        <v>0</v>
      </c>
      <c r="AA2140" s="5">
        <f t="shared" si="670"/>
        <v>0</v>
      </c>
      <c r="AB2140" s="5">
        <f t="shared" si="671"/>
        <v>0</v>
      </c>
    </row>
    <row r="2141" spans="4:29" x14ac:dyDescent="0.25">
      <c r="D2141" t="s">
        <v>99</v>
      </c>
      <c r="E2141" s="64"/>
      <c r="F2141" s="64"/>
      <c r="G2141">
        <f>IFERROR(HLOOKUP(G$2,[65]table_female_hkom3_inj.U3!$A$1:$K$36,32,FALSE),0)</f>
        <v>3</v>
      </c>
      <c r="H2141">
        <f>IFERROR(HLOOKUP(H$2,[65]table_female_hkom3_inj.U3!$A$1:$K$36,32,FALSE),0)</f>
        <v>4</v>
      </c>
      <c r="I2141">
        <f>IFERROR(HLOOKUP(I$2,[65]table_female_hkom3_inj.U3!$A$1:$K$36,32,FALSE),0)</f>
        <v>2</v>
      </c>
      <c r="J2141">
        <f>IFERROR(HLOOKUP(J$2,[65]table_female_hkom3_inj.U3!$A$1:$K$36,32,FALSE),0)</f>
        <v>1</v>
      </c>
      <c r="K2141">
        <f>IFERROR(HLOOKUP(K$2,[65]table_female_hkom3_inj.U3!$A$1:$K$36,32,FALSE),0)</f>
        <v>0</v>
      </c>
      <c r="L2141">
        <f>IFERROR(HLOOKUP(L$2,[65]table_female_hkom3_inj.U3!$A$1:$K$36,32,FALSE),0)</f>
        <v>0</v>
      </c>
      <c r="M2141">
        <f t="shared" si="662"/>
        <v>10</v>
      </c>
      <c r="S2141" t="s">
        <v>99</v>
      </c>
      <c r="T2141" s="5">
        <f t="shared" si="663"/>
        <v>0</v>
      </c>
      <c r="U2141" s="5">
        <f t="shared" si="664"/>
        <v>0</v>
      </c>
      <c r="V2141" s="5">
        <f t="shared" si="665"/>
        <v>4.4951140065146582</v>
      </c>
      <c r="W2141" s="5">
        <f t="shared" si="666"/>
        <v>5.596244131455399</v>
      </c>
      <c r="X2141" s="5">
        <f t="shared" si="667"/>
        <v>2.6349206349206349</v>
      </c>
      <c r="Y2141" s="5">
        <f t="shared" si="668"/>
        <v>1.1927710843373494</v>
      </c>
      <c r="Z2141" s="5">
        <f t="shared" si="669"/>
        <v>0</v>
      </c>
      <c r="AA2141" s="5">
        <f t="shared" si="670"/>
        <v>0</v>
      </c>
      <c r="AB2141" s="5">
        <f t="shared" si="671"/>
        <v>13.919049857228043</v>
      </c>
    </row>
    <row r="2142" spans="4:29" x14ac:dyDescent="0.25">
      <c r="D2142" t="s">
        <v>100</v>
      </c>
      <c r="E2142" s="64"/>
      <c r="F2142" s="64"/>
      <c r="G2142">
        <f>IFERROR(HLOOKUP(G$2,[65]table_female_hkom3_inj.U3!$A$1:$K$36,33,FALSE),0)</f>
        <v>0</v>
      </c>
      <c r="H2142">
        <f>IFERROR(HLOOKUP(H$2,[65]table_female_hkom3_inj.U3!$A$1:$K$36,33,FALSE),0)</f>
        <v>1</v>
      </c>
      <c r="I2142">
        <f>IFERROR(HLOOKUP(I$2,[65]table_female_hkom3_inj.U3!$A$1:$K$36,33,FALSE),0)</f>
        <v>1</v>
      </c>
      <c r="J2142">
        <f>IFERROR(HLOOKUP(J$2,[65]table_female_hkom3_inj.U3!$A$1:$K$36,33,FALSE),0)</f>
        <v>0</v>
      </c>
      <c r="K2142">
        <f>IFERROR(HLOOKUP(K$2,[65]table_female_hkom3_inj.U3!$A$1:$K$36,33,FALSE),0)</f>
        <v>0</v>
      </c>
      <c r="L2142">
        <f>IFERROR(HLOOKUP(L$2,[65]table_female_hkom3_inj.U3!$A$1:$K$36,33,FALSE),0)</f>
        <v>0</v>
      </c>
      <c r="M2142">
        <f t="shared" si="662"/>
        <v>2</v>
      </c>
      <c r="S2142" t="s">
        <v>100</v>
      </c>
      <c r="T2142" s="5">
        <f t="shared" si="663"/>
        <v>0</v>
      </c>
      <c r="U2142" s="5">
        <f t="shared" si="664"/>
        <v>0</v>
      </c>
      <c r="V2142" s="5">
        <f t="shared" si="665"/>
        <v>0</v>
      </c>
      <c r="W2142" s="5">
        <f t="shared" si="666"/>
        <v>1.3990610328638498</v>
      </c>
      <c r="X2142" s="5">
        <f t="shared" si="667"/>
        <v>1.3174603174603174</v>
      </c>
      <c r="Y2142" s="5">
        <f t="shared" si="668"/>
        <v>0</v>
      </c>
      <c r="Z2142" s="5">
        <f t="shared" si="669"/>
        <v>0</v>
      </c>
      <c r="AA2142" s="5">
        <f t="shared" si="670"/>
        <v>0</v>
      </c>
      <c r="AB2142" s="5">
        <f t="shared" si="671"/>
        <v>2.7165213503241672</v>
      </c>
    </row>
    <row r="2143" spans="4:29" x14ac:dyDescent="0.25">
      <c r="D2143" t="s">
        <v>101</v>
      </c>
      <c r="E2143" s="64"/>
      <c r="F2143" s="64"/>
      <c r="G2143">
        <f>IFERROR(HLOOKUP(G$2,[65]table_female_hkom3_inj.U3!$A$1:$K$36,34,FALSE),0)</f>
        <v>15</v>
      </c>
      <c r="H2143">
        <f>IFERROR(HLOOKUP(H$2,[65]table_female_hkom3_inj.U3!$A$1:$K$36,34,FALSE),0)</f>
        <v>29</v>
      </c>
      <c r="I2143">
        <f>IFERROR(HLOOKUP(I$2,[65]table_female_hkom3_inj.U3!$A$1:$K$36,34,FALSE),0)</f>
        <v>16</v>
      </c>
      <c r="J2143">
        <f>IFERROR(HLOOKUP(J$2,[65]table_female_hkom3_inj.U3!$A$1:$K$36,34,FALSE),0)</f>
        <v>2</v>
      </c>
      <c r="K2143">
        <f>IFERROR(HLOOKUP(K$2,[65]table_female_hkom3_inj.U3!$A$1:$K$36,34,FALSE),0)</f>
        <v>1</v>
      </c>
      <c r="L2143">
        <f>IFERROR(HLOOKUP(L$2,[65]table_female_hkom3_inj.U3!$A$1:$K$36,34,FALSE),0)</f>
        <v>0</v>
      </c>
      <c r="M2143">
        <f t="shared" si="662"/>
        <v>63</v>
      </c>
      <c r="S2143" t="s">
        <v>101</v>
      </c>
      <c r="T2143" s="5">
        <f t="shared" si="663"/>
        <v>0</v>
      </c>
      <c r="U2143" s="5">
        <f t="shared" si="664"/>
        <v>0</v>
      </c>
      <c r="V2143" s="5">
        <f t="shared" si="665"/>
        <v>22.475570032573291</v>
      </c>
      <c r="W2143" s="5">
        <f t="shared" si="666"/>
        <v>40.572769953051647</v>
      </c>
      <c r="X2143" s="5">
        <f t="shared" si="667"/>
        <v>21.079365079365079</v>
      </c>
      <c r="Y2143" s="5">
        <f t="shared" si="668"/>
        <v>2.3855421686746987</v>
      </c>
      <c r="Z2143" s="5">
        <f t="shared" si="669"/>
        <v>1.1764705882352942</v>
      </c>
      <c r="AA2143" s="5">
        <f t="shared" si="670"/>
        <v>0</v>
      </c>
      <c r="AB2143" s="5">
        <f t="shared" si="671"/>
        <v>87.689717821900004</v>
      </c>
    </row>
    <row r="2144" spans="4:29" x14ac:dyDescent="0.25">
      <c r="D2144" t="s">
        <v>102</v>
      </c>
      <c r="E2144" s="64"/>
      <c r="F2144" s="64"/>
      <c r="G2144">
        <f>IFERROR(HLOOKUP(G$2,[65]table_female_hkom3_inj.U3!$A$1:$K$36,35,FALSE),0)</f>
        <v>153</v>
      </c>
      <c r="H2144">
        <f>IFERROR(HLOOKUP(H$2,[65]table_female_hkom3_inj.U3!$A$1:$K$36,35,FALSE),0)</f>
        <v>255</v>
      </c>
      <c r="I2144">
        <f>IFERROR(HLOOKUP(I$2,[65]table_female_hkom3_inj.U3!$A$1:$K$36,35,FALSE),0)</f>
        <v>180</v>
      </c>
      <c r="J2144">
        <f>IFERROR(HLOOKUP(J$2,[65]table_female_hkom3_inj.U3!$A$1:$K$36,35,FALSE),0)</f>
        <v>32</v>
      </c>
      <c r="K2144">
        <f>IFERROR(HLOOKUP(K$2,[65]table_female_hkom3_inj.U3!$A$1:$K$36,35,FALSE),0)</f>
        <v>6</v>
      </c>
      <c r="L2144">
        <f>IFERROR(HLOOKUP(L$2,[65]table_female_hkom3_inj.U3!$A$1:$K$36,35,FALSE),0)</f>
        <v>0</v>
      </c>
      <c r="M2144">
        <f t="shared" si="662"/>
        <v>626</v>
      </c>
      <c r="N2144">
        <f>SUM(M2111:M2144)</f>
        <v>2345</v>
      </c>
      <c r="O2144" s="8">
        <f>SUM([65]table_female_hkom3_inj.U3!$B$2:$L$36)</f>
        <v>2345</v>
      </c>
      <c r="S2144" t="s">
        <v>102</v>
      </c>
      <c r="T2144" s="7"/>
      <c r="U2144" s="7"/>
      <c r="V2144" s="7"/>
      <c r="W2144" s="7"/>
      <c r="X2144" s="7"/>
      <c r="Y2144" s="7"/>
      <c r="Z2144" s="7"/>
      <c r="AA2144" s="7"/>
      <c r="AB2144" s="5">
        <f t="shared" si="671"/>
        <v>0</v>
      </c>
      <c r="AC2144" s="5">
        <f>SUM(AB2111:AB2143)</f>
        <v>2344.9999999999991</v>
      </c>
    </row>
    <row r="2145" spans="1:28" x14ac:dyDescent="0.25">
      <c r="A2145" t="s">
        <v>115</v>
      </c>
      <c r="B2145" t="s">
        <v>117</v>
      </c>
      <c r="C2145" t="s">
        <v>112</v>
      </c>
      <c r="D2145" t="s">
        <v>70</v>
      </c>
      <c r="E2145" s="64"/>
      <c r="F2145" s="64"/>
      <c r="G2145">
        <f>IFERROR(HLOOKUP(G$2,[66]table_female_hkom3_inj.U4!$A$1:$K$36,2,FALSE),0)</f>
        <v>0</v>
      </c>
      <c r="H2145">
        <f>IFERROR(HLOOKUP(H$2,[66]table_female_hkom3_inj.U4!$A$1:$K$36,2,FALSE),0)</f>
        <v>0</v>
      </c>
      <c r="I2145">
        <f>IFERROR(HLOOKUP(I$2,[66]table_female_hkom3_inj.U4!$A$1:$K$36,2,FALSE),0)</f>
        <v>0</v>
      </c>
      <c r="J2145">
        <f>IFERROR(HLOOKUP(J$2,[66]table_female_hkom3_inj.U4!$A$1:$K$36,2,FALSE),0)</f>
        <v>0</v>
      </c>
      <c r="K2145">
        <f>IFERROR(HLOOKUP(K$2,[66]table_female_hkom3_inj.U4!$A$1:$K$36,2,FALSE),0)</f>
        <v>0</v>
      </c>
      <c r="L2145">
        <f>IFERROR(HLOOKUP(L$2,[66]table_female_hkom3_inj.U4!$A$1:$K$36,2,FALSE),0)</f>
        <v>0</v>
      </c>
      <c r="M2145">
        <f>SUM(E2145:L2145)</f>
        <v>0</v>
      </c>
      <c r="P2145" t="s">
        <v>115</v>
      </c>
      <c r="Q2145" t="s">
        <v>117</v>
      </c>
      <c r="R2145" t="s">
        <v>112</v>
      </c>
      <c r="S2145" t="s">
        <v>70</v>
      </c>
      <c r="T2145" s="5">
        <f>IF(SUM(E$2145:E$2177)=0,E$2178/33,E2145+IFERROR(E2145/SUM(E$2145:E$2177)*E$2178,0))</f>
        <v>0</v>
      </c>
      <c r="U2145" s="5">
        <f t="shared" ref="U2145:AA2145" si="672">IF(SUM(F$2145:F$2177)=0,F$2178/33,F2145+IFERROR(F2145/SUM(F$2145:F$2177)*F$2178,0))</f>
        <v>0</v>
      </c>
      <c r="V2145" s="5">
        <f t="shared" si="672"/>
        <v>0</v>
      </c>
      <c r="W2145" s="5">
        <f t="shared" si="672"/>
        <v>0</v>
      </c>
      <c r="X2145" s="5">
        <f t="shared" si="672"/>
        <v>0</v>
      </c>
      <c r="Y2145" s="5">
        <f t="shared" si="672"/>
        <v>0</v>
      </c>
      <c r="Z2145" s="5">
        <f t="shared" si="672"/>
        <v>0</v>
      </c>
      <c r="AA2145" s="5">
        <f t="shared" si="672"/>
        <v>0</v>
      </c>
      <c r="AB2145" s="5">
        <f t="shared" si="671"/>
        <v>0</v>
      </c>
    </row>
    <row r="2146" spans="1:28" x14ac:dyDescent="0.25">
      <c r="D2146" t="s">
        <v>71</v>
      </c>
      <c r="E2146" s="64"/>
      <c r="F2146" s="64"/>
      <c r="G2146">
        <f>IFERROR(HLOOKUP(G$2,[66]table_female_hkom3_inj.U4!$A$1:$K$36,3,FALSE),0)</f>
        <v>0</v>
      </c>
      <c r="H2146">
        <f>IFERROR(HLOOKUP(H$2,[66]table_female_hkom3_inj.U4!$A$1:$K$36,3,FALSE),0)</f>
        <v>0</v>
      </c>
      <c r="I2146">
        <f>IFERROR(HLOOKUP(I$2,[66]table_female_hkom3_inj.U4!$A$1:$K$36,3,FALSE),0)</f>
        <v>0</v>
      </c>
      <c r="J2146">
        <f>IFERROR(HLOOKUP(J$2,[66]table_female_hkom3_inj.U4!$A$1:$K$36,3,FALSE),0)</f>
        <v>0</v>
      </c>
      <c r="K2146">
        <f>IFERROR(HLOOKUP(K$2,[66]table_female_hkom3_inj.U4!$A$1:$K$36,3,FALSE),0)</f>
        <v>0</v>
      </c>
      <c r="L2146">
        <f>IFERROR(HLOOKUP(L$2,[66]table_female_hkom3_inj.U4!$A$1:$K$36,3,FALSE),0)</f>
        <v>0</v>
      </c>
      <c r="M2146">
        <f t="shared" ref="M2146:M2178" si="673">SUM(E2146:L2146)</f>
        <v>0</v>
      </c>
      <c r="S2146" t="s">
        <v>71</v>
      </c>
      <c r="T2146" s="5">
        <f t="shared" ref="T2146:T2177" si="674">IF(SUM(E$2145:E$2177)=0,E$2178/33,E2146+IFERROR(E2146/SUM(E$2145:E$2177)*E$2178,0))</f>
        <v>0</v>
      </c>
      <c r="U2146" s="5">
        <f t="shared" ref="U2146:U2177" si="675">IF(SUM(F$2145:F$2177)=0,F$2178/33,F2146+IFERROR(F2146/SUM(F$2145:F$2177)*F$2178,0))</f>
        <v>0</v>
      </c>
      <c r="V2146" s="5">
        <f t="shared" ref="V2146:V2177" si="676">IF(SUM(G$2145:G$2177)=0,G$2178/33,G2146+IFERROR(G2146/SUM(G$2145:G$2177)*G$2178,0))</f>
        <v>0</v>
      </c>
      <c r="W2146" s="5">
        <f t="shared" ref="W2146:W2177" si="677">IF(SUM(H$2145:H$2177)=0,H$2178/33,H2146+IFERROR(H2146/SUM(H$2145:H$2177)*H$2178,0))</f>
        <v>0</v>
      </c>
      <c r="X2146" s="5">
        <f t="shared" ref="X2146:X2177" si="678">IF(SUM(I$2145:I$2177)=0,I$2178/33,I2146+IFERROR(I2146/SUM(I$2145:I$2177)*I$2178,0))</f>
        <v>0</v>
      </c>
      <c r="Y2146" s="5">
        <f t="shared" ref="Y2146:Y2177" si="679">IF(SUM(J$2145:J$2177)=0,J$2178/33,J2146+IFERROR(J2146/SUM(J$2145:J$2177)*J$2178,0))</f>
        <v>0</v>
      </c>
      <c r="Z2146" s="5">
        <f t="shared" ref="Z2146:Z2177" si="680">IF(SUM(K$2145:K$2177)=0,K$2178/33,K2146+IFERROR(K2146/SUM(K$2145:K$2177)*K$2178,0))</f>
        <v>0</v>
      </c>
      <c r="AA2146" s="5">
        <f t="shared" ref="AA2146:AA2177" si="681">IF(SUM(L$2145:L$2177)=0,L$2178/33,L2146+IFERROR(L2146/SUM(L$2145:L$2177)*L$2178,0))</f>
        <v>0</v>
      </c>
      <c r="AB2146" s="5">
        <f t="shared" si="671"/>
        <v>0</v>
      </c>
    </row>
    <row r="2147" spans="1:28" x14ac:dyDescent="0.25">
      <c r="D2147" t="s">
        <v>72</v>
      </c>
      <c r="E2147" s="64"/>
      <c r="F2147" s="64"/>
      <c r="G2147">
        <f>IFERROR(HLOOKUP(G$2,[66]table_female_hkom3_inj.U4!$A$1:$K$36,4,FALSE),0)</f>
        <v>0</v>
      </c>
      <c r="H2147">
        <f>IFERROR(HLOOKUP(H$2,[66]table_female_hkom3_inj.U4!$A$1:$K$36,4,FALSE),0)</f>
        <v>0</v>
      </c>
      <c r="I2147">
        <f>IFERROR(HLOOKUP(I$2,[66]table_female_hkom3_inj.U4!$A$1:$K$36,4,FALSE),0)</f>
        <v>0</v>
      </c>
      <c r="J2147">
        <f>IFERROR(HLOOKUP(J$2,[66]table_female_hkom3_inj.U4!$A$1:$K$36,4,FALSE),0)</f>
        <v>0</v>
      </c>
      <c r="K2147">
        <f>IFERROR(HLOOKUP(K$2,[66]table_female_hkom3_inj.U4!$A$1:$K$36,4,FALSE),0)</f>
        <v>0</v>
      </c>
      <c r="L2147">
        <f>IFERROR(HLOOKUP(L$2,[66]table_female_hkom3_inj.U4!$A$1:$K$36,4,FALSE),0)</f>
        <v>0</v>
      </c>
      <c r="M2147">
        <f t="shared" si="673"/>
        <v>0</v>
      </c>
      <c r="S2147" t="s">
        <v>72</v>
      </c>
      <c r="T2147" s="5">
        <f t="shared" si="674"/>
        <v>0</v>
      </c>
      <c r="U2147" s="5">
        <f t="shared" si="675"/>
        <v>0</v>
      </c>
      <c r="V2147" s="5">
        <f t="shared" si="676"/>
        <v>0</v>
      </c>
      <c r="W2147" s="5">
        <f t="shared" si="677"/>
        <v>0</v>
      </c>
      <c r="X2147" s="5">
        <f t="shared" si="678"/>
        <v>0</v>
      </c>
      <c r="Y2147" s="5">
        <f t="shared" si="679"/>
        <v>0</v>
      </c>
      <c r="Z2147" s="5">
        <f t="shared" si="680"/>
        <v>0</v>
      </c>
      <c r="AA2147" s="5">
        <f t="shared" si="681"/>
        <v>0</v>
      </c>
      <c r="AB2147" s="5">
        <f t="shared" si="671"/>
        <v>0</v>
      </c>
    </row>
    <row r="2148" spans="1:28" x14ac:dyDescent="0.25">
      <c r="D2148" t="s">
        <v>73</v>
      </c>
      <c r="E2148" s="64"/>
      <c r="F2148" s="64"/>
      <c r="G2148">
        <f>IFERROR(HLOOKUP(G$2,[66]table_female_hkom3_inj.U4!$A$1:$K$36,5,FALSE),0)</f>
        <v>0</v>
      </c>
      <c r="H2148">
        <f>IFERROR(HLOOKUP(H$2,[66]table_female_hkom3_inj.U4!$A$1:$K$36,5,FALSE),0)</f>
        <v>0</v>
      </c>
      <c r="I2148">
        <f>IFERROR(HLOOKUP(I$2,[66]table_female_hkom3_inj.U4!$A$1:$K$36,5,FALSE),0)</f>
        <v>0</v>
      </c>
      <c r="J2148">
        <f>IFERROR(HLOOKUP(J$2,[66]table_female_hkom3_inj.U4!$A$1:$K$36,5,FALSE),0)</f>
        <v>0</v>
      </c>
      <c r="K2148">
        <f>IFERROR(HLOOKUP(K$2,[66]table_female_hkom3_inj.U4!$A$1:$K$36,5,FALSE),0)</f>
        <v>0</v>
      </c>
      <c r="L2148">
        <f>IFERROR(HLOOKUP(L$2,[66]table_female_hkom3_inj.U4!$A$1:$K$36,5,FALSE),0)</f>
        <v>0</v>
      </c>
      <c r="M2148">
        <f t="shared" si="673"/>
        <v>0</v>
      </c>
      <c r="S2148" t="s">
        <v>73</v>
      </c>
      <c r="T2148" s="5">
        <f t="shared" si="674"/>
        <v>0</v>
      </c>
      <c r="U2148" s="5">
        <f t="shared" si="675"/>
        <v>0</v>
      </c>
      <c r="V2148" s="5">
        <f t="shared" si="676"/>
        <v>0</v>
      </c>
      <c r="W2148" s="5">
        <f t="shared" si="677"/>
        <v>0</v>
      </c>
      <c r="X2148" s="5">
        <f t="shared" si="678"/>
        <v>0</v>
      </c>
      <c r="Y2148" s="5">
        <f t="shared" si="679"/>
        <v>0</v>
      </c>
      <c r="Z2148" s="5">
        <f t="shared" si="680"/>
        <v>0</v>
      </c>
      <c r="AA2148" s="5">
        <f t="shared" si="681"/>
        <v>0</v>
      </c>
      <c r="AB2148" s="5">
        <f t="shared" si="671"/>
        <v>0</v>
      </c>
    </row>
    <row r="2149" spans="1:28" x14ac:dyDescent="0.25">
      <c r="D2149" t="s">
        <v>74</v>
      </c>
      <c r="E2149" s="64"/>
      <c r="F2149" s="64"/>
      <c r="G2149">
        <f>IFERROR(HLOOKUP(G$2,[66]table_female_hkom3_inj.U4!$A$1:$K$36,6,FALSE),0)</f>
        <v>0</v>
      </c>
      <c r="H2149">
        <f>IFERROR(HLOOKUP(H$2,[66]table_female_hkom3_inj.U4!$A$1:$K$36,6,FALSE),0)</f>
        <v>0</v>
      </c>
      <c r="I2149">
        <f>IFERROR(HLOOKUP(I$2,[66]table_female_hkom3_inj.U4!$A$1:$K$36,6,FALSE),0)</f>
        <v>0</v>
      </c>
      <c r="J2149">
        <f>IFERROR(HLOOKUP(J$2,[66]table_female_hkom3_inj.U4!$A$1:$K$36,6,FALSE),0)</f>
        <v>0</v>
      </c>
      <c r="K2149">
        <f>IFERROR(HLOOKUP(K$2,[66]table_female_hkom3_inj.U4!$A$1:$K$36,6,FALSE),0)</f>
        <v>0</v>
      </c>
      <c r="L2149">
        <f>IFERROR(HLOOKUP(L$2,[66]table_female_hkom3_inj.U4!$A$1:$K$36,6,FALSE),0)</f>
        <v>0</v>
      </c>
      <c r="M2149">
        <f t="shared" si="673"/>
        <v>0</v>
      </c>
      <c r="S2149" t="s">
        <v>74</v>
      </c>
      <c r="T2149" s="5">
        <f t="shared" si="674"/>
        <v>0</v>
      </c>
      <c r="U2149" s="5">
        <f t="shared" si="675"/>
        <v>0</v>
      </c>
      <c r="V2149" s="5">
        <f t="shared" si="676"/>
        <v>0</v>
      </c>
      <c r="W2149" s="5">
        <f t="shared" si="677"/>
        <v>0</v>
      </c>
      <c r="X2149" s="5">
        <f t="shared" si="678"/>
        <v>0</v>
      </c>
      <c r="Y2149" s="5">
        <f t="shared" si="679"/>
        <v>0</v>
      </c>
      <c r="Z2149" s="5">
        <f t="shared" si="680"/>
        <v>0</v>
      </c>
      <c r="AA2149" s="5">
        <f t="shared" si="681"/>
        <v>0</v>
      </c>
      <c r="AB2149" s="5">
        <f t="shared" si="671"/>
        <v>0</v>
      </c>
    </row>
    <row r="2150" spans="1:28" x14ac:dyDescent="0.25">
      <c r="D2150" t="s">
        <v>75</v>
      </c>
      <c r="E2150" s="64"/>
      <c r="F2150" s="64"/>
      <c r="G2150">
        <f>IFERROR(HLOOKUP(G$2,[66]table_female_hkom3_inj.U4!$A$1:$K$36,7,FALSE),0)</f>
        <v>0</v>
      </c>
      <c r="H2150">
        <f>IFERROR(HLOOKUP(H$2,[66]table_female_hkom3_inj.U4!$A$1:$K$36,7,FALSE),0)</f>
        <v>0</v>
      </c>
      <c r="I2150">
        <f>IFERROR(HLOOKUP(I$2,[66]table_female_hkom3_inj.U4!$A$1:$K$36,7,FALSE),0)</f>
        <v>0</v>
      </c>
      <c r="J2150">
        <f>IFERROR(HLOOKUP(J$2,[66]table_female_hkom3_inj.U4!$A$1:$K$36,7,FALSE),0)</f>
        <v>0</v>
      </c>
      <c r="K2150">
        <f>IFERROR(HLOOKUP(K$2,[66]table_female_hkom3_inj.U4!$A$1:$K$36,7,FALSE),0)</f>
        <v>0</v>
      </c>
      <c r="L2150">
        <f>IFERROR(HLOOKUP(L$2,[66]table_female_hkom3_inj.U4!$A$1:$K$36,7,FALSE),0)</f>
        <v>0</v>
      </c>
      <c r="M2150">
        <f t="shared" si="673"/>
        <v>0</v>
      </c>
      <c r="S2150" t="s">
        <v>75</v>
      </c>
      <c r="T2150" s="5">
        <f t="shared" si="674"/>
        <v>0</v>
      </c>
      <c r="U2150" s="5">
        <f t="shared" si="675"/>
        <v>0</v>
      </c>
      <c r="V2150" s="5">
        <f t="shared" si="676"/>
        <v>0</v>
      </c>
      <c r="W2150" s="5">
        <f t="shared" si="677"/>
        <v>0</v>
      </c>
      <c r="X2150" s="5">
        <f t="shared" si="678"/>
        <v>0</v>
      </c>
      <c r="Y2150" s="5">
        <f t="shared" si="679"/>
        <v>0</v>
      </c>
      <c r="Z2150" s="5">
        <f t="shared" si="680"/>
        <v>0</v>
      </c>
      <c r="AA2150" s="5">
        <f t="shared" si="681"/>
        <v>0</v>
      </c>
      <c r="AB2150" s="5">
        <f t="shared" si="671"/>
        <v>0</v>
      </c>
    </row>
    <row r="2151" spans="1:28" x14ac:dyDescent="0.25">
      <c r="D2151" t="s">
        <v>76</v>
      </c>
      <c r="E2151" s="64"/>
      <c r="F2151" s="64"/>
      <c r="G2151">
        <f>IFERROR(HLOOKUP(G$2,[66]table_female_hkom3_inj.U4!$A$1:$K$36,8,FALSE),0)</f>
        <v>0</v>
      </c>
      <c r="H2151">
        <f>IFERROR(HLOOKUP(H$2,[66]table_female_hkom3_inj.U4!$A$1:$K$36,8,FALSE),0)</f>
        <v>0</v>
      </c>
      <c r="I2151">
        <f>IFERROR(HLOOKUP(I$2,[66]table_female_hkom3_inj.U4!$A$1:$K$36,8,FALSE),0)</f>
        <v>0</v>
      </c>
      <c r="J2151">
        <f>IFERROR(HLOOKUP(J$2,[66]table_female_hkom3_inj.U4!$A$1:$K$36,8,FALSE),0)</f>
        <v>0</v>
      </c>
      <c r="K2151">
        <f>IFERROR(HLOOKUP(K$2,[66]table_female_hkom3_inj.U4!$A$1:$K$36,8,FALSE),0)</f>
        <v>0</v>
      </c>
      <c r="L2151">
        <f>IFERROR(HLOOKUP(L$2,[66]table_female_hkom3_inj.U4!$A$1:$K$36,8,FALSE),0)</f>
        <v>0</v>
      </c>
      <c r="M2151">
        <f t="shared" si="673"/>
        <v>0</v>
      </c>
      <c r="S2151" t="s">
        <v>76</v>
      </c>
      <c r="T2151" s="5">
        <f t="shared" si="674"/>
        <v>0</v>
      </c>
      <c r="U2151" s="5">
        <f t="shared" si="675"/>
        <v>0</v>
      </c>
      <c r="V2151" s="5">
        <f t="shared" si="676"/>
        <v>0</v>
      </c>
      <c r="W2151" s="5">
        <f t="shared" si="677"/>
        <v>0</v>
      </c>
      <c r="X2151" s="5">
        <f t="shared" si="678"/>
        <v>0</v>
      </c>
      <c r="Y2151" s="5">
        <f t="shared" si="679"/>
        <v>0</v>
      </c>
      <c r="Z2151" s="5">
        <f t="shared" si="680"/>
        <v>0</v>
      </c>
      <c r="AA2151" s="5">
        <f t="shared" si="681"/>
        <v>0</v>
      </c>
      <c r="AB2151" s="5">
        <f t="shared" si="671"/>
        <v>0</v>
      </c>
    </row>
    <row r="2152" spans="1:28" x14ac:dyDescent="0.25">
      <c r="D2152" t="s">
        <v>77</v>
      </c>
      <c r="E2152" s="64"/>
      <c r="F2152" s="64"/>
      <c r="G2152">
        <f>IFERROR(HLOOKUP(G$2,[66]table_female_hkom3_inj.U4!$A$1:$K$36,9,FALSE),0)</f>
        <v>0</v>
      </c>
      <c r="H2152">
        <f>IFERROR(HLOOKUP(H$2,[66]table_female_hkom3_inj.U4!$A$1:$K$36,9,FALSE),0)</f>
        <v>0</v>
      </c>
      <c r="I2152">
        <f>IFERROR(HLOOKUP(I$2,[66]table_female_hkom3_inj.U4!$A$1:$K$36,9,FALSE),0)</f>
        <v>0</v>
      </c>
      <c r="J2152">
        <f>IFERROR(HLOOKUP(J$2,[66]table_female_hkom3_inj.U4!$A$1:$K$36,9,FALSE),0)</f>
        <v>0</v>
      </c>
      <c r="K2152">
        <f>IFERROR(HLOOKUP(K$2,[66]table_female_hkom3_inj.U4!$A$1:$K$36,9,FALSE),0)</f>
        <v>0</v>
      </c>
      <c r="L2152">
        <f>IFERROR(HLOOKUP(L$2,[66]table_female_hkom3_inj.U4!$A$1:$K$36,9,FALSE),0)</f>
        <v>0</v>
      </c>
      <c r="M2152">
        <f t="shared" si="673"/>
        <v>0</v>
      </c>
      <c r="S2152" t="s">
        <v>77</v>
      </c>
      <c r="T2152" s="5">
        <f t="shared" si="674"/>
        <v>0</v>
      </c>
      <c r="U2152" s="5">
        <f t="shared" si="675"/>
        <v>0</v>
      </c>
      <c r="V2152" s="5">
        <f t="shared" si="676"/>
        <v>0</v>
      </c>
      <c r="W2152" s="5">
        <f t="shared" si="677"/>
        <v>0</v>
      </c>
      <c r="X2152" s="5">
        <f t="shared" si="678"/>
        <v>0</v>
      </c>
      <c r="Y2152" s="5">
        <f t="shared" si="679"/>
        <v>0</v>
      </c>
      <c r="Z2152" s="5">
        <f t="shared" si="680"/>
        <v>0</v>
      </c>
      <c r="AA2152" s="5">
        <f t="shared" si="681"/>
        <v>0</v>
      </c>
      <c r="AB2152" s="5">
        <f t="shared" si="671"/>
        <v>0</v>
      </c>
    </row>
    <row r="2153" spans="1:28" x14ac:dyDescent="0.25">
      <c r="D2153" t="s">
        <v>78</v>
      </c>
      <c r="E2153" s="64"/>
      <c r="F2153" s="64"/>
      <c r="G2153">
        <f>IFERROR(HLOOKUP(G$2,[66]table_female_hkom3_inj.U4!$A$1:$K$36,10,FALSE),0)</f>
        <v>0</v>
      </c>
      <c r="H2153">
        <f>IFERROR(HLOOKUP(H$2,[66]table_female_hkom3_inj.U4!$A$1:$K$36,10,FALSE),0)</f>
        <v>0</v>
      </c>
      <c r="I2153">
        <f>IFERROR(HLOOKUP(I$2,[66]table_female_hkom3_inj.U4!$A$1:$K$36,10,FALSE),0)</f>
        <v>0</v>
      </c>
      <c r="J2153">
        <f>IFERROR(HLOOKUP(J$2,[66]table_female_hkom3_inj.U4!$A$1:$K$36,10,FALSE),0)</f>
        <v>0</v>
      </c>
      <c r="K2153">
        <f>IFERROR(HLOOKUP(K$2,[66]table_female_hkom3_inj.U4!$A$1:$K$36,10,FALSE),0)</f>
        <v>0</v>
      </c>
      <c r="L2153">
        <f>IFERROR(HLOOKUP(L$2,[66]table_female_hkom3_inj.U4!$A$1:$K$36,10,FALSE),0)</f>
        <v>0</v>
      </c>
      <c r="M2153">
        <f t="shared" si="673"/>
        <v>0</v>
      </c>
      <c r="S2153" t="s">
        <v>78</v>
      </c>
      <c r="T2153" s="5">
        <f t="shared" si="674"/>
        <v>0</v>
      </c>
      <c r="U2153" s="5">
        <f t="shared" si="675"/>
        <v>0</v>
      </c>
      <c r="V2153" s="5">
        <f t="shared" si="676"/>
        <v>0</v>
      </c>
      <c r="W2153" s="5">
        <f t="shared" si="677"/>
        <v>0</v>
      </c>
      <c r="X2153" s="5">
        <f t="shared" si="678"/>
        <v>0</v>
      </c>
      <c r="Y2153" s="5">
        <f t="shared" si="679"/>
        <v>0</v>
      </c>
      <c r="Z2153" s="5">
        <f t="shared" si="680"/>
        <v>0</v>
      </c>
      <c r="AA2153" s="5">
        <f t="shared" si="681"/>
        <v>0</v>
      </c>
      <c r="AB2153" s="5">
        <f t="shared" si="671"/>
        <v>0</v>
      </c>
    </row>
    <row r="2154" spans="1:28" x14ac:dyDescent="0.25">
      <c r="D2154" t="s">
        <v>79</v>
      </c>
      <c r="E2154" s="64"/>
      <c r="F2154" s="64"/>
      <c r="G2154">
        <f>IFERROR(HLOOKUP(G$2,[66]table_female_hkom3_inj.U4!$A$1:$K$36,11,FALSE),0)</f>
        <v>0</v>
      </c>
      <c r="H2154">
        <f>IFERROR(HLOOKUP(H$2,[66]table_female_hkom3_inj.U4!$A$1:$K$36,11,FALSE),0)</f>
        <v>0</v>
      </c>
      <c r="I2154">
        <f>IFERROR(HLOOKUP(I$2,[66]table_female_hkom3_inj.U4!$A$1:$K$36,11,FALSE),0)</f>
        <v>0</v>
      </c>
      <c r="J2154">
        <f>IFERROR(HLOOKUP(J$2,[66]table_female_hkom3_inj.U4!$A$1:$K$36,11,FALSE),0)</f>
        <v>0</v>
      </c>
      <c r="K2154">
        <f>IFERROR(HLOOKUP(K$2,[66]table_female_hkom3_inj.U4!$A$1:$K$36,11,FALSE),0)</f>
        <v>0</v>
      </c>
      <c r="L2154">
        <f>IFERROR(HLOOKUP(L$2,[66]table_female_hkom3_inj.U4!$A$1:$K$36,11,FALSE),0)</f>
        <v>0</v>
      </c>
      <c r="M2154">
        <f t="shared" si="673"/>
        <v>0</v>
      </c>
      <c r="S2154" t="s">
        <v>79</v>
      </c>
      <c r="T2154" s="5">
        <f t="shared" si="674"/>
        <v>0</v>
      </c>
      <c r="U2154" s="5">
        <f t="shared" si="675"/>
        <v>0</v>
      </c>
      <c r="V2154" s="5">
        <f t="shared" si="676"/>
        <v>0</v>
      </c>
      <c r="W2154" s="5">
        <f t="shared" si="677"/>
        <v>0</v>
      </c>
      <c r="X2154" s="5">
        <f t="shared" si="678"/>
        <v>0</v>
      </c>
      <c r="Y2154" s="5">
        <f t="shared" si="679"/>
        <v>0</v>
      </c>
      <c r="Z2154" s="5">
        <f t="shared" si="680"/>
        <v>0</v>
      </c>
      <c r="AA2154" s="5">
        <f t="shared" si="681"/>
        <v>0</v>
      </c>
      <c r="AB2154" s="5">
        <f t="shared" si="671"/>
        <v>0</v>
      </c>
    </row>
    <row r="2155" spans="1:28" x14ac:dyDescent="0.25">
      <c r="D2155" t="s">
        <v>80</v>
      </c>
      <c r="E2155" s="64"/>
      <c r="F2155" s="64"/>
      <c r="G2155">
        <f>IFERROR(HLOOKUP(G$2,[66]table_female_hkom3_inj.U4!$A$1:$K$36,12,FALSE),0)</f>
        <v>0</v>
      </c>
      <c r="H2155">
        <f>IFERROR(HLOOKUP(H$2,[66]table_female_hkom3_inj.U4!$A$1:$K$36,12,FALSE),0)</f>
        <v>0</v>
      </c>
      <c r="I2155">
        <f>IFERROR(HLOOKUP(I$2,[66]table_female_hkom3_inj.U4!$A$1:$K$36,12,FALSE),0)</f>
        <v>0</v>
      </c>
      <c r="J2155">
        <f>IFERROR(HLOOKUP(J$2,[66]table_female_hkom3_inj.U4!$A$1:$K$36,12,FALSE),0)</f>
        <v>0</v>
      </c>
      <c r="K2155">
        <f>IFERROR(HLOOKUP(K$2,[66]table_female_hkom3_inj.U4!$A$1:$K$36,12,FALSE),0)</f>
        <v>0</v>
      </c>
      <c r="L2155">
        <f>IFERROR(HLOOKUP(L$2,[66]table_female_hkom3_inj.U4!$A$1:$K$36,12,FALSE),0)</f>
        <v>0</v>
      </c>
      <c r="M2155">
        <f t="shared" si="673"/>
        <v>0</v>
      </c>
      <c r="S2155" t="s">
        <v>80</v>
      </c>
      <c r="T2155" s="5">
        <f t="shared" si="674"/>
        <v>0</v>
      </c>
      <c r="U2155" s="5">
        <f t="shared" si="675"/>
        <v>0</v>
      </c>
      <c r="V2155" s="5">
        <f t="shared" si="676"/>
        <v>0</v>
      </c>
      <c r="W2155" s="5">
        <f t="shared" si="677"/>
        <v>0</v>
      </c>
      <c r="X2155" s="5">
        <f t="shared" si="678"/>
        <v>0</v>
      </c>
      <c r="Y2155" s="5">
        <f t="shared" si="679"/>
        <v>0</v>
      </c>
      <c r="Z2155" s="5">
        <f t="shared" si="680"/>
        <v>0</v>
      </c>
      <c r="AA2155" s="5">
        <f t="shared" si="681"/>
        <v>0</v>
      </c>
      <c r="AB2155" s="5">
        <f t="shared" si="671"/>
        <v>0</v>
      </c>
    </row>
    <row r="2156" spans="1:28" x14ac:dyDescent="0.25">
      <c r="D2156" t="s">
        <v>81</v>
      </c>
      <c r="E2156" s="64"/>
      <c r="F2156" s="64"/>
      <c r="G2156">
        <f>IFERROR(HLOOKUP(G$2,[66]table_female_hkom3_inj.U4!$A$1:$K$36,13,FALSE),0)</f>
        <v>0</v>
      </c>
      <c r="H2156">
        <f>IFERROR(HLOOKUP(H$2,[66]table_female_hkom3_inj.U4!$A$1:$K$36,13,FALSE),0)</f>
        <v>0</v>
      </c>
      <c r="I2156">
        <f>IFERROR(HLOOKUP(I$2,[66]table_female_hkom3_inj.U4!$A$1:$K$36,13,FALSE),0)</f>
        <v>0</v>
      </c>
      <c r="J2156">
        <f>IFERROR(HLOOKUP(J$2,[66]table_female_hkom3_inj.U4!$A$1:$K$36,13,FALSE),0)</f>
        <v>0</v>
      </c>
      <c r="K2156">
        <f>IFERROR(HLOOKUP(K$2,[66]table_female_hkom3_inj.U4!$A$1:$K$36,13,FALSE),0)</f>
        <v>0</v>
      </c>
      <c r="L2156">
        <f>IFERROR(HLOOKUP(L$2,[66]table_female_hkom3_inj.U4!$A$1:$K$36,13,FALSE),0)</f>
        <v>0</v>
      </c>
      <c r="M2156">
        <f t="shared" si="673"/>
        <v>0</v>
      </c>
      <c r="S2156" t="s">
        <v>81</v>
      </c>
      <c r="T2156" s="5">
        <f t="shared" si="674"/>
        <v>0</v>
      </c>
      <c r="U2156" s="5">
        <f t="shared" si="675"/>
        <v>0</v>
      </c>
      <c r="V2156" s="5">
        <f t="shared" si="676"/>
        <v>0</v>
      </c>
      <c r="W2156" s="5">
        <f t="shared" si="677"/>
        <v>0</v>
      </c>
      <c r="X2156" s="5">
        <f t="shared" si="678"/>
        <v>0</v>
      </c>
      <c r="Y2156" s="5">
        <f t="shared" si="679"/>
        <v>0</v>
      </c>
      <c r="Z2156" s="5">
        <f t="shared" si="680"/>
        <v>0</v>
      </c>
      <c r="AA2156" s="5">
        <f t="shared" si="681"/>
        <v>0</v>
      </c>
      <c r="AB2156" s="5">
        <f t="shared" si="671"/>
        <v>0</v>
      </c>
    </row>
    <row r="2157" spans="1:28" x14ac:dyDescent="0.25">
      <c r="D2157" t="s">
        <v>82</v>
      </c>
      <c r="E2157" s="64"/>
      <c r="F2157" s="64"/>
      <c r="G2157">
        <f>IFERROR(HLOOKUP(G$2,[66]table_female_hkom3_inj.U4!$A$1:$K$36,14,FALSE),0)</f>
        <v>0</v>
      </c>
      <c r="H2157">
        <f>IFERROR(HLOOKUP(H$2,[66]table_female_hkom3_inj.U4!$A$1:$K$36,14,FALSE),0)</f>
        <v>0</v>
      </c>
      <c r="I2157">
        <f>IFERROR(HLOOKUP(I$2,[66]table_female_hkom3_inj.U4!$A$1:$K$36,14,FALSE),0)</f>
        <v>0</v>
      </c>
      <c r="J2157">
        <f>IFERROR(HLOOKUP(J$2,[66]table_female_hkom3_inj.U4!$A$1:$K$36,14,FALSE),0)</f>
        <v>0</v>
      </c>
      <c r="K2157">
        <f>IFERROR(HLOOKUP(K$2,[66]table_female_hkom3_inj.U4!$A$1:$K$36,14,FALSE),0)</f>
        <v>0</v>
      </c>
      <c r="L2157">
        <f>IFERROR(HLOOKUP(L$2,[66]table_female_hkom3_inj.U4!$A$1:$K$36,14,FALSE),0)</f>
        <v>0</v>
      </c>
      <c r="M2157">
        <f t="shared" si="673"/>
        <v>0</v>
      </c>
      <c r="S2157" t="s">
        <v>82</v>
      </c>
      <c r="T2157" s="5">
        <f t="shared" si="674"/>
        <v>0</v>
      </c>
      <c r="U2157" s="5">
        <f t="shared" si="675"/>
        <v>0</v>
      </c>
      <c r="V2157" s="5">
        <f t="shared" si="676"/>
        <v>0</v>
      </c>
      <c r="W2157" s="5">
        <f t="shared" si="677"/>
        <v>0</v>
      </c>
      <c r="X2157" s="5">
        <f t="shared" si="678"/>
        <v>0</v>
      </c>
      <c r="Y2157" s="5">
        <f t="shared" si="679"/>
        <v>0</v>
      </c>
      <c r="Z2157" s="5">
        <f t="shared" si="680"/>
        <v>0</v>
      </c>
      <c r="AA2157" s="5">
        <f t="shared" si="681"/>
        <v>0</v>
      </c>
      <c r="AB2157" s="5">
        <f t="shared" si="671"/>
        <v>0</v>
      </c>
    </row>
    <row r="2158" spans="1:28" x14ac:dyDescent="0.25">
      <c r="D2158" t="s">
        <v>83</v>
      </c>
      <c r="E2158" s="64"/>
      <c r="F2158" s="64"/>
      <c r="G2158">
        <f>IFERROR(HLOOKUP(G$2,[66]table_female_hkom3_inj.U4!$A$1:$K$36,15,FALSE),0)</f>
        <v>0</v>
      </c>
      <c r="H2158">
        <f>IFERROR(HLOOKUP(H$2,[66]table_female_hkom3_inj.U4!$A$1:$K$36,15,FALSE),0)</f>
        <v>0</v>
      </c>
      <c r="I2158">
        <f>IFERROR(HLOOKUP(I$2,[66]table_female_hkom3_inj.U4!$A$1:$K$36,15,FALSE),0)</f>
        <v>0</v>
      </c>
      <c r="J2158">
        <f>IFERROR(HLOOKUP(J$2,[66]table_female_hkom3_inj.U4!$A$1:$K$36,15,FALSE),0)</f>
        <v>0</v>
      </c>
      <c r="K2158">
        <f>IFERROR(HLOOKUP(K$2,[66]table_female_hkom3_inj.U4!$A$1:$K$36,15,FALSE),0)</f>
        <v>0</v>
      </c>
      <c r="L2158">
        <f>IFERROR(HLOOKUP(L$2,[66]table_female_hkom3_inj.U4!$A$1:$K$36,15,FALSE),0)</f>
        <v>0</v>
      </c>
      <c r="M2158">
        <f t="shared" si="673"/>
        <v>0</v>
      </c>
      <c r="S2158" t="s">
        <v>83</v>
      </c>
      <c r="T2158" s="5">
        <f t="shared" si="674"/>
        <v>0</v>
      </c>
      <c r="U2158" s="5">
        <f t="shared" si="675"/>
        <v>0</v>
      </c>
      <c r="V2158" s="5">
        <f t="shared" si="676"/>
        <v>0</v>
      </c>
      <c r="W2158" s="5">
        <f t="shared" si="677"/>
        <v>0</v>
      </c>
      <c r="X2158" s="5">
        <f t="shared" si="678"/>
        <v>0</v>
      </c>
      <c r="Y2158" s="5">
        <f t="shared" si="679"/>
        <v>0</v>
      </c>
      <c r="Z2158" s="5">
        <f t="shared" si="680"/>
        <v>0</v>
      </c>
      <c r="AA2158" s="5">
        <f t="shared" si="681"/>
        <v>0</v>
      </c>
      <c r="AB2158" s="5">
        <f t="shared" si="671"/>
        <v>0</v>
      </c>
    </row>
    <row r="2159" spans="1:28" x14ac:dyDescent="0.25">
      <c r="D2159" t="s">
        <v>84</v>
      </c>
      <c r="E2159" s="64"/>
      <c r="F2159" s="64"/>
      <c r="G2159">
        <f>IFERROR(HLOOKUP(G$2,[66]table_female_hkom3_inj.U4!$A$1:$K$36,16,FALSE),0)</f>
        <v>0</v>
      </c>
      <c r="H2159">
        <f>IFERROR(HLOOKUP(H$2,[66]table_female_hkom3_inj.U4!$A$1:$K$36,16,FALSE),0)</f>
        <v>0</v>
      </c>
      <c r="I2159">
        <f>IFERROR(HLOOKUP(I$2,[66]table_female_hkom3_inj.U4!$A$1:$K$36,16,FALSE),0)</f>
        <v>0</v>
      </c>
      <c r="J2159">
        <f>IFERROR(HLOOKUP(J$2,[66]table_female_hkom3_inj.U4!$A$1:$K$36,16,FALSE),0)</f>
        <v>0</v>
      </c>
      <c r="K2159">
        <f>IFERROR(HLOOKUP(K$2,[66]table_female_hkom3_inj.U4!$A$1:$K$36,16,FALSE),0)</f>
        <v>0</v>
      </c>
      <c r="L2159">
        <f>IFERROR(HLOOKUP(L$2,[66]table_female_hkom3_inj.U4!$A$1:$K$36,16,FALSE),0)</f>
        <v>0</v>
      </c>
      <c r="M2159">
        <f t="shared" si="673"/>
        <v>0</v>
      </c>
      <c r="S2159" t="s">
        <v>84</v>
      </c>
      <c r="T2159" s="5">
        <f t="shared" si="674"/>
        <v>0</v>
      </c>
      <c r="U2159" s="5">
        <f t="shared" si="675"/>
        <v>0</v>
      </c>
      <c r="V2159" s="5">
        <f t="shared" si="676"/>
        <v>0</v>
      </c>
      <c r="W2159" s="5">
        <f t="shared" si="677"/>
        <v>0</v>
      </c>
      <c r="X2159" s="5">
        <f t="shared" si="678"/>
        <v>0</v>
      </c>
      <c r="Y2159" s="5">
        <f t="shared" si="679"/>
        <v>0</v>
      </c>
      <c r="Z2159" s="5">
        <f t="shared" si="680"/>
        <v>0</v>
      </c>
      <c r="AA2159" s="5">
        <f t="shared" si="681"/>
        <v>0</v>
      </c>
      <c r="AB2159" s="5">
        <f t="shared" si="671"/>
        <v>0</v>
      </c>
    </row>
    <row r="2160" spans="1:28" x14ac:dyDescent="0.25">
      <c r="D2160" t="s">
        <v>85</v>
      </c>
      <c r="E2160" s="64"/>
      <c r="F2160" s="64"/>
      <c r="G2160">
        <f>IFERROR(HLOOKUP(G$2,[66]table_female_hkom3_inj.U4!$A$1:$K$36,17,FALSE),0)</f>
        <v>0</v>
      </c>
      <c r="H2160">
        <f>IFERROR(HLOOKUP(H$2,[66]table_female_hkom3_inj.U4!$A$1:$K$36,17,FALSE),0)</f>
        <v>0</v>
      </c>
      <c r="I2160">
        <f>IFERROR(HLOOKUP(I$2,[66]table_female_hkom3_inj.U4!$A$1:$K$36,17,FALSE),0)</f>
        <v>0</v>
      </c>
      <c r="J2160">
        <f>IFERROR(HLOOKUP(J$2,[66]table_female_hkom3_inj.U4!$A$1:$K$36,17,FALSE),0)</f>
        <v>0</v>
      </c>
      <c r="K2160">
        <f>IFERROR(HLOOKUP(K$2,[66]table_female_hkom3_inj.U4!$A$1:$K$36,17,FALSE),0)</f>
        <v>0</v>
      </c>
      <c r="L2160">
        <f>IFERROR(HLOOKUP(L$2,[66]table_female_hkom3_inj.U4!$A$1:$K$36,17,FALSE),0)</f>
        <v>0</v>
      </c>
      <c r="M2160">
        <f t="shared" si="673"/>
        <v>0</v>
      </c>
      <c r="S2160" t="s">
        <v>85</v>
      </c>
      <c r="T2160" s="5">
        <f t="shared" si="674"/>
        <v>0</v>
      </c>
      <c r="U2160" s="5">
        <f t="shared" si="675"/>
        <v>0</v>
      </c>
      <c r="V2160" s="5">
        <f t="shared" si="676"/>
        <v>0</v>
      </c>
      <c r="W2160" s="5">
        <f t="shared" si="677"/>
        <v>0</v>
      </c>
      <c r="X2160" s="5">
        <f t="shared" si="678"/>
        <v>0</v>
      </c>
      <c r="Y2160" s="5">
        <f t="shared" si="679"/>
        <v>0</v>
      </c>
      <c r="Z2160" s="5">
        <f t="shared" si="680"/>
        <v>0</v>
      </c>
      <c r="AA2160" s="5">
        <f t="shared" si="681"/>
        <v>0</v>
      </c>
      <c r="AB2160" s="5">
        <f t="shared" si="671"/>
        <v>0</v>
      </c>
    </row>
    <row r="2161" spans="4:28" x14ac:dyDescent="0.25">
      <c r="D2161" t="s">
        <v>86</v>
      </c>
      <c r="E2161" s="64"/>
      <c r="F2161" s="64"/>
      <c r="G2161">
        <f>IFERROR(HLOOKUP(G$2,[66]table_female_hkom3_inj.U4!$A$1:$K$36,18,FALSE),0)</f>
        <v>0</v>
      </c>
      <c r="H2161">
        <f>IFERROR(HLOOKUP(H$2,[66]table_female_hkom3_inj.U4!$A$1:$K$36,18,FALSE),0)</f>
        <v>1</v>
      </c>
      <c r="I2161">
        <f>IFERROR(HLOOKUP(I$2,[66]table_female_hkom3_inj.U4!$A$1:$K$36,18,FALSE),0)</f>
        <v>0</v>
      </c>
      <c r="J2161">
        <f>IFERROR(HLOOKUP(J$2,[66]table_female_hkom3_inj.U4!$A$1:$K$36,18,FALSE),0)</f>
        <v>0</v>
      </c>
      <c r="K2161">
        <f>IFERROR(HLOOKUP(K$2,[66]table_female_hkom3_inj.U4!$A$1:$K$36,18,FALSE),0)</f>
        <v>0</v>
      </c>
      <c r="L2161">
        <f>IFERROR(HLOOKUP(L$2,[66]table_female_hkom3_inj.U4!$A$1:$K$36,18,FALSE),0)</f>
        <v>0</v>
      </c>
      <c r="M2161">
        <f t="shared" si="673"/>
        <v>1</v>
      </c>
      <c r="S2161" t="s">
        <v>86</v>
      </c>
      <c r="T2161" s="5">
        <f t="shared" si="674"/>
        <v>0</v>
      </c>
      <c r="U2161" s="5">
        <f t="shared" si="675"/>
        <v>0</v>
      </c>
      <c r="V2161" s="5">
        <f t="shared" si="676"/>
        <v>0</v>
      </c>
      <c r="W2161" s="5">
        <f t="shared" si="677"/>
        <v>1</v>
      </c>
      <c r="X2161" s="5">
        <f t="shared" si="678"/>
        <v>0</v>
      </c>
      <c r="Y2161" s="5">
        <f t="shared" si="679"/>
        <v>0</v>
      </c>
      <c r="Z2161" s="5">
        <f t="shared" si="680"/>
        <v>0</v>
      </c>
      <c r="AA2161" s="5">
        <f t="shared" si="681"/>
        <v>0</v>
      </c>
      <c r="AB2161" s="5">
        <f t="shared" si="671"/>
        <v>1</v>
      </c>
    </row>
    <row r="2162" spans="4:28" x14ac:dyDescent="0.25">
      <c r="D2162" t="s">
        <v>87</v>
      </c>
      <c r="E2162" s="64"/>
      <c r="F2162" s="64"/>
      <c r="G2162">
        <f>IFERROR(HLOOKUP(G$2,[66]table_female_hkom3_inj.U4!$A$1:$K$36,19,FALSE),0)</f>
        <v>0</v>
      </c>
      <c r="H2162">
        <f>IFERROR(HLOOKUP(H$2,[66]table_female_hkom3_inj.U4!$A$1:$K$36,19,FALSE),0)</f>
        <v>0</v>
      </c>
      <c r="I2162">
        <f>IFERROR(HLOOKUP(I$2,[66]table_female_hkom3_inj.U4!$A$1:$K$36,19,FALSE),0)</f>
        <v>0</v>
      </c>
      <c r="J2162">
        <f>IFERROR(HLOOKUP(J$2,[66]table_female_hkom3_inj.U4!$A$1:$K$36,19,FALSE),0)</f>
        <v>0</v>
      </c>
      <c r="K2162">
        <f>IFERROR(HLOOKUP(K$2,[66]table_female_hkom3_inj.U4!$A$1:$K$36,19,FALSE),0)</f>
        <v>0</v>
      </c>
      <c r="L2162">
        <f>IFERROR(HLOOKUP(L$2,[66]table_female_hkom3_inj.U4!$A$1:$K$36,19,FALSE),0)</f>
        <v>0</v>
      </c>
      <c r="M2162">
        <f t="shared" si="673"/>
        <v>0</v>
      </c>
      <c r="S2162" t="s">
        <v>87</v>
      </c>
      <c r="T2162" s="5">
        <f t="shared" si="674"/>
        <v>0</v>
      </c>
      <c r="U2162" s="5">
        <f t="shared" si="675"/>
        <v>0</v>
      </c>
      <c r="V2162" s="5">
        <f t="shared" si="676"/>
        <v>0</v>
      </c>
      <c r="W2162" s="5">
        <f t="shared" si="677"/>
        <v>0</v>
      </c>
      <c r="X2162" s="5">
        <f t="shared" si="678"/>
        <v>0</v>
      </c>
      <c r="Y2162" s="5">
        <f t="shared" si="679"/>
        <v>0</v>
      </c>
      <c r="Z2162" s="5">
        <f t="shared" si="680"/>
        <v>0</v>
      </c>
      <c r="AA2162" s="5">
        <f t="shared" si="681"/>
        <v>0</v>
      </c>
      <c r="AB2162" s="5">
        <f t="shared" si="671"/>
        <v>0</v>
      </c>
    </row>
    <row r="2163" spans="4:28" x14ac:dyDescent="0.25">
      <c r="D2163" t="s">
        <v>88</v>
      </c>
      <c r="E2163" s="64"/>
      <c r="F2163" s="64"/>
      <c r="G2163">
        <f>IFERROR(HLOOKUP(G$2,[66]table_female_hkom3_inj.U4!$A$1:$K$36,20,FALSE),0)</f>
        <v>0</v>
      </c>
      <c r="H2163">
        <f>IFERROR(HLOOKUP(H$2,[66]table_female_hkom3_inj.U4!$A$1:$K$36,20,FALSE),0)</f>
        <v>0</v>
      </c>
      <c r="I2163">
        <f>IFERROR(HLOOKUP(I$2,[66]table_female_hkom3_inj.U4!$A$1:$K$36,20,FALSE),0)</f>
        <v>0</v>
      </c>
      <c r="J2163">
        <f>IFERROR(HLOOKUP(J$2,[66]table_female_hkom3_inj.U4!$A$1:$K$36,20,FALSE),0)</f>
        <v>0</v>
      </c>
      <c r="K2163">
        <f>IFERROR(HLOOKUP(K$2,[66]table_female_hkom3_inj.U4!$A$1:$K$36,20,FALSE),0)</f>
        <v>0</v>
      </c>
      <c r="L2163">
        <f>IFERROR(HLOOKUP(L$2,[66]table_female_hkom3_inj.U4!$A$1:$K$36,20,FALSE),0)</f>
        <v>0</v>
      </c>
      <c r="M2163">
        <f t="shared" si="673"/>
        <v>0</v>
      </c>
      <c r="S2163" t="s">
        <v>88</v>
      </c>
      <c r="T2163" s="5">
        <f t="shared" si="674"/>
        <v>0</v>
      </c>
      <c r="U2163" s="5">
        <f t="shared" si="675"/>
        <v>0</v>
      </c>
      <c r="V2163" s="5">
        <f t="shared" si="676"/>
        <v>0</v>
      </c>
      <c r="W2163" s="5">
        <f t="shared" si="677"/>
        <v>0</v>
      </c>
      <c r="X2163" s="5">
        <f t="shared" si="678"/>
        <v>0</v>
      </c>
      <c r="Y2163" s="5">
        <f t="shared" si="679"/>
        <v>0</v>
      </c>
      <c r="Z2163" s="5">
        <f t="shared" si="680"/>
        <v>0</v>
      </c>
      <c r="AA2163" s="5">
        <f t="shared" si="681"/>
        <v>0</v>
      </c>
      <c r="AB2163" s="5">
        <f t="shared" si="671"/>
        <v>0</v>
      </c>
    </row>
    <row r="2164" spans="4:28" x14ac:dyDescent="0.25">
      <c r="D2164" t="s">
        <v>89</v>
      </c>
      <c r="E2164" s="64"/>
      <c r="F2164" s="64"/>
      <c r="G2164">
        <f>IFERROR(HLOOKUP(G$2,[66]table_female_hkom3_inj.U4!$A$1:$K$36,21,FALSE),0)</f>
        <v>1</v>
      </c>
      <c r="H2164">
        <f>IFERROR(HLOOKUP(H$2,[66]table_female_hkom3_inj.U4!$A$1:$K$36,21,FALSE),0)</f>
        <v>0</v>
      </c>
      <c r="I2164">
        <f>IFERROR(HLOOKUP(I$2,[66]table_female_hkom3_inj.U4!$A$1:$K$36,21,FALSE),0)</f>
        <v>0</v>
      </c>
      <c r="J2164">
        <f>IFERROR(HLOOKUP(J$2,[66]table_female_hkom3_inj.U4!$A$1:$K$36,21,FALSE),0)</f>
        <v>0</v>
      </c>
      <c r="K2164">
        <f>IFERROR(HLOOKUP(K$2,[66]table_female_hkom3_inj.U4!$A$1:$K$36,21,FALSE),0)</f>
        <v>0</v>
      </c>
      <c r="L2164">
        <f>IFERROR(HLOOKUP(L$2,[66]table_female_hkom3_inj.U4!$A$1:$K$36,21,FALSE),0)</f>
        <v>0</v>
      </c>
      <c r="M2164">
        <f t="shared" si="673"/>
        <v>1</v>
      </c>
      <c r="S2164" t="s">
        <v>89</v>
      </c>
      <c r="T2164" s="5">
        <f t="shared" si="674"/>
        <v>0</v>
      </c>
      <c r="U2164" s="5">
        <f t="shared" si="675"/>
        <v>0</v>
      </c>
      <c r="V2164" s="5">
        <f t="shared" si="676"/>
        <v>1</v>
      </c>
      <c r="W2164" s="5">
        <f t="shared" si="677"/>
        <v>0</v>
      </c>
      <c r="X2164" s="5">
        <f t="shared" si="678"/>
        <v>0</v>
      </c>
      <c r="Y2164" s="5">
        <f t="shared" si="679"/>
        <v>0</v>
      </c>
      <c r="Z2164" s="5">
        <f t="shared" si="680"/>
        <v>0</v>
      </c>
      <c r="AA2164" s="5">
        <f t="shared" si="681"/>
        <v>0</v>
      </c>
      <c r="AB2164" s="5">
        <f t="shared" si="671"/>
        <v>1</v>
      </c>
    </row>
    <row r="2165" spans="4:28" x14ac:dyDescent="0.25">
      <c r="D2165" t="s">
        <v>90</v>
      </c>
      <c r="E2165" s="64"/>
      <c r="F2165" s="64"/>
      <c r="G2165">
        <f>IFERROR(HLOOKUP(G$2,[66]table_female_hkom3_inj.U4!$A$1:$K$36,22,FALSE),0)</f>
        <v>0</v>
      </c>
      <c r="H2165">
        <f>IFERROR(HLOOKUP(H$2,[66]table_female_hkom3_inj.U4!$A$1:$K$36,22,FALSE),0)</f>
        <v>0</v>
      </c>
      <c r="I2165">
        <f>IFERROR(HLOOKUP(I$2,[66]table_female_hkom3_inj.U4!$A$1:$K$36,22,FALSE),0)</f>
        <v>0</v>
      </c>
      <c r="J2165">
        <f>IFERROR(HLOOKUP(J$2,[66]table_female_hkom3_inj.U4!$A$1:$K$36,22,FALSE),0)</f>
        <v>0</v>
      </c>
      <c r="K2165">
        <f>IFERROR(HLOOKUP(K$2,[66]table_female_hkom3_inj.U4!$A$1:$K$36,22,FALSE),0)</f>
        <v>0</v>
      </c>
      <c r="L2165">
        <f>IFERROR(HLOOKUP(L$2,[66]table_female_hkom3_inj.U4!$A$1:$K$36,22,FALSE),0)</f>
        <v>0</v>
      </c>
      <c r="M2165">
        <f t="shared" si="673"/>
        <v>0</v>
      </c>
      <c r="S2165" t="s">
        <v>90</v>
      </c>
      <c r="T2165" s="5">
        <f t="shared" si="674"/>
        <v>0</v>
      </c>
      <c r="U2165" s="5">
        <f t="shared" si="675"/>
        <v>0</v>
      </c>
      <c r="V2165" s="5">
        <f t="shared" si="676"/>
        <v>0</v>
      </c>
      <c r="W2165" s="5">
        <f t="shared" si="677"/>
        <v>0</v>
      </c>
      <c r="X2165" s="5">
        <f t="shared" si="678"/>
        <v>0</v>
      </c>
      <c r="Y2165" s="5">
        <f t="shared" si="679"/>
        <v>0</v>
      </c>
      <c r="Z2165" s="5">
        <f t="shared" si="680"/>
        <v>0</v>
      </c>
      <c r="AA2165" s="5">
        <f t="shared" si="681"/>
        <v>0</v>
      </c>
      <c r="AB2165" s="5">
        <f t="shared" si="671"/>
        <v>0</v>
      </c>
    </row>
    <row r="2166" spans="4:28" x14ac:dyDescent="0.25">
      <c r="D2166" t="s">
        <v>91</v>
      </c>
      <c r="E2166" s="64"/>
      <c r="F2166" s="64"/>
      <c r="G2166">
        <f>IFERROR(HLOOKUP(G$2,[66]table_female_hkom3_inj.U4!$A$1:$K$36,23,FALSE),0)</f>
        <v>0</v>
      </c>
      <c r="H2166">
        <f>IFERROR(HLOOKUP(H$2,[66]table_female_hkom3_inj.U4!$A$1:$K$36,23,FALSE),0)</f>
        <v>0</v>
      </c>
      <c r="I2166">
        <f>IFERROR(HLOOKUP(I$2,[66]table_female_hkom3_inj.U4!$A$1:$K$36,23,FALSE),0)</f>
        <v>0</v>
      </c>
      <c r="J2166">
        <f>IFERROR(HLOOKUP(J$2,[66]table_female_hkom3_inj.U4!$A$1:$K$36,23,FALSE),0)</f>
        <v>0</v>
      </c>
      <c r="K2166">
        <f>IFERROR(HLOOKUP(K$2,[66]table_female_hkom3_inj.U4!$A$1:$K$36,23,FALSE),0)</f>
        <v>0</v>
      </c>
      <c r="L2166">
        <f>IFERROR(HLOOKUP(L$2,[66]table_female_hkom3_inj.U4!$A$1:$K$36,23,FALSE),0)</f>
        <v>0</v>
      </c>
      <c r="M2166">
        <f t="shared" si="673"/>
        <v>0</v>
      </c>
      <c r="S2166" t="s">
        <v>91</v>
      </c>
      <c r="T2166" s="5">
        <f t="shared" si="674"/>
        <v>0</v>
      </c>
      <c r="U2166" s="5">
        <f t="shared" si="675"/>
        <v>0</v>
      </c>
      <c r="V2166" s="5">
        <f t="shared" si="676"/>
        <v>0</v>
      </c>
      <c r="W2166" s="5">
        <f t="shared" si="677"/>
        <v>0</v>
      </c>
      <c r="X2166" s="5">
        <f t="shared" si="678"/>
        <v>0</v>
      </c>
      <c r="Y2166" s="5">
        <f t="shared" si="679"/>
        <v>0</v>
      </c>
      <c r="Z2166" s="5">
        <f t="shared" si="680"/>
        <v>0</v>
      </c>
      <c r="AA2166" s="5">
        <f t="shared" si="681"/>
        <v>0</v>
      </c>
      <c r="AB2166" s="5">
        <f t="shared" si="671"/>
        <v>0</v>
      </c>
    </row>
    <row r="2167" spans="4:28" x14ac:dyDescent="0.25">
      <c r="D2167" t="s">
        <v>92</v>
      </c>
      <c r="E2167" s="64"/>
      <c r="F2167" s="64"/>
      <c r="G2167">
        <f>IFERROR(HLOOKUP(G$2,[66]table_female_hkom3_inj.U4!$A$1:$K$36,24,FALSE),0)</f>
        <v>0</v>
      </c>
      <c r="H2167">
        <f>IFERROR(HLOOKUP(H$2,[66]table_female_hkom3_inj.U4!$A$1:$K$36,24,FALSE),0)</f>
        <v>0</v>
      </c>
      <c r="I2167">
        <f>IFERROR(HLOOKUP(I$2,[66]table_female_hkom3_inj.U4!$A$1:$K$36,24,FALSE),0)</f>
        <v>0</v>
      </c>
      <c r="J2167">
        <f>IFERROR(HLOOKUP(J$2,[66]table_female_hkom3_inj.U4!$A$1:$K$36,24,FALSE),0)</f>
        <v>0</v>
      </c>
      <c r="K2167">
        <f>IFERROR(HLOOKUP(K$2,[66]table_female_hkom3_inj.U4!$A$1:$K$36,24,FALSE),0)</f>
        <v>0</v>
      </c>
      <c r="L2167">
        <f>IFERROR(HLOOKUP(L$2,[66]table_female_hkom3_inj.U4!$A$1:$K$36,24,FALSE),0)</f>
        <v>0</v>
      </c>
      <c r="M2167">
        <f t="shared" si="673"/>
        <v>0</v>
      </c>
      <c r="S2167" t="s">
        <v>92</v>
      </c>
      <c r="T2167" s="5">
        <f t="shared" si="674"/>
        <v>0</v>
      </c>
      <c r="U2167" s="5">
        <f t="shared" si="675"/>
        <v>0</v>
      </c>
      <c r="V2167" s="5">
        <f t="shared" si="676"/>
        <v>0</v>
      </c>
      <c r="W2167" s="5">
        <f t="shared" si="677"/>
        <v>0</v>
      </c>
      <c r="X2167" s="5">
        <f t="shared" si="678"/>
        <v>0</v>
      </c>
      <c r="Y2167" s="5">
        <f t="shared" si="679"/>
        <v>0</v>
      </c>
      <c r="Z2167" s="5">
        <f t="shared" si="680"/>
        <v>0</v>
      </c>
      <c r="AA2167" s="5">
        <f t="shared" si="681"/>
        <v>0</v>
      </c>
      <c r="AB2167" s="5">
        <f t="shared" si="671"/>
        <v>0</v>
      </c>
    </row>
    <row r="2168" spans="4:28" x14ac:dyDescent="0.25">
      <c r="D2168" t="s">
        <v>93</v>
      </c>
      <c r="E2168" s="64"/>
      <c r="F2168" s="64"/>
      <c r="G2168">
        <f>IFERROR(HLOOKUP(G$2,[66]table_female_hkom3_inj.U4!$A$1:$K$36,25,FALSE),0)</f>
        <v>0</v>
      </c>
      <c r="H2168">
        <f>IFERROR(HLOOKUP(H$2,[66]table_female_hkom3_inj.U4!$A$1:$K$36,25,FALSE),0)</f>
        <v>0</v>
      </c>
      <c r="I2168">
        <f>IFERROR(HLOOKUP(I$2,[66]table_female_hkom3_inj.U4!$A$1:$K$36,25,FALSE),0)</f>
        <v>0</v>
      </c>
      <c r="J2168">
        <f>IFERROR(HLOOKUP(J$2,[66]table_female_hkom3_inj.U4!$A$1:$K$36,25,FALSE),0)</f>
        <v>0</v>
      </c>
      <c r="K2168">
        <f>IFERROR(HLOOKUP(K$2,[66]table_female_hkom3_inj.U4!$A$1:$K$36,25,FALSE),0)</f>
        <v>0</v>
      </c>
      <c r="L2168">
        <f>IFERROR(HLOOKUP(L$2,[66]table_female_hkom3_inj.U4!$A$1:$K$36,25,FALSE),0)</f>
        <v>0</v>
      </c>
      <c r="M2168">
        <f t="shared" si="673"/>
        <v>0</v>
      </c>
      <c r="S2168" t="s">
        <v>93</v>
      </c>
      <c r="T2168" s="5">
        <f t="shared" si="674"/>
        <v>0</v>
      </c>
      <c r="U2168" s="5">
        <f t="shared" si="675"/>
        <v>0</v>
      </c>
      <c r="V2168" s="5">
        <f t="shared" si="676"/>
        <v>0</v>
      </c>
      <c r="W2168" s="5">
        <f t="shared" si="677"/>
        <v>0</v>
      </c>
      <c r="X2168" s="5">
        <f t="shared" si="678"/>
        <v>0</v>
      </c>
      <c r="Y2168" s="5">
        <f t="shared" si="679"/>
        <v>0</v>
      </c>
      <c r="Z2168" s="5">
        <f t="shared" si="680"/>
        <v>0</v>
      </c>
      <c r="AA2168" s="5">
        <f t="shared" si="681"/>
        <v>0</v>
      </c>
      <c r="AB2168" s="5">
        <f t="shared" si="671"/>
        <v>0</v>
      </c>
    </row>
    <row r="2169" spans="4:28" x14ac:dyDescent="0.25">
      <c r="D2169" t="s">
        <v>94</v>
      </c>
      <c r="E2169" s="64"/>
      <c r="F2169" s="64"/>
      <c r="G2169">
        <f>IFERROR(HLOOKUP(G$2,[66]table_female_hkom3_inj.U4!$A$1:$K$36,26,FALSE),0)</f>
        <v>0</v>
      </c>
      <c r="H2169">
        <f>IFERROR(HLOOKUP(H$2,[66]table_female_hkom3_inj.U4!$A$1:$K$36,26,FALSE),0)</f>
        <v>0</v>
      </c>
      <c r="I2169">
        <f>IFERROR(HLOOKUP(I$2,[66]table_female_hkom3_inj.U4!$A$1:$K$36,26,FALSE),0)</f>
        <v>0</v>
      </c>
      <c r="J2169">
        <f>IFERROR(HLOOKUP(J$2,[66]table_female_hkom3_inj.U4!$A$1:$K$36,26,FALSE),0)</f>
        <v>0</v>
      </c>
      <c r="K2169">
        <f>IFERROR(HLOOKUP(K$2,[66]table_female_hkom3_inj.U4!$A$1:$K$36,26,FALSE),0)</f>
        <v>0</v>
      </c>
      <c r="L2169">
        <f>IFERROR(HLOOKUP(L$2,[66]table_female_hkom3_inj.U4!$A$1:$K$36,26,FALSE),0)</f>
        <v>0</v>
      </c>
      <c r="M2169">
        <f t="shared" si="673"/>
        <v>0</v>
      </c>
      <c r="S2169" t="s">
        <v>94</v>
      </c>
      <c r="T2169" s="5">
        <f t="shared" si="674"/>
        <v>0</v>
      </c>
      <c r="U2169" s="5">
        <f t="shared" si="675"/>
        <v>0</v>
      </c>
      <c r="V2169" s="5">
        <f t="shared" si="676"/>
        <v>0</v>
      </c>
      <c r="W2169" s="5">
        <f t="shared" si="677"/>
        <v>0</v>
      </c>
      <c r="X2169" s="5">
        <f t="shared" si="678"/>
        <v>0</v>
      </c>
      <c r="Y2169" s="5">
        <f t="shared" si="679"/>
        <v>0</v>
      </c>
      <c r="Z2169" s="5">
        <f t="shared" si="680"/>
        <v>0</v>
      </c>
      <c r="AA2169" s="5">
        <f t="shared" si="681"/>
        <v>0</v>
      </c>
      <c r="AB2169" s="5">
        <f t="shared" si="671"/>
        <v>0</v>
      </c>
    </row>
    <row r="2170" spans="4:28" x14ac:dyDescent="0.25">
      <c r="D2170" t="s">
        <v>95</v>
      </c>
      <c r="E2170" s="64"/>
      <c r="F2170" s="64"/>
      <c r="G2170">
        <f>IFERROR(HLOOKUP(G$2,[66]table_female_hkom3_inj.U4!$A$1:$K$36,27,FALSE),0)</f>
        <v>0</v>
      </c>
      <c r="H2170">
        <f>IFERROR(HLOOKUP(H$2,[66]table_female_hkom3_inj.U4!$A$1:$K$36,27,FALSE),0)</f>
        <v>0</v>
      </c>
      <c r="I2170">
        <f>IFERROR(HLOOKUP(I$2,[66]table_female_hkom3_inj.U4!$A$1:$K$36,27,FALSE),0)</f>
        <v>0</v>
      </c>
      <c r="J2170">
        <f>IFERROR(HLOOKUP(J$2,[66]table_female_hkom3_inj.U4!$A$1:$K$36,27,FALSE),0)</f>
        <v>0</v>
      </c>
      <c r="K2170">
        <f>IFERROR(HLOOKUP(K$2,[66]table_female_hkom3_inj.U4!$A$1:$K$36,27,FALSE),0)</f>
        <v>0</v>
      </c>
      <c r="L2170">
        <f>IFERROR(HLOOKUP(L$2,[66]table_female_hkom3_inj.U4!$A$1:$K$36,27,FALSE),0)</f>
        <v>0</v>
      </c>
      <c r="M2170">
        <f t="shared" si="673"/>
        <v>0</v>
      </c>
      <c r="S2170" t="s">
        <v>95</v>
      </c>
      <c r="T2170" s="5">
        <f t="shared" si="674"/>
        <v>0</v>
      </c>
      <c r="U2170" s="5">
        <f t="shared" si="675"/>
        <v>0</v>
      </c>
      <c r="V2170" s="5">
        <f t="shared" si="676"/>
        <v>0</v>
      </c>
      <c r="W2170" s="5">
        <f t="shared" si="677"/>
        <v>0</v>
      </c>
      <c r="X2170" s="5">
        <f t="shared" si="678"/>
        <v>0</v>
      </c>
      <c r="Y2170" s="5">
        <f t="shared" si="679"/>
        <v>0</v>
      </c>
      <c r="Z2170" s="5">
        <f t="shared" si="680"/>
        <v>0</v>
      </c>
      <c r="AA2170" s="5">
        <f t="shared" si="681"/>
        <v>0</v>
      </c>
      <c r="AB2170" s="5">
        <f t="shared" si="671"/>
        <v>0</v>
      </c>
    </row>
    <row r="2171" spans="4:28" x14ac:dyDescent="0.25">
      <c r="D2171" t="s">
        <v>96</v>
      </c>
      <c r="E2171" s="64"/>
      <c r="F2171" s="64"/>
      <c r="G2171">
        <f>IFERROR(HLOOKUP(G$2,[66]table_female_hkom3_inj.U4!$A$1:$K$36,28,FALSE),0)</f>
        <v>0</v>
      </c>
      <c r="H2171">
        <f>IFERROR(HLOOKUP(H$2,[66]table_female_hkom3_inj.U4!$A$1:$K$36,28,FALSE),0)</f>
        <v>0</v>
      </c>
      <c r="I2171">
        <f>IFERROR(HLOOKUP(I$2,[66]table_female_hkom3_inj.U4!$A$1:$K$36,28,FALSE),0)</f>
        <v>0</v>
      </c>
      <c r="J2171">
        <f>IFERROR(HLOOKUP(J$2,[66]table_female_hkom3_inj.U4!$A$1:$K$36,28,FALSE),0)</f>
        <v>0</v>
      </c>
      <c r="K2171">
        <f>IFERROR(HLOOKUP(K$2,[66]table_female_hkom3_inj.U4!$A$1:$K$36,28,FALSE),0)</f>
        <v>0</v>
      </c>
      <c r="L2171">
        <f>IFERROR(HLOOKUP(L$2,[66]table_female_hkom3_inj.U4!$A$1:$K$36,28,FALSE),0)</f>
        <v>0</v>
      </c>
      <c r="M2171">
        <f t="shared" si="673"/>
        <v>0</v>
      </c>
      <c r="S2171" t="s">
        <v>96</v>
      </c>
      <c r="T2171" s="5">
        <f t="shared" si="674"/>
        <v>0</v>
      </c>
      <c r="U2171" s="5">
        <f t="shared" si="675"/>
        <v>0</v>
      </c>
      <c r="V2171" s="5">
        <f t="shared" si="676"/>
        <v>0</v>
      </c>
      <c r="W2171" s="5">
        <f t="shared" si="677"/>
        <v>0</v>
      </c>
      <c r="X2171" s="5">
        <f t="shared" si="678"/>
        <v>0</v>
      </c>
      <c r="Y2171" s="5">
        <f t="shared" si="679"/>
        <v>0</v>
      </c>
      <c r="Z2171" s="5">
        <f t="shared" si="680"/>
        <v>0</v>
      </c>
      <c r="AA2171" s="5">
        <f t="shared" si="681"/>
        <v>0</v>
      </c>
      <c r="AB2171" s="5">
        <f t="shared" si="671"/>
        <v>0</v>
      </c>
    </row>
    <row r="2172" spans="4:28" x14ac:dyDescent="0.25">
      <c r="D2172" t="s">
        <v>97</v>
      </c>
      <c r="E2172" s="64"/>
      <c r="F2172" s="64"/>
      <c r="G2172">
        <f>IFERROR(HLOOKUP(G$2,[66]table_female_hkom3_inj.U4!$A$1:$K$36,29,FALSE),0)</f>
        <v>0</v>
      </c>
      <c r="H2172">
        <f>IFERROR(HLOOKUP(H$2,[66]table_female_hkom3_inj.U4!$A$1:$K$36,29,FALSE),0)</f>
        <v>1</v>
      </c>
      <c r="I2172">
        <f>IFERROR(HLOOKUP(I$2,[66]table_female_hkom3_inj.U4!$A$1:$K$36,29,FALSE),0)</f>
        <v>0</v>
      </c>
      <c r="J2172">
        <f>IFERROR(HLOOKUP(J$2,[66]table_female_hkom3_inj.U4!$A$1:$K$36,29,FALSE),0)</f>
        <v>0</v>
      </c>
      <c r="K2172">
        <f>IFERROR(HLOOKUP(K$2,[66]table_female_hkom3_inj.U4!$A$1:$K$36,29,FALSE),0)</f>
        <v>0</v>
      </c>
      <c r="L2172">
        <f>IFERROR(HLOOKUP(L$2,[66]table_female_hkom3_inj.U4!$A$1:$K$36,29,FALSE),0)</f>
        <v>0</v>
      </c>
      <c r="M2172">
        <f t="shared" si="673"/>
        <v>1</v>
      </c>
      <c r="S2172" t="s">
        <v>97</v>
      </c>
      <c r="T2172" s="5">
        <f t="shared" si="674"/>
        <v>0</v>
      </c>
      <c r="U2172" s="5">
        <f t="shared" si="675"/>
        <v>0</v>
      </c>
      <c r="V2172" s="5">
        <f t="shared" si="676"/>
        <v>0</v>
      </c>
      <c r="W2172" s="5">
        <f t="shared" si="677"/>
        <v>1</v>
      </c>
      <c r="X2172" s="5">
        <f t="shared" si="678"/>
        <v>0</v>
      </c>
      <c r="Y2172" s="5">
        <f t="shared" si="679"/>
        <v>0</v>
      </c>
      <c r="Z2172" s="5">
        <f t="shared" si="680"/>
        <v>0</v>
      </c>
      <c r="AA2172" s="5">
        <f t="shared" si="681"/>
        <v>0</v>
      </c>
      <c r="AB2172" s="5">
        <f t="shared" si="671"/>
        <v>1</v>
      </c>
    </row>
    <row r="2173" spans="4:28" x14ac:dyDescent="0.25">
      <c r="D2173" t="s">
        <v>98</v>
      </c>
      <c r="E2173" s="64"/>
      <c r="F2173" s="64"/>
      <c r="G2173">
        <f>IFERROR(HLOOKUP(G$2,[66]table_female_hkom3_inj.U4!$A$1:$K$36,30,FALSE),0)</f>
        <v>0</v>
      </c>
      <c r="H2173">
        <f>IFERROR(HLOOKUP(H$2,[66]table_female_hkom3_inj.U4!$A$1:$K$36,30,FALSE),0)</f>
        <v>6</v>
      </c>
      <c r="I2173">
        <f>IFERROR(HLOOKUP(I$2,[66]table_female_hkom3_inj.U4!$A$1:$K$36,30,FALSE),0)</f>
        <v>3</v>
      </c>
      <c r="J2173">
        <f>IFERROR(HLOOKUP(J$2,[66]table_female_hkom3_inj.U4!$A$1:$K$36,30,FALSE),0)</f>
        <v>1</v>
      </c>
      <c r="K2173">
        <f>IFERROR(HLOOKUP(K$2,[66]table_female_hkom3_inj.U4!$A$1:$K$36,30,FALSE),0)</f>
        <v>0</v>
      </c>
      <c r="L2173">
        <f>IFERROR(HLOOKUP(L$2,[66]table_female_hkom3_inj.U4!$A$1:$K$36,30,FALSE),0)</f>
        <v>0</v>
      </c>
      <c r="M2173">
        <f t="shared" si="673"/>
        <v>10</v>
      </c>
      <c r="S2173" t="s">
        <v>98</v>
      </c>
      <c r="T2173" s="5">
        <f t="shared" si="674"/>
        <v>0</v>
      </c>
      <c r="U2173" s="5">
        <f t="shared" si="675"/>
        <v>0</v>
      </c>
      <c r="V2173" s="5">
        <f t="shared" si="676"/>
        <v>0</v>
      </c>
      <c r="W2173" s="5">
        <f t="shared" si="677"/>
        <v>6</v>
      </c>
      <c r="X2173" s="5">
        <f t="shared" si="678"/>
        <v>3</v>
      </c>
      <c r="Y2173" s="5">
        <f t="shared" si="679"/>
        <v>1</v>
      </c>
      <c r="Z2173" s="5">
        <f t="shared" si="680"/>
        <v>0</v>
      </c>
      <c r="AA2173" s="5">
        <f t="shared" si="681"/>
        <v>0</v>
      </c>
      <c r="AB2173" s="5">
        <f t="shared" si="671"/>
        <v>10</v>
      </c>
    </row>
    <row r="2174" spans="4:28" x14ac:dyDescent="0.25">
      <c r="D2174" t="s">
        <v>119</v>
      </c>
      <c r="E2174" s="64"/>
      <c r="F2174" s="64"/>
      <c r="G2174">
        <f>IFERROR(HLOOKUP(G$2,[66]table_female_hkom3_inj.U4!$A$1:$K$36,31,FALSE),0)</f>
        <v>0</v>
      </c>
      <c r="H2174">
        <f>IFERROR(HLOOKUP(H$2,[66]table_female_hkom3_inj.U4!$A$1:$K$36,31,FALSE),0)</f>
        <v>0</v>
      </c>
      <c r="I2174">
        <f>IFERROR(HLOOKUP(I$2,[66]table_female_hkom3_inj.U4!$A$1:$K$36,31,FALSE),0)</f>
        <v>0</v>
      </c>
      <c r="J2174">
        <f>IFERROR(HLOOKUP(J$2,[66]table_female_hkom3_inj.U4!$A$1:$K$36,31,FALSE),0)</f>
        <v>0</v>
      </c>
      <c r="K2174">
        <f>IFERROR(HLOOKUP(K$2,[66]table_female_hkom3_inj.U4!$A$1:$K$36,31,FALSE),0)</f>
        <v>0</v>
      </c>
      <c r="L2174">
        <f>IFERROR(HLOOKUP(L$2,[66]table_female_hkom3_inj.U4!$A$1:$K$36,31,FALSE),0)</f>
        <v>0</v>
      </c>
      <c r="M2174">
        <f t="shared" si="673"/>
        <v>0</v>
      </c>
      <c r="S2174" t="s">
        <v>119</v>
      </c>
      <c r="T2174" s="5">
        <f t="shared" si="674"/>
        <v>0</v>
      </c>
      <c r="U2174" s="5">
        <f t="shared" si="675"/>
        <v>0</v>
      </c>
      <c r="V2174" s="5">
        <f t="shared" si="676"/>
        <v>0</v>
      </c>
      <c r="W2174" s="5">
        <f t="shared" si="677"/>
        <v>0</v>
      </c>
      <c r="X2174" s="5">
        <f t="shared" si="678"/>
        <v>0</v>
      </c>
      <c r="Y2174" s="5">
        <f t="shared" si="679"/>
        <v>0</v>
      </c>
      <c r="Z2174" s="5">
        <f t="shared" si="680"/>
        <v>0</v>
      </c>
      <c r="AA2174" s="5">
        <f t="shared" si="681"/>
        <v>0</v>
      </c>
      <c r="AB2174" s="5">
        <f t="shared" si="671"/>
        <v>0</v>
      </c>
    </row>
    <row r="2175" spans="4:28" x14ac:dyDescent="0.25">
      <c r="D2175" t="s">
        <v>99</v>
      </c>
      <c r="E2175" s="64"/>
      <c r="F2175" s="64"/>
      <c r="G2175">
        <f>IFERROR(HLOOKUP(G$2,[66]table_female_hkom3_inj.U4!$A$1:$K$36,32,FALSE),0)</f>
        <v>0</v>
      </c>
      <c r="H2175">
        <f>IFERROR(HLOOKUP(H$2,[66]table_female_hkom3_inj.U4!$A$1:$K$36,32,FALSE),0)</f>
        <v>0</v>
      </c>
      <c r="I2175">
        <f>IFERROR(HLOOKUP(I$2,[66]table_female_hkom3_inj.U4!$A$1:$K$36,32,FALSE),0)</f>
        <v>0</v>
      </c>
      <c r="J2175">
        <f>IFERROR(HLOOKUP(J$2,[66]table_female_hkom3_inj.U4!$A$1:$K$36,32,FALSE),0)</f>
        <v>0</v>
      </c>
      <c r="K2175">
        <f>IFERROR(HLOOKUP(K$2,[66]table_female_hkom3_inj.U4!$A$1:$K$36,32,FALSE),0)</f>
        <v>0</v>
      </c>
      <c r="L2175">
        <f>IFERROR(HLOOKUP(L$2,[66]table_female_hkom3_inj.U4!$A$1:$K$36,32,FALSE),0)</f>
        <v>0</v>
      </c>
      <c r="M2175">
        <f t="shared" si="673"/>
        <v>0</v>
      </c>
      <c r="S2175" t="s">
        <v>99</v>
      </c>
      <c r="T2175" s="5">
        <f t="shared" si="674"/>
        <v>0</v>
      </c>
      <c r="U2175" s="5">
        <f t="shared" si="675"/>
        <v>0</v>
      </c>
      <c r="V2175" s="5">
        <f t="shared" si="676"/>
        <v>0</v>
      </c>
      <c r="W2175" s="5">
        <f t="shared" si="677"/>
        <v>0</v>
      </c>
      <c r="X2175" s="5">
        <f t="shared" si="678"/>
        <v>0</v>
      </c>
      <c r="Y2175" s="5">
        <f t="shared" si="679"/>
        <v>0</v>
      </c>
      <c r="Z2175" s="5">
        <f t="shared" si="680"/>
        <v>0</v>
      </c>
      <c r="AA2175" s="5">
        <f t="shared" si="681"/>
        <v>0</v>
      </c>
      <c r="AB2175" s="5">
        <f t="shared" si="671"/>
        <v>0</v>
      </c>
    </row>
    <row r="2176" spans="4:28" x14ac:dyDescent="0.25">
      <c r="D2176" t="s">
        <v>100</v>
      </c>
      <c r="E2176" s="64"/>
      <c r="F2176" s="64"/>
      <c r="G2176">
        <f>IFERROR(HLOOKUP(G$2,[66]table_female_hkom3_inj.U4!$A$1:$K$36,33,FALSE),0)</f>
        <v>0</v>
      </c>
      <c r="H2176">
        <f>IFERROR(HLOOKUP(H$2,[66]table_female_hkom3_inj.U4!$A$1:$K$36,33,FALSE),0)</f>
        <v>0</v>
      </c>
      <c r="I2176">
        <f>IFERROR(HLOOKUP(I$2,[66]table_female_hkom3_inj.U4!$A$1:$K$36,33,FALSE),0)</f>
        <v>0</v>
      </c>
      <c r="J2176">
        <f>IFERROR(HLOOKUP(J$2,[66]table_female_hkom3_inj.U4!$A$1:$K$36,33,FALSE),0)</f>
        <v>0</v>
      </c>
      <c r="K2176">
        <f>IFERROR(HLOOKUP(K$2,[66]table_female_hkom3_inj.U4!$A$1:$K$36,33,FALSE),0)</f>
        <v>0</v>
      </c>
      <c r="L2176">
        <f>IFERROR(HLOOKUP(L$2,[66]table_female_hkom3_inj.U4!$A$1:$K$36,33,FALSE),0)</f>
        <v>0</v>
      </c>
      <c r="M2176">
        <f t="shared" si="673"/>
        <v>0</v>
      </c>
      <c r="S2176" t="s">
        <v>100</v>
      </c>
      <c r="T2176" s="5">
        <f t="shared" si="674"/>
        <v>0</v>
      </c>
      <c r="U2176" s="5">
        <f t="shared" si="675"/>
        <v>0</v>
      </c>
      <c r="V2176" s="5">
        <f t="shared" si="676"/>
        <v>0</v>
      </c>
      <c r="W2176" s="5">
        <f t="shared" si="677"/>
        <v>0</v>
      </c>
      <c r="X2176" s="5">
        <f t="shared" si="678"/>
        <v>0</v>
      </c>
      <c r="Y2176" s="5">
        <f t="shared" si="679"/>
        <v>0</v>
      </c>
      <c r="Z2176" s="5">
        <f t="shared" si="680"/>
        <v>0</v>
      </c>
      <c r="AA2176" s="5">
        <f t="shared" si="681"/>
        <v>0</v>
      </c>
      <c r="AB2176" s="5">
        <f t="shared" si="671"/>
        <v>0</v>
      </c>
    </row>
    <row r="2177" spans="1:29" x14ac:dyDescent="0.25">
      <c r="D2177" t="s">
        <v>101</v>
      </c>
      <c r="E2177" s="64"/>
      <c r="F2177" s="64"/>
      <c r="G2177">
        <f>IFERROR(HLOOKUP(G$2,[66]table_female_hkom3_inj.U4!$A$1:$K$36,34,FALSE),0)</f>
        <v>0</v>
      </c>
      <c r="H2177">
        <f>IFERROR(HLOOKUP(H$2,[66]table_female_hkom3_inj.U4!$A$1:$K$36,34,FALSE),0)</f>
        <v>0</v>
      </c>
      <c r="I2177">
        <f>IFERROR(HLOOKUP(I$2,[66]table_female_hkom3_inj.U4!$A$1:$K$36,34,FALSE),0)</f>
        <v>0</v>
      </c>
      <c r="J2177">
        <f>IFERROR(HLOOKUP(J$2,[66]table_female_hkom3_inj.U4!$A$1:$K$36,34,FALSE),0)</f>
        <v>0</v>
      </c>
      <c r="K2177">
        <f>IFERROR(HLOOKUP(K$2,[66]table_female_hkom3_inj.U4!$A$1:$K$36,34,FALSE),0)</f>
        <v>0</v>
      </c>
      <c r="L2177">
        <f>IFERROR(HLOOKUP(L$2,[66]table_female_hkom3_inj.U4!$A$1:$K$36,34,FALSE),0)</f>
        <v>0</v>
      </c>
      <c r="M2177">
        <f t="shared" si="673"/>
        <v>0</v>
      </c>
      <c r="S2177" t="s">
        <v>101</v>
      </c>
      <c r="T2177" s="5">
        <f t="shared" si="674"/>
        <v>0</v>
      </c>
      <c r="U2177" s="5">
        <f t="shared" si="675"/>
        <v>0</v>
      </c>
      <c r="V2177" s="5">
        <f t="shared" si="676"/>
        <v>0</v>
      </c>
      <c r="W2177" s="5">
        <f t="shared" si="677"/>
        <v>0</v>
      </c>
      <c r="X2177" s="5">
        <f t="shared" si="678"/>
        <v>0</v>
      </c>
      <c r="Y2177" s="5">
        <f t="shared" si="679"/>
        <v>0</v>
      </c>
      <c r="Z2177" s="5">
        <f t="shared" si="680"/>
        <v>0</v>
      </c>
      <c r="AA2177" s="5">
        <f t="shared" si="681"/>
        <v>0</v>
      </c>
      <c r="AB2177" s="5">
        <f t="shared" si="671"/>
        <v>0</v>
      </c>
    </row>
    <row r="2178" spans="1:29" x14ac:dyDescent="0.25">
      <c r="D2178" t="s">
        <v>102</v>
      </c>
      <c r="E2178" s="64"/>
      <c r="F2178" s="64"/>
      <c r="G2178">
        <f>IFERROR(HLOOKUP(G$2,[66]table_female_hkom3_inj.U4!$A$1:$K$36,35,FALSE),0)</f>
        <v>0</v>
      </c>
      <c r="H2178">
        <f>IFERROR(HLOOKUP(H$2,[66]table_female_hkom3_inj.U4!$A$1:$K$36,35,FALSE),0)</f>
        <v>0</v>
      </c>
      <c r="I2178">
        <f>IFERROR(HLOOKUP(I$2,[66]table_female_hkom3_inj.U4!$A$1:$K$36,35,FALSE),0)</f>
        <v>0</v>
      </c>
      <c r="J2178">
        <f>IFERROR(HLOOKUP(J$2,[66]table_female_hkom3_inj.U4!$A$1:$K$36,35,FALSE),0)</f>
        <v>0</v>
      </c>
      <c r="K2178">
        <f>IFERROR(HLOOKUP(K$2,[66]table_female_hkom3_inj.U4!$A$1:$K$36,35,FALSE),0)</f>
        <v>0</v>
      </c>
      <c r="L2178">
        <f>IFERROR(HLOOKUP(L$2,[66]table_female_hkom3_inj.U4!$A$1:$K$36,35,FALSE),0)</f>
        <v>0</v>
      </c>
      <c r="M2178">
        <f t="shared" si="673"/>
        <v>0</v>
      </c>
      <c r="N2178">
        <f>SUM(M2145:M2178)</f>
        <v>13</v>
      </c>
      <c r="O2178" s="8">
        <f>SUM([66]table_female_hkom3_inj.U4!$B$2:$L$36)</f>
        <v>13</v>
      </c>
      <c r="S2178" t="s">
        <v>102</v>
      </c>
      <c r="T2178" s="7"/>
      <c r="U2178" s="7"/>
      <c r="V2178" s="7"/>
      <c r="W2178" s="7"/>
      <c r="X2178" s="7"/>
      <c r="Y2178" s="7"/>
      <c r="Z2178" s="7"/>
      <c r="AA2178" s="7"/>
      <c r="AB2178" s="5">
        <f t="shared" si="671"/>
        <v>0</v>
      </c>
      <c r="AC2178" s="5">
        <f>SUM(AB2145:AB2177)</f>
        <v>13</v>
      </c>
    </row>
    <row r="2179" spans="1:29" x14ac:dyDescent="0.25">
      <c r="A2179" t="s">
        <v>115</v>
      </c>
      <c r="B2179" t="s">
        <v>117</v>
      </c>
      <c r="C2179" t="s">
        <v>113</v>
      </c>
      <c r="D2179" t="s">
        <v>70</v>
      </c>
      <c r="E2179" s="64"/>
      <c r="F2179" s="64"/>
      <c r="G2179">
        <f>IFERROR(HLOOKUP(G$2,[67]table_female_hkom3_inj.U5!$A$1:$K$36,2,FALSE),0)</f>
        <v>0</v>
      </c>
      <c r="H2179">
        <f>IFERROR(HLOOKUP(H$2,[67]table_female_hkom3_inj.U5!$A$1:$K$36,2,FALSE),0)</f>
        <v>0</v>
      </c>
      <c r="I2179">
        <f>IFERROR(HLOOKUP(I$2,[67]table_female_hkom3_inj.U5!$A$1:$K$36,2,FALSE),0)</f>
        <v>0</v>
      </c>
      <c r="J2179">
        <f>IFERROR(HLOOKUP(J$2,[67]table_female_hkom3_inj.U5!$A$1:$K$36,2,FALSE),0)</f>
        <v>0</v>
      </c>
      <c r="K2179">
        <f>IFERROR(HLOOKUP(K$2,[67]table_female_hkom3_inj.U5!$A$1:$K$36,2,FALSE),0)</f>
        <v>0</v>
      </c>
      <c r="L2179">
        <f>IFERROR(HLOOKUP(L$2,[67]table_female_hkom3_inj.U5!$A$1:$K$36,2,FALSE),0)</f>
        <v>0</v>
      </c>
      <c r="M2179">
        <f>SUM(E2179:L2179)</f>
        <v>0</v>
      </c>
      <c r="P2179" t="s">
        <v>115</v>
      </c>
      <c r="Q2179" t="s">
        <v>117</v>
      </c>
      <c r="R2179" t="s">
        <v>113</v>
      </c>
      <c r="S2179" t="s">
        <v>70</v>
      </c>
      <c r="T2179" s="5">
        <f>IF(SUM(E$2179:E$2211)=0,E$2212/33,E2179+IFERROR(E2179/SUM(E$2179:E$2211)*E$2212,0))</f>
        <v>0</v>
      </c>
      <c r="U2179" s="5">
        <f t="shared" ref="U2179:AA2179" si="682">IF(SUM(F$2179:F$2211)=0,F$2212/33,F2179+IFERROR(F2179/SUM(F$2179:F$2211)*F$2212,0))</f>
        <v>0</v>
      </c>
      <c r="V2179" s="5">
        <f t="shared" si="682"/>
        <v>6.0606060606060608E-2</v>
      </c>
      <c r="W2179" s="5">
        <f t="shared" si="682"/>
        <v>0</v>
      </c>
      <c r="X2179" s="5">
        <f t="shared" si="682"/>
        <v>0</v>
      </c>
      <c r="Y2179" s="5">
        <f t="shared" si="682"/>
        <v>3.0303030303030304E-2</v>
      </c>
      <c r="Z2179" s="5">
        <f t="shared" si="682"/>
        <v>0</v>
      </c>
      <c r="AA2179" s="5">
        <f t="shared" si="682"/>
        <v>0</v>
      </c>
      <c r="AB2179" s="5">
        <f t="shared" si="671"/>
        <v>9.0909090909090912E-2</v>
      </c>
    </row>
    <row r="2180" spans="1:29" x14ac:dyDescent="0.25">
      <c r="D2180" t="s">
        <v>71</v>
      </c>
      <c r="E2180" s="64"/>
      <c r="F2180" s="64"/>
      <c r="G2180">
        <f>IFERROR(HLOOKUP(G$2,[67]table_female_hkom3_inj.U5!$A$1:$K$36,3,FALSE),0)</f>
        <v>0</v>
      </c>
      <c r="H2180">
        <f>IFERROR(HLOOKUP(H$2,[67]table_female_hkom3_inj.U5!$A$1:$K$36,3,FALSE),0)</f>
        <v>0</v>
      </c>
      <c r="I2180">
        <f>IFERROR(HLOOKUP(I$2,[67]table_female_hkom3_inj.U5!$A$1:$K$36,3,FALSE),0)</f>
        <v>0</v>
      </c>
      <c r="J2180">
        <f>IFERROR(HLOOKUP(J$2,[67]table_female_hkom3_inj.U5!$A$1:$K$36,3,FALSE),0)</f>
        <v>0</v>
      </c>
      <c r="K2180">
        <f>IFERROR(HLOOKUP(K$2,[67]table_female_hkom3_inj.U5!$A$1:$K$36,3,FALSE),0)</f>
        <v>0</v>
      </c>
      <c r="L2180">
        <f>IFERROR(HLOOKUP(L$2,[67]table_female_hkom3_inj.U5!$A$1:$K$36,3,FALSE),0)</f>
        <v>0</v>
      </c>
      <c r="M2180">
        <f t="shared" ref="M2180:M2212" si="683">SUM(E2180:L2180)</f>
        <v>0</v>
      </c>
      <c r="S2180" t="s">
        <v>71</v>
      </c>
      <c r="T2180" s="5">
        <f t="shared" ref="T2180:T2211" si="684">IF(SUM(E$2179:E$2211)=0,E$2212/33,E2180+IFERROR(E2180/SUM(E$2179:E$2211)*E$2212,0))</f>
        <v>0</v>
      </c>
      <c r="U2180" s="5">
        <f t="shared" ref="U2180:U2211" si="685">IF(SUM(F$2179:F$2211)=0,F$2212/33,F2180+IFERROR(F2180/SUM(F$2179:F$2211)*F$2212,0))</f>
        <v>0</v>
      </c>
      <c r="V2180" s="5">
        <f t="shared" ref="V2180:V2211" si="686">IF(SUM(G$2179:G$2211)=0,G$2212/33,G2180+IFERROR(G2180/SUM(G$2179:G$2211)*G$2212,0))</f>
        <v>6.0606060606060608E-2</v>
      </c>
      <c r="W2180" s="5">
        <f t="shared" ref="W2180:W2211" si="687">IF(SUM(H$2179:H$2211)=0,H$2212/33,H2180+IFERROR(H2180/SUM(H$2179:H$2211)*H$2212,0))</f>
        <v>0</v>
      </c>
      <c r="X2180" s="5">
        <f t="shared" ref="X2180:X2211" si="688">IF(SUM(I$2179:I$2211)=0,I$2212/33,I2180+IFERROR(I2180/SUM(I$2179:I$2211)*I$2212,0))</f>
        <v>0</v>
      </c>
      <c r="Y2180" s="5">
        <f t="shared" ref="Y2180:Y2211" si="689">IF(SUM(J$2179:J$2211)=0,J$2212/33,J2180+IFERROR(J2180/SUM(J$2179:J$2211)*J$2212,0))</f>
        <v>3.0303030303030304E-2</v>
      </c>
      <c r="Z2180" s="5">
        <f t="shared" ref="Z2180:Z2211" si="690">IF(SUM(K$2179:K$2211)=0,K$2212/33,K2180+IFERROR(K2180/SUM(K$2179:K$2211)*K$2212,0))</f>
        <v>0</v>
      </c>
      <c r="AA2180" s="5">
        <f t="shared" ref="AA2180:AA2211" si="691">IF(SUM(L$2179:L$2211)=0,L$2212/33,L2180+IFERROR(L2180/SUM(L$2179:L$2211)*L$2212,0))</f>
        <v>0</v>
      </c>
      <c r="AB2180" s="5">
        <f t="shared" si="671"/>
        <v>9.0909090909090912E-2</v>
      </c>
    </row>
    <row r="2181" spans="1:29" x14ac:dyDescent="0.25">
      <c r="D2181" t="s">
        <v>72</v>
      </c>
      <c r="E2181" s="64"/>
      <c r="F2181" s="64"/>
      <c r="G2181">
        <f>IFERROR(HLOOKUP(G$2,[67]table_female_hkom3_inj.U5!$A$1:$K$36,4,FALSE),0)</f>
        <v>0</v>
      </c>
      <c r="H2181">
        <f>IFERROR(HLOOKUP(H$2,[67]table_female_hkom3_inj.U5!$A$1:$K$36,4,FALSE),0)</f>
        <v>0</v>
      </c>
      <c r="I2181">
        <f>IFERROR(HLOOKUP(I$2,[67]table_female_hkom3_inj.U5!$A$1:$K$36,4,FALSE),0)</f>
        <v>0</v>
      </c>
      <c r="J2181">
        <f>IFERROR(HLOOKUP(J$2,[67]table_female_hkom3_inj.U5!$A$1:$K$36,4,FALSE),0)</f>
        <v>0</v>
      </c>
      <c r="K2181">
        <f>IFERROR(HLOOKUP(K$2,[67]table_female_hkom3_inj.U5!$A$1:$K$36,4,FALSE),0)</f>
        <v>0</v>
      </c>
      <c r="L2181">
        <f>IFERROR(HLOOKUP(L$2,[67]table_female_hkom3_inj.U5!$A$1:$K$36,4,FALSE),0)</f>
        <v>0</v>
      </c>
      <c r="M2181">
        <f t="shared" si="683"/>
        <v>0</v>
      </c>
      <c r="S2181" t="s">
        <v>72</v>
      </c>
      <c r="T2181" s="5">
        <f t="shared" si="684"/>
        <v>0</v>
      </c>
      <c r="U2181" s="5">
        <f t="shared" si="685"/>
        <v>0</v>
      </c>
      <c r="V2181" s="5">
        <f t="shared" si="686"/>
        <v>6.0606060606060608E-2</v>
      </c>
      <c r="W2181" s="5">
        <f t="shared" si="687"/>
        <v>0</v>
      </c>
      <c r="X2181" s="5">
        <f t="shared" si="688"/>
        <v>0</v>
      </c>
      <c r="Y2181" s="5">
        <f t="shared" si="689"/>
        <v>3.0303030303030304E-2</v>
      </c>
      <c r="Z2181" s="5">
        <f t="shared" si="690"/>
        <v>0</v>
      </c>
      <c r="AA2181" s="5">
        <f t="shared" si="691"/>
        <v>0</v>
      </c>
      <c r="AB2181" s="5">
        <f t="shared" si="671"/>
        <v>9.0909090909090912E-2</v>
      </c>
    </row>
    <row r="2182" spans="1:29" x14ac:dyDescent="0.25">
      <c r="D2182" t="s">
        <v>73</v>
      </c>
      <c r="E2182" s="64"/>
      <c r="F2182" s="64"/>
      <c r="G2182">
        <f>IFERROR(HLOOKUP(G$2,[67]table_female_hkom3_inj.U5!$A$1:$K$36,5,FALSE),0)</f>
        <v>0</v>
      </c>
      <c r="H2182">
        <f>IFERROR(HLOOKUP(H$2,[67]table_female_hkom3_inj.U5!$A$1:$K$36,5,FALSE),0)</f>
        <v>0</v>
      </c>
      <c r="I2182">
        <f>IFERROR(HLOOKUP(I$2,[67]table_female_hkom3_inj.U5!$A$1:$K$36,5,FALSE),0)</f>
        <v>0</v>
      </c>
      <c r="J2182">
        <f>IFERROR(HLOOKUP(J$2,[67]table_female_hkom3_inj.U5!$A$1:$K$36,5,FALSE),0)</f>
        <v>0</v>
      </c>
      <c r="K2182">
        <f>IFERROR(HLOOKUP(K$2,[67]table_female_hkom3_inj.U5!$A$1:$K$36,5,FALSE),0)</f>
        <v>0</v>
      </c>
      <c r="L2182">
        <f>IFERROR(HLOOKUP(L$2,[67]table_female_hkom3_inj.U5!$A$1:$K$36,5,FALSE),0)</f>
        <v>0</v>
      </c>
      <c r="M2182">
        <f t="shared" si="683"/>
        <v>0</v>
      </c>
      <c r="S2182" t="s">
        <v>73</v>
      </c>
      <c r="T2182" s="5">
        <f t="shared" si="684"/>
        <v>0</v>
      </c>
      <c r="U2182" s="5">
        <f t="shared" si="685"/>
        <v>0</v>
      </c>
      <c r="V2182" s="5">
        <f t="shared" si="686"/>
        <v>6.0606060606060608E-2</v>
      </c>
      <c r="W2182" s="5">
        <f t="shared" si="687"/>
        <v>0</v>
      </c>
      <c r="X2182" s="5">
        <f t="shared" si="688"/>
        <v>0</v>
      </c>
      <c r="Y2182" s="5">
        <f t="shared" si="689"/>
        <v>3.0303030303030304E-2</v>
      </c>
      <c r="Z2182" s="5">
        <f t="shared" si="690"/>
        <v>0</v>
      </c>
      <c r="AA2182" s="5">
        <f t="shared" si="691"/>
        <v>0</v>
      </c>
      <c r="AB2182" s="5">
        <f t="shared" si="671"/>
        <v>9.0909090909090912E-2</v>
      </c>
    </row>
    <row r="2183" spans="1:29" x14ac:dyDescent="0.25">
      <c r="D2183" t="s">
        <v>74</v>
      </c>
      <c r="E2183" s="64"/>
      <c r="F2183" s="64"/>
      <c r="G2183">
        <f>IFERROR(HLOOKUP(G$2,[67]table_female_hkom3_inj.U5!$A$1:$K$36,6,FALSE),0)</f>
        <v>0</v>
      </c>
      <c r="H2183">
        <f>IFERROR(HLOOKUP(H$2,[67]table_female_hkom3_inj.U5!$A$1:$K$36,6,FALSE),0)</f>
        <v>0</v>
      </c>
      <c r="I2183">
        <f>IFERROR(HLOOKUP(I$2,[67]table_female_hkom3_inj.U5!$A$1:$K$36,6,FALSE),0)</f>
        <v>0</v>
      </c>
      <c r="J2183">
        <f>IFERROR(HLOOKUP(J$2,[67]table_female_hkom3_inj.U5!$A$1:$K$36,6,FALSE),0)</f>
        <v>0</v>
      </c>
      <c r="K2183">
        <f>IFERROR(HLOOKUP(K$2,[67]table_female_hkom3_inj.U5!$A$1:$K$36,6,FALSE),0)</f>
        <v>0</v>
      </c>
      <c r="L2183">
        <f>IFERROR(HLOOKUP(L$2,[67]table_female_hkom3_inj.U5!$A$1:$K$36,6,FALSE),0)</f>
        <v>0</v>
      </c>
      <c r="M2183">
        <f t="shared" si="683"/>
        <v>0</v>
      </c>
      <c r="S2183" t="s">
        <v>74</v>
      </c>
      <c r="T2183" s="5">
        <f t="shared" si="684"/>
        <v>0</v>
      </c>
      <c r="U2183" s="5">
        <f t="shared" si="685"/>
        <v>0</v>
      </c>
      <c r="V2183" s="5">
        <f t="shared" si="686"/>
        <v>6.0606060606060608E-2</v>
      </c>
      <c r="W2183" s="5">
        <f t="shared" si="687"/>
        <v>0</v>
      </c>
      <c r="X2183" s="5">
        <f t="shared" si="688"/>
        <v>0</v>
      </c>
      <c r="Y2183" s="5">
        <f t="shared" si="689"/>
        <v>3.0303030303030304E-2</v>
      </c>
      <c r="Z2183" s="5">
        <f t="shared" si="690"/>
        <v>0</v>
      </c>
      <c r="AA2183" s="5">
        <f t="shared" si="691"/>
        <v>0</v>
      </c>
      <c r="AB2183" s="5">
        <f t="shared" si="671"/>
        <v>9.0909090909090912E-2</v>
      </c>
    </row>
    <row r="2184" spans="1:29" x14ac:dyDescent="0.25">
      <c r="D2184" t="s">
        <v>75</v>
      </c>
      <c r="E2184" s="64"/>
      <c r="F2184" s="64"/>
      <c r="G2184">
        <f>IFERROR(HLOOKUP(G$2,[67]table_female_hkom3_inj.U5!$A$1:$K$36,7,FALSE),0)</f>
        <v>0</v>
      </c>
      <c r="H2184">
        <f>IFERROR(HLOOKUP(H$2,[67]table_female_hkom3_inj.U5!$A$1:$K$36,7,FALSE),0)</f>
        <v>0</v>
      </c>
      <c r="I2184">
        <f>IFERROR(HLOOKUP(I$2,[67]table_female_hkom3_inj.U5!$A$1:$K$36,7,FALSE),0)</f>
        <v>0</v>
      </c>
      <c r="J2184">
        <f>IFERROR(HLOOKUP(J$2,[67]table_female_hkom3_inj.U5!$A$1:$K$36,7,FALSE),0)</f>
        <v>0</v>
      </c>
      <c r="K2184">
        <f>IFERROR(HLOOKUP(K$2,[67]table_female_hkom3_inj.U5!$A$1:$K$36,7,FALSE),0)</f>
        <v>0</v>
      </c>
      <c r="L2184">
        <f>IFERROR(HLOOKUP(L$2,[67]table_female_hkom3_inj.U5!$A$1:$K$36,7,FALSE),0)</f>
        <v>0</v>
      </c>
      <c r="M2184">
        <f t="shared" si="683"/>
        <v>0</v>
      </c>
      <c r="S2184" t="s">
        <v>75</v>
      </c>
      <c r="T2184" s="5">
        <f t="shared" si="684"/>
        <v>0</v>
      </c>
      <c r="U2184" s="5">
        <f t="shared" si="685"/>
        <v>0</v>
      </c>
      <c r="V2184" s="5">
        <f t="shared" si="686"/>
        <v>6.0606060606060608E-2</v>
      </c>
      <c r="W2184" s="5">
        <f t="shared" si="687"/>
        <v>0</v>
      </c>
      <c r="X2184" s="5">
        <f t="shared" si="688"/>
        <v>0</v>
      </c>
      <c r="Y2184" s="5">
        <f t="shared" si="689"/>
        <v>3.0303030303030304E-2</v>
      </c>
      <c r="Z2184" s="5">
        <f t="shared" si="690"/>
        <v>0</v>
      </c>
      <c r="AA2184" s="5">
        <f t="shared" si="691"/>
        <v>0</v>
      </c>
      <c r="AB2184" s="5">
        <f t="shared" si="671"/>
        <v>9.0909090909090912E-2</v>
      </c>
    </row>
    <row r="2185" spans="1:29" x14ac:dyDescent="0.25">
      <c r="D2185" t="s">
        <v>76</v>
      </c>
      <c r="E2185" s="64"/>
      <c r="F2185" s="64"/>
      <c r="G2185">
        <f>IFERROR(HLOOKUP(G$2,[67]table_female_hkom3_inj.U5!$A$1:$K$36,8,FALSE),0)</f>
        <v>0</v>
      </c>
      <c r="H2185">
        <f>IFERROR(HLOOKUP(H$2,[67]table_female_hkom3_inj.U5!$A$1:$K$36,8,FALSE),0)</f>
        <v>0</v>
      </c>
      <c r="I2185">
        <f>IFERROR(HLOOKUP(I$2,[67]table_female_hkom3_inj.U5!$A$1:$K$36,8,FALSE),0)</f>
        <v>0</v>
      </c>
      <c r="J2185">
        <f>IFERROR(HLOOKUP(J$2,[67]table_female_hkom3_inj.U5!$A$1:$K$36,8,FALSE),0)</f>
        <v>0</v>
      </c>
      <c r="K2185">
        <f>IFERROR(HLOOKUP(K$2,[67]table_female_hkom3_inj.U5!$A$1:$K$36,8,FALSE),0)</f>
        <v>0</v>
      </c>
      <c r="L2185">
        <f>IFERROR(HLOOKUP(L$2,[67]table_female_hkom3_inj.U5!$A$1:$K$36,8,FALSE),0)</f>
        <v>0</v>
      </c>
      <c r="M2185">
        <f t="shared" si="683"/>
        <v>0</v>
      </c>
      <c r="S2185" t="s">
        <v>76</v>
      </c>
      <c r="T2185" s="5">
        <f t="shared" si="684"/>
        <v>0</v>
      </c>
      <c r="U2185" s="5">
        <f t="shared" si="685"/>
        <v>0</v>
      </c>
      <c r="V2185" s="5">
        <f t="shared" si="686"/>
        <v>6.0606060606060608E-2</v>
      </c>
      <c r="W2185" s="5">
        <f t="shared" si="687"/>
        <v>0</v>
      </c>
      <c r="X2185" s="5">
        <f t="shared" si="688"/>
        <v>0</v>
      </c>
      <c r="Y2185" s="5">
        <f t="shared" si="689"/>
        <v>3.0303030303030304E-2</v>
      </c>
      <c r="Z2185" s="5">
        <f t="shared" si="690"/>
        <v>0</v>
      </c>
      <c r="AA2185" s="5">
        <f t="shared" si="691"/>
        <v>0</v>
      </c>
      <c r="AB2185" s="5">
        <f t="shared" si="671"/>
        <v>9.0909090909090912E-2</v>
      </c>
    </row>
    <row r="2186" spans="1:29" x14ac:dyDescent="0.25">
      <c r="D2186" t="s">
        <v>77</v>
      </c>
      <c r="E2186" s="64"/>
      <c r="F2186" s="64"/>
      <c r="G2186">
        <f>IFERROR(HLOOKUP(G$2,[67]table_female_hkom3_inj.U5!$A$1:$K$36,9,FALSE),0)</f>
        <v>0</v>
      </c>
      <c r="H2186">
        <f>IFERROR(HLOOKUP(H$2,[67]table_female_hkom3_inj.U5!$A$1:$K$36,9,FALSE),0)</f>
        <v>0</v>
      </c>
      <c r="I2186">
        <f>IFERROR(HLOOKUP(I$2,[67]table_female_hkom3_inj.U5!$A$1:$K$36,9,FALSE),0)</f>
        <v>0</v>
      </c>
      <c r="J2186">
        <f>IFERROR(HLOOKUP(J$2,[67]table_female_hkom3_inj.U5!$A$1:$K$36,9,FALSE),0)</f>
        <v>0</v>
      </c>
      <c r="K2186">
        <f>IFERROR(HLOOKUP(K$2,[67]table_female_hkom3_inj.U5!$A$1:$K$36,9,FALSE),0)</f>
        <v>0</v>
      </c>
      <c r="L2186">
        <f>IFERROR(HLOOKUP(L$2,[67]table_female_hkom3_inj.U5!$A$1:$K$36,9,FALSE),0)</f>
        <v>0</v>
      </c>
      <c r="M2186">
        <f t="shared" si="683"/>
        <v>0</v>
      </c>
      <c r="S2186" t="s">
        <v>77</v>
      </c>
      <c r="T2186" s="5">
        <f t="shared" si="684"/>
        <v>0</v>
      </c>
      <c r="U2186" s="5">
        <f t="shared" si="685"/>
        <v>0</v>
      </c>
      <c r="V2186" s="5">
        <f t="shared" si="686"/>
        <v>6.0606060606060608E-2</v>
      </c>
      <c r="W2186" s="5">
        <f t="shared" si="687"/>
        <v>0</v>
      </c>
      <c r="X2186" s="5">
        <f t="shared" si="688"/>
        <v>0</v>
      </c>
      <c r="Y2186" s="5">
        <f t="shared" si="689"/>
        <v>3.0303030303030304E-2</v>
      </c>
      <c r="Z2186" s="5">
        <f t="shared" si="690"/>
        <v>0</v>
      </c>
      <c r="AA2186" s="5">
        <f t="shared" si="691"/>
        <v>0</v>
      </c>
      <c r="AB2186" s="5">
        <f t="shared" si="671"/>
        <v>9.0909090909090912E-2</v>
      </c>
    </row>
    <row r="2187" spans="1:29" x14ac:dyDescent="0.25">
      <c r="D2187" t="s">
        <v>78</v>
      </c>
      <c r="E2187" s="64"/>
      <c r="F2187" s="64"/>
      <c r="G2187">
        <f>IFERROR(HLOOKUP(G$2,[67]table_female_hkom3_inj.U5!$A$1:$K$36,10,FALSE),0)</f>
        <v>0</v>
      </c>
      <c r="H2187">
        <f>IFERROR(HLOOKUP(H$2,[67]table_female_hkom3_inj.U5!$A$1:$K$36,10,FALSE),0)</f>
        <v>0</v>
      </c>
      <c r="I2187">
        <f>IFERROR(HLOOKUP(I$2,[67]table_female_hkom3_inj.U5!$A$1:$K$36,10,FALSE),0)</f>
        <v>0</v>
      </c>
      <c r="J2187">
        <f>IFERROR(HLOOKUP(J$2,[67]table_female_hkom3_inj.U5!$A$1:$K$36,10,FALSE),0)</f>
        <v>0</v>
      </c>
      <c r="K2187">
        <f>IFERROR(HLOOKUP(K$2,[67]table_female_hkom3_inj.U5!$A$1:$K$36,10,FALSE),0)</f>
        <v>0</v>
      </c>
      <c r="L2187">
        <f>IFERROR(HLOOKUP(L$2,[67]table_female_hkom3_inj.U5!$A$1:$K$36,10,FALSE),0)</f>
        <v>0</v>
      </c>
      <c r="M2187">
        <f t="shared" si="683"/>
        <v>0</v>
      </c>
      <c r="S2187" t="s">
        <v>78</v>
      </c>
      <c r="T2187" s="5">
        <f t="shared" si="684"/>
        <v>0</v>
      </c>
      <c r="U2187" s="5">
        <f t="shared" si="685"/>
        <v>0</v>
      </c>
      <c r="V2187" s="5">
        <f t="shared" si="686"/>
        <v>6.0606060606060608E-2</v>
      </c>
      <c r="W2187" s="5">
        <f t="shared" si="687"/>
        <v>0</v>
      </c>
      <c r="X2187" s="5">
        <f t="shared" si="688"/>
        <v>0</v>
      </c>
      <c r="Y2187" s="5">
        <f t="shared" si="689"/>
        <v>3.0303030303030304E-2</v>
      </c>
      <c r="Z2187" s="5">
        <f t="shared" si="690"/>
        <v>0</v>
      </c>
      <c r="AA2187" s="5">
        <f t="shared" si="691"/>
        <v>0</v>
      </c>
      <c r="AB2187" s="5">
        <f t="shared" si="671"/>
        <v>9.0909090909090912E-2</v>
      </c>
    </row>
    <row r="2188" spans="1:29" x14ac:dyDescent="0.25">
      <c r="D2188" t="s">
        <v>79</v>
      </c>
      <c r="E2188" s="64"/>
      <c r="F2188" s="64"/>
      <c r="G2188">
        <f>IFERROR(HLOOKUP(G$2,[67]table_female_hkom3_inj.U5!$A$1:$K$36,11,FALSE),0)</f>
        <v>0</v>
      </c>
      <c r="H2188">
        <f>IFERROR(HLOOKUP(H$2,[67]table_female_hkom3_inj.U5!$A$1:$K$36,11,FALSE),0)</f>
        <v>0</v>
      </c>
      <c r="I2188">
        <f>IFERROR(HLOOKUP(I$2,[67]table_female_hkom3_inj.U5!$A$1:$K$36,11,FALSE),0)</f>
        <v>0</v>
      </c>
      <c r="J2188">
        <f>IFERROR(HLOOKUP(J$2,[67]table_female_hkom3_inj.U5!$A$1:$K$36,11,FALSE),0)</f>
        <v>0</v>
      </c>
      <c r="K2188">
        <f>IFERROR(HLOOKUP(K$2,[67]table_female_hkom3_inj.U5!$A$1:$K$36,11,FALSE),0)</f>
        <v>0</v>
      </c>
      <c r="L2188">
        <f>IFERROR(HLOOKUP(L$2,[67]table_female_hkom3_inj.U5!$A$1:$K$36,11,FALSE),0)</f>
        <v>0</v>
      </c>
      <c r="M2188">
        <f t="shared" si="683"/>
        <v>0</v>
      </c>
      <c r="S2188" t="s">
        <v>79</v>
      </c>
      <c r="T2188" s="5">
        <f t="shared" si="684"/>
        <v>0</v>
      </c>
      <c r="U2188" s="5">
        <f t="shared" si="685"/>
        <v>0</v>
      </c>
      <c r="V2188" s="5">
        <f t="shared" si="686"/>
        <v>6.0606060606060608E-2</v>
      </c>
      <c r="W2188" s="5">
        <f t="shared" si="687"/>
        <v>0</v>
      </c>
      <c r="X2188" s="5">
        <f t="shared" si="688"/>
        <v>0</v>
      </c>
      <c r="Y2188" s="5">
        <f t="shared" si="689"/>
        <v>3.0303030303030304E-2</v>
      </c>
      <c r="Z2188" s="5">
        <f t="shared" si="690"/>
        <v>0</v>
      </c>
      <c r="AA2188" s="5">
        <f t="shared" si="691"/>
        <v>0</v>
      </c>
      <c r="AB2188" s="5">
        <f t="shared" si="671"/>
        <v>9.0909090909090912E-2</v>
      </c>
    </row>
    <row r="2189" spans="1:29" x14ac:dyDescent="0.25">
      <c r="D2189" t="s">
        <v>80</v>
      </c>
      <c r="E2189" s="64"/>
      <c r="F2189" s="64"/>
      <c r="G2189">
        <f>IFERROR(HLOOKUP(G$2,[67]table_female_hkom3_inj.U5!$A$1:$K$36,12,FALSE),0)</f>
        <v>0</v>
      </c>
      <c r="H2189">
        <f>IFERROR(HLOOKUP(H$2,[67]table_female_hkom3_inj.U5!$A$1:$K$36,12,FALSE),0)</f>
        <v>0</v>
      </c>
      <c r="I2189">
        <f>IFERROR(HLOOKUP(I$2,[67]table_female_hkom3_inj.U5!$A$1:$K$36,12,FALSE),0)</f>
        <v>0</v>
      </c>
      <c r="J2189">
        <f>IFERROR(HLOOKUP(J$2,[67]table_female_hkom3_inj.U5!$A$1:$K$36,12,FALSE),0)</f>
        <v>0</v>
      </c>
      <c r="K2189">
        <f>IFERROR(HLOOKUP(K$2,[67]table_female_hkom3_inj.U5!$A$1:$K$36,12,FALSE),0)</f>
        <v>0</v>
      </c>
      <c r="L2189">
        <f>IFERROR(HLOOKUP(L$2,[67]table_female_hkom3_inj.U5!$A$1:$K$36,12,FALSE),0)</f>
        <v>0</v>
      </c>
      <c r="M2189">
        <f t="shared" si="683"/>
        <v>0</v>
      </c>
      <c r="S2189" t="s">
        <v>80</v>
      </c>
      <c r="T2189" s="5">
        <f t="shared" si="684"/>
        <v>0</v>
      </c>
      <c r="U2189" s="5">
        <f t="shared" si="685"/>
        <v>0</v>
      </c>
      <c r="V2189" s="5">
        <f t="shared" si="686"/>
        <v>6.0606060606060608E-2</v>
      </c>
      <c r="W2189" s="5">
        <f t="shared" si="687"/>
        <v>0</v>
      </c>
      <c r="X2189" s="5">
        <f t="shared" si="688"/>
        <v>0</v>
      </c>
      <c r="Y2189" s="5">
        <f t="shared" si="689"/>
        <v>3.0303030303030304E-2</v>
      </c>
      <c r="Z2189" s="5">
        <f t="shared" si="690"/>
        <v>0</v>
      </c>
      <c r="AA2189" s="5">
        <f t="shared" si="691"/>
        <v>0</v>
      </c>
      <c r="AB2189" s="5">
        <f t="shared" si="671"/>
        <v>9.0909090909090912E-2</v>
      </c>
    </row>
    <row r="2190" spans="1:29" x14ac:dyDescent="0.25">
      <c r="D2190" t="s">
        <v>81</v>
      </c>
      <c r="E2190" s="64"/>
      <c r="F2190" s="64"/>
      <c r="G2190">
        <f>IFERROR(HLOOKUP(G$2,[67]table_female_hkom3_inj.U5!$A$1:$K$36,13,FALSE),0)</f>
        <v>0</v>
      </c>
      <c r="H2190">
        <f>IFERROR(HLOOKUP(H$2,[67]table_female_hkom3_inj.U5!$A$1:$K$36,13,FALSE),0)</f>
        <v>0</v>
      </c>
      <c r="I2190">
        <f>IFERROR(HLOOKUP(I$2,[67]table_female_hkom3_inj.U5!$A$1:$K$36,13,FALSE),0)</f>
        <v>0</v>
      </c>
      <c r="J2190">
        <f>IFERROR(HLOOKUP(J$2,[67]table_female_hkom3_inj.U5!$A$1:$K$36,13,FALSE),0)</f>
        <v>0</v>
      </c>
      <c r="K2190">
        <f>IFERROR(HLOOKUP(K$2,[67]table_female_hkom3_inj.U5!$A$1:$K$36,13,FALSE),0)</f>
        <v>0</v>
      </c>
      <c r="L2190">
        <f>IFERROR(HLOOKUP(L$2,[67]table_female_hkom3_inj.U5!$A$1:$K$36,13,FALSE),0)</f>
        <v>0</v>
      </c>
      <c r="M2190">
        <f t="shared" si="683"/>
        <v>0</v>
      </c>
      <c r="S2190" t="s">
        <v>81</v>
      </c>
      <c r="T2190" s="5">
        <f t="shared" si="684"/>
        <v>0</v>
      </c>
      <c r="U2190" s="5">
        <f t="shared" si="685"/>
        <v>0</v>
      </c>
      <c r="V2190" s="5">
        <f t="shared" si="686"/>
        <v>6.0606060606060608E-2</v>
      </c>
      <c r="W2190" s="5">
        <f t="shared" si="687"/>
        <v>0</v>
      </c>
      <c r="X2190" s="5">
        <f t="shared" si="688"/>
        <v>0</v>
      </c>
      <c r="Y2190" s="5">
        <f t="shared" si="689"/>
        <v>3.0303030303030304E-2</v>
      </c>
      <c r="Z2190" s="5">
        <f t="shared" si="690"/>
        <v>0</v>
      </c>
      <c r="AA2190" s="5">
        <f t="shared" si="691"/>
        <v>0</v>
      </c>
      <c r="AB2190" s="5">
        <f t="shared" si="671"/>
        <v>9.0909090909090912E-2</v>
      </c>
    </row>
    <row r="2191" spans="1:29" x14ac:dyDescent="0.25">
      <c r="D2191" t="s">
        <v>82</v>
      </c>
      <c r="E2191" s="64"/>
      <c r="F2191" s="64"/>
      <c r="G2191">
        <f>IFERROR(HLOOKUP(G$2,[67]table_female_hkom3_inj.U5!$A$1:$K$36,14,FALSE),0)</f>
        <v>0</v>
      </c>
      <c r="H2191">
        <f>IFERROR(HLOOKUP(H$2,[67]table_female_hkom3_inj.U5!$A$1:$K$36,14,FALSE),0)</f>
        <v>0</v>
      </c>
      <c r="I2191">
        <f>IFERROR(HLOOKUP(I$2,[67]table_female_hkom3_inj.U5!$A$1:$K$36,14,FALSE),0)</f>
        <v>0</v>
      </c>
      <c r="J2191">
        <f>IFERROR(HLOOKUP(J$2,[67]table_female_hkom3_inj.U5!$A$1:$K$36,14,FALSE),0)</f>
        <v>0</v>
      </c>
      <c r="K2191">
        <f>IFERROR(HLOOKUP(K$2,[67]table_female_hkom3_inj.U5!$A$1:$K$36,14,FALSE),0)</f>
        <v>0</v>
      </c>
      <c r="L2191">
        <f>IFERROR(HLOOKUP(L$2,[67]table_female_hkom3_inj.U5!$A$1:$K$36,14,FALSE),0)</f>
        <v>0</v>
      </c>
      <c r="M2191">
        <f t="shared" si="683"/>
        <v>0</v>
      </c>
      <c r="S2191" t="s">
        <v>82</v>
      </c>
      <c r="T2191" s="5">
        <f t="shared" si="684"/>
        <v>0</v>
      </c>
      <c r="U2191" s="5">
        <f t="shared" si="685"/>
        <v>0</v>
      </c>
      <c r="V2191" s="5">
        <f t="shared" si="686"/>
        <v>6.0606060606060608E-2</v>
      </c>
      <c r="W2191" s="5">
        <f t="shared" si="687"/>
        <v>0</v>
      </c>
      <c r="X2191" s="5">
        <f t="shared" si="688"/>
        <v>0</v>
      </c>
      <c r="Y2191" s="5">
        <f t="shared" si="689"/>
        <v>3.0303030303030304E-2</v>
      </c>
      <c r="Z2191" s="5">
        <f t="shared" si="690"/>
        <v>0</v>
      </c>
      <c r="AA2191" s="5">
        <f t="shared" si="691"/>
        <v>0</v>
      </c>
      <c r="AB2191" s="5">
        <f t="shared" si="671"/>
        <v>9.0909090909090912E-2</v>
      </c>
    </row>
    <row r="2192" spans="1:29" x14ac:dyDescent="0.25">
      <c r="D2192" t="s">
        <v>83</v>
      </c>
      <c r="E2192" s="64"/>
      <c r="F2192" s="64"/>
      <c r="G2192">
        <f>IFERROR(HLOOKUP(G$2,[67]table_female_hkom3_inj.U5!$A$1:$K$36,15,FALSE),0)</f>
        <v>0</v>
      </c>
      <c r="H2192">
        <f>IFERROR(HLOOKUP(H$2,[67]table_female_hkom3_inj.U5!$A$1:$K$36,15,FALSE),0)</f>
        <v>0</v>
      </c>
      <c r="I2192">
        <f>IFERROR(HLOOKUP(I$2,[67]table_female_hkom3_inj.U5!$A$1:$K$36,15,FALSE),0)</f>
        <v>0</v>
      </c>
      <c r="J2192">
        <f>IFERROR(HLOOKUP(J$2,[67]table_female_hkom3_inj.U5!$A$1:$K$36,15,FALSE),0)</f>
        <v>0</v>
      </c>
      <c r="K2192">
        <f>IFERROR(HLOOKUP(K$2,[67]table_female_hkom3_inj.U5!$A$1:$K$36,15,FALSE),0)</f>
        <v>0</v>
      </c>
      <c r="L2192">
        <f>IFERROR(HLOOKUP(L$2,[67]table_female_hkom3_inj.U5!$A$1:$K$36,15,FALSE),0)</f>
        <v>0</v>
      </c>
      <c r="M2192">
        <f t="shared" si="683"/>
        <v>0</v>
      </c>
      <c r="S2192" t="s">
        <v>83</v>
      </c>
      <c r="T2192" s="5">
        <f t="shared" si="684"/>
        <v>0</v>
      </c>
      <c r="U2192" s="5">
        <f t="shared" si="685"/>
        <v>0</v>
      </c>
      <c r="V2192" s="5">
        <f t="shared" si="686"/>
        <v>6.0606060606060608E-2</v>
      </c>
      <c r="W2192" s="5">
        <f t="shared" si="687"/>
        <v>0</v>
      </c>
      <c r="X2192" s="5">
        <f t="shared" si="688"/>
        <v>0</v>
      </c>
      <c r="Y2192" s="5">
        <f t="shared" si="689"/>
        <v>3.0303030303030304E-2</v>
      </c>
      <c r="Z2192" s="5">
        <f t="shared" si="690"/>
        <v>0</v>
      </c>
      <c r="AA2192" s="5">
        <f t="shared" si="691"/>
        <v>0</v>
      </c>
      <c r="AB2192" s="5">
        <f t="shared" si="671"/>
        <v>9.0909090909090912E-2</v>
      </c>
    </row>
    <row r="2193" spans="4:28" x14ac:dyDescent="0.25">
      <c r="D2193" t="s">
        <v>84</v>
      </c>
      <c r="E2193" s="64"/>
      <c r="F2193" s="64"/>
      <c r="G2193">
        <f>IFERROR(HLOOKUP(G$2,[67]table_female_hkom3_inj.U5!$A$1:$K$36,16,FALSE),0)</f>
        <v>0</v>
      </c>
      <c r="H2193">
        <f>IFERROR(HLOOKUP(H$2,[67]table_female_hkom3_inj.U5!$A$1:$K$36,16,FALSE),0)</f>
        <v>0</v>
      </c>
      <c r="I2193">
        <f>IFERROR(HLOOKUP(I$2,[67]table_female_hkom3_inj.U5!$A$1:$K$36,16,FALSE),0)</f>
        <v>0</v>
      </c>
      <c r="J2193">
        <f>IFERROR(HLOOKUP(J$2,[67]table_female_hkom3_inj.U5!$A$1:$K$36,16,FALSE),0)</f>
        <v>0</v>
      </c>
      <c r="K2193">
        <f>IFERROR(HLOOKUP(K$2,[67]table_female_hkom3_inj.U5!$A$1:$K$36,16,FALSE),0)</f>
        <v>0</v>
      </c>
      <c r="L2193">
        <f>IFERROR(HLOOKUP(L$2,[67]table_female_hkom3_inj.U5!$A$1:$K$36,16,FALSE),0)</f>
        <v>0</v>
      </c>
      <c r="M2193">
        <f t="shared" si="683"/>
        <v>0</v>
      </c>
      <c r="S2193" t="s">
        <v>84</v>
      </c>
      <c r="T2193" s="5">
        <f t="shared" si="684"/>
        <v>0</v>
      </c>
      <c r="U2193" s="5">
        <f t="shared" si="685"/>
        <v>0</v>
      </c>
      <c r="V2193" s="5">
        <f t="shared" si="686"/>
        <v>6.0606060606060608E-2</v>
      </c>
      <c r="W2193" s="5">
        <f t="shared" si="687"/>
        <v>0</v>
      </c>
      <c r="X2193" s="5">
        <f t="shared" si="688"/>
        <v>0</v>
      </c>
      <c r="Y2193" s="5">
        <f t="shared" si="689"/>
        <v>3.0303030303030304E-2</v>
      </c>
      <c r="Z2193" s="5">
        <f t="shared" si="690"/>
        <v>0</v>
      </c>
      <c r="AA2193" s="5">
        <f t="shared" si="691"/>
        <v>0</v>
      </c>
      <c r="AB2193" s="5">
        <f t="shared" si="671"/>
        <v>9.0909090909090912E-2</v>
      </c>
    </row>
    <row r="2194" spans="4:28" x14ac:dyDescent="0.25">
      <c r="D2194" t="s">
        <v>85</v>
      </c>
      <c r="E2194" s="64"/>
      <c r="F2194" s="64"/>
      <c r="G2194">
        <f>IFERROR(HLOOKUP(G$2,[67]table_female_hkom3_inj.U5!$A$1:$K$36,17,FALSE),0)</f>
        <v>0</v>
      </c>
      <c r="H2194">
        <f>IFERROR(HLOOKUP(H$2,[67]table_female_hkom3_inj.U5!$A$1:$K$36,17,FALSE),0)</f>
        <v>0</v>
      </c>
      <c r="I2194">
        <f>IFERROR(HLOOKUP(I$2,[67]table_female_hkom3_inj.U5!$A$1:$K$36,17,FALSE),0)</f>
        <v>0</v>
      </c>
      <c r="J2194">
        <f>IFERROR(HLOOKUP(J$2,[67]table_female_hkom3_inj.U5!$A$1:$K$36,17,FALSE),0)</f>
        <v>0</v>
      </c>
      <c r="K2194">
        <f>IFERROR(HLOOKUP(K$2,[67]table_female_hkom3_inj.U5!$A$1:$K$36,17,FALSE),0)</f>
        <v>0</v>
      </c>
      <c r="L2194">
        <f>IFERROR(HLOOKUP(L$2,[67]table_female_hkom3_inj.U5!$A$1:$K$36,17,FALSE),0)</f>
        <v>0</v>
      </c>
      <c r="M2194">
        <f t="shared" si="683"/>
        <v>0</v>
      </c>
      <c r="S2194" t="s">
        <v>85</v>
      </c>
      <c r="T2194" s="5">
        <f t="shared" si="684"/>
        <v>0</v>
      </c>
      <c r="U2194" s="5">
        <f t="shared" si="685"/>
        <v>0</v>
      </c>
      <c r="V2194" s="5">
        <f t="shared" si="686"/>
        <v>6.0606060606060608E-2</v>
      </c>
      <c r="W2194" s="5">
        <f t="shared" si="687"/>
        <v>0</v>
      </c>
      <c r="X2194" s="5">
        <f t="shared" si="688"/>
        <v>0</v>
      </c>
      <c r="Y2194" s="5">
        <f t="shared" si="689"/>
        <v>3.0303030303030304E-2</v>
      </c>
      <c r="Z2194" s="5">
        <f t="shared" si="690"/>
        <v>0</v>
      </c>
      <c r="AA2194" s="5">
        <f t="shared" si="691"/>
        <v>0</v>
      </c>
      <c r="AB2194" s="5">
        <f t="shared" si="671"/>
        <v>9.0909090909090912E-2</v>
      </c>
    </row>
    <row r="2195" spans="4:28" x14ac:dyDescent="0.25">
      <c r="D2195" t="s">
        <v>86</v>
      </c>
      <c r="E2195" s="64"/>
      <c r="F2195" s="64"/>
      <c r="G2195">
        <f>IFERROR(HLOOKUP(G$2,[67]table_female_hkom3_inj.U5!$A$1:$K$36,18,FALSE),0)</f>
        <v>0</v>
      </c>
      <c r="H2195">
        <f>IFERROR(HLOOKUP(H$2,[67]table_female_hkom3_inj.U5!$A$1:$K$36,18,FALSE),0)</f>
        <v>0</v>
      </c>
      <c r="I2195">
        <f>IFERROR(HLOOKUP(I$2,[67]table_female_hkom3_inj.U5!$A$1:$K$36,18,FALSE),0)</f>
        <v>0</v>
      </c>
      <c r="J2195">
        <f>IFERROR(HLOOKUP(J$2,[67]table_female_hkom3_inj.U5!$A$1:$K$36,18,FALSE),0)</f>
        <v>0</v>
      </c>
      <c r="K2195">
        <f>IFERROR(HLOOKUP(K$2,[67]table_female_hkom3_inj.U5!$A$1:$K$36,18,FALSE),0)</f>
        <v>0</v>
      </c>
      <c r="L2195">
        <f>IFERROR(HLOOKUP(L$2,[67]table_female_hkom3_inj.U5!$A$1:$K$36,18,FALSE),0)</f>
        <v>0</v>
      </c>
      <c r="M2195">
        <f t="shared" si="683"/>
        <v>0</v>
      </c>
      <c r="S2195" t="s">
        <v>86</v>
      </c>
      <c r="T2195" s="5">
        <f t="shared" si="684"/>
        <v>0</v>
      </c>
      <c r="U2195" s="5">
        <f t="shared" si="685"/>
        <v>0</v>
      </c>
      <c r="V2195" s="5">
        <f t="shared" si="686"/>
        <v>6.0606060606060608E-2</v>
      </c>
      <c r="W2195" s="5">
        <f t="shared" si="687"/>
        <v>0</v>
      </c>
      <c r="X2195" s="5">
        <f t="shared" si="688"/>
        <v>0</v>
      </c>
      <c r="Y2195" s="5">
        <f t="shared" si="689"/>
        <v>3.0303030303030304E-2</v>
      </c>
      <c r="Z2195" s="5">
        <f t="shared" si="690"/>
        <v>0</v>
      </c>
      <c r="AA2195" s="5">
        <f t="shared" si="691"/>
        <v>0</v>
      </c>
      <c r="AB2195" s="5">
        <f t="shared" si="671"/>
        <v>9.0909090909090912E-2</v>
      </c>
    </row>
    <row r="2196" spans="4:28" x14ac:dyDescent="0.25">
      <c r="D2196" t="s">
        <v>87</v>
      </c>
      <c r="E2196" s="64"/>
      <c r="F2196" s="64"/>
      <c r="G2196">
        <f>IFERROR(HLOOKUP(G$2,[67]table_female_hkom3_inj.U5!$A$1:$K$36,19,FALSE),0)</f>
        <v>0</v>
      </c>
      <c r="H2196">
        <f>IFERROR(HLOOKUP(H$2,[67]table_female_hkom3_inj.U5!$A$1:$K$36,19,FALSE),0)</f>
        <v>0</v>
      </c>
      <c r="I2196">
        <f>IFERROR(HLOOKUP(I$2,[67]table_female_hkom3_inj.U5!$A$1:$K$36,19,FALSE),0)</f>
        <v>0</v>
      </c>
      <c r="J2196">
        <f>IFERROR(HLOOKUP(J$2,[67]table_female_hkom3_inj.U5!$A$1:$K$36,19,FALSE),0)</f>
        <v>0</v>
      </c>
      <c r="K2196">
        <f>IFERROR(HLOOKUP(K$2,[67]table_female_hkom3_inj.U5!$A$1:$K$36,19,FALSE),0)</f>
        <v>0</v>
      </c>
      <c r="L2196">
        <f>IFERROR(HLOOKUP(L$2,[67]table_female_hkom3_inj.U5!$A$1:$K$36,19,FALSE),0)</f>
        <v>0</v>
      </c>
      <c r="M2196">
        <f t="shared" si="683"/>
        <v>0</v>
      </c>
      <c r="S2196" t="s">
        <v>87</v>
      </c>
      <c r="T2196" s="5">
        <f t="shared" si="684"/>
        <v>0</v>
      </c>
      <c r="U2196" s="5">
        <f t="shared" si="685"/>
        <v>0</v>
      </c>
      <c r="V2196" s="5">
        <f t="shared" si="686"/>
        <v>6.0606060606060608E-2</v>
      </c>
      <c r="W2196" s="5">
        <f t="shared" si="687"/>
        <v>0</v>
      </c>
      <c r="X2196" s="5">
        <f t="shared" si="688"/>
        <v>0</v>
      </c>
      <c r="Y2196" s="5">
        <f t="shared" si="689"/>
        <v>3.0303030303030304E-2</v>
      </c>
      <c r="Z2196" s="5">
        <f t="shared" si="690"/>
        <v>0</v>
      </c>
      <c r="AA2196" s="5">
        <f t="shared" si="691"/>
        <v>0</v>
      </c>
      <c r="AB2196" s="5">
        <f t="shared" ref="AB2196:AB2246" si="692">SUM(T2196:AA2196)</f>
        <v>9.0909090909090912E-2</v>
      </c>
    </row>
    <row r="2197" spans="4:28" x14ac:dyDescent="0.25">
      <c r="D2197" t="s">
        <v>88</v>
      </c>
      <c r="E2197" s="64"/>
      <c r="F2197" s="64"/>
      <c r="G2197">
        <f>IFERROR(HLOOKUP(G$2,[67]table_female_hkom3_inj.U5!$A$1:$K$36,20,FALSE),0)</f>
        <v>0</v>
      </c>
      <c r="H2197">
        <f>IFERROR(HLOOKUP(H$2,[67]table_female_hkom3_inj.U5!$A$1:$K$36,20,FALSE),0)</f>
        <v>0</v>
      </c>
      <c r="I2197">
        <f>IFERROR(HLOOKUP(I$2,[67]table_female_hkom3_inj.U5!$A$1:$K$36,20,FALSE),0)</f>
        <v>0</v>
      </c>
      <c r="J2197">
        <f>IFERROR(HLOOKUP(J$2,[67]table_female_hkom3_inj.U5!$A$1:$K$36,20,FALSE),0)</f>
        <v>0</v>
      </c>
      <c r="K2197">
        <f>IFERROR(HLOOKUP(K$2,[67]table_female_hkom3_inj.U5!$A$1:$K$36,20,FALSE),0)</f>
        <v>0</v>
      </c>
      <c r="L2197">
        <f>IFERROR(HLOOKUP(L$2,[67]table_female_hkom3_inj.U5!$A$1:$K$36,20,FALSE),0)</f>
        <v>0</v>
      </c>
      <c r="M2197">
        <f t="shared" si="683"/>
        <v>0</v>
      </c>
      <c r="S2197" t="s">
        <v>88</v>
      </c>
      <c r="T2197" s="5">
        <f t="shared" si="684"/>
        <v>0</v>
      </c>
      <c r="U2197" s="5">
        <f t="shared" si="685"/>
        <v>0</v>
      </c>
      <c r="V2197" s="5">
        <f t="shared" si="686"/>
        <v>6.0606060606060608E-2</v>
      </c>
      <c r="W2197" s="5">
        <f t="shared" si="687"/>
        <v>0</v>
      </c>
      <c r="X2197" s="5">
        <f t="shared" si="688"/>
        <v>0</v>
      </c>
      <c r="Y2197" s="5">
        <f t="shared" si="689"/>
        <v>3.0303030303030304E-2</v>
      </c>
      <c r="Z2197" s="5">
        <f t="shared" si="690"/>
        <v>0</v>
      </c>
      <c r="AA2197" s="5">
        <f t="shared" si="691"/>
        <v>0</v>
      </c>
      <c r="AB2197" s="5">
        <f t="shared" si="692"/>
        <v>9.0909090909090912E-2</v>
      </c>
    </row>
    <row r="2198" spans="4:28" x14ac:dyDescent="0.25">
      <c r="D2198" t="s">
        <v>89</v>
      </c>
      <c r="E2198" s="64"/>
      <c r="F2198" s="64"/>
      <c r="G2198">
        <f>IFERROR(HLOOKUP(G$2,[67]table_female_hkom3_inj.U5!$A$1:$K$36,21,FALSE),0)</f>
        <v>0</v>
      </c>
      <c r="H2198">
        <f>IFERROR(HLOOKUP(H$2,[67]table_female_hkom3_inj.U5!$A$1:$K$36,21,FALSE),0)</f>
        <v>0</v>
      </c>
      <c r="I2198">
        <f>IFERROR(HLOOKUP(I$2,[67]table_female_hkom3_inj.U5!$A$1:$K$36,21,FALSE),0)</f>
        <v>0</v>
      </c>
      <c r="J2198">
        <f>IFERROR(HLOOKUP(J$2,[67]table_female_hkom3_inj.U5!$A$1:$K$36,21,FALSE),0)</f>
        <v>0</v>
      </c>
      <c r="K2198">
        <f>IFERROR(HLOOKUP(K$2,[67]table_female_hkom3_inj.U5!$A$1:$K$36,21,FALSE),0)</f>
        <v>0</v>
      </c>
      <c r="L2198">
        <f>IFERROR(HLOOKUP(L$2,[67]table_female_hkom3_inj.U5!$A$1:$K$36,21,FALSE),0)</f>
        <v>0</v>
      </c>
      <c r="M2198">
        <f t="shared" si="683"/>
        <v>0</v>
      </c>
      <c r="S2198" t="s">
        <v>89</v>
      </c>
      <c r="T2198" s="5">
        <f t="shared" si="684"/>
        <v>0</v>
      </c>
      <c r="U2198" s="5">
        <f t="shared" si="685"/>
        <v>0</v>
      </c>
      <c r="V2198" s="5">
        <f t="shared" si="686"/>
        <v>6.0606060606060608E-2</v>
      </c>
      <c r="W2198" s="5">
        <f t="shared" si="687"/>
        <v>0</v>
      </c>
      <c r="X2198" s="5">
        <f t="shared" si="688"/>
        <v>0</v>
      </c>
      <c r="Y2198" s="5">
        <f t="shared" si="689"/>
        <v>3.0303030303030304E-2</v>
      </c>
      <c r="Z2198" s="5">
        <f t="shared" si="690"/>
        <v>0</v>
      </c>
      <c r="AA2198" s="5">
        <f t="shared" si="691"/>
        <v>0</v>
      </c>
      <c r="AB2198" s="5">
        <f t="shared" si="692"/>
        <v>9.0909090909090912E-2</v>
      </c>
    </row>
    <row r="2199" spans="4:28" x14ac:dyDescent="0.25">
      <c r="D2199" t="s">
        <v>90</v>
      </c>
      <c r="E2199" s="64"/>
      <c r="F2199" s="64"/>
      <c r="G2199">
        <f>IFERROR(HLOOKUP(G$2,[67]table_female_hkom3_inj.U5!$A$1:$K$36,22,FALSE),0)</f>
        <v>0</v>
      </c>
      <c r="H2199">
        <f>IFERROR(HLOOKUP(H$2,[67]table_female_hkom3_inj.U5!$A$1:$K$36,22,FALSE),0)</f>
        <v>0</v>
      </c>
      <c r="I2199">
        <f>IFERROR(HLOOKUP(I$2,[67]table_female_hkom3_inj.U5!$A$1:$K$36,22,FALSE),0)</f>
        <v>0</v>
      </c>
      <c r="J2199">
        <f>IFERROR(HLOOKUP(J$2,[67]table_female_hkom3_inj.U5!$A$1:$K$36,22,FALSE),0)</f>
        <v>0</v>
      </c>
      <c r="K2199">
        <f>IFERROR(HLOOKUP(K$2,[67]table_female_hkom3_inj.U5!$A$1:$K$36,22,FALSE),0)</f>
        <v>0</v>
      </c>
      <c r="L2199">
        <f>IFERROR(HLOOKUP(L$2,[67]table_female_hkom3_inj.U5!$A$1:$K$36,22,FALSE),0)</f>
        <v>0</v>
      </c>
      <c r="M2199">
        <f t="shared" si="683"/>
        <v>0</v>
      </c>
      <c r="S2199" t="s">
        <v>90</v>
      </c>
      <c r="T2199" s="5">
        <f t="shared" si="684"/>
        <v>0</v>
      </c>
      <c r="U2199" s="5">
        <f t="shared" si="685"/>
        <v>0</v>
      </c>
      <c r="V2199" s="5">
        <f t="shared" si="686"/>
        <v>6.0606060606060608E-2</v>
      </c>
      <c r="W2199" s="5">
        <f t="shared" si="687"/>
        <v>0</v>
      </c>
      <c r="X2199" s="5">
        <f t="shared" si="688"/>
        <v>0</v>
      </c>
      <c r="Y2199" s="5">
        <f t="shared" si="689"/>
        <v>3.0303030303030304E-2</v>
      </c>
      <c r="Z2199" s="5">
        <f t="shared" si="690"/>
        <v>0</v>
      </c>
      <c r="AA2199" s="5">
        <f t="shared" si="691"/>
        <v>0</v>
      </c>
      <c r="AB2199" s="5">
        <f t="shared" si="692"/>
        <v>9.0909090909090912E-2</v>
      </c>
    </row>
    <row r="2200" spans="4:28" x14ac:dyDescent="0.25">
      <c r="D2200" t="s">
        <v>91</v>
      </c>
      <c r="E2200" s="64"/>
      <c r="F2200" s="64"/>
      <c r="G2200">
        <f>IFERROR(HLOOKUP(G$2,[67]table_female_hkom3_inj.U5!$A$1:$K$36,23,FALSE),0)</f>
        <v>0</v>
      </c>
      <c r="H2200">
        <f>IFERROR(HLOOKUP(H$2,[67]table_female_hkom3_inj.U5!$A$1:$K$36,23,FALSE),0)</f>
        <v>0</v>
      </c>
      <c r="I2200">
        <f>IFERROR(HLOOKUP(I$2,[67]table_female_hkom3_inj.U5!$A$1:$K$36,23,FALSE),0)</f>
        <v>0</v>
      </c>
      <c r="J2200">
        <f>IFERROR(HLOOKUP(J$2,[67]table_female_hkom3_inj.U5!$A$1:$K$36,23,FALSE),0)</f>
        <v>0</v>
      </c>
      <c r="K2200">
        <f>IFERROR(HLOOKUP(K$2,[67]table_female_hkom3_inj.U5!$A$1:$K$36,23,FALSE),0)</f>
        <v>0</v>
      </c>
      <c r="L2200">
        <f>IFERROR(HLOOKUP(L$2,[67]table_female_hkom3_inj.U5!$A$1:$K$36,23,FALSE),0)</f>
        <v>0</v>
      </c>
      <c r="M2200">
        <f t="shared" si="683"/>
        <v>0</v>
      </c>
      <c r="S2200" t="s">
        <v>91</v>
      </c>
      <c r="T2200" s="5">
        <f t="shared" si="684"/>
        <v>0</v>
      </c>
      <c r="U2200" s="5">
        <f t="shared" si="685"/>
        <v>0</v>
      </c>
      <c r="V2200" s="5">
        <f t="shared" si="686"/>
        <v>6.0606060606060608E-2</v>
      </c>
      <c r="W2200" s="5">
        <f t="shared" si="687"/>
        <v>0</v>
      </c>
      <c r="X2200" s="5">
        <f t="shared" si="688"/>
        <v>0</v>
      </c>
      <c r="Y2200" s="5">
        <f t="shared" si="689"/>
        <v>3.0303030303030304E-2</v>
      </c>
      <c r="Z2200" s="5">
        <f t="shared" si="690"/>
        <v>0</v>
      </c>
      <c r="AA2200" s="5">
        <f t="shared" si="691"/>
        <v>0</v>
      </c>
      <c r="AB2200" s="5">
        <f t="shared" si="692"/>
        <v>9.0909090909090912E-2</v>
      </c>
    </row>
    <row r="2201" spans="4:28" x14ac:dyDescent="0.25">
      <c r="D2201" t="s">
        <v>92</v>
      </c>
      <c r="E2201" s="64"/>
      <c r="F2201" s="64"/>
      <c r="G2201">
        <f>IFERROR(HLOOKUP(G$2,[67]table_female_hkom3_inj.U5!$A$1:$K$36,24,FALSE),0)</f>
        <v>0</v>
      </c>
      <c r="H2201">
        <f>IFERROR(HLOOKUP(H$2,[67]table_female_hkom3_inj.U5!$A$1:$K$36,24,FALSE),0)</f>
        <v>0</v>
      </c>
      <c r="I2201">
        <f>IFERROR(HLOOKUP(I$2,[67]table_female_hkom3_inj.U5!$A$1:$K$36,24,FALSE),0)</f>
        <v>0</v>
      </c>
      <c r="J2201">
        <f>IFERROR(HLOOKUP(J$2,[67]table_female_hkom3_inj.U5!$A$1:$K$36,24,FALSE),0)</f>
        <v>0</v>
      </c>
      <c r="K2201">
        <f>IFERROR(HLOOKUP(K$2,[67]table_female_hkom3_inj.U5!$A$1:$K$36,24,FALSE),0)</f>
        <v>0</v>
      </c>
      <c r="L2201">
        <f>IFERROR(HLOOKUP(L$2,[67]table_female_hkom3_inj.U5!$A$1:$K$36,24,FALSE),0)</f>
        <v>0</v>
      </c>
      <c r="M2201">
        <f t="shared" si="683"/>
        <v>0</v>
      </c>
      <c r="S2201" t="s">
        <v>92</v>
      </c>
      <c r="T2201" s="5">
        <f t="shared" si="684"/>
        <v>0</v>
      </c>
      <c r="U2201" s="5">
        <f t="shared" si="685"/>
        <v>0</v>
      </c>
      <c r="V2201" s="5">
        <f t="shared" si="686"/>
        <v>6.0606060606060608E-2</v>
      </c>
      <c r="W2201" s="5">
        <f t="shared" si="687"/>
        <v>0</v>
      </c>
      <c r="X2201" s="5">
        <f t="shared" si="688"/>
        <v>0</v>
      </c>
      <c r="Y2201" s="5">
        <f t="shared" si="689"/>
        <v>3.0303030303030304E-2</v>
      </c>
      <c r="Z2201" s="5">
        <f t="shared" si="690"/>
        <v>0</v>
      </c>
      <c r="AA2201" s="5">
        <f t="shared" si="691"/>
        <v>0</v>
      </c>
      <c r="AB2201" s="5">
        <f t="shared" si="692"/>
        <v>9.0909090909090912E-2</v>
      </c>
    </row>
    <row r="2202" spans="4:28" x14ac:dyDescent="0.25">
      <c r="D2202" t="s">
        <v>93</v>
      </c>
      <c r="E2202" s="64"/>
      <c r="F2202" s="64"/>
      <c r="G2202">
        <f>IFERROR(HLOOKUP(G$2,[67]table_female_hkom3_inj.U5!$A$1:$K$36,25,FALSE),0)</f>
        <v>0</v>
      </c>
      <c r="H2202">
        <f>IFERROR(HLOOKUP(H$2,[67]table_female_hkom3_inj.U5!$A$1:$K$36,25,FALSE),0)</f>
        <v>0</v>
      </c>
      <c r="I2202">
        <f>IFERROR(HLOOKUP(I$2,[67]table_female_hkom3_inj.U5!$A$1:$K$36,25,FALSE),0)</f>
        <v>0</v>
      </c>
      <c r="J2202">
        <f>IFERROR(HLOOKUP(J$2,[67]table_female_hkom3_inj.U5!$A$1:$K$36,25,FALSE),0)</f>
        <v>0</v>
      </c>
      <c r="K2202">
        <f>IFERROR(HLOOKUP(K$2,[67]table_female_hkom3_inj.U5!$A$1:$K$36,25,FALSE),0)</f>
        <v>0</v>
      </c>
      <c r="L2202">
        <f>IFERROR(HLOOKUP(L$2,[67]table_female_hkom3_inj.U5!$A$1:$K$36,25,FALSE),0)</f>
        <v>0</v>
      </c>
      <c r="M2202">
        <f t="shared" si="683"/>
        <v>0</v>
      </c>
      <c r="S2202" t="s">
        <v>93</v>
      </c>
      <c r="T2202" s="5">
        <f t="shared" si="684"/>
        <v>0</v>
      </c>
      <c r="U2202" s="5">
        <f t="shared" si="685"/>
        <v>0</v>
      </c>
      <c r="V2202" s="5">
        <f t="shared" si="686"/>
        <v>6.0606060606060608E-2</v>
      </c>
      <c r="W2202" s="5">
        <f t="shared" si="687"/>
        <v>0</v>
      </c>
      <c r="X2202" s="5">
        <f t="shared" si="688"/>
        <v>0</v>
      </c>
      <c r="Y2202" s="5">
        <f t="shared" si="689"/>
        <v>3.0303030303030304E-2</v>
      </c>
      <c r="Z2202" s="5">
        <f t="shared" si="690"/>
        <v>0</v>
      </c>
      <c r="AA2202" s="5">
        <f t="shared" si="691"/>
        <v>0</v>
      </c>
      <c r="AB2202" s="5">
        <f t="shared" si="692"/>
        <v>9.0909090909090912E-2</v>
      </c>
    </row>
    <row r="2203" spans="4:28" x14ac:dyDescent="0.25">
      <c r="D2203" t="s">
        <v>94</v>
      </c>
      <c r="E2203" s="64"/>
      <c r="F2203" s="64"/>
      <c r="G2203">
        <f>IFERROR(HLOOKUP(G$2,[67]table_female_hkom3_inj.U5!$A$1:$K$36,26,FALSE),0)</f>
        <v>0</v>
      </c>
      <c r="H2203">
        <f>IFERROR(HLOOKUP(H$2,[67]table_female_hkom3_inj.U5!$A$1:$K$36,26,FALSE),0)</f>
        <v>0</v>
      </c>
      <c r="I2203">
        <f>IFERROR(HLOOKUP(I$2,[67]table_female_hkom3_inj.U5!$A$1:$K$36,26,FALSE),0)</f>
        <v>0</v>
      </c>
      <c r="J2203">
        <f>IFERROR(HLOOKUP(J$2,[67]table_female_hkom3_inj.U5!$A$1:$K$36,26,FALSE),0)</f>
        <v>0</v>
      </c>
      <c r="K2203">
        <f>IFERROR(HLOOKUP(K$2,[67]table_female_hkom3_inj.U5!$A$1:$K$36,26,FALSE),0)</f>
        <v>0</v>
      </c>
      <c r="L2203">
        <f>IFERROR(HLOOKUP(L$2,[67]table_female_hkom3_inj.U5!$A$1:$K$36,26,FALSE),0)</f>
        <v>0</v>
      </c>
      <c r="M2203">
        <f t="shared" si="683"/>
        <v>0</v>
      </c>
      <c r="S2203" t="s">
        <v>94</v>
      </c>
      <c r="T2203" s="5">
        <f t="shared" si="684"/>
        <v>0</v>
      </c>
      <c r="U2203" s="5">
        <f t="shared" si="685"/>
        <v>0</v>
      </c>
      <c r="V2203" s="5">
        <f t="shared" si="686"/>
        <v>6.0606060606060608E-2</v>
      </c>
      <c r="W2203" s="5">
        <f t="shared" si="687"/>
        <v>0</v>
      </c>
      <c r="X2203" s="5">
        <f t="shared" si="688"/>
        <v>0</v>
      </c>
      <c r="Y2203" s="5">
        <f t="shared" si="689"/>
        <v>3.0303030303030304E-2</v>
      </c>
      <c r="Z2203" s="5">
        <f t="shared" si="690"/>
        <v>0</v>
      </c>
      <c r="AA2203" s="5">
        <f t="shared" si="691"/>
        <v>0</v>
      </c>
      <c r="AB2203" s="5">
        <f t="shared" si="692"/>
        <v>9.0909090909090912E-2</v>
      </c>
    </row>
    <row r="2204" spans="4:28" x14ac:dyDescent="0.25">
      <c r="D2204" t="s">
        <v>95</v>
      </c>
      <c r="E2204" s="64"/>
      <c r="F2204" s="64"/>
      <c r="G2204">
        <f>IFERROR(HLOOKUP(G$2,[67]table_female_hkom3_inj.U5!$A$1:$K$36,27,FALSE),0)</f>
        <v>0</v>
      </c>
      <c r="H2204">
        <f>IFERROR(HLOOKUP(H$2,[67]table_female_hkom3_inj.U5!$A$1:$K$36,27,FALSE),0)</f>
        <v>0</v>
      </c>
      <c r="I2204">
        <f>IFERROR(HLOOKUP(I$2,[67]table_female_hkom3_inj.U5!$A$1:$K$36,27,FALSE),0)</f>
        <v>0</v>
      </c>
      <c r="J2204">
        <f>IFERROR(HLOOKUP(J$2,[67]table_female_hkom3_inj.U5!$A$1:$K$36,27,FALSE),0)</f>
        <v>0</v>
      </c>
      <c r="K2204">
        <f>IFERROR(HLOOKUP(K$2,[67]table_female_hkom3_inj.U5!$A$1:$K$36,27,FALSE),0)</f>
        <v>0</v>
      </c>
      <c r="L2204">
        <f>IFERROR(HLOOKUP(L$2,[67]table_female_hkom3_inj.U5!$A$1:$K$36,27,FALSE),0)</f>
        <v>0</v>
      </c>
      <c r="M2204">
        <f t="shared" si="683"/>
        <v>0</v>
      </c>
      <c r="S2204" t="s">
        <v>95</v>
      </c>
      <c r="T2204" s="5">
        <f t="shared" si="684"/>
        <v>0</v>
      </c>
      <c r="U2204" s="5">
        <f t="shared" si="685"/>
        <v>0</v>
      </c>
      <c r="V2204" s="5">
        <f t="shared" si="686"/>
        <v>6.0606060606060608E-2</v>
      </c>
      <c r="W2204" s="5">
        <f t="shared" si="687"/>
        <v>0</v>
      </c>
      <c r="X2204" s="5">
        <f t="shared" si="688"/>
        <v>0</v>
      </c>
      <c r="Y2204" s="5">
        <f t="shared" si="689"/>
        <v>3.0303030303030304E-2</v>
      </c>
      <c r="Z2204" s="5">
        <f t="shared" si="690"/>
        <v>0</v>
      </c>
      <c r="AA2204" s="5">
        <f t="shared" si="691"/>
        <v>0</v>
      </c>
      <c r="AB2204" s="5">
        <f t="shared" si="692"/>
        <v>9.0909090909090912E-2</v>
      </c>
    </row>
    <row r="2205" spans="4:28" x14ac:dyDescent="0.25">
      <c r="D2205" t="s">
        <v>96</v>
      </c>
      <c r="E2205" s="64"/>
      <c r="F2205" s="64"/>
      <c r="G2205">
        <f>IFERROR(HLOOKUP(G$2,[67]table_female_hkom3_inj.U5!$A$1:$K$36,28,FALSE),0)</f>
        <v>0</v>
      </c>
      <c r="H2205">
        <f>IFERROR(HLOOKUP(H$2,[67]table_female_hkom3_inj.U5!$A$1:$K$36,28,FALSE),0)</f>
        <v>0</v>
      </c>
      <c r="I2205">
        <f>IFERROR(HLOOKUP(I$2,[67]table_female_hkom3_inj.U5!$A$1:$K$36,28,FALSE),0)</f>
        <v>0</v>
      </c>
      <c r="J2205">
        <f>IFERROR(HLOOKUP(J$2,[67]table_female_hkom3_inj.U5!$A$1:$K$36,28,FALSE),0)</f>
        <v>0</v>
      </c>
      <c r="K2205">
        <f>IFERROR(HLOOKUP(K$2,[67]table_female_hkom3_inj.U5!$A$1:$K$36,28,FALSE),0)</f>
        <v>0</v>
      </c>
      <c r="L2205">
        <f>IFERROR(HLOOKUP(L$2,[67]table_female_hkom3_inj.U5!$A$1:$K$36,28,FALSE),0)</f>
        <v>0</v>
      </c>
      <c r="M2205">
        <f t="shared" si="683"/>
        <v>0</v>
      </c>
      <c r="S2205" t="s">
        <v>96</v>
      </c>
      <c r="T2205" s="5">
        <f t="shared" si="684"/>
        <v>0</v>
      </c>
      <c r="U2205" s="5">
        <f t="shared" si="685"/>
        <v>0</v>
      </c>
      <c r="V2205" s="5">
        <f t="shared" si="686"/>
        <v>6.0606060606060608E-2</v>
      </c>
      <c r="W2205" s="5">
        <f t="shared" si="687"/>
        <v>0</v>
      </c>
      <c r="X2205" s="5">
        <f t="shared" si="688"/>
        <v>0</v>
      </c>
      <c r="Y2205" s="5">
        <f t="shared" si="689"/>
        <v>3.0303030303030304E-2</v>
      </c>
      <c r="Z2205" s="5">
        <f t="shared" si="690"/>
        <v>0</v>
      </c>
      <c r="AA2205" s="5">
        <f t="shared" si="691"/>
        <v>0</v>
      </c>
      <c r="AB2205" s="5">
        <f t="shared" si="692"/>
        <v>9.0909090909090912E-2</v>
      </c>
    </row>
    <row r="2206" spans="4:28" x14ac:dyDescent="0.25">
      <c r="D2206" t="s">
        <v>97</v>
      </c>
      <c r="E2206" s="64"/>
      <c r="F2206" s="64"/>
      <c r="G2206">
        <f>IFERROR(HLOOKUP(G$2,[67]table_female_hkom3_inj.U5!$A$1:$K$36,29,FALSE),0)</f>
        <v>0</v>
      </c>
      <c r="H2206">
        <f>IFERROR(HLOOKUP(H$2,[67]table_female_hkom3_inj.U5!$A$1:$K$36,29,FALSE),0)</f>
        <v>0</v>
      </c>
      <c r="I2206">
        <f>IFERROR(HLOOKUP(I$2,[67]table_female_hkom3_inj.U5!$A$1:$K$36,29,FALSE),0)</f>
        <v>0</v>
      </c>
      <c r="J2206">
        <f>IFERROR(HLOOKUP(J$2,[67]table_female_hkom3_inj.U5!$A$1:$K$36,29,FALSE),0)</f>
        <v>0</v>
      </c>
      <c r="K2206">
        <f>IFERROR(HLOOKUP(K$2,[67]table_female_hkom3_inj.U5!$A$1:$K$36,29,FALSE),0)</f>
        <v>0</v>
      </c>
      <c r="L2206">
        <f>IFERROR(HLOOKUP(L$2,[67]table_female_hkom3_inj.U5!$A$1:$K$36,29,FALSE),0)</f>
        <v>0</v>
      </c>
      <c r="M2206">
        <f t="shared" si="683"/>
        <v>0</v>
      </c>
      <c r="S2206" t="s">
        <v>97</v>
      </c>
      <c r="T2206" s="5">
        <f t="shared" si="684"/>
        <v>0</v>
      </c>
      <c r="U2206" s="5">
        <f t="shared" si="685"/>
        <v>0</v>
      </c>
      <c r="V2206" s="5">
        <f t="shared" si="686"/>
        <v>6.0606060606060608E-2</v>
      </c>
      <c r="W2206" s="5">
        <f t="shared" si="687"/>
        <v>0</v>
      </c>
      <c r="X2206" s="5">
        <f t="shared" si="688"/>
        <v>0</v>
      </c>
      <c r="Y2206" s="5">
        <f t="shared" si="689"/>
        <v>3.0303030303030304E-2</v>
      </c>
      <c r="Z2206" s="5">
        <f t="shared" si="690"/>
        <v>0</v>
      </c>
      <c r="AA2206" s="5">
        <f t="shared" si="691"/>
        <v>0</v>
      </c>
      <c r="AB2206" s="5">
        <f t="shared" si="692"/>
        <v>9.0909090909090912E-2</v>
      </c>
    </row>
    <row r="2207" spans="4:28" x14ac:dyDescent="0.25">
      <c r="D2207" t="s">
        <v>98</v>
      </c>
      <c r="E2207" s="64"/>
      <c r="F2207" s="64"/>
      <c r="G2207">
        <f>IFERROR(HLOOKUP(G$2,[67]table_female_hkom3_inj.U5!$A$1:$K$36,30,FALSE),0)</f>
        <v>0</v>
      </c>
      <c r="H2207">
        <f>IFERROR(HLOOKUP(H$2,[67]table_female_hkom3_inj.U5!$A$1:$K$36,30,FALSE),0)</f>
        <v>0</v>
      </c>
      <c r="I2207">
        <f>IFERROR(HLOOKUP(I$2,[67]table_female_hkom3_inj.U5!$A$1:$K$36,30,FALSE),0)</f>
        <v>0</v>
      </c>
      <c r="J2207">
        <f>IFERROR(HLOOKUP(J$2,[67]table_female_hkom3_inj.U5!$A$1:$K$36,30,FALSE),0)</f>
        <v>0</v>
      </c>
      <c r="K2207">
        <f>IFERROR(HLOOKUP(K$2,[67]table_female_hkom3_inj.U5!$A$1:$K$36,30,FALSE),0)</f>
        <v>0</v>
      </c>
      <c r="L2207">
        <f>IFERROR(HLOOKUP(L$2,[67]table_female_hkom3_inj.U5!$A$1:$K$36,30,FALSE),0)</f>
        <v>0</v>
      </c>
      <c r="M2207">
        <f t="shared" si="683"/>
        <v>0</v>
      </c>
      <c r="S2207" t="s">
        <v>98</v>
      </c>
      <c r="T2207" s="5">
        <f t="shared" si="684"/>
        <v>0</v>
      </c>
      <c r="U2207" s="5">
        <f t="shared" si="685"/>
        <v>0</v>
      </c>
      <c r="V2207" s="5">
        <f t="shared" si="686"/>
        <v>6.0606060606060608E-2</v>
      </c>
      <c r="W2207" s="5">
        <f t="shared" si="687"/>
        <v>0</v>
      </c>
      <c r="X2207" s="5">
        <f t="shared" si="688"/>
        <v>0</v>
      </c>
      <c r="Y2207" s="5">
        <f t="shared" si="689"/>
        <v>3.0303030303030304E-2</v>
      </c>
      <c r="Z2207" s="5">
        <f t="shared" si="690"/>
        <v>0</v>
      </c>
      <c r="AA2207" s="5">
        <f t="shared" si="691"/>
        <v>0</v>
      </c>
      <c r="AB2207" s="5">
        <f t="shared" si="692"/>
        <v>9.0909090909090912E-2</v>
      </c>
    </row>
    <row r="2208" spans="4:28" x14ac:dyDescent="0.25">
      <c r="D2208" t="s">
        <v>119</v>
      </c>
      <c r="E2208" s="64"/>
      <c r="F2208" s="64"/>
      <c r="G2208">
        <f>IFERROR(HLOOKUP(G$2,[67]table_female_hkom3_inj.U5!$A$1:$K$36,31,FALSE),0)</f>
        <v>0</v>
      </c>
      <c r="H2208">
        <f>IFERROR(HLOOKUP(H$2,[67]table_female_hkom3_inj.U5!$A$1:$K$36,31,FALSE),0)</f>
        <v>0</v>
      </c>
      <c r="I2208">
        <f>IFERROR(HLOOKUP(I$2,[67]table_female_hkom3_inj.U5!$A$1:$K$36,31,FALSE),0)</f>
        <v>0</v>
      </c>
      <c r="J2208">
        <f>IFERROR(HLOOKUP(J$2,[67]table_female_hkom3_inj.U5!$A$1:$K$36,31,FALSE),0)</f>
        <v>0</v>
      </c>
      <c r="K2208">
        <f>IFERROR(HLOOKUP(K$2,[67]table_female_hkom3_inj.U5!$A$1:$K$36,31,FALSE),0)</f>
        <v>0</v>
      </c>
      <c r="L2208">
        <f>IFERROR(HLOOKUP(L$2,[67]table_female_hkom3_inj.U5!$A$1:$K$36,31,FALSE),0)</f>
        <v>0</v>
      </c>
      <c r="M2208">
        <f t="shared" si="683"/>
        <v>0</v>
      </c>
      <c r="S2208" t="s">
        <v>119</v>
      </c>
      <c r="T2208" s="5">
        <f t="shared" si="684"/>
        <v>0</v>
      </c>
      <c r="U2208" s="5">
        <f t="shared" si="685"/>
        <v>0</v>
      </c>
      <c r="V2208" s="5">
        <f t="shared" si="686"/>
        <v>6.0606060606060608E-2</v>
      </c>
      <c r="W2208" s="5">
        <f t="shared" si="687"/>
        <v>0</v>
      </c>
      <c r="X2208" s="5">
        <f t="shared" si="688"/>
        <v>0</v>
      </c>
      <c r="Y2208" s="5">
        <f t="shared" si="689"/>
        <v>3.0303030303030304E-2</v>
      </c>
      <c r="Z2208" s="5">
        <f t="shared" si="690"/>
        <v>0</v>
      </c>
      <c r="AA2208" s="5">
        <f t="shared" si="691"/>
        <v>0</v>
      </c>
      <c r="AB2208" s="5">
        <f t="shared" si="692"/>
        <v>9.0909090909090912E-2</v>
      </c>
    </row>
    <row r="2209" spans="1:29" x14ac:dyDescent="0.25">
      <c r="D2209" t="s">
        <v>99</v>
      </c>
      <c r="E2209" s="64"/>
      <c r="F2209" s="64"/>
      <c r="G2209">
        <f>IFERROR(HLOOKUP(G$2,[67]table_female_hkom3_inj.U5!$A$1:$K$36,32,FALSE),0)</f>
        <v>0</v>
      </c>
      <c r="H2209">
        <f>IFERROR(HLOOKUP(H$2,[67]table_female_hkom3_inj.U5!$A$1:$K$36,32,FALSE),0)</f>
        <v>0</v>
      </c>
      <c r="I2209">
        <f>IFERROR(HLOOKUP(I$2,[67]table_female_hkom3_inj.U5!$A$1:$K$36,32,FALSE),0)</f>
        <v>0</v>
      </c>
      <c r="J2209">
        <f>IFERROR(HLOOKUP(J$2,[67]table_female_hkom3_inj.U5!$A$1:$K$36,32,FALSE),0)</f>
        <v>0</v>
      </c>
      <c r="K2209">
        <f>IFERROR(HLOOKUP(K$2,[67]table_female_hkom3_inj.U5!$A$1:$K$36,32,FALSE),0)</f>
        <v>0</v>
      </c>
      <c r="L2209">
        <f>IFERROR(HLOOKUP(L$2,[67]table_female_hkom3_inj.U5!$A$1:$K$36,32,FALSE),0)</f>
        <v>0</v>
      </c>
      <c r="M2209">
        <f t="shared" si="683"/>
        <v>0</v>
      </c>
      <c r="S2209" t="s">
        <v>99</v>
      </c>
      <c r="T2209" s="5">
        <f t="shared" si="684"/>
        <v>0</v>
      </c>
      <c r="U2209" s="5">
        <f t="shared" si="685"/>
        <v>0</v>
      </c>
      <c r="V2209" s="5">
        <f t="shared" si="686"/>
        <v>6.0606060606060608E-2</v>
      </c>
      <c r="W2209" s="5">
        <f t="shared" si="687"/>
        <v>0</v>
      </c>
      <c r="X2209" s="5">
        <f t="shared" si="688"/>
        <v>0</v>
      </c>
      <c r="Y2209" s="5">
        <f t="shared" si="689"/>
        <v>3.0303030303030304E-2</v>
      </c>
      <c r="Z2209" s="5">
        <f t="shared" si="690"/>
        <v>0</v>
      </c>
      <c r="AA2209" s="5">
        <f t="shared" si="691"/>
        <v>0</v>
      </c>
      <c r="AB2209" s="5">
        <f t="shared" si="692"/>
        <v>9.0909090909090912E-2</v>
      </c>
    </row>
    <row r="2210" spans="1:29" x14ac:dyDescent="0.25">
      <c r="D2210" t="s">
        <v>100</v>
      </c>
      <c r="E2210" s="64"/>
      <c r="F2210" s="64"/>
      <c r="G2210">
        <f>IFERROR(HLOOKUP(G$2,[67]table_female_hkom3_inj.U5!$A$1:$K$36,33,FALSE),0)</f>
        <v>0</v>
      </c>
      <c r="H2210">
        <f>IFERROR(HLOOKUP(H$2,[67]table_female_hkom3_inj.U5!$A$1:$K$36,33,FALSE),0)</f>
        <v>1</v>
      </c>
      <c r="I2210">
        <f>IFERROR(HLOOKUP(I$2,[67]table_female_hkom3_inj.U5!$A$1:$K$36,33,FALSE),0)</f>
        <v>0</v>
      </c>
      <c r="J2210">
        <f>IFERROR(HLOOKUP(J$2,[67]table_female_hkom3_inj.U5!$A$1:$K$36,33,FALSE),0)</f>
        <v>0</v>
      </c>
      <c r="K2210">
        <f>IFERROR(HLOOKUP(K$2,[67]table_female_hkom3_inj.U5!$A$1:$K$36,33,FALSE),0)</f>
        <v>0</v>
      </c>
      <c r="L2210">
        <f>IFERROR(HLOOKUP(L$2,[67]table_female_hkom3_inj.U5!$A$1:$K$36,33,FALSE),0)</f>
        <v>0</v>
      </c>
      <c r="M2210">
        <f t="shared" si="683"/>
        <v>1</v>
      </c>
      <c r="S2210" t="s">
        <v>100</v>
      </c>
      <c r="T2210" s="5">
        <f t="shared" si="684"/>
        <v>0</v>
      </c>
      <c r="U2210" s="5">
        <f t="shared" si="685"/>
        <v>0</v>
      </c>
      <c r="V2210" s="5">
        <f t="shared" si="686"/>
        <v>6.0606060606060608E-2</v>
      </c>
      <c r="W2210" s="5">
        <f t="shared" si="687"/>
        <v>2</v>
      </c>
      <c r="X2210" s="5">
        <f t="shared" si="688"/>
        <v>0</v>
      </c>
      <c r="Y2210" s="5">
        <f t="shared" si="689"/>
        <v>3.0303030303030304E-2</v>
      </c>
      <c r="Z2210" s="5">
        <f t="shared" si="690"/>
        <v>0</v>
      </c>
      <c r="AA2210" s="5">
        <f t="shared" si="691"/>
        <v>0</v>
      </c>
      <c r="AB2210" s="5">
        <f t="shared" si="692"/>
        <v>2.0909090909090908</v>
      </c>
    </row>
    <row r="2211" spans="1:29" x14ac:dyDescent="0.25">
      <c r="D2211" t="s">
        <v>101</v>
      </c>
      <c r="E2211" s="64"/>
      <c r="F2211" s="64"/>
      <c r="G2211">
        <f>IFERROR(HLOOKUP(G$2,[67]table_female_hkom3_inj.U5!$A$1:$K$36,34,FALSE),0)</f>
        <v>0</v>
      </c>
      <c r="H2211">
        <f>IFERROR(HLOOKUP(H$2,[67]table_female_hkom3_inj.U5!$A$1:$K$36,34,FALSE),0)</f>
        <v>0</v>
      </c>
      <c r="I2211">
        <f>IFERROR(HLOOKUP(I$2,[67]table_female_hkom3_inj.U5!$A$1:$K$36,34,FALSE),0)</f>
        <v>0</v>
      </c>
      <c r="J2211">
        <f>IFERROR(HLOOKUP(J$2,[67]table_female_hkom3_inj.U5!$A$1:$K$36,34,FALSE),0)</f>
        <v>0</v>
      </c>
      <c r="K2211">
        <f>IFERROR(HLOOKUP(K$2,[67]table_female_hkom3_inj.U5!$A$1:$K$36,34,FALSE),0)</f>
        <v>0</v>
      </c>
      <c r="L2211">
        <f>IFERROR(HLOOKUP(L$2,[67]table_female_hkom3_inj.U5!$A$1:$K$36,34,FALSE),0)</f>
        <v>0</v>
      </c>
      <c r="M2211">
        <f t="shared" si="683"/>
        <v>0</v>
      </c>
      <c r="S2211" t="s">
        <v>101</v>
      </c>
      <c r="T2211" s="5">
        <f t="shared" si="684"/>
        <v>0</v>
      </c>
      <c r="U2211" s="5">
        <f t="shared" si="685"/>
        <v>0</v>
      </c>
      <c r="V2211" s="5">
        <f t="shared" si="686"/>
        <v>6.0606060606060608E-2</v>
      </c>
      <c r="W2211" s="5">
        <f t="shared" si="687"/>
        <v>0</v>
      </c>
      <c r="X2211" s="5">
        <f t="shared" si="688"/>
        <v>0</v>
      </c>
      <c r="Y2211" s="5">
        <f t="shared" si="689"/>
        <v>3.0303030303030304E-2</v>
      </c>
      <c r="Z2211" s="5">
        <f t="shared" si="690"/>
        <v>0</v>
      </c>
      <c r="AA2211" s="5">
        <f t="shared" si="691"/>
        <v>0</v>
      </c>
      <c r="AB2211" s="5">
        <f t="shared" si="692"/>
        <v>9.0909090909090912E-2</v>
      </c>
    </row>
    <row r="2212" spans="1:29" x14ac:dyDescent="0.25">
      <c r="D2212" t="s">
        <v>102</v>
      </c>
      <c r="E2212" s="64"/>
      <c r="F2212" s="64"/>
      <c r="G2212">
        <f>IFERROR(HLOOKUP(G$2,[67]table_female_hkom3_inj.U5!$A$1:$K$36,35,FALSE),0)</f>
        <v>2</v>
      </c>
      <c r="H2212">
        <f>IFERROR(HLOOKUP(H$2,[67]table_female_hkom3_inj.U5!$A$1:$K$36,35,FALSE),0)</f>
        <v>1</v>
      </c>
      <c r="I2212">
        <f>IFERROR(HLOOKUP(I$2,[67]table_female_hkom3_inj.U5!$A$1:$K$36,35,FALSE),0)</f>
        <v>0</v>
      </c>
      <c r="J2212">
        <f>IFERROR(HLOOKUP(J$2,[67]table_female_hkom3_inj.U5!$A$1:$K$36,35,FALSE),0)</f>
        <v>1</v>
      </c>
      <c r="K2212">
        <f>IFERROR(HLOOKUP(K$2,[67]table_female_hkom3_inj.U5!$A$1:$K$36,35,FALSE),0)</f>
        <v>0</v>
      </c>
      <c r="L2212">
        <f>IFERROR(HLOOKUP(L$2,[67]table_female_hkom3_inj.U5!$A$1:$K$36,35,FALSE),0)</f>
        <v>0</v>
      </c>
      <c r="M2212">
        <f t="shared" si="683"/>
        <v>4</v>
      </c>
      <c r="N2212">
        <f>SUM(M2179:M2212)</f>
        <v>5</v>
      </c>
      <c r="O2212" s="8">
        <f>SUM([67]table_female_hkom3_inj.U5!$B$2:$L$36)</f>
        <v>5</v>
      </c>
      <c r="S2212" t="s">
        <v>102</v>
      </c>
      <c r="T2212" s="7"/>
      <c r="U2212" s="7"/>
      <c r="V2212" s="7"/>
      <c r="W2212" s="7"/>
      <c r="X2212" s="7"/>
      <c r="Y2212" s="7"/>
      <c r="Z2212" s="7"/>
      <c r="AA2212" s="7"/>
      <c r="AB2212" s="5">
        <f t="shared" si="692"/>
        <v>0</v>
      </c>
      <c r="AC2212" s="5">
        <f>SUM(AB2179:AB2211)</f>
        <v>4.9999999999999991</v>
      </c>
    </row>
    <row r="2213" spans="1:29" x14ac:dyDescent="0.25">
      <c r="A2213" t="s">
        <v>115</v>
      </c>
      <c r="B2213" t="s">
        <v>117</v>
      </c>
      <c r="C2213" t="s">
        <v>114</v>
      </c>
      <c r="D2213" t="s">
        <v>70</v>
      </c>
      <c r="E2213" s="64"/>
      <c r="F2213" s="64"/>
      <c r="G2213">
        <f>IFERROR(HLOOKUP(G$2,[68]table_female_hkom3_inj.U6!$A$1:$K$36,2,FALSE),0)</f>
        <v>0</v>
      </c>
      <c r="H2213">
        <f>IFERROR(HLOOKUP(H$2,[68]table_female_hkom3_inj.U6!$A$1:$K$36,2,FALSE),0)</f>
        <v>1</v>
      </c>
      <c r="I2213">
        <f>IFERROR(HLOOKUP(I$2,[68]table_female_hkom3_inj.U6!$A$1:$K$36,2,FALSE),0)</f>
        <v>1</v>
      </c>
      <c r="J2213">
        <f>IFERROR(HLOOKUP(J$2,[68]table_female_hkom3_inj.U6!$A$1:$K$36,2,FALSE),0)</f>
        <v>0</v>
      </c>
      <c r="K2213">
        <f>IFERROR(HLOOKUP(K$2,[68]table_female_hkom3_inj.U6!$A$1:$K$36,2,FALSE),0)</f>
        <v>0</v>
      </c>
      <c r="L2213">
        <f>IFERROR(HLOOKUP(L$2,[68]table_female_hkom3_inj.U6!$A$1:$K$36,2,FALSE),0)</f>
        <v>0</v>
      </c>
      <c r="M2213">
        <f>SUM(E2213:L2213)</f>
        <v>2</v>
      </c>
      <c r="P2213" t="s">
        <v>115</v>
      </c>
      <c r="Q2213" t="s">
        <v>117</v>
      </c>
      <c r="R2213" t="s">
        <v>114</v>
      </c>
      <c r="S2213" t="s">
        <v>70</v>
      </c>
      <c r="T2213" s="5">
        <f>IF(SUM(E$2213:E$2245)=0,E$2246/33,E2213+IFERROR(E2213/SUM(E$2213:E$2245)*E$2246,0))</f>
        <v>0</v>
      </c>
      <c r="U2213" s="5">
        <f t="shared" ref="U2213:AA2213" si="693">IF(SUM(F$2213:F$2245)=0,F$2246/33,F2213+IFERROR(F2213/SUM(F$2213:F$2245)*F$2246,0))</f>
        <v>0</v>
      </c>
      <c r="V2213" s="5">
        <f t="shared" si="693"/>
        <v>0</v>
      </c>
      <c r="W2213" s="5">
        <f t="shared" si="693"/>
        <v>2.6648550724637681</v>
      </c>
      <c r="X2213" s="5">
        <f t="shared" si="693"/>
        <v>2.8399366085578448</v>
      </c>
      <c r="Y2213" s="5">
        <f t="shared" si="693"/>
        <v>0</v>
      </c>
      <c r="Z2213" s="5">
        <f t="shared" si="693"/>
        <v>0</v>
      </c>
      <c r="AA2213" s="5">
        <f t="shared" si="693"/>
        <v>0</v>
      </c>
      <c r="AB2213" s="5">
        <f t="shared" si="692"/>
        <v>5.5047916810216133</v>
      </c>
    </row>
    <row r="2214" spans="1:29" x14ac:dyDescent="0.25">
      <c r="D2214" t="s">
        <v>71</v>
      </c>
      <c r="E2214" s="64"/>
      <c r="F2214" s="64"/>
      <c r="G2214">
        <f>IFERROR(HLOOKUP(G$2,[68]table_female_hkom3_inj.U6!$A$1:$K$36,3,FALSE),0)</f>
        <v>23</v>
      </c>
      <c r="H2214">
        <f>IFERROR(HLOOKUP(H$2,[68]table_female_hkom3_inj.U6!$A$1:$K$36,3,FALSE),0)</f>
        <v>16</v>
      </c>
      <c r="I2214">
        <f>IFERROR(HLOOKUP(I$2,[68]table_female_hkom3_inj.U6!$A$1:$K$36,3,FALSE),0)</f>
        <v>4</v>
      </c>
      <c r="J2214">
        <f>IFERROR(HLOOKUP(J$2,[68]table_female_hkom3_inj.U6!$A$1:$K$36,3,FALSE),0)</f>
        <v>0</v>
      </c>
      <c r="K2214">
        <f>IFERROR(HLOOKUP(K$2,[68]table_female_hkom3_inj.U6!$A$1:$K$36,3,FALSE),0)</f>
        <v>0</v>
      </c>
      <c r="L2214">
        <f>IFERROR(HLOOKUP(L$2,[68]table_female_hkom3_inj.U6!$A$1:$K$36,3,FALSE),0)</f>
        <v>0</v>
      </c>
      <c r="M2214">
        <f t="shared" ref="M2214:M2246" si="694">SUM(E2214:L2214)</f>
        <v>43</v>
      </c>
      <c r="S2214" t="s">
        <v>71</v>
      </c>
      <c r="T2214" s="5">
        <f t="shared" ref="T2214:T2245" si="695">IF(SUM(E$2213:E$2245)=0,E$2246/33,E2214+IFERROR(E2214/SUM(E$2213:E$2245)*E$2246,0))</f>
        <v>0</v>
      </c>
      <c r="U2214" s="5">
        <f t="shared" ref="U2214:U2245" si="696">IF(SUM(F$2213:F$2245)=0,F$2246/33,F2214+IFERROR(F2214/SUM(F$2213:F$2245)*F$2246,0))</f>
        <v>0</v>
      </c>
      <c r="V2214" s="5">
        <f t="shared" ref="V2214:V2245" si="697">IF(SUM(G$2213:G$2245)=0,G$2246/33,G2214+IFERROR(G2214/SUM(G$2213:G$2245)*G$2246,0))</f>
        <v>55.353873239436624</v>
      </c>
      <c r="W2214" s="5">
        <f t="shared" ref="W2214:W2245" si="698">IF(SUM(H$2213:H$2245)=0,H$2246/33,H2214+IFERROR(H2214/SUM(H$2213:H$2245)*H$2246,0))</f>
        <v>42.637681159420289</v>
      </c>
      <c r="X2214" s="5">
        <f t="shared" ref="X2214:X2245" si="699">IF(SUM(I$2213:I$2245)=0,I$2246/33,I2214+IFERROR(I2214/SUM(I$2213:I$2245)*I$2246,0))</f>
        <v>11.359746434231379</v>
      </c>
      <c r="Y2214" s="5">
        <f t="shared" ref="Y2214:Y2245" si="700">IF(SUM(J$2213:J$2245)=0,J$2246/33,J2214+IFERROR(J2214/SUM(J$2213:J$2245)*J$2246,0))</f>
        <v>0</v>
      </c>
      <c r="Z2214" s="5">
        <f t="shared" ref="Z2214:Z2245" si="701">IF(SUM(K$2213:K$2245)=0,K$2246/33,K2214+IFERROR(K2214/SUM(K$2213:K$2245)*K$2246,0))</f>
        <v>0</v>
      </c>
      <c r="AA2214" s="5">
        <f t="shared" ref="AA2214:AA2245" si="702">IF(SUM(L$2213:L$2245)=0,L$2246/33,L2214+IFERROR(L2214/SUM(L$2213:L$2245)*L$2246,0))</f>
        <v>0</v>
      </c>
      <c r="AB2214" s="5">
        <f t="shared" si="692"/>
        <v>109.3513008330883</v>
      </c>
    </row>
    <row r="2215" spans="1:29" x14ac:dyDescent="0.25">
      <c r="D2215" t="s">
        <v>72</v>
      </c>
      <c r="E2215" s="64"/>
      <c r="F2215" s="64"/>
      <c r="G2215">
        <f>IFERROR(HLOOKUP(G$2,[68]table_female_hkom3_inj.U6!$A$1:$K$36,4,FALSE),0)</f>
        <v>4</v>
      </c>
      <c r="H2215">
        <f>IFERROR(HLOOKUP(H$2,[68]table_female_hkom3_inj.U6!$A$1:$K$36,4,FALSE),0)</f>
        <v>5</v>
      </c>
      <c r="I2215">
        <f>IFERROR(HLOOKUP(I$2,[68]table_female_hkom3_inj.U6!$A$1:$K$36,4,FALSE),0)</f>
        <v>3</v>
      </c>
      <c r="J2215">
        <f>IFERROR(HLOOKUP(J$2,[68]table_female_hkom3_inj.U6!$A$1:$K$36,4,FALSE),0)</f>
        <v>1</v>
      </c>
      <c r="K2215">
        <f>IFERROR(HLOOKUP(K$2,[68]table_female_hkom3_inj.U6!$A$1:$K$36,4,FALSE),0)</f>
        <v>0</v>
      </c>
      <c r="L2215">
        <f>IFERROR(HLOOKUP(L$2,[68]table_female_hkom3_inj.U6!$A$1:$K$36,4,FALSE),0)</f>
        <v>0</v>
      </c>
      <c r="M2215">
        <f t="shared" si="694"/>
        <v>13</v>
      </c>
      <c r="S2215" t="s">
        <v>72</v>
      </c>
      <c r="T2215" s="5">
        <f t="shared" si="695"/>
        <v>0</v>
      </c>
      <c r="U2215" s="5">
        <f t="shared" si="696"/>
        <v>0</v>
      </c>
      <c r="V2215" s="5">
        <f t="shared" si="697"/>
        <v>9.626760563380282</v>
      </c>
      <c r="W2215" s="5">
        <f t="shared" si="698"/>
        <v>13.324275362318842</v>
      </c>
      <c r="X2215" s="5">
        <f t="shared" si="699"/>
        <v>8.5198098256735335</v>
      </c>
      <c r="Y2215" s="5">
        <f t="shared" si="700"/>
        <v>3.5204081632653059</v>
      </c>
      <c r="Z2215" s="5">
        <f t="shared" si="701"/>
        <v>0</v>
      </c>
      <c r="AA2215" s="5">
        <f t="shared" si="702"/>
        <v>0</v>
      </c>
      <c r="AB2215" s="5">
        <f t="shared" si="692"/>
        <v>34.991253914637966</v>
      </c>
    </row>
    <row r="2216" spans="1:29" x14ac:dyDescent="0.25">
      <c r="D2216" t="s">
        <v>73</v>
      </c>
      <c r="E2216" s="64"/>
      <c r="F2216" s="64"/>
      <c r="G2216">
        <f>IFERROR(HLOOKUP(G$2,[68]table_female_hkom3_inj.U6!$A$1:$K$36,5,FALSE),0)</f>
        <v>1</v>
      </c>
      <c r="H2216">
        <f>IFERROR(HLOOKUP(H$2,[68]table_female_hkom3_inj.U6!$A$1:$K$36,5,FALSE),0)</f>
        <v>3</v>
      </c>
      <c r="I2216">
        <f>IFERROR(HLOOKUP(I$2,[68]table_female_hkom3_inj.U6!$A$1:$K$36,5,FALSE),0)</f>
        <v>1</v>
      </c>
      <c r="J2216">
        <f>IFERROR(HLOOKUP(J$2,[68]table_female_hkom3_inj.U6!$A$1:$K$36,5,FALSE),0)</f>
        <v>1</v>
      </c>
      <c r="K2216">
        <f>IFERROR(HLOOKUP(K$2,[68]table_female_hkom3_inj.U6!$A$1:$K$36,5,FALSE),0)</f>
        <v>0</v>
      </c>
      <c r="L2216">
        <f>IFERROR(HLOOKUP(L$2,[68]table_female_hkom3_inj.U6!$A$1:$K$36,5,FALSE),0)</f>
        <v>0</v>
      </c>
      <c r="M2216">
        <f t="shared" si="694"/>
        <v>6</v>
      </c>
      <c r="S2216" t="s">
        <v>73</v>
      </c>
      <c r="T2216" s="5">
        <f t="shared" si="695"/>
        <v>0</v>
      </c>
      <c r="U2216" s="5">
        <f t="shared" si="696"/>
        <v>0</v>
      </c>
      <c r="V2216" s="5">
        <f t="shared" si="697"/>
        <v>2.4066901408450705</v>
      </c>
      <c r="W2216" s="5">
        <f t="shared" si="698"/>
        <v>7.9945652173913038</v>
      </c>
      <c r="X2216" s="5">
        <f t="shared" si="699"/>
        <v>2.8399366085578448</v>
      </c>
      <c r="Y2216" s="5">
        <f t="shared" si="700"/>
        <v>3.5204081632653059</v>
      </c>
      <c r="Z2216" s="5">
        <f t="shared" si="701"/>
        <v>0</v>
      </c>
      <c r="AA2216" s="5">
        <f t="shared" si="702"/>
        <v>0</v>
      </c>
      <c r="AB2216" s="5">
        <f t="shared" si="692"/>
        <v>16.761600130059524</v>
      </c>
    </row>
    <row r="2217" spans="1:29" x14ac:dyDescent="0.25">
      <c r="D2217" t="s">
        <v>74</v>
      </c>
      <c r="E2217" s="64"/>
      <c r="F2217" s="64"/>
      <c r="G2217">
        <f>IFERROR(HLOOKUP(G$2,[68]table_female_hkom3_inj.U6!$A$1:$K$36,6,FALSE),0)</f>
        <v>0</v>
      </c>
      <c r="H2217">
        <f>IFERROR(HLOOKUP(H$2,[68]table_female_hkom3_inj.U6!$A$1:$K$36,6,FALSE),0)</f>
        <v>3</v>
      </c>
      <c r="I2217">
        <f>IFERROR(HLOOKUP(I$2,[68]table_female_hkom3_inj.U6!$A$1:$K$36,6,FALSE),0)</f>
        <v>4</v>
      </c>
      <c r="J2217">
        <f>IFERROR(HLOOKUP(J$2,[68]table_female_hkom3_inj.U6!$A$1:$K$36,6,FALSE),0)</f>
        <v>0</v>
      </c>
      <c r="K2217">
        <f>IFERROR(HLOOKUP(K$2,[68]table_female_hkom3_inj.U6!$A$1:$K$36,6,FALSE),0)</f>
        <v>0</v>
      </c>
      <c r="L2217">
        <f>IFERROR(HLOOKUP(L$2,[68]table_female_hkom3_inj.U6!$A$1:$K$36,6,FALSE),0)</f>
        <v>0</v>
      </c>
      <c r="M2217">
        <f t="shared" si="694"/>
        <v>7</v>
      </c>
      <c r="S2217" t="s">
        <v>74</v>
      </c>
      <c r="T2217" s="5">
        <f t="shared" si="695"/>
        <v>0</v>
      </c>
      <c r="U2217" s="5">
        <f t="shared" si="696"/>
        <v>0</v>
      </c>
      <c r="V2217" s="5">
        <f t="shared" si="697"/>
        <v>0</v>
      </c>
      <c r="W2217" s="5">
        <f t="shared" si="698"/>
        <v>7.9945652173913038</v>
      </c>
      <c r="X2217" s="5">
        <f t="shared" si="699"/>
        <v>11.359746434231379</v>
      </c>
      <c r="Y2217" s="5">
        <f t="shared" si="700"/>
        <v>0</v>
      </c>
      <c r="Z2217" s="5">
        <f t="shared" si="701"/>
        <v>0</v>
      </c>
      <c r="AA2217" s="5">
        <f t="shared" si="702"/>
        <v>0</v>
      </c>
      <c r="AB2217" s="5">
        <f t="shared" si="692"/>
        <v>19.354311651622684</v>
      </c>
    </row>
    <row r="2218" spans="1:29" x14ac:dyDescent="0.25">
      <c r="D2218" t="s">
        <v>75</v>
      </c>
      <c r="E2218" s="64"/>
      <c r="F2218" s="64"/>
      <c r="G2218">
        <f>IFERROR(HLOOKUP(G$2,[68]table_female_hkom3_inj.U6!$A$1:$K$36,7,FALSE),0)</f>
        <v>1</v>
      </c>
      <c r="H2218">
        <f>IFERROR(HLOOKUP(H$2,[68]table_female_hkom3_inj.U6!$A$1:$K$36,7,FALSE),0)</f>
        <v>0</v>
      </c>
      <c r="I2218">
        <f>IFERROR(HLOOKUP(I$2,[68]table_female_hkom3_inj.U6!$A$1:$K$36,7,FALSE),0)</f>
        <v>3</v>
      </c>
      <c r="J2218">
        <f>IFERROR(HLOOKUP(J$2,[68]table_female_hkom3_inj.U6!$A$1:$K$36,7,FALSE),0)</f>
        <v>0</v>
      </c>
      <c r="K2218">
        <f>IFERROR(HLOOKUP(K$2,[68]table_female_hkom3_inj.U6!$A$1:$K$36,7,FALSE),0)</f>
        <v>0</v>
      </c>
      <c r="L2218">
        <f>IFERROR(HLOOKUP(L$2,[68]table_female_hkom3_inj.U6!$A$1:$K$36,7,FALSE),0)</f>
        <v>0</v>
      </c>
      <c r="M2218">
        <f t="shared" si="694"/>
        <v>4</v>
      </c>
      <c r="S2218" t="s">
        <v>75</v>
      </c>
      <c r="T2218" s="5">
        <f t="shared" si="695"/>
        <v>0</v>
      </c>
      <c r="U2218" s="5">
        <f t="shared" si="696"/>
        <v>0</v>
      </c>
      <c r="V2218" s="5">
        <f t="shared" si="697"/>
        <v>2.4066901408450705</v>
      </c>
      <c r="W2218" s="5">
        <f t="shared" si="698"/>
        <v>0</v>
      </c>
      <c r="X2218" s="5">
        <f t="shared" si="699"/>
        <v>8.5198098256735335</v>
      </c>
      <c r="Y2218" s="5">
        <f t="shared" si="700"/>
        <v>0</v>
      </c>
      <c r="Z2218" s="5">
        <f t="shared" si="701"/>
        <v>0</v>
      </c>
      <c r="AA2218" s="5">
        <f t="shared" si="702"/>
        <v>0</v>
      </c>
      <c r="AB2218" s="5">
        <f t="shared" si="692"/>
        <v>10.926499966518604</v>
      </c>
    </row>
    <row r="2219" spans="1:29" x14ac:dyDescent="0.25">
      <c r="D2219" t="s">
        <v>76</v>
      </c>
      <c r="E2219" s="64"/>
      <c r="F2219" s="64"/>
      <c r="G2219">
        <f>IFERROR(HLOOKUP(G$2,[68]table_female_hkom3_inj.U6!$A$1:$K$36,8,FALSE),0)</f>
        <v>3</v>
      </c>
      <c r="H2219">
        <f>IFERROR(HLOOKUP(H$2,[68]table_female_hkom3_inj.U6!$A$1:$K$36,8,FALSE),0)</f>
        <v>6</v>
      </c>
      <c r="I2219">
        <f>IFERROR(HLOOKUP(I$2,[68]table_female_hkom3_inj.U6!$A$1:$K$36,8,FALSE),0)</f>
        <v>4</v>
      </c>
      <c r="J2219">
        <f>IFERROR(HLOOKUP(J$2,[68]table_female_hkom3_inj.U6!$A$1:$K$36,8,FALSE),0)</f>
        <v>1</v>
      </c>
      <c r="K2219">
        <f>IFERROR(HLOOKUP(K$2,[68]table_female_hkom3_inj.U6!$A$1:$K$36,8,FALSE),0)</f>
        <v>1</v>
      </c>
      <c r="L2219">
        <f>IFERROR(HLOOKUP(L$2,[68]table_female_hkom3_inj.U6!$A$1:$K$36,8,FALSE),0)</f>
        <v>0</v>
      </c>
      <c r="M2219">
        <f t="shared" si="694"/>
        <v>15</v>
      </c>
      <c r="S2219" t="s">
        <v>76</v>
      </c>
      <c r="T2219" s="5">
        <f t="shared" si="695"/>
        <v>0</v>
      </c>
      <c r="U2219" s="5">
        <f t="shared" si="696"/>
        <v>0</v>
      </c>
      <c r="V2219" s="5">
        <f t="shared" si="697"/>
        <v>7.220070422535211</v>
      </c>
      <c r="W2219" s="5">
        <f t="shared" si="698"/>
        <v>15.989130434782608</v>
      </c>
      <c r="X2219" s="5">
        <f t="shared" si="699"/>
        <v>11.359746434231379</v>
      </c>
      <c r="Y2219" s="5">
        <f t="shared" si="700"/>
        <v>3.5204081632653059</v>
      </c>
      <c r="Z2219" s="5">
        <f t="shared" si="701"/>
        <v>3.7</v>
      </c>
      <c r="AA2219" s="5">
        <f t="shared" si="702"/>
        <v>0</v>
      </c>
      <c r="AB2219" s="5">
        <f t="shared" si="692"/>
        <v>41.789355454814505</v>
      </c>
    </row>
    <row r="2220" spans="1:29" x14ac:dyDescent="0.25">
      <c r="D2220" t="s">
        <v>77</v>
      </c>
      <c r="E2220" s="64"/>
      <c r="F2220" s="64"/>
      <c r="G2220">
        <f>IFERROR(HLOOKUP(G$2,[68]table_female_hkom3_inj.U6!$A$1:$K$36,9,FALSE),0)</f>
        <v>9</v>
      </c>
      <c r="H2220">
        <f>IFERROR(HLOOKUP(H$2,[68]table_female_hkom3_inj.U6!$A$1:$K$36,9,FALSE),0)</f>
        <v>15</v>
      </c>
      <c r="I2220">
        <f>IFERROR(HLOOKUP(I$2,[68]table_female_hkom3_inj.U6!$A$1:$K$36,9,FALSE),0)</f>
        <v>10</v>
      </c>
      <c r="J2220">
        <f>IFERROR(HLOOKUP(J$2,[68]table_female_hkom3_inj.U6!$A$1:$K$36,9,FALSE),0)</f>
        <v>0</v>
      </c>
      <c r="K2220">
        <f>IFERROR(HLOOKUP(K$2,[68]table_female_hkom3_inj.U6!$A$1:$K$36,9,FALSE),0)</f>
        <v>0</v>
      </c>
      <c r="L2220">
        <f>IFERROR(HLOOKUP(L$2,[68]table_female_hkom3_inj.U6!$A$1:$K$36,9,FALSE),0)</f>
        <v>0</v>
      </c>
      <c r="M2220">
        <f t="shared" si="694"/>
        <v>34</v>
      </c>
      <c r="S2220" t="s">
        <v>77</v>
      </c>
      <c r="T2220" s="5">
        <f t="shared" si="695"/>
        <v>0</v>
      </c>
      <c r="U2220" s="5">
        <f t="shared" si="696"/>
        <v>0</v>
      </c>
      <c r="V2220" s="5">
        <f t="shared" si="697"/>
        <v>21.660211267605632</v>
      </c>
      <c r="W2220" s="5">
        <f t="shared" si="698"/>
        <v>39.972826086956516</v>
      </c>
      <c r="X2220" s="5">
        <f t="shared" si="699"/>
        <v>28.399366085578446</v>
      </c>
      <c r="Y2220" s="5">
        <f t="shared" si="700"/>
        <v>0</v>
      </c>
      <c r="Z2220" s="5">
        <f t="shared" si="701"/>
        <v>0</v>
      </c>
      <c r="AA2220" s="5">
        <f t="shared" si="702"/>
        <v>0</v>
      </c>
      <c r="AB2220" s="5">
        <f t="shared" si="692"/>
        <v>90.032403440140598</v>
      </c>
    </row>
    <row r="2221" spans="1:29" x14ac:dyDescent="0.25">
      <c r="D2221" t="s">
        <v>78</v>
      </c>
      <c r="E2221" s="64"/>
      <c r="F2221" s="64"/>
      <c r="G2221">
        <f>IFERROR(HLOOKUP(G$2,[68]table_female_hkom3_inj.U6!$A$1:$K$36,10,FALSE),0)</f>
        <v>11</v>
      </c>
      <c r="H2221">
        <f>IFERROR(HLOOKUP(H$2,[68]table_female_hkom3_inj.U6!$A$1:$K$36,10,FALSE),0)</f>
        <v>47</v>
      </c>
      <c r="I2221">
        <f>IFERROR(HLOOKUP(I$2,[68]table_female_hkom3_inj.U6!$A$1:$K$36,10,FALSE),0)</f>
        <v>34</v>
      </c>
      <c r="J2221">
        <f>IFERROR(HLOOKUP(J$2,[68]table_female_hkom3_inj.U6!$A$1:$K$36,10,FALSE),0)</f>
        <v>4</v>
      </c>
      <c r="K2221">
        <f>IFERROR(HLOOKUP(K$2,[68]table_female_hkom3_inj.U6!$A$1:$K$36,10,FALSE),0)</f>
        <v>0</v>
      </c>
      <c r="L2221">
        <f>IFERROR(HLOOKUP(L$2,[68]table_female_hkom3_inj.U6!$A$1:$K$36,10,FALSE),0)</f>
        <v>0</v>
      </c>
      <c r="M2221">
        <f t="shared" si="694"/>
        <v>96</v>
      </c>
      <c r="S2221" t="s">
        <v>78</v>
      </c>
      <c r="T2221" s="5">
        <f t="shared" si="695"/>
        <v>0</v>
      </c>
      <c r="U2221" s="5">
        <f t="shared" si="696"/>
        <v>0</v>
      </c>
      <c r="V2221" s="5">
        <f t="shared" si="697"/>
        <v>26.473591549295776</v>
      </c>
      <c r="W2221" s="5">
        <f t="shared" si="698"/>
        <v>125.24818840579711</v>
      </c>
      <c r="X2221" s="5">
        <f t="shared" si="699"/>
        <v>96.557844690966732</v>
      </c>
      <c r="Y2221" s="5">
        <f t="shared" si="700"/>
        <v>14.081632653061224</v>
      </c>
      <c r="Z2221" s="5">
        <f t="shared" si="701"/>
        <v>0</v>
      </c>
      <c r="AA2221" s="5">
        <f t="shared" si="702"/>
        <v>0</v>
      </c>
      <c r="AB2221" s="5">
        <f t="shared" si="692"/>
        <v>262.36125729912084</v>
      </c>
    </row>
    <row r="2222" spans="1:29" x14ac:dyDescent="0.25">
      <c r="D2222" t="s">
        <v>79</v>
      </c>
      <c r="E2222" s="64"/>
      <c r="F2222" s="64"/>
      <c r="G2222">
        <f>IFERROR(HLOOKUP(G$2,[68]table_female_hkom3_inj.U6!$A$1:$K$36,11,FALSE),0)</f>
        <v>13</v>
      </c>
      <c r="H2222">
        <f>IFERROR(HLOOKUP(H$2,[68]table_female_hkom3_inj.U6!$A$1:$K$36,11,FALSE),0)</f>
        <v>11</v>
      </c>
      <c r="I2222">
        <f>IFERROR(HLOOKUP(I$2,[68]table_female_hkom3_inj.U6!$A$1:$K$36,11,FALSE),0)</f>
        <v>7</v>
      </c>
      <c r="J2222">
        <f>IFERROR(HLOOKUP(J$2,[68]table_female_hkom3_inj.U6!$A$1:$K$36,11,FALSE),0)</f>
        <v>6</v>
      </c>
      <c r="K2222">
        <f>IFERROR(HLOOKUP(K$2,[68]table_female_hkom3_inj.U6!$A$1:$K$36,11,FALSE),0)</f>
        <v>0</v>
      </c>
      <c r="L2222">
        <f>IFERROR(HLOOKUP(L$2,[68]table_female_hkom3_inj.U6!$A$1:$K$36,11,FALSE),0)</f>
        <v>0</v>
      </c>
      <c r="M2222">
        <f t="shared" si="694"/>
        <v>37</v>
      </c>
      <c r="S2222" t="s">
        <v>79</v>
      </c>
      <c r="T2222" s="5">
        <f t="shared" si="695"/>
        <v>0</v>
      </c>
      <c r="U2222" s="5">
        <f t="shared" si="696"/>
        <v>0</v>
      </c>
      <c r="V2222" s="5">
        <f t="shared" si="697"/>
        <v>31.286971830985916</v>
      </c>
      <c r="W2222" s="5">
        <f t="shared" si="698"/>
        <v>29.313405797101449</v>
      </c>
      <c r="X2222" s="5">
        <f t="shared" si="699"/>
        <v>19.879556259904913</v>
      </c>
      <c r="Y2222" s="5">
        <f t="shared" si="700"/>
        <v>21.122448979591837</v>
      </c>
      <c r="Z2222" s="5">
        <f t="shared" si="701"/>
        <v>0</v>
      </c>
      <c r="AA2222" s="5">
        <f t="shared" si="702"/>
        <v>0</v>
      </c>
      <c r="AB2222" s="5">
        <f t="shared" si="692"/>
        <v>101.60238286758411</v>
      </c>
    </row>
    <row r="2223" spans="1:29" x14ac:dyDescent="0.25">
      <c r="D2223" t="s">
        <v>80</v>
      </c>
      <c r="E2223" s="64"/>
      <c r="F2223" s="64"/>
      <c r="G2223">
        <f>IFERROR(HLOOKUP(G$2,[68]table_female_hkom3_inj.U6!$A$1:$K$36,12,FALSE),0)</f>
        <v>11</v>
      </c>
      <c r="H2223">
        <f>IFERROR(HLOOKUP(H$2,[68]table_female_hkom3_inj.U6!$A$1:$K$36,12,FALSE),0)</f>
        <v>12</v>
      </c>
      <c r="I2223">
        <f>IFERROR(HLOOKUP(I$2,[68]table_female_hkom3_inj.U6!$A$1:$K$36,12,FALSE),0)</f>
        <v>11</v>
      </c>
      <c r="J2223">
        <f>IFERROR(HLOOKUP(J$2,[68]table_female_hkom3_inj.U6!$A$1:$K$36,12,FALSE),0)</f>
        <v>5</v>
      </c>
      <c r="K2223">
        <f>IFERROR(HLOOKUP(K$2,[68]table_female_hkom3_inj.U6!$A$1:$K$36,12,FALSE),0)</f>
        <v>0</v>
      </c>
      <c r="L2223">
        <f>IFERROR(HLOOKUP(L$2,[68]table_female_hkom3_inj.U6!$A$1:$K$36,12,FALSE),0)</f>
        <v>0</v>
      </c>
      <c r="M2223">
        <f t="shared" si="694"/>
        <v>39</v>
      </c>
      <c r="S2223" t="s">
        <v>80</v>
      </c>
      <c r="T2223" s="5">
        <f t="shared" si="695"/>
        <v>0</v>
      </c>
      <c r="U2223" s="5">
        <f t="shared" si="696"/>
        <v>0</v>
      </c>
      <c r="V2223" s="5">
        <f t="shared" si="697"/>
        <v>26.473591549295776</v>
      </c>
      <c r="W2223" s="5">
        <f t="shared" si="698"/>
        <v>31.978260869565215</v>
      </c>
      <c r="X2223" s="5">
        <f t="shared" si="699"/>
        <v>31.239302694136292</v>
      </c>
      <c r="Y2223" s="5">
        <f t="shared" si="700"/>
        <v>17.602040816326529</v>
      </c>
      <c r="Z2223" s="5">
        <f t="shared" si="701"/>
        <v>0</v>
      </c>
      <c r="AA2223" s="5">
        <f t="shared" si="702"/>
        <v>0</v>
      </c>
      <c r="AB2223" s="5">
        <f t="shared" si="692"/>
        <v>107.29319592932382</v>
      </c>
    </row>
    <row r="2224" spans="1:29" x14ac:dyDescent="0.25">
      <c r="D2224" t="s">
        <v>81</v>
      </c>
      <c r="E2224" s="64"/>
      <c r="F2224" s="64"/>
      <c r="G2224">
        <f>IFERROR(HLOOKUP(G$2,[68]table_female_hkom3_inj.U6!$A$1:$K$36,13,FALSE),0)</f>
        <v>1</v>
      </c>
      <c r="H2224">
        <f>IFERROR(HLOOKUP(H$2,[68]table_female_hkom3_inj.U6!$A$1:$K$36,13,FALSE),0)</f>
        <v>10</v>
      </c>
      <c r="I2224">
        <f>IFERROR(HLOOKUP(I$2,[68]table_female_hkom3_inj.U6!$A$1:$K$36,13,FALSE),0)</f>
        <v>1</v>
      </c>
      <c r="J2224">
        <f>IFERROR(HLOOKUP(J$2,[68]table_female_hkom3_inj.U6!$A$1:$K$36,13,FALSE),0)</f>
        <v>1</v>
      </c>
      <c r="K2224">
        <f>IFERROR(HLOOKUP(K$2,[68]table_female_hkom3_inj.U6!$A$1:$K$36,13,FALSE),0)</f>
        <v>0</v>
      </c>
      <c r="L2224">
        <f>IFERROR(HLOOKUP(L$2,[68]table_female_hkom3_inj.U6!$A$1:$K$36,13,FALSE),0)</f>
        <v>0</v>
      </c>
      <c r="M2224">
        <f t="shared" si="694"/>
        <v>13</v>
      </c>
      <c r="S2224" t="s">
        <v>81</v>
      </c>
      <c r="T2224" s="5">
        <f t="shared" si="695"/>
        <v>0</v>
      </c>
      <c r="U2224" s="5">
        <f t="shared" si="696"/>
        <v>0</v>
      </c>
      <c r="V2224" s="5">
        <f t="shared" si="697"/>
        <v>2.4066901408450705</v>
      </c>
      <c r="W2224" s="5">
        <f t="shared" si="698"/>
        <v>26.648550724637683</v>
      </c>
      <c r="X2224" s="5">
        <f t="shared" si="699"/>
        <v>2.8399366085578448</v>
      </c>
      <c r="Y2224" s="5">
        <f t="shared" si="700"/>
        <v>3.5204081632653059</v>
      </c>
      <c r="Z2224" s="5">
        <f t="shared" si="701"/>
        <v>0</v>
      </c>
      <c r="AA2224" s="5">
        <f t="shared" si="702"/>
        <v>0</v>
      </c>
      <c r="AB2224" s="5">
        <f t="shared" si="692"/>
        <v>35.415585637305909</v>
      </c>
    </row>
    <row r="2225" spans="4:28" x14ac:dyDescent="0.25">
      <c r="D2225" t="s">
        <v>82</v>
      </c>
      <c r="E2225" s="64"/>
      <c r="F2225" s="64"/>
      <c r="G2225">
        <f>IFERROR(HLOOKUP(G$2,[68]table_female_hkom3_inj.U6!$A$1:$K$36,14,FALSE),0)</f>
        <v>9</v>
      </c>
      <c r="H2225">
        <f>IFERROR(HLOOKUP(H$2,[68]table_female_hkom3_inj.U6!$A$1:$K$36,14,FALSE),0)</f>
        <v>21</v>
      </c>
      <c r="I2225">
        <f>IFERROR(HLOOKUP(I$2,[68]table_female_hkom3_inj.U6!$A$1:$K$36,14,FALSE),0)</f>
        <v>10</v>
      </c>
      <c r="J2225">
        <f>IFERROR(HLOOKUP(J$2,[68]table_female_hkom3_inj.U6!$A$1:$K$36,14,FALSE),0)</f>
        <v>2</v>
      </c>
      <c r="K2225">
        <f>IFERROR(HLOOKUP(K$2,[68]table_female_hkom3_inj.U6!$A$1:$K$36,14,FALSE),0)</f>
        <v>1</v>
      </c>
      <c r="L2225">
        <f>IFERROR(HLOOKUP(L$2,[68]table_female_hkom3_inj.U6!$A$1:$K$36,14,FALSE),0)</f>
        <v>0</v>
      </c>
      <c r="M2225">
        <f t="shared" si="694"/>
        <v>43</v>
      </c>
      <c r="S2225" t="s">
        <v>82</v>
      </c>
      <c r="T2225" s="5">
        <f t="shared" si="695"/>
        <v>0</v>
      </c>
      <c r="U2225" s="5">
        <f t="shared" si="696"/>
        <v>0</v>
      </c>
      <c r="V2225" s="5">
        <f t="shared" si="697"/>
        <v>21.660211267605632</v>
      </c>
      <c r="W2225" s="5">
        <f t="shared" si="698"/>
        <v>55.961956521739133</v>
      </c>
      <c r="X2225" s="5">
        <f t="shared" si="699"/>
        <v>28.399366085578446</v>
      </c>
      <c r="Y2225" s="5">
        <f t="shared" si="700"/>
        <v>7.0408163265306118</v>
      </c>
      <c r="Z2225" s="5">
        <f t="shared" si="701"/>
        <v>3.7</v>
      </c>
      <c r="AA2225" s="5">
        <f t="shared" si="702"/>
        <v>0</v>
      </c>
      <c r="AB2225" s="5">
        <f t="shared" si="692"/>
        <v>116.76235020145383</v>
      </c>
    </row>
    <row r="2226" spans="4:28" x14ac:dyDescent="0.25">
      <c r="D2226" t="s">
        <v>83</v>
      </c>
      <c r="E2226" s="64"/>
      <c r="F2226" s="64"/>
      <c r="G2226">
        <f>IFERROR(HLOOKUP(G$2,[68]table_female_hkom3_inj.U6!$A$1:$K$36,15,FALSE),0)</f>
        <v>1</v>
      </c>
      <c r="H2226">
        <f>IFERROR(HLOOKUP(H$2,[68]table_female_hkom3_inj.U6!$A$1:$K$36,15,FALSE),0)</f>
        <v>5</v>
      </c>
      <c r="I2226">
        <f>IFERROR(HLOOKUP(I$2,[68]table_female_hkom3_inj.U6!$A$1:$K$36,15,FALSE),0)</f>
        <v>3</v>
      </c>
      <c r="J2226">
        <f>IFERROR(HLOOKUP(J$2,[68]table_female_hkom3_inj.U6!$A$1:$K$36,15,FALSE),0)</f>
        <v>0</v>
      </c>
      <c r="K2226">
        <f>IFERROR(HLOOKUP(K$2,[68]table_female_hkom3_inj.U6!$A$1:$K$36,15,FALSE),0)</f>
        <v>0</v>
      </c>
      <c r="L2226">
        <f>IFERROR(HLOOKUP(L$2,[68]table_female_hkom3_inj.U6!$A$1:$K$36,15,FALSE),0)</f>
        <v>0</v>
      </c>
      <c r="M2226">
        <f t="shared" si="694"/>
        <v>9</v>
      </c>
      <c r="S2226" t="s">
        <v>83</v>
      </c>
      <c r="T2226" s="5">
        <f t="shared" si="695"/>
        <v>0</v>
      </c>
      <c r="U2226" s="5">
        <f t="shared" si="696"/>
        <v>0</v>
      </c>
      <c r="V2226" s="5">
        <f t="shared" si="697"/>
        <v>2.4066901408450705</v>
      </c>
      <c r="W2226" s="5">
        <f t="shared" si="698"/>
        <v>13.324275362318842</v>
      </c>
      <c r="X2226" s="5">
        <f t="shared" si="699"/>
        <v>8.5198098256735335</v>
      </c>
      <c r="Y2226" s="5">
        <f t="shared" si="700"/>
        <v>0</v>
      </c>
      <c r="Z2226" s="5">
        <f t="shared" si="701"/>
        <v>0</v>
      </c>
      <c r="AA2226" s="5">
        <f t="shared" si="702"/>
        <v>0</v>
      </c>
      <c r="AB2226" s="5">
        <f t="shared" si="692"/>
        <v>24.250775328837445</v>
      </c>
    </row>
    <row r="2227" spans="4:28" x14ac:dyDescent="0.25">
      <c r="D2227" t="s">
        <v>84</v>
      </c>
      <c r="E2227" s="64"/>
      <c r="F2227" s="64"/>
      <c r="G2227">
        <f>IFERROR(HLOOKUP(G$2,[68]table_female_hkom3_inj.U6!$A$1:$K$36,16,FALSE),0)</f>
        <v>1</v>
      </c>
      <c r="H2227">
        <f>IFERROR(HLOOKUP(H$2,[68]table_female_hkom3_inj.U6!$A$1:$K$36,16,FALSE),0)</f>
        <v>5</v>
      </c>
      <c r="I2227">
        <f>IFERROR(HLOOKUP(I$2,[68]table_female_hkom3_inj.U6!$A$1:$K$36,16,FALSE),0)</f>
        <v>6</v>
      </c>
      <c r="J2227">
        <f>IFERROR(HLOOKUP(J$2,[68]table_female_hkom3_inj.U6!$A$1:$K$36,16,FALSE),0)</f>
        <v>1</v>
      </c>
      <c r="K2227">
        <f>IFERROR(HLOOKUP(K$2,[68]table_female_hkom3_inj.U6!$A$1:$K$36,16,FALSE),0)</f>
        <v>0</v>
      </c>
      <c r="L2227">
        <f>IFERROR(HLOOKUP(L$2,[68]table_female_hkom3_inj.U6!$A$1:$K$36,16,FALSE),0)</f>
        <v>0</v>
      </c>
      <c r="M2227">
        <f t="shared" si="694"/>
        <v>13</v>
      </c>
      <c r="S2227" t="s">
        <v>84</v>
      </c>
      <c r="T2227" s="5">
        <f t="shared" si="695"/>
        <v>0</v>
      </c>
      <c r="U2227" s="5">
        <f t="shared" si="696"/>
        <v>0</v>
      </c>
      <c r="V2227" s="5">
        <f t="shared" si="697"/>
        <v>2.4066901408450705</v>
      </c>
      <c r="W2227" s="5">
        <f t="shared" si="698"/>
        <v>13.324275362318842</v>
      </c>
      <c r="X2227" s="5">
        <f t="shared" si="699"/>
        <v>17.039619651347067</v>
      </c>
      <c r="Y2227" s="5">
        <f t="shared" si="700"/>
        <v>3.5204081632653059</v>
      </c>
      <c r="Z2227" s="5">
        <f t="shared" si="701"/>
        <v>0</v>
      </c>
      <c r="AA2227" s="5">
        <f t="shared" si="702"/>
        <v>0</v>
      </c>
      <c r="AB2227" s="5">
        <f t="shared" si="692"/>
        <v>36.290993317776291</v>
      </c>
    </row>
    <row r="2228" spans="4:28" x14ac:dyDescent="0.25">
      <c r="D2228" t="s">
        <v>85</v>
      </c>
      <c r="E2228" s="64"/>
      <c r="F2228" s="64"/>
      <c r="G2228">
        <f>IFERROR(HLOOKUP(G$2,[68]table_female_hkom3_inj.U6!$A$1:$K$36,17,FALSE),0)</f>
        <v>8</v>
      </c>
      <c r="H2228">
        <f>IFERROR(HLOOKUP(H$2,[68]table_female_hkom3_inj.U6!$A$1:$K$36,17,FALSE),0)</f>
        <v>23</v>
      </c>
      <c r="I2228">
        <f>IFERROR(HLOOKUP(I$2,[68]table_female_hkom3_inj.U6!$A$1:$K$36,17,FALSE),0)</f>
        <v>13</v>
      </c>
      <c r="J2228">
        <f>IFERROR(HLOOKUP(J$2,[68]table_female_hkom3_inj.U6!$A$1:$K$36,17,FALSE),0)</f>
        <v>1</v>
      </c>
      <c r="K2228">
        <f>IFERROR(HLOOKUP(K$2,[68]table_female_hkom3_inj.U6!$A$1:$K$36,17,FALSE),0)</f>
        <v>0</v>
      </c>
      <c r="L2228">
        <f>IFERROR(HLOOKUP(L$2,[68]table_female_hkom3_inj.U6!$A$1:$K$36,17,FALSE),0)</f>
        <v>0</v>
      </c>
      <c r="M2228">
        <f t="shared" si="694"/>
        <v>45</v>
      </c>
      <c r="S2228" t="s">
        <v>85</v>
      </c>
      <c r="T2228" s="5">
        <f t="shared" si="695"/>
        <v>0</v>
      </c>
      <c r="U2228" s="5">
        <f t="shared" si="696"/>
        <v>0</v>
      </c>
      <c r="V2228" s="5">
        <f t="shared" si="697"/>
        <v>19.253521126760564</v>
      </c>
      <c r="W2228" s="5">
        <f t="shared" si="698"/>
        <v>61.291666666666664</v>
      </c>
      <c r="X2228" s="5">
        <f t="shared" si="699"/>
        <v>36.919175911251983</v>
      </c>
      <c r="Y2228" s="5">
        <f t="shared" si="700"/>
        <v>3.5204081632653059</v>
      </c>
      <c r="Z2228" s="5">
        <f t="shared" si="701"/>
        <v>0</v>
      </c>
      <c r="AA2228" s="5">
        <f t="shared" si="702"/>
        <v>0</v>
      </c>
      <c r="AB2228" s="5">
        <f t="shared" si="692"/>
        <v>120.98477186794452</v>
      </c>
    </row>
    <row r="2229" spans="4:28" x14ac:dyDescent="0.25">
      <c r="D2229" t="s">
        <v>86</v>
      </c>
      <c r="E2229" s="64"/>
      <c r="F2229" s="64"/>
      <c r="G2229">
        <f>IFERROR(HLOOKUP(G$2,[68]table_female_hkom3_inj.U6!$A$1:$K$36,18,FALSE),0)</f>
        <v>26</v>
      </c>
      <c r="H2229">
        <f>IFERROR(HLOOKUP(H$2,[68]table_female_hkom3_inj.U6!$A$1:$K$36,18,FALSE),0)</f>
        <v>37</v>
      </c>
      <c r="I2229">
        <f>IFERROR(HLOOKUP(I$2,[68]table_female_hkom3_inj.U6!$A$1:$K$36,18,FALSE),0)</f>
        <v>24</v>
      </c>
      <c r="J2229">
        <f>IFERROR(HLOOKUP(J$2,[68]table_female_hkom3_inj.U6!$A$1:$K$36,18,FALSE),0)</f>
        <v>3</v>
      </c>
      <c r="K2229">
        <f>IFERROR(HLOOKUP(K$2,[68]table_female_hkom3_inj.U6!$A$1:$K$36,18,FALSE),0)</f>
        <v>0</v>
      </c>
      <c r="L2229">
        <f>IFERROR(HLOOKUP(L$2,[68]table_female_hkom3_inj.U6!$A$1:$K$36,18,FALSE),0)</f>
        <v>0</v>
      </c>
      <c r="M2229">
        <f t="shared" si="694"/>
        <v>90</v>
      </c>
      <c r="S2229" t="s">
        <v>86</v>
      </c>
      <c r="T2229" s="5">
        <f t="shared" si="695"/>
        <v>0</v>
      </c>
      <c r="U2229" s="5">
        <f t="shared" si="696"/>
        <v>0</v>
      </c>
      <c r="V2229" s="5">
        <f t="shared" si="697"/>
        <v>62.573943661971832</v>
      </c>
      <c r="W2229" s="5">
        <f t="shared" si="698"/>
        <v>98.599637681159436</v>
      </c>
      <c r="X2229" s="5">
        <f t="shared" si="699"/>
        <v>68.158478605388268</v>
      </c>
      <c r="Y2229" s="5">
        <f t="shared" si="700"/>
        <v>10.561224489795919</v>
      </c>
      <c r="Z2229" s="5">
        <f t="shared" si="701"/>
        <v>0</v>
      </c>
      <c r="AA2229" s="5">
        <f t="shared" si="702"/>
        <v>0</v>
      </c>
      <c r="AB2229" s="5">
        <f t="shared" si="692"/>
        <v>239.89328443831545</v>
      </c>
    </row>
    <row r="2230" spans="4:28" x14ac:dyDescent="0.25">
      <c r="D2230" t="s">
        <v>87</v>
      </c>
      <c r="E2230" s="64"/>
      <c r="F2230" s="64"/>
      <c r="G2230">
        <f>IFERROR(HLOOKUP(G$2,[68]table_female_hkom3_inj.U6!$A$1:$K$36,19,FALSE),0)</f>
        <v>24</v>
      </c>
      <c r="H2230">
        <f>IFERROR(HLOOKUP(H$2,[68]table_female_hkom3_inj.U6!$A$1:$K$36,19,FALSE),0)</f>
        <v>49</v>
      </c>
      <c r="I2230">
        <f>IFERROR(HLOOKUP(I$2,[68]table_female_hkom3_inj.U6!$A$1:$K$36,19,FALSE),0)</f>
        <v>17</v>
      </c>
      <c r="J2230">
        <f>IFERROR(HLOOKUP(J$2,[68]table_female_hkom3_inj.U6!$A$1:$K$36,19,FALSE),0)</f>
        <v>2</v>
      </c>
      <c r="K2230">
        <f>IFERROR(HLOOKUP(K$2,[68]table_female_hkom3_inj.U6!$A$1:$K$36,19,FALSE),0)</f>
        <v>1</v>
      </c>
      <c r="L2230">
        <f>IFERROR(HLOOKUP(L$2,[68]table_female_hkom3_inj.U6!$A$1:$K$36,19,FALSE),0)</f>
        <v>0</v>
      </c>
      <c r="M2230">
        <f t="shared" si="694"/>
        <v>93</v>
      </c>
      <c r="S2230" t="s">
        <v>87</v>
      </c>
      <c r="T2230" s="5">
        <f t="shared" si="695"/>
        <v>0</v>
      </c>
      <c r="U2230" s="5">
        <f t="shared" si="696"/>
        <v>0</v>
      </c>
      <c r="V2230" s="5">
        <f t="shared" si="697"/>
        <v>57.760563380281688</v>
      </c>
      <c r="W2230" s="5">
        <f t="shared" si="698"/>
        <v>130.57789855072463</v>
      </c>
      <c r="X2230" s="5">
        <f t="shared" si="699"/>
        <v>48.278922345483366</v>
      </c>
      <c r="Y2230" s="5">
        <f t="shared" si="700"/>
        <v>7.0408163265306118</v>
      </c>
      <c r="Z2230" s="5">
        <f t="shared" si="701"/>
        <v>3.7</v>
      </c>
      <c r="AA2230" s="5">
        <f t="shared" si="702"/>
        <v>0</v>
      </c>
      <c r="AB2230" s="5">
        <f t="shared" si="692"/>
        <v>247.35820060302029</v>
      </c>
    </row>
    <row r="2231" spans="4:28" x14ac:dyDescent="0.25">
      <c r="D2231" t="s">
        <v>88</v>
      </c>
      <c r="E2231" s="64"/>
      <c r="F2231" s="64"/>
      <c r="G2231">
        <f>IFERROR(HLOOKUP(G$2,[68]table_female_hkom3_inj.U6!$A$1:$K$36,20,FALSE),0)</f>
        <v>150</v>
      </c>
      <c r="H2231">
        <f>IFERROR(HLOOKUP(H$2,[68]table_female_hkom3_inj.U6!$A$1:$K$36,20,FALSE),0)</f>
        <v>248</v>
      </c>
      <c r="I2231">
        <f>IFERROR(HLOOKUP(I$2,[68]table_female_hkom3_inj.U6!$A$1:$K$36,20,FALSE),0)</f>
        <v>168</v>
      </c>
      <c r="J2231">
        <f>IFERROR(HLOOKUP(J$2,[68]table_female_hkom3_inj.U6!$A$1:$K$36,20,FALSE),0)</f>
        <v>19</v>
      </c>
      <c r="K2231">
        <f>IFERROR(HLOOKUP(K$2,[68]table_female_hkom3_inj.U6!$A$1:$K$36,20,FALSE),0)</f>
        <v>2</v>
      </c>
      <c r="L2231">
        <f>IFERROR(HLOOKUP(L$2,[68]table_female_hkom3_inj.U6!$A$1:$K$36,20,FALSE),0)</f>
        <v>1</v>
      </c>
      <c r="M2231">
        <f t="shared" si="694"/>
        <v>588</v>
      </c>
      <c r="S2231" t="s">
        <v>88</v>
      </c>
      <c r="T2231" s="5">
        <f t="shared" si="695"/>
        <v>0</v>
      </c>
      <c r="U2231" s="5">
        <f t="shared" si="696"/>
        <v>0</v>
      </c>
      <c r="V2231" s="5">
        <f t="shared" si="697"/>
        <v>361.00352112676057</v>
      </c>
      <c r="W2231" s="5">
        <f t="shared" si="698"/>
        <v>660.8840579710145</v>
      </c>
      <c r="X2231" s="5">
        <f t="shared" si="699"/>
        <v>477.10935023771788</v>
      </c>
      <c r="Y2231" s="5">
        <f t="shared" si="700"/>
        <v>66.887755102040813</v>
      </c>
      <c r="Z2231" s="5">
        <f t="shared" si="701"/>
        <v>7.4</v>
      </c>
      <c r="AA2231" s="5">
        <f t="shared" si="702"/>
        <v>1</v>
      </c>
      <c r="AB2231" s="5">
        <f t="shared" si="692"/>
        <v>1574.2846844375338</v>
      </c>
    </row>
    <row r="2232" spans="4:28" x14ac:dyDescent="0.25">
      <c r="D2232" t="s">
        <v>89</v>
      </c>
      <c r="E2232" s="64"/>
      <c r="F2232" s="64"/>
      <c r="G2232">
        <f>IFERROR(HLOOKUP(G$2,[68]table_female_hkom3_inj.U6!$A$1:$K$36,21,FALSE),0)</f>
        <v>10</v>
      </c>
      <c r="H2232">
        <f>IFERROR(HLOOKUP(H$2,[68]table_female_hkom3_inj.U6!$A$1:$K$36,21,FALSE),0)</f>
        <v>22</v>
      </c>
      <c r="I2232">
        <f>IFERROR(HLOOKUP(I$2,[68]table_female_hkom3_inj.U6!$A$1:$K$36,21,FALSE),0)</f>
        <v>9</v>
      </c>
      <c r="J2232">
        <f>IFERROR(HLOOKUP(J$2,[68]table_female_hkom3_inj.U6!$A$1:$K$36,21,FALSE),0)</f>
        <v>0</v>
      </c>
      <c r="K2232">
        <f>IFERROR(HLOOKUP(K$2,[68]table_female_hkom3_inj.U6!$A$1:$K$36,21,FALSE),0)</f>
        <v>0</v>
      </c>
      <c r="L2232">
        <f>IFERROR(HLOOKUP(L$2,[68]table_female_hkom3_inj.U6!$A$1:$K$36,21,FALSE),0)</f>
        <v>0</v>
      </c>
      <c r="M2232">
        <f t="shared" si="694"/>
        <v>41</v>
      </c>
      <c r="S2232" t="s">
        <v>89</v>
      </c>
      <c r="T2232" s="5">
        <f t="shared" si="695"/>
        <v>0</v>
      </c>
      <c r="U2232" s="5">
        <f t="shared" si="696"/>
        <v>0</v>
      </c>
      <c r="V2232" s="5">
        <f t="shared" si="697"/>
        <v>24.066901408450704</v>
      </c>
      <c r="W2232" s="5">
        <f t="shared" si="698"/>
        <v>58.626811594202898</v>
      </c>
      <c r="X2232" s="5">
        <f t="shared" si="699"/>
        <v>25.559429477020604</v>
      </c>
      <c r="Y2232" s="5">
        <f t="shared" si="700"/>
        <v>0</v>
      </c>
      <c r="Z2232" s="5">
        <f t="shared" si="701"/>
        <v>0</v>
      </c>
      <c r="AA2232" s="5">
        <f t="shared" si="702"/>
        <v>0</v>
      </c>
      <c r="AB2232" s="5">
        <f t="shared" si="692"/>
        <v>108.2531424796742</v>
      </c>
    </row>
    <row r="2233" spans="4:28" x14ac:dyDescent="0.25">
      <c r="D2233" t="s">
        <v>90</v>
      </c>
      <c r="E2233" s="64"/>
      <c r="F2233" s="64"/>
      <c r="G2233">
        <f>IFERROR(HLOOKUP(G$2,[68]table_female_hkom3_inj.U6!$A$1:$K$36,22,FALSE),0)</f>
        <v>0</v>
      </c>
      <c r="H2233">
        <f>IFERROR(HLOOKUP(H$2,[68]table_female_hkom3_inj.U6!$A$1:$K$36,22,FALSE),0)</f>
        <v>0</v>
      </c>
      <c r="I2233">
        <f>IFERROR(HLOOKUP(I$2,[68]table_female_hkom3_inj.U6!$A$1:$K$36,22,FALSE),0)</f>
        <v>2</v>
      </c>
      <c r="J2233">
        <f>IFERROR(HLOOKUP(J$2,[68]table_female_hkom3_inj.U6!$A$1:$K$36,22,FALSE),0)</f>
        <v>0</v>
      </c>
      <c r="K2233">
        <f>IFERROR(HLOOKUP(K$2,[68]table_female_hkom3_inj.U6!$A$1:$K$36,22,FALSE),0)</f>
        <v>0</v>
      </c>
      <c r="L2233">
        <f>IFERROR(HLOOKUP(L$2,[68]table_female_hkom3_inj.U6!$A$1:$K$36,22,FALSE),0)</f>
        <v>0</v>
      </c>
      <c r="M2233">
        <f t="shared" si="694"/>
        <v>2</v>
      </c>
      <c r="S2233" t="s">
        <v>90</v>
      </c>
      <c r="T2233" s="5">
        <f t="shared" si="695"/>
        <v>0</v>
      </c>
      <c r="U2233" s="5">
        <f t="shared" si="696"/>
        <v>0</v>
      </c>
      <c r="V2233" s="5">
        <f t="shared" si="697"/>
        <v>0</v>
      </c>
      <c r="W2233" s="5">
        <f t="shared" si="698"/>
        <v>0</v>
      </c>
      <c r="X2233" s="5">
        <f t="shared" si="699"/>
        <v>5.6798732171156896</v>
      </c>
      <c r="Y2233" s="5">
        <f t="shared" si="700"/>
        <v>0</v>
      </c>
      <c r="Z2233" s="5">
        <f t="shared" si="701"/>
        <v>0</v>
      </c>
      <c r="AA2233" s="5">
        <f t="shared" si="702"/>
        <v>0</v>
      </c>
      <c r="AB2233" s="5">
        <f t="shared" si="692"/>
        <v>5.6798732171156896</v>
      </c>
    </row>
    <row r="2234" spans="4:28" x14ac:dyDescent="0.25">
      <c r="D2234" t="s">
        <v>91</v>
      </c>
      <c r="E2234" s="64"/>
      <c r="F2234" s="64"/>
      <c r="G2234">
        <f>IFERROR(HLOOKUP(G$2,[68]table_female_hkom3_inj.U6!$A$1:$K$36,23,FALSE),0)</f>
        <v>1</v>
      </c>
      <c r="H2234">
        <f>IFERROR(HLOOKUP(H$2,[68]table_female_hkom3_inj.U6!$A$1:$K$36,23,FALSE),0)</f>
        <v>5</v>
      </c>
      <c r="I2234">
        <f>IFERROR(HLOOKUP(I$2,[68]table_female_hkom3_inj.U6!$A$1:$K$36,23,FALSE),0)</f>
        <v>2</v>
      </c>
      <c r="J2234">
        <f>IFERROR(HLOOKUP(J$2,[68]table_female_hkom3_inj.U6!$A$1:$K$36,23,FALSE),0)</f>
        <v>0</v>
      </c>
      <c r="K2234">
        <f>IFERROR(HLOOKUP(K$2,[68]table_female_hkom3_inj.U6!$A$1:$K$36,23,FALSE),0)</f>
        <v>0</v>
      </c>
      <c r="L2234">
        <f>IFERROR(HLOOKUP(L$2,[68]table_female_hkom3_inj.U6!$A$1:$K$36,23,FALSE),0)</f>
        <v>0</v>
      </c>
      <c r="M2234">
        <f t="shared" si="694"/>
        <v>8</v>
      </c>
      <c r="S2234" t="s">
        <v>91</v>
      </c>
      <c r="T2234" s="5">
        <f t="shared" si="695"/>
        <v>0</v>
      </c>
      <c r="U2234" s="5">
        <f t="shared" si="696"/>
        <v>0</v>
      </c>
      <c r="V2234" s="5">
        <f t="shared" si="697"/>
        <v>2.4066901408450705</v>
      </c>
      <c r="W2234" s="5">
        <f t="shared" si="698"/>
        <v>13.324275362318842</v>
      </c>
      <c r="X2234" s="5">
        <f t="shared" si="699"/>
        <v>5.6798732171156896</v>
      </c>
      <c r="Y2234" s="5">
        <f t="shared" si="700"/>
        <v>0</v>
      </c>
      <c r="Z2234" s="5">
        <f t="shared" si="701"/>
        <v>0</v>
      </c>
      <c r="AA2234" s="5">
        <f t="shared" si="702"/>
        <v>0</v>
      </c>
      <c r="AB2234" s="5">
        <f t="shared" si="692"/>
        <v>21.4108387202796</v>
      </c>
    </row>
    <row r="2235" spans="4:28" x14ac:dyDescent="0.25">
      <c r="D2235" t="s">
        <v>92</v>
      </c>
      <c r="E2235" s="64"/>
      <c r="F2235" s="64"/>
      <c r="G2235">
        <f>IFERROR(HLOOKUP(G$2,[68]table_female_hkom3_inj.U6!$A$1:$K$36,24,FALSE),0)</f>
        <v>1</v>
      </c>
      <c r="H2235">
        <f>IFERROR(HLOOKUP(H$2,[68]table_female_hkom3_inj.U6!$A$1:$K$36,24,FALSE),0)</f>
        <v>0</v>
      </c>
      <c r="I2235">
        <f>IFERROR(HLOOKUP(I$2,[68]table_female_hkom3_inj.U6!$A$1:$K$36,24,FALSE),0)</f>
        <v>1</v>
      </c>
      <c r="J2235">
        <f>IFERROR(HLOOKUP(J$2,[68]table_female_hkom3_inj.U6!$A$1:$K$36,24,FALSE),0)</f>
        <v>0</v>
      </c>
      <c r="K2235">
        <f>IFERROR(HLOOKUP(K$2,[68]table_female_hkom3_inj.U6!$A$1:$K$36,24,FALSE),0)</f>
        <v>0</v>
      </c>
      <c r="L2235">
        <f>IFERROR(HLOOKUP(L$2,[68]table_female_hkom3_inj.U6!$A$1:$K$36,24,FALSE),0)</f>
        <v>0</v>
      </c>
      <c r="M2235">
        <f t="shared" si="694"/>
        <v>2</v>
      </c>
      <c r="S2235" t="s">
        <v>92</v>
      </c>
      <c r="T2235" s="5">
        <f t="shared" si="695"/>
        <v>0</v>
      </c>
      <c r="U2235" s="5">
        <f t="shared" si="696"/>
        <v>0</v>
      </c>
      <c r="V2235" s="5">
        <f t="shared" si="697"/>
        <v>2.4066901408450705</v>
      </c>
      <c r="W2235" s="5">
        <f t="shared" si="698"/>
        <v>0</v>
      </c>
      <c r="X2235" s="5">
        <f t="shared" si="699"/>
        <v>2.8399366085578448</v>
      </c>
      <c r="Y2235" s="5">
        <f t="shared" si="700"/>
        <v>0</v>
      </c>
      <c r="Z2235" s="5">
        <f t="shared" si="701"/>
        <v>0</v>
      </c>
      <c r="AA2235" s="5">
        <f t="shared" si="702"/>
        <v>0</v>
      </c>
      <c r="AB2235" s="5">
        <f t="shared" si="692"/>
        <v>5.2466267494029157</v>
      </c>
    </row>
    <row r="2236" spans="4:28" x14ac:dyDescent="0.25">
      <c r="D2236" t="s">
        <v>93</v>
      </c>
      <c r="E2236" s="64"/>
      <c r="F2236" s="64"/>
      <c r="G2236">
        <f>IFERROR(HLOOKUP(G$2,[68]table_female_hkom3_inj.U6!$A$1:$K$36,25,FALSE),0)</f>
        <v>0</v>
      </c>
      <c r="H2236">
        <f>IFERROR(HLOOKUP(H$2,[68]table_female_hkom3_inj.U6!$A$1:$K$36,25,FALSE),0)</f>
        <v>0</v>
      </c>
      <c r="I2236">
        <f>IFERROR(HLOOKUP(I$2,[68]table_female_hkom3_inj.U6!$A$1:$K$36,25,FALSE),0)</f>
        <v>1</v>
      </c>
      <c r="J2236">
        <f>IFERROR(HLOOKUP(J$2,[68]table_female_hkom3_inj.U6!$A$1:$K$36,25,FALSE),0)</f>
        <v>0</v>
      </c>
      <c r="K2236">
        <f>IFERROR(HLOOKUP(K$2,[68]table_female_hkom3_inj.U6!$A$1:$K$36,25,FALSE),0)</f>
        <v>0</v>
      </c>
      <c r="L2236">
        <f>IFERROR(HLOOKUP(L$2,[68]table_female_hkom3_inj.U6!$A$1:$K$36,25,FALSE),0)</f>
        <v>0</v>
      </c>
      <c r="M2236">
        <f t="shared" si="694"/>
        <v>1</v>
      </c>
      <c r="S2236" t="s">
        <v>93</v>
      </c>
      <c r="T2236" s="5">
        <f t="shared" si="695"/>
        <v>0</v>
      </c>
      <c r="U2236" s="5">
        <f t="shared" si="696"/>
        <v>0</v>
      </c>
      <c r="V2236" s="5">
        <f t="shared" si="697"/>
        <v>0</v>
      </c>
      <c r="W2236" s="5">
        <f t="shared" si="698"/>
        <v>0</v>
      </c>
      <c r="X2236" s="5">
        <f t="shared" si="699"/>
        <v>2.8399366085578448</v>
      </c>
      <c r="Y2236" s="5">
        <f t="shared" si="700"/>
        <v>0</v>
      </c>
      <c r="Z2236" s="5">
        <f t="shared" si="701"/>
        <v>0</v>
      </c>
      <c r="AA2236" s="5">
        <f t="shared" si="702"/>
        <v>0</v>
      </c>
      <c r="AB2236" s="5">
        <f t="shared" si="692"/>
        <v>2.8399366085578448</v>
      </c>
    </row>
    <row r="2237" spans="4:28" x14ac:dyDescent="0.25">
      <c r="D2237" t="s">
        <v>94</v>
      </c>
      <c r="E2237" s="64"/>
      <c r="F2237" s="64"/>
      <c r="G2237">
        <f>IFERROR(HLOOKUP(G$2,[68]table_female_hkom3_inj.U6!$A$1:$K$36,26,FALSE),0)</f>
        <v>0</v>
      </c>
      <c r="H2237">
        <f>IFERROR(HLOOKUP(H$2,[68]table_female_hkom3_inj.U6!$A$1:$K$36,26,FALSE),0)</f>
        <v>0</v>
      </c>
      <c r="I2237">
        <f>IFERROR(HLOOKUP(I$2,[68]table_female_hkom3_inj.U6!$A$1:$K$36,26,FALSE),0)</f>
        <v>0</v>
      </c>
      <c r="J2237">
        <f>IFERROR(HLOOKUP(J$2,[68]table_female_hkom3_inj.U6!$A$1:$K$36,26,FALSE),0)</f>
        <v>0</v>
      </c>
      <c r="K2237">
        <f>IFERROR(HLOOKUP(K$2,[68]table_female_hkom3_inj.U6!$A$1:$K$36,26,FALSE),0)</f>
        <v>0</v>
      </c>
      <c r="L2237">
        <f>IFERROR(HLOOKUP(L$2,[68]table_female_hkom3_inj.U6!$A$1:$K$36,26,FALSE),0)</f>
        <v>0</v>
      </c>
      <c r="M2237">
        <f t="shared" si="694"/>
        <v>0</v>
      </c>
      <c r="S2237" t="s">
        <v>94</v>
      </c>
      <c r="T2237" s="5">
        <f t="shared" si="695"/>
        <v>0</v>
      </c>
      <c r="U2237" s="5">
        <f t="shared" si="696"/>
        <v>0</v>
      </c>
      <c r="V2237" s="5">
        <f t="shared" si="697"/>
        <v>0</v>
      </c>
      <c r="W2237" s="5">
        <f t="shared" si="698"/>
        <v>0</v>
      </c>
      <c r="X2237" s="5">
        <f t="shared" si="699"/>
        <v>0</v>
      </c>
      <c r="Y2237" s="5">
        <f t="shared" si="700"/>
        <v>0</v>
      </c>
      <c r="Z2237" s="5">
        <f t="shared" si="701"/>
        <v>0</v>
      </c>
      <c r="AA2237" s="5">
        <f t="shared" si="702"/>
        <v>0</v>
      </c>
      <c r="AB2237" s="5">
        <f t="shared" si="692"/>
        <v>0</v>
      </c>
    </row>
    <row r="2238" spans="4:28" x14ac:dyDescent="0.25">
      <c r="D2238" t="s">
        <v>95</v>
      </c>
      <c r="E2238" s="64"/>
      <c r="F2238" s="64"/>
      <c r="G2238">
        <f>IFERROR(HLOOKUP(G$2,[68]table_female_hkom3_inj.U6!$A$1:$K$36,27,FALSE),0)</f>
        <v>0</v>
      </c>
      <c r="H2238">
        <f>IFERROR(HLOOKUP(H$2,[68]table_female_hkom3_inj.U6!$A$1:$K$36,27,FALSE),0)</f>
        <v>0</v>
      </c>
      <c r="I2238">
        <f>IFERROR(HLOOKUP(I$2,[68]table_female_hkom3_inj.U6!$A$1:$K$36,27,FALSE),0)</f>
        <v>0</v>
      </c>
      <c r="J2238">
        <f>IFERROR(HLOOKUP(J$2,[68]table_female_hkom3_inj.U6!$A$1:$K$36,27,FALSE),0)</f>
        <v>0</v>
      </c>
      <c r="K2238">
        <f>IFERROR(HLOOKUP(K$2,[68]table_female_hkom3_inj.U6!$A$1:$K$36,27,FALSE),0)</f>
        <v>0</v>
      </c>
      <c r="L2238">
        <f>IFERROR(HLOOKUP(L$2,[68]table_female_hkom3_inj.U6!$A$1:$K$36,27,FALSE),0)</f>
        <v>0</v>
      </c>
      <c r="M2238">
        <f t="shared" si="694"/>
        <v>0</v>
      </c>
      <c r="S2238" t="s">
        <v>95</v>
      </c>
      <c r="T2238" s="5">
        <f t="shared" si="695"/>
        <v>0</v>
      </c>
      <c r="U2238" s="5">
        <f t="shared" si="696"/>
        <v>0</v>
      </c>
      <c r="V2238" s="5">
        <f t="shared" si="697"/>
        <v>0</v>
      </c>
      <c r="W2238" s="5">
        <f t="shared" si="698"/>
        <v>0</v>
      </c>
      <c r="X2238" s="5">
        <f t="shared" si="699"/>
        <v>0</v>
      </c>
      <c r="Y2238" s="5">
        <f t="shared" si="700"/>
        <v>0</v>
      </c>
      <c r="Z2238" s="5">
        <f t="shared" si="701"/>
        <v>0</v>
      </c>
      <c r="AA2238" s="5">
        <f t="shared" si="702"/>
        <v>0</v>
      </c>
      <c r="AB2238" s="5">
        <f t="shared" si="692"/>
        <v>0</v>
      </c>
    </row>
    <row r="2239" spans="4:28" x14ac:dyDescent="0.25">
      <c r="D2239" t="s">
        <v>96</v>
      </c>
      <c r="E2239" s="64"/>
      <c r="F2239" s="64"/>
      <c r="G2239">
        <f>IFERROR(HLOOKUP(G$2,[68]table_female_hkom3_inj.U6!$A$1:$K$36,28,FALSE),0)</f>
        <v>0</v>
      </c>
      <c r="H2239">
        <f>IFERROR(HLOOKUP(H$2,[68]table_female_hkom3_inj.U6!$A$1:$K$36,28,FALSE),0)</f>
        <v>1</v>
      </c>
      <c r="I2239">
        <f>IFERROR(HLOOKUP(I$2,[68]table_female_hkom3_inj.U6!$A$1:$K$36,28,FALSE),0)</f>
        <v>1</v>
      </c>
      <c r="J2239">
        <f>IFERROR(HLOOKUP(J$2,[68]table_female_hkom3_inj.U6!$A$1:$K$36,28,FALSE),0)</f>
        <v>0</v>
      </c>
      <c r="K2239">
        <f>IFERROR(HLOOKUP(K$2,[68]table_female_hkom3_inj.U6!$A$1:$K$36,28,FALSE),0)</f>
        <v>0</v>
      </c>
      <c r="L2239">
        <f>IFERROR(HLOOKUP(L$2,[68]table_female_hkom3_inj.U6!$A$1:$K$36,28,FALSE),0)</f>
        <v>0</v>
      </c>
      <c r="M2239">
        <f t="shared" si="694"/>
        <v>2</v>
      </c>
      <c r="S2239" t="s">
        <v>96</v>
      </c>
      <c r="T2239" s="5">
        <f t="shared" si="695"/>
        <v>0</v>
      </c>
      <c r="U2239" s="5">
        <f t="shared" si="696"/>
        <v>0</v>
      </c>
      <c r="V2239" s="5">
        <f t="shared" si="697"/>
        <v>0</v>
      </c>
      <c r="W2239" s="5">
        <f t="shared" si="698"/>
        <v>2.6648550724637681</v>
      </c>
      <c r="X2239" s="5">
        <f t="shared" si="699"/>
        <v>2.8399366085578448</v>
      </c>
      <c r="Y2239" s="5">
        <f t="shared" si="700"/>
        <v>0</v>
      </c>
      <c r="Z2239" s="5">
        <f t="shared" si="701"/>
        <v>0</v>
      </c>
      <c r="AA2239" s="5">
        <f t="shared" si="702"/>
        <v>0</v>
      </c>
      <c r="AB2239" s="5">
        <f t="shared" si="692"/>
        <v>5.5047916810216133</v>
      </c>
    </row>
    <row r="2240" spans="4:28" x14ac:dyDescent="0.25">
      <c r="D2240" t="s">
        <v>97</v>
      </c>
      <c r="E2240" s="64"/>
      <c r="F2240" s="64"/>
      <c r="G2240">
        <f>IFERROR(HLOOKUP(G$2,[68]table_female_hkom3_inj.U6!$A$1:$K$36,29,FALSE),0)</f>
        <v>4</v>
      </c>
      <c r="H2240">
        <f>IFERROR(HLOOKUP(H$2,[68]table_female_hkom3_inj.U6!$A$1:$K$36,29,FALSE),0)</f>
        <v>12</v>
      </c>
      <c r="I2240">
        <f>IFERROR(HLOOKUP(I$2,[68]table_female_hkom3_inj.U6!$A$1:$K$36,29,FALSE),0)</f>
        <v>3</v>
      </c>
      <c r="J2240">
        <f>IFERROR(HLOOKUP(J$2,[68]table_female_hkom3_inj.U6!$A$1:$K$36,29,FALSE),0)</f>
        <v>0</v>
      </c>
      <c r="K2240">
        <f>IFERROR(HLOOKUP(K$2,[68]table_female_hkom3_inj.U6!$A$1:$K$36,29,FALSE),0)</f>
        <v>0</v>
      </c>
      <c r="L2240">
        <f>IFERROR(HLOOKUP(L$2,[68]table_female_hkom3_inj.U6!$A$1:$K$36,29,FALSE),0)</f>
        <v>0</v>
      </c>
      <c r="M2240">
        <f t="shared" si="694"/>
        <v>19</v>
      </c>
      <c r="S2240" t="s">
        <v>97</v>
      </c>
      <c r="T2240" s="5">
        <f t="shared" si="695"/>
        <v>0</v>
      </c>
      <c r="U2240" s="5">
        <f t="shared" si="696"/>
        <v>0</v>
      </c>
      <c r="V2240" s="5">
        <f t="shared" si="697"/>
        <v>9.626760563380282</v>
      </c>
      <c r="W2240" s="5">
        <f t="shared" si="698"/>
        <v>31.978260869565215</v>
      </c>
      <c r="X2240" s="5">
        <f t="shared" si="699"/>
        <v>8.5198098256735335</v>
      </c>
      <c r="Y2240" s="5">
        <f t="shared" si="700"/>
        <v>0</v>
      </c>
      <c r="Z2240" s="5">
        <f t="shared" si="701"/>
        <v>0</v>
      </c>
      <c r="AA2240" s="5">
        <f t="shared" si="702"/>
        <v>0</v>
      </c>
      <c r="AB2240" s="5">
        <f t="shared" si="692"/>
        <v>50.124831258619032</v>
      </c>
    </row>
    <row r="2241" spans="1:29" x14ac:dyDescent="0.25">
      <c r="D2241" t="s">
        <v>98</v>
      </c>
      <c r="E2241" s="64"/>
      <c r="F2241" s="64"/>
      <c r="G2241">
        <f>IFERROR(HLOOKUP(G$2,[68]table_female_hkom3_inj.U6!$A$1:$K$36,30,FALSE),0)</f>
        <v>8</v>
      </c>
      <c r="H2241">
        <f>IFERROR(HLOOKUP(H$2,[68]table_female_hkom3_inj.U6!$A$1:$K$36,30,FALSE),0)</f>
        <v>31</v>
      </c>
      <c r="I2241">
        <f>IFERROR(HLOOKUP(I$2,[68]table_female_hkom3_inj.U6!$A$1:$K$36,30,FALSE),0)</f>
        <v>20</v>
      </c>
      <c r="J2241">
        <f>IFERROR(HLOOKUP(J$2,[68]table_female_hkom3_inj.U6!$A$1:$K$36,30,FALSE),0)</f>
        <v>5</v>
      </c>
      <c r="K2241">
        <f>IFERROR(HLOOKUP(K$2,[68]table_female_hkom3_inj.U6!$A$1:$K$36,30,FALSE),0)</f>
        <v>1</v>
      </c>
      <c r="L2241">
        <f>IFERROR(HLOOKUP(L$2,[68]table_female_hkom3_inj.U6!$A$1:$K$36,30,FALSE),0)</f>
        <v>0</v>
      </c>
      <c r="M2241">
        <f t="shared" si="694"/>
        <v>65</v>
      </c>
      <c r="S2241" t="s">
        <v>98</v>
      </c>
      <c r="T2241" s="5">
        <f t="shared" si="695"/>
        <v>0</v>
      </c>
      <c r="U2241" s="5">
        <f t="shared" si="696"/>
        <v>0</v>
      </c>
      <c r="V2241" s="5">
        <f t="shared" si="697"/>
        <v>19.253521126760564</v>
      </c>
      <c r="W2241" s="5">
        <f t="shared" si="698"/>
        <v>82.610507246376812</v>
      </c>
      <c r="X2241" s="5">
        <f t="shared" si="699"/>
        <v>56.798732171156892</v>
      </c>
      <c r="Y2241" s="5">
        <f t="shared" si="700"/>
        <v>17.602040816326529</v>
      </c>
      <c r="Z2241" s="5">
        <f t="shared" si="701"/>
        <v>3.7</v>
      </c>
      <c r="AA2241" s="5">
        <f t="shared" si="702"/>
        <v>0</v>
      </c>
      <c r="AB2241" s="5">
        <f t="shared" si="692"/>
        <v>179.96480136062078</v>
      </c>
    </row>
    <row r="2242" spans="1:29" x14ac:dyDescent="0.25">
      <c r="D2242" t="s">
        <v>119</v>
      </c>
      <c r="E2242" s="64"/>
      <c r="F2242" s="64"/>
      <c r="G2242">
        <f>IFERROR(HLOOKUP(G$2,[68]table_female_hkom3_inj.U6!$A$1:$K$36,31,FALSE),0)</f>
        <v>2</v>
      </c>
      <c r="H2242">
        <f>IFERROR(HLOOKUP(H$2,[68]table_female_hkom3_inj.U6!$A$1:$K$36,31,FALSE),0)</f>
        <v>8</v>
      </c>
      <c r="I2242">
        <f>IFERROR(HLOOKUP(I$2,[68]table_female_hkom3_inj.U6!$A$1:$K$36,31,FALSE),0)</f>
        <v>2</v>
      </c>
      <c r="J2242">
        <f>IFERROR(HLOOKUP(J$2,[68]table_female_hkom3_inj.U6!$A$1:$K$36,31,FALSE),0)</f>
        <v>0</v>
      </c>
      <c r="K2242">
        <f>IFERROR(HLOOKUP(K$2,[68]table_female_hkom3_inj.U6!$A$1:$K$36,31,FALSE),0)</f>
        <v>0</v>
      </c>
      <c r="L2242">
        <f>IFERROR(HLOOKUP(L$2,[68]table_female_hkom3_inj.U6!$A$1:$K$36,31,FALSE),0)</f>
        <v>0</v>
      </c>
      <c r="M2242">
        <f t="shared" si="694"/>
        <v>12</v>
      </c>
      <c r="S2242" t="s">
        <v>119</v>
      </c>
      <c r="T2242" s="5">
        <f t="shared" si="695"/>
        <v>0</v>
      </c>
      <c r="U2242" s="5">
        <f t="shared" si="696"/>
        <v>0</v>
      </c>
      <c r="V2242" s="5">
        <f t="shared" si="697"/>
        <v>4.813380281690141</v>
      </c>
      <c r="W2242" s="5">
        <f t="shared" si="698"/>
        <v>21.318840579710145</v>
      </c>
      <c r="X2242" s="5">
        <f t="shared" si="699"/>
        <v>5.6798732171156896</v>
      </c>
      <c r="Y2242" s="5">
        <f t="shared" si="700"/>
        <v>0</v>
      </c>
      <c r="Z2242" s="5">
        <f t="shared" si="701"/>
        <v>0</v>
      </c>
      <c r="AA2242" s="5">
        <f t="shared" si="702"/>
        <v>0</v>
      </c>
      <c r="AB2242" s="5">
        <f t="shared" si="692"/>
        <v>31.812094078515976</v>
      </c>
    </row>
    <row r="2243" spans="1:29" x14ac:dyDescent="0.25">
      <c r="D2243" t="s">
        <v>99</v>
      </c>
      <c r="E2243" s="64"/>
      <c r="F2243" s="64"/>
      <c r="G2243">
        <f>IFERROR(HLOOKUP(G$2,[68]table_female_hkom3_inj.U6!$A$1:$K$36,32,FALSE),0)</f>
        <v>8</v>
      </c>
      <c r="H2243">
        <f>IFERROR(HLOOKUP(H$2,[68]table_female_hkom3_inj.U6!$A$1:$K$36,32,FALSE),0)</f>
        <v>12</v>
      </c>
      <c r="I2243">
        <f>IFERROR(HLOOKUP(I$2,[68]table_female_hkom3_inj.U6!$A$1:$K$36,32,FALSE),0)</f>
        <v>9</v>
      </c>
      <c r="J2243">
        <f>IFERROR(HLOOKUP(J$2,[68]table_female_hkom3_inj.U6!$A$1:$K$36,32,FALSE),0)</f>
        <v>1</v>
      </c>
      <c r="K2243">
        <f>IFERROR(HLOOKUP(K$2,[68]table_female_hkom3_inj.U6!$A$1:$K$36,32,FALSE),0)</f>
        <v>0</v>
      </c>
      <c r="L2243">
        <f>IFERROR(HLOOKUP(L$2,[68]table_female_hkom3_inj.U6!$A$1:$K$36,32,FALSE),0)</f>
        <v>0</v>
      </c>
      <c r="M2243">
        <f t="shared" si="694"/>
        <v>30</v>
      </c>
      <c r="S2243" t="s">
        <v>99</v>
      </c>
      <c r="T2243" s="5">
        <f t="shared" si="695"/>
        <v>0</v>
      </c>
      <c r="U2243" s="5">
        <f t="shared" si="696"/>
        <v>0</v>
      </c>
      <c r="V2243" s="5">
        <f t="shared" si="697"/>
        <v>19.253521126760564</v>
      </c>
      <c r="W2243" s="5">
        <f t="shared" si="698"/>
        <v>31.978260869565215</v>
      </c>
      <c r="X2243" s="5">
        <f t="shared" si="699"/>
        <v>25.559429477020604</v>
      </c>
      <c r="Y2243" s="5">
        <f t="shared" si="700"/>
        <v>3.5204081632653059</v>
      </c>
      <c r="Z2243" s="5">
        <f t="shared" si="701"/>
        <v>0</v>
      </c>
      <c r="AA2243" s="5">
        <f t="shared" si="702"/>
        <v>0</v>
      </c>
      <c r="AB2243" s="5">
        <f t="shared" si="692"/>
        <v>80.311619636611681</v>
      </c>
    </row>
    <row r="2244" spans="1:29" x14ac:dyDescent="0.25">
      <c r="D2244" t="s">
        <v>100</v>
      </c>
      <c r="E2244" s="64"/>
      <c r="F2244" s="64"/>
      <c r="G2244">
        <f>IFERROR(HLOOKUP(G$2,[68]table_female_hkom3_inj.U6!$A$1:$K$36,33,FALSE),0)</f>
        <v>224</v>
      </c>
      <c r="H2244">
        <f>IFERROR(HLOOKUP(H$2,[68]table_female_hkom3_inj.U6!$A$1:$K$36,33,FALSE),0)</f>
        <v>477</v>
      </c>
      <c r="I2244">
        <f>IFERROR(HLOOKUP(I$2,[68]table_female_hkom3_inj.U6!$A$1:$K$36,33,FALSE),0)</f>
        <v>249</v>
      </c>
      <c r="J2244">
        <f>IFERROR(HLOOKUP(J$2,[68]table_female_hkom3_inj.U6!$A$1:$K$36,33,FALSE),0)</f>
        <v>43</v>
      </c>
      <c r="K2244">
        <f>IFERROR(HLOOKUP(K$2,[68]table_female_hkom3_inj.U6!$A$1:$K$36,33,FALSE),0)</f>
        <v>4</v>
      </c>
      <c r="L2244">
        <f>IFERROR(HLOOKUP(L$2,[68]table_female_hkom3_inj.U6!$A$1:$K$36,33,FALSE),0)</f>
        <v>0</v>
      </c>
      <c r="M2244">
        <f t="shared" si="694"/>
        <v>997</v>
      </c>
      <c r="S2244" t="s">
        <v>100</v>
      </c>
      <c r="T2244" s="5">
        <f t="shared" si="695"/>
        <v>0</v>
      </c>
      <c r="U2244" s="5">
        <f t="shared" si="696"/>
        <v>0</v>
      </c>
      <c r="V2244" s="5">
        <f t="shared" si="697"/>
        <v>539.09859154929575</v>
      </c>
      <c r="W2244" s="5">
        <f t="shared" si="698"/>
        <v>1271.1358695652175</v>
      </c>
      <c r="X2244" s="5">
        <f t="shared" si="699"/>
        <v>707.14421553090335</v>
      </c>
      <c r="Y2244" s="5">
        <f t="shared" si="700"/>
        <v>151.37755102040816</v>
      </c>
      <c r="Z2244" s="5">
        <f t="shared" si="701"/>
        <v>14.8</v>
      </c>
      <c r="AA2244" s="5">
        <f t="shared" si="702"/>
        <v>0</v>
      </c>
      <c r="AB2244" s="5">
        <f t="shared" si="692"/>
        <v>2683.5562276658247</v>
      </c>
    </row>
    <row r="2245" spans="1:29" x14ac:dyDescent="0.25">
      <c r="D2245" t="s">
        <v>101</v>
      </c>
      <c r="E2245" s="64"/>
      <c r="F2245" s="64"/>
      <c r="G2245">
        <f>IFERROR(HLOOKUP(G$2,[68]table_female_hkom3_inj.U6!$A$1:$K$36,34,FALSE),0)</f>
        <v>14</v>
      </c>
      <c r="H2245">
        <f>IFERROR(HLOOKUP(H$2,[68]table_female_hkom3_inj.U6!$A$1:$K$36,34,FALSE),0)</f>
        <v>19</v>
      </c>
      <c r="I2245">
        <f>IFERROR(HLOOKUP(I$2,[68]table_female_hkom3_inj.U6!$A$1:$K$36,34,FALSE),0)</f>
        <v>8</v>
      </c>
      <c r="J2245">
        <f>IFERROR(HLOOKUP(J$2,[68]table_female_hkom3_inj.U6!$A$1:$K$36,34,FALSE),0)</f>
        <v>2</v>
      </c>
      <c r="K2245">
        <f>IFERROR(HLOOKUP(K$2,[68]table_female_hkom3_inj.U6!$A$1:$K$36,34,FALSE),0)</f>
        <v>0</v>
      </c>
      <c r="L2245">
        <f>IFERROR(HLOOKUP(L$2,[68]table_female_hkom3_inj.U6!$A$1:$K$36,34,FALSE),0)</f>
        <v>0</v>
      </c>
      <c r="M2245">
        <f t="shared" si="694"/>
        <v>43</v>
      </c>
      <c r="S2245" t="s">
        <v>101</v>
      </c>
      <c r="T2245" s="5">
        <f t="shared" si="695"/>
        <v>0</v>
      </c>
      <c r="U2245" s="5">
        <f t="shared" si="696"/>
        <v>0</v>
      </c>
      <c r="V2245" s="5">
        <f t="shared" si="697"/>
        <v>33.693661971830984</v>
      </c>
      <c r="W2245" s="5">
        <f t="shared" si="698"/>
        <v>50.632246376811594</v>
      </c>
      <c r="X2245" s="5">
        <f t="shared" si="699"/>
        <v>22.719492868462758</v>
      </c>
      <c r="Y2245" s="5">
        <f t="shared" si="700"/>
        <v>7.0408163265306118</v>
      </c>
      <c r="Z2245" s="5">
        <f t="shared" si="701"/>
        <v>0</v>
      </c>
      <c r="AA2245" s="5">
        <f t="shared" si="702"/>
        <v>0</v>
      </c>
      <c r="AB2245" s="5">
        <f t="shared" si="692"/>
        <v>114.08621754363595</v>
      </c>
    </row>
    <row r="2246" spans="1:29" x14ac:dyDescent="0.25">
      <c r="D2246" t="s">
        <v>102</v>
      </c>
      <c r="E2246" s="64"/>
      <c r="F2246" s="64"/>
      <c r="G2246">
        <f>IFERROR(HLOOKUP(G$2,[68]table_female_hkom3_inj.U6!$A$1:$K$36,35,FALSE),0)</f>
        <v>799</v>
      </c>
      <c r="H2246">
        <f>IFERROR(HLOOKUP(H$2,[68]table_female_hkom3_inj.U6!$A$1:$K$36,35,FALSE),0)</f>
        <v>1838</v>
      </c>
      <c r="I2246">
        <f>IFERROR(HLOOKUP(I$2,[68]table_female_hkom3_inj.U6!$A$1:$K$36,35,FALSE),0)</f>
        <v>1161</v>
      </c>
      <c r="J2246">
        <f>IFERROR(HLOOKUP(J$2,[68]table_female_hkom3_inj.U6!$A$1:$K$36,35,FALSE),0)</f>
        <v>247</v>
      </c>
      <c r="K2246">
        <f>IFERROR(HLOOKUP(K$2,[68]table_female_hkom3_inj.U6!$A$1:$K$36,35,FALSE),0)</f>
        <v>27</v>
      </c>
      <c r="L2246">
        <f>IFERROR(HLOOKUP(L$2,[68]table_female_hkom3_inj.U6!$A$1:$K$36,35,FALSE),0)</f>
        <v>0</v>
      </c>
      <c r="M2246">
        <f t="shared" si="694"/>
        <v>4072</v>
      </c>
      <c r="N2246">
        <f>SUM(M2213:M2246)</f>
        <v>6484</v>
      </c>
      <c r="O2246" s="8">
        <f>SUM([68]table_female_hkom3_inj.U6!$B$2:$L$36)</f>
        <v>6484</v>
      </c>
      <c r="S2246" t="s">
        <v>102</v>
      </c>
      <c r="T2246" s="6"/>
      <c r="U2246" s="7"/>
      <c r="V2246" s="7"/>
      <c r="W2246" s="7"/>
      <c r="X2246" s="7"/>
      <c r="Y2246" s="7"/>
      <c r="Z2246" s="7"/>
      <c r="AA2246" s="7"/>
      <c r="AB2246" s="5">
        <f t="shared" si="692"/>
        <v>0</v>
      </c>
      <c r="AC2246" s="5">
        <f>SUM(AB2213:AB2245)</f>
        <v>6484</v>
      </c>
    </row>
    <row r="2249" spans="1:29" ht="17.25" customHeight="1" x14ac:dyDescent="0.25">
      <c r="A2249" s="26" t="s">
        <v>123</v>
      </c>
      <c r="B2249" s="26"/>
      <c r="C2249" s="26"/>
      <c r="D2249" s="26"/>
      <c r="E2249" s="26"/>
      <c r="F2249" s="26"/>
      <c r="G2249" s="26"/>
      <c r="H2249" s="26"/>
      <c r="I2249" s="26"/>
      <c r="J2249" s="26"/>
      <c r="K2249" s="26"/>
      <c r="L2249" s="26"/>
      <c r="M2249" s="26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</row>
    <row r="2250" spans="1:29" x14ac:dyDescent="0.25">
      <c r="A2250" t="s">
        <v>104</v>
      </c>
      <c r="B2250" t="s">
        <v>103</v>
      </c>
      <c r="C2250" t="s">
        <v>124</v>
      </c>
      <c r="D2250" t="s">
        <v>70</v>
      </c>
      <c r="E2250" s="14"/>
      <c r="F2250" s="14"/>
      <c r="G2250">
        <f>IFERROR(HLOOKUP(G$2,[69]table_male_hkom1_inj.ill_X2!$A$1:$K$36,2,FALSE),0)</f>
        <v>0</v>
      </c>
      <c r="H2250">
        <f>IFERROR(HLOOKUP(H$2,[69]table_male_hkom1_inj.ill_X2!$A$1:$K$36,2,FALSE),0)</f>
        <v>0</v>
      </c>
      <c r="I2250">
        <f>IFERROR(HLOOKUP(I$2,[69]table_male_hkom1_inj.ill_X2!$A$1:$K$36,2,FALSE),0)</f>
        <v>0</v>
      </c>
      <c r="J2250">
        <f>IFERROR(HLOOKUP(J$2,[69]table_male_hkom1_inj.ill_X2!$A$1:$K$36,2,FALSE),0)</f>
        <v>0</v>
      </c>
      <c r="K2250">
        <f>IFERROR(HLOOKUP(K$2,[69]table_male_hkom1_inj.ill_X2!$A$1:$K$36,2,FALSE),0)</f>
        <v>0</v>
      </c>
      <c r="L2250">
        <f>IFERROR(HLOOKUP(L$2,[69]table_male_hkom1_inj.ill_X2!$A$1:$K$36,2,FALSE),0)</f>
        <v>0</v>
      </c>
      <c r="M2250">
        <f>SUM(E2250:L2250)</f>
        <v>0</v>
      </c>
      <c r="P2250" t="s">
        <v>104</v>
      </c>
      <c r="Q2250" t="s">
        <v>103</v>
      </c>
      <c r="R2250" t="s">
        <v>124</v>
      </c>
      <c r="S2250" t="s">
        <v>70</v>
      </c>
      <c r="T2250" s="5">
        <f>IF(SUM(E$2250:E$2282)=0,E$2283/33,E2250+IFERROR(E2250/SUM(E$2250:E$2282)*E$2283,0))</f>
        <v>0</v>
      </c>
      <c r="U2250" s="5">
        <f t="shared" ref="U2250:AA2250" si="703">IF(SUM(F$2250:F$2282)=0,F$2283/33,F2250+IFERROR(F2250/SUM(F$2250:F$2282)*F$2283,0))</f>
        <v>0</v>
      </c>
      <c r="V2250" s="5">
        <f t="shared" si="703"/>
        <v>0</v>
      </c>
      <c r="W2250" s="5">
        <f t="shared" si="703"/>
        <v>0</v>
      </c>
      <c r="X2250" s="5">
        <f t="shared" si="703"/>
        <v>0</v>
      </c>
      <c r="Y2250" s="5">
        <f t="shared" si="703"/>
        <v>0</v>
      </c>
      <c r="Z2250" s="5">
        <f t="shared" si="703"/>
        <v>0</v>
      </c>
      <c r="AA2250" s="5">
        <f t="shared" si="703"/>
        <v>0</v>
      </c>
      <c r="AB2250" s="5">
        <f t="shared" ref="AB2250" si="704">SUM(T2250:AA2250)</f>
        <v>0</v>
      </c>
    </row>
    <row r="2251" spans="1:29" x14ac:dyDescent="0.25">
      <c r="D2251" t="s">
        <v>71</v>
      </c>
      <c r="E2251" s="14"/>
      <c r="F2251" s="14"/>
      <c r="G2251">
        <f>IFERROR(HLOOKUP(G$2,[69]table_male_hkom1_inj.ill_X2!$A$1:$K$36,3,FALSE),0)</f>
        <v>0</v>
      </c>
      <c r="H2251">
        <f>IFERROR(HLOOKUP(H$2,[69]table_male_hkom1_inj.ill_X2!$A$1:$K$36,3,FALSE),0)</f>
        <v>0</v>
      </c>
      <c r="I2251">
        <f>IFERROR(HLOOKUP(I$2,[69]table_male_hkom1_inj.ill_X2!$A$1:$K$36,3,FALSE),0)</f>
        <v>0</v>
      </c>
      <c r="J2251">
        <f>IFERROR(HLOOKUP(J$2,[69]table_male_hkom1_inj.ill_X2!$A$1:$K$36,3,FALSE),0)</f>
        <v>0</v>
      </c>
      <c r="K2251">
        <f>IFERROR(HLOOKUP(K$2,[69]table_male_hkom1_inj.ill_X2!$A$1:$K$36,3,FALSE),0)</f>
        <v>0</v>
      </c>
      <c r="L2251">
        <f>IFERROR(HLOOKUP(L$2,[69]table_male_hkom1_inj.ill_X2!$A$1:$K$36,3,FALSE),0)</f>
        <v>0</v>
      </c>
      <c r="M2251">
        <f t="shared" ref="M2251:M2283" si="705">SUM(E2251:L2251)</f>
        <v>0</v>
      </c>
      <c r="S2251" t="s">
        <v>71</v>
      </c>
      <c r="T2251" s="5">
        <f t="shared" ref="T2251:T2282" si="706">IF(SUM(E$2250:E$2282)=0,E$2283/33,E2251+IFERROR(E2251/SUM(E$2250:E$2282)*E$2283,0))</f>
        <v>0</v>
      </c>
      <c r="U2251" s="5">
        <f t="shared" ref="U2251:U2282" si="707">IF(SUM(F$2250:F$2282)=0,F$2283/33,F2251+IFERROR(F2251/SUM(F$2250:F$2282)*F$2283,0))</f>
        <v>0</v>
      </c>
      <c r="V2251" s="5">
        <f t="shared" ref="V2251:V2282" si="708">IF(SUM(G$2250:G$2282)=0,G$2283/33,G2251+IFERROR(G2251/SUM(G$2250:G$2282)*G$2283,0))</f>
        <v>0</v>
      </c>
      <c r="W2251" s="5">
        <f t="shared" ref="W2251:W2282" si="709">IF(SUM(H$2250:H$2282)=0,H$2283/33,H2251+IFERROR(H2251/SUM(H$2250:H$2282)*H$2283,0))</f>
        <v>0</v>
      </c>
      <c r="X2251" s="5">
        <f t="shared" ref="X2251:X2282" si="710">IF(SUM(I$2250:I$2282)=0,I$2283/33,I2251+IFERROR(I2251/SUM(I$2250:I$2282)*I$2283,0))</f>
        <v>0</v>
      </c>
      <c r="Y2251" s="5">
        <f t="shared" ref="Y2251:Y2282" si="711">IF(SUM(J$2250:J$2282)=0,J$2283/33,J2251+IFERROR(J2251/SUM(J$2250:J$2282)*J$2283,0))</f>
        <v>0</v>
      </c>
      <c r="Z2251" s="5">
        <f t="shared" ref="Z2251:Z2282" si="712">IF(SUM(K$2250:K$2282)=0,K$2283/33,K2251+IFERROR(K2251/SUM(K$2250:K$2282)*K$2283,0))</f>
        <v>0</v>
      </c>
      <c r="AA2251" s="5">
        <f t="shared" ref="AA2251:AA2282" si="713">IF(SUM(L$2250:L$2282)=0,L$2283/33,L2251+IFERROR(L2251/SUM(L$2250:L$2282)*L$2283,0))</f>
        <v>0</v>
      </c>
      <c r="AB2251" s="5">
        <f t="shared" ref="AB2251:AB2282" si="714">SUM(T2251:AA2251)</f>
        <v>0</v>
      </c>
    </row>
    <row r="2252" spans="1:29" x14ac:dyDescent="0.25">
      <c r="D2252" t="s">
        <v>72</v>
      </c>
      <c r="E2252" s="14"/>
      <c r="F2252" s="14"/>
      <c r="G2252">
        <f>IFERROR(HLOOKUP(G$2,[69]table_male_hkom1_inj.ill_X2!$A$1:$K$36,4,FALSE),0)</f>
        <v>0</v>
      </c>
      <c r="H2252">
        <f>IFERROR(HLOOKUP(H$2,[69]table_male_hkom1_inj.ill_X2!$A$1:$K$36,4,FALSE),0)</f>
        <v>0</v>
      </c>
      <c r="I2252">
        <f>IFERROR(HLOOKUP(I$2,[69]table_male_hkom1_inj.ill_X2!$A$1:$K$36,4,FALSE),0)</f>
        <v>0</v>
      </c>
      <c r="J2252">
        <f>IFERROR(HLOOKUP(J$2,[69]table_male_hkom1_inj.ill_X2!$A$1:$K$36,4,FALSE),0)</f>
        <v>0</v>
      </c>
      <c r="K2252">
        <f>IFERROR(HLOOKUP(K$2,[69]table_male_hkom1_inj.ill_X2!$A$1:$K$36,4,FALSE),0)</f>
        <v>0</v>
      </c>
      <c r="L2252">
        <f>IFERROR(HLOOKUP(L$2,[69]table_male_hkom1_inj.ill_X2!$A$1:$K$36,4,FALSE),0)</f>
        <v>0</v>
      </c>
      <c r="M2252">
        <f t="shared" si="705"/>
        <v>0</v>
      </c>
      <c r="S2252" t="s">
        <v>72</v>
      </c>
      <c r="T2252" s="5">
        <f t="shared" si="706"/>
        <v>0</v>
      </c>
      <c r="U2252" s="5">
        <f t="shared" si="707"/>
        <v>0</v>
      </c>
      <c r="V2252" s="5">
        <f t="shared" si="708"/>
        <v>0</v>
      </c>
      <c r="W2252" s="5">
        <f t="shared" si="709"/>
        <v>0</v>
      </c>
      <c r="X2252" s="5">
        <f t="shared" si="710"/>
        <v>0</v>
      </c>
      <c r="Y2252" s="5">
        <f t="shared" si="711"/>
        <v>0</v>
      </c>
      <c r="Z2252" s="5">
        <f t="shared" si="712"/>
        <v>0</v>
      </c>
      <c r="AA2252" s="5">
        <f t="shared" si="713"/>
        <v>0</v>
      </c>
      <c r="AB2252" s="5">
        <f t="shared" si="714"/>
        <v>0</v>
      </c>
    </row>
    <row r="2253" spans="1:29" x14ac:dyDescent="0.25">
      <c r="D2253" t="s">
        <v>73</v>
      </c>
      <c r="E2253" s="14"/>
      <c r="F2253" s="14"/>
      <c r="G2253">
        <f>IFERROR(HLOOKUP(G$2,[69]table_male_hkom1_inj.ill_X2!$A$1:$K$36,5,FALSE),0)</f>
        <v>0</v>
      </c>
      <c r="H2253">
        <f>IFERROR(HLOOKUP(H$2,[69]table_male_hkom1_inj.ill_X2!$A$1:$K$36,5,FALSE),0)</f>
        <v>0</v>
      </c>
      <c r="I2253">
        <f>IFERROR(HLOOKUP(I$2,[69]table_male_hkom1_inj.ill_X2!$A$1:$K$36,5,FALSE),0)</f>
        <v>0</v>
      </c>
      <c r="J2253">
        <f>IFERROR(HLOOKUP(J$2,[69]table_male_hkom1_inj.ill_X2!$A$1:$K$36,5,FALSE),0)</f>
        <v>0</v>
      </c>
      <c r="K2253">
        <f>IFERROR(HLOOKUP(K$2,[69]table_male_hkom1_inj.ill_X2!$A$1:$K$36,5,FALSE),0)</f>
        <v>0</v>
      </c>
      <c r="L2253">
        <f>IFERROR(HLOOKUP(L$2,[69]table_male_hkom1_inj.ill_X2!$A$1:$K$36,5,FALSE),0)</f>
        <v>0</v>
      </c>
      <c r="M2253">
        <f t="shared" si="705"/>
        <v>0</v>
      </c>
      <c r="S2253" t="s">
        <v>73</v>
      </c>
      <c r="T2253" s="5">
        <f t="shared" si="706"/>
        <v>0</v>
      </c>
      <c r="U2253" s="5">
        <f t="shared" si="707"/>
        <v>0</v>
      </c>
      <c r="V2253" s="5">
        <f t="shared" si="708"/>
        <v>0</v>
      </c>
      <c r="W2253" s="5">
        <f t="shared" si="709"/>
        <v>0</v>
      </c>
      <c r="X2253" s="5">
        <f t="shared" si="710"/>
        <v>0</v>
      </c>
      <c r="Y2253" s="5">
        <f t="shared" si="711"/>
        <v>0</v>
      </c>
      <c r="Z2253" s="5">
        <f t="shared" si="712"/>
        <v>0</v>
      </c>
      <c r="AA2253" s="5">
        <f t="shared" si="713"/>
        <v>0</v>
      </c>
      <c r="AB2253" s="5">
        <f t="shared" si="714"/>
        <v>0</v>
      </c>
    </row>
    <row r="2254" spans="1:29" x14ac:dyDescent="0.25">
      <c r="D2254" t="s">
        <v>74</v>
      </c>
      <c r="E2254" s="14"/>
      <c r="F2254" s="14"/>
      <c r="G2254">
        <f>IFERROR(HLOOKUP(G$2,[69]table_male_hkom1_inj.ill_X2!$A$1:$K$36,6,FALSE),0)</f>
        <v>0</v>
      </c>
      <c r="H2254">
        <f>IFERROR(HLOOKUP(H$2,[69]table_male_hkom1_inj.ill_X2!$A$1:$K$36,6,FALSE),0)</f>
        <v>0</v>
      </c>
      <c r="I2254">
        <f>IFERROR(HLOOKUP(I$2,[69]table_male_hkom1_inj.ill_X2!$A$1:$K$36,6,FALSE),0)</f>
        <v>0</v>
      </c>
      <c r="J2254">
        <f>IFERROR(HLOOKUP(J$2,[69]table_male_hkom1_inj.ill_X2!$A$1:$K$36,6,FALSE),0)</f>
        <v>0</v>
      </c>
      <c r="K2254">
        <f>IFERROR(HLOOKUP(K$2,[69]table_male_hkom1_inj.ill_X2!$A$1:$K$36,6,FALSE),0)</f>
        <v>0</v>
      </c>
      <c r="L2254">
        <f>IFERROR(HLOOKUP(L$2,[69]table_male_hkom1_inj.ill_X2!$A$1:$K$36,6,FALSE),0)</f>
        <v>0</v>
      </c>
      <c r="M2254">
        <f t="shared" si="705"/>
        <v>0</v>
      </c>
      <c r="S2254" t="s">
        <v>74</v>
      </c>
      <c r="T2254" s="5">
        <f t="shared" si="706"/>
        <v>0</v>
      </c>
      <c r="U2254" s="5">
        <f t="shared" si="707"/>
        <v>0</v>
      </c>
      <c r="V2254" s="5">
        <f t="shared" si="708"/>
        <v>0</v>
      </c>
      <c r="W2254" s="5">
        <f t="shared" si="709"/>
        <v>0</v>
      </c>
      <c r="X2254" s="5">
        <f t="shared" si="710"/>
        <v>0</v>
      </c>
      <c r="Y2254" s="5">
        <f t="shared" si="711"/>
        <v>0</v>
      </c>
      <c r="Z2254" s="5">
        <f t="shared" si="712"/>
        <v>0</v>
      </c>
      <c r="AA2254" s="5">
        <f t="shared" si="713"/>
        <v>0</v>
      </c>
      <c r="AB2254" s="5">
        <f t="shared" si="714"/>
        <v>0</v>
      </c>
    </row>
    <row r="2255" spans="1:29" x14ac:dyDescent="0.25">
      <c r="D2255" t="s">
        <v>75</v>
      </c>
      <c r="E2255" s="14"/>
      <c r="F2255" s="14"/>
      <c r="G2255">
        <f>IFERROR(HLOOKUP(G$2,[69]table_male_hkom1_inj.ill_X2!$A$1:$K$36,7,FALSE),0)</f>
        <v>0</v>
      </c>
      <c r="H2255">
        <f>IFERROR(HLOOKUP(H$2,[69]table_male_hkom1_inj.ill_X2!$A$1:$K$36,7,FALSE),0)</f>
        <v>0</v>
      </c>
      <c r="I2255">
        <f>IFERROR(HLOOKUP(I$2,[69]table_male_hkom1_inj.ill_X2!$A$1:$K$36,7,FALSE),0)</f>
        <v>0</v>
      </c>
      <c r="J2255">
        <f>IFERROR(HLOOKUP(J$2,[69]table_male_hkom1_inj.ill_X2!$A$1:$K$36,7,FALSE),0)</f>
        <v>0</v>
      </c>
      <c r="K2255">
        <f>IFERROR(HLOOKUP(K$2,[69]table_male_hkom1_inj.ill_X2!$A$1:$K$36,7,FALSE),0)</f>
        <v>0</v>
      </c>
      <c r="L2255">
        <f>IFERROR(HLOOKUP(L$2,[69]table_male_hkom1_inj.ill_X2!$A$1:$K$36,7,FALSE),0)</f>
        <v>0</v>
      </c>
      <c r="M2255">
        <f t="shared" si="705"/>
        <v>0</v>
      </c>
      <c r="S2255" t="s">
        <v>75</v>
      </c>
      <c r="T2255" s="5">
        <f t="shared" si="706"/>
        <v>0</v>
      </c>
      <c r="U2255" s="5">
        <f t="shared" si="707"/>
        <v>0</v>
      </c>
      <c r="V2255" s="5">
        <f t="shared" si="708"/>
        <v>0</v>
      </c>
      <c r="W2255" s="5">
        <f t="shared" si="709"/>
        <v>0</v>
      </c>
      <c r="X2255" s="5">
        <f t="shared" si="710"/>
        <v>0</v>
      </c>
      <c r="Y2255" s="5">
        <f t="shared" si="711"/>
        <v>0</v>
      </c>
      <c r="Z2255" s="5">
        <f t="shared" si="712"/>
        <v>0</v>
      </c>
      <c r="AA2255" s="5">
        <f t="shared" si="713"/>
        <v>0</v>
      </c>
      <c r="AB2255" s="5">
        <f t="shared" si="714"/>
        <v>0</v>
      </c>
    </row>
    <row r="2256" spans="1:29" x14ac:dyDescent="0.25">
      <c r="D2256" t="s">
        <v>76</v>
      </c>
      <c r="E2256" s="14"/>
      <c r="F2256" s="14"/>
      <c r="G2256">
        <f>IFERROR(HLOOKUP(G$2,[69]table_male_hkom1_inj.ill_X2!$A$1:$K$36,8,FALSE),0)</f>
        <v>0</v>
      </c>
      <c r="H2256">
        <f>IFERROR(HLOOKUP(H$2,[69]table_male_hkom1_inj.ill_X2!$A$1:$K$36,8,FALSE),0)</f>
        <v>0</v>
      </c>
      <c r="I2256">
        <f>IFERROR(HLOOKUP(I$2,[69]table_male_hkom1_inj.ill_X2!$A$1:$K$36,8,FALSE),0)</f>
        <v>0</v>
      </c>
      <c r="J2256">
        <f>IFERROR(HLOOKUP(J$2,[69]table_male_hkom1_inj.ill_X2!$A$1:$K$36,8,FALSE),0)</f>
        <v>0</v>
      </c>
      <c r="K2256">
        <f>IFERROR(HLOOKUP(K$2,[69]table_male_hkom1_inj.ill_X2!$A$1:$K$36,8,FALSE),0)</f>
        <v>0</v>
      </c>
      <c r="L2256">
        <f>IFERROR(HLOOKUP(L$2,[69]table_male_hkom1_inj.ill_X2!$A$1:$K$36,8,FALSE),0)</f>
        <v>0</v>
      </c>
      <c r="M2256">
        <f t="shared" si="705"/>
        <v>0</v>
      </c>
      <c r="S2256" t="s">
        <v>76</v>
      </c>
      <c r="T2256" s="5">
        <f t="shared" si="706"/>
        <v>0</v>
      </c>
      <c r="U2256" s="5">
        <f t="shared" si="707"/>
        <v>0</v>
      </c>
      <c r="V2256" s="5">
        <f t="shared" si="708"/>
        <v>0</v>
      </c>
      <c r="W2256" s="5">
        <f t="shared" si="709"/>
        <v>0</v>
      </c>
      <c r="X2256" s="5">
        <f t="shared" si="710"/>
        <v>0</v>
      </c>
      <c r="Y2256" s="5">
        <f t="shared" si="711"/>
        <v>0</v>
      </c>
      <c r="Z2256" s="5">
        <f t="shared" si="712"/>
        <v>0</v>
      </c>
      <c r="AA2256" s="5">
        <f t="shared" si="713"/>
        <v>0</v>
      </c>
      <c r="AB2256" s="5">
        <f t="shared" si="714"/>
        <v>0</v>
      </c>
    </row>
    <row r="2257" spans="4:28" x14ac:dyDescent="0.25">
      <c r="D2257" t="s">
        <v>77</v>
      </c>
      <c r="E2257" s="14"/>
      <c r="F2257" s="14"/>
      <c r="G2257">
        <f>IFERROR(HLOOKUP(G$2,[69]table_male_hkom1_inj.ill_X2!$A$1:$K$36,9,FALSE),0)</f>
        <v>0</v>
      </c>
      <c r="H2257">
        <f>IFERROR(HLOOKUP(H$2,[69]table_male_hkom1_inj.ill_X2!$A$1:$K$36,9,FALSE),0)</f>
        <v>0</v>
      </c>
      <c r="I2257">
        <f>IFERROR(HLOOKUP(I$2,[69]table_male_hkom1_inj.ill_X2!$A$1:$K$36,9,FALSE),0)</f>
        <v>0</v>
      </c>
      <c r="J2257">
        <f>IFERROR(HLOOKUP(J$2,[69]table_male_hkom1_inj.ill_X2!$A$1:$K$36,9,FALSE),0)</f>
        <v>0</v>
      </c>
      <c r="K2257">
        <f>IFERROR(HLOOKUP(K$2,[69]table_male_hkom1_inj.ill_X2!$A$1:$K$36,9,FALSE),0)</f>
        <v>0</v>
      </c>
      <c r="L2257">
        <f>IFERROR(HLOOKUP(L$2,[69]table_male_hkom1_inj.ill_X2!$A$1:$K$36,9,FALSE),0)</f>
        <v>0</v>
      </c>
      <c r="M2257">
        <f t="shared" si="705"/>
        <v>0</v>
      </c>
      <c r="S2257" t="s">
        <v>77</v>
      </c>
      <c r="T2257" s="5">
        <f t="shared" si="706"/>
        <v>0</v>
      </c>
      <c r="U2257" s="5">
        <f t="shared" si="707"/>
        <v>0</v>
      </c>
      <c r="V2257" s="5">
        <f t="shared" si="708"/>
        <v>0</v>
      </c>
      <c r="W2257" s="5">
        <f t="shared" si="709"/>
        <v>0</v>
      </c>
      <c r="X2257" s="5">
        <f t="shared" si="710"/>
        <v>0</v>
      </c>
      <c r="Y2257" s="5">
        <f t="shared" si="711"/>
        <v>0</v>
      </c>
      <c r="Z2257" s="5">
        <f t="shared" si="712"/>
        <v>0</v>
      </c>
      <c r="AA2257" s="5">
        <f t="shared" si="713"/>
        <v>0</v>
      </c>
      <c r="AB2257" s="5">
        <f t="shared" si="714"/>
        <v>0</v>
      </c>
    </row>
    <row r="2258" spans="4:28" x14ac:dyDescent="0.25">
      <c r="D2258" t="s">
        <v>78</v>
      </c>
      <c r="E2258" s="14"/>
      <c r="F2258" s="14"/>
      <c r="G2258">
        <f>IFERROR(HLOOKUP(G$2,[69]table_male_hkom1_inj.ill_X2!$A$1:$K$36,10,FALSE),0)</f>
        <v>0</v>
      </c>
      <c r="H2258">
        <f>IFERROR(HLOOKUP(H$2,[69]table_male_hkom1_inj.ill_X2!$A$1:$K$36,10,FALSE),0)</f>
        <v>0</v>
      </c>
      <c r="I2258">
        <f>IFERROR(HLOOKUP(I$2,[69]table_male_hkom1_inj.ill_X2!$A$1:$K$36,10,FALSE),0)</f>
        <v>0</v>
      </c>
      <c r="J2258">
        <f>IFERROR(HLOOKUP(J$2,[69]table_male_hkom1_inj.ill_X2!$A$1:$K$36,10,FALSE),0)</f>
        <v>0</v>
      </c>
      <c r="K2258">
        <f>IFERROR(HLOOKUP(K$2,[69]table_male_hkom1_inj.ill_X2!$A$1:$K$36,10,FALSE),0)</f>
        <v>0</v>
      </c>
      <c r="L2258">
        <f>IFERROR(HLOOKUP(L$2,[69]table_male_hkom1_inj.ill_X2!$A$1:$K$36,10,FALSE),0)</f>
        <v>0</v>
      </c>
      <c r="M2258">
        <f t="shared" si="705"/>
        <v>0</v>
      </c>
      <c r="S2258" t="s">
        <v>78</v>
      </c>
      <c r="T2258" s="5">
        <f t="shared" si="706"/>
        <v>0</v>
      </c>
      <c r="U2258" s="5">
        <f t="shared" si="707"/>
        <v>0</v>
      </c>
      <c r="V2258" s="5">
        <f t="shared" si="708"/>
        <v>0</v>
      </c>
      <c r="W2258" s="5">
        <f t="shared" si="709"/>
        <v>0</v>
      </c>
      <c r="X2258" s="5">
        <f t="shared" si="710"/>
        <v>0</v>
      </c>
      <c r="Y2258" s="5">
        <f t="shared" si="711"/>
        <v>0</v>
      </c>
      <c r="Z2258" s="5">
        <f t="shared" si="712"/>
        <v>0</v>
      </c>
      <c r="AA2258" s="5">
        <f t="shared" si="713"/>
        <v>0</v>
      </c>
      <c r="AB2258" s="5">
        <f t="shared" si="714"/>
        <v>0</v>
      </c>
    </row>
    <row r="2259" spans="4:28" x14ac:dyDescent="0.25">
      <c r="D2259" t="s">
        <v>79</v>
      </c>
      <c r="E2259" s="14"/>
      <c r="F2259" s="14"/>
      <c r="G2259">
        <f>IFERROR(HLOOKUP(G$2,[69]table_male_hkom1_inj.ill_X2!$A$1:$K$36,11,FALSE),0)</f>
        <v>0</v>
      </c>
      <c r="H2259">
        <f>IFERROR(HLOOKUP(H$2,[69]table_male_hkom1_inj.ill_X2!$A$1:$K$36,11,FALSE),0)</f>
        <v>0</v>
      </c>
      <c r="I2259">
        <f>IFERROR(HLOOKUP(I$2,[69]table_male_hkom1_inj.ill_X2!$A$1:$K$36,11,FALSE),0)</f>
        <v>0</v>
      </c>
      <c r="J2259">
        <f>IFERROR(HLOOKUP(J$2,[69]table_male_hkom1_inj.ill_X2!$A$1:$K$36,11,FALSE),0)</f>
        <v>0</v>
      </c>
      <c r="K2259">
        <f>IFERROR(HLOOKUP(K$2,[69]table_male_hkom1_inj.ill_X2!$A$1:$K$36,11,FALSE),0)</f>
        <v>0</v>
      </c>
      <c r="L2259">
        <f>IFERROR(HLOOKUP(L$2,[69]table_male_hkom1_inj.ill_X2!$A$1:$K$36,11,FALSE),0)</f>
        <v>0</v>
      </c>
      <c r="M2259">
        <f t="shared" si="705"/>
        <v>0</v>
      </c>
      <c r="S2259" t="s">
        <v>79</v>
      </c>
      <c r="T2259" s="5">
        <f t="shared" si="706"/>
        <v>0</v>
      </c>
      <c r="U2259" s="5">
        <f t="shared" si="707"/>
        <v>0</v>
      </c>
      <c r="V2259" s="5">
        <f t="shared" si="708"/>
        <v>0</v>
      </c>
      <c r="W2259" s="5">
        <f t="shared" si="709"/>
        <v>0</v>
      </c>
      <c r="X2259" s="5">
        <f t="shared" si="710"/>
        <v>0</v>
      </c>
      <c r="Y2259" s="5">
        <f t="shared" si="711"/>
        <v>0</v>
      </c>
      <c r="Z2259" s="5">
        <f t="shared" si="712"/>
        <v>0</v>
      </c>
      <c r="AA2259" s="5">
        <f t="shared" si="713"/>
        <v>0</v>
      </c>
      <c r="AB2259" s="5">
        <f t="shared" si="714"/>
        <v>0</v>
      </c>
    </row>
    <row r="2260" spans="4:28" x14ac:dyDescent="0.25">
      <c r="D2260" t="s">
        <v>80</v>
      </c>
      <c r="E2260" s="14"/>
      <c r="F2260" s="14"/>
      <c r="G2260">
        <f>IFERROR(HLOOKUP(G$2,[69]table_male_hkom1_inj.ill_X2!$A$1:$K$36,12,FALSE),0)</f>
        <v>0</v>
      </c>
      <c r="H2260">
        <f>IFERROR(HLOOKUP(H$2,[69]table_male_hkom1_inj.ill_X2!$A$1:$K$36,12,FALSE),0)</f>
        <v>0</v>
      </c>
      <c r="I2260">
        <f>IFERROR(HLOOKUP(I$2,[69]table_male_hkom1_inj.ill_X2!$A$1:$K$36,12,FALSE),0)</f>
        <v>0</v>
      </c>
      <c r="J2260">
        <f>IFERROR(HLOOKUP(J$2,[69]table_male_hkom1_inj.ill_X2!$A$1:$K$36,12,FALSE),0)</f>
        <v>0</v>
      </c>
      <c r="K2260">
        <f>IFERROR(HLOOKUP(K$2,[69]table_male_hkom1_inj.ill_X2!$A$1:$K$36,12,FALSE),0)</f>
        <v>0</v>
      </c>
      <c r="L2260">
        <f>IFERROR(HLOOKUP(L$2,[69]table_male_hkom1_inj.ill_X2!$A$1:$K$36,12,FALSE),0)</f>
        <v>0</v>
      </c>
      <c r="M2260">
        <f t="shared" si="705"/>
        <v>0</v>
      </c>
      <c r="S2260" t="s">
        <v>80</v>
      </c>
      <c r="T2260" s="5">
        <f t="shared" si="706"/>
        <v>0</v>
      </c>
      <c r="U2260" s="5">
        <f t="shared" si="707"/>
        <v>0</v>
      </c>
      <c r="V2260" s="5">
        <f t="shared" si="708"/>
        <v>0</v>
      </c>
      <c r="W2260" s="5">
        <f t="shared" si="709"/>
        <v>0</v>
      </c>
      <c r="X2260" s="5">
        <f t="shared" si="710"/>
        <v>0</v>
      </c>
      <c r="Y2260" s="5">
        <f t="shared" si="711"/>
        <v>0</v>
      </c>
      <c r="Z2260" s="5">
        <f t="shared" si="712"/>
        <v>0</v>
      </c>
      <c r="AA2260" s="5">
        <f t="shared" si="713"/>
        <v>0</v>
      </c>
      <c r="AB2260" s="5">
        <f t="shared" si="714"/>
        <v>0</v>
      </c>
    </row>
    <row r="2261" spans="4:28" x14ac:dyDescent="0.25">
      <c r="D2261" t="s">
        <v>81</v>
      </c>
      <c r="E2261" s="14"/>
      <c r="F2261" s="14"/>
      <c r="G2261">
        <f>IFERROR(HLOOKUP(G$2,[69]table_male_hkom1_inj.ill_X2!$A$1:$K$36,13,FALSE),0)</f>
        <v>0</v>
      </c>
      <c r="H2261">
        <f>IFERROR(HLOOKUP(H$2,[69]table_male_hkom1_inj.ill_X2!$A$1:$K$36,13,FALSE),0)</f>
        <v>0</v>
      </c>
      <c r="I2261">
        <f>IFERROR(HLOOKUP(I$2,[69]table_male_hkom1_inj.ill_X2!$A$1:$K$36,13,FALSE),0)</f>
        <v>0</v>
      </c>
      <c r="J2261">
        <f>IFERROR(HLOOKUP(J$2,[69]table_male_hkom1_inj.ill_X2!$A$1:$K$36,13,FALSE),0)</f>
        <v>0</v>
      </c>
      <c r="K2261">
        <f>IFERROR(HLOOKUP(K$2,[69]table_male_hkom1_inj.ill_X2!$A$1:$K$36,13,FALSE),0)</f>
        <v>0</v>
      </c>
      <c r="L2261">
        <f>IFERROR(HLOOKUP(L$2,[69]table_male_hkom1_inj.ill_X2!$A$1:$K$36,13,FALSE),0)</f>
        <v>0</v>
      </c>
      <c r="M2261">
        <f t="shared" si="705"/>
        <v>0</v>
      </c>
      <c r="S2261" t="s">
        <v>81</v>
      </c>
      <c r="T2261" s="5">
        <f t="shared" si="706"/>
        <v>0</v>
      </c>
      <c r="U2261" s="5">
        <f t="shared" si="707"/>
        <v>0</v>
      </c>
      <c r="V2261" s="5">
        <f t="shared" si="708"/>
        <v>0</v>
      </c>
      <c r="W2261" s="5">
        <f t="shared" si="709"/>
        <v>0</v>
      </c>
      <c r="X2261" s="5">
        <f t="shared" si="710"/>
        <v>0</v>
      </c>
      <c r="Y2261" s="5">
        <f t="shared" si="711"/>
        <v>0</v>
      </c>
      <c r="Z2261" s="5">
        <f t="shared" si="712"/>
        <v>0</v>
      </c>
      <c r="AA2261" s="5">
        <f t="shared" si="713"/>
        <v>0</v>
      </c>
      <c r="AB2261" s="5">
        <f t="shared" si="714"/>
        <v>0</v>
      </c>
    </row>
    <row r="2262" spans="4:28" x14ac:dyDescent="0.25">
      <c r="D2262" t="s">
        <v>82</v>
      </c>
      <c r="E2262" s="14"/>
      <c r="F2262" s="14"/>
      <c r="G2262">
        <f>IFERROR(HLOOKUP(G$2,[69]table_male_hkom1_inj.ill_X2!$A$1:$K$36,14,FALSE),0)</f>
        <v>0</v>
      </c>
      <c r="H2262">
        <f>IFERROR(HLOOKUP(H$2,[69]table_male_hkom1_inj.ill_X2!$A$1:$K$36,14,FALSE),0)</f>
        <v>0</v>
      </c>
      <c r="I2262">
        <f>IFERROR(HLOOKUP(I$2,[69]table_male_hkom1_inj.ill_X2!$A$1:$K$36,14,FALSE),0)</f>
        <v>0</v>
      </c>
      <c r="J2262">
        <f>IFERROR(HLOOKUP(J$2,[69]table_male_hkom1_inj.ill_X2!$A$1:$K$36,14,FALSE),0)</f>
        <v>0</v>
      </c>
      <c r="K2262">
        <f>IFERROR(HLOOKUP(K$2,[69]table_male_hkom1_inj.ill_X2!$A$1:$K$36,14,FALSE),0)</f>
        <v>0</v>
      </c>
      <c r="L2262">
        <f>IFERROR(HLOOKUP(L$2,[69]table_male_hkom1_inj.ill_X2!$A$1:$K$36,14,FALSE),0)</f>
        <v>0</v>
      </c>
      <c r="M2262">
        <f t="shared" si="705"/>
        <v>0</v>
      </c>
      <c r="S2262" t="s">
        <v>82</v>
      </c>
      <c r="T2262" s="5">
        <f t="shared" si="706"/>
        <v>0</v>
      </c>
      <c r="U2262" s="5">
        <f t="shared" si="707"/>
        <v>0</v>
      </c>
      <c r="V2262" s="5">
        <f t="shared" si="708"/>
        <v>0</v>
      </c>
      <c r="W2262" s="5">
        <f t="shared" si="709"/>
        <v>0</v>
      </c>
      <c r="X2262" s="5">
        <f t="shared" si="710"/>
        <v>0</v>
      </c>
      <c r="Y2262" s="5">
        <f t="shared" si="711"/>
        <v>0</v>
      </c>
      <c r="Z2262" s="5">
        <f t="shared" si="712"/>
        <v>0</v>
      </c>
      <c r="AA2262" s="5">
        <f t="shared" si="713"/>
        <v>0</v>
      </c>
      <c r="AB2262" s="5">
        <f t="shared" si="714"/>
        <v>0</v>
      </c>
    </row>
    <row r="2263" spans="4:28" x14ac:dyDescent="0.25">
      <c r="D2263" t="s">
        <v>83</v>
      </c>
      <c r="E2263" s="14"/>
      <c r="F2263" s="14"/>
      <c r="G2263">
        <f>IFERROR(HLOOKUP(G$2,[69]table_male_hkom1_inj.ill_X2!$A$1:$K$36,15,FALSE),0)</f>
        <v>0</v>
      </c>
      <c r="H2263">
        <f>IFERROR(HLOOKUP(H$2,[69]table_male_hkom1_inj.ill_X2!$A$1:$K$36,15,FALSE),0)</f>
        <v>0</v>
      </c>
      <c r="I2263">
        <f>IFERROR(HLOOKUP(I$2,[69]table_male_hkom1_inj.ill_X2!$A$1:$K$36,15,FALSE),0)</f>
        <v>0</v>
      </c>
      <c r="J2263">
        <f>IFERROR(HLOOKUP(J$2,[69]table_male_hkom1_inj.ill_X2!$A$1:$K$36,15,FALSE),0)</f>
        <v>0</v>
      </c>
      <c r="K2263">
        <f>IFERROR(HLOOKUP(K$2,[69]table_male_hkom1_inj.ill_X2!$A$1:$K$36,15,FALSE),0)</f>
        <v>0</v>
      </c>
      <c r="L2263">
        <f>IFERROR(HLOOKUP(L$2,[69]table_male_hkom1_inj.ill_X2!$A$1:$K$36,15,FALSE),0)</f>
        <v>0</v>
      </c>
      <c r="M2263">
        <f t="shared" si="705"/>
        <v>0</v>
      </c>
      <c r="S2263" t="s">
        <v>83</v>
      </c>
      <c r="T2263" s="5">
        <f t="shared" si="706"/>
        <v>0</v>
      </c>
      <c r="U2263" s="5">
        <f t="shared" si="707"/>
        <v>0</v>
      </c>
      <c r="V2263" s="5">
        <f t="shared" si="708"/>
        <v>0</v>
      </c>
      <c r="W2263" s="5">
        <f t="shared" si="709"/>
        <v>0</v>
      </c>
      <c r="X2263" s="5">
        <f t="shared" si="710"/>
        <v>0</v>
      </c>
      <c r="Y2263" s="5">
        <f t="shared" si="711"/>
        <v>0</v>
      </c>
      <c r="Z2263" s="5">
        <f t="shared" si="712"/>
        <v>0</v>
      </c>
      <c r="AA2263" s="5">
        <f t="shared" si="713"/>
        <v>0</v>
      </c>
      <c r="AB2263" s="5">
        <f t="shared" si="714"/>
        <v>0</v>
      </c>
    </row>
    <row r="2264" spans="4:28" x14ac:dyDescent="0.25">
      <c r="D2264" t="s">
        <v>84</v>
      </c>
      <c r="E2264" s="14"/>
      <c r="F2264" s="14"/>
      <c r="G2264">
        <f>IFERROR(HLOOKUP(G$2,[69]table_male_hkom1_inj.ill_X2!$A$1:$K$36,16,FALSE),0)</f>
        <v>0</v>
      </c>
      <c r="H2264">
        <f>IFERROR(HLOOKUP(H$2,[69]table_male_hkom1_inj.ill_X2!$A$1:$K$36,16,FALSE),0)</f>
        <v>0</v>
      </c>
      <c r="I2264">
        <f>IFERROR(HLOOKUP(I$2,[69]table_male_hkom1_inj.ill_X2!$A$1:$K$36,16,FALSE),0)</f>
        <v>0</v>
      </c>
      <c r="J2264">
        <f>IFERROR(HLOOKUP(J$2,[69]table_male_hkom1_inj.ill_X2!$A$1:$K$36,16,FALSE),0)</f>
        <v>0</v>
      </c>
      <c r="K2264">
        <f>IFERROR(HLOOKUP(K$2,[69]table_male_hkom1_inj.ill_X2!$A$1:$K$36,16,FALSE),0)</f>
        <v>0</v>
      </c>
      <c r="L2264">
        <f>IFERROR(HLOOKUP(L$2,[69]table_male_hkom1_inj.ill_X2!$A$1:$K$36,16,FALSE),0)</f>
        <v>0</v>
      </c>
      <c r="M2264">
        <f t="shared" si="705"/>
        <v>0</v>
      </c>
      <c r="S2264" t="s">
        <v>84</v>
      </c>
      <c r="T2264" s="5">
        <f t="shared" si="706"/>
        <v>0</v>
      </c>
      <c r="U2264" s="5">
        <f t="shared" si="707"/>
        <v>0</v>
      </c>
      <c r="V2264" s="5">
        <f t="shared" si="708"/>
        <v>0</v>
      </c>
      <c r="W2264" s="5">
        <f t="shared" si="709"/>
        <v>0</v>
      </c>
      <c r="X2264" s="5">
        <f t="shared" si="710"/>
        <v>0</v>
      </c>
      <c r="Y2264" s="5">
        <f t="shared" si="711"/>
        <v>0</v>
      </c>
      <c r="Z2264" s="5">
        <f t="shared" si="712"/>
        <v>0</v>
      </c>
      <c r="AA2264" s="5">
        <f t="shared" si="713"/>
        <v>0</v>
      </c>
      <c r="AB2264" s="5">
        <f t="shared" si="714"/>
        <v>0</v>
      </c>
    </row>
    <row r="2265" spans="4:28" x14ac:dyDescent="0.25">
      <c r="D2265" t="s">
        <v>85</v>
      </c>
      <c r="E2265" s="14"/>
      <c r="F2265" s="14"/>
      <c r="G2265">
        <f>IFERROR(HLOOKUP(G$2,[69]table_male_hkom1_inj.ill_X2!$A$1:$K$36,17,FALSE),0)</f>
        <v>0</v>
      </c>
      <c r="H2265">
        <f>IFERROR(HLOOKUP(H$2,[69]table_male_hkom1_inj.ill_X2!$A$1:$K$36,17,FALSE),0)</f>
        <v>0</v>
      </c>
      <c r="I2265">
        <f>IFERROR(HLOOKUP(I$2,[69]table_male_hkom1_inj.ill_X2!$A$1:$K$36,17,FALSE),0)</f>
        <v>0</v>
      </c>
      <c r="J2265">
        <f>IFERROR(HLOOKUP(J$2,[69]table_male_hkom1_inj.ill_X2!$A$1:$K$36,17,FALSE),0)</f>
        <v>0</v>
      </c>
      <c r="K2265">
        <f>IFERROR(HLOOKUP(K$2,[69]table_male_hkom1_inj.ill_X2!$A$1:$K$36,17,FALSE),0)</f>
        <v>0</v>
      </c>
      <c r="L2265">
        <f>IFERROR(HLOOKUP(L$2,[69]table_male_hkom1_inj.ill_X2!$A$1:$K$36,17,FALSE),0)</f>
        <v>0</v>
      </c>
      <c r="M2265">
        <f t="shared" si="705"/>
        <v>0</v>
      </c>
      <c r="S2265" t="s">
        <v>85</v>
      </c>
      <c r="T2265" s="5">
        <f t="shared" si="706"/>
        <v>0</v>
      </c>
      <c r="U2265" s="5">
        <f t="shared" si="707"/>
        <v>0</v>
      </c>
      <c r="V2265" s="5">
        <f t="shared" si="708"/>
        <v>0</v>
      </c>
      <c r="W2265" s="5">
        <f t="shared" si="709"/>
        <v>0</v>
      </c>
      <c r="X2265" s="5">
        <f t="shared" si="710"/>
        <v>0</v>
      </c>
      <c r="Y2265" s="5">
        <f t="shared" si="711"/>
        <v>0</v>
      </c>
      <c r="Z2265" s="5">
        <f t="shared" si="712"/>
        <v>0</v>
      </c>
      <c r="AA2265" s="5">
        <f t="shared" si="713"/>
        <v>0</v>
      </c>
      <c r="AB2265" s="5">
        <f t="shared" si="714"/>
        <v>0</v>
      </c>
    </row>
    <row r="2266" spans="4:28" x14ac:dyDescent="0.25">
      <c r="D2266" t="s">
        <v>86</v>
      </c>
      <c r="E2266" s="14"/>
      <c r="F2266" s="14"/>
      <c r="G2266">
        <f>IFERROR(HLOOKUP(G$2,[69]table_male_hkom1_inj.ill_X2!$A$1:$K$36,18,FALSE),0)</f>
        <v>0</v>
      </c>
      <c r="H2266">
        <f>IFERROR(HLOOKUP(H$2,[69]table_male_hkom1_inj.ill_X2!$A$1:$K$36,18,FALSE),0)</f>
        <v>0</v>
      </c>
      <c r="I2266">
        <f>IFERROR(HLOOKUP(I$2,[69]table_male_hkom1_inj.ill_X2!$A$1:$K$36,18,FALSE),0)</f>
        <v>0</v>
      </c>
      <c r="J2266">
        <f>IFERROR(HLOOKUP(J$2,[69]table_male_hkom1_inj.ill_X2!$A$1:$K$36,18,FALSE),0)</f>
        <v>0</v>
      </c>
      <c r="K2266">
        <f>IFERROR(HLOOKUP(K$2,[69]table_male_hkom1_inj.ill_X2!$A$1:$K$36,18,FALSE),0)</f>
        <v>0</v>
      </c>
      <c r="L2266">
        <f>IFERROR(HLOOKUP(L$2,[69]table_male_hkom1_inj.ill_X2!$A$1:$K$36,18,FALSE),0)</f>
        <v>0</v>
      </c>
      <c r="M2266">
        <f t="shared" si="705"/>
        <v>0</v>
      </c>
      <c r="S2266" t="s">
        <v>86</v>
      </c>
      <c r="T2266" s="5">
        <f t="shared" si="706"/>
        <v>0</v>
      </c>
      <c r="U2266" s="5">
        <f t="shared" si="707"/>
        <v>0</v>
      </c>
      <c r="V2266" s="5">
        <f t="shared" si="708"/>
        <v>0</v>
      </c>
      <c r="W2266" s="5">
        <f t="shared" si="709"/>
        <v>0</v>
      </c>
      <c r="X2266" s="5">
        <f t="shared" si="710"/>
        <v>0</v>
      </c>
      <c r="Y2266" s="5">
        <f t="shared" si="711"/>
        <v>0</v>
      </c>
      <c r="Z2266" s="5">
        <f t="shared" si="712"/>
        <v>0</v>
      </c>
      <c r="AA2266" s="5">
        <f t="shared" si="713"/>
        <v>0</v>
      </c>
      <c r="AB2266" s="5">
        <f t="shared" si="714"/>
        <v>0</v>
      </c>
    </row>
    <row r="2267" spans="4:28" x14ac:dyDescent="0.25">
      <c r="D2267" t="s">
        <v>87</v>
      </c>
      <c r="E2267" s="14"/>
      <c r="F2267" s="14"/>
      <c r="G2267">
        <f>IFERROR(HLOOKUP(G$2,[69]table_male_hkom1_inj.ill_X2!$A$1:$K$36,19,FALSE),0)</f>
        <v>0</v>
      </c>
      <c r="H2267">
        <f>IFERROR(HLOOKUP(H$2,[69]table_male_hkom1_inj.ill_X2!$A$1:$K$36,19,FALSE),0)</f>
        <v>0</v>
      </c>
      <c r="I2267">
        <f>IFERROR(HLOOKUP(I$2,[69]table_male_hkom1_inj.ill_X2!$A$1:$K$36,19,FALSE),0)</f>
        <v>0</v>
      </c>
      <c r="J2267">
        <f>IFERROR(HLOOKUP(J$2,[69]table_male_hkom1_inj.ill_X2!$A$1:$K$36,19,FALSE),0)</f>
        <v>0</v>
      </c>
      <c r="K2267">
        <f>IFERROR(HLOOKUP(K$2,[69]table_male_hkom1_inj.ill_X2!$A$1:$K$36,19,FALSE),0)</f>
        <v>0</v>
      </c>
      <c r="L2267">
        <f>IFERROR(HLOOKUP(L$2,[69]table_male_hkom1_inj.ill_X2!$A$1:$K$36,19,FALSE),0)</f>
        <v>0</v>
      </c>
      <c r="M2267">
        <f t="shared" si="705"/>
        <v>0</v>
      </c>
      <c r="S2267" t="s">
        <v>87</v>
      </c>
      <c r="T2267" s="5">
        <f t="shared" si="706"/>
        <v>0</v>
      </c>
      <c r="U2267" s="5">
        <f t="shared" si="707"/>
        <v>0</v>
      </c>
      <c r="V2267" s="5">
        <f t="shared" si="708"/>
        <v>0</v>
      </c>
      <c r="W2267" s="5">
        <f t="shared" si="709"/>
        <v>0</v>
      </c>
      <c r="X2267" s="5">
        <f t="shared" si="710"/>
        <v>0</v>
      </c>
      <c r="Y2267" s="5">
        <f t="shared" si="711"/>
        <v>0</v>
      </c>
      <c r="Z2267" s="5">
        <f t="shared" si="712"/>
        <v>0</v>
      </c>
      <c r="AA2267" s="5">
        <f t="shared" si="713"/>
        <v>0</v>
      </c>
      <c r="AB2267" s="5">
        <f t="shared" si="714"/>
        <v>0</v>
      </c>
    </row>
    <row r="2268" spans="4:28" x14ac:dyDescent="0.25">
      <c r="D2268" t="s">
        <v>88</v>
      </c>
      <c r="E2268" s="14"/>
      <c r="F2268" s="14"/>
      <c r="G2268">
        <f>IFERROR(HLOOKUP(G$2,[69]table_male_hkom1_inj.ill_X2!$A$1:$K$36,20,FALSE),0)</f>
        <v>0</v>
      </c>
      <c r="H2268">
        <f>IFERROR(HLOOKUP(H$2,[69]table_male_hkom1_inj.ill_X2!$A$1:$K$36,20,FALSE),0)</f>
        <v>0</v>
      </c>
      <c r="I2268">
        <f>IFERROR(HLOOKUP(I$2,[69]table_male_hkom1_inj.ill_X2!$A$1:$K$36,20,FALSE),0)</f>
        <v>0</v>
      </c>
      <c r="J2268">
        <f>IFERROR(HLOOKUP(J$2,[69]table_male_hkom1_inj.ill_X2!$A$1:$K$36,20,FALSE),0)</f>
        <v>0</v>
      </c>
      <c r="K2268">
        <f>IFERROR(HLOOKUP(K$2,[69]table_male_hkom1_inj.ill_X2!$A$1:$K$36,20,FALSE),0)</f>
        <v>0</v>
      </c>
      <c r="L2268">
        <f>IFERROR(HLOOKUP(L$2,[69]table_male_hkom1_inj.ill_X2!$A$1:$K$36,20,FALSE),0)</f>
        <v>0</v>
      </c>
      <c r="M2268">
        <f t="shared" si="705"/>
        <v>0</v>
      </c>
      <c r="S2268" t="s">
        <v>88</v>
      </c>
      <c r="T2268" s="5">
        <f t="shared" si="706"/>
        <v>0</v>
      </c>
      <c r="U2268" s="5">
        <f t="shared" si="707"/>
        <v>0</v>
      </c>
      <c r="V2268" s="5">
        <f t="shared" si="708"/>
        <v>0</v>
      </c>
      <c r="W2268" s="5">
        <f t="shared" si="709"/>
        <v>0</v>
      </c>
      <c r="X2268" s="5">
        <f t="shared" si="710"/>
        <v>0</v>
      </c>
      <c r="Y2268" s="5">
        <f t="shared" si="711"/>
        <v>0</v>
      </c>
      <c r="Z2268" s="5">
        <f t="shared" si="712"/>
        <v>0</v>
      </c>
      <c r="AA2268" s="5">
        <f t="shared" si="713"/>
        <v>0</v>
      </c>
      <c r="AB2268" s="5">
        <f t="shared" si="714"/>
        <v>0</v>
      </c>
    </row>
    <row r="2269" spans="4:28" x14ac:dyDescent="0.25">
      <c r="D2269" t="s">
        <v>89</v>
      </c>
      <c r="E2269" s="14"/>
      <c r="F2269" s="14"/>
      <c r="G2269">
        <f>IFERROR(HLOOKUP(G$2,[69]table_male_hkom1_inj.ill_X2!$A$1:$K$36,21,FALSE),0)</f>
        <v>0</v>
      </c>
      <c r="H2269">
        <f>IFERROR(HLOOKUP(H$2,[69]table_male_hkom1_inj.ill_X2!$A$1:$K$36,21,FALSE),0)</f>
        <v>0</v>
      </c>
      <c r="I2269">
        <f>IFERROR(HLOOKUP(I$2,[69]table_male_hkom1_inj.ill_X2!$A$1:$K$36,21,FALSE),0)</f>
        <v>0</v>
      </c>
      <c r="J2269">
        <f>IFERROR(HLOOKUP(J$2,[69]table_male_hkom1_inj.ill_X2!$A$1:$K$36,21,FALSE),0)</f>
        <v>0</v>
      </c>
      <c r="K2269">
        <f>IFERROR(HLOOKUP(K$2,[69]table_male_hkom1_inj.ill_X2!$A$1:$K$36,21,FALSE),0)</f>
        <v>0</v>
      </c>
      <c r="L2269">
        <f>IFERROR(HLOOKUP(L$2,[69]table_male_hkom1_inj.ill_X2!$A$1:$K$36,21,FALSE),0)</f>
        <v>0</v>
      </c>
      <c r="M2269">
        <f t="shared" si="705"/>
        <v>0</v>
      </c>
      <c r="S2269" t="s">
        <v>89</v>
      </c>
      <c r="T2269" s="5">
        <f t="shared" si="706"/>
        <v>0</v>
      </c>
      <c r="U2269" s="5">
        <f t="shared" si="707"/>
        <v>0</v>
      </c>
      <c r="V2269" s="5">
        <f t="shared" si="708"/>
        <v>0</v>
      </c>
      <c r="W2269" s="5">
        <f t="shared" si="709"/>
        <v>0</v>
      </c>
      <c r="X2269" s="5">
        <f t="shared" si="710"/>
        <v>0</v>
      </c>
      <c r="Y2269" s="5">
        <f t="shared" si="711"/>
        <v>0</v>
      </c>
      <c r="Z2269" s="5">
        <f t="shared" si="712"/>
        <v>0</v>
      </c>
      <c r="AA2269" s="5">
        <f t="shared" si="713"/>
        <v>0</v>
      </c>
      <c r="AB2269" s="5">
        <f t="shared" si="714"/>
        <v>0</v>
      </c>
    </row>
    <row r="2270" spans="4:28" x14ac:dyDescent="0.25">
      <c r="D2270" t="s">
        <v>90</v>
      </c>
      <c r="E2270" s="14"/>
      <c r="F2270" s="14"/>
      <c r="G2270">
        <f>IFERROR(HLOOKUP(G$2,[69]table_male_hkom1_inj.ill_X2!$A$1:$K$36,22,FALSE),0)</f>
        <v>0</v>
      </c>
      <c r="H2270">
        <f>IFERROR(HLOOKUP(H$2,[69]table_male_hkom1_inj.ill_X2!$A$1:$K$36,22,FALSE),0)</f>
        <v>0</v>
      </c>
      <c r="I2270">
        <f>IFERROR(HLOOKUP(I$2,[69]table_male_hkom1_inj.ill_X2!$A$1:$K$36,22,FALSE),0)</f>
        <v>0</v>
      </c>
      <c r="J2270">
        <f>IFERROR(HLOOKUP(J$2,[69]table_male_hkom1_inj.ill_X2!$A$1:$K$36,22,FALSE),0)</f>
        <v>0</v>
      </c>
      <c r="K2270">
        <f>IFERROR(HLOOKUP(K$2,[69]table_male_hkom1_inj.ill_X2!$A$1:$K$36,22,FALSE),0)</f>
        <v>0</v>
      </c>
      <c r="L2270">
        <f>IFERROR(HLOOKUP(L$2,[69]table_male_hkom1_inj.ill_X2!$A$1:$K$36,22,FALSE),0)</f>
        <v>0</v>
      </c>
      <c r="M2270">
        <f t="shared" si="705"/>
        <v>0</v>
      </c>
      <c r="S2270" t="s">
        <v>90</v>
      </c>
      <c r="T2270" s="5">
        <f t="shared" si="706"/>
        <v>0</v>
      </c>
      <c r="U2270" s="5">
        <f t="shared" si="707"/>
        <v>0</v>
      </c>
      <c r="V2270" s="5">
        <f t="shared" si="708"/>
        <v>0</v>
      </c>
      <c r="W2270" s="5">
        <f t="shared" si="709"/>
        <v>0</v>
      </c>
      <c r="X2270" s="5">
        <f t="shared" si="710"/>
        <v>0</v>
      </c>
      <c r="Y2270" s="5">
        <f t="shared" si="711"/>
        <v>0</v>
      </c>
      <c r="Z2270" s="5">
        <f t="shared" si="712"/>
        <v>0</v>
      </c>
      <c r="AA2270" s="5">
        <f t="shared" si="713"/>
        <v>0</v>
      </c>
      <c r="AB2270" s="5">
        <f t="shared" si="714"/>
        <v>0</v>
      </c>
    </row>
    <row r="2271" spans="4:28" x14ac:dyDescent="0.25">
      <c r="D2271" t="s">
        <v>91</v>
      </c>
      <c r="E2271" s="14"/>
      <c r="F2271" s="14"/>
      <c r="G2271">
        <f>IFERROR(HLOOKUP(G$2,[69]table_male_hkom1_inj.ill_X2!$A$1:$K$36,23,FALSE),0)</f>
        <v>0</v>
      </c>
      <c r="H2271">
        <f>IFERROR(HLOOKUP(H$2,[69]table_male_hkom1_inj.ill_X2!$A$1:$K$36,23,FALSE),0)</f>
        <v>0</v>
      </c>
      <c r="I2271">
        <f>IFERROR(HLOOKUP(I$2,[69]table_male_hkom1_inj.ill_X2!$A$1:$K$36,23,FALSE),0)</f>
        <v>0</v>
      </c>
      <c r="J2271">
        <f>IFERROR(HLOOKUP(J$2,[69]table_male_hkom1_inj.ill_X2!$A$1:$K$36,23,FALSE),0)</f>
        <v>0</v>
      </c>
      <c r="K2271">
        <f>IFERROR(HLOOKUP(K$2,[69]table_male_hkom1_inj.ill_X2!$A$1:$K$36,23,FALSE),0)</f>
        <v>0</v>
      </c>
      <c r="L2271">
        <f>IFERROR(HLOOKUP(L$2,[69]table_male_hkom1_inj.ill_X2!$A$1:$K$36,23,FALSE),0)</f>
        <v>0</v>
      </c>
      <c r="M2271">
        <f t="shared" si="705"/>
        <v>0</v>
      </c>
      <c r="S2271" t="s">
        <v>91</v>
      </c>
      <c r="T2271" s="5">
        <f t="shared" si="706"/>
        <v>0</v>
      </c>
      <c r="U2271" s="5">
        <f t="shared" si="707"/>
        <v>0</v>
      </c>
      <c r="V2271" s="5">
        <f t="shared" si="708"/>
        <v>0</v>
      </c>
      <c r="W2271" s="5">
        <f t="shared" si="709"/>
        <v>0</v>
      </c>
      <c r="X2271" s="5">
        <f t="shared" si="710"/>
        <v>0</v>
      </c>
      <c r="Y2271" s="5">
        <f t="shared" si="711"/>
        <v>0</v>
      </c>
      <c r="Z2271" s="5">
        <f t="shared" si="712"/>
        <v>0</v>
      </c>
      <c r="AA2271" s="5">
        <f t="shared" si="713"/>
        <v>0</v>
      </c>
      <c r="AB2271" s="5">
        <f t="shared" si="714"/>
        <v>0</v>
      </c>
    </row>
    <row r="2272" spans="4:28" x14ac:dyDescent="0.25">
      <c r="D2272" t="s">
        <v>92</v>
      </c>
      <c r="E2272" s="14"/>
      <c r="F2272" s="14"/>
      <c r="G2272">
        <f>IFERROR(HLOOKUP(G$2,[69]table_male_hkom1_inj.ill_X2!$A$1:$K$36,24,FALSE),0)</f>
        <v>0</v>
      </c>
      <c r="H2272">
        <f>IFERROR(HLOOKUP(H$2,[69]table_male_hkom1_inj.ill_X2!$A$1:$K$36,24,FALSE),0)</f>
        <v>0</v>
      </c>
      <c r="I2272">
        <f>IFERROR(HLOOKUP(I$2,[69]table_male_hkom1_inj.ill_X2!$A$1:$K$36,24,FALSE),0)</f>
        <v>0</v>
      </c>
      <c r="J2272">
        <f>IFERROR(HLOOKUP(J$2,[69]table_male_hkom1_inj.ill_X2!$A$1:$K$36,24,FALSE),0)</f>
        <v>0</v>
      </c>
      <c r="K2272">
        <f>IFERROR(HLOOKUP(K$2,[69]table_male_hkom1_inj.ill_X2!$A$1:$K$36,24,FALSE),0)</f>
        <v>0</v>
      </c>
      <c r="L2272">
        <f>IFERROR(HLOOKUP(L$2,[69]table_male_hkom1_inj.ill_X2!$A$1:$K$36,24,FALSE),0)</f>
        <v>0</v>
      </c>
      <c r="M2272">
        <f t="shared" si="705"/>
        <v>0</v>
      </c>
      <c r="S2272" t="s">
        <v>92</v>
      </c>
      <c r="T2272" s="5">
        <f t="shared" si="706"/>
        <v>0</v>
      </c>
      <c r="U2272" s="5">
        <f t="shared" si="707"/>
        <v>0</v>
      </c>
      <c r="V2272" s="5">
        <f t="shared" si="708"/>
        <v>0</v>
      </c>
      <c r="W2272" s="5">
        <f t="shared" si="709"/>
        <v>0</v>
      </c>
      <c r="X2272" s="5">
        <f t="shared" si="710"/>
        <v>0</v>
      </c>
      <c r="Y2272" s="5">
        <f t="shared" si="711"/>
        <v>0</v>
      </c>
      <c r="Z2272" s="5">
        <f t="shared" si="712"/>
        <v>0</v>
      </c>
      <c r="AA2272" s="5">
        <f t="shared" si="713"/>
        <v>0</v>
      </c>
      <c r="AB2272" s="5">
        <f t="shared" si="714"/>
        <v>0</v>
      </c>
    </row>
    <row r="2273" spans="1:29" x14ac:dyDescent="0.25">
      <c r="D2273" t="s">
        <v>93</v>
      </c>
      <c r="E2273" s="14"/>
      <c r="F2273" s="14"/>
      <c r="G2273">
        <f>IFERROR(HLOOKUP(G$2,[69]table_male_hkom1_inj.ill_X2!$A$1:$K$36,25,FALSE),0)</f>
        <v>0</v>
      </c>
      <c r="H2273">
        <f>IFERROR(HLOOKUP(H$2,[69]table_male_hkom1_inj.ill_X2!$A$1:$K$36,25,FALSE),0)</f>
        <v>0</v>
      </c>
      <c r="I2273">
        <f>IFERROR(HLOOKUP(I$2,[69]table_male_hkom1_inj.ill_X2!$A$1:$K$36,25,FALSE),0)</f>
        <v>0</v>
      </c>
      <c r="J2273">
        <f>IFERROR(HLOOKUP(J$2,[69]table_male_hkom1_inj.ill_X2!$A$1:$K$36,25,FALSE),0)</f>
        <v>0</v>
      </c>
      <c r="K2273">
        <f>IFERROR(HLOOKUP(K$2,[69]table_male_hkom1_inj.ill_X2!$A$1:$K$36,25,FALSE),0)</f>
        <v>0</v>
      </c>
      <c r="L2273">
        <f>IFERROR(HLOOKUP(L$2,[69]table_male_hkom1_inj.ill_X2!$A$1:$K$36,25,FALSE),0)</f>
        <v>0</v>
      </c>
      <c r="M2273">
        <f t="shared" si="705"/>
        <v>0</v>
      </c>
      <c r="S2273" t="s">
        <v>93</v>
      </c>
      <c r="T2273" s="5">
        <f t="shared" si="706"/>
        <v>0</v>
      </c>
      <c r="U2273" s="5">
        <f t="shared" si="707"/>
        <v>0</v>
      </c>
      <c r="V2273" s="5">
        <f t="shared" si="708"/>
        <v>0</v>
      </c>
      <c r="W2273" s="5">
        <f t="shared" si="709"/>
        <v>0</v>
      </c>
      <c r="X2273" s="5">
        <f t="shared" si="710"/>
        <v>0</v>
      </c>
      <c r="Y2273" s="5">
        <f t="shared" si="711"/>
        <v>0</v>
      </c>
      <c r="Z2273" s="5">
        <f t="shared" si="712"/>
        <v>0</v>
      </c>
      <c r="AA2273" s="5">
        <f t="shared" si="713"/>
        <v>0</v>
      </c>
      <c r="AB2273" s="5">
        <f t="shared" si="714"/>
        <v>0</v>
      </c>
    </row>
    <row r="2274" spans="1:29" x14ac:dyDescent="0.25">
      <c r="D2274" t="s">
        <v>94</v>
      </c>
      <c r="E2274" s="14"/>
      <c r="F2274" s="14"/>
      <c r="G2274">
        <f>IFERROR(HLOOKUP(G$2,[69]table_male_hkom1_inj.ill_X2!$A$1:$K$36,26,FALSE),0)</f>
        <v>0</v>
      </c>
      <c r="H2274">
        <f>IFERROR(HLOOKUP(H$2,[69]table_male_hkom1_inj.ill_X2!$A$1:$K$36,26,FALSE),0)</f>
        <v>0</v>
      </c>
      <c r="I2274">
        <f>IFERROR(HLOOKUP(I$2,[69]table_male_hkom1_inj.ill_X2!$A$1:$K$36,26,FALSE),0)</f>
        <v>0</v>
      </c>
      <c r="J2274">
        <f>IFERROR(HLOOKUP(J$2,[69]table_male_hkom1_inj.ill_X2!$A$1:$K$36,26,FALSE),0)</f>
        <v>0</v>
      </c>
      <c r="K2274">
        <f>IFERROR(HLOOKUP(K$2,[69]table_male_hkom1_inj.ill_X2!$A$1:$K$36,26,FALSE),0)</f>
        <v>0</v>
      </c>
      <c r="L2274">
        <f>IFERROR(HLOOKUP(L$2,[69]table_male_hkom1_inj.ill_X2!$A$1:$K$36,26,FALSE),0)</f>
        <v>0</v>
      </c>
      <c r="M2274">
        <f t="shared" si="705"/>
        <v>0</v>
      </c>
      <c r="S2274" t="s">
        <v>94</v>
      </c>
      <c r="T2274" s="5">
        <f t="shared" si="706"/>
        <v>0</v>
      </c>
      <c r="U2274" s="5">
        <f t="shared" si="707"/>
        <v>0</v>
      </c>
      <c r="V2274" s="5">
        <f t="shared" si="708"/>
        <v>0</v>
      </c>
      <c r="W2274" s="5">
        <f t="shared" si="709"/>
        <v>0</v>
      </c>
      <c r="X2274" s="5">
        <f t="shared" si="710"/>
        <v>0</v>
      </c>
      <c r="Y2274" s="5">
        <f t="shared" si="711"/>
        <v>0</v>
      </c>
      <c r="Z2274" s="5">
        <f t="shared" si="712"/>
        <v>0</v>
      </c>
      <c r="AA2274" s="5">
        <f t="shared" si="713"/>
        <v>0</v>
      </c>
      <c r="AB2274" s="5">
        <f t="shared" si="714"/>
        <v>0</v>
      </c>
    </row>
    <row r="2275" spans="1:29" x14ac:dyDescent="0.25">
      <c r="D2275" t="s">
        <v>95</v>
      </c>
      <c r="E2275" s="14"/>
      <c r="F2275" s="14"/>
      <c r="G2275">
        <f>IFERROR(HLOOKUP(G$2,[69]table_male_hkom1_inj.ill_X2!$A$1:$K$36,27,FALSE),0)</f>
        <v>0</v>
      </c>
      <c r="H2275">
        <f>IFERROR(HLOOKUP(H$2,[69]table_male_hkom1_inj.ill_X2!$A$1:$K$36,27,FALSE),0)</f>
        <v>0</v>
      </c>
      <c r="I2275">
        <f>IFERROR(HLOOKUP(I$2,[69]table_male_hkom1_inj.ill_X2!$A$1:$K$36,27,FALSE),0)</f>
        <v>0</v>
      </c>
      <c r="J2275">
        <f>IFERROR(HLOOKUP(J$2,[69]table_male_hkom1_inj.ill_X2!$A$1:$K$36,27,FALSE),0)</f>
        <v>0</v>
      </c>
      <c r="K2275">
        <f>IFERROR(HLOOKUP(K$2,[69]table_male_hkom1_inj.ill_X2!$A$1:$K$36,27,FALSE),0)</f>
        <v>0</v>
      </c>
      <c r="L2275">
        <f>IFERROR(HLOOKUP(L$2,[69]table_male_hkom1_inj.ill_X2!$A$1:$K$36,27,FALSE),0)</f>
        <v>0</v>
      </c>
      <c r="M2275">
        <f t="shared" si="705"/>
        <v>0</v>
      </c>
      <c r="S2275" t="s">
        <v>95</v>
      </c>
      <c r="T2275" s="5">
        <f t="shared" si="706"/>
        <v>0</v>
      </c>
      <c r="U2275" s="5">
        <f t="shared" si="707"/>
        <v>0</v>
      </c>
      <c r="V2275" s="5">
        <f t="shared" si="708"/>
        <v>0</v>
      </c>
      <c r="W2275" s="5">
        <f t="shared" si="709"/>
        <v>0</v>
      </c>
      <c r="X2275" s="5">
        <f t="shared" si="710"/>
        <v>0</v>
      </c>
      <c r="Y2275" s="5">
        <f t="shared" si="711"/>
        <v>0</v>
      </c>
      <c r="Z2275" s="5">
        <f t="shared" si="712"/>
        <v>0</v>
      </c>
      <c r="AA2275" s="5">
        <f t="shared" si="713"/>
        <v>0</v>
      </c>
      <c r="AB2275" s="5">
        <f t="shared" si="714"/>
        <v>0</v>
      </c>
    </row>
    <row r="2276" spans="1:29" x14ac:dyDescent="0.25">
      <c r="D2276" t="s">
        <v>96</v>
      </c>
      <c r="E2276" s="14"/>
      <c r="F2276" s="14"/>
      <c r="G2276">
        <f>IFERROR(HLOOKUP(G$2,[69]table_male_hkom1_inj.ill_X2!$A$1:$K$36,28,FALSE),0)</f>
        <v>0</v>
      </c>
      <c r="H2276">
        <f>IFERROR(HLOOKUP(H$2,[69]table_male_hkom1_inj.ill_X2!$A$1:$K$36,28,FALSE),0)</f>
        <v>0</v>
      </c>
      <c r="I2276">
        <f>IFERROR(HLOOKUP(I$2,[69]table_male_hkom1_inj.ill_X2!$A$1:$K$36,28,FALSE),0)</f>
        <v>0</v>
      </c>
      <c r="J2276">
        <f>IFERROR(HLOOKUP(J$2,[69]table_male_hkom1_inj.ill_X2!$A$1:$K$36,28,FALSE),0)</f>
        <v>0</v>
      </c>
      <c r="K2276">
        <f>IFERROR(HLOOKUP(K$2,[69]table_male_hkom1_inj.ill_X2!$A$1:$K$36,28,FALSE),0)</f>
        <v>0</v>
      </c>
      <c r="L2276">
        <f>IFERROR(HLOOKUP(L$2,[69]table_male_hkom1_inj.ill_X2!$A$1:$K$36,28,FALSE),0)</f>
        <v>0</v>
      </c>
      <c r="M2276">
        <f t="shared" si="705"/>
        <v>0</v>
      </c>
      <c r="S2276" t="s">
        <v>96</v>
      </c>
      <c r="T2276" s="5">
        <f t="shared" si="706"/>
        <v>0</v>
      </c>
      <c r="U2276" s="5">
        <f t="shared" si="707"/>
        <v>0</v>
      </c>
      <c r="V2276" s="5">
        <f t="shared" si="708"/>
        <v>0</v>
      </c>
      <c r="W2276" s="5">
        <f t="shared" si="709"/>
        <v>0</v>
      </c>
      <c r="X2276" s="5">
        <f t="shared" si="710"/>
        <v>0</v>
      </c>
      <c r="Y2276" s="5">
        <f t="shared" si="711"/>
        <v>0</v>
      </c>
      <c r="Z2276" s="5">
        <f t="shared" si="712"/>
        <v>0</v>
      </c>
      <c r="AA2276" s="5">
        <f t="shared" si="713"/>
        <v>0</v>
      </c>
      <c r="AB2276" s="5">
        <f t="shared" si="714"/>
        <v>0</v>
      </c>
    </row>
    <row r="2277" spans="1:29" x14ac:dyDescent="0.25">
      <c r="D2277" t="s">
        <v>97</v>
      </c>
      <c r="E2277" s="14"/>
      <c r="F2277" s="14"/>
      <c r="G2277">
        <f>IFERROR(HLOOKUP(G$2,[69]table_male_hkom1_inj.ill_X2!$A$1:$K$36,29,FALSE),0)</f>
        <v>0</v>
      </c>
      <c r="H2277">
        <f>IFERROR(HLOOKUP(H$2,[69]table_male_hkom1_inj.ill_X2!$A$1:$K$36,29,FALSE),0)</f>
        <v>0</v>
      </c>
      <c r="I2277">
        <f>IFERROR(HLOOKUP(I$2,[69]table_male_hkom1_inj.ill_X2!$A$1:$K$36,29,FALSE),0)</f>
        <v>0</v>
      </c>
      <c r="J2277">
        <f>IFERROR(HLOOKUP(J$2,[69]table_male_hkom1_inj.ill_X2!$A$1:$K$36,29,FALSE),0)</f>
        <v>0</v>
      </c>
      <c r="K2277">
        <f>IFERROR(HLOOKUP(K$2,[69]table_male_hkom1_inj.ill_X2!$A$1:$K$36,29,FALSE),0)</f>
        <v>0</v>
      </c>
      <c r="L2277">
        <f>IFERROR(HLOOKUP(L$2,[69]table_male_hkom1_inj.ill_X2!$A$1:$K$36,29,FALSE),0)</f>
        <v>0</v>
      </c>
      <c r="M2277">
        <f t="shared" si="705"/>
        <v>0</v>
      </c>
      <c r="S2277" t="s">
        <v>97</v>
      </c>
      <c r="T2277" s="5">
        <f t="shared" si="706"/>
        <v>0</v>
      </c>
      <c r="U2277" s="5">
        <f t="shared" si="707"/>
        <v>0</v>
      </c>
      <c r="V2277" s="5">
        <f t="shared" si="708"/>
        <v>0</v>
      </c>
      <c r="W2277" s="5">
        <f t="shared" si="709"/>
        <v>0</v>
      </c>
      <c r="X2277" s="5">
        <f t="shared" si="710"/>
        <v>0</v>
      </c>
      <c r="Y2277" s="5">
        <f t="shared" si="711"/>
        <v>0</v>
      </c>
      <c r="Z2277" s="5">
        <f t="shared" si="712"/>
        <v>0</v>
      </c>
      <c r="AA2277" s="5">
        <f t="shared" si="713"/>
        <v>0</v>
      </c>
      <c r="AB2277" s="5">
        <f t="shared" si="714"/>
        <v>0</v>
      </c>
    </row>
    <row r="2278" spans="1:29" x14ac:dyDescent="0.25">
      <c r="D2278" t="s">
        <v>98</v>
      </c>
      <c r="E2278" s="14"/>
      <c r="F2278" s="14"/>
      <c r="G2278">
        <f>IFERROR(HLOOKUP(G$2,[69]table_male_hkom1_inj.ill_X2!$A$1:$K$36,30,FALSE),0)</f>
        <v>0</v>
      </c>
      <c r="H2278">
        <f>IFERROR(HLOOKUP(H$2,[69]table_male_hkom1_inj.ill_X2!$A$1:$K$36,30,FALSE),0)</f>
        <v>0</v>
      </c>
      <c r="I2278">
        <f>IFERROR(HLOOKUP(I$2,[69]table_male_hkom1_inj.ill_X2!$A$1:$K$36,30,FALSE),0)</f>
        <v>0</v>
      </c>
      <c r="J2278">
        <f>IFERROR(HLOOKUP(J$2,[69]table_male_hkom1_inj.ill_X2!$A$1:$K$36,30,FALSE),0)</f>
        <v>0</v>
      </c>
      <c r="K2278">
        <f>IFERROR(HLOOKUP(K$2,[69]table_male_hkom1_inj.ill_X2!$A$1:$K$36,30,FALSE),0)</f>
        <v>0</v>
      </c>
      <c r="L2278">
        <f>IFERROR(HLOOKUP(L$2,[69]table_male_hkom1_inj.ill_X2!$A$1:$K$36,30,FALSE),0)</f>
        <v>0</v>
      </c>
      <c r="M2278">
        <f t="shared" si="705"/>
        <v>0</v>
      </c>
      <c r="S2278" t="s">
        <v>98</v>
      </c>
      <c r="T2278" s="5">
        <f t="shared" si="706"/>
        <v>0</v>
      </c>
      <c r="U2278" s="5">
        <f t="shared" si="707"/>
        <v>0</v>
      </c>
      <c r="V2278" s="5">
        <f t="shared" si="708"/>
        <v>0</v>
      </c>
      <c r="W2278" s="5">
        <f t="shared" si="709"/>
        <v>0</v>
      </c>
      <c r="X2278" s="5">
        <f t="shared" si="710"/>
        <v>0</v>
      </c>
      <c r="Y2278" s="5">
        <f t="shared" si="711"/>
        <v>0</v>
      </c>
      <c r="Z2278" s="5">
        <f t="shared" si="712"/>
        <v>0</v>
      </c>
      <c r="AA2278" s="5">
        <f t="shared" si="713"/>
        <v>0</v>
      </c>
      <c r="AB2278" s="5">
        <f t="shared" si="714"/>
        <v>0</v>
      </c>
    </row>
    <row r="2279" spans="1:29" x14ac:dyDescent="0.25">
      <c r="D2279" t="s">
        <v>119</v>
      </c>
      <c r="E2279" s="14"/>
      <c r="F2279" s="14"/>
      <c r="G2279">
        <f>IFERROR(HLOOKUP(G$2,[69]table_male_hkom1_inj.ill_X2!$A$1:$K$36,31,FALSE),0)</f>
        <v>0</v>
      </c>
      <c r="H2279">
        <f>IFERROR(HLOOKUP(H$2,[69]table_male_hkom1_inj.ill_X2!$A$1:$K$36,31,FALSE),0)</f>
        <v>0</v>
      </c>
      <c r="I2279">
        <f>IFERROR(HLOOKUP(I$2,[69]table_male_hkom1_inj.ill_X2!$A$1:$K$36,31,FALSE),0)</f>
        <v>0</v>
      </c>
      <c r="J2279">
        <f>IFERROR(HLOOKUP(J$2,[69]table_male_hkom1_inj.ill_X2!$A$1:$K$36,31,FALSE),0)</f>
        <v>0</v>
      </c>
      <c r="K2279">
        <f>IFERROR(HLOOKUP(K$2,[69]table_male_hkom1_inj.ill_X2!$A$1:$K$36,31,FALSE),0)</f>
        <v>0</v>
      </c>
      <c r="L2279">
        <f>IFERROR(HLOOKUP(L$2,[69]table_male_hkom1_inj.ill_X2!$A$1:$K$36,31,FALSE),0)</f>
        <v>0</v>
      </c>
      <c r="M2279">
        <f t="shared" si="705"/>
        <v>0</v>
      </c>
      <c r="S2279" t="s">
        <v>119</v>
      </c>
      <c r="T2279" s="5">
        <f t="shared" si="706"/>
        <v>0</v>
      </c>
      <c r="U2279" s="5">
        <f t="shared" si="707"/>
        <v>0</v>
      </c>
      <c r="V2279" s="5">
        <f t="shared" si="708"/>
        <v>0</v>
      </c>
      <c r="W2279" s="5">
        <f t="shared" si="709"/>
        <v>0</v>
      </c>
      <c r="X2279" s="5">
        <f t="shared" si="710"/>
        <v>0</v>
      </c>
      <c r="Y2279" s="5">
        <f t="shared" si="711"/>
        <v>0</v>
      </c>
      <c r="Z2279" s="5">
        <f t="shared" si="712"/>
        <v>0</v>
      </c>
      <c r="AA2279" s="5">
        <f t="shared" si="713"/>
        <v>0</v>
      </c>
      <c r="AB2279" s="5">
        <f t="shared" si="714"/>
        <v>0</v>
      </c>
    </row>
    <row r="2280" spans="1:29" x14ac:dyDescent="0.25">
      <c r="D2280" t="s">
        <v>99</v>
      </c>
      <c r="E2280" s="14"/>
      <c r="F2280" s="14"/>
      <c r="G2280">
        <f>IFERROR(HLOOKUP(G$2,[69]table_male_hkom1_inj.ill_X2!$A$1:$K$36,32,FALSE),0)</f>
        <v>0</v>
      </c>
      <c r="H2280">
        <f>IFERROR(HLOOKUP(H$2,[69]table_male_hkom1_inj.ill_X2!$A$1:$K$36,32,FALSE),0)</f>
        <v>0</v>
      </c>
      <c r="I2280">
        <f>IFERROR(HLOOKUP(I$2,[69]table_male_hkom1_inj.ill_X2!$A$1:$K$36,32,FALSE),0)</f>
        <v>0</v>
      </c>
      <c r="J2280">
        <f>IFERROR(HLOOKUP(J$2,[69]table_male_hkom1_inj.ill_X2!$A$1:$K$36,32,FALSE),0)</f>
        <v>0</v>
      </c>
      <c r="K2280">
        <f>IFERROR(HLOOKUP(K$2,[69]table_male_hkom1_inj.ill_X2!$A$1:$K$36,32,FALSE),0)</f>
        <v>0</v>
      </c>
      <c r="L2280">
        <f>IFERROR(HLOOKUP(L$2,[69]table_male_hkom1_inj.ill_X2!$A$1:$K$36,32,FALSE),0)</f>
        <v>0</v>
      </c>
      <c r="M2280">
        <f t="shared" si="705"/>
        <v>0</v>
      </c>
      <c r="S2280" t="s">
        <v>99</v>
      </c>
      <c r="T2280" s="5">
        <f t="shared" si="706"/>
        <v>0</v>
      </c>
      <c r="U2280" s="5">
        <f t="shared" si="707"/>
        <v>0</v>
      </c>
      <c r="V2280" s="5">
        <f t="shared" si="708"/>
        <v>0</v>
      </c>
      <c r="W2280" s="5">
        <f t="shared" si="709"/>
        <v>0</v>
      </c>
      <c r="X2280" s="5">
        <f t="shared" si="710"/>
        <v>0</v>
      </c>
      <c r="Y2280" s="5">
        <f t="shared" si="711"/>
        <v>0</v>
      </c>
      <c r="Z2280" s="5">
        <f t="shared" si="712"/>
        <v>0</v>
      </c>
      <c r="AA2280" s="5">
        <f t="shared" si="713"/>
        <v>0</v>
      </c>
      <c r="AB2280" s="5">
        <f t="shared" si="714"/>
        <v>0</v>
      </c>
    </row>
    <row r="2281" spans="1:29" x14ac:dyDescent="0.25">
      <c r="D2281" t="s">
        <v>100</v>
      </c>
      <c r="E2281" s="14"/>
      <c r="F2281" s="14"/>
      <c r="G2281">
        <f>IFERROR(HLOOKUP(G$2,[69]table_male_hkom1_inj.ill_X2!$A$1:$K$36,33,FALSE),0)</f>
        <v>0</v>
      </c>
      <c r="H2281">
        <f>IFERROR(HLOOKUP(H$2,[69]table_male_hkom1_inj.ill_X2!$A$1:$K$36,33,FALSE),0)</f>
        <v>0</v>
      </c>
      <c r="I2281">
        <f>IFERROR(HLOOKUP(I$2,[69]table_male_hkom1_inj.ill_X2!$A$1:$K$36,33,FALSE),0)</f>
        <v>0</v>
      </c>
      <c r="J2281">
        <f>IFERROR(HLOOKUP(J$2,[69]table_male_hkom1_inj.ill_X2!$A$1:$K$36,33,FALSE),0)</f>
        <v>0</v>
      </c>
      <c r="K2281">
        <f>IFERROR(HLOOKUP(K$2,[69]table_male_hkom1_inj.ill_X2!$A$1:$K$36,33,FALSE),0)</f>
        <v>0</v>
      </c>
      <c r="L2281">
        <f>IFERROR(HLOOKUP(L$2,[69]table_male_hkom1_inj.ill_X2!$A$1:$K$36,33,FALSE),0)</f>
        <v>0</v>
      </c>
      <c r="M2281">
        <f t="shared" si="705"/>
        <v>0</v>
      </c>
      <c r="S2281" t="s">
        <v>100</v>
      </c>
      <c r="T2281" s="5">
        <f t="shared" si="706"/>
        <v>0</v>
      </c>
      <c r="U2281" s="5">
        <f t="shared" si="707"/>
        <v>0</v>
      </c>
      <c r="V2281" s="5">
        <f t="shared" si="708"/>
        <v>0</v>
      </c>
      <c r="W2281" s="5">
        <f t="shared" si="709"/>
        <v>0</v>
      </c>
      <c r="X2281" s="5">
        <f t="shared" si="710"/>
        <v>0</v>
      </c>
      <c r="Y2281" s="5">
        <f t="shared" si="711"/>
        <v>0</v>
      </c>
      <c r="Z2281" s="5">
        <f t="shared" si="712"/>
        <v>0</v>
      </c>
      <c r="AA2281" s="5">
        <f t="shared" si="713"/>
        <v>0</v>
      </c>
      <c r="AB2281" s="5">
        <f t="shared" si="714"/>
        <v>0</v>
      </c>
    </row>
    <row r="2282" spans="1:29" x14ac:dyDescent="0.25">
      <c r="D2282" t="s">
        <v>101</v>
      </c>
      <c r="E2282" s="14"/>
      <c r="F2282" s="14"/>
      <c r="G2282">
        <f>IFERROR(HLOOKUP(G$2,[69]table_male_hkom1_inj.ill_X2!$A$1:$K$36,34,FALSE),0)</f>
        <v>0</v>
      </c>
      <c r="H2282">
        <f>IFERROR(HLOOKUP(H$2,[69]table_male_hkom1_inj.ill_X2!$A$1:$K$36,34,FALSE),0)</f>
        <v>0</v>
      </c>
      <c r="I2282">
        <f>IFERROR(HLOOKUP(I$2,[69]table_male_hkom1_inj.ill_X2!$A$1:$K$36,34,FALSE),0)</f>
        <v>0</v>
      </c>
      <c r="J2282">
        <f>IFERROR(HLOOKUP(J$2,[69]table_male_hkom1_inj.ill_X2!$A$1:$K$36,34,FALSE),0)</f>
        <v>0</v>
      </c>
      <c r="K2282">
        <f>IFERROR(HLOOKUP(K$2,[69]table_male_hkom1_inj.ill_X2!$A$1:$K$36,34,FALSE),0)</f>
        <v>0</v>
      </c>
      <c r="L2282">
        <f>IFERROR(HLOOKUP(L$2,[69]table_male_hkom1_inj.ill_X2!$A$1:$K$36,34,FALSE),0)</f>
        <v>0</v>
      </c>
      <c r="M2282">
        <f t="shared" si="705"/>
        <v>0</v>
      </c>
      <c r="S2282" t="s">
        <v>101</v>
      </c>
      <c r="T2282" s="5">
        <f t="shared" si="706"/>
        <v>0</v>
      </c>
      <c r="U2282" s="5">
        <f t="shared" si="707"/>
        <v>0</v>
      </c>
      <c r="V2282" s="5">
        <f t="shared" si="708"/>
        <v>0</v>
      </c>
      <c r="W2282" s="5">
        <f t="shared" si="709"/>
        <v>0</v>
      </c>
      <c r="X2282" s="5">
        <f t="shared" si="710"/>
        <v>0</v>
      </c>
      <c r="Y2282" s="5">
        <f t="shared" si="711"/>
        <v>0</v>
      </c>
      <c r="Z2282" s="5">
        <f t="shared" si="712"/>
        <v>0</v>
      </c>
      <c r="AA2282" s="5">
        <f t="shared" si="713"/>
        <v>0</v>
      </c>
      <c r="AB2282" s="5">
        <f t="shared" si="714"/>
        <v>0</v>
      </c>
    </row>
    <row r="2283" spans="1:29" x14ac:dyDescent="0.25">
      <c r="D2283" t="s">
        <v>102</v>
      </c>
      <c r="E2283" s="14"/>
      <c r="F2283" s="14"/>
      <c r="G2283">
        <f>IFERROR(HLOOKUP(G$2,[69]table_male_hkom1_inj.ill_X2!$A$1:$K$36,35,FALSE),0)</f>
        <v>0</v>
      </c>
      <c r="H2283">
        <f>IFERROR(HLOOKUP(H$2,[69]table_male_hkom1_inj.ill_X2!$A$1:$K$36,35,FALSE),0)</f>
        <v>0</v>
      </c>
      <c r="I2283">
        <f>IFERROR(HLOOKUP(I$2,[69]table_male_hkom1_inj.ill_X2!$A$1:$K$36,35,FALSE),0)</f>
        <v>0</v>
      </c>
      <c r="J2283">
        <f>IFERROR(HLOOKUP(J$2,[69]table_male_hkom1_inj.ill_X2!$A$1:$K$36,35,FALSE),0)</f>
        <v>0</v>
      </c>
      <c r="K2283">
        <f>IFERROR(HLOOKUP(K$2,[69]table_male_hkom1_inj.ill_X2!$A$1:$K$36,35,FALSE),0)</f>
        <v>0</v>
      </c>
      <c r="L2283">
        <f>IFERROR(HLOOKUP(L$2,[69]table_male_hkom1_inj.ill_X2!$A$1:$K$36,35,FALSE),0)</f>
        <v>0</v>
      </c>
      <c r="M2283">
        <f t="shared" si="705"/>
        <v>0</v>
      </c>
      <c r="N2283">
        <f>SUM(M2250:M2283)</f>
        <v>0</v>
      </c>
      <c r="O2283" s="8">
        <f>SUM([69]table_male_hkom1_inj.ill_X2!$B$2:$L$37)</f>
        <v>0</v>
      </c>
      <c r="S2283" t="s">
        <v>102</v>
      </c>
      <c r="T2283" s="6"/>
      <c r="U2283" s="7"/>
      <c r="V2283" s="7"/>
      <c r="W2283" s="7"/>
      <c r="X2283" s="7"/>
      <c r="Y2283" s="7"/>
      <c r="Z2283" s="7"/>
      <c r="AA2283" s="7"/>
      <c r="AB2283" s="5">
        <f t="shared" ref="AB2283:AB2346" si="715">SUM(T2283:AA2283)</f>
        <v>0</v>
      </c>
      <c r="AC2283" s="5">
        <f>SUM(AB2250:AB2282)</f>
        <v>0</v>
      </c>
    </row>
    <row r="2284" spans="1:29" x14ac:dyDescent="0.25">
      <c r="A2284" t="s">
        <v>104</v>
      </c>
      <c r="B2284" t="s">
        <v>103</v>
      </c>
      <c r="C2284" t="s">
        <v>125</v>
      </c>
      <c r="D2284" t="s">
        <v>70</v>
      </c>
      <c r="E2284" s="14"/>
      <c r="F2284" s="14"/>
      <c r="G2284">
        <f>IFERROR(HLOOKUP(G$2,[70]table_male_hkom1_inj.ill_X3!$A$1:$K$36,2,FALSE),0)</f>
        <v>0</v>
      </c>
      <c r="H2284">
        <f>IFERROR(HLOOKUP(H$2,[70]table_male_hkom1_inj.ill_X3!$A$1:$K$36,2,FALSE),0)</f>
        <v>0</v>
      </c>
      <c r="I2284">
        <f>IFERROR(HLOOKUP(I$2,[70]table_male_hkom1_inj.ill_X3!$A$1:$K$36,2,FALSE),0)</f>
        <v>0</v>
      </c>
      <c r="J2284">
        <f>IFERROR(HLOOKUP(J$2,[70]table_male_hkom1_inj.ill_X3!$A$1:$K$36,2,FALSE),0)</f>
        <v>0</v>
      </c>
      <c r="K2284">
        <f>IFERROR(HLOOKUP(K$2,[70]table_male_hkom1_inj.ill_X3!$A$1:$K$36,2,FALSE),0)</f>
        <v>0</v>
      </c>
      <c r="L2284">
        <f>IFERROR(HLOOKUP(L$2,[70]table_male_hkom1_inj.ill_X3!$A$1:$K$36,2,FALSE),0)</f>
        <v>0</v>
      </c>
      <c r="M2284">
        <f>SUM(E2284:L2284)</f>
        <v>0</v>
      </c>
      <c r="P2284" t="s">
        <v>104</v>
      </c>
      <c r="Q2284" t="s">
        <v>103</v>
      </c>
      <c r="R2284" t="s">
        <v>125</v>
      </c>
      <c r="S2284" t="s">
        <v>70</v>
      </c>
      <c r="T2284" s="5">
        <f>IF(SUM(E$2284:E$2316)=0,E$2317/33,E2284+IFERROR(E2284/SUM(E$2284:E$2316)*E$2317,0))</f>
        <v>0</v>
      </c>
      <c r="U2284" s="5">
        <f>IF(SUM(F$2284:F$2316)=0,F$2317/33,F2284+IFERROR(F2284/SUM(F$2284:F$2316)*F$2317,0))</f>
        <v>0</v>
      </c>
      <c r="V2284" s="5">
        <f t="shared" ref="V2284:AA2284" si="716">IF(SUM(G$2284:G$2316)=0,G$2317/33,G2284+IFERROR(G2284/SUM(G$2284:G$2316)*G$2317,0))</f>
        <v>0</v>
      </c>
      <c r="W2284" s="5">
        <f t="shared" si="716"/>
        <v>0</v>
      </c>
      <c r="X2284" s="5">
        <f t="shared" si="716"/>
        <v>0</v>
      </c>
      <c r="Y2284" s="5">
        <f t="shared" si="716"/>
        <v>0</v>
      </c>
      <c r="Z2284" s="5">
        <f t="shared" si="716"/>
        <v>0</v>
      </c>
      <c r="AA2284" s="5">
        <f t="shared" si="716"/>
        <v>0</v>
      </c>
      <c r="AB2284" s="5">
        <f t="shared" si="715"/>
        <v>0</v>
      </c>
    </row>
    <row r="2285" spans="1:29" x14ac:dyDescent="0.25">
      <c r="D2285" t="s">
        <v>71</v>
      </c>
      <c r="E2285" s="14"/>
      <c r="F2285" s="14"/>
      <c r="G2285">
        <f>IFERROR(HLOOKUP(G$2,[70]table_male_hkom1_inj.ill_X3!$A$1:$K$36,3,FALSE),0)</f>
        <v>0</v>
      </c>
      <c r="H2285">
        <f>IFERROR(HLOOKUP(H$2,[70]table_male_hkom1_inj.ill_X3!$A$1:$K$36,3,FALSE),0)</f>
        <v>0</v>
      </c>
      <c r="I2285">
        <f>IFERROR(HLOOKUP(I$2,[70]table_male_hkom1_inj.ill_X3!$A$1:$K$36,3,FALSE),0)</f>
        <v>0</v>
      </c>
      <c r="J2285">
        <f>IFERROR(HLOOKUP(J$2,[70]table_male_hkom1_inj.ill_X3!$A$1:$K$36,3,FALSE),0)</f>
        <v>0</v>
      </c>
      <c r="K2285">
        <f>IFERROR(HLOOKUP(K$2,[70]table_male_hkom1_inj.ill_X3!$A$1:$K$36,3,FALSE),0)</f>
        <v>0</v>
      </c>
      <c r="L2285">
        <f>IFERROR(HLOOKUP(L$2,[70]table_male_hkom1_inj.ill_X3!$A$1:$K$36,3,FALSE),0)</f>
        <v>0</v>
      </c>
      <c r="M2285">
        <f t="shared" ref="M2285:M2317" si="717">SUM(E2285:L2285)</f>
        <v>0</v>
      </c>
      <c r="S2285" t="s">
        <v>71</v>
      </c>
      <c r="T2285" s="5">
        <f t="shared" ref="T2285:T2316" si="718">IF(SUM(E$2284:E$2316)=0,E$2317/33,E2285+IFERROR(E2285/SUM(E$2284:E$2316)*E$2317,0))</f>
        <v>0</v>
      </c>
      <c r="U2285" s="5">
        <f t="shared" ref="U2285:U2316" si="719">IF(SUM(F$2284:F$2316)=0,F$2317/33,F2285+IFERROR(F2285/SUM(F$2284:F$2316)*F$2317,0))</f>
        <v>0</v>
      </c>
      <c r="V2285" s="5">
        <f t="shared" ref="V2285:V2316" si="720">IF(SUM(G$2284:G$2316)=0,G$2317/33,G2285+IFERROR(G2285/SUM(G$2284:G$2316)*G$2317,0))</f>
        <v>0</v>
      </c>
      <c r="W2285" s="5">
        <f t="shared" ref="W2285:W2316" si="721">IF(SUM(H$2284:H$2316)=0,H$2317/33,H2285+IFERROR(H2285/SUM(H$2284:H$2316)*H$2317,0))</f>
        <v>0</v>
      </c>
      <c r="X2285" s="5">
        <f t="shared" ref="X2285:X2316" si="722">IF(SUM(I$2284:I$2316)=0,I$2317/33,I2285+IFERROR(I2285/SUM(I$2284:I$2316)*I$2317,0))</f>
        <v>0</v>
      </c>
      <c r="Y2285" s="5">
        <f t="shared" ref="Y2285:Y2316" si="723">IF(SUM(J$2284:J$2316)=0,J$2317/33,J2285+IFERROR(J2285/SUM(J$2284:J$2316)*J$2317,0))</f>
        <v>0</v>
      </c>
      <c r="Z2285" s="5">
        <f t="shared" ref="Z2285:Z2316" si="724">IF(SUM(K$2284:K$2316)=0,K$2317/33,K2285+IFERROR(K2285/SUM(K$2284:K$2316)*K$2317,0))</f>
        <v>0</v>
      </c>
      <c r="AA2285" s="5">
        <f t="shared" ref="AA2285:AA2316" si="725">IF(SUM(L$2284:L$2316)=0,L$2317/33,L2285+IFERROR(L2285/SUM(L$2284:L$2316)*L$2317,0))</f>
        <v>0</v>
      </c>
      <c r="AB2285" s="5">
        <f t="shared" si="715"/>
        <v>0</v>
      </c>
    </row>
    <row r="2286" spans="1:29" x14ac:dyDescent="0.25">
      <c r="D2286" t="s">
        <v>72</v>
      </c>
      <c r="E2286" s="14"/>
      <c r="F2286" s="14"/>
      <c r="G2286">
        <f>IFERROR(HLOOKUP(G$2,[70]table_male_hkom1_inj.ill_X3!$A$1:$K$36,4,FALSE),0)</f>
        <v>0</v>
      </c>
      <c r="H2286">
        <f>IFERROR(HLOOKUP(H$2,[70]table_male_hkom1_inj.ill_X3!$A$1:$K$36,4,FALSE),0)</f>
        <v>0</v>
      </c>
      <c r="I2286">
        <f>IFERROR(HLOOKUP(I$2,[70]table_male_hkom1_inj.ill_X3!$A$1:$K$36,4,FALSE),0)</f>
        <v>0</v>
      </c>
      <c r="J2286">
        <f>IFERROR(HLOOKUP(J$2,[70]table_male_hkom1_inj.ill_X3!$A$1:$K$36,4,FALSE),0)</f>
        <v>0</v>
      </c>
      <c r="K2286">
        <f>IFERROR(HLOOKUP(K$2,[70]table_male_hkom1_inj.ill_X3!$A$1:$K$36,4,FALSE),0)</f>
        <v>0</v>
      </c>
      <c r="L2286">
        <f>IFERROR(HLOOKUP(L$2,[70]table_male_hkom1_inj.ill_X3!$A$1:$K$36,4,FALSE),0)</f>
        <v>0</v>
      </c>
      <c r="M2286">
        <f t="shared" si="717"/>
        <v>0</v>
      </c>
      <c r="S2286" t="s">
        <v>72</v>
      </c>
      <c r="T2286" s="5">
        <f t="shared" si="718"/>
        <v>0</v>
      </c>
      <c r="U2286" s="5">
        <f t="shared" si="719"/>
        <v>0</v>
      </c>
      <c r="V2286" s="5">
        <f t="shared" si="720"/>
        <v>0</v>
      </c>
      <c r="W2286" s="5">
        <f t="shared" si="721"/>
        <v>0</v>
      </c>
      <c r="X2286" s="5">
        <f t="shared" si="722"/>
        <v>0</v>
      </c>
      <c r="Y2286" s="5">
        <f t="shared" si="723"/>
        <v>0</v>
      </c>
      <c r="Z2286" s="5">
        <f t="shared" si="724"/>
        <v>0</v>
      </c>
      <c r="AA2286" s="5">
        <f t="shared" si="725"/>
        <v>0</v>
      </c>
      <c r="AB2286" s="5">
        <f t="shared" si="715"/>
        <v>0</v>
      </c>
    </row>
    <row r="2287" spans="1:29" x14ac:dyDescent="0.25">
      <c r="D2287" t="s">
        <v>73</v>
      </c>
      <c r="E2287" s="14"/>
      <c r="F2287" s="14"/>
      <c r="G2287">
        <f>IFERROR(HLOOKUP(G$2,[70]table_male_hkom1_inj.ill_X3!$A$1:$K$36,5,FALSE),0)</f>
        <v>0</v>
      </c>
      <c r="H2287">
        <f>IFERROR(HLOOKUP(H$2,[70]table_male_hkom1_inj.ill_X3!$A$1:$K$36,5,FALSE),0)</f>
        <v>0</v>
      </c>
      <c r="I2287">
        <f>IFERROR(HLOOKUP(I$2,[70]table_male_hkom1_inj.ill_X3!$A$1:$K$36,5,FALSE),0)</f>
        <v>0</v>
      </c>
      <c r="J2287">
        <f>IFERROR(HLOOKUP(J$2,[70]table_male_hkom1_inj.ill_X3!$A$1:$K$36,5,FALSE),0)</f>
        <v>0</v>
      </c>
      <c r="K2287">
        <f>IFERROR(HLOOKUP(K$2,[70]table_male_hkom1_inj.ill_X3!$A$1:$K$36,5,FALSE),0)</f>
        <v>0</v>
      </c>
      <c r="L2287">
        <f>IFERROR(HLOOKUP(L$2,[70]table_male_hkom1_inj.ill_X3!$A$1:$K$36,5,FALSE),0)</f>
        <v>0</v>
      </c>
      <c r="M2287">
        <f t="shared" si="717"/>
        <v>0</v>
      </c>
      <c r="S2287" t="s">
        <v>73</v>
      </c>
      <c r="T2287" s="5">
        <f t="shared" si="718"/>
        <v>0</v>
      </c>
      <c r="U2287" s="5">
        <f t="shared" si="719"/>
        <v>0</v>
      </c>
      <c r="V2287" s="5">
        <f t="shared" si="720"/>
        <v>0</v>
      </c>
      <c r="W2287" s="5">
        <f t="shared" si="721"/>
        <v>0</v>
      </c>
      <c r="X2287" s="5">
        <f t="shared" si="722"/>
        <v>0</v>
      </c>
      <c r="Y2287" s="5">
        <f t="shared" si="723"/>
        <v>0</v>
      </c>
      <c r="Z2287" s="5">
        <f t="shared" si="724"/>
        <v>0</v>
      </c>
      <c r="AA2287" s="5">
        <f t="shared" si="725"/>
        <v>0</v>
      </c>
      <c r="AB2287" s="5">
        <f t="shared" si="715"/>
        <v>0</v>
      </c>
    </row>
    <row r="2288" spans="1:29" x14ac:dyDescent="0.25">
      <c r="D2288" t="s">
        <v>74</v>
      </c>
      <c r="E2288" s="14"/>
      <c r="F2288" s="14"/>
      <c r="G2288">
        <f>IFERROR(HLOOKUP(G$2,[70]table_male_hkom1_inj.ill_X3!$A$1:$K$36,6,FALSE),0)</f>
        <v>0</v>
      </c>
      <c r="H2288">
        <f>IFERROR(HLOOKUP(H$2,[70]table_male_hkom1_inj.ill_X3!$A$1:$K$36,6,FALSE),0)</f>
        <v>0</v>
      </c>
      <c r="I2288">
        <f>IFERROR(HLOOKUP(I$2,[70]table_male_hkom1_inj.ill_X3!$A$1:$K$36,6,FALSE),0)</f>
        <v>1</v>
      </c>
      <c r="J2288">
        <f>IFERROR(HLOOKUP(J$2,[70]table_male_hkom1_inj.ill_X3!$A$1:$K$36,6,FALSE),0)</f>
        <v>0</v>
      </c>
      <c r="K2288">
        <f>IFERROR(HLOOKUP(K$2,[70]table_male_hkom1_inj.ill_X3!$A$1:$K$36,6,FALSE),0)</f>
        <v>0</v>
      </c>
      <c r="L2288">
        <f>IFERROR(HLOOKUP(L$2,[70]table_male_hkom1_inj.ill_X3!$A$1:$K$36,6,FALSE),0)</f>
        <v>0</v>
      </c>
      <c r="M2288">
        <f t="shared" si="717"/>
        <v>1</v>
      </c>
      <c r="S2288" t="s">
        <v>74</v>
      </c>
      <c r="T2288" s="5">
        <f t="shared" si="718"/>
        <v>0</v>
      </c>
      <c r="U2288" s="5">
        <f t="shared" si="719"/>
        <v>0</v>
      </c>
      <c r="V2288" s="5">
        <f t="shared" si="720"/>
        <v>0</v>
      </c>
      <c r="W2288" s="5">
        <f t="shared" si="721"/>
        <v>0</v>
      </c>
      <c r="X2288" s="5">
        <f t="shared" si="722"/>
        <v>1.8571428571428572</v>
      </c>
      <c r="Y2288" s="5">
        <f t="shared" si="723"/>
        <v>0</v>
      </c>
      <c r="Z2288" s="5">
        <f t="shared" si="724"/>
        <v>0</v>
      </c>
      <c r="AA2288" s="5">
        <f t="shared" si="725"/>
        <v>0</v>
      </c>
      <c r="AB2288" s="5">
        <f t="shared" si="715"/>
        <v>1.8571428571428572</v>
      </c>
    </row>
    <row r="2289" spans="4:28" x14ac:dyDescent="0.25">
      <c r="D2289" t="s">
        <v>75</v>
      </c>
      <c r="E2289" s="14"/>
      <c r="F2289" s="14"/>
      <c r="G2289">
        <f>IFERROR(HLOOKUP(G$2,[70]table_male_hkom1_inj.ill_X3!$A$1:$K$36,7,FALSE),0)</f>
        <v>0</v>
      </c>
      <c r="H2289">
        <f>IFERROR(HLOOKUP(H$2,[70]table_male_hkom1_inj.ill_X3!$A$1:$K$36,7,FALSE),0)</f>
        <v>0</v>
      </c>
      <c r="I2289">
        <f>IFERROR(HLOOKUP(I$2,[70]table_male_hkom1_inj.ill_X3!$A$1:$K$36,7,FALSE),0)</f>
        <v>0</v>
      </c>
      <c r="J2289">
        <f>IFERROR(HLOOKUP(J$2,[70]table_male_hkom1_inj.ill_X3!$A$1:$K$36,7,FALSE),0)</f>
        <v>0</v>
      </c>
      <c r="K2289">
        <f>IFERROR(HLOOKUP(K$2,[70]table_male_hkom1_inj.ill_X3!$A$1:$K$36,7,FALSE),0)</f>
        <v>0</v>
      </c>
      <c r="L2289">
        <f>IFERROR(HLOOKUP(L$2,[70]table_male_hkom1_inj.ill_X3!$A$1:$K$36,7,FALSE),0)</f>
        <v>0</v>
      </c>
      <c r="M2289">
        <f t="shared" si="717"/>
        <v>0</v>
      </c>
      <c r="S2289" t="s">
        <v>75</v>
      </c>
      <c r="T2289" s="5">
        <f t="shared" si="718"/>
        <v>0</v>
      </c>
      <c r="U2289" s="5">
        <f t="shared" si="719"/>
        <v>0</v>
      </c>
      <c r="V2289" s="5">
        <f t="shared" si="720"/>
        <v>0</v>
      </c>
      <c r="W2289" s="5">
        <f t="shared" si="721"/>
        <v>0</v>
      </c>
      <c r="X2289" s="5">
        <f t="shared" si="722"/>
        <v>0</v>
      </c>
      <c r="Y2289" s="5">
        <f t="shared" si="723"/>
        <v>0</v>
      </c>
      <c r="Z2289" s="5">
        <f t="shared" si="724"/>
        <v>0</v>
      </c>
      <c r="AA2289" s="5">
        <f t="shared" si="725"/>
        <v>0</v>
      </c>
      <c r="AB2289" s="5">
        <f t="shared" si="715"/>
        <v>0</v>
      </c>
    </row>
    <row r="2290" spans="4:28" x14ac:dyDescent="0.25">
      <c r="D2290" t="s">
        <v>76</v>
      </c>
      <c r="E2290" s="14"/>
      <c r="F2290" s="14"/>
      <c r="G2290">
        <f>IFERROR(HLOOKUP(G$2,[70]table_male_hkom1_inj.ill_X3!$A$1:$K$36,8,FALSE),0)</f>
        <v>0</v>
      </c>
      <c r="H2290">
        <f>IFERROR(HLOOKUP(H$2,[70]table_male_hkom1_inj.ill_X3!$A$1:$K$36,8,FALSE),0)</f>
        <v>0</v>
      </c>
      <c r="I2290">
        <f>IFERROR(HLOOKUP(I$2,[70]table_male_hkom1_inj.ill_X3!$A$1:$K$36,8,FALSE),0)</f>
        <v>0</v>
      </c>
      <c r="J2290">
        <f>IFERROR(HLOOKUP(J$2,[70]table_male_hkom1_inj.ill_X3!$A$1:$K$36,8,FALSE),0)</f>
        <v>0</v>
      </c>
      <c r="K2290">
        <f>IFERROR(HLOOKUP(K$2,[70]table_male_hkom1_inj.ill_X3!$A$1:$K$36,8,FALSE),0)</f>
        <v>0</v>
      </c>
      <c r="L2290">
        <f>IFERROR(HLOOKUP(L$2,[70]table_male_hkom1_inj.ill_X3!$A$1:$K$36,8,FALSE),0)</f>
        <v>0</v>
      </c>
      <c r="M2290">
        <f t="shared" si="717"/>
        <v>0</v>
      </c>
      <c r="S2290" t="s">
        <v>76</v>
      </c>
      <c r="T2290" s="5">
        <f t="shared" si="718"/>
        <v>0</v>
      </c>
      <c r="U2290" s="5">
        <f t="shared" si="719"/>
        <v>0</v>
      </c>
      <c r="V2290" s="5">
        <f t="shared" si="720"/>
        <v>0</v>
      </c>
      <c r="W2290" s="5">
        <f t="shared" si="721"/>
        <v>0</v>
      </c>
      <c r="X2290" s="5">
        <f t="shared" si="722"/>
        <v>0</v>
      </c>
      <c r="Y2290" s="5">
        <f t="shared" si="723"/>
        <v>0</v>
      </c>
      <c r="Z2290" s="5">
        <f t="shared" si="724"/>
        <v>0</v>
      </c>
      <c r="AA2290" s="5">
        <f t="shared" si="725"/>
        <v>0</v>
      </c>
      <c r="AB2290" s="5">
        <f t="shared" si="715"/>
        <v>0</v>
      </c>
    </row>
    <row r="2291" spans="4:28" x14ac:dyDescent="0.25">
      <c r="D2291" t="s">
        <v>77</v>
      </c>
      <c r="E2291" s="14"/>
      <c r="F2291" s="14"/>
      <c r="G2291">
        <f>IFERROR(HLOOKUP(G$2,[70]table_male_hkom1_inj.ill_X3!$A$1:$K$36,9,FALSE),0)</f>
        <v>0</v>
      </c>
      <c r="H2291">
        <f>IFERROR(HLOOKUP(H$2,[70]table_male_hkom1_inj.ill_X3!$A$1:$K$36,9,FALSE),0)</f>
        <v>0</v>
      </c>
      <c r="I2291">
        <f>IFERROR(HLOOKUP(I$2,[70]table_male_hkom1_inj.ill_X3!$A$1:$K$36,9,FALSE),0)</f>
        <v>0</v>
      </c>
      <c r="J2291">
        <f>IFERROR(HLOOKUP(J$2,[70]table_male_hkom1_inj.ill_X3!$A$1:$K$36,9,FALSE),0)</f>
        <v>0</v>
      </c>
      <c r="K2291">
        <f>IFERROR(HLOOKUP(K$2,[70]table_male_hkom1_inj.ill_X3!$A$1:$K$36,9,FALSE),0)</f>
        <v>0</v>
      </c>
      <c r="L2291">
        <f>IFERROR(HLOOKUP(L$2,[70]table_male_hkom1_inj.ill_X3!$A$1:$K$36,9,FALSE),0)</f>
        <v>0</v>
      </c>
      <c r="M2291">
        <f t="shared" si="717"/>
        <v>0</v>
      </c>
      <c r="S2291" t="s">
        <v>77</v>
      </c>
      <c r="T2291" s="5">
        <f t="shared" si="718"/>
        <v>0</v>
      </c>
      <c r="U2291" s="5">
        <f t="shared" si="719"/>
        <v>0</v>
      </c>
      <c r="V2291" s="5">
        <f t="shared" si="720"/>
        <v>0</v>
      </c>
      <c r="W2291" s="5">
        <f t="shared" si="721"/>
        <v>0</v>
      </c>
      <c r="X2291" s="5">
        <f t="shared" si="722"/>
        <v>0</v>
      </c>
      <c r="Y2291" s="5">
        <f t="shared" si="723"/>
        <v>0</v>
      </c>
      <c r="Z2291" s="5">
        <f t="shared" si="724"/>
        <v>0</v>
      </c>
      <c r="AA2291" s="5">
        <f t="shared" si="725"/>
        <v>0</v>
      </c>
      <c r="AB2291" s="5">
        <f t="shared" si="715"/>
        <v>0</v>
      </c>
    </row>
    <row r="2292" spans="4:28" x14ac:dyDescent="0.25">
      <c r="D2292" t="s">
        <v>78</v>
      </c>
      <c r="E2292" s="14"/>
      <c r="F2292" s="14"/>
      <c r="G2292">
        <f>IFERROR(HLOOKUP(G$2,[70]table_male_hkom1_inj.ill_X3!$A$1:$K$36,10,FALSE),0)</f>
        <v>0</v>
      </c>
      <c r="H2292">
        <f>IFERROR(HLOOKUP(H$2,[70]table_male_hkom1_inj.ill_X3!$A$1:$K$36,10,FALSE),0)</f>
        <v>0</v>
      </c>
      <c r="I2292">
        <f>IFERROR(HLOOKUP(I$2,[70]table_male_hkom1_inj.ill_X3!$A$1:$K$36,10,FALSE),0)</f>
        <v>0</v>
      </c>
      <c r="J2292">
        <f>IFERROR(HLOOKUP(J$2,[70]table_male_hkom1_inj.ill_X3!$A$1:$K$36,10,FALSE),0)</f>
        <v>0</v>
      </c>
      <c r="K2292">
        <f>IFERROR(HLOOKUP(K$2,[70]table_male_hkom1_inj.ill_X3!$A$1:$K$36,10,FALSE),0)</f>
        <v>0</v>
      </c>
      <c r="L2292">
        <f>IFERROR(HLOOKUP(L$2,[70]table_male_hkom1_inj.ill_X3!$A$1:$K$36,10,FALSE),0)</f>
        <v>0</v>
      </c>
      <c r="M2292">
        <f t="shared" si="717"/>
        <v>0</v>
      </c>
      <c r="S2292" t="s">
        <v>78</v>
      </c>
      <c r="T2292" s="5">
        <f t="shared" si="718"/>
        <v>0</v>
      </c>
      <c r="U2292" s="5">
        <f t="shared" si="719"/>
        <v>0</v>
      </c>
      <c r="V2292" s="5">
        <f t="shared" si="720"/>
        <v>0</v>
      </c>
      <c r="W2292" s="5">
        <f t="shared" si="721"/>
        <v>0</v>
      </c>
      <c r="X2292" s="5">
        <f t="shared" si="722"/>
        <v>0</v>
      </c>
      <c r="Y2292" s="5">
        <f t="shared" si="723"/>
        <v>0</v>
      </c>
      <c r="Z2292" s="5">
        <f t="shared" si="724"/>
        <v>0</v>
      </c>
      <c r="AA2292" s="5">
        <f t="shared" si="725"/>
        <v>0</v>
      </c>
      <c r="AB2292" s="5">
        <f t="shared" si="715"/>
        <v>0</v>
      </c>
    </row>
    <row r="2293" spans="4:28" x14ac:dyDescent="0.25">
      <c r="D2293" t="s">
        <v>79</v>
      </c>
      <c r="E2293" s="14"/>
      <c r="F2293" s="14"/>
      <c r="G2293">
        <f>IFERROR(HLOOKUP(G$2,[70]table_male_hkom1_inj.ill_X3!$A$1:$K$36,11,FALSE),0)</f>
        <v>0</v>
      </c>
      <c r="H2293">
        <f>IFERROR(HLOOKUP(H$2,[70]table_male_hkom1_inj.ill_X3!$A$1:$K$36,11,FALSE),0)</f>
        <v>0</v>
      </c>
      <c r="I2293">
        <f>IFERROR(HLOOKUP(I$2,[70]table_male_hkom1_inj.ill_X3!$A$1:$K$36,11,FALSE),0)</f>
        <v>0</v>
      </c>
      <c r="J2293">
        <f>IFERROR(HLOOKUP(J$2,[70]table_male_hkom1_inj.ill_X3!$A$1:$K$36,11,FALSE),0)</f>
        <v>0</v>
      </c>
      <c r="K2293">
        <f>IFERROR(HLOOKUP(K$2,[70]table_male_hkom1_inj.ill_X3!$A$1:$K$36,11,FALSE),0)</f>
        <v>0</v>
      </c>
      <c r="L2293">
        <f>IFERROR(HLOOKUP(L$2,[70]table_male_hkom1_inj.ill_X3!$A$1:$K$36,11,FALSE),0)</f>
        <v>0</v>
      </c>
      <c r="M2293">
        <f t="shared" si="717"/>
        <v>0</v>
      </c>
      <c r="S2293" t="s">
        <v>79</v>
      </c>
      <c r="T2293" s="5">
        <f t="shared" si="718"/>
        <v>0</v>
      </c>
      <c r="U2293" s="5">
        <f t="shared" si="719"/>
        <v>0</v>
      </c>
      <c r="V2293" s="5">
        <f t="shared" si="720"/>
        <v>0</v>
      </c>
      <c r="W2293" s="5">
        <f t="shared" si="721"/>
        <v>0</v>
      </c>
      <c r="X2293" s="5">
        <f t="shared" si="722"/>
        <v>0</v>
      </c>
      <c r="Y2293" s="5">
        <f t="shared" si="723"/>
        <v>0</v>
      </c>
      <c r="Z2293" s="5">
        <f t="shared" si="724"/>
        <v>0</v>
      </c>
      <c r="AA2293" s="5">
        <f t="shared" si="725"/>
        <v>0</v>
      </c>
      <c r="AB2293" s="5">
        <f t="shared" si="715"/>
        <v>0</v>
      </c>
    </row>
    <row r="2294" spans="4:28" x14ac:dyDescent="0.25">
      <c r="D2294" t="s">
        <v>80</v>
      </c>
      <c r="E2294" s="14"/>
      <c r="F2294" s="14"/>
      <c r="G2294">
        <f>IFERROR(HLOOKUP(G$2,[70]table_male_hkom1_inj.ill_X3!$A$1:$K$36,12,FALSE),0)</f>
        <v>0</v>
      </c>
      <c r="H2294">
        <f>IFERROR(HLOOKUP(H$2,[70]table_male_hkom1_inj.ill_X3!$A$1:$K$36,12,FALSE),0)</f>
        <v>0</v>
      </c>
      <c r="I2294">
        <f>IFERROR(HLOOKUP(I$2,[70]table_male_hkom1_inj.ill_X3!$A$1:$K$36,12,FALSE),0)</f>
        <v>0</v>
      </c>
      <c r="J2294">
        <f>IFERROR(HLOOKUP(J$2,[70]table_male_hkom1_inj.ill_X3!$A$1:$K$36,12,FALSE),0)</f>
        <v>0</v>
      </c>
      <c r="K2294">
        <f>IFERROR(HLOOKUP(K$2,[70]table_male_hkom1_inj.ill_X3!$A$1:$K$36,12,FALSE),0)</f>
        <v>0</v>
      </c>
      <c r="L2294">
        <f>IFERROR(HLOOKUP(L$2,[70]table_male_hkom1_inj.ill_X3!$A$1:$K$36,12,FALSE),0)</f>
        <v>0</v>
      </c>
      <c r="M2294">
        <f t="shared" si="717"/>
        <v>0</v>
      </c>
      <c r="S2294" t="s">
        <v>80</v>
      </c>
      <c r="T2294" s="5">
        <f t="shared" si="718"/>
        <v>0</v>
      </c>
      <c r="U2294" s="5">
        <f t="shared" si="719"/>
        <v>0</v>
      </c>
      <c r="V2294" s="5">
        <f t="shared" si="720"/>
        <v>0</v>
      </c>
      <c r="W2294" s="5">
        <f t="shared" si="721"/>
        <v>0</v>
      </c>
      <c r="X2294" s="5">
        <f t="shared" si="722"/>
        <v>0</v>
      </c>
      <c r="Y2294" s="5">
        <f t="shared" si="723"/>
        <v>0</v>
      </c>
      <c r="Z2294" s="5">
        <f t="shared" si="724"/>
        <v>0</v>
      </c>
      <c r="AA2294" s="5">
        <f t="shared" si="725"/>
        <v>0</v>
      </c>
      <c r="AB2294" s="5">
        <f t="shared" si="715"/>
        <v>0</v>
      </c>
    </row>
    <row r="2295" spans="4:28" x14ac:dyDescent="0.25">
      <c r="D2295" t="s">
        <v>81</v>
      </c>
      <c r="E2295" s="14"/>
      <c r="F2295" s="14"/>
      <c r="G2295">
        <f>IFERROR(HLOOKUP(G$2,[70]table_male_hkom1_inj.ill_X3!$A$1:$K$36,13,FALSE),0)</f>
        <v>0</v>
      </c>
      <c r="H2295">
        <f>IFERROR(HLOOKUP(H$2,[70]table_male_hkom1_inj.ill_X3!$A$1:$K$36,13,FALSE),0)</f>
        <v>0</v>
      </c>
      <c r="I2295">
        <f>IFERROR(HLOOKUP(I$2,[70]table_male_hkom1_inj.ill_X3!$A$1:$K$36,13,FALSE),0)</f>
        <v>0</v>
      </c>
      <c r="J2295">
        <f>IFERROR(HLOOKUP(J$2,[70]table_male_hkom1_inj.ill_X3!$A$1:$K$36,13,FALSE),0)</f>
        <v>0</v>
      </c>
      <c r="K2295">
        <f>IFERROR(HLOOKUP(K$2,[70]table_male_hkom1_inj.ill_X3!$A$1:$K$36,13,FALSE),0)</f>
        <v>0</v>
      </c>
      <c r="L2295">
        <f>IFERROR(HLOOKUP(L$2,[70]table_male_hkom1_inj.ill_X3!$A$1:$K$36,13,FALSE),0)</f>
        <v>0</v>
      </c>
      <c r="M2295">
        <f t="shared" si="717"/>
        <v>0</v>
      </c>
      <c r="S2295" t="s">
        <v>81</v>
      </c>
      <c r="T2295" s="5">
        <f t="shared" si="718"/>
        <v>0</v>
      </c>
      <c r="U2295" s="5">
        <f t="shared" si="719"/>
        <v>0</v>
      </c>
      <c r="V2295" s="5">
        <f t="shared" si="720"/>
        <v>0</v>
      </c>
      <c r="W2295" s="5">
        <f t="shared" si="721"/>
        <v>0</v>
      </c>
      <c r="X2295" s="5">
        <f t="shared" si="722"/>
        <v>0</v>
      </c>
      <c r="Y2295" s="5">
        <f t="shared" si="723"/>
        <v>0</v>
      </c>
      <c r="Z2295" s="5">
        <f t="shared" si="724"/>
        <v>0</v>
      </c>
      <c r="AA2295" s="5">
        <f t="shared" si="725"/>
        <v>0</v>
      </c>
      <c r="AB2295" s="5">
        <f t="shared" si="715"/>
        <v>0</v>
      </c>
    </row>
    <row r="2296" spans="4:28" x14ac:dyDescent="0.25">
      <c r="D2296" t="s">
        <v>82</v>
      </c>
      <c r="E2296" s="14"/>
      <c r="F2296" s="14"/>
      <c r="G2296">
        <f>IFERROR(HLOOKUP(G$2,[70]table_male_hkom1_inj.ill_X3!$A$1:$K$36,14,FALSE),0)</f>
        <v>0</v>
      </c>
      <c r="H2296">
        <f>IFERROR(HLOOKUP(H$2,[70]table_male_hkom1_inj.ill_X3!$A$1:$K$36,14,FALSE),0)</f>
        <v>0</v>
      </c>
      <c r="I2296">
        <f>IFERROR(HLOOKUP(I$2,[70]table_male_hkom1_inj.ill_X3!$A$1:$K$36,14,FALSE),0)</f>
        <v>0</v>
      </c>
      <c r="J2296">
        <f>IFERROR(HLOOKUP(J$2,[70]table_male_hkom1_inj.ill_X3!$A$1:$K$36,14,FALSE),0)</f>
        <v>0</v>
      </c>
      <c r="K2296">
        <f>IFERROR(HLOOKUP(K$2,[70]table_male_hkom1_inj.ill_X3!$A$1:$K$36,14,FALSE),0)</f>
        <v>0</v>
      </c>
      <c r="L2296">
        <f>IFERROR(HLOOKUP(L$2,[70]table_male_hkom1_inj.ill_X3!$A$1:$K$36,14,FALSE),0)</f>
        <v>0</v>
      </c>
      <c r="M2296">
        <f t="shared" si="717"/>
        <v>0</v>
      </c>
      <c r="S2296" t="s">
        <v>82</v>
      </c>
      <c r="T2296" s="5">
        <f t="shared" si="718"/>
        <v>0</v>
      </c>
      <c r="U2296" s="5">
        <f t="shared" si="719"/>
        <v>0</v>
      </c>
      <c r="V2296" s="5">
        <f t="shared" si="720"/>
        <v>0</v>
      </c>
      <c r="W2296" s="5">
        <f t="shared" si="721"/>
        <v>0</v>
      </c>
      <c r="X2296" s="5">
        <f t="shared" si="722"/>
        <v>0</v>
      </c>
      <c r="Y2296" s="5">
        <f t="shared" si="723"/>
        <v>0</v>
      </c>
      <c r="Z2296" s="5">
        <f t="shared" si="724"/>
        <v>0</v>
      </c>
      <c r="AA2296" s="5">
        <f t="shared" si="725"/>
        <v>0</v>
      </c>
      <c r="AB2296" s="5">
        <f t="shared" si="715"/>
        <v>0</v>
      </c>
    </row>
    <row r="2297" spans="4:28" x14ac:dyDescent="0.25">
      <c r="D2297" t="s">
        <v>83</v>
      </c>
      <c r="E2297" s="14"/>
      <c r="F2297" s="14"/>
      <c r="G2297">
        <f>IFERROR(HLOOKUP(G$2,[70]table_male_hkom1_inj.ill_X3!$A$1:$K$36,15,FALSE),0)</f>
        <v>0</v>
      </c>
      <c r="H2297">
        <f>IFERROR(HLOOKUP(H$2,[70]table_male_hkom1_inj.ill_X3!$A$1:$K$36,15,FALSE),0)</f>
        <v>0</v>
      </c>
      <c r="I2297">
        <f>IFERROR(HLOOKUP(I$2,[70]table_male_hkom1_inj.ill_X3!$A$1:$K$36,15,FALSE),0)</f>
        <v>0</v>
      </c>
      <c r="J2297">
        <f>IFERROR(HLOOKUP(J$2,[70]table_male_hkom1_inj.ill_X3!$A$1:$K$36,15,FALSE),0)</f>
        <v>0</v>
      </c>
      <c r="K2297">
        <f>IFERROR(HLOOKUP(K$2,[70]table_male_hkom1_inj.ill_X3!$A$1:$K$36,15,FALSE),0)</f>
        <v>0</v>
      </c>
      <c r="L2297">
        <f>IFERROR(HLOOKUP(L$2,[70]table_male_hkom1_inj.ill_X3!$A$1:$K$36,15,FALSE),0)</f>
        <v>0</v>
      </c>
      <c r="M2297">
        <f t="shared" si="717"/>
        <v>0</v>
      </c>
      <c r="S2297" t="s">
        <v>83</v>
      </c>
      <c r="T2297" s="5">
        <f t="shared" si="718"/>
        <v>0</v>
      </c>
      <c r="U2297" s="5">
        <f t="shared" si="719"/>
        <v>0</v>
      </c>
      <c r="V2297" s="5">
        <f t="shared" si="720"/>
        <v>0</v>
      </c>
      <c r="W2297" s="5">
        <f t="shared" si="721"/>
        <v>0</v>
      </c>
      <c r="X2297" s="5">
        <f t="shared" si="722"/>
        <v>0</v>
      </c>
      <c r="Y2297" s="5">
        <f t="shared" si="723"/>
        <v>0</v>
      </c>
      <c r="Z2297" s="5">
        <f t="shared" si="724"/>
        <v>0</v>
      </c>
      <c r="AA2297" s="5">
        <f t="shared" si="725"/>
        <v>0</v>
      </c>
      <c r="AB2297" s="5">
        <f t="shared" si="715"/>
        <v>0</v>
      </c>
    </row>
    <row r="2298" spans="4:28" x14ac:dyDescent="0.25">
      <c r="D2298" t="s">
        <v>84</v>
      </c>
      <c r="E2298" s="14"/>
      <c r="F2298" s="14"/>
      <c r="G2298">
        <f>IFERROR(HLOOKUP(G$2,[70]table_male_hkom1_inj.ill_X3!$A$1:$K$36,16,FALSE),0)</f>
        <v>0</v>
      </c>
      <c r="H2298">
        <f>IFERROR(HLOOKUP(H$2,[70]table_male_hkom1_inj.ill_X3!$A$1:$K$36,16,FALSE),0)</f>
        <v>0</v>
      </c>
      <c r="I2298">
        <f>IFERROR(HLOOKUP(I$2,[70]table_male_hkom1_inj.ill_X3!$A$1:$K$36,16,FALSE),0)</f>
        <v>0</v>
      </c>
      <c r="J2298">
        <f>IFERROR(HLOOKUP(J$2,[70]table_male_hkom1_inj.ill_X3!$A$1:$K$36,16,FALSE),0)</f>
        <v>0</v>
      </c>
      <c r="K2298">
        <f>IFERROR(HLOOKUP(K$2,[70]table_male_hkom1_inj.ill_X3!$A$1:$K$36,16,FALSE),0)</f>
        <v>0</v>
      </c>
      <c r="L2298">
        <f>IFERROR(HLOOKUP(L$2,[70]table_male_hkom1_inj.ill_X3!$A$1:$K$36,16,FALSE),0)</f>
        <v>0</v>
      </c>
      <c r="M2298">
        <f t="shared" si="717"/>
        <v>0</v>
      </c>
      <c r="S2298" t="s">
        <v>84</v>
      </c>
      <c r="T2298" s="5">
        <f t="shared" si="718"/>
        <v>0</v>
      </c>
      <c r="U2298" s="5">
        <f t="shared" si="719"/>
        <v>0</v>
      </c>
      <c r="V2298" s="5">
        <f t="shared" si="720"/>
        <v>0</v>
      </c>
      <c r="W2298" s="5">
        <f t="shared" si="721"/>
        <v>0</v>
      </c>
      <c r="X2298" s="5">
        <f t="shared" si="722"/>
        <v>0</v>
      </c>
      <c r="Y2298" s="5">
        <f t="shared" si="723"/>
        <v>0</v>
      </c>
      <c r="Z2298" s="5">
        <f t="shared" si="724"/>
        <v>0</v>
      </c>
      <c r="AA2298" s="5">
        <f t="shared" si="725"/>
        <v>0</v>
      </c>
      <c r="AB2298" s="5">
        <f t="shared" si="715"/>
        <v>0</v>
      </c>
    </row>
    <row r="2299" spans="4:28" x14ac:dyDescent="0.25">
      <c r="D2299" t="s">
        <v>85</v>
      </c>
      <c r="E2299" s="14"/>
      <c r="F2299" s="14"/>
      <c r="G2299">
        <f>IFERROR(HLOOKUP(G$2,[70]table_male_hkom1_inj.ill_X3!$A$1:$K$36,17,FALSE),0)</f>
        <v>0</v>
      </c>
      <c r="H2299">
        <f>IFERROR(HLOOKUP(H$2,[70]table_male_hkom1_inj.ill_X3!$A$1:$K$36,17,FALSE),0)</f>
        <v>0</v>
      </c>
      <c r="I2299">
        <f>IFERROR(HLOOKUP(I$2,[70]table_male_hkom1_inj.ill_X3!$A$1:$K$36,17,FALSE),0)</f>
        <v>0</v>
      </c>
      <c r="J2299">
        <f>IFERROR(HLOOKUP(J$2,[70]table_male_hkom1_inj.ill_X3!$A$1:$K$36,17,FALSE),0)</f>
        <v>0</v>
      </c>
      <c r="K2299">
        <f>IFERROR(HLOOKUP(K$2,[70]table_male_hkom1_inj.ill_X3!$A$1:$K$36,17,FALSE),0)</f>
        <v>0</v>
      </c>
      <c r="L2299">
        <f>IFERROR(HLOOKUP(L$2,[70]table_male_hkom1_inj.ill_X3!$A$1:$K$36,17,FALSE),0)</f>
        <v>0</v>
      </c>
      <c r="M2299">
        <f t="shared" si="717"/>
        <v>0</v>
      </c>
      <c r="S2299" t="s">
        <v>85</v>
      </c>
      <c r="T2299" s="5">
        <f t="shared" si="718"/>
        <v>0</v>
      </c>
      <c r="U2299" s="5">
        <f t="shared" si="719"/>
        <v>0</v>
      </c>
      <c r="V2299" s="5">
        <f t="shared" si="720"/>
        <v>0</v>
      </c>
      <c r="W2299" s="5">
        <f t="shared" si="721"/>
        <v>0</v>
      </c>
      <c r="X2299" s="5">
        <f t="shared" si="722"/>
        <v>0</v>
      </c>
      <c r="Y2299" s="5">
        <f t="shared" si="723"/>
        <v>0</v>
      </c>
      <c r="Z2299" s="5">
        <f t="shared" si="724"/>
        <v>0</v>
      </c>
      <c r="AA2299" s="5">
        <f t="shared" si="725"/>
        <v>0</v>
      </c>
      <c r="AB2299" s="5">
        <f t="shared" si="715"/>
        <v>0</v>
      </c>
    </row>
    <row r="2300" spans="4:28" x14ac:dyDescent="0.25">
      <c r="D2300" t="s">
        <v>86</v>
      </c>
      <c r="E2300" s="14"/>
      <c r="F2300" s="14"/>
      <c r="G2300">
        <f>IFERROR(HLOOKUP(G$2,[70]table_male_hkom1_inj.ill_X3!$A$1:$K$36,18,FALSE),0)</f>
        <v>1</v>
      </c>
      <c r="H2300">
        <f>IFERROR(HLOOKUP(H$2,[70]table_male_hkom1_inj.ill_X3!$A$1:$K$36,18,FALSE),0)</f>
        <v>2</v>
      </c>
      <c r="I2300">
        <f>IFERROR(HLOOKUP(I$2,[70]table_male_hkom1_inj.ill_X3!$A$1:$K$36,18,FALSE),0)</f>
        <v>0</v>
      </c>
      <c r="J2300">
        <f>IFERROR(HLOOKUP(J$2,[70]table_male_hkom1_inj.ill_X3!$A$1:$K$36,18,FALSE),0)</f>
        <v>0</v>
      </c>
      <c r="K2300">
        <f>IFERROR(HLOOKUP(K$2,[70]table_male_hkom1_inj.ill_X3!$A$1:$K$36,18,FALSE),0)</f>
        <v>0</v>
      </c>
      <c r="L2300">
        <f>IFERROR(HLOOKUP(L$2,[70]table_male_hkom1_inj.ill_X3!$A$1:$K$36,18,FALSE),0)</f>
        <v>0</v>
      </c>
      <c r="M2300">
        <f t="shared" si="717"/>
        <v>3</v>
      </c>
      <c r="S2300" t="s">
        <v>86</v>
      </c>
      <c r="T2300" s="5">
        <f t="shared" si="718"/>
        <v>0</v>
      </c>
      <c r="U2300" s="5">
        <f t="shared" si="719"/>
        <v>0</v>
      </c>
      <c r="V2300" s="5">
        <f t="shared" si="720"/>
        <v>2.5454545454545454</v>
      </c>
      <c r="W2300" s="5">
        <f t="shared" si="721"/>
        <v>2.8205128205128203</v>
      </c>
      <c r="X2300" s="5">
        <f t="shared" si="722"/>
        <v>0</v>
      </c>
      <c r="Y2300" s="5">
        <f t="shared" si="723"/>
        <v>0</v>
      </c>
      <c r="Z2300" s="5">
        <f t="shared" si="724"/>
        <v>0</v>
      </c>
      <c r="AA2300" s="5">
        <f t="shared" si="725"/>
        <v>0</v>
      </c>
      <c r="AB2300" s="5">
        <f t="shared" si="715"/>
        <v>5.3659673659673661</v>
      </c>
    </row>
    <row r="2301" spans="4:28" x14ac:dyDescent="0.25">
      <c r="D2301" t="s">
        <v>87</v>
      </c>
      <c r="E2301" s="14"/>
      <c r="F2301" s="14"/>
      <c r="G2301">
        <f>IFERROR(HLOOKUP(G$2,[70]table_male_hkom1_inj.ill_X3!$A$1:$K$36,19,FALSE),0)</f>
        <v>0</v>
      </c>
      <c r="H2301">
        <f>IFERROR(HLOOKUP(H$2,[70]table_male_hkom1_inj.ill_X3!$A$1:$K$36,19,FALSE),0)</f>
        <v>0</v>
      </c>
      <c r="I2301">
        <f>IFERROR(HLOOKUP(I$2,[70]table_male_hkom1_inj.ill_X3!$A$1:$K$36,19,FALSE),0)</f>
        <v>0</v>
      </c>
      <c r="J2301">
        <f>IFERROR(HLOOKUP(J$2,[70]table_male_hkom1_inj.ill_X3!$A$1:$K$36,19,FALSE),0)</f>
        <v>0</v>
      </c>
      <c r="K2301">
        <f>IFERROR(HLOOKUP(K$2,[70]table_male_hkom1_inj.ill_X3!$A$1:$K$36,19,FALSE),0)</f>
        <v>0</v>
      </c>
      <c r="L2301">
        <f>IFERROR(HLOOKUP(L$2,[70]table_male_hkom1_inj.ill_X3!$A$1:$K$36,19,FALSE),0)</f>
        <v>0</v>
      </c>
      <c r="M2301">
        <f t="shared" si="717"/>
        <v>0</v>
      </c>
      <c r="S2301" t="s">
        <v>87</v>
      </c>
      <c r="T2301" s="5">
        <f t="shared" si="718"/>
        <v>0</v>
      </c>
      <c r="U2301" s="5">
        <f t="shared" si="719"/>
        <v>0</v>
      </c>
      <c r="V2301" s="5">
        <f t="shared" si="720"/>
        <v>0</v>
      </c>
      <c r="W2301" s="5">
        <f t="shared" si="721"/>
        <v>0</v>
      </c>
      <c r="X2301" s="5">
        <f t="shared" si="722"/>
        <v>0</v>
      </c>
      <c r="Y2301" s="5">
        <f t="shared" si="723"/>
        <v>0</v>
      </c>
      <c r="Z2301" s="5">
        <f t="shared" si="724"/>
        <v>0</v>
      </c>
      <c r="AA2301" s="5">
        <f t="shared" si="725"/>
        <v>0</v>
      </c>
      <c r="AB2301" s="5">
        <f t="shared" si="715"/>
        <v>0</v>
      </c>
    </row>
    <row r="2302" spans="4:28" x14ac:dyDescent="0.25">
      <c r="D2302" t="s">
        <v>88</v>
      </c>
      <c r="E2302" s="14"/>
      <c r="F2302" s="14"/>
      <c r="G2302">
        <f>IFERROR(HLOOKUP(G$2,[70]table_male_hkom1_inj.ill_X3!$A$1:$K$36,20,FALSE),0)</f>
        <v>0</v>
      </c>
      <c r="H2302">
        <f>IFERROR(HLOOKUP(H$2,[70]table_male_hkom1_inj.ill_X3!$A$1:$K$36,20,FALSE),0)</f>
        <v>0</v>
      </c>
      <c r="I2302">
        <f>IFERROR(HLOOKUP(I$2,[70]table_male_hkom1_inj.ill_X3!$A$1:$K$36,20,FALSE),0)</f>
        <v>0</v>
      </c>
      <c r="J2302">
        <f>IFERROR(HLOOKUP(J$2,[70]table_male_hkom1_inj.ill_X3!$A$1:$K$36,20,FALSE),0)</f>
        <v>0</v>
      </c>
      <c r="K2302">
        <f>IFERROR(HLOOKUP(K$2,[70]table_male_hkom1_inj.ill_X3!$A$1:$K$36,20,FALSE),0)</f>
        <v>0</v>
      </c>
      <c r="L2302">
        <f>IFERROR(HLOOKUP(L$2,[70]table_male_hkom1_inj.ill_X3!$A$1:$K$36,20,FALSE),0)</f>
        <v>0</v>
      </c>
      <c r="M2302">
        <f t="shared" si="717"/>
        <v>0</v>
      </c>
      <c r="S2302" t="s">
        <v>88</v>
      </c>
      <c r="T2302" s="5">
        <f t="shared" si="718"/>
        <v>0</v>
      </c>
      <c r="U2302" s="5">
        <f t="shared" si="719"/>
        <v>0</v>
      </c>
      <c r="V2302" s="5">
        <f t="shared" si="720"/>
        <v>0</v>
      </c>
      <c r="W2302" s="5">
        <f t="shared" si="721"/>
        <v>0</v>
      </c>
      <c r="X2302" s="5">
        <f t="shared" si="722"/>
        <v>0</v>
      </c>
      <c r="Y2302" s="5">
        <f t="shared" si="723"/>
        <v>0</v>
      </c>
      <c r="Z2302" s="5">
        <f t="shared" si="724"/>
        <v>0</v>
      </c>
      <c r="AA2302" s="5">
        <f t="shared" si="725"/>
        <v>0</v>
      </c>
      <c r="AB2302" s="5">
        <f t="shared" si="715"/>
        <v>0</v>
      </c>
    </row>
    <row r="2303" spans="4:28" x14ac:dyDescent="0.25">
      <c r="D2303" t="s">
        <v>89</v>
      </c>
      <c r="E2303" s="14"/>
      <c r="F2303" s="14"/>
      <c r="G2303">
        <f>IFERROR(HLOOKUP(G$2,[70]table_male_hkom1_inj.ill_X3!$A$1:$K$36,21,FALSE),0)</f>
        <v>0</v>
      </c>
      <c r="H2303">
        <f>IFERROR(HLOOKUP(H$2,[70]table_male_hkom1_inj.ill_X3!$A$1:$K$36,21,FALSE),0)</f>
        <v>0</v>
      </c>
      <c r="I2303">
        <f>IFERROR(HLOOKUP(I$2,[70]table_male_hkom1_inj.ill_X3!$A$1:$K$36,21,FALSE),0)</f>
        <v>0</v>
      </c>
      <c r="J2303">
        <f>IFERROR(HLOOKUP(J$2,[70]table_male_hkom1_inj.ill_X3!$A$1:$K$36,21,FALSE),0)</f>
        <v>0</v>
      </c>
      <c r="K2303">
        <f>IFERROR(HLOOKUP(K$2,[70]table_male_hkom1_inj.ill_X3!$A$1:$K$36,21,FALSE),0)</f>
        <v>0</v>
      </c>
      <c r="L2303">
        <f>IFERROR(HLOOKUP(L$2,[70]table_male_hkom1_inj.ill_X3!$A$1:$K$36,21,FALSE),0)</f>
        <v>0</v>
      </c>
      <c r="M2303">
        <f t="shared" si="717"/>
        <v>0</v>
      </c>
      <c r="S2303" t="s">
        <v>89</v>
      </c>
      <c r="T2303" s="5">
        <f t="shared" si="718"/>
        <v>0</v>
      </c>
      <c r="U2303" s="5">
        <f t="shared" si="719"/>
        <v>0</v>
      </c>
      <c r="V2303" s="5">
        <f t="shared" si="720"/>
        <v>0</v>
      </c>
      <c r="W2303" s="5">
        <f t="shared" si="721"/>
        <v>0</v>
      </c>
      <c r="X2303" s="5">
        <f t="shared" si="722"/>
        <v>0</v>
      </c>
      <c r="Y2303" s="5">
        <f t="shared" si="723"/>
        <v>0</v>
      </c>
      <c r="Z2303" s="5">
        <f t="shared" si="724"/>
        <v>0</v>
      </c>
      <c r="AA2303" s="5">
        <f t="shared" si="725"/>
        <v>0</v>
      </c>
      <c r="AB2303" s="5">
        <f t="shared" si="715"/>
        <v>0</v>
      </c>
    </row>
    <row r="2304" spans="4:28" x14ac:dyDescent="0.25">
      <c r="D2304" t="s">
        <v>90</v>
      </c>
      <c r="E2304" s="14"/>
      <c r="F2304" s="14"/>
      <c r="G2304">
        <f>IFERROR(HLOOKUP(G$2,[70]table_male_hkom1_inj.ill_X3!$A$1:$K$36,22,FALSE),0)</f>
        <v>0</v>
      </c>
      <c r="H2304">
        <f>IFERROR(HLOOKUP(H$2,[70]table_male_hkom1_inj.ill_X3!$A$1:$K$36,22,FALSE),0)</f>
        <v>0</v>
      </c>
      <c r="I2304">
        <f>IFERROR(HLOOKUP(I$2,[70]table_male_hkom1_inj.ill_X3!$A$1:$K$36,22,FALSE),0)</f>
        <v>0</v>
      </c>
      <c r="J2304">
        <f>IFERROR(HLOOKUP(J$2,[70]table_male_hkom1_inj.ill_X3!$A$1:$K$36,22,FALSE),0)</f>
        <v>0</v>
      </c>
      <c r="K2304">
        <f>IFERROR(HLOOKUP(K$2,[70]table_male_hkom1_inj.ill_X3!$A$1:$K$36,22,FALSE),0)</f>
        <v>0</v>
      </c>
      <c r="L2304">
        <f>IFERROR(HLOOKUP(L$2,[70]table_male_hkom1_inj.ill_X3!$A$1:$K$36,22,FALSE),0)</f>
        <v>0</v>
      </c>
      <c r="M2304">
        <f t="shared" si="717"/>
        <v>0</v>
      </c>
      <c r="S2304" t="s">
        <v>90</v>
      </c>
      <c r="T2304" s="5">
        <f t="shared" si="718"/>
        <v>0</v>
      </c>
      <c r="U2304" s="5">
        <f t="shared" si="719"/>
        <v>0</v>
      </c>
      <c r="V2304" s="5">
        <f t="shared" si="720"/>
        <v>0</v>
      </c>
      <c r="W2304" s="5">
        <f t="shared" si="721"/>
        <v>0</v>
      </c>
      <c r="X2304" s="5">
        <f t="shared" si="722"/>
        <v>0</v>
      </c>
      <c r="Y2304" s="5">
        <f t="shared" si="723"/>
        <v>0</v>
      </c>
      <c r="Z2304" s="5">
        <f t="shared" si="724"/>
        <v>0</v>
      </c>
      <c r="AA2304" s="5">
        <f t="shared" si="725"/>
        <v>0</v>
      </c>
      <c r="AB2304" s="5">
        <f t="shared" si="715"/>
        <v>0</v>
      </c>
    </row>
    <row r="2305" spans="1:29" x14ac:dyDescent="0.25">
      <c r="D2305" t="s">
        <v>91</v>
      </c>
      <c r="E2305" s="14"/>
      <c r="F2305" s="14"/>
      <c r="G2305">
        <f>IFERROR(HLOOKUP(G$2,[70]table_male_hkom1_inj.ill_X3!$A$1:$K$36,23,FALSE),0)</f>
        <v>0</v>
      </c>
      <c r="H2305">
        <f>IFERROR(HLOOKUP(H$2,[70]table_male_hkom1_inj.ill_X3!$A$1:$K$36,23,FALSE),0)</f>
        <v>0</v>
      </c>
      <c r="I2305">
        <f>IFERROR(HLOOKUP(I$2,[70]table_male_hkom1_inj.ill_X3!$A$1:$K$36,23,FALSE),0)</f>
        <v>0</v>
      </c>
      <c r="J2305">
        <f>IFERROR(HLOOKUP(J$2,[70]table_male_hkom1_inj.ill_X3!$A$1:$K$36,23,FALSE),0)</f>
        <v>0</v>
      </c>
      <c r="K2305">
        <f>IFERROR(HLOOKUP(K$2,[70]table_male_hkom1_inj.ill_X3!$A$1:$K$36,23,FALSE),0)</f>
        <v>0</v>
      </c>
      <c r="L2305">
        <f>IFERROR(HLOOKUP(L$2,[70]table_male_hkom1_inj.ill_X3!$A$1:$K$36,23,FALSE),0)</f>
        <v>0</v>
      </c>
      <c r="M2305">
        <f t="shared" si="717"/>
        <v>0</v>
      </c>
      <c r="S2305" t="s">
        <v>91</v>
      </c>
      <c r="T2305" s="5">
        <f t="shared" si="718"/>
        <v>0</v>
      </c>
      <c r="U2305" s="5">
        <f t="shared" si="719"/>
        <v>0</v>
      </c>
      <c r="V2305" s="5">
        <f t="shared" si="720"/>
        <v>0</v>
      </c>
      <c r="W2305" s="5">
        <f t="shared" si="721"/>
        <v>0</v>
      </c>
      <c r="X2305" s="5">
        <f t="shared" si="722"/>
        <v>0</v>
      </c>
      <c r="Y2305" s="5">
        <f t="shared" si="723"/>
        <v>0</v>
      </c>
      <c r="Z2305" s="5">
        <f t="shared" si="724"/>
        <v>0</v>
      </c>
      <c r="AA2305" s="5">
        <f t="shared" si="725"/>
        <v>0</v>
      </c>
      <c r="AB2305" s="5">
        <f t="shared" si="715"/>
        <v>0</v>
      </c>
    </row>
    <row r="2306" spans="1:29" x14ac:dyDescent="0.25">
      <c r="D2306" t="s">
        <v>92</v>
      </c>
      <c r="E2306" s="14"/>
      <c r="F2306" s="14"/>
      <c r="G2306">
        <f>IFERROR(HLOOKUP(G$2,[70]table_male_hkom1_inj.ill_X3!$A$1:$K$36,24,FALSE),0)</f>
        <v>0</v>
      </c>
      <c r="H2306">
        <f>IFERROR(HLOOKUP(H$2,[70]table_male_hkom1_inj.ill_X3!$A$1:$K$36,24,FALSE),0)</f>
        <v>0</v>
      </c>
      <c r="I2306">
        <f>IFERROR(HLOOKUP(I$2,[70]table_male_hkom1_inj.ill_X3!$A$1:$K$36,24,FALSE),0)</f>
        <v>0</v>
      </c>
      <c r="J2306">
        <f>IFERROR(HLOOKUP(J$2,[70]table_male_hkom1_inj.ill_X3!$A$1:$K$36,24,FALSE),0)</f>
        <v>0</v>
      </c>
      <c r="K2306">
        <f>IFERROR(HLOOKUP(K$2,[70]table_male_hkom1_inj.ill_X3!$A$1:$K$36,24,FALSE),0)</f>
        <v>0</v>
      </c>
      <c r="L2306">
        <f>IFERROR(HLOOKUP(L$2,[70]table_male_hkom1_inj.ill_X3!$A$1:$K$36,24,FALSE),0)</f>
        <v>0</v>
      </c>
      <c r="M2306">
        <f t="shared" si="717"/>
        <v>0</v>
      </c>
      <c r="S2306" t="s">
        <v>92</v>
      </c>
      <c r="T2306" s="5">
        <f t="shared" si="718"/>
        <v>0</v>
      </c>
      <c r="U2306" s="5">
        <f t="shared" si="719"/>
        <v>0</v>
      </c>
      <c r="V2306" s="5">
        <f t="shared" si="720"/>
        <v>0</v>
      </c>
      <c r="W2306" s="5">
        <f t="shared" si="721"/>
        <v>0</v>
      </c>
      <c r="X2306" s="5">
        <f t="shared" si="722"/>
        <v>0</v>
      </c>
      <c r="Y2306" s="5">
        <f t="shared" si="723"/>
        <v>0</v>
      </c>
      <c r="Z2306" s="5">
        <f t="shared" si="724"/>
        <v>0</v>
      </c>
      <c r="AA2306" s="5">
        <f t="shared" si="725"/>
        <v>0</v>
      </c>
      <c r="AB2306" s="5">
        <f t="shared" si="715"/>
        <v>0</v>
      </c>
    </row>
    <row r="2307" spans="1:29" x14ac:dyDescent="0.25">
      <c r="D2307" t="s">
        <v>93</v>
      </c>
      <c r="E2307" s="14"/>
      <c r="F2307" s="14"/>
      <c r="G2307">
        <f>IFERROR(HLOOKUP(G$2,[70]table_male_hkom1_inj.ill_X3!$A$1:$K$36,25,FALSE),0)</f>
        <v>0</v>
      </c>
      <c r="H2307">
        <f>IFERROR(HLOOKUP(H$2,[70]table_male_hkom1_inj.ill_X3!$A$1:$K$36,25,FALSE),0)</f>
        <v>0</v>
      </c>
      <c r="I2307">
        <f>IFERROR(HLOOKUP(I$2,[70]table_male_hkom1_inj.ill_X3!$A$1:$K$36,25,FALSE),0)</f>
        <v>0</v>
      </c>
      <c r="J2307">
        <f>IFERROR(HLOOKUP(J$2,[70]table_male_hkom1_inj.ill_X3!$A$1:$K$36,25,FALSE),0)</f>
        <v>0</v>
      </c>
      <c r="K2307">
        <f>IFERROR(HLOOKUP(K$2,[70]table_male_hkom1_inj.ill_X3!$A$1:$K$36,25,FALSE),0)</f>
        <v>0</v>
      </c>
      <c r="L2307">
        <f>IFERROR(HLOOKUP(L$2,[70]table_male_hkom1_inj.ill_X3!$A$1:$K$36,25,FALSE),0)</f>
        <v>0</v>
      </c>
      <c r="M2307">
        <f t="shared" si="717"/>
        <v>0</v>
      </c>
      <c r="S2307" t="s">
        <v>93</v>
      </c>
      <c r="T2307" s="5">
        <f t="shared" si="718"/>
        <v>0</v>
      </c>
      <c r="U2307" s="5">
        <f t="shared" si="719"/>
        <v>0</v>
      </c>
      <c r="V2307" s="5">
        <f t="shared" si="720"/>
        <v>0</v>
      </c>
      <c r="W2307" s="5">
        <f t="shared" si="721"/>
        <v>0</v>
      </c>
      <c r="X2307" s="5">
        <f t="shared" si="722"/>
        <v>0</v>
      </c>
      <c r="Y2307" s="5">
        <f t="shared" si="723"/>
        <v>0</v>
      </c>
      <c r="Z2307" s="5">
        <f t="shared" si="724"/>
        <v>0</v>
      </c>
      <c r="AA2307" s="5">
        <f t="shared" si="725"/>
        <v>0</v>
      </c>
      <c r="AB2307" s="5">
        <f t="shared" si="715"/>
        <v>0</v>
      </c>
    </row>
    <row r="2308" spans="1:29" x14ac:dyDescent="0.25">
      <c r="D2308" t="s">
        <v>94</v>
      </c>
      <c r="E2308" s="14"/>
      <c r="F2308" s="14"/>
      <c r="G2308">
        <f>IFERROR(HLOOKUP(G$2,[70]table_male_hkom1_inj.ill_X3!$A$1:$K$36,26,FALSE),0)</f>
        <v>0</v>
      </c>
      <c r="H2308">
        <f>IFERROR(HLOOKUP(H$2,[70]table_male_hkom1_inj.ill_X3!$A$1:$K$36,26,FALSE),0)</f>
        <v>0</v>
      </c>
      <c r="I2308">
        <f>IFERROR(HLOOKUP(I$2,[70]table_male_hkom1_inj.ill_X3!$A$1:$K$36,26,FALSE),0)</f>
        <v>0</v>
      </c>
      <c r="J2308">
        <f>IFERROR(HLOOKUP(J$2,[70]table_male_hkom1_inj.ill_X3!$A$1:$K$36,26,FALSE),0)</f>
        <v>0</v>
      </c>
      <c r="K2308">
        <f>IFERROR(HLOOKUP(K$2,[70]table_male_hkom1_inj.ill_X3!$A$1:$K$36,26,FALSE),0)</f>
        <v>0</v>
      </c>
      <c r="L2308">
        <f>IFERROR(HLOOKUP(L$2,[70]table_male_hkom1_inj.ill_X3!$A$1:$K$36,26,FALSE),0)</f>
        <v>0</v>
      </c>
      <c r="M2308">
        <f t="shared" si="717"/>
        <v>0</v>
      </c>
      <c r="S2308" t="s">
        <v>94</v>
      </c>
      <c r="T2308" s="5">
        <f t="shared" si="718"/>
        <v>0</v>
      </c>
      <c r="U2308" s="5">
        <f t="shared" si="719"/>
        <v>0</v>
      </c>
      <c r="V2308" s="5">
        <f t="shared" si="720"/>
        <v>0</v>
      </c>
      <c r="W2308" s="5">
        <f t="shared" si="721"/>
        <v>0</v>
      </c>
      <c r="X2308" s="5">
        <f t="shared" si="722"/>
        <v>0</v>
      </c>
      <c r="Y2308" s="5">
        <f t="shared" si="723"/>
        <v>0</v>
      </c>
      <c r="Z2308" s="5">
        <f t="shared" si="724"/>
        <v>0</v>
      </c>
      <c r="AA2308" s="5">
        <f t="shared" si="725"/>
        <v>0</v>
      </c>
      <c r="AB2308" s="5">
        <f t="shared" si="715"/>
        <v>0</v>
      </c>
    </row>
    <row r="2309" spans="1:29" x14ac:dyDescent="0.25">
      <c r="D2309" t="s">
        <v>95</v>
      </c>
      <c r="E2309" s="14"/>
      <c r="F2309" s="14"/>
      <c r="G2309">
        <f>IFERROR(HLOOKUP(G$2,[70]table_male_hkom1_inj.ill_X3!$A$1:$K$36,27,FALSE),0)</f>
        <v>0</v>
      </c>
      <c r="H2309">
        <f>IFERROR(HLOOKUP(H$2,[70]table_male_hkom1_inj.ill_X3!$A$1:$K$36,27,FALSE),0)</f>
        <v>0</v>
      </c>
      <c r="I2309">
        <f>IFERROR(HLOOKUP(I$2,[70]table_male_hkom1_inj.ill_X3!$A$1:$K$36,27,FALSE),0)</f>
        <v>0</v>
      </c>
      <c r="J2309">
        <f>IFERROR(HLOOKUP(J$2,[70]table_male_hkom1_inj.ill_X3!$A$1:$K$36,27,FALSE),0)</f>
        <v>0</v>
      </c>
      <c r="K2309">
        <f>IFERROR(HLOOKUP(K$2,[70]table_male_hkom1_inj.ill_X3!$A$1:$K$36,27,FALSE),0)</f>
        <v>0</v>
      </c>
      <c r="L2309">
        <f>IFERROR(HLOOKUP(L$2,[70]table_male_hkom1_inj.ill_X3!$A$1:$K$36,27,FALSE),0)</f>
        <v>0</v>
      </c>
      <c r="M2309">
        <f t="shared" si="717"/>
        <v>0</v>
      </c>
      <c r="S2309" t="s">
        <v>95</v>
      </c>
      <c r="T2309" s="5">
        <f t="shared" si="718"/>
        <v>0</v>
      </c>
      <c r="U2309" s="5">
        <f t="shared" si="719"/>
        <v>0</v>
      </c>
      <c r="V2309" s="5">
        <f t="shared" si="720"/>
        <v>0</v>
      </c>
      <c r="W2309" s="5">
        <f t="shared" si="721"/>
        <v>0</v>
      </c>
      <c r="X2309" s="5">
        <f t="shared" si="722"/>
        <v>0</v>
      </c>
      <c r="Y2309" s="5">
        <f t="shared" si="723"/>
        <v>0</v>
      </c>
      <c r="Z2309" s="5">
        <f t="shared" si="724"/>
        <v>0</v>
      </c>
      <c r="AA2309" s="5">
        <f t="shared" si="725"/>
        <v>0</v>
      </c>
      <c r="AB2309" s="5">
        <f t="shared" si="715"/>
        <v>0</v>
      </c>
    </row>
    <row r="2310" spans="1:29" x14ac:dyDescent="0.25">
      <c r="D2310" t="s">
        <v>96</v>
      </c>
      <c r="E2310" s="14"/>
      <c r="F2310" s="14"/>
      <c r="G2310">
        <f>IFERROR(HLOOKUP(G$2,[70]table_male_hkom1_inj.ill_X3!$A$1:$K$36,28,FALSE),0)</f>
        <v>0</v>
      </c>
      <c r="H2310">
        <f>IFERROR(HLOOKUP(H$2,[70]table_male_hkom1_inj.ill_X3!$A$1:$K$36,28,FALSE),0)</f>
        <v>0</v>
      </c>
      <c r="I2310">
        <f>IFERROR(HLOOKUP(I$2,[70]table_male_hkom1_inj.ill_X3!$A$1:$K$36,28,FALSE),0)</f>
        <v>0</v>
      </c>
      <c r="J2310">
        <f>IFERROR(HLOOKUP(J$2,[70]table_male_hkom1_inj.ill_X3!$A$1:$K$36,28,FALSE),0)</f>
        <v>0</v>
      </c>
      <c r="K2310">
        <f>IFERROR(HLOOKUP(K$2,[70]table_male_hkom1_inj.ill_X3!$A$1:$K$36,28,FALSE),0)</f>
        <v>0</v>
      </c>
      <c r="L2310">
        <f>IFERROR(HLOOKUP(L$2,[70]table_male_hkom1_inj.ill_X3!$A$1:$K$36,28,FALSE),0)</f>
        <v>0</v>
      </c>
      <c r="M2310">
        <f t="shared" si="717"/>
        <v>0</v>
      </c>
      <c r="S2310" t="s">
        <v>96</v>
      </c>
      <c r="T2310" s="5">
        <f t="shared" si="718"/>
        <v>0</v>
      </c>
      <c r="U2310" s="5">
        <f t="shared" si="719"/>
        <v>0</v>
      </c>
      <c r="V2310" s="5">
        <f t="shared" si="720"/>
        <v>0</v>
      </c>
      <c r="W2310" s="5">
        <f t="shared" si="721"/>
        <v>0</v>
      </c>
      <c r="X2310" s="5">
        <f t="shared" si="722"/>
        <v>0</v>
      </c>
      <c r="Y2310" s="5">
        <f t="shared" si="723"/>
        <v>0</v>
      </c>
      <c r="Z2310" s="5">
        <f t="shared" si="724"/>
        <v>0</v>
      </c>
      <c r="AA2310" s="5">
        <f t="shared" si="725"/>
        <v>0</v>
      </c>
      <c r="AB2310" s="5">
        <f t="shared" si="715"/>
        <v>0</v>
      </c>
    </row>
    <row r="2311" spans="1:29" x14ac:dyDescent="0.25">
      <c r="D2311" t="s">
        <v>97</v>
      </c>
      <c r="E2311" s="14"/>
      <c r="F2311" s="14"/>
      <c r="G2311">
        <f>IFERROR(HLOOKUP(G$2,[70]table_male_hkom1_inj.ill_X3!$A$1:$K$36,29,FALSE),0)</f>
        <v>0</v>
      </c>
      <c r="H2311">
        <f>IFERROR(HLOOKUP(H$2,[70]table_male_hkom1_inj.ill_X3!$A$1:$K$36,29,FALSE),0)</f>
        <v>0</v>
      </c>
      <c r="I2311">
        <f>IFERROR(HLOOKUP(I$2,[70]table_male_hkom1_inj.ill_X3!$A$1:$K$36,29,FALSE),0)</f>
        <v>0</v>
      </c>
      <c r="J2311">
        <f>IFERROR(HLOOKUP(J$2,[70]table_male_hkom1_inj.ill_X3!$A$1:$K$36,29,FALSE),0)</f>
        <v>0</v>
      </c>
      <c r="K2311">
        <f>IFERROR(HLOOKUP(K$2,[70]table_male_hkom1_inj.ill_X3!$A$1:$K$36,29,FALSE),0)</f>
        <v>0</v>
      </c>
      <c r="L2311">
        <f>IFERROR(HLOOKUP(L$2,[70]table_male_hkom1_inj.ill_X3!$A$1:$K$36,29,FALSE),0)</f>
        <v>0</v>
      </c>
      <c r="M2311">
        <f t="shared" si="717"/>
        <v>0</v>
      </c>
      <c r="S2311" t="s">
        <v>97</v>
      </c>
      <c r="T2311" s="5">
        <f t="shared" si="718"/>
        <v>0</v>
      </c>
      <c r="U2311" s="5">
        <f t="shared" si="719"/>
        <v>0</v>
      </c>
      <c r="V2311" s="5">
        <f t="shared" si="720"/>
        <v>0</v>
      </c>
      <c r="W2311" s="5">
        <f t="shared" si="721"/>
        <v>0</v>
      </c>
      <c r="X2311" s="5">
        <f t="shared" si="722"/>
        <v>0</v>
      </c>
      <c r="Y2311" s="5">
        <f t="shared" si="723"/>
        <v>0</v>
      </c>
      <c r="Z2311" s="5">
        <f t="shared" si="724"/>
        <v>0</v>
      </c>
      <c r="AA2311" s="5">
        <f t="shared" si="725"/>
        <v>0</v>
      </c>
      <c r="AB2311" s="5">
        <f t="shared" si="715"/>
        <v>0</v>
      </c>
    </row>
    <row r="2312" spans="1:29" x14ac:dyDescent="0.25">
      <c r="D2312" t="s">
        <v>98</v>
      </c>
      <c r="E2312" s="14"/>
      <c r="F2312" s="14"/>
      <c r="G2312">
        <f>IFERROR(HLOOKUP(G$2,[70]table_male_hkom1_inj.ill_X3!$A$1:$K$36,30,FALSE),0)</f>
        <v>0</v>
      </c>
      <c r="H2312">
        <f>IFERROR(HLOOKUP(H$2,[70]table_male_hkom1_inj.ill_X3!$A$1:$K$36,30,FALSE),0)</f>
        <v>0</v>
      </c>
      <c r="I2312">
        <f>IFERROR(HLOOKUP(I$2,[70]table_male_hkom1_inj.ill_X3!$A$1:$K$36,30,FALSE),0)</f>
        <v>0</v>
      </c>
      <c r="J2312">
        <f>IFERROR(HLOOKUP(J$2,[70]table_male_hkom1_inj.ill_X3!$A$1:$K$36,30,FALSE),0)</f>
        <v>0</v>
      </c>
      <c r="K2312">
        <f>IFERROR(HLOOKUP(K$2,[70]table_male_hkom1_inj.ill_X3!$A$1:$K$36,30,FALSE),0)</f>
        <v>0</v>
      </c>
      <c r="L2312">
        <f>IFERROR(HLOOKUP(L$2,[70]table_male_hkom1_inj.ill_X3!$A$1:$K$36,30,FALSE),0)</f>
        <v>0</v>
      </c>
      <c r="M2312">
        <f t="shared" si="717"/>
        <v>0</v>
      </c>
      <c r="S2312" t="s">
        <v>98</v>
      </c>
      <c r="T2312" s="5">
        <f t="shared" si="718"/>
        <v>0</v>
      </c>
      <c r="U2312" s="5">
        <f t="shared" si="719"/>
        <v>0</v>
      </c>
      <c r="V2312" s="5">
        <f t="shared" si="720"/>
        <v>0</v>
      </c>
      <c r="W2312" s="5">
        <f t="shared" si="721"/>
        <v>0</v>
      </c>
      <c r="X2312" s="5">
        <f t="shared" si="722"/>
        <v>0</v>
      </c>
      <c r="Y2312" s="5">
        <f t="shared" si="723"/>
        <v>0</v>
      </c>
      <c r="Z2312" s="5">
        <f t="shared" si="724"/>
        <v>0</v>
      </c>
      <c r="AA2312" s="5">
        <f t="shared" si="725"/>
        <v>0</v>
      </c>
      <c r="AB2312" s="5">
        <f t="shared" si="715"/>
        <v>0</v>
      </c>
    </row>
    <row r="2313" spans="1:29" x14ac:dyDescent="0.25">
      <c r="D2313" t="s">
        <v>119</v>
      </c>
      <c r="E2313" s="14"/>
      <c r="F2313" s="14"/>
      <c r="G2313">
        <f>IFERROR(HLOOKUP(G$2,[70]table_male_hkom1_inj.ill_X3!$A$1:$K$36,31,FALSE),0)</f>
        <v>0</v>
      </c>
      <c r="H2313">
        <f>IFERROR(HLOOKUP(H$2,[70]table_male_hkom1_inj.ill_X3!$A$1:$K$36,31,FALSE),0)</f>
        <v>0</v>
      </c>
      <c r="I2313">
        <f>IFERROR(HLOOKUP(I$2,[70]table_male_hkom1_inj.ill_X3!$A$1:$K$36,31,FALSE),0)</f>
        <v>0</v>
      </c>
      <c r="J2313">
        <f>IFERROR(HLOOKUP(J$2,[70]table_male_hkom1_inj.ill_X3!$A$1:$K$36,31,FALSE),0)</f>
        <v>0</v>
      </c>
      <c r="K2313">
        <f>IFERROR(HLOOKUP(K$2,[70]table_male_hkom1_inj.ill_X3!$A$1:$K$36,31,FALSE),0)</f>
        <v>0</v>
      </c>
      <c r="L2313">
        <f>IFERROR(HLOOKUP(L$2,[70]table_male_hkom1_inj.ill_X3!$A$1:$K$36,31,FALSE),0)</f>
        <v>0</v>
      </c>
      <c r="M2313">
        <f t="shared" si="717"/>
        <v>0</v>
      </c>
      <c r="S2313" t="s">
        <v>119</v>
      </c>
      <c r="T2313" s="5">
        <f t="shared" si="718"/>
        <v>0</v>
      </c>
      <c r="U2313" s="5">
        <f t="shared" si="719"/>
        <v>0</v>
      </c>
      <c r="V2313" s="5">
        <f t="shared" si="720"/>
        <v>0</v>
      </c>
      <c r="W2313" s="5">
        <f t="shared" si="721"/>
        <v>0</v>
      </c>
      <c r="X2313" s="5">
        <f t="shared" si="722"/>
        <v>0</v>
      </c>
      <c r="Y2313" s="5">
        <f t="shared" si="723"/>
        <v>0</v>
      </c>
      <c r="Z2313" s="5">
        <f t="shared" si="724"/>
        <v>0</v>
      </c>
      <c r="AA2313" s="5">
        <f t="shared" si="725"/>
        <v>0</v>
      </c>
      <c r="AB2313" s="5">
        <f t="shared" si="715"/>
        <v>0</v>
      </c>
    </row>
    <row r="2314" spans="1:29" x14ac:dyDescent="0.25">
      <c r="D2314" t="s">
        <v>99</v>
      </c>
      <c r="E2314" s="14"/>
      <c r="F2314" s="14"/>
      <c r="G2314">
        <f>IFERROR(HLOOKUP(G$2,[70]table_male_hkom1_inj.ill_X3!$A$1:$K$36,32,FALSE),0)</f>
        <v>0</v>
      </c>
      <c r="H2314">
        <f>IFERROR(HLOOKUP(H$2,[70]table_male_hkom1_inj.ill_X3!$A$1:$K$36,32,FALSE),0)</f>
        <v>0</v>
      </c>
      <c r="I2314">
        <f>IFERROR(HLOOKUP(I$2,[70]table_male_hkom1_inj.ill_X3!$A$1:$K$36,32,FALSE),0)</f>
        <v>0</v>
      </c>
      <c r="J2314">
        <f>IFERROR(HLOOKUP(J$2,[70]table_male_hkom1_inj.ill_X3!$A$1:$K$36,32,FALSE),0)</f>
        <v>0</v>
      </c>
      <c r="K2314">
        <f>IFERROR(HLOOKUP(K$2,[70]table_male_hkom1_inj.ill_X3!$A$1:$K$36,32,FALSE),0)</f>
        <v>0</v>
      </c>
      <c r="L2314">
        <f>IFERROR(HLOOKUP(L$2,[70]table_male_hkom1_inj.ill_X3!$A$1:$K$36,32,FALSE),0)</f>
        <v>0</v>
      </c>
      <c r="M2314">
        <f t="shared" si="717"/>
        <v>0</v>
      </c>
      <c r="S2314" t="s">
        <v>99</v>
      </c>
      <c r="T2314" s="5">
        <f t="shared" si="718"/>
        <v>0</v>
      </c>
      <c r="U2314" s="5">
        <f t="shared" si="719"/>
        <v>0</v>
      </c>
      <c r="V2314" s="5">
        <f t="shared" si="720"/>
        <v>0</v>
      </c>
      <c r="W2314" s="5">
        <f t="shared" si="721"/>
        <v>0</v>
      </c>
      <c r="X2314" s="5">
        <f t="shared" si="722"/>
        <v>0</v>
      </c>
      <c r="Y2314" s="5">
        <f t="shared" si="723"/>
        <v>0</v>
      </c>
      <c r="Z2314" s="5">
        <f t="shared" si="724"/>
        <v>0</v>
      </c>
      <c r="AA2314" s="5">
        <f t="shared" si="725"/>
        <v>0</v>
      </c>
      <c r="AB2314" s="5">
        <f t="shared" si="715"/>
        <v>0</v>
      </c>
    </row>
    <row r="2315" spans="1:29" x14ac:dyDescent="0.25">
      <c r="D2315" t="s">
        <v>100</v>
      </c>
      <c r="E2315" s="14"/>
      <c r="F2315" s="14"/>
      <c r="G2315">
        <f>IFERROR(HLOOKUP(G$2,[70]table_male_hkom1_inj.ill_X3!$A$1:$K$36,33,FALSE),0)</f>
        <v>10</v>
      </c>
      <c r="H2315">
        <f>IFERROR(HLOOKUP(H$2,[70]table_male_hkom1_inj.ill_X3!$A$1:$K$36,33,FALSE),0)</f>
        <v>37</v>
      </c>
      <c r="I2315">
        <f>IFERROR(HLOOKUP(I$2,[70]table_male_hkom1_inj.ill_X3!$A$1:$K$36,33,FALSE),0)</f>
        <v>13</v>
      </c>
      <c r="J2315">
        <f>IFERROR(HLOOKUP(J$2,[70]table_male_hkom1_inj.ill_X3!$A$1:$K$36,33,FALSE),0)</f>
        <v>0</v>
      </c>
      <c r="K2315">
        <f>IFERROR(HLOOKUP(K$2,[70]table_male_hkom1_inj.ill_X3!$A$1:$K$36,33,FALSE),0)</f>
        <v>0</v>
      </c>
      <c r="L2315">
        <f>IFERROR(HLOOKUP(L$2,[70]table_male_hkom1_inj.ill_X3!$A$1:$K$36,33,FALSE),0)</f>
        <v>0</v>
      </c>
      <c r="M2315">
        <f t="shared" si="717"/>
        <v>60</v>
      </c>
      <c r="S2315" t="s">
        <v>100</v>
      </c>
      <c r="T2315" s="5">
        <f t="shared" si="718"/>
        <v>0</v>
      </c>
      <c r="U2315" s="5">
        <f t="shared" si="719"/>
        <v>0</v>
      </c>
      <c r="V2315" s="5">
        <f t="shared" si="720"/>
        <v>25.454545454545453</v>
      </c>
      <c r="W2315" s="5">
        <f t="shared" si="721"/>
        <v>52.179487179487182</v>
      </c>
      <c r="X2315" s="5">
        <f t="shared" si="722"/>
        <v>24.142857142857142</v>
      </c>
      <c r="Y2315" s="5">
        <f t="shared" si="723"/>
        <v>0</v>
      </c>
      <c r="Z2315" s="5">
        <f t="shared" si="724"/>
        <v>0</v>
      </c>
      <c r="AA2315" s="5">
        <f t="shared" si="725"/>
        <v>0</v>
      </c>
      <c r="AB2315" s="5">
        <f t="shared" si="715"/>
        <v>101.77688977688977</v>
      </c>
    </row>
    <row r="2316" spans="1:29" x14ac:dyDescent="0.25">
      <c r="D2316" t="s">
        <v>101</v>
      </c>
      <c r="E2316" s="14"/>
      <c r="F2316" s="14"/>
      <c r="G2316">
        <f>IFERROR(HLOOKUP(G$2,[70]table_male_hkom1_inj.ill_X3!$A$1:$K$36,34,FALSE),0)</f>
        <v>0</v>
      </c>
      <c r="H2316">
        <f>IFERROR(HLOOKUP(H$2,[70]table_male_hkom1_inj.ill_X3!$A$1:$K$36,34,FALSE),0)</f>
        <v>0</v>
      </c>
      <c r="I2316">
        <f>IFERROR(HLOOKUP(I$2,[70]table_male_hkom1_inj.ill_X3!$A$1:$K$36,34,FALSE),0)</f>
        <v>0</v>
      </c>
      <c r="J2316">
        <f>IFERROR(HLOOKUP(J$2,[70]table_male_hkom1_inj.ill_X3!$A$1:$K$36,34,FALSE),0)</f>
        <v>0</v>
      </c>
      <c r="K2316">
        <f>IFERROR(HLOOKUP(K$2,[70]table_male_hkom1_inj.ill_X3!$A$1:$K$36,34,FALSE),0)</f>
        <v>0</v>
      </c>
      <c r="L2316">
        <f>IFERROR(HLOOKUP(L$2,[70]table_male_hkom1_inj.ill_X3!$A$1:$K$36,34,FALSE),0)</f>
        <v>0</v>
      </c>
      <c r="M2316">
        <f t="shared" si="717"/>
        <v>0</v>
      </c>
      <c r="S2316" t="s">
        <v>101</v>
      </c>
      <c r="T2316" s="5">
        <f t="shared" si="718"/>
        <v>0</v>
      </c>
      <c r="U2316" s="5">
        <f t="shared" si="719"/>
        <v>0</v>
      </c>
      <c r="V2316" s="5">
        <f t="shared" si="720"/>
        <v>0</v>
      </c>
      <c r="W2316" s="5">
        <f t="shared" si="721"/>
        <v>0</v>
      </c>
      <c r="X2316" s="5">
        <f t="shared" si="722"/>
        <v>0</v>
      </c>
      <c r="Y2316" s="5">
        <f t="shared" si="723"/>
        <v>0</v>
      </c>
      <c r="Z2316" s="5">
        <f t="shared" si="724"/>
        <v>0</v>
      </c>
      <c r="AA2316" s="5">
        <f t="shared" si="725"/>
        <v>0</v>
      </c>
      <c r="AB2316" s="5">
        <f t="shared" si="715"/>
        <v>0</v>
      </c>
    </row>
    <row r="2317" spans="1:29" x14ac:dyDescent="0.25">
      <c r="D2317" t="s">
        <v>102</v>
      </c>
      <c r="E2317" s="14"/>
      <c r="F2317" s="14"/>
      <c r="G2317">
        <f>IFERROR(HLOOKUP(G$2,[70]table_male_hkom1_inj.ill_X3!$A$1:$K$36,35,FALSE),0)</f>
        <v>17</v>
      </c>
      <c r="H2317">
        <f>IFERROR(HLOOKUP(H$2,[70]table_male_hkom1_inj.ill_X3!$A$1:$K$36,35,FALSE),0)</f>
        <v>16</v>
      </c>
      <c r="I2317">
        <f>IFERROR(HLOOKUP(I$2,[70]table_male_hkom1_inj.ill_X3!$A$1:$K$36,35,FALSE),0)</f>
        <v>12</v>
      </c>
      <c r="J2317">
        <f>IFERROR(HLOOKUP(J$2,[70]table_male_hkom1_inj.ill_X3!$A$1:$K$36,35,FALSE),0)</f>
        <v>0</v>
      </c>
      <c r="K2317">
        <f>IFERROR(HLOOKUP(K$2,[70]table_male_hkom1_inj.ill_X3!$A$1:$K$36,35,FALSE),0)</f>
        <v>0</v>
      </c>
      <c r="L2317">
        <f>IFERROR(HLOOKUP(L$2,[70]table_male_hkom1_inj.ill_X3!$A$1:$K$36,35,FALSE),0)</f>
        <v>0</v>
      </c>
      <c r="M2317">
        <f t="shared" si="717"/>
        <v>45</v>
      </c>
      <c r="N2317">
        <f>SUM(M2284:M2317)</f>
        <v>109</v>
      </c>
      <c r="O2317" s="8">
        <f>SUM([70]table_male_hkom1_inj.ill_X3!$B$2:$L$37)</f>
        <v>109</v>
      </c>
      <c r="S2317" t="s">
        <v>102</v>
      </c>
      <c r="T2317" s="7"/>
      <c r="U2317" s="7"/>
      <c r="V2317" s="7"/>
      <c r="W2317" s="7"/>
      <c r="X2317" s="7"/>
      <c r="Y2317" s="7"/>
      <c r="Z2317" s="7"/>
      <c r="AA2317" s="7"/>
      <c r="AB2317" s="6">
        <f t="shared" si="715"/>
        <v>0</v>
      </c>
      <c r="AC2317" s="5">
        <f>SUM(AB2284:AB2316)</f>
        <v>109</v>
      </c>
    </row>
    <row r="2318" spans="1:29" x14ac:dyDescent="0.25">
      <c r="A2318" t="s">
        <v>104</v>
      </c>
      <c r="B2318" t="s">
        <v>103</v>
      </c>
      <c r="C2318" t="s">
        <v>126</v>
      </c>
      <c r="D2318" t="s">
        <v>70</v>
      </c>
      <c r="E2318" s="14"/>
      <c r="F2318" s="14"/>
      <c r="G2318">
        <f>IFERROR(HLOOKUP(G$2,[71]table_male_hkom1_inj.ill_X4!$A$1:$K$36,2,FALSE),0)</f>
        <v>0</v>
      </c>
      <c r="H2318">
        <f>IFERROR(HLOOKUP(H$2,[71]table_male_hkom1_inj.ill_X4!$A$1:$K$36,2,FALSE),0)</f>
        <v>0</v>
      </c>
      <c r="I2318">
        <f>IFERROR(HLOOKUP(I$2,[71]table_male_hkom1_inj.ill_X4!$A$1:$K$36,2,FALSE),0)</f>
        <v>0</v>
      </c>
      <c r="J2318">
        <f>IFERROR(HLOOKUP(J$2,[71]table_male_hkom1_inj.ill_X4!$A$1:$K$36,2,FALSE),0)</f>
        <v>0</v>
      </c>
      <c r="K2318">
        <f>IFERROR(HLOOKUP(K$2,[71]table_male_hkom1_inj.ill_X4!$A$1:$K$36,2,FALSE),0)</f>
        <v>0</v>
      </c>
      <c r="L2318">
        <f>IFERROR(HLOOKUP(L$2,[71]table_male_hkom1_inj.ill_X4!$A$1:$K$36,2,FALSE),0)</f>
        <v>0</v>
      </c>
      <c r="M2318">
        <f>SUM(E2318:L2318)</f>
        <v>0</v>
      </c>
      <c r="P2318" t="s">
        <v>104</v>
      </c>
      <c r="Q2318" t="s">
        <v>103</v>
      </c>
      <c r="R2318" t="s">
        <v>126</v>
      </c>
      <c r="S2318" t="s">
        <v>70</v>
      </c>
      <c r="T2318" s="5">
        <f>IF(SUM(E$2318:E$2350)=0,E$2351/33,E2318+IFERROR(E2318/SUM(E$2318:E$2350)*E$2351,0))</f>
        <v>0</v>
      </c>
      <c r="U2318" s="5">
        <f t="shared" ref="U2318:AA2318" si="726">IF(SUM(F$2318:F$2350)=0,F$2351/33,F2318+IFERROR(F2318/SUM(F$2318:F$2350)*F$2351,0))</f>
        <v>0</v>
      </c>
      <c r="V2318" s="5">
        <f t="shared" si="726"/>
        <v>0</v>
      </c>
      <c r="W2318" s="5">
        <f t="shared" si="726"/>
        <v>0</v>
      </c>
      <c r="X2318" s="5">
        <f t="shared" si="726"/>
        <v>0</v>
      </c>
      <c r="Y2318" s="5">
        <f t="shared" si="726"/>
        <v>0</v>
      </c>
      <c r="Z2318" s="5">
        <f t="shared" si="726"/>
        <v>0</v>
      </c>
      <c r="AA2318" s="5">
        <f t="shared" si="726"/>
        <v>0</v>
      </c>
      <c r="AB2318" s="5">
        <f t="shared" si="715"/>
        <v>0</v>
      </c>
    </row>
    <row r="2319" spans="1:29" x14ac:dyDescent="0.25">
      <c r="D2319" t="s">
        <v>71</v>
      </c>
      <c r="E2319" s="14"/>
      <c r="F2319" s="14"/>
      <c r="G2319">
        <f>IFERROR(HLOOKUP(G$2,[71]table_male_hkom1_inj.ill_X4!$A$1:$K$36,3,FALSE),0)</f>
        <v>0</v>
      </c>
      <c r="H2319">
        <f>IFERROR(HLOOKUP(H$2,[71]table_male_hkom1_inj.ill_X4!$A$1:$K$36,3,FALSE),0)</f>
        <v>0</v>
      </c>
      <c r="I2319">
        <f>IFERROR(HLOOKUP(I$2,[71]table_male_hkom1_inj.ill_X4!$A$1:$K$36,3,FALSE),0)</f>
        <v>0</v>
      </c>
      <c r="J2319">
        <f>IFERROR(HLOOKUP(J$2,[71]table_male_hkom1_inj.ill_X4!$A$1:$K$36,3,FALSE),0)</f>
        <v>0</v>
      </c>
      <c r="K2319">
        <f>IFERROR(HLOOKUP(K$2,[71]table_male_hkom1_inj.ill_X4!$A$1:$K$36,3,FALSE),0)</f>
        <v>0</v>
      </c>
      <c r="L2319">
        <f>IFERROR(HLOOKUP(L$2,[71]table_male_hkom1_inj.ill_X4!$A$1:$K$36,3,FALSE),0)</f>
        <v>0</v>
      </c>
      <c r="M2319">
        <f t="shared" ref="M2319:M2351" si="727">SUM(E2319:L2319)</f>
        <v>0</v>
      </c>
      <c r="S2319" t="s">
        <v>71</v>
      </c>
      <c r="T2319" s="5">
        <f t="shared" ref="T2319:T2350" si="728">IF(SUM(E$2318:E$2350)=0,E$2351/33,E2319+IFERROR(E2319/SUM(E$2318:E$2350)*E$2351,0))</f>
        <v>0</v>
      </c>
      <c r="U2319" s="5">
        <f t="shared" ref="U2319:U2350" si="729">IF(SUM(F$2318:F$2350)=0,F$2351/33,F2319+IFERROR(F2319/SUM(F$2318:F$2350)*F$2351,0))</f>
        <v>0</v>
      </c>
      <c r="V2319" s="5">
        <f t="shared" ref="V2319:V2350" si="730">IF(SUM(G$2318:G$2350)=0,G$2351/33,G2319+IFERROR(G2319/SUM(G$2318:G$2350)*G$2351,0))</f>
        <v>0</v>
      </c>
      <c r="W2319" s="5">
        <f t="shared" ref="W2319:W2350" si="731">IF(SUM(H$2318:H$2350)=0,H$2351/33,H2319+IFERROR(H2319/SUM(H$2318:H$2350)*H$2351,0))</f>
        <v>0</v>
      </c>
      <c r="X2319" s="5">
        <f t="shared" ref="X2319:X2350" si="732">IF(SUM(I$2318:I$2350)=0,I$2351/33,I2319+IFERROR(I2319/SUM(I$2318:I$2350)*I$2351,0))</f>
        <v>0</v>
      </c>
      <c r="Y2319" s="5">
        <f t="shared" ref="Y2319:Y2350" si="733">IF(SUM(J$2318:J$2350)=0,J$2351/33,J2319+IFERROR(J2319/SUM(J$2318:J$2350)*J$2351,0))</f>
        <v>0</v>
      </c>
      <c r="Z2319" s="5">
        <f t="shared" ref="Z2319:Z2350" si="734">IF(SUM(K$2318:K$2350)=0,K$2351/33,K2319+IFERROR(K2319/SUM(K$2318:K$2350)*K$2351,0))</f>
        <v>0</v>
      </c>
      <c r="AA2319" s="5">
        <f t="shared" ref="AA2319:AA2350" si="735">IF(SUM(L$2318:L$2350)=0,L$2351/33,L2319+IFERROR(L2319/SUM(L$2318:L$2350)*L$2351,0))</f>
        <v>0</v>
      </c>
      <c r="AB2319" s="5">
        <f t="shared" si="715"/>
        <v>0</v>
      </c>
    </row>
    <row r="2320" spans="1:29" x14ac:dyDescent="0.25">
      <c r="D2320" t="s">
        <v>72</v>
      </c>
      <c r="E2320" s="14"/>
      <c r="F2320" s="14"/>
      <c r="G2320">
        <f>IFERROR(HLOOKUP(G$2,[71]table_male_hkom1_inj.ill_X4!$A$1:$K$36,4,FALSE),0)</f>
        <v>0</v>
      </c>
      <c r="H2320">
        <f>IFERROR(HLOOKUP(H$2,[71]table_male_hkom1_inj.ill_X4!$A$1:$K$36,4,FALSE),0)</f>
        <v>0</v>
      </c>
      <c r="I2320">
        <f>IFERROR(HLOOKUP(I$2,[71]table_male_hkom1_inj.ill_X4!$A$1:$K$36,4,FALSE),0)</f>
        <v>0</v>
      </c>
      <c r="J2320">
        <f>IFERROR(HLOOKUP(J$2,[71]table_male_hkom1_inj.ill_X4!$A$1:$K$36,4,FALSE),0)</f>
        <v>0</v>
      </c>
      <c r="K2320">
        <f>IFERROR(HLOOKUP(K$2,[71]table_male_hkom1_inj.ill_X4!$A$1:$K$36,4,FALSE),0)</f>
        <v>0</v>
      </c>
      <c r="L2320">
        <f>IFERROR(HLOOKUP(L$2,[71]table_male_hkom1_inj.ill_X4!$A$1:$K$36,4,FALSE),0)</f>
        <v>0</v>
      </c>
      <c r="M2320">
        <f t="shared" si="727"/>
        <v>0</v>
      </c>
      <c r="S2320" t="s">
        <v>72</v>
      </c>
      <c r="T2320" s="5">
        <f t="shared" si="728"/>
        <v>0</v>
      </c>
      <c r="U2320" s="5">
        <f t="shared" si="729"/>
        <v>0</v>
      </c>
      <c r="V2320" s="5">
        <f t="shared" si="730"/>
        <v>0</v>
      </c>
      <c r="W2320" s="5">
        <f t="shared" si="731"/>
        <v>0</v>
      </c>
      <c r="X2320" s="5">
        <f t="shared" si="732"/>
        <v>0</v>
      </c>
      <c r="Y2320" s="5">
        <f t="shared" si="733"/>
        <v>0</v>
      </c>
      <c r="Z2320" s="5">
        <f t="shared" si="734"/>
        <v>0</v>
      </c>
      <c r="AA2320" s="5">
        <f t="shared" si="735"/>
        <v>0</v>
      </c>
      <c r="AB2320" s="5">
        <f t="shared" si="715"/>
        <v>0</v>
      </c>
    </row>
    <row r="2321" spans="4:28" x14ac:dyDescent="0.25">
      <c r="D2321" t="s">
        <v>73</v>
      </c>
      <c r="E2321" s="14"/>
      <c r="F2321" s="14"/>
      <c r="G2321">
        <f>IFERROR(HLOOKUP(G$2,[71]table_male_hkom1_inj.ill_X4!$A$1:$K$36,5,FALSE),0)</f>
        <v>0</v>
      </c>
      <c r="H2321">
        <f>IFERROR(HLOOKUP(H$2,[71]table_male_hkom1_inj.ill_X4!$A$1:$K$36,5,FALSE),0)</f>
        <v>0</v>
      </c>
      <c r="I2321">
        <f>IFERROR(HLOOKUP(I$2,[71]table_male_hkom1_inj.ill_X4!$A$1:$K$36,5,FALSE),0)</f>
        <v>0</v>
      </c>
      <c r="J2321">
        <f>IFERROR(HLOOKUP(J$2,[71]table_male_hkom1_inj.ill_X4!$A$1:$K$36,5,FALSE),0)</f>
        <v>0</v>
      </c>
      <c r="K2321">
        <f>IFERROR(HLOOKUP(K$2,[71]table_male_hkom1_inj.ill_X4!$A$1:$K$36,5,FALSE),0)</f>
        <v>0</v>
      </c>
      <c r="L2321">
        <f>IFERROR(HLOOKUP(L$2,[71]table_male_hkom1_inj.ill_X4!$A$1:$K$36,5,FALSE),0)</f>
        <v>0</v>
      </c>
      <c r="M2321">
        <f t="shared" si="727"/>
        <v>0</v>
      </c>
      <c r="S2321" t="s">
        <v>73</v>
      </c>
      <c r="T2321" s="5">
        <f t="shared" si="728"/>
        <v>0</v>
      </c>
      <c r="U2321" s="5">
        <f t="shared" si="729"/>
        <v>0</v>
      </c>
      <c r="V2321" s="5">
        <f t="shared" si="730"/>
        <v>0</v>
      </c>
      <c r="W2321" s="5">
        <f t="shared" si="731"/>
        <v>0</v>
      </c>
      <c r="X2321" s="5">
        <f t="shared" si="732"/>
        <v>0</v>
      </c>
      <c r="Y2321" s="5">
        <f t="shared" si="733"/>
        <v>0</v>
      </c>
      <c r="Z2321" s="5">
        <f t="shared" si="734"/>
        <v>0</v>
      </c>
      <c r="AA2321" s="5">
        <f t="shared" si="735"/>
        <v>0</v>
      </c>
      <c r="AB2321" s="5">
        <f t="shared" si="715"/>
        <v>0</v>
      </c>
    </row>
    <row r="2322" spans="4:28" x14ac:dyDescent="0.25">
      <c r="D2322" t="s">
        <v>74</v>
      </c>
      <c r="E2322" s="14"/>
      <c r="F2322" s="14"/>
      <c r="G2322">
        <f>IFERROR(HLOOKUP(G$2,[71]table_male_hkom1_inj.ill_X4!$A$1:$K$36,6,FALSE),0)</f>
        <v>0</v>
      </c>
      <c r="H2322">
        <f>IFERROR(HLOOKUP(H$2,[71]table_male_hkom1_inj.ill_X4!$A$1:$K$36,6,FALSE),0)</f>
        <v>0</v>
      </c>
      <c r="I2322">
        <f>IFERROR(HLOOKUP(I$2,[71]table_male_hkom1_inj.ill_X4!$A$1:$K$36,6,FALSE),0)</f>
        <v>0</v>
      </c>
      <c r="J2322">
        <f>IFERROR(HLOOKUP(J$2,[71]table_male_hkom1_inj.ill_X4!$A$1:$K$36,6,FALSE),0)</f>
        <v>0</v>
      </c>
      <c r="K2322">
        <f>IFERROR(HLOOKUP(K$2,[71]table_male_hkom1_inj.ill_X4!$A$1:$K$36,6,FALSE),0)</f>
        <v>0</v>
      </c>
      <c r="L2322">
        <f>IFERROR(HLOOKUP(L$2,[71]table_male_hkom1_inj.ill_X4!$A$1:$K$36,6,FALSE),0)</f>
        <v>0</v>
      </c>
      <c r="M2322">
        <f t="shared" si="727"/>
        <v>0</v>
      </c>
      <c r="S2322" t="s">
        <v>74</v>
      </c>
      <c r="T2322" s="5">
        <f t="shared" si="728"/>
        <v>0</v>
      </c>
      <c r="U2322" s="5">
        <f t="shared" si="729"/>
        <v>0</v>
      </c>
      <c r="V2322" s="5">
        <f t="shared" si="730"/>
        <v>0</v>
      </c>
      <c r="W2322" s="5">
        <f t="shared" si="731"/>
        <v>0</v>
      </c>
      <c r="X2322" s="5">
        <f t="shared" si="732"/>
        <v>0</v>
      </c>
      <c r="Y2322" s="5">
        <f t="shared" si="733"/>
        <v>0</v>
      </c>
      <c r="Z2322" s="5">
        <f t="shared" si="734"/>
        <v>0</v>
      </c>
      <c r="AA2322" s="5">
        <f t="shared" si="735"/>
        <v>0</v>
      </c>
      <c r="AB2322" s="5">
        <f t="shared" si="715"/>
        <v>0</v>
      </c>
    </row>
    <row r="2323" spans="4:28" x14ac:dyDescent="0.25">
      <c r="D2323" t="s">
        <v>75</v>
      </c>
      <c r="E2323" s="14"/>
      <c r="F2323" s="14"/>
      <c r="G2323">
        <f>IFERROR(HLOOKUP(G$2,[71]table_male_hkom1_inj.ill_X4!$A$1:$K$36,7,FALSE),0)</f>
        <v>0</v>
      </c>
      <c r="H2323">
        <f>IFERROR(HLOOKUP(H$2,[71]table_male_hkom1_inj.ill_X4!$A$1:$K$36,7,FALSE),0)</f>
        <v>0</v>
      </c>
      <c r="I2323">
        <f>IFERROR(HLOOKUP(I$2,[71]table_male_hkom1_inj.ill_X4!$A$1:$K$36,7,FALSE),0)</f>
        <v>0</v>
      </c>
      <c r="J2323">
        <f>IFERROR(HLOOKUP(J$2,[71]table_male_hkom1_inj.ill_X4!$A$1:$K$36,7,FALSE),0)</f>
        <v>0</v>
      </c>
      <c r="K2323">
        <f>IFERROR(HLOOKUP(K$2,[71]table_male_hkom1_inj.ill_X4!$A$1:$K$36,7,FALSE),0)</f>
        <v>0</v>
      </c>
      <c r="L2323">
        <f>IFERROR(HLOOKUP(L$2,[71]table_male_hkom1_inj.ill_X4!$A$1:$K$36,7,FALSE),0)</f>
        <v>0</v>
      </c>
      <c r="M2323">
        <f t="shared" si="727"/>
        <v>0</v>
      </c>
      <c r="S2323" t="s">
        <v>75</v>
      </c>
      <c r="T2323" s="5">
        <f t="shared" si="728"/>
        <v>0</v>
      </c>
      <c r="U2323" s="5">
        <f t="shared" si="729"/>
        <v>0</v>
      </c>
      <c r="V2323" s="5">
        <f t="shared" si="730"/>
        <v>0</v>
      </c>
      <c r="W2323" s="5">
        <f t="shared" si="731"/>
        <v>0</v>
      </c>
      <c r="X2323" s="5">
        <f t="shared" si="732"/>
        <v>0</v>
      </c>
      <c r="Y2323" s="5">
        <f t="shared" si="733"/>
        <v>0</v>
      </c>
      <c r="Z2323" s="5">
        <f t="shared" si="734"/>
        <v>0</v>
      </c>
      <c r="AA2323" s="5">
        <f t="shared" si="735"/>
        <v>0</v>
      </c>
      <c r="AB2323" s="5">
        <f t="shared" si="715"/>
        <v>0</v>
      </c>
    </row>
    <row r="2324" spans="4:28" x14ac:dyDescent="0.25">
      <c r="D2324" t="s">
        <v>76</v>
      </c>
      <c r="E2324" s="14"/>
      <c r="F2324" s="14"/>
      <c r="G2324">
        <f>IFERROR(HLOOKUP(G$2,[71]table_male_hkom1_inj.ill_X4!$A$1:$K$36,8,FALSE),0)</f>
        <v>0</v>
      </c>
      <c r="H2324">
        <f>IFERROR(HLOOKUP(H$2,[71]table_male_hkom1_inj.ill_X4!$A$1:$K$36,8,FALSE),0)</f>
        <v>0</v>
      </c>
      <c r="I2324">
        <f>IFERROR(HLOOKUP(I$2,[71]table_male_hkom1_inj.ill_X4!$A$1:$K$36,8,FALSE),0)</f>
        <v>0</v>
      </c>
      <c r="J2324">
        <f>IFERROR(HLOOKUP(J$2,[71]table_male_hkom1_inj.ill_X4!$A$1:$K$36,8,FALSE),0)</f>
        <v>0</v>
      </c>
      <c r="K2324">
        <f>IFERROR(HLOOKUP(K$2,[71]table_male_hkom1_inj.ill_X4!$A$1:$K$36,8,FALSE),0)</f>
        <v>0</v>
      </c>
      <c r="L2324">
        <f>IFERROR(HLOOKUP(L$2,[71]table_male_hkom1_inj.ill_X4!$A$1:$K$36,8,FALSE),0)</f>
        <v>0</v>
      </c>
      <c r="M2324">
        <f t="shared" si="727"/>
        <v>0</v>
      </c>
      <c r="S2324" t="s">
        <v>76</v>
      </c>
      <c r="T2324" s="5">
        <f t="shared" si="728"/>
        <v>0</v>
      </c>
      <c r="U2324" s="5">
        <f t="shared" si="729"/>
        <v>0</v>
      </c>
      <c r="V2324" s="5">
        <f t="shared" si="730"/>
        <v>0</v>
      </c>
      <c r="W2324" s="5">
        <f t="shared" si="731"/>
        <v>0</v>
      </c>
      <c r="X2324" s="5">
        <f t="shared" si="732"/>
        <v>0</v>
      </c>
      <c r="Y2324" s="5">
        <f t="shared" si="733"/>
        <v>0</v>
      </c>
      <c r="Z2324" s="5">
        <f t="shared" si="734"/>
        <v>0</v>
      </c>
      <c r="AA2324" s="5">
        <f t="shared" si="735"/>
        <v>0</v>
      </c>
      <c r="AB2324" s="5">
        <f t="shared" si="715"/>
        <v>0</v>
      </c>
    </row>
    <row r="2325" spans="4:28" x14ac:dyDescent="0.25">
      <c r="D2325" t="s">
        <v>77</v>
      </c>
      <c r="E2325" s="14"/>
      <c r="F2325" s="14"/>
      <c r="G2325">
        <f>IFERROR(HLOOKUP(G$2,[71]table_male_hkom1_inj.ill_X4!$A$1:$K$36,9,FALSE),0)</f>
        <v>0</v>
      </c>
      <c r="H2325">
        <f>IFERROR(HLOOKUP(H$2,[71]table_male_hkom1_inj.ill_X4!$A$1:$K$36,9,FALSE),0)</f>
        <v>0</v>
      </c>
      <c r="I2325">
        <f>IFERROR(HLOOKUP(I$2,[71]table_male_hkom1_inj.ill_X4!$A$1:$K$36,9,FALSE),0)</f>
        <v>0</v>
      </c>
      <c r="J2325">
        <f>IFERROR(HLOOKUP(J$2,[71]table_male_hkom1_inj.ill_X4!$A$1:$K$36,9,FALSE),0)</f>
        <v>0</v>
      </c>
      <c r="K2325">
        <f>IFERROR(HLOOKUP(K$2,[71]table_male_hkom1_inj.ill_X4!$A$1:$K$36,9,FALSE),0)</f>
        <v>0</v>
      </c>
      <c r="L2325">
        <f>IFERROR(HLOOKUP(L$2,[71]table_male_hkom1_inj.ill_X4!$A$1:$K$36,9,FALSE),0)</f>
        <v>0</v>
      </c>
      <c r="M2325">
        <f t="shared" si="727"/>
        <v>0</v>
      </c>
      <c r="S2325" t="s">
        <v>77</v>
      </c>
      <c r="T2325" s="5">
        <f t="shared" si="728"/>
        <v>0</v>
      </c>
      <c r="U2325" s="5">
        <f t="shared" si="729"/>
        <v>0</v>
      </c>
      <c r="V2325" s="5">
        <f t="shared" si="730"/>
        <v>0</v>
      </c>
      <c r="W2325" s="5">
        <f t="shared" si="731"/>
        <v>0</v>
      </c>
      <c r="X2325" s="5">
        <f t="shared" si="732"/>
        <v>0</v>
      </c>
      <c r="Y2325" s="5">
        <f t="shared" si="733"/>
        <v>0</v>
      </c>
      <c r="Z2325" s="5">
        <f t="shared" si="734"/>
        <v>0</v>
      </c>
      <c r="AA2325" s="5">
        <f t="shared" si="735"/>
        <v>0</v>
      </c>
      <c r="AB2325" s="5">
        <f t="shared" si="715"/>
        <v>0</v>
      </c>
    </row>
    <row r="2326" spans="4:28" x14ac:dyDescent="0.25">
      <c r="D2326" t="s">
        <v>78</v>
      </c>
      <c r="E2326" s="14"/>
      <c r="F2326" s="14"/>
      <c r="G2326">
        <f>IFERROR(HLOOKUP(G$2,[71]table_male_hkom1_inj.ill_X4!$A$1:$K$36,10,FALSE),0)</f>
        <v>0</v>
      </c>
      <c r="H2326">
        <f>IFERROR(HLOOKUP(H$2,[71]table_male_hkom1_inj.ill_X4!$A$1:$K$36,10,FALSE),0)</f>
        <v>0</v>
      </c>
      <c r="I2326">
        <f>IFERROR(HLOOKUP(I$2,[71]table_male_hkom1_inj.ill_X4!$A$1:$K$36,10,FALSE),0)</f>
        <v>0</v>
      </c>
      <c r="J2326">
        <f>IFERROR(HLOOKUP(J$2,[71]table_male_hkom1_inj.ill_X4!$A$1:$K$36,10,FALSE),0)</f>
        <v>0</v>
      </c>
      <c r="K2326">
        <f>IFERROR(HLOOKUP(K$2,[71]table_male_hkom1_inj.ill_X4!$A$1:$K$36,10,FALSE),0)</f>
        <v>0</v>
      </c>
      <c r="L2326">
        <f>IFERROR(HLOOKUP(L$2,[71]table_male_hkom1_inj.ill_X4!$A$1:$K$36,10,FALSE),0)</f>
        <v>0</v>
      </c>
      <c r="M2326">
        <f t="shared" si="727"/>
        <v>0</v>
      </c>
      <c r="S2326" t="s">
        <v>78</v>
      </c>
      <c r="T2326" s="5">
        <f t="shared" si="728"/>
        <v>0</v>
      </c>
      <c r="U2326" s="5">
        <f t="shared" si="729"/>
        <v>0</v>
      </c>
      <c r="V2326" s="5">
        <f t="shared" si="730"/>
        <v>0</v>
      </c>
      <c r="W2326" s="5">
        <f t="shared" si="731"/>
        <v>0</v>
      </c>
      <c r="X2326" s="5">
        <f t="shared" si="732"/>
        <v>0</v>
      </c>
      <c r="Y2326" s="5">
        <f t="shared" si="733"/>
        <v>0</v>
      </c>
      <c r="Z2326" s="5">
        <f t="shared" si="734"/>
        <v>0</v>
      </c>
      <c r="AA2326" s="5">
        <f t="shared" si="735"/>
        <v>0</v>
      </c>
      <c r="AB2326" s="5">
        <f t="shared" si="715"/>
        <v>0</v>
      </c>
    </row>
    <row r="2327" spans="4:28" x14ac:dyDescent="0.25">
      <c r="D2327" t="s">
        <v>79</v>
      </c>
      <c r="E2327" s="14"/>
      <c r="F2327" s="14"/>
      <c r="G2327">
        <f>IFERROR(HLOOKUP(G$2,[71]table_male_hkom1_inj.ill_X4!$A$1:$K$36,11,FALSE),0)</f>
        <v>0</v>
      </c>
      <c r="H2327">
        <f>IFERROR(HLOOKUP(H$2,[71]table_male_hkom1_inj.ill_X4!$A$1:$K$36,11,FALSE),0)</f>
        <v>0</v>
      </c>
      <c r="I2327">
        <f>IFERROR(HLOOKUP(I$2,[71]table_male_hkom1_inj.ill_X4!$A$1:$K$36,11,FALSE),0)</f>
        <v>0</v>
      </c>
      <c r="J2327">
        <f>IFERROR(HLOOKUP(J$2,[71]table_male_hkom1_inj.ill_X4!$A$1:$K$36,11,FALSE),0)</f>
        <v>0</v>
      </c>
      <c r="K2327">
        <f>IFERROR(HLOOKUP(K$2,[71]table_male_hkom1_inj.ill_X4!$A$1:$K$36,11,FALSE),0)</f>
        <v>0</v>
      </c>
      <c r="L2327">
        <f>IFERROR(HLOOKUP(L$2,[71]table_male_hkom1_inj.ill_X4!$A$1:$K$36,11,FALSE),0)</f>
        <v>0</v>
      </c>
      <c r="M2327">
        <f t="shared" si="727"/>
        <v>0</v>
      </c>
      <c r="S2327" t="s">
        <v>79</v>
      </c>
      <c r="T2327" s="5">
        <f t="shared" si="728"/>
        <v>0</v>
      </c>
      <c r="U2327" s="5">
        <f t="shared" si="729"/>
        <v>0</v>
      </c>
      <c r="V2327" s="5">
        <f t="shared" si="730"/>
        <v>0</v>
      </c>
      <c r="W2327" s="5">
        <f t="shared" si="731"/>
        <v>0</v>
      </c>
      <c r="X2327" s="5">
        <f t="shared" si="732"/>
        <v>0</v>
      </c>
      <c r="Y2327" s="5">
        <f t="shared" si="733"/>
        <v>0</v>
      </c>
      <c r="Z2327" s="5">
        <f t="shared" si="734"/>
        <v>0</v>
      </c>
      <c r="AA2327" s="5">
        <f t="shared" si="735"/>
        <v>0</v>
      </c>
      <c r="AB2327" s="5">
        <f t="shared" si="715"/>
        <v>0</v>
      </c>
    </row>
    <row r="2328" spans="4:28" x14ac:dyDescent="0.25">
      <c r="D2328" t="s">
        <v>80</v>
      </c>
      <c r="E2328" s="14"/>
      <c r="F2328" s="14"/>
      <c r="G2328">
        <f>IFERROR(HLOOKUP(G$2,[71]table_male_hkom1_inj.ill_X4!$A$1:$K$36,12,FALSE),0)</f>
        <v>0</v>
      </c>
      <c r="H2328">
        <f>IFERROR(HLOOKUP(H$2,[71]table_male_hkom1_inj.ill_X4!$A$1:$K$36,12,FALSE),0)</f>
        <v>0</v>
      </c>
      <c r="I2328">
        <f>IFERROR(HLOOKUP(I$2,[71]table_male_hkom1_inj.ill_X4!$A$1:$K$36,12,FALSE),0)</f>
        <v>0</v>
      </c>
      <c r="J2328">
        <f>IFERROR(HLOOKUP(J$2,[71]table_male_hkom1_inj.ill_X4!$A$1:$K$36,12,FALSE),0)</f>
        <v>0</v>
      </c>
      <c r="K2328">
        <f>IFERROR(HLOOKUP(K$2,[71]table_male_hkom1_inj.ill_X4!$A$1:$K$36,12,FALSE),0)</f>
        <v>0</v>
      </c>
      <c r="L2328">
        <f>IFERROR(HLOOKUP(L$2,[71]table_male_hkom1_inj.ill_X4!$A$1:$K$36,12,FALSE),0)</f>
        <v>0</v>
      </c>
      <c r="M2328">
        <f t="shared" si="727"/>
        <v>0</v>
      </c>
      <c r="S2328" t="s">
        <v>80</v>
      </c>
      <c r="T2328" s="5">
        <f t="shared" si="728"/>
        <v>0</v>
      </c>
      <c r="U2328" s="5">
        <f t="shared" si="729"/>
        <v>0</v>
      </c>
      <c r="V2328" s="5">
        <f t="shared" si="730"/>
        <v>0</v>
      </c>
      <c r="W2328" s="5">
        <f t="shared" si="731"/>
        <v>0</v>
      </c>
      <c r="X2328" s="5">
        <f t="shared" si="732"/>
        <v>0</v>
      </c>
      <c r="Y2328" s="5">
        <f t="shared" si="733"/>
        <v>0</v>
      </c>
      <c r="Z2328" s="5">
        <f t="shared" si="734"/>
        <v>0</v>
      </c>
      <c r="AA2328" s="5">
        <f t="shared" si="735"/>
        <v>0</v>
      </c>
      <c r="AB2328" s="5">
        <f t="shared" si="715"/>
        <v>0</v>
      </c>
    </row>
    <row r="2329" spans="4:28" x14ac:dyDescent="0.25">
      <c r="D2329" t="s">
        <v>81</v>
      </c>
      <c r="E2329" s="14"/>
      <c r="F2329" s="14"/>
      <c r="G2329">
        <f>IFERROR(HLOOKUP(G$2,[71]table_male_hkom1_inj.ill_X4!$A$1:$K$36,13,FALSE),0)</f>
        <v>0</v>
      </c>
      <c r="H2329">
        <f>IFERROR(HLOOKUP(H$2,[71]table_male_hkom1_inj.ill_X4!$A$1:$K$36,13,FALSE),0)</f>
        <v>0</v>
      </c>
      <c r="I2329">
        <f>IFERROR(HLOOKUP(I$2,[71]table_male_hkom1_inj.ill_X4!$A$1:$K$36,13,FALSE),0)</f>
        <v>0</v>
      </c>
      <c r="J2329">
        <f>IFERROR(HLOOKUP(J$2,[71]table_male_hkom1_inj.ill_X4!$A$1:$K$36,13,FALSE),0)</f>
        <v>0</v>
      </c>
      <c r="K2329">
        <f>IFERROR(HLOOKUP(K$2,[71]table_male_hkom1_inj.ill_X4!$A$1:$K$36,13,FALSE),0)</f>
        <v>0</v>
      </c>
      <c r="L2329">
        <f>IFERROR(HLOOKUP(L$2,[71]table_male_hkom1_inj.ill_X4!$A$1:$K$36,13,FALSE),0)</f>
        <v>0</v>
      </c>
      <c r="M2329">
        <f t="shared" si="727"/>
        <v>0</v>
      </c>
      <c r="S2329" t="s">
        <v>81</v>
      </c>
      <c r="T2329" s="5">
        <f t="shared" si="728"/>
        <v>0</v>
      </c>
      <c r="U2329" s="5">
        <f t="shared" si="729"/>
        <v>0</v>
      </c>
      <c r="V2329" s="5">
        <f t="shared" si="730"/>
        <v>0</v>
      </c>
      <c r="W2329" s="5">
        <f t="shared" si="731"/>
        <v>0</v>
      </c>
      <c r="X2329" s="5">
        <f t="shared" si="732"/>
        <v>0</v>
      </c>
      <c r="Y2329" s="5">
        <f t="shared" si="733"/>
        <v>0</v>
      </c>
      <c r="Z2329" s="5">
        <f t="shared" si="734"/>
        <v>0</v>
      </c>
      <c r="AA2329" s="5">
        <f t="shared" si="735"/>
        <v>0</v>
      </c>
      <c r="AB2329" s="5">
        <f t="shared" si="715"/>
        <v>0</v>
      </c>
    </row>
    <row r="2330" spans="4:28" x14ac:dyDescent="0.25">
      <c r="D2330" t="s">
        <v>82</v>
      </c>
      <c r="E2330" s="14"/>
      <c r="F2330" s="14"/>
      <c r="G2330">
        <f>IFERROR(HLOOKUP(G$2,[71]table_male_hkom1_inj.ill_X4!$A$1:$K$36,14,FALSE),0)</f>
        <v>0</v>
      </c>
      <c r="H2330">
        <f>IFERROR(HLOOKUP(H$2,[71]table_male_hkom1_inj.ill_X4!$A$1:$K$36,14,FALSE),0)</f>
        <v>0</v>
      </c>
      <c r="I2330">
        <f>IFERROR(HLOOKUP(I$2,[71]table_male_hkom1_inj.ill_X4!$A$1:$K$36,14,FALSE),0)</f>
        <v>0</v>
      </c>
      <c r="J2330">
        <f>IFERROR(HLOOKUP(J$2,[71]table_male_hkom1_inj.ill_X4!$A$1:$K$36,14,FALSE),0)</f>
        <v>0</v>
      </c>
      <c r="K2330">
        <f>IFERROR(HLOOKUP(K$2,[71]table_male_hkom1_inj.ill_X4!$A$1:$K$36,14,FALSE),0)</f>
        <v>0</v>
      </c>
      <c r="L2330">
        <f>IFERROR(HLOOKUP(L$2,[71]table_male_hkom1_inj.ill_X4!$A$1:$K$36,14,FALSE),0)</f>
        <v>0</v>
      </c>
      <c r="M2330">
        <f t="shared" si="727"/>
        <v>0</v>
      </c>
      <c r="S2330" t="s">
        <v>82</v>
      </c>
      <c r="T2330" s="5">
        <f t="shared" si="728"/>
        <v>0</v>
      </c>
      <c r="U2330" s="5">
        <f t="shared" si="729"/>
        <v>0</v>
      </c>
      <c r="V2330" s="5">
        <f t="shared" si="730"/>
        <v>0</v>
      </c>
      <c r="W2330" s="5">
        <f t="shared" si="731"/>
        <v>0</v>
      </c>
      <c r="X2330" s="5">
        <f t="shared" si="732"/>
        <v>0</v>
      </c>
      <c r="Y2330" s="5">
        <f t="shared" si="733"/>
        <v>0</v>
      </c>
      <c r="Z2330" s="5">
        <f t="shared" si="734"/>
        <v>0</v>
      </c>
      <c r="AA2330" s="5">
        <f t="shared" si="735"/>
        <v>0</v>
      </c>
      <c r="AB2330" s="5">
        <f t="shared" si="715"/>
        <v>0</v>
      </c>
    </row>
    <row r="2331" spans="4:28" x14ac:dyDescent="0.25">
      <c r="D2331" t="s">
        <v>83</v>
      </c>
      <c r="E2331" s="14"/>
      <c r="F2331" s="14"/>
      <c r="G2331">
        <f>IFERROR(HLOOKUP(G$2,[71]table_male_hkom1_inj.ill_X4!$A$1:$K$36,15,FALSE),0)</f>
        <v>0</v>
      </c>
      <c r="H2331">
        <f>IFERROR(HLOOKUP(H$2,[71]table_male_hkom1_inj.ill_X4!$A$1:$K$36,15,FALSE),0)</f>
        <v>0</v>
      </c>
      <c r="I2331">
        <f>IFERROR(HLOOKUP(I$2,[71]table_male_hkom1_inj.ill_X4!$A$1:$K$36,15,FALSE),0)</f>
        <v>0</v>
      </c>
      <c r="J2331">
        <f>IFERROR(HLOOKUP(J$2,[71]table_male_hkom1_inj.ill_X4!$A$1:$K$36,15,FALSE),0)</f>
        <v>0</v>
      </c>
      <c r="K2331">
        <f>IFERROR(HLOOKUP(K$2,[71]table_male_hkom1_inj.ill_X4!$A$1:$K$36,15,FALSE),0)</f>
        <v>0</v>
      </c>
      <c r="L2331">
        <f>IFERROR(HLOOKUP(L$2,[71]table_male_hkom1_inj.ill_X4!$A$1:$K$36,15,FALSE),0)</f>
        <v>0</v>
      </c>
      <c r="M2331">
        <f t="shared" si="727"/>
        <v>0</v>
      </c>
      <c r="S2331" t="s">
        <v>83</v>
      </c>
      <c r="T2331" s="5">
        <f t="shared" si="728"/>
        <v>0</v>
      </c>
      <c r="U2331" s="5">
        <f t="shared" si="729"/>
        <v>0</v>
      </c>
      <c r="V2331" s="5">
        <f t="shared" si="730"/>
        <v>0</v>
      </c>
      <c r="W2331" s="5">
        <f t="shared" si="731"/>
        <v>0</v>
      </c>
      <c r="X2331" s="5">
        <f t="shared" si="732"/>
        <v>0</v>
      </c>
      <c r="Y2331" s="5">
        <f t="shared" si="733"/>
        <v>0</v>
      </c>
      <c r="Z2331" s="5">
        <f t="shared" si="734"/>
        <v>0</v>
      </c>
      <c r="AA2331" s="5">
        <f t="shared" si="735"/>
        <v>0</v>
      </c>
      <c r="AB2331" s="5">
        <f t="shared" si="715"/>
        <v>0</v>
      </c>
    </row>
    <row r="2332" spans="4:28" x14ac:dyDescent="0.25">
      <c r="D2332" t="s">
        <v>84</v>
      </c>
      <c r="E2332" s="14"/>
      <c r="F2332" s="14"/>
      <c r="G2332">
        <f>IFERROR(HLOOKUP(G$2,[71]table_male_hkom1_inj.ill_X4!$A$1:$K$36,16,FALSE),0)</f>
        <v>0</v>
      </c>
      <c r="H2332">
        <f>IFERROR(HLOOKUP(H$2,[71]table_male_hkom1_inj.ill_X4!$A$1:$K$36,16,FALSE),0)</f>
        <v>1</v>
      </c>
      <c r="I2332">
        <f>IFERROR(HLOOKUP(I$2,[71]table_male_hkom1_inj.ill_X4!$A$1:$K$36,16,FALSE),0)</f>
        <v>0</v>
      </c>
      <c r="J2332">
        <f>IFERROR(HLOOKUP(J$2,[71]table_male_hkom1_inj.ill_X4!$A$1:$K$36,16,FALSE),0)</f>
        <v>0</v>
      </c>
      <c r="K2332">
        <f>IFERROR(HLOOKUP(K$2,[71]table_male_hkom1_inj.ill_X4!$A$1:$K$36,16,FALSE),0)</f>
        <v>0</v>
      </c>
      <c r="L2332">
        <f>IFERROR(HLOOKUP(L$2,[71]table_male_hkom1_inj.ill_X4!$A$1:$K$36,16,FALSE),0)</f>
        <v>0</v>
      </c>
      <c r="M2332">
        <f t="shared" si="727"/>
        <v>1</v>
      </c>
      <c r="S2332" t="s">
        <v>84</v>
      </c>
      <c r="T2332" s="5">
        <f t="shared" si="728"/>
        <v>0</v>
      </c>
      <c r="U2332" s="5">
        <f t="shared" si="729"/>
        <v>0</v>
      </c>
      <c r="V2332" s="5">
        <f t="shared" si="730"/>
        <v>0</v>
      </c>
      <c r="W2332" s="5">
        <f t="shared" si="731"/>
        <v>1.6666666666666665</v>
      </c>
      <c r="X2332" s="5">
        <f t="shared" si="732"/>
        <v>0</v>
      </c>
      <c r="Y2332" s="5">
        <f t="shared" si="733"/>
        <v>0</v>
      </c>
      <c r="Z2332" s="5">
        <f t="shared" si="734"/>
        <v>0</v>
      </c>
      <c r="AA2332" s="5">
        <f t="shared" si="735"/>
        <v>0</v>
      </c>
      <c r="AB2332" s="5">
        <f t="shared" si="715"/>
        <v>1.6666666666666665</v>
      </c>
    </row>
    <row r="2333" spans="4:28" x14ac:dyDescent="0.25">
      <c r="D2333" t="s">
        <v>85</v>
      </c>
      <c r="E2333" s="14"/>
      <c r="F2333" s="14"/>
      <c r="G2333">
        <f>IFERROR(HLOOKUP(G$2,[71]table_male_hkom1_inj.ill_X4!$A$1:$K$36,17,FALSE),0)</f>
        <v>0</v>
      </c>
      <c r="H2333">
        <f>IFERROR(HLOOKUP(H$2,[71]table_male_hkom1_inj.ill_X4!$A$1:$K$36,17,FALSE),0)</f>
        <v>0</v>
      </c>
      <c r="I2333">
        <f>IFERROR(HLOOKUP(I$2,[71]table_male_hkom1_inj.ill_X4!$A$1:$K$36,17,FALSE),0)</f>
        <v>0</v>
      </c>
      <c r="J2333">
        <f>IFERROR(HLOOKUP(J$2,[71]table_male_hkom1_inj.ill_X4!$A$1:$K$36,17,FALSE),0)</f>
        <v>0</v>
      </c>
      <c r="K2333">
        <f>IFERROR(HLOOKUP(K$2,[71]table_male_hkom1_inj.ill_X4!$A$1:$K$36,17,FALSE),0)</f>
        <v>0</v>
      </c>
      <c r="L2333">
        <f>IFERROR(HLOOKUP(L$2,[71]table_male_hkom1_inj.ill_X4!$A$1:$K$36,17,FALSE),0)</f>
        <v>0</v>
      </c>
      <c r="M2333">
        <f t="shared" si="727"/>
        <v>0</v>
      </c>
      <c r="S2333" t="s">
        <v>85</v>
      </c>
      <c r="T2333" s="5">
        <f t="shared" si="728"/>
        <v>0</v>
      </c>
      <c r="U2333" s="5">
        <f t="shared" si="729"/>
        <v>0</v>
      </c>
      <c r="V2333" s="5">
        <f t="shared" si="730"/>
        <v>0</v>
      </c>
      <c r="W2333" s="5">
        <f t="shared" si="731"/>
        <v>0</v>
      </c>
      <c r="X2333" s="5">
        <f t="shared" si="732"/>
        <v>0</v>
      </c>
      <c r="Y2333" s="5">
        <f t="shared" si="733"/>
        <v>0</v>
      </c>
      <c r="Z2333" s="5">
        <f t="shared" si="734"/>
        <v>0</v>
      </c>
      <c r="AA2333" s="5">
        <f t="shared" si="735"/>
        <v>0</v>
      </c>
      <c r="AB2333" s="5">
        <f t="shared" si="715"/>
        <v>0</v>
      </c>
    </row>
    <row r="2334" spans="4:28" x14ac:dyDescent="0.25">
      <c r="D2334" t="s">
        <v>86</v>
      </c>
      <c r="E2334" s="14"/>
      <c r="F2334" s="14"/>
      <c r="G2334">
        <f>IFERROR(HLOOKUP(G$2,[71]table_male_hkom1_inj.ill_X4!$A$1:$K$36,18,FALSE),0)</f>
        <v>1</v>
      </c>
      <c r="H2334">
        <f>IFERROR(HLOOKUP(H$2,[71]table_male_hkom1_inj.ill_X4!$A$1:$K$36,18,FALSE),0)</f>
        <v>1</v>
      </c>
      <c r="I2334">
        <f>IFERROR(HLOOKUP(I$2,[71]table_male_hkom1_inj.ill_X4!$A$1:$K$36,18,FALSE),0)</f>
        <v>0</v>
      </c>
      <c r="J2334">
        <f>IFERROR(HLOOKUP(J$2,[71]table_male_hkom1_inj.ill_X4!$A$1:$K$36,18,FALSE),0)</f>
        <v>0</v>
      </c>
      <c r="K2334">
        <f>IFERROR(HLOOKUP(K$2,[71]table_male_hkom1_inj.ill_X4!$A$1:$K$36,18,FALSE),0)</f>
        <v>0</v>
      </c>
      <c r="L2334">
        <f>IFERROR(HLOOKUP(L$2,[71]table_male_hkom1_inj.ill_X4!$A$1:$K$36,18,FALSE),0)</f>
        <v>0</v>
      </c>
      <c r="M2334">
        <f t="shared" si="727"/>
        <v>2</v>
      </c>
      <c r="S2334" t="s">
        <v>86</v>
      </c>
      <c r="T2334" s="5">
        <f t="shared" si="728"/>
        <v>0</v>
      </c>
      <c r="U2334" s="5">
        <f t="shared" si="729"/>
        <v>0</v>
      </c>
      <c r="V2334" s="5">
        <f t="shared" si="730"/>
        <v>1</v>
      </c>
      <c r="W2334" s="5">
        <f t="shared" si="731"/>
        <v>1.6666666666666665</v>
      </c>
      <c r="X2334" s="5">
        <f t="shared" si="732"/>
        <v>0</v>
      </c>
      <c r="Y2334" s="5">
        <f t="shared" si="733"/>
        <v>0</v>
      </c>
      <c r="Z2334" s="5">
        <f t="shared" si="734"/>
        <v>0</v>
      </c>
      <c r="AA2334" s="5">
        <f t="shared" si="735"/>
        <v>0</v>
      </c>
      <c r="AB2334" s="5">
        <f t="shared" si="715"/>
        <v>2.6666666666666665</v>
      </c>
    </row>
    <row r="2335" spans="4:28" x14ac:dyDescent="0.25">
      <c r="D2335" t="s">
        <v>87</v>
      </c>
      <c r="E2335" s="14"/>
      <c r="F2335" s="14"/>
      <c r="G2335">
        <f>IFERROR(HLOOKUP(G$2,[71]table_male_hkom1_inj.ill_X4!$A$1:$K$36,19,FALSE),0)</f>
        <v>0</v>
      </c>
      <c r="H2335">
        <f>IFERROR(HLOOKUP(H$2,[71]table_male_hkom1_inj.ill_X4!$A$1:$K$36,19,FALSE),0)</f>
        <v>0</v>
      </c>
      <c r="I2335">
        <f>IFERROR(HLOOKUP(I$2,[71]table_male_hkom1_inj.ill_X4!$A$1:$K$36,19,FALSE),0)</f>
        <v>0</v>
      </c>
      <c r="J2335">
        <f>IFERROR(HLOOKUP(J$2,[71]table_male_hkom1_inj.ill_X4!$A$1:$K$36,19,FALSE),0)</f>
        <v>0</v>
      </c>
      <c r="K2335">
        <f>IFERROR(HLOOKUP(K$2,[71]table_male_hkom1_inj.ill_X4!$A$1:$K$36,19,FALSE),0)</f>
        <v>0</v>
      </c>
      <c r="L2335">
        <f>IFERROR(HLOOKUP(L$2,[71]table_male_hkom1_inj.ill_X4!$A$1:$K$36,19,FALSE),0)</f>
        <v>0</v>
      </c>
      <c r="M2335">
        <f t="shared" si="727"/>
        <v>0</v>
      </c>
      <c r="S2335" t="s">
        <v>87</v>
      </c>
      <c r="T2335" s="5">
        <f t="shared" si="728"/>
        <v>0</v>
      </c>
      <c r="U2335" s="5">
        <f t="shared" si="729"/>
        <v>0</v>
      </c>
      <c r="V2335" s="5">
        <f t="shared" si="730"/>
        <v>0</v>
      </c>
      <c r="W2335" s="5">
        <f t="shared" si="731"/>
        <v>0</v>
      </c>
      <c r="X2335" s="5">
        <f t="shared" si="732"/>
        <v>0</v>
      </c>
      <c r="Y2335" s="5">
        <f t="shared" si="733"/>
        <v>0</v>
      </c>
      <c r="Z2335" s="5">
        <f t="shared" si="734"/>
        <v>0</v>
      </c>
      <c r="AA2335" s="5">
        <f t="shared" si="735"/>
        <v>0</v>
      </c>
      <c r="AB2335" s="5">
        <f t="shared" si="715"/>
        <v>0</v>
      </c>
    </row>
    <row r="2336" spans="4:28" x14ac:dyDescent="0.25">
      <c r="D2336" t="s">
        <v>88</v>
      </c>
      <c r="E2336" s="14"/>
      <c r="F2336" s="14"/>
      <c r="G2336">
        <f>IFERROR(HLOOKUP(G$2,[71]table_male_hkom1_inj.ill_X4!$A$1:$K$36,20,FALSE),0)</f>
        <v>1</v>
      </c>
      <c r="H2336">
        <f>IFERROR(HLOOKUP(H$2,[71]table_male_hkom1_inj.ill_X4!$A$1:$K$36,20,FALSE),0)</f>
        <v>0</v>
      </c>
      <c r="I2336">
        <f>IFERROR(HLOOKUP(I$2,[71]table_male_hkom1_inj.ill_X4!$A$1:$K$36,20,FALSE),0)</f>
        <v>0</v>
      </c>
      <c r="J2336">
        <f>IFERROR(HLOOKUP(J$2,[71]table_male_hkom1_inj.ill_X4!$A$1:$K$36,20,FALSE),0)</f>
        <v>0</v>
      </c>
      <c r="K2336">
        <f>IFERROR(HLOOKUP(K$2,[71]table_male_hkom1_inj.ill_X4!$A$1:$K$36,20,FALSE),0)</f>
        <v>0</v>
      </c>
      <c r="L2336">
        <f>IFERROR(HLOOKUP(L$2,[71]table_male_hkom1_inj.ill_X4!$A$1:$K$36,20,FALSE),0)</f>
        <v>0</v>
      </c>
      <c r="M2336">
        <f t="shared" si="727"/>
        <v>1</v>
      </c>
      <c r="S2336" t="s">
        <v>88</v>
      </c>
      <c r="T2336" s="5">
        <f t="shared" si="728"/>
        <v>0</v>
      </c>
      <c r="U2336" s="5">
        <f t="shared" si="729"/>
        <v>0</v>
      </c>
      <c r="V2336" s="5">
        <f t="shared" si="730"/>
        <v>1</v>
      </c>
      <c r="W2336" s="5">
        <f t="shared" si="731"/>
        <v>0</v>
      </c>
      <c r="X2336" s="5">
        <f t="shared" si="732"/>
        <v>0</v>
      </c>
      <c r="Y2336" s="5">
        <f t="shared" si="733"/>
        <v>0</v>
      </c>
      <c r="Z2336" s="5">
        <f t="shared" si="734"/>
        <v>0</v>
      </c>
      <c r="AA2336" s="5">
        <f t="shared" si="735"/>
        <v>0</v>
      </c>
      <c r="AB2336" s="5">
        <f t="shared" si="715"/>
        <v>1</v>
      </c>
    </row>
    <row r="2337" spans="1:29" x14ac:dyDescent="0.25">
      <c r="D2337" t="s">
        <v>89</v>
      </c>
      <c r="E2337" s="14"/>
      <c r="F2337" s="14"/>
      <c r="G2337">
        <f>IFERROR(HLOOKUP(G$2,[71]table_male_hkom1_inj.ill_X4!$A$1:$K$36,21,FALSE),0)</f>
        <v>0</v>
      </c>
      <c r="H2337">
        <f>IFERROR(HLOOKUP(H$2,[71]table_male_hkom1_inj.ill_X4!$A$1:$K$36,21,FALSE),0)</f>
        <v>0</v>
      </c>
      <c r="I2337">
        <f>IFERROR(HLOOKUP(I$2,[71]table_male_hkom1_inj.ill_X4!$A$1:$K$36,21,FALSE),0)</f>
        <v>0</v>
      </c>
      <c r="J2337">
        <f>IFERROR(HLOOKUP(J$2,[71]table_male_hkom1_inj.ill_X4!$A$1:$K$36,21,FALSE),0)</f>
        <v>0</v>
      </c>
      <c r="K2337">
        <f>IFERROR(HLOOKUP(K$2,[71]table_male_hkom1_inj.ill_X4!$A$1:$K$36,21,FALSE),0)</f>
        <v>0</v>
      </c>
      <c r="L2337">
        <f>IFERROR(HLOOKUP(L$2,[71]table_male_hkom1_inj.ill_X4!$A$1:$K$36,21,FALSE),0)</f>
        <v>0</v>
      </c>
      <c r="M2337">
        <f t="shared" si="727"/>
        <v>0</v>
      </c>
      <c r="S2337" t="s">
        <v>89</v>
      </c>
      <c r="T2337" s="5">
        <f t="shared" si="728"/>
        <v>0</v>
      </c>
      <c r="U2337" s="5">
        <f t="shared" si="729"/>
        <v>0</v>
      </c>
      <c r="V2337" s="5">
        <f t="shared" si="730"/>
        <v>0</v>
      </c>
      <c r="W2337" s="5">
        <f t="shared" si="731"/>
        <v>0</v>
      </c>
      <c r="X2337" s="5">
        <f t="shared" si="732"/>
        <v>0</v>
      </c>
      <c r="Y2337" s="5">
        <f t="shared" si="733"/>
        <v>0</v>
      </c>
      <c r="Z2337" s="5">
        <f t="shared" si="734"/>
        <v>0</v>
      </c>
      <c r="AA2337" s="5">
        <f t="shared" si="735"/>
        <v>0</v>
      </c>
      <c r="AB2337" s="5">
        <f t="shared" si="715"/>
        <v>0</v>
      </c>
    </row>
    <row r="2338" spans="1:29" x14ac:dyDescent="0.25">
      <c r="D2338" t="s">
        <v>90</v>
      </c>
      <c r="E2338" s="14"/>
      <c r="F2338" s="14"/>
      <c r="G2338">
        <f>IFERROR(HLOOKUP(G$2,[71]table_male_hkom1_inj.ill_X4!$A$1:$K$36,22,FALSE),0)</f>
        <v>0</v>
      </c>
      <c r="H2338">
        <f>IFERROR(HLOOKUP(H$2,[71]table_male_hkom1_inj.ill_X4!$A$1:$K$36,22,FALSE),0)</f>
        <v>0</v>
      </c>
      <c r="I2338">
        <f>IFERROR(HLOOKUP(I$2,[71]table_male_hkom1_inj.ill_X4!$A$1:$K$36,22,FALSE),0)</f>
        <v>0</v>
      </c>
      <c r="J2338">
        <f>IFERROR(HLOOKUP(J$2,[71]table_male_hkom1_inj.ill_X4!$A$1:$K$36,22,FALSE),0)</f>
        <v>0</v>
      </c>
      <c r="K2338">
        <f>IFERROR(HLOOKUP(K$2,[71]table_male_hkom1_inj.ill_X4!$A$1:$K$36,22,FALSE),0)</f>
        <v>0</v>
      </c>
      <c r="L2338">
        <f>IFERROR(HLOOKUP(L$2,[71]table_male_hkom1_inj.ill_X4!$A$1:$K$36,22,FALSE),0)</f>
        <v>0</v>
      </c>
      <c r="M2338">
        <f t="shared" si="727"/>
        <v>0</v>
      </c>
      <c r="S2338" t="s">
        <v>90</v>
      </c>
      <c r="T2338" s="5">
        <f t="shared" si="728"/>
        <v>0</v>
      </c>
      <c r="U2338" s="5">
        <f t="shared" si="729"/>
        <v>0</v>
      </c>
      <c r="V2338" s="5">
        <f t="shared" si="730"/>
        <v>0</v>
      </c>
      <c r="W2338" s="5">
        <f t="shared" si="731"/>
        <v>0</v>
      </c>
      <c r="X2338" s="5">
        <f t="shared" si="732"/>
        <v>0</v>
      </c>
      <c r="Y2338" s="5">
        <f t="shared" si="733"/>
        <v>0</v>
      </c>
      <c r="Z2338" s="5">
        <f t="shared" si="734"/>
        <v>0</v>
      </c>
      <c r="AA2338" s="5">
        <f t="shared" si="735"/>
        <v>0</v>
      </c>
      <c r="AB2338" s="5">
        <f t="shared" si="715"/>
        <v>0</v>
      </c>
    </row>
    <row r="2339" spans="1:29" x14ac:dyDescent="0.25">
      <c r="D2339" t="s">
        <v>91</v>
      </c>
      <c r="E2339" s="14"/>
      <c r="F2339" s="14"/>
      <c r="G2339">
        <f>IFERROR(HLOOKUP(G$2,[71]table_male_hkom1_inj.ill_X4!$A$1:$K$36,23,FALSE),0)</f>
        <v>0</v>
      </c>
      <c r="H2339">
        <f>IFERROR(HLOOKUP(H$2,[71]table_male_hkom1_inj.ill_X4!$A$1:$K$36,23,FALSE),0)</f>
        <v>0</v>
      </c>
      <c r="I2339">
        <f>IFERROR(HLOOKUP(I$2,[71]table_male_hkom1_inj.ill_X4!$A$1:$K$36,23,FALSE),0)</f>
        <v>0</v>
      </c>
      <c r="J2339">
        <f>IFERROR(HLOOKUP(J$2,[71]table_male_hkom1_inj.ill_X4!$A$1:$K$36,23,FALSE),0)</f>
        <v>0</v>
      </c>
      <c r="K2339">
        <f>IFERROR(HLOOKUP(K$2,[71]table_male_hkom1_inj.ill_X4!$A$1:$K$36,23,FALSE),0)</f>
        <v>0</v>
      </c>
      <c r="L2339">
        <f>IFERROR(HLOOKUP(L$2,[71]table_male_hkom1_inj.ill_X4!$A$1:$K$36,23,FALSE),0)</f>
        <v>0</v>
      </c>
      <c r="M2339">
        <f t="shared" si="727"/>
        <v>0</v>
      </c>
      <c r="S2339" t="s">
        <v>91</v>
      </c>
      <c r="T2339" s="5">
        <f t="shared" si="728"/>
        <v>0</v>
      </c>
      <c r="U2339" s="5">
        <f t="shared" si="729"/>
        <v>0</v>
      </c>
      <c r="V2339" s="5">
        <f t="shared" si="730"/>
        <v>0</v>
      </c>
      <c r="W2339" s="5">
        <f t="shared" si="731"/>
        <v>0</v>
      </c>
      <c r="X2339" s="5">
        <f t="shared" si="732"/>
        <v>0</v>
      </c>
      <c r="Y2339" s="5">
        <f t="shared" si="733"/>
        <v>0</v>
      </c>
      <c r="Z2339" s="5">
        <f t="shared" si="734"/>
        <v>0</v>
      </c>
      <c r="AA2339" s="5">
        <f t="shared" si="735"/>
        <v>0</v>
      </c>
      <c r="AB2339" s="5">
        <f t="shared" si="715"/>
        <v>0</v>
      </c>
    </row>
    <row r="2340" spans="1:29" x14ac:dyDescent="0.25">
      <c r="D2340" t="s">
        <v>92</v>
      </c>
      <c r="E2340" s="14"/>
      <c r="F2340" s="14"/>
      <c r="G2340">
        <f>IFERROR(HLOOKUP(G$2,[71]table_male_hkom1_inj.ill_X4!$A$1:$K$36,24,FALSE),0)</f>
        <v>0</v>
      </c>
      <c r="H2340">
        <f>IFERROR(HLOOKUP(H$2,[71]table_male_hkom1_inj.ill_X4!$A$1:$K$36,24,FALSE),0)</f>
        <v>0</v>
      </c>
      <c r="I2340">
        <f>IFERROR(HLOOKUP(I$2,[71]table_male_hkom1_inj.ill_X4!$A$1:$K$36,24,FALSE),0)</f>
        <v>0</v>
      </c>
      <c r="J2340">
        <f>IFERROR(HLOOKUP(J$2,[71]table_male_hkom1_inj.ill_X4!$A$1:$K$36,24,FALSE),0)</f>
        <v>0</v>
      </c>
      <c r="K2340">
        <f>IFERROR(HLOOKUP(K$2,[71]table_male_hkom1_inj.ill_X4!$A$1:$K$36,24,FALSE),0)</f>
        <v>0</v>
      </c>
      <c r="L2340">
        <f>IFERROR(HLOOKUP(L$2,[71]table_male_hkom1_inj.ill_X4!$A$1:$K$36,24,FALSE),0)</f>
        <v>0</v>
      </c>
      <c r="M2340">
        <f t="shared" si="727"/>
        <v>0</v>
      </c>
      <c r="S2340" t="s">
        <v>92</v>
      </c>
      <c r="T2340" s="5">
        <f t="shared" si="728"/>
        <v>0</v>
      </c>
      <c r="U2340" s="5">
        <f t="shared" si="729"/>
        <v>0</v>
      </c>
      <c r="V2340" s="5">
        <f t="shared" si="730"/>
        <v>0</v>
      </c>
      <c r="W2340" s="5">
        <f t="shared" si="731"/>
        <v>0</v>
      </c>
      <c r="X2340" s="5">
        <f t="shared" si="732"/>
        <v>0</v>
      </c>
      <c r="Y2340" s="5">
        <f t="shared" si="733"/>
        <v>0</v>
      </c>
      <c r="Z2340" s="5">
        <f t="shared" si="734"/>
        <v>0</v>
      </c>
      <c r="AA2340" s="5">
        <f t="shared" si="735"/>
        <v>0</v>
      </c>
      <c r="AB2340" s="5">
        <f t="shared" si="715"/>
        <v>0</v>
      </c>
    </row>
    <row r="2341" spans="1:29" x14ac:dyDescent="0.25">
      <c r="D2341" t="s">
        <v>93</v>
      </c>
      <c r="E2341" s="14"/>
      <c r="F2341" s="14"/>
      <c r="G2341">
        <f>IFERROR(HLOOKUP(G$2,[71]table_male_hkom1_inj.ill_X4!$A$1:$K$36,25,FALSE),0)</f>
        <v>0</v>
      </c>
      <c r="H2341">
        <f>IFERROR(HLOOKUP(H$2,[71]table_male_hkom1_inj.ill_X4!$A$1:$K$36,25,FALSE),0)</f>
        <v>0</v>
      </c>
      <c r="I2341">
        <f>IFERROR(HLOOKUP(I$2,[71]table_male_hkom1_inj.ill_X4!$A$1:$K$36,25,FALSE),0)</f>
        <v>0</v>
      </c>
      <c r="J2341">
        <f>IFERROR(HLOOKUP(J$2,[71]table_male_hkom1_inj.ill_X4!$A$1:$K$36,25,FALSE),0)</f>
        <v>0</v>
      </c>
      <c r="K2341">
        <f>IFERROR(HLOOKUP(K$2,[71]table_male_hkom1_inj.ill_X4!$A$1:$K$36,25,FALSE),0)</f>
        <v>0</v>
      </c>
      <c r="L2341">
        <f>IFERROR(HLOOKUP(L$2,[71]table_male_hkom1_inj.ill_X4!$A$1:$K$36,25,FALSE),0)</f>
        <v>0</v>
      </c>
      <c r="M2341">
        <f t="shared" si="727"/>
        <v>0</v>
      </c>
      <c r="S2341" t="s">
        <v>93</v>
      </c>
      <c r="T2341" s="5">
        <f t="shared" si="728"/>
        <v>0</v>
      </c>
      <c r="U2341" s="5">
        <f t="shared" si="729"/>
        <v>0</v>
      </c>
      <c r="V2341" s="5">
        <f t="shared" si="730"/>
        <v>0</v>
      </c>
      <c r="W2341" s="5">
        <f t="shared" si="731"/>
        <v>0</v>
      </c>
      <c r="X2341" s="5">
        <f t="shared" si="732"/>
        <v>0</v>
      </c>
      <c r="Y2341" s="5">
        <f t="shared" si="733"/>
        <v>0</v>
      </c>
      <c r="Z2341" s="5">
        <f t="shared" si="734"/>
        <v>0</v>
      </c>
      <c r="AA2341" s="5">
        <f t="shared" si="735"/>
        <v>0</v>
      </c>
      <c r="AB2341" s="5">
        <f t="shared" si="715"/>
        <v>0</v>
      </c>
    </row>
    <row r="2342" spans="1:29" x14ac:dyDescent="0.25">
      <c r="D2342" t="s">
        <v>94</v>
      </c>
      <c r="E2342" s="14"/>
      <c r="F2342" s="14"/>
      <c r="G2342">
        <f>IFERROR(HLOOKUP(G$2,[71]table_male_hkom1_inj.ill_X4!$A$1:$K$36,26,FALSE),0)</f>
        <v>0</v>
      </c>
      <c r="H2342">
        <f>IFERROR(HLOOKUP(H$2,[71]table_male_hkom1_inj.ill_X4!$A$1:$K$36,26,FALSE),0)</f>
        <v>0</v>
      </c>
      <c r="I2342">
        <f>IFERROR(HLOOKUP(I$2,[71]table_male_hkom1_inj.ill_X4!$A$1:$K$36,26,FALSE),0)</f>
        <v>0</v>
      </c>
      <c r="J2342">
        <f>IFERROR(HLOOKUP(J$2,[71]table_male_hkom1_inj.ill_X4!$A$1:$K$36,26,FALSE),0)</f>
        <v>0</v>
      </c>
      <c r="K2342">
        <f>IFERROR(HLOOKUP(K$2,[71]table_male_hkom1_inj.ill_X4!$A$1:$K$36,26,FALSE),0)</f>
        <v>0</v>
      </c>
      <c r="L2342">
        <f>IFERROR(HLOOKUP(L$2,[71]table_male_hkom1_inj.ill_X4!$A$1:$K$36,26,FALSE),0)</f>
        <v>0</v>
      </c>
      <c r="M2342">
        <f t="shared" si="727"/>
        <v>0</v>
      </c>
      <c r="S2342" t="s">
        <v>94</v>
      </c>
      <c r="T2342" s="5">
        <f t="shared" si="728"/>
        <v>0</v>
      </c>
      <c r="U2342" s="5">
        <f t="shared" si="729"/>
        <v>0</v>
      </c>
      <c r="V2342" s="5">
        <f t="shared" si="730"/>
        <v>0</v>
      </c>
      <c r="W2342" s="5">
        <f t="shared" si="731"/>
        <v>0</v>
      </c>
      <c r="X2342" s="5">
        <f t="shared" si="732"/>
        <v>0</v>
      </c>
      <c r="Y2342" s="5">
        <f t="shared" si="733"/>
        <v>0</v>
      </c>
      <c r="Z2342" s="5">
        <f t="shared" si="734"/>
        <v>0</v>
      </c>
      <c r="AA2342" s="5">
        <f t="shared" si="735"/>
        <v>0</v>
      </c>
      <c r="AB2342" s="5">
        <f t="shared" si="715"/>
        <v>0</v>
      </c>
    </row>
    <row r="2343" spans="1:29" x14ac:dyDescent="0.25">
      <c r="D2343" t="s">
        <v>95</v>
      </c>
      <c r="E2343" s="14"/>
      <c r="F2343" s="14"/>
      <c r="G2343">
        <f>IFERROR(HLOOKUP(G$2,[71]table_male_hkom1_inj.ill_X4!$A$1:$K$36,27,FALSE),0)</f>
        <v>0</v>
      </c>
      <c r="H2343">
        <f>IFERROR(HLOOKUP(H$2,[71]table_male_hkom1_inj.ill_X4!$A$1:$K$36,27,FALSE),0)</f>
        <v>0</v>
      </c>
      <c r="I2343">
        <f>IFERROR(HLOOKUP(I$2,[71]table_male_hkom1_inj.ill_X4!$A$1:$K$36,27,FALSE),0)</f>
        <v>0</v>
      </c>
      <c r="J2343">
        <f>IFERROR(HLOOKUP(J$2,[71]table_male_hkom1_inj.ill_X4!$A$1:$K$36,27,FALSE),0)</f>
        <v>0</v>
      </c>
      <c r="K2343">
        <f>IFERROR(HLOOKUP(K$2,[71]table_male_hkom1_inj.ill_X4!$A$1:$K$36,27,FALSE),0)</f>
        <v>0</v>
      </c>
      <c r="L2343">
        <f>IFERROR(HLOOKUP(L$2,[71]table_male_hkom1_inj.ill_X4!$A$1:$K$36,27,FALSE),0)</f>
        <v>0</v>
      </c>
      <c r="M2343">
        <f t="shared" si="727"/>
        <v>0</v>
      </c>
      <c r="S2343" t="s">
        <v>95</v>
      </c>
      <c r="T2343" s="5">
        <f t="shared" si="728"/>
        <v>0</v>
      </c>
      <c r="U2343" s="5">
        <f t="shared" si="729"/>
        <v>0</v>
      </c>
      <c r="V2343" s="5">
        <f t="shared" si="730"/>
        <v>0</v>
      </c>
      <c r="W2343" s="5">
        <f t="shared" si="731"/>
        <v>0</v>
      </c>
      <c r="X2343" s="5">
        <f t="shared" si="732"/>
        <v>0</v>
      </c>
      <c r="Y2343" s="5">
        <f t="shared" si="733"/>
        <v>0</v>
      </c>
      <c r="Z2343" s="5">
        <f t="shared" si="734"/>
        <v>0</v>
      </c>
      <c r="AA2343" s="5">
        <f t="shared" si="735"/>
        <v>0</v>
      </c>
      <c r="AB2343" s="5">
        <f t="shared" si="715"/>
        <v>0</v>
      </c>
    </row>
    <row r="2344" spans="1:29" x14ac:dyDescent="0.25">
      <c r="D2344" t="s">
        <v>96</v>
      </c>
      <c r="E2344" s="14"/>
      <c r="F2344" s="14"/>
      <c r="G2344">
        <f>IFERROR(HLOOKUP(G$2,[71]table_male_hkom1_inj.ill_X4!$A$1:$K$36,28,FALSE),0)</f>
        <v>0</v>
      </c>
      <c r="H2344">
        <f>IFERROR(HLOOKUP(H$2,[71]table_male_hkom1_inj.ill_X4!$A$1:$K$36,28,FALSE),0)</f>
        <v>0</v>
      </c>
      <c r="I2344">
        <f>IFERROR(HLOOKUP(I$2,[71]table_male_hkom1_inj.ill_X4!$A$1:$K$36,28,FALSE),0)</f>
        <v>0</v>
      </c>
      <c r="J2344">
        <f>IFERROR(HLOOKUP(J$2,[71]table_male_hkom1_inj.ill_X4!$A$1:$K$36,28,FALSE),0)</f>
        <v>0</v>
      </c>
      <c r="K2344">
        <f>IFERROR(HLOOKUP(K$2,[71]table_male_hkom1_inj.ill_X4!$A$1:$K$36,28,FALSE),0)</f>
        <v>0</v>
      </c>
      <c r="L2344">
        <f>IFERROR(HLOOKUP(L$2,[71]table_male_hkom1_inj.ill_X4!$A$1:$K$36,28,FALSE),0)</f>
        <v>0</v>
      </c>
      <c r="M2344">
        <f t="shared" si="727"/>
        <v>0</v>
      </c>
      <c r="S2344" t="s">
        <v>96</v>
      </c>
      <c r="T2344" s="5">
        <f t="shared" si="728"/>
        <v>0</v>
      </c>
      <c r="U2344" s="5">
        <f t="shared" si="729"/>
        <v>0</v>
      </c>
      <c r="V2344" s="5">
        <f t="shared" si="730"/>
        <v>0</v>
      </c>
      <c r="W2344" s="5">
        <f t="shared" si="731"/>
        <v>0</v>
      </c>
      <c r="X2344" s="5">
        <f t="shared" si="732"/>
        <v>0</v>
      </c>
      <c r="Y2344" s="5">
        <f t="shared" si="733"/>
        <v>0</v>
      </c>
      <c r="Z2344" s="5">
        <f t="shared" si="734"/>
        <v>0</v>
      </c>
      <c r="AA2344" s="5">
        <f t="shared" si="735"/>
        <v>0</v>
      </c>
      <c r="AB2344" s="5">
        <f t="shared" si="715"/>
        <v>0</v>
      </c>
    </row>
    <row r="2345" spans="1:29" x14ac:dyDescent="0.25">
      <c r="D2345" t="s">
        <v>97</v>
      </c>
      <c r="E2345" s="14"/>
      <c r="F2345" s="14"/>
      <c r="G2345">
        <f>IFERROR(HLOOKUP(G$2,[71]table_male_hkom1_inj.ill_X4!$A$1:$K$36,29,FALSE),0)</f>
        <v>0</v>
      </c>
      <c r="H2345">
        <f>IFERROR(HLOOKUP(H$2,[71]table_male_hkom1_inj.ill_X4!$A$1:$K$36,29,FALSE),0)</f>
        <v>0</v>
      </c>
      <c r="I2345">
        <f>IFERROR(HLOOKUP(I$2,[71]table_male_hkom1_inj.ill_X4!$A$1:$K$36,29,FALSE),0)</f>
        <v>0</v>
      </c>
      <c r="J2345">
        <f>IFERROR(HLOOKUP(J$2,[71]table_male_hkom1_inj.ill_X4!$A$1:$K$36,29,FALSE),0)</f>
        <v>0</v>
      </c>
      <c r="K2345">
        <f>IFERROR(HLOOKUP(K$2,[71]table_male_hkom1_inj.ill_X4!$A$1:$K$36,29,FALSE),0)</f>
        <v>0</v>
      </c>
      <c r="L2345">
        <f>IFERROR(HLOOKUP(L$2,[71]table_male_hkom1_inj.ill_X4!$A$1:$K$36,29,FALSE),0)</f>
        <v>0</v>
      </c>
      <c r="M2345">
        <f t="shared" si="727"/>
        <v>0</v>
      </c>
      <c r="S2345" t="s">
        <v>97</v>
      </c>
      <c r="T2345" s="5">
        <f t="shared" si="728"/>
        <v>0</v>
      </c>
      <c r="U2345" s="5">
        <f t="shared" si="729"/>
        <v>0</v>
      </c>
      <c r="V2345" s="5">
        <f t="shared" si="730"/>
        <v>0</v>
      </c>
      <c r="W2345" s="5">
        <f t="shared" si="731"/>
        <v>0</v>
      </c>
      <c r="X2345" s="5">
        <f t="shared" si="732"/>
        <v>0</v>
      </c>
      <c r="Y2345" s="5">
        <f t="shared" si="733"/>
        <v>0</v>
      </c>
      <c r="Z2345" s="5">
        <f t="shared" si="734"/>
        <v>0</v>
      </c>
      <c r="AA2345" s="5">
        <f t="shared" si="735"/>
        <v>0</v>
      </c>
      <c r="AB2345" s="5">
        <f t="shared" si="715"/>
        <v>0</v>
      </c>
    </row>
    <row r="2346" spans="1:29" x14ac:dyDescent="0.25">
      <c r="D2346" t="s">
        <v>98</v>
      </c>
      <c r="E2346" s="14"/>
      <c r="F2346" s="14"/>
      <c r="G2346">
        <f>IFERROR(HLOOKUP(G$2,[71]table_male_hkom1_inj.ill_X4!$A$1:$K$36,30,FALSE),0)</f>
        <v>0</v>
      </c>
      <c r="H2346">
        <f>IFERROR(HLOOKUP(H$2,[71]table_male_hkom1_inj.ill_X4!$A$1:$K$36,30,FALSE),0)</f>
        <v>0</v>
      </c>
      <c r="I2346">
        <f>IFERROR(HLOOKUP(I$2,[71]table_male_hkom1_inj.ill_X4!$A$1:$K$36,30,FALSE),0)</f>
        <v>0</v>
      </c>
      <c r="J2346">
        <f>IFERROR(HLOOKUP(J$2,[71]table_male_hkom1_inj.ill_X4!$A$1:$K$36,30,FALSE),0)</f>
        <v>0</v>
      </c>
      <c r="K2346">
        <f>IFERROR(HLOOKUP(K$2,[71]table_male_hkom1_inj.ill_X4!$A$1:$K$36,30,FALSE),0)</f>
        <v>0</v>
      </c>
      <c r="L2346">
        <f>IFERROR(HLOOKUP(L$2,[71]table_male_hkom1_inj.ill_X4!$A$1:$K$36,30,FALSE),0)</f>
        <v>0</v>
      </c>
      <c r="M2346">
        <f t="shared" si="727"/>
        <v>0</v>
      </c>
      <c r="S2346" t="s">
        <v>98</v>
      </c>
      <c r="T2346" s="5">
        <f t="shared" si="728"/>
        <v>0</v>
      </c>
      <c r="U2346" s="5">
        <f t="shared" si="729"/>
        <v>0</v>
      </c>
      <c r="V2346" s="5">
        <f t="shared" si="730"/>
        <v>0</v>
      </c>
      <c r="W2346" s="5">
        <f t="shared" si="731"/>
        <v>0</v>
      </c>
      <c r="X2346" s="5">
        <f t="shared" si="732"/>
        <v>0</v>
      </c>
      <c r="Y2346" s="5">
        <f t="shared" si="733"/>
        <v>0</v>
      </c>
      <c r="Z2346" s="5">
        <f t="shared" si="734"/>
        <v>0</v>
      </c>
      <c r="AA2346" s="5">
        <f t="shared" si="735"/>
        <v>0</v>
      </c>
      <c r="AB2346" s="5">
        <f t="shared" si="715"/>
        <v>0</v>
      </c>
    </row>
    <row r="2347" spans="1:29" x14ac:dyDescent="0.25">
      <c r="D2347" t="s">
        <v>119</v>
      </c>
      <c r="E2347" s="14"/>
      <c r="F2347" s="14"/>
      <c r="G2347">
        <f>IFERROR(HLOOKUP(G$2,[71]table_male_hkom1_inj.ill_X4!$A$1:$K$36,31,FALSE),0)</f>
        <v>0</v>
      </c>
      <c r="H2347">
        <f>IFERROR(HLOOKUP(H$2,[71]table_male_hkom1_inj.ill_X4!$A$1:$K$36,31,FALSE),0)</f>
        <v>0</v>
      </c>
      <c r="I2347">
        <f>IFERROR(HLOOKUP(I$2,[71]table_male_hkom1_inj.ill_X4!$A$1:$K$36,31,FALSE),0)</f>
        <v>0</v>
      </c>
      <c r="J2347">
        <f>IFERROR(HLOOKUP(J$2,[71]table_male_hkom1_inj.ill_X4!$A$1:$K$36,31,FALSE),0)</f>
        <v>0</v>
      </c>
      <c r="K2347">
        <f>IFERROR(HLOOKUP(K$2,[71]table_male_hkom1_inj.ill_X4!$A$1:$K$36,31,FALSE),0)</f>
        <v>0</v>
      </c>
      <c r="L2347">
        <f>IFERROR(HLOOKUP(L$2,[71]table_male_hkom1_inj.ill_X4!$A$1:$K$36,31,FALSE),0)</f>
        <v>0</v>
      </c>
      <c r="M2347">
        <f t="shared" si="727"/>
        <v>0</v>
      </c>
      <c r="S2347" t="s">
        <v>119</v>
      </c>
      <c r="T2347" s="5">
        <f t="shared" si="728"/>
        <v>0</v>
      </c>
      <c r="U2347" s="5">
        <f t="shared" si="729"/>
        <v>0</v>
      </c>
      <c r="V2347" s="5">
        <f t="shared" si="730"/>
        <v>0</v>
      </c>
      <c r="W2347" s="5">
        <f t="shared" si="731"/>
        <v>0</v>
      </c>
      <c r="X2347" s="5">
        <f t="shared" si="732"/>
        <v>0</v>
      </c>
      <c r="Y2347" s="5">
        <f t="shared" si="733"/>
        <v>0</v>
      </c>
      <c r="Z2347" s="5">
        <f t="shared" si="734"/>
        <v>0</v>
      </c>
      <c r="AA2347" s="5">
        <f t="shared" si="735"/>
        <v>0</v>
      </c>
      <c r="AB2347" s="5">
        <f t="shared" ref="AB2347:AB2410" si="736">SUM(T2347:AA2347)</f>
        <v>0</v>
      </c>
    </row>
    <row r="2348" spans="1:29" x14ac:dyDescent="0.25">
      <c r="D2348" t="s">
        <v>99</v>
      </c>
      <c r="E2348" s="14"/>
      <c r="F2348" s="14"/>
      <c r="G2348">
        <f>IFERROR(HLOOKUP(G$2,[71]table_male_hkom1_inj.ill_X4!$A$1:$K$36,32,FALSE),0)</f>
        <v>0</v>
      </c>
      <c r="H2348">
        <f>IFERROR(HLOOKUP(H$2,[71]table_male_hkom1_inj.ill_X4!$A$1:$K$36,32,FALSE),0)</f>
        <v>0</v>
      </c>
      <c r="I2348">
        <f>IFERROR(HLOOKUP(I$2,[71]table_male_hkom1_inj.ill_X4!$A$1:$K$36,32,FALSE),0)</f>
        <v>0</v>
      </c>
      <c r="J2348">
        <f>IFERROR(HLOOKUP(J$2,[71]table_male_hkom1_inj.ill_X4!$A$1:$K$36,32,FALSE),0)</f>
        <v>0</v>
      </c>
      <c r="K2348">
        <f>IFERROR(HLOOKUP(K$2,[71]table_male_hkom1_inj.ill_X4!$A$1:$K$36,32,FALSE),0)</f>
        <v>0</v>
      </c>
      <c r="L2348">
        <f>IFERROR(HLOOKUP(L$2,[71]table_male_hkom1_inj.ill_X4!$A$1:$K$36,32,FALSE),0)</f>
        <v>0</v>
      </c>
      <c r="M2348">
        <f t="shared" si="727"/>
        <v>0</v>
      </c>
      <c r="S2348" t="s">
        <v>99</v>
      </c>
      <c r="T2348" s="5">
        <f t="shared" si="728"/>
        <v>0</v>
      </c>
      <c r="U2348" s="5">
        <f t="shared" si="729"/>
        <v>0</v>
      </c>
      <c r="V2348" s="5">
        <f t="shared" si="730"/>
        <v>0</v>
      </c>
      <c r="W2348" s="5">
        <f t="shared" si="731"/>
        <v>0</v>
      </c>
      <c r="X2348" s="5">
        <f t="shared" si="732"/>
        <v>0</v>
      </c>
      <c r="Y2348" s="5">
        <f t="shared" si="733"/>
        <v>0</v>
      </c>
      <c r="Z2348" s="5">
        <f t="shared" si="734"/>
        <v>0</v>
      </c>
      <c r="AA2348" s="5">
        <f t="shared" si="735"/>
        <v>0</v>
      </c>
      <c r="AB2348" s="5">
        <f t="shared" si="736"/>
        <v>0</v>
      </c>
    </row>
    <row r="2349" spans="1:29" x14ac:dyDescent="0.25">
      <c r="D2349" t="s">
        <v>100</v>
      </c>
      <c r="E2349" s="14"/>
      <c r="F2349" s="14"/>
      <c r="G2349">
        <f>IFERROR(HLOOKUP(G$2,[71]table_male_hkom1_inj.ill_X4!$A$1:$K$36,33,FALSE),0)</f>
        <v>0</v>
      </c>
      <c r="H2349">
        <f>IFERROR(HLOOKUP(H$2,[71]table_male_hkom1_inj.ill_X4!$A$1:$K$36,33,FALSE),0)</f>
        <v>0</v>
      </c>
      <c r="I2349">
        <f>IFERROR(HLOOKUP(I$2,[71]table_male_hkom1_inj.ill_X4!$A$1:$K$36,33,FALSE),0)</f>
        <v>0</v>
      </c>
      <c r="J2349">
        <f>IFERROR(HLOOKUP(J$2,[71]table_male_hkom1_inj.ill_X4!$A$1:$K$36,33,FALSE),0)</f>
        <v>0</v>
      </c>
      <c r="K2349">
        <f>IFERROR(HLOOKUP(K$2,[71]table_male_hkom1_inj.ill_X4!$A$1:$K$36,33,FALSE),0)</f>
        <v>0</v>
      </c>
      <c r="L2349">
        <f>IFERROR(HLOOKUP(L$2,[71]table_male_hkom1_inj.ill_X4!$A$1:$K$36,33,FALSE),0)</f>
        <v>0</v>
      </c>
      <c r="M2349">
        <f t="shared" si="727"/>
        <v>0</v>
      </c>
      <c r="S2349" t="s">
        <v>100</v>
      </c>
      <c r="T2349" s="5">
        <f t="shared" si="728"/>
        <v>0</v>
      </c>
      <c r="U2349" s="5">
        <f t="shared" si="729"/>
        <v>0</v>
      </c>
      <c r="V2349" s="5">
        <f t="shared" si="730"/>
        <v>0</v>
      </c>
      <c r="W2349" s="5">
        <f t="shared" si="731"/>
        <v>0</v>
      </c>
      <c r="X2349" s="5">
        <f t="shared" si="732"/>
        <v>0</v>
      </c>
      <c r="Y2349" s="5">
        <f t="shared" si="733"/>
        <v>0</v>
      </c>
      <c r="Z2349" s="5">
        <f t="shared" si="734"/>
        <v>0</v>
      </c>
      <c r="AA2349" s="5">
        <f t="shared" si="735"/>
        <v>0</v>
      </c>
      <c r="AB2349" s="5">
        <f t="shared" si="736"/>
        <v>0</v>
      </c>
    </row>
    <row r="2350" spans="1:29" x14ac:dyDescent="0.25">
      <c r="D2350" t="s">
        <v>101</v>
      </c>
      <c r="E2350" s="14"/>
      <c r="F2350" s="14"/>
      <c r="G2350">
        <f>IFERROR(HLOOKUP(G$2,[71]table_male_hkom1_inj.ill_X4!$A$1:$K$36,34,FALSE),0)</f>
        <v>0</v>
      </c>
      <c r="H2350">
        <f>IFERROR(HLOOKUP(H$2,[71]table_male_hkom1_inj.ill_X4!$A$1:$K$36,34,FALSE),0)</f>
        <v>1</v>
      </c>
      <c r="I2350">
        <f>IFERROR(HLOOKUP(I$2,[71]table_male_hkom1_inj.ill_X4!$A$1:$K$36,34,FALSE),0)</f>
        <v>0</v>
      </c>
      <c r="J2350">
        <f>IFERROR(HLOOKUP(J$2,[71]table_male_hkom1_inj.ill_X4!$A$1:$K$36,34,FALSE),0)</f>
        <v>0</v>
      </c>
      <c r="K2350">
        <f>IFERROR(HLOOKUP(K$2,[71]table_male_hkom1_inj.ill_X4!$A$1:$K$36,34,FALSE),0)</f>
        <v>0</v>
      </c>
      <c r="L2350">
        <f>IFERROR(HLOOKUP(L$2,[71]table_male_hkom1_inj.ill_X4!$A$1:$K$36,34,FALSE),0)</f>
        <v>0</v>
      </c>
      <c r="M2350">
        <f t="shared" si="727"/>
        <v>1</v>
      </c>
      <c r="S2350" t="s">
        <v>101</v>
      </c>
      <c r="T2350" s="5">
        <f t="shared" si="728"/>
        <v>0</v>
      </c>
      <c r="U2350" s="5">
        <f t="shared" si="729"/>
        <v>0</v>
      </c>
      <c r="V2350" s="5">
        <f t="shared" si="730"/>
        <v>0</v>
      </c>
      <c r="W2350" s="5">
        <f t="shared" si="731"/>
        <v>1.6666666666666665</v>
      </c>
      <c r="X2350" s="5">
        <f t="shared" si="732"/>
        <v>0</v>
      </c>
      <c r="Y2350" s="5">
        <f t="shared" si="733"/>
        <v>0</v>
      </c>
      <c r="Z2350" s="5">
        <f t="shared" si="734"/>
        <v>0</v>
      </c>
      <c r="AA2350" s="5">
        <f t="shared" si="735"/>
        <v>0</v>
      </c>
      <c r="AB2350" s="5">
        <f t="shared" si="736"/>
        <v>1.6666666666666665</v>
      </c>
    </row>
    <row r="2351" spans="1:29" x14ac:dyDescent="0.25">
      <c r="D2351" t="s">
        <v>102</v>
      </c>
      <c r="E2351" s="14"/>
      <c r="F2351" s="14"/>
      <c r="G2351">
        <f>IFERROR(HLOOKUP(G$2,[71]table_male_hkom1_inj.ill_X4!$A$1:$K$36,35,FALSE),0)</f>
        <v>0</v>
      </c>
      <c r="H2351">
        <f>IFERROR(HLOOKUP(H$2,[71]table_male_hkom1_inj.ill_X4!$A$1:$K$36,35,FALSE),0)</f>
        <v>2</v>
      </c>
      <c r="I2351">
        <f>IFERROR(HLOOKUP(I$2,[71]table_male_hkom1_inj.ill_X4!$A$1:$K$36,35,FALSE),0)</f>
        <v>0</v>
      </c>
      <c r="J2351">
        <f>IFERROR(HLOOKUP(J$2,[71]table_male_hkom1_inj.ill_X4!$A$1:$K$36,35,FALSE),0)</f>
        <v>0</v>
      </c>
      <c r="K2351">
        <f>IFERROR(HLOOKUP(K$2,[71]table_male_hkom1_inj.ill_X4!$A$1:$K$36,35,FALSE),0)</f>
        <v>0</v>
      </c>
      <c r="L2351">
        <f>IFERROR(HLOOKUP(L$2,[71]table_male_hkom1_inj.ill_X4!$A$1:$K$36,35,FALSE),0)</f>
        <v>0</v>
      </c>
      <c r="M2351">
        <f t="shared" si="727"/>
        <v>2</v>
      </c>
      <c r="N2351">
        <f>SUM(M2318:M2351)</f>
        <v>7</v>
      </c>
      <c r="O2351" s="8">
        <f>SUM([71]table_male_hkom1_inj.ill_X4!$B$2:$L$37)</f>
        <v>7</v>
      </c>
      <c r="S2351" t="s">
        <v>102</v>
      </c>
      <c r="T2351" s="7"/>
      <c r="U2351" s="7"/>
      <c r="V2351" s="7"/>
      <c r="W2351" s="7"/>
      <c r="X2351" s="7"/>
      <c r="Y2351" s="7"/>
      <c r="Z2351" s="7"/>
      <c r="AA2351" s="7"/>
      <c r="AB2351" s="5">
        <f t="shared" si="736"/>
        <v>0</v>
      </c>
      <c r="AC2351" s="5">
        <f>SUM(AB2318:AB2350)</f>
        <v>7</v>
      </c>
    </row>
    <row r="2352" spans="1:29" x14ac:dyDescent="0.25">
      <c r="A2352" t="s">
        <v>104</v>
      </c>
      <c r="B2352" t="s">
        <v>103</v>
      </c>
      <c r="C2352" t="s">
        <v>127</v>
      </c>
      <c r="D2352" t="s">
        <v>70</v>
      </c>
      <c r="E2352" s="14"/>
      <c r="F2352" s="14"/>
      <c r="G2352">
        <f>IFERROR(HLOOKUP(G$2,[72]table_male_hkom1_inj.ill_X5!$A$1:$K$36,2,FALSE),0)</f>
        <v>0</v>
      </c>
      <c r="H2352">
        <f>IFERROR(HLOOKUP(H$2,[72]table_male_hkom1_inj.ill_X5!$A$1:$K$36,2,FALSE),0)</f>
        <v>0</v>
      </c>
      <c r="I2352">
        <f>IFERROR(HLOOKUP(I$2,[72]table_male_hkom1_inj.ill_X5!$A$1:$K$36,2,FALSE),0)</f>
        <v>0</v>
      </c>
      <c r="J2352">
        <f>IFERROR(HLOOKUP(J$2,[72]table_male_hkom1_inj.ill_X5!$A$1:$K$36,2,FALSE),0)</f>
        <v>0</v>
      </c>
      <c r="K2352">
        <f>IFERROR(HLOOKUP(K$2,[72]table_male_hkom1_inj.ill_X5!$A$1:$K$36,2,FALSE),0)</f>
        <v>0</v>
      </c>
      <c r="L2352">
        <f>IFERROR(HLOOKUP(L$2,[72]table_male_hkom1_inj.ill_X5!$A$1:$K$36,2,FALSE),0)</f>
        <v>0</v>
      </c>
      <c r="M2352">
        <f>SUM(E2352:L2352)</f>
        <v>0</v>
      </c>
      <c r="P2352" t="s">
        <v>104</v>
      </c>
      <c r="Q2352" t="s">
        <v>103</v>
      </c>
      <c r="R2352" t="s">
        <v>127</v>
      </c>
      <c r="S2352" t="s">
        <v>70</v>
      </c>
      <c r="T2352" s="5">
        <f>IF(SUM(E$2352:E$2384)=0,E$2385/33,E2352+IFERROR(E2352/SUM(E$2352:E$2384)*E$2385,0))</f>
        <v>0</v>
      </c>
      <c r="U2352" s="5">
        <f t="shared" ref="U2352:AA2352" si="737">IF(SUM(F$2352:F$2384)=0,F$2385/33,F2352+IFERROR(F2352/SUM(F$2352:F$2384)*F$2385,0))</f>
        <v>0</v>
      </c>
      <c r="V2352" s="5">
        <f t="shared" si="737"/>
        <v>0</v>
      </c>
      <c r="W2352" s="5">
        <f t="shared" si="737"/>
        <v>0</v>
      </c>
      <c r="X2352" s="5">
        <f t="shared" si="737"/>
        <v>0</v>
      </c>
      <c r="Y2352" s="5">
        <f t="shared" si="737"/>
        <v>0</v>
      </c>
      <c r="Z2352" s="5">
        <f t="shared" si="737"/>
        <v>0</v>
      </c>
      <c r="AA2352" s="5">
        <f t="shared" si="737"/>
        <v>0</v>
      </c>
      <c r="AB2352" s="5">
        <f t="shared" si="736"/>
        <v>0</v>
      </c>
    </row>
    <row r="2353" spans="4:28" x14ac:dyDescent="0.25">
      <c r="D2353" t="s">
        <v>71</v>
      </c>
      <c r="E2353" s="14"/>
      <c r="F2353" s="14"/>
      <c r="G2353">
        <f>IFERROR(HLOOKUP(G$2,[72]table_male_hkom1_inj.ill_X5!$A$1:$K$36,3,FALSE),0)</f>
        <v>0</v>
      </c>
      <c r="H2353">
        <f>IFERROR(HLOOKUP(H$2,[72]table_male_hkom1_inj.ill_X5!$A$1:$K$36,3,FALSE),0)</f>
        <v>0</v>
      </c>
      <c r="I2353">
        <f>IFERROR(HLOOKUP(I$2,[72]table_male_hkom1_inj.ill_X5!$A$1:$K$36,3,FALSE),0)</f>
        <v>0</v>
      </c>
      <c r="J2353">
        <f>IFERROR(HLOOKUP(J$2,[72]table_male_hkom1_inj.ill_X5!$A$1:$K$36,3,FALSE),0)</f>
        <v>0</v>
      </c>
      <c r="K2353">
        <f>IFERROR(HLOOKUP(K$2,[72]table_male_hkom1_inj.ill_X5!$A$1:$K$36,3,FALSE),0)</f>
        <v>0</v>
      </c>
      <c r="L2353">
        <f>IFERROR(HLOOKUP(L$2,[72]table_male_hkom1_inj.ill_X5!$A$1:$K$36,3,FALSE),0)</f>
        <v>0</v>
      </c>
      <c r="M2353">
        <f t="shared" ref="M2353:M2385" si="738">SUM(E2353:L2353)</f>
        <v>0</v>
      </c>
      <c r="S2353" t="s">
        <v>71</v>
      </c>
      <c r="T2353" s="5">
        <f t="shared" ref="T2353:T2384" si="739">IF(SUM(E$2352:E$2384)=0,E$2385/33,E2353+IFERROR(E2353/SUM(E$2352:E$2384)*E$2385,0))</f>
        <v>0</v>
      </c>
      <c r="U2353" s="5">
        <f t="shared" ref="U2353:U2384" si="740">IF(SUM(F$2352:F$2384)=0,F$2385/33,F2353+IFERROR(F2353/SUM(F$2352:F$2384)*F$2385,0))</f>
        <v>0</v>
      </c>
      <c r="V2353" s="5">
        <f t="shared" ref="V2353:V2384" si="741">IF(SUM(G$2352:G$2384)=0,G$2385/33,G2353+IFERROR(G2353/SUM(G$2352:G$2384)*G$2385,0))</f>
        <v>0</v>
      </c>
      <c r="W2353" s="5">
        <f t="shared" ref="W2353:W2384" si="742">IF(SUM(H$2352:H$2384)=0,H$2385/33,H2353+IFERROR(H2353/SUM(H$2352:H$2384)*H$2385,0))</f>
        <v>0</v>
      </c>
      <c r="X2353" s="5">
        <f t="shared" ref="X2353:X2384" si="743">IF(SUM(I$2352:I$2384)=0,I$2385/33,I2353+IFERROR(I2353/SUM(I$2352:I$2384)*I$2385,0))</f>
        <v>0</v>
      </c>
      <c r="Y2353" s="5">
        <f t="shared" ref="Y2353:Y2384" si="744">IF(SUM(J$2352:J$2384)=0,J$2385/33,J2353+IFERROR(J2353/SUM(J$2352:J$2384)*J$2385,0))</f>
        <v>0</v>
      </c>
      <c r="Z2353" s="5">
        <f t="shared" ref="Z2353:Z2384" si="745">IF(SUM(K$2352:K$2384)=0,K$2385/33,K2353+IFERROR(K2353/SUM(K$2352:K$2384)*K$2385,0))</f>
        <v>0</v>
      </c>
      <c r="AA2353" s="5">
        <f t="shared" ref="AA2353:AA2384" si="746">IF(SUM(L$2352:L$2384)=0,L$2385/33,L2353+IFERROR(L2353/SUM(L$2352:L$2384)*L$2385,0))</f>
        <v>0</v>
      </c>
      <c r="AB2353" s="5">
        <f t="shared" si="736"/>
        <v>0</v>
      </c>
    </row>
    <row r="2354" spans="4:28" x14ac:dyDescent="0.25">
      <c r="D2354" t="s">
        <v>72</v>
      </c>
      <c r="E2354" s="14"/>
      <c r="F2354" s="14"/>
      <c r="G2354">
        <f>IFERROR(HLOOKUP(G$2,[72]table_male_hkom1_inj.ill_X5!$A$1:$K$36,4,FALSE),0)</f>
        <v>0</v>
      </c>
      <c r="H2354">
        <f>IFERROR(HLOOKUP(H$2,[72]table_male_hkom1_inj.ill_X5!$A$1:$K$36,4,FALSE),0)</f>
        <v>0</v>
      </c>
      <c r="I2354">
        <f>IFERROR(HLOOKUP(I$2,[72]table_male_hkom1_inj.ill_X5!$A$1:$K$36,4,FALSE),0)</f>
        <v>0</v>
      </c>
      <c r="J2354">
        <f>IFERROR(HLOOKUP(J$2,[72]table_male_hkom1_inj.ill_X5!$A$1:$K$36,4,FALSE),0)</f>
        <v>0</v>
      </c>
      <c r="K2354">
        <f>IFERROR(HLOOKUP(K$2,[72]table_male_hkom1_inj.ill_X5!$A$1:$K$36,4,FALSE),0)</f>
        <v>0</v>
      </c>
      <c r="L2354">
        <f>IFERROR(HLOOKUP(L$2,[72]table_male_hkom1_inj.ill_X5!$A$1:$K$36,4,FALSE),0)</f>
        <v>0</v>
      </c>
      <c r="M2354">
        <f t="shared" si="738"/>
        <v>0</v>
      </c>
      <c r="S2354" t="s">
        <v>72</v>
      </c>
      <c r="T2354" s="5">
        <f t="shared" si="739"/>
        <v>0</v>
      </c>
      <c r="U2354" s="5">
        <f t="shared" si="740"/>
        <v>0</v>
      </c>
      <c r="V2354" s="5">
        <f t="shared" si="741"/>
        <v>0</v>
      </c>
      <c r="W2354" s="5">
        <f t="shared" si="742"/>
        <v>0</v>
      </c>
      <c r="X2354" s="5">
        <f t="shared" si="743"/>
        <v>0</v>
      </c>
      <c r="Y2354" s="5">
        <f t="shared" si="744"/>
        <v>0</v>
      </c>
      <c r="Z2354" s="5">
        <f t="shared" si="745"/>
        <v>0</v>
      </c>
      <c r="AA2354" s="5">
        <f t="shared" si="746"/>
        <v>0</v>
      </c>
      <c r="AB2354" s="5">
        <f t="shared" si="736"/>
        <v>0</v>
      </c>
    </row>
    <row r="2355" spans="4:28" x14ac:dyDescent="0.25">
      <c r="D2355" t="s">
        <v>73</v>
      </c>
      <c r="E2355" s="14"/>
      <c r="F2355" s="14"/>
      <c r="G2355">
        <f>IFERROR(HLOOKUP(G$2,[72]table_male_hkom1_inj.ill_X5!$A$1:$K$36,5,FALSE),0)</f>
        <v>0</v>
      </c>
      <c r="H2355">
        <f>IFERROR(HLOOKUP(H$2,[72]table_male_hkom1_inj.ill_X5!$A$1:$K$36,5,FALSE),0)</f>
        <v>0</v>
      </c>
      <c r="I2355">
        <f>IFERROR(HLOOKUP(I$2,[72]table_male_hkom1_inj.ill_X5!$A$1:$K$36,5,FALSE),0)</f>
        <v>0</v>
      </c>
      <c r="J2355">
        <f>IFERROR(HLOOKUP(J$2,[72]table_male_hkom1_inj.ill_X5!$A$1:$K$36,5,FALSE),0)</f>
        <v>0</v>
      </c>
      <c r="K2355">
        <f>IFERROR(HLOOKUP(K$2,[72]table_male_hkom1_inj.ill_X5!$A$1:$K$36,5,FALSE),0)</f>
        <v>0</v>
      </c>
      <c r="L2355">
        <f>IFERROR(HLOOKUP(L$2,[72]table_male_hkom1_inj.ill_X5!$A$1:$K$36,5,FALSE),0)</f>
        <v>0</v>
      </c>
      <c r="M2355">
        <f t="shared" si="738"/>
        <v>0</v>
      </c>
      <c r="S2355" t="s">
        <v>73</v>
      </c>
      <c r="T2355" s="5">
        <f t="shared" si="739"/>
        <v>0</v>
      </c>
      <c r="U2355" s="5">
        <f t="shared" si="740"/>
        <v>0</v>
      </c>
      <c r="V2355" s="5">
        <f t="shared" si="741"/>
        <v>0</v>
      </c>
      <c r="W2355" s="5">
        <f t="shared" si="742"/>
        <v>0</v>
      </c>
      <c r="X2355" s="5">
        <f t="shared" si="743"/>
        <v>0</v>
      </c>
      <c r="Y2355" s="5">
        <f t="shared" si="744"/>
        <v>0</v>
      </c>
      <c r="Z2355" s="5">
        <f t="shared" si="745"/>
        <v>0</v>
      </c>
      <c r="AA2355" s="5">
        <f t="shared" si="746"/>
        <v>0</v>
      </c>
      <c r="AB2355" s="5">
        <f t="shared" si="736"/>
        <v>0</v>
      </c>
    </row>
    <row r="2356" spans="4:28" x14ac:dyDescent="0.25">
      <c r="D2356" t="s">
        <v>74</v>
      </c>
      <c r="E2356" s="14"/>
      <c r="F2356" s="14"/>
      <c r="G2356">
        <f>IFERROR(HLOOKUP(G$2,[72]table_male_hkom1_inj.ill_X5!$A$1:$K$36,6,FALSE),0)</f>
        <v>0</v>
      </c>
      <c r="H2356">
        <f>IFERROR(HLOOKUP(H$2,[72]table_male_hkom1_inj.ill_X5!$A$1:$K$36,6,FALSE),0)</f>
        <v>0</v>
      </c>
      <c r="I2356">
        <f>IFERROR(HLOOKUP(I$2,[72]table_male_hkom1_inj.ill_X5!$A$1:$K$36,6,FALSE),0)</f>
        <v>0</v>
      </c>
      <c r="J2356">
        <f>IFERROR(HLOOKUP(J$2,[72]table_male_hkom1_inj.ill_X5!$A$1:$K$36,6,FALSE),0)</f>
        <v>0</v>
      </c>
      <c r="K2356">
        <f>IFERROR(HLOOKUP(K$2,[72]table_male_hkom1_inj.ill_X5!$A$1:$K$36,6,FALSE),0)</f>
        <v>0</v>
      </c>
      <c r="L2356">
        <f>IFERROR(HLOOKUP(L$2,[72]table_male_hkom1_inj.ill_X5!$A$1:$K$36,6,FALSE),0)</f>
        <v>0</v>
      </c>
      <c r="M2356">
        <f t="shared" si="738"/>
        <v>0</v>
      </c>
      <c r="S2356" t="s">
        <v>74</v>
      </c>
      <c r="T2356" s="5">
        <f t="shared" si="739"/>
        <v>0</v>
      </c>
      <c r="U2356" s="5">
        <f t="shared" si="740"/>
        <v>0</v>
      </c>
      <c r="V2356" s="5">
        <f t="shared" si="741"/>
        <v>0</v>
      </c>
      <c r="W2356" s="5">
        <f t="shared" si="742"/>
        <v>0</v>
      </c>
      <c r="X2356" s="5">
        <f t="shared" si="743"/>
        <v>0</v>
      </c>
      <c r="Y2356" s="5">
        <f t="shared" si="744"/>
        <v>0</v>
      </c>
      <c r="Z2356" s="5">
        <f t="shared" si="745"/>
        <v>0</v>
      </c>
      <c r="AA2356" s="5">
        <f t="shared" si="746"/>
        <v>0</v>
      </c>
      <c r="AB2356" s="5">
        <f t="shared" si="736"/>
        <v>0</v>
      </c>
    </row>
    <row r="2357" spans="4:28" x14ac:dyDescent="0.25">
      <c r="D2357" t="s">
        <v>75</v>
      </c>
      <c r="E2357" s="14"/>
      <c r="F2357" s="14"/>
      <c r="G2357">
        <f>IFERROR(HLOOKUP(G$2,[72]table_male_hkom1_inj.ill_X5!$A$1:$K$36,7,FALSE),0)</f>
        <v>0</v>
      </c>
      <c r="H2357">
        <f>IFERROR(HLOOKUP(H$2,[72]table_male_hkom1_inj.ill_X5!$A$1:$K$36,7,FALSE),0)</f>
        <v>0</v>
      </c>
      <c r="I2357">
        <f>IFERROR(HLOOKUP(I$2,[72]table_male_hkom1_inj.ill_X5!$A$1:$K$36,7,FALSE),0)</f>
        <v>0</v>
      </c>
      <c r="J2357">
        <f>IFERROR(HLOOKUP(J$2,[72]table_male_hkom1_inj.ill_X5!$A$1:$K$36,7,FALSE),0)</f>
        <v>0</v>
      </c>
      <c r="K2357">
        <f>IFERROR(HLOOKUP(K$2,[72]table_male_hkom1_inj.ill_X5!$A$1:$K$36,7,FALSE),0)</f>
        <v>0</v>
      </c>
      <c r="L2357">
        <f>IFERROR(HLOOKUP(L$2,[72]table_male_hkom1_inj.ill_X5!$A$1:$K$36,7,FALSE),0)</f>
        <v>0</v>
      </c>
      <c r="M2357">
        <f t="shared" si="738"/>
        <v>0</v>
      </c>
      <c r="S2357" t="s">
        <v>75</v>
      </c>
      <c r="T2357" s="5">
        <f t="shared" si="739"/>
        <v>0</v>
      </c>
      <c r="U2357" s="5">
        <f t="shared" si="740"/>
        <v>0</v>
      </c>
      <c r="V2357" s="5">
        <f t="shared" si="741"/>
        <v>0</v>
      </c>
      <c r="W2357" s="5">
        <f t="shared" si="742"/>
        <v>0</v>
      </c>
      <c r="X2357" s="5">
        <f t="shared" si="743"/>
        <v>0</v>
      </c>
      <c r="Y2357" s="5">
        <f t="shared" si="744"/>
        <v>0</v>
      </c>
      <c r="Z2357" s="5">
        <f t="shared" si="745"/>
        <v>0</v>
      </c>
      <c r="AA2357" s="5">
        <f t="shared" si="746"/>
        <v>0</v>
      </c>
      <c r="AB2357" s="5">
        <f t="shared" si="736"/>
        <v>0</v>
      </c>
    </row>
    <row r="2358" spans="4:28" x14ac:dyDescent="0.25">
      <c r="D2358" t="s">
        <v>76</v>
      </c>
      <c r="E2358" s="14"/>
      <c r="F2358" s="14"/>
      <c r="G2358">
        <f>IFERROR(HLOOKUP(G$2,[72]table_male_hkom1_inj.ill_X5!$A$1:$K$36,8,FALSE),0)</f>
        <v>0</v>
      </c>
      <c r="H2358">
        <f>IFERROR(HLOOKUP(H$2,[72]table_male_hkom1_inj.ill_X5!$A$1:$K$36,8,FALSE),0)</f>
        <v>0</v>
      </c>
      <c r="I2358">
        <f>IFERROR(HLOOKUP(I$2,[72]table_male_hkom1_inj.ill_X5!$A$1:$K$36,8,FALSE),0)</f>
        <v>0</v>
      </c>
      <c r="J2358">
        <f>IFERROR(HLOOKUP(J$2,[72]table_male_hkom1_inj.ill_X5!$A$1:$K$36,8,FALSE),0)</f>
        <v>0</v>
      </c>
      <c r="K2358">
        <f>IFERROR(HLOOKUP(K$2,[72]table_male_hkom1_inj.ill_X5!$A$1:$K$36,8,FALSE),0)</f>
        <v>0</v>
      </c>
      <c r="L2358">
        <f>IFERROR(HLOOKUP(L$2,[72]table_male_hkom1_inj.ill_X5!$A$1:$K$36,8,FALSE),0)</f>
        <v>0</v>
      </c>
      <c r="M2358">
        <f t="shared" si="738"/>
        <v>0</v>
      </c>
      <c r="S2358" t="s">
        <v>76</v>
      </c>
      <c r="T2358" s="5">
        <f t="shared" si="739"/>
        <v>0</v>
      </c>
      <c r="U2358" s="5">
        <f t="shared" si="740"/>
        <v>0</v>
      </c>
      <c r="V2358" s="5">
        <f t="shared" si="741"/>
        <v>0</v>
      </c>
      <c r="W2358" s="5">
        <f t="shared" si="742"/>
        <v>0</v>
      </c>
      <c r="X2358" s="5">
        <f t="shared" si="743"/>
        <v>0</v>
      </c>
      <c r="Y2358" s="5">
        <f t="shared" si="744"/>
        <v>0</v>
      </c>
      <c r="Z2358" s="5">
        <f t="shared" si="745"/>
        <v>0</v>
      </c>
      <c r="AA2358" s="5">
        <f t="shared" si="746"/>
        <v>0</v>
      </c>
      <c r="AB2358" s="5">
        <f t="shared" si="736"/>
        <v>0</v>
      </c>
    </row>
    <row r="2359" spans="4:28" x14ac:dyDescent="0.25">
      <c r="D2359" t="s">
        <v>77</v>
      </c>
      <c r="E2359" s="14"/>
      <c r="F2359" s="14"/>
      <c r="G2359">
        <f>IFERROR(HLOOKUP(G$2,[72]table_male_hkom1_inj.ill_X5!$A$1:$K$36,9,FALSE),0)</f>
        <v>0</v>
      </c>
      <c r="H2359">
        <f>IFERROR(HLOOKUP(H$2,[72]table_male_hkom1_inj.ill_X5!$A$1:$K$36,9,FALSE),0)</f>
        <v>0</v>
      </c>
      <c r="I2359">
        <f>IFERROR(HLOOKUP(I$2,[72]table_male_hkom1_inj.ill_X5!$A$1:$K$36,9,FALSE),0)</f>
        <v>0</v>
      </c>
      <c r="J2359">
        <f>IFERROR(HLOOKUP(J$2,[72]table_male_hkom1_inj.ill_X5!$A$1:$K$36,9,FALSE),0)</f>
        <v>0</v>
      </c>
      <c r="K2359">
        <f>IFERROR(HLOOKUP(K$2,[72]table_male_hkom1_inj.ill_X5!$A$1:$K$36,9,FALSE),0)</f>
        <v>0</v>
      </c>
      <c r="L2359">
        <f>IFERROR(HLOOKUP(L$2,[72]table_male_hkom1_inj.ill_X5!$A$1:$K$36,9,FALSE),0)</f>
        <v>0</v>
      </c>
      <c r="M2359">
        <f t="shared" si="738"/>
        <v>0</v>
      </c>
      <c r="S2359" t="s">
        <v>77</v>
      </c>
      <c r="T2359" s="5">
        <f t="shared" si="739"/>
        <v>0</v>
      </c>
      <c r="U2359" s="5">
        <f t="shared" si="740"/>
        <v>0</v>
      </c>
      <c r="V2359" s="5">
        <f t="shared" si="741"/>
        <v>0</v>
      </c>
      <c r="W2359" s="5">
        <f t="shared" si="742"/>
        <v>0</v>
      </c>
      <c r="X2359" s="5">
        <f t="shared" si="743"/>
        <v>0</v>
      </c>
      <c r="Y2359" s="5">
        <f t="shared" si="744"/>
        <v>0</v>
      </c>
      <c r="Z2359" s="5">
        <f t="shared" si="745"/>
        <v>0</v>
      </c>
      <c r="AA2359" s="5">
        <f t="shared" si="746"/>
        <v>0</v>
      </c>
      <c r="AB2359" s="5">
        <f t="shared" si="736"/>
        <v>0</v>
      </c>
    </row>
    <row r="2360" spans="4:28" x14ac:dyDescent="0.25">
      <c r="D2360" t="s">
        <v>78</v>
      </c>
      <c r="E2360" s="14"/>
      <c r="F2360" s="14"/>
      <c r="G2360">
        <f>IFERROR(HLOOKUP(G$2,[72]table_male_hkom1_inj.ill_X5!$A$1:$K$36,10,FALSE),0)</f>
        <v>0</v>
      </c>
      <c r="H2360">
        <f>IFERROR(HLOOKUP(H$2,[72]table_male_hkom1_inj.ill_X5!$A$1:$K$36,10,FALSE),0)</f>
        <v>0</v>
      </c>
      <c r="I2360">
        <f>IFERROR(HLOOKUP(I$2,[72]table_male_hkom1_inj.ill_X5!$A$1:$K$36,10,FALSE),0)</f>
        <v>0</v>
      </c>
      <c r="J2360">
        <f>IFERROR(HLOOKUP(J$2,[72]table_male_hkom1_inj.ill_X5!$A$1:$K$36,10,FALSE),0)</f>
        <v>0</v>
      </c>
      <c r="K2360">
        <f>IFERROR(HLOOKUP(K$2,[72]table_male_hkom1_inj.ill_X5!$A$1:$K$36,10,FALSE),0)</f>
        <v>0</v>
      </c>
      <c r="L2360">
        <f>IFERROR(HLOOKUP(L$2,[72]table_male_hkom1_inj.ill_X5!$A$1:$K$36,10,FALSE),0)</f>
        <v>0</v>
      </c>
      <c r="M2360">
        <f t="shared" si="738"/>
        <v>0</v>
      </c>
      <c r="S2360" t="s">
        <v>78</v>
      </c>
      <c r="T2360" s="5">
        <f t="shared" si="739"/>
        <v>0</v>
      </c>
      <c r="U2360" s="5">
        <f t="shared" si="740"/>
        <v>0</v>
      </c>
      <c r="V2360" s="5">
        <f t="shared" si="741"/>
        <v>0</v>
      </c>
      <c r="W2360" s="5">
        <f t="shared" si="742"/>
        <v>0</v>
      </c>
      <c r="X2360" s="5">
        <f t="shared" si="743"/>
        <v>0</v>
      </c>
      <c r="Y2360" s="5">
        <f t="shared" si="744"/>
        <v>0</v>
      </c>
      <c r="Z2360" s="5">
        <f t="shared" si="745"/>
        <v>0</v>
      </c>
      <c r="AA2360" s="5">
        <f t="shared" si="746"/>
        <v>0</v>
      </c>
      <c r="AB2360" s="5">
        <f t="shared" si="736"/>
        <v>0</v>
      </c>
    </row>
    <row r="2361" spans="4:28" x14ac:dyDescent="0.25">
      <c r="D2361" t="s">
        <v>79</v>
      </c>
      <c r="E2361" s="14"/>
      <c r="F2361" s="14"/>
      <c r="G2361">
        <f>IFERROR(HLOOKUP(G$2,[72]table_male_hkom1_inj.ill_X5!$A$1:$K$36,11,FALSE),0)</f>
        <v>0</v>
      </c>
      <c r="H2361">
        <f>IFERROR(HLOOKUP(H$2,[72]table_male_hkom1_inj.ill_X5!$A$1:$K$36,11,FALSE),0)</f>
        <v>0</v>
      </c>
      <c r="I2361">
        <f>IFERROR(HLOOKUP(I$2,[72]table_male_hkom1_inj.ill_X5!$A$1:$K$36,11,FALSE),0)</f>
        <v>0</v>
      </c>
      <c r="J2361">
        <f>IFERROR(HLOOKUP(J$2,[72]table_male_hkom1_inj.ill_X5!$A$1:$K$36,11,FALSE),0)</f>
        <v>0</v>
      </c>
      <c r="K2361">
        <f>IFERROR(HLOOKUP(K$2,[72]table_male_hkom1_inj.ill_X5!$A$1:$K$36,11,FALSE),0)</f>
        <v>0</v>
      </c>
      <c r="L2361">
        <f>IFERROR(HLOOKUP(L$2,[72]table_male_hkom1_inj.ill_X5!$A$1:$K$36,11,FALSE),0)</f>
        <v>0</v>
      </c>
      <c r="M2361">
        <f t="shared" si="738"/>
        <v>0</v>
      </c>
      <c r="S2361" t="s">
        <v>79</v>
      </c>
      <c r="T2361" s="5">
        <f t="shared" si="739"/>
        <v>0</v>
      </c>
      <c r="U2361" s="5">
        <f t="shared" si="740"/>
        <v>0</v>
      </c>
      <c r="V2361" s="5">
        <f t="shared" si="741"/>
        <v>0</v>
      </c>
      <c r="W2361" s="5">
        <f t="shared" si="742"/>
        <v>0</v>
      </c>
      <c r="X2361" s="5">
        <f t="shared" si="743"/>
        <v>0</v>
      </c>
      <c r="Y2361" s="5">
        <f t="shared" si="744"/>
        <v>0</v>
      </c>
      <c r="Z2361" s="5">
        <f t="shared" si="745"/>
        <v>0</v>
      </c>
      <c r="AA2361" s="5">
        <f t="shared" si="746"/>
        <v>0</v>
      </c>
      <c r="AB2361" s="5">
        <f t="shared" si="736"/>
        <v>0</v>
      </c>
    </row>
    <row r="2362" spans="4:28" x14ac:dyDescent="0.25">
      <c r="D2362" t="s">
        <v>80</v>
      </c>
      <c r="E2362" s="14"/>
      <c r="F2362" s="14"/>
      <c r="G2362">
        <f>IFERROR(HLOOKUP(G$2,[72]table_male_hkom1_inj.ill_X5!$A$1:$K$36,12,FALSE),0)</f>
        <v>0</v>
      </c>
      <c r="H2362">
        <f>IFERROR(HLOOKUP(H$2,[72]table_male_hkom1_inj.ill_X5!$A$1:$K$36,12,FALSE),0)</f>
        <v>0</v>
      </c>
      <c r="I2362">
        <f>IFERROR(HLOOKUP(I$2,[72]table_male_hkom1_inj.ill_X5!$A$1:$K$36,12,FALSE),0)</f>
        <v>0</v>
      </c>
      <c r="J2362">
        <f>IFERROR(HLOOKUP(J$2,[72]table_male_hkom1_inj.ill_X5!$A$1:$K$36,12,FALSE),0)</f>
        <v>0</v>
      </c>
      <c r="K2362">
        <f>IFERROR(HLOOKUP(K$2,[72]table_male_hkom1_inj.ill_X5!$A$1:$K$36,12,FALSE),0)</f>
        <v>0</v>
      </c>
      <c r="L2362">
        <f>IFERROR(HLOOKUP(L$2,[72]table_male_hkom1_inj.ill_X5!$A$1:$K$36,12,FALSE),0)</f>
        <v>0</v>
      </c>
      <c r="M2362">
        <f t="shared" si="738"/>
        <v>0</v>
      </c>
      <c r="S2362" t="s">
        <v>80</v>
      </c>
      <c r="T2362" s="5">
        <f t="shared" si="739"/>
        <v>0</v>
      </c>
      <c r="U2362" s="5">
        <f t="shared" si="740"/>
        <v>0</v>
      </c>
      <c r="V2362" s="5">
        <f t="shared" si="741"/>
        <v>0</v>
      </c>
      <c r="W2362" s="5">
        <f t="shared" si="742"/>
        <v>0</v>
      </c>
      <c r="X2362" s="5">
        <f t="shared" si="743"/>
        <v>0</v>
      </c>
      <c r="Y2362" s="5">
        <f t="shared" si="744"/>
        <v>0</v>
      </c>
      <c r="Z2362" s="5">
        <f t="shared" si="745"/>
        <v>0</v>
      </c>
      <c r="AA2362" s="5">
        <f t="shared" si="746"/>
        <v>0</v>
      </c>
      <c r="AB2362" s="5">
        <f t="shared" si="736"/>
        <v>0</v>
      </c>
    </row>
    <row r="2363" spans="4:28" x14ac:dyDescent="0.25">
      <c r="D2363" t="s">
        <v>81</v>
      </c>
      <c r="E2363" s="14"/>
      <c r="F2363" s="14"/>
      <c r="G2363">
        <f>IFERROR(HLOOKUP(G$2,[72]table_male_hkom1_inj.ill_X5!$A$1:$K$36,13,FALSE),0)</f>
        <v>0</v>
      </c>
      <c r="H2363">
        <f>IFERROR(HLOOKUP(H$2,[72]table_male_hkom1_inj.ill_X5!$A$1:$K$36,13,FALSE),0)</f>
        <v>0</v>
      </c>
      <c r="I2363">
        <f>IFERROR(HLOOKUP(I$2,[72]table_male_hkom1_inj.ill_X5!$A$1:$K$36,13,FALSE),0)</f>
        <v>0</v>
      </c>
      <c r="J2363">
        <f>IFERROR(HLOOKUP(J$2,[72]table_male_hkom1_inj.ill_X5!$A$1:$K$36,13,FALSE),0)</f>
        <v>0</v>
      </c>
      <c r="K2363">
        <f>IFERROR(HLOOKUP(K$2,[72]table_male_hkom1_inj.ill_X5!$A$1:$K$36,13,FALSE),0)</f>
        <v>0</v>
      </c>
      <c r="L2363">
        <f>IFERROR(HLOOKUP(L$2,[72]table_male_hkom1_inj.ill_X5!$A$1:$K$36,13,FALSE),0)</f>
        <v>0</v>
      </c>
      <c r="M2363">
        <f t="shared" si="738"/>
        <v>0</v>
      </c>
      <c r="S2363" t="s">
        <v>81</v>
      </c>
      <c r="T2363" s="5">
        <f t="shared" si="739"/>
        <v>0</v>
      </c>
      <c r="U2363" s="5">
        <f t="shared" si="740"/>
        <v>0</v>
      </c>
      <c r="V2363" s="5">
        <f t="shared" si="741"/>
        <v>0</v>
      </c>
      <c r="W2363" s="5">
        <f t="shared" si="742"/>
        <v>0</v>
      </c>
      <c r="X2363" s="5">
        <f t="shared" si="743"/>
        <v>0</v>
      </c>
      <c r="Y2363" s="5">
        <f t="shared" si="744"/>
        <v>0</v>
      </c>
      <c r="Z2363" s="5">
        <f t="shared" si="745"/>
        <v>0</v>
      </c>
      <c r="AA2363" s="5">
        <f t="shared" si="746"/>
        <v>0</v>
      </c>
      <c r="AB2363" s="5">
        <f t="shared" si="736"/>
        <v>0</v>
      </c>
    </row>
    <row r="2364" spans="4:28" x14ac:dyDescent="0.25">
      <c r="D2364" t="s">
        <v>82</v>
      </c>
      <c r="E2364" s="14"/>
      <c r="F2364" s="14"/>
      <c r="G2364">
        <f>IFERROR(HLOOKUP(G$2,[72]table_male_hkom1_inj.ill_X5!$A$1:$K$36,14,FALSE),0)</f>
        <v>0</v>
      </c>
      <c r="H2364">
        <f>IFERROR(HLOOKUP(H$2,[72]table_male_hkom1_inj.ill_X5!$A$1:$K$36,14,FALSE),0)</f>
        <v>0</v>
      </c>
      <c r="I2364">
        <f>IFERROR(HLOOKUP(I$2,[72]table_male_hkom1_inj.ill_X5!$A$1:$K$36,14,FALSE),0)</f>
        <v>0</v>
      </c>
      <c r="J2364">
        <f>IFERROR(HLOOKUP(J$2,[72]table_male_hkom1_inj.ill_X5!$A$1:$K$36,14,FALSE),0)</f>
        <v>0</v>
      </c>
      <c r="K2364">
        <f>IFERROR(HLOOKUP(K$2,[72]table_male_hkom1_inj.ill_X5!$A$1:$K$36,14,FALSE),0)</f>
        <v>0</v>
      </c>
      <c r="L2364">
        <f>IFERROR(HLOOKUP(L$2,[72]table_male_hkom1_inj.ill_X5!$A$1:$K$36,14,FALSE),0)</f>
        <v>0</v>
      </c>
      <c r="M2364">
        <f t="shared" si="738"/>
        <v>0</v>
      </c>
      <c r="S2364" t="s">
        <v>82</v>
      </c>
      <c r="T2364" s="5">
        <f t="shared" si="739"/>
        <v>0</v>
      </c>
      <c r="U2364" s="5">
        <f t="shared" si="740"/>
        <v>0</v>
      </c>
      <c r="V2364" s="5">
        <f t="shared" si="741"/>
        <v>0</v>
      </c>
      <c r="W2364" s="5">
        <f t="shared" si="742"/>
        <v>0</v>
      </c>
      <c r="X2364" s="5">
        <f t="shared" si="743"/>
        <v>0</v>
      </c>
      <c r="Y2364" s="5">
        <f t="shared" si="744"/>
        <v>0</v>
      </c>
      <c r="Z2364" s="5">
        <f t="shared" si="745"/>
        <v>0</v>
      </c>
      <c r="AA2364" s="5">
        <f t="shared" si="746"/>
        <v>0</v>
      </c>
      <c r="AB2364" s="5">
        <f t="shared" si="736"/>
        <v>0</v>
      </c>
    </row>
    <row r="2365" spans="4:28" x14ac:dyDescent="0.25">
      <c r="D2365" t="s">
        <v>83</v>
      </c>
      <c r="E2365" s="14"/>
      <c r="F2365" s="14"/>
      <c r="G2365">
        <f>IFERROR(HLOOKUP(G$2,[72]table_male_hkom1_inj.ill_X5!$A$1:$K$36,15,FALSE),0)</f>
        <v>0</v>
      </c>
      <c r="H2365">
        <f>IFERROR(HLOOKUP(H$2,[72]table_male_hkom1_inj.ill_X5!$A$1:$K$36,15,FALSE),0)</f>
        <v>0</v>
      </c>
      <c r="I2365">
        <f>IFERROR(HLOOKUP(I$2,[72]table_male_hkom1_inj.ill_X5!$A$1:$K$36,15,FALSE),0)</f>
        <v>0</v>
      </c>
      <c r="J2365">
        <f>IFERROR(HLOOKUP(J$2,[72]table_male_hkom1_inj.ill_X5!$A$1:$K$36,15,FALSE),0)</f>
        <v>0</v>
      </c>
      <c r="K2365">
        <f>IFERROR(HLOOKUP(K$2,[72]table_male_hkom1_inj.ill_X5!$A$1:$K$36,15,FALSE),0)</f>
        <v>0</v>
      </c>
      <c r="L2365">
        <f>IFERROR(HLOOKUP(L$2,[72]table_male_hkom1_inj.ill_X5!$A$1:$K$36,15,FALSE),0)</f>
        <v>0</v>
      </c>
      <c r="M2365">
        <f t="shared" si="738"/>
        <v>0</v>
      </c>
      <c r="S2365" t="s">
        <v>83</v>
      </c>
      <c r="T2365" s="5">
        <f t="shared" si="739"/>
        <v>0</v>
      </c>
      <c r="U2365" s="5">
        <f t="shared" si="740"/>
        <v>0</v>
      </c>
      <c r="V2365" s="5">
        <f t="shared" si="741"/>
        <v>0</v>
      </c>
      <c r="W2365" s="5">
        <f t="shared" si="742"/>
        <v>0</v>
      </c>
      <c r="X2365" s="5">
        <f t="shared" si="743"/>
        <v>0</v>
      </c>
      <c r="Y2365" s="5">
        <f t="shared" si="744"/>
        <v>0</v>
      </c>
      <c r="Z2365" s="5">
        <f t="shared" si="745"/>
        <v>0</v>
      </c>
      <c r="AA2365" s="5">
        <f t="shared" si="746"/>
        <v>0</v>
      </c>
      <c r="AB2365" s="5">
        <f t="shared" si="736"/>
        <v>0</v>
      </c>
    </row>
    <row r="2366" spans="4:28" x14ac:dyDescent="0.25">
      <c r="D2366" t="s">
        <v>84</v>
      </c>
      <c r="E2366" s="14"/>
      <c r="F2366" s="14"/>
      <c r="G2366">
        <f>IFERROR(HLOOKUP(G$2,[72]table_male_hkom1_inj.ill_X5!$A$1:$K$36,16,FALSE),0)</f>
        <v>0</v>
      </c>
      <c r="H2366">
        <f>IFERROR(HLOOKUP(H$2,[72]table_male_hkom1_inj.ill_X5!$A$1:$K$36,16,FALSE),0)</f>
        <v>0</v>
      </c>
      <c r="I2366">
        <f>IFERROR(HLOOKUP(I$2,[72]table_male_hkom1_inj.ill_X5!$A$1:$K$36,16,FALSE),0)</f>
        <v>0</v>
      </c>
      <c r="J2366">
        <f>IFERROR(HLOOKUP(J$2,[72]table_male_hkom1_inj.ill_X5!$A$1:$K$36,16,FALSE),0)</f>
        <v>0</v>
      </c>
      <c r="K2366">
        <f>IFERROR(HLOOKUP(K$2,[72]table_male_hkom1_inj.ill_X5!$A$1:$K$36,16,FALSE),0)</f>
        <v>0</v>
      </c>
      <c r="L2366">
        <f>IFERROR(HLOOKUP(L$2,[72]table_male_hkom1_inj.ill_X5!$A$1:$K$36,16,FALSE),0)</f>
        <v>0</v>
      </c>
      <c r="M2366">
        <f t="shared" si="738"/>
        <v>0</v>
      </c>
      <c r="S2366" t="s">
        <v>84</v>
      </c>
      <c r="T2366" s="5">
        <f t="shared" si="739"/>
        <v>0</v>
      </c>
      <c r="U2366" s="5">
        <f t="shared" si="740"/>
        <v>0</v>
      </c>
      <c r="V2366" s="5">
        <f t="shared" si="741"/>
        <v>0</v>
      </c>
      <c r="W2366" s="5">
        <f t="shared" si="742"/>
        <v>0</v>
      </c>
      <c r="X2366" s="5">
        <f t="shared" si="743"/>
        <v>0</v>
      </c>
      <c r="Y2366" s="5">
        <f t="shared" si="744"/>
        <v>0</v>
      </c>
      <c r="Z2366" s="5">
        <f t="shared" si="745"/>
        <v>0</v>
      </c>
      <c r="AA2366" s="5">
        <f t="shared" si="746"/>
        <v>0</v>
      </c>
      <c r="AB2366" s="5">
        <f t="shared" si="736"/>
        <v>0</v>
      </c>
    </row>
    <row r="2367" spans="4:28" x14ac:dyDescent="0.25">
      <c r="D2367" t="s">
        <v>85</v>
      </c>
      <c r="E2367" s="14"/>
      <c r="F2367" s="14"/>
      <c r="G2367">
        <f>IFERROR(HLOOKUP(G$2,[72]table_male_hkom1_inj.ill_X5!$A$1:$K$36,17,FALSE),0)</f>
        <v>0</v>
      </c>
      <c r="H2367">
        <f>IFERROR(HLOOKUP(H$2,[72]table_male_hkom1_inj.ill_X5!$A$1:$K$36,17,FALSE),0)</f>
        <v>0</v>
      </c>
      <c r="I2367">
        <f>IFERROR(HLOOKUP(I$2,[72]table_male_hkom1_inj.ill_X5!$A$1:$K$36,17,FALSE),0)</f>
        <v>0</v>
      </c>
      <c r="J2367">
        <f>IFERROR(HLOOKUP(J$2,[72]table_male_hkom1_inj.ill_X5!$A$1:$K$36,17,FALSE),0)</f>
        <v>0</v>
      </c>
      <c r="K2367">
        <f>IFERROR(HLOOKUP(K$2,[72]table_male_hkom1_inj.ill_X5!$A$1:$K$36,17,FALSE),0)</f>
        <v>0</v>
      </c>
      <c r="L2367">
        <f>IFERROR(HLOOKUP(L$2,[72]table_male_hkom1_inj.ill_X5!$A$1:$K$36,17,FALSE),0)</f>
        <v>0</v>
      </c>
      <c r="M2367">
        <f t="shared" si="738"/>
        <v>0</v>
      </c>
      <c r="S2367" t="s">
        <v>85</v>
      </c>
      <c r="T2367" s="5">
        <f t="shared" si="739"/>
        <v>0</v>
      </c>
      <c r="U2367" s="5">
        <f t="shared" si="740"/>
        <v>0</v>
      </c>
      <c r="V2367" s="5">
        <f t="shared" si="741"/>
        <v>0</v>
      </c>
      <c r="W2367" s="5">
        <f t="shared" si="742"/>
        <v>0</v>
      </c>
      <c r="X2367" s="5">
        <f t="shared" si="743"/>
        <v>0</v>
      </c>
      <c r="Y2367" s="5">
        <f t="shared" si="744"/>
        <v>0</v>
      </c>
      <c r="Z2367" s="5">
        <f t="shared" si="745"/>
        <v>0</v>
      </c>
      <c r="AA2367" s="5">
        <f t="shared" si="746"/>
        <v>0</v>
      </c>
      <c r="AB2367" s="5">
        <f t="shared" si="736"/>
        <v>0</v>
      </c>
    </row>
    <row r="2368" spans="4:28" x14ac:dyDescent="0.25">
      <c r="D2368" t="s">
        <v>86</v>
      </c>
      <c r="E2368" s="14"/>
      <c r="F2368" s="14"/>
      <c r="G2368">
        <f>IFERROR(HLOOKUP(G$2,[72]table_male_hkom1_inj.ill_X5!$A$1:$K$36,18,FALSE),0)</f>
        <v>1</v>
      </c>
      <c r="H2368">
        <f>IFERROR(HLOOKUP(H$2,[72]table_male_hkom1_inj.ill_X5!$A$1:$K$36,18,FALSE),0)</f>
        <v>0</v>
      </c>
      <c r="I2368">
        <f>IFERROR(HLOOKUP(I$2,[72]table_male_hkom1_inj.ill_X5!$A$1:$K$36,18,FALSE),0)</f>
        <v>0</v>
      </c>
      <c r="J2368">
        <f>IFERROR(HLOOKUP(J$2,[72]table_male_hkom1_inj.ill_X5!$A$1:$K$36,18,FALSE),0)</f>
        <v>0</v>
      </c>
      <c r="K2368">
        <f>IFERROR(HLOOKUP(K$2,[72]table_male_hkom1_inj.ill_X5!$A$1:$K$36,18,FALSE),0)</f>
        <v>0</v>
      </c>
      <c r="L2368">
        <f>IFERROR(HLOOKUP(L$2,[72]table_male_hkom1_inj.ill_X5!$A$1:$K$36,18,FALSE),0)</f>
        <v>0</v>
      </c>
      <c r="M2368">
        <f t="shared" si="738"/>
        <v>1</v>
      </c>
      <c r="S2368" t="s">
        <v>86</v>
      </c>
      <c r="T2368" s="5">
        <f t="shared" si="739"/>
        <v>0</v>
      </c>
      <c r="U2368" s="5">
        <f t="shared" si="740"/>
        <v>0</v>
      </c>
      <c r="V2368" s="5">
        <f t="shared" si="741"/>
        <v>1</v>
      </c>
      <c r="W2368" s="5">
        <f t="shared" si="742"/>
        <v>0</v>
      </c>
      <c r="X2368" s="5">
        <f t="shared" si="743"/>
        <v>0</v>
      </c>
      <c r="Y2368" s="5">
        <f t="shared" si="744"/>
        <v>0</v>
      </c>
      <c r="Z2368" s="5">
        <f t="shared" si="745"/>
        <v>0</v>
      </c>
      <c r="AA2368" s="5">
        <f t="shared" si="746"/>
        <v>0</v>
      </c>
      <c r="AB2368" s="5">
        <f t="shared" si="736"/>
        <v>1</v>
      </c>
    </row>
    <row r="2369" spans="4:28" x14ac:dyDescent="0.25">
      <c r="D2369" t="s">
        <v>87</v>
      </c>
      <c r="E2369" s="14"/>
      <c r="F2369" s="14"/>
      <c r="G2369">
        <f>IFERROR(HLOOKUP(G$2,[72]table_male_hkom1_inj.ill_X5!$A$1:$K$36,19,FALSE),0)</f>
        <v>0</v>
      </c>
      <c r="H2369">
        <f>IFERROR(HLOOKUP(H$2,[72]table_male_hkom1_inj.ill_X5!$A$1:$K$36,19,FALSE),0)</f>
        <v>0</v>
      </c>
      <c r="I2369">
        <f>IFERROR(HLOOKUP(I$2,[72]table_male_hkom1_inj.ill_X5!$A$1:$K$36,19,FALSE),0)</f>
        <v>0</v>
      </c>
      <c r="J2369">
        <f>IFERROR(HLOOKUP(J$2,[72]table_male_hkom1_inj.ill_X5!$A$1:$K$36,19,FALSE),0)</f>
        <v>0</v>
      </c>
      <c r="K2369">
        <f>IFERROR(HLOOKUP(K$2,[72]table_male_hkom1_inj.ill_X5!$A$1:$K$36,19,FALSE),0)</f>
        <v>0</v>
      </c>
      <c r="L2369">
        <f>IFERROR(HLOOKUP(L$2,[72]table_male_hkom1_inj.ill_X5!$A$1:$K$36,19,FALSE),0)</f>
        <v>0</v>
      </c>
      <c r="M2369">
        <f t="shared" si="738"/>
        <v>0</v>
      </c>
      <c r="S2369" t="s">
        <v>87</v>
      </c>
      <c r="T2369" s="5">
        <f t="shared" si="739"/>
        <v>0</v>
      </c>
      <c r="U2369" s="5">
        <f t="shared" si="740"/>
        <v>0</v>
      </c>
      <c r="V2369" s="5">
        <f t="shared" si="741"/>
        <v>0</v>
      </c>
      <c r="W2369" s="5">
        <f t="shared" si="742"/>
        <v>0</v>
      </c>
      <c r="X2369" s="5">
        <f t="shared" si="743"/>
        <v>0</v>
      </c>
      <c r="Y2369" s="5">
        <f t="shared" si="744"/>
        <v>0</v>
      </c>
      <c r="Z2369" s="5">
        <f t="shared" si="745"/>
        <v>0</v>
      </c>
      <c r="AA2369" s="5">
        <f t="shared" si="746"/>
        <v>0</v>
      </c>
      <c r="AB2369" s="5">
        <f t="shared" si="736"/>
        <v>0</v>
      </c>
    </row>
    <row r="2370" spans="4:28" x14ac:dyDescent="0.25">
      <c r="D2370" t="s">
        <v>88</v>
      </c>
      <c r="E2370" s="14"/>
      <c r="F2370" s="14"/>
      <c r="G2370">
        <f>IFERROR(HLOOKUP(G$2,[72]table_male_hkom1_inj.ill_X5!$A$1:$K$36,20,FALSE),0)</f>
        <v>0</v>
      </c>
      <c r="H2370">
        <f>IFERROR(HLOOKUP(H$2,[72]table_male_hkom1_inj.ill_X5!$A$1:$K$36,20,FALSE),0)</f>
        <v>0</v>
      </c>
      <c r="I2370">
        <f>IFERROR(HLOOKUP(I$2,[72]table_male_hkom1_inj.ill_X5!$A$1:$K$36,20,FALSE),0)</f>
        <v>0</v>
      </c>
      <c r="J2370">
        <f>IFERROR(HLOOKUP(J$2,[72]table_male_hkom1_inj.ill_X5!$A$1:$K$36,20,FALSE),0)</f>
        <v>0</v>
      </c>
      <c r="K2370">
        <f>IFERROR(HLOOKUP(K$2,[72]table_male_hkom1_inj.ill_X5!$A$1:$K$36,20,FALSE),0)</f>
        <v>0</v>
      </c>
      <c r="L2370">
        <f>IFERROR(HLOOKUP(L$2,[72]table_male_hkom1_inj.ill_X5!$A$1:$K$36,20,FALSE),0)</f>
        <v>0</v>
      </c>
      <c r="M2370">
        <f t="shared" si="738"/>
        <v>0</v>
      </c>
      <c r="S2370" t="s">
        <v>88</v>
      </c>
      <c r="T2370" s="5">
        <f t="shared" si="739"/>
        <v>0</v>
      </c>
      <c r="U2370" s="5">
        <f t="shared" si="740"/>
        <v>0</v>
      </c>
      <c r="V2370" s="5">
        <f t="shared" si="741"/>
        <v>0</v>
      </c>
      <c r="W2370" s="5">
        <f t="shared" si="742"/>
        <v>0</v>
      </c>
      <c r="X2370" s="5">
        <f t="shared" si="743"/>
        <v>0</v>
      </c>
      <c r="Y2370" s="5">
        <f t="shared" si="744"/>
        <v>0</v>
      </c>
      <c r="Z2370" s="5">
        <f t="shared" si="745"/>
        <v>0</v>
      </c>
      <c r="AA2370" s="5">
        <f t="shared" si="746"/>
        <v>0</v>
      </c>
      <c r="AB2370" s="5">
        <f t="shared" si="736"/>
        <v>0</v>
      </c>
    </row>
    <row r="2371" spans="4:28" x14ac:dyDescent="0.25">
      <c r="D2371" t="s">
        <v>89</v>
      </c>
      <c r="E2371" s="14"/>
      <c r="F2371" s="14"/>
      <c r="G2371">
        <f>IFERROR(HLOOKUP(G$2,[72]table_male_hkom1_inj.ill_X5!$A$1:$K$36,21,FALSE),0)</f>
        <v>0</v>
      </c>
      <c r="H2371">
        <f>IFERROR(HLOOKUP(H$2,[72]table_male_hkom1_inj.ill_X5!$A$1:$K$36,21,FALSE),0)</f>
        <v>0</v>
      </c>
      <c r="I2371">
        <f>IFERROR(HLOOKUP(I$2,[72]table_male_hkom1_inj.ill_X5!$A$1:$K$36,21,FALSE),0)</f>
        <v>0</v>
      </c>
      <c r="J2371">
        <f>IFERROR(HLOOKUP(J$2,[72]table_male_hkom1_inj.ill_X5!$A$1:$K$36,21,FALSE),0)</f>
        <v>0</v>
      </c>
      <c r="K2371">
        <f>IFERROR(HLOOKUP(K$2,[72]table_male_hkom1_inj.ill_X5!$A$1:$K$36,21,FALSE),0)</f>
        <v>0</v>
      </c>
      <c r="L2371">
        <f>IFERROR(HLOOKUP(L$2,[72]table_male_hkom1_inj.ill_X5!$A$1:$K$36,21,FALSE),0)</f>
        <v>0</v>
      </c>
      <c r="M2371">
        <f t="shared" si="738"/>
        <v>0</v>
      </c>
      <c r="S2371" t="s">
        <v>89</v>
      </c>
      <c r="T2371" s="5">
        <f t="shared" si="739"/>
        <v>0</v>
      </c>
      <c r="U2371" s="5">
        <f t="shared" si="740"/>
        <v>0</v>
      </c>
      <c r="V2371" s="5">
        <f t="shared" si="741"/>
        <v>0</v>
      </c>
      <c r="W2371" s="5">
        <f t="shared" si="742"/>
        <v>0</v>
      </c>
      <c r="X2371" s="5">
        <f t="shared" si="743"/>
        <v>0</v>
      </c>
      <c r="Y2371" s="5">
        <f t="shared" si="744"/>
        <v>0</v>
      </c>
      <c r="Z2371" s="5">
        <f t="shared" si="745"/>
        <v>0</v>
      </c>
      <c r="AA2371" s="5">
        <f t="shared" si="746"/>
        <v>0</v>
      </c>
      <c r="AB2371" s="5">
        <f t="shared" si="736"/>
        <v>0</v>
      </c>
    </row>
    <row r="2372" spans="4:28" x14ac:dyDescent="0.25">
      <c r="D2372" t="s">
        <v>90</v>
      </c>
      <c r="E2372" s="14"/>
      <c r="F2372" s="14"/>
      <c r="G2372">
        <f>IFERROR(HLOOKUP(G$2,[72]table_male_hkom1_inj.ill_X5!$A$1:$K$36,22,FALSE),0)</f>
        <v>0</v>
      </c>
      <c r="H2372">
        <f>IFERROR(HLOOKUP(H$2,[72]table_male_hkom1_inj.ill_X5!$A$1:$K$36,22,FALSE),0)</f>
        <v>0</v>
      </c>
      <c r="I2372">
        <f>IFERROR(HLOOKUP(I$2,[72]table_male_hkom1_inj.ill_X5!$A$1:$K$36,22,FALSE),0)</f>
        <v>0</v>
      </c>
      <c r="J2372">
        <f>IFERROR(HLOOKUP(J$2,[72]table_male_hkom1_inj.ill_X5!$A$1:$K$36,22,FALSE),0)</f>
        <v>0</v>
      </c>
      <c r="K2372">
        <f>IFERROR(HLOOKUP(K$2,[72]table_male_hkom1_inj.ill_X5!$A$1:$K$36,22,FALSE),0)</f>
        <v>0</v>
      </c>
      <c r="L2372">
        <f>IFERROR(HLOOKUP(L$2,[72]table_male_hkom1_inj.ill_X5!$A$1:$K$36,22,FALSE),0)</f>
        <v>0</v>
      </c>
      <c r="M2372">
        <f t="shared" si="738"/>
        <v>0</v>
      </c>
      <c r="S2372" t="s">
        <v>90</v>
      </c>
      <c r="T2372" s="5">
        <f t="shared" si="739"/>
        <v>0</v>
      </c>
      <c r="U2372" s="5">
        <f t="shared" si="740"/>
        <v>0</v>
      </c>
      <c r="V2372" s="5">
        <f t="shared" si="741"/>
        <v>0</v>
      </c>
      <c r="W2372" s="5">
        <f t="shared" si="742"/>
        <v>0</v>
      </c>
      <c r="X2372" s="5">
        <f t="shared" si="743"/>
        <v>0</v>
      </c>
      <c r="Y2372" s="5">
        <f t="shared" si="744"/>
        <v>0</v>
      </c>
      <c r="Z2372" s="5">
        <f t="shared" si="745"/>
        <v>0</v>
      </c>
      <c r="AA2372" s="5">
        <f t="shared" si="746"/>
        <v>0</v>
      </c>
      <c r="AB2372" s="5">
        <f t="shared" si="736"/>
        <v>0</v>
      </c>
    </row>
    <row r="2373" spans="4:28" x14ac:dyDescent="0.25">
      <c r="D2373" t="s">
        <v>91</v>
      </c>
      <c r="E2373" s="14"/>
      <c r="F2373" s="14"/>
      <c r="G2373">
        <f>IFERROR(HLOOKUP(G$2,[72]table_male_hkom1_inj.ill_X5!$A$1:$K$36,23,FALSE),0)</f>
        <v>0</v>
      </c>
      <c r="H2373">
        <f>IFERROR(HLOOKUP(H$2,[72]table_male_hkom1_inj.ill_X5!$A$1:$K$36,23,FALSE),0)</f>
        <v>0</v>
      </c>
      <c r="I2373">
        <f>IFERROR(HLOOKUP(I$2,[72]table_male_hkom1_inj.ill_X5!$A$1:$K$36,23,FALSE),0)</f>
        <v>0</v>
      </c>
      <c r="J2373">
        <f>IFERROR(HLOOKUP(J$2,[72]table_male_hkom1_inj.ill_X5!$A$1:$K$36,23,FALSE),0)</f>
        <v>0</v>
      </c>
      <c r="K2373">
        <f>IFERROR(HLOOKUP(K$2,[72]table_male_hkom1_inj.ill_X5!$A$1:$K$36,23,FALSE),0)</f>
        <v>0</v>
      </c>
      <c r="L2373">
        <f>IFERROR(HLOOKUP(L$2,[72]table_male_hkom1_inj.ill_X5!$A$1:$K$36,23,FALSE),0)</f>
        <v>0</v>
      </c>
      <c r="M2373">
        <f t="shared" si="738"/>
        <v>0</v>
      </c>
      <c r="S2373" t="s">
        <v>91</v>
      </c>
      <c r="T2373" s="5">
        <f t="shared" si="739"/>
        <v>0</v>
      </c>
      <c r="U2373" s="5">
        <f t="shared" si="740"/>
        <v>0</v>
      </c>
      <c r="V2373" s="5">
        <f t="shared" si="741"/>
        <v>0</v>
      </c>
      <c r="W2373" s="5">
        <f t="shared" si="742"/>
        <v>0</v>
      </c>
      <c r="X2373" s="5">
        <f t="shared" si="743"/>
        <v>0</v>
      </c>
      <c r="Y2373" s="5">
        <f t="shared" si="744"/>
        <v>0</v>
      </c>
      <c r="Z2373" s="5">
        <f t="shared" si="745"/>
        <v>0</v>
      </c>
      <c r="AA2373" s="5">
        <f t="shared" si="746"/>
        <v>0</v>
      </c>
      <c r="AB2373" s="5">
        <f t="shared" si="736"/>
        <v>0</v>
      </c>
    </row>
    <row r="2374" spans="4:28" x14ac:dyDescent="0.25">
      <c r="D2374" t="s">
        <v>92</v>
      </c>
      <c r="E2374" s="14"/>
      <c r="F2374" s="14"/>
      <c r="G2374">
        <f>IFERROR(HLOOKUP(G$2,[72]table_male_hkom1_inj.ill_X5!$A$1:$K$36,24,FALSE),0)</f>
        <v>0</v>
      </c>
      <c r="H2374">
        <f>IFERROR(HLOOKUP(H$2,[72]table_male_hkom1_inj.ill_X5!$A$1:$K$36,24,FALSE),0)</f>
        <v>0</v>
      </c>
      <c r="I2374">
        <f>IFERROR(HLOOKUP(I$2,[72]table_male_hkom1_inj.ill_X5!$A$1:$K$36,24,FALSE),0)</f>
        <v>0</v>
      </c>
      <c r="J2374">
        <f>IFERROR(HLOOKUP(J$2,[72]table_male_hkom1_inj.ill_X5!$A$1:$K$36,24,FALSE),0)</f>
        <v>0</v>
      </c>
      <c r="K2374">
        <f>IFERROR(HLOOKUP(K$2,[72]table_male_hkom1_inj.ill_X5!$A$1:$K$36,24,FALSE),0)</f>
        <v>0</v>
      </c>
      <c r="L2374">
        <f>IFERROR(HLOOKUP(L$2,[72]table_male_hkom1_inj.ill_X5!$A$1:$K$36,24,FALSE),0)</f>
        <v>0</v>
      </c>
      <c r="M2374">
        <f t="shared" si="738"/>
        <v>0</v>
      </c>
      <c r="S2374" t="s">
        <v>92</v>
      </c>
      <c r="T2374" s="5">
        <f t="shared" si="739"/>
        <v>0</v>
      </c>
      <c r="U2374" s="5">
        <f t="shared" si="740"/>
        <v>0</v>
      </c>
      <c r="V2374" s="5">
        <f t="shared" si="741"/>
        <v>0</v>
      </c>
      <c r="W2374" s="5">
        <f t="shared" si="742"/>
        <v>0</v>
      </c>
      <c r="X2374" s="5">
        <f t="shared" si="743"/>
        <v>0</v>
      </c>
      <c r="Y2374" s="5">
        <f t="shared" si="744"/>
        <v>0</v>
      </c>
      <c r="Z2374" s="5">
        <f t="shared" si="745"/>
        <v>0</v>
      </c>
      <c r="AA2374" s="5">
        <f t="shared" si="746"/>
        <v>0</v>
      </c>
      <c r="AB2374" s="5">
        <f t="shared" si="736"/>
        <v>0</v>
      </c>
    </row>
    <row r="2375" spans="4:28" x14ac:dyDescent="0.25">
      <c r="D2375" t="s">
        <v>93</v>
      </c>
      <c r="E2375" s="14"/>
      <c r="F2375" s="14"/>
      <c r="G2375">
        <f>IFERROR(HLOOKUP(G$2,[72]table_male_hkom1_inj.ill_X5!$A$1:$K$36,25,FALSE),0)</f>
        <v>0</v>
      </c>
      <c r="H2375">
        <f>IFERROR(HLOOKUP(H$2,[72]table_male_hkom1_inj.ill_X5!$A$1:$K$36,25,FALSE),0)</f>
        <v>0</v>
      </c>
      <c r="I2375">
        <f>IFERROR(HLOOKUP(I$2,[72]table_male_hkom1_inj.ill_X5!$A$1:$K$36,25,FALSE),0)</f>
        <v>0</v>
      </c>
      <c r="J2375">
        <f>IFERROR(HLOOKUP(J$2,[72]table_male_hkom1_inj.ill_X5!$A$1:$K$36,25,FALSE),0)</f>
        <v>0</v>
      </c>
      <c r="K2375">
        <f>IFERROR(HLOOKUP(K$2,[72]table_male_hkom1_inj.ill_X5!$A$1:$K$36,25,FALSE),0)</f>
        <v>0</v>
      </c>
      <c r="L2375">
        <f>IFERROR(HLOOKUP(L$2,[72]table_male_hkom1_inj.ill_X5!$A$1:$K$36,25,FALSE),0)</f>
        <v>0</v>
      </c>
      <c r="M2375">
        <f t="shared" si="738"/>
        <v>0</v>
      </c>
      <c r="S2375" t="s">
        <v>93</v>
      </c>
      <c r="T2375" s="5">
        <f t="shared" si="739"/>
        <v>0</v>
      </c>
      <c r="U2375" s="5">
        <f t="shared" si="740"/>
        <v>0</v>
      </c>
      <c r="V2375" s="5">
        <f t="shared" si="741"/>
        <v>0</v>
      </c>
      <c r="W2375" s="5">
        <f t="shared" si="742"/>
        <v>0</v>
      </c>
      <c r="X2375" s="5">
        <f t="shared" si="743"/>
        <v>0</v>
      </c>
      <c r="Y2375" s="5">
        <f t="shared" si="744"/>
        <v>0</v>
      </c>
      <c r="Z2375" s="5">
        <f t="shared" si="745"/>
        <v>0</v>
      </c>
      <c r="AA2375" s="5">
        <f t="shared" si="746"/>
        <v>0</v>
      </c>
      <c r="AB2375" s="5">
        <f t="shared" si="736"/>
        <v>0</v>
      </c>
    </row>
    <row r="2376" spans="4:28" x14ac:dyDescent="0.25">
      <c r="D2376" t="s">
        <v>94</v>
      </c>
      <c r="E2376" s="14"/>
      <c r="F2376" s="14"/>
      <c r="G2376">
        <f>IFERROR(HLOOKUP(G$2,[72]table_male_hkom1_inj.ill_X5!$A$1:$K$36,26,FALSE),0)</f>
        <v>0</v>
      </c>
      <c r="H2376">
        <f>IFERROR(HLOOKUP(H$2,[72]table_male_hkom1_inj.ill_X5!$A$1:$K$36,26,FALSE),0)</f>
        <v>0</v>
      </c>
      <c r="I2376">
        <f>IFERROR(HLOOKUP(I$2,[72]table_male_hkom1_inj.ill_X5!$A$1:$K$36,26,FALSE),0)</f>
        <v>0</v>
      </c>
      <c r="J2376">
        <f>IFERROR(HLOOKUP(J$2,[72]table_male_hkom1_inj.ill_X5!$A$1:$K$36,26,FALSE),0)</f>
        <v>0</v>
      </c>
      <c r="K2376">
        <f>IFERROR(HLOOKUP(K$2,[72]table_male_hkom1_inj.ill_X5!$A$1:$K$36,26,FALSE),0)</f>
        <v>0</v>
      </c>
      <c r="L2376">
        <f>IFERROR(HLOOKUP(L$2,[72]table_male_hkom1_inj.ill_X5!$A$1:$K$36,26,FALSE),0)</f>
        <v>0</v>
      </c>
      <c r="M2376">
        <f t="shared" si="738"/>
        <v>0</v>
      </c>
      <c r="S2376" t="s">
        <v>94</v>
      </c>
      <c r="T2376" s="5">
        <f t="shared" si="739"/>
        <v>0</v>
      </c>
      <c r="U2376" s="5">
        <f t="shared" si="740"/>
        <v>0</v>
      </c>
      <c r="V2376" s="5">
        <f t="shared" si="741"/>
        <v>0</v>
      </c>
      <c r="W2376" s="5">
        <f t="shared" si="742"/>
        <v>0</v>
      </c>
      <c r="X2376" s="5">
        <f t="shared" si="743"/>
        <v>0</v>
      </c>
      <c r="Y2376" s="5">
        <f t="shared" si="744"/>
        <v>0</v>
      </c>
      <c r="Z2376" s="5">
        <f t="shared" si="745"/>
        <v>0</v>
      </c>
      <c r="AA2376" s="5">
        <f t="shared" si="746"/>
        <v>0</v>
      </c>
      <c r="AB2376" s="5">
        <f t="shared" si="736"/>
        <v>0</v>
      </c>
    </row>
    <row r="2377" spans="4:28" x14ac:dyDescent="0.25">
      <c r="D2377" t="s">
        <v>95</v>
      </c>
      <c r="E2377" s="14"/>
      <c r="F2377" s="14"/>
      <c r="G2377">
        <f>IFERROR(HLOOKUP(G$2,[72]table_male_hkom1_inj.ill_X5!$A$1:$K$36,27,FALSE),0)</f>
        <v>0</v>
      </c>
      <c r="H2377">
        <f>IFERROR(HLOOKUP(H$2,[72]table_male_hkom1_inj.ill_X5!$A$1:$K$36,27,FALSE),0)</f>
        <v>0</v>
      </c>
      <c r="I2377">
        <f>IFERROR(HLOOKUP(I$2,[72]table_male_hkom1_inj.ill_X5!$A$1:$K$36,27,FALSE),0)</f>
        <v>0</v>
      </c>
      <c r="J2377">
        <f>IFERROR(HLOOKUP(J$2,[72]table_male_hkom1_inj.ill_X5!$A$1:$K$36,27,FALSE),0)</f>
        <v>0</v>
      </c>
      <c r="K2377">
        <f>IFERROR(HLOOKUP(K$2,[72]table_male_hkom1_inj.ill_X5!$A$1:$K$36,27,FALSE),0)</f>
        <v>0</v>
      </c>
      <c r="L2377">
        <f>IFERROR(HLOOKUP(L$2,[72]table_male_hkom1_inj.ill_X5!$A$1:$K$36,27,FALSE),0)</f>
        <v>0</v>
      </c>
      <c r="M2377">
        <f t="shared" si="738"/>
        <v>0</v>
      </c>
      <c r="S2377" t="s">
        <v>95</v>
      </c>
      <c r="T2377" s="5">
        <f t="shared" si="739"/>
        <v>0</v>
      </c>
      <c r="U2377" s="5">
        <f t="shared" si="740"/>
        <v>0</v>
      </c>
      <c r="V2377" s="5">
        <f t="shared" si="741"/>
        <v>0</v>
      </c>
      <c r="W2377" s="5">
        <f t="shared" si="742"/>
        <v>0</v>
      </c>
      <c r="X2377" s="5">
        <f t="shared" si="743"/>
        <v>0</v>
      </c>
      <c r="Y2377" s="5">
        <f t="shared" si="744"/>
        <v>0</v>
      </c>
      <c r="Z2377" s="5">
        <f t="shared" si="745"/>
        <v>0</v>
      </c>
      <c r="AA2377" s="5">
        <f t="shared" si="746"/>
        <v>0</v>
      </c>
      <c r="AB2377" s="5">
        <f t="shared" si="736"/>
        <v>0</v>
      </c>
    </row>
    <row r="2378" spans="4:28" x14ac:dyDescent="0.25">
      <c r="D2378" t="s">
        <v>96</v>
      </c>
      <c r="E2378" s="14"/>
      <c r="F2378" s="14"/>
      <c r="G2378">
        <f>IFERROR(HLOOKUP(G$2,[72]table_male_hkom1_inj.ill_X5!$A$1:$K$36,28,FALSE),0)</f>
        <v>0</v>
      </c>
      <c r="H2378">
        <f>IFERROR(HLOOKUP(H$2,[72]table_male_hkom1_inj.ill_X5!$A$1:$K$36,28,FALSE),0)</f>
        <v>0</v>
      </c>
      <c r="I2378">
        <f>IFERROR(HLOOKUP(I$2,[72]table_male_hkom1_inj.ill_X5!$A$1:$K$36,28,FALSE),0)</f>
        <v>0</v>
      </c>
      <c r="J2378">
        <f>IFERROR(HLOOKUP(J$2,[72]table_male_hkom1_inj.ill_X5!$A$1:$K$36,28,FALSE),0)</f>
        <v>0</v>
      </c>
      <c r="K2378">
        <f>IFERROR(HLOOKUP(K$2,[72]table_male_hkom1_inj.ill_X5!$A$1:$K$36,28,FALSE),0)</f>
        <v>0</v>
      </c>
      <c r="L2378">
        <f>IFERROR(HLOOKUP(L$2,[72]table_male_hkom1_inj.ill_X5!$A$1:$K$36,28,FALSE),0)</f>
        <v>0</v>
      </c>
      <c r="M2378">
        <f t="shared" si="738"/>
        <v>0</v>
      </c>
      <c r="S2378" t="s">
        <v>96</v>
      </c>
      <c r="T2378" s="5">
        <f t="shared" si="739"/>
        <v>0</v>
      </c>
      <c r="U2378" s="5">
        <f t="shared" si="740"/>
        <v>0</v>
      </c>
      <c r="V2378" s="5">
        <f t="shared" si="741"/>
        <v>0</v>
      </c>
      <c r="W2378" s="5">
        <f t="shared" si="742"/>
        <v>0</v>
      </c>
      <c r="X2378" s="5">
        <f t="shared" si="743"/>
        <v>0</v>
      </c>
      <c r="Y2378" s="5">
        <f t="shared" si="744"/>
        <v>0</v>
      </c>
      <c r="Z2378" s="5">
        <f t="shared" si="745"/>
        <v>0</v>
      </c>
      <c r="AA2378" s="5">
        <f t="shared" si="746"/>
        <v>0</v>
      </c>
      <c r="AB2378" s="5">
        <f t="shared" si="736"/>
        <v>0</v>
      </c>
    </row>
    <row r="2379" spans="4:28" x14ac:dyDescent="0.25">
      <c r="D2379" t="s">
        <v>97</v>
      </c>
      <c r="E2379" s="14"/>
      <c r="F2379" s="14"/>
      <c r="G2379">
        <f>IFERROR(HLOOKUP(G$2,[72]table_male_hkom1_inj.ill_X5!$A$1:$K$36,29,FALSE),0)</f>
        <v>0</v>
      </c>
      <c r="H2379">
        <f>IFERROR(HLOOKUP(H$2,[72]table_male_hkom1_inj.ill_X5!$A$1:$K$36,29,FALSE),0)</f>
        <v>0</v>
      </c>
      <c r="I2379">
        <f>IFERROR(HLOOKUP(I$2,[72]table_male_hkom1_inj.ill_X5!$A$1:$K$36,29,FALSE),0)</f>
        <v>0</v>
      </c>
      <c r="J2379">
        <f>IFERROR(HLOOKUP(J$2,[72]table_male_hkom1_inj.ill_X5!$A$1:$K$36,29,FALSE),0)</f>
        <v>0</v>
      </c>
      <c r="K2379">
        <f>IFERROR(HLOOKUP(K$2,[72]table_male_hkom1_inj.ill_X5!$A$1:$K$36,29,FALSE),0)</f>
        <v>0</v>
      </c>
      <c r="L2379">
        <f>IFERROR(HLOOKUP(L$2,[72]table_male_hkom1_inj.ill_X5!$A$1:$K$36,29,FALSE),0)</f>
        <v>0</v>
      </c>
      <c r="M2379">
        <f t="shared" si="738"/>
        <v>0</v>
      </c>
      <c r="S2379" t="s">
        <v>97</v>
      </c>
      <c r="T2379" s="5">
        <f t="shared" si="739"/>
        <v>0</v>
      </c>
      <c r="U2379" s="5">
        <f t="shared" si="740"/>
        <v>0</v>
      </c>
      <c r="V2379" s="5">
        <f t="shared" si="741"/>
        <v>0</v>
      </c>
      <c r="W2379" s="5">
        <f t="shared" si="742"/>
        <v>0</v>
      </c>
      <c r="X2379" s="5">
        <f t="shared" si="743"/>
        <v>0</v>
      </c>
      <c r="Y2379" s="5">
        <f t="shared" si="744"/>
        <v>0</v>
      </c>
      <c r="Z2379" s="5">
        <f t="shared" si="745"/>
        <v>0</v>
      </c>
      <c r="AA2379" s="5">
        <f t="shared" si="746"/>
        <v>0</v>
      </c>
      <c r="AB2379" s="5">
        <f t="shared" si="736"/>
        <v>0</v>
      </c>
    </row>
    <row r="2380" spans="4:28" x14ac:dyDescent="0.25">
      <c r="D2380" t="s">
        <v>98</v>
      </c>
      <c r="E2380" s="14"/>
      <c r="F2380" s="14"/>
      <c r="G2380">
        <f>IFERROR(HLOOKUP(G$2,[72]table_male_hkom1_inj.ill_X5!$A$1:$K$36,30,FALSE),0)</f>
        <v>0</v>
      </c>
      <c r="H2380">
        <f>IFERROR(HLOOKUP(H$2,[72]table_male_hkom1_inj.ill_X5!$A$1:$K$36,30,FALSE),0)</f>
        <v>1</v>
      </c>
      <c r="I2380">
        <f>IFERROR(HLOOKUP(I$2,[72]table_male_hkom1_inj.ill_X5!$A$1:$K$36,30,FALSE),0)</f>
        <v>0</v>
      </c>
      <c r="J2380">
        <f>IFERROR(HLOOKUP(J$2,[72]table_male_hkom1_inj.ill_X5!$A$1:$K$36,30,FALSE),0)</f>
        <v>1</v>
      </c>
      <c r="K2380">
        <f>IFERROR(HLOOKUP(K$2,[72]table_male_hkom1_inj.ill_X5!$A$1:$K$36,30,FALSE),0)</f>
        <v>0</v>
      </c>
      <c r="L2380">
        <f>IFERROR(HLOOKUP(L$2,[72]table_male_hkom1_inj.ill_X5!$A$1:$K$36,30,FALSE),0)</f>
        <v>0</v>
      </c>
      <c r="M2380">
        <f t="shared" si="738"/>
        <v>2</v>
      </c>
      <c r="S2380" t="s">
        <v>98</v>
      </c>
      <c r="T2380" s="5">
        <f t="shared" si="739"/>
        <v>0</v>
      </c>
      <c r="U2380" s="5">
        <f t="shared" si="740"/>
        <v>0</v>
      </c>
      <c r="V2380" s="5">
        <f t="shared" si="741"/>
        <v>0</v>
      </c>
      <c r="W2380" s="5">
        <f t="shared" si="742"/>
        <v>1</v>
      </c>
      <c r="X2380" s="5">
        <f t="shared" si="743"/>
        <v>0</v>
      </c>
      <c r="Y2380" s="5">
        <f t="shared" si="744"/>
        <v>2</v>
      </c>
      <c r="Z2380" s="5">
        <f t="shared" si="745"/>
        <v>0</v>
      </c>
      <c r="AA2380" s="5">
        <f t="shared" si="746"/>
        <v>0</v>
      </c>
      <c r="AB2380" s="5">
        <f t="shared" si="736"/>
        <v>3</v>
      </c>
    </row>
    <row r="2381" spans="4:28" x14ac:dyDescent="0.25">
      <c r="D2381" t="s">
        <v>119</v>
      </c>
      <c r="E2381" s="14"/>
      <c r="F2381" s="14"/>
      <c r="G2381">
        <f>IFERROR(HLOOKUP(G$2,[72]table_male_hkom1_inj.ill_X5!$A$1:$K$36,31,FALSE),0)</f>
        <v>0</v>
      </c>
      <c r="H2381">
        <f>IFERROR(HLOOKUP(H$2,[72]table_male_hkom1_inj.ill_X5!$A$1:$K$36,31,FALSE),0)</f>
        <v>0</v>
      </c>
      <c r="I2381">
        <f>IFERROR(HLOOKUP(I$2,[72]table_male_hkom1_inj.ill_X5!$A$1:$K$36,31,FALSE),0)</f>
        <v>0</v>
      </c>
      <c r="J2381">
        <f>IFERROR(HLOOKUP(J$2,[72]table_male_hkom1_inj.ill_X5!$A$1:$K$36,31,FALSE),0)</f>
        <v>0</v>
      </c>
      <c r="K2381">
        <f>IFERROR(HLOOKUP(K$2,[72]table_male_hkom1_inj.ill_X5!$A$1:$K$36,31,FALSE),0)</f>
        <v>0</v>
      </c>
      <c r="L2381">
        <f>IFERROR(HLOOKUP(L$2,[72]table_male_hkom1_inj.ill_X5!$A$1:$K$36,31,FALSE),0)</f>
        <v>0</v>
      </c>
      <c r="M2381">
        <f t="shared" si="738"/>
        <v>0</v>
      </c>
      <c r="S2381" t="s">
        <v>119</v>
      </c>
      <c r="T2381" s="5">
        <f t="shared" si="739"/>
        <v>0</v>
      </c>
      <c r="U2381" s="5">
        <f t="shared" si="740"/>
        <v>0</v>
      </c>
      <c r="V2381" s="5">
        <f t="shared" si="741"/>
        <v>0</v>
      </c>
      <c r="W2381" s="5">
        <f t="shared" si="742"/>
        <v>0</v>
      </c>
      <c r="X2381" s="5">
        <f t="shared" si="743"/>
        <v>0</v>
      </c>
      <c r="Y2381" s="5">
        <f t="shared" si="744"/>
        <v>0</v>
      </c>
      <c r="Z2381" s="5">
        <f t="shared" si="745"/>
        <v>0</v>
      </c>
      <c r="AA2381" s="5">
        <f t="shared" si="746"/>
        <v>0</v>
      </c>
      <c r="AB2381" s="5">
        <f t="shared" si="736"/>
        <v>0</v>
      </c>
    </row>
    <row r="2382" spans="4:28" x14ac:dyDescent="0.25">
      <c r="D2382" t="s">
        <v>99</v>
      </c>
      <c r="E2382" s="14"/>
      <c r="F2382" s="14"/>
      <c r="G2382">
        <f>IFERROR(HLOOKUP(G$2,[72]table_male_hkom1_inj.ill_X5!$A$1:$K$36,32,FALSE),0)</f>
        <v>0</v>
      </c>
      <c r="H2382">
        <f>IFERROR(HLOOKUP(H$2,[72]table_male_hkom1_inj.ill_X5!$A$1:$K$36,32,FALSE),0)</f>
        <v>0</v>
      </c>
      <c r="I2382">
        <f>IFERROR(HLOOKUP(I$2,[72]table_male_hkom1_inj.ill_X5!$A$1:$K$36,32,FALSE),0)</f>
        <v>0</v>
      </c>
      <c r="J2382">
        <f>IFERROR(HLOOKUP(J$2,[72]table_male_hkom1_inj.ill_X5!$A$1:$K$36,32,FALSE),0)</f>
        <v>0</v>
      </c>
      <c r="K2382">
        <f>IFERROR(HLOOKUP(K$2,[72]table_male_hkom1_inj.ill_X5!$A$1:$K$36,32,FALSE),0)</f>
        <v>0</v>
      </c>
      <c r="L2382">
        <f>IFERROR(HLOOKUP(L$2,[72]table_male_hkom1_inj.ill_X5!$A$1:$K$36,32,FALSE),0)</f>
        <v>0</v>
      </c>
      <c r="M2382">
        <f t="shared" si="738"/>
        <v>0</v>
      </c>
      <c r="S2382" t="s">
        <v>99</v>
      </c>
      <c r="T2382" s="5">
        <f t="shared" si="739"/>
        <v>0</v>
      </c>
      <c r="U2382" s="5">
        <f t="shared" si="740"/>
        <v>0</v>
      </c>
      <c r="V2382" s="5">
        <f t="shared" si="741"/>
        <v>0</v>
      </c>
      <c r="W2382" s="5">
        <f t="shared" si="742"/>
        <v>0</v>
      </c>
      <c r="X2382" s="5">
        <f t="shared" si="743"/>
        <v>0</v>
      </c>
      <c r="Y2382" s="5">
        <f t="shared" si="744"/>
        <v>0</v>
      </c>
      <c r="Z2382" s="5">
        <f t="shared" si="745"/>
        <v>0</v>
      </c>
      <c r="AA2382" s="5">
        <f t="shared" si="746"/>
        <v>0</v>
      </c>
      <c r="AB2382" s="5">
        <f t="shared" si="736"/>
        <v>0</v>
      </c>
    </row>
    <row r="2383" spans="4:28" x14ac:dyDescent="0.25">
      <c r="D2383" t="s">
        <v>100</v>
      </c>
      <c r="E2383" s="14"/>
      <c r="F2383" s="14"/>
      <c r="G2383">
        <f>IFERROR(HLOOKUP(G$2,[72]table_male_hkom1_inj.ill_X5!$A$1:$K$36,33,FALSE),0)</f>
        <v>0</v>
      </c>
      <c r="H2383">
        <f>IFERROR(HLOOKUP(H$2,[72]table_male_hkom1_inj.ill_X5!$A$1:$K$36,33,FALSE),0)</f>
        <v>0</v>
      </c>
      <c r="I2383">
        <f>IFERROR(HLOOKUP(I$2,[72]table_male_hkom1_inj.ill_X5!$A$1:$K$36,33,FALSE),0)</f>
        <v>1</v>
      </c>
      <c r="J2383">
        <f>IFERROR(HLOOKUP(J$2,[72]table_male_hkom1_inj.ill_X5!$A$1:$K$36,33,FALSE),0)</f>
        <v>0</v>
      </c>
      <c r="K2383">
        <f>IFERROR(HLOOKUP(K$2,[72]table_male_hkom1_inj.ill_X5!$A$1:$K$36,33,FALSE),0)</f>
        <v>0</v>
      </c>
      <c r="L2383">
        <f>IFERROR(HLOOKUP(L$2,[72]table_male_hkom1_inj.ill_X5!$A$1:$K$36,33,FALSE),0)</f>
        <v>0</v>
      </c>
      <c r="M2383">
        <f t="shared" si="738"/>
        <v>1</v>
      </c>
      <c r="S2383" t="s">
        <v>100</v>
      </c>
      <c r="T2383" s="5">
        <f t="shared" si="739"/>
        <v>0</v>
      </c>
      <c r="U2383" s="5">
        <f t="shared" si="740"/>
        <v>0</v>
      </c>
      <c r="V2383" s="5">
        <f t="shared" si="741"/>
        <v>0</v>
      </c>
      <c r="W2383" s="5">
        <f t="shared" si="742"/>
        <v>0</v>
      </c>
      <c r="X2383" s="5">
        <f t="shared" si="743"/>
        <v>1</v>
      </c>
      <c r="Y2383" s="5">
        <f t="shared" si="744"/>
        <v>0</v>
      </c>
      <c r="Z2383" s="5">
        <f t="shared" si="745"/>
        <v>0</v>
      </c>
      <c r="AA2383" s="5">
        <f t="shared" si="746"/>
        <v>0</v>
      </c>
      <c r="AB2383" s="5">
        <f t="shared" si="736"/>
        <v>1</v>
      </c>
    </row>
    <row r="2384" spans="4:28" x14ac:dyDescent="0.25">
      <c r="D2384" t="s">
        <v>101</v>
      </c>
      <c r="E2384" s="14"/>
      <c r="F2384" s="14"/>
      <c r="G2384">
        <f>IFERROR(HLOOKUP(G$2,[72]table_male_hkom1_inj.ill_X5!$A$1:$K$36,34,FALSE),0)</f>
        <v>0</v>
      </c>
      <c r="H2384">
        <f>IFERROR(HLOOKUP(H$2,[72]table_male_hkom1_inj.ill_X5!$A$1:$K$36,34,FALSE),0)</f>
        <v>0</v>
      </c>
      <c r="I2384">
        <f>IFERROR(HLOOKUP(I$2,[72]table_male_hkom1_inj.ill_X5!$A$1:$K$36,34,FALSE),0)</f>
        <v>0</v>
      </c>
      <c r="J2384">
        <f>IFERROR(HLOOKUP(J$2,[72]table_male_hkom1_inj.ill_X5!$A$1:$K$36,34,FALSE),0)</f>
        <v>0</v>
      </c>
      <c r="K2384">
        <f>IFERROR(HLOOKUP(K$2,[72]table_male_hkom1_inj.ill_X5!$A$1:$K$36,34,FALSE),0)</f>
        <v>0</v>
      </c>
      <c r="L2384">
        <f>IFERROR(HLOOKUP(L$2,[72]table_male_hkom1_inj.ill_X5!$A$1:$K$36,34,FALSE),0)</f>
        <v>0</v>
      </c>
      <c r="M2384">
        <f t="shared" si="738"/>
        <v>0</v>
      </c>
      <c r="S2384" t="s">
        <v>101</v>
      </c>
      <c r="T2384" s="5">
        <f t="shared" si="739"/>
        <v>0</v>
      </c>
      <c r="U2384" s="5">
        <f t="shared" si="740"/>
        <v>0</v>
      </c>
      <c r="V2384" s="5">
        <f t="shared" si="741"/>
        <v>0</v>
      </c>
      <c r="W2384" s="5">
        <f t="shared" si="742"/>
        <v>0</v>
      </c>
      <c r="X2384" s="5">
        <f t="shared" si="743"/>
        <v>0</v>
      </c>
      <c r="Y2384" s="5">
        <f t="shared" si="744"/>
        <v>0</v>
      </c>
      <c r="Z2384" s="5">
        <f t="shared" si="745"/>
        <v>0</v>
      </c>
      <c r="AA2384" s="5">
        <f t="shared" si="746"/>
        <v>0</v>
      </c>
      <c r="AB2384" s="5">
        <f t="shared" si="736"/>
        <v>0</v>
      </c>
    </row>
    <row r="2385" spans="1:29" x14ac:dyDescent="0.25">
      <c r="D2385" t="s">
        <v>102</v>
      </c>
      <c r="E2385" s="14"/>
      <c r="F2385" s="14"/>
      <c r="G2385">
        <f>IFERROR(HLOOKUP(G$2,[72]table_male_hkom1_inj.ill_X5!$A$1:$K$36,35,FALSE),0)</f>
        <v>0</v>
      </c>
      <c r="H2385">
        <f>IFERROR(HLOOKUP(H$2,[72]table_male_hkom1_inj.ill_X5!$A$1:$K$36,35,FALSE),0)</f>
        <v>0</v>
      </c>
      <c r="I2385">
        <f>IFERROR(HLOOKUP(I$2,[72]table_male_hkom1_inj.ill_X5!$A$1:$K$36,35,FALSE),0)</f>
        <v>0</v>
      </c>
      <c r="J2385">
        <f>IFERROR(HLOOKUP(J$2,[72]table_male_hkom1_inj.ill_X5!$A$1:$K$36,35,FALSE),0)</f>
        <v>1</v>
      </c>
      <c r="K2385">
        <f>IFERROR(HLOOKUP(K$2,[72]table_male_hkom1_inj.ill_X5!$A$1:$K$36,35,FALSE),0)</f>
        <v>0</v>
      </c>
      <c r="L2385">
        <f>IFERROR(HLOOKUP(L$2,[72]table_male_hkom1_inj.ill_X5!$A$1:$K$36,35,FALSE),0)</f>
        <v>0</v>
      </c>
      <c r="M2385">
        <f t="shared" si="738"/>
        <v>1</v>
      </c>
      <c r="N2385">
        <f>SUM(M2352:M2385)</f>
        <v>5</v>
      </c>
      <c r="O2385" s="8">
        <f>SUM([72]table_male_hkom1_inj.ill_X5!$B$2:$L$37)</f>
        <v>5</v>
      </c>
      <c r="S2385" t="s">
        <v>102</v>
      </c>
      <c r="T2385" s="7"/>
      <c r="U2385" s="7"/>
      <c r="V2385" s="7"/>
      <c r="W2385" s="7"/>
      <c r="X2385" s="7"/>
      <c r="Y2385" s="7"/>
      <c r="Z2385" s="7"/>
      <c r="AA2385" s="7"/>
      <c r="AB2385" s="5">
        <f t="shared" si="736"/>
        <v>0</v>
      </c>
      <c r="AC2385" s="5">
        <f>SUM(AB2352:AB2384)</f>
        <v>5</v>
      </c>
    </row>
    <row r="2386" spans="1:29" x14ac:dyDescent="0.25">
      <c r="A2386" t="s">
        <v>104</v>
      </c>
      <c r="B2386" t="s">
        <v>103</v>
      </c>
      <c r="C2386" t="s">
        <v>128</v>
      </c>
      <c r="D2386" t="s">
        <v>70</v>
      </c>
      <c r="E2386" s="14"/>
      <c r="F2386" s="14"/>
      <c r="G2386">
        <f>IFERROR(HLOOKUP(G$2,[73]table_male_hkom1_inj.ill_X6!$A$1:$K$36,2,FALSE),0)</f>
        <v>0</v>
      </c>
      <c r="H2386">
        <f>IFERROR(HLOOKUP(H$2,[73]table_male_hkom1_inj.ill_X6!$A$1:$K$36,2,FALSE),0)</f>
        <v>0</v>
      </c>
      <c r="I2386">
        <f>IFERROR(HLOOKUP(I$2,[73]table_male_hkom1_inj.ill_X6!$A$1:$K$36,2,FALSE),0)</f>
        <v>0</v>
      </c>
      <c r="J2386">
        <f>IFERROR(HLOOKUP(J$2,[73]table_male_hkom1_inj.ill_X6!$A$1:$K$36,2,FALSE),0)</f>
        <v>0</v>
      </c>
      <c r="K2386">
        <f>IFERROR(HLOOKUP(K$2,[73]table_male_hkom1_inj.ill_X6!$A$1:$K$36,2,FALSE),0)</f>
        <v>0</v>
      </c>
      <c r="L2386">
        <f>IFERROR(HLOOKUP(L$2,[73]table_male_hkom1_inj.ill_X6!$A$1:$K$36,2,FALSE),0)</f>
        <v>0</v>
      </c>
      <c r="M2386">
        <f>SUM(E2386:L2386)</f>
        <v>0</v>
      </c>
      <c r="P2386" t="s">
        <v>104</v>
      </c>
      <c r="Q2386" t="s">
        <v>103</v>
      </c>
      <c r="R2386" t="s">
        <v>128</v>
      </c>
      <c r="S2386" t="s">
        <v>70</v>
      </c>
      <c r="T2386" s="5">
        <f>IF(SUM(E$2386:E$2418)=0,E$2419/33,E2386+IFERROR(E2386/SUM(E$2386:E$2418)*E$2419,0))</f>
        <v>0</v>
      </c>
      <c r="U2386" s="5">
        <f t="shared" ref="U2386:AA2386" si="747">IF(SUM(F$2386:F$2418)=0,F$2419/33,F2386+IFERROR(F2386/SUM(F$2386:F$2418)*F$2419,0))</f>
        <v>0</v>
      </c>
      <c r="V2386" s="5">
        <f t="shared" si="747"/>
        <v>0</v>
      </c>
      <c r="W2386" s="5">
        <f t="shared" si="747"/>
        <v>0</v>
      </c>
      <c r="X2386" s="5">
        <f t="shared" si="747"/>
        <v>0</v>
      </c>
      <c r="Y2386" s="5">
        <f t="shared" si="747"/>
        <v>0</v>
      </c>
      <c r="Z2386" s="5">
        <f t="shared" si="747"/>
        <v>0</v>
      </c>
      <c r="AA2386" s="5">
        <f t="shared" si="747"/>
        <v>0</v>
      </c>
      <c r="AB2386" s="5">
        <f t="shared" si="736"/>
        <v>0</v>
      </c>
    </row>
    <row r="2387" spans="1:29" x14ac:dyDescent="0.25">
      <c r="D2387" t="s">
        <v>71</v>
      </c>
      <c r="E2387" s="14"/>
      <c r="F2387" s="14"/>
      <c r="G2387">
        <f>IFERROR(HLOOKUP(G$2,[73]table_male_hkom1_inj.ill_X6!$A$1:$K$36,3,FALSE),0)</f>
        <v>0</v>
      </c>
      <c r="H2387">
        <f>IFERROR(HLOOKUP(H$2,[73]table_male_hkom1_inj.ill_X6!$A$1:$K$36,3,FALSE),0)</f>
        <v>0</v>
      </c>
      <c r="I2387">
        <f>IFERROR(HLOOKUP(I$2,[73]table_male_hkom1_inj.ill_X6!$A$1:$K$36,3,FALSE),0)</f>
        <v>0</v>
      </c>
      <c r="J2387">
        <f>IFERROR(HLOOKUP(J$2,[73]table_male_hkom1_inj.ill_X6!$A$1:$K$36,3,FALSE),0)</f>
        <v>0</v>
      </c>
      <c r="K2387">
        <f>IFERROR(HLOOKUP(K$2,[73]table_male_hkom1_inj.ill_X6!$A$1:$K$36,3,FALSE),0)</f>
        <v>0</v>
      </c>
      <c r="L2387">
        <f>IFERROR(HLOOKUP(L$2,[73]table_male_hkom1_inj.ill_X6!$A$1:$K$36,3,FALSE),0)</f>
        <v>0</v>
      </c>
      <c r="M2387">
        <f t="shared" ref="M2387:M2419" si="748">SUM(E2387:L2387)</f>
        <v>0</v>
      </c>
      <c r="S2387" t="s">
        <v>71</v>
      </c>
      <c r="T2387" s="5">
        <f t="shared" ref="T2387:T2418" si="749">IF(SUM(E$2386:E$2418)=0,E$2419/33,E2387+IFERROR(E2387/SUM(E$2386:E$2418)*E$2419,0))</f>
        <v>0</v>
      </c>
      <c r="U2387" s="5">
        <f t="shared" ref="U2387:U2418" si="750">IF(SUM(F$2386:F$2418)=0,F$2419/33,F2387+IFERROR(F2387/SUM(F$2386:F$2418)*F$2419,0))</f>
        <v>0</v>
      </c>
      <c r="V2387" s="5">
        <f t="shared" ref="V2387:V2418" si="751">IF(SUM(G$2386:G$2418)=0,G$2419/33,G2387+IFERROR(G2387/SUM(G$2386:G$2418)*G$2419,0))</f>
        <v>0</v>
      </c>
      <c r="W2387" s="5">
        <f t="shared" ref="W2387:W2418" si="752">IF(SUM(H$2386:H$2418)=0,H$2419/33,H2387+IFERROR(H2387/SUM(H$2386:H$2418)*H$2419,0))</f>
        <v>0</v>
      </c>
      <c r="X2387" s="5">
        <f t="shared" ref="X2387:X2418" si="753">IF(SUM(I$2386:I$2418)=0,I$2419/33,I2387+IFERROR(I2387/SUM(I$2386:I$2418)*I$2419,0))</f>
        <v>0</v>
      </c>
      <c r="Y2387" s="5">
        <f t="shared" ref="Y2387:Y2418" si="754">IF(SUM(J$2386:J$2418)=0,J$2419/33,J2387+IFERROR(J2387/SUM(J$2386:J$2418)*J$2419,0))</f>
        <v>0</v>
      </c>
      <c r="Z2387" s="5">
        <f t="shared" ref="Z2387:Z2418" si="755">IF(SUM(K$2386:K$2418)=0,K$2419/33,K2387+IFERROR(K2387/SUM(K$2386:K$2418)*K$2419,0))</f>
        <v>0</v>
      </c>
      <c r="AA2387" s="5">
        <f t="shared" ref="AA2387:AA2418" si="756">IF(SUM(L$2386:L$2418)=0,L$2419/33,L2387+IFERROR(L2387/SUM(L$2386:L$2418)*L$2419,0))</f>
        <v>0</v>
      </c>
      <c r="AB2387" s="5">
        <f t="shared" si="736"/>
        <v>0</v>
      </c>
    </row>
    <row r="2388" spans="1:29" x14ac:dyDescent="0.25">
      <c r="D2388" t="s">
        <v>72</v>
      </c>
      <c r="E2388" s="14"/>
      <c r="F2388" s="14"/>
      <c r="G2388">
        <f>IFERROR(HLOOKUP(G$2,[73]table_male_hkom1_inj.ill_X6!$A$1:$K$36,4,FALSE),0)</f>
        <v>0</v>
      </c>
      <c r="H2388">
        <f>IFERROR(HLOOKUP(H$2,[73]table_male_hkom1_inj.ill_X6!$A$1:$K$36,4,FALSE),0)</f>
        <v>0</v>
      </c>
      <c r="I2388">
        <f>IFERROR(HLOOKUP(I$2,[73]table_male_hkom1_inj.ill_X6!$A$1:$K$36,4,FALSE),0)</f>
        <v>0</v>
      </c>
      <c r="J2388">
        <f>IFERROR(HLOOKUP(J$2,[73]table_male_hkom1_inj.ill_X6!$A$1:$K$36,4,FALSE),0)</f>
        <v>0</v>
      </c>
      <c r="K2388">
        <f>IFERROR(HLOOKUP(K$2,[73]table_male_hkom1_inj.ill_X6!$A$1:$K$36,4,FALSE),0)</f>
        <v>0</v>
      </c>
      <c r="L2388">
        <f>IFERROR(HLOOKUP(L$2,[73]table_male_hkom1_inj.ill_X6!$A$1:$K$36,4,FALSE),0)</f>
        <v>0</v>
      </c>
      <c r="M2388">
        <f t="shared" si="748"/>
        <v>0</v>
      </c>
      <c r="S2388" t="s">
        <v>72</v>
      </c>
      <c r="T2388" s="5">
        <f t="shared" si="749"/>
        <v>0</v>
      </c>
      <c r="U2388" s="5">
        <f t="shared" si="750"/>
        <v>0</v>
      </c>
      <c r="V2388" s="5">
        <f t="shared" si="751"/>
        <v>0</v>
      </c>
      <c r="W2388" s="5">
        <f t="shared" si="752"/>
        <v>0</v>
      </c>
      <c r="X2388" s="5">
        <f t="shared" si="753"/>
        <v>0</v>
      </c>
      <c r="Y2388" s="5">
        <f t="shared" si="754"/>
        <v>0</v>
      </c>
      <c r="Z2388" s="5">
        <f t="shared" si="755"/>
        <v>0</v>
      </c>
      <c r="AA2388" s="5">
        <f t="shared" si="756"/>
        <v>0</v>
      </c>
      <c r="AB2388" s="5">
        <f t="shared" si="736"/>
        <v>0</v>
      </c>
    </row>
    <row r="2389" spans="1:29" x14ac:dyDescent="0.25">
      <c r="D2389" t="s">
        <v>73</v>
      </c>
      <c r="E2389" s="14"/>
      <c r="F2389" s="14"/>
      <c r="G2389">
        <f>IFERROR(HLOOKUP(G$2,[73]table_male_hkom1_inj.ill_X6!$A$1:$K$36,5,FALSE),0)</f>
        <v>0</v>
      </c>
      <c r="H2389">
        <f>IFERROR(HLOOKUP(H$2,[73]table_male_hkom1_inj.ill_X6!$A$1:$K$36,5,FALSE),0)</f>
        <v>0</v>
      </c>
      <c r="I2389">
        <f>IFERROR(HLOOKUP(I$2,[73]table_male_hkom1_inj.ill_X6!$A$1:$K$36,5,FALSE),0)</f>
        <v>0</v>
      </c>
      <c r="J2389">
        <f>IFERROR(HLOOKUP(J$2,[73]table_male_hkom1_inj.ill_X6!$A$1:$K$36,5,FALSE),0)</f>
        <v>0</v>
      </c>
      <c r="K2389">
        <f>IFERROR(HLOOKUP(K$2,[73]table_male_hkom1_inj.ill_X6!$A$1:$K$36,5,FALSE),0)</f>
        <v>0</v>
      </c>
      <c r="L2389">
        <f>IFERROR(HLOOKUP(L$2,[73]table_male_hkom1_inj.ill_X6!$A$1:$K$36,5,FALSE),0)</f>
        <v>0</v>
      </c>
      <c r="M2389">
        <f t="shared" si="748"/>
        <v>0</v>
      </c>
      <c r="S2389" t="s">
        <v>73</v>
      </c>
      <c r="T2389" s="5">
        <f t="shared" si="749"/>
        <v>0</v>
      </c>
      <c r="U2389" s="5">
        <f t="shared" si="750"/>
        <v>0</v>
      </c>
      <c r="V2389" s="5">
        <f t="shared" si="751"/>
        <v>0</v>
      </c>
      <c r="W2389" s="5">
        <f t="shared" si="752"/>
        <v>0</v>
      </c>
      <c r="X2389" s="5">
        <f t="shared" si="753"/>
        <v>0</v>
      </c>
      <c r="Y2389" s="5">
        <f t="shared" si="754"/>
        <v>0</v>
      </c>
      <c r="Z2389" s="5">
        <f t="shared" si="755"/>
        <v>0</v>
      </c>
      <c r="AA2389" s="5">
        <f t="shared" si="756"/>
        <v>0</v>
      </c>
      <c r="AB2389" s="5">
        <f t="shared" si="736"/>
        <v>0</v>
      </c>
    </row>
    <row r="2390" spans="1:29" x14ac:dyDescent="0.25">
      <c r="D2390" t="s">
        <v>74</v>
      </c>
      <c r="E2390" s="14"/>
      <c r="F2390" s="14"/>
      <c r="G2390">
        <f>IFERROR(HLOOKUP(G$2,[73]table_male_hkom1_inj.ill_X6!$A$1:$K$36,6,FALSE),0)</f>
        <v>0</v>
      </c>
      <c r="H2390">
        <f>IFERROR(HLOOKUP(H$2,[73]table_male_hkom1_inj.ill_X6!$A$1:$K$36,6,FALSE),0)</f>
        <v>0</v>
      </c>
      <c r="I2390">
        <f>IFERROR(HLOOKUP(I$2,[73]table_male_hkom1_inj.ill_X6!$A$1:$K$36,6,FALSE),0)</f>
        <v>0</v>
      </c>
      <c r="J2390">
        <f>IFERROR(HLOOKUP(J$2,[73]table_male_hkom1_inj.ill_X6!$A$1:$K$36,6,FALSE),0)</f>
        <v>0</v>
      </c>
      <c r="K2390">
        <f>IFERROR(HLOOKUP(K$2,[73]table_male_hkom1_inj.ill_X6!$A$1:$K$36,6,FALSE),0)</f>
        <v>0</v>
      </c>
      <c r="L2390">
        <f>IFERROR(HLOOKUP(L$2,[73]table_male_hkom1_inj.ill_X6!$A$1:$K$36,6,FALSE),0)</f>
        <v>0</v>
      </c>
      <c r="M2390">
        <f t="shared" si="748"/>
        <v>0</v>
      </c>
      <c r="S2390" t="s">
        <v>74</v>
      </c>
      <c r="T2390" s="5">
        <f t="shared" si="749"/>
        <v>0</v>
      </c>
      <c r="U2390" s="5">
        <f t="shared" si="750"/>
        <v>0</v>
      </c>
      <c r="V2390" s="5">
        <f t="shared" si="751"/>
        <v>0</v>
      </c>
      <c r="W2390" s="5">
        <f t="shared" si="752"/>
        <v>0</v>
      </c>
      <c r="X2390" s="5">
        <f t="shared" si="753"/>
        <v>0</v>
      </c>
      <c r="Y2390" s="5">
        <f t="shared" si="754"/>
        <v>0</v>
      </c>
      <c r="Z2390" s="5">
        <f t="shared" si="755"/>
        <v>0</v>
      </c>
      <c r="AA2390" s="5">
        <f t="shared" si="756"/>
        <v>0</v>
      </c>
      <c r="AB2390" s="5">
        <f t="shared" si="736"/>
        <v>0</v>
      </c>
    </row>
    <row r="2391" spans="1:29" x14ac:dyDescent="0.25">
      <c r="D2391" t="s">
        <v>75</v>
      </c>
      <c r="E2391" s="14"/>
      <c r="F2391" s="14"/>
      <c r="G2391">
        <f>IFERROR(HLOOKUP(G$2,[73]table_male_hkom1_inj.ill_X6!$A$1:$K$36,7,FALSE),0)</f>
        <v>0</v>
      </c>
      <c r="H2391">
        <f>IFERROR(HLOOKUP(H$2,[73]table_male_hkom1_inj.ill_X6!$A$1:$K$36,7,FALSE),0)</f>
        <v>0</v>
      </c>
      <c r="I2391">
        <f>IFERROR(HLOOKUP(I$2,[73]table_male_hkom1_inj.ill_X6!$A$1:$K$36,7,FALSE),0)</f>
        <v>0</v>
      </c>
      <c r="J2391">
        <f>IFERROR(HLOOKUP(J$2,[73]table_male_hkom1_inj.ill_X6!$A$1:$K$36,7,FALSE),0)</f>
        <v>0</v>
      </c>
      <c r="K2391">
        <f>IFERROR(HLOOKUP(K$2,[73]table_male_hkom1_inj.ill_X6!$A$1:$K$36,7,FALSE),0)</f>
        <v>0</v>
      </c>
      <c r="L2391">
        <f>IFERROR(HLOOKUP(L$2,[73]table_male_hkom1_inj.ill_X6!$A$1:$K$36,7,FALSE),0)</f>
        <v>0</v>
      </c>
      <c r="M2391">
        <f t="shared" si="748"/>
        <v>0</v>
      </c>
      <c r="S2391" t="s">
        <v>75</v>
      </c>
      <c r="T2391" s="5">
        <f t="shared" si="749"/>
        <v>0</v>
      </c>
      <c r="U2391" s="5">
        <f t="shared" si="750"/>
        <v>0</v>
      </c>
      <c r="V2391" s="5">
        <f t="shared" si="751"/>
        <v>0</v>
      </c>
      <c r="W2391" s="5">
        <f t="shared" si="752"/>
        <v>0</v>
      </c>
      <c r="X2391" s="5">
        <f t="shared" si="753"/>
        <v>0</v>
      </c>
      <c r="Y2391" s="5">
        <f t="shared" si="754"/>
        <v>0</v>
      </c>
      <c r="Z2391" s="5">
        <f t="shared" si="755"/>
        <v>0</v>
      </c>
      <c r="AA2391" s="5">
        <f t="shared" si="756"/>
        <v>0</v>
      </c>
      <c r="AB2391" s="5">
        <f t="shared" si="736"/>
        <v>0</v>
      </c>
    </row>
    <row r="2392" spans="1:29" x14ac:dyDescent="0.25">
      <c r="D2392" t="s">
        <v>76</v>
      </c>
      <c r="E2392" s="14"/>
      <c r="F2392" s="14"/>
      <c r="G2392">
        <f>IFERROR(HLOOKUP(G$2,[73]table_male_hkom1_inj.ill_X6!$A$1:$K$36,8,FALSE),0)</f>
        <v>0</v>
      </c>
      <c r="H2392">
        <f>IFERROR(HLOOKUP(H$2,[73]table_male_hkom1_inj.ill_X6!$A$1:$K$36,8,FALSE),0)</f>
        <v>0</v>
      </c>
      <c r="I2392">
        <f>IFERROR(HLOOKUP(I$2,[73]table_male_hkom1_inj.ill_X6!$A$1:$K$36,8,FALSE),0)</f>
        <v>0</v>
      </c>
      <c r="J2392">
        <f>IFERROR(HLOOKUP(J$2,[73]table_male_hkom1_inj.ill_X6!$A$1:$K$36,8,FALSE),0)</f>
        <v>0</v>
      </c>
      <c r="K2392">
        <f>IFERROR(HLOOKUP(K$2,[73]table_male_hkom1_inj.ill_X6!$A$1:$K$36,8,FALSE),0)</f>
        <v>0</v>
      </c>
      <c r="L2392">
        <f>IFERROR(HLOOKUP(L$2,[73]table_male_hkom1_inj.ill_X6!$A$1:$K$36,8,FALSE),0)</f>
        <v>0</v>
      </c>
      <c r="M2392">
        <f t="shared" si="748"/>
        <v>0</v>
      </c>
      <c r="S2392" t="s">
        <v>76</v>
      </c>
      <c r="T2392" s="5">
        <f t="shared" si="749"/>
        <v>0</v>
      </c>
      <c r="U2392" s="5">
        <f t="shared" si="750"/>
        <v>0</v>
      </c>
      <c r="V2392" s="5">
        <f t="shared" si="751"/>
        <v>0</v>
      </c>
      <c r="W2392" s="5">
        <f t="shared" si="752"/>
        <v>0</v>
      </c>
      <c r="X2392" s="5">
        <f t="shared" si="753"/>
        <v>0</v>
      </c>
      <c r="Y2392" s="5">
        <f t="shared" si="754"/>
        <v>0</v>
      </c>
      <c r="Z2392" s="5">
        <f t="shared" si="755"/>
        <v>0</v>
      </c>
      <c r="AA2392" s="5">
        <f t="shared" si="756"/>
        <v>0</v>
      </c>
      <c r="AB2392" s="5">
        <f t="shared" si="736"/>
        <v>0</v>
      </c>
    </row>
    <row r="2393" spans="1:29" x14ac:dyDescent="0.25">
      <c r="D2393" t="s">
        <v>77</v>
      </c>
      <c r="E2393" s="14"/>
      <c r="F2393" s="14"/>
      <c r="G2393">
        <f>IFERROR(HLOOKUP(G$2,[73]table_male_hkom1_inj.ill_X6!$A$1:$K$36,9,FALSE),0)</f>
        <v>0</v>
      </c>
      <c r="H2393">
        <f>IFERROR(HLOOKUP(H$2,[73]table_male_hkom1_inj.ill_X6!$A$1:$K$36,9,FALSE),0)</f>
        <v>0</v>
      </c>
      <c r="I2393">
        <f>IFERROR(HLOOKUP(I$2,[73]table_male_hkom1_inj.ill_X6!$A$1:$K$36,9,FALSE),0)</f>
        <v>0</v>
      </c>
      <c r="J2393">
        <f>IFERROR(HLOOKUP(J$2,[73]table_male_hkom1_inj.ill_X6!$A$1:$K$36,9,FALSE),0)</f>
        <v>0</v>
      </c>
      <c r="K2393">
        <f>IFERROR(HLOOKUP(K$2,[73]table_male_hkom1_inj.ill_X6!$A$1:$K$36,9,FALSE),0)</f>
        <v>0</v>
      </c>
      <c r="L2393">
        <f>IFERROR(HLOOKUP(L$2,[73]table_male_hkom1_inj.ill_X6!$A$1:$K$36,9,FALSE),0)</f>
        <v>0</v>
      </c>
      <c r="M2393">
        <f t="shared" si="748"/>
        <v>0</v>
      </c>
      <c r="S2393" t="s">
        <v>77</v>
      </c>
      <c r="T2393" s="5">
        <f t="shared" si="749"/>
        <v>0</v>
      </c>
      <c r="U2393" s="5">
        <f t="shared" si="750"/>
        <v>0</v>
      </c>
      <c r="V2393" s="5">
        <f t="shared" si="751"/>
        <v>0</v>
      </c>
      <c r="W2393" s="5">
        <f t="shared" si="752"/>
        <v>0</v>
      </c>
      <c r="X2393" s="5">
        <f t="shared" si="753"/>
        <v>0</v>
      </c>
      <c r="Y2393" s="5">
        <f t="shared" si="754"/>
        <v>0</v>
      </c>
      <c r="Z2393" s="5">
        <f t="shared" si="755"/>
        <v>0</v>
      </c>
      <c r="AA2393" s="5">
        <f t="shared" si="756"/>
        <v>0</v>
      </c>
      <c r="AB2393" s="5">
        <f t="shared" si="736"/>
        <v>0</v>
      </c>
    </row>
    <row r="2394" spans="1:29" x14ac:dyDescent="0.25">
      <c r="D2394" t="s">
        <v>78</v>
      </c>
      <c r="E2394" s="14"/>
      <c r="F2394" s="14"/>
      <c r="G2394">
        <f>IFERROR(HLOOKUP(G$2,[73]table_male_hkom1_inj.ill_X6!$A$1:$K$36,10,FALSE),0)</f>
        <v>0</v>
      </c>
      <c r="H2394">
        <f>IFERROR(HLOOKUP(H$2,[73]table_male_hkom1_inj.ill_X6!$A$1:$K$36,10,FALSE),0)</f>
        <v>0</v>
      </c>
      <c r="I2394">
        <f>IFERROR(HLOOKUP(I$2,[73]table_male_hkom1_inj.ill_X6!$A$1:$K$36,10,FALSE),0)</f>
        <v>0</v>
      </c>
      <c r="J2394">
        <f>IFERROR(HLOOKUP(J$2,[73]table_male_hkom1_inj.ill_X6!$A$1:$K$36,10,FALSE),0)</f>
        <v>0</v>
      </c>
      <c r="K2394">
        <f>IFERROR(HLOOKUP(K$2,[73]table_male_hkom1_inj.ill_X6!$A$1:$K$36,10,FALSE),0)</f>
        <v>0</v>
      </c>
      <c r="L2394">
        <f>IFERROR(HLOOKUP(L$2,[73]table_male_hkom1_inj.ill_X6!$A$1:$K$36,10,FALSE),0)</f>
        <v>0</v>
      </c>
      <c r="M2394">
        <f t="shared" si="748"/>
        <v>0</v>
      </c>
      <c r="S2394" t="s">
        <v>78</v>
      </c>
      <c r="T2394" s="5">
        <f t="shared" si="749"/>
        <v>0</v>
      </c>
      <c r="U2394" s="5">
        <f t="shared" si="750"/>
        <v>0</v>
      </c>
      <c r="V2394" s="5">
        <f t="shared" si="751"/>
        <v>0</v>
      </c>
      <c r="W2394" s="5">
        <f t="shared" si="752"/>
        <v>0</v>
      </c>
      <c r="X2394" s="5">
        <f t="shared" si="753"/>
        <v>0</v>
      </c>
      <c r="Y2394" s="5">
        <f t="shared" si="754"/>
        <v>0</v>
      </c>
      <c r="Z2394" s="5">
        <f t="shared" si="755"/>
        <v>0</v>
      </c>
      <c r="AA2394" s="5">
        <f t="shared" si="756"/>
        <v>0</v>
      </c>
      <c r="AB2394" s="5">
        <f t="shared" si="736"/>
        <v>0</v>
      </c>
    </row>
    <row r="2395" spans="1:29" x14ac:dyDescent="0.25">
      <c r="D2395" t="s">
        <v>79</v>
      </c>
      <c r="E2395" s="14"/>
      <c r="F2395" s="14"/>
      <c r="G2395">
        <f>IFERROR(HLOOKUP(G$2,[73]table_male_hkom1_inj.ill_X6!$A$1:$K$36,11,FALSE),0)</f>
        <v>0</v>
      </c>
      <c r="H2395">
        <f>IFERROR(HLOOKUP(H$2,[73]table_male_hkom1_inj.ill_X6!$A$1:$K$36,11,FALSE),0)</f>
        <v>0</v>
      </c>
      <c r="I2395">
        <f>IFERROR(HLOOKUP(I$2,[73]table_male_hkom1_inj.ill_X6!$A$1:$K$36,11,FALSE),0)</f>
        <v>0</v>
      </c>
      <c r="J2395">
        <f>IFERROR(HLOOKUP(J$2,[73]table_male_hkom1_inj.ill_X6!$A$1:$K$36,11,FALSE),0)</f>
        <v>0</v>
      </c>
      <c r="K2395">
        <f>IFERROR(HLOOKUP(K$2,[73]table_male_hkom1_inj.ill_X6!$A$1:$K$36,11,FALSE),0)</f>
        <v>0</v>
      </c>
      <c r="L2395">
        <f>IFERROR(HLOOKUP(L$2,[73]table_male_hkom1_inj.ill_X6!$A$1:$K$36,11,FALSE),0)</f>
        <v>0</v>
      </c>
      <c r="M2395">
        <f t="shared" si="748"/>
        <v>0</v>
      </c>
      <c r="S2395" t="s">
        <v>79</v>
      </c>
      <c r="T2395" s="5">
        <f t="shared" si="749"/>
        <v>0</v>
      </c>
      <c r="U2395" s="5">
        <f t="shared" si="750"/>
        <v>0</v>
      </c>
      <c r="V2395" s="5">
        <f t="shared" si="751"/>
        <v>0</v>
      </c>
      <c r="W2395" s="5">
        <f t="shared" si="752"/>
        <v>0</v>
      </c>
      <c r="X2395" s="5">
        <f t="shared" si="753"/>
        <v>0</v>
      </c>
      <c r="Y2395" s="5">
        <f t="shared" si="754"/>
        <v>0</v>
      </c>
      <c r="Z2395" s="5">
        <f t="shared" si="755"/>
        <v>0</v>
      </c>
      <c r="AA2395" s="5">
        <f t="shared" si="756"/>
        <v>0</v>
      </c>
      <c r="AB2395" s="5">
        <f t="shared" si="736"/>
        <v>0</v>
      </c>
    </row>
    <row r="2396" spans="1:29" x14ac:dyDescent="0.25">
      <c r="D2396" t="s">
        <v>80</v>
      </c>
      <c r="E2396" s="14"/>
      <c r="F2396" s="14"/>
      <c r="G2396">
        <f>IFERROR(HLOOKUP(G$2,[73]table_male_hkom1_inj.ill_X6!$A$1:$K$36,12,FALSE),0)</f>
        <v>0</v>
      </c>
      <c r="H2396">
        <f>IFERROR(HLOOKUP(H$2,[73]table_male_hkom1_inj.ill_X6!$A$1:$K$36,12,FALSE),0)</f>
        <v>0</v>
      </c>
      <c r="I2396">
        <f>IFERROR(HLOOKUP(I$2,[73]table_male_hkom1_inj.ill_X6!$A$1:$K$36,12,FALSE),0)</f>
        <v>0</v>
      </c>
      <c r="J2396">
        <f>IFERROR(HLOOKUP(J$2,[73]table_male_hkom1_inj.ill_X6!$A$1:$K$36,12,FALSE),0)</f>
        <v>0</v>
      </c>
      <c r="K2396">
        <f>IFERROR(HLOOKUP(K$2,[73]table_male_hkom1_inj.ill_X6!$A$1:$K$36,12,FALSE),0)</f>
        <v>0</v>
      </c>
      <c r="L2396">
        <f>IFERROR(HLOOKUP(L$2,[73]table_male_hkom1_inj.ill_X6!$A$1:$K$36,12,FALSE),0)</f>
        <v>0</v>
      </c>
      <c r="M2396">
        <f t="shared" si="748"/>
        <v>0</v>
      </c>
      <c r="S2396" t="s">
        <v>80</v>
      </c>
      <c r="T2396" s="5">
        <f t="shared" si="749"/>
        <v>0</v>
      </c>
      <c r="U2396" s="5">
        <f t="shared" si="750"/>
        <v>0</v>
      </c>
      <c r="V2396" s="5">
        <f t="shared" si="751"/>
        <v>0</v>
      </c>
      <c r="W2396" s="5">
        <f t="shared" si="752"/>
        <v>0</v>
      </c>
      <c r="X2396" s="5">
        <f t="shared" si="753"/>
        <v>0</v>
      </c>
      <c r="Y2396" s="5">
        <f t="shared" si="754"/>
        <v>0</v>
      </c>
      <c r="Z2396" s="5">
        <f t="shared" si="755"/>
        <v>0</v>
      </c>
      <c r="AA2396" s="5">
        <f t="shared" si="756"/>
        <v>0</v>
      </c>
      <c r="AB2396" s="5">
        <f t="shared" si="736"/>
        <v>0</v>
      </c>
    </row>
    <row r="2397" spans="1:29" x14ac:dyDescent="0.25">
      <c r="D2397" t="s">
        <v>81</v>
      </c>
      <c r="E2397" s="14"/>
      <c r="F2397" s="14"/>
      <c r="G2397">
        <f>IFERROR(HLOOKUP(G$2,[73]table_male_hkom1_inj.ill_X6!$A$1:$K$36,13,FALSE),0)</f>
        <v>0</v>
      </c>
      <c r="H2397">
        <f>IFERROR(HLOOKUP(H$2,[73]table_male_hkom1_inj.ill_X6!$A$1:$K$36,13,FALSE),0)</f>
        <v>0</v>
      </c>
      <c r="I2397">
        <f>IFERROR(HLOOKUP(I$2,[73]table_male_hkom1_inj.ill_X6!$A$1:$K$36,13,FALSE),0)</f>
        <v>0</v>
      </c>
      <c r="J2397">
        <f>IFERROR(HLOOKUP(J$2,[73]table_male_hkom1_inj.ill_X6!$A$1:$K$36,13,FALSE),0)</f>
        <v>0</v>
      </c>
      <c r="K2397">
        <f>IFERROR(HLOOKUP(K$2,[73]table_male_hkom1_inj.ill_X6!$A$1:$K$36,13,FALSE),0)</f>
        <v>0</v>
      </c>
      <c r="L2397">
        <f>IFERROR(HLOOKUP(L$2,[73]table_male_hkom1_inj.ill_X6!$A$1:$K$36,13,FALSE),0)</f>
        <v>0</v>
      </c>
      <c r="M2397">
        <f t="shared" si="748"/>
        <v>0</v>
      </c>
      <c r="S2397" t="s">
        <v>81</v>
      </c>
      <c r="T2397" s="5">
        <f t="shared" si="749"/>
        <v>0</v>
      </c>
      <c r="U2397" s="5">
        <f t="shared" si="750"/>
        <v>0</v>
      </c>
      <c r="V2397" s="5">
        <f t="shared" si="751"/>
        <v>0</v>
      </c>
      <c r="W2397" s="5">
        <f t="shared" si="752"/>
        <v>0</v>
      </c>
      <c r="X2397" s="5">
        <f t="shared" si="753"/>
        <v>0</v>
      </c>
      <c r="Y2397" s="5">
        <f t="shared" si="754"/>
        <v>0</v>
      </c>
      <c r="Z2397" s="5">
        <f t="shared" si="755"/>
        <v>0</v>
      </c>
      <c r="AA2397" s="5">
        <f t="shared" si="756"/>
        <v>0</v>
      </c>
      <c r="AB2397" s="5">
        <f t="shared" si="736"/>
        <v>0</v>
      </c>
    </row>
    <row r="2398" spans="1:29" x14ac:dyDescent="0.25">
      <c r="D2398" t="s">
        <v>82</v>
      </c>
      <c r="E2398" s="14"/>
      <c r="F2398" s="14"/>
      <c r="G2398">
        <f>IFERROR(HLOOKUP(G$2,[73]table_male_hkom1_inj.ill_X6!$A$1:$K$36,14,FALSE),0)</f>
        <v>0</v>
      </c>
      <c r="H2398">
        <f>IFERROR(HLOOKUP(H$2,[73]table_male_hkom1_inj.ill_X6!$A$1:$K$36,14,FALSE),0)</f>
        <v>0</v>
      </c>
      <c r="I2398">
        <f>IFERROR(HLOOKUP(I$2,[73]table_male_hkom1_inj.ill_X6!$A$1:$K$36,14,FALSE),0)</f>
        <v>0</v>
      </c>
      <c r="J2398">
        <f>IFERROR(HLOOKUP(J$2,[73]table_male_hkom1_inj.ill_X6!$A$1:$K$36,14,FALSE),0)</f>
        <v>0</v>
      </c>
      <c r="K2398">
        <f>IFERROR(HLOOKUP(K$2,[73]table_male_hkom1_inj.ill_X6!$A$1:$K$36,14,FALSE),0)</f>
        <v>0</v>
      </c>
      <c r="L2398">
        <f>IFERROR(HLOOKUP(L$2,[73]table_male_hkom1_inj.ill_X6!$A$1:$K$36,14,FALSE),0)</f>
        <v>0</v>
      </c>
      <c r="M2398">
        <f t="shared" si="748"/>
        <v>0</v>
      </c>
      <c r="S2398" t="s">
        <v>82</v>
      </c>
      <c r="T2398" s="5">
        <f t="shared" si="749"/>
        <v>0</v>
      </c>
      <c r="U2398" s="5">
        <f t="shared" si="750"/>
        <v>0</v>
      </c>
      <c r="V2398" s="5">
        <f t="shared" si="751"/>
        <v>0</v>
      </c>
      <c r="W2398" s="5">
        <f t="shared" si="752"/>
        <v>0</v>
      </c>
      <c r="X2398" s="5">
        <f t="shared" si="753"/>
        <v>0</v>
      </c>
      <c r="Y2398" s="5">
        <f t="shared" si="754"/>
        <v>0</v>
      </c>
      <c r="Z2398" s="5">
        <f t="shared" si="755"/>
        <v>0</v>
      </c>
      <c r="AA2398" s="5">
        <f t="shared" si="756"/>
        <v>0</v>
      </c>
      <c r="AB2398" s="5">
        <f t="shared" si="736"/>
        <v>0</v>
      </c>
    </row>
    <row r="2399" spans="1:29" x14ac:dyDescent="0.25">
      <c r="D2399" t="s">
        <v>83</v>
      </c>
      <c r="E2399" s="14"/>
      <c r="F2399" s="14"/>
      <c r="G2399">
        <f>IFERROR(HLOOKUP(G$2,[73]table_male_hkom1_inj.ill_X6!$A$1:$K$36,15,FALSE),0)</f>
        <v>0</v>
      </c>
      <c r="H2399">
        <f>IFERROR(HLOOKUP(H$2,[73]table_male_hkom1_inj.ill_X6!$A$1:$K$36,15,FALSE),0)</f>
        <v>0</v>
      </c>
      <c r="I2399">
        <f>IFERROR(HLOOKUP(I$2,[73]table_male_hkom1_inj.ill_X6!$A$1:$K$36,15,FALSE),0)</f>
        <v>0</v>
      </c>
      <c r="J2399">
        <f>IFERROR(HLOOKUP(J$2,[73]table_male_hkom1_inj.ill_X6!$A$1:$K$36,15,FALSE),0)</f>
        <v>0</v>
      </c>
      <c r="K2399">
        <f>IFERROR(HLOOKUP(K$2,[73]table_male_hkom1_inj.ill_X6!$A$1:$K$36,15,FALSE),0)</f>
        <v>0</v>
      </c>
      <c r="L2399">
        <f>IFERROR(HLOOKUP(L$2,[73]table_male_hkom1_inj.ill_X6!$A$1:$K$36,15,FALSE),0)</f>
        <v>0</v>
      </c>
      <c r="M2399">
        <f t="shared" si="748"/>
        <v>0</v>
      </c>
      <c r="S2399" t="s">
        <v>83</v>
      </c>
      <c r="T2399" s="5">
        <f t="shared" si="749"/>
        <v>0</v>
      </c>
      <c r="U2399" s="5">
        <f t="shared" si="750"/>
        <v>0</v>
      </c>
      <c r="V2399" s="5">
        <f t="shared" si="751"/>
        <v>0</v>
      </c>
      <c r="W2399" s="5">
        <f t="shared" si="752"/>
        <v>0</v>
      </c>
      <c r="X2399" s="5">
        <f t="shared" si="753"/>
        <v>0</v>
      </c>
      <c r="Y2399" s="5">
        <f t="shared" si="754"/>
        <v>0</v>
      </c>
      <c r="Z2399" s="5">
        <f t="shared" si="755"/>
        <v>0</v>
      </c>
      <c r="AA2399" s="5">
        <f t="shared" si="756"/>
        <v>0</v>
      </c>
      <c r="AB2399" s="5">
        <f t="shared" si="736"/>
        <v>0</v>
      </c>
    </row>
    <row r="2400" spans="1:29" x14ac:dyDescent="0.25">
      <c r="D2400" t="s">
        <v>84</v>
      </c>
      <c r="E2400" s="14"/>
      <c r="F2400" s="14"/>
      <c r="G2400">
        <f>IFERROR(HLOOKUP(G$2,[73]table_male_hkom1_inj.ill_X6!$A$1:$K$36,16,FALSE),0)</f>
        <v>0</v>
      </c>
      <c r="H2400">
        <f>IFERROR(HLOOKUP(H$2,[73]table_male_hkom1_inj.ill_X6!$A$1:$K$36,16,FALSE),0)</f>
        <v>0</v>
      </c>
      <c r="I2400">
        <f>IFERROR(HLOOKUP(I$2,[73]table_male_hkom1_inj.ill_X6!$A$1:$K$36,16,FALSE),0)</f>
        <v>0</v>
      </c>
      <c r="J2400">
        <f>IFERROR(HLOOKUP(J$2,[73]table_male_hkom1_inj.ill_X6!$A$1:$K$36,16,FALSE),0)</f>
        <v>0</v>
      </c>
      <c r="K2400">
        <f>IFERROR(HLOOKUP(K$2,[73]table_male_hkom1_inj.ill_X6!$A$1:$K$36,16,FALSE),0)</f>
        <v>0</v>
      </c>
      <c r="L2400">
        <f>IFERROR(HLOOKUP(L$2,[73]table_male_hkom1_inj.ill_X6!$A$1:$K$36,16,FALSE),0)</f>
        <v>0</v>
      </c>
      <c r="M2400">
        <f t="shared" si="748"/>
        <v>0</v>
      </c>
      <c r="S2400" t="s">
        <v>84</v>
      </c>
      <c r="T2400" s="5">
        <f t="shared" si="749"/>
        <v>0</v>
      </c>
      <c r="U2400" s="5">
        <f t="shared" si="750"/>
        <v>0</v>
      </c>
      <c r="V2400" s="5">
        <f t="shared" si="751"/>
        <v>0</v>
      </c>
      <c r="W2400" s="5">
        <f t="shared" si="752"/>
        <v>0</v>
      </c>
      <c r="X2400" s="5">
        <f t="shared" si="753"/>
        <v>0</v>
      </c>
      <c r="Y2400" s="5">
        <f t="shared" si="754"/>
        <v>0</v>
      </c>
      <c r="Z2400" s="5">
        <f t="shared" si="755"/>
        <v>0</v>
      </c>
      <c r="AA2400" s="5">
        <f t="shared" si="756"/>
        <v>0</v>
      </c>
      <c r="AB2400" s="5">
        <f t="shared" si="736"/>
        <v>0</v>
      </c>
    </row>
    <row r="2401" spans="4:28" x14ac:dyDescent="0.25">
      <c r="D2401" t="s">
        <v>85</v>
      </c>
      <c r="E2401" s="14"/>
      <c r="F2401" s="14"/>
      <c r="G2401">
        <f>IFERROR(HLOOKUP(G$2,[73]table_male_hkom1_inj.ill_X6!$A$1:$K$36,17,FALSE),0)</f>
        <v>0</v>
      </c>
      <c r="H2401">
        <f>IFERROR(HLOOKUP(H$2,[73]table_male_hkom1_inj.ill_X6!$A$1:$K$36,17,FALSE),0)</f>
        <v>0</v>
      </c>
      <c r="I2401">
        <f>IFERROR(HLOOKUP(I$2,[73]table_male_hkom1_inj.ill_X6!$A$1:$K$36,17,FALSE),0)</f>
        <v>0</v>
      </c>
      <c r="J2401">
        <f>IFERROR(HLOOKUP(J$2,[73]table_male_hkom1_inj.ill_X6!$A$1:$K$36,17,FALSE),0)</f>
        <v>0</v>
      </c>
      <c r="K2401">
        <f>IFERROR(HLOOKUP(K$2,[73]table_male_hkom1_inj.ill_X6!$A$1:$K$36,17,FALSE),0)</f>
        <v>0</v>
      </c>
      <c r="L2401">
        <f>IFERROR(HLOOKUP(L$2,[73]table_male_hkom1_inj.ill_X6!$A$1:$K$36,17,FALSE),0)</f>
        <v>0</v>
      </c>
      <c r="M2401">
        <f t="shared" si="748"/>
        <v>0</v>
      </c>
      <c r="S2401" t="s">
        <v>85</v>
      </c>
      <c r="T2401" s="5">
        <f t="shared" si="749"/>
        <v>0</v>
      </c>
      <c r="U2401" s="5">
        <f t="shared" si="750"/>
        <v>0</v>
      </c>
      <c r="V2401" s="5">
        <f t="shared" si="751"/>
        <v>0</v>
      </c>
      <c r="W2401" s="5">
        <f t="shared" si="752"/>
        <v>0</v>
      </c>
      <c r="X2401" s="5">
        <f t="shared" si="753"/>
        <v>0</v>
      </c>
      <c r="Y2401" s="5">
        <f t="shared" si="754"/>
        <v>0</v>
      </c>
      <c r="Z2401" s="5">
        <f t="shared" si="755"/>
        <v>0</v>
      </c>
      <c r="AA2401" s="5">
        <f t="shared" si="756"/>
        <v>0</v>
      </c>
      <c r="AB2401" s="5">
        <f t="shared" si="736"/>
        <v>0</v>
      </c>
    </row>
    <row r="2402" spans="4:28" x14ac:dyDescent="0.25">
      <c r="D2402" t="s">
        <v>86</v>
      </c>
      <c r="E2402" s="14"/>
      <c r="F2402" s="14"/>
      <c r="G2402">
        <f>IFERROR(HLOOKUP(G$2,[73]table_male_hkom1_inj.ill_X6!$A$1:$K$36,18,FALSE),0)</f>
        <v>0</v>
      </c>
      <c r="H2402">
        <f>IFERROR(HLOOKUP(H$2,[73]table_male_hkom1_inj.ill_X6!$A$1:$K$36,18,FALSE),0)</f>
        <v>0</v>
      </c>
      <c r="I2402">
        <f>IFERROR(HLOOKUP(I$2,[73]table_male_hkom1_inj.ill_X6!$A$1:$K$36,18,FALSE),0)</f>
        <v>0</v>
      </c>
      <c r="J2402">
        <f>IFERROR(HLOOKUP(J$2,[73]table_male_hkom1_inj.ill_X6!$A$1:$K$36,18,FALSE),0)</f>
        <v>0</v>
      </c>
      <c r="K2402">
        <f>IFERROR(HLOOKUP(K$2,[73]table_male_hkom1_inj.ill_X6!$A$1:$K$36,18,FALSE),0)</f>
        <v>0</v>
      </c>
      <c r="L2402">
        <f>IFERROR(HLOOKUP(L$2,[73]table_male_hkom1_inj.ill_X6!$A$1:$K$36,18,FALSE),0)</f>
        <v>0</v>
      </c>
      <c r="M2402">
        <f t="shared" si="748"/>
        <v>0</v>
      </c>
      <c r="S2402" t="s">
        <v>86</v>
      </c>
      <c r="T2402" s="5">
        <f t="shared" si="749"/>
        <v>0</v>
      </c>
      <c r="U2402" s="5">
        <f t="shared" si="750"/>
        <v>0</v>
      </c>
      <c r="V2402" s="5">
        <f t="shared" si="751"/>
        <v>0</v>
      </c>
      <c r="W2402" s="5">
        <f t="shared" si="752"/>
        <v>0</v>
      </c>
      <c r="X2402" s="5">
        <f t="shared" si="753"/>
        <v>0</v>
      </c>
      <c r="Y2402" s="5">
        <f t="shared" si="754"/>
        <v>0</v>
      </c>
      <c r="Z2402" s="5">
        <f t="shared" si="755"/>
        <v>0</v>
      </c>
      <c r="AA2402" s="5">
        <f t="shared" si="756"/>
        <v>0</v>
      </c>
      <c r="AB2402" s="5">
        <f t="shared" si="736"/>
        <v>0</v>
      </c>
    </row>
    <row r="2403" spans="4:28" x14ac:dyDescent="0.25">
      <c r="D2403" t="s">
        <v>87</v>
      </c>
      <c r="E2403" s="14"/>
      <c r="F2403" s="14"/>
      <c r="G2403">
        <f>IFERROR(HLOOKUP(G$2,[73]table_male_hkom1_inj.ill_X6!$A$1:$K$36,19,FALSE),0)</f>
        <v>0</v>
      </c>
      <c r="H2403">
        <f>IFERROR(HLOOKUP(H$2,[73]table_male_hkom1_inj.ill_X6!$A$1:$K$36,19,FALSE),0)</f>
        <v>0</v>
      </c>
      <c r="I2403">
        <f>IFERROR(HLOOKUP(I$2,[73]table_male_hkom1_inj.ill_X6!$A$1:$K$36,19,FALSE),0)</f>
        <v>0</v>
      </c>
      <c r="J2403">
        <f>IFERROR(HLOOKUP(J$2,[73]table_male_hkom1_inj.ill_X6!$A$1:$K$36,19,FALSE),0)</f>
        <v>0</v>
      </c>
      <c r="K2403">
        <f>IFERROR(HLOOKUP(K$2,[73]table_male_hkom1_inj.ill_X6!$A$1:$K$36,19,FALSE),0)</f>
        <v>0</v>
      </c>
      <c r="L2403">
        <f>IFERROR(HLOOKUP(L$2,[73]table_male_hkom1_inj.ill_X6!$A$1:$K$36,19,FALSE),0)</f>
        <v>0</v>
      </c>
      <c r="M2403">
        <f t="shared" si="748"/>
        <v>0</v>
      </c>
      <c r="S2403" t="s">
        <v>87</v>
      </c>
      <c r="T2403" s="5">
        <f t="shared" si="749"/>
        <v>0</v>
      </c>
      <c r="U2403" s="5">
        <f t="shared" si="750"/>
        <v>0</v>
      </c>
      <c r="V2403" s="5">
        <f t="shared" si="751"/>
        <v>0</v>
      </c>
      <c r="W2403" s="5">
        <f t="shared" si="752"/>
        <v>0</v>
      </c>
      <c r="X2403" s="5">
        <f t="shared" si="753"/>
        <v>0</v>
      </c>
      <c r="Y2403" s="5">
        <f t="shared" si="754"/>
        <v>0</v>
      </c>
      <c r="Z2403" s="5">
        <f t="shared" si="755"/>
        <v>0</v>
      </c>
      <c r="AA2403" s="5">
        <f t="shared" si="756"/>
        <v>0</v>
      </c>
      <c r="AB2403" s="5">
        <f t="shared" si="736"/>
        <v>0</v>
      </c>
    </row>
    <row r="2404" spans="4:28" x14ac:dyDescent="0.25">
      <c r="D2404" t="s">
        <v>88</v>
      </c>
      <c r="E2404" s="14"/>
      <c r="F2404" s="14"/>
      <c r="G2404">
        <f>IFERROR(HLOOKUP(G$2,[73]table_male_hkom1_inj.ill_X6!$A$1:$K$36,20,FALSE),0)</f>
        <v>0</v>
      </c>
      <c r="H2404">
        <f>IFERROR(HLOOKUP(H$2,[73]table_male_hkom1_inj.ill_X6!$A$1:$K$36,20,FALSE),0)</f>
        <v>0</v>
      </c>
      <c r="I2404">
        <f>IFERROR(HLOOKUP(I$2,[73]table_male_hkom1_inj.ill_X6!$A$1:$K$36,20,FALSE),0)</f>
        <v>0</v>
      </c>
      <c r="J2404">
        <f>IFERROR(HLOOKUP(J$2,[73]table_male_hkom1_inj.ill_X6!$A$1:$K$36,20,FALSE),0)</f>
        <v>0</v>
      </c>
      <c r="K2404">
        <f>IFERROR(HLOOKUP(K$2,[73]table_male_hkom1_inj.ill_X6!$A$1:$K$36,20,FALSE),0)</f>
        <v>0</v>
      </c>
      <c r="L2404">
        <f>IFERROR(HLOOKUP(L$2,[73]table_male_hkom1_inj.ill_X6!$A$1:$K$36,20,FALSE),0)</f>
        <v>0</v>
      </c>
      <c r="M2404">
        <f t="shared" si="748"/>
        <v>0</v>
      </c>
      <c r="S2404" t="s">
        <v>88</v>
      </c>
      <c r="T2404" s="5">
        <f t="shared" si="749"/>
        <v>0</v>
      </c>
      <c r="U2404" s="5">
        <f t="shared" si="750"/>
        <v>0</v>
      </c>
      <c r="V2404" s="5">
        <f t="shared" si="751"/>
        <v>0</v>
      </c>
      <c r="W2404" s="5">
        <f t="shared" si="752"/>
        <v>0</v>
      </c>
      <c r="X2404" s="5">
        <f t="shared" si="753"/>
        <v>0</v>
      </c>
      <c r="Y2404" s="5">
        <f t="shared" si="754"/>
        <v>0</v>
      </c>
      <c r="Z2404" s="5">
        <f t="shared" si="755"/>
        <v>0</v>
      </c>
      <c r="AA2404" s="5">
        <f t="shared" si="756"/>
        <v>0</v>
      </c>
      <c r="AB2404" s="5">
        <f t="shared" si="736"/>
        <v>0</v>
      </c>
    </row>
    <row r="2405" spans="4:28" x14ac:dyDescent="0.25">
      <c r="D2405" t="s">
        <v>89</v>
      </c>
      <c r="E2405" s="14"/>
      <c r="F2405" s="14"/>
      <c r="G2405">
        <f>IFERROR(HLOOKUP(G$2,[73]table_male_hkom1_inj.ill_X6!$A$1:$K$36,21,FALSE),0)</f>
        <v>0</v>
      </c>
      <c r="H2405">
        <f>IFERROR(HLOOKUP(H$2,[73]table_male_hkom1_inj.ill_X6!$A$1:$K$36,21,FALSE),0)</f>
        <v>0</v>
      </c>
      <c r="I2405">
        <f>IFERROR(HLOOKUP(I$2,[73]table_male_hkom1_inj.ill_X6!$A$1:$K$36,21,FALSE),0)</f>
        <v>0</v>
      </c>
      <c r="J2405">
        <f>IFERROR(HLOOKUP(J$2,[73]table_male_hkom1_inj.ill_X6!$A$1:$K$36,21,FALSE),0)</f>
        <v>0</v>
      </c>
      <c r="K2405">
        <f>IFERROR(HLOOKUP(K$2,[73]table_male_hkom1_inj.ill_X6!$A$1:$K$36,21,FALSE),0)</f>
        <v>0</v>
      </c>
      <c r="L2405">
        <f>IFERROR(HLOOKUP(L$2,[73]table_male_hkom1_inj.ill_X6!$A$1:$K$36,21,FALSE),0)</f>
        <v>0</v>
      </c>
      <c r="M2405">
        <f t="shared" si="748"/>
        <v>0</v>
      </c>
      <c r="S2405" t="s">
        <v>89</v>
      </c>
      <c r="T2405" s="5">
        <f t="shared" si="749"/>
        <v>0</v>
      </c>
      <c r="U2405" s="5">
        <f t="shared" si="750"/>
        <v>0</v>
      </c>
      <c r="V2405" s="5">
        <f t="shared" si="751"/>
        <v>0</v>
      </c>
      <c r="W2405" s="5">
        <f t="shared" si="752"/>
        <v>0</v>
      </c>
      <c r="X2405" s="5">
        <f t="shared" si="753"/>
        <v>0</v>
      </c>
      <c r="Y2405" s="5">
        <f t="shared" si="754"/>
        <v>0</v>
      </c>
      <c r="Z2405" s="5">
        <f t="shared" si="755"/>
        <v>0</v>
      </c>
      <c r="AA2405" s="5">
        <f t="shared" si="756"/>
        <v>0</v>
      </c>
      <c r="AB2405" s="5">
        <f t="shared" si="736"/>
        <v>0</v>
      </c>
    </row>
    <row r="2406" spans="4:28" x14ac:dyDescent="0.25">
      <c r="D2406" t="s">
        <v>90</v>
      </c>
      <c r="E2406" s="14"/>
      <c r="F2406" s="14"/>
      <c r="G2406">
        <f>IFERROR(HLOOKUP(G$2,[73]table_male_hkom1_inj.ill_X6!$A$1:$K$36,22,FALSE),0)</f>
        <v>0</v>
      </c>
      <c r="H2406">
        <f>IFERROR(HLOOKUP(H$2,[73]table_male_hkom1_inj.ill_X6!$A$1:$K$36,22,FALSE),0)</f>
        <v>0</v>
      </c>
      <c r="I2406">
        <f>IFERROR(HLOOKUP(I$2,[73]table_male_hkom1_inj.ill_X6!$A$1:$K$36,22,FALSE),0)</f>
        <v>0</v>
      </c>
      <c r="J2406">
        <f>IFERROR(HLOOKUP(J$2,[73]table_male_hkom1_inj.ill_X6!$A$1:$K$36,22,FALSE),0)</f>
        <v>0</v>
      </c>
      <c r="K2406">
        <f>IFERROR(HLOOKUP(K$2,[73]table_male_hkom1_inj.ill_X6!$A$1:$K$36,22,FALSE),0)</f>
        <v>0</v>
      </c>
      <c r="L2406">
        <f>IFERROR(HLOOKUP(L$2,[73]table_male_hkom1_inj.ill_X6!$A$1:$K$36,22,FALSE),0)</f>
        <v>0</v>
      </c>
      <c r="M2406">
        <f t="shared" si="748"/>
        <v>0</v>
      </c>
      <c r="S2406" t="s">
        <v>90</v>
      </c>
      <c r="T2406" s="5">
        <f t="shared" si="749"/>
        <v>0</v>
      </c>
      <c r="U2406" s="5">
        <f t="shared" si="750"/>
        <v>0</v>
      </c>
      <c r="V2406" s="5">
        <f t="shared" si="751"/>
        <v>0</v>
      </c>
      <c r="W2406" s="5">
        <f t="shared" si="752"/>
        <v>0</v>
      </c>
      <c r="X2406" s="5">
        <f t="shared" si="753"/>
        <v>0</v>
      </c>
      <c r="Y2406" s="5">
        <f t="shared" si="754"/>
        <v>0</v>
      </c>
      <c r="Z2406" s="5">
        <f t="shared" si="755"/>
        <v>0</v>
      </c>
      <c r="AA2406" s="5">
        <f t="shared" si="756"/>
        <v>0</v>
      </c>
      <c r="AB2406" s="5">
        <f t="shared" si="736"/>
        <v>0</v>
      </c>
    </row>
    <row r="2407" spans="4:28" x14ac:dyDescent="0.25">
      <c r="D2407" t="s">
        <v>91</v>
      </c>
      <c r="E2407" s="14"/>
      <c r="F2407" s="14"/>
      <c r="G2407">
        <f>IFERROR(HLOOKUP(G$2,[73]table_male_hkom1_inj.ill_X6!$A$1:$K$36,23,FALSE),0)</f>
        <v>0</v>
      </c>
      <c r="H2407">
        <f>IFERROR(HLOOKUP(H$2,[73]table_male_hkom1_inj.ill_X6!$A$1:$K$36,23,FALSE),0)</f>
        <v>0</v>
      </c>
      <c r="I2407">
        <f>IFERROR(HLOOKUP(I$2,[73]table_male_hkom1_inj.ill_X6!$A$1:$K$36,23,FALSE),0)</f>
        <v>0</v>
      </c>
      <c r="J2407">
        <f>IFERROR(HLOOKUP(J$2,[73]table_male_hkom1_inj.ill_X6!$A$1:$K$36,23,FALSE),0)</f>
        <v>0</v>
      </c>
      <c r="K2407">
        <f>IFERROR(HLOOKUP(K$2,[73]table_male_hkom1_inj.ill_X6!$A$1:$K$36,23,FALSE),0)</f>
        <v>0</v>
      </c>
      <c r="L2407">
        <f>IFERROR(HLOOKUP(L$2,[73]table_male_hkom1_inj.ill_X6!$A$1:$K$36,23,FALSE),0)</f>
        <v>0</v>
      </c>
      <c r="M2407">
        <f t="shared" si="748"/>
        <v>0</v>
      </c>
      <c r="S2407" t="s">
        <v>91</v>
      </c>
      <c r="T2407" s="5">
        <f t="shared" si="749"/>
        <v>0</v>
      </c>
      <c r="U2407" s="5">
        <f t="shared" si="750"/>
        <v>0</v>
      </c>
      <c r="V2407" s="5">
        <f t="shared" si="751"/>
        <v>0</v>
      </c>
      <c r="W2407" s="5">
        <f t="shared" si="752"/>
        <v>0</v>
      </c>
      <c r="X2407" s="5">
        <f t="shared" si="753"/>
        <v>0</v>
      </c>
      <c r="Y2407" s="5">
        <f t="shared" si="754"/>
        <v>0</v>
      </c>
      <c r="Z2407" s="5">
        <f t="shared" si="755"/>
        <v>0</v>
      </c>
      <c r="AA2407" s="5">
        <f t="shared" si="756"/>
        <v>0</v>
      </c>
      <c r="AB2407" s="5">
        <f t="shared" si="736"/>
        <v>0</v>
      </c>
    </row>
    <row r="2408" spans="4:28" x14ac:dyDescent="0.25">
      <c r="D2408" t="s">
        <v>92</v>
      </c>
      <c r="E2408" s="14"/>
      <c r="F2408" s="14"/>
      <c r="G2408">
        <f>IFERROR(HLOOKUP(G$2,[73]table_male_hkom1_inj.ill_X6!$A$1:$K$36,24,FALSE),0)</f>
        <v>0</v>
      </c>
      <c r="H2408">
        <f>IFERROR(HLOOKUP(H$2,[73]table_male_hkom1_inj.ill_X6!$A$1:$K$36,24,FALSE),0)</f>
        <v>0</v>
      </c>
      <c r="I2408">
        <f>IFERROR(HLOOKUP(I$2,[73]table_male_hkom1_inj.ill_X6!$A$1:$K$36,24,FALSE),0)</f>
        <v>0</v>
      </c>
      <c r="J2408">
        <f>IFERROR(HLOOKUP(J$2,[73]table_male_hkom1_inj.ill_X6!$A$1:$K$36,24,FALSE),0)</f>
        <v>0</v>
      </c>
      <c r="K2408">
        <f>IFERROR(HLOOKUP(K$2,[73]table_male_hkom1_inj.ill_X6!$A$1:$K$36,24,FALSE),0)</f>
        <v>0</v>
      </c>
      <c r="L2408">
        <f>IFERROR(HLOOKUP(L$2,[73]table_male_hkom1_inj.ill_X6!$A$1:$K$36,24,FALSE),0)</f>
        <v>0</v>
      </c>
      <c r="M2408">
        <f t="shared" si="748"/>
        <v>0</v>
      </c>
      <c r="S2408" t="s">
        <v>92</v>
      </c>
      <c r="T2408" s="5">
        <f t="shared" si="749"/>
        <v>0</v>
      </c>
      <c r="U2408" s="5">
        <f t="shared" si="750"/>
        <v>0</v>
      </c>
      <c r="V2408" s="5">
        <f t="shared" si="751"/>
        <v>0</v>
      </c>
      <c r="W2408" s="5">
        <f t="shared" si="752"/>
        <v>0</v>
      </c>
      <c r="X2408" s="5">
        <f t="shared" si="753"/>
        <v>0</v>
      </c>
      <c r="Y2408" s="5">
        <f t="shared" si="754"/>
        <v>0</v>
      </c>
      <c r="Z2408" s="5">
        <f t="shared" si="755"/>
        <v>0</v>
      </c>
      <c r="AA2408" s="5">
        <f t="shared" si="756"/>
        <v>0</v>
      </c>
      <c r="AB2408" s="5">
        <f t="shared" si="736"/>
        <v>0</v>
      </c>
    </row>
    <row r="2409" spans="4:28" x14ac:dyDescent="0.25">
      <c r="D2409" t="s">
        <v>93</v>
      </c>
      <c r="E2409" s="14"/>
      <c r="F2409" s="14"/>
      <c r="G2409">
        <f>IFERROR(HLOOKUP(G$2,[73]table_male_hkom1_inj.ill_X6!$A$1:$K$36,25,FALSE),0)</f>
        <v>0</v>
      </c>
      <c r="H2409">
        <f>IFERROR(HLOOKUP(H$2,[73]table_male_hkom1_inj.ill_X6!$A$1:$K$36,25,FALSE),0)</f>
        <v>0</v>
      </c>
      <c r="I2409">
        <f>IFERROR(HLOOKUP(I$2,[73]table_male_hkom1_inj.ill_X6!$A$1:$K$36,25,FALSE),0)</f>
        <v>0</v>
      </c>
      <c r="J2409">
        <f>IFERROR(HLOOKUP(J$2,[73]table_male_hkom1_inj.ill_X6!$A$1:$K$36,25,FALSE),0)</f>
        <v>0</v>
      </c>
      <c r="K2409">
        <f>IFERROR(HLOOKUP(K$2,[73]table_male_hkom1_inj.ill_X6!$A$1:$K$36,25,FALSE),0)</f>
        <v>0</v>
      </c>
      <c r="L2409">
        <f>IFERROR(HLOOKUP(L$2,[73]table_male_hkom1_inj.ill_X6!$A$1:$K$36,25,FALSE),0)</f>
        <v>0</v>
      </c>
      <c r="M2409">
        <f t="shared" si="748"/>
        <v>0</v>
      </c>
      <c r="S2409" t="s">
        <v>93</v>
      </c>
      <c r="T2409" s="5">
        <f t="shared" si="749"/>
        <v>0</v>
      </c>
      <c r="U2409" s="5">
        <f t="shared" si="750"/>
        <v>0</v>
      </c>
      <c r="V2409" s="5">
        <f t="shared" si="751"/>
        <v>0</v>
      </c>
      <c r="W2409" s="5">
        <f t="shared" si="752"/>
        <v>0</v>
      </c>
      <c r="X2409" s="5">
        <f t="shared" si="753"/>
        <v>0</v>
      </c>
      <c r="Y2409" s="5">
        <f t="shared" si="754"/>
        <v>0</v>
      </c>
      <c r="Z2409" s="5">
        <f t="shared" si="755"/>
        <v>0</v>
      </c>
      <c r="AA2409" s="5">
        <f t="shared" si="756"/>
        <v>0</v>
      </c>
      <c r="AB2409" s="5">
        <f t="shared" si="736"/>
        <v>0</v>
      </c>
    </row>
    <row r="2410" spans="4:28" x14ac:dyDescent="0.25">
      <c r="D2410" t="s">
        <v>94</v>
      </c>
      <c r="E2410" s="14"/>
      <c r="F2410" s="14"/>
      <c r="G2410">
        <f>IFERROR(HLOOKUP(G$2,[73]table_male_hkom1_inj.ill_X6!$A$1:$K$36,26,FALSE),0)</f>
        <v>0</v>
      </c>
      <c r="H2410">
        <f>IFERROR(HLOOKUP(H$2,[73]table_male_hkom1_inj.ill_X6!$A$1:$K$36,26,FALSE),0)</f>
        <v>0</v>
      </c>
      <c r="I2410">
        <f>IFERROR(HLOOKUP(I$2,[73]table_male_hkom1_inj.ill_X6!$A$1:$K$36,26,FALSE),0)</f>
        <v>0</v>
      </c>
      <c r="J2410">
        <f>IFERROR(HLOOKUP(J$2,[73]table_male_hkom1_inj.ill_X6!$A$1:$K$36,26,FALSE),0)</f>
        <v>0</v>
      </c>
      <c r="K2410">
        <f>IFERROR(HLOOKUP(K$2,[73]table_male_hkom1_inj.ill_X6!$A$1:$K$36,26,FALSE),0)</f>
        <v>0</v>
      </c>
      <c r="L2410">
        <f>IFERROR(HLOOKUP(L$2,[73]table_male_hkom1_inj.ill_X6!$A$1:$K$36,26,FALSE),0)</f>
        <v>0</v>
      </c>
      <c r="M2410">
        <f t="shared" si="748"/>
        <v>0</v>
      </c>
      <c r="S2410" t="s">
        <v>94</v>
      </c>
      <c r="T2410" s="5">
        <f t="shared" si="749"/>
        <v>0</v>
      </c>
      <c r="U2410" s="5">
        <f t="shared" si="750"/>
        <v>0</v>
      </c>
      <c r="V2410" s="5">
        <f t="shared" si="751"/>
        <v>0</v>
      </c>
      <c r="W2410" s="5">
        <f t="shared" si="752"/>
        <v>0</v>
      </c>
      <c r="X2410" s="5">
        <f t="shared" si="753"/>
        <v>0</v>
      </c>
      <c r="Y2410" s="5">
        <f t="shared" si="754"/>
        <v>0</v>
      </c>
      <c r="Z2410" s="5">
        <f t="shared" si="755"/>
        <v>0</v>
      </c>
      <c r="AA2410" s="5">
        <f t="shared" si="756"/>
        <v>0</v>
      </c>
      <c r="AB2410" s="5">
        <f t="shared" si="736"/>
        <v>0</v>
      </c>
    </row>
    <row r="2411" spans="4:28" x14ac:dyDescent="0.25">
      <c r="D2411" t="s">
        <v>95</v>
      </c>
      <c r="E2411" s="14"/>
      <c r="F2411" s="14"/>
      <c r="G2411">
        <f>IFERROR(HLOOKUP(G$2,[73]table_male_hkom1_inj.ill_X6!$A$1:$K$36,27,FALSE),0)</f>
        <v>0</v>
      </c>
      <c r="H2411">
        <f>IFERROR(HLOOKUP(H$2,[73]table_male_hkom1_inj.ill_X6!$A$1:$K$36,27,FALSE),0)</f>
        <v>0</v>
      </c>
      <c r="I2411">
        <f>IFERROR(HLOOKUP(I$2,[73]table_male_hkom1_inj.ill_X6!$A$1:$K$36,27,FALSE),0)</f>
        <v>0</v>
      </c>
      <c r="J2411">
        <f>IFERROR(HLOOKUP(J$2,[73]table_male_hkom1_inj.ill_X6!$A$1:$K$36,27,FALSE),0)</f>
        <v>0</v>
      </c>
      <c r="K2411">
        <f>IFERROR(HLOOKUP(K$2,[73]table_male_hkom1_inj.ill_X6!$A$1:$K$36,27,FALSE),0)</f>
        <v>0</v>
      </c>
      <c r="L2411">
        <f>IFERROR(HLOOKUP(L$2,[73]table_male_hkom1_inj.ill_X6!$A$1:$K$36,27,FALSE),0)</f>
        <v>0</v>
      </c>
      <c r="M2411">
        <f t="shared" si="748"/>
        <v>0</v>
      </c>
      <c r="S2411" t="s">
        <v>95</v>
      </c>
      <c r="T2411" s="5">
        <f t="shared" si="749"/>
        <v>0</v>
      </c>
      <c r="U2411" s="5">
        <f t="shared" si="750"/>
        <v>0</v>
      </c>
      <c r="V2411" s="5">
        <f t="shared" si="751"/>
        <v>0</v>
      </c>
      <c r="W2411" s="5">
        <f t="shared" si="752"/>
        <v>0</v>
      </c>
      <c r="X2411" s="5">
        <f t="shared" si="753"/>
        <v>0</v>
      </c>
      <c r="Y2411" s="5">
        <f t="shared" si="754"/>
        <v>0</v>
      </c>
      <c r="Z2411" s="5">
        <f t="shared" si="755"/>
        <v>0</v>
      </c>
      <c r="AA2411" s="5">
        <f t="shared" si="756"/>
        <v>0</v>
      </c>
      <c r="AB2411" s="5">
        <f t="shared" ref="AB2411:AB2474" si="757">SUM(T2411:AA2411)</f>
        <v>0</v>
      </c>
    </row>
    <row r="2412" spans="4:28" x14ac:dyDescent="0.25">
      <c r="D2412" t="s">
        <v>96</v>
      </c>
      <c r="E2412" s="14"/>
      <c r="F2412" s="14"/>
      <c r="G2412">
        <f>IFERROR(HLOOKUP(G$2,[73]table_male_hkom1_inj.ill_X6!$A$1:$K$36,28,FALSE),0)</f>
        <v>0</v>
      </c>
      <c r="H2412">
        <f>IFERROR(HLOOKUP(H$2,[73]table_male_hkom1_inj.ill_X6!$A$1:$K$36,28,FALSE),0)</f>
        <v>0</v>
      </c>
      <c r="I2412">
        <f>IFERROR(HLOOKUP(I$2,[73]table_male_hkom1_inj.ill_X6!$A$1:$K$36,28,FALSE),0)</f>
        <v>0</v>
      </c>
      <c r="J2412">
        <f>IFERROR(HLOOKUP(J$2,[73]table_male_hkom1_inj.ill_X6!$A$1:$K$36,28,FALSE),0)</f>
        <v>0</v>
      </c>
      <c r="K2412">
        <f>IFERROR(HLOOKUP(K$2,[73]table_male_hkom1_inj.ill_X6!$A$1:$K$36,28,FALSE),0)</f>
        <v>0</v>
      </c>
      <c r="L2412">
        <f>IFERROR(HLOOKUP(L$2,[73]table_male_hkom1_inj.ill_X6!$A$1:$K$36,28,FALSE),0)</f>
        <v>0</v>
      </c>
      <c r="M2412">
        <f t="shared" si="748"/>
        <v>0</v>
      </c>
      <c r="S2412" t="s">
        <v>96</v>
      </c>
      <c r="T2412" s="5">
        <f t="shared" si="749"/>
        <v>0</v>
      </c>
      <c r="U2412" s="5">
        <f t="shared" si="750"/>
        <v>0</v>
      </c>
      <c r="V2412" s="5">
        <f t="shared" si="751"/>
        <v>0</v>
      </c>
      <c r="W2412" s="5">
        <f t="shared" si="752"/>
        <v>0</v>
      </c>
      <c r="X2412" s="5">
        <f t="shared" si="753"/>
        <v>0</v>
      </c>
      <c r="Y2412" s="5">
        <f t="shared" si="754"/>
        <v>0</v>
      </c>
      <c r="Z2412" s="5">
        <f t="shared" si="755"/>
        <v>0</v>
      </c>
      <c r="AA2412" s="5">
        <f t="shared" si="756"/>
        <v>0</v>
      </c>
      <c r="AB2412" s="5">
        <f t="shared" si="757"/>
        <v>0</v>
      </c>
    </row>
    <row r="2413" spans="4:28" x14ac:dyDescent="0.25">
      <c r="D2413" t="s">
        <v>97</v>
      </c>
      <c r="E2413" s="14"/>
      <c r="F2413" s="14"/>
      <c r="G2413">
        <f>IFERROR(HLOOKUP(G$2,[73]table_male_hkom1_inj.ill_X6!$A$1:$K$36,29,FALSE),0)</f>
        <v>0</v>
      </c>
      <c r="H2413">
        <f>IFERROR(HLOOKUP(H$2,[73]table_male_hkom1_inj.ill_X6!$A$1:$K$36,29,FALSE),0)</f>
        <v>0</v>
      </c>
      <c r="I2413">
        <f>IFERROR(HLOOKUP(I$2,[73]table_male_hkom1_inj.ill_X6!$A$1:$K$36,29,FALSE),0)</f>
        <v>0</v>
      </c>
      <c r="J2413">
        <f>IFERROR(HLOOKUP(J$2,[73]table_male_hkom1_inj.ill_X6!$A$1:$K$36,29,FALSE),0)</f>
        <v>0</v>
      </c>
      <c r="K2413">
        <f>IFERROR(HLOOKUP(K$2,[73]table_male_hkom1_inj.ill_X6!$A$1:$K$36,29,FALSE),0)</f>
        <v>0</v>
      </c>
      <c r="L2413">
        <f>IFERROR(HLOOKUP(L$2,[73]table_male_hkom1_inj.ill_X6!$A$1:$K$36,29,FALSE),0)</f>
        <v>0</v>
      </c>
      <c r="M2413">
        <f t="shared" si="748"/>
        <v>0</v>
      </c>
      <c r="S2413" t="s">
        <v>97</v>
      </c>
      <c r="T2413" s="5">
        <f t="shared" si="749"/>
        <v>0</v>
      </c>
      <c r="U2413" s="5">
        <f t="shared" si="750"/>
        <v>0</v>
      </c>
      <c r="V2413" s="5">
        <f t="shared" si="751"/>
        <v>0</v>
      </c>
      <c r="W2413" s="5">
        <f t="shared" si="752"/>
        <v>0</v>
      </c>
      <c r="X2413" s="5">
        <f t="shared" si="753"/>
        <v>0</v>
      </c>
      <c r="Y2413" s="5">
        <f t="shared" si="754"/>
        <v>0</v>
      </c>
      <c r="Z2413" s="5">
        <f t="shared" si="755"/>
        <v>0</v>
      </c>
      <c r="AA2413" s="5">
        <f t="shared" si="756"/>
        <v>0</v>
      </c>
      <c r="AB2413" s="5">
        <f t="shared" si="757"/>
        <v>0</v>
      </c>
    </row>
    <row r="2414" spans="4:28" x14ac:dyDescent="0.25">
      <c r="D2414" t="s">
        <v>98</v>
      </c>
      <c r="E2414" s="14"/>
      <c r="F2414" s="14"/>
      <c r="G2414">
        <f>IFERROR(HLOOKUP(G$2,[73]table_male_hkom1_inj.ill_X6!$A$1:$K$36,30,FALSE),0)</f>
        <v>0</v>
      </c>
      <c r="H2414">
        <f>IFERROR(HLOOKUP(H$2,[73]table_male_hkom1_inj.ill_X6!$A$1:$K$36,30,FALSE),0)</f>
        <v>0</v>
      </c>
      <c r="I2414">
        <f>IFERROR(HLOOKUP(I$2,[73]table_male_hkom1_inj.ill_X6!$A$1:$K$36,30,FALSE),0)</f>
        <v>0</v>
      </c>
      <c r="J2414">
        <f>IFERROR(HLOOKUP(J$2,[73]table_male_hkom1_inj.ill_X6!$A$1:$K$36,30,FALSE),0)</f>
        <v>0</v>
      </c>
      <c r="K2414">
        <f>IFERROR(HLOOKUP(K$2,[73]table_male_hkom1_inj.ill_X6!$A$1:$K$36,30,FALSE),0)</f>
        <v>0</v>
      </c>
      <c r="L2414">
        <f>IFERROR(HLOOKUP(L$2,[73]table_male_hkom1_inj.ill_X6!$A$1:$K$36,30,FALSE),0)</f>
        <v>0</v>
      </c>
      <c r="M2414">
        <f t="shared" si="748"/>
        <v>0</v>
      </c>
      <c r="S2414" t="s">
        <v>98</v>
      </c>
      <c r="T2414" s="5">
        <f t="shared" si="749"/>
        <v>0</v>
      </c>
      <c r="U2414" s="5">
        <f t="shared" si="750"/>
        <v>0</v>
      </c>
      <c r="V2414" s="5">
        <f t="shared" si="751"/>
        <v>0</v>
      </c>
      <c r="W2414" s="5">
        <f t="shared" si="752"/>
        <v>0</v>
      </c>
      <c r="X2414" s="5">
        <f t="shared" si="753"/>
        <v>0</v>
      </c>
      <c r="Y2414" s="5">
        <f t="shared" si="754"/>
        <v>0</v>
      </c>
      <c r="Z2414" s="5">
        <f t="shared" si="755"/>
        <v>0</v>
      </c>
      <c r="AA2414" s="5">
        <f t="shared" si="756"/>
        <v>0</v>
      </c>
      <c r="AB2414" s="5">
        <f t="shared" si="757"/>
        <v>0</v>
      </c>
    </row>
    <row r="2415" spans="4:28" x14ac:dyDescent="0.25">
      <c r="D2415" t="s">
        <v>119</v>
      </c>
      <c r="E2415" s="14"/>
      <c r="F2415" s="14"/>
      <c r="G2415">
        <f>IFERROR(HLOOKUP(G$2,[73]table_male_hkom1_inj.ill_X6!$A$1:$K$36,31,FALSE),0)</f>
        <v>0</v>
      </c>
      <c r="H2415">
        <f>IFERROR(HLOOKUP(H$2,[73]table_male_hkom1_inj.ill_X6!$A$1:$K$36,31,FALSE),0)</f>
        <v>0</v>
      </c>
      <c r="I2415">
        <f>IFERROR(HLOOKUP(I$2,[73]table_male_hkom1_inj.ill_X6!$A$1:$K$36,31,FALSE),0)</f>
        <v>0</v>
      </c>
      <c r="J2415">
        <f>IFERROR(HLOOKUP(J$2,[73]table_male_hkom1_inj.ill_X6!$A$1:$K$36,31,FALSE),0)</f>
        <v>0</v>
      </c>
      <c r="K2415">
        <f>IFERROR(HLOOKUP(K$2,[73]table_male_hkom1_inj.ill_X6!$A$1:$K$36,31,FALSE),0)</f>
        <v>0</v>
      </c>
      <c r="L2415">
        <f>IFERROR(HLOOKUP(L$2,[73]table_male_hkom1_inj.ill_X6!$A$1:$K$36,31,FALSE),0)</f>
        <v>0</v>
      </c>
      <c r="M2415">
        <f t="shared" si="748"/>
        <v>0</v>
      </c>
      <c r="S2415" t="s">
        <v>119</v>
      </c>
      <c r="T2415" s="5">
        <f t="shared" si="749"/>
        <v>0</v>
      </c>
      <c r="U2415" s="5">
        <f t="shared" si="750"/>
        <v>0</v>
      </c>
      <c r="V2415" s="5">
        <f t="shared" si="751"/>
        <v>0</v>
      </c>
      <c r="W2415" s="5">
        <f t="shared" si="752"/>
        <v>0</v>
      </c>
      <c r="X2415" s="5">
        <f t="shared" si="753"/>
        <v>0</v>
      </c>
      <c r="Y2415" s="5">
        <f t="shared" si="754"/>
        <v>0</v>
      </c>
      <c r="Z2415" s="5">
        <f t="shared" si="755"/>
        <v>0</v>
      </c>
      <c r="AA2415" s="5">
        <f t="shared" si="756"/>
        <v>0</v>
      </c>
      <c r="AB2415" s="5">
        <f t="shared" si="757"/>
        <v>0</v>
      </c>
    </row>
    <row r="2416" spans="4:28" x14ac:dyDescent="0.25">
      <c r="D2416" t="s">
        <v>99</v>
      </c>
      <c r="E2416" s="14"/>
      <c r="F2416" s="14"/>
      <c r="G2416">
        <f>IFERROR(HLOOKUP(G$2,[73]table_male_hkom1_inj.ill_X6!$A$1:$K$36,32,FALSE),0)</f>
        <v>0</v>
      </c>
      <c r="H2416">
        <f>IFERROR(HLOOKUP(H$2,[73]table_male_hkom1_inj.ill_X6!$A$1:$K$36,32,FALSE),0)</f>
        <v>0</v>
      </c>
      <c r="I2416">
        <f>IFERROR(HLOOKUP(I$2,[73]table_male_hkom1_inj.ill_X6!$A$1:$K$36,32,FALSE),0)</f>
        <v>0</v>
      </c>
      <c r="J2416">
        <f>IFERROR(HLOOKUP(J$2,[73]table_male_hkom1_inj.ill_X6!$A$1:$K$36,32,FALSE),0)</f>
        <v>0</v>
      </c>
      <c r="K2416">
        <f>IFERROR(HLOOKUP(K$2,[73]table_male_hkom1_inj.ill_X6!$A$1:$K$36,32,FALSE),0)</f>
        <v>0</v>
      </c>
      <c r="L2416">
        <f>IFERROR(HLOOKUP(L$2,[73]table_male_hkom1_inj.ill_X6!$A$1:$K$36,32,FALSE),0)</f>
        <v>0</v>
      </c>
      <c r="M2416">
        <f t="shared" si="748"/>
        <v>0</v>
      </c>
      <c r="S2416" t="s">
        <v>99</v>
      </c>
      <c r="T2416" s="5">
        <f t="shared" si="749"/>
        <v>0</v>
      </c>
      <c r="U2416" s="5">
        <f t="shared" si="750"/>
        <v>0</v>
      </c>
      <c r="V2416" s="5">
        <f t="shared" si="751"/>
        <v>0</v>
      </c>
      <c r="W2416" s="5">
        <f t="shared" si="752"/>
        <v>0</v>
      </c>
      <c r="X2416" s="5">
        <f t="shared" si="753"/>
        <v>0</v>
      </c>
      <c r="Y2416" s="5">
        <f t="shared" si="754"/>
        <v>0</v>
      </c>
      <c r="Z2416" s="5">
        <f t="shared" si="755"/>
        <v>0</v>
      </c>
      <c r="AA2416" s="5">
        <f t="shared" si="756"/>
        <v>0</v>
      </c>
      <c r="AB2416" s="5">
        <f t="shared" si="757"/>
        <v>0</v>
      </c>
    </row>
    <row r="2417" spans="1:29" x14ac:dyDescent="0.25">
      <c r="D2417" t="s">
        <v>100</v>
      </c>
      <c r="E2417" s="14"/>
      <c r="F2417" s="14"/>
      <c r="G2417">
        <f>IFERROR(HLOOKUP(G$2,[73]table_male_hkom1_inj.ill_X6!$A$1:$K$36,33,FALSE),0)</f>
        <v>0</v>
      </c>
      <c r="H2417">
        <f>IFERROR(HLOOKUP(H$2,[73]table_male_hkom1_inj.ill_X6!$A$1:$K$36,33,FALSE),0)</f>
        <v>0</v>
      </c>
      <c r="I2417">
        <f>IFERROR(HLOOKUP(I$2,[73]table_male_hkom1_inj.ill_X6!$A$1:$K$36,33,FALSE),0)</f>
        <v>0</v>
      </c>
      <c r="J2417">
        <f>IFERROR(HLOOKUP(J$2,[73]table_male_hkom1_inj.ill_X6!$A$1:$K$36,33,FALSE),0)</f>
        <v>0</v>
      </c>
      <c r="K2417">
        <f>IFERROR(HLOOKUP(K$2,[73]table_male_hkom1_inj.ill_X6!$A$1:$K$36,33,FALSE),0)</f>
        <v>0</v>
      </c>
      <c r="L2417">
        <f>IFERROR(HLOOKUP(L$2,[73]table_male_hkom1_inj.ill_X6!$A$1:$K$36,33,FALSE),0)</f>
        <v>0</v>
      </c>
      <c r="M2417">
        <f t="shared" si="748"/>
        <v>0</v>
      </c>
      <c r="S2417" t="s">
        <v>100</v>
      </c>
      <c r="T2417" s="5">
        <f t="shared" si="749"/>
        <v>0</v>
      </c>
      <c r="U2417" s="5">
        <f t="shared" si="750"/>
        <v>0</v>
      </c>
      <c r="V2417" s="5">
        <f t="shared" si="751"/>
        <v>0</v>
      </c>
      <c r="W2417" s="5">
        <f t="shared" si="752"/>
        <v>0</v>
      </c>
      <c r="X2417" s="5">
        <f t="shared" si="753"/>
        <v>0</v>
      </c>
      <c r="Y2417" s="5">
        <f t="shared" si="754"/>
        <v>0</v>
      </c>
      <c r="Z2417" s="5">
        <f t="shared" si="755"/>
        <v>0</v>
      </c>
      <c r="AA2417" s="5">
        <f t="shared" si="756"/>
        <v>0</v>
      </c>
      <c r="AB2417" s="5">
        <f t="shared" si="757"/>
        <v>0</v>
      </c>
    </row>
    <row r="2418" spans="1:29" x14ac:dyDescent="0.25">
      <c r="D2418" t="s">
        <v>101</v>
      </c>
      <c r="E2418" s="14"/>
      <c r="F2418" s="14"/>
      <c r="G2418">
        <f>IFERROR(HLOOKUP(G$2,[73]table_male_hkom1_inj.ill_X6!$A$1:$K$36,34,FALSE),0)</f>
        <v>0</v>
      </c>
      <c r="H2418">
        <f>IFERROR(HLOOKUP(H$2,[73]table_male_hkom1_inj.ill_X6!$A$1:$K$36,34,FALSE),0)</f>
        <v>0</v>
      </c>
      <c r="I2418">
        <f>IFERROR(HLOOKUP(I$2,[73]table_male_hkom1_inj.ill_X6!$A$1:$K$36,34,FALSE),0)</f>
        <v>0</v>
      </c>
      <c r="J2418">
        <f>IFERROR(HLOOKUP(J$2,[73]table_male_hkom1_inj.ill_X6!$A$1:$K$36,34,FALSE),0)</f>
        <v>0</v>
      </c>
      <c r="K2418">
        <f>IFERROR(HLOOKUP(K$2,[73]table_male_hkom1_inj.ill_X6!$A$1:$K$36,34,FALSE),0)</f>
        <v>0</v>
      </c>
      <c r="L2418">
        <f>IFERROR(HLOOKUP(L$2,[73]table_male_hkom1_inj.ill_X6!$A$1:$K$36,34,FALSE),0)</f>
        <v>0</v>
      </c>
      <c r="M2418">
        <f t="shared" si="748"/>
        <v>0</v>
      </c>
      <c r="S2418" t="s">
        <v>101</v>
      </c>
      <c r="T2418" s="5">
        <f t="shared" si="749"/>
        <v>0</v>
      </c>
      <c r="U2418" s="5">
        <f t="shared" si="750"/>
        <v>0</v>
      </c>
      <c r="V2418" s="5">
        <f t="shared" si="751"/>
        <v>0</v>
      </c>
      <c r="W2418" s="5">
        <f t="shared" si="752"/>
        <v>0</v>
      </c>
      <c r="X2418" s="5">
        <f t="shared" si="753"/>
        <v>0</v>
      </c>
      <c r="Y2418" s="5">
        <f t="shared" si="754"/>
        <v>0</v>
      </c>
      <c r="Z2418" s="5">
        <f t="shared" si="755"/>
        <v>0</v>
      </c>
      <c r="AA2418" s="5">
        <f t="shared" si="756"/>
        <v>0</v>
      </c>
      <c r="AB2418" s="5">
        <f t="shared" si="757"/>
        <v>0</v>
      </c>
    </row>
    <row r="2419" spans="1:29" x14ac:dyDescent="0.25">
      <c r="D2419" t="s">
        <v>102</v>
      </c>
      <c r="E2419" s="14"/>
      <c r="F2419" s="14"/>
      <c r="G2419">
        <f>IFERROR(HLOOKUP(G$2,[73]table_male_hkom1_inj.ill_X6!$A$1:$K$36,35,FALSE),0)</f>
        <v>0</v>
      </c>
      <c r="H2419">
        <f>IFERROR(HLOOKUP(H$2,[73]table_male_hkom1_inj.ill_X6!$A$1:$K$36,35,FALSE),0)</f>
        <v>0</v>
      </c>
      <c r="I2419">
        <f>IFERROR(HLOOKUP(I$2,[73]table_male_hkom1_inj.ill_X6!$A$1:$K$36,35,FALSE),0)</f>
        <v>0</v>
      </c>
      <c r="J2419">
        <f>IFERROR(HLOOKUP(J$2,[73]table_male_hkom1_inj.ill_X6!$A$1:$K$36,35,FALSE),0)</f>
        <v>0</v>
      </c>
      <c r="K2419">
        <f>IFERROR(HLOOKUP(K$2,[73]table_male_hkom1_inj.ill_X6!$A$1:$K$36,35,FALSE),0)</f>
        <v>0</v>
      </c>
      <c r="L2419">
        <f>IFERROR(HLOOKUP(L$2,[73]table_male_hkom1_inj.ill_X6!$A$1:$K$36,35,FALSE),0)</f>
        <v>0</v>
      </c>
      <c r="M2419">
        <f t="shared" si="748"/>
        <v>0</v>
      </c>
      <c r="N2419">
        <f>SUM(M2386:M2419)</f>
        <v>0</v>
      </c>
      <c r="O2419" s="8">
        <f>SUM([73]table_male_hkom1_inj.ill_X6!$B$2:$L$37)</f>
        <v>0</v>
      </c>
      <c r="S2419" t="s">
        <v>102</v>
      </c>
      <c r="T2419" s="7"/>
      <c r="U2419" s="7"/>
      <c r="V2419" s="7"/>
      <c r="W2419" s="7"/>
      <c r="X2419" s="7"/>
      <c r="Y2419" s="7"/>
      <c r="Z2419" s="7"/>
      <c r="AA2419" s="7"/>
      <c r="AB2419" s="5">
        <f t="shared" si="757"/>
        <v>0</v>
      </c>
      <c r="AC2419" s="5">
        <f>SUM(AB2386:AB2418)</f>
        <v>0</v>
      </c>
    </row>
    <row r="2420" spans="1:29" x14ac:dyDescent="0.25">
      <c r="A2420" t="s">
        <v>104</v>
      </c>
      <c r="B2420" t="s">
        <v>103</v>
      </c>
      <c r="C2420" t="s">
        <v>129</v>
      </c>
      <c r="D2420" t="s">
        <v>70</v>
      </c>
      <c r="E2420" s="14"/>
      <c r="F2420" s="14"/>
      <c r="G2420">
        <f>IFERROR(HLOOKUP(G$2,[74]table_male_hkom1_inj.ill_X7!$A$1:$K$36,2,FALSE),0)</f>
        <v>0</v>
      </c>
      <c r="H2420">
        <f>IFERROR(HLOOKUP(H$2,[74]table_male_hkom1_inj.ill_X7!$A$1:$K$36,2,FALSE),0)</f>
        <v>0</v>
      </c>
      <c r="I2420">
        <f>IFERROR(HLOOKUP(I$2,[74]table_male_hkom1_inj.ill_X7!$A$1:$K$36,2,FALSE),0)</f>
        <v>0</v>
      </c>
      <c r="J2420">
        <f>IFERROR(HLOOKUP(J$2,[74]table_male_hkom1_inj.ill_X7!$A$1:$K$36,2,FALSE),0)</f>
        <v>0</v>
      </c>
      <c r="K2420">
        <f>IFERROR(HLOOKUP(K$2,[74]table_male_hkom1_inj.ill_X7!$A$1:$K$36,2,FALSE),0)</f>
        <v>0</v>
      </c>
      <c r="L2420">
        <f>IFERROR(HLOOKUP(L$2,[74]table_male_hkom1_inj.ill_X7!$A$1:$K$36,2,FALSE),0)</f>
        <v>0</v>
      </c>
      <c r="M2420">
        <f>SUM(E2420:L2420)</f>
        <v>0</v>
      </c>
      <c r="P2420" t="s">
        <v>104</v>
      </c>
      <c r="Q2420" t="s">
        <v>103</v>
      </c>
      <c r="R2420" t="s">
        <v>129</v>
      </c>
      <c r="S2420" t="s">
        <v>70</v>
      </c>
      <c r="T2420" s="5">
        <f>IF(SUM(E$2420:E$2452)=0,E$2453/33,E2420+IFERROR(E2420/SUM(E$2420:E$2452)*E$2453,0))</f>
        <v>0</v>
      </c>
      <c r="U2420" s="5">
        <f t="shared" ref="U2420:AA2420" si="758">IF(SUM(F$2420:F$2452)=0,F$2453/33,F2420+IFERROR(F2420/SUM(F$2420:F$2452)*F$2453,0))</f>
        <v>0</v>
      </c>
      <c r="V2420" s="5">
        <f t="shared" si="758"/>
        <v>0</v>
      </c>
      <c r="W2420" s="5">
        <f t="shared" si="758"/>
        <v>0</v>
      </c>
      <c r="X2420" s="5">
        <f t="shared" si="758"/>
        <v>0</v>
      </c>
      <c r="Y2420" s="5">
        <f t="shared" si="758"/>
        <v>0</v>
      </c>
      <c r="Z2420" s="5">
        <f t="shared" si="758"/>
        <v>0</v>
      </c>
      <c r="AA2420" s="5">
        <f t="shared" si="758"/>
        <v>0</v>
      </c>
      <c r="AB2420" s="5">
        <f t="shared" si="757"/>
        <v>0</v>
      </c>
    </row>
    <row r="2421" spans="1:29" x14ac:dyDescent="0.25">
      <c r="D2421" t="s">
        <v>71</v>
      </c>
      <c r="E2421" s="14"/>
      <c r="F2421" s="14"/>
      <c r="G2421">
        <f>IFERROR(HLOOKUP(G$2,[74]table_male_hkom1_inj.ill_X7!$A$1:$K$36,3,FALSE),0)</f>
        <v>0</v>
      </c>
      <c r="H2421">
        <f>IFERROR(HLOOKUP(H$2,[74]table_male_hkom1_inj.ill_X7!$A$1:$K$36,3,FALSE),0)</f>
        <v>0</v>
      </c>
      <c r="I2421">
        <f>IFERROR(HLOOKUP(I$2,[74]table_male_hkom1_inj.ill_X7!$A$1:$K$36,3,FALSE),0)</f>
        <v>0</v>
      </c>
      <c r="J2421">
        <f>IFERROR(HLOOKUP(J$2,[74]table_male_hkom1_inj.ill_X7!$A$1:$K$36,3,FALSE),0)</f>
        <v>0</v>
      </c>
      <c r="K2421">
        <f>IFERROR(HLOOKUP(K$2,[74]table_male_hkom1_inj.ill_X7!$A$1:$K$36,3,FALSE),0)</f>
        <v>0</v>
      </c>
      <c r="L2421">
        <f>IFERROR(HLOOKUP(L$2,[74]table_male_hkom1_inj.ill_X7!$A$1:$K$36,3,FALSE),0)</f>
        <v>0</v>
      </c>
      <c r="M2421">
        <f t="shared" ref="M2421:M2453" si="759">SUM(E2421:L2421)</f>
        <v>0</v>
      </c>
      <c r="S2421" t="s">
        <v>71</v>
      </c>
      <c r="T2421" s="5">
        <f t="shared" ref="T2421:T2452" si="760">IF(SUM(E$2420:E$2452)=0,E$2453/33,E2421+IFERROR(E2421/SUM(E$2420:E$2452)*E$2453,0))</f>
        <v>0</v>
      </c>
      <c r="U2421" s="5">
        <f t="shared" ref="U2421:U2452" si="761">IF(SUM(F$2420:F$2452)=0,F$2453/33,F2421+IFERROR(F2421/SUM(F$2420:F$2452)*F$2453,0))</f>
        <v>0</v>
      </c>
      <c r="V2421" s="5">
        <f t="shared" ref="V2421:V2452" si="762">IF(SUM(G$2420:G$2452)=0,G$2453/33,G2421+IFERROR(G2421/SUM(G$2420:G$2452)*G$2453,0))</f>
        <v>0</v>
      </c>
      <c r="W2421" s="5">
        <f t="shared" ref="W2421:W2452" si="763">IF(SUM(H$2420:H$2452)=0,H$2453/33,H2421+IFERROR(H2421/SUM(H$2420:H$2452)*H$2453,0))</f>
        <v>0</v>
      </c>
      <c r="X2421" s="5">
        <f t="shared" ref="X2421:X2452" si="764">IF(SUM(I$2420:I$2452)=0,I$2453/33,I2421+IFERROR(I2421/SUM(I$2420:I$2452)*I$2453,0))</f>
        <v>0</v>
      </c>
      <c r="Y2421" s="5">
        <f t="shared" ref="Y2421:Y2452" si="765">IF(SUM(J$2420:J$2452)=0,J$2453/33,J2421+IFERROR(J2421/SUM(J$2420:J$2452)*J$2453,0))</f>
        <v>0</v>
      </c>
      <c r="Z2421" s="5">
        <f t="shared" ref="Z2421:Z2452" si="766">IF(SUM(K$2420:K$2452)=0,K$2453/33,K2421+IFERROR(K2421/SUM(K$2420:K$2452)*K$2453,0))</f>
        <v>0</v>
      </c>
      <c r="AA2421" s="5">
        <f t="shared" ref="AA2421:AA2452" si="767">IF(SUM(L$2420:L$2452)=0,L$2453/33,L2421+IFERROR(L2421/SUM(L$2420:L$2452)*L$2453,0))</f>
        <v>0</v>
      </c>
      <c r="AB2421" s="5">
        <f t="shared" si="757"/>
        <v>0</v>
      </c>
    </row>
    <row r="2422" spans="1:29" x14ac:dyDescent="0.25">
      <c r="D2422" t="s">
        <v>72</v>
      </c>
      <c r="E2422" s="14"/>
      <c r="F2422" s="14"/>
      <c r="G2422">
        <f>IFERROR(HLOOKUP(G$2,[74]table_male_hkom1_inj.ill_X7!$A$1:$K$36,4,FALSE),0)</f>
        <v>0</v>
      </c>
      <c r="H2422">
        <f>IFERROR(HLOOKUP(H$2,[74]table_male_hkom1_inj.ill_X7!$A$1:$K$36,4,FALSE),0)</f>
        <v>0</v>
      </c>
      <c r="I2422">
        <f>IFERROR(HLOOKUP(I$2,[74]table_male_hkom1_inj.ill_X7!$A$1:$K$36,4,FALSE),0)</f>
        <v>0</v>
      </c>
      <c r="J2422">
        <f>IFERROR(HLOOKUP(J$2,[74]table_male_hkom1_inj.ill_X7!$A$1:$K$36,4,FALSE),0)</f>
        <v>0</v>
      </c>
      <c r="K2422">
        <f>IFERROR(HLOOKUP(K$2,[74]table_male_hkom1_inj.ill_X7!$A$1:$K$36,4,FALSE),0)</f>
        <v>0</v>
      </c>
      <c r="L2422">
        <f>IFERROR(HLOOKUP(L$2,[74]table_male_hkom1_inj.ill_X7!$A$1:$K$36,4,FALSE),0)</f>
        <v>0</v>
      </c>
      <c r="M2422">
        <f t="shared" si="759"/>
        <v>0</v>
      </c>
      <c r="S2422" t="s">
        <v>72</v>
      </c>
      <c r="T2422" s="5">
        <f t="shared" si="760"/>
        <v>0</v>
      </c>
      <c r="U2422" s="5">
        <f t="shared" si="761"/>
        <v>0</v>
      </c>
      <c r="V2422" s="5">
        <f t="shared" si="762"/>
        <v>0</v>
      </c>
      <c r="W2422" s="5">
        <f t="shared" si="763"/>
        <v>0</v>
      </c>
      <c r="X2422" s="5">
        <f t="shared" si="764"/>
        <v>0</v>
      </c>
      <c r="Y2422" s="5">
        <f t="shared" si="765"/>
        <v>0</v>
      </c>
      <c r="Z2422" s="5">
        <f t="shared" si="766"/>
        <v>0</v>
      </c>
      <c r="AA2422" s="5">
        <f t="shared" si="767"/>
        <v>0</v>
      </c>
      <c r="AB2422" s="5">
        <f t="shared" si="757"/>
        <v>0</v>
      </c>
    </row>
    <row r="2423" spans="1:29" x14ac:dyDescent="0.25">
      <c r="D2423" t="s">
        <v>73</v>
      </c>
      <c r="E2423" s="14"/>
      <c r="F2423" s="14"/>
      <c r="G2423">
        <f>IFERROR(HLOOKUP(G$2,[74]table_male_hkom1_inj.ill_X7!$A$1:$K$36,5,FALSE),0)</f>
        <v>0</v>
      </c>
      <c r="H2423">
        <f>IFERROR(HLOOKUP(H$2,[74]table_male_hkom1_inj.ill_X7!$A$1:$K$36,5,FALSE),0)</f>
        <v>0</v>
      </c>
      <c r="I2423">
        <f>IFERROR(HLOOKUP(I$2,[74]table_male_hkom1_inj.ill_X7!$A$1:$K$36,5,FALSE),0)</f>
        <v>0</v>
      </c>
      <c r="J2423">
        <f>IFERROR(HLOOKUP(J$2,[74]table_male_hkom1_inj.ill_X7!$A$1:$K$36,5,FALSE),0)</f>
        <v>0</v>
      </c>
      <c r="K2423">
        <f>IFERROR(HLOOKUP(K$2,[74]table_male_hkom1_inj.ill_X7!$A$1:$K$36,5,FALSE),0)</f>
        <v>0</v>
      </c>
      <c r="L2423">
        <f>IFERROR(HLOOKUP(L$2,[74]table_male_hkom1_inj.ill_X7!$A$1:$K$36,5,FALSE),0)</f>
        <v>0</v>
      </c>
      <c r="M2423">
        <f t="shared" si="759"/>
        <v>0</v>
      </c>
      <c r="S2423" t="s">
        <v>73</v>
      </c>
      <c r="T2423" s="5">
        <f t="shared" si="760"/>
        <v>0</v>
      </c>
      <c r="U2423" s="5">
        <f t="shared" si="761"/>
        <v>0</v>
      </c>
      <c r="V2423" s="5">
        <f t="shared" si="762"/>
        <v>0</v>
      </c>
      <c r="W2423" s="5">
        <f t="shared" si="763"/>
        <v>0</v>
      </c>
      <c r="X2423" s="5">
        <f t="shared" si="764"/>
        <v>0</v>
      </c>
      <c r="Y2423" s="5">
        <f t="shared" si="765"/>
        <v>0</v>
      </c>
      <c r="Z2423" s="5">
        <f t="shared" si="766"/>
        <v>0</v>
      </c>
      <c r="AA2423" s="5">
        <f t="shared" si="767"/>
        <v>0</v>
      </c>
      <c r="AB2423" s="5">
        <f t="shared" si="757"/>
        <v>0</v>
      </c>
    </row>
    <row r="2424" spans="1:29" x14ac:dyDescent="0.25">
      <c r="D2424" t="s">
        <v>74</v>
      </c>
      <c r="E2424" s="14"/>
      <c r="F2424" s="14"/>
      <c r="G2424">
        <f>IFERROR(HLOOKUP(G$2,[74]table_male_hkom1_inj.ill_X7!$A$1:$K$36,6,FALSE),0)</f>
        <v>0</v>
      </c>
      <c r="H2424">
        <f>IFERROR(HLOOKUP(H$2,[74]table_male_hkom1_inj.ill_X7!$A$1:$K$36,6,FALSE),0)</f>
        <v>0</v>
      </c>
      <c r="I2424">
        <f>IFERROR(HLOOKUP(I$2,[74]table_male_hkom1_inj.ill_X7!$A$1:$K$36,6,FALSE),0)</f>
        <v>0</v>
      </c>
      <c r="J2424">
        <f>IFERROR(HLOOKUP(J$2,[74]table_male_hkom1_inj.ill_X7!$A$1:$K$36,6,FALSE),0)</f>
        <v>0</v>
      </c>
      <c r="K2424">
        <f>IFERROR(HLOOKUP(K$2,[74]table_male_hkom1_inj.ill_X7!$A$1:$K$36,6,FALSE),0)</f>
        <v>0</v>
      </c>
      <c r="L2424">
        <f>IFERROR(HLOOKUP(L$2,[74]table_male_hkom1_inj.ill_X7!$A$1:$K$36,6,FALSE),0)</f>
        <v>0</v>
      </c>
      <c r="M2424">
        <f t="shared" si="759"/>
        <v>0</v>
      </c>
      <c r="S2424" t="s">
        <v>74</v>
      </c>
      <c r="T2424" s="5">
        <f t="shared" si="760"/>
        <v>0</v>
      </c>
      <c r="U2424" s="5">
        <f t="shared" si="761"/>
        <v>0</v>
      </c>
      <c r="V2424" s="5">
        <f t="shared" si="762"/>
        <v>0</v>
      </c>
      <c r="W2424" s="5">
        <f t="shared" si="763"/>
        <v>0</v>
      </c>
      <c r="X2424" s="5">
        <f t="shared" si="764"/>
        <v>0</v>
      </c>
      <c r="Y2424" s="5">
        <f t="shared" si="765"/>
        <v>0</v>
      </c>
      <c r="Z2424" s="5">
        <f t="shared" si="766"/>
        <v>0</v>
      </c>
      <c r="AA2424" s="5">
        <f t="shared" si="767"/>
        <v>0</v>
      </c>
      <c r="AB2424" s="5">
        <f t="shared" si="757"/>
        <v>0</v>
      </c>
    </row>
    <row r="2425" spans="1:29" x14ac:dyDescent="0.25">
      <c r="D2425" t="s">
        <v>75</v>
      </c>
      <c r="E2425" s="14"/>
      <c r="F2425" s="14"/>
      <c r="G2425">
        <f>IFERROR(HLOOKUP(G$2,[74]table_male_hkom1_inj.ill_X7!$A$1:$K$36,7,FALSE),0)</f>
        <v>0</v>
      </c>
      <c r="H2425">
        <f>IFERROR(HLOOKUP(H$2,[74]table_male_hkom1_inj.ill_X7!$A$1:$K$36,7,FALSE),0)</f>
        <v>0</v>
      </c>
      <c r="I2425">
        <f>IFERROR(HLOOKUP(I$2,[74]table_male_hkom1_inj.ill_X7!$A$1:$K$36,7,FALSE),0)</f>
        <v>0</v>
      </c>
      <c r="J2425">
        <f>IFERROR(HLOOKUP(J$2,[74]table_male_hkom1_inj.ill_X7!$A$1:$K$36,7,FALSE),0)</f>
        <v>0</v>
      </c>
      <c r="K2425">
        <f>IFERROR(HLOOKUP(K$2,[74]table_male_hkom1_inj.ill_X7!$A$1:$K$36,7,FALSE),0)</f>
        <v>0</v>
      </c>
      <c r="L2425">
        <f>IFERROR(HLOOKUP(L$2,[74]table_male_hkom1_inj.ill_X7!$A$1:$K$36,7,FALSE),0)</f>
        <v>0</v>
      </c>
      <c r="M2425">
        <f t="shared" si="759"/>
        <v>0</v>
      </c>
      <c r="S2425" t="s">
        <v>75</v>
      </c>
      <c r="T2425" s="5">
        <f t="shared" si="760"/>
        <v>0</v>
      </c>
      <c r="U2425" s="5">
        <f t="shared" si="761"/>
        <v>0</v>
      </c>
      <c r="V2425" s="5">
        <f t="shared" si="762"/>
        <v>0</v>
      </c>
      <c r="W2425" s="5">
        <f t="shared" si="763"/>
        <v>0</v>
      </c>
      <c r="X2425" s="5">
        <f t="shared" si="764"/>
        <v>0</v>
      </c>
      <c r="Y2425" s="5">
        <f t="shared" si="765"/>
        <v>0</v>
      </c>
      <c r="Z2425" s="5">
        <f t="shared" si="766"/>
        <v>0</v>
      </c>
      <c r="AA2425" s="5">
        <f t="shared" si="767"/>
        <v>0</v>
      </c>
      <c r="AB2425" s="5">
        <f t="shared" si="757"/>
        <v>0</v>
      </c>
    </row>
    <row r="2426" spans="1:29" x14ac:dyDescent="0.25">
      <c r="D2426" t="s">
        <v>76</v>
      </c>
      <c r="E2426" s="14"/>
      <c r="F2426" s="14"/>
      <c r="G2426">
        <f>IFERROR(HLOOKUP(G$2,[74]table_male_hkom1_inj.ill_X7!$A$1:$K$36,8,FALSE),0)</f>
        <v>0</v>
      </c>
      <c r="H2426">
        <f>IFERROR(HLOOKUP(H$2,[74]table_male_hkom1_inj.ill_X7!$A$1:$K$36,8,FALSE),0)</f>
        <v>0</v>
      </c>
      <c r="I2426">
        <f>IFERROR(HLOOKUP(I$2,[74]table_male_hkom1_inj.ill_X7!$A$1:$K$36,8,FALSE),0)</f>
        <v>0</v>
      </c>
      <c r="J2426">
        <f>IFERROR(HLOOKUP(J$2,[74]table_male_hkom1_inj.ill_X7!$A$1:$K$36,8,FALSE),0)</f>
        <v>0</v>
      </c>
      <c r="K2426">
        <f>IFERROR(HLOOKUP(K$2,[74]table_male_hkom1_inj.ill_X7!$A$1:$K$36,8,FALSE),0)</f>
        <v>0</v>
      </c>
      <c r="L2426">
        <f>IFERROR(HLOOKUP(L$2,[74]table_male_hkom1_inj.ill_X7!$A$1:$K$36,8,FALSE),0)</f>
        <v>0</v>
      </c>
      <c r="M2426">
        <f t="shared" si="759"/>
        <v>0</v>
      </c>
      <c r="S2426" t="s">
        <v>76</v>
      </c>
      <c r="T2426" s="5">
        <f t="shared" si="760"/>
        <v>0</v>
      </c>
      <c r="U2426" s="5">
        <f t="shared" si="761"/>
        <v>0</v>
      </c>
      <c r="V2426" s="5">
        <f t="shared" si="762"/>
        <v>0</v>
      </c>
      <c r="W2426" s="5">
        <f t="shared" si="763"/>
        <v>0</v>
      </c>
      <c r="X2426" s="5">
        <f t="shared" si="764"/>
        <v>0</v>
      </c>
      <c r="Y2426" s="5">
        <f t="shared" si="765"/>
        <v>0</v>
      </c>
      <c r="Z2426" s="5">
        <f t="shared" si="766"/>
        <v>0</v>
      </c>
      <c r="AA2426" s="5">
        <f t="shared" si="767"/>
        <v>0</v>
      </c>
      <c r="AB2426" s="5">
        <f t="shared" si="757"/>
        <v>0</v>
      </c>
    </row>
    <row r="2427" spans="1:29" x14ac:dyDescent="0.25">
      <c r="D2427" t="s">
        <v>77</v>
      </c>
      <c r="E2427" s="14"/>
      <c r="F2427" s="14"/>
      <c r="G2427">
        <f>IFERROR(HLOOKUP(G$2,[74]table_male_hkom1_inj.ill_X7!$A$1:$K$36,9,FALSE),0)</f>
        <v>1</v>
      </c>
      <c r="H2427">
        <f>IFERROR(HLOOKUP(H$2,[74]table_male_hkom1_inj.ill_X7!$A$1:$K$36,9,FALSE),0)</f>
        <v>0</v>
      </c>
      <c r="I2427">
        <f>IFERROR(HLOOKUP(I$2,[74]table_male_hkom1_inj.ill_X7!$A$1:$K$36,9,FALSE),0)</f>
        <v>0</v>
      </c>
      <c r="J2427">
        <f>IFERROR(HLOOKUP(J$2,[74]table_male_hkom1_inj.ill_X7!$A$1:$K$36,9,FALSE),0)</f>
        <v>0</v>
      </c>
      <c r="K2427">
        <f>IFERROR(HLOOKUP(K$2,[74]table_male_hkom1_inj.ill_X7!$A$1:$K$36,9,FALSE),0)</f>
        <v>0</v>
      </c>
      <c r="L2427">
        <f>IFERROR(HLOOKUP(L$2,[74]table_male_hkom1_inj.ill_X7!$A$1:$K$36,9,FALSE),0)</f>
        <v>0</v>
      </c>
      <c r="M2427">
        <f t="shared" si="759"/>
        <v>1</v>
      </c>
      <c r="S2427" t="s">
        <v>77</v>
      </c>
      <c r="T2427" s="5">
        <f t="shared" si="760"/>
        <v>0</v>
      </c>
      <c r="U2427" s="5">
        <f t="shared" si="761"/>
        <v>0</v>
      </c>
      <c r="V2427" s="5">
        <f t="shared" si="762"/>
        <v>1.25</v>
      </c>
      <c r="W2427" s="5">
        <f t="shared" si="763"/>
        <v>0</v>
      </c>
      <c r="X2427" s="5">
        <f t="shared" si="764"/>
        <v>0</v>
      </c>
      <c r="Y2427" s="5">
        <f t="shared" si="765"/>
        <v>0</v>
      </c>
      <c r="Z2427" s="5">
        <f t="shared" si="766"/>
        <v>0</v>
      </c>
      <c r="AA2427" s="5">
        <f t="shared" si="767"/>
        <v>0</v>
      </c>
      <c r="AB2427" s="5">
        <f t="shared" si="757"/>
        <v>1.25</v>
      </c>
    </row>
    <row r="2428" spans="1:29" x14ac:dyDescent="0.25">
      <c r="D2428" t="s">
        <v>78</v>
      </c>
      <c r="E2428" s="14"/>
      <c r="F2428" s="14"/>
      <c r="G2428">
        <f>IFERROR(HLOOKUP(G$2,[74]table_male_hkom1_inj.ill_X7!$A$1:$K$36,10,FALSE),0)</f>
        <v>1</v>
      </c>
      <c r="H2428">
        <f>IFERROR(HLOOKUP(H$2,[74]table_male_hkom1_inj.ill_X7!$A$1:$K$36,10,FALSE),0)</f>
        <v>2</v>
      </c>
      <c r="I2428">
        <f>IFERROR(HLOOKUP(I$2,[74]table_male_hkom1_inj.ill_X7!$A$1:$K$36,10,FALSE),0)</f>
        <v>0</v>
      </c>
      <c r="J2428">
        <f>IFERROR(HLOOKUP(J$2,[74]table_male_hkom1_inj.ill_X7!$A$1:$K$36,10,FALSE),0)</f>
        <v>0</v>
      </c>
      <c r="K2428">
        <f>IFERROR(HLOOKUP(K$2,[74]table_male_hkom1_inj.ill_X7!$A$1:$K$36,10,FALSE),0)</f>
        <v>0</v>
      </c>
      <c r="L2428">
        <f>IFERROR(HLOOKUP(L$2,[74]table_male_hkom1_inj.ill_X7!$A$1:$K$36,10,FALSE),0)</f>
        <v>0</v>
      </c>
      <c r="M2428">
        <f t="shared" si="759"/>
        <v>3</v>
      </c>
      <c r="S2428" t="s">
        <v>78</v>
      </c>
      <c r="T2428" s="5">
        <f t="shared" si="760"/>
        <v>0</v>
      </c>
      <c r="U2428" s="5">
        <f t="shared" si="761"/>
        <v>0</v>
      </c>
      <c r="V2428" s="5">
        <f t="shared" si="762"/>
        <v>1.25</v>
      </c>
      <c r="W2428" s="5">
        <f t="shared" si="763"/>
        <v>2.5333333333333332</v>
      </c>
      <c r="X2428" s="5">
        <f t="shared" si="764"/>
        <v>0</v>
      </c>
      <c r="Y2428" s="5">
        <f t="shared" si="765"/>
        <v>0</v>
      </c>
      <c r="Z2428" s="5">
        <f t="shared" si="766"/>
        <v>0</v>
      </c>
      <c r="AA2428" s="5">
        <f t="shared" si="767"/>
        <v>0</v>
      </c>
      <c r="AB2428" s="5">
        <f t="shared" si="757"/>
        <v>3.7833333333333332</v>
      </c>
    </row>
    <row r="2429" spans="1:29" x14ac:dyDescent="0.25">
      <c r="D2429" t="s">
        <v>79</v>
      </c>
      <c r="E2429" s="14"/>
      <c r="F2429" s="14"/>
      <c r="G2429">
        <f>IFERROR(HLOOKUP(G$2,[74]table_male_hkom1_inj.ill_X7!$A$1:$K$36,11,FALSE),0)</f>
        <v>1</v>
      </c>
      <c r="H2429">
        <f>IFERROR(HLOOKUP(H$2,[74]table_male_hkom1_inj.ill_X7!$A$1:$K$36,11,FALSE),0)</f>
        <v>0</v>
      </c>
      <c r="I2429">
        <f>IFERROR(HLOOKUP(I$2,[74]table_male_hkom1_inj.ill_X7!$A$1:$K$36,11,FALSE),0)</f>
        <v>0</v>
      </c>
      <c r="J2429">
        <f>IFERROR(HLOOKUP(J$2,[74]table_male_hkom1_inj.ill_X7!$A$1:$K$36,11,FALSE),0)</f>
        <v>0</v>
      </c>
      <c r="K2429">
        <f>IFERROR(HLOOKUP(K$2,[74]table_male_hkom1_inj.ill_X7!$A$1:$K$36,11,FALSE),0)</f>
        <v>0</v>
      </c>
      <c r="L2429">
        <f>IFERROR(HLOOKUP(L$2,[74]table_male_hkom1_inj.ill_X7!$A$1:$K$36,11,FALSE),0)</f>
        <v>0</v>
      </c>
      <c r="M2429">
        <f t="shared" si="759"/>
        <v>1</v>
      </c>
      <c r="S2429" t="s">
        <v>79</v>
      </c>
      <c r="T2429" s="5">
        <f t="shared" si="760"/>
        <v>0</v>
      </c>
      <c r="U2429" s="5">
        <f t="shared" si="761"/>
        <v>0</v>
      </c>
      <c r="V2429" s="5">
        <f t="shared" si="762"/>
        <v>1.25</v>
      </c>
      <c r="W2429" s="5">
        <f t="shared" si="763"/>
        <v>0</v>
      </c>
      <c r="X2429" s="5">
        <f t="shared" si="764"/>
        <v>0</v>
      </c>
      <c r="Y2429" s="5">
        <f t="shared" si="765"/>
        <v>0</v>
      </c>
      <c r="Z2429" s="5">
        <f t="shared" si="766"/>
        <v>0</v>
      </c>
      <c r="AA2429" s="5">
        <f t="shared" si="767"/>
        <v>0</v>
      </c>
      <c r="AB2429" s="5">
        <f t="shared" si="757"/>
        <v>1.25</v>
      </c>
    </row>
    <row r="2430" spans="1:29" x14ac:dyDescent="0.25">
      <c r="D2430" t="s">
        <v>80</v>
      </c>
      <c r="E2430" s="14"/>
      <c r="F2430" s="14"/>
      <c r="G2430">
        <f>IFERROR(HLOOKUP(G$2,[74]table_male_hkom1_inj.ill_X7!$A$1:$K$36,12,FALSE),0)</f>
        <v>0</v>
      </c>
      <c r="H2430">
        <f>IFERROR(HLOOKUP(H$2,[74]table_male_hkom1_inj.ill_X7!$A$1:$K$36,12,FALSE),0)</f>
        <v>2</v>
      </c>
      <c r="I2430">
        <f>IFERROR(HLOOKUP(I$2,[74]table_male_hkom1_inj.ill_X7!$A$1:$K$36,12,FALSE),0)</f>
        <v>0</v>
      </c>
      <c r="J2430">
        <f>IFERROR(HLOOKUP(J$2,[74]table_male_hkom1_inj.ill_X7!$A$1:$K$36,12,FALSE),0)</f>
        <v>0</v>
      </c>
      <c r="K2430">
        <f>IFERROR(HLOOKUP(K$2,[74]table_male_hkom1_inj.ill_X7!$A$1:$K$36,12,FALSE),0)</f>
        <v>0</v>
      </c>
      <c r="L2430">
        <f>IFERROR(HLOOKUP(L$2,[74]table_male_hkom1_inj.ill_X7!$A$1:$K$36,12,FALSE),0)</f>
        <v>0</v>
      </c>
      <c r="M2430">
        <f t="shared" si="759"/>
        <v>2</v>
      </c>
      <c r="S2430" t="s">
        <v>80</v>
      </c>
      <c r="T2430" s="5">
        <f t="shared" si="760"/>
        <v>0</v>
      </c>
      <c r="U2430" s="5">
        <f t="shared" si="761"/>
        <v>0</v>
      </c>
      <c r="V2430" s="5">
        <f t="shared" si="762"/>
        <v>0</v>
      </c>
      <c r="W2430" s="5">
        <f t="shared" si="763"/>
        <v>2.5333333333333332</v>
      </c>
      <c r="X2430" s="5">
        <f t="shared" si="764"/>
        <v>0</v>
      </c>
      <c r="Y2430" s="5">
        <f t="shared" si="765"/>
        <v>0</v>
      </c>
      <c r="Z2430" s="5">
        <f t="shared" si="766"/>
        <v>0</v>
      </c>
      <c r="AA2430" s="5">
        <f t="shared" si="767"/>
        <v>0</v>
      </c>
      <c r="AB2430" s="5">
        <f t="shared" si="757"/>
        <v>2.5333333333333332</v>
      </c>
    </row>
    <row r="2431" spans="1:29" x14ac:dyDescent="0.25">
      <c r="D2431" t="s">
        <v>81</v>
      </c>
      <c r="E2431" s="14"/>
      <c r="F2431" s="14"/>
      <c r="G2431">
        <f>IFERROR(HLOOKUP(G$2,[74]table_male_hkom1_inj.ill_X7!$A$1:$K$36,13,FALSE),0)</f>
        <v>0</v>
      </c>
      <c r="H2431">
        <f>IFERROR(HLOOKUP(H$2,[74]table_male_hkom1_inj.ill_X7!$A$1:$K$36,13,FALSE),0)</f>
        <v>0</v>
      </c>
      <c r="I2431">
        <f>IFERROR(HLOOKUP(I$2,[74]table_male_hkom1_inj.ill_X7!$A$1:$K$36,13,FALSE),0)</f>
        <v>1</v>
      </c>
      <c r="J2431">
        <f>IFERROR(HLOOKUP(J$2,[74]table_male_hkom1_inj.ill_X7!$A$1:$K$36,13,FALSE),0)</f>
        <v>0</v>
      </c>
      <c r="K2431">
        <f>IFERROR(HLOOKUP(K$2,[74]table_male_hkom1_inj.ill_X7!$A$1:$K$36,13,FALSE),0)</f>
        <v>0</v>
      </c>
      <c r="L2431">
        <f>IFERROR(HLOOKUP(L$2,[74]table_male_hkom1_inj.ill_X7!$A$1:$K$36,13,FALSE),0)</f>
        <v>0</v>
      </c>
      <c r="M2431">
        <f t="shared" si="759"/>
        <v>1</v>
      </c>
      <c r="S2431" t="s">
        <v>81</v>
      </c>
      <c r="T2431" s="5">
        <f t="shared" si="760"/>
        <v>0</v>
      </c>
      <c r="U2431" s="5">
        <f t="shared" si="761"/>
        <v>0</v>
      </c>
      <c r="V2431" s="5">
        <f t="shared" si="762"/>
        <v>0</v>
      </c>
      <c r="W2431" s="5">
        <f t="shared" si="763"/>
        <v>0</v>
      </c>
      <c r="X2431" s="5">
        <f t="shared" si="764"/>
        <v>1</v>
      </c>
      <c r="Y2431" s="5">
        <f t="shared" si="765"/>
        <v>0</v>
      </c>
      <c r="Z2431" s="5">
        <f t="shared" si="766"/>
        <v>0</v>
      </c>
      <c r="AA2431" s="5">
        <f t="shared" si="767"/>
        <v>0</v>
      </c>
      <c r="AB2431" s="5">
        <f t="shared" si="757"/>
        <v>1</v>
      </c>
    </row>
    <row r="2432" spans="1:29" x14ac:dyDescent="0.25">
      <c r="D2432" t="s">
        <v>82</v>
      </c>
      <c r="E2432" s="14"/>
      <c r="F2432" s="14"/>
      <c r="G2432">
        <f>IFERROR(HLOOKUP(G$2,[74]table_male_hkom1_inj.ill_X7!$A$1:$K$36,14,FALSE),0)</f>
        <v>0</v>
      </c>
      <c r="H2432">
        <f>IFERROR(HLOOKUP(H$2,[74]table_male_hkom1_inj.ill_X7!$A$1:$K$36,14,FALSE),0)</f>
        <v>0</v>
      </c>
      <c r="I2432">
        <f>IFERROR(HLOOKUP(I$2,[74]table_male_hkom1_inj.ill_X7!$A$1:$K$36,14,FALSE),0)</f>
        <v>0</v>
      </c>
      <c r="J2432">
        <f>IFERROR(HLOOKUP(J$2,[74]table_male_hkom1_inj.ill_X7!$A$1:$K$36,14,FALSE),0)</f>
        <v>0</v>
      </c>
      <c r="K2432">
        <f>IFERROR(HLOOKUP(K$2,[74]table_male_hkom1_inj.ill_X7!$A$1:$K$36,14,FALSE),0)</f>
        <v>0</v>
      </c>
      <c r="L2432">
        <f>IFERROR(HLOOKUP(L$2,[74]table_male_hkom1_inj.ill_X7!$A$1:$K$36,14,FALSE),0)</f>
        <v>0</v>
      </c>
      <c r="M2432">
        <f t="shared" si="759"/>
        <v>0</v>
      </c>
      <c r="S2432" t="s">
        <v>82</v>
      </c>
      <c r="T2432" s="5">
        <f t="shared" si="760"/>
        <v>0</v>
      </c>
      <c r="U2432" s="5">
        <f t="shared" si="761"/>
        <v>0</v>
      </c>
      <c r="V2432" s="5">
        <f t="shared" si="762"/>
        <v>0</v>
      </c>
      <c r="W2432" s="5">
        <f t="shared" si="763"/>
        <v>0</v>
      </c>
      <c r="X2432" s="5">
        <f t="shared" si="764"/>
        <v>0</v>
      </c>
      <c r="Y2432" s="5">
        <f t="shared" si="765"/>
        <v>0</v>
      </c>
      <c r="Z2432" s="5">
        <f t="shared" si="766"/>
        <v>0</v>
      </c>
      <c r="AA2432" s="5">
        <f t="shared" si="767"/>
        <v>0</v>
      </c>
      <c r="AB2432" s="5">
        <f t="shared" si="757"/>
        <v>0</v>
      </c>
    </row>
    <row r="2433" spans="4:28" x14ac:dyDescent="0.25">
      <c r="D2433" t="s">
        <v>83</v>
      </c>
      <c r="E2433" s="14"/>
      <c r="F2433" s="14"/>
      <c r="G2433">
        <f>IFERROR(HLOOKUP(G$2,[74]table_male_hkom1_inj.ill_X7!$A$1:$K$36,15,FALSE),0)</f>
        <v>0</v>
      </c>
      <c r="H2433">
        <f>IFERROR(HLOOKUP(H$2,[74]table_male_hkom1_inj.ill_X7!$A$1:$K$36,15,FALSE),0)</f>
        <v>0</v>
      </c>
      <c r="I2433">
        <f>IFERROR(HLOOKUP(I$2,[74]table_male_hkom1_inj.ill_X7!$A$1:$K$36,15,FALSE),0)</f>
        <v>0</v>
      </c>
      <c r="J2433">
        <f>IFERROR(HLOOKUP(J$2,[74]table_male_hkom1_inj.ill_X7!$A$1:$K$36,15,FALSE),0)</f>
        <v>0</v>
      </c>
      <c r="K2433">
        <f>IFERROR(HLOOKUP(K$2,[74]table_male_hkom1_inj.ill_X7!$A$1:$K$36,15,FALSE),0)</f>
        <v>0</v>
      </c>
      <c r="L2433">
        <f>IFERROR(HLOOKUP(L$2,[74]table_male_hkom1_inj.ill_X7!$A$1:$K$36,15,FALSE),0)</f>
        <v>0</v>
      </c>
      <c r="M2433">
        <f t="shared" si="759"/>
        <v>0</v>
      </c>
      <c r="S2433" t="s">
        <v>83</v>
      </c>
      <c r="T2433" s="5">
        <f t="shared" si="760"/>
        <v>0</v>
      </c>
      <c r="U2433" s="5">
        <f t="shared" si="761"/>
        <v>0</v>
      </c>
      <c r="V2433" s="5">
        <f t="shared" si="762"/>
        <v>0</v>
      </c>
      <c r="W2433" s="5">
        <f t="shared" si="763"/>
        <v>0</v>
      </c>
      <c r="X2433" s="5">
        <f t="shared" si="764"/>
        <v>0</v>
      </c>
      <c r="Y2433" s="5">
        <f t="shared" si="765"/>
        <v>0</v>
      </c>
      <c r="Z2433" s="5">
        <f t="shared" si="766"/>
        <v>0</v>
      </c>
      <c r="AA2433" s="5">
        <f t="shared" si="767"/>
        <v>0</v>
      </c>
      <c r="AB2433" s="5">
        <f t="shared" si="757"/>
        <v>0</v>
      </c>
    </row>
    <row r="2434" spans="4:28" x14ac:dyDescent="0.25">
      <c r="D2434" t="s">
        <v>84</v>
      </c>
      <c r="E2434" s="14"/>
      <c r="F2434" s="14"/>
      <c r="G2434">
        <f>IFERROR(HLOOKUP(G$2,[74]table_male_hkom1_inj.ill_X7!$A$1:$K$36,16,FALSE),0)</f>
        <v>0</v>
      </c>
      <c r="H2434">
        <f>IFERROR(HLOOKUP(H$2,[74]table_male_hkom1_inj.ill_X7!$A$1:$K$36,16,FALSE),0)</f>
        <v>0</v>
      </c>
      <c r="I2434">
        <f>IFERROR(HLOOKUP(I$2,[74]table_male_hkom1_inj.ill_X7!$A$1:$K$36,16,FALSE),0)</f>
        <v>0</v>
      </c>
      <c r="J2434">
        <f>IFERROR(HLOOKUP(J$2,[74]table_male_hkom1_inj.ill_X7!$A$1:$K$36,16,FALSE),0)</f>
        <v>0</v>
      </c>
      <c r="K2434">
        <f>IFERROR(HLOOKUP(K$2,[74]table_male_hkom1_inj.ill_X7!$A$1:$K$36,16,FALSE),0)</f>
        <v>0</v>
      </c>
      <c r="L2434">
        <f>IFERROR(HLOOKUP(L$2,[74]table_male_hkom1_inj.ill_X7!$A$1:$K$36,16,FALSE),0)</f>
        <v>0</v>
      </c>
      <c r="M2434">
        <f t="shared" si="759"/>
        <v>0</v>
      </c>
      <c r="S2434" t="s">
        <v>84</v>
      </c>
      <c r="T2434" s="5">
        <f t="shared" si="760"/>
        <v>0</v>
      </c>
      <c r="U2434" s="5">
        <f t="shared" si="761"/>
        <v>0</v>
      </c>
      <c r="V2434" s="5">
        <f t="shared" si="762"/>
        <v>0</v>
      </c>
      <c r="W2434" s="5">
        <f t="shared" si="763"/>
        <v>0</v>
      </c>
      <c r="X2434" s="5">
        <f t="shared" si="764"/>
        <v>0</v>
      </c>
      <c r="Y2434" s="5">
        <f t="shared" si="765"/>
        <v>0</v>
      </c>
      <c r="Z2434" s="5">
        <f t="shared" si="766"/>
        <v>0</v>
      </c>
      <c r="AA2434" s="5">
        <f t="shared" si="767"/>
        <v>0</v>
      </c>
      <c r="AB2434" s="5">
        <f t="shared" si="757"/>
        <v>0</v>
      </c>
    </row>
    <row r="2435" spans="4:28" x14ac:dyDescent="0.25">
      <c r="D2435" t="s">
        <v>85</v>
      </c>
      <c r="E2435" s="14"/>
      <c r="F2435" s="14"/>
      <c r="G2435">
        <f>IFERROR(HLOOKUP(G$2,[74]table_male_hkom1_inj.ill_X7!$A$1:$K$36,17,FALSE),0)</f>
        <v>0</v>
      </c>
      <c r="H2435">
        <f>IFERROR(HLOOKUP(H$2,[74]table_male_hkom1_inj.ill_X7!$A$1:$K$36,17,FALSE),0)</f>
        <v>0</v>
      </c>
      <c r="I2435">
        <f>IFERROR(HLOOKUP(I$2,[74]table_male_hkom1_inj.ill_X7!$A$1:$K$36,17,FALSE),0)</f>
        <v>0</v>
      </c>
      <c r="J2435">
        <f>IFERROR(HLOOKUP(J$2,[74]table_male_hkom1_inj.ill_X7!$A$1:$K$36,17,FALSE),0)</f>
        <v>0</v>
      </c>
      <c r="K2435">
        <f>IFERROR(HLOOKUP(K$2,[74]table_male_hkom1_inj.ill_X7!$A$1:$K$36,17,FALSE),0)</f>
        <v>0</v>
      </c>
      <c r="L2435">
        <f>IFERROR(HLOOKUP(L$2,[74]table_male_hkom1_inj.ill_X7!$A$1:$K$36,17,FALSE),0)</f>
        <v>0</v>
      </c>
      <c r="M2435">
        <f t="shared" si="759"/>
        <v>0</v>
      </c>
      <c r="S2435" t="s">
        <v>85</v>
      </c>
      <c r="T2435" s="5">
        <f t="shared" si="760"/>
        <v>0</v>
      </c>
      <c r="U2435" s="5">
        <f t="shared" si="761"/>
        <v>0</v>
      </c>
      <c r="V2435" s="5">
        <f t="shared" si="762"/>
        <v>0</v>
      </c>
      <c r="W2435" s="5">
        <f t="shared" si="763"/>
        <v>0</v>
      </c>
      <c r="X2435" s="5">
        <f t="shared" si="764"/>
        <v>0</v>
      </c>
      <c r="Y2435" s="5">
        <f t="shared" si="765"/>
        <v>0</v>
      </c>
      <c r="Z2435" s="5">
        <f t="shared" si="766"/>
        <v>0</v>
      </c>
      <c r="AA2435" s="5">
        <f t="shared" si="767"/>
        <v>0</v>
      </c>
      <c r="AB2435" s="5">
        <f t="shared" si="757"/>
        <v>0</v>
      </c>
    </row>
    <row r="2436" spans="4:28" x14ac:dyDescent="0.25">
      <c r="D2436" t="s">
        <v>86</v>
      </c>
      <c r="E2436" s="14"/>
      <c r="F2436" s="14"/>
      <c r="G2436">
        <f>IFERROR(HLOOKUP(G$2,[74]table_male_hkom1_inj.ill_X7!$A$1:$K$36,18,FALSE),0)</f>
        <v>0</v>
      </c>
      <c r="H2436">
        <f>IFERROR(HLOOKUP(H$2,[74]table_male_hkom1_inj.ill_X7!$A$1:$K$36,18,FALSE),0)</f>
        <v>2</v>
      </c>
      <c r="I2436">
        <f>IFERROR(HLOOKUP(I$2,[74]table_male_hkom1_inj.ill_X7!$A$1:$K$36,18,FALSE),0)</f>
        <v>1</v>
      </c>
      <c r="J2436">
        <f>IFERROR(HLOOKUP(J$2,[74]table_male_hkom1_inj.ill_X7!$A$1:$K$36,18,FALSE),0)</f>
        <v>0</v>
      </c>
      <c r="K2436">
        <f>IFERROR(HLOOKUP(K$2,[74]table_male_hkom1_inj.ill_X7!$A$1:$K$36,18,FALSE),0)</f>
        <v>0</v>
      </c>
      <c r="L2436">
        <f>IFERROR(HLOOKUP(L$2,[74]table_male_hkom1_inj.ill_X7!$A$1:$K$36,18,FALSE),0)</f>
        <v>0</v>
      </c>
      <c r="M2436">
        <f t="shared" si="759"/>
        <v>3</v>
      </c>
      <c r="S2436" t="s">
        <v>86</v>
      </c>
      <c r="T2436" s="5">
        <f t="shared" si="760"/>
        <v>0</v>
      </c>
      <c r="U2436" s="5">
        <f t="shared" si="761"/>
        <v>0</v>
      </c>
      <c r="V2436" s="5">
        <f t="shared" si="762"/>
        <v>0</v>
      </c>
      <c r="W2436" s="5">
        <f t="shared" si="763"/>
        <v>2.5333333333333332</v>
      </c>
      <c r="X2436" s="5">
        <f t="shared" si="764"/>
        <v>1</v>
      </c>
      <c r="Y2436" s="5">
        <f t="shared" si="765"/>
        <v>0</v>
      </c>
      <c r="Z2436" s="5">
        <f t="shared" si="766"/>
        <v>0</v>
      </c>
      <c r="AA2436" s="5">
        <f t="shared" si="767"/>
        <v>0</v>
      </c>
      <c r="AB2436" s="5">
        <f t="shared" si="757"/>
        <v>3.5333333333333332</v>
      </c>
    </row>
    <row r="2437" spans="4:28" x14ac:dyDescent="0.25">
      <c r="D2437" t="s">
        <v>87</v>
      </c>
      <c r="E2437" s="14"/>
      <c r="F2437" s="14"/>
      <c r="G2437">
        <f>IFERROR(HLOOKUP(G$2,[74]table_male_hkom1_inj.ill_X7!$A$1:$K$36,19,FALSE),0)</f>
        <v>0</v>
      </c>
      <c r="H2437">
        <f>IFERROR(HLOOKUP(H$2,[74]table_male_hkom1_inj.ill_X7!$A$1:$K$36,19,FALSE),0)</f>
        <v>0</v>
      </c>
      <c r="I2437">
        <f>IFERROR(HLOOKUP(I$2,[74]table_male_hkom1_inj.ill_X7!$A$1:$K$36,19,FALSE),0)</f>
        <v>0</v>
      </c>
      <c r="J2437">
        <f>IFERROR(HLOOKUP(J$2,[74]table_male_hkom1_inj.ill_X7!$A$1:$K$36,19,FALSE),0)</f>
        <v>0</v>
      </c>
      <c r="K2437">
        <f>IFERROR(HLOOKUP(K$2,[74]table_male_hkom1_inj.ill_X7!$A$1:$K$36,19,FALSE),0)</f>
        <v>0</v>
      </c>
      <c r="L2437">
        <f>IFERROR(HLOOKUP(L$2,[74]table_male_hkom1_inj.ill_X7!$A$1:$K$36,19,FALSE),0)</f>
        <v>0</v>
      </c>
      <c r="M2437">
        <f t="shared" si="759"/>
        <v>0</v>
      </c>
      <c r="S2437" t="s">
        <v>87</v>
      </c>
      <c r="T2437" s="5">
        <f t="shared" si="760"/>
        <v>0</v>
      </c>
      <c r="U2437" s="5">
        <f t="shared" si="761"/>
        <v>0</v>
      </c>
      <c r="V2437" s="5">
        <f t="shared" si="762"/>
        <v>0</v>
      </c>
      <c r="W2437" s="5">
        <f t="shared" si="763"/>
        <v>0</v>
      </c>
      <c r="X2437" s="5">
        <f t="shared" si="764"/>
        <v>0</v>
      </c>
      <c r="Y2437" s="5">
        <f t="shared" si="765"/>
        <v>0</v>
      </c>
      <c r="Z2437" s="5">
        <f t="shared" si="766"/>
        <v>0</v>
      </c>
      <c r="AA2437" s="5">
        <f t="shared" si="767"/>
        <v>0</v>
      </c>
      <c r="AB2437" s="5">
        <f t="shared" si="757"/>
        <v>0</v>
      </c>
    </row>
    <row r="2438" spans="4:28" x14ac:dyDescent="0.25">
      <c r="D2438" t="s">
        <v>88</v>
      </c>
      <c r="E2438" s="14"/>
      <c r="F2438" s="14"/>
      <c r="G2438">
        <f>IFERROR(HLOOKUP(G$2,[74]table_male_hkom1_inj.ill_X7!$A$1:$K$36,20,FALSE),0)</f>
        <v>3</v>
      </c>
      <c r="H2438">
        <f>IFERROR(HLOOKUP(H$2,[74]table_male_hkom1_inj.ill_X7!$A$1:$K$36,20,FALSE),0)</f>
        <v>5</v>
      </c>
      <c r="I2438">
        <f>IFERROR(HLOOKUP(I$2,[74]table_male_hkom1_inj.ill_X7!$A$1:$K$36,20,FALSE),0)</f>
        <v>0</v>
      </c>
      <c r="J2438">
        <f>IFERROR(HLOOKUP(J$2,[74]table_male_hkom1_inj.ill_X7!$A$1:$K$36,20,FALSE),0)</f>
        <v>0</v>
      </c>
      <c r="K2438">
        <f>IFERROR(HLOOKUP(K$2,[74]table_male_hkom1_inj.ill_X7!$A$1:$K$36,20,FALSE),0)</f>
        <v>0</v>
      </c>
      <c r="L2438">
        <f>IFERROR(HLOOKUP(L$2,[74]table_male_hkom1_inj.ill_X7!$A$1:$K$36,20,FALSE),0)</f>
        <v>0</v>
      </c>
      <c r="M2438">
        <f t="shared" si="759"/>
        <v>8</v>
      </c>
      <c r="S2438" t="s">
        <v>88</v>
      </c>
      <c r="T2438" s="5">
        <f t="shared" si="760"/>
        <v>0</v>
      </c>
      <c r="U2438" s="5">
        <f t="shared" si="761"/>
        <v>0</v>
      </c>
      <c r="V2438" s="5">
        <f t="shared" si="762"/>
        <v>3.75</v>
      </c>
      <c r="W2438" s="5">
        <f t="shared" si="763"/>
        <v>6.333333333333333</v>
      </c>
      <c r="X2438" s="5">
        <f t="shared" si="764"/>
        <v>0</v>
      </c>
      <c r="Y2438" s="5">
        <f t="shared" si="765"/>
        <v>0</v>
      </c>
      <c r="Z2438" s="5">
        <f t="shared" si="766"/>
        <v>0</v>
      </c>
      <c r="AA2438" s="5">
        <f t="shared" si="767"/>
        <v>0</v>
      </c>
      <c r="AB2438" s="5">
        <f t="shared" si="757"/>
        <v>10.083333333333332</v>
      </c>
    </row>
    <row r="2439" spans="4:28" x14ac:dyDescent="0.25">
      <c r="D2439" t="s">
        <v>89</v>
      </c>
      <c r="E2439" s="14"/>
      <c r="F2439" s="14"/>
      <c r="G2439">
        <f>IFERROR(HLOOKUP(G$2,[74]table_male_hkom1_inj.ill_X7!$A$1:$K$36,21,FALSE),0)</f>
        <v>0</v>
      </c>
      <c r="H2439">
        <f>IFERROR(HLOOKUP(H$2,[74]table_male_hkom1_inj.ill_X7!$A$1:$K$36,21,FALSE),0)</f>
        <v>0</v>
      </c>
      <c r="I2439">
        <f>IFERROR(HLOOKUP(I$2,[74]table_male_hkom1_inj.ill_X7!$A$1:$K$36,21,FALSE),0)</f>
        <v>0</v>
      </c>
      <c r="J2439">
        <f>IFERROR(HLOOKUP(J$2,[74]table_male_hkom1_inj.ill_X7!$A$1:$K$36,21,FALSE),0)</f>
        <v>0</v>
      </c>
      <c r="K2439">
        <f>IFERROR(HLOOKUP(K$2,[74]table_male_hkom1_inj.ill_X7!$A$1:$K$36,21,FALSE),0)</f>
        <v>0</v>
      </c>
      <c r="L2439">
        <f>IFERROR(HLOOKUP(L$2,[74]table_male_hkom1_inj.ill_X7!$A$1:$K$36,21,FALSE),0)</f>
        <v>0</v>
      </c>
      <c r="M2439">
        <f t="shared" si="759"/>
        <v>0</v>
      </c>
      <c r="S2439" t="s">
        <v>89</v>
      </c>
      <c r="T2439" s="5">
        <f t="shared" si="760"/>
        <v>0</v>
      </c>
      <c r="U2439" s="5">
        <f t="shared" si="761"/>
        <v>0</v>
      </c>
      <c r="V2439" s="5">
        <f t="shared" si="762"/>
        <v>0</v>
      </c>
      <c r="W2439" s="5">
        <f t="shared" si="763"/>
        <v>0</v>
      </c>
      <c r="X2439" s="5">
        <f t="shared" si="764"/>
        <v>0</v>
      </c>
      <c r="Y2439" s="5">
        <f t="shared" si="765"/>
        <v>0</v>
      </c>
      <c r="Z2439" s="5">
        <f t="shared" si="766"/>
        <v>0</v>
      </c>
      <c r="AA2439" s="5">
        <f t="shared" si="767"/>
        <v>0</v>
      </c>
      <c r="AB2439" s="5">
        <f t="shared" si="757"/>
        <v>0</v>
      </c>
    </row>
    <row r="2440" spans="4:28" x14ac:dyDescent="0.25">
      <c r="D2440" t="s">
        <v>90</v>
      </c>
      <c r="E2440" s="14"/>
      <c r="F2440" s="14"/>
      <c r="G2440">
        <f>IFERROR(HLOOKUP(G$2,[74]table_male_hkom1_inj.ill_X7!$A$1:$K$36,22,FALSE),0)</f>
        <v>0</v>
      </c>
      <c r="H2440">
        <f>IFERROR(HLOOKUP(H$2,[74]table_male_hkom1_inj.ill_X7!$A$1:$K$36,22,FALSE),0)</f>
        <v>0</v>
      </c>
      <c r="I2440">
        <f>IFERROR(HLOOKUP(I$2,[74]table_male_hkom1_inj.ill_X7!$A$1:$K$36,22,FALSE),0)</f>
        <v>0</v>
      </c>
      <c r="J2440">
        <f>IFERROR(HLOOKUP(J$2,[74]table_male_hkom1_inj.ill_X7!$A$1:$K$36,22,FALSE),0)</f>
        <v>0</v>
      </c>
      <c r="K2440">
        <f>IFERROR(HLOOKUP(K$2,[74]table_male_hkom1_inj.ill_X7!$A$1:$K$36,22,FALSE),0)</f>
        <v>0</v>
      </c>
      <c r="L2440">
        <f>IFERROR(HLOOKUP(L$2,[74]table_male_hkom1_inj.ill_X7!$A$1:$K$36,22,FALSE),0)</f>
        <v>0</v>
      </c>
      <c r="M2440">
        <f t="shared" si="759"/>
        <v>0</v>
      </c>
      <c r="S2440" t="s">
        <v>90</v>
      </c>
      <c r="T2440" s="5">
        <f t="shared" si="760"/>
        <v>0</v>
      </c>
      <c r="U2440" s="5">
        <f t="shared" si="761"/>
        <v>0</v>
      </c>
      <c r="V2440" s="5">
        <f t="shared" si="762"/>
        <v>0</v>
      </c>
      <c r="W2440" s="5">
        <f t="shared" si="763"/>
        <v>0</v>
      </c>
      <c r="X2440" s="5">
        <f t="shared" si="764"/>
        <v>0</v>
      </c>
      <c r="Y2440" s="5">
        <f t="shared" si="765"/>
        <v>0</v>
      </c>
      <c r="Z2440" s="5">
        <f t="shared" si="766"/>
        <v>0</v>
      </c>
      <c r="AA2440" s="5">
        <f t="shared" si="767"/>
        <v>0</v>
      </c>
      <c r="AB2440" s="5">
        <f t="shared" si="757"/>
        <v>0</v>
      </c>
    </row>
    <row r="2441" spans="4:28" x14ac:dyDescent="0.25">
      <c r="D2441" t="s">
        <v>91</v>
      </c>
      <c r="E2441" s="14"/>
      <c r="F2441" s="14"/>
      <c r="G2441">
        <f>IFERROR(HLOOKUP(G$2,[74]table_male_hkom1_inj.ill_X7!$A$1:$K$36,23,FALSE),0)</f>
        <v>0</v>
      </c>
      <c r="H2441">
        <f>IFERROR(HLOOKUP(H$2,[74]table_male_hkom1_inj.ill_X7!$A$1:$K$36,23,FALSE),0)</f>
        <v>0</v>
      </c>
      <c r="I2441">
        <f>IFERROR(HLOOKUP(I$2,[74]table_male_hkom1_inj.ill_X7!$A$1:$K$36,23,FALSE),0)</f>
        <v>0</v>
      </c>
      <c r="J2441">
        <f>IFERROR(HLOOKUP(J$2,[74]table_male_hkom1_inj.ill_X7!$A$1:$K$36,23,FALSE),0)</f>
        <v>0</v>
      </c>
      <c r="K2441">
        <f>IFERROR(HLOOKUP(K$2,[74]table_male_hkom1_inj.ill_X7!$A$1:$K$36,23,FALSE),0)</f>
        <v>0</v>
      </c>
      <c r="L2441">
        <f>IFERROR(HLOOKUP(L$2,[74]table_male_hkom1_inj.ill_X7!$A$1:$K$36,23,FALSE),0)</f>
        <v>0</v>
      </c>
      <c r="M2441">
        <f t="shared" si="759"/>
        <v>0</v>
      </c>
      <c r="S2441" t="s">
        <v>91</v>
      </c>
      <c r="T2441" s="5">
        <f t="shared" si="760"/>
        <v>0</v>
      </c>
      <c r="U2441" s="5">
        <f t="shared" si="761"/>
        <v>0</v>
      </c>
      <c r="V2441" s="5">
        <f t="shared" si="762"/>
        <v>0</v>
      </c>
      <c r="W2441" s="5">
        <f t="shared" si="763"/>
        <v>0</v>
      </c>
      <c r="X2441" s="5">
        <f t="shared" si="764"/>
        <v>0</v>
      </c>
      <c r="Y2441" s="5">
        <f t="shared" si="765"/>
        <v>0</v>
      </c>
      <c r="Z2441" s="5">
        <f t="shared" si="766"/>
        <v>0</v>
      </c>
      <c r="AA2441" s="5">
        <f t="shared" si="767"/>
        <v>0</v>
      </c>
      <c r="AB2441" s="5">
        <f t="shared" si="757"/>
        <v>0</v>
      </c>
    </row>
    <row r="2442" spans="4:28" x14ac:dyDescent="0.25">
      <c r="D2442" t="s">
        <v>92</v>
      </c>
      <c r="E2442" s="14"/>
      <c r="F2442" s="14"/>
      <c r="G2442">
        <f>IFERROR(HLOOKUP(G$2,[74]table_male_hkom1_inj.ill_X7!$A$1:$K$36,24,FALSE),0)</f>
        <v>0</v>
      </c>
      <c r="H2442">
        <f>IFERROR(HLOOKUP(H$2,[74]table_male_hkom1_inj.ill_X7!$A$1:$K$36,24,FALSE),0)</f>
        <v>0</v>
      </c>
      <c r="I2442">
        <f>IFERROR(HLOOKUP(I$2,[74]table_male_hkom1_inj.ill_X7!$A$1:$K$36,24,FALSE),0)</f>
        <v>0</v>
      </c>
      <c r="J2442">
        <f>IFERROR(HLOOKUP(J$2,[74]table_male_hkom1_inj.ill_X7!$A$1:$K$36,24,FALSE),0)</f>
        <v>0</v>
      </c>
      <c r="K2442">
        <f>IFERROR(HLOOKUP(K$2,[74]table_male_hkom1_inj.ill_X7!$A$1:$K$36,24,FALSE),0)</f>
        <v>0</v>
      </c>
      <c r="L2442">
        <f>IFERROR(HLOOKUP(L$2,[74]table_male_hkom1_inj.ill_X7!$A$1:$K$36,24,FALSE),0)</f>
        <v>0</v>
      </c>
      <c r="M2442">
        <f t="shared" si="759"/>
        <v>0</v>
      </c>
      <c r="S2442" t="s">
        <v>92</v>
      </c>
      <c r="T2442" s="5">
        <f t="shared" si="760"/>
        <v>0</v>
      </c>
      <c r="U2442" s="5">
        <f t="shared" si="761"/>
        <v>0</v>
      </c>
      <c r="V2442" s="5">
        <f t="shared" si="762"/>
        <v>0</v>
      </c>
      <c r="W2442" s="5">
        <f t="shared" si="763"/>
        <v>0</v>
      </c>
      <c r="X2442" s="5">
        <f t="shared" si="764"/>
        <v>0</v>
      </c>
      <c r="Y2442" s="5">
        <f t="shared" si="765"/>
        <v>0</v>
      </c>
      <c r="Z2442" s="5">
        <f t="shared" si="766"/>
        <v>0</v>
      </c>
      <c r="AA2442" s="5">
        <f t="shared" si="767"/>
        <v>0</v>
      </c>
      <c r="AB2442" s="5">
        <f t="shared" si="757"/>
        <v>0</v>
      </c>
    </row>
    <row r="2443" spans="4:28" x14ac:dyDescent="0.25">
      <c r="D2443" t="s">
        <v>93</v>
      </c>
      <c r="E2443" s="14"/>
      <c r="F2443" s="14"/>
      <c r="G2443">
        <f>IFERROR(HLOOKUP(G$2,[74]table_male_hkom1_inj.ill_X7!$A$1:$K$36,25,FALSE),0)</f>
        <v>0</v>
      </c>
      <c r="H2443">
        <f>IFERROR(HLOOKUP(H$2,[74]table_male_hkom1_inj.ill_X7!$A$1:$K$36,25,FALSE),0)</f>
        <v>0</v>
      </c>
      <c r="I2443">
        <f>IFERROR(HLOOKUP(I$2,[74]table_male_hkom1_inj.ill_X7!$A$1:$K$36,25,FALSE),0)</f>
        <v>0</v>
      </c>
      <c r="J2443">
        <f>IFERROR(HLOOKUP(J$2,[74]table_male_hkom1_inj.ill_X7!$A$1:$K$36,25,FALSE),0)</f>
        <v>0</v>
      </c>
      <c r="K2443">
        <f>IFERROR(HLOOKUP(K$2,[74]table_male_hkom1_inj.ill_X7!$A$1:$K$36,25,FALSE),0)</f>
        <v>0</v>
      </c>
      <c r="L2443">
        <f>IFERROR(HLOOKUP(L$2,[74]table_male_hkom1_inj.ill_X7!$A$1:$K$36,25,FALSE),0)</f>
        <v>0</v>
      </c>
      <c r="M2443">
        <f t="shared" si="759"/>
        <v>0</v>
      </c>
      <c r="S2443" t="s">
        <v>93</v>
      </c>
      <c r="T2443" s="5">
        <f t="shared" si="760"/>
        <v>0</v>
      </c>
      <c r="U2443" s="5">
        <f t="shared" si="761"/>
        <v>0</v>
      </c>
      <c r="V2443" s="5">
        <f t="shared" si="762"/>
        <v>0</v>
      </c>
      <c r="W2443" s="5">
        <f t="shared" si="763"/>
        <v>0</v>
      </c>
      <c r="X2443" s="5">
        <f t="shared" si="764"/>
        <v>0</v>
      </c>
      <c r="Y2443" s="5">
        <f t="shared" si="765"/>
        <v>0</v>
      </c>
      <c r="Z2443" s="5">
        <f t="shared" si="766"/>
        <v>0</v>
      </c>
      <c r="AA2443" s="5">
        <f t="shared" si="767"/>
        <v>0</v>
      </c>
      <c r="AB2443" s="5">
        <f t="shared" si="757"/>
        <v>0</v>
      </c>
    </row>
    <row r="2444" spans="4:28" x14ac:dyDescent="0.25">
      <c r="D2444" t="s">
        <v>94</v>
      </c>
      <c r="E2444" s="14"/>
      <c r="F2444" s="14"/>
      <c r="G2444">
        <f>IFERROR(HLOOKUP(G$2,[74]table_male_hkom1_inj.ill_X7!$A$1:$K$36,26,FALSE),0)</f>
        <v>0</v>
      </c>
      <c r="H2444">
        <f>IFERROR(HLOOKUP(H$2,[74]table_male_hkom1_inj.ill_X7!$A$1:$K$36,26,FALSE),0)</f>
        <v>0</v>
      </c>
      <c r="I2444">
        <f>IFERROR(HLOOKUP(I$2,[74]table_male_hkom1_inj.ill_X7!$A$1:$K$36,26,FALSE),0)</f>
        <v>0</v>
      </c>
      <c r="J2444">
        <f>IFERROR(HLOOKUP(J$2,[74]table_male_hkom1_inj.ill_X7!$A$1:$K$36,26,FALSE),0)</f>
        <v>0</v>
      </c>
      <c r="K2444">
        <f>IFERROR(HLOOKUP(K$2,[74]table_male_hkom1_inj.ill_X7!$A$1:$K$36,26,FALSE),0)</f>
        <v>0</v>
      </c>
      <c r="L2444">
        <f>IFERROR(HLOOKUP(L$2,[74]table_male_hkom1_inj.ill_X7!$A$1:$K$36,26,FALSE),0)</f>
        <v>0</v>
      </c>
      <c r="M2444">
        <f t="shared" si="759"/>
        <v>0</v>
      </c>
      <c r="S2444" t="s">
        <v>94</v>
      </c>
      <c r="T2444" s="5">
        <f t="shared" si="760"/>
        <v>0</v>
      </c>
      <c r="U2444" s="5">
        <f t="shared" si="761"/>
        <v>0</v>
      </c>
      <c r="V2444" s="5">
        <f t="shared" si="762"/>
        <v>0</v>
      </c>
      <c r="W2444" s="5">
        <f t="shared" si="763"/>
        <v>0</v>
      </c>
      <c r="X2444" s="5">
        <f t="shared" si="764"/>
        <v>0</v>
      </c>
      <c r="Y2444" s="5">
        <f t="shared" si="765"/>
        <v>0</v>
      </c>
      <c r="Z2444" s="5">
        <f t="shared" si="766"/>
        <v>0</v>
      </c>
      <c r="AA2444" s="5">
        <f t="shared" si="767"/>
        <v>0</v>
      </c>
      <c r="AB2444" s="5">
        <f t="shared" si="757"/>
        <v>0</v>
      </c>
    </row>
    <row r="2445" spans="4:28" x14ac:dyDescent="0.25">
      <c r="D2445" t="s">
        <v>95</v>
      </c>
      <c r="E2445" s="14"/>
      <c r="F2445" s="14"/>
      <c r="G2445">
        <f>IFERROR(HLOOKUP(G$2,[74]table_male_hkom1_inj.ill_X7!$A$1:$K$36,27,FALSE),0)</f>
        <v>0</v>
      </c>
      <c r="H2445">
        <f>IFERROR(HLOOKUP(H$2,[74]table_male_hkom1_inj.ill_X7!$A$1:$K$36,27,FALSE),0)</f>
        <v>0</v>
      </c>
      <c r="I2445">
        <f>IFERROR(HLOOKUP(I$2,[74]table_male_hkom1_inj.ill_X7!$A$1:$K$36,27,FALSE),0)</f>
        <v>0</v>
      </c>
      <c r="J2445">
        <f>IFERROR(HLOOKUP(J$2,[74]table_male_hkom1_inj.ill_X7!$A$1:$K$36,27,FALSE),0)</f>
        <v>0</v>
      </c>
      <c r="K2445">
        <f>IFERROR(HLOOKUP(K$2,[74]table_male_hkom1_inj.ill_X7!$A$1:$K$36,27,FALSE),0)</f>
        <v>0</v>
      </c>
      <c r="L2445">
        <f>IFERROR(HLOOKUP(L$2,[74]table_male_hkom1_inj.ill_X7!$A$1:$K$36,27,FALSE),0)</f>
        <v>0</v>
      </c>
      <c r="M2445">
        <f t="shared" si="759"/>
        <v>0</v>
      </c>
      <c r="S2445" t="s">
        <v>95</v>
      </c>
      <c r="T2445" s="5">
        <f t="shared" si="760"/>
        <v>0</v>
      </c>
      <c r="U2445" s="5">
        <f t="shared" si="761"/>
        <v>0</v>
      </c>
      <c r="V2445" s="5">
        <f t="shared" si="762"/>
        <v>0</v>
      </c>
      <c r="W2445" s="5">
        <f t="shared" si="763"/>
        <v>0</v>
      </c>
      <c r="X2445" s="5">
        <f t="shared" si="764"/>
        <v>0</v>
      </c>
      <c r="Y2445" s="5">
        <f t="shared" si="765"/>
        <v>0</v>
      </c>
      <c r="Z2445" s="5">
        <f t="shared" si="766"/>
        <v>0</v>
      </c>
      <c r="AA2445" s="5">
        <f t="shared" si="767"/>
        <v>0</v>
      </c>
      <c r="AB2445" s="5">
        <f t="shared" si="757"/>
        <v>0</v>
      </c>
    </row>
    <row r="2446" spans="4:28" x14ac:dyDescent="0.25">
      <c r="D2446" t="s">
        <v>96</v>
      </c>
      <c r="E2446" s="14"/>
      <c r="F2446" s="14"/>
      <c r="G2446">
        <f>IFERROR(HLOOKUP(G$2,[74]table_male_hkom1_inj.ill_X7!$A$1:$K$36,28,FALSE),0)</f>
        <v>0</v>
      </c>
      <c r="H2446">
        <f>IFERROR(HLOOKUP(H$2,[74]table_male_hkom1_inj.ill_X7!$A$1:$K$36,28,FALSE),0)</f>
        <v>1</v>
      </c>
      <c r="I2446">
        <f>IFERROR(HLOOKUP(I$2,[74]table_male_hkom1_inj.ill_X7!$A$1:$K$36,28,FALSE),0)</f>
        <v>0</v>
      </c>
      <c r="J2446">
        <f>IFERROR(HLOOKUP(J$2,[74]table_male_hkom1_inj.ill_X7!$A$1:$K$36,28,FALSE),0)</f>
        <v>0</v>
      </c>
      <c r="K2446">
        <f>IFERROR(HLOOKUP(K$2,[74]table_male_hkom1_inj.ill_X7!$A$1:$K$36,28,FALSE),0)</f>
        <v>0</v>
      </c>
      <c r="L2446">
        <f>IFERROR(HLOOKUP(L$2,[74]table_male_hkom1_inj.ill_X7!$A$1:$K$36,28,FALSE),0)</f>
        <v>0</v>
      </c>
      <c r="M2446">
        <f t="shared" si="759"/>
        <v>1</v>
      </c>
      <c r="S2446" t="s">
        <v>96</v>
      </c>
      <c r="T2446" s="5">
        <f t="shared" si="760"/>
        <v>0</v>
      </c>
      <c r="U2446" s="5">
        <f t="shared" si="761"/>
        <v>0</v>
      </c>
      <c r="V2446" s="5">
        <f t="shared" si="762"/>
        <v>0</v>
      </c>
      <c r="W2446" s="5">
        <f t="shared" si="763"/>
        <v>1.2666666666666666</v>
      </c>
      <c r="X2446" s="5">
        <f t="shared" si="764"/>
        <v>0</v>
      </c>
      <c r="Y2446" s="5">
        <f t="shared" si="765"/>
        <v>0</v>
      </c>
      <c r="Z2446" s="5">
        <f t="shared" si="766"/>
        <v>0</v>
      </c>
      <c r="AA2446" s="5">
        <f t="shared" si="767"/>
        <v>0</v>
      </c>
      <c r="AB2446" s="5">
        <f t="shared" si="757"/>
        <v>1.2666666666666666</v>
      </c>
    </row>
    <row r="2447" spans="4:28" x14ac:dyDescent="0.25">
      <c r="D2447" t="s">
        <v>97</v>
      </c>
      <c r="E2447" s="14"/>
      <c r="F2447" s="14"/>
      <c r="G2447">
        <f>IFERROR(HLOOKUP(G$2,[74]table_male_hkom1_inj.ill_X7!$A$1:$K$36,29,FALSE),0)</f>
        <v>0</v>
      </c>
      <c r="H2447">
        <f>IFERROR(HLOOKUP(H$2,[74]table_male_hkom1_inj.ill_X7!$A$1:$K$36,29,FALSE),0)</f>
        <v>0</v>
      </c>
      <c r="I2447">
        <f>IFERROR(HLOOKUP(I$2,[74]table_male_hkom1_inj.ill_X7!$A$1:$K$36,29,FALSE),0)</f>
        <v>0</v>
      </c>
      <c r="J2447">
        <f>IFERROR(HLOOKUP(J$2,[74]table_male_hkom1_inj.ill_X7!$A$1:$K$36,29,FALSE),0)</f>
        <v>0</v>
      </c>
      <c r="K2447">
        <f>IFERROR(HLOOKUP(K$2,[74]table_male_hkom1_inj.ill_X7!$A$1:$K$36,29,FALSE),0)</f>
        <v>0</v>
      </c>
      <c r="L2447">
        <f>IFERROR(HLOOKUP(L$2,[74]table_male_hkom1_inj.ill_X7!$A$1:$K$36,29,FALSE),0)</f>
        <v>0</v>
      </c>
      <c r="M2447">
        <f t="shared" si="759"/>
        <v>0</v>
      </c>
      <c r="S2447" t="s">
        <v>97</v>
      </c>
      <c r="T2447" s="5">
        <f t="shared" si="760"/>
        <v>0</v>
      </c>
      <c r="U2447" s="5">
        <f t="shared" si="761"/>
        <v>0</v>
      </c>
      <c r="V2447" s="5">
        <f t="shared" si="762"/>
        <v>0</v>
      </c>
      <c r="W2447" s="5">
        <f t="shared" si="763"/>
        <v>0</v>
      </c>
      <c r="X2447" s="5">
        <f t="shared" si="764"/>
        <v>0</v>
      </c>
      <c r="Y2447" s="5">
        <f t="shared" si="765"/>
        <v>0</v>
      </c>
      <c r="Z2447" s="5">
        <f t="shared" si="766"/>
        <v>0</v>
      </c>
      <c r="AA2447" s="5">
        <f t="shared" si="767"/>
        <v>0</v>
      </c>
      <c r="AB2447" s="5">
        <f t="shared" si="757"/>
        <v>0</v>
      </c>
    </row>
    <row r="2448" spans="4:28" x14ac:dyDescent="0.25">
      <c r="D2448" t="s">
        <v>98</v>
      </c>
      <c r="E2448" s="14"/>
      <c r="F2448" s="14"/>
      <c r="G2448">
        <f>IFERROR(HLOOKUP(G$2,[74]table_male_hkom1_inj.ill_X7!$A$1:$K$36,30,FALSE),0)</f>
        <v>0</v>
      </c>
      <c r="H2448">
        <f>IFERROR(HLOOKUP(H$2,[74]table_male_hkom1_inj.ill_X7!$A$1:$K$36,30,FALSE),0)</f>
        <v>0</v>
      </c>
      <c r="I2448">
        <f>IFERROR(HLOOKUP(I$2,[74]table_male_hkom1_inj.ill_X7!$A$1:$K$36,30,FALSE),0)</f>
        <v>0</v>
      </c>
      <c r="J2448">
        <f>IFERROR(HLOOKUP(J$2,[74]table_male_hkom1_inj.ill_X7!$A$1:$K$36,30,FALSE),0)</f>
        <v>0</v>
      </c>
      <c r="K2448">
        <f>IFERROR(HLOOKUP(K$2,[74]table_male_hkom1_inj.ill_X7!$A$1:$K$36,30,FALSE),0)</f>
        <v>0</v>
      </c>
      <c r="L2448">
        <f>IFERROR(HLOOKUP(L$2,[74]table_male_hkom1_inj.ill_X7!$A$1:$K$36,30,FALSE),0)</f>
        <v>0</v>
      </c>
      <c r="M2448">
        <f t="shared" si="759"/>
        <v>0</v>
      </c>
      <c r="S2448" t="s">
        <v>98</v>
      </c>
      <c r="T2448" s="5">
        <f t="shared" si="760"/>
        <v>0</v>
      </c>
      <c r="U2448" s="5">
        <f t="shared" si="761"/>
        <v>0</v>
      </c>
      <c r="V2448" s="5">
        <f t="shared" si="762"/>
        <v>0</v>
      </c>
      <c r="W2448" s="5">
        <f t="shared" si="763"/>
        <v>0</v>
      </c>
      <c r="X2448" s="5">
        <f t="shared" si="764"/>
        <v>0</v>
      </c>
      <c r="Y2448" s="5">
        <f t="shared" si="765"/>
        <v>0</v>
      </c>
      <c r="Z2448" s="5">
        <f t="shared" si="766"/>
        <v>0</v>
      </c>
      <c r="AA2448" s="5">
        <f t="shared" si="767"/>
        <v>0</v>
      </c>
      <c r="AB2448" s="5">
        <f t="shared" si="757"/>
        <v>0</v>
      </c>
    </row>
    <row r="2449" spans="1:29" x14ac:dyDescent="0.25">
      <c r="D2449" t="s">
        <v>119</v>
      </c>
      <c r="E2449" s="14"/>
      <c r="F2449" s="14"/>
      <c r="G2449">
        <f>IFERROR(HLOOKUP(G$2,[74]table_male_hkom1_inj.ill_X7!$A$1:$K$36,31,FALSE),0)</f>
        <v>0</v>
      </c>
      <c r="H2449">
        <f>IFERROR(HLOOKUP(H$2,[74]table_male_hkom1_inj.ill_X7!$A$1:$K$36,31,FALSE),0)</f>
        <v>0</v>
      </c>
      <c r="I2449">
        <f>IFERROR(HLOOKUP(I$2,[74]table_male_hkom1_inj.ill_X7!$A$1:$K$36,31,FALSE),0)</f>
        <v>0</v>
      </c>
      <c r="J2449">
        <f>IFERROR(HLOOKUP(J$2,[74]table_male_hkom1_inj.ill_X7!$A$1:$K$36,31,FALSE),0)</f>
        <v>0</v>
      </c>
      <c r="K2449">
        <f>IFERROR(HLOOKUP(K$2,[74]table_male_hkom1_inj.ill_X7!$A$1:$K$36,31,FALSE),0)</f>
        <v>0</v>
      </c>
      <c r="L2449">
        <f>IFERROR(HLOOKUP(L$2,[74]table_male_hkom1_inj.ill_X7!$A$1:$K$36,31,FALSE),0)</f>
        <v>0</v>
      </c>
      <c r="M2449">
        <f t="shared" si="759"/>
        <v>0</v>
      </c>
      <c r="S2449" t="s">
        <v>119</v>
      </c>
      <c r="T2449" s="5">
        <f t="shared" si="760"/>
        <v>0</v>
      </c>
      <c r="U2449" s="5">
        <f t="shared" si="761"/>
        <v>0</v>
      </c>
      <c r="V2449" s="5">
        <f t="shared" si="762"/>
        <v>0</v>
      </c>
      <c r="W2449" s="5">
        <f t="shared" si="763"/>
        <v>0</v>
      </c>
      <c r="X2449" s="5">
        <f t="shared" si="764"/>
        <v>0</v>
      </c>
      <c r="Y2449" s="5">
        <f t="shared" si="765"/>
        <v>0</v>
      </c>
      <c r="Z2449" s="5">
        <f t="shared" si="766"/>
        <v>0</v>
      </c>
      <c r="AA2449" s="5">
        <f t="shared" si="767"/>
        <v>0</v>
      </c>
      <c r="AB2449" s="5">
        <f t="shared" si="757"/>
        <v>0</v>
      </c>
    </row>
    <row r="2450" spans="1:29" x14ac:dyDescent="0.25">
      <c r="D2450" t="s">
        <v>99</v>
      </c>
      <c r="E2450" s="14"/>
      <c r="F2450" s="14"/>
      <c r="G2450">
        <f>IFERROR(HLOOKUP(G$2,[74]table_male_hkom1_inj.ill_X7!$A$1:$K$36,32,FALSE),0)</f>
        <v>1</v>
      </c>
      <c r="H2450">
        <f>IFERROR(HLOOKUP(H$2,[74]table_male_hkom1_inj.ill_X7!$A$1:$K$36,32,FALSE),0)</f>
        <v>1</v>
      </c>
      <c r="I2450">
        <f>IFERROR(HLOOKUP(I$2,[74]table_male_hkom1_inj.ill_X7!$A$1:$K$36,32,FALSE),0)</f>
        <v>0</v>
      </c>
      <c r="J2450">
        <f>IFERROR(HLOOKUP(J$2,[74]table_male_hkom1_inj.ill_X7!$A$1:$K$36,32,FALSE),0)</f>
        <v>0</v>
      </c>
      <c r="K2450">
        <f>IFERROR(HLOOKUP(K$2,[74]table_male_hkom1_inj.ill_X7!$A$1:$K$36,32,FALSE),0)</f>
        <v>0</v>
      </c>
      <c r="L2450">
        <f>IFERROR(HLOOKUP(L$2,[74]table_male_hkom1_inj.ill_X7!$A$1:$K$36,32,FALSE),0)</f>
        <v>0</v>
      </c>
      <c r="M2450">
        <f t="shared" si="759"/>
        <v>2</v>
      </c>
      <c r="S2450" t="s">
        <v>99</v>
      </c>
      <c r="T2450" s="5">
        <f t="shared" si="760"/>
        <v>0</v>
      </c>
      <c r="U2450" s="5">
        <f t="shared" si="761"/>
        <v>0</v>
      </c>
      <c r="V2450" s="5">
        <f t="shared" si="762"/>
        <v>1.25</v>
      </c>
      <c r="W2450" s="5">
        <f t="shared" si="763"/>
        <v>1.2666666666666666</v>
      </c>
      <c r="X2450" s="5">
        <f t="shared" si="764"/>
        <v>0</v>
      </c>
      <c r="Y2450" s="5">
        <f t="shared" si="765"/>
        <v>0</v>
      </c>
      <c r="Z2450" s="5">
        <f t="shared" si="766"/>
        <v>0</v>
      </c>
      <c r="AA2450" s="5">
        <f t="shared" si="767"/>
        <v>0</v>
      </c>
      <c r="AB2450" s="5">
        <f t="shared" si="757"/>
        <v>2.5166666666666666</v>
      </c>
    </row>
    <row r="2451" spans="1:29" x14ac:dyDescent="0.25">
      <c r="D2451" t="s">
        <v>100</v>
      </c>
      <c r="E2451" s="14"/>
      <c r="F2451" s="14"/>
      <c r="G2451">
        <f>IFERROR(HLOOKUP(G$2,[74]table_male_hkom1_inj.ill_X7!$A$1:$K$36,33,FALSE),0)</f>
        <v>0</v>
      </c>
      <c r="H2451">
        <f>IFERROR(HLOOKUP(H$2,[74]table_male_hkom1_inj.ill_X7!$A$1:$K$36,33,FALSE),0)</f>
        <v>0</v>
      </c>
      <c r="I2451">
        <f>IFERROR(HLOOKUP(I$2,[74]table_male_hkom1_inj.ill_X7!$A$1:$K$36,33,FALSE),0)</f>
        <v>1</v>
      </c>
      <c r="J2451">
        <f>IFERROR(HLOOKUP(J$2,[74]table_male_hkom1_inj.ill_X7!$A$1:$K$36,33,FALSE),0)</f>
        <v>0</v>
      </c>
      <c r="K2451">
        <f>IFERROR(HLOOKUP(K$2,[74]table_male_hkom1_inj.ill_X7!$A$1:$K$36,33,FALSE),0)</f>
        <v>0</v>
      </c>
      <c r="L2451">
        <f>IFERROR(HLOOKUP(L$2,[74]table_male_hkom1_inj.ill_X7!$A$1:$K$36,33,FALSE),0)</f>
        <v>0</v>
      </c>
      <c r="M2451">
        <f t="shared" si="759"/>
        <v>1</v>
      </c>
      <c r="S2451" t="s">
        <v>100</v>
      </c>
      <c r="T2451" s="5">
        <f t="shared" si="760"/>
        <v>0</v>
      </c>
      <c r="U2451" s="5">
        <f t="shared" si="761"/>
        <v>0</v>
      </c>
      <c r="V2451" s="5">
        <f t="shared" si="762"/>
        <v>0</v>
      </c>
      <c r="W2451" s="5">
        <f t="shared" si="763"/>
        <v>0</v>
      </c>
      <c r="X2451" s="5">
        <f t="shared" si="764"/>
        <v>1</v>
      </c>
      <c r="Y2451" s="5">
        <f t="shared" si="765"/>
        <v>0</v>
      </c>
      <c r="Z2451" s="5">
        <f t="shared" si="766"/>
        <v>0</v>
      </c>
      <c r="AA2451" s="5">
        <f t="shared" si="767"/>
        <v>0</v>
      </c>
      <c r="AB2451" s="5">
        <f t="shared" si="757"/>
        <v>1</v>
      </c>
    </row>
    <row r="2452" spans="1:29" x14ac:dyDescent="0.25">
      <c r="D2452" t="s">
        <v>101</v>
      </c>
      <c r="E2452" s="14"/>
      <c r="F2452" s="14"/>
      <c r="G2452">
        <f>IFERROR(HLOOKUP(G$2,[74]table_male_hkom1_inj.ill_X7!$A$1:$K$36,34,FALSE),0)</f>
        <v>1</v>
      </c>
      <c r="H2452">
        <f>IFERROR(HLOOKUP(H$2,[74]table_male_hkom1_inj.ill_X7!$A$1:$K$36,34,FALSE),0)</f>
        <v>2</v>
      </c>
      <c r="I2452">
        <f>IFERROR(HLOOKUP(I$2,[74]table_male_hkom1_inj.ill_X7!$A$1:$K$36,34,FALSE),0)</f>
        <v>0</v>
      </c>
      <c r="J2452">
        <f>IFERROR(HLOOKUP(J$2,[74]table_male_hkom1_inj.ill_X7!$A$1:$K$36,34,FALSE),0)</f>
        <v>0</v>
      </c>
      <c r="K2452">
        <f>IFERROR(HLOOKUP(K$2,[74]table_male_hkom1_inj.ill_X7!$A$1:$K$36,34,FALSE),0)</f>
        <v>0</v>
      </c>
      <c r="L2452">
        <f>IFERROR(HLOOKUP(L$2,[74]table_male_hkom1_inj.ill_X7!$A$1:$K$36,34,FALSE),0)</f>
        <v>0</v>
      </c>
      <c r="M2452">
        <f t="shared" si="759"/>
        <v>3</v>
      </c>
      <c r="S2452" t="s">
        <v>101</v>
      </c>
      <c r="T2452" s="5">
        <f t="shared" si="760"/>
        <v>0</v>
      </c>
      <c r="U2452" s="5">
        <f t="shared" si="761"/>
        <v>0</v>
      </c>
      <c r="V2452" s="5">
        <f t="shared" si="762"/>
        <v>1.25</v>
      </c>
      <c r="W2452" s="5">
        <f t="shared" si="763"/>
        <v>2.5333333333333332</v>
      </c>
      <c r="X2452" s="5">
        <f t="shared" si="764"/>
        <v>0</v>
      </c>
      <c r="Y2452" s="5">
        <f t="shared" si="765"/>
        <v>0</v>
      </c>
      <c r="Z2452" s="5">
        <f t="shared" si="766"/>
        <v>0</v>
      </c>
      <c r="AA2452" s="5">
        <f t="shared" si="767"/>
        <v>0</v>
      </c>
      <c r="AB2452" s="5">
        <f t="shared" si="757"/>
        <v>3.7833333333333332</v>
      </c>
    </row>
    <row r="2453" spans="1:29" x14ac:dyDescent="0.25">
      <c r="D2453" t="s">
        <v>102</v>
      </c>
      <c r="E2453" s="14"/>
      <c r="F2453" s="14"/>
      <c r="G2453">
        <f>IFERROR(HLOOKUP(G$2,[74]table_male_hkom1_inj.ill_X7!$A$1:$K$36,35,FALSE),0)</f>
        <v>2</v>
      </c>
      <c r="H2453">
        <f>IFERROR(HLOOKUP(H$2,[74]table_male_hkom1_inj.ill_X7!$A$1:$K$36,35,FALSE),0)</f>
        <v>4</v>
      </c>
      <c r="I2453">
        <f>IFERROR(HLOOKUP(I$2,[74]table_male_hkom1_inj.ill_X7!$A$1:$K$36,35,FALSE),0)</f>
        <v>0</v>
      </c>
      <c r="J2453">
        <f>IFERROR(HLOOKUP(J$2,[74]table_male_hkom1_inj.ill_X7!$A$1:$K$36,35,FALSE),0)</f>
        <v>0</v>
      </c>
      <c r="K2453">
        <f>IFERROR(HLOOKUP(K$2,[74]table_male_hkom1_inj.ill_X7!$A$1:$K$36,35,FALSE),0)</f>
        <v>0</v>
      </c>
      <c r="L2453">
        <f>IFERROR(HLOOKUP(L$2,[74]table_male_hkom1_inj.ill_X7!$A$1:$K$36,35,FALSE),0)</f>
        <v>0</v>
      </c>
      <c r="M2453">
        <f t="shared" si="759"/>
        <v>6</v>
      </c>
      <c r="N2453">
        <f>SUM(M2420:M2453)</f>
        <v>32</v>
      </c>
      <c r="O2453" s="8">
        <f>SUM([74]table_male_hkom1_inj.ill_X7!$B$2:$L$37)</f>
        <v>32</v>
      </c>
      <c r="S2453" t="s">
        <v>102</v>
      </c>
      <c r="T2453" s="7"/>
      <c r="U2453" s="7"/>
      <c r="V2453" s="7"/>
      <c r="W2453" s="7"/>
      <c r="X2453" s="7"/>
      <c r="Y2453" s="7"/>
      <c r="Z2453" s="7"/>
      <c r="AA2453" s="7"/>
      <c r="AB2453" s="5">
        <f t="shared" si="757"/>
        <v>0</v>
      </c>
      <c r="AC2453" s="5">
        <f>SUM(AB2420:AB2452)</f>
        <v>31.999999999999993</v>
      </c>
    </row>
    <row r="2454" spans="1:29" x14ac:dyDescent="0.25">
      <c r="A2454" t="s">
        <v>104</v>
      </c>
      <c r="B2454" t="s">
        <v>103</v>
      </c>
      <c r="C2454" t="s">
        <v>130</v>
      </c>
      <c r="D2454" t="s">
        <v>70</v>
      </c>
      <c r="E2454" s="14"/>
      <c r="F2454" s="14"/>
      <c r="G2454">
        <f>IFERROR(HLOOKUP(G$2,[75]table_male_hkom1_inj.ill_X8!$A$1:$K$36,2,FALSE),0)</f>
        <v>0</v>
      </c>
      <c r="H2454">
        <f>IFERROR(HLOOKUP(H$2,[75]table_male_hkom1_inj.ill_X8!$A$1:$K$36,2,FALSE),0)</f>
        <v>0</v>
      </c>
      <c r="I2454">
        <f>IFERROR(HLOOKUP(I$2,[75]table_male_hkom1_inj.ill_X8!$A$1:$K$36,2,FALSE),0)</f>
        <v>0</v>
      </c>
      <c r="J2454">
        <f>IFERROR(HLOOKUP(J$2,[75]table_male_hkom1_inj.ill_X8!$A$1:$K$36,2,FALSE),0)</f>
        <v>0</v>
      </c>
      <c r="K2454">
        <f>IFERROR(HLOOKUP(K$2,[75]table_male_hkom1_inj.ill_X8!$A$1:$K$36,2,FALSE),0)</f>
        <v>0</v>
      </c>
      <c r="L2454">
        <f>IFERROR(HLOOKUP(L$2,[75]table_male_hkom1_inj.ill_X8!$A$1:$K$36,2,FALSE),0)</f>
        <v>0</v>
      </c>
      <c r="M2454">
        <f>SUM(E2454:L2454)</f>
        <v>0</v>
      </c>
      <c r="P2454" t="s">
        <v>104</v>
      </c>
      <c r="Q2454" t="s">
        <v>103</v>
      </c>
      <c r="R2454" t="s">
        <v>130</v>
      </c>
      <c r="S2454" t="s">
        <v>70</v>
      </c>
      <c r="T2454" s="5">
        <f>IF(SUM(E$2454:E$2486)=0,E$2487/33,E2454+IFERROR(E2454/SUM(E$2454:E$2486)*E$2487,0))</f>
        <v>0</v>
      </c>
      <c r="U2454" s="5">
        <f t="shared" ref="U2454:AA2454" si="768">IF(SUM(F$2454:F$2486)=0,F$2487/33,F2454+IFERROR(F2454/SUM(F$2454:F$2486)*F$2487,0))</f>
        <v>0</v>
      </c>
      <c r="V2454" s="5">
        <f t="shared" si="768"/>
        <v>0</v>
      </c>
      <c r="W2454" s="5">
        <f t="shared" si="768"/>
        <v>0</v>
      </c>
      <c r="X2454" s="5">
        <f t="shared" si="768"/>
        <v>0</v>
      </c>
      <c r="Y2454" s="5">
        <f t="shared" si="768"/>
        <v>0</v>
      </c>
      <c r="Z2454" s="5">
        <f t="shared" si="768"/>
        <v>0</v>
      </c>
      <c r="AA2454" s="5">
        <f t="shared" si="768"/>
        <v>0</v>
      </c>
      <c r="AB2454" s="5">
        <f t="shared" si="757"/>
        <v>0</v>
      </c>
    </row>
    <row r="2455" spans="1:29" x14ac:dyDescent="0.25">
      <c r="D2455" t="s">
        <v>71</v>
      </c>
      <c r="E2455" s="14"/>
      <c r="F2455" s="14"/>
      <c r="G2455">
        <f>IFERROR(HLOOKUP(G$2,[75]table_male_hkom1_inj.ill_X8!$A$1:$K$36,3,FALSE),0)</f>
        <v>1</v>
      </c>
      <c r="H2455">
        <f>IFERROR(HLOOKUP(H$2,[75]table_male_hkom1_inj.ill_X8!$A$1:$K$36,3,FALSE),0)</f>
        <v>0</v>
      </c>
      <c r="I2455">
        <f>IFERROR(HLOOKUP(I$2,[75]table_male_hkom1_inj.ill_X8!$A$1:$K$36,3,FALSE),0)</f>
        <v>0</v>
      </c>
      <c r="J2455">
        <f>IFERROR(HLOOKUP(J$2,[75]table_male_hkom1_inj.ill_X8!$A$1:$K$36,3,FALSE),0)</f>
        <v>0</v>
      </c>
      <c r="K2455">
        <f>IFERROR(HLOOKUP(K$2,[75]table_male_hkom1_inj.ill_X8!$A$1:$K$36,3,FALSE),0)</f>
        <v>0</v>
      </c>
      <c r="L2455">
        <f>IFERROR(HLOOKUP(L$2,[75]table_male_hkom1_inj.ill_X8!$A$1:$K$36,3,FALSE),0)</f>
        <v>0</v>
      </c>
      <c r="M2455">
        <f t="shared" ref="M2455:M2487" si="769">SUM(E2455:L2455)</f>
        <v>1</v>
      </c>
      <c r="S2455" t="s">
        <v>71</v>
      </c>
      <c r="T2455" s="5">
        <f t="shared" ref="T2455:T2486" si="770">IF(SUM(E$2454:E$2486)=0,E$2487/33,E2455+IFERROR(E2455/SUM(E$2454:E$2486)*E$2487,0))</f>
        <v>0</v>
      </c>
      <c r="U2455" s="5">
        <f t="shared" ref="U2455:U2486" si="771">IF(SUM(F$2454:F$2486)=0,F$2487/33,F2455+IFERROR(F2455/SUM(F$2454:F$2486)*F$2487,0))</f>
        <v>0</v>
      </c>
      <c r="V2455" s="5">
        <f t="shared" ref="V2455:V2486" si="772">IF(SUM(G$2454:G$2486)=0,G$2487/33,G2455+IFERROR(G2455/SUM(G$2454:G$2486)*G$2487,0))</f>
        <v>3</v>
      </c>
      <c r="W2455" s="5">
        <f t="shared" ref="W2455:W2486" si="773">IF(SUM(H$2454:H$2486)=0,H$2487/33,H2455+IFERROR(H2455/SUM(H$2454:H$2486)*H$2487,0))</f>
        <v>0</v>
      </c>
      <c r="X2455" s="5">
        <f t="shared" ref="X2455:X2486" si="774">IF(SUM(I$2454:I$2486)=0,I$2487/33,I2455+IFERROR(I2455/SUM(I$2454:I$2486)*I$2487,0))</f>
        <v>0</v>
      </c>
      <c r="Y2455" s="5">
        <f t="shared" ref="Y2455:Y2486" si="775">IF(SUM(J$2454:J$2486)=0,J$2487/33,J2455+IFERROR(J2455/SUM(J$2454:J$2486)*J$2487,0))</f>
        <v>0</v>
      </c>
      <c r="Z2455" s="5">
        <f t="shared" ref="Z2455:Z2486" si="776">IF(SUM(K$2454:K$2486)=0,K$2487/33,K2455+IFERROR(K2455/SUM(K$2454:K$2486)*K$2487,0))</f>
        <v>0</v>
      </c>
      <c r="AA2455" s="5">
        <f t="shared" ref="AA2455:AA2486" si="777">IF(SUM(L$2454:L$2486)=0,L$2487/33,L2455+IFERROR(L2455/SUM(L$2454:L$2486)*L$2487,0))</f>
        <v>0</v>
      </c>
      <c r="AB2455" s="5">
        <f t="shared" si="757"/>
        <v>3</v>
      </c>
    </row>
    <row r="2456" spans="1:29" x14ac:dyDescent="0.25">
      <c r="D2456" t="s">
        <v>72</v>
      </c>
      <c r="E2456" s="14"/>
      <c r="F2456" s="14"/>
      <c r="G2456">
        <f>IFERROR(HLOOKUP(G$2,[75]table_male_hkom1_inj.ill_X8!$A$1:$K$36,4,FALSE),0)</f>
        <v>0</v>
      </c>
      <c r="H2456">
        <f>IFERROR(HLOOKUP(H$2,[75]table_male_hkom1_inj.ill_X8!$A$1:$K$36,4,FALSE),0)</f>
        <v>0</v>
      </c>
      <c r="I2456">
        <f>IFERROR(HLOOKUP(I$2,[75]table_male_hkom1_inj.ill_X8!$A$1:$K$36,4,FALSE),0)</f>
        <v>1</v>
      </c>
      <c r="J2456">
        <f>IFERROR(HLOOKUP(J$2,[75]table_male_hkom1_inj.ill_X8!$A$1:$K$36,4,FALSE),0)</f>
        <v>0</v>
      </c>
      <c r="K2456">
        <f>IFERROR(HLOOKUP(K$2,[75]table_male_hkom1_inj.ill_X8!$A$1:$K$36,4,FALSE),0)</f>
        <v>0</v>
      </c>
      <c r="L2456">
        <f>IFERROR(HLOOKUP(L$2,[75]table_male_hkom1_inj.ill_X8!$A$1:$K$36,4,FALSE),0)</f>
        <v>0</v>
      </c>
      <c r="M2456">
        <f t="shared" si="769"/>
        <v>1</v>
      </c>
      <c r="S2456" t="s">
        <v>72</v>
      </c>
      <c r="T2456" s="5">
        <f t="shared" si="770"/>
        <v>0</v>
      </c>
      <c r="U2456" s="5">
        <f t="shared" si="771"/>
        <v>0</v>
      </c>
      <c r="V2456" s="5">
        <f t="shared" si="772"/>
        <v>0</v>
      </c>
      <c r="W2456" s="5">
        <f t="shared" si="773"/>
        <v>0</v>
      </c>
      <c r="X2456" s="5">
        <f t="shared" si="774"/>
        <v>1.375</v>
      </c>
      <c r="Y2456" s="5">
        <f t="shared" si="775"/>
        <v>0</v>
      </c>
      <c r="Z2456" s="5">
        <f t="shared" si="776"/>
        <v>0</v>
      </c>
      <c r="AA2456" s="5">
        <f t="shared" si="777"/>
        <v>0</v>
      </c>
      <c r="AB2456" s="5">
        <f t="shared" si="757"/>
        <v>1.375</v>
      </c>
    </row>
    <row r="2457" spans="1:29" x14ac:dyDescent="0.25">
      <c r="D2457" t="s">
        <v>73</v>
      </c>
      <c r="E2457" s="14"/>
      <c r="F2457" s="14"/>
      <c r="G2457">
        <f>IFERROR(HLOOKUP(G$2,[75]table_male_hkom1_inj.ill_X8!$A$1:$K$36,5,FALSE),0)</f>
        <v>0</v>
      </c>
      <c r="H2457">
        <f>IFERROR(HLOOKUP(H$2,[75]table_male_hkom1_inj.ill_X8!$A$1:$K$36,5,FALSE),0)</f>
        <v>0</v>
      </c>
      <c r="I2457">
        <f>IFERROR(HLOOKUP(I$2,[75]table_male_hkom1_inj.ill_X8!$A$1:$K$36,5,FALSE),0)</f>
        <v>2</v>
      </c>
      <c r="J2457">
        <f>IFERROR(HLOOKUP(J$2,[75]table_male_hkom1_inj.ill_X8!$A$1:$K$36,5,FALSE),0)</f>
        <v>0</v>
      </c>
      <c r="K2457">
        <f>IFERROR(HLOOKUP(K$2,[75]table_male_hkom1_inj.ill_X8!$A$1:$K$36,5,FALSE),0)</f>
        <v>0</v>
      </c>
      <c r="L2457">
        <f>IFERROR(HLOOKUP(L$2,[75]table_male_hkom1_inj.ill_X8!$A$1:$K$36,5,FALSE),0)</f>
        <v>0</v>
      </c>
      <c r="M2457">
        <f t="shared" si="769"/>
        <v>2</v>
      </c>
      <c r="S2457" t="s">
        <v>73</v>
      </c>
      <c r="T2457" s="5">
        <f t="shared" si="770"/>
        <v>0</v>
      </c>
      <c r="U2457" s="5">
        <f t="shared" si="771"/>
        <v>0</v>
      </c>
      <c r="V2457" s="5">
        <f t="shared" si="772"/>
        <v>0</v>
      </c>
      <c r="W2457" s="5">
        <f t="shared" si="773"/>
        <v>0</v>
      </c>
      <c r="X2457" s="5">
        <f t="shared" si="774"/>
        <v>2.75</v>
      </c>
      <c r="Y2457" s="5">
        <f t="shared" si="775"/>
        <v>0</v>
      </c>
      <c r="Z2457" s="5">
        <f t="shared" si="776"/>
        <v>0</v>
      </c>
      <c r="AA2457" s="5">
        <f t="shared" si="777"/>
        <v>0</v>
      </c>
      <c r="AB2457" s="5">
        <f t="shared" si="757"/>
        <v>2.75</v>
      </c>
    </row>
    <row r="2458" spans="1:29" x14ac:dyDescent="0.25">
      <c r="D2458" t="s">
        <v>74</v>
      </c>
      <c r="E2458" s="14"/>
      <c r="F2458" s="14"/>
      <c r="G2458">
        <f>IFERROR(HLOOKUP(G$2,[75]table_male_hkom1_inj.ill_X8!$A$1:$K$36,6,FALSE),0)</f>
        <v>0</v>
      </c>
      <c r="H2458">
        <f>IFERROR(HLOOKUP(H$2,[75]table_male_hkom1_inj.ill_X8!$A$1:$K$36,6,FALSE),0)</f>
        <v>0</v>
      </c>
      <c r="I2458">
        <f>IFERROR(HLOOKUP(I$2,[75]table_male_hkom1_inj.ill_X8!$A$1:$K$36,6,FALSE),0)</f>
        <v>1</v>
      </c>
      <c r="J2458">
        <f>IFERROR(HLOOKUP(J$2,[75]table_male_hkom1_inj.ill_X8!$A$1:$K$36,6,FALSE),0)</f>
        <v>2</v>
      </c>
      <c r="K2458">
        <f>IFERROR(HLOOKUP(K$2,[75]table_male_hkom1_inj.ill_X8!$A$1:$K$36,6,FALSE),0)</f>
        <v>0</v>
      </c>
      <c r="L2458">
        <f>IFERROR(HLOOKUP(L$2,[75]table_male_hkom1_inj.ill_X8!$A$1:$K$36,6,FALSE),0)</f>
        <v>0</v>
      </c>
      <c r="M2458">
        <f t="shared" si="769"/>
        <v>3</v>
      </c>
      <c r="S2458" t="s">
        <v>74</v>
      </c>
      <c r="T2458" s="5">
        <f t="shared" si="770"/>
        <v>0</v>
      </c>
      <c r="U2458" s="5">
        <f t="shared" si="771"/>
        <v>0</v>
      </c>
      <c r="V2458" s="5">
        <f t="shared" si="772"/>
        <v>0</v>
      </c>
      <c r="W2458" s="5">
        <f t="shared" si="773"/>
        <v>0</v>
      </c>
      <c r="X2458" s="5">
        <f t="shared" si="774"/>
        <v>1.375</v>
      </c>
      <c r="Y2458" s="5">
        <f t="shared" si="775"/>
        <v>3.2</v>
      </c>
      <c r="Z2458" s="5">
        <f t="shared" si="776"/>
        <v>0</v>
      </c>
      <c r="AA2458" s="5">
        <f t="shared" si="777"/>
        <v>0</v>
      </c>
      <c r="AB2458" s="5">
        <f t="shared" si="757"/>
        <v>4.5750000000000002</v>
      </c>
    </row>
    <row r="2459" spans="1:29" x14ac:dyDescent="0.25">
      <c r="D2459" t="s">
        <v>75</v>
      </c>
      <c r="E2459" s="14"/>
      <c r="F2459" s="14"/>
      <c r="G2459">
        <f>IFERROR(HLOOKUP(G$2,[75]table_male_hkom1_inj.ill_X8!$A$1:$K$36,7,FALSE),0)</f>
        <v>0</v>
      </c>
      <c r="H2459">
        <f>IFERROR(HLOOKUP(H$2,[75]table_male_hkom1_inj.ill_X8!$A$1:$K$36,7,FALSE),0)</f>
        <v>0</v>
      </c>
      <c r="I2459">
        <f>IFERROR(HLOOKUP(I$2,[75]table_male_hkom1_inj.ill_X8!$A$1:$K$36,7,FALSE),0)</f>
        <v>0</v>
      </c>
      <c r="J2459">
        <f>IFERROR(HLOOKUP(J$2,[75]table_male_hkom1_inj.ill_X8!$A$1:$K$36,7,FALSE),0)</f>
        <v>0</v>
      </c>
      <c r="K2459">
        <f>IFERROR(HLOOKUP(K$2,[75]table_male_hkom1_inj.ill_X8!$A$1:$K$36,7,FALSE),0)</f>
        <v>0</v>
      </c>
      <c r="L2459">
        <f>IFERROR(HLOOKUP(L$2,[75]table_male_hkom1_inj.ill_X8!$A$1:$K$36,7,FALSE),0)</f>
        <v>0</v>
      </c>
      <c r="M2459">
        <f t="shared" si="769"/>
        <v>0</v>
      </c>
      <c r="S2459" t="s">
        <v>75</v>
      </c>
      <c r="T2459" s="5">
        <f t="shared" si="770"/>
        <v>0</v>
      </c>
      <c r="U2459" s="5">
        <f t="shared" si="771"/>
        <v>0</v>
      </c>
      <c r="V2459" s="5">
        <f t="shared" si="772"/>
        <v>0</v>
      </c>
      <c r="W2459" s="5">
        <f t="shared" si="773"/>
        <v>0</v>
      </c>
      <c r="X2459" s="5">
        <f t="shared" si="774"/>
        <v>0</v>
      </c>
      <c r="Y2459" s="5">
        <f t="shared" si="775"/>
        <v>0</v>
      </c>
      <c r="Z2459" s="5">
        <f t="shared" si="776"/>
        <v>0</v>
      </c>
      <c r="AA2459" s="5">
        <f t="shared" si="777"/>
        <v>0</v>
      </c>
      <c r="AB2459" s="5">
        <f t="shared" si="757"/>
        <v>0</v>
      </c>
    </row>
    <row r="2460" spans="1:29" x14ac:dyDescent="0.25">
      <c r="D2460" t="s">
        <v>76</v>
      </c>
      <c r="E2460" s="14"/>
      <c r="F2460" s="14"/>
      <c r="G2460">
        <f>IFERROR(HLOOKUP(G$2,[75]table_male_hkom1_inj.ill_X8!$A$1:$K$36,8,FALSE),0)</f>
        <v>0</v>
      </c>
      <c r="H2460">
        <f>IFERROR(HLOOKUP(H$2,[75]table_male_hkom1_inj.ill_X8!$A$1:$K$36,8,FALSE),0)</f>
        <v>1</v>
      </c>
      <c r="I2460">
        <f>IFERROR(HLOOKUP(I$2,[75]table_male_hkom1_inj.ill_X8!$A$1:$K$36,8,FALSE),0)</f>
        <v>1</v>
      </c>
      <c r="J2460">
        <f>IFERROR(HLOOKUP(J$2,[75]table_male_hkom1_inj.ill_X8!$A$1:$K$36,8,FALSE),0)</f>
        <v>0</v>
      </c>
      <c r="K2460">
        <f>IFERROR(HLOOKUP(K$2,[75]table_male_hkom1_inj.ill_X8!$A$1:$K$36,8,FALSE),0)</f>
        <v>0</v>
      </c>
      <c r="L2460">
        <f>IFERROR(HLOOKUP(L$2,[75]table_male_hkom1_inj.ill_X8!$A$1:$K$36,8,FALSE),0)</f>
        <v>0</v>
      </c>
      <c r="M2460">
        <f t="shared" si="769"/>
        <v>2</v>
      </c>
      <c r="S2460" t="s">
        <v>76</v>
      </c>
      <c r="T2460" s="5">
        <f t="shared" si="770"/>
        <v>0</v>
      </c>
      <c r="U2460" s="5">
        <f t="shared" si="771"/>
        <v>0</v>
      </c>
      <c r="V2460" s="5">
        <f t="shared" si="772"/>
        <v>0</v>
      </c>
      <c r="W2460" s="5">
        <f t="shared" si="773"/>
        <v>1.9333333333333333</v>
      </c>
      <c r="X2460" s="5">
        <f t="shared" si="774"/>
        <v>1.375</v>
      </c>
      <c r="Y2460" s="5">
        <f t="shared" si="775"/>
        <v>0</v>
      </c>
      <c r="Z2460" s="5">
        <f t="shared" si="776"/>
        <v>0</v>
      </c>
      <c r="AA2460" s="5">
        <f t="shared" si="777"/>
        <v>0</v>
      </c>
      <c r="AB2460" s="5">
        <f t="shared" si="757"/>
        <v>3.3083333333333336</v>
      </c>
    </row>
    <row r="2461" spans="1:29" x14ac:dyDescent="0.25">
      <c r="D2461" t="s">
        <v>77</v>
      </c>
      <c r="E2461" s="14"/>
      <c r="F2461" s="14"/>
      <c r="G2461">
        <f>IFERROR(HLOOKUP(G$2,[75]table_male_hkom1_inj.ill_X8!$A$1:$K$36,9,FALSE),0)</f>
        <v>0</v>
      </c>
      <c r="H2461">
        <f>IFERROR(HLOOKUP(H$2,[75]table_male_hkom1_inj.ill_X8!$A$1:$K$36,9,FALSE),0)</f>
        <v>0</v>
      </c>
      <c r="I2461">
        <f>IFERROR(HLOOKUP(I$2,[75]table_male_hkom1_inj.ill_X8!$A$1:$K$36,9,FALSE),0)</f>
        <v>0</v>
      </c>
      <c r="J2461">
        <f>IFERROR(HLOOKUP(J$2,[75]table_male_hkom1_inj.ill_X8!$A$1:$K$36,9,FALSE),0)</f>
        <v>0</v>
      </c>
      <c r="K2461">
        <f>IFERROR(HLOOKUP(K$2,[75]table_male_hkom1_inj.ill_X8!$A$1:$K$36,9,FALSE),0)</f>
        <v>0</v>
      </c>
      <c r="L2461">
        <f>IFERROR(HLOOKUP(L$2,[75]table_male_hkom1_inj.ill_X8!$A$1:$K$36,9,FALSE),0)</f>
        <v>0</v>
      </c>
      <c r="M2461">
        <f t="shared" si="769"/>
        <v>0</v>
      </c>
      <c r="S2461" t="s">
        <v>77</v>
      </c>
      <c r="T2461" s="5">
        <f t="shared" si="770"/>
        <v>0</v>
      </c>
      <c r="U2461" s="5">
        <f t="shared" si="771"/>
        <v>0</v>
      </c>
      <c r="V2461" s="5">
        <f t="shared" si="772"/>
        <v>0</v>
      </c>
      <c r="W2461" s="5">
        <f t="shared" si="773"/>
        <v>0</v>
      </c>
      <c r="X2461" s="5">
        <f t="shared" si="774"/>
        <v>0</v>
      </c>
      <c r="Y2461" s="5">
        <f t="shared" si="775"/>
        <v>0</v>
      </c>
      <c r="Z2461" s="5">
        <f t="shared" si="776"/>
        <v>0</v>
      </c>
      <c r="AA2461" s="5">
        <f t="shared" si="777"/>
        <v>0</v>
      </c>
      <c r="AB2461" s="5">
        <f t="shared" si="757"/>
        <v>0</v>
      </c>
    </row>
    <row r="2462" spans="1:29" x14ac:dyDescent="0.25">
      <c r="D2462" t="s">
        <v>78</v>
      </c>
      <c r="E2462" s="14"/>
      <c r="F2462" s="14"/>
      <c r="G2462">
        <f>IFERROR(HLOOKUP(G$2,[75]table_male_hkom1_inj.ill_X8!$A$1:$K$36,10,FALSE),0)</f>
        <v>0</v>
      </c>
      <c r="H2462">
        <f>IFERROR(HLOOKUP(H$2,[75]table_male_hkom1_inj.ill_X8!$A$1:$K$36,10,FALSE),0)</f>
        <v>0</v>
      </c>
      <c r="I2462">
        <f>IFERROR(HLOOKUP(I$2,[75]table_male_hkom1_inj.ill_X8!$A$1:$K$36,10,FALSE),0)</f>
        <v>0</v>
      </c>
      <c r="J2462">
        <f>IFERROR(HLOOKUP(J$2,[75]table_male_hkom1_inj.ill_X8!$A$1:$K$36,10,FALSE),0)</f>
        <v>0</v>
      </c>
      <c r="K2462">
        <f>IFERROR(HLOOKUP(K$2,[75]table_male_hkom1_inj.ill_X8!$A$1:$K$36,10,FALSE),0)</f>
        <v>0</v>
      </c>
      <c r="L2462">
        <f>IFERROR(HLOOKUP(L$2,[75]table_male_hkom1_inj.ill_X8!$A$1:$K$36,10,FALSE),0)</f>
        <v>0</v>
      </c>
      <c r="M2462">
        <f t="shared" si="769"/>
        <v>0</v>
      </c>
      <c r="S2462" t="s">
        <v>78</v>
      </c>
      <c r="T2462" s="5">
        <f t="shared" si="770"/>
        <v>0</v>
      </c>
      <c r="U2462" s="5">
        <f t="shared" si="771"/>
        <v>0</v>
      </c>
      <c r="V2462" s="5">
        <f t="shared" si="772"/>
        <v>0</v>
      </c>
      <c r="W2462" s="5">
        <f t="shared" si="773"/>
        <v>0</v>
      </c>
      <c r="X2462" s="5">
        <f t="shared" si="774"/>
        <v>0</v>
      </c>
      <c r="Y2462" s="5">
        <f t="shared" si="775"/>
        <v>0</v>
      </c>
      <c r="Z2462" s="5">
        <f t="shared" si="776"/>
        <v>0</v>
      </c>
      <c r="AA2462" s="5">
        <f t="shared" si="777"/>
        <v>0</v>
      </c>
      <c r="AB2462" s="5">
        <f t="shared" si="757"/>
        <v>0</v>
      </c>
    </row>
    <row r="2463" spans="1:29" x14ac:dyDescent="0.25">
      <c r="D2463" t="s">
        <v>79</v>
      </c>
      <c r="E2463" s="14"/>
      <c r="F2463" s="14"/>
      <c r="G2463">
        <f>IFERROR(HLOOKUP(G$2,[75]table_male_hkom1_inj.ill_X8!$A$1:$K$36,11,FALSE),0)</f>
        <v>0</v>
      </c>
      <c r="H2463">
        <f>IFERROR(HLOOKUP(H$2,[75]table_male_hkom1_inj.ill_X8!$A$1:$K$36,11,FALSE),0)</f>
        <v>0</v>
      </c>
      <c r="I2463">
        <f>IFERROR(HLOOKUP(I$2,[75]table_male_hkom1_inj.ill_X8!$A$1:$K$36,11,FALSE),0)</f>
        <v>0</v>
      </c>
      <c r="J2463">
        <f>IFERROR(HLOOKUP(J$2,[75]table_male_hkom1_inj.ill_X8!$A$1:$K$36,11,FALSE),0)</f>
        <v>1</v>
      </c>
      <c r="K2463">
        <f>IFERROR(HLOOKUP(K$2,[75]table_male_hkom1_inj.ill_X8!$A$1:$K$36,11,FALSE),0)</f>
        <v>0</v>
      </c>
      <c r="L2463">
        <f>IFERROR(HLOOKUP(L$2,[75]table_male_hkom1_inj.ill_X8!$A$1:$K$36,11,FALSE),0)</f>
        <v>0</v>
      </c>
      <c r="M2463">
        <f t="shared" si="769"/>
        <v>1</v>
      </c>
      <c r="S2463" t="s">
        <v>79</v>
      </c>
      <c r="T2463" s="5">
        <f t="shared" si="770"/>
        <v>0</v>
      </c>
      <c r="U2463" s="5">
        <f t="shared" si="771"/>
        <v>0</v>
      </c>
      <c r="V2463" s="5">
        <f t="shared" si="772"/>
        <v>0</v>
      </c>
      <c r="W2463" s="5">
        <f t="shared" si="773"/>
        <v>0</v>
      </c>
      <c r="X2463" s="5">
        <f t="shared" si="774"/>
        <v>0</v>
      </c>
      <c r="Y2463" s="5">
        <f t="shared" si="775"/>
        <v>1.6</v>
      </c>
      <c r="Z2463" s="5">
        <f t="shared" si="776"/>
        <v>0</v>
      </c>
      <c r="AA2463" s="5">
        <f t="shared" si="777"/>
        <v>0</v>
      </c>
      <c r="AB2463" s="5">
        <f t="shared" si="757"/>
        <v>1.6</v>
      </c>
    </row>
    <row r="2464" spans="1:29" x14ac:dyDescent="0.25">
      <c r="D2464" t="s">
        <v>80</v>
      </c>
      <c r="E2464" s="14"/>
      <c r="F2464" s="14"/>
      <c r="G2464">
        <f>IFERROR(HLOOKUP(G$2,[75]table_male_hkom1_inj.ill_X8!$A$1:$K$36,12,FALSE),0)</f>
        <v>0</v>
      </c>
      <c r="H2464">
        <f>IFERROR(HLOOKUP(H$2,[75]table_male_hkom1_inj.ill_X8!$A$1:$K$36,12,FALSE),0)</f>
        <v>1</v>
      </c>
      <c r="I2464">
        <f>IFERROR(HLOOKUP(I$2,[75]table_male_hkom1_inj.ill_X8!$A$1:$K$36,12,FALSE),0)</f>
        <v>0</v>
      </c>
      <c r="J2464">
        <f>IFERROR(HLOOKUP(J$2,[75]table_male_hkom1_inj.ill_X8!$A$1:$K$36,12,FALSE),0)</f>
        <v>1</v>
      </c>
      <c r="K2464">
        <f>IFERROR(HLOOKUP(K$2,[75]table_male_hkom1_inj.ill_X8!$A$1:$K$36,12,FALSE),0)</f>
        <v>0</v>
      </c>
      <c r="L2464">
        <f>IFERROR(HLOOKUP(L$2,[75]table_male_hkom1_inj.ill_X8!$A$1:$K$36,12,FALSE),0)</f>
        <v>0</v>
      </c>
      <c r="M2464">
        <f t="shared" si="769"/>
        <v>2</v>
      </c>
      <c r="S2464" t="s">
        <v>80</v>
      </c>
      <c r="T2464" s="5">
        <f t="shared" si="770"/>
        <v>0</v>
      </c>
      <c r="U2464" s="5">
        <f t="shared" si="771"/>
        <v>0</v>
      </c>
      <c r="V2464" s="5">
        <f t="shared" si="772"/>
        <v>0</v>
      </c>
      <c r="W2464" s="5">
        <f t="shared" si="773"/>
        <v>1.9333333333333333</v>
      </c>
      <c r="X2464" s="5">
        <f t="shared" si="774"/>
        <v>0</v>
      </c>
      <c r="Y2464" s="5">
        <f t="shared" si="775"/>
        <v>1.6</v>
      </c>
      <c r="Z2464" s="5">
        <f t="shared" si="776"/>
        <v>0</v>
      </c>
      <c r="AA2464" s="5">
        <f t="shared" si="777"/>
        <v>0</v>
      </c>
      <c r="AB2464" s="5">
        <f t="shared" si="757"/>
        <v>3.5333333333333332</v>
      </c>
    </row>
    <row r="2465" spans="4:28" x14ac:dyDescent="0.25">
      <c r="D2465" t="s">
        <v>81</v>
      </c>
      <c r="E2465" s="14"/>
      <c r="F2465" s="14"/>
      <c r="G2465">
        <f>IFERROR(HLOOKUP(G$2,[75]table_male_hkom1_inj.ill_X8!$A$1:$K$36,13,FALSE),0)</f>
        <v>0</v>
      </c>
      <c r="H2465">
        <f>IFERROR(HLOOKUP(H$2,[75]table_male_hkom1_inj.ill_X8!$A$1:$K$36,13,FALSE),0)</f>
        <v>0</v>
      </c>
      <c r="I2465">
        <f>IFERROR(HLOOKUP(I$2,[75]table_male_hkom1_inj.ill_X8!$A$1:$K$36,13,FALSE),0)</f>
        <v>0</v>
      </c>
      <c r="J2465">
        <f>IFERROR(HLOOKUP(J$2,[75]table_male_hkom1_inj.ill_X8!$A$1:$K$36,13,FALSE),0)</f>
        <v>0</v>
      </c>
      <c r="K2465">
        <f>IFERROR(HLOOKUP(K$2,[75]table_male_hkom1_inj.ill_X8!$A$1:$K$36,13,FALSE),0)</f>
        <v>0</v>
      </c>
      <c r="L2465">
        <f>IFERROR(HLOOKUP(L$2,[75]table_male_hkom1_inj.ill_X8!$A$1:$K$36,13,FALSE),0)</f>
        <v>0</v>
      </c>
      <c r="M2465">
        <f t="shared" si="769"/>
        <v>0</v>
      </c>
      <c r="S2465" t="s">
        <v>81</v>
      </c>
      <c r="T2465" s="5">
        <f t="shared" si="770"/>
        <v>0</v>
      </c>
      <c r="U2465" s="5">
        <f t="shared" si="771"/>
        <v>0</v>
      </c>
      <c r="V2465" s="5">
        <f t="shared" si="772"/>
        <v>0</v>
      </c>
      <c r="W2465" s="5">
        <f t="shared" si="773"/>
        <v>0</v>
      </c>
      <c r="X2465" s="5">
        <f t="shared" si="774"/>
        <v>0</v>
      </c>
      <c r="Y2465" s="5">
        <f t="shared" si="775"/>
        <v>0</v>
      </c>
      <c r="Z2465" s="5">
        <f t="shared" si="776"/>
        <v>0</v>
      </c>
      <c r="AA2465" s="5">
        <f t="shared" si="777"/>
        <v>0</v>
      </c>
      <c r="AB2465" s="5">
        <f t="shared" si="757"/>
        <v>0</v>
      </c>
    </row>
    <row r="2466" spans="4:28" x14ac:dyDescent="0.25">
      <c r="D2466" t="s">
        <v>82</v>
      </c>
      <c r="E2466" s="14"/>
      <c r="F2466" s="14"/>
      <c r="G2466">
        <f>IFERROR(HLOOKUP(G$2,[75]table_male_hkom1_inj.ill_X8!$A$1:$K$36,14,FALSE),0)</f>
        <v>0</v>
      </c>
      <c r="H2466">
        <f>IFERROR(HLOOKUP(H$2,[75]table_male_hkom1_inj.ill_X8!$A$1:$K$36,14,FALSE),0)</f>
        <v>0</v>
      </c>
      <c r="I2466">
        <f>IFERROR(HLOOKUP(I$2,[75]table_male_hkom1_inj.ill_X8!$A$1:$K$36,14,FALSE),0)</f>
        <v>0</v>
      </c>
      <c r="J2466">
        <f>IFERROR(HLOOKUP(J$2,[75]table_male_hkom1_inj.ill_X8!$A$1:$K$36,14,FALSE),0)</f>
        <v>0</v>
      </c>
      <c r="K2466">
        <f>IFERROR(HLOOKUP(K$2,[75]table_male_hkom1_inj.ill_X8!$A$1:$K$36,14,FALSE),0)</f>
        <v>0</v>
      </c>
      <c r="L2466">
        <f>IFERROR(HLOOKUP(L$2,[75]table_male_hkom1_inj.ill_X8!$A$1:$K$36,14,FALSE),0)</f>
        <v>0</v>
      </c>
      <c r="M2466">
        <f t="shared" si="769"/>
        <v>0</v>
      </c>
      <c r="S2466" t="s">
        <v>82</v>
      </c>
      <c r="T2466" s="5">
        <f t="shared" si="770"/>
        <v>0</v>
      </c>
      <c r="U2466" s="5">
        <f t="shared" si="771"/>
        <v>0</v>
      </c>
      <c r="V2466" s="5">
        <f t="shared" si="772"/>
        <v>0</v>
      </c>
      <c r="W2466" s="5">
        <f t="shared" si="773"/>
        <v>0</v>
      </c>
      <c r="X2466" s="5">
        <f t="shared" si="774"/>
        <v>0</v>
      </c>
      <c r="Y2466" s="5">
        <f t="shared" si="775"/>
        <v>0</v>
      </c>
      <c r="Z2466" s="5">
        <f t="shared" si="776"/>
        <v>0</v>
      </c>
      <c r="AA2466" s="5">
        <f t="shared" si="777"/>
        <v>0</v>
      </c>
      <c r="AB2466" s="5">
        <f t="shared" si="757"/>
        <v>0</v>
      </c>
    </row>
    <row r="2467" spans="4:28" x14ac:dyDescent="0.25">
      <c r="D2467" t="s">
        <v>83</v>
      </c>
      <c r="E2467" s="14"/>
      <c r="F2467" s="14"/>
      <c r="G2467">
        <f>IFERROR(HLOOKUP(G$2,[75]table_male_hkom1_inj.ill_X8!$A$1:$K$36,15,FALSE),0)</f>
        <v>0</v>
      </c>
      <c r="H2467">
        <f>IFERROR(HLOOKUP(H$2,[75]table_male_hkom1_inj.ill_X8!$A$1:$K$36,15,FALSE),0)</f>
        <v>0</v>
      </c>
      <c r="I2467">
        <f>IFERROR(HLOOKUP(I$2,[75]table_male_hkom1_inj.ill_X8!$A$1:$K$36,15,FALSE),0)</f>
        <v>0</v>
      </c>
      <c r="J2467">
        <f>IFERROR(HLOOKUP(J$2,[75]table_male_hkom1_inj.ill_X8!$A$1:$K$36,15,FALSE),0)</f>
        <v>0</v>
      </c>
      <c r="K2467">
        <f>IFERROR(HLOOKUP(K$2,[75]table_male_hkom1_inj.ill_X8!$A$1:$K$36,15,FALSE),0)</f>
        <v>0</v>
      </c>
      <c r="L2467">
        <f>IFERROR(HLOOKUP(L$2,[75]table_male_hkom1_inj.ill_X8!$A$1:$K$36,15,FALSE),0)</f>
        <v>0</v>
      </c>
      <c r="M2467">
        <f t="shared" si="769"/>
        <v>0</v>
      </c>
      <c r="S2467" t="s">
        <v>83</v>
      </c>
      <c r="T2467" s="5">
        <f t="shared" si="770"/>
        <v>0</v>
      </c>
      <c r="U2467" s="5">
        <f t="shared" si="771"/>
        <v>0</v>
      </c>
      <c r="V2467" s="5">
        <f t="shared" si="772"/>
        <v>0</v>
      </c>
      <c r="W2467" s="5">
        <f t="shared" si="773"/>
        <v>0</v>
      </c>
      <c r="X2467" s="5">
        <f t="shared" si="774"/>
        <v>0</v>
      </c>
      <c r="Y2467" s="5">
        <f t="shared" si="775"/>
        <v>0</v>
      </c>
      <c r="Z2467" s="5">
        <f t="shared" si="776"/>
        <v>0</v>
      </c>
      <c r="AA2467" s="5">
        <f t="shared" si="777"/>
        <v>0</v>
      </c>
      <c r="AB2467" s="5">
        <f t="shared" si="757"/>
        <v>0</v>
      </c>
    </row>
    <row r="2468" spans="4:28" x14ac:dyDescent="0.25">
      <c r="D2468" t="s">
        <v>84</v>
      </c>
      <c r="E2468" s="14"/>
      <c r="F2468" s="14"/>
      <c r="G2468">
        <f>IFERROR(HLOOKUP(G$2,[75]table_male_hkom1_inj.ill_X8!$A$1:$K$36,16,FALSE),0)</f>
        <v>0</v>
      </c>
      <c r="H2468">
        <f>IFERROR(HLOOKUP(H$2,[75]table_male_hkom1_inj.ill_X8!$A$1:$K$36,16,FALSE),0)</f>
        <v>0</v>
      </c>
      <c r="I2468">
        <f>IFERROR(HLOOKUP(I$2,[75]table_male_hkom1_inj.ill_X8!$A$1:$K$36,16,FALSE),0)</f>
        <v>0</v>
      </c>
      <c r="J2468">
        <f>IFERROR(HLOOKUP(J$2,[75]table_male_hkom1_inj.ill_X8!$A$1:$K$36,16,FALSE),0)</f>
        <v>0</v>
      </c>
      <c r="K2468">
        <f>IFERROR(HLOOKUP(K$2,[75]table_male_hkom1_inj.ill_X8!$A$1:$K$36,16,FALSE),0)</f>
        <v>0</v>
      </c>
      <c r="L2468">
        <f>IFERROR(HLOOKUP(L$2,[75]table_male_hkom1_inj.ill_X8!$A$1:$K$36,16,FALSE),0)</f>
        <v>0</v>
      </c>
      <c r="M2468">
        <f t="shared" si="769"/>
        <v>0</v>
      </c>
      <c r="S2468" t="s">
        <v>84</v>
      </c>
      <c r="T2468" s="5">
        <f t="shared" si="770"/>
        <v>0</v>
      </c>
      <c r="U2468" s="5">
        <f t="shared" si="771"/>
        <v>0</v>
      </c>
      <c r="V2468" s="5">
        <f t="shared" si="772"/>
        <v>0</v>
      </c>
      <c r="W2468" s="5">
        <f t="shared" si="773"/>
        <v>0</v>
      </c>
      <c r="X2468" s="5">
        <f t="shared" si="774"/>
        <v>0</v>
      </c>
      <c r="Y2468" s="5">
        <f t="shared" si="775"/>
        <v>0</v>
      </c>
      <c r="Z2468" s="5">
        <f t="shared" si="776"/>
        <v>0</v>
      </c>
      <c r="AA2468" s="5">
        <f t="shared" si="777"/>
        <v>0</v>
      </c>
      <c r="AB2468" s="5">
        <f t="shared" si="757"/>
        <v>0</v>
      </c>
    </row>
    <row r="2469" spans="4:28" x14ac:dyDescent="0.25">
      <c r="D2469" t="s">
        <v>85</v>
      </c>
      <c r="E2469" s="14"/>
      <c r="F2469" s="14"/>
      <c r="G2469">
        <f>IFERROR(HLOOKUP(G$2,[75]table_male_hkom1_inj.ill_X8!$A$1:$K$36,17,FALSE),0)</f>
        <v>0</v>
      </c>
      <c r="H2469">
        <f>IFERROR(HLOOKUP(H$2,[75]table_male_hkom1_inj.ill_X8!$A$1:$K$36,17,FALSE),0)</f>
        <v>0</v>
      </c>
      <c r="I2469">
        <f>IFERROR(HLOOKUP(I$2,[75]table_male_hkom1_inj.ill_X8!$A$1:$K$36,17,FALSE),0)</f>
        <v>0</v>
      </c>
      <c r="J2469">
        <f>IFERROR(HLOOKUP(J$2,[75]table_male_hkom1_inj.ill_X8!$A$1:$K$36,17,FALSE),0)</f>
        <v>0</v>
      </c>
      <c r="K2469">
        <f>IFERROR(HLOOKUP(K$2,[75]table_male_hkom1_inj.ill_X8!$A$1:$K$36,17,FALSE),0)</f>
        <v>0</v>
      </c>
      <c r="L2469">
        <f>IFERROR(HLOOKUP(L$2,[75]table_male_hkom1_inj.ill_X8!$A$1:$K$36,17,FALSE),0)</f>
        <v>0</v>
      </c>
      <c r="M2469">
        <f t="shared" si="769"/>
        <v>0</v>
      </c>
      <c r="S2469" t="s">
        <v>85</v>
      </c>
      <c r="T2469" s="5">
        <f t="shared" si="770"/>
        <v>0</v>
      </c>
      <c r="U2469" s="5">
        <f t="shared" si="771"/>
        <v>0</v>
      </c>
      <c r="V2469" s="5">
        <f t="shared" si="772"/>
        <v>0</v>
      </c>
      <c r="W2469" s="5">
        <f t="shared" si="773"/>
        <v>0</v>
      </c>
      <c r="X2469" s="5">
        <f t="shared" si="774"/>
        <v>0</v>
      </c>
      <c r="Y2469" s="5">
        <f t="shared" si="775"/>
        <v>0</v>
      </c>
      <c r="Z2469" s="5">
        <f t="shared" si="776"/>
        <v>0</v>
      </c>
      <c r="AA2469" s="5">
        <f t="shared" si="777"/>
        <v>0</v>
      </c>
      <c r="AB2469" s="5">
        <f t="shared" si="757"/>
        <v>0</v>
      </c>
    </row>
    <row r="2470" spans="4:28" x14ac:dyDescent="0.25">
      <c r="D2470" t="s">
        <v>86</v>
      </c>
      <c r="E2470" s="14"/>
      <c r="F2470" s="14"/>
      <c r="G2470">
        <f>IFERROR(HLOOKUP(G$2,[75]table_male_hkom1_inj.ill_X8!$A$1:$K$36,18,FALSE),0)</f>
        <v>2</v>
      </c>
      <c r="H2470">
        <f>IFERROR(HLOOKUP(H$2,[75]table_male_hkom1_inj.ill_X8!$A$1:$K$36,18,FALSE),0)</f>
        <v>5</v>
      </c>
      <c r="I2470">
        <f>IFERROR(HLOOKUP(I$2,[75]table_male_hkom1_inj.ill_X8!$A$1:$K$36,18,FALSE),0)</f>
        <v>8</v>
      </c>
      <c r="J2470">
        <f>IFERROR(HLOOKUP(J$2,[75]table_male_hkom1_inj.ill_X8!$A$1:$K$36,18,FALSE),0)</f>
        <v>1</v>
      </c>
      <c r="K2470">
        <f>IFERROR(HLOOKUP(K$2,[75]table_male_hkom1_inj.ill_X8!$A$1:$K$36,18,FALSE),0)</f>
        <v>0</v>
      </c>
      <c r="L2470">
        <f>IFERROR(HLOOKUP(L$2,[75]table_male_hkom1_inj.ill_X8!$A$1:$K$36,18,FALSE),0)</f>
        <v>0</v>
      </c>
      <c r="M2470">
        <f t="shared" si="769"/>
        <v>16</v>
      </c>
      <c r="S2470" t="s">
        <v>86</v>
      </c>
      <c r="T2470" s="5">
        <f t="shared" si="770"/>
        <v>0</v>
      </c>
      <c r="U2470" s="5">
        <f t="shared" si="771"/>
        <v>0</v>
      </c>
      <c r="V2470" s="5">
        <f t="shared" si="772"/>
        <v>6</v>
      </c>
      <c r="W2470" s="5">
        <f t="shared" si="773"/>
        <v>9.6666666666666661</v>
      </c>
      <c r="X2470" s="5">
        <f t="shared" si="774"/>
        <v>11</v>
      </c>
      <c r="Y2470" s="5">
        <f t="shared" si="775"/>
        <v>1.6</v>
      </c>
      <c r="Z2470" s="5">
        <f t="shared" si="776"/>
        <v>0</v>
      </c>
      <c r="AA2470" s="5">
        <f t="shared" si="777"/>
        <v>0</v>
      </c>
      <c r="AB2470" s="5">
        <f t="shared" si="757"/>
        <v>28.266666666666666</v>
      </c>
    </row>
    <row r="2471" spans="4:28" x14ac:dyDescent="0.25">
      <c r="D2471" t="s">
        <v>87</v>
      </c>
      <c r="E2471" s="14"/>
      <c r="F2471" s="14"/>
      <c r="G2471">
        <f>IFERROR(HLOOKUP(G$2,[75]table_male_hkom1_inj.ill_X8!$A$1:$K$36,19,FALSE),0)</f>
        <v>0</v>
      </c>
      <c r="H2471">
        <f>IFERROR(HLOOKUP(H$2,[75]table_male_hkom1_inj.ill_X8!$A$1:$K$36,19,FALSE),0)</f>
        <v>1</v>
      </c>
      <c r="I2471">
        <f>IFERROR(HLOOKUP(I$2,[75]table_male_hkom1_inj.ill_X8!$A$1:$K$36,19,FALSE),0)</f>
        <v>1</v>
      </c>
      <c r="J2471">
        <f>IFERROR(HLOOKUP(J$2,[75]table_male_hkom1_inj.ill_X8!$A$1:$K$36,19,FALSE),0)</f>
        <v>0</v>
      </c>
      <c r="K2471">
        <f>IFERROR(HLOOKUP(K$2,[75]table_male_hkom1_inj.ill_X8!$A$1:$K$36,19,FALSE),0)</f>
        <v>0</v>
      </c>
      <c r="L2471">
        <f>IFERROR(HLOOKUP(L$2,[75]table_male_hkom1_inj.ill_X8!$A$1:$K$36,19,FALSE),0)</f>
        <v>0</v>
      </c>
      <c r="M2471">
        <f t="shared" si="769"/>
        <v>2</v>
      </c>
      <c r="S2471" t="s">
        <v>87</v>
      </c>
      <c r="T2471" s="5">
        <f t="shared" si="770"/>
        <v>0</v>
      </c>
      <c r="U2471" s="5">
        <f t="shared" si="771"/>
        <v>0</v>
      </c>
      <c r="V2471" s="5">
        <f t="shared" si="772"/>
        <v>0</v>
      </c>
      <c r="W2471" s="5">
        <f t="shared" si="773"/>
        <v>1.9333333333333333</v>
      </c>
      <c r="X2471" s="5">
        <f t="shared" si="774"/>
        <v>1.375</v>
      </c>
      <c r="Y2471" s="5">
        <f t="shared" si="775"/>
        <v>0</v>
      </c>
      <c r="Z2471" s="5">
        <f t="shared" si="776"/>
        <v>0</v>
      </c>
      <c r="AA2471" s="5">
        <f t="shared" si="777"/>
        <v>0</v>
      </c>
      <c r="AB2471" s="5">
        <f t="shared" si="757"/>
        <v>3.3083333333333336</v>
      </c>
    </row>
    <row r="2472" spans="4:28" x14ac:dyDescent="0.25">
      <c r="D2472" t="s">
        <v>88</v>
      </c>
      <c r="E2472" s="14"/>
      <c r="F2472" s="14"/>
      <c r="G2472">
        <f>IFERROR(HLOOKUP(G$2,[75]table_male_hkom1_inj.ill_X8!$A$1:$K$36,20,FALSE),0)</f>
        <v>2</v>
      </c>
      <c r="H2472">
        <f>IFERROR(HLOOKUP(H$2,[75]table_male_hkom1_inj.ill_X8!$A$1:$K$36,20,FALSE),0)</f>
        <v>3</v>
      </c>
      <c r="I2472">
        <f>IFERROR(HLOOKUP(I$2,[75]table_male_hkom1_inj.ill_X8!$A$1:$K$36,20,FALSE),0)</f>
        <v>2</v>
      </c>
      <c r="J2472">
        <f>IFERROR(HLOOKUP(J$2,[75]table_male_hkom1_inj.ill_X8!$A$1:$K$36,20,FALSE),0)</f>
        <v>0</v>
      </c>
      <c r="K2472">
        <f>IFERROR(HLOOKUP(K$2,[75]table_male_hkom1_inj.ill_X8!$A$1:$K$36,20,FALSE),0)</f>
        <v>0</v>
      </c>
      <c r="L2472">
        <f>IFERROR(HLOOKUP(L$2,[75]table_male_hkom1_inj.ill_X8!$A$1:$K$36,20,FALSE),0)</f>
        <v>0</v>
      </c>
      <c r="M2472">
        <f t="shared" si="769"/>
        <v>7</v>
      </c>
      <c r="S2472" t="s">
        <v>88</v>
      </c>
      <c r="T2472" s="5">
        <f t="shared" si="770"/>
        <v>0</v>
      </c>
      <c r="U2472" s="5">
        <f t="shared" si="771"/>
        <v>0</v>
      </c>
      <c r="V2472" s="5">
        <f t="shared" si="772"/>
        <v>6</v>
      </c>
      <c r="W2472" s="5">
        <f t="shared" si="773"/>
        <v>5.8000000000000007</v>
      </c>
      <c r="X2472" s="5">
        <f t="shared" si="774"/>
        <v>2.75</v>
      </c>
      <c r="Y2472" s="5">
        <f t="shared" si="775"/>
        <v>0</v>
      </c>
      <c r="Z2472" s="5">
        <f t="shared" si="776"/>
        <v>0</v>
      </c>
      <c r="AA2472" s="5">
        <f t="shared" si="777"/>
        <v>0</v>
      </c>
      <c r="AB2472" s="5">
        <f t="shared" si="757"/>
        <v>14.55</v>
      </c>
    </row>
    <row r="2473" spans="4:28" x14ac:dyDescent="0.25">
      <c r="D2473" t="s">
        <v>89</v>
      </c>
      <c r="E2473" s="14"/>
      <c r="F2473" s="14"/>
      <c r="G2473">
        <f>IFERROR(HLOOKUP(G$2,[75]table_male_hkom1_inj.ill_X8!$A$1:$K$36,21,FALSE),0)</f>
        <v>0</v>
      </c>
      <c r="H2473">
        <f>IFERROR(HLOOKUP(H$2,[75]table_male_hkom1_inj.ill_X8!$A$1:$K$36,21,FALSE),0)</f>
        <v>2</v>
      </c>
      <c r="I2473">
        <f>IFERROR(HLOOKUP(I$2,[75]table_male_hkom1_inj.ill_X8!$A$1:$K$36,21,FALSE),0)</f>
        <v>0</v>
      </c>
      <c r="J2473">
        <f>IFERROR(HLOOKUP(J$2,[75]table_male_hkom1_inj.ill_X8!$A$1:$K$36,21,FALSE),0)</f>
        <v>0</v>
      </c>
      <c r="K2473">
        <f>IFERROR(HLOOKUP(K$2,[75]table_male_hkom1_inj.ill_X8!$A$1:$K$36,21,FALSE),0)</f>
        <v>0</v>
      </c>
      <c r="L2473">
        <f>IFERROR(HLOOKUP(L$2,[75]table_male_hkom1_inj.ill_X8!$A$1:$K$36,21,FALSE),0)</f>
        <v>0</v>
      </c>
      <c r="M2473">
        <f t="shared" si="769"/>
        <v>2</v>
      </c>
      <c r="S2473" t="s">
        <v>89</v>
      </c>
      <c r="T2473" s="5">
        <f t="shared" si="770"/>
        <v>0</v>
      </c>
      <c r="U2473" s="5">
        <f t="shared" si="771"/>
        <v>0</v>
      </c>
      <c r="V2473" s="5">
        <f t="shared" si="772"/>
        <v>0</v>
      </c>
      <c r="W2473" s="5">
        <f t="shared" si="773"/>
        <v>3.8666666666666667</v>
      </c>
      <c r="X2473" s="5">
        <f t="shared" si="774"/>
        <v>0</v>
      </c>
      <c r="Y2473" s="5">
        <f t="shared" si="775"/>
        <v>0</v>
      </c>
      <c r="Z2473" s="5">
        <f t="shared" si="776"/>
        <v>0</v>
      </c>
      <c r="AA2473" s="5">
        <f t="shared" si="777"/>
        <v>0</v>
      </c>
      <c r="AB2473" s="5">
        <f t="shared" si="757"/>
        <v>3.8666666666666667</v>
      </c>
    </row>
    <row r="2474" spans="4:28" x14ac:dyDescent="0.25">
      <c r="D2474" t="s">
        <v>90</v>
      </c>
      <c r="E2474" s="14"/>
      <c r="F2474" s="14"/>
      <c r="G2474">
        <f>IFERROR(HLOOKUP(G$2,[75]table_male_hkom1_inj.ill_X8!$A$1:$K$36,22,FALSE),0)</f>
        <v>0</v>
      </c>
      <c r="H2474">
        <f>IFERROR(HLOOKUP(H$2,[75]table_male_hkom1_inj.ill_X8!$A$1:$K$36,22,FALSE),0)</f>
        <v>0</v>
      </c>
      <c r="I2474">
        <f>IFERROR(HLOOKUP(I$2,[75]table_male_hkom1_inj.ill_X8!$A$1:$K$36,22,FALSE),0)</f>
        <v>0</v>
      </c>
      <c r="J2474">
        <f>IFERROR(HLOOKUP(J$2,[75]table_male_hkom1_inj.ill_X8!$A$1:$K$36,22,FALSE),0)</f>
        <v>0</v>
      </c>
      <c r="K2474">
        <f>IFERROR(HLOOKUP(K$2,[75]table_male_hkom1_inj.ill_X8!$A$1:$K$36,22,FALSE),0)</f>
        <v>0</v>
      </c>
      <c r="L2474">
        <f>IFERROR(HLOOKUP(L$2,[75]table_male_hkom1_inj.ill_X8!$A$1:$K$36,22,FALSE),0)</f>
        <v>0</v>
      </c>
      <c r="M2474">
        <f t="shared" si="769"/>
        <v>0</v>
      </c>
      <c r="S2474" t="s">
        <v>90</v>
      </c>
      <c r="T2474" s="5">
        <f t="shared" si="770"/>
        <v>0</v>
      </c>
      <c r="U2474" s="5">
        <f t="shared" si="771"/>
        <v>0</v>
      </c>
      <c r="V2474" s="5">
        <f t="shared" si="772"/>
        <v>0</v>
      </c>
      <c r="W2474" s="5">
        <f t="shared" si="773"/>
        <v>0</v>
      </c>
      <c r="X2474" s="5">
        <f t="shared" si="774"/>
        <v>0</v>
      </c>
      <c r="Y2474" s="5">
        <f t="shared" si="775"/>
        <v>0</v>
      </c>
      <c r="Z2474" s="5">
        <f t="shared" si="776"/>
        <v>0</v>
      </c>
      <c r="AA2474" s="5">
        <f t="shared" si="777"/>
        <v>0</v>
      </c>
      <c r="AB2474" s="5">
        <f t="shared" si="757"/>
        <v>0</v>
      </c>
    </row>
    <row r="2475" spans="4:28" x14ac:dyDescent="0.25">
      <c r="D2475" t="s">
        <v>91</v>
      </c>
      <c r="E2475" s="14"/>
      <c r="F2475" s="14"/>
      <c r="G2475">
        <f>IFERROR(HLOOKUP(G$2,[75]table_male_hkom1_inj.ill_X8!$A$1:$K$36,23,FALSE),0)</f>
        <v>0</v>
      </c>
      <c r="H2475">
        <f>IFERROR(HLOOKUP(H$2,[75]table_male_hkom1_inj.ill_X8!$A$1:$K$36,23,FALSE),0)</f>
        <v>0</v>
      </c>
      <c r="I2475">
        <f>IFERROR(HLOOKUP(I$2,[75]table_male_hkom1_inj.ill_X8!$A$1:$K$36,23,FALSE),0)</f>
        <v>0</v>
      </c>
      <c r="J2475">
        <f>IFERROR(HLOOKUP(J$2,[75]table_male_hkom1_inj.ill_X8!$A$1:$K$36,23,FALSE),0)</f>
        <v>0</v>
      </c>
      <c r="K2475">
        <f>IFERROR(HLOOKUP(K$2,[75]table_male_hkom1_inj.ill_X8!$A$1:$K$36,23,FALSE),0)</f>
        <v>0</v>
      </c>
      <c r="L2475">
        <f>IFERROR(HLOOKUP(L$2,[75]table_male_hkom1_inj.ill_X8!$A$1:$K$36,23,FALSE),0)</f>
        <v>0</v>
      </c>
      <c r="M2475">
        <f t="shared" si="769"/>
        <v>0</v>
      </c>
      <c r="S2475" t="s">
        <v>91</v>
      </c>
      <c r="T2475" s="5">
        <f t="shared" si="770"/>
        <v>0</v>
      </c>
      <c r="U2475" s="5">
        <f t="shared" si="771"/>
        <v>0</v>
      </c>
      <c r="V2475" s="5">
        <f t="shared" si="772"/>
        <v>0</v>
      </c>
      <c r="W2475" s="5">
        <f t="shared" si="773"/>
        <v>0</v>
      </c>
      <c r="X2475" s="5">
        <f t="shared" si="774"/>
        <v>0</v>
      </c>
      <c r="Y2475" s="5">
        <f t="shared" si="775"/>
        <v>0</v>
      </c>
      <c r="Z2475" s="5">
        <f t="shared" si="776"/>
        <v>0</v>
      </c>
      <c r="AA2475" s="5">
        <f t="shared" si="777"/>
        <v>0</v>
      </c>
      <c r="AB2475" s="5">
        <f t="shared" ref="AB2475:AB2538" si="778">SUM(T2475:AA2475)</f>
        <v>0</v>
      </c>
    </row>
    <row r="2476" spans="4:28" x14ac:dyDescent="0.25">
      <c r="D2476" t="s">
        <v>92</v>
      </c>
      <c r="E2476" s="14"/>
      <c r="F2476" s="14"/>
      <c r="G2476">
        <f>IFERROR(HLOOKUP(G$2,[75]table_male_hkom1_inj.ill_X8!$A$1:$K$36,24,FALSE),0)</f>
        <v>0</v>
      </c>
      <c r="H2476">
        <f>IFERROR(HLOOKUP(H$2,[75]table_male_hkom1_inj.ill_X8!$A$1:$K$36,24,FALSE),0)</f>
        <v>0</v>
      </c>
      <c r="I2476">
        <f>IFERROR(HLOOKUP(I$2,[75]table_male_hkom1_inj.ill_X8!$A$1:$K$36,24,FALSE),0)</f>
        <v>0</v>
      </c>
      <c r="J2476">
        <f>IFERROR(HLOOKUP(J$2,[75]table_male_hkom1_inj.ill_X8!$A$1:$K$36,24,FALSE),0)</f>
        <v>0</v>
      </c>
      <c r="K2476">
        <f>IFERROR(HLOOKUP(K$2,[75]table_male_hkom1_inj.ill_X8!$A$1:$K$36,24,FALSE),0)</f>
        <v>0</v>
      </c>
      <c r="L2476">
        <f>IFERROR(HLOOKUP(L$2,[75]table_male_hkom1_inj.ill_X8!$A$1:$K$36,24,FALSE),0)</f>
        <v>0</v>
      </c>
      <c r="M2476">
        <f t="shared" si="769"/>
        <v>0</v>
      </c>
      <c r="S2476" t="s">
        <v>92</v>
      </c>
      <c r="T2476" s="5">
        <f t="shared" si="770"/>
        <v>0</v>
      </c>
      <c r="U2476" s="5">
        <f t="shared" si="771"/>
        <v>0</v>
      </c>
      <c r="V2476" s="5">
        <f t="shared" si="772"/>
        <v>0</v>
      </c>
      <c r="W2476" s="5">
        <f t="shared" si="773"/>
        <v>0</v>
      </c>
      <c r="X2476" s="5">
        <f t="shared" si="774"/>
        <v>0</v>
      </c>
      <c r="Y2476" s="5">
        <f t="shared" si="775"/>
        <v>0</v>
      </c>
      <c r="Z2476" s="5">
        <f t="shared" si="776"/>
        <v>0</v>
      </c>
      <c r="AA2476" s="5">
        <f t="shared" si="777"/>
        <v>0</v>
      </c>
      <c r="AB2476" s="5">
        <f t="shared" si="778"/>
        <v>0</v>
      </c>
    </row>
    <row r="2477" spans="4:28" x14ac:dyDescent="0.25">
      <c r="D2477" t="s">
        <v>93</v>
      </c>
      <c r="E2477" s="14"/>
      <c r="F2477" s="14"/>
      <c r="G2477">
        <f>IFERROR(HLOOKUP(G$2,[75]table_male_hkom1_inj.ill_X8!$A$1:$K$36,25,FALSE),0)</f>
        <v>0</v>
      </c>
      <c r="H2477">
        <f>IFERROR(HLOOKUP(H$2,[75]table_male_hkom1_inj.ill_X8!$A$1:$K$36,25,FALSE),0)</f>
        <v>0</v>
      </c>
      <c r="I2477">
        <f>IFERROR(HLOOKUP(I$2,[75]table_male_hkom1_inj.ill_X8!$A$1:$K$36,25,FALSE),0)</f>
        <v>0</v>
      </c>
      <c r="J2477">
        <f>IFERROR(HLOOKUP(J$2,[75]table_male_hkom1_inj.ill_X8!$A$1:$K$36,25,FALSE),0)</f>
        <v>0</v>
      </c>
      <c r="K2477">
        <f>IFERROR(HLOOKUP(K$2,[75]table_male_hkom1_inj.ill_X8!$A$1:$K$36,25,FALSE),0)</f>
        <v>0</v>
      </c>
      <c r="L2477">
        <f>IFERROR(HLOOKUP(L$2,[75]table_male_hkom1_inj.ill_X8!$A$1:$K$36,25,FALSE),0)</f>
        <v>0</v>
      </c>
      <c r="M2477">
        <f t="shared" si="769"/>
        <v>0</v>
      </c>
      <c r="S2477" t="s">
        <v>93</v>
      </c>
      <c r="T2477" s="5">
        <f t="shared" si="770"/>
        <v>0</v>
      </c>
      <c r="U2477" s="5">
        <f t="shared" si="771"/>
        <v>0</v>
      </c>
      <c r="V2477" s="5">
        <f t="shared" si="772"/>
        <v>0</v>
      </c>
      <c r="W2477" s="5">
        <f t="shared" si="773"/>
        <v>0</v>
      </c>
      <c r="X2477" s="5">
        <f t="shared" si="774"/>
        <v>0</v>
      </c>
      <c r="Y2477" s="5">
        <f t="shared" si="775"/>
        <v>0</v>
      </c>
      <c r="Z2477" s="5">
        <f t="shared" si="776"/>
        <v>0</v>
      </c>
      <c r="AA2477" s="5">
        <f t="shared" si="777"/>
        <v>0</v>
      </c>
      <c r="AB2477" s="5">
        <f t="shared" si="778"/>
        <v>0</v>
      </c>
    </row>
    <row r="2478" spans="4:28" x14ac:dyDescent="0.25">
      <c r="D2478" t="s">
        <v>94</v>
      </c>
      <c r="E2478" s="14"/>
      <c r="F2478" s="14"/>
      <c r="G2478">
        <f>IFERROR(HLOOKUP(G$2,[75]table_male_hkom1_inj.ill_X8!$A$1:$K$36,26,FALSE),0)</f>
        <v>0</v>
      </c>
      <c r="H2478">
        <f>IFERROR(HLOOKUP(H$2,[75]table_male_hkom1_inj.ill_X8!$A$1:$K$36,26,FALSE),0)</f>
        <v>0</v>
      </c>
      <c r="I2478">
        <f>IFERROR(HLOOKUP(I$2,[75]table_male_hkom1_inj.ill_X8!$A$1:$K$36,26,FALSE),0)</f>
        <v>0</v>
      </c>
      <c r="J2478">
        <f>IFERROR(HLOOKUP(J$2,[75]table_male_hkom1_inj.ill_X8!$A$1:$K$36,26,FALSE),0)</f>
        <v>0</v>
      </c>
      <c r="K2478">
        <f>IFERROR(HLOOKUP(K$2,[75]table_male_hkom1_inj.ill_X8!$A$1:$K$36,26,FALSE),0)</f>
        <v>0</v>
      </c>
      <c r="L2478">
        <f>IFERROR(HLOOKUP(L$2,[75]table_male_hkom1_inj.ill_X8!$A$1:$K$36,26,FALSE),0)</f>
        <v>0</v>
      </c>
      <c r="M2478">
        <f t="shared" si="769"/>
        <v>0</v>
      </c>
      <c r="S2478" t="s">
        <v>94</v>
      </c>
      <c r="T2478" s="5">
        <f t="shared" si="770"/>
        <v>0</v>
      </c>
      <c r="U2478" s="5">
        <f t="shared" si="771"/>
        <v>0</v>
      </c>
      <c r="V2478" s="5">
        <f t="shared" si="772"/>
        <v>0</v>
      </c>
      <c r="W2478" s="5">
        <f t="shared" si="773"/>
        <v>0</v>
      </c>
      <c r="X2478" s="5">
        <f t="shared" si="774"/>
        <v>0</v>
      </c>
      <c r="Y2478" s="5">
        <f t="shared" si="775"/>
        <v>0</v>
      </c>
      <c r="Z2478" s="5">
        <f t="shared" si="776"/>
        <v>0</v>
      </c>
      <c r="AA2478" s="5">
        <f t="shared" si="777"/>
        <v>0</v>
      </c>
      <c r="AB2478" s="5">
        <f t="shared" si="778"/>
        <v>0</v>
      </c>
    </row>
    <row r="2479" spans="4:28" x14ac:dyDescent="0.25">
      <c r="D2479" t="s">
        <v>95</v>
      </c>
      <c r="E2479" s="14"/>
      <c r="F2479" s="14"/>
      <c r="G2479">
        <f>IFERROR(HLOOKUP(G$2,[75]table_male_hkom1_inj.ill_X8!$A$1:$K$36,27,FALSE),0)</f>
        <v>0</v>
      </c>
      <c r="H2479">
        <f>IFERROR(HLOOKUP(H$2,[75]table_male_hkom1_inj.ill_X8!$A$1:$K$36,27,FALSE),0)</f>
        <v>0</v>
      </c>
      <c r="I2479">
        <f>IFERROR(HLOOKUP(I$2,[75]table_male_hkom1_inj.ill_X8!$A$1:$K$36,27,FALSE),0)</f>
        <v>0</v>
      </c>
      <c r="J2479">
        <f>IFERROR(HLOOKUP(J$2,[75]table_male_hkom1_inj.ill_X8!$A$1:$K$36,27,FALSE),0)</f>
        <v>0</v>
      </c>
      <c r="K2479">
        <f>IFERROR(HLOOKUP(K$2,[75]table_male_hkom1_inj.ill_X8!$A$1:$K$36,27,FALSE),0)</f>
        <v>0</v>
      </c>
      <c r="L2479">
        <f>IFERROR(HLOOKUP(L$2,[75]table_male_hkom1_inj.ill_X8!$A$1:$K$36,27,FALSE),0)</f>
        <v>0</v>
      </c>
      <c r="M2479">
        <f t="shared" si="769"/>
        <v>0</v>
      </c>
      <c r="S2479" t="s">
        <v>95</v>
      </c>
      <c r="T2479" s="5">
        <f t="shared" si="770"/>
        <v>0</v>
      </c>
      <c r="U2479" s="5">
        <f t="shared" si="771"/>
        <v>0</v>
      </c>
      <c r="V2479" s="5">
        <f t="shared" si="772"/>
        <v>0</v>
      </c>
      <c r="W2479" s="5">
        <f t="shared" si="773"/>
        <v>0</v>
      </c>
      <c r="X2479" s="5">
        <f t="shared" si="774"/>
        <v>0</v>
      </c>
      <c r="Y2479" s="5">
        <f t="shared" si="775"/>
        <v>0</v>
      </c>
      <c r="Z2479" s="5">
        <f t="shared" si="776"/>
        <v>0</v>
      </c>
      <c r="AA2479" s="5">
        <f t="shared" si="777"/>
        <v>0</v>
      </c>
      <c r="AB2479" s="5">
        <f t="shared" si="778"/>
        <v>0</v>
      </c>
    </row>
    <row r="2480" spans="4:28" x14ac:dyDescent="0.25">
      <c r="D2480" t="s">
        <v>96</v>
      </c>
      <c r="E2480" s="14"/>
      <c r="F2480" s="14"/>
      <c r="G2480">
        <f>IFERROR(HLOOKUP(G$2,[75]table_male_hkom1_inj.ill_X8!$A$1:$K$36,28,FALSE),0)</f>
        <v>0</v>
      </c>
      <c r="H2480">
        <f>IFERROR(HLOOKUP(H$2,[75]table_male_hkom1_inj.ill_X8!$A$1:$K$36,28,FALSE),0)</f>
        <v>0</v>
      </c>
      <c r="I2480">
        <f>IFERROR(HLOOKUP(I$2,[75]table_male_hkom1_inj.ill_X8!$A$1:$K$36,28,FALSE),0)</f>
        <v>0</v>
      </c>
      <c r="J2480">
        <f>IFERROR(HLOOKUP(J$2,[75]table_male_hkom1_inj.ill_X8!$A$1:$K$36,28,FALSE),0)</f>
        <v>0</v>
      </c>
      <c r="K2480">
        <f>IFERROR(HLOOKUP(K$2,[75]table_male_hkom1_inj.ill_X8!$A$1:$K$36,28,FALSE),0)</f>
        <v>0</v>
      </c>
      <c r="L2480">
        <f>IFERROR(HLOOKUP(L$2,[75]table_male_hkom1_inj.ill_X8!$A$1:$K$36,28,FALSE),0)</f>
        <v>0</v>
      </c>
      <c r="M2480">
        <f t="shared" si="769"/>
        <v>0</v>
      </c>
      <c r="S2480" t="s">
        <v>96</v>
      </c>
      <c r="T2480" s="5">
        <f t="shared" si="770"/>
        <v>0</v>
      </c>
      <c r="U2480" s="5">
        <f t="shared" si="771"/>
        <v>0</v>
      </c>
      <c r="V2480" s="5">
        <f t="shared" si="772"/>
        <v>0</v>
      </c>
      <c r="W2480" s="5">
        <f t="shared" si="773"/>
        <v>0</v>
      </c>
      <c r="X2480" s="5">
        <f t="shared" si="774"/>
        <v>0</v>
      </c>
      <c r="Y2480" s="5">
        <f t="shared" si="775"/>
        <v>0</v>
      </c>
      <c r="Z2480" s="5">
        <f t="shared" si="776"/>
        <v>0</v>
      </c>
      <c r="AA2480" s="5">
        <f t="shared" si="777"/>
        <v>0</v>
      </c>
      <c r="AB2480" s="5">
        <f t="shared" si="778"/>
        <v>0</v>
      </c>
    </row>
    <row r="2481" spans="1:29" x14ac:dyDescent="0.25">
      <c r="D2481" t="s">
        <v>97</v>
      </c>
      <c r="E2481" s="14"/>
      <c r="F2481" s="14"/>
      <c r="G2481">
        <f>IFERROR(HLOOKUP(G$2,[75]table_male_hkom1_inj.ill_X8!$A$1:$K$36,29,FALSE),0)</f>
        <v>0</v>
      </c>
      <c r="H2481">
        <f>IFERROR(HLOOKUP(H$2,[75]table_male_hkom1_inj.ill_X8!$A$1:$K$36,29,FALSE),0)</f>
        <v>0</v>
      </c>
      <c r="I2481">
        <f>IFERROR(HLOOKUP(I$2,[75]table_male_hkom1_inj.ill_X8!$A$1:$K$36,29,FALSE),0)</f>
        <v>0</v>
      </c>
      <c r="J2481">
        <f>IFERROR(HLOOKUP(J$2,[75]table_male_hkom1_inj.ill_X8!$A$1:$K$36,29,FALSE),0)</f>
        <v>0</v>
      </c>
      <c r="K2481">
        <f>IFERROR(HLOOKUP(K$2,[75]table_male_hkom1_inj.ill_X8!$A$1:$K$36,29,FALSE),0)</f>
        <v>0</v>
      </c>
      <c r="L2481">
        <f>IFERROR(HLOOKUP(L$2,[75]table_male_hkom1_inj.ill_X8!$A$1:$K$36,29,FALSE),0)</f>
        <v>0</v>
      </c>
      <c r="M2481">
        <f t="shared" si="769"/>
        <v>0</v>
      </c>
      <c r="S2481" t="s">
        <v>97</v>
      </c>
      <c r="T2481" s="5">
        <f t="shared" si="770"/>
        <v>0</v>
      </c>
      <c r="U2481" s="5">
        <f t="shared" si="771"/>
        <v>0</v>
      </c>
      <c r="V2481" s="5">
        <f t="shared" si="772"/>
        <v>0</v>
      </c>
      <c r="W2481" s="5">
        <f t="shared" si="773"/>
        <v>0</v>
      </c>
      <c r="X2481" s="5">
        <f t="shared" si="774"/>
        <v>0</v>
      </c>
      <c r="Y2481" s="5">
        <f t="shared" si="775"/>
        <v>0</v>
      </c>
      <c r="Z2481" s="5">
        <f t="shared" si="776"/>
        <v>0</v>
      </c>
      <c r="AA2481" s="5">
        <f t="shared" si="777"/>
        <v>0</v>
      </c>
      <c r="AB2481" s="5">
        <f t="shared" si="778"/>
        <v>0</v>
      </c>
    </row>
    <row r="2482" spans="1:29" x14ac:dyDescent="0.25">
      <c r="D2482" t="s">
        <v>98</v>
      </c>
      <c r="E2482" s="14"/>
      <c r="F2482" s="14"/>
      <c r="G2482">
        <f>IFERROR(HLOOKUP(G$2,[75]table_male_hkom1_inj.ill_X8!$A$1:$K$36,30,FALSE),0)</f>
        <v>0</v>
      </c>
      <c r="H2482">
        <f>IFERROR(HLOOKUP(H$2,[75]table_male_hkom1_inj.ill_X8!$A$1:$K$36,30,FALSE),0)</f>
        <v>0</v>
      </c>
      <c r="I2482">
        <f>IFERROR(HLOOKUP(I$2,[75]table_male_hkom1_inj.ill_X8!$A$1:$K$36,30,FALSE),0)</f>
        <v>0</v>
      </c>
      <c r="J2482">
        <f>IFERROR(HLOOKUP(J$2,[75]table_male_hkom1_inj.ill_X8!$A$1:$K$36,30,FALSE),0)</f>
        <v>0</v>
      </c>
      <c r="K2482">
        <f>IFERROR(HLOOKUP(K$2,[75]table_male_hkom1_inj.ill_X8!$A$1:$K$36,30,FALSE),0)</f>
        <v>0</v>
      </c>
      <c r="L2482">
        <f>IFERROR(HLOOKUP(L$2,[75]table_male_hkom1_inj.ill_X8!$A$1:$K$36,30,FALSE),0)</f>
        <v>0</v>
      </c>
      <c r="M2482">
        <f t="shared" si="769"/>
        <v>0</v>
      </c>
      <c r="S2482" t="s">
        <v>98</v>
      </c>
      <c r="T2482" s="5">
        <f t="shared" si="770"/>
        <v>0</v>
      </c>
      <c r="U2482" s="5">
        <f t="shared" si="771"/>
        <v>0</v>
      </c>
      <c r="V2482" s="5">
        <f t="shared" si="772"/>
        <v>0</v>
      </c>
      <c r="W2482" s="5">
        <f t="shared" si="773"/>
        <v>0</v>
      </c>
      <c r="X2482" s="5">
        <f t="shared" si="774"/>
        <v>0</v>
      </c>
      <c r="Y2482" s="5">
        <f t="shared" si="775"/>
        <v>0</v>
      </c>
      <c r="Z2482" s="5">
        <f t="shared" si="776"/>
        <v>0</v>
      </c>
      <c r="AA2482" s="5">
        <f t="shared" si="777"/>
        <v>0</v>
      </c>
      <c r="AB2482" s="5">
        <f t="shared" si="778"/>
        <v>0</v>
      </c>
    </row>
    <row r="2483" spans="1:29" x14ac:dyDescent="0.25">
      <c r="D2483" t="s">
        <v>119</v>
      </c>
      <c r="E2483" s="14"/>
      <c r="F2483" s="14"/>
      <c r="G2483">
        <f>IFERROR(HLOOKUP(G$2,[75]table_male_hkom1_inj.ill_X8!$A$1:$K$36,31,FALSE),0)</f>
        <v>0</v>
      </c>
      <c r="H2483">
        <f>IFERROR(HLOOKUP(H$2,[75]table_male_hkom1_inj.ill_X8!$A$1:$K$36,31,FALSE),0)</f>
        <v>0</v>
      </c>
      <c r="I2483">
        <f>IFERROR(HLOOKUP(I$2,[75]table_male_hkom1_inj.ill_X8!$A$1:$K$36,31,FALSE),0)</f>
        <v>0</v>
      </c>
      <c r="J2483">
        <f>IFERROR(HLOOKUP(J$2,[75]table_male_hkom1_inj.ill_X8!$A$1:$K$36,31,FALSE),0)</f>
        <v>0</v>
      </c>
      <c r="K2483">
        <f>IFERROR(HLOOKUP(K$2,[75]table_male_hkom1_inj.ill_X8!$A$1:$K$36,31,FALSE),0)</f>
        <v>0</v>
      </c>
      <c r="L2483">
        <f>IFERROR(HLOOKUP(L$2,[75]table_male_hkom1_inj.ill_X8!$A$1:$K$36,31,FALSE),0)</f>
        <v>0</v>
      </c>
      <c r="M2483">
        <f t="shared" si="769"/>
        <v>0</v>
      </c>
      <c r="S2483" t="s">
        <v>119</v>
      </c>
      <c r="T2483" s="5">
        <f t="shared" si="770"/>
        <v>0</v>
      </c>
      <c r="U2483" s="5">
        <f t="shared" si="771"/>
        <v>0</v>
      </c>
      <c r="V2483" s="5">
        <f t="shared" si="772"/>
        <v>0</v>
      </c>
      <c r="W2483" s="5">
        <f t="shared" si="773"/>
        <v>0</v>
      </c>
      <c r="X2483" s="5">
        <f t="shared" si="774"/>
        <v>0</v>
      </c>
      <c r="Y2483" s="5">
        <f t="shared" si="775"/>
        <v>0</v>
      </c>
      <c r="Z2483" s="5">
        <f t="shared" si="776"/>
        <v>0</v>
      </c>
      <c r="AA2483" s="5">
        <f t="shared" si="777"/>
        <v>0</v>
      </c>
      <c r="AB2483" s="5">
        <f t="shared" si="778"/>
        <v>0</v>
      </c>
    </row>
    <row r="2484" spans="1:29" x14ac:dyDescent="0.25">
      <c r="D2484" t="s">
        <v>99</v>
      </c>
      <c r="E2484" s="14"/>
      <c r="F2484" s="14"/>
      <c r="G2484">
        <f>IFERROR(HLOOKUP(G$2,[75]table_male_hkom1_inj.ill_X8!$A$1:$K$36,32,FALSE),0)</f>
        <v>0</v>
      </c>
      <c r="H2484">
        <f>IFERROR(HLOOKUP(H$2,[75]table_male_hkom1_inj.ill_X8!$A$1:$K$36,32,FALSE),0)</f>
        <v>1</v>
      </c>
      <c r="I2484">
        <f>IFERROR(HLOOKUP(I$2,[75]table_male_hkom1_inj.ill_X8!$A$1:$K$36,32,FALSE),0)</f>
        <v>0</v>
      </c>
      <c r="J2484">
        <f>IFERROR(HLOOKUP(J$2,[75]table_male_hkom1_inj.ill_X8!$A$1:$K$36,32,FALSE),0)</f>
        <v>0</v>
      </c>
      <c r="K2484">
        <f>IFERROR(HLOOKUP(K$2,[75]table_male_hkom1_inj.ill_X8!$A$1:$K$36,32,FALSE),0)</f>
        <v>0</v>
      </c>
      <c r="L2484">
        <f>IFERROR(HLOOKUP(L$2,[75]table_male_hkom1_inj.ill_X8!$A$1:$K$36,32,FALSE),0)</f>
        <v>0</v>
      </c>
      <c r="M2484">
        <f t="shared" si="769"/>
        <v>1</v>
      </c>
      <c r="S2484" t="s">
        <v>99</v>
      </c>
      <c r="T2484" s="5">
        <f t="shared" si="770"/>
        <v>0</v>
      </c>
      <c r="U2484" s="5">
        <f t="shared" si="771"/>
        <v>0</v>
      </c>
      <c r="V2484" s="5">
        <f t="shared" si="772"/>
        <v>0</v>
      </c>
      <c r="W2484" s="5">
        <f t="shared" si="773"/>
        <v>1.9333333333333333</v>
      </c>
      <c r="X2484" s="5">
        <f t="shared" si="774"/>
        <v>0</v>
      </c>
      <c r="Y2484" s="5">
        <f t="shared" si="775"/>
        <v>0</v>
      </c>
      <c r="Z2484" s="5">
        <f t="shared" si="776"/>
        <v>0</v>
      </c>
      <c r="AA2484" s="5">
        <f t="shared" si="777"/>
        <v>0</v>
      </c>
      <c r="AB2484" s="5">
        <f t="shared" si="778"/>
        <v>1.9333333333333333</v>
      </c>
    </row>
    <row r="2485" spans="1:29" x14ac:dyDescent="0.25">
      <c r="D2485" t="s">
        <v>100</v>
      </c>
      <c r="E2485" s="14"/>
      <c r="F2485" s="14"/>
      <c r="G2485">
        <f>IFERROR(HLOOKUP(G$2,[75]table_male_hkom1_inj.ill_X8!$A$1:$K$36,33,FALSE),0)</f>
        <v>0</v>
      </c>
      <c r="H2485">
        <f>IFERROR(HLOOKUP(H$2,[75]table_male_hkom1_inj.ill_X8!$A$1:$K$36,33,FALSE),0)</f>
        <v>0</v>
      </c>
      <c r="I2485">
        <f>IFERROR(HLOOKUP(I$2,[75]table_male_hkom1_inj.ill_X8!$A$1:$K$36,33,FALSE),0)</f>
        <v>0</v>
      </c>
      <c r="J2485">
        <f>IFERROR(HLOOKUP(J$2,[75]table_male_hkom1_inj.ill_X8!$A$1:$K$36,33,FALSE),0)</f>
        <v>0</v>
      </c>
      <c r="K2485">
        <f>IFERROR(HLOOKUP(K$2,[75]table_male_hkom1_inj.ill_X8!$A$1:$K$36,33,FALSE),0)</f>
        <v>0</v>
      </c>
      <c r="L2485">
        <f>IFERROR(HLOOKUP(L$2,[75]table_male_hkom1_inj.ill_X8!$A$1:$K$36,33,FALSE),0)</f>
        <v>0</v>
      </c>
      <c r="M2485">
        <f t="shared" si="769"/>
        <v>0</v>
      </c>
      <c r="S2485" t="s">
        <v>100</v>
      </c>
      <c r="T2485" s="5">
        <f t="shared" si="770"/>
        <v>0</v>
      </c>
      <c r="U2485" s="5">
        <f t="shared" si="771"/>
        <v>0</v>
      </c>
      <c r="V2485" s="5">
        <f t="shared" si="772"/>
        <v>0</v>
      </c>
      <c r="W2485" s="5">
        <f t="shared" si="773"/>
        <v>0</v>
      </c>
      <c r="X2485" s="5">
        <f t="shared" si="774"/>
        <v>0</v>
      </c>
      <c r="Y2485" s="5">
        <f t="shared" si="775"/>
        <v>0</v>
      </c>
      <c r="Z2485" s="5">
        <f t="shared" si="776"/>
        <v>0</v>
      </c>
      <c r="AA2485" s="5">
        <f t="shared" si="777"/>
        <v>0</v>
      </c>
      <c r="AB2485" s="5">
        <f t="shared" si="778"/>
        <v>0</v>
      </c>
    </row>
    <row r="2486" spans="1:29" x14ac:dyDescent="0.25">
      <c r="D2486" t="s">
        <v>101</v>
      </c>
      <c r="E2486" s="14"/>
      <c r="F2486" s="14"/>
      <c r="G2486">
        <f>IFERROR(HLOOKUP(G$2,[75]table_male_hkom1_inj.ill_X8!$A$1:$K$36,34,FALSE),0)</f>
        <v>0</v>
      </c>
      <c r="H2486">
        <f>IFERROR(HLOOKUP(H$2,[75]table_male_hkom1_inj.ill_X8!$A$1:$K$36,34,FALSE),0)</f>
        <v>1</v>
      </c>
      <c r="I2486">
        <f>IFERROR(HLOOKUP(I$2,[75]table_male_hkom1_inj.ill_X8!$A$1:$K$36,34,FALSE),0)</f>
        <v>0</v>
      </c>
      <c r="J2486">
        <f>IFERROR(HLOOKUP(J$2,[75]table_male_hkom1_inj.ill_X8!$A$1:$K$36,34,FALSE),0)</f>
        <v>0</v>
      </c>
      <c r="K2486">
        <f>IFERROR(HLOOKUP(K$2,[75]table_male_hkom1_inj.ill_X8!$A$1:$K$36,34,FALSE),0)</f>
        <v>0</v>
      </c>
      <c r="L2486">
        <f>IFERROR(HLOOKUP(L$2,[75]table_male_hkom1_inj.ill_X8!$A$1:$K$36,34,FALSE),0)</f>
        <v>0</v>
      </c>
      <c r="M2486">
        <f t="shared" si="769"/>
        <v>1</v>
      </c>
      <c r="S2486" t="s">
        <v>101</v>
      </c>
      <c r="T2486" s="5">
        <f t="shared" si="770"/>
        <v>0</v>
      </c>
      <c r="U2486" s="5">
        <f t="shared" si="771"/>
        <v>0</v>
      </c>
      <c r="V2486" s="5">
        <f t="shared" si="772"/>
        <v>0</v>
      </c>
      <c r="W2486" s="5">
        <f t="shared" si="773"/>
        <v>1.9333333333333333</v>
      </c>
      <c r="X2486" s="5">
        <f t="shared" si="774"/>
        <v>0</v>
      </c>
      <c r="Y2486" s="5">
        <f t="shared" si="775"/>
        <v>0</v>
      </c>
      <c r="Z2486" s="5">
        <f t="shared" si="776"/>
        <v>0</v>
      </c>
      <c r="AA2486" s="5">
        <f t="shared" si="777"/>
        <v>0</v>
      </c>
      <c r="AB2486" s="5">
        <f t="shared" si="778"/>
        <v>1.9333333333333333</v>
      </c>
    </row>
    <row r="2487" spans="1:29" x14ac:dyDescent="0.25">
      <c r="D2487" t="s">
        <v>102</v>
      </c>
      <c r="E2487" s="14"/>
      <c r="F2487" s="14"/>
      <c r="G2487">
        <f>IFERROR(HLOOKUP(G$2,[75]table_male_hkom1_inj.ill_X8!$A$1:$K$36,35,FALSE),0)</f>
        <v>10</v>
      </c>
      <c r="H2487">
        <f>IFERROR(HLOOKUP(H$2,[75]table_male_hkom1_inj.ill_X8!$A$1:$K$36,35,FALSE),0)</f>
        <v>14</v>
      </c>
      <c r="I2487">
        <f>IFERROR(HLOOKUP(I$2,[75]table_male_hkom1_inj.ill_X8!$A$1:$K$36,35,FALSE),0)</f>
        <v>6</v>
      </c>
      <c r="J2487">
        <f>IFERROR(HLOOKUP(J$2,[75]table_male_hkom1_inj.ill_X8!$A$1:$K$36,35,FALSE),0)</f>
        <v>3</v>
      </c>
      <c r="K2487">
        <f>IFERROR(HLOOKUP(K$2,[75]table_male_hkom1_inj.ill_X8!$A$1:$K$36,35,FALSE),0)</f>
        <v>0</v>
      </c>
      <c r="L2487">
        <f>IFERROR(HLOOKUP(L$2,[75]table_male_hkom1_inj.ill_X8!$A$1:$K$36,35,FALSE),0)</f>
        <v>0</v>
      </c>
      <c r="M2487">
        <f t="shared" si="769"/>
        <v>33</v>
      </c>
      <c r="N2487">
        <f>SUM(M2454:M2487)</f>
        <v>74</v>
      </c>
      <c r="O2487" s="8">
        <f>SUM([75]table_male_hkom1_inj.ill_X8!$B$2:$L$37)</f>
        <v>74</v>
      </c>
      <c r="S2487" t="s">
        <v>102</v>
      </c>
      <c r="T2487" s="7"/>
      <c r="U2487" s="7"/>
      <c r="V2487" s="7"/>
      <c r="W2487" s="7"/>
      <c r="X2487" s="7"/>
      <c r="Y2487" s="7"/>
      <c r="Z2487" s="7"/>
      <c r="AA2487" s="7"/>
      <c r="AB2487" s="5">
        <f t="shared" si="778"/>
        <v>0</v>
      </c>
      <c r="AC2487" s="5">
        <f>SUM(AB2454:AB2486)</f>
        <v>74</v>
      </c>
    </row>
    <row r="2488" spans="1:29" x14ac:dyDescent="0.25">
      <c r="A2488" t="s">
        <v>104</v>
      </c>
      <c r="B2488" t="s">
        <v>116</v>
      </c>
      <c r="C2488" t="s">
        <v>124</v>
      </c>
      <c r="D2488" t="s">
        <v>70</v>
      </c>
      <c r="E2488" s="14"/>
      <c r="F2488" s="14"/>
      <c r="G2488">
        <f>IFERROR(HLOOKUP(G$2,[76]table_male_hkom2_inj.ill_X2!$A$1:$K$36,2,FALSE),0)</f>
        <v>0</v>
      </c>
      <c r="H2488">
        <f>IFERROR(HLOOKUP(H$2,[76]table_male_hkom2_inj.ill_X2!$A$1:$K$36,2,FALSE),0)</f>
        <v>0</v>
      </c>
      <c r="I2488">
        <f>IFERROR(HLOOKUP(I$2,[76]table_male_hkom2_inj.ill_X2!$A$1:$K$36,2,FALSE),0)</f>
        <v>0</v>
      </c>
      <c r="J2488">
        <f>IFERROR(HLOOKUP(J$2,[76]table_male_hkom2_inj.ill_X2!$A$1:$K$36,2,FALSE),0)</f>
        <v>0</v>
      </c>
      <c r="K2488">
        <f>IFERROR(HLOOKUP(K$2,[76]table_male_hkom2_inj.ill_X2!$A$1:$K$36,2,FALSE),0)</f>
        <v>0</v>
      </c>
      <c r="L2488">
        <f>IFERROR(HLOOKUP(L$2,[76]table_male_hkom2_inj.ill_X2!$A$1:$K$36,2,FALSE),0)</f>
        <v>0</v>
      </c>
      <c r="M2488">
        <f>SUM(E2488:L2488)</f>
        <v>0</v>
      </c>
      <c r="P2488" t="s">
        <v>104</v>
      </c>
      <c r="Q2488" t="s">
        <v>116</v>
      </c>
      <c r="R2488" t="s">
        <v>124</v>
      </c>
      <c r="S2488" t="s">
        <v>70</v>
      </c>
      <c r="T2488" s="5">
        <f>IF(SUM(E$2488:E$2520)=0,E$2521/33,E2488+IFERROR(E2488/SUM(E$2488:E$2520)*E$2521,0))</f>
        <v>0</v>
      </c>
      <c r="U2488" s="5">
        <f t="shared" ref="U2488:AA2488" si="779">IF(SUM(F$2488:F$2520)=0,F$2521/33,F2488+IFERROR(F2488/SUM(F$2488:F$2520)*F$2521,0))</f>
        <v>0</v>
      </c>
      <c r="V2488" s="5">
        <f t="shared" si="779"/>
        <v>0</v>
      </c>
      <c r="W2488" s="5">
        <f t="shared" si="779"/>
        <v>0</v>
      </c>
      <c r="X2488" s="5">
        <f t="shared" si="779"/>
        <v>0</v>
      </c>
      <c r="Y2488" s="5">
        <f t="shared" si="779"/>
        <v>0</v>
      </c>
      <c r="Z2488" s="5">
        <f t="shared" si="779"/>
        <v>0</v>
      </c>
      <c r="AA2488" s="5">
        <f t="shared" si="779"/>
        <v>0</v>
      </c>
      <c r="AB2488" s="5">
        <f t="shared" si="778"/>
        <v>0</v>
      </c>
    </row>
    <row r="2489" spans="1:29" x14ac:dyDescent="0.25">
      <c r="D2489" t="s">
        <v>71</v>
      </c>
      <c r="E2489" s="14"/>
      <c r="F2489" s="14"/>
      <c r="G2489">
        <f>IFERROR(HLOOKUP(G$2,[76]table_male_hkom2_inj.ill_X2!$A$1:$K$36,3,FALSE),0)</f>
        <v>0</v>
      </c>
      <c r="H2489">
        <f>IFERROR(HLOOKUP(H$2,[76]table_male_hkom2_inj.ill_X2!$A$1:$K$36,3,FALSE),0)</f>
        <v>0</v>
      </c>
      <c r="I2489">
        <f>IFERROR(HLOOKUP(I$2,[76]table_male_hkom2_inj.ill_X2!$A$1:$K$36,3,FALSE),0)</f>
        <v>0</v>
      </c>
      <c r="J2489">
        <f>IFERROR(HLOOKUP(J$2,[76]table_male_hkom2_inj.ill_X2!$A$1:$K$36,3,FALSE),0)</f>
        <v>0</v>
      </c>
      <c r="K2489">
        <f>IFERROR(HLOOKUP(K$2,[76]table_male_hkom2_inj.ill_X2!$A$1:$K$36,3,FALSE),0)</f>
        <v>0</v>
      </c>
      <c r="L2489">
        <f>IFERROR(HLOOKUP(L$2,[76]table_male_hkom2_inj.ill_X2!$A$1:$K$36,3,FALSE),0)</f>
        <v>0</v>
      </c>
      <c r="M2489">
        <f t="shared" ref="M2489:M2521" si="780">SUM(E2489:L2489)</f>
        <v>0</v>
      </c>
      <c r="S2489" t="s">
        <v>71</v>
      </c>
      <c r="T2489" s="5">
        <f t="shared" ref="T2489:T2520" si="781">IF(SUM(E$2488:E$2520)=0,E$2521/33,E2489+IFERROR(E2489/SUM(E$2488:E$2520)*E$2521,0))</f>
        <v>0</v>
      </c>
      <c r="U2489" s="5">
        <f t="shared" ref="U2489:U2520" si="782">IF(SUM(F$2488:F$2520)=0,F$2521/33,F2489+IFERROR(F2489/SUM(F$2488:F$2520)*F$2521,0))</f>
        <v>0</v>
      </c>
      <c r="V2489" s="5">
        <f t="shared" ref="V2489:V2520" si="783">IF(SUM(G$2488:G$2520)=0,G$2521/33,G2489+IFERROR(G2489/SUM(G$2488:G$2520)*G$2521,0))</f>
        <v>0</v>
      </c>
      <c r="W2489" s="5">
        <f t="shared" ref="W2489:W2520" si="784">IF(SUM(H$2488:H$2520)=0,H$2521/33,H2489+IFERROR(H2489/SUM(H$2488:H$2520)*H$2521,0))</f>
        <v>0</v>
      </c>
      <c r="X2489" s="5">
        <f t="shared" ref="X2489:X2520" si="785">IF(SUM(I$2488:I$2520)=0,I$2521/33,I2489+IFERROR(I2489/SUM(I$2488:I$2520)*I$2521,0))</f>
        <v>0</v>
      </c>
      <c r="Y2489" s="5">
        <f t="shared" ref="Y2489:Y2520" si="786">IF(SUM(J$2488:J$2520)=0,J$2521/33,J2489+IFERROR(J2489/SUM(J$2488:J$2520)*J$2521,0))</f>
        <v>0</v>
      </c>
      <c r="Z2489" s="5">
        <f t="shared" ref="Z2489:Z2520" si="787">IF(SUM(K$2488:K$2520)=0,K$2521/33,K2489+IFERROR(K2489/SUM(K$2488:K$2520)*K$2521,0))</f>
        <v>0</v>
      </c>
      <c r="AA2489" s="5">
        <f t="shared" ref="AA2489:AA2520" si="788">IF(SUM(L$2488:L$2520)=0,L$2521/33,L2489+IFERROR(L2489/SUM(L$2488:L$2520)*L$2521,0))</f>
        <v>0</v>
      </c>
      <c r="AB2489" s="5">
        <f t="shared" si="778"/>
        <v>0</v>
      </c>
    </row>
    <row r="2490" spans="1:29" x14ac:dyDescent="0.25">
      <c r="D2490" t="s">
        <v>72</v>
      </c>
      <c r="E2490" s="14"/>
      <c r="F2490" s="14"/>
      <c r="G2490">
        <f>IFERROR(HLOOKUP(G$2,[76]table_male_hkom2_inj.ill_X2!$A$1:$K$36,4,FALSE),0)</f>
        <v>0</v>
      </c>
      <c r="H2490">
        <f>IFERROR(HLOOKUP(H$2,[76]table_male_hkom2_inj.ill_X2!$A$1:$K$36,4,FALSE),0)</f>
        <v>0</v>
      </c>
      <c r="I2490">
        <f>IFERROR(HLOOKUP(I$2,[76]table_male_hkom2_inj.ill_X2!$A$1:$K$36,4,FALSE),0)</f>
        <v>0</v>
      </c>
      <c r="J2490">
        <f>IFERROR(HLOOKUP(J$2,[76]table_male_hkom2_inj.ill_X2!$A$1:$K$36,4,FALSE),0)</f>
        <v>0</v>
      </c>
      <c r="K2490">
        <f>IFERROR(HLOOKUP(K$2,[76]table_male_hkom2_inj.ill_X2!$A$1:$K$36,4,FALSE),0)</f>
        <v>0</v>
      </c>
      <c r="L2490">
        <f>IFERROR(HLOOKUP(L$2,[76]table_male_hkom2_inj.ill_X2!$A$1:$K$36,4,FALSE),0)</f>
        <v>0</v>
      </c>
      <c r="M2490">
        <f t="shared" si="780"/>
        <v>0</v>
      </c>
      <c r="S2490" t="s">
        <v>72</v>
      </c>
      <c r="T2490" s="5">
        <f t="shared" si="781"/>
        <v>0</v>
      </c>
      <c r="U2490" s="5">
        <f t="shared" si="782"/>
        <v>0</v>
      </c>
      <c r="V2490" s="5">
        <f t="shared" si="783"/>
        <v>0</v>
      </c>
      <c r="W2490" s="5">
        <f t="shared" si="784"/>
        <v>0</v>
      </c>
      <c r="X2490" s="5">
        <f t="shared" si="785"/>
        <v>0</v>
      </c>
      <c r="Y2490" s="5">
        <f t="shared" si="786"/>
        <v>0</v>
      </c>
      <c r="Z2490" s="5">
        <f t="shared" si="787"/>
        <v>0</v>
      </c>
      <c r="AA2490" s="5">
        <f t="shared" si="788"/>
        <v>0</v>
      </c>
      <c r="AB2490" s="5">
        <f t="shared" si="778"/>
        <v>0</v>
      </c>
    </row>
    <row r="2491" spans="1:29" x14ac:dyDescent="0.25">
      <c r="D2491" t="s">
        <v>73</v>
      </c>
      <c r="E2491" s="14"/>
      <c r="F2491" s="14"/>
      <c r="G2491">
        <f>IFERROR(HLOOKUP(G$2,[76]table_male_hkom2_inj.ill_X2!$A$1:$K$36,5,FALSE),0)</f>
        <v>0</v>
      </c>
      <c r="H2491">
        <f>IFERROR(HLOOKUP(H$2,[76]table_male_hkom2_inj.ill_X2!$A$1:$K$36,5,FALSE),0)</f>
        <v>0</v>
      </c>
      <c r="I2491">
        <f>IFERROR(HLOOKUP(I$2,[76]table_male_hkom2_inj.ill_X2!$A$1:$K$36,5,FALSE),0)</f>
        <v>0</v>
      </c>
      <c r="J2491">
        <f>IFERROR(HLOOKUP(J$2,[76]table_male_hkom2_inj.ill_X2!$A$1:$K$36,5,FALSE),0)</f>
        <v>0</v>
      </c>
      <c r="K2491">
        <f>IFERROR(HLOOKUP(K$2,[76]table_male_hkom2_inj.ill_X2!$A$1:$K$36,5,FALSE),0)</f>
        <v>0</v>
      </c>
      <c r="L2491">
        <f>IFERROR(HLOOKUP(L$2,[76]table_male_hkom2_inj.ill_X2!$A$1:$K$36,5,FALSE),0)</f>
        <v>0</v>
      </c>
      <c r="M2491">
        <f t="shared" si="780"/>
        <v>0</v>
      </c>
      <c r="S2491" t="s">
        <v>73</v>
      </c>
      <c r="T2491" s="5">
        <f t="shared" si="781"/>
        <v>0</v>
      </c>
      <c r="U2491" s="5">
        <f t="shared" si="782"/>
        <v>0</v>
      </c>
      <c r="V2491" s="5">
        <f t="shared" si="783"/>
        <v>0</v>
      </c>
      <c r="W2491" s="5">
        <f t="shared" si="784"/>
        <v>0</v>
      </c>
      <c r="X2491" s="5">
        <f t="shared" si="785"/>
        <v>0</v>
      </c>
      <c r="Y2491" s="5">
        <f t="shared" si="786"/>
        <v>0</v>
      </c>
      <c r="Z2491" s="5">
        <f t="shared" si="787"/>
        <v>0</v>
      </c>
      <c r="AA2491" s="5">
        <f t="shared" si="788"/>
        <v>0</v>
      </c>
      <c r="AB2491" s="5">
        <f t="shared" si="778"/>
        <v>0</v>
      </c>
    </row>
    <row r="2492" spans="1:29" x14ac:dyDescent="0.25">
      <c r="D2492" t="s">
        <v>74</v>
      </c>
      <c r="E2492" s="14"/>
      <c r="F2492" s="14"/>
      <c r="G2492">
        <f>IFERROR(HLOOKUP(G$2,[76]table_male_hkom2_inj.ill_X2!$A$1:$K$36,6,FALSE),0)</f>
        <v>0</v>
      </c>
      <c r="H2492">
        <f>IFERROR(HLOOKUP(H$2,[76]table_male_hkom2_inj.ill_X2!$A$1:$K$36,6,FALSE),0)</f>
        <v>0</v>
      </c>
      <c r="I2492">
        <f>IFERROR(HLOOKUP(I$2,[76]table_male_hkom2_inj.ill_X2!$A$1:$K$36,6,FALSE),0)</f>
        <v>0</v>
      </c>
      <c r="J2492">
        <f>IFERROR(HLOOKUP(J$2,[76]table_male_hkom2_inj.ill_X2!$A$1:$K$36,6,FALSE),0)</f>
        <v>0</v>
      </c>
      <c r="K2492">
        <f>IFERROR(HLOOKUP(K$2,[76]table_male_hkom2_inj.ill_X2!$A$1:$K$36,6,FALSE),0)</f>
        <v>0</v>
      </c>
      <c r="L2492">
        <f>IFERROR(HLOOKUP(L$2,[76]table_male_hkom2_inj.ill_X2!$A$1:$K$36,6,FALSE),0)</f>
        <v>0</v>
      </c>
      <c r="M2492">
        <f t="shared" si="780"/>
        <v>0</v>
      </c>
      <c r="S2492" t="s">
        <v>74</v>
      </c>
      <c r="T2492" s="5">
        <f t="shared" si="781"/>
        <v>0</v>
      </c>
      <c r="U2492" s="5">
        <f t="shared" si="782"/>
        <v>0</v>
      </c>
      <c r="V2492" s="5">
        <f t="shared" si="783"/>
        <v>0</v>
      </c>
      <c r="W2492" s="5">
        <f t="shared" si="784"/>
        <v>0</v>
      </c>
      <c r="X2492" s="5">
        <f t="shared" si="785"/>
        <v>0</v>
      </c>
      <c r="Y2492" s="5">
        <f t="shared" si="786"/>
        <v>0</v>
      </c>
      <c r="Z2492" s="5">
        <f t="shared" si="787"/>
        <v>0</v>
      </c>
      <c r="AA2492" s="5">
        <f t="shared" si="788"/>
        <v>0</v>
      </c>
      <c r="AB2492" s="5">
        <f t="shared" si="778"/>
        <v>0</v>
      </c>
    </row>
    <row r="2493" spans="1:29" x14ac:dyDescent="0.25">
      <c r="D2493" t="s">
        <v>75</v>
      </c>
      <c r="E2493" s="14"/>
      <c r="F2493" s="14"/>
      <c r="G2493">
        <f>IFERROR(HLOOKUP(G$2,[76]table_male_hkom2_inj.ill_X2!$A$1:$K$36,7,FALSE),0)</f>
        <v>0</v>
      </c>
      <c r="H2493">
        <f>IFERROR(HLOOKUP(H$2,[76]table_male_hkom2_inj.ill_X2!$A$1:$K$36,7,FALSE),0)</f>
        <v>0</v>
      </c>
      <c r="I2493">
        <f>IFERROR(HLOOKUP(I$2,[76]table_male_hkom2_inj.ill_X2!$A$1:$K$36,7,FALSE),0)</f>
        <v>0</v>
      </c>
      <c r="J2493">
        <f>IFERROR(HLOOKUP(J$2,[76]table_male_hkom2_inj.ill_X2!$A$1:$K$36,7,FALSE),0)</f>
        <v>0</v>
      </c>
      <c r="K2493">
        <f>IFERROR(HLOOKUP(K$2,[76]table_male_hkom2_inj.ill_X2!$A$1:$K$36,7,FALSE),0)</f>
        <v>0</v>
      </c>
      <c r="L2493">
        <f>IFERROR(HLOOKUP(L$2,[76]table_male_hkom2_inj.ill_X2!$A$1:$K$36,7,FALSE),0)</f>
        <v>0</v>
      </c>
      <c r="M2493">
        <f t="shared" si="780"/>
        <v>0</v>
      </c>
      <c r="S2493" t="s">
        <v>75</v>
      </c>
      <c r="T2493" s="5">
        <f t="shared" si="781"/>
        <v>0</v>
      </c>
      <c r="U2493" s="5">
        <f t="shared" si="782"/>
        <v>0</v>
      </c>
      <c r="V2493" s="5">
        <f t="shared" si="783"/>
        <v>0</v>
      </c>
      <c r="W2493" s="5">
        <f t="shared" si="784"/>
        <v>0</v>
      </c>
      <c r="X2493" s="5">
        <f t="shared" si="785"/>
        <v>0</v>
      </c>
      <c r="Y2493" s="5">
        <f t="shared" si="786"/>
        <v>0</v>
      </c>
      <c r="Z2493" s="5">
        <f t="shared" si="787"/>
        <v>0</v>
      </c>
      <c r="AA2493" s="5">
        <f t="shared" si="788"/>
        <v>0</v>
      </c>
      <c r="AB2493" s="5">
        <f t="shared" si="778"/>
        <v>0</v>
      </c>
    </row>
    <row r="2494" spans="1:29" x14ac:dyDescent="0.25">
      <c r="D2494" t="s">
        <v>76</v>
      </c>
      <c r="E2494" s="14"/>
      <c r="F2494" s="14"/>
      <c r="G2494">
        <f>IFERROR(HLOOKUP(G$2,[76]table_male_hkom2_inj.ill_X2!$A$1:$K$36,8,FALSE),0)</f>
        <v>0</v>
      </c>
      <c r="H2494">
        <f>IFERROR(HLOOKUP(H$2,[76]table_male_hkom2_inj.ill_X2!$A$1:$K$36,8,FALSE),0)</f>
        <v>0</v>
      </c>
      <c r="I2494">
        <f>IFERROR(HLOOKUP(I$2,[76]table_male_hkom2_inj.ill_X2!$A$1:$K$36,8,FALSE),0)</f>
        <v>0</v>
      </c>
      <c r="J2494">
        <f>IFERROR(HLOOKUP(J$2,[76]table_male_hkom2_inj.ill_X2!$A$1:$K$36,8,FALSE),0)</f>
        <v>0</v>
      </c>
      <c r="K2494">
        <f>IFERROR(HLOOKUP(K$2,[76]table_male_hkom2_inj.ill_X2!$A$1:$K$36,8,FALSE),0)</f>
        <v>0</v>
      </c>
      <c r="L2494">
        <f>IFERROR(HLOOKUP(L$2,[76]table_male_hkom2_inj.ill_X2!$A$1:$K$36,8,FALSE),0)</f>
        <v>0</v>
      </c>
      <c r="M2494">
        <f t="shared" si="780"/>
        <v>0</v>
      </c>
      <c r="S2494" t="s">
        <v>76</v>
      </c>
      <c r="T2494" s="5">
        <f t="shared" si="781"/>
        <v>0</v>
      </c>
      <c r="U2494" s="5">
        <f t="shared" si="782"/>
        <v>0</v>
      </c>
      <c r="V2494" s="5">
        <f t="shared" si="783"/>
        <v>0</v>
      </c>
      <c r="W2494" s="5">
        <f t="shared" si="784"/>
        <v>0</v>
      </c>
      <c r="X2494" s="5">
        <f t="shared" si="785"/>
        <v>0</v>
      </c>
      <c r="Y2494" s="5">
        <f t="shared" si="786"/>
        <v>0</v>
      </c>
      <c r="Z2494" s="5">
        <f t="shared" si="787"/>
        <v>0</v>
      </c>
      <c r="AA2494" s="5">
        <f t="shared" si="788"/>
        <v>0</v>
      </c>
      <c r="AB2494" s="5">
        <f t="shared" si="778"/>
        <v>0</v>
      </c>
    </row>
    <row r="2495" spans="1:29" x14ac:dyDescent="0.25">
      <c r="D2495" t="s">
        <v>77</v>
      </c>
      <c r="E2495" s="14"/>
      <c r="F2495" s="14"/>
      <c r="G2495">
        <f>IFERROR(HLOOKUP(G$2,[76]table_male_hkom2_inj.ill_X2!$A$1:$K$36,9,FALSE),0)</f>
        <v>0</v>
      </c>
      <c r="H2495">
        <f>IFERROR(HLOOKUP(H$2,[76]table_male_hkom2_inj.ill_X2!$A$1:$K$36,9,FALSE),0)</f>
        <v>0</v>
      </c>
      <c r="I2495">
        <f>IFERROR(HLOOKUP(I$2,[76]table_male_hkom2_inj.ill_X2!$A$1:$K$36,9,FALSE),0)</f>
        <v>0</v>
      </c>
      <c r="J2495">
        <f>IFERROR(HLOOKUP(J$2,[76]table_male_hkom2_inj.ill_X2!$A$1:$K$36,9,FALSE),0)</f>
        <v>0</v>
      </c>
      <c r="K2495">
        <f>IFERROR(HLOOKUP(K$2,[76]table_male_hkom2_inj.ill_X2!$A$1:$K$36,9,FALSE),0)</f>
        <v>0</v>
      </c>
      <c r="L2495">
        <f>IFERROR(HLOOKUP(L$2,[76]table_male_hkom2_inj.ill_X2!$A$1:$K$36,9,FALSE),0)</f>
        <v>0</v>
      </c>
      <c r="M2495">
        <f t="shared" si="780"/>
        <v>0</v>
      </c>
      <c r="S2495" t="s">
        <v>77</v>
      </c>
      <c r="T2495" s="5">
        <f t="shared" si="781"/>
        <v>0</v>
      </c>
      <c r="U2495" s="5">
        <f t="shared" si="782"/>
        <v>0</v>
      </c>
      <c r="V2495" s="5">
        <f t="shared" si="783"/>
        <v>0</v>
      </c>
      <c r="W2495" s="5">
        <f t="shared" si="784"/>
        <v>0</v>
      </c>
      <c r="X2495" s="5">
        <f t="shared" si="785"/>
        <v>0</v>
      </c>
      <c r="Y2495" s="5">
        <f t="shared" si="786"/>
        <v>0</v>
      </c>
      <c r="Z2495" s="5">
        <f t="shared" si="787"/>
        <v>0</v>
      </c>
      <c r="AA2495" s="5">
        <f t="shared" si="788"/>
        <v>0</v>
      </c>
      <c r="AB2495" s="5">
        <f t="shared" si="778"/>
        <v>0</v>
      </c>
    </row>
    <row r="2496" spans="1:29" x14ac:dyDescent="0.25">
      <c r="D2496" t="s">
        <v>78</v>
      </c>
      <c r="E2496" s="14"/>
      <c r="F2496" s="14"/>
      <c r="G2496">
        <f>IFERROR(HLOOKUP(G$2,[76]table_male_hkom2_inj.ill_X2!$A$1:$K$36,10,FALSE),0)</f>
        <v>0</v>
      </c>
      <c r="H2496">
        <f>IFERROR(HLOOKUP(H$2,[76]table_male_hkom2_inj.ill_X2!$A$1:$K$36,10,FALSE),0)</f>
        <v>0</v>
      </c>
      <c r="I2496">
        <f>IFERROR(HLOOKUP(I$2,[76]table_male_hkom2_inj.ill_X2!$A$1:$K$36,10,FALSE),0)</f>
        <v>0</v>
      </c>
      <c r="J2496">
        <f>IFERROR(HLOOKUP(J$2,[76]table_male_hkom2_inj.ill_X2!$A$1:$K$36,10,FALSE),0)</f>
        <v>0</v>
      </c>
      <c r="K2496">
        <f>IFERROR(HLOOKUP(K$2,[76]table_male_hkom2_inj.ill_X2!$A$1:$K$36,10,FALSE),0)</f>
        <v>0</v>
      </c>
      <c r="L2496">
        <f>IFERROR(HLOOKUP(L$2,[76]table_male_hkom2_inj.ill_X2!$A$1:$K$36,10,FALSE),0)</f>
        <v>0</v>
      </c>
      <c r="M2496">
        <f t="shared" si="780"/>
        <v>0</v>
      </c>
      <c r="S2496" t="s">
        <v>78</v>
      </c>
      <c r="T2496" s="5">
        <f t="shared" si="781"/>
        <v>0</v>
      </c>
      <c r="U2496" s="5">
        <f t="shared" si="782"/>
        <v>0</v>
      </c>
      <c r="V2496" s="5">
        <f t="shared" si="783"/>
        <v>0</v>
      </c>
      <c r="W2496" s="5">
        <f t="shared" si="784"/>
        <v>0</v>
      </c>
      <c r="X2496" s="5">
        <f t="shared" si="785"/>
        <v>0</v>
      </c>
      <c r="Y2496" s="5">
        <f t="shared" si="786"/>
        <v>0</v>
      </c>
      <c r="Z2496" s="5">
        <f t="shared" si="787"/>
        <v>0</v>
      </c>
      <c r="AA2496" s="5">
        <f t="shared" si="788"/>
        <v>0</v>
      </c>
      <c r="AB2496" s="5">
        <f t="shared" si="778"/>
        <v>0</v>
      </c>
    </row>
    <row r="2497" spans="4:28" x14ac:dyDescent="0.25">
      <c r="D2497" t="s">
        <v>79</v>
      </c>
      <c r="E2497" s="14"/>
      <c r="F2497" s="14"/>
      <c r="G2497">
        <f>IFERROR(HLOOKUP(G$2,[76]table_male_hkom2_inj.ill_X2!$A$1:$K$36,11,FALSE),0)</f>
        <v>0</v>
      </c>
      <c r="H2497">
        <f>IFERROR(HLOOKUP(H$2,[76]table_male_hkom2_inj.ill_X2!$A$1:$K$36,11,FALSE),0)</f>
        <v>0</v>
      </c>
      <c r="I2497">
        <f>IFERROR(HLOOKUP(I$2,[76]table_male_hkom2_inj.ill_X2!$A$1:$K$36,11,FALSE),0)</f>
        <v>0</v>
      </c>
      <c r="J2497">
        <f>IFERROR(HLOOKUP(J$2,[76]table_male_hkom2_inj.ill_X2!$A$1:$K$36,11,FALSE),0)</f>
        <v>0</v>
      </c>
      <c r="K2497">
        <f>IFERROR(HLOOKUP(K$2,[76]table_male_hkom2_inj.ill_X2!$A$1:$K$36,11,FALSE),0)</f>
        <v>0</v>
      </c>
      <c r="L2497">
        <f>IFERROR(HLOOKUP(L$2,[76]table_male_hkom2_inj.ill_X2!$A$1:$K$36,11,FALSE),0)</f>
        <v>0</v>
      </c>
      <c r="M2497">
        <f t="shared" si="780"/>
        <v>0</v>
      </c>
      <c r="S2497" t="s">
        <v>79</v>
      </c>
      <c r="T2497" s="5">
        <f t="shared" si="781"/>
        <v>0</v>
      </c>
      <c r="U2497" s="5">
        <f t="shared" si="782"/>
        <v>0</v>
      </c>
      <c r="V2497" s="5">
        <f t="shared" si="783"/>
        <v>0</v>
      </c>
      <c r="W2497" s="5">
        <f t="shared" si="784"/>
        <v>0</v>
      </c>
      <c r="X2497" s="5">
        <f t="shared" si="785"/>
        <v>0</v>
      </c>
      <c r="Y2497" s="5">
        <f t="shared" si="786"/>
        <v>0</v>
      </c>
      <c r="Z2497" s="5">
        <f t="shared" si="787"/>
        <v>0</v>
      </c>
      <c r="AA2497" s="5">
        <f t="shared" si="788"/>
        <v>0</v>
      </c>
      <c r="AB2497" s="5">
        <f t="shared" si="778"/>
        <v>0</v>
      </c>
    </row>
    <row r="2498" spans="4:28" x14ac:dyDescent="0.25">
      <c r="D2498" t="s">
        <v>80</v>
      </c>
      <c r="E2498" s="14"/>
      <c r="F2498" s="14"/>
      <c r="G2498">
        <f>IFERROR(HLOOKUP(G$2,[76]table_male_hkom2_inj.ill_X2!$A$1:$K$36,12,FALSE),0)</f>
        <v>0</v>
      </c>
      <c r="H2498">
        <f>IFERROR(HLOOKUP(H$2,[76]table_male_hkom2_inj.ill_X2!$A$1:$K$36,12,FALSE),0)</f>
        <v>0</v>
      </c>
      <c r="I2498">
        <f>IFERROR(HLOOKUP(I$2,[76]table_male_hkom2_inj.ill_X2!$A$1:$K$36,12,FALSE),0)</f>
        <v>0</v>
      </c>
      <c r="J2498">
        <f>IFERROR(HLOOKUP(J$2,[76]table_male_hkom2_inj.ill_X2!$A$1:$K$36,12,FALSE),0)</f>
        <v>0</v>
      </c>
      <c r="K2498">
        <f>IFERROR(HLOOKUP(K$2,[76]table_male_hkom2_inj.ill_X2!$A$1:$K$36,12,FALSE),0)</f>
        <v>0</v>
      </c>
      <c r="L2498">
        <f>IFERROR(HLOOKUP(L$2,[76]table_male_hkom2_inj.ill_X2!$A$1:$K$36,12,FALSE),0)</f>
        <v>0</v>
      </c>
      <c r="M2498">
        <f t="shared" si="780"/>
        <v>0</v>
      </c>
      <c r="S2498" t="s">
        <v>80</v>
      </c>
      <c r="T2498" s="5">
        <f t="shared" si="781"/>
        <v>0</v>
      </c>
      <c r="U2498" s="5">
        <f t="shared" si="782"/>
        <v>0</v>
      </c>
      <c r="V2498" s="5">
        <f t="shared" si="783"/>
        <v>0</v>
      </c>
      <c r="W2498" s="5">
        <f t="shared" si="784"/>
        <v>0</v>
      </c>
      <c r="X2498" s="5">
        <f t="shared" si="785"/>
        <v>0</v>
      </c>
      <c r="Y2498" s="5">
        <f t="shared" si="786"/>
        <v>0</v>
      </c>
      <c r="Z2498" s="5">
        <f t="shared" si="787"/>
        <v>0</v>
      </c>
      <c r="AA2498" s="5">
        <f t="shared" si="788"/>
        <v>0</v>
      </c>
      <c r="AB2498" s="5">
        <f t="shared" si="778"/>
        <v>0</v>
      </c>
    </row>
    <row r="2499" spans="4:28" x14ac:dyDescent="0.25">
      <c r="D2499" t="s">
        <v>81</v>
      </c>
      <c r="E2499" s="14"/>
      <c r="F2499" s="14"/>
      <c r="G2499">
        <f>IFERROR(HLOOKUP(G$2,[76]table_male_hkom2_inj.ill_X2!$A$1:$K$36,13,FALSE),0)</f>
        <v>0</v>
      </c>
      <c r="H2499">
        <f>IFERROR(HLOOKUP(H$2,[76]table_male_hkom2_inj.ill_X2!$A$1:$K$36,13,FALSE),0)</f>
        <v>0</v>
      </c>
      <c r="I2499">
        <f>IFERROR(HLOOKUP(I$2,[76]table_male_hkom2_inj.ill_X2!$A$1:$K$36,13,FALSE),0)</f>
        <v>0</v>
      </c>
      <c r="J2499">
        <f>IFERROR(HLOOKUP(J$2,[76]table_male_hkom2_inj.ill_X2!$A$1:$K$36,13,FALSE),0)</f>
        <v>0</v>
      </c>
      <c r="K2499">
        <f>IFERROR(HLOOKUP(K$2,[76]table_male_hkom2_inj.ill_X2!$A$1:$K$36,13,FALSE),0)</f>
        <v>0</v>
      </c>
      <c r="L2499">
        <f>IFERROR(HLOOKUP(L$2,[76]table_male_hkom2_inj.ill_X2!$A$1:$K$36,13,FALSE),0)</f>
        <v>0</v>
      </c>
      <c r="M2499">
        <f t="shared" si="780"/>
        <v>0</v>
      </c>
      <c r="S2499" t="s">
        <v>81</v>
      </c>
      <c r="T2499" s="5">
        <f t="shared" si="781"/>
        <v>0</v>
      </c>
      <c r="U2499" s="5">
        <f t="shared" si="782"/>
        <v>0</v>
      </c>
      <c r="V2499" s="5">
        <f t="shared" si="783"/>
        <v>0</v>
      </c>
      <c r="W2499" s="5">
        <f t="shared" si="784"/>
        <v>0</v>
      </c>
      <c r="X2499" s="5">
        <f t="shared" si="785"/>
        <v>0</v>
      </c>
      <c r="Y2499" s="5">
        <f t="shared" si="786"/>
        <v>0</v>
      </c>
      <c r="Z2499" s="5">
        <f t="shared" si="787"/>
        <v>0</v>
      </c>
      <c r="AA2499" s="5">
        <f t="shared" si="788"/>
        <v>0</v>
      </c>
      <c r="AB2499" s="5">
        <f t="shared" si="778"/>
        <v>0</v>
      </c>
    </row>
    <row r="2500" spans="4:28" x14ac:dyDescent="0.25">
      <c r="D2500" t="s">
        <v>82</v>
      </c>
      <c r="E2500" s="14"/>
      <c r="F2500" s="14"/>
      <c r="G2500">
        <f>IFERROR(HLOOKUP(G$2,[76]table_male_hkom2_inj.ill_X2!$A$1:$K$36,14,FALSE),0)</f>
        <v>0</v>
      </c>
      <c r="H2500">
        <f>IFERROR(HLOOKUP(H$2,[76]table_male_hkom2_inj.ill_X2!$A$1:$K$36,14,FALSE),0)</f>
        <v>0</v>
      </c>
      <c r="I2500">
        <f>IFERROR(HLOOKUP(I$2,[76]table_male_hkom2_inj.ill_X2!$A$1:$K$36,14,FALSE),0)</f>
        <v>0</v>
      </c>
      <c r="J2500">
        <f>IFERROR(HLOOKUP(J$2,[76]table_male_hkom2_inj.ill_X2!$A$1:$K$36,14,FALSE),0)</f>
        <v>0</v>
      </c>
      <c r="K2500">
        <f>IFERROR(HLOOKUP(K$2,[76]table_male_hkom2_inj.ill_X2!$A$1:$K$36,14,FALSE),0)</f>
        <v>0</v>
      </c>
      <c r="L2500">
        <f>IFERROR(HLOOKUP(L$2,[76]table_male_hkom2_inj.ill_X2!$A$1:$K$36,14,FALSE),0)</f>
        <v>0</v>
      </c>
      <c r="M2500">
        <f t="shared" si="780"/>
        <v>0</v>
      </c>
      <c r="S2500" t="s">
        <v>82</v>
      </c>
      <c r="T2500" s="5">
        <f t="shared" si="781"/>
        <v>0</v>
      </c>
      <c r="U2500" s="5">
        <f t="shared" si="782"/>
        <v>0</v>
      </c>
      <c r="V2500" s="5">
        <f t="shared" si="783"/>
        <v>0</v>
      </c>
      <c r="W2500" s="5">
        <f t="shared" si="784"/>
        <v>0</v>
      </c>
      <c r="X2500" s="5">
        <f t="shared" si="785"/>
        <v>0</v>
      </c>
      <c r="Y2500" s="5">
        <f t="shared" si="786"/>
        <v>0</v>
      </c>
      <c r="Z2500" s="5">
        <f t="shared" si="787"/>
        <v>0</v>
      </c>
      <c r="AA2500" s="5">
        <f t="shared" si="788"/>
        <v>0</v>
      </c>
      <c r="AB2500" s="5">
        <f t="shared" si="778"/>
        <v>0</v>
      </c>
    </row>
    <row r="2501" spans="4:28" x14ac:dyDescent="0.25">
      <c r="D2501" t="s">
        <v>83</v>
      </c>
      <c r="E2501" s="14"/>
      <c r="F2501" s="14"/>
      <c r="G2501">
        <f>IFERROR(HLOOKUP(G$2,[76]table_male_hkom2_inj.ill_X2!$A$1:$K$36,15,FALSE),0)</f>
        <v>0</v>
      </c>
      <c r="H2501">
        <f>IFERROR(HLOOKUP(H$2,[76]table_male_hkom2_inj.ill_X2!$A$1:$K$36,15,FALSE),0)</f>
        <v>0</v>
      </c>
      <c r="I2501">
        <f>IFERROR(HLOOKUP(I$2,[76]table_male_hkom2_inj.ill_X2!$A$1:$K$36,15,FALSE),0)</f>
        <v>0</v>
      </c>
      <c r="J2501">
        <f>IFERROR(HLOOKUP(J$2,[76]table_male_hkom2_inj.ill_X2!$A$1:$K$36,15,FALSE),0)</f>
        <v>0</v>
      </c>
      <c r="K2501">
        <f>IFERROR(HLOOKUP(K$2,[76]table_male_hkom2_inj.ill_X2!$A$1:$K$36,15,FALSE),0)</f>
        <v>0</v>
      </c>
      <c r="L2501">
        <f>IFERROR(HLOOKUP(L$2,[76]table_male_hkom2_inj.ill_X2!$A$1:$K$36,15,FALSE),0)</f>
        <v>0</v>
      </c>
      <c r="M2501">
        <f t="shared" si="780"/>
        <v>0</v>
      </c>
      <c r="S2501" t="s">
        <v>83</v>
      </c>
      <c r="T2501" s="5">
        <f t="shared" si="781"/>
        <v>0</v>
      </c>
      <c r="U2501" s="5">
        <f t="shared" si="782"/>
        <v>0</v>
      </c>
      <c r="V2501" s="5">
        <f t="shared" si="783"/>
        <v>0</v>
      </c>
      <c r="W2501" s="5">
        <f t="shared" si="784"/>
        <v>0</v>
      </c>
      <c r="X2501" s="5">
        <f t="shared" si="785"/>
        <v>0</v>
      </c>
      <c r="Y2501" s="5">
        <f t="shared" si="786"/>
        <v>0</v>
      </c>
      <c r="Z2501" s="5">
        <f t="shared" si="787"/>
        <v>0</v>
      </c>
      <c r="AA2501" s="5">
        <f t="shared" si="788"/>
        <v>0</v>
      </c>
      <c r="AB2501" s="5">
        <f t="shared" si="778"/>
        <v>0</v>
      </c>
    </row>
    <row r="2502" spans="4:28" x14ac:dyDescent="0.25">
      <c r="D2502" t="s">
        <v>84</v>
      </c>
      <c r="E2502" s="14"/>
      <c r="F2502" s="14"/>
      <c r="G2502">
        <f>IFERROR(HLOOKUP(G$2,[76]table_male_hkom2_inj.ill_X2!$A$1:$K$36,16,FALSE),0)</f>
        <v>0</v>
      </c>
      <c r="H2502">
        <f>IFERROR(HLOOKUP(H$2,[76]table_male_hkom2_inj.ill_X2!$A$1:$K$36,16,FALSE),0)</f>
        <v>0</v>
      </c>
      <c r="I2502">
        <f>IFERROR(HLOOKUP(I$2,[76]table_male_hkom2_inj.ill_X2!$A$1:$K$36,16,FALSE),0)</f>
        <v>0</v>
      </c>
      <c r="J2502">
        <f>IFERROR(HLOOKUP(J$2,[76]table_male_hkom2_inj.ill_X2!$A$1:$K$36,16,FALSE),0)</f>
        <v>0</v>
      </c>
      <c r="K2502">
        <f>IFERROR(HLOOKUP(K$2,[76]table_male_hkom2_inj.ill_X2!$A$1:$K$36,16,FALSE),0)</f>
        <v>0</v>
      </c>
      <c r="L2502">
        <f>IFERROR(HLOOKUP(L$2,[76]table_male_hkom2_inj.ill_X2!$A$1:$K$36,16,FALSE),0)</f>
        <v>0</v>
      </c>
      <c r="M2502">
        <f t="shared" si="780"/>
        <v>0</v>
      </c>
      <c r="S2502" t="s">
        <v>84</v>
      </c>
      <c r="T2502" s="5">
        <f t="shared" si="781"/>
        <v>0</v>
      </c>
      <c r="U2502" s="5">
        <f t="shared" si="782"/>
        <v>0</v>
      </c>
      <c r="V2502" s="5">
        <f t="shared" si="783"/>
        <v>0</v>
      </c>
      <c r="W2502" s="5">
        <f t="shared" si="784"/>
        <v>0</v>
      </c>
      <c r="X2502" s="5">
        <f t="shared" si="785"/>
        <v>0</v>
      </c>
      <c r="Y2502" s="5">
        <f t="shared" si="786"/>
        <v>0</v>
      </c>
      <c r="Z2502" s="5">
        <f t="shared" si="787"/>
        <v>0</v>
      </c>
      <c r="AA2502" s="5">
        <f t="shared" si="788"/>
        <v>0</v>
      </c>
      <c r="AB2502" s="5">
        <f t="shared" si="778"/>
        <v>0</v>
      </c>
    </row>
    <row r="2503" spans="4:28" x14ac:dyDescent="0.25">
      <c r="D2503" t="s">
        <v>85</v>
      </c>
      <c r="E2503" s="14"/>
      <c r="F2503" s="14"/>
      <c r="G2503">
        <f>IFERROR(HLOOKUP(G$2,[76]table_male_hkom2_inj.ill_X2!$A$1:$K$36,17,FALSE),0)</f>
        <v>0</v>
      </c>
      <c r="H2503">
        <f>IFERROR(HLOOKUP(H$2,[76]table_male_hkom2_inj.ill_X2!$A$1:$K$36,17,FALSE),0)</f>
        <v>0</v>
      </c>
      <c r="I2503">
        <f>IFERROR(HLOOKUP(I$2,[76]table_male_hkom2_inj.ill_X2!$A$1:$K$36,17,FALSE),0)</f>
        <v>0</v>
      </c>
      <c r="J2503">
        <f>IFERROR(HLOOKUP(J$2,[76]table_male_hkom2_inj.ill_X2!$A$1:$K$36,17,FALSE),0)</f>
        <v>0</v>
      </c>
      <c r="K2503">
        <f>IFERROR(HLOOKUP(K$2,[76]table_male_hkom2_inj.ill_X2!$A$1:$K$36,17,FALSE),0)</f>
        <v>0</v>
      </c>
      <c r="L2503">
        <f>IFERROR(HLOOKUP(L$2,[76]table_male_hkom2_inj.ill_X2!$A$1:$K$36,17,FALSE),0)</f>
        <v>0</v>
      </c>
      <c r="M2503">
        <f t="shared" si="780"/>
        <v>0</v>
      </c>
      <c r="S2503" t="s">
        <v>85</v>
      </c>
      <c r="T2503" s="5">
        <f t="shared" si="781"/>
        <v>0</v>
      </c>
      <c r="U2503" s="5">
        <f t="shared" si="782"/>
        <v>0</v>
      </c>
      <c r="V2503" s="5">
        <f t="shared" si="783"/>
        <v>0</v>
      </c>
      <c r="W2503" s="5">
        <f t="shared" si="784"/>
        <v>0</v>
      </c>
      <c r="X2503" s="5">
        <f t="shared" si="785"/>
        <v>0</v>
      </c>
      <c r="Y2503" s="5">
        <f t="shared" si="786"/>
        <v>0</v>
      </c>
      <c r="Z2503" s="5">
        <f t="shared" si="787"/>
        <v>0</v>
      </c>
      <c r="AA2503" s="5">
        <f t="shared" si="788"/>
        <v>0</v>
      </c>
      <c r="AB2503" s="5">
        <f t="shared" si="778"/>
        <v>0</v>
      </c>
    </row>
    <row r="2504" spans="4:28" x14ac:dyDescent="0.25">
      <c r="D2504" t="s">
        <v>86</v>
      </c>
      <c r="E2504" s="14"/>
      <c r="F2504" s="14"/>
      <c r="G2504">
        <f>IFERROR(HLOOKUP(G$2,[76]table_male_hkom2_inj.ill_X2!$A$1:$K$36,18,FALSE),0)</f>
        <v>0</v>
      </c>
      <c r="H2504">
        <f>IFERROR(HLOOKUP(H$2,[76]table_male_hkom2_inj.ill_X2!$A$1:$K$36,18,FALSE),0)</f>
        <v>0</v>
      </c>
      <c r="I2504">
        <f>IFERROR(HLOOKUP(I$2,[76]table_male_hkom2_inj.ill_X2!$A$1:$K$36,18,FALSE),0)</f>
        <v>0</v>
      </c>
      <c r="J2504">
        <f>IFERROR(HLOOKUP(J$2,[76]table_male_hkom2_inj.ill_X2!$A$1:$K$36,18,FALSE),0)</f>
        <v>0</v>
      </c>
      <c r="K2504">
        <f>IFERROR(HLOOKUP(K$2,[76]table_male_hkom2_inj.ill_X2!$A$1:$K$36,18,FALSE),0)</f>
        <v>0</v>
      </c>
      <c r="L2504">
        <f>IFERROR(HLOOKUP(L$2,[76]table_male_hkom2_inj.ill_X2!$A$1:$K$36,18,FALSE),0)</f>
        <v>0</v>
      </c>
      <c r="M2504">
        <f t="shared" si="780"/>
        <v>0</v>
      </c>
      <c r="S2504" t="s">
        <v>86</v>
      </c>
      <c r="T2504" s="5">
        <f t="shared" si="781"/>
        <v>0</v>
      </c>
      <c r="U2504" s="5">
        <f t="shared" si="782"/>
        <v>0</v>
      </c>
      <c r="V2504" s="5">
        <f t="shared" si="783"/>
        <v>0</v>
      </c>
      <c r="W2504" s="5">
        <f t="shared" si="784"/>
        <v>0</v>
      </c>
      <c r="X2504" s="5">
        <f t="shared" si="785"/>
        <v>0</v>
      </c>
      <c r="Y2504" s="5">
        <f t="shared" si="786"/>
        <v>0</v>
      </c>
      <c r="Z2504" s="5">
        <f t="shared" si="787"/>
        <v>0</v>
      </c>
      <c r="AA2504" s="5">
        <f t="shared" si="788"/>
        <v>0</v>
      </c>
      <c r="AB2504" s="5">
        <f t="shared" si="778"/>
        <v>0</v>
      </c>
    </row>
    <row r="2505" spans="4:28" x14ac:dyDescent="0.25">
      <c r="D2505" t="s">
        <v>87</v>
      </c>
      <c r="E2505" s="14"/>
      <c r="F2505" s="14"/>
      <c r="G2505">
        <f>IFERROR(HLOOKUP(G$2,[76]table_male_hkom2_inj.ill_X2!$A$1:$K$36,19,FALSE),0)</f>
        <v>0</v>
      </c>
      <c r="H2505">
        <f>IFERROR(HLOOKUP(H$2,[76]table_male_hkom2_inj.ill_X2!$A$1:$K$36,19,FALSE),0)</f>
        <v>0</v>
      </c>
      <c r="I2505">
        <f>IFERROR(HLOOKUP(I$2,[76]table_male_hkom2_inj.ill_X2!$A$1:$K$36,19,FALSE),0)</f>
        <v>0</v>
      </c>
      <c r="J2505">
        <f>IFERROR(HLOOKUP(J$2,[76]table_male_hkom2_inj.ill_X2!$A$1:$K$36,19,FALSE),0)</f>
        <v>0</v>
      </c>
      <c r="K2505">
        <f>IFERROR(HLOOKUP(K$2,[76]table_male_hkom2_inj.ill_X2!$A$1:$K$36,19,FALSE),0)</f>
        <v>0</v>
      </c>
      <c r="L2505">
        <f>IFERROR(HLOOKUP(L$2,[76]table_male_hkom2_inj.ill_X2!$A$1:$K$36,19,FALSE),0)</f>
        <v>0</v>
      </c>
      <c r="M2505">
        <f t="shared" si="780"/>
        <v>0</v>
      </c>
      <c r="S2505" t="s">
        <v>87</v>
      </c>
      <c r="T2505" s="5">
        <f t="shared" si="781"/>
        <v>0</v>
      </c>
      <c r="U2505" s="5">
        <f t="shared" si="782"/>
        <v>0</v>
      </c>
      <c r="V2505" s="5">
        <f t="shared" si="783"/>
        <v>0</v>
      </c>
      <c r="W2505" s="5">
        <f t="shared" si="784"/>
        <v>0</v>
      </c>
      <c r="X2505" s="5">
        <f t="shared" si="785"/>
        <v>0</v>
      </c>
      <c r="Y2505" s="5">
        <f t="shared" si="786"/>
        <v>0</v>
      </c>
      <c r="Z2505" s="5">
        <f t="shared" si="787"/>
        <v>0</v>
      </c>
      <c r="AA2505" s="5">
        <f t="shared" si="788"/>
        <v>0</v>
      </c>
      <c r="AB2505" s="5">
        <f t="shared" si="778"/>
        <v>0</v>
      </c>
    </row>
    <row r="2506" spans="4:28" x14ac:dyDescent="0.25">
      <c r="D2506" t="s">
        <v>88</v>
      </c>
      <c r="E2506" s="14"/>
      <c r="F2506" s="14"/>
      <c r="G2506">
        <f>IFERROR(HLOOKUP(G$2,[76]table_male_hkom2_inj.ill_X2!$A$1:$K$36,20,FALSE),0)</f>
        <v>0</v>
      </c>
      <c r="H2506">
        <f>IFERROR(HLOOKUP(H$2,[76]table_male_hkom2_inj.ill_X2!$A$1:$K$36,20,FALSE),0)</f>
        <v>0</v>
      </c>
      <c r="I2506">
        <f>IFERROR(HLOOKUP(I$2,[76]table_male_hkom2_inj.ill_X2!$A$1:$K$36,20,FALSE),0)</f>
        <v>0</v>
      </c>
      <c r="J2506">
        <f>IFERROR(HLOOKUP(J$2,[76]table_male_hkom2_inj.ill_X2!$A$1:$K$36,20,FALSE),0)</f>
        <v>0</v>
      </c>
      <c r="K2506">
        <f>IFERROR(HLOOKUP(K$2,[76]table_male_hkom2_inj.ill_X2!$A$1:$K$36,20,FALSE),0)</f>
        <v>0</v>
      </c>
      <c r="L2506">
        <f>IFERROR(HLOOKUP(L$2,[76]table_male_hkom2_inj.ill_X2!$A$1:$K$36,20,FALSE),0)</f>
        <v>0</v>
      </c>
      <c r="M2506">
        <f t="shared" si="780"/>
        <v>0</v>
      </c>
      <c r="S2506" t="s">
        <v>88</v>
      </c>
      <c r="T2506" s="5">
        <f t="shared" si="781"/>
        <v>0</v>
      </c>
      <c r="U2506" s="5">
        <f t="shared" si="782"/>
        <v>0</v>
      </c>
      <c r="V2506" s="5">
        <f t="shared" si="783"/>
        <v>0</v>
      </c>
      <c r="W2506" s="5">
        <f t="shared" si="784"/>
        <v>0</v>
      </c>
      <c r="X2506" s="5">
        <f t="shared" si="785"/>
        <v>0</v>
      </c>
      <c r="Y2506" s="5">
        <f t="shared" si="786"/>
        <v>0</v>
      </c>
      <c r="Z2506" s="5">
        <f t="shared" si="787"/>
        <v>0</v>
      </c>
      <c r="AA2506" s="5">
        <f t="shared" si="788"/>
        <v>0</v>
      </c>
      <c r="AB2506" s="5">
        <f t="shared" si="778"/>
        <v>0</v>
      </c>
    </row>
    <row r="2507" spans="4:28" x14ac:dyDescent="0.25">
      <c r="D2507" t="s">
        <v>89</v>
      </c>
      <c r="E2507" s="14"/>
      <c r="F2507" s="14"/>
      <c r="G2507">
        <f>IFERROR(HLOOKUP(G$2,[76]table_male_hkom2_inj.ill_X2!$A$1:$K$36,21,FALSE),0)</f>
        <v>0</v>
      </c>
      <c r="H2507">
        <f>IFERROR(HLOOKUP(H$2,[76]table_male_hkom2_inj.ill_X2!$A$1:$K$36,21,FALSE),0)</f>
        <v>0</v>
      </c>
      <c r="I2507">
        <f>IFERROR(HLOOKUP(I$2,[76]table_male_hkom2_inj.ill_X2!$A$1:$K$36,21,FALSE),0)</f>
        <v>0</v>
      </c>
      <c r="J2507">
        <f>IFERROR(HLOOKUP(J$2,[76]table_male_hkom2_inj.ill_X2!$A$1:$K$36,21,FALSE),0)</f>
        <v>0</v>
      </c>
      <c r="K2507">
        <f>IFERROR(HLOOKUP(K$2,[76]table_male_hkom2_inj.ill_X2!$A$1:$K$36,21,FALSE),0)</f>
        <v>0</v>
      </c>
      <c r="L2507">
        <f>IFERROR(HLOOKUP(L$2,[76]table_male_hkom2_inj.ill_X2!$A$1:$K$36,21,FALSE),0)</f>
        <v>0</v>
      </c>
      <c r="M2507">
        <f t="shared" si="780"/>
        <v>0</v>
      </c>
      <c r="S2507" t="s">
        <v>89</v>
      </c>
      <c r="T2507" s="5">
        <f t="shared" si="781"/>
        <v>0</v>
      </c>
      <c r="U2507" s="5">
        <f t="shared" si="782"/>
        <v>0</v>
      </c>
      <c r="V2507" s="5">
        <f t="shared" si="783"/>
        <v>0</v>
      </c>
      <c r="W2507" s="5">
        <f t="shared" si="784"/>
        <v>0</v>
      </c>
      <c r="X2507" s="5">
        <f t="shared" si="785"/>
        <v>0</v>
      </c>
      <c r="Y2507" s="5">
        <f t="shared" si="786"/>
        <v>0</v>
      </c>
      <c r="Z2507" s="5">
        <f t="shared" si="787"/>
        <v>0</v>
      </c>
      <c r="AA2507" s="5">
        <f t="shared" si="788"/>
        <v>0</v>
      </c>
      <c r="AB2507" s="5">
        <f t="shared" si="778"/>
        <v>0</v>
      </c>
    </row>
    <row r="2508" spans="4:28" x14ac:dyDescent="0.25">
      <c r="D2508" t="s">
        <v>90</v>
      </c>
      <c r="E2508" s="14"/>
      <c r="F2508" s="14"/>
      <c r="G2508">
        <f>IFERROR(HLOOKUP(G$2,[76]table_male_hkom2_inj.ill_X2!$A$1:$K$36,22,FALSE),0)</f>
        <v>0</v>
      </c>
      <c r="H2508">
        <f>IFERROR(HLOOKUP(H$2,[76]table_male_hkom2_inj.ill_X2!$A$1:$K$36,22,FALSE),0)</f>
        <v>0</v>
      </c>
      <c r="I2508">
        <f>IFERROR(HLOOKUP(I$2,[76]table_male_hkom2_inj.ill_X2!$A$1:$K$36,22,FALSE),0)</f>
        <v>0</v>
      </c>
      <c r="J2508">
        <f>IFERROR(HLOOKUP(J$2,[76]table_male_hkom2_inj.ill_X2!$A$1:$K$36,22,FALSE),0)</f>
        <v>0</v>
      </c>
      <c r="K2508">
        <f>IFERROR(HLOOKUP(K$2,[76]table_male_hkom2_inj.ill_X2!$A$1:$K$36,22,FALSE),0)</f>
        <v>0</v>
      </c>
      <c r="L2508">
        <f>IFERROR(HLOOKUP(L$2,[76]table_male_hkom2_inj.ill_X2!$A$1:$K$36,22,FALSE),0)</f>
        <v>0</v>
      </c>
      <c r="M2508">
        <f t="shared" si="780"/>
        <v>0</v>
      </c>
      <c r="S2508" t="s">
        <v>90</v>
      </c>
      <c r="T2508" s="5">
        <f t="shared" si="781"/>
        <v>0</v>
      </c>
      <c r="U2508" s="5">
        <f t="shared" si="782"/>
        <v>0</v>
      </c>
      <c r="V2508" s="5">
        <f t="shared" si="783"/>
        <v>0</v>
      </c>
      <c r="W2508" s="5">
        <f t="shared" si="784"/>
        <v>0</v>
      </c>
      <c r="X2508" s="5">
        <f t="shared" si="785"/>
        <v>0</v>
      </c>
      <c r="Y2508" s="5">
        <f t="shared" si="786"/>
        <v>0</v>
      </c>
      <c r="Z2508" s="5">
        <f t="shared" si="787"/>
        <v>0</v>
      </c>
      <c r="AA2508" s="5">
        <f t="shared" si="788"/>
        <v>0</v>
      </c>
      <c r="AB2508" s="5">
        <f t="shared" si="778"/>
        <v>0</v>
      </c>
    </row>
    <row r="2509" spans="4:28" x14ac:dyDescent="0.25">
      <c r="D2509" t="s">
        <v>91</v>
      </c>
      <c r="E2509" s="14"/>
      <c r="F2509" s="14"/>
      <c r="G2509">
        <f>IFERROR(HLOOKUP(G$2,[76]table_male_hkom2_inj.ill_X2!$A$1:$K$36,23,FALSE),0)</f>
        <v>0</v>
      </c>
      <c r="H2509">
        <f>IFERROR(HLOOKUP(H$2,[76]table_male_hkom2_inj.ill_X2!$A$1:$K$36,23,FALSE),0)</f>
        <v>0</v>
      </c>
      <c r="I2509">
        <f>IFERROR(HLOOKUP(I$2,[76]table_male_hkom2_inj.ill_X2!$A$1:$K$36,23,FALSE),0)</f>
        <v>0</v>
      </c>
      <c r="J2509">
        <f>IFERROR(HLOOKUP(J$2,[76]table_male_hkom2_inj.ill_X2!$A$1:$K$36,23,FALSE),0)</f>
        <v>0</v>
      </c>
      <c r="K2509">
        <f>IFERROR(HLOOKUP(K$2,[76]table_male_hkom2_inj.ill_X2!$A$1:$K$36,23,FALSE),0)</f>
        <v>0</v>
      </c>
      <c r="L2509">
        <f>IFERROR(HLOOKUP(L$2,[76]table_male_hkom2_inj.ill_X2!$A$1:$K$36,23,FALSE),0)</f>
        <v>0</v>
      </c>
      <c r="M2509">
        <f t="shared" si="780"/>
        <v>0</v>
      </c>
      <c r="S2509" t="s">
        <v>91</v>
      </c>
      <c r="T2509" s="5">
        <f t="shared" si="781"/>
        <v>0</v>
      </c>
      <c r="U2509" s="5">
        <f t="shared" si="782"/>
        <v>0</v>
      </c>
      <c r="V2509" s="5">
        <f t="shared" si="783"/>
        <v>0</v>
      </c>
      <c r="W2509" s="5">
        <f t="shared" si="784"/>
        <v>0</v>
      </c>
      <c r="X2509" s="5">
        <f t="shared" si="785"/>
        <v>0</v>
      </c>
      <c r="Y2509" s="5">
        <f t="shared" si="786"/>
        <v>0</v>
      </c>
      <c r="Z2509" s="5">
        <f t="shared" si="787"/>
        <v>0</v>
      </c>
      <c r="AA2509" s="5">
        <f t="shared" si="788"/>
        <v>0</v>
      </c>
      <c r="AB2509" s="5">
        <f t="shared" si="778"/>
        <v>0</v>
      </c>
    </row>
    <row r="2510" spans="4:28" x14ac:dyDescent="0.25">
      <c r="D2510" t="s">
        <v>92</v>
      </c>
      <c r="E2510" s="14"/>
      <c r="F2510" s="14"/>
      <c r="G2510">
        <f>IFERROR(HLOOKUP(G$2,[76]table_male_hkom2_inj.ill_X2!$A$1:$K$36,24,FALSE),0)</f>
        <v>0</v>
      </c>
      <c r="H2510">
        <f>IFERROR(HLOOKUP(H$2,[76]table_male_hkom2_inj.ill_X2!$A$1:$K$36,24,FALSE),0)</f>
        <v>0</v>
      </c>
      <c r="I2510">
        <f>IFERROR(HLOOKUP(I$2,[76]table_male_hkom2_inj.ill_X2!$A$1:$K$36,24,FALSE),0)</f>
        <v>0</v>
      </c>
      <c r="J2510">
        <f>IFERROR(HLOOKUP(J$2,[76]table_male_hkom2_inj.ill_X2!$A$1:$K$36,24,FALSE),0)</f>
        <v>0</v>
      </c>
      <c r="K2510">
        <f>IFERROR(HLOOKUP(K$2,[76]table_male_hkom2_inj.ill_X2!$A$1:$K$36,24,FALSE),0)</f>
        <v>0</v>
      </c>
      <c r="L2510">
        <f>IFERROR(HLOOKUP(L$2,[76]table_male_hkom2_inj.ill_X2!$A$1:$K$36,24,FALSE),0)</f>
        <v>0</v>
      </c>
      <c r="M2510">
        <f t="shared" si="780"/>
        <v>0</v>
      </c>
      <c r="S2510" t="s">
        <v>92</v>
      </c>
      <c r="T2510" s="5">
        <f t="shared" si="781"/>
        <v>0</v>
      </c>
      <c r="U2510" s="5">
        <f t="shared" si="782"/>
        <v>0</v>
      </c>
      <c r="V2510" s="5">
        <f t="shared" si="783"/>
        <v>0</v>
      </c>
      <c r="W2510" s="5">
        <f t="shared" si="784"/>
        <v>0</v>
      </c>
      <c r="X2510" s="5">
        <f t="shared" si="785"/>
        <v>0</v>
      </c>
      <c r="Y2510" s="5">
        <f t="shared" si="786"/>
        <v>0</v>
      </c>
      <c r="Z2510" s="5">
        <f t="shared" si="787"/>
        <v>0</v>
      </c>
      <c r="AA2510" s="5">
        <f t="shared" si="788"/>
        <v>0</v>
      </c>
      <c r="AB2510" s="5">
        <f t="shared" si="778"/>
        <v>0</v>
      </c>
    </row>
    <row r="2511" spans="4:28" x14ac:dyDescent="0.25">
      <c r="D2511" t="s">
        <v>93</v>
      </c>
      <c r="E2511" s="14"/>
      <c r="F2511" s="14"/>
      <c r="G2511">
        <f>IFERROR(HLOOKUP(G$2,[76]table_male_hkom2_inj.ill_X2!$A$1:$K$36,25,FALSE),0)</f>
        <v>0</v>
      </c>
      <c r="H2511">
        <f>IFERROR(HLOOKUP(H$2,[76]table_male_hkom2_inj.ill_X2!$A$1:$K$36,25,FALSE),0)</f>
        <v>0</v>
      </c>
      <c r="I2511">
        <f>IFERROR(HLOOKUP(I$2,[76]table_male_hkom2_inj.ill_X2!$A$1:$K$36,25,FALSE),0)</f>
        <v>0</v>
      </c>
      <c r="J2511">
        <f>IFERROR(HLOOKUP(J$2,[76]table_male_hkom2_inj.ill_X2!$A$1:$K$36,25,FALSE),0)</f>
        <v>0</v>
      </c>
      <c r="K2511">
        <f>IFERROR(HLOOKUP(K$2,[76]table_male_hkom2_inj.ill_X2!$A$1:$K$36,25,FALSE),0)</f>
        <v>0</v>
      </c>
      <c r="L2511">
        <f>IFERROR(HLOOKUP(L$2,[76]table_male_hkom2_inj.ill_X2!$A$1:$K$36,25,FALSE),0)</f>
        <v>0</v>
      </c>
      <c r="M2511">
        <f t="shared" si="780"/>
        <v>0</v>
      </c>
      <c r="S2511" t="s">
        <v>93</v>
      </c>
      <c r="T2511" s="5">
        <f t="shared" si="781"/>
        <v>0</v>
      </c>
      <c r="U2511" s="5">
        <f t="shared" si="782"/>
        <v>0</v>
      </c>
      <c r="V2511" s="5">
        <f t="shared" si="783"/>
        <v>0</v>
      </c>
      <c r="W2511" s="5">
        <f t="shared" si="784"/>
        <v>0</v>
      </c>
      <c r="X2511" s="5">
        <f t="shared" si="785"/>
        <v>0</v>
      </c>
      <c r="Y2511" s="5">
        <f t="shared" si="786"/>
        <v>0</v>
      </c>
      <c r="Z2511" s="5">
        <f t="shared" si="787"/>
        <v>0</v>
      </c>
      <c r="AA2511" s="5">
        <f t="shared" si="788"/>
        <v>0</v>
      </c>
      <c r="AB2511" s="5">
        <f t="shared" si="778"/>
        <v>0</v>
      </c>
    </row>
    <row r="2512" spans="4:28" x14ac:dyDescent="0.25">
      <c r="D2512" t="s">
        <v>94</v>
      </c>
      <c r="E2512" s="14"/>
      <c r="F2512" s="14"/>
      <c r="G2512">
        <f>IFERROR(HLOOKUP(G$2,[76]table_male_hkom2_inj.ill_X2!$A$1:$K$36,26,FALSE),0)</f>
        <v>0</v>
      </c>
      <c r="H2512">
        <f>IFERROR(HLOOKUP(H$2,[76]table_male_hkom2_inj.ill_X2!$A$1:$K$36,26,FALSE),0)</f>
        <v>0</v>
      </c>
      <c r="I2512">
        <f>IFERROR(HLOOKUP(I$2,[76]table_male_hkom2_inj.ill_X2!$A$1:$K$36,26,FALSE),0)</f>
        <v>0</v>
      </c>
      <c r="J2512">
        <f>IFERROR(HLOOKUP(J$2,[76]table_male_hkom2_inj.ill_X2!$A$1:$K$36,26,FALSE),0)</f>
        <v>0</v>
      </c>
      <c r="K2512">
        <f>IFERROR(HLOOKUP(K$2,[76]table_male_hkom2_inj.ill_X2!$A$1:$K$36,26,FALSE),0)</f>
        <v>0</v>
      </c>
      <c r="L2512">
        <f>IFERROR(HLOOKUP(L$2,[76]table_male_hkom2_inj.ill_X2!$A$1:$K$36,26,FALSE),0)</f>
        <v>0</v>
      </c>
      <c r="M2512">
        <f t="shared" si="780"/>
        <v>0</v>
      </c>
      <c r="S2512" t="s">
        <v>94</v>
      </c>
      <c r="T2512" s="5">
        <f t="shared" si="781"/>
        <v>0</v>
      </c>
      <c r="U2512" s="5">
        <f t="shared" si="782"/>
        <v>0</v>
      </c>
      <c r="V2512" s="5">
        <f t="shared" si="783"/>
        <v>0</v>
      </c>
      <c r="W2512" s="5">
        <f t="shared" si="784"/>
        <v>0</v>
      </c>
      <c r="X2512" s="5">
        <f t="shared" si="785"/>
        <v>0</v>
      </c>
      <c r="Y2512" s="5">
        <f t="shared" si="786"/>
        <v>0</v>
      </c>
      <c r="Z2512" s="5">
        <f t="shared" si="787"/>
        <v>0</v>
      </c>
      <c r="AA2512" s="5">
        <f t="shared" si="788"/>
        <v>0</v>
      </c>
      <c r="AB2512" s="5">
        <f t="shared" si="778"/>
        <v>0</v>
      </c>
    </row>
    <row r="2513" spans="1:29" x14ac:dyDescent="0.25">
      <c r="D2513" t="s">
        <v>95</v>
      </c>
      <c r="E2513" s="14"/>
      <c r="F2513" s="14"/>
      <c r="G2513">
        <f>IFERROR(HLOOKUP(G$2,[76]table_male_hkom2_inj.ill_X2!$A$1:$K$36,27,FALSE),0)</f>
        <v>0</v>
      </c>
      <c r="H2513">
        <f>IFERROR(HLOOKUP(H$2,[76]table_male_hkom2_inj.ill_X2!$A$1:$K$36,27,FALSE),0)</f>
        <v>0</v>
      </c>
      <c r="I2513">
        <f>IFERROR(HLOOKUP(I$2,[76]table_male_hkom2_inj.ill_X2!$A$1:$K$36,27,FALSE),0)</f>
        <v>0</v>
      </c>
      <c r="J2513">
        <f>IFERROR(HLOOKUP(J$2,[76]table_male_hkom2_inj.ill_X2!$A$1:$K$36,27,FALSE),0)</f>
        <v>0</v>
      </c>
      <c r="K2513">
        <f>IFERROR(HLOOKUP(K$2,[76]table_male_hkom2_inj.ill_X2!$A$1:$K$36,27,FALSE),0)</f>
        <v>0</v>
      </c>
      <c r="L2513">
        <f>IFERROR(HLOOKUP(L$2,[76]table_male_hkom2_inj.ill_X2!$A$1:$K$36,27,FALSE),0)</f>
        <v>0</v>
      </c>
      <c r="M2513">
        <f t="shared" si="780"/>
        <v>0</v>
      </c>
      <c r="S2513" t="s">
        <v>95</v>
      </c>
      <c r="T2513" s="5">
        <f t="shared" si="781"/>
        <v>0</v>
      </c>
      <c r="U2513" s="5">
        <f t="shared" si="782"/>
        <v>0</v>
      </c>
      <c r="V2513" s="5">
        <f t="shared" si="783"/>
        <v>0</v>
      </c>
      <c r="W2513" s="5">
        <f t="shared" si="784"/>
        <v>0</v>
      </c>
      <c r="X2513" s="5">
        <f t="shared" si="785"/>
        <v>0</v>
      </c>
      <c r="Y2513" s="5">
        <f t="shared" si="786"/>
        <v>0</v>
      </c>
      <c r="Z2513" s="5">
        <f t="shared" si="787"/>
        <v>0</v>
      </c>
      <c r="AA2513" s="5">
        <f t="shared" si="788"/>
        <v>0</v>
      </c>
      <c r="AB2513" s="5">
        <f t="shared" si="778"/>
        <v>0</v>
      </c>
    </row>
    <row r="2514" spans="1:29" x14ac:dyDescent="0.25">
      <c r="D2514" t="s">
        <v>96</v>
      </c>
      <c r="E2514" s="14"/>
      <c r="F2514" s="14"/>
      <c r="G2514">
        <f>IFERROR(HLOOKUP(G$2,[76]table_male_hkom2_inj.ill_X2!$A$1:$K$36,28,FALSE),0)</f>
        <v>0</v>
      </c>
      <c r="H2514">
        <f>IFERROR(HLOOKUP(H$2,[76]table_male_hkom2_inj.ill_X2!$A$1:$K$36,28,FALSE),0)</f>
        <v>0</v>
      </c>
      <c r="I2514">
        <f>IFERROR(HLOOKUP(I$2,[76]table_male_hkom2_inj.ill_X2!$A$1:$K$36,28,FALSE),0)</f>
        <v>0</v>
      </c>
      <c r="J2514">
        <f>IFERROR(HLOOKUP(J$2,[76]table_male_hkom2_inj.ill_X2!$A$1:$K$36,28,FALSE),0)</f>
        <v>0</v>
      </c>
      <c r="K2514">
        <f>IFERROR(HLOOKUP(K$2,[76]table_male_hkom2_inj.ill_X2!$A$1:$K$36,28,FALSE),0)</f>
        <v>0</v>
      </c>
      <c r="L2514">
        <f>IFERROR(HLOOKUP(L$2,[76]table_male_hkom2_inj.ill_X2!$A$1:$K$36,28,FALSE),0)</f>
        <v>0</v>
      </c>
      <c r="M2514">
        <f t="shared" si="780"/>
        <v>0</v>
      </c>
      <c r="S2514" t="s">
        <v>96</v>
      </c>
      <c r="T2514" s="5">
        <f t="shared" si="781"/>
        <v>0</v>
      </c>
      <c r="U2514" s="5">
        <f t="shared" si="782"/>
        <v>0</v>
      </c>
      <c r="V2514" s="5">
        <f t="shared" si="783"/>
        <v>0</v>
      </c>
      <c r="W2514" s="5">
        <f t="shared" si="784"/>
        <v>0</v>
      </c>
      <c r="X2514" s="5">
        <f t="shared" si="785"/>
        <v>0</v>
      </c>
      <c r="Y2514" s="5">
        <f t="shared" si="786"/>
        <v>0</v>
      </c>
      <c r="Z2514" s="5">
        <f t="shared" si="787"/>
        <v>0</v>
      </c>
      <c r="AA2514" s="5">
        <f t="shared" si="788"/>
        <v>0</v>
      </c>
      <c r="AB2514" s="5">
        <f t="shared" si="778"/>
        <v>0</v>
      </c>
    </row>
    <row r="2515" spans="1:29" x14ac:dyDescent="0.25">
      <c r="D2515" t="s">
        <v>97</v>
      </c>
      <c r="E2515" s="14"/>
      <c r="F2515" s="14"/>
      <c r="G2515">
        <f>IFERROR(HLOOKUP(G$2,[76]table_male_hkom2_inj.ill_X2!$A$1:$K$36,29,FALSE),0)</f>
        <v>0</v>
      </c>
      <c r="H2515">
        <f>IFERROR(HLOOKUP(H$2,[76]table_male_hkom2_inj.ill_X2!$A$1:$K$36,29,FALSE),0)</f>
        <v>0</v>
      </c>
      <c r="I2515">
        <f>IFERROR(HLOOKUP(I$2,[76]table_male_hkom2_inj.ill_X2!$A$1:$K$36,29,FALSE),0)</f>
        <v>0</v>
      </c>
      <c r="J2515">
        <f>IFERROR(HLOOKUP(J$2,[76]table_male_hkom2_inj.ill_X2!$A$1:$K$36,29,FALSE),0)</f>
        <v>0</v>
      </c>
      <c r="K2515">
        <f>IFERROR(HLOOKUP(K$2,[76]table_male_hkom2_inj.ill_X2!$A$1:$K$36,29,FALSE),0)</f>
        <v>0</v>
      </c>
      <c r="L2515">
        <f>IFERROR(HLOOKUP(L$2,[76]table_male_hkom2_inj.ill_X2!$A$1:$K$36,29,FALSE),0)</f>
        <v>0</v>
      </c>
      <c r="M2515">
        <f t="shared" si="780"/>
        <v>0</v>
      </c>
      <c r="S2515" t="s">
        <v>97</v>
      </c>
      <c r="T2515" s="5">
        <f t="shared" si="781"/>
        <v>0</v>
      </c>
      <c r="U2515" s="5">
        <f t="shared" si="782"/>
        <v>0</v>
      </c>
      <c r="V2515" s="5">
        <f t="shared" si="783"/>
        <v>0</v>
      </c>
      <c r="W2515" s="5">
        <f t="shared" si="784"/>
        <v>0</v>
      </c>
      <c r="X2515" s="5">
        <f t="shared" si="785"/>
        <v>0</v>
      </c>
      <c r="Y2515" s="5">
        <f t="shared" si="786"/>
        <v>0</v>
      </c>
      <c r="Z2515" s="5">
        <f t="shared" si="787"/>
        <v>0</v>
      </c>
      <c r="AA2515" s="5">
        <f t="shared" si="788"/>
        <v>0</v>
      </c>
      <c r="AB2515" s="5">
        <f t="shared" si="778"/>
        <v>0</v>
      </c>
    </row>
    <row r="2516" spans="1:29" x14ac:dyDescent="0.25">
      <c r="D2516" t="s">
        <v>98</v>
      </c>
      <c r="E2516" s="14"/>
      <c r="F2516" s="14"/>
      <c r="G2516">
        <f>IFERROR(HLOOKUP(G$2,[76]table_male_hkom2_inj.ill_X2!$A$1:$K$36,30,FALSE),0)</f>
        <v>0</v>
      </c>
      <c r="H2516">
        <f>IFERROR(HLOOKUP(H$2,[76]table_male_hkom2_inj.ill_X2!$A$1:$K$36,30,FALSE),0)</f>
        <v>0</v>
      </c>
      <c r="I2516">
        <f>IFERROR(HLOOKUP(I$2,[76]table_male_hkom2_inj.ill_X2!$A$1:$K$36,30,FALSE),0)</f>
        <v>0</v>
      </c>
      <c r="J2516">
        <f>IFERROR(HLOOKUP(J$2,[76]table_male_hkom2_inj.ill_X2!$A$1:$K$36,30,FALSE),0)</f>
        <v>0</v>
      </c>
      <c r="K2516">
        <f>IFERROR(HLOOKUP(K$2,[76]table_male_hkom2_inj.ill_X2!$A$1:$K$36,30,FALSE),0)</f>
        <v>0</v>
      </c>
      <c r="L2516">
        <f>IFERROR(HLOOKUP(L$2,[76]table_male_hkom2_inj.ill_X2!$A$1:$K$36,30,FALSE),0)</f>
        <v>0</v>
      </c>
      <c r="M2516">
        <f t="shared" si="780"/>
        <v>0</v>
      </c>
      <c r="S2516" t="s">
        <v>98</v>
      </c>
      <c r="T2516" s="5">
        <f t="shared" si="781"/>
        <v>0</v>
      </c>
      <c r="U2516" s="5">
        <f t="shared" si="782"/>
        <v>0</v>
      </c>
      <c r="V2516" s="5">
        <f t="shared" si="783"/>
        <v>0</v>
      </c>
      <c r="W2516" s="5">
        <f t="shared" si="784"/>
        <v>0</v>
      </c>
      <c r="X2516" s="5">
        <f t="shared" si="785"/>
        <v>0</v>
      </c>
      <c r="Y2516" s="5">
        <f t="shared" si="786"/>
        <v>0</v>
      </c>
      <c r="Z2516" s="5">
        <f t="shared" si="787"/>
        <v>0</v>
      </c>
      <c r="AA2516" s="5">
        <f t="shared" si="788"/>
        <v>0</v>
      </c>
      <c r="AB2516" s="5">
        <f t="shared" si="778"/>
        <v>0</v>
      </c>
    </row>
    <row r="2517" spans="1:29" x14ac:dyDescent="0.25">
      <c r="D2517" t="s">
        <v>119</v>
      </c>
      <c r="E2517" s="14"/>
      <c r="F2517" s="14"/>
      <c r="G2517">
        <f>IFERROR(HLOOKUP(G$2,[76]table_male_hkom2_inj.ill_X2!$A$1:$K$36,31,FALSE),0)</f>
        <v>0</v>
      </c>
      <c r="H2517">
        <f>IFERROR(HLOOKUP(H$2,[76]table_male_hkom2_inj.ill_X2!$A$1:$K$36,31,FALSE),0)</f>
        <v>0</v>
      </c>
      <c r="I2517">
        <f>IFERROR(HLOOKUP(I$2,[76]table_male_hkom2_inj.ill_X2!$A$1:$K$36,31,FALSE),0)</f>
        <v>0</v>
      </c>
      <c r="J2517">
        <f>IFERROR(HLOOKUP(J$2,[76]table_male_hkom2_inj.ill_X2!$A$1:$K$36,31,FALSE),0)</f>
        <v>0</v>
      </c>
      <c r="K2517">
        <f>IFERROR(HLOOKUP(K$2,[76]table_male_hkom2_inj.ill_X2!$A$1:$K$36,31,FALSE),0)</f>
        <v>0</v>
      </c>
      <c r="L2517">
        <f>IFERROR(HLOOKUP(L$2,[76]table_male_hkom2_inj.ill_X2!$A$1:$K$36,31,FALSE),0)</f>
        <v>0</v>
      </c>
      <c r="M2517">
        <f t="shared" si="780"/>
        <v>0</v>
      </c>
      <c r="S2517" t="s">
        <v>119</v>
      </c>
      <c r="T2517" s="5">
        <f t="shared" si="781"/>
        <v>0</v>
      </c>
      <c r="U2517" s="5">
        <f t="shared" si="782"/>
        <v>0</v>
      </c>
      <c r="V2517" s="5">
        <f t="shared" si="783"/>
        <v>0</v>
      </c>
      <c r="W2517" s="5">
        <f t="shared" si="784"/>
        <v>0</v>
      </c>
      <c r="X2517" s="5">
        <f t="shared" si="785"/>
        <v>0</v>
      </c>
      <c r="Y2517" s="5">
        <f t="shared" si="786"/>
        <v>0</v>
      </c>
      <c r="Z2517" s="5">
        <f t="shared" si="787"/>
        <v>0</v>
      </c>
      <c r="AA2517" s="5">
        <f t="shared" si="788"/>
        <v>0</v>
      </c>
      <c r="AB2517" s="5">
        <f t="shared" si="778"/>
        <v>0</v>
      </c>
    </row>
    <row r="2518" spans="1:29" x14ac:dyDescent="0.25">
      <c r="D2518" t="s">
        <v>99</v>
      </c>
      <c r="E2518" s="14"/>
      <c r="F2518" s="14"/>
      <c r="G2518">
        <f>IFERROR(HLOOKUP(G$2,[76]table_male_hkom2_inj.ill_X2!$A$1:$K$36,32,FALSE),0)</f>
        <v>0</v>
      </c>
      <c r="H2518">
        <f>IFERROR(HLOOKUP(H$2,[76]table_male_hkom2_inj.ill_X2!$A$1:$K$36,32,FALSE),0)</f>
        <v>0</v>
      </c>
      <c r="I2518">
        <f>IFERROR(HLOOKUP(I$2,[76]table_male_hkom2_inj.ill_X2!$A$1:$K$36,32,FALSE),0)</f>
        <v>0</v>
      </c>
      <c r="J2518">
        <f>IFERROR(HLOOKUP(J$2,[76]table_male_hkom2_inj.ill_X2!$A$1:$K$36,32,FALSE),0)</f>
        <v>0</v>
      </c>
      <c r="K2518">
        <f>IFERROR(HLOOKUP(K$2,[76]table_male_hkom2_inj.ill_X2!$A$1:$K$36,32,FALSE),0)</f>
        <v>0</v>
      </c>
      <c r="L2518">
        <f>IFERROR(HLOOKUP(L$2,[76]table_male_hkom2_inj.ill_X2!$A$1:$K$36,32,FALSE),0)</f>
        <v>0</v>
      </c>
      <c r="M2518">
        <f t="shared" si="780"/>
        <v>0</v>
      </c>
      <c r="S2518" t="s">
        <v>99</v>
      </c>
      <c r="T2518" s="5">
        <f t="shared" si="781"/>
        <v>0</v>
      </c>
      <c r="U2518" s="5">
        <f t="shared" si="782"/>
        <v>0</v>
      </c>
      <c r="V2518" s="5">
        <f t="shared" si="783"/>
        <v>0</v>
      </c>
      <c r="W2518" s="5">
        <f t="shared" si="784"/>
        <v>0</v>
      </c>
      <c r="X2518" s="5">
        <f t="shared" si="785"/>
        <v>0</v>
      </c>
      <c r="Y2518" s="5">
        <f t="shared" si="786"/>
        <v>0</v>
      </c>
      <c r="Z2518" s="5">
        <f t="shared" si="787"/>
        <v>0</v>
      </c>
      <c r="AA2518" s="5">
        <f t="shared" si="788"/>
        <v>0</v>
      </c>
      <c r="AB2518" s="5">
        <f t="shared" si="778"/>
        <v>0</v>
      </c>
    </row>
    <row r="2519" spans="1:29" x14ac:dyDescent="0.25">
      <c r="D2519" t="s">
        <v>100</v>
      </c>
      <c r="E2519" s="14"/>
      <c r="F2519" s="14"/>
      <c r="G2519">
        <f>IFERROR(HLOOKUP(G$2,[76]table_male_hkom2_inj.ill_X2!$A$1:$K$36,33,FALSE),0)</f>
        <v>0</v>
      </c>
      <c r="H2519">
        <f>IFERROR(HLOOKUP(H$2,[76]table_male_hkom2_inj.ill_X2!$A$1:$K$36,33,FALSE),0)</f>
        <v>0</v>
      </c>
      <c r="I2519">
        <f>IFERROR(HLOOKUP(I$2,[76]table_male_hkom2_inj.ill_X2!$A$1:$K$36,33,FALSE),0)</f>
        <v>0</v>
      </c>
      <c r="J2519">
        <f>IFERROR(HLOOKUP(J$2,[76]table_male_hkom2_inj.ill_X2!$A$1:$K$36,33,FALSE),0)</f>
        <v>0</v>
      </c>
      <c r="K2519">
        <f>IFERROR(HLOOKUP(K$2,[76]table_male_hkom2_inj.ill_X2!$A$1:$K$36,33,FALSE),0)</f>
        <v>0</v>
      </c>
      <c r="L2519">
        <f>IFERROR(HLOOKUP(L$2,[76]table_male_hkom2_inj.ill_X2!$A$1:$K$36,33,FALSE),0)</f>
        <v>0</v>
      </c>
      <c r="M2519">
        <f t="shared" si="780"/>
        <v>0</v>
      </c>
      <c r="S2519" t="s">
        <v>100</v>
      </c>
      <c r="T2519" s="5">
        <f t="shared" si="781"/>
        <v>0</v>
      </c>
      <c r="U2519" s="5">
        <f t="shared" si="782"/>
        <v>0</v>
      </c>
      <c r="V2519" s="5">
        <f t="shared" si="783"/>
        <v>0</v>
      </c>
      <c r="W2519" s="5">
        <f t="shared" si="784"/>
        <v>0</v>
      </c>
      <c r="X2519" s="5">
        <f t="shared" si="785"/>
        <v>0</v>
      </c>
      <c r="Y2519" s="5">
        <f t="shared" si="786"/>
        <v>0</v>
      </c>
      <c r="Z2519" s="5">
        <f t="shared" si="787"/>
        <v>0</v>
      </c>
      <c r="AA2519" s="5">
        <f t="shared" si="788"/>
        <v>0</v>
      </c>
      <c r="AB2519" s="5">
        <f t="shared" si="778"/>
        <v>0</v>
      </c>
    </row>
    <row r="2520" spans="1:29" x14ac:dyDescent="0.25">
      <c r="D2520" t="s">
        <v>101</v>
      </c>
      <c r="E2520" s="14"/>
      <c r="F2520" s="14"/>
      <c r="G2520">
        <f>IFERROR(HLOOKUP(G$2,[76]table_male_hkom2_inj.ill_X2!$A$1:$K$36,34,FALSE),0)</f>
        <v>0</v>
      </c>
      <c r="H2520">
        <f>IFERROR(HLOOKUP(H$2,[76]table_male_hkom2_inj.ill_X2!$A$1:$K$36,34,FALSE),0)</f>
        <v>0</v>
      </c>
      <c r="I2520">
        <f>IFERROR(HLOOKUP(I$2,[76]table_male_hkom2_inj.ill_X2!$A$1:$K$36,34,FALSE),0)</f>
        <v>0</v>
      </c>
      <c r="J2520">
        <f>IFERROR(HLOOKUP(J$2,[76]table_male_hkom2_inj.ill_X2!$A$1:$K$36,34,FALSE),0)</f>
        <v>0</v>
      </c>
      <c r="K2520">
        <f>IFERROR(HLOOKUP(K$2,[76]table_male_hkom2_inj.ill_X2!$A$1:$K$36,34,FALSE),0)</f>
        <v>0</v>
      </c>
      <c r="L2520">
        <f>IFERROR(HLOOKUP(L$2,[76]table_male_hkom2_inj.ill_X2!$A$1:$K$36,34,FALSE),0)</f>
        <v>0</v>
      </c>
      <c r="M2520">
        <f t="shared" si="780"/>
        <v>0</v>
      </c>
      <c r="S2520" t="s">
        <v>101</v>
      </c>
      <c r="T2520" s="5">
        <f t="shared" si="781"/>
        <v>0</v>
      </c>
      <c r="U2520" s="5">
        <f t="shared" si="782"/>
        <v>0</v>
      </c>
      <c r="V2520" s="5">
        <f t="shared" si="783"/>
        <v>0</v>
      </c>
      <c r="W2520" s="5">
        <f t="shared" si="784"/>
        <v>0</v>
      </c>
      <c r="X2520" s="5">
        <f t="shared" si="785"/>
        <v>0</v>
      </c>
      <c r="Y2520" s="5">
        <f t="shared" si="786"/>
        <v>0</v>
      </c>
      <c r="Z2520" s="5">
        <f t="shared" si="787"/>
        <v>0</v>
      </c>
      <c r="AA2520" s="5">
        <f t="shared" si="788"/>
        <v>0</v>
      </c>
      <c r="AB2520" s="5">
        <f t="shared" si="778"/>
        <v>0</v>
      </c>
    </row>
    <row r="2521" spans="1:29" x14ac:dyDescent="0.25">
      <c r="D2521" t="s">
        <v>102</v>
      </c>
      <c r="E2521" s="14"/>
      <c r="F2521" s="14"/>
      <c r="G2521">
        <f>IFERROR(HLOOKUP(G$2,[76]table_male_hkom2_inj.ill_X2!$A$1:$K$36,35,FALSE),0)</f>
        <v>0</v>
      </c>
      <c r="H2521">
        <f>IFERROR(HLOOKUP(H$2,[76]table_male_hkom2_inj.ill_X2!$A$1:$K$36,35,FALSE),0)</f>
        <v>0</v>
      </c>
      <c r="I2521">
        <f>IFERROR(HLOOKUP(I$2,[76]table_male_hkom2_inj.ill_X2!$A$1:$K$36,35,FALSE),0)</f>
        <v>0</v>
      </c>
      <c r="J2521">
        <f>IFERROR(HLOOKUP(J$2,[76]table_male_hkom2_inj.ill_X2!$A$1:$K$36,35,FALSE),0)</f>
        <v>0</v>
      </c>
      <c r="K2521">
        <f>IFERROR(HLOOKUP(K$2,[76]table_male_hkom2_inj.ill_X2!$A$1:$K$36,35,FALSE),0)</f>
        <v>0</v>
      </c>
      <c r="L2521">
        <f>IFERROR(HLOOKUP(L$2,[76]table_male_hkom2_inj.ill_X2!$A$1:$K$36,35,FALSE),0)</f>
        <v>0</v>
      </c>
      <c r="M2521">
        <f t="shared" si="780"/>
        <v>0</v>
      </c>
      <c r="N2521">
        <f>SUM(M2488:M2521)</f>
        <v>0</v>
      </c>
      <c r="O2521" s="8">
        <f>SUM([76]table_male_hkom2_inj.ill_X2!$B$2:$L$37)</f>
        <v>0</v>
      </c>
      <c r="S2521" t="s">
        <v>102</v>
      </c>
      <c r="T2521" s="7"/>
      <c r="U2521" s="7"/>
      <c r="V2521" s="7"/>
      <c r="W2521" s="7"/>
      <c r="X2521" s="7"/>
      <c r="Y2521" s="7"/>
      <c r="Z2521" s="7"/>
      <c r="AA2521" s="7"/>
      <c r="AB2521" s="5">
        <f t="shared" si="778"/>
        <v>0</v>
      </c>
      <c r="AC2521" s="5">
        <f>SUM(AB2488:AB2520)</f>
        <v>0</v>
      </c>
    </row>
    <row r="2522" spans="1:29" x14ac:dyDescent="0.25">
      <c r="A2522" t="s">
        <v>104</v>
      </c>
      <c r="B2522" t="s">
        <v>116</v>
      </c>
      <c r="C2522" t="s">
        <v>125</v>
      </c>
      <c r="D2522" t="s">
        <v>70</v>
      </c>
      <c r="E2522" s="14"/>
      <c r="F2522" s="14"/>
      <c r="G2522">
        <f>IFERROR(HLOOKUP(G$2,[77]table_male_hkom2_inj.ill_X3!$A$1:$K$36,2,FALSE),0)</f>
        <v>0</v>
      </c>
      <c r="H2522">
        <f>IFERROR(HLOOKUP(H$2,[77]table_male_hkom2_inj.ill_X3!$A$1:$K$36,2,FALSE),0)</f>
        <v>0</v>
      </c>
      <c r="I2522">
        <f>IFERROR(HLOOKUP(I$2,[77]table_male_hkom2_inj.ill_X3!$A$1:$K$36,2,FALSE),0)</f>
        <v>0</v>
      </c>
      <c r="J2522">
        <f>IFERROR(HLOOKUP(J$2,[77]table_male_hkom2_inj.ill_X3!$A$1:$K$36,2,FALSE),0)</f>
        <v>0</v>
      </c>
      <c r="K2522">
        <f>IFERROR(HLOOKUP(K$2,[77]table_male_hkom2_inj.ill_X3!$A$1:$K$36,2,FALSE),0)</f>
        <v>0</v>
      </c>
      <c r="L2522">
        <f>IFERROR(HLOOKUP(L$2,[77]table_male_hkom2_inj.ill_X3!$A$1:$K$36,2,FALSE),0)</f>
        <v>0</v>
      </c>
      <c r="M2522">
        <f>SUM(E2522:L2522)</f>
        <v>0</v>
      </c>
      <c r="P2522" t="s">
        <v>104</v>
      </c>
      <c r="Q2522" t="s">
        <v>116</v>
      </c>
      <c r="R2522" t="s">
        <v>125</v>
      </c>
      <c r="S2522" t="s">
        <v>70</v>
      </c>
      <c r="T2522" s="5">
        <f>IF(SUM(E$2522:E$2554)=0,E$2555/33,E2522+IFERROR(E2522/SUM(E$2522:E$2554)*E$2555,0))</f>
        <v>0</v>
      </c>
      <c r="U2522" s="5">
        <f t="shared" ref="U2522:AA2522" si="789">IF(SUM(F$2522:F$2554)=0,F$2555/33,F2522+IFERROR(F2522/SUM(F$2522:F$2554)*F$2555,0))</f>
        <v>0</v>
      </c>
      <c r="V2522" s="5">
        <f t="shared" si="789"/>
        <v>0</v>
      </c>
      <c r="W2522" s="5">
        <f t="shared" si="789"/>
        <v>0</v>
      </c>
      <c r="X2522" s="5">
        <f t="shared" si="789"/>
        <v>0</v>
      </c>
      <c r="Y2522" s="5">
        <f t="shared" si="789"/>
        <v>0</v>
      </c>
      <c r="Z2522" s="5">
        <f t="shared" si="789"/>
        <v>0</v>
      </c>
      <c r="AA2522" s="5">
        <f t="shared" si="789"/>
        <v>0</v>
      </c>
      <c r="AB2522" s="5">
        <f t="shared" si="778"/>
        <v>0</v>
      </c>
    </row>
    <row r="2523" spans="1:29" x14ac:dyDescent="0.25">
      <c r="D2523" t="s">
        <v>71</v>
      </c>
      <c r="E2523" s="14"/>
      <c r="F2523" s="14"/>
      <c r="G2523">
        <f>IFERROR(HLOOKUP(G$2,[77]table_male_hkom2_inj.ill_X3!$A$1:$K$36,3,FALSE),0)</f>
        <v>0</v>
      </c>
      <c r="H2523">
        <f>IFERROR(HLOOKUP(H$2,[77]table_male_hkom2_inj.ill_X3!$A$1:$K$36,3,FALSE),0)</f>
        <v>0</v>
      </c>
      <c r="I2523">
        <f>IFERROR(HLOOKUP(I$2,[77]table_male_hkom2_inj.ill_X3!$A$1:$K$36,3,FALSE),0)</f>
        <v>0</v>
      </c>
      <c r="J2523">
        <f>IFERROR(HLOOKUP(J$2,[77]table_male_hkom2_inj.ill_X3!$A$1:$K$36,3,FALSE),0)</f>
        <v>0</v>
      </c>
      <c r="K2523">
        <f>IFERROR(HLOOKUP(K$2,[77]table_male_hkom2_inj.ill_X3!$A$1:$K$36,3,FALSE),0)</f>
        <v>0</v>
      </c>
      <c r="L2523">
        <f>IFERROR(HLOOKUP(L$2,[77]table_male_hkom2_inj.ill_X3!$A$1:$K$36,3,FALSE),0)</f>
        <v>0</v>
      </c>
      <c r="M2523">
        <f t="shared" ref="M2523:M2555" si="790">SUM(E2523:L2523)</f>
        <v>0</v>
      </c>
      <c r="S2523" t="s">
        <v>71</v>
      </c>
      <c r="T2523" s="5">
        <f t="shared" ref="T2523:T2554" si="791">IF(SUM(E$2522:E$2554)=0,E$2555/33,E2523+IFERROR(E2523/SUM(E$2522:E$2554)*E$2555,0))</f>
        <v>0</v>
      </c>
      <c r="U2523" s="5">
        <f t="shared" ref="U2523:U2554" si="792">IF(SUM(F$2522:F$2554)=0,F$2555/33,F2523+IFERROR(F2523/SUM(F$2522:F$2554)*F$2555,0))</f>
        <v>0</v>
      </c>
      <c r="V2523" s="5">
        <f t="shared" ref="V2523:V2554" si="793">IF(SUM(G$2522:G$2554)=0,G$2555/33,G2523+IFERROR(G2523/SUM(G$2522:G$2554)*G$2555,0))</f>
        <v>0</v>
      </c>
      <c r="W2523" s="5">
        <f t="shared" ref="W2523:W2554" si="794">IF(SUM(H$2522:H$2554)=0,H$2555/33,H2523+IFERROR(H2523/SUM(H$2522:H$2554)*H$2555,0))</f>
        <v>0</v>
      </c>
      <c r="X2523" s="5">
        <f t="shared" ref="X2523:X2554" si="795">IF(SUM(I$2522:I$2554)=0,I$2555/33,I2523+IFERROR(I2523/SUM(I$2522:I$2554)*I$2555,0))</f>
        <v>0</v>
      </c>
      <c r="Y2523" s="5">
        <f t="shared" ref="Y2523:Y2554" si="796">IF(SUM(J$2522:J$2554)=0,J$2555/33,J2523+IFERROR(J2523/SUM(J$2522:J$2554)*J$2555,0))</f>
        <v>0</v>
      </c>
      <c r="Z2523" s="5">
        <f t="shared" ref="Z2523:Z2554" si="797">IF(SUM(K$2522:K$2554)=0,K$2555/33,K2523+IFERROR(K2523/SUM(K$2522:K$2554)*K$2555,0))</f>
        <v>0</v>
      </c>
      <c r="AA2523" s="5">
        <f t="shared" ref="AA2523:AA2554" si="798">IF(SUM(L$2522:L$2554)=0,L$2555/33,L2523+IFERROR(L2523/SUM(L$2522:L$2554)*L$2555,0))</f>
        <v>0</v>
      </c>
      <c r="AB2523" s="5">
        <f t="shared" si="778"/>
        <v>0</v>
      </c>
    </row>
    <row r="2524" spans="1:29" x14ac:dyDescent="0.25">
      <c r="D2524" t="s">
        <v>72</v>
      </c>
      <c r="E2524" s="14"/>
      <c r="F2524" s="14"/>
      <c r="G2524">
        <f>IFERROR(HLOOKUP(G$2,[77]table_male_hkom2_inj.ill_X3!$A$1:$K$36,4,FALSE),0)</f>
        <v>0</v>
      </c>
      <c r="H2524">
        <f>IFERROR(HLOOKUP(H$2,[77]table_male_hkom2_inj.ill_X3!$A$1:$K$36,4,FALSE),0)</f>
        <v>0</v>
      </c>
      <c r="I2524">
        <f>IFERROR(HLOOKUP(I$2,[77]table_male_hkom2_inj.ill_X3!$A$1:$K$36,4,FALSE),0)</f>
        <v>0</v>
      </c>
      <c r="J2524">
        <f>IFERROR(HLOOKUP(J$2,[77]table_male_hkom2_inj.ill_X3!$A$1:$K$36,4,FALSE),0)</f>
        <v>0</v>
      </c>
      <c r="K2524">
        <f>IFERROR(HLOOKUP(K$2,[77]table_male_hkom2_inj.ill_X3!$A$1:$K$36,4,FALSE),0)</f>
        <v>0</v>
      </c>
      <c r="L2524">
        <f>IFERROR(HLOOKUP(L$2,[77]table_male_hkom2_inj.ill_X3!$A$1:$K$36,4,FALSE),0)</f>
        <v>0</v>
      </c>
      <c r="M2524">
        <f t="shared" si="790"/>
        <v>0</v>
      </c>
      <c r="S2524" t="s">
        <v>72</v>
      </c>
      <c r="T2524" s="5">
        <f t="shared" si="791"/>
        <v>0</v>
      </c>
      <c r="U2524" s="5">
        <f t="shared" si="792"/>
        <v>0</v>
      </c>
      <c r="V2524" s="5">
        <f t="shared" si="793"/>
        <v>0</v>
      </c>
      <c r="W2524" s="5">
        <f t="shared" si="794"/>
        <v>0</v>
      </c>
      <c r="X2524" s="5">
        <f t="shared" si="795"/>
        <v>0</v>
      </c>
      <c r="Y2524" s="5">
        <f t="shared" si="796"/>
        <v>0</v>
      </c>
      <c r="Z2524" s="5">
        <f t="shared" si="797"/>
        <v>0</v>
      </c>
      <c r="AA2524" s="5">
        <f t="shared" si="798"/>
        <v>0</v>
      </c>
      <c r="AB2524" s="5">
        <f t="shared" si="778"/>
        <v>0</v>
      </c>
    </row>
    <row r="2525" spans="1:29" x14ac:dyDescent="0.25">
      <c r="D2525" t="s">
        <v>73</v>
      </c>
      <c r="E2525" s="14"/>
      <c r="F2525" s="14"/>
      <c r="G2525">
        <f>IFERROR(HLOOKUP(G$2,[77]table_male_hkom2_inj.ill_X3!$A$1:$K$36,5,FALSE),0)</f>
        <v>0</v>
      </c>
      <c r="H2525">
        <f>IFERROR(HLOOKUP(H$2,[77]table_male_hkom2_inj.ill_X3!$A$1:$K$36,5,FALSE),0)</f>
        <v>0</v>
      </c>
      <c r="I2525">
        <f>IFERROR(HLOOKUP(I$2,[77]table_male_hkom2_inj.ill_X3!$A$1:$K$36,5,FALSE),0)</f>
        <v>0</v>
      </c>
      <c r="J2525">
        <f>IFERROR(HLOOKUP(J$2,[77]table_male_hkom2_inj.ill_X3!$A$1:$K$36,5,FALSE),0)</f>
        <v>0</v>
      </c>
      <c r="K2525">
        <f>IFERROR(HLOOKUP(K$2,[77]table_male_hkom2_inj.ill_X3!$A$1:$K$36,5,FALSE),0)</f>
        <v>0</v>
      </c>
      <c r="L2525">
        <f>IFERROR(HLOOKUP(L$2,[77]table_male_hkom2_inj.ill_X3!$A$1:$K$36,5,FALSE),0)</f>
        <v>0</v>
      </c>
      <c r="M2525">
        <f t="shared" si="790"/>
        <v>0</v>
      </c>
      <c r="S2525" t="s">
        <v>73</v>
      </c>
      <c r="T2525" s="5">
        <f t="shared" si="791"/>
        <v>0</v>
      </c>
      <c r="U2525" s="5">
        <f t="shared" si="792"/>
        <v>0</v>
      </c>
      <c r="V2525" s="5">
        <f t="shared" si="793"/>
        <v>0</v>
      </c>
      <c r="W2525" s="5">
        <f t="shared" si="794"/>
        <v>0</v>
      </c>
      <c r="X2525" s="5">
        <f t="shared" si="795"/>
        <v>0</v>
      </c>
      <c r="Y2525" s="5">
        <f t="shared" si="796"/>
        <v>0</v>
      </c>
      <c r="Z2525" s="5">
        <f t="shared" si="797"/>
        <v>0</v>
      </c>
      <c r="AA2525" s="5">
        <f t="shared" si="798"/>
        <v>0</v>
      </c>
      <c r="AB2525" s="5">
        <f t="shared" si="778"/>
        <v>0</v>
      </c>
    </row>
    <row r="2526" spans="1:29" x14ac:dyDescent="0.25">
      <c r="D2526" t="s">
        <v>74</v>
      </c>
      <c r="E2526" s="14"/>
      <c r="F2526" s="14"/>
      <c r="G2526">
        <f>IFERROR(HLOOKUP(G$2,[77]table_male_hkom2_inj.ill_X3!$A$1:$K$36,6,FALSE),0)</f>
        <v>0</v>
      </c>
      <c r="H2526">
        <f>IFERROR(HLOOKUP(H$2,[77]table_male_hkom2_inj.ill_X3!$A$1:$K$36,6,FALSE),0)</f>
        <v>0</v>
      </c>
      <c r="I2526">
        <f>IFERROR(HLOOKUP(I$2,[77]table_male_hkom2_inj.ill_X3!$A$1:$K$36,6,FALSE),0)</f>
        <v>0</v>
      </c>
      <c r="J2526">
        <f>IFERROR(HLOOKUP(J$2,[77]table_male_hkom2_inj.ill_X3!$A$1:$K$36,6,FALSE),0)</f>
        <v>0</v>
      </c>
      <c r="K2526">
        <f>IFERROR(HLOOKUP(K$2,[77]table_male_hkom2_inj.ill_X3!$A$1:$K$36,6,FALSE),0)</f>
        <v>0</v>
      </c>
      <c r="L2526">
        <f>IFERROR(HLOOKUP(L$2,[77]table_male_hkom2_inj.ill_X3!$A$1:$K$36,6,FALSE),0)</f>
        <v>0</v>
      </c>
      <c r="M2526">
        <f t="shared" si="790"/>
        <v>0</v>
      </c>
      <c r="S2526" t="s">
        <v>74</v>
      </c>
      <c r="T2526" s="5">
        <f t="shared" si="791"/>
        <v>0</v>
      </c>
      <c r="U2526" s="5">
        <f t="shared" si="792"/>
        <v>0</v>
      </c>
      <c r="V2526" s="5">
        <f t="shared" si="793"/>
        <v>0</v>
      </c>
      <c r="W2526" s="5">
        <f t="shared" si="794"/>
        <v>0</v>
      </c>
      <c r="X2526" s="5">
        <f t="shared" si="795"/>
        <v>0</v>
      </c>
      <c r="Y2526" s="5">
        <f t="shared" si="796"/>
        <v>0</v>
      </c>
      <c r="Z2526" s="5">
        <f t="shared" si="797"/>
        <v>0</v>
      </c>
      <c r="AA2526" s="5">
        <f t="shared" si="798"/>
        <v>0</v>
      </c>
      <c r="AB2526" s="5">
        <f t="shared" si="778"/>
        <v>0</v>
      </c>
    </row>
    <row r="2527" spans="1:29" x14ac:dyDescent="0.25">
      <c r="D2527" t="s">
        <v>75</v>
      </c>
      <c r="E2527" s="14"/>
      <c r="F2527" s="14"/>
      <c r="G2527">
        <f>IFERROR(HLOOKUP(G$2,[77]table_male_hkom2_inj.ill_X3!$A$1:$K$36,7,FALSE),0)</f>
        <v>0</v>
      </c>
      <c r="H2527">
        <f>IFERROR(HLOOKUP(H$2,[77]table_male_hkom2_inj.ill_X3!$A$1:$K$36,7,FALSE),0)</f>
        <v>0</v>
      </c>
      <c r="I2527">
        <f>IFERROR(HLOOKUP(I$2,[77]table_male_hkom2_inj.ill_X3!$A$1:$K$36,7,FALSE),0)</f>
        <v>0</v>
      </c>
      <c r="J2527">
        <f>IFERROR(HLOOKUP(J$2,[77]table_male_hkom2_inj.ill_X3!$A$1:$K$36,7,FALSE),0)</f>
        <v>0</v>
      </c>
      <c r="K2527">
        <f>IFERROR(HLOOKUP(K$2,[77]table_male_hkom2_inj.ill_X3!$A$1:$K$36,7,FALSE),0)</f>
        <v>0</v>
      </c>
      <c r="L2527">
        <f>IFERROR(HLOOKUP(L$2,[77]table_male_hkom2_inj.ill_X3!$A$1:$K$36,7,FALSE),0)</f>
        <v>0</v>
      </c>
      <c r="M2527">
        <f t="shared" si="790"/>
        <v>0</v>
      </c>
      <c r="S2527" t="s">
        <v>75</v>
      </c>
      <c r="T2527" s="5">
        <f t="shared" si="791"/>
        <v>0</v>
      </c>
      <c r="U2527" s="5">
        <f t="shared" si="792"/>
        <v>0</v>
      </c>
      <c r="V2527" s="5">
        <f t="shared" si="793"/>
        <v>0</v>
      </c>
      <c r="W2527" s="5">
        <f t="shared" si="794"/>
        <v>0</v>
      </c>
      <c r="X2527" s="5">
        <f t="shared" si="795"/>
        <v>0</v>
      </c>
      <c r="Y2527" s="5">
        <f t="shared" si="796"/>
        <v>0</v>
      </c>
      <c r="Z2527" s="5">
        <f t="shared" si="797"/>
        <v>0</v>
      </c>
      <c r="AA2527" s="5">
        <f t="shared" si="798"/>
        <v>0</v>
      </c>
      <c r="AB2527" s="5">
        <f t="shared" si="778"/>
        <v>0</v>
      </c>
    </row>
    <row r="2528" spans="1:29" x14ac:dyDescent="0.25">
      <c r="D2528" t="s">
        <v>76</v>
      </c>
      <c r="E2528" s="14"/>
      <c r="F2528" s="14"/>
      <c r="G2528">
        <f>IFERROR(HLOOKUP(G$2,[77]table_male_hkom2_inj.ill_X3!$A$1:$K$36,8,FALSE),0)</f>
        <v>0</v>
      </c>
      <c r="H2528">
        <f>IFERROR(HLOOKUP(H$2,[77]table_male_hkom2_inj.ill_X3!$A$1:$K$36,8,FALSE),0)</f>
        <v>0</v>
      </c>
      <c r="I2528">
        <f>IFERROR(HLOOKUP(I$2,[77]table_male_hkom2_inj.ill_X3!$A$1:$K$36,8,FALSE),0)</f>
        <v>0</v>
      </c>
      <c r="J2528">
        <f>IFERROR(HLOOKUP(J$2,[77]table_male_hkom2_inj.ill_X3!$A$1:$K$36,8,FALSE),0)</f>
        <v>0</v>
      </c>
      <c r="K2528">
        <f>IFERROR(HLOOKUP(K$2,[77]table_male_hkom2_inj.ill_X3!$A$1:$K$36,8,FALSE),0)</f>
        <v>0</v>
      </c>
      <c r="L2528">
        <f>IFERROR(HLOOKUP(L$2,[77]table_male_hkom2_inj.ill_X3!$A$1:$K$36,8,FALSE),0)</f>
        <v>0</v>
      </c>
      <c r="M2528">
        <f t="shared" si="790"/>
        <v>0</v>
      </c>
      <c r="S2528" t="s">
        <v>76</v>
      </c>
      <c r="T2528" s="5">
        <f t="shared" si="791"/>
        <v>0</v>
      </c>
      <c r="U2528" s="5">
        <f t="shared" si="792"/>
        <v>0</v>
      </c>
      <c r="V2528" s="5">
        <f t="shared" si="793"/>
        <v>0</v>
      </c>
      <c r="W2528" s="5">
        <f t="shared" si="794"/>
        <v>0</v>
      </c>
      <c r="X2528" s="5">
        <f t="shared" si="795"/>
        <v>0</v>
      </c>
      <c r="Y2528" s="5">
        <f t="shared" si="796"/>
        <v>0</v>
      </c>
      <c r="Z2528" s="5">
        <f t="shared" si="797"/>
        <v>0</v>
      </c>
      <c r="AA2528" s="5">
        <f t="shared" si="798"/>
        <v>0</v>
      </c>
      <c r="AB2528" s="5">
        <f t="shared" si="778"/>
        <v>0</v>
      </c>
    </row>
    <row r="2529" spans="4:28" x14ac:dyDescent="0.25">
      <c r="D2529" t="s">
        <v>77</v>
      </c>
      <c r="E2529" s="14"/>
      <c r="F2529" s="14"/>
      <c r="G2529">
        <f>IFERROR(HLOOKUP(G$2,[77]table_male_hkom2_inj.ill_X3!$A$1:$K$36,9,FALSE),0)</f>
        <v>0</v>
      </c>
      <c r="H2529">
        <f>IFERROR(HLOOKUP(H$2,[77]table_male_hkom2_inj.ill_X3!$A$1:$K$36,9,FALSE),0)</f>
        <v>0</v>
      </c>
      <c r="I2529">
        <f>IFERROR(HLOOKUP(I$2,[77]table_male_hkom2_inj.ill_X3!$A$1:$K$36,9,FALSE),0)</f>
        <v>0</v>
      </c>
      <c r="J2529">
        <f>IFERROR(HLOOKUP(J$2,[77]table_male_hkom2_inj.ill_X3!$A$1:$K$36,9,FALSE),0)</f>
        <v>0</v>
      </c>
      <c r="K2529">
        <f>IFERROR(HLOOKUP(K$2,[77]table_male_hkom2_inj.ill_X3!$A$1:$K$36,9,FALSE),0)</f>
        <v>0</v>
      </c>
      <c r="L2529">
        <f>IFERROR(HLOOKUP(L$2,[77]table_male_hkom2_inj.ill_X3!$A$1:$K$36,9,FALSE),0)</f>
        <v>0</v>
      </c>
      <c r="M2529">
        <f t="shared" si="790"/>
        <v>0</v>
      </c>
      <c r="S2529" t="s">
        <v>77</v>
      </c>
      <c r="T2529" s="5">
        <f t="shared" si="791"/>
        <v>0</v>
      </c>
      <c r="U2529" s="5">
        <f t="shared" si="792"/>
        <v>0</v>
      </c>
      <c r="V2529" s="5">
        <f t="shared" si="793"/>
        <v>0</v>
      </c>
      <c r="W2529" s="5">
        <f t="shared" si="794"/>
        <v>0</v>
      </c>
      <c r="X2529" s="5">
        <f t="shared" si="795"/>
        <v>0</v>
      </c>
      <c r="Y2529" s="5">
        <f t="shared" si="796"/>
        <v>0</v>
      </c>
      <c r="Z2529" s="5">
        <f t="shared" si="797"/>
        <v>0</v>
      </c>
      <c r="AA2529" s="5">
        <f t="shared" si="798"/>
        <v>0</v>
      </c>
      <c r="AB2529" s="5">
        <f t="shared" si="778"/>
        <v>0</v>
      </c>
    </row>
    <row r="2530" spans="4:28" x14ac:dyDescent="0.25">
      <c r="D2530" t="s">
        <v>78</v>
      </c>
      <c r="E2530" s="14"/>
      <c r="F2530" s="14"/>
      <c r="G2530">
        <f>IFERROR(HLOOKUP(G$2,[77]table_male_hkom2_inj.ill_X3!$A$1:$K$36,10,FALSE),0)</f>
        <v>0</v>
      </c>
      <c r="H2530">
        <f>IFERROR(HLOOKUP(H$2,[77]table_male_hkom2_inj.ill_X3!$A$1:$K$36,10,FALSE),0)</f>
        <v>0</v>
      </c>
      <c r="I2530">
        <f>IFERROR(HLOOKUP(I$2,[77]table_male_hkom2_inj.ill_X3!$A$1:$K$36,10,FALSE),0)</f>
        <v>0</v>
      </c>
      <c r="J2530">
        <f>IFERROR(HLOOKUP(J$2,[77]table_male_hkom2_inj.ill_X3!$A$1:$K$36,10,FALSE),0)</f>
        <v>0</v>
      </c>
      <c r="K2530">
        <f>IFERROR(HLOOKUP(K$2,[77]table_male_hkom2_inj.ill_X3!$A$1:$K$36,10,FALSE),0)</f>
        <v>0</v>
      </c>
      <c r="L2530">
        <f>IFERROR(HLOOKUP(L$2,[77]table_male_hkom2_inj.ill_X3!$A$1:$K$36,10,FALSE),0)</f>
        <v>0</v>
      </c>
      <c r="M2530">
        <f t="shared" si="790"/>
        <v>0</v>
      </c>
      <c r="S2530" t="s">
        <v>78</v>
      </c>
      <c r="T2530" s="5">
        <f t="shared" si="791"/>
        <v>0</v>
      </c>
      <c r="U2530" s="5">
        <f t="shared" si="792"/>
        <v>0</v>
      </c>
      <c r="V2530" s="5">
        <f t="shared" si="793"/>
        <v>0</v>
      </c>
      <c r="W2530" s="5">
        <f t="shared" si="794"/>
        <v>0</v>
      </c>
      <c r="X2530" s="5">
        <f t="shared" si="795"/>
        <v>0</v>
      </c>
      <c r="Y2530" s="5">
        <f t="shared" si="796"/>
        <v>0</v>
      </c>
      <c r="Z2530" s="5">
        <f t="shared" si="797"/>
        <v>0</v>
      </c>
      <c r="AA2530" s="5">
        <f t="shared" si="798"/>
        <v>0</v>
      </c>
      <c r="AB2530" s="5">
        <f t="shared" si="778"/>
        <v>0</v>
      </c>
    </row>
    <row r="2531" spans="4:28" x14ac:dyDescent="0.25">
      <c r="D2531" t="s">
        <v>79</v>
      </c>
      <c r="E2531" s="14"/>
      <c r="F2531" s="14"/>
      <c r="G2531">
        <f>IFERROR(HLOOKUP(G$2,[77]table_male_hkom2_inj.ill_X3!$A$1:$K$36,11,FALSE),0)</f>
        <v>0</v>
      </c>
      <c r="H2531">
        <f>IFERROR(HLOOKUP(H$2,[77]table_male_hkom2_inj.ill_X3!$A$1:$K$36,11,FALSE),0)</f>
        <v>0</v>
      </c>
      <c r="I2531">
        <f>IFERROR(HLOOKUP(I$2,[77]table_male_hkom2_inj.ill_X3!$A$1:$K$36,11,FALSE),0)</f>
        <v>0</v>
      </c>
      <c r="J2531">
        <f>IFERROR(HLOOKUP(J$2,[77]table_male_hkom2_inj.ill_X3!$A$1:$K$36,11,FALSE),0)</f>
        <v>0</v>
      </c>
      <c r="K2531">
        <f>IFERROR(HLOOKUP(K$2,[77]table_male_hkom2_inj.ill_X3!$A$1:$K$36,11,FALSE),0)</f>
        <v>0</v>
      </c>
      <c r="L2531">
        <f>IFERROR(HLOOKUP(L$2,[77]table_male_hkom2_inj.ill_X3!$A$1:$K$36,11,FALSE),0)</f>
        <v>0</v>
      </c>
      <c r="M2531">
        <f t="shared" si="790"/>
        <v>0</v>
      </c>
      <c r="S2531" t="s">
        <v>79</v>
      </c>
      <c r="T2531" s="5">
        <f t="shared" si="791"/>
        <v>0</v>
      </c>
      <c r="U2531" s="5">
        <f t="shared" si="792"/>
        <v>0</v>
      </c>
      <c r="V2531" s="5">
        <f t="shared" si="793"/>
        <v>0</v>
      </c>
      <c r="W2531" s="5">
        <f t="shared" si="794"/>
        <v>0</v>
      </c>
      <c r="X2531" s="5">
        <f t="shared" si="795"/>
        <v>0</v>
      </c>
      <c r="Y2531" s="5">
        <f t="shared" si="796"/>
        <v>0</v>
      </c>
      <c r="Z2531" s="5">
        <f t="shared" si="797"/>
        <v>0</v>
      </c>
      <c r="AA2531" s="5">
        <f t="shared" si="798"/>
        <v>0</v>
      </c>
      <c r="AB2531" s="5">
        <f t="shared" si="778"/>
        <v>0</v>
      </c>
    </row>
    <row r="2532" spans="4:28" x14ac:dyDescent="0.25">
      <c r="D2532" t="s">
        <v>80</v>
      </c>
      <c r="E2532" s="14"/>
      <c r="F2532" s="14"/>
      <c r="G2532">
        <f>IFERROR(HLOOKUP(G$2,[77]table_male_hkom2_inj.ill_X3!$A$1:$K$36,12,FALSE),0)</f>
        <v>0</v>
      </c>
      <c r="H2532">
        <f>IFERROR(HLOOKUP(H$2,[77]table_male_hkom2_inj.ill_X3!$A$1:$K$36,12,FALSE),0)</f>
        <v>0</v>
      </c>
      <c r="I2532">
        <f>IFERROR(HLOOKUP(I$2,[77]table_male_hkom2_inj.ill_X3!$A$1:$K$36,12,FALSE),0)</f>
        <v>0</v>
      </c>
      <c r="J2532">
        <f>IFERROR(HLOOKUP(J$2,[77]table_male_hkom2_inj.ill_X3!$A$1:$K$36,12,FALSE),0)</f>
        <v>0</v>
      </c>
      <c r="K2532">
        <f>IFERROR(HLOOKUP(K$2,[77]table_male_hkom2_inj.ill_X3!$A$1:$K$36,12,FALSE),0)</f>
        <v>0</v>
      </c>
      <c r="L2532">
        <f>IFERROR(HLOOKUP(L$2,[77]table_male_hkom2_inj.ill_X3!$A$1:$K$36,12,FALSE),0)</f>
        <v>0</v>
      </c>
      <c r="M2532">
        <f t="shared" si="790"/>
        <v>0</v>
      </c>
      <c r="S2532" t="s">
        <v>80</v>
      </c>
      <c r="T2532" s="5">
        <f t="shared" si="791"/>
        <v>0</v>
      </c>
      <c r="U2532" s="5">
        <f t="shared" si="792"/>
        <v>0</v>
      </c>
      <c r="V2532" s="5">
        <f t="shared" si="793"/>
        <v>0</v>
      </c>
      <c r="W2532" s="5">
        <f t="shared" si="794"/>
        <v>0</v>
      </c>
      <c r="X2532" s="5">
        <f t="shared" si="795"/>
        <v>0</v>
      </c>
      <c r="Y2532" s="5">
        <f t="shared" si="796"/>
        <v>0</v>
      </c>
      <c r="Z2532" s="5">
        <f t="shared" si="797"/>
        <v>0</v>
      </c>
      <c r="AA2532" s="5">
        <f t="shared" si="798"/>
        <v>0</v>
      </c>
      <c r="AB2532" s="5">
        <f t="shared" si="778"/>
        <v>0</v>
      </c>
    </row>
    <row r="2533" spans="4:28" x14ac:dyDescent="0.25">
      <c r="D2533" t="s">
        <v>81</v>
      </c>
      <c r="E2533" s="14"/>
      <c r="F2533" s="14"/>
      <c r="G2533">
        <f>IFERROR(HLOOKUP(G$2,[77]table_male_hkom2_inj.ill_X3!$A$1:$K$36,13,FALSE),0)</f>
        <v>0</v>
      </c>
      <c r="H2533">
        <f>IFERROR(HLOOKUP(H$2,[77]table_male_hkom2_inj.ill_X3!$A$1:$K$36,13,FALSE),0)</f>
        <v>0</v>
      </c>
      <c r="I2533">
        <f>IFERROR(HLOOKUP(I$2,[77]table_male_hkom2_inj.ill_X3!$A$1:$K$36,13,FALSE),0)</f>
        <v>0</v>
      </c>
      <c r="J2533">
        <f>IFERROR(HLOOKUP(J$2,[77]table_male_hkom2_inj.ill_X3!$A$1:$K$36,13,FALSE),0)</f>
        <v>0</v>
      </c>
      <c r="K2533">
        <f>IFERROR(HLOOKUP(K$2,[77]table_male_hkom2_inj.ill_X3!$A$1:$K$36,13,FALSE),0)</f>
        <v>0</v>
      </c>
      <c r="L2533">
        <f>IFERROR(HLOOKUP(L$2,[77]table_male_hkom2_inj.ill_X3!$A$1:$K$36,13,FALSE),0)</f>
        <v>0</v>
      </c>
      <c r="M2533">
        <f t="shared" si="790"/>
        <v>0</v>
      </c>
      <c r="S2533" t="s">
        <v>81</v>
      </c>
      <c r="T2533" s="5">
        <f t="shared" si="791"/>
        <v>0</v>
      </c>
      <c r="U2533" s="5">
        <f t="shared" si="792"/>
        <v>0</v>
      </c>
      <c r="V2533" s="5">
        <f t="shared" si="793"/>
        <v>0</v>
      </c>
      <c r="W2533" s="5">
        <f t="shared" si="794"/>
        <v>0</v>
      </c>
      <c r="X2533" s="5">
        <f t="shared" si="795"/>
        <v>0</v>
      </c>
      <c r="Y2533" s="5">
        <f t="shared" si="796"/>
        <v>0</v>
      </c>
      <c r="Z2533" s="5">
        <f t="shared" si="797"/>
        <v>0</v>
      </c>
      <c r="AA2533" s="5">
        <f t="shared" si="798"/>
        <v>0</v>
      </c>
      <c r="AB2533" s="5">
        <f t="shared" si="778"/>
        <v>0</v>
      </c>
    </row>
    <row r="2534" spans="4:28" x14ac:dyDescent="0.25">
      <c r="D2534" t="s">
        <v>82</v>
      </c>
      <c r="E2534" s="14"/>
      <c r="F2534" s="14"/>
      <c r="G2534">
        <f>IFERROR(HLOOKUP(G$2,[77]table_male_hkom2_inj.ill_X3!$A$1:$K$36,14,FALSE),0)</f>
        <v>0</v>
      </c>
      <c r="H2534">
        <f>IFERROR(HLOOKUP(H$2,[77]table_male_hkom2_inj.ill_X3!$A$1:$K$36,14,FALSE),0)</f>
        <v>0</v>
      </c>
      <c r="I2534">
        <f>IFERROR(HLOOKUP(I$2,[77]table_male_hkom2_inj.ill_X3!$A$1:$K$36,14,FALSE),0)</f>
        <v>0</v>
      </c>
      <c r="J2534">
        <f>IFERROR(HLOOKUP(J$2,[77]table_male_hkom2_inj.ill_X3!$A$1:$K$36,14,FALSE),0)</f>
        <v>0</v>
      </c>
      <c r="K2534">
        <f>IFERROR(HLOOKUP(K$2,[77]table_male_hkom2_inj.ill_X3!$A$1:$K$36,14,FALSE),0)</f>
        <v>0</v>
      </c>
      <c r="L2534">
        <f>IFERROR(HLOOKUP(L$2,[77]table_male_hkom2_inj.ill_X3!$A$1:$K$36,14,FALSE),0)</f>
        <v>0</v>
      </c>
      <c r="M2534">
        <f t="shared" si="790"/>
        <v>0</v>
      </c>
      <c r="S2534" t="s">
        <v>82</v>
      </c>
      <c r="T2534" s="5">
        <f t="shared" si="791"/>
        <v>0</v>
      </c>
      <c r="U2534" s="5">
        <f t="shared" si="792"/>
        <v>0</v>
      </c>
      <c r="V2534" s="5">
        <f t="shared" si="793"/>
        <v>0</v>
      </c>
      <c r="W2534" s="5">
        <f t="shared" si="794"/>
        <v>0</v>
      </c>
      <c r="X2534" s="5">
        <f t="shared" si="795"/>
        <v>0</v>
      </c>
      <c r="Y2534" s="5">
        <f t="shared" si="796"/>
        <v>0</v>
      </c>
      <c r="Z2534" s="5">
        <f t="shared" si="797"/>
        <v>0</v>
      </c>
      <c r="AA2534" s="5">
        <f t="shared" si="798"/>
        <v>0</v>
      </c>
      <c r="AB2534" s="5">
        <f t="shared" si="778"/>
        <v>0</v>
      </c>
    </row>
    <row r="2535" spans="4:28" x14ac:dyDescent="0.25">
      <c r="D2535" t="s">
        <v>83</v>
      </c>
      <c r="E2535" s="14"/>
      <c r="F2535" s="14"/>
      <c r="G2535">
        <f>IFERROR(HLOOKUP(G$2,[77]table_male_hkom2_inj.ill_X3!$A$1:$K$36,15,FALSE),0)</f>
        <v>0</v>
      </c>
      <c r="H2535">
        <f>IFERROR(HLOOKUP(H$2,[77]table_male_hkom2_inj.ill_X3!$A$1:$K$36,15,FALSE),0)</f>
        <v>0</v>
      </c>
      <c r="I2535">
        <f>IFERROR(HLOOKUP(I$2,[77]table_male_hkom2_inj.ill_X3!$A$1:$K$36,15,FALSE),0)</f>
        <v>0</v>
      </c>
      <c r="J2535">
        <f>IFERROR(HLOOKUP(J$2,[77]table_male_hkom2_inj.ill_X3!$A$1:$K$36,15,FALSE),0)</f>
        <v>0</v>
      </c>
      <c r="K2535">
        <f>IFERROR(HLOOKUP(K$2,[77]table_male_hkom2_inj.ill_X3!$A$1:$K$36,15,FALSE),0)</f>
        <v>0</v>
      </c>
      <c r="L2535">
        <f>IFERROR(HLOOKUP(L$2,[77]table_male_hkom2_inj.ill_X3!$A$1:$K$36,15,FALSE),0)</f>
        <v>0</v>
      </c>
      <c r="M2535">
        <f t="shared" si="790"/>
        <v>0</v>
      </c>
      <c r="S2535" t="s">
        <v>83</v>
      </c>
      <c r="T2535" s="5">
        <f t="shared" si="791"/>
        <v>0</v>
      </c>
      <c r="U2535" s="5">
        <f t="shared" si="792"/>
        <v>0</v>
      </c>
      <c r="V2535" s="5">
        <f t="shared" si="793"/>
        <v>0</v>
      </c>
      <c r="W2535" s="5">
        <f t="shared" si="794"/>
        <v>0</v>
      </c>
      <c r="X2535" s="5">
        <f t="shared" si="795"/>
        <v>0</v>
      </c>
      <c r="Y2535" s="5">
        <f t="shared" si="796"/>
        <v>0</v>
      </c>
      <c r="Z2535" s="5">
        <f t="shared" si="797"/>
        <v>0</v>
      </c>
      <c r="AA2535" s="5">
        <f t="shared" si="798"/>
        <v>0</v>
      </c>
      <c r="AB2535" s="5">
        <f t="shared" si="778"/>
        <v>0</v>
      </c>
    </row>
    <row r="2536" spans="4:28" x14ac:dyDescent="0.25">
      <c r="D2536" t="s">
        <v>84</v>
      </c>
      <c r="E2536" s="14"/>
      <c r="F2536" s="14"/>
      <c r="G2536">
        <f>IFERROR(HLOOKUP(G$2,[77]table_male_hkom2_inj.ill_X3!$A$1:$K$36,16,FALSE),0)</f>
        <v>0</v>
      </c>
      <c r="H2536">
        <f>IFERROR(HLOOKUP(H$2,[77]table_male_hkom2_inj.ill_X3!$A$1:$K$36,16,FALSE),0)</f>
        <v>0</v>
      </c>
      <c r="I2536">
        <f>IFERROR(HLOOKUP(I$2,[77]table_male_hkom2_inj.ill_X3!$A$1:$K$36,16,FALSE),0)</f>
        <v>0</v>
      </c>
      <c r="J2536">
        <f>IFERROR(HLOOKUP(J$2,[77]table_male_hkom2_inj.ill_X3!$A$1:$K$36,16,FALSE),0)</f>
        <v>0</v>
      </c>
      <c r="K2536">
        <f>IFERROR(HLOOKUP(K$2,[77]table_male_hkom2_inj.ill_X3!$A$1:$K$36,16,FALSE),0)</f>
        <v>0</v>
      </c>
      <c r="L2536">
        <f>IFERROR(HLOOKUP(L$2,[77]table_male_hkom2_inj.ill_X3!$A$1:$K$36,16,FALSE),0)</f>
        <v>0</v>
      </c>
      <c r="M2536">
        <f t="shared" si="790"/>
        <v>0</v>
      </c>
      <c r="S2536" t="s">
        <v>84</v>
      </c>
      <c r="T2536" s="5">
        <f t="shared" si="791"/>
        <v>0</v>
      </c>
      <c r="U2536" s="5">
        <f t="shared" si="792"/>
        <v>0</v>
      </c>
      <c r="V2536" s="5">
        <f t="shared" si="793"/>
        <v>0</v>
      </c>
      <c r="W2536" s="5">
        <f t="shared" si="794"/>
        <v>0</v>
      </c>
      <c r="X2536" s="5">
        <f t="shared" si="795"/>
        <v>0</v>
      </c>
      <c r="Y2536" s="5">
        <f t="shared" si="796"/>
        <v>0</v>
      </c>
      <c r="Z2536" s="5">
        <f t="shared" si="797"/>
        <v>0</v>
      </c>
      <c r="AA2536" s="5">
        <f t="shared" si="798"/>
        <v>0</v>
      </c>
      <c r="AB2536" s="5">
        <f t="shared" si="778"/>
        <v>0</v>
      </c>
    </row>
    <row r="2537" spans="4:28" x14ac:dyDescent="0.25">
      <c r="D2537" t="s">
        <v>85</v>
      </c>
      <c r="E2537" s="14"/>
      <c r="F2537" s="14"/>
      <c r="G2537">
        <f>IFERROR(HLOOKUP(G$2,[77]table_male_hkom2_inj.ill_X3!$A$1:$K$36,17,FALSE),0)</f>
        <v>0</v>
      </c>
      <c r="H2537">
        <f>IFERROR(HLOOKUP(H$2,[77]table_male_hkom2_inj.ill_X3!$A$1:$K$36,17,FALSE),0)</f>
        <v>0</v>
      </c>
      <c r="I2537">
        <f>IFERROR(HLOOKUP(I$2,[77]table_male_hkom2_inj.ill_X3!$A$1:$K$36,17,FALSE),0)</f>
        <v>0</v>
      </c>
      <c r="J2537">
        <f>IFERROR(HLOOKUP(J$2,[77]table_male_hkom2_inj.ill_X3!$A$1:$K$36,17,FALSE),0)</f>
        <v>0</v>
      </c>
      <c r="K2537">
        <f>IFERROR(HLOOKUP(K$2,[77]table_male_hkom2_inj.ill_X3!$A$1:$K$36,17,FALSE),0)</f>
        <v>0</v>
      </c>
      <c r="L2537">
        <f>IFERROR(HLOOKUP(L$2,[77]table_male_hkom2_inj.ill_X3!$A$1:$K$36,17,FALSE),0)</f>
        <v>0</v>
      </c>
      <c r="M2537">
        <f t="shared" si="790"/>
        <v>0</v>
      </c>
      <c r="S2537" t="s">
        <v>85</v>
      </c>
      <c r="T2537" s="5">
        <f t="shared" si="791"/>
        <v>0</v>
      </c>
      <c r="U2537" s="5">
        <f t="shared" si="792"/>
        <v>0</v>
      </c>
      <c r="V2537" s="5">
        <f t="shared" si="793"/>
        <v>0</v>
      </c>
      <c r="W2537" s="5">
        <f t="shared" si="794"/>
        <v>0</v>
      </c>
      <c r="X2537" s="5">
        <f t="shared" si="795"/>
        <v>0</v>
      </c>
      <c r="Y2537" s="5">
        <f t="shared" si="796"/>
        <v>0</v>
      </c>
      <c r="Z2537" s="5">
        <f t="shared" si="797"/>
        <v>0</v>
      </c>
      <c r="AA2537" s="5">
        <f t="shared" si="798"/>
        <v>0</v>
      </c>
      <c r="AB2537" s="5">
        <f t="shared" si="778"/>
        <v>0</v>
      </c>
    </row>
    <row r="2538" spans="4:28" x14ac:dyDescent="0.25">
      <c r="D2538" t="s">
        <v>86</v>
      </c>
      <c r="E2538" s="14"/>
      <c r="F2538" s="14"/>
      <c r="G2538">
        <f>IFERROR(HLOOKUP(G$2,[77]table_male_hkom2_inj.ill_X3!$A$1:$K$36,18,FALSE),0)</f>
        <v>0</v>
      </c>
      <c r="H2538">
        <f>IFERROR(HLOOKUP(H$2,[77]table_male_hkom2_inj.ill_X3!$A$1:$K$36,18,FALSE),0)</f>
        <v>0</v>
      </c>
      <c r="I2538">
        <f>IFERROR(HLOOKUP(I$2,[77]table_male_hkom2_inj.ill_X3!$A$1:$K$36,18,FALSE),0)</f>
        <v>0</v>
      </c>
      <c r="J2538">
        <f>IFERROR(HLOOKUP(J$2,[77]table_male_hkom2_inj.ill_X3!$A$1:$K$36,18,FALSE),0)</f>
        <v>0</v>
      </c>
      <c r="K2538">
        <f>IFERROR(HLOOKUP(K$2,[77]table_male_hkom2_inj.ill_X3!$A$1:$K$36,18,FALSE),0)</f>
        <v>0</v>
      </c>
      <c r="L2538">
        <f>IFERROR(HLOOKUP(L$2,[77]table_male_hkom2_inj.ill_X3!$A$1:$K$36,18,FALSE),0)</f>
        <v>0</v>
      </c>
      <c r="M2538">
        <f t="shared" si="790"/>
        <v>0</v>
      </c>
      <c r="S2538" t="s">
        <v>86</v>
      </c>
      <c r="T2538" s="5">
        <f t="shared" si="791"/>
        <v>0</v>
      </c>
      <c r="U2538" s="5">
        <f t="shared" si="792"/>
        <v>0</v>
      </c>
      <c r="V2538" s="5">
        <f t="shared" si="793"/>
        <v>0</v>
      </c>
      <c r="W2538" s="5">
        <f t="shared" si="794"/>
        <v>0</v>
      </c>
      <c r="X2538" s="5">
        <f t="shared" si="795"/>
        <v>0</v>
      </c>
      <c r="Y2538" s="5">
        <f t="shared" si="796"/>
        <v>0</v>
      </c>
      <c r="Z2538" s="5">
        <f t="shared" si="797"/>
        <v>0</v>
      </c>
      <c r="AA2538" s="5">
        <f t="shared" si="798"/>
        <v>0</v>
      </c>
      <c r="AB2538" s="5">
        <f t="shared" si="778"/>
        <v>0</v>
      </c>
    </row>
    <row r="2539" spans="4:28" x14ac:dyDescent="0.25">
      <c r="D2539" t="s">
        <v>87</v>
      </c>
      <c r="E2539" s="14"/>
      <c r="F2539" s="14"/>
      <c r="G2539">
        <f>IFERROR(HLOOKUP(G$2,[77]table_male_hkom2_inj.ill_X3!$A$1:$K$36,19,FALSE),0)</f>
        <v>0</v>
      </c>
      <c r="H2539">
        <f>IFERROR(HLOOKUP(H$2,[77]table_male_hkom2_inj.ill_X3!$A$1:$K$36,19,FALSE),0)</f>
        <v>0</v>
      </c>
      <c r="I2539">
        <f>IFERROR(HLOOKUP(I$2,[77]table_male_hkom2_inj.ill_X3!$A$1:$K$36,19,FALSE),0)</f>
        <v>0</v>
      </c>
      <c r="J2539">
        <f>IFERROR(HLOOKUP(J$2,[77]table_male_hkom2_inj.ill_X3!$A$1:$K$36,19,FALSE),0)</f>
        <v>0</v>
      </c>
      <c r="K2539">
        <f>IFERROR(HLOOKUP(K$2,[77]table_male_hkom2_inj.ill_X3!$A$1:$K$36,19,FALSE),0)</f>
        <v>0</v>
      </c>
      <c r="L2539">
        <f>IFERROR(HLOOKUP(L$2,[77]table_male_hkom2_inj.ill_X3!$A$1:$K$36,19,FALSE),0)</f>
        <v>0</v>
      </c>
      <c r="M2539">
        <f t="shared" si="790"/>
        <v>0</v>
      </c>
      <c r="S2539" t="s">
        <v>87</v>
      </c>
      <c r="T2539" s="5">
        <f t="shared" si="791"/>
        <v>0</v>
      </c>
      <c r="U2539" s="5">
        <f t="shared" si="792"/>
        <v>0</v>
      </c>
      <c r="V2539" s="5">
        <f t="shared" si="793"/>
        <v>0</v>
      </c>
      <c r="W2539" s="5">
        <f t="shared" si="794"/>
        <v>0</v>
      </c>
      <c r="X2539" s="5">
        <f t="shared" si="795"/>
        <v>0</v>
      </c>
      <c r="Y2539" s="5">
        <f t="shared" si="796"/>
        <v>0</v>
      </c>
      <c r="Z2539" s="5">
        <f t="shared" si="797"/>
        <v>0</v>
      </c>
      <c r="AA2539" s="5">
        <f t="shared" si="798"/>
        <v>0</v>
      </c>
      <c r="AB2539" s="5">
        <f t="shared" ref="AB2539:AB2602" si="799">SUM(T2539:AA2539)</f>
        <v>0</v>
      </c>
    </row>
    <row r="2540" spans="4:28" x14ac:dyDescent="0.25">
      <c r="D2540" t="s">
        <v>88</v>
      </c>
      <c r="E2540" s="14"/>
      <c r="F2540" s="14"/>
      <c r="G2540">
        <f>IFERROR(HLOOKUP(G$2,[77]table_male_hkom2_inj.ill_X3!$A$1:$K$36,20,FALSE),0)</f>
        <v>0</v>
      </c>
      <c r="H2540">
        <f>IFERROR(HLOOKUP(H$2,[77]table_male_hkom2_inj.ill_X3!$A$1:$K$36,20,FALSE),0)</f>
        <v>0</v>
      </c>
      <c r="I2540">
        <f>IFERROR(HLOOKUP(I$2,[77]table_male_hkom2_inj.ill_X3!$A$1:$K$36,20,FALSE),0)</f>
        <v>0</v>
      </c>
      <c r="J2540">
        <f>IFERROR(HLOOKUP(J$2,[77]table_male_hkom2_inj.ill_X3!$A$1:$K$36,20,FALSE),0)</f>
        <v>0</v>
      </c>
      <c r="K2540">
        <f>IFERROR(HLOOKUP(K$2,[77]table_male_hkom2_inj.ill_X3!$A$1:$K$36,20,FALSE),0)</f>
        <v>0</v>
      </c>
      <c r="L2540">
        <f>IFERROR(HLOOKUP(L$2,[77]table_male_hkom2_inj.ill_X3!$A$1:$K$36,20,FALSE),0)</f>
        <v>0</v>
      </c>
      <c r="M2540">
        <f t="shared" si="790"/>
        <v>0</v>
      </c>
      <c r="S2540" t="s">
        <v>88</v>
      </c>
      <c r="T2540" s="5">
        <f t="shared" si="791"/>
        <v>0</v>
      </c>
      <c r="U2540" s="5">
        <f t="shared" si="792"/>
        <v>0</v>
      </c>
      <c r="V2540" s="5">
        <f t="shared" si="793"/>
        <v>0</v>
      </c>
      <c r="W2540" s="5">
        <f t="shared" si="794"/>
        <v>0</v>
      </c>
      <c r="X2540" s="5">
        <f t="shared" si="795"/>
        <v>0</v>
      </c>
      <c r="Y2540" s="5">
        <f t="shared" si="796"/>
        <v>0</v>
      </c>
      <c r="Z2540" s="5">
        <f t="shared" si="797"/>
        <v>0</v>
      </c>
      <c r="AA2540" s="5">
        <f t="shared" si="798"/>
        <v>0</v>
      </c>
      <c r="AB2540" s="5">
        <f t="shared" si="799"/>
        <v>0</v>
      </c>
    </row>
    <row r="2541" spans="4:28" x14ac:dyDescent="0.25">
      <c r="D2541" t="s">
        <v>89</v>
      </c>
      <c r="E2541" s="14"/>
      <c r="F2541" s="14"/>
      <c r="G2541">
        <f>IFERROR(HLOOKUP(G$2,[77]table_male_hkom2_inj.ill_X3!$A$1:$K$36,21,FALSE),0)</f>
        <v>0</v>
      </c>
      <c r="H2541">
        <f>IFERROR(HLOOKUP(H$2,[77]table_male_hkom2_inj.ill_X3!$A$1:$K$36,21,FALSE),0)</f>
        <v>0</v>
      </c>
      <c r="I2541">
        <f>IFERROR(HLOOKUP(I$2,[77]table_male_hkom2_inj.ill_X3!$A$1:$K$36,21,FALSE),0)</f>
        <v>0</v>
      </c>
      <c r="J2541">
        <f>IFERROR(HLOOKUP(J$2,[77]table_male_hkom2_inj.ill_X3!$A$1:$K$36,21,FALSE),0)</f>
        <v>0</v>
      </c>
      <c r="K2541">
        <f>IFERROR(HLOOKUP(K$2,[77]table_male_hkom2_inj.ill_X3!$A$1:$K$36,21,FALSE),0)</f>
        <v>0</v>
      </c>
      <c r="L2541">
        <f>IFERROR(HLOOKUP(L$2,[77]table_male_hkom2_inj.ill_X3!$A$1:$K$36,21,FALSE),0)</f>
        <v>0</v>
      </c>
      <c r="M2541">
        <f t="shared" si="790"/>
        <v>0</v>
      </c>
      <c r="S2541" t="s">
        <v>89</v>
      </c>
      <c r="T2541" s="5">
        <f t="shared" si="791"/>
        <v>0</v>
      </c>
      <c r="U2541" s="5">
        <f t="shared" si="792"/>
        <v>0</v>
      </c>
      <c r="V2541" s="5">
        <f t="shared" si="793"/>
        <v>0</v>
      </c>
      <c r="W2541" s="5">
        <f t="shared" si="794"/>
        <v>0</v>
      </c>
      <c r="X2541" s="5">
        <f t="shared" si="795"/>
        <v>0</v>
      </c>
      <c r="Y2541" s="5">
        <f t="shared" si="796"/>
        <v>0</v>
      </c>
      <c r="Z2541" s="5">
        <f t="shared" si="797"/>
        <v>0</v>
      </c>
      <c r="AA2541" s="5">
        <f t="shared" si="798"/>
        <v>0</v>
      </c>
      <c r="AB2541" s="5">
        <f t="shared" si="799"/>
        <v>0</v>
      </c>
    </row>
    <row r="2542" spans="4:28" x14ac:dyDescent="0.25">
      <c r="D2542" t="s">
        <v>90</v>
      </c>
      <c r="E2542" s="14"/>
      <c r="F2542" s="14"/>
      <c r="G2542">
        <f>IFERROR(HLOOKUP(G$2,[77]table_male_hkom2_inj.ill_X3!$A$1:$K$36,22,FALSE),0)</f>
        <v>0</v>
      </c>
      <c r="H2542">
        <f>IFERROR(HLOOKUP(H$2,[77]table_male_hkom2_inj.ill_X3!$A$1:$K$36,22,FALSE),0)</f>
        <v>0</v>
      </c>
      <c r="I2542">
        <f>IFERROR(HLOOKUP(I$2,[77]table_male_hkom2_inj.ill_X3!$A$1:$K$36,22,FALSE),0)</f>
        <v>0</v>
      </c>
      <c r="J2542">
        <f>IFERROR(HLOOKUP(J$2,[77]table_male_hkom2_inj.ill_X3!$A$1:$K$36,22,FALSE),0)</f>
        <v>0</v>
      </c>
      <c r="K2542">
        <f>IFERROR(HLOOKUP(K$2,[77]table_male_hkom2_inj.ill_X3!$A$1:$K$36,22,FALSE),0)</f>
        <v>0</v>
      </c>
      <c r="L2542">
        <f>IFERROR(HLOOKUP(L$2,[77]table_male_hkom2_inj.ill_X3!$A$1:$K$36,22,FALSE),0)</f>
        <v>0</v>
      </c>
      <c r="M2542">
        <f t="shared" si="790"/>
        <v>0</v>
      </c>
      <c r="S2542" t="s">
        <v>90</v>
      </c>
      <c r="T2542" s="5">
        <f t="shared" si="791"/>
        <v>0</v>
      </c>
      <c r="U2542" s="5">
        <f t="shared" si="792"/>
        <v>0</v>
      </c>
      <c r="V2542" s="5">
        <f t="shared" si="793"/>
        <v>0</v>
      </c>
      <c r="W2542" s="5">
        <f t="shared" si="794"/>
        <v>0</v>
      </c>
      <c r="X2542" s="5">
        <f t="shared" si="795"/>
        <v>0</v>
      </c>
      <c r="Y2542" s="5">
        <f t="shared" si="796"/>
        <v>0</v>
      </c>
      <c r="Z2542" s="5">
        <f t="shared" si="797"/>
        <v>0</v>
      </c>
      <c r="AA2542" s="5">
        <f t="shared" si="798"/>
        <v>0</v>
      </c>
      <c r="AB2542" s="5">
        <f t="shared" si="799"/>
        <v>0</v>
      </c>
    </row>
    <row r="2543" spans="4:28" x14ac:dyDescent="0.25">
      <c r="D2543" t="s">
        <v>91</v>
      </c>
      <c r="E2543" s="14"/>
      <c r="F2543" s="14"/>
      <c r="G2543">
        <f>IFERROR(HLOOKUP(G$2,[77]table_male_hkom2_inj.ill_X3!$A$1:$K$36,23,FALSE),0)</f>
        <v>0</v>
      </c>
      <c r="H2543">
        <f>IFERROR(HLOOKUP(H$2,[77]table_male_hkom2_inj.ill_X3!$A$1:$K$36,23,FALSE),0)</f>
        <v>0</v>
      </c>
      <c r="I2543">
        <f>IFERROR(HLOOKUP(I$2,[77]table_male_hkom2_inj.ill_X3!$A$1:$K$36,23,FALSE),0)</f>
        <v>0</v>
      </c>
      <c r="J2543">
        <f>IFERROR(HLOOKUP(J$2,[77]table_male_hkom2_inj.ill_X3!$A$1:$K$36,23,FALSE),0)</f>
        <v>0</v>
      </c>
      <c r="K2543">
        <f>IFERROR(HLOOKUP(K$2,[77]table_male_hkom2_inj.ill_X3!$A$1:$K$36,23,FALSE),0)</f>
        <v>0</v>
      </c>
      <c r="L2543">
        <f>IFERROR(HLOOKUP(L$2,[77]table_male_hkom2_inj.ill_X3!$A$1:$K$36,23,FALSE),0)</f>
        <v>0</v>
      </c>
      <c r="M2543">
        <f t="shared" si="790"/>
        <v>0</v>
      </c>
      <c r="S2543" t="s">
        <v>91</v>
      </c>
      <c r="T2543" s="5">
        <f t="shared" si="791"/>
        <v>0</v>
      </c>
      <c r="U2543" s="5">
        <f t="shared" si="792"/>
        <v>0</v>
      </c>
      <c r="V2543" s="5">
        <f t="shared" si="793"/>
        <v>0</v>
      </c>
      <c r="W2543" s="5">
        <f t="shared" si="794"/>
        <v>0</v>
      </c>
      <c r="X2543" s="5">
        <f t="shared" si="795"/>
        <v>0</v>
      </c>
      <c r="Y2543" s="5">
        <f t="shared" si="796"/>
        <v>0</v>
      </c>
      <c r="Z2543" s="5">
        <f t="shared" si="797"/>
        <v>0</v>
      </c>
      <c r="AA2543" s="5">
        <f t="shared" si="798"/>
        <v>0</v>
      </c>
      <c r="AB2543" s="5">
        <f t="shared" si="799"/>
        <v>0</v>
      </c>
    </row>
    <row r="2544" spans="4:28" x14ac:dyDescent="0.25">
      <c r="D2544" t="s">
        <v>92</v>
      </c>
      <c r="E2544" s="14"/>
      <c r="F2544" s="14"/>
      <c r="G2544">
        <f>IFERROR(HLOOKUP(G$2,[77]table_male_hkom2_inj.ill_X3!$A$1:$K$36,24,FALSE),0)</f>
        <v>0</v>
      </c>
      <c r="H2544">
        <f>IFERROR(HLOOKUP(H$2,[77]table_male_hkom2_inj.ill_X3!$A$1:$K$36,24,FALSE),0)</f>
        <v>0</v>
      </c>
      <c r="I2544">
        <f>IFERROR(HLOOKUP(I$2,[77]table_male_hkom2_inj.ill_X3!$A$1:$K$36,24,FALSE),0)</f>
        <v>0</v>
      </c>
      <c r="J2544">
        <f>IFERROR(HLOOKUP(J$2,[77]table_male_hkom2_inj.ill_X3!$A$1:$K$36,24,FALSE),0)</f>
        <v>0</v>
      </c>
      <c r="K2544">
        <f>IFERROR(HLOOKUP(K$2,[77]table_male_hkom2_inj.ill_X3!$A$1:$K$36,24,FALSE),0)</f>
        <v>0</v>
      </c>
      <c r="L2544">
        <f>IFERROR(HLOOKUP(L$2,[77]table_male_hkom2_inj.ill_X3!$A$1:$K$36,24,FALSE),0)</f>
        <v>0</v>
      </c>
      <c r="M2544">
        <f t="shared" si="790"/>
        <v>0</v>
      </c>
      <c r="S2544" t="s">
        <v>92</v>
      </c>
      <c r="T2544" s="5">
        <f t="shared" si="791"/>
        <v>0</v>
      </c>
      <c r="U2544" s="5">
        <f t="shared" si="792"/>
        <v>0</v>
      </c>
      <c r="V2544" s="5">
        <f t="shared" si="793"/>
        <v>0</v>
      </c>
      <c r="W2544" s="5">
        <f t="shared" si="794"/>
        <v>0</v>
      </c>
      <c r="X2544" s="5">
        <f t="shared" si="795"/>
        <v>0</v>
      </c>
      <c r="Y2544" s="5">
        <f t="shared" si="796"/>
        <v>0</v>
      </c>
      <c r="Z2544" s="5">
        <f t="shared" si="797"/>
        <v>0</v>
      </c>
      <c r="AA2544" s="5">
        <f t="shared" si="798"/>
        <v>0</v>
      </c>
      <c r="AB2544" s="5">
        <f t="shared" si="799"/>
        <v>0</v>
      </c>
    </row>
    <row r="2545" spans="1:29" x14ac:dyDescent="0.25">
      <c r="D2545" t="s">
        <v>93</v>
      </c>
      <c r="E2545" s="14"/>
      <c r="F2545" s="14"/>
      <c r="G2545">
        <f>IFERROR(HLOOKUP(G$2,[77]table_male_hkom2_inj.ill_X3!$A$1:$K$36,25,FALSE),0)</f>
        <v>0</v>
      </c>
      <c r="H2545">
        <f>IFERROR(HLOOKUP(H$2,[77]table_male_hkom2_inj.ill_X3!$A$1:$K$36,25,FALSE),0)</f>
        <v>0</v>
      </c>
      <c r="I2545">
        <f>IFERROR(HLOOKUP(I$2,[77]table_male_hkom2_inj.ill_X3!$A$1:$K$36,25,FALSE),0)</f>
        <v>0</v>
      </c>
      <c r="J2545">
        <f>IFERROR(HLOOKUP(J$2,[77]table_male_hkom2_inj.ill_X3!$A$1:$K$36,25,FALSE),0)</f>
        <v>0</v>
      </c>
      <c r="K2545">
        <f>IFERROR(HLOOKUP(K$2,[77]table_male_hkom2_inj.ill_X3!$A$1:$K$36,25,FALSE),0)</f>
        <v>0</v>
      </c>
      <c r="L2545">
        <f>IFERROR(HLOOKUP(L$2,[77]table_male_hkom2_inj.ill_X3!$A$1:$K$36,25,FALSE),0)</f>
        <v>0</v>
      </c>
      <c r="M2545">
        <f t="shared" si="790"/>
        <v>0</v>
      </c>
      <c r="S2545" t="s">
        <v>93</v>
      </c>
      <c r="T2545" s="5">
        <f t="shared" si="791"/>
        <v>0</v>
      </c>
      <c r="U2545" s="5">
        <f t="shared" si="792"/>
        <v>0</v>
      </c>
      <c r="V2545" s="5">
        <f t="shared" si="793"/>
        <v>0</v>
      </c>
      <c r="W2545" s="5">
        <f t="shared" si="794"/>
        <v>0</v>
      </c>
      <c r="X2545" s="5">
        <f t="shared" si="795"/>
        <v>0</v>
      </c>
      <c r="Y2545" s="5">
        <f t="shared" si="796"/>
        <v>0</v>
      </c>
      <c r="Z2545" s="5">
        <f t="shared" si="797"/>
        <v>0</v>
      </c>
      <c r="AA2545" s="5">
        <f t="shared" si="798"/>
        <v>0</v>
      </c>
      <c r="AB2545" s="5">
        <f t="shared" si="799"/>
        <v>0</v>
      </c>
    </row>
    <row r="2546" spans="1:29" x14ac:dyDescent="0.25">
      <c r="D2546" t="s">
        <v>94</v>
      </c>
      <c r="E2546" s="14"/>
      <c r="F2546" s="14"/>
      <c r="G2546">
        <f>IFERROR(HLOOKUP(G$2,[77]table_male_hkom2_inj.ill_X3!$A$1:$K$36,26,FALSE),0)</f>
        <v>0</v>
      </c>
      <c r="H2546">
        <f>IFERROR(HLOOKUP(H$2,[77]table_male_hkom2_inj.ill_X3!$A$1:$K$36,26,FALSE),0)</f>
        <v>0</v>
      </c>
      <c r="I2546">
        <f>IFERROR(HLOOKUP(I$2,[77]table_male_hkom2_inj.ill_X3!$A$1:$K$36,26,FALSE),0)</f>
        <v>0</v>
      </c>
      <c r="J2546">
        <f>IFERROR(HLOOKUP(J$2,[77]table_male_hkom2_inj.ill_X3!$A$1:$K$36,26,FALSE),0)</f>
        <v>0</v>
      </c>
      <c r="K2546">
        <f>IFERROR(HLOOKUP(K$2,[77]table_male_hkom2_inj.ill_X3!$A$1:$K$36,26,FALSE),0)</f>
        <v>0</v>
      </c>
      <c r="L2546">
        <f>IFERROR(HLOOKUP(L$2,[77]table_male_hkom2_inj.ill_X3!$A$1:$K$36,26,FALSE),0)</f>
        <v>0</v>
      </c>
      <c r="M2546">
        <f t="shared" si="790"/>
        <v>0</v>
      </c>
      <c r="S2546" t="s">
        <v>94</v>
      </c>
      <c r="T2546" s="5">
        <f t="shared" si="791"/>
        <v>0</v>
      </c>
      <c r="U2546" s="5">
        <f t="shared" si="792"/>
        <v>0</v>
      </c>
      <c r="V2546" s="5">
        <f t="shared" si="793"/>
        <v>0</v>
      </c>
      <c r="W2546" s="5">
        <f t="shared" si="794"/>
        <v>0</v>
      </c>
      <c r="X2546" s="5">
        <f t="shared" si="795"/>
        <v>0</v>
      </c>
      <c r="Y2546" s="5">
        <f t="shared" si="796"/>
        <v>0</v>
      </c>
      <c r="Z2546" s="5">
        <f t="shared" si="797"/>
        <v>0</v>
      </c>
      <c r="AA2546" s="5">
        <f t="shared" si="798"/>
        <v>0</v>
      </c>
      <c r="AB2546" s="5">
        <f t="shared" si="799"/>
        <v>0</v>
      </c>
    </row>
    <row r="2547" spans="1:29" x14ac:dyDescent="0.25">
      <c r="D2547" t="s">
        <v>95</v>
      </c>
      <c r="E2547" s="14"/>
      <c r="F2547" s="14"/>
      <c r="G2547">
        <f>IFERROR(HLOOKUP(G$2,[77]table_male_hkom2_inj.ill_X3!$A$1:$K$36,27,FALSE),0)</f>
        <v>0</v>
      </c>
      <c r="H2547">
        <f>IFERROR(HLOOKUP(H$2,[77]table_male_hkom2_inj.ill_X3!$A$1:$K$36,27,FALSE),0)</f>
        <v>0</v>
      </c>
      <c r="I2547">
        <f>IFERROR(HLOOKUP(I$2,[77]table_male_hkom2_inj.ill_X3!$A$1:$K$36,27,FALSE),0)</f>
        <v>0</v>
      </c>
      <c r="J2547">
        <f>IFERROR(HLOOKUP(J$2,[77]table_male_hkom2_inj.ill_X3!$A$1:$K$36,27,FALSE),0)</f>
        <v>0</v>
      </c>
      <c r="K2547">
        <f>IFERROR(HLOOKUP(K$2,[77]table_male_hkom2_inj.ill_X3!$A$1:$K$36,27,FALSE),0)</f>
        <v>0</v>
      </c>
      <c r="L2547">
        <f>IFERROR(HLOOKUP(L$2,[77]table_male_hkom2_inj.ill_X3!$A$1:$K$36,27,FALSE),0)</f>
        <v>0</v>
      </c>
      <c r="M2547">
        <f t="shared" si="790"/>
        <v>0</v>
      </c>
      <c r="S2547" t="s">
        <v>95</v>
      </c>
      <c r="T2547" s="5">
        <f t="shared" si="791"/>
        <v>0</v>
      </c>
      <c r="U2547" s="5">
        <f t="shared" si="792"/>
        <v>0</v>
      </c>
      <c r="V2547" s="5">
        <f t="shared" si="793"/>
        <v>0</v>
      </c>
      <c r="W2547" s="5">
        <f t="shared" si="794"/>
        <v>0</v>
      </c>
      <c r="X2547" s="5">
        <f t="shared" si="795"/>
        <v>0</v>
      </c>
      <c r="Y2547" s="5">
        <f t="shared" si="796"/>
        <v>0</v>
      </c>
      <c r="Z2547" s="5">
        <f t="shared" si="797"/>
        <v>0</v>
      </c>
      <c r="AA2547" s="5">
        <f t="shared" si="798"/>
        <v>0</v>
      </c>
      <c r="AB2547" s="5">
        <f t="shared" si="799"/>
        <v>0</v>
      </c>
    </row>
    <row r="2548" spans="1:29" x14ac:dyDescent="0.25">
      <c r="D2548" t="s">
        <v>96</v>
      </c>
      <c r="E2548" s="14"/>
      <c r="F2548" s="14"/>
      <c r="G2548">
        <f>IFERROR(HLOOKUP(G$2,[77]table_male_hkom2_inj.ill_X3!$A$1:$K$36,28,FALSE),0)</f>
        <v>0</v>
      </c>
      <c r="H2548">
        <f>IFERROR(HLOOKUP(H$2,[77]table_male_hkom2_inj.ill_X3!$A$1:$K$36,28,FALSE),0)</f>
        <v>0</v>
      </c>
      <c r="I2548">
        <f>IFERROR(HLOOKUP(I$2,[77]table_male_hkom2_inj.ill_X3!$A$1:$K$36,28,FALSE),0)</f>
        <v>0</v>
      </c>
      <c r="J2548">
        <f>IFERROR(HLOOKUP(J$2,[77]table_male_hkom2_inj.ill_X3!$A$1:$K$36,28,FALSE),0)</f>
        <v>0</v>
      </c>
      <c r="K2548">
        <f>IFERROR(HLOOKUP(K$2,[77]table_male_hkom2_inj.ill_X3!$A$1:$K$36,28,FALSE),0)</f>
        <v>0</v>
      </c>
      <c r="L2548">
        <f>IFERROR(HLOOKUP(L$2,[77]table_male_hkom2_inj.ill_X3!$A$1:$K$36,28,FALSE),0)</f>
        <v>0</v>
      </c>
      <c r="M2548">
        <f t="shared" si="790"/>
        <v>0</v>
      </c>
      <c r="S2548" t="s">
        <v>96</v>
      </c>
      <c r="T2548" s="5">
        <f t="shared" si="791"/>
        <v>0</v>
      </c>
      <c r="U2548" s="5">
        <f t="shared" si="792"/>
        <v>0</v>
      </c>
      <c r="V2548" s="5">
        <f t="shared" si="793"/>
        <v>0</v>
      </c>
      <c r="W2548" s="5">
        <f t="shared" si="794"/>
        <v>0</v>
      </c>
      <c r="X2548" s="5">
        <f t="shared" si="795"/>
        <v>0</v>
      </c>
      <c r="Y2548" s="5">
        <f t="shared" si="796"/>
        <v>0</v>
      </c>
      <c r="Z2548" s="5">
        <f t="shared" si="797"/>
        <v>0</v>
      </c>
      <c r="AA2548" s="5">
        <f t="shared" si="798"/>
        <v>0</v>
      </c>
      <c r="AB2548" s="5">
        <f t="shared" si="799"/>
        <v>0</v>
      </c>
    </row>
    <row r="2549" spans="1:29" x14ac:dyDescent="0.25">
      <c r="D2549" t="s">
        <v>97</v>
      </c>
      <c r="E2549" s="14"/>
      <c r="F2549" s="14"/>
      <c r="G2549">
        <f>IFERROR(HLOOKUP(G$2,[77]table_male_hkom2_inj.ill_X3!$A$1:$K$36,29,FALSE),0)</f>
        <v>0</v>
      </c>
      <c r="H2549">
        <f>IFERROR(HLOOKUP(H$2,[77]table_male_hkom2_inj.ill_X3!$A$1:$K$36,29,FALSE),0)</f>
        <v>0</v>
      </c>
      <c r="I2549">
        <f>IFERROR(HLOOKUP(I$2,[77]table_male_hkom2_inj.ill_X3!$A$1:$K$36,29,FALSE),0)</f>
        <v>0</v>
      </c>
      <c r="J2549">
        <f>IFERROR(HLOOKUP(J$2,[77]table_male_hkom2_inj.ill_X3!$A$1:$K$36,29,FALSE),0)</f>
        <v>0</v>
      </c>
      <c r="K2549">
        <f>IFERROR(HLOOKUP(K$2,[77]table_male_hkom2_inj.ill_X3!$A$1:$K$36,29,FALSE),0)</f>
        <v>0</v>
      </c>
      <c r="L2549">
        <f>IFERROR(HLOOKUP(L$2,[77]table_male_hkom2_inj.ill_X3!$A$1:$K$36,29,FALSE),0)</f>
        <v>0</v>
      </c>
      <c r="M2549">
        <f t="shared" si="790"/>
        <v>0</v>
      </c>
      <c r="S2549" t="s">
        <v>97</v>
      </c>
      <c r="T2549" s="5">
        <f t="shared" si="791"/>
        <v>0</v>
      </c>
      <c r="U2549" s="5">
        <f t="shared" si="792"/>
        <v>0</v>
      </c>
      <c r="V2549" s="5">
        <f t="shared" si="793"/>
        <v>0</v>
      </c>
      <c r="W2549" s="5">
        <f t="shared" si="794"/>
        <v>0</v>
      </c>
      <c r="X2549" s="5">
        <f t="shared" si="795"/>
        <v>0</v>
      </c>
      <c r="Y2549" s="5">
        <f t="shared" si="796"/>
        <v>0</v>
      </c>
      <c r="Z2549" s="5">
        <f t="shared" si="797"/>
        <v>0</v>
      </c>
      <c r="AA2549" s="5">
        <f t="shared" si="798"/>
        <v>0</v>
      </c>
      <c r="AB2549" s="5">
        <f t="shared" si="799"/>
        <v>0</v>
      </c>
    </row>
    <row r="2550" spans="1:29" x14ac:dyDescent="0.25">
      <c r="D2550" t="s">
        <v>98</v>
      </c>
      <c r="E2550" s="14"/>
      <c r="F2550" s="14"/>
      <c r="G2550">
        <f>IFERROR(HLOOKUP(G$2,[77]table_male_hkom2_inj.ill_X3!$A$1:$K$36,30,FALSE),0)</f>
        <v>0</v>
      </c>
      <c r="H2550">
        <f>IFERROR(HLOOKUP(H$2,[77]table_male_hkom2_inj.ill_X3!$A$1:$K$36,30,FALSE),0)</f>
        <v>0</v>
      </c>
      <c r="I2550">
        <f>IFERROR(HLOOKUP(I$2,[77]table_male_hkom2_inj.ill_X3!$A$1:$K$36,30,FALSE),0)</f>
        <v>0</v>
      </c>
      <c r="J2550">
        <f>IFERROR(HLOOKUP(J$2,[77]table_male_hkom2_inj.ill_X3!$A$1:$K$36,30,FALSE),0)</f>
        <v>0</v>
      </c>
      <c r="K2550">
        <f>IFERROR(HLOOKUP(K$2,[77]table_male_hkom2_inj.ill_X3!$A$1:$K$36,30,FALSE),0)</f>
        <v>0</v>
      </c>
      <c r="L2550">
        <f>IFERROR(HLOOKUP(L$2,[77]table_male_hkom2_inj.ill_X3!$A$1:$K$36,30,FALSE),0)</f>
        <v>0</v>
      </c>
      <c r="M2550">
        <f t="shared" si="790"/>
        <v>0</v>
      </c>
      <c r="S2550" t="s">
        <v>98</v>
      </c>
      <c r="T2550" s="5">
        <f t="shared" si="791"/>
        <v>0</v>
      </c>
      <c r="U2550" s="5">
        <f t="shared" si="792"/>
        <v>0</v>
      </c>
      <c r="V2550" s="5">
        <f t="shared" si="793"/>
        <v>0</v>
      </c>
      <c r="W2550" s="5">
        <f t="shared" si="794"/>
        <v>0</v>
      </c>
      <c r="X2550" s="5">
        <f t="shared" si="795"/>
        <v>0</v>
      </c>
      <c r="Y2550" s="5">
        <f t="shared" si="796"/>
        <v>0</v>
      </c>
      <c r="Z2550" s="5">
        <f t="shared" si="797"/>
        <v>0</v>
      </c>
      <c r="AA2550" s="5">
        <f t="shared" si="798"/>
        <v>0</v>
      </c>
      <c r="AB2550" s="5">
        <f t="shared" si="799"/>
        <v>0</v>
      </c>
    </row>
    <row r="2551" spans="1:29" x14ac:dyDescent="0.25">
      <c r="D2551" t="s">
        <v>119</v>
      </c>
      <c r="E2551" s="14"/>
      <c r="F2551" s="14"/>
      <c r="G2551">
        <f>IFERROR(HLOOKUP(G$2,[77]table_male_hkom2_inj.ill_X3!$A$1:$K$36,31,FALSE),0)</f>
        <v>0</v>
      </c>
      <c r="H2551">
        <f>IFERROR(HLOOKUP(H$2,[77]table_male_hkom2_inj.ill_X3!$A$1:$K$36,31,FALSE),0)</f>
        <v>0</v>
      </c>
      <c r="I2551">
        <f>IFERROR(HLOOKUP(I$2,[77]table_male_hkom2_inj.ill_X3!$A$1:$K$36,31,FALSE),0)</f>
        <v>0</v>
      </c>
      <c r="J2551">
        <f>IFERROR(HLOOKUP(J$2,[77]table_male_hkom2_inj.ill_X3!$A$1:$K$36,31,FALSE),0)</f>
        <v>0</v>
      </c>
      <c r="K2551">
        <f>IFERROR(HLOOKUP(K$2,[77]table_male_hkom2_inj.ill_X3!$A$1:$K$36,31,FALSE),0)</f>
        <v>0</v>
      </c>
      <c r="L2551">
        <f>IFERROR(HLOOKUP(L$2,[77]table_male_hkom2_inj.ill_X3!$A$1:$K$36,31,FALSE),0)</f>
        <v>0</v>
      </c>
      <c r="M2551">
        <f t="shared" si="790"/>
        <v>0</v>
      </c>
      <c r="S2551" t="s">
        <v>119</v>
      </c>
      <c r="T2551" s="5">
        <f t="shared" si="791"/>
        <v>0</v>
      </c>
      <c r="U2551" s="5">
        <f t="shared" si="792"/>
        <v>0</v>
      </c>
      <c r="V2551" s="5">
        <f t="shared" si="793"/>
        <v>0</v>
      </c>
      <c r="W2551" s="5">
        <f t="shared" si="794"/>
        <v>0</v>
      </c>
      <c r="X2551" s="5">
        <f t="shared" si="795"/>
        <v>0</v>
      </c>
      <c r="Y2551" s="5">
        <f t="shared" si="796"/>
        <v>0</v>
      </c>
      <c r="Z2551" s="5">
        <f t="shared" si="797"/>
        <v>0</v>
      </c>
      <c r="AA2551" s="5">
        <f t="shared" si="798"/>
        <v>0</v>
      </c>
      <c r="AB2551" s="5">
        <f t="shared" si="799"/>
        <v>0</v>
      </c>
    </row>
    <row r="2552" spans="1:29" x14ac:dyDescent="0.25">
      <c r="D2552" t="s">
        <v>99</v>
      </c>
      <c r="E2552" s="14"/>
      <c r="F2552" s="14"/>
      <c r="G2552">
        <f>IFERROR(HLOOKUP(G$2,[77]table_male_hkom2_inj.ill_X3!$A$1:$K$36,32,FALSE),0)</f>
        <v>0</v>
      </c>
      <c r="H2552">
        <f>IFERROR(HLOOKUP(H$2,[77]table_male_hkom2_inj.ill_X3!$A$1:$K$36,32,FALSE),0)</f>
        <v>0</v>
      </c>
      <c r="I2552">
        <f>IFERROR(HLOOKUP(I$2,[77]table_male_hkom2_inj.ill_X3!$A$1:$K$36,32,FALSE),0)</f>
        <v>0</v>
      </c>
      <c r="J2552">
        <f>IFERROR(HLOOKUP(J$2,[77]table_male_hkom2_inj.ill_X3!$A$1:$K$36,32,FALSE),0)</f>
        <v>0</v>
      </c>
      <c r="K2552">
        <f>IFERROR(HLOOKUP(K$2,[77]table_male_hkom2_inj.ill_X3!$A$1:$K$36,32,FALSE),0)</f>
        <v>0</v>
      </c>
      <c r="L2552">
        <f>IFERROR(HLOOKUP(L$2,[77]table_male_hkom2_inj.ill_X3!$A$1:$K$36,32,FALSE),0)</f>
        <v>0</v>
      </c>
      <c r="M2552">
        <f t="shared" si="790"/>
        <v>0</v>
      </c>
      <c r="S2552" t="s">
        <v>99</v>
      </c>
      <c r="T2552" s="5">
        <f t="shared" si="791"/>
        <v>0</v>
      </c>
      <c r="U2552" s="5">
        <f t="shared" si="792"/>
        <v>0</v>
      </c>
      <c r="V2552" s="5">
        <f t="shared" si="793"/>
        <v>0</v>
      </c>
      <c r="W2552" s="5">
        <f t="shared" si="794"/>
        <v>0</v>
      </c>
      <c r="X2552" s="5">
        <f t="shared" si="795"/>
        <v>0</v>
      </c>
      <c r="Y2552" s="5">
        <f t="shared" si="796"/>
        <v>0</v>
      </c>
      <c r="Z2552" s="5">
        <f t="shared" si="797"/>
        <v>0</v>
      </c>
      <c r="AA2552" s="5">
        <f t="shared" si="798"/>
        <v>0</v>
      </c>
      <c r="AB2552" s="5">
        <f t="shared" si="799"/>
        <v>0</v>
      </c>
    </row>
    <row r="2553" spans="1:29" x14ac:dyDescent="0.25">
      <c r="D2553" t="s">
        <v>100</v>
      </c>
      <c r="E2553" s="14"/>
      <c r="F2553" s="14"/>
      <c r="G2553">
        <f>IFERROR(HLOOKUP(G$2,[77]table_male_hkom2_inj.ill_X3!$A$1:$K$36,33,FALSE),0)</f>
        <v>5</v>
      </c>
      <c r="H2553">
        <f>IFERROR(HLOOKUP(H$2,[77]table_male_hkom2_inj.ill_X3!$A$1:$K$36,33,FALSE),0)</f>
        <v>4</v>
      </c>
      <c r="I2553">
        <f>IFERROR(HLOOKUP(I$2,[77]table_male_hkom2_inj.ill_X3!$A$1:$K$36,33,FALSE),0)</f>
        <v>3</v>
      </c>
      <c r="J2553">
        <f>IFERROR(HLOOKUP(J$2,[77]table_male_hkom2_inj.ill_X3!$A$1:$K$36,33,FALSE),0)</f>
        <v>0</v>
      </c>
      <c r="K2553">
        <f>IFERROR(HLOOKUP(K$2,[77]table_male_hkom2_inj.ill_X3!$A$1:$K$36,33,FALSE),0)</f>
        <v>0</v>
      </c>
      <c r="L2553">
        <f>IFERROR(HLOOKUP(L$2,[77]table_male_hkom2_inj.ill_X3!$A$1:$K$36,33,FALSE),0)</f>
        <v>0</v>
      </c>
      <c r="M2553">
        <f t="shared" si="790"/>
        <v>12</v>
      </c>
      <c r="S2553" t="s">
        <v>100</v>
      </c>
      <c r="T2553" s="5">
        <f t="shared" si="791"/>
        <v>0</v>
      </c>
      <c r="U2553" s="5">
        <f t="shared" si="792"/>
        <v>0</v>
      </c>
      <c r="V2553" s="5">
        <f t="shared" si="793"/>
        <v>7</v>
      </c>
      <c r="W2553" s="5">
        <f t="shared" si="794"/>
        <v>5</v>
      </c>
      <c r="X2553" s="5">
        <f t="shared" si="795"/>
        <v>3</v>
      </c>
      <c r="Y2553" s="5">
        <f t="shared" si="796"/>
        <v>0</v>
      </c>
      <c r="Z2553" s="5">
        <f t="shared" si="797"/>
        <v>0</v>
      </c>
      <c r="AA2553" s="5">
        <f t="shared" si="798"/>
        <v>0</v>
      </c>
      <c r="AB2553" s="5">
        <f t="shared" si="799"/>
        <v>15</v>
      </c>
    </row>
    <row r="2554" spans="1:29" x14ac:dyDescent="0.25">
      <c r="D2554" t="s">
        <v>101</v>
      </c>
      <c r="E2554" s="14"/>
      <c r="F2554" s="14"/>
      <c r="G2554">
        <f>IFERROR(HLOOKUP(G$2,[77]table_male_hkom2_inj.ill_X3!$A$1:$K$36,34,FALSE),0)</f>
        <v>0</v>
      </c>
      <c r="H2554">
        <f>IFERROR(HLOOKUP(H$2,[77]table_male_hkom2_inj.ill_X3!$A$1:$K$36,34,FALSE),0)</f>
        <v>0</v>
      </c>
      <c r="I2554">
        <f>IFERROR(HLOOKUP(I$2,[77]table_male_hkom2_inj.ill_X3!$A$1:$K$36,34,FALSE),0)</f>
        <v>0</v>
      </c>
      <c r="J2554">
        <f>IFERROR(HLOOKUP(J$2,[77]table_male_hkom2_inj.ill_X3!$A$1:$K$36,34,FALSE),0)</f>
        <v>0</v>
      </c>
      <c r="K2554">
        <f>IFERROR(HLOOKUP(K$2,[77]table_male_hkom2_inj.ill_X3!$A$1:$K$36,34,FALSE),0)</f>
        <v>0</v>
      </c>
      <c r="L2554">
        <f>IFERROR(HLOOKUP(L$2,[77]table_male_hkom2_inj.ill_X3!$A$1:$K$36,34,FALSE),0)</f>
        <v>0</v>
      </c>
      <c r="M2554">
        <f t="shared" si="790"/>
        <v>0</v>
      </c>
      <c r="S2554" t="s">
        <v>101</v>
      </c>
      <c r="T2554" s="5">
        <f t="shared" si="791"/>
        <v>0</v>
      </c>
      <c r="U2554" s="5">
        <f t="shared" si="792"/>
        <v>0</v>
      </c>
      <c r="V2554" s="5">
        <f t="shared" si="793"/>
        <v>0</v>
      </c>
      <c r="W2554" s="5">
        <f t="shared" si="794"/>
        <v>0</v>
      </c>
      <c r="X2554" s="5">
        <f t="shared" si="795"/>
        <v>0</v>
      </c>
      <c r="Y2554" s="5">
        <f t="shared" si="796"/>
        <v>0</v>
      </c>
      <c r="Z2554" s="5">
        <f t="shared" si="797"/>
        <v>0</v>
      </c>
      <c r="AA2554" s="5">
        <f t="shared" si="798"/>
        <v>0</v>
      </c>
      <c r="AB2554" s="5">
        <f t="shared" si="799"/>
        <v>0</v>
      </c>
    </row>
    <row r="2555" spans="1:29" x14ac:dyDescent="0.25">
      <c r="D2555" t="s">
        <v>102</v>
      </c>
      <c r="E2555" s="14"/>
      <c r="F2555" s="14"/>
      <c r="G2555">
        <f>IFERROR(HLOOKUP(G$2,[77]table_male_hkom2_inj.ill_X3!$A$1:$K$36,35,FALSE),0)</f>
        <v>2</v>
      </c>
      <c r="H2555">
        <f>IFERROR(HLOOKUP(H$2,[77]table_male_hkom2_inj.ill_X3!$A$1:$K$36,35,FALSE),0)</f>
        <v>1</v>
      </c>
      <c r="I2555">
        <f>IFERROR(HLOOKUP(I$2,[77]table_male_hkom2_inj.ill_X3!$A$1:$K$36,35,FALSE),0)</f>
        <v>0</v>
      </c>
      <c r="J2555">
        <f>IFERROR(HLOOKUP(J$2,[77]table_male_hkom2_inj.ill_X3!$A$1:$K$36,35,FALSE),0)</f>
        <v>0</v>
      </c>
      <c r="K2555">
        <f>IFERROR(HLOOKUP(K$2,[77]table_male_hkom2_inj.ill_X3!$A$1:$K$36,35,FALSE),0)</f>
        <v>0</v>
      </c>
      <c r="L2555">
        <f>IFERROR(HLOOKUP(L$2,[77]table_male_hkom2_inj.ill_X3!$A$1:$K$36,35,FALSE),0)</f>
        <v>0</v>
      </c>
      <c r="M2555">
        <f t="shared" si="790"/>
        <v>3</v>
      </c>
      <c r="N2555">
        <f>SUM(M2522:M2555)</f>
        <v>15</v>
      </c>
      <c r="O2555" s="8">
        <f>SUM([77]table_male_hkom2_inj.ill_X3!$B$2:$L$37)</f>
        <v>15</v>
      </c>
      <c r="S2555" t="s">
        <v>102</v>
      </c>
      <c r="T2555" s="7"/>
      <c r="U2555" s="7"/>
      <c r="V2555" s="7"/>
      <c r="W2555" s="7"/>
      <c r="X2555" s="7"/>
      <c r="Y2555" s="7"/>
      <c r="Z2555" s="7"/>
      <c r="AA2555" s="7"/>
      <c r="AB2555" s="5">
        <f t="shared" si="799"/>
        <v>0</v>
      </c>
      <c r="AC2555" s="5">
        <f>SUM(AB2522:AB2554)</f>
        <v>15</v>
      </c>
    </row>
    <row r="2556" spans="1:29" x14ac:dyDescent="0.25">
      <c r="A2556" t="s">
        <v>104</v>
      </c>
      <c r="B2556" t="s">
        <v>116</v>
      </c>
      <c r="C2556" t="s">
        <v>126</v>
      </c>
      <c r="D2556" t="s">
        <v>70</v>
      </c>
      <c r="E2556" s="14"/>
      <c r="F2556" s="14"/>
      <c r="G2556">
        <f>IFERROR(HLOOKUP(G$2,[78]table_male_hkom2_inj.ill_X4!$A$1:$K$36,2,FALSE),0)</f>
        <v>0</v>
      </c>
      <c r="H2556">
        <f>IFERROR(HLOOKUP(H$2,[78]table_male_hkom2_inj.ill_X4!$A$1:$K$36,2,FALSE),0)</f>
        <v>0</v>
      </c>
      <c r="I2556">
        <f>IFERROR(HLOOKUP(I$2,[78]table_male_hkom2_inj.ill_X4!$A$1:$K$36,2,FALSE),0)</f>
        <v>0</v>
      </c>
      <c r="J2556">
        <f>IFERROR(HLOOKUP(J$2,[78]table_male_hkom2_inj.ill_X4!$A$1:$K$36,2,FALSE),0)</f>
        <v>0</v>
      </c>
      <c r="K2556">
        <f>IFERROR(HLOOKUP(K$2,[78]table_male_hkom2_inj.ill_X4!$A$1:$K$36,2,FALSE),0)</f>
        <v>0</v>
      </c>
      <c r="L2556">
        <f>IFERROR(HLOOKUP(L$2,[78]table_male_hkom2_inj.ill_X4!$A$1:$K$36,2,FALSE),0)</f>
        <v>0</v>
      </c>
      <c r="M2556">
        <f>SUM(E2556:L2556)</f>
        <v>0</v>
      </c>
      <c r="P2556" t="s">
        <v>104</v>
      </c>
      <c r="Q2556" t="s">
        <v>116</v>
      </c>
      <c r="R2556" t="s">
        <v>126</v>
      </c>
      <c r="S2556" t="s">
        <v>70</v>
      </c>
      <c r="T2556" s="5">
        <f>IF(SUM(E$2556:E$2588)=0,E$2589/33,E2556+IFERROR(E2556/SUM(E$2556:E$2588)*E$2589,0))</f>
        <v>0</v>
      </c>
      <c r="U2556" s="5">
        <f t="shared" ref="U2556:AA2556" si="800">IF(SUM(F$2556:F$2588)=0,F$2589/33,F2556+IFERROR(F2556/SUM(F$2556:F$2588)*F$2589,0))</f>
        <v>0</v>
      </c>
      <c r="V2556" s="5">
        <f t="shared" si="800"/>
        <v>0</v>
      </c>
      <c r="W2556" s="5">
        <f t="shared" si="800"/>
        <v>0</v>
      </c>
      <c r="X2556" s="5">
        <f t="shared" si="800"/>
        <v>0</v>
      </c>
      <c r="Y2556" s="5">
        <f t="shared" si="800"/>
        <v>0</v>
      </c>
      <c r="Z2556" s="5">
        <f t="shared" si="800"/>
        <v>0</v>
      </c>
      <c r="AA2556" s="5">
        <f t="shared" si="800"/>
        <v>0</v>
      </c>
      <c r="AB2556" s="5">
        <f t="shared" si="799"/>
        <v>0</v>
      </c>
    </row>
    <row r="2557" spans="1:29" x14ac:dyDescent="0.25">
      <c r="D2557" t="s">
        <v>71</v>
      </c>
      <c r="E2557" s="14"/>
      <c r="F2557" s="14"/>
      <c r="G2557">
        <f>IFERROR(HLOOKUP(G$2,[78]table_male_hkom2_inj.ill_X4!$A$1:$K$36,3,FALSE),0)</f>
        <v>0</v>
      </c>
      <c r="H2557">
        <f>IFERROR(HLOOKUP(H$2,[78]table_male_hkom2_inj.ill_X4!$A$1:$K$36,3,FALSE),0)</f>
        <v>0</v>
      </c>
      <c r="I2557">
        <f>IFERROR(HLOOKUP(I$2,[78]table_male_hkom2_inj.ill_X4!$A$1:$K$36,3,FALSE),0)</f>
        <v>0</v>
      </c>
      <c r="J2557">
        <f>IFERROR(HLOOKUP(J$2,[78]table_male_hkom2_inj.ill_X4!$A$1:$K$36,3,FALSE),0)</f>
        <v>0</v>
      </c>
      <c r="K2557">
        <f>IFERROR(HLOOKUP(K$2,[78]table_male_hkom2_inj.ill_X4!$A$1:$K$36,3,FALSE),0)</f>
        <v>0</v>
      </c>
      <c r="L2557">
        <f>IFERROR(HLOOKUP(L$2,[78]table_male_hkom2_inj.ill_X4!$A$1:$K$36,3,FALSE),0)</f>
        <v>0</v>
      </c>
      <c r="M2557">
        <f t="shared" ref="M2557:M2589" si="801">SUM(E2557:L2557)</f>
        <v>0</v>
      </c>
      <c r="S2557" t="s">
        <v>71</v>
      </c>
      <c r="T2557" s="5">
        <f t="shared" ref="T2557:T2588" si="802">IF(SUM(E$2556:E$2588)=0,E$2589/33,E2557+IFERROR(E2557/SUM(E$2556:E$2588)*E$2589,0))</f>
        <v>0</v>
      </c>
      <c r="U2557" s="5">
        <f t="shared" ref="U2557:U2588" si="803">IF(SUM(F$2556:F$2588)=0,F$2589/33,F2557+IFERROR(F2557/SUM(F$2556:F$2588)*F$2589,0))</f>
        <v>0</v>
      </c>
      <c r="V2557" s="5">
        <f t="shared" ref="V2557:V2588" si="804">IF(SUM(G$2556:G$2588)=0,G$2589/33,G2557+IFERROR(G2557/SUM(G$2556:G$2588)*G$2589,0))</f>
        <v>0</v>
      </c>
      <c r="W2557" s="5">
        <f t="shared" ref="W2557:W2588" si="805">IF(SUM(H$2556:H$2588)=0,H$2589/33,H2557+IFERROR(H2557/SUM(H$2556:H$2588)*H$2589,0))</f>
        <v>0</v>
      </c>
      <c r="X2557" s="5">
        <f t="shared" ref="X2557:X2588" si="806">IF(SUM(I$2556:I$2588)=0,I$2589/33,I2557+IFERROR(I2557/SUM(I$2556:I$2588)*I$2589,0))</f>
        <v>0</v>
      </c>
      <c r="Y2557" s="5">
        <f t="shared" ref="Y2557:Y2588" si="807">IF(SUM(J$2556:J$2588)=0,J$2589/33,J2557+IFERROR(J2557/SUM(J$2556:J$2588)*J$2589,0))</f>
        <v>0</v>
      </c>
      <c r="Z2557" s="5">
        <f t="shared" ref="Z2557:Z2588" si="808">IF(SUM(K$2556:K$2588)=0,K$2589/33,K2557+IFERROR(K2557/SUM(K$2556:K$2588)*K$2589,0))</f>
        <v>0</v>
      </c>
      <c r="AA2557" s="5">
        <f t="shared" ref="AA2557:AA2588" si="809">IF(SUM(L$2556:L$2588)=0,L$2589/33,L2557+IFERROR(L2557/SUM(L$2556:L$2588)*L$2589,0))</f>
        <v>0</v>
      </c>
      <c r="AB2557" s="5">
        <f t="shared" si="799"/>
        <v>0</v>
      </c>
    </row>
    <row r="2558" spans="1:29" x14ac:dyDescent="0.25">
      <c r="D2558" t="s">
        <v>72</v>
      </c>
      <c r="E2558" s="14"/>
      <c r="F2558" s="14"/>
      <c r="G2558">
        <f>IFERROR(HLOOKUP(G$2,[78]table_male_hkom2_inj.ill_X4!$A$1:$K$36,4,FALSE),0)</f>
        <v>0</v>
      </c>
      <c r="H2558">
        <f>IFERROR(HLOOKUP(H$2,[78]table_male_hkom2_inj.ill_X4!$A$1:$K$36,4,FALSE),0)</f>
        <v>0</v>
      </c>
      <c r="I2558">
        <f>IFERROR(HLOOKUP(I$2,[78]table_male_hkom2_inj.ill_X4!$A$1:$K$36,4,FALSE),0)</f>
        <v>1</v>
      </c>
      <c r="J2558">
        <f>IFERROR(HLOOKUP(J$2,[78]table_male_hkom2_inj.ill_X4!$A$1:$K$36,4,FALSE),0)</f>
        <v>0</v>
      </c>
      <c r="K2558">
        <f>IFERROR(HLOOKUP(K$2,[78]table_male_hkom2_inj.ill_X4!$A$1:$K$36,4,FALSE),0)</f>
        <v>0</v>
      </c>
      <c r="L2558">
        <f>IFERROR(HLOOKUP(L$2,[78]table_male_hkom2_inj.ill_X4!$A$1:$K$36,4,FALSE),0)</f>
        <v>0</v>
      </c>
      <c r="M2558">
        <f t="shared" si="801"/>
        <v>1</v>
      </c>
      <c r="S2558" t="s">
        <v>72</v>
      </c>
      <c r="T2558" s="5">
        <f t="shared" si="802"/>
        <v>0</v>
      </c>
      <c r="U2558" s="5">
        <f t="shared" si="803"/>
        <v>0</v>
      </c>
      <c r="V2558" s="5">
        <f t="shared" si="804"/>
        <v>0</v>
      </c>
      <c r="W2558" s="5">
        <f t="shared" si="805"/>
        <v>0</v>
      </c>
      <c r="X2558" s="5">
        <f t="shared" si="806"/>
        <v>1</v>
      </c>
      <c r="Y2558" s="5">
        <f t="shared" si="807"/>
        <v>0</v>
      </c>
      <c r="Z2558" s="5">
        <f t="shared" si="808"/>
        <v>0</v>
      </c>
      <c r="AA2558" s="5">
        <f t="shared" si="809"/>
        <v>0</v>
      </c>
      <c r="AB2558" s="5">
        <f t="shared" si="799"/>
        <v>1</v>
      </c>
    </row>
    <row r="2559" spans="1:29" x14ac:dyDescent="0.25">
      <c r="D2559" t="s">
        <v>73</v>
      </c>
      <c r="E2559" s="14"/>
      <c r="F2559" s="14"/>
      <c r="G2559">
        <f>IFERROR(HLOOKUP(G$2,[78]table_male_hkom2_inj.ill_X4!$A$1:$K$36,5,FALSE),0)</f>
        <v>0</v>
      </c>
      <c r="H2559">
        <f>IFERROR(HLOOKUP(H$2,[78]table_male_hkom2_inj.ill_X4!$A$1:$K$36,5,FALSE),0)</f>
        <v>0</v>
      </c>
      <c r="I2559">
        <f>IFERROR(HLOOKUP(I$2,[78]table_male_hkom2_inj.ill_X4!$A$1:$K$36,5,FALSE),0)</f>
        <v>0</v>
      </c>
      <c r="J2559">
        <f>IFERROR(HLOOKUP(J$2,[78]table_male_hkom2_inj.ill_X4!$A$1:$K$36,5,FALSE),0)</f>
        <v>0</v>
      </c>
      <c r="K2559">
        <f>IFERROR(HLOOKUP(K$2,[78]table_male_hkom2_inj.ill_X4!$A$1:$K$36,5,FALSE),0)</f>
        <v>0</v>
      </c>
      <c r="L2559">
        <f>IFERROR(HLOOKUP(L$2,[78]table_male_hkom2_inj.ill_X4!$A$1:$K$36,5,FALSE),0)</f>
        <v>0</v>
      </c>
      <c r="M2559">
        <f t="shared" si="801"/>
        <v>0</v>
      </c>
      <c r="S2559" t="s">
        <v>73</v>
      </c>
      <c r="T2559" s="5">
        <f t="shared" si="802"/>
        <v>0</v>
      </c>
      <c r="U2559" s="5">
        <f t="shared" si="803"/>
        <v>0</v>
      </c>
      <c r="V2559" s="5">
        <f t="shared" si="804"/>
        <v>0</v>
      </c>
      <c r="W2559" s="5">
        <f t="shared" si="805"/>
        <v>0</v>
      </c>
      <c r="X2559" s="5">
        <f t="shared" si="806"/>
        <v>0</v>
      </c>
      <c r="Y2559" s="5">
        <f t="shared" si="807"/>
        <v>0</v>
      </c>
      <c r="Z2559" s="5">
        <f t="shared" si="808"/>
        <v>0</v>
      </c>
      <c r="AA2559" s="5">
        <f t="shared" si="809"/>
        <v>0</v>
      </c>
      <c r="AB2559" s="5">
        <f t="shared" si="799"/>
        <v>0</v>
      </c>
    </row>
    <row r="2560" spans="1:29" x14ac:dyDescent="0.25">
      <c r="D2560" t="s">
        <v>74</v>
      </c>
      <c r="E2560" s="14"/>
      <c r="F2560" s="14"/>
      <c r="G2560">
        <f>IFERROR(HLOOKUP(G$2,[78]table_male_hkom2_inj.ill_X4!$A$1:$K$36,6,FALSE),0)</f>
        <v>0</v>
      </c>
      <c r="H2560">
        <f>IFERROR(HLOOKUP(H$2,[78]table_male_hkom2_inj.ill_X4!$A$1:$K$36,6,FALSE),0)</f>
        <v>0</v>
      </c>
      <c r="I2560">
        <f>IFERROR(HLOOKUP(I$2,[78]table_male_hkom2_inj.ill_X4!$A$1:$K$36,6,FALSE),0)</f>
        <v>0</v>
      </c>
      <c r="J2560">
        <f>IFERROR(HLOOKUP(J$2,[78]table_male_hkom2_inj.ill_X4!$A$1:$K$36,6,FALSE),0)</f>
        <v>0</v>
      </c>
      <c r="K2560">
        <f>IFERROR(HLOOKUP(K$2,[78]table_male_hkom2_inj.ill_X4!$A$1:$K$36,6,FALSE),0)</f>
        <v>0</v>
      </c>
      <c r="L2560">
        <f>IFERROR(HLOOKUP(L$2,[78]table_male_hkom2_inj.ill_X4!$A$1:$K$36,6,FALSE),0)</f>
        <v>0</v>
      </c>
      <c r="M2560">
        <f t="shared" si="801"/>
        <v>0</v>
      </c>
      <c r="S2560" t="s">
        <v>74</v>
      </c>
      <c r="T2560" s="5">
        <f t="shared" si="802"/>
        <v>0</v>
      </c>
      <c r="U2560" s="5">
        <f t="shared" si="803"/>
        <v>0</v>
      </c>
      <c r="V2560" s="5">
        <f t="shared" si="804"/>
        <v>0</v>
      </c>
      <c r="W2560" s="5">
        <f t="shared" si="805"/>
        <v>0</v>
      </c>
      <c r="X2560" s="5">
        <f t="shared" si="806"/>
        <v>0</v>
      </c>
      <c r="Y2560" s="5">
        <f t="shared" si="807"/>
        <v>0</v>
      </c>
      <c r="Z2560" s="5">
        <f t="shared" si="808"/>
        <v>0</v>
      </c>
      <c r="AA2560" s="5">
        <f t="shared" si="809"/>
        <v>0</v>
      </c>
      <c r="AB2560" s="5">
        <f t="shared" si="799"/>
        <v>0</v>
      </c>
    </row>
    <row r="2561" spans="4:28" x14ac:dyDescent="0.25">
      <c r="D2561" t="s">
        <v>75</v>
      </c>
      <c r="E2561" s="14"/>
      <c r="F2561" s="14"/>
      <c r="G2561">
        <f>IFERROR(HLOOKUP(G$2,[78]table_male_hkom2_inj.ill_X4!$A$1:$K$36,7,FALSE),0)</f>
        <v>0</v>
      </c>
      <c r="H2561">
        <f>IFERROR(HLOOKUP(H$2,[78]table_male_hkom2_inj.ill_X4!$A$1:$K$36,7,FALSE),0)</f>
        <v>0</v>
      </c>
      <c r="I2561">
        <f>IFERROR(HLOOKUP(I$2,[78]table_male_hkom2_inj.ill_X4!$A$1:$K$36,7,FALSE),0)</f>
        <v>0</v>
      </c>
      <c r="J2561">
        <f>IFERROR(HLOOKUP(J$2,[78]table_male_hkom2_inj.ill_X4!$A$1:$K$36,7,FALSE),0)</f>
        <v>0</v>
      </c>
      <c r="K2561">
        <f>IFERROR(HLOOKUP(K$2,[78]table_male_hkom2_inj.ill_X4!$A$1:$K$36,7,FALSE),0)</f>
        <v>0</v>
      </c>
      <c r="L2561">
        <f>IFERROR(HLOOKUP(L$2,[78]table_male_hkom2_inj.ill_X4!$A$1:$K$36,7,FALSE),0)</f>
        <v>0</v>
      </c>
      <c r="M2561">
        <f t="shared" si="801"/>
        <v>0</v>
      </c>
      <c r="S2561" t="s">
        <v>75</v>
      </c>
      <c r="T2561" s="5">
        <f t="shared" si="802"/>
        <v>0</v>
      </c>
      <c r="U2561" s="5">
        <f t="shared" si="803"/>
        <v>0</v>
      </c>
      <c r="V2561" s="5">
        <f t="shared" si="804"/>
        <v>0</v>
      </c>
      <c r="W2561" s="5">
        <f t="shared" si="805"/>
        <v>0</v>
      </c>
      <c r="X2561" s="5">
        <f t="shared" si="806"/>
        <v>0</v>
      </c>
      <c r="Y2561" s="5">
        <f t="shared" si="807"/>
        <v>0</v>
      </c>
      <c r="Z2561" s="5">
        <f t="shared" si="808"/>
        <v>0</v>
      </c>
      <c r="AA2561" s="5">
        <f t="shared" si="809"/>
        <v>0</v>
      </c>
      <c r="AB2561" s="5">
        <f t="shared" si="799"/>
        <v>0</v>
      </c>
    </row>
    <row r="2562" spans="4:28" x14ac:dyDescent="0.25">
      <c r="D2562" t="s">
        <v>76</v>
      </c>
      <c r="E2562" s="14"/>
      <c r="F2562" s="14"/>
      <c r="G2562">
        <f>IFERROR(HLOOKUP(G$2,[78]table_male_hkom2_inj.ill_X4!$A$1:$K$36,8,FALSE),0)</f>
        <v>0</v>
      </c>
      <c r="H2562">
        <f>IFERROR(HLOOKUP(H$2,[78]table_male_hkom2_inj.ill_X4!$A$1:$K$36,8,FALSE),0)</f>
        <v>0</v>
      </c>
      <c r="I2562">
        <f>IFERROR(HLOOKUP(I$2,[78]table_male_hkom2_inj.ill_X4!$A$1:$K$36,8,FALSE),0)</f>
        <v>0</v>
      </c>
      <c r="J2562">
        <f>IFERROR(HLOOKUP(J$2,[78]table_male_hkom2_inj.ill_X4!$A$1:$K$36,8,FALSE),0)</f>
        <v>0</v>
      </c>
      <c r="K2562">
        <f>IFERROR(HLOOKUP(K$2,[78]table_male_hkom2_inj.ill_X4!$A$1:$K$36,8,FALSE),0)</f>
        <v>0</v>
      </c>
      <c r="L2562">
        <f>IFERROR(HLOOKUP(L$2,[78]table_male_hkom2_inj.ill_X4!$A$1:$K$36,8,FALSE),0)</f>
        <v>0</v>
      </c>
      <c r="M2562">
        <f t="shared" si="801"/>
        <v>0</v>
      </c>
      <c r="S2562" t="s">
        <v>76</v>
      </c>
      <c r="T2562" s="5">
        <f t="shared" si="802"/>
        <v>0</v>
      </c>
      <c r="U2562" s="5">
        <f t="shared" si="803"/>
        <v>0</v>
      </c>
      <c r="V2562" s="5">
        <f t="shared" si="804"/>
        <v>0</v>
      </c>
      <c r="W2562" s="5">
        <f t="shared" si="805"/>
        <v>0</v>
      </c>
      <c r="X2562" s="5">
        <f t="shared" si="806"/>
        <v>0</v>
      </c>
      <c r="Y2562" s="5">
        <f t="shared" si="807"/>
        <v>0</v>
      </c>
      <c r="Z2562" s="5">
        <f t="shared" si="808"/>
        <v>0</v>
      </c>
      <c r="AA2562" s="5">
        <f t="shared" si="809"/>
        <v>0</v>
      </c>
      <c r="AB2562" s="5">
        <f t="shared" si="799"/>
        <v>0</v>
      </c>
    </row>
    <row r="2563" spans="4:28" x14ac:dyDescent="0.25">
      <c r="D2563" t="s">
        <v>77</v>
      </c>
      <c r="E2563" s="14"/>
      <c r="F2563" s="14"/>
      <c r="G2563">
        <f>IFERROR(HLOOKUP(G$2,[78]table_male_hkom2_inj.ill_X4!$A$1:$K$36,9,FALSE),0)</f>
        <v>0</v>
      </c>
      <c r="H2563">
        <f>IFERROR(HLOOKUP(H$2,[78]table_male_hkom2_inj.ill_X4!$A$1:$K$36,9,FALSE),0)</f>
        <v>0</v>
      </c>
      <c r="I2563">
        <f>IFERROR(HLOOKUP(I$2,[78]table_male_hkom2_inj.ill_X4!$A$1:$K$36,9,FALSE),0)</f>
        <v>0</v>
      </c>
      <c r="J2563">
        <f>IFERROR(HLOOKUP(J$2,[78]table_male_hkom2_inj.ill_X4!$A$1:$K$36,9,FALSE),0)</f>
        <v>0</v>
      </c>
      <c r="K2563">
        <f>IFERROR(HLOOKUP(K$2,[78]table_male_hkom2_inj.ill_X4!$A$1:$K$36,9,FALSE),0)</f>
        <v>0</v>
      </c>
      <c r="L2563">
        <f>IFERROR(HLOOKUP(L$2,[78]table_male_hkom2_inj.ill_X4!$A$1:$K$36,9,FALSE),0)</f>
        <v>0</v>
      </c>
      <c r="M2563">
        <f t="shared" si="801"/>
        <v>0</v>
      </c>
      <c r="S2563" t="s">
        <v>77</v>
      </c>
      <c r="T2563" s="5">
        <f t="shared" si="802"/>
        <v>0</v>
      </c>
      <c r="U2563" s="5">
        <f t="shared" si="803"/>
        <v>0</v>
      </c>
      <c r="V2563" s="5">
        <f t="shared" si="804"/>
        <v>0</v>
      </c>
      <c r="W2563" s="5">
        <f t="shared" si="805"/>
        <v>0</v>
      </c>
      <c r="X2563" s="5">
        <f t="shared" si="806"/>
        <v>0</v>
      </c>
      <c r="Y2563" s="5">
        <f t="shared" si="807"/>
        <v>0</v>
      </c>
      <c r="Z2563" s="5">
        <f t="shared" si="808"/>
        <v>0</v>
      </c>
      <c r="AA2563" s="5">
        <f t="shared" si="809"/>
        <v>0</v>
      </c>
      <c r="AB2563" s="5">
        <f t="shared" si="799"/>
        <v>0</v>
      </c>
    </row>
    <row r="2564" spans="4:28" x14ac:dyDescent="0.25">
      <c r="D2564" t="s">
        <v>78</v>
      </c>
      <c r="E2564" s="14"/>
      <c r="F2564" s="14"/>
      <c r="G2564">
        <f>IFERROR(HLOOKUP(G$2,[78]table_male_hkom2_inj.ill_X4!$A$1:$K$36,10,FALSE),0)</f>
        <v>0</v>
      </c>
      <c r="H2564">
        <f>IFERROR(HLOOKUP(H$2,[78]table_male_hkom2_inj.ill_X4!$A$1:$K$36,10,FALSE),0)</f>
        <v>0</v>
      </c>
      <c r="I2564">
        <f>IFERROR(HLOOKUP(I$2,[78]table_male_hkom2_inj.ill_X4!$A$1:$K$36,10,FALSE),0)</f>
        <v>0</v>
      </c>
      <c r="J2564">
        <f>IFERROR(HLOOKUP(J$2,[78]table_male_hkom2_inj.ill_X4!$A$1:$K$36,10,FALSE),0)</f>
        <v>0</v>
      </c>
      <c r="K2564">
        <f>IFERROR(HLOOKUP(K$2,[78]table_male_hkom2_inj.ill_X4!$A$1:$K$36,10,FALSE),0)</f>
        <v>0</v>
      </c>
      <c r="L2564">
        <f>IFERROR(HLOOKUP(L$2,[78]table_male_hkom2_inj.ill_X4!$A$1:$K$36,10,FALSE),0)</f>
        <v>0</v>
      </c>
      <c r="M2564">
        <f t="shared" si="801"/>
        <v>0</v>
      </c>
      <c r="S2564" t="s">
        <v>78</v>
      </c>
      <c r="T2564" s="5">
        <f t="shared" si="802"/>
        <v>0</v>
      </c>
      <c r="U2564" s="5">
        <f t="shared" si="803"/>
        <v>0</v>
      </c>
      <c r="V2564" s="5">
        <f t="shared" si="804"/>
        <v>0</v>
      </c>
      <c r="W2564" s="5">
        <f t="shared" si="805"/>
        <v>0</v>
      </c>
      <c r="X2564" s="5">
        <f t="shared" si="806"/>
        <v>0</v>
      </c>
      <c r="Y2564" s="5">
        <f t="shared" si="807"/>
        <v>0</v>
      </c>
      <c r="Z2564" s="5">
        <f t="shared" si="808"/>
        <v>0</v>
      </c>
      <c r="AA2564" s="5">
        <f t="shared" si="809"/>
        <v>0</v>
      </c>
      <c r="AB2564" s="5">
        <f t="shared" si="799"/>
        <v>0</v>
      </c>
    </row>
    <row r="2565" spans="4:28" x14ac:dyDescent="0.25">
      <c r="D2565" t="s">
        <v>79</v>
      </c>
      <c r="E2565" s="14"/>
      <c r="F2565" s="14"/>
      <c r="G2565">
        <f>IFERROR(HLOOKUP(G$2,[78]table_male_hkom2_inj.ill_X4!$A$1:$K$36,11,FALSE),0)</f>
        <v>0</v>
      </c>
      <c r="H2565">
        <f>IFERROR(HLOOKUP(H$2,[78]table_male_hkom2_inj.ill_X4!$A$1:$K$36,11,FALSE),0)</f>
        <v>0</v>
      </c>
      <c r="I2565">
        <f>IFERROR(HLOOKUP(I$2,[78]table_male_hkom2_inj.ill_X4!$A$1:$K$36,11,FALSE),0)</f>
        <v>0</v>
      </c>
      <c r="J2565">
        <f>IFERROR(HLOOKUP(J$2,[78]table_male_hkom2_inj.ill_X4!$A$1:$K$36,11,FALSE),0)</f>
        <v>0</v>
      </c>
      <c r="K2565">
        <f>IFERROR(HLOOKUP(K$2,[78]table_male_hkom2_inj.ill_X4!$A$1:$K$36,11,FALSE),0)</f>
        <v>0</v>
      </c>
      <c r="L2565">
        <f>IFERROR(HLOOKUP(L$2,[78]table_male_hkom2_inj.ill_X4!$A$1:$K$36,11,FALSE),0)</f>
        <v>0</v>
      </c>
      <c r="M2565">
        <f t="shared" si="801"/>
        <v>0</v>
      </c>
      <c r="S2565" t="s">
        <v>79</v>
      </c>
      <c r="T2565" s="5">
        <f t="shared" si="802"/>
        <v>0</v>
      </c>
      <c r="U2565" s="5">
        <f t="shared" si="803"/>
        <v>0</v>
      </c>
      <c r="V2565" s="5">
        <f t="shared" si="804"/>
        <v>0</v>
      </c>
      <c r="W2565" s="5">
        <f t="shared" si="805"/>
        <v>0</v>
      </c>
      <c r="X2565" s="5">
        <f t="shared" si="806"/>
        <v>0</v>
      </c>
      <c r="Y2565" s="5">
        <f t="shared" si="807"/>
        <v>0</v>
      </c>
      <c r="Z2565" s="5">
        <f t="shared" si="808"/>
        <v>0</v>
      </c>
      <c r="AA2565" s="5">
        <f t="shared" si="809"/>
        <v>0</v>
      </c>
      <c r="AB2565" s="5">
        <f t="shared" si="799"/>
        <v>0</v>
      </c>
    </row>
    <row r="2566" spans="4:28" x14ac:dyDescent="0.25">
      <c r="D2566" t="s">
        <v>80</v>
      </c>
      <c r="E2566" s="14"/>
      <c r="F2566" s="14"/>
      <c r="G2566">
        <f>IFERROR(HLOOKUP(G$2,[78]table_male_hkom2_inj.ill_X4!$A$1:$K$36,12,FALSE),0)</f>
        <v>0</v>
      </c>
      <c r="H2566">
        <f>IFERROR(HLOOKUP(H$2,[78]table_male_hkom2_inj.ill_X4!$A$1:$K$36,12,FALSE),0)</f>
        <v>0</v>
      </c>
      <c r="I2566">
        <f>IFERROR(HLOOKUP(I$2,[78]table_male_hkom2_inj.ill_X4!$A$1:$K$36,12,FALSE),0)</f>
        <v>0</v>
      </c>
      <c r="J2566">
        <f>IFERROR(HLOOKUP(J$2,[78]table_male_hkom2_inj.ill_X4!$A$1:$K$36,12,FALSE),0)</f>
        <v>0</v>
      </c>
      <c r="K2566">
        <f>IFERROR(HLOOKUP(K$2,[78]table_male_hkom2_inj.ill_X4!$A$1:$K$36,12,FALSE),0)</f>
        <v>0</v>
      </c>
      <c r="L2566">
        <f>IFERROR(HLOOKUP(L$2,[78]table_male_hkom2_inj.ill_X4!$A$1:$K$36,12,FALSE),0)</f>
        <v>0</v>
      </c>
      <c r="M2566">
        <f t="shared" si="801"/>
        <v>0</v>
      </c>
      <c r="S2566" t="s">
        <v>80</v>
      </c>
      <c r="T2566" s="5">
        <f t="shared" si="802"/>
        <v>0</v>
      </c>
      <c r="U2566" s="5">
        <f t="shared" si="803"/>
        <v>0</v>
      </c>
      <c r="V2566" s="5">
        <f t="shared" si="804"/>
        <v>0</v>
      </c>
      <c r="W2566" s="5">
        <f t="shared" si="805"/>
        <v>0</v>
      </c>
      <c r="X2566" s="5">
        <f t="shared" si="806"/>
        <v>0</v>
      </c>
      <c r="Y2566" s="5">
        <f t="shared" si="807"/>
        <v>0</v>
      </c>
      <c r="Z2566" s="5">
        <f t="shared" si="808"/>
        <v>0</v>
      </c>
      <c r="AA2566" s="5">
        <f t="shared" si="809"/>
        <v>0</v>
      </c>
      <c r="AB2566" s="5">
        <f t="shared" si="799"/>
        <v>0</v>
      </c>
    </row>
    <row r="2567" spans="4:28" x14ac:dyDescent="0.25">
      <c r="D2567" t="s">
        <v>81</v>
      </c>
      <c r="E2567" s="14"/>
      <c r="F2567" s="14"/>
      <c r="G2567">
        <f>IFERROR(HLOOKUP(G$2,[78]table_male_hkom2_inj.ill_X4!$A$1:$K$36,13,FALSE),0)</f>
        <v>0</v>
      </c>
      <c r="H2567">
        <f>IFERROR(HLOOKUP(H$2,[78]table_male_hkom2_inj.ill_X4!$A$1:$K$36,13,FALSE),0)</f>
        <v>0</v>
      </c>
      <c r="I2567">
        <f>IFERROR(HLOOKUP(I$2,[78]table_male_hkom2_inj.ill_X4!$A$1:$K$36,13,FALSE),0)</f>
        <v>0</v>
      </c>
      <c r="J2567">
        <f>IFERROR(HLOOKUP(J$2,[78]table_male_hkom2_inj.ill_X4!$A$1:$K$36,13,FALSE),0)</f>
        <v>0</v>
      </c>
      <c r="K2567">
        <f>IFERROR(HLOOKUP(K$2,[78]table_male_hkom2_inj.ill_X4!$A$1:$K$36,13,FALSE),0)</f>
        <v>0</v>
      </c>
      <c r="L2567">
        <f>IFERROR(HLOOKUP(L$2,[78]table_male_hkom2_inj.ill_X4!$A$1:$K$36,13,FALSE),0)</f>
        <v>0</v>
      </c>
      <c r="M2567">
        <f t="shared" si="801"/>
        <v>0</v>
      </c>
      <c r="S2567" t="s">
        <v>81</v>
      </c>
      <c r="T2567" s="5">
        <f t="shared" si="802"/>
        <v>0</v>
      </c>
      <c r="U2567" s="5">
        <f t="shared" si="803"/>
        <v>0</v>
      </c>
      <c r="V2567" s="5">
        <f t="shared" si="804"/>
        <v>0</v>
      </c>
      <c r="W2567" s="5">
        <f t="shared" si="805"/>
        <v>0</v>
      </c>
      <c r="X2567" s="5">
        <f t="shared" si="806"/>
        <v>0</v>
      </c>
      <c r="Y2567" s="5">
        <f t="shared" si="807"/>
        <v>0</v>
      </c>
      <c r="Z2567" s="5">
        <f t="shared" si="808"/>
        <v>0</v>
      </c>
      <c r="AA2567" s="5">
        <f t="shared" si="809"/>
        <v>0</v>
      </c>
      <c r="AB2567" s="5">
        <f t="shared" si="799"/>
        <v>0</v>
      </c>
    </row>
    <row r="2568" spans="4:28" x14ac:dyDescent="0.25">
      <c r="D2568" t="s">
        <v>82</v>
      </c>
      <c r="E2568" s="14"/>
      <c r="F2568" s="14"/>
      <c r="G2568">
        <f>IFERROR(HLOOKUP(G$2,[78]table_male_hkom2_inj.ill_X4!$A$1:$K$36,14,FALSE),0)</f>
        <v>0</v>
      </c>
      <c r="H2568">
        <f>IFERROR(HLOOKUP(H$2,[78]table_male_hkom2_inj.ill_X4!$A$1:$K$36,14,FALSE),0)</f>
        <v>0</v>
      </c>
      <c r="I2568">
        <f>IFERROR(HLOOKUP(I$2,[78]table_male_hkom2_inj.ill_X4!$A$1:$K$36,14,FALSE),0)</f>
        <v>0</v>
      </c>
      <c r="J2568">
        <f>IFERROR(HLOOKUP(J$2,[78]table_male_hkom2_inj.ill_X4!$A$1:$K$36,14,FALSE),0)</f>
        <v>0</v>
      </c>
      <c r="K2568">
        <f>IFERROR(HLOOKUP(K$2,[78]table_male_hkom2_inj.ill_X4!$A$1:$K$36,14,FALSE),0)</f>
        <v>0</v>
      </c>
      <c r="L2568">
        <f>IFERROR(HLOOKUP(L$2,[78]table_male_hkom2_inj.ill_X4!$A$1:$K$36,14,FALSE),0)</f>
        <v>0</v>
      </c>
      <c r="M2568">
        <f t="shared" si="801"/>
        <v>0</v>
      </c>
      <c r="S2568" t="s">
        <v>82</v>
      </c>
      <c r="T2568" s="5">
        <f t="shared" si="802"/>
        <v>0</v>
      </c>
      <c r="U2568" s="5">
        <f t="shared" si="803"/>
        <v>0</v>
      </c>
      <c r="V2568" s="5">
        <f t="shared" si="804"/>
        <v>0</v>
      </c>
      <c r="W2568" s="5">
        <f t="shared" si="805"/>
        <v>0</v>
      </c>
      <c r="X2568" s="5">
        <f t="shared" si="806"/>
        <v>0</v>
      </c>
      <c r="Y2568" s="5">
        <f t="shared" si="807"/>
        <v>0</v>
      </c>
      <c r="Z2568" s="5">
        <f t="shared" si="808"/>
        <v>0</v>
      </c>
      <c r="AA2568" s="5">
        <f t="shared" si="809"/>
        <v>0</v>
      </c>
      <c r="AB2568" s="5">
        <f t="shared" si="799"/>
        <v>0</v>
      </c>
    </row>
    <row r="2569" spans="4:28" x14ac:dyDescent="0.25">
      <c r="D2569" t="s">
        <v>83</v>
      </c>
      <c r="E2569" s="14"/>
      <c r="F2569" s="14"/>
      <c r="G2569">
        <f>IFERROR(HLOOKUP(G$2,[78]table_male_hkom2_inj.ill_X4!$A$1:$K$36,15,FALSE),0)</f>
        <v>0</v>
      </c>
      <c r="H2569">
        <f>IFERROR(HLOOKUP(H$2,[78]table_male_hkom2_inj.ill_X4!$A$1:$K$36,15,FALSE),0)</f>
        <v>0</v>
      </c>
      <c r="I2569">
        <f>IFERROR(HLOOKUP(I$2,[78]table_male_hkom2_inj.ill_X4!$A$1:$K$36,15,FALSE),0)</f>
        <v>0</v>
      </c>
      <c r="J2569">
        <f>IFERROR(HLOOKUP(J$2,[78]table_male_hkom2_inj.ill_X4!$A$1:$K$36,15,FALSE),0)</f>
        <v>0</v>
      </c>
      <c r="K2569">
        <f>IFERROR(HLOOKUP(K$2,[78]table_male_hkom2_inj.ill_X4!$A$1:$K$36,15,FALSE),0)</f>
        <v>0</v>
      </c>
      <c r="L2569">
        <f>IFERROR(HLOOKUP(L$2,[78]table_male_hkom2_inj.ill_X4!$A$1:$K$36,15,FALSE),0)</f>
        <v>0</v>
      </c>
      <c r="M2569">
        <f t="shared" si="801"/>
        <v>0</v>
      </c>
      <c r="S2569" t="s">
        <v>83</v>
      </c>
      <c r="T2569" s="5">
        <f t="shared" si="802"/>
        <v>0</v>
      </c>
      <c r="U2569" s="5">
        <f t="shared" si="803"/>
        <v>0</v>
      </c>
      <c r="V2569" s="5">
        <f t="shared" si="804"/>
        <v>0</v>
      </c>
      <c r="W2569" s="5">
        <f t="shared" si="805"/>
        <v>0</v>
      </c>
      <c r="X2569" s="5">
        <f t="shared" si="806"/>
        <v>0</v>
      </c>
      <c r="Y2569" s="5">
        <f t="shared" si="807"/>
        <v>0</v>
      </c>
      <c r="Z2569" s="5">
        <f t="shared" si="808"/>
        <v>0</v>
      </c>
      <c r="AA2569" s="5">
        <f t="shared" si="809"/>
        <v>0</v>
      </c>
      <c r="AB2569" s="5">
        <f t="shared" si="799"/>
        <v>0</v>
      </c>
    </row>
    <row r="2570" spans="4:28" x14ac:dyDescent="0.25">
      <c r="D2570" t="s">
        <v>84</v>
      </c>
      <c r="E2570" s="14"/>
      <c r="F2570" s="14"/>
      <c r="G2570">
        <f>IFERROR(HLOOKUP(G$2,[78]table_male_hkom2_inj.ill_X4!$A$1:$K$36,16,FALSE),0)</f>
        <v>0</v>
      </c>
      <c r="H2570">
        <f>IFERROR(HLOOKUP(H$2,[78]table_male_hkom2_inj.ill_X4!$A$1:$K$36,16,FALSE),0)</f>
        <v>0</v>
      </c>
      <c r="I2570">
        <f>IFERROR(HLOOKUP(I$2,[78]table_male_hkom2_inj.ill_X4!$A$1:$K$36,16,FALSE),0)</f>
        <v>0</v>
      </c>
      <c r="J2570">
        <f>IFERROR(HLOOKUP(J$2,[78]table_male_hkom2_inj.ill_X4!$A$1:$K$36,16,FALSE),0)</f>
        <v>0</v>
      </c>
      <c r="K2570">
        <f>IFERROR(HLOOKUP(K$2,[78]table_male_hkom2_inj.ill_X4!$A$1:$K$36,16,FALSE),0)</f>
        <v>0</v>
      </c>
      <c r="L2570">
        <f>IFERROR(HLOOKUP(L$2,[78]table_male_hkom2_inj.ill_X4!$A$1:$K$36,16,FALSE),0)</f>
        <v>0</v>
      </c>
      <c r="M2570">
        <f t="shared" si="801"/>
        <v>0</v>
      </c>
      <c r="S2570" t="s">
        <v>84</v>
      </c>
      <c r="T2570" s="5">
        <f t="shared" si="802"/>
        <v>0</v>
      </c>
      <c r="U2570" s="5">
        <f t="shared" si="803"/>
        <v>0</v>
      </c>
      <c r="V2570" s="5">
        <f t="shared" si="804"/>
        <v>0</v>
      </c>
      <c r="W2570" s="5">
        <f t="shared" si="805"/>
        <v>0</v>
      </c>
      <c r="X2570" s="5">
        <f t="shared" si="806"/>
        <v>0</v>
      </c>
      <c r="Y2570" s="5">
        <f t="shared" si="807"/>
        <v>0</v>
      </c>
      <c r="Z2570" s="5">
        <f t="shared" si="808"/>
        <v>0</v>
      </c>
      <c r="AA2570" s="5">
        <f t="shared" si="809"/>
        <v>0</v>
      </c>
      <c r="AB2570" s="5">
        <f t="shared" si="799"/>
        <v>0</v>
      </c>
    </row>
    <row r="2571" spans="4:28" x14ac:dyDescent="0.25">
      <c r="D2571" t="s">
        <v>85</v>
      </c>
      <c r="E2571" s="14"/>
      <c r="F2571" s="14"/>
      <c r="G2571">
        <f>IFERROR(HLOOKUP(G$2,[78]table_male_hkom2_inj.ill_X4!$A$1:$K$36,17,FALSE),0)</f>
        <v>0</v>
      </c>
      <c r="H2571">
        <f>IFERROR(HLOOKUP(H$2,[78]table_male_hkom2_inj.ill_X4!$A$1:$K$36,17,FALSE),0)</f>
        <v>0</v>
      </c>
      <c r="I2571">
        <f>IFERROR(HLOOKUP(I$2,[78]table_male_hkom2_inj.ill_X4!$A$1:$K$36,17,FALSE),0)</f>
        <v>0</v>
      </c>
      <c r="J2571">
        <f>IFERROR(HLOOKUP(J$2,[78]table_male_hkom2_inj.ill_X4!$A$1:$K$36,17,FALSE),0)</f>
        <v>0</v>
      </c>
      <c r="K2571">
        <f>IFERROR(HLOOKUP(K$2,[78]table_male_hkom2_inj.ill_X4!$A$1:$K$36,17,FALSE),0)</f>
        <v>0</v>
      </c>
      <c r="L2571">
        <f>IFERROR(HLOOKUP(L$2,[78]table_male_hkom2_inj.ill_X4!$A$1:$K$36,17,FALSE),0)</f>
        <v>0</v>
      </c>
      <c r="M2571">
        <f t="shared" si="801"/>
        <v>0</v>
      </c>
      <c r="S2571" t="s">
        <v>85</v>
      </c>
      <c r="T2571" s="5">
        <f t="shared" si="802"/>
        <v>0</v>
      </c>
      <c r="U2571" s="5">
        <f t="shared" si="803"/>
        <v>0</v>
      </c>
      <c r="V2571" s="5">
        <f t="shared" si="804"/>
        <v>0</v>
      </c>
      <c r="W2571" s="5">
        <f t="shared" si="805"/>
        <v>0</v>
      </c>
      <c r="X2571" s="5">
        <f t="shared" si="806"/>
        <v>0</v>
      </c>
      <c r="Y2571" s="5">
        <f t="shared" si="807"/>
        <v>0</v>
      </c>
      <c r="Z2571" s="5">
        <f t="shared" si="808"/>
        <v>0</v>
      </c>
      <c r="AA2571" s="5">
        <f t="shared" si="809"/>
        <v>0</v>
      </c>
      <c r="AB2571" s="5">
        <f t="shared" si="799"/>
        <v>0</v>
      </c>
    </row>
    <row r="2572" spans="4:28" x14ac:dyDescent="0.25">
      <c r="D2572" t="s">
        <v>86</v>
      </c>
      <c r="E2572" s="14"/>
      <c r="F2572" s="14"/>
      <c r="G2572">
        <f>IFERROR(HLOOKUP(G$2,[78]table_male_hkom2_inj.ill_X4!$A$1:$K$36,18,FALSE),0)</f>
        <v>0</v>
      </c>
      <c r="H2572">
        <f>IFERROR(HLOOKUP(H$2,[78]table_male_hkom2_inj.ill_X4!$A$1:$K$36,18,FALSE),0)</f>
        <v>0</v>
      </c>
      <c r="I2572">
        <f>IFERROR(HLOOKUP(I$2,[78]table_male_hkom2_inj.ill_X4!$A$1:$K$36,18,FALSE),0)</f>
        <v>0</v>
      </c>
      <c r="J2572">
        <f>IFERROR(HLOOKUP(J$2,[78]table_male_hkom2_inj.ill_X4!$A$1:$K$36,18,FALSE),0)</f>
        <v>0</v>
      </c>
      <c r="K2572">
        <f>IFERROR(HLOOKUP(K$2,[78]table_male_hkom2_inj.ill_X4!$A$1:$K$36,18,FALSE),0)</f>
        <v>0</v>
      </c>
      <c r="L2572">
        <f>IFERROR(HLOOKUP(L$2,[78]table_male_hkom2_inj.ill_X4!$A$1:$K$36,18,FALSE),0)</f>
        <v>0</v>
      </c>
      <c r="M2572">
        <f t="shared" si="801"/>
        <v>0</v>
      </c>
      <c r="S2572" t="s">
        <v>86</v>
      </c>
      <c r="T2572" s="5">
        <f t="shared" si="802"/>
        <v>0</v>
      </c>
      <c r="U2572" s="5">
        <f t="shared" si="803"/>
        <v>0</v>
      </c>
      <c r="V2572" s="5">
        <f t="shared" si="804"/>
        <v>0</v>
      </c>
      <c r="W2572" s="5">
        <f t="shared" si="805"/>
        <v>0</v>
      </c>
      <c r="X2572" s="5">
        <f t="shared" si="806"/>
        <v>0</v>
      </c>
      <c r="Y2572" s="5">
        <f t="shared" si="807"/>
        <v>0</v>
      </c>
      <c r="Z2572" s="5">
        <f t="shared" si="808"/>
        <v>0</v>
      </c>
      <c r="AA2572" s="5">
        <f t="shared" si="809"/>
        <v>0</v>
      </c>
      <c r="AB2572" s="5">
        <f t="shared" si="799"/>
        <v>0</v>
      </c>
    </row>
    <row r="2573" spans="4:28" x14ac:dyDescent="0.25">
      <c r="D2573" t="s">
        <v>87</v>
      </c>
      <c r="E2573" s="14"/>
      <c r="F2573" s="14"/>
      <c r="G2573">
        <f>IFERROR(HLOOKUP(G$2,[78]table_male_hkom2_inj.ill_X4!$A$1:$K$36,19,FALSE),0)</f>
        <v>0</v>
      </c>
      <c r="H2573">
        <f>IFERROR(HLOOKUP(H$2,[78]table_male_hkom2_inj.ill_X4!$A$1:$K$36,19,FALSE),0)</f>
        <v>0</v>
      </c>
      <c r="I2573">
        <f>IFERROR(HLOOKUP(I$2,[78]table_male_hkom2_inj.ill_X4!$A$1:$K$36,19,FALSE),0)</f>
        <v>0</v>
      </c>
      <c r="J2573">
        <f>IFERROR(HLOOKUP(J$2,[78]table_male_hkom2_inj.ill_X4!$A$1:$K$36,19,FALSE),0)</f>
        <v>0</v>
      </c>
      <c r="K2573">
        <f>IFERROR(HLOOKUP(K$2,[78]table_male_hkom2_inj.ill_X4!$A$1:$K$36,19,FALSE),0)</f>
        <v>0</v>
      </c>
      <c r="L2573">
        <f>IFERROR(HLOOKUP(L$2,[78]table_male_hkom2_inj.ill_X4!$A$1:$K$36,19,FALSE),0)</f>
        <v>0</v>
      </c>
      <c r="M2573">
        <f t="shared" si="801"/>
        <v>0</v>
      </c>
      <c r="S2573" t="s">
        <v>87</v>
      </c>
      <c r="T2573" s="5">
        <f t="shared" si="802"/>
        <v>0</v>
      </c>
      <c r="U2573" s="5">
        <f t="shared" si="803"/>
        <v>0</v>
      </c>
      <c r="V2573" s="5">
        <f t="shared" si="804"/>
        <v>0</v>
      </c>
      <c r="W2573" s="5">
        <f t="shared" si="805"/>
        <v>0</v>
      </c>
      <c r="X2573" s="5">
        <f t="shared" si="806"/>
        <v>0</v>
      </c>
      <c r="Y2573" s="5">
        <f t="shared" si="807"/>
        <v>0</v>
      </c>
      <c r="Z2573" s="5">
        <f t="shared" si="808"/>
        <v>0</v>
      </c>
      <c r="AA2573" s="5">
        <f t="shared" si="809"/>
        <v>0</v>
      </c>
      <c r="AB2573" s="5">
        <f t="shared" si="799"/>
        <v>0</v>
      </c>
    </row>
    <row r="2574" spans="4:28" x14ac:dyDescent="0.25">
      <c r="D2574" t="s">
        <v>88</v>
      </c>
      <c r="E2574" s="14"/>
      <c r="F2574" s="14"/>
      <c r="G2574">
        <f>IFERROR(HLOOKUP(G$2,[78]table_male_hkom2_inj.ill_X4!$A$1:$K$36,20,FALSE),0)</f>
        <v>0</v>
      </c>
      <c r="H2574">
        <f>IFERROR(HLOOKUP(H$2,[78]table_male_hkom2_inj.ill_X4!$A$1:$K$36,20,FALSE),0)</f>
        <v>0</v>
      </c>
      <c r="I2574">
        <f>IFERROR(HLOOKUP(I$2,[78]table_male_hkom2_inj.ill_X4!$A$1:$K$36,20,FALSE),0)</f>
        <v>0</v>
      </c>
      <c r="J2574">
        <f>IFERROR(HLOOKUP(J$2,[78]table_male_hkom2_inj.ill_X4!$A$1:$K$36,20,FALSE),0)</f>
        <v>0</v>
      </c>
      <c r="K2574">
        <f>IFERROR(HLOOKUP(K$2,[78]table_male_hkom2_inj.ill_X4!$A$1:$K$36,20,FALSE),0)</f>
        <v>0</v>
      </c>
      <c r="L2574">
        <f>IFERROR(HLOOKUP(L$2,[78]table_male_hkom2_inj.ill_X4!$A$1:$K$36,20,FALSE),0)</f>
        <v>0</v>
      </c>
      <c r="M2574">
        <f t="shared" si="801"/>
        <v>0</v>
      </c>
      <c r="S2574" t="s">
        <v>88</v>
      </c>
      <c r="T2574" s="5">
        <f t="shared" si="802"/>
        <v>0</v>
      </c>
      <c r="U2574" s="5">
        <f t="shared" si="803"/>
        <v>0</v>
      </c>
      <c r="V2574" s="5">
        <f t="shared" si="804"/>
        <v>0</v>
      </c>
      <c r="W2574" s="5">
        <f t="shared" si="805"/>
        <v>0</v>
      </c>
      <c r="X2574" s="5">
        <f t="shared" si="806"/>
        <v>0</v>
      </c>
      <c r="Y2574" s="5">
        <f t="shared" si="807"/>
        <v>0</v>
      </c>
      <c r="Z2574" s="5">
        <f t="shared" si="808"/>
        <v>0</v>
      </c>
      <c r="AA2574" s="5">
        <f t="shared" si="809"/>
        <v>0</v>
      </c>
      <c r="AB2574" s="5">
        <f t="shared" si="799"/>
        <v>0</v>
      </c>
    </row>
    <row r="2575" spans="4:28" x14ac:dyDescent="0.25">
      <c r="D2575" t="s">
        <v>89</v>
      </c>
      <c r="E2575" s="14"/>
      <c r="F2575" s="14"/>
      <c r="G2575">
        <f>IFERROR(HLOOKUP(G$2,[78]table_male_hkom2_inj.ill_X4!$A$1:$K$36,21,FALSE),0)</f>
        <v>0</v>
      </c>
      <c r="H2575">
        <f>IFERROR(HLOOKUP(H$2,[78]table_male_hkom2_inj.ill_X4!$A$1:$K$36,21,FALSE),0)</f>
        <v>0</v>
      </c>
      <c r="I2575">
        <f>IFERROR(HLOOKUP(I$2,[78]table_male_hkom2_inj.ill_X4!$A$1:$K$36,21,FALSE),0)</f>
        <v>0</v>
      </c>
      <c r="J2575">
        <f>IFERROR(HLOOKUP(J$2,[78]table_male_hkom2_inj.ill_X4!$A$1:$K$36,21,FALSE),0)</f>
        <v>0</v>
      </c>
      <c r="K2575">
        <f>IFERROR(HLOOKUP(K$2,[78]table_male_hkom2_inj.ill_X4!$A$1:$K$36,21,FALSE),0)</f>
        <v>0</v>
      </c>
      <c r="L2575">
        <f>IFERROR(HLOOKUP(L$2,[78]table_male_hkom2_inj.ill_X4!$A$1:$K$36,21,FALSE),0)</f>
        <v>0</v>
      </c>
      <c r="M2575">
        <f t="shared" si="801"/>
        <v>0</v>
      </c>
      <c r="S2575" t="s">
        <v>89</v>
      </c>
      <c r="T2575" s="5">
        <f t="shared" si="802"/>
        <v>0</v>
      </c>
      <c r="U2575" s="5">
        <f t="shared" si="803"/>
        <v>0</v>
      </c>
      <c r="V2575" s="5">
        <f t="shared" si="804"/>
        <v>0</v>
      </c>
      <c r="W2575" s="5">
        <f t="shared" si="805"/>
        <v>0</v>
      </c>
      <c r="X2575" s="5">
        <f t="shared" si="806"/>
        <v>0</v>
      </c>
      <c r="Y2575" s="5">
        <f t="shared" si="807"/>
        <v>0</v>
      </c>
      <c r="Z2575" s="5">
        <f t="shared" si="808"/>
        <v>0</v>
      </c>
      <c r="AA2575" s="5">
        <f t="shared" si="809"/>
        <v>0</v>
      </c>
      <c r="AB2575" s="5">
        <f t="shared" si="799"/>
        <v>0</v>
      </c>
    </row>
    <row r="2576" spans="4:28" x14ac:dyDescent="0.25">
      <c r="D2576" t="s">
        <v>90</v>
      </c>
      <c r="E2576" s="14"/>
      <c r="F2576" s="14"/>
      <c r="G2576">
        <f>IFERROR(HLOOKUP(G$2,[78]table_male_hkom2_inj.ill_X4!$A$1:$K$36,22,FALSE),0)</f>
        <v>0</v>
      </c>
      <c r="H2576">
        <f>IFERROR(HLOOKUP(H$2,[78]table_male_hkom2_inj.ill_X4!$A$1:$K$36,22,FALSE),0)</f>
        <v>0</v>
      </c>
      <c r="I2576">
        <f>IFERROR(HLOOKUP(I$2,[78]table_male_hkom2_inj.ill_X4!$A$1:$K$36,22,FALSE),0)</f>
        <v>0</v>
      </c>
      <c r="J2576">
        <f>IFERROR(HLOOKUP(J$2,[78]table_male_hkom2_inj.ill_X4!$A$1:$K$36,22,FALSE),0)</f>
        <v>0</v>
      </c>
      <c r="K2576">
        <f>IFERROR(HLOOKUP(K$2,[78]table_male_hkom2_inj.ill_X4!$A$1:$K$36,22,FALSE),0)</f>
        <v>0</v>
      </c>
      <c r="L2576">
        <f>IFERROR(HLOOKUP(L$2,[78]table_male_hkom2_inj.ill_X4!$A$1:$K$36,22,FALSE),0)</f>
        <v>0</v>
      </c>
      <c r="M2576">
        <f t="shared" si="801"/>
        <v>0</v>
      </c>
      <c r="S2576" t="s">
        <v>90</v>
      </c>
      <c r="T2576" s="5">
        <f t="shared" si="802"/>
        <v>0</v>
      </c>
      <c r="U2576" s="5">
        <f t="shared" si="803"/>
        <v>0</v>
      </c>
      <c r="V2576" s="5">
        <f t="shared" si="804"/>
        <v>0</v>
      </c>
      <c r="W2576" s="5">
        <f t="shared" si="805"/>
        <v>0</v>
      </c>
      <c r="X2576" s="5">
        <f t="shared" si="806"/>
        <v>0</v>
      </c>
      <c r="Y2576" s="5">
        <f t="shared" si="807"/>
        <v>0</v>
      </c>
      <c r="Z2576" s="5">
        <f t="shared" si="808"/>
        <v>0</v>
      </c>
      <c r="AA2576" s="5">
        <f t="shared" si="809"/>
        <v>0</v>
      </c>
      <c r="AB2576" s="5">
        <f t="shared" si="799"/>
        <v>0</v>
      </c>
    </row>
    <row r="2577" spans="1:29" x14ac:dyDescent="0.25">
      <c r="D2577" t="s">
        <v>91</v>
      </c>
      <c r="E2577" s="14"/>
      <c r="F2577" s="14"/>
      <c r="G2577">
        <f>IFERROR(HLOOKUP(G$2,[78]table_male_hkom2_inj.ill_X4!$A$1:$K$36,23,FALSE),0)</f>
        <v>0</v>
      </c>
      <c r="H2577">
        <f>IFERROR(HLOOKUP(H$2,[78]table_male_hkom2_inj.ill_X4!$A$1:$K$36,23,FALSE),0)</f>
        <v>0</v>
      </c>
      <c r="I2577">
        <f>IFERROR(HLOOKUP(I$2,[78]table_male_hkom2_inj.ill_X4!$A$1:$K$36,23,FALSE),0)</f>
        <v>0</v>
      </c>
      <c r="J2577">
        <f>IFERROR(HLOOKUP(J$2,[78]table_male_hkom2_inj.ill_X4!$A$1:$K$36,23,FALSE),0)</f>
        <v>0</v>
      </c>
      <c r="K2577">
        <f>IFERROR(HLOOKUP(K$2,[78]table_male_hkom2_inj.ill_X4!$A$1:$K$36,23,FALSE),0)</f>
        <v>0</v>
      </c>
      <c r="L2577">
        <f>IFERROR(HLOOKUP(L$2,[78]table_male_hkom2_inj.ill_X4!$A$1:$K$36,23,FALSE),0)</f>
        <v>0</v>
      </c>
      <c r="M2577">
        <f t="shared" si="801"/>
        <v>0</v>
      </c>
      <c r="S2577" t="s">
        <v>91</v>
      </c>
      <c r="T2577" s="5">
        <f t="shared" si="802"/>
        <v>0</v>
      </c>
      <c r="U2577" s="5">
        <f t="shared" si="803"/>
        <v>0</v>
      </c>
      <c r="V2577" s="5">
        <f t="shared" si="804"/>
        <v>0</v>
      </c>
      <c r="W2577" s="5">
        <f t="shared" si="805"/>
        <v>0</v>
      </c>
      <c r="X2577" s="5">
        <f t="shared" si="806"/>
        <v>0</v>
      </c>
      <c r="Y2577" s="5">
        <f t="shared" si="807"/>
        <v>0</v>
      </c>
      <c r="Z2577" s="5">
        <f t="shared" si="808"/>
        <v>0</v>
      </c>
      <c r="AA2577" s="5">
        <f t="shared" si="809"/>
        <v>0</v>
      </c>
      <c r="AB2577" s="5">
        <f t="shared" si="799"/>
        <v>0</v>
      </c>
    </row>
    <row r="2578" spans="1:29" x14ac:dyDescent="0.25">
      <c r="D2578" t="s">
        <v>92</v>
      </c>
      <c r="E2578" s="14"/>
      <c r="F2578" s="14"/>
      <c r="G2578">
        <f>IFERROR(HLOOKUP(G$2,[78]table_male_hkom2_inj.ill_X4!$A$1:$K$36,24,FALSE),0)</f>
        <v>0</v>
      </c>
      <c r="H2578">
        <f>IFERROR(HLOOKUP(H$2,[78]table_male_hkom2_inj.ill_X4!$A$1:$K$36,24,FALSE),0)</f>
        <v>0</v>
      </c>
      <c r="I2578">
        <f>IFERROR(HLOOKUP(I$2,[78]table_male_hkom2_inj.ill_X4!$A$1:$K$36,24,FALSE),0)</f>
        <v>0</v>
      </c>
      <c r="J2578">
        <f>IFERROR(HLOOKUP(J$2,[78]table_male_hkom2_inj.ill_X4!$A$1:$K$36,24,FALSE),0)</f>
        <v>0</v>
      </c>
      <c r="K2578">
        <f>IFERROR(HLOOKUP(K$2,[78]table_male_hkom2_inj.ill_X4!$A$1:$K$36,24,FALSE),0)</f>
        <v>0</v>
      </c>
      <c r="L2578">
        <f>IFERROR(HLOOKUP(L$2,[78]table_male_hkom2_inj.ill_X4!$A$1:$K$36,24,FALSE),0)</f>
        <v>0</v>
      </c>
      <c r="M2578">
        <f t="shared" si="801"/>
        <v>0</v>
      </c>
      <c r="S2578" t="s">
        <v>92</v>
      </c>
      <c r="T2578" s="5">
        <f t="shared" si="802"/>
        <v>0</v>
      </c>
      <c r="U2578" s="5">
        <f t="shared" si="803"/>
        <v>0</v>
      </c>
      <c r="V2578" s="5">
        <f t="shared" si="804"/>
        <v>0</v>
      </c>
      <c r="W2578" s="5">
        <f t="shared" si="805"/>
        <v>0</v>
      </c>
      <c r="X2578" s="5">
        <f t="shared" si="806"/>
        <v>0</v>
      </c>
      <c r="Y2578" s="5">
        <f t="shared" si="807"/>
        <v>0</v>
      </c>
      <c r="Z2578" s="5">
        <f t="shared" si="808"/>
        <v>0</v>
      </c>
      <c r="AA2578" s="5">
        <f t="shared" si="809"/>
        <v>0</v>
      </c>
      <c r="AB2578" s="5">
        <f t="shared" si="799"/>
        <v>0</v>
      </c>
    </row>
    <row r="2579" spans="1:29" x14ac:dyDescent="0.25">
      <c r="D2579" t="s">
        <v>93</v>
      </c>
      <c r="E2579" s="14"/>
      <c r="F2579" s="14"/>
      <c r="G2579">
        <f>IFERROR(HLOOKUP(G$2,[78]table_male_hkom2_inj.ill_X4!$A$1:$K$36,25,FALSE),0)</f>
        <v>0</v>
      </c>
      <c r="H2579">
        <f>IFERROR(HLOOKUP(H$2,[78]table_male_hkom2_inj.ill_X4!$A$1:$K$36,25,FALSE),0)</f>
        <v>0</v>
      </c>
      <c r="I2579">
        <f>IFERROR(HLOOKUP(I$2,[78]table_male_hkom2_inj.ill_X4!$A$1:$K$36,25,FALSE),0)</f>
        <v>0</v>
      </c>
      <c r="J2579">
        <f>IFERROR(HLOOKUP(J$2,[78]table_male_hkom2_inj.ill_X4!$A$1:$K$36,25,FALSE),0)</f>
        <v>0</v>
      </c>
      <c r="K2579">
        <f>IFERROR(HLOOKUP(K$2,[78]table_male_hkom2_inj.ill_X4!$A$1:$K$36,25,FALSE),0)</f>
        <v>0</v>
      </c>
      <c r="L2579">
        <f>IFERROR(HLOOKUP(L$2,[78]table_male_hkom2_inj.ill_X4!$A$1:$K$36,25,FALSE),0)</f>
        <v>0</v>
      </c>
      <c r="M2579">
        <f t="shared" si="801"/>
        <v>0</v>
      </c>
      <c r="S2579" t="s">
        <v>93</v>
      </c>
      <c r="T2579" s="5">
        <f t="shared" si="802"/>
        <v>0</v>
      </c>
      <c r="U2579" s="5">
        <f t="shared" si="803"/>
        <v>0</v>
      </c>
      <c r="V2579" s="5">
        <f t="shared" si="804"/>
        <v>0</v>
      </c>
      <c r="W2579" s="5">
        <f t="shared" si="805"/>
        <v>0</v>
      </c>
      <c r="X2579" s="5">
        <f t="shared" si="806"/>
        <v>0</v>
      </c>
      <c r="Y2579" s="5">
        <f t="shared" si="807"/>
        <v>0</v>
      </c>
      <c r="Z2579" s="5">
        <f t="shared" si="808"/>
        <v>0</v>
      </c>
      <c r="AA2579" s="5">
        <f t="shared" si="809"/>
        <v>0</v>
      </c>
      <c r="AB2579" s="5">
        <f t="shared" si="799"/>
        <v>0</v>
      </c>
    </row>
    <row r="2580" spans="1:29" x14ac:dyDescent="0.25">
      <c r="D2580" t="s">
        <v>94</v>
      </c>
      <c r="E2580" s="14"/>
      <c r="F2580" s="14"/>
      <c r="G2580">
        <f>IFERROR(HLOOKUP(G$2,[78]table_male_hkom2_inj.ill_X4!$A$1:$K$36,26,FALSE),0)</f>
        <v>0</v>
      </c>
      <c r="H2580">
        <f>IFERROR(HLOOKUP(H$2,[78]table_male_hkom2_inj.ill_X4!$A$1:$K$36,26,FALSE),0)</f>
        <v>0</v>
      </c>
      <c r="I2580">
        <f>IFERROR(HLOOKUP(I$2,[78]table_male_hkom2_inj.ill_X4!$A$1:$K$36,26,FALSE),0)</f>
        <v>0</v>
      </c>
      <c r="J2580">
        <f>IFERROR(HLOOKUP(J$2,[78]table_male_hkom2_inj.ill_X4!$A$1:$K$36,26,FALSE),0)</f>
        <v>0</v>
      </c>
      <c r="K2580">
        <f>IFERROR(HLOOKUP(K$2,[78]table_male_hkom2_inj.ill_X4!$A$1:$K$36,26,FALSE),0)</f>
        <v>0</v>
      </c>
      <c r="L2580">
        <f>IFERROR(HLOOKUP(L$2,[78]table_male_hkom2_inj.ill_X4!$A$1:$K$36,26,FALSE),0)</f>
        <v>0</v>
      </c>
      <c r="M2580">
        <f t="shared" si="801"/>
        <v>0</v>
      </c>
      <c r="S2580" t="s">
        <v>94</v>
      </c>
      <c r="T2580" s="5">
        <f t="shared" si="802"/>
        <v>0</v>
      </c>
      <c r="U2580" s="5">
        <f t="shared" si="803"/>
        <v>0</v>
      </c>
      <c r="V2580" s="5">
        <f t="shared" si="804"/>
        <v>0</v>
      </c>
      <c r="W2580" s="5">
        <f t="shared" si="805"/>
        <v>0</v>
      </c>
      <c r="X2580" s="5">
        <f t="shared" si="806"/>
        <v>0</v>
      </c>
      <c r="Y2580" s="5">
        <f t="shared" si="807"/>
        <v>0</v>
      </c>
      <c r="Z2580" s="5">
        <f t="shared" si="808"/>
        <v>0</v>
      </c>
      <c r="AA2580" s="5">
        <f t="shared" si="809"/>
        <v>0</v>
      </c>
      <c r="AB2580" s="5">
        <f t="shared" si="799"/>
        <v>0</v>
      </c>
    </row>
    <row r="2581" spans="1:29" x14ac:dyDescent="0.25">
      <c r="D2581" t="s">
        <v>95</v>
      </c>
      <c r="E2581" s="14"/>
      <c r="F2581" s="14"/>
      <c r="G2581">
        <f>IFERROR(HLOOKUP(G$2,[78]table_male_hkom2_inj.ill_X4!$A$1:$K$36,27,FALSE),0)</f>
        <v>0</v>
      </c>
      <c r="H2581">
        <f>IFERROR(HLOOKUP(H$2,[78]table_male_hkom2_inj.ill_X4!$A$1:$K$36,27,FALSE),0)</f>
        <v>0</v>
      </c>
      <c r="I2581">
        <f>IFERROR(HLOOKUP(I$2,[78]table_male_hkom2_inj.ill_X4!$A$1:$K$36,27,FALSE),0)</f>
        <v>0</v>
      </c>
      <c r="J2581">
        <f>IFERROR(HLOOKUP(J$2,[78]table_male_hkom2_inj.ill_X4!$A$1:$K$36,27,FALSE),0)</f>
        <v>0</v>
      </c>
      <c r="K2581">
        <f>IFERROR(HLOOKUP(K$2,[78]table_male_hkom2_inj.ill_X4!$A$1:$K$36,27,FALSE),0)</f>
        <v>0</v>
      </c>
      <c r="L2581">
        <f>IFERROR(HLOOKUP(L$2,[78]table_male_hkom2_inj.ill_X4!$A$1:$K$36,27,FALSE),0)</f>
        <v>0</v>
      </c>
      <c r="M2581">
        <f t="shared" si="801"/>
        <v>0</v>
      </c>
      <c r="S2581" t="s">
        <v>95</v>
      </c>
      <c r="T2581" s="5">
        <f t="shared" si="802"/>
        <v>0</v>
      </c>
      <c r="U2581" s="5">
        <f t="shared" si="803"/>
        <v>0</v>
      </c>
      <c r="V2581" s="5">
        <f t="shared" si="804"/>
        <v>0</v>
      </c>
      <c r="W2581" s="5">
        <f t="shared" si="805"/>
        <v>0</v>
      </c>
      <c r="X2581" s="5">
        <f t="shared" si="806"/>
        <v>0</v>
      </c>
      <c r="Y2581" s="5">
        <f t="shared" si="807"/>
        <v>0</v>
      </c>
      <c r="Z2581" s="5">
        <f t="shared" si="808"/>
        <v>0</v>
      </c>
      <c r="AA2581" s="5">
        <f t="shared" si="809"/>
        <v>0</v>
      </c>
      <c r="AB2581" s="5">
        <f t="shared" si="799"/>
        <v>0</v>
      </c>
    </row>
    <row r="2582" spans="1:29" x14ac:dyDescent="0.25">
      <c r="D2582" t="s">
        <v>96</v>
      </c>
      <c r="E2582" s="14"/>
      <c r="F2582" s="14"/>
      <c r="G2582">
        <f>IFERROR(HLOOKUP(G$2,[78]table_male_hkom2_inj.ill_X4!$A$1:$K$36,28,FALSE),0)</f>
        <v>0</v>
      </c>
      <c r="H2582">
        <f>IFERROR(HLOOKUP(H$2,[78]table_male_hkom2_inj.ill_X4!$A$1:$K$36,28,FALSE),0)</f>
        <v>0</v>
      </c>
      <c r="I2582">
        <f>IFERROR(HLOOKUP(I$2,[78]table_male_hkom2_inj.ill_X4!$A$1:$K$36,28,FALSE),0)</f>
        <v>0</v>
      </c>
      <c r="J2582">
        <f>IFERROR(HLOOKUP(J$2,[78]table_male_hkom2_inj.ill_X4!$A$1:$K$36,28,FALSE),0)</f>
        <v>0</v>
      </c>
      <c r="K2582">
        <f>IFERROR(HLOOKUP(K$2,[78]table_male_hkom2_inj.ill_X4!$A$1:$K$36,28,FALSE),0)</f>
        <v>0</v>
      </c>
      <c r="L2582">
        <f>IFERROR(HLOOKUP(L$2,[78]table_male_hkom2_inj.ill_X4!$A$1:$K$36,28,FALSE),0)</f>
        <v>0</v>
      </c>
      <c r="M2582">
        <f t="shared" si="801"/>
        <v>0</v>
      </c>
      <c r="S2582" t="s">
        <v>96</v>
      </c>
      <c r="T2582" s="5">
        <f t="shared" si="802"/>
        <v>0</v>
      </c>
      <c r="U2582" s="5">
        <f t="shared" si="803"/>
        <v>0</v>
      </c>
      <c r="V2582" s="5">
        <f t="shared" si="804"/>
        <v>0</v>
      </c>
      <c r="W2582" s="5">
        <f t="shared" si="805"/>
        <v>0</v>
      </c>
      <c r="X2582" s="5">
        <f t="shared" si="806"/>
        <v>0</v>
      </c>
      <c r="Y2582" s="5">
        <f t="shared" si="807"/>
        <v>0</v>
      </c>
      <c r="Z2582" s="5">
        <f t="shared" si="808"/>
        <v>0</v>
      </c>
      <c r="AA2582" s="5">
        <f t="shared" si="809"/>
        <v>0</v>
      </c>
      <c r="AB2582" s="5">
        <f t="shared" si="799"/>
        <v>0</v>
      </c>
    </row>
    <row r="2583" spans="1:29" x14ac:dyDescent="0.25">
      <c r="D2583" t="s">
        <v>97</v>
      </c>
      <c r="E2583" s="14"/>
      <c r="F2583" s="14"/>
      <c r="G2583">
        <f>IFERROR(HLOOKUP(G$2,[78]table_male_hkom2_inj.ill_X4!$A$1:$K$36,29,FALSE),0)</f>
        <v>0</v>
      </c>
      <c r="H2583">
        <f>IFERROR(HLOOKUP(H$2,[78]table_male_hkom2_inj.ill_X4!$A$1:$K$36,29,FALSE),0)</f>
        <v>0</v>
      </c>
      <c r="I2583">
        <f>IFERROR(HLOOKUP(I$2,[78]table_male_hkom2_inj.ill_X4!$A$1:$K$36,29,FALSE),0)</f>
        <v>0</v>
      </c>
      <c r="J2583">
        <f>IFERROR(HLOOKUP(J$2,[78]table_male_hkom2_inj.ill_X4!$A$1:$K$36,29,FALSE),0)</f>
        <v>0</v>
      </c>
      <c r="K2583">
        <f>IFERROR(HLOOKUP(K$2,[78]table_male_hkom2_inj.ill_X4!$A$1:$K$36,29,FALSE),0)</f>
        <v>0</v>
      </c>
      <c r="L2583">
        <f>IFERROR(HLOOKUP(L$2,[78]table_male_hkom2_inj.ill_X4!$A$1:$K$36,29,FALSE),0)</f>
        <v>0</v>
      </c>
      <c r="M2583">
        <f t="shared" si="801"/>
        <v>0</v>
      </c>
      <c r="S2583" t="s">
        <v>97</v>
      </c>
      <c r="T2583" s="5">
        <f t="shared" si="802"/>
        <v>0</v>
      </c>
      <c r="U2583" s="5">
        <f t="shared" si="803"/>
        <v>0</v>
      </c>
      <c r="V2583" s="5">
        <f t="shared" si="804"/>
        <v>0</v>
      </c>
      <c r="W2583" s="5">
        <f t="shared" si="805"/>
        <v>0</v>
      </c>
      <c r="X2583" s="5">
        <f t="shared" si="806"/>
        <v>0</v>
      </c>
      <c r="Y2583" s="5">
        <f t="shared" si="807"/>
        <v>0</v>
      </c>
      <c r="Z2583" s="5">
        <f t="shared" si="808"/>
        <v>0</v>
      </c>
      <c r="AA2583" s="5">
        <f t="shared" si="809"/>
        <v>0</v>
      </c>
      <c r="AB2583" s="5">
        <f t="shared" si="799"/>
        <v>0</v>
      </c>
    </row>
    <row r="2584" spans="1:29" x14ac:dyDescent="0.25">
      <c r="D2584" t="s">
        <v>98</v>
      </c>
      <c r="E2584" s="14"/>
      <c r="F2584" s="14"/>
      <c r="G2584">
        <f>IFERROR(HLOOKUP(G$2,[78]table_male_hkom2_inj.ill_X4!$A$1:$K$36,30,FALSE),0)</f>
        <v>0</v>
      </c>
      <c r="H2584">
        <f>IFERROR(HLOOKUP(H$2,[78]table_male_hkom2_inj.ill_X4!$A$1:$K$36,30,FALSE),0)</f>
        <v>0</v>
      </c>
      <c r="I2584">
        <f>IFERROR(HLOOKUP(I$2,[78]table_male_hkom2_inj.ill_X4!$A$1:$K$36,30,FALSE),0)</f>
        <v>0</v>
      </c>
      <c r="J2584">
        <f>IFERROR(HLOOKUP(J$2,[78]table_male_hkom2_inj.ill_X4!$A$1:$K$36,30,FALSE),0)</f>
        <v>0</v>
      </c>
      <c r="K2584">
        <f>IFERROR(HLOOKUP(K$2,[78]table_male_hkom2_inj.ill_X4!$A$1:$K$36,30,FALSE),0)</f>
        <v>0</v>
      </c>
      <c r="L2584">
        <f>IFERROR(HLOOKUP(L$2,[78]table_male_hkom2_inj.ill_X4!$A$1:$K$36,30,FALSE),0)</f>
        <v>0</v>
      </c>
      <c r="M2584">
        <f t="shared" si="801"/>
        <v>0</v>
      </c>
      <c r="S2584" t="s">
        <v>98</v>
      </c>
      <c r="T2584" s="5">
        <f t="shared" si="802"/>
        <v>0</v>
      </c>
      <c r="U2584" s="5">
        <f t="shared" si="803"/>
        <v>0</v>
      </c>
      <c r="V2584" s="5">
        <f t="shared" si="804"/>
        <v>0</v>
      </c>
      <c r="W2584" s="5">
        <f t="shared" si="805"/>
        <v>0</v>
      </c>
      <c r="X2584" s="5">
        <f t="shared" si="806"/>
        <v>0</v>
      </c>
      <c r="Y2584" s="5">
        <f t="shared" si="807"/>
        <v>0</v>
      </c>
      <c r="Z2584" s="5">
        <f t="shared" si="808"/>
        <v>0</v>
      </c>
      <c r="AA2584" s="5">
        <f t="shared" si="809"/>
        <v>0</v>
      </c>
      <c r="AB2584" s="5">
        <f t="shared" si="799"/>
        <v>0</v>
      </c>
    </row>
    <row r="2585" spans="1:29" x14ac:dyDescent="0.25">
      <c r="D2585" t="s">
        <v>119</v>
      </c>
      <c r="E2585" s="14"/>
      <c r="F2585" s="14"/>
      <c r="G2585">
        <f>IFERROR(HLOOKUP(G$2,[78]table_male_hkom2_inj.ill_X4!$A$1:$K$36,31,FALSE),0)</f>
        <v>0</v>
      </c>
      <c r="H2585">
        <f>IFERROR(HLOOKUP(H$2,[78]table_male_hkom2_inj.ill_X4!$A$1:$K$36,31,FALSE),0)</f>
        <v>0</v>
      </c>
      <c r="I2585">
        <f>IFERROR(HLOOKUP(I$2,[78]table_male_hkom2_inj.ill_X4!$A$1:$K$36,31,FALSE),0)</f>
        <v>0</v>
      </c>
      <c r="J2585">
        <f>IFERROR(HLOOKUP(J$2,[78]table_male_hkom2_inj.ill_X4!$A$1:$K$36,31,FALSE),0)</f>
        <v>0</v>
      </c>
      <c r="K2585">
        <f>IFERROR(HLOOKUP(K$2,[78]table_male_hkom2_inj.ill_X4!$A$1:$K$36,31,FALSE),0)</f>
        <v>0</v>
      </c>
      <c r="L2585">
        <f>IFERROR(HLOOKUP(L$2,[78]table_male_hkom2_inj.ill_X4!$A$1:$K$36,31,FALSE),0)</f>
        <v>0</v>
      </c>
      <c r="M2585">
        <f t="shared" si="801"/>
        <v>0</v>
      </c>
      <c r="S2585" t="s">
        <v>119</v>
      </c>
      <c r="T2585" s="5">
        <f t="shared" si="802"/>
        <v>0</v>
      </c>
      <c r="U2585" s="5">
        <f t="shared" si="803"/>
        <v>0</v>
      </c>
      <c r="V2585" s="5">
        <f t="shared" si="804"/>
        <v>0</v>
      </c>
      <c r="W2585" s="5">
        <f t="shared" si="805"/>
        <v>0</v>
      </c>
      <c r="X2585" s="5">
        <f t="shared" si="806"/>
        <v>0</v>
      </c>
      <c r="Y2585" s="5">
        <f t="shared" si="807"/>
        <v>0</v>
      </c>
      <c r="Z2585" s="5">
        <f t="shared" si="808"/>
        <v>0</v>
      </c>
      <c r="AA2585" s="5">
        <f t="shared" si="809"/>
        <v>0</v>
      </c>
      <c r="AB2585" s="5">
        <f t="shared" si="799"/>
        <v>0</v>
      </c>
    </row>
    <row r="2586" spans="1:29" x14ac:dyDescent="0.25">
      <c r="D2586" t="s">
        <v>99</v>
      </c>
      <c r="E2586" s="14"/>
      <c r="F2586" s="14"/>
      <c r="G2586">
        <f>IFERROR(HLOOKUP(G$2,[78]table_male_hkom2_inj.ill_X4!$A$1:$K$36,32,FALSE),0)</f>
        <v>0</v>
      </c>
      <c r="H2586">
        <f>IFERROR(HLOOKUP(H$2,[78]table_male_hkom2_inj.ill_X4!$A$1:$K$36,32,FALSE),0)</f>
        <v>0</v>
      </c>
      <c r="I2586">
        <f>IFERROR(HLOOKUP(I$2,[78]table_male_hkom2_inj.ill_X4!$A$1:$K$36,32,FALSE),0)</f>
        <v>0</v>
      </c>
      <c r="J2586">
        <f>IFERROR(HLOOKUP(J$2,[78]table_male_hkom2_inj.ill_X4!$A$1:$K$36,32,FALSE),0)</f>
        <v>0</v>
      </c>
      <c r="K2586">
        <f>IFERROR(HLOOKUP(K$2,[78]table_male_hkom2_inj.ill_X4!$A$1:$K$36,32,FALSE),0)</f>
        <v>0</v>
      </c>
      <c r="L2586">
        <f>IFERROR(HLOOKUP(L$2,[78]table_male_hkom2_inj.ill_X4!$A$1:$K$36,32,FALSE),0)</f>
        <v>0</v>
      </c>
      <c r="M2586">
        <f t="shared" si="801"/>
        <v>0</v>
      </c>
      <c r="S2586" t="s">
        <v>99</v>
      </c>
      <c r="T2586" s="5">
        <f t="shared" si="802"/>
        <v>0</v>
      </c>
      <c r="U2586" s="5">
        <f t="shared" si="803"/>
        <v>0</v>
      </c>
      <c r="V2586" s="5">
        <f t="shared" si="804"/>
        <v>0</v>
      </c>
      <c r="W2586" s="5">
        <f t="shared" si="805"/>
        <v>0</v>
      </c>
      <c r="X2586" s="5">
        <f t="shared" si="806"/>
        <v>0</v>
      </c>
      <c r="Y2586" s="5">
        <f t="shared" si="807"/>
        <v>0</v>
      </c>
      <c r="Z2586" s="5">
        <f t="shared" si="808"/>
        <v>0</v>
      </c>
      <c r="AA2586" s="5">
        <f t="shared" si="809"/>
        <v>0</v>
      </c>
      <c r="AB2586" s="5">
        <f t="shared" si="799"/>
        <v>0</v>
      </c>
    </row>
    <row r="2587" spans="1:29" x14ac:dyDescent="0.25">
      <c r="D2587" t="s">
        <v>100</v>
      </c>
      <c r="E2587" s="14"/>
      <c r="F2587" s="14"/>
      <c r="G2587">
        <f>IFERROR(HLOOKUP(G$2,[78]table_male_hkom2_inj.ill_X4!$A$1:$K$36,33,FALSE),0)</f>
        <v>0</v>
      </c>
      <c r="H2587">
        <f>IFERROR(HLOOKUP(H$2,[78]table_male_hkom2_inj.ill_X4!$A$1:$K$36,33,FALSE),0)</f>
        <v>0</v>
      </c>
      <c r="I2587">
        <f>IFERROR(HLOOKUP(I$2,[78]table_male_hkom2_inj.ill_X4!$A$1:$K$36,33,FALSE),0)</f>
        <v>0</v>
      </c>
      <c r="J2587">
        <f>IFERROR(HLOOKUP(J$2,[78]table_male_hkom2_inj.ill_X4!$A$1:$K$36,33,FALSE),0)</f>
        <v>0</v>
      </c>
      <c r="K2587">
        <f>IFERROR(HLOOKUP(K$2,[78]table_male_hkom2_inj.ill_X4!$A$1:$K$36,33,FALSE),0)</f>
        <v>0</v>
      </c>
      <c r="L2587">
        <f>IFERROR(HLOOKUP(L$2,[78]table_male_hkom2_inj.ill_X4!$A$1:$K$36,33,FALSE),0)</f>
        <v>0</v>
      </c>
      <c r="M2587">
        <f t="shared" si="801"/>
        <v>0</v>
      </c>
      <c r="S2587" t="s">
        <v>100</v>
      </c>
      <c r="T2587" s="5">
        <f t="shared" si="802"/>
        <v>0</v>
      </c>
      <c r="U2587" s="5">
        <f t="shared" si="803"/>
        <v>0</v>
      </c>
      <c r="V2587" s="5">
        <f t="shared" si="804"/>
        <v>0</v>
      </c>
      <c r="W2587" s="5">
        <f t="shared" si="805"/>
        <v>0</v>
      </c>
      <c r="X2587" s="5">
        <f t="shared" si="806"/>
        <v>0</v>
      </c>
      <c r="Y2587" s="5">
        <f t="shared" si="807"/>
        <v>0</v>
      </c>
      <c r="Z2587" s="5">
        <f t="shared" si="808"/>
        <v>0</v>
      </c>
      <c r="AA2587" s="5">
        <f t="shared" si="809"/>
        <v>0</v>
      </c>
      <c r="AB2587" s="5">
        <f t="shared" si="799"/>
        <v>0</v>
      </c>
    </row>
    <row r="2588" spans="1:29" x14ac:dyDescent="0.25">
      <c r="D2588" t="s">
        <v>101</v>
      </c>
      <c r="E2588" s="14"/>
      <c r="F2588" s="14"/>
      <c r="G2588">
        <f>IFERROR(HLOOKUP(G$2,[78]table_male_hkom2_inj.ill_X4!$A$1:$K$36,34,FALSE),0)</f>
        <v>0</v>
      </c>
      <c r="H2588">
        <f>IFERROR(HLOOKUP(H$2,[78]table_male_hkom2_inj.ill_X4!$A$1:$K$36,34,FALSE),0)</f>
        <v>0</v>
      </c>
      <c r="I2588">
        <f>IFERROR(HLOOKUP(I$2,[78]table_male_hkom2_inj.ill_X4!$A$1:$K$36,34,FALSE),0)</f>
        <v>0</v>
      </c>
      <c r="J2588">
        <f>IFERROR(HLOOKUP(J$2,[78]table_male_hkom2_inj.ill_X4!$A$1:$K$36,34,FALSE),0)</f>
        <v>0</v>
      </c>
      <c r="K2588">
        <f>IFERROR(HLOOKUP(K$2,[78]table_male_hkom2_inj.ill_X4!$A$1:$K$36,34,FALSE),0)</f>
        <v>0</v>
      </c>
      <c r="L2588">
        <f>IFERROR(HLOOKUP(L$2,[78]table_male_hkom2_inj.ill_X4!$A$1:$K$36,34,FALSE),0)</f>
        <v>0</v>
      </c>
      <c r="M2588">
        <f t="shared" si="801"/>
        <v>0</v>
      </c>
      <c r="S2588" t="s">
        <v>101</v>
      </c>
      <c r="T2588" s="5">
        <f t="shared" si="802"/>
        <v>0</v>
      </c>
      <c r="U2588" s="5">
        <f t="shared" si="803"/>
        <v>0</v>
      </c>
      <c r="V2588" s="5">
        <f t="shared" si="804"/>
        <v>0</v>
      </c>
      <c r="W2588" s="5">
        <f t="shared" si="805"/>
        <v>0</v>
      </c>
      <c r="X2588" s="5">
        <f t="shared" si="806"/>
        <v>0</v>
      </c>
      <c r="Y2588" s="5">
        <f t="shared" si="807"/>
        <v>0</v>
      </c>
      <c r="Z2588" s="5">
        <f t="shared" si="808"/>
        <v>0</v>
      </c>
      <c r="AA2588" s="5">
        <f t="shared" si="809"/>
        <v>0</v>
      </c>
      <c r="AB2588" s="5">
        <f t="shared" si="799"/>
        <v>0</v>
      </c>
    </row>
    <row r="2589" spans="1:29" x14ac:dyDescent="0.25">
      <c r="D2589" t="s">
        <v>102</v>
      </c>
      <c r="E2589" s="14"/>
      <c r="F2589" s="14"/>
      <c r="G2589">
        <f>IFERROR(HLOOKUP(G$2,[78]table_male_hkom2_inj.ill_X4!$A$1:$K$36,35,FALSE),0)</f>
        <v>0</v>
      </c>
      <c r="H2589">
        <f>IFERROR(HLOOKUP(H$2,[78]table_male_hkom2_inj.ill_X4!$A$1:$K$36,35,FALSE),0)</f>
        <v>0</v>
      </c>
      <c r="I2589">
        <f>IFERROR(HLOOKUP(I$2,[78]table_male_hkom2_inj.ill_X4!$A$1:$K$36,35,FALSE),0)</f>
        <v>0</v>
      </c>
      <c r="J2589">
        <f>IFERROR(HLOOKUP(J$2,[78]table_male_hkom2_inj.ill_X4!$A$1:$K$36,35,FALSE),0)</f>
        <v>0</v>
      </c>
      <c r="K2589">
        <f>IFERROR(HLOOKUP(K$2,[78]table_male_hkom2_inj.ill_X4!$A$1:$K$36,35,FALSE),0)</f>
        <v>0</v>
      </c>
      <c r="L2589">
        <f>IFERROR(HLOOKUP(L$2,[78]table_male_hkom2_inj.ill_X4!$A$1:$K$36,35,FALSE),0)</f>
        <v>0</v>
      </c>
      <c r="M2589">
        <f t="shared" si="801"/>
        <v>0</v>
      </c>
      <c r="N2589">
        <f>SUM(M2556:M2589)</f>
        <v>1</v>
      </c>
      <c r="O2589" s="8">
        <f>SUM([78]table_male_hkom2_inj.ill_X4!$B$2:$L$37)</f>
        <v>1</v>
      </c>
      <c r="S2589" t="s">
        <v>102</v>
      </c>
      <c r="T2589" s="7"/>
      <c r="U2589" s="7"/>
      <c r="V2589" s="7"/>
      <c r="W2589" s="7"/>
      <c r="X2589" s="7"/>
      <c r="Y2589" s="7"/>
      <c r="Z2589" s="7"/>
      <c r="AA2589" s="7"/>
      <c r="AB2589" s="5">
        <f t="shared" si="799"/>
        <v>0</v>
      </c>
      <c r="AC2589" s="5">
        <f>SUM(AB2556:AB2588)</f>
        <v>1</v>
      </c>
    </row>
    <row r="2590" spans="1:29" x14ac:dyDescent="0.25">
      <c r="A2590" t="s">
        <v>104</v>
      </c>
      <c r="B2590" t="s">
        <v>116</v>
      </c>
      <c r="C2590" t="s">
        <v>127</v>
      </c>
      <c r="D2590" t="s">
        <v>70</v>
      </c>
      <c r="E2590" s="14"/>
      <c r="F2590" s="14"/>
      <c r="G2590">
        <f>IFERROR(HLOOKUP(G$2,[79]table_male_hkom2_inj.ill_X5!$A$1:$K$36,2,FALSE),0)</f>
        <v>0</v>
      </c>
      <c r="H2590">
        <f>IFERROR(HLOOKUP(H$2,[79]table_male_hkom2_inj.ill_X5!$A$1:$K$36,2,FALSE),0)</f>
        <v>0</v>
      </c>
      <c r="I2590">
        <f>IFERROR(HLOOKUP(I$2,[79]table_male_hkom2_inj.ill_X5!$A$1:$K$36,2,FALSE),0)</f>
        <v>0</v>
      </c>
      <c r="J2590">
        <f>IFERROR(HLOOKUP(J$2,[79]table_male_hkom2_inj.ill_X5!$A$1:$K$36,2,FALSE),0)</f>
        <v>0</v>
      </c>
      <c r="K2590">
        <f>IFERROR(HLOOKUP(K$2,[79]table_male_hkom2_inj.ill_X5!$A$1:$K$36,2,FALSE),0)</f>
        <v>0</v>
      </c>
      <c r="L2590">
        <f>IFERROR(HLOOKUP(L$2,[79]table_male_hkom2_inj.ill_X5!$A$1:$K$36,2,FALSE),0)</f>
        <v>0</v>
      </c>
      <c r="M2590">
        <f>SUM(E2590:L2590)</f>
        <v>0</v>
      </c>
      <c r="P2590" t="s">
        <v>104</v>
      </c>
      <c r="Q2590" t="s">
        <v>116</v>
      </c>
      <c r="R2590" t="s">
        <v>127</v>
      </c>
      <c r="S2590" t="s">
        <v>70</v>
      </c>
      <c r="T2590" s="5">
        <f>IF(SUM(E$2590:E$2622)=0,E$2623/33,E2590+IFERROR(E2590/SUM(E$2590:E$2622)*E$2623,0))</f>
        <v>0</v>
      </c>
      <c r="U2590" s="5">
        <f t="shared" ref="U2590:AA2590" si="810">IF(SUM(F$2590:F$2622)=0,F$2623/33,F2590+IFERROR(F2590/SUM(F$2590:F$2622)*F$2623,0))</f>
        <v>0</v>
      </c>
      <c r="V2590" s="5">
        <f t="shared" si="810"/>
        <v>0</v>
      </c>
      <c r="W2590" s="5">
        <f t="shared" si="810"/>
        <v>0</v>
      </c>
      <c r="X2590" s="5">
        <f t="shared" si="810"/>
        <v>0</v>
      </c>
      <c r="Y2590" s="5">
        <f t="shared" si="810"/>
        <v>0</v>
      </c>
      <c r="Z2590" s="5">
        <f t="shared" si="810"/>
        <v>0</v>
      </c>
      <c r="AA2590" s="5">
        <f t="shared" si="810"/>
        <v>0</v>
      </c>
      <c r="AB2590" s="5">
        <f t="shared" si="799"/>
        <v>0</v>
      </c>
    </row>
    <row r="2591" spans="1:29" x14ac:dyDescent="0.25">
      <c r="D2591" t="s">
        <v>71</v>
      </c>
      <c r="E2591" s="14"/>
      <c r="F2591" s="14"/>
      <c r="G2591">
        <f>IFERROR(HLOOKUP(G$2,[79]table_male_hkom2_inj.ill_X5!$A$1:$K$36,3,FALSE),0)</f>
        <v>0</v>
      </c>
      <c r="H2591">
        <f>IFERROR(HLOOKUP(H$2,[79]table_male_hkom2_inj.ill_X5!$A$1:$K$36,3,FALSE),0)</f>
        <v>0</v>
      </c>
      <c r="I2591">
        <f>IFERROR(HLOOKUP(I$2,[79]table_male_hkom2_inj.ill_X5!$A$1:$K$36,3,FALSE),0)</f>
        <v>0</v>
      </c>
      <c r="J2591">
        <f>IFERROR(HLOOKUP(J$2,[79]table_male_hkom2_inj.ill_X5!$A$1:$K$36,3,FALSE),0)</f>
        <v>0</v>
      </c>
      <c r="K2591">
        <f>IFERROR(HLOOKUP(K$2,[79]table_male_hkom2_inj.ill_X5!$A$1:$K$36,3,FALSE),0)</f>
        <v>0</v>
      </c>
      <c r="L2591">
        <f>IFERROR(HLOOKUP(L$2,[79]table_male_hkom2_inj.ill_X5!$A$1:$K$36,3,FALSE),0)</f>
        <v>0</v>
      </c>
      <c r="M2591">
        <f t="shared" ref="M2591:M2623" si="811">SUM(E2591:L2591)</f>
        <v>0</v>
      </c>
      <c r="S2591" t="s">
        <v>71</v>
      </c>
      <c r="T2591" s="5">
        <f t="shared" ref="T2591:T2622" si="812">IF(SUM(E$2590:E$2622)=0,E$2623/33,E2591+IFERROR(E2591/SUM(E$2590:E$2622)*E$2623,0))</f>
        <v>0</v>
      </c>
      <c r="U2591" s="5">
        <f t="shared" ref="U2591:U2622" si="813">IF(SUM(F$2590:F$2622)=0,F$2623/33,F2591+IFERROR(F2591/SUM(F$2590:F$2622)*F$2623,0))</f>
        <v>0</v>
      </c>
      <c r="V2591" s="5">
        <f t="shared" ref="V2591:V2622" si="814">IF(SUM(G$2590:G$2622)=0,G$2623/33,G2591+IFERROR(G2591/SUM(G$2590:G$2622)*G$2623,0))</f>
        <v>0</v>
      </c>
      <c r="W2591" s="5">
        <f t="shared" ref="W2591:W2622" si="815">IF(SUM(H$2590:H$2622)=0,H$2623/33,H2591+IFERROR(H2591/SUM(H$2590:H$2622)*H$2623,0))</f>
        <v>0</v>
      </c>
      <c r="X2591" s="5">
        <f t="shared" ref="X2591:X2622" si="816">IF(SUM(I$2590:I$2622)=0,I$2623/33,I2591+IFERROR(I2591/SUM(I$2590:I$2622)*I$2623,0))</f>
        <v>0</v>
      </c>
      <c r="Y2591" s="5">
        <f t="shared" ref="Y2591:Y2622" si="817">IF(SUM(J$2590:J$2622)=0,J$2623/33,J2591+IFERROR(J2591/SUM(J$2590:J$2622)*J$2623,0))</f>
        <v>0</v>
      </c>
      <c r="Z2591" s="5">
        <f t="shared" ref="Z2591:Z2622" si="818">IF(SUM(K$2590:K$2622)=0,K$2623/33,K2591+IFERROR(K2591/SUM(K$2590:K$2622)*K$2623,0))</f>
        <v>0</v>
      </c>
      <c r="AA2591" s="5">
        <f t="shared" ref="AA2591:AA2622" si="819">IF(SUM(L$2590:L$2622)=0,L$2623/33,L2591+IFERROR(L2591/SUM(L$2590:L$2622)*L$2623,0))</f>
        <v>0</v>
      </c>
      <c r="AB2591" s="5">
        <f t="shared" si="799"/>
        <v>0</v>
      </c>
    </row>
    <row r="2592" spans="1:29" x14ac:dyDescent="0.25">
      <c r="D2592" t="s">
        <v>72</v>
      </c>
      <c r="E2592" s="14"/>
      <c r="F2592" s="14"/>
      <c r="G2592">
        <f>IFERROR(HLOOKUP(G$2,[79]table_male_hkom2_inj.ill_X5!$A$1:$K$36,4,FALSE),0)</f>
        <v>0</v>
      </c>
      <c r="H2592">
        <f>IFERROR(HLOOKUP(H$2,[79]table_male_hkom2_inj.ill_X5!$A$1:$K$36,4,FALSE),0)</f>
        <v>0</v>
      </c>
      <c r="I2592">
        <f>IFERROR(HLOOKUP(I$2,[79]table_male_hkom2_inj.ill_X5!$A$1:$K$36,4,FALSE),0)</f>
        <v>0</v>
      </c>
      <c r="J2592">
        <f>IFERROR(HLOOKUP(J$2,[79]table_male_hkom2_inj.ill_X5!$A$1:$K$36,4,FALSE),0)</f>
        <v>0</v>
      </c>
      <c r="K2592">
        <f>IFERROR(HLOOKUP(K$2,[79]table_male_hkom2_inj.ill_X5!$A$1:$K$36,4,FALSE),0)</f>
        <v>0</v>
      </c>
      <c r="L2592">
        <f>IFERROR(HLOOKUP(L$2,[79]table_male_hkom2_inj.ill_X5!$A$1:$K$36,4,FALSE),0)</f>
        <v>0</v>
      </c>
      <c r="M2592">
        <f t="shared" si="811"/>
        <v>0</v>
      </c>
      <c r="S2592" t="s">
        <v>72</v>
      </c>
      <c r="T2592" s="5">
        <f t="shared" si="812"/>
        <v>0</v>
      </c>
      <c r="U2592" s="5">
        <f t="shared" si="813"/>
        <v>0</v>
      </c>
      <c r="V2592" s="5">
        <f t="shared" si="814"/>
        <v>0</v>
      </c>
      <c r="W2592" s="5">
        <f t="shared" si="815"/>
        <v>0</v>
      </c>
      <c r="X2592" s="5">
        <f t="shared" si="816"/>
        <v>0</v>
      </c>
      <c r="Y2592" s="5">
        <f t="shared" si="817"/>
        <v>0</v>
      </c>
      <c r="Z2592" s="5">
        <f t="shared" si="818"/>
        <v>0</v>
      </c>
      <c r="AA2592" s="5">
        <f t="shared" si="819"/>
        <v>0</v>
      </c>
      <c r="AB2592" s="5">
        <f t="shared" si="799"/>
        <v>0</v>
      </c>
    </row>
    <row r="2593" spans="4:28" x14ac:dyDescent="0.25">
      <c r="D2593" t="s">
        <v>73</v>
      </c>
      <c r="E2593" s="14"/>
      <c r="F2593" s="14"/>
      <c r="G2593">
        <f>IFERROR(HLOOKUP(G$2,[79]table_male_hkom2_inj.ill_X5!$A$1:$K$36,5,FALSE),0)</f>
        <v>0</v>
      </c>
      <c r="H2593">
        <f>IFERROR(HLOOKUP(H$2,[79]table_male_hkom2_inj.ill_X5!$A$1:$K$36,5,FALSE),0)</f>
        <v>0</v>
      </c>
      <c r="I2593">
        <f>IFERROR(HLOOKUP(I$2,[79]table_male_hkom2_inj.ill_X5!$A$1:$K$36,5,FALSE),0)</f>
        <v>0</v>
      </c>
      <c r="J2593">
        <f>IFERROR(HLOOKUP(J$2,[79]table_male_hkom2_inj.ill_X5!$A$1:$K$36,5,FALSE),0)</f>
        <v>0</v>
      </c>
      <c r="K2593">
        <f>IFERROR(HLOOKUP(K$2,[79]table_male_hkom2_inj.ill_X5!$A$1:$K$36,5,FALSE),0)</f>
        <v>0</v>
      </c>
      <c r="L2593">
        <f>IFERROR(HLOOKUP(L$2,[79]table_male_hkom2_inj.ill_X5!$A$1:$K$36,5,FALSE),0)</f>
        <v>0</v>
      </c>
      <c r="M2593">
        <f t="shared" si="811"/>
        <v>0</v>
      </c>
      <c r="S2593" t="s">
        <v>73</v>
      </c>
      <c r="T2593" s="5">
        <f t="shared" si="812"/>
        <v>0</v>
      </c>
      <c r="U2593" s="5">
        <f t="shared" si="813"/>
        <v>0</v>
      </c>
      <c r="V2593" s="5">
        <f t="shared" si="814"/>
        <v>0</v>
      </c>
      <c r="W2593" s="5">
        <f t="shared" si="815"/>
        <v>0</v>
      </c>
      <c r="X2593" s="5">
        <f t="shared" si="816"/>
        <v>0</v>
      </c>
      <c r="Y2593" s="5">
        <f t="shared" si="817"/>
        <v>0</v>
      </c>
      <c r="Z2593" s="5">
        <f t="shared" si="818"/>
        <v>0</v>
      </c>
      <c r="AA2593" s="5">
        <f t="shared" si="819"/>
        <v>0</v>
      </c>
      <c r="AB2593" s="5">
        <f t="shared" si="799"/>
        <v>0</v>
      </c>
    </row>
    <row r="2594" spans="4:28" x14ac:dyDescent="0.25">
      <c r="D2594" t="s">
        <v>74</v>
      </c>
      <c r="E2594" s="14"/>
      <c r="F2594" s="14"/>
      <c r="G2594">
        <f>IFERROR(HLOOKUP(G$2,[79]table_male_hkom2_inj.ill_X5!$A$1:$K$36,6,FALSE),0)</f>
        <v>0</v>
      </c>
      <c r="H2594">
        <f>IFERROR(HLOOKUP(H$2,[79]table_male_hkom2_inj.ill_X5!$A$1:$K$36,6,FALSE),0)</f>
        <v>0</v>
      </c>
      <c r="I2594">
        <f>IFERROR(HLOOKUP(I$2,[79]table_male_hkom2_inj.ill_X5!$A$1:$K$36,6,FALSE),0)</f>
        <v>0</v>
      </c>
      <c r="J2594">
        <f>IFERROR(HLOOKUP(J$2,[79]table_male_hkom2_inj.ill_X5!$A$1:$K$36,6,FALSE),0)</f>
        <v>0</v>
      </c>
      <c r="K2594">
        <f>IFERROR(HLOOKUP(K$2,[79]table_male_hkom2_inj.ill_X5!$A$1:$K$36,6,FALSE),0)</f>
        <v>0</v>
      </c>
      <c r="L2594">
        <f>IFERROR(HLOOKUP(L$2,[79]table_male_hkom2_inj.ill_X5!$A$1:$K$36,6,FALSE),0)</f>
        <v>0</v>
      </c>
      <c r="M2594">
        <f t="shared" si="811"/>
        <v>0</v>
      </c>
      <c r="S2594" t="s">
        <v>74</v>
      </c>
      <c r="T2594" s="5">
        <f t="shared" si="812"/>
        <v>0</v>
      </c>
      <c r="U2594" s="5">
        <f t="shared" si="813"/>
        <v>0</v>
      </c>
      <c r="V2594" s="5">
        <f t="shared" si="814"/>
        <v>0</v>
      </c>
      <c r="W2594" s="5">
        <f t="shared" si="815"/>
        <v>0</v>
      </c>
      <c r="X2594" s="5">
        <f t="shared" si="816"/>
        <v>0</v>
      </c>
      <c r="Y2594" s="5">
        <f t="shared" si="817"/>
        <v>0</v>
      </c>
      <c r="Z2594" s="5">
        <f t="shared" si="818"/>
        <v>0</v>
      </c>
      <c r="AA2594" s="5">
        <f t="shared" si="819"/>
        <v>0</v>
      </c>
      <c r="AB2594" s="5">
        <f t="shared" si="799"/>
        <v>0</v>
      </c>
    </row>
    <row r="2595" spans="4:28" x14ac:dyDescent="0.25">
      <c r="D2595" t="s">
        <v>75</v>
      </c>
      <c r="E2595" s="14"/>
      <c r="F2595" s="14"/>
      <c r="G2595">
        <f>IFERROR(HLOOKUP(G$2,[79]table_male_hkom2_inj.ill_X5!$A$1:$K$36,7,FALSE),0)</f>
        <v>0</v>
      </c>
      <c r="H2595">
        <f>IFERROR(HLOOKUP(H$2,[79]table_male_hkom2_inj.ill_X5!$A$1:$K$36,7,FALSE),0)</f>
        <v>0</v>
      </c>
      <c r="I2595">
        <f>IFERROR(HLOOKUP(I$2,[79]table_male_hkom2_inj.ill_X5!$A$1:$K$36,7,FALSE),0)</f>
        <v>0</v>
      </c>
      <c r="J2595">
        <f>IFERROR(HLOOKUP(J$2,[79]table_male_hkom2_inj.ill_X5!$A$1:$K$36,7,FALSE),0)</f>
        <v>0</v>
      </c>
      <c r="K2595">
        <f>IFERROR(HLOOKUP(K$2,[79]table_male_hkom2_inj.ill_X5!$A$1:$K$36,7,FALSE),0)</f>
        <v>0</v>
      </c>
      <c r="L2595">
        <f>IFERROR(HLOOKUP(L$2,[79]table_male_hkom2_inj.ill_X5!$A$1:$K$36,7,FALSE),0)</f>
        <v>0</v>
      </c>
      <c r="M2595">
        <f t="shared" si="811"/>
        <v>0</v>
      </c>
      <c r="S2595" t="s">
        <v>75</v>
      </c>
      <c r="T2595" s="5">
        <f t="shared" si="812"/>
        <v>0</v>
      </c>
      <c r="U2595" s="5">
        <f t="shared" si="813"/>
        <v>0</v>
      </c>
      <c r="V2595" s="5">
        <f t="shared" si="814"/>
        <v>0</v>
      </c>
      <c r="W2595" s="5">
        <f t="shared" si="815"/>
        <v>0</v>
      </c>
      <c r="X2595" s="5">
        <f t="shared" si="816"/>
        <v>0</v>
      </c>
      <c r="Y2595" s="5">
        <f t="shared" si="817"/>
        <v>0</v>
      </c>
      <c r="Z2595" s="5">
        <f t="shared" si="818"/>
        <v>0</v>
      </c>
      <c r="AA2595" s="5">
        <f t="shared" si="819"/>
        <v>0</v>
      </c>
      <c r="AB2595" s="5">
        <f t="shared" si="799"/>
        <v>0</v>
      </c>
    </row>
    <row r="2596" spans="4:28" x14ac:dyDescent="0.25">
      <c r="D2596" t="s">
        <v>76</v>
      </c>
      <c r="E2596" s="14"/>
      <c r="F2596" s="14"/>
      <c r="G2596">
        <f>IFERROR(HLOOKUP(G$2,[79]table_male_hkom2_inj.ill_X5!$A$1:$K$36,8,FALSE),0)</f>
        <v>0</v>
      </c>
      <c r="H2596">
        <f>IFERROR(HLOOKUP(H$2,[79]table_male_hkom2_inj.ill_X5!$A$1:$K$36,8,FALSE),0)</f>
        <v>0</v>
      </c>
      <c r="I2596">
        <f>IFERROR(HLOOKUP(I$2,[79]table_male_hkom2_inj.ill_X5!$A$1:$K$36,8,FALSE),0)</f>
        <v>0</v>
      </c>
      <c r="J2596">
        <f>IFERROR(HLOOKUP(J$2,[79]table_male_hkom2_inj.ill_X5!$A$1:$K$36,8,FALSE),0)</f>
        <v>0</v>
      </c>
      <c r="K2596">
        <f>IFERROR(HLOOKUP(K$2,[79]table_male_hkom2_inj.ill_X5!$A$1:$K$36,8,FALSE),0)</f>
        <v>0</v>
      </c>
      <c r="L2596">
        <f>IFERROR(HLOOKUP(L$2,[79]table_male_hkom2_inj.ill_X5!$A$1:$K$36,8,FALSE),0)</f>
        <v>0</v>
      </c>
      <c r="M2596">
        <f t="shared" si="811"/>
        <v>0</v>
      </c>
      <c r="S2596" t="s">
        <v>76</v>
      </c>
      <c r="T2596" s="5">
        <f t="shared" si="812"/>
        <v>0</v>
      </c>
      <c r="U2596" s="5">
        <f t="shared" si="813"/>
        <v>0</v>
      </c>
      <c r="V2596" s="5">
        <f t="shared" si="814"/>
        <v>0</v>
      </c>
      <c r="W2596" s="5">
        <f t="shared" si="815"/>
        <v>0</v>
      </c>
      <c r="X2596" s="5">
        <f t="shared" si="816"/>
        <v>0</v>
      </c>
      <c r="Y2596" s="5">
        <f t="shared" si="817"/>
        <v>0</v>
      </c>
      <c r="Z2596" s="5">
        <f t="shared" si="818"/>
        <v>0</v>
      </c>
      <c r="AA2596" s="5">
        <f t="shared" si="819"/>
        <v>0</v>
      </c>
      <c r="AB2596" s="5">
        <f t="shared" si="799"/>
        <v>0</v>
      </c>
    </row>
    <row r="2597" spans="4:28" x14ac:dyDescent="0.25">
      <c r="D2597" t="s">
        <v>77</v>
      </c>
      <c r="E2597" s="14"/>
      <c r="F2597" s="14"/>
      <c r="G2597">
        <f>IFERROR(HLOOKUP(G$2,[79]table_male_hkom2_inj.ill_X5!$A$1:$K$36,9,FALSE),0)</f>
        <v>0</v>
      </c>
      <c r="H2597">
        <f>IFERROR(HLOOKUP(H$2,[79]table_male_hkom2_inj.ill_X5!$A$1:$K$36,9,FALSE),0)</f>
        <v>0</v>
      </c>
      <c r="I2597">
        <f>IFERROR(HLOOKUP(I$2,[79]table_male_hkom2_inj.ill_X5!$A$1:$K$36,9,FALSE),0)</f>
        <v>0</v>
      </c>
      <c r="J2597">
        <f>IFERROR(HLOOKUP(J$2,[79]table_male_hkom2_inj.ill_X5!$A$1:$K$36,9,FALSE),0)</f>
        <v>0</v>
      </c>
      <c r="K2597">
        <f>IFERROR(HLOOKUP(K$2,[79]table_male_hkom2_inj.ill_X5!$A$1:$K$36,9,FALSE),0)</f>
        <v>0</v>
      </c>
      <c r="L2597">
        <f>IFERROR(HLOOKUP(L$2,[79]table_male_hkom2_inj.ill_X5!$A$1:$K$36,9,FALSE),0)</f>
        <v>0</v>
      </c>
      <c r="M2597">
        <f t="shared" si="811"/>
        <v>0</v>
      </c>
      <c r="S2597" t="s">
        <v>77</v>
      </c>
      <c r="T2597" s="5">
        <f t="shared" si="812"/>
        <v>0</v>
      </c>
      <c r="U2597" s="5">
        <f t="shared" si="813"/>
        <v>0</v>
      </c>
      <c r="V2597" s="5">
        <f t="shared" si="814"/>
        <v>0</v>
      </c>
      <c r="W2597" s="5">
        <f t="shared" si="815"/>
        <v>0</v>
      </c>
      <c r="X2597" s="5">
        <f t="shared" si="816"/>
        <v>0</v>
      </c>
      <c r="Y2597" s="5">
        <f t="shared" si="817"/>
        <v>0</v>
      </c>
      <c r="Z2597" s="5">
        <f t="shared" si="818"/>
        <v>0</v>
      </c>
      <c r="AA2597" s="5">
        <f t="shared" si="819"/>
        <v>0</v>
      </c>
      <c r="AB2597" s="5">
        <f t="shared" si="799"/>
        <v>0</v>
      </c>
    </row>
    <row r="2598" spans="4:28" x14ac:dyDescent="0.25">
      <c r="D2598" t="s">
        <v>78</v>
      </c>
      <c r="E2598" s="14"/>
      <c r="F2598" s="14"/>
      <c r="G2598">
        <f>IFERROR(HLOOKUP(G$2,[79]table_male_hkom2_inj.ill_X5!$A$1:$K$36,10,FALSE),0)</f>
        <v>0</v>
      </c>
      <c r="H2598">
        <f>IFERROR(HLOOKUP(H$2,[79]table_male_hkom2_inj.ill_X5!$A$1:$K$36,10,FALSE),0)</f>
        <v>0</v>
      </c>
      <c r="I2598">
        <f>IFERROR(HLOOKUP(I$2,[79]table_male_hkom2_inj.ill_X5!$A$1:$K$36,10,FALSE),0)</f>
        <v>0</v>
      </c>
      <c r="J2598">
        <f>IFERROR(HLOOKUP(J$2,[79]table_male_hkom2_inj.ill_X5!$A$1:$K$36,10,FALSE),0)</f>
        <v>0</v>
      </c>
      <c r="K2598">
        <f>IFERROR(HLOOKUP(K$2,[79]table_male_hkom2_inj.ill_X5!$A$1:$K$36,10,FALSE),0)</f>
        <v>0</v>
      </c>
      <c r="L2598">
        <f>IFERROR(HLOOKUP(L$2,[79]table_male_hkom2_inj.ill_X5!$A$1:$K$36,10,FALSE),0)</f>
        <v>0</v>
      </c>
      <c r="M2598">
        <f t="shared" si="811"/>
        <v>0</v>
      </c>
      <c r="S2598" t="s">
        <v>78</v>
      </c>
      <c r="T2598" s="5">
        <f t="shared" si="812"/>
        <v>0</v>
      </c>
      <c r="U2598" s="5">
        <f t="shared" si="813"/>
        <v>0</v>
      </c>
      <c r="V2598" s="5">
        <f t="shared" si="814"/>
        <v>0</v>
      </c>
      <c r="W2598" s="5">
        <f t="shared" si="815"/>
        <v>0</v>
      </c>
      <c r="X2598" s="5">
        <f t="shared" si="816"/>
        <v>0</v>
      </c>
      <c r="Y2598" s="5">
        <f t="shared" si="817"/>
        <v>0</v>
      </c>
      <c r="Z2598" s="5">
        <f t="shared" si="818"/>
        <v>0</v>
      </c>
      <c r="AA2598" s="5">
        <f t="shared" si="819"/>
        <v>0</v>
      </c>
      <c r="AB2598" s="5">
        <f t="shared" si="799"/>
        <v>0</v>
      </c>
    </row>
    <row r="2599" spans="4:28" x14ac:dyDescent="0.25">
      <c r="D2599" t="s">
        <v>79</v>
      </c>
      <c r="E2599" s="14"/>
      <c r="F2599" s="14"/>
      <c r="G2599">
        <f>IFERROR(HLOOKUP(G$2,[79]table_male_hkom2_inj.ill_X5!$A$1:$K$36,11,FALSE),0)</f>
        <v>0</v>
      </c>
      <c r="H2599">
        <f>IFERROR(HLOOKUP(H$2,[79]table_male_hkom2_inj.ill_X5!$A$1:$K$36,11,FALSE),0)</f>
        <v>0</v>
      </c>
      <c r="I2599">
        <f>IFERROR(HLOOKUP(I$2,[79]table_male_hkom2_inj.ill_X5!$A$1:$K$36,11,FALSE),0)</f>
        <v>0</v>
      </c>
      <c r="J2599">
        <f>IFERROR(HLOOKUP(J$2,[79]table_male_hkom2_inj.ill_X5!$A$1:$K$36,11,FALSE),0)</f>
        <v>0</v>
      </c>
      <c r="K2599">
        <f>IFERROR(HLOOKUP(K$2,[79]table_male_hkom2_inj.ill_X5!$A$1:$K$36,11,FALSE),0)</f>
        <v>0</v>
      </c>
      <c r="L2599">
        <f>IFERROR(HLOOKUP(L$2,[79]table_male_hkom2_inj.ill_X5!$A$1:$K$36,11,FALSE),0)</f>
        <v>0</v>
      </c>
      <c r="M2599">
        <f t="shared" si="811"/>
        <v>0</v>
      </c>
      <c r="S2599" t="s">
        <v>79</v>
      </c>
      <c r="T2599" s="5">
        <f t="shared" si="812"/>
        <v>0</v>
      </c>
      <c r="U2599" s="5">
        <f t="shared" si="813"/>
        <v>0</v>
      </c>
      <c r="V2599" s="5">
        <f t="shared" si="814"/>
        <v>0</v>
      </c>
      <c r="W2599" s="5">
        <f t="shared" si="815"/>
        <v>0</v>
      </c>
      <c r="X2599" s="5">
        <f t="shared" si="816"/>
        <v>0</v>
      </c>
      <c r="Y2599" s="5">
        <f t="shared" si="817"/>
        <v>0</v>
      </c>
      <c r="Z2599" s="5">
        <f t="shared" si="818"/>
        <v>0</v>
      </c>
      <c r="AA2599" s="5">
        <f t="shared" si="819"/>
        <v>0</v>
      </c>
      <c r="AB2599" s="5">
        <f t="shared" si="799"/>
        <v>0</v>
      </c>
    </row>
    <row r="2600" spans="4:28" x14ac:dyDescent="0.25">
      <c r="D2600" t="s">
        <v>80</v>
      </c>
      <c r="E2600" s="14"/>
      <c r="F2600" s="14"/>
      <c r="G2600">
        <f>IFERROR(HLOOKUP(G$2,[79]table_male_hkom2_inj.ill_X5!$A$1:$K$36,12,FALSE),0)</f>
        <v>0</v>
      </c>
      <c r="H2600">
        <f>IFERROR(HLOOKUP(H$2,[79]table_male_hkom2_inj.ill_X5!$A$1:$K$36,12,FALSE),0)</f>
        <v>0</v>
      </c>
      <c r="I2600">
        <f>IFERROR(HLOOKUP(I$2,[79]table_male_hkom2_inj.ill_X5!$A$1:$K$36,12,FALSE),0)</f>
        <v>0</v>
      </c>
      <c r="J2600">
        <f>IFERROR(HLOOKUP(J$2,[79]table_male_hkom2_inj.ill_X5!$A$1:$K$36,12,FALSE),0)</f>
        <v>0</v>
      </c>
      <c r="K2600">
        <f>IFERROR(HLOOKUP(K$2,[79]table_male_hkom2_inj.ill_X5!$A$1:$K$36,12,FALSE),0)</f>
        <v>0</v>
      </c>
      <c r="L2600">
        <f>IFERROR(HLOOKUP(L$2,[79]table_male_hkom2_inj.ill_X5!$A$1:$K$36,12,FALSE),0)</f>
        <v>0</v>
      </c>
      <c r="M2600">
        <f t="shared" si="811"/>
        <v>0</v>
      </c>
      <c r="S2600" t="s">
        <v>80</v>
      </c>
      <c r="T2600" s="5">
        <f t="shared" si="812"/>
        <v>0</v>
      </c>
      <c r="U2600" s="5">
        <f t="shared" si="813"/>
        <v>0</v>
      </c>
      <c r="V2600" s="5">
        <f t="shared" si="814"/>
        <v>0</v>
      </c>
      <c r="W2600" s="5">
        <f t="shared" si="815"/>
        <v>0</v>
      </c>
      <c r="X2600" s="5">
        <f t="shared" si="816"/>
        <v>0</v>
      </c>
      <c r="Y2600" s="5">
        <f t="shared" si="817"/>
        <v>0</v>
      </c>
      <c r="Z2600" s="5">
        <f t="shared" si="818"/>
        <v>0</v>
      </c>
      <c r="AA2600" s="5">
        <f t="shared" si="819"/>
        <v>0</v>
      </c>
      <c r="AB2600" s="5">
        <f t="shared" si="799"/>
        <v>0</v>
      </c>
    </row>
    <row r="2601" spans="4:28" x14ac:dyDescent="0.25">
      <c r="D2601" t="s">
        <v>81</v>
      </c>
      <c r="E2601" s="14"/>
      <c r="F2601" s="14"/>
      <c r="G2601">
        <f>IFERROR(HLOOKUP(G$2,[79]table_male_hkom2_inj.ill_X5!$A$1:$K$36,13,FALSE),0)</f>
        <v>0</v>
      </c>
      <c r="H2601">
        <f>IFERROR(HLOOKUP(H$2,[79]table_male_hkom2_inj.ill_X5!$A$1:$K$36,13,FALSE),0)</f>
        <v>0</v>
      </c>
      <c r="I2601">
        <f>IFERROR(HLOOKUP(I$2,[79]table_male_hkom2_inj.ill_X5!$A$1:$K$36,13,FALSE),0)</f>
        <v>0</v>
      </c>
      <c r="J2601">
        <f>IFERROR(HLOOKUP(J$2,[79]table_male_hkom2_inj.ill_X5!$A$1:$K$36,13,FALSE),0)</f>
        <v>0</v>
      </c>
      <c r="K2601">
        <f>IFERROR(HLOOKUP(K$2,[79]table_male_hkom2_inj.ill_X5!$A$1:$K$36,13,FALSE),0)</f>
        <v>0</v>
      </c>
      <c r="L2601">
        <f>IFERROR(HLOOKUP(L$2,[79]table_male_hkom2_inj.ill_X5!$A$1:$K$36,13,FALSE),0)</f>
        <v>0</v>
      </c>
      <c r="M2601">
        <f t="shared" si="811"/>
        <v>0</v>
      </c>
      <c r="S2601" t="s">
        <v>81</v>
      </c>
      <c r="T2601" s="5">
        <f t="shared" si="812"/>
        <v>0</v>
      </c>
      <c r="U2601" s="5">
        <f t="shared" si="813"/>
        <v>0</v>
      </c>
      <c r="V2601" s="5">
        <f t="shared" si="814"/>
        <v>0</v>
      </c>
      <c r="W2601" s="5">
        <f t="shared" si="815"/>
        <v>0</v>
      </c>
      <c r="X2601" s="5">
        <f t="shared" si="816"/>
        <v>0</v>
      </c>
      <c r="Y2601" s="5">
        <f t="shared" si="817"/>
        <v>0</v>
      </c>
      <c r="Z2601" s="5">
        <f t="shared" si="818"/>
        <v>0</v>
      </c>
      <c r="AA2601" s="5">
        <f t="shared" si="819"/>
        <v>0</v>
      </c>
      <c r="AB2601" s="5">
        <f t="shared" si="799"/>
        <v>0</v>
      </c>
    </row>
    <row r="2602" spans="4:28" x14ac:dyDescent="0.25">
      <c r="D2602" t="s">
        <v>82</v>
      </c>
      <c r="E2602" s="14"/>
      <c r="F2602" s="14"/>
      <c r="G2602">
        <f>IFERROR(HLOOKUP(G$2,[79]table_male_hkom2_inj.ill_X5!$A$1:$K$36,14,FALSE),0)</f>
        <v>0</v>
      </c>
      <c r="H2602">
        <f>IFERROR(HLOOKUP(H$2,[79]table_male_hkom2_inj.ill_X5!$A$1:$K$36,14,FALSE),0)</f>
        <v>0</v>
      </c>
      <c r="I2602">
        <f>IFERROR(HLOOKUP(I$2,[79]table_male_hkom2_inj.ill_X5!$A$1:$K$36,14,FALSE),0)</f>
        <v>0</v>
      </c>
      <c r="J2602">
        <f>IFERROR(HLOOKUP(J$2,[79]table_male_hkom2_inj.ill_X5!$A$1:$K$36,14,FALSE),0)</f>
        <v>0</v>
      </c>
      <c r="K2602">
        <f>IFERROR(HLOOKUP(K$2,[79]table_male_hkom2_inj.ill_X5!$A$1:$K$36,14,FALSE),0)</f>
        <v>0</v>
      </c>
      <c r="L2602">
        <f>IFERROR(HLOOKUP(L$2,[79]table_male_hkom2_inj.ill_X5!$A$1:$K$36,14,FALSE),0)</f>
        <v>0</v>
      </c>
      <c r="M2602">
        <f t="shared" si="811"/>
        <v>0</v>
      </c>
      <c r="S2602" t="s">
        <v>82</v>
      </c>
      <c r="T2602" s="5">
        <f t="shared" si="812"/>
        <v>0</v>
      </c>
      <c r="U2602" s="5">
        <f t="shared" si="813"/>
        <v>0</v>
      </c>
      <c r="V2602" s="5">
        <f t="shared" si="814"/>
        <v>0</v>
      </c>
      <c r="W2602" s="5">
        <f t="shared" si="815"/>
        <v>0</v>
      </c>
      <c r="X2602" s="5">
        <f t="shared" si="816"/>
        <v>0</v>
      </c>
      <c r="Y2602" s="5">
        <f t="shared" si="817"/>
        <v>0</v>
      </c>
      <c r="Z2602" s="5">
        <f t="shared" si="818"/>
        <v>0</v>
      </c>
      <c r="AA2602" s="5">
        <f t="shared" si="819"/>
        <v>0</v>
      </c>
      <c r="AB2602" s="5">
        <f t="shared" si="799"/>
        <v>0</v>
      </c>
    </row>
    <row r="2603" spans="4:28" x14ac:dyDescent="0.25">
      <c r="D2603" t="s">
        <v>83</v>
      </c>
      <c r="E2603" s="14"/>
      <c r="F2603" s="14"/>
      <c r="G2603">
        <f>IFERROR(HLOOKUP(G$2,[79]table_male_hkom2_inj.ill_X5!$A$1:$K$36,15,FALSE),0)</f>
        <v>0</v>
      </c>
      <c r="H2603">
        <f>IFERROR(HLOOKUP(H$2,[79]table_male_hkom2_inj.ill_X5!$A$1:$K$36,15,FALSE),0)</f>
        <v>0</v>
      </c>
      <c r="I2603">
        <f>IFERROR(HLOOKUP(I$2,[79]table_male_hkom2_inj.ill_X5!$A$1:$K$36,15,FALSE),0)</f>
        <v>0</v>
      </c>
      <c r="J2603">
        <f>IFERROR(HLOOKUP(J$2,[79]table_male_hkom2_inj.ill_X5!$A$1:$K$36,15,FALSE),0)</f>
        <v>0</v>
      </c>
      <c r="K2603">
        <f>IFERROR(HLOOKUP(K$2,[79]table_male_hkom2_inj.ill_X5!$A$1:$K$36,15,FALSE),0)</f>
        <v>0</v>
      </c>
      <c r="L2603">
        <f>IFERROR(HLOOKUP(L$2,[79]table_male_hkom2_inj.ill_X5!$A$1:$K$36,15,FALSE),0)</f>
        <v>0</v>
      </c>
      <c r="M2603">
        <f t="shared" si="811"/>
        <v>0</v>
      </c>
      <c r="S2603" t="s">
        <v>83</v>
      </c>
      <c r="T2603" s="5">
        <f t="shared" si="812"/>
        <v>0</v>
      </c>
      <c r="U2603" s="5">
        <f t="shared" si="813"/>
        <v>0</v>
      </c>
      <c r="V2603" s="5">
        <f t="shared" si="814"/>
        <v>0</v>
      </c>
      <c r="W2603" s="5">
        <f t="shared" si="815"/>
        <v>0</v>
      </c>
      <c r="X2603" s="5">
        <f t="shared" si="816"/>
        <v>0</v>
      </c>
      <c r="Y2603" s="5">
        <f t="shared" si="817"/>
        <v>0</v>
      </c>
      <c r="Z2603" s="5">
        <f t="shared" si="818"/>
        <v>0</v>
      </c>
      <c r="AA2603" s="5">
        <f t="shared" si="819"/>
        <v>0</v>
      </c>
      <c r="AB2603" s="5">
        <f t="shared" ref="AB2603:AB2666" si="820">SUM(T2603:AA2603)</f>
        <v>0</v>
      </c>
    </row>
    <row r="2604" spans="4:28" x14ac:dyDescent="0.25">
      <c r="D2604" t="s">
        <v>84</v>
      </c>
      <c r="E2604" s="14"/>
      <c r="F2604" s="14"/>
      <c r="G2604">
        <f>IFERROR(HLOOKUP(G$2,[79]table_male_hkom2_inj.ill_X5!$A$1:$K$36,16,FALSE),0)</f>
        <v>0</v>
      </c>
      <c r="H2604">
        <f>IFERROR(HLOOKUP(H$2,[79]table_male_hkom2_inj.ill_X5!$A$1:$K$36,16,FALSE),0)</f>
        <v>0</v>
      </c>
      <c r="I2604">
        <f>IFERROR(HLOOKUP(I$2,[79]table_male_hkom2_inj.ill_X5!$A$1:$K$36,16,FALSE),0)</f>
        <v>0</v>
      </c>
      <c r="J2604">
        <f>IFERROR(HLOOKUP(J$2,[79]table_male_hkom2_inj.ill_X5!$A$1:$K$36,16,FALSE),0)</f>
        <v>0</v>
      </c>
      <c r="K2604">
        <f>IFERROR(HLOOKUP(K$2,[79]table_male_hkom2_inj.ill_X5!$A$1:$K$36,16,FALSE),0)</f>
        <v>0</v>
      </c>
      <c r="L2604">
        <f>IFERROR(HLOOKUP(L$2,[79]table_male_hkom2_inj.ill_X5!$A$1:$K$36,16,FALSE),0)</f>
        <v>0</v>
      </c>
      <c r="M2604">
        <f t="shared" si="811"/>
        <v>0</v>
      </c>
      <c r="S2604" t="s">
        <v>84</v>
      </c>
      <c r="T2604" s="5">
        <f t="shared" si="812"/>
        <v>0</v>
      </c>
      <c r="U2604" s="5">
        <f t="shared" si="813"/>
        <v>0</v>
      </c>
      <c r="V2604" s="5">
        <f t="shared" si="814"/>
        <v>0</v>
      </c>
      <c r="W2604" s="5">
        <f t="shared" si="815"/>
        <v>0</v>
      </c>
      <c r="X2604" s="5">
        <f t="shared" si="816"/>
        <v>0</v>
      </c>
      <c r="Y2604" s="5">
        <f t="shared" si="817"/>
        <v>0</v>
      </c>
      <c r="Z2604" s="5">
        <f t="shared" si="818"/>
        <v>0</v>
      </c>
      <c r="AA2604" s="5">
        <f t="shared" si="819"/>
        <v>0</v>
      </c>
      <c r="AB2604" s="5">
        <f t="shared" si="820"/>
        <v>0</v>
      </c>
    </row>
    <row r="2605" spans="4:28" x14ac:dyDescent="0.25">
      <c r="D2605" t="s">
        <v>85</v>
      </c>
      <c r="E2605" s="14"/>
      <c r="F2605" s="14"/>
      <c r="G2605">
        <f>IFERROR(HLOOKUP(G$2,[79]table_male_hkom2_inj.ill_X5!$A$1:$K$36,17,FALSE),0)</f>
        <v>0</v>
      </c>
      <c r="H2605">
        <f>IFERROR(HLOOKUP(H$2,[79]table_male_hkom2_inj.ill_X5!$A$1:$K$36,17,FALSE),0)</f>
        <v>0</v>
      </c>
      <c r="I2605">
        <f>IFERROR(HLOOKUP(I$2,[79]table_male_hkom2_inj.ill_X5!$A$1:$K$36,17,FALSE),0)</f>
        <v>0</v>
      </c>
      <c r="J2605">
        <f>IFERROR(HLOOKUP(J$2,[79]table_male_hkom2_inj.ill_X5!$A$1:$K$36,17,FALSE),0)</f>
        <v>0</v>
      </c>
      <c r="K2605">
        <f>IFERROR(HLOOKUP(K$2,[79]table_male_hkom2_inj.ill_X5!$A$1:$K$36,17,FALSE),0)</f>
        <v>0</v>
      </c>
      <c r="L2605">
        <f>IFERROR(HLOOKUP(L$2,[79]table_male_hkom2_inj.ill_X5!$A$1:$K$36,17,FALSE),0)</f>
        <v>0</v>
      </c>
      <c r="M2605">
        <f t="shared" si="811"/>
        <v>0</v>
      </c>
      <c r="S2605" t="s">
        <v>85</v>
      </c>
      <c r="T2605" s="5">
        <f t="shared" si="812"/>
        <v>0</v>
      </c>
      <c r="U2605" s="5">
        <f t="shared" si="813"/>
        <v>0</v>
      </c>
      <c r="V2605" s="5">
        <f t="shared" si="814"/>
        <v>0</v>
      </c>
      <c r="W2605" s="5">
        <f t="shared" si="815"/>
        <v>0</v>
      </c>
      <c r="X2605" s="5">
        <f t="shared" si="816"/>
        <v>0</v>
      </c>
      <c r="Y2605" s="5">
        <f t="shared" si="817"/>
        <v>0</v>
      </c>
      <c r="Z2605" s="5">
        <f t="shared" si="818"/>
        <v>0</v>
      </c>
      <c r="AA2605" s="5">
        <f t="shared" si="819"/>
        <v>0</v>
      </c>
      <c r="AB2605" s="5">
        <f t="shared" si="820"/>
        <v>0</v>
      </c>
    </row>
    <row r="2606" spans="4:28" x14ac:dyDescent="0.25">
      <c r="D2606" t="s">
        <v>86</v>
      </c>
      <c r="E2606" s="14"/>
      <c r="F2606" s="14"/>
      <c r="G2606">
        <f>IFERROR(HLOOKUP(G$2,[79]table_male_hkom2_inj.ill_X5!$A$1:$K$36,18,FALSE),0)</f>
        <v>0</v>
      </c>
      <c r="H2606">
        <f>IFERROR(HLOOKUP(H$2,[79]table_male_hkom2_inj.ill_X5!$A$1:$K$36,18,FALSE),0)</f>
        <v>0</v>
      </c>
      <c r="I2606">
        <f>IFERROR(HLOOKUP(I$2,[79]table_male_hkom2_inj.ill_X5!$A$1:$K$36,18,FALSE),0)</f>
        <v>0</v>
      </c>
      <c r="J2606">
        <f>IFERROR(HLOOKUP(J$2,[79]table_male_hkom2_inj.ill_X5!$A$1:$K$36,18,FALSE),0)</f>
        <v>0</v>
      </c>
      <c r="K2606">
        <f>IFERROR(HLOOKUP(K$2,[79]table_male_hkom2_inj.ill_X5!$A$1:$K$36,18,FALSE),0)</f>
        <v>0</v>
      </c>
      <c r="L2606">
        <f>IFERROR(HLOOKUP(L$2,[79]table_male_hkom2_inj.ill_X5!$A$1:$K$36,18,FALSE),0)</f>
        <v>0</v>
      </c>
      <c r="M2606">
        <f t="shared" si="811"/>
        <v>0</v>
      </c>
      <c r="S2606" t="s">
        <v>86</v>
      </c>
      <c r="T2606" s="5">
        <f t="shared" si="812"/>
        <v>0</v>
      </c>
      <c r="U2606" s="5">
        <f t="shared" si="813"/>
        <v>0</v>
      </c>
      <c r="V2606" s="5">
        <f t="shared" si="814"/>
        <v>0</v>
      </c>
      <c r="W2606" s="5">
        <f t="shared" si="815"/>
        <v>0</v>
      </c>
      <c r="X2606" s="5">
        <f t="shared" si="816"/>
        <v>0</v>
      </c>
      <c r="Y2606" s="5">
        <f t="shared" si="817"/>
        <v>0</v>
      </c>
      <c r="Z2606" s="5">
        <f t="shared" si="818"/>
        <v>0</v>
      </c>
      <c r="AA2606" s="5">
        <f t="shared" si="819"/>
        <v>0</v>
      </c>
      <c r="AB2606" s="5">
        <f t="shared" si="820"/>
        <v>0</v>
      </c>
    </row>
    <row r="2607" spans="4:28" x14ac:dyDescent="0.25">
      <c r="D2607" t="s">
        <v>87</v>
      </c>
      <c r="E2607" s="14"/>
      <c r="F2607" s="14"/>
      <c r="G2607">
        <f>IFERROR(HLOOKUP(G$2,[79]table_male_hkom2_inj.ill_X5!$A$1:$K$36,19,FALSE),0)</f>
        <v>0</v>
      </c>
      <c r="H2607">
        <f>IFERROR(HLOOKUP(H$2,[79]table_male_hkom2_inj.ill_X5!$A$1:$K$36,19,FALSE),0)</f>
        <v>0</v>
      </c>
      <c r="I2607">
        <f>IFERROR(HLOOKUP(I$2,[79]table_male_hkom2_inj.ill_X5!$A$1:$K$36,19,FALSE),0)</f>
        <v>0</v>
      </c>
      <c r="J2607">
        <f>IFERROR(HLOOKUP(J$2,[79]table_male_hkom2_inj.ill_X5!$A$1:$K$36,19,FALSE),0)</f>
        <v>0</v>
      </c>
      <c r="K2607">
        <f>IFERROR(HLOOKUP(K$2,[79]table_male_hkom2_inj.ill_X5!$A$1:$K$36,19,FALSE),0)</f>
        <v>0</v>
      </c>
      <c r="L2607">
        <f>IFERROR(HLOOKUP(L$2,[79]table_male_hkom2_inj.ill_X5!$A$1:$K$36,19,FALSE),0)</f>
        <v>0</v>
      </c>
      <c r="M2607">
        <f t="shared" si="811"/>
        <v>0</v>
      </c>
      <c r="S2607" t="s">
        <v>87</v>
      </c>
      <c r="T2607" s="5">
        <f t="shared" si="812"/>
        <v>0</v>
      </c>
      <c r="U2607" s="5">
        <f t="shared" si="813"/>
        <v>0</v>
      </c>
      <c r="V2607" s="5">
        <f t="shared" si="814"/>
        <v>0</v>
      </c>
      <c r="W2607" s="5">
        <f t="shared" si="815"/>
        <v>0</v>
      </c>
      <c r="X2607" s="5">
        <f t="shared" si="816"/>
        <v>0</v>
      </c>
      <c r="Y2607" s="5">
        <f t="shared" si="817"/>
        <v>0</v>
      </c>
      <c r="Z2607" s="5">
        <f t="shared" si="818"/>
        <v>0</v>
      </c>
      <c r="AA2607" s="5">
        <f t="shared" si="819"/>
        <v>0</v>
      </c>
      <c r="AB2607" s="5">
        <f t="shared" si="820"/>
        <v>0</v>
      </c>
    </row>
    <row r="2608" spans="4:28" x14ac:dyDescent="0.25">
      <c r="D2608" t="s">
        <v>88</v>
      </c>
      <c r="E2608" s="14"/>
      <c r="F2608" s="14"/>
      <c r="G2608">
        <f>IFERROR(HLOOKUP(G$2,[79]table_male_hkom2_inj.ill_X5!$A$1:$K$36,20,FALSE),0)</f>
        <v>0</v>
      </c>
      <c r="H2608">
        <f>IFERROR(HLOOKUP(H$2,[79]table_male_hkom2_inj.ill_X5!$A$1:$K$36,20,FALSE),0)</f>
        <v>0</v>
      </c>
      <c r="I2608">
        <f>IFERROR(HLOOKUP(I$2,[79]table_male_hkom2_inj.ill_X5!$A$1:$K$36,20,FALSE),0)</f>
        <v>0</v>
      </c>
      <c r="J2608">
        <f>IFERROR(HLOOKUP(J$2,[79]table_male_hkom2_inj.ill_X5!$A$1:$K$36,20,FALSE),0)</f>
        <v>0</v>
      </c>
      <c r="K2608">
        <f>IFERROR(HLOOKUP(K$2,[79]table_male_hkom2_inj.ill_X5!$A$1:$K$36,20,FALSE),0)</f>
        <v>0</v>
      </c>
      <c r="L2608">
        <f>IFERROR(HLOOKUP(L$2,[79]table_male_hkom2_inj.ill_X5!$A$1:$K$36,20,FALSE),0)</f>
        <v>0</v>
      </c>
      <c r="M2608">
        <f t="shared" si="811"/>
        <v>0</v>
      </c>
      <c r="S2608" t="s">
        <v>88</v>
      </c>
      <c r="T2608" s="5">
        <f t="shared" si="812"/>
        <v>0</v>
      </c>
      <c r="U2608" s="5">
        <f t="shared" si="813"/>
        <v>0</v>
      </c>
      <c r="V2608" s="5">
        <f t="shared" si="814"/>
        <v>0</v>
      </c>
      <c r="W2608" s="5">
        <f t="shared" si="815"/>
        <v>0</v>
      </c>
      <c r="X2608" s="5">
        <f t="shared" si="816"/>
        <v>0</v>
      </c>
      <c r="Y2608" s="5">
        <f t="shared" si="817"/>
        <v>0</v>
      </c>
      <c r="Z2608" s="5">
        <f t="shared" si="818"/>
        <v>0</v>
      </c>
      <c r="AA2608" s="5">
        <f t="shared" si="819"/>
        <v>0</v>
      </c>
      <c r="AB2608" s="5">
        <f t="shared" si="820"/>
        <v>0</v>
      </c>
    </row>
    <row r="2609" spans="1:29" x14ac:dyDescent="0.25">
      <c r="D2609" t="s">
        <v>89</v>
      </c>
      <c r="E2609" s="14"/>
      <c r="F2609" s="14"/>
      <c r="G2609">
        <f>IFERROR(HLOOKUP(G$2,[79]table_male_hkom2_inj.ill_X5!$A$1:$K$36,21,FALSE),0)</f>
        <v>0</v>
      </c>
      <c r="H2609">
        <f>IFERROR(HLOOKUP(H$2,[79]table_male_hkom2_inj.ill_X5!$A$1:$K$36,21,FALSE),0)</f>
        <v>0</v>
      </c>
      <c r="I2609">
        <f>IFERROR(HLOOKUP(I$2,[79]table_male_hkom2_inj.ill_X5!$A$1:$K$36,21,FALSE),0)</f>
        <v>0</v>
      </c>
      <c r="J2609">
        <f>IFERROR(HLOOKUP(J$2,[79]table_male_hkom2_inj.ill_X5!$A$1:$K$36,21,FALSE),0)</f>
        <v>0</v>
      </c>
      <c r="K2609">
        <f>IFERROR(HLOOKUP(K$2,[79]table_male_hkom2_inj.ill_X5!$A$1:$K$36,21,FALSE),0)</f>
        <v>0</v>
      </c>
      <c r="L2609">
        <f>IFERROR(HLOOKUP(L$2,[79]table_male_hkom2_inj.ill_X5!$A$1:$K$36,21,FALSE),0)</f>
        <v>0</v>
      </c>
      <c r="M2609">
        <f t="shared" si="811"/>
        <v>0</v>
      </c>
      <c r="S2609" t="s">
        <v>89</v>
      </c>
      <c r="T2609" s="5">
        <f t="shared" si="812"/>
        <v>0</v>
      </c>
      <c r="U2609" s="5">
        <f t="shared" si="813"/>
        <v>0</v>
      </c>
      <c r="V2609" s="5">
        <f t="shared" si="814"/>
        <v>0</v>
      </c>
      <c r="W2609" s="5">
        <f t="shared" si="815"/>
        <v>0</v>
      </c>
      <c r="X2609" s="5">
        <f t="shared" si="816"/>
        <v>0</v>
      </c>
      <c r="Y2609" s="5">
        <f t="shared" si="817"/>
        <v>0</v>
      </c>
      <c r="Z2609" s="5">
        <f t="shared" si="818"/>
        <v>0</v>
      </c>
      <c r="AA2609" s="5">
        <f t="shared" si="819"/>
        <v>0</v>
      </c>
      <c r="AB2609" s="5">
        <f t="shared" si="820"/>
        <v>0</v>
      </c>
    </row>
    <row r="2610" spans="1:29" x14ac:dyDescent="0.25">
      <c r="D2610" t="s">
        <v>90</v>
      </c>
      <c r="E2610" s="14"/>
      <c r="F2610" s="14"/>
      <c r="G2610">
        <f>IFERROR(HLOOKUP(G$2,[79]table_male_hkom2_inj.ill_X5!$A$1:$K$36,22,FALSE),0)</f>
        <v>0</v>
      </c>
      <c r="H2610">
        <f>IFERROR(HLOOKUP(H$2,[79]table_male_hkom2_inj.ill_X5!$A$1:$K$36,22,FALSE),0)</f>
        <v>0</v>
      </c>
      <c r="I2610">
        <f>IFERROR(HLOOKUP(I$2,[79]table_male_hkom2_inj.ill_X5!$A$1:$K$36,22,FALSE),0)</f>
        <v>0</v>
      </c>
      <c r="J2610">
        <f>IFERROR(HLOOKUP(J$2,[79]table_male_hkom2_inj.ill_X5!$A$1:$K$36,22,FALSE),0)</f>
        <v>0</v>
      </c>
      <c r="K2610">
        <f>IFERROR(HLOOKUP(K$2,[79]table_male_hkom2_inj.ill_X5!$A$1:$K$36,22,FALSE),0)</f>
        <v>0</v>
      </c>
      <c r="L2610">
        <f>IFERROR(HLOOKUP(L$2,[79]table_male_hkom2_inj.ill_X5!$A$1:$K$36,22,FALSE),0)</f>
        <v>0</v>
      </c>
      <c r="M2610">
        <f t="shared" si="811"/>
        <v>0</v>
      </c>
      <c r="S2610" t="s">
        <v>90</v>
      </c>
      <c r="T2610" s="5">
        <f t="shared" si="812"/>
        <v>0</v>
      </c>
      <c r="U2610" s="5">
        <f t="shared" si="813"/>
        <v>0</v>
      </c>
      <c r="V2610" s="5">
        <f t="shared" si="814"/>
        <v>0</v>
      </c>
      <c r="W2610" s="5">
        <f t="shared" si="815"/>
        <v>0</v>
      </c>
      <c r="X2610" s="5">
        <f t="shared" si="816"/>
        <v>0</v>
      </c>
      <c r="Y2610" s="5">
        <f t="shared" si="817"/>
        <v>0</v>
      </c>
      <c r="Z2610" s="5">
        <f t="shared" si="818"/>
        <v>0</v>
      </c>
      <c r="AA2610" s="5">
        <f t="shared" si="819"/>
        <v>0</v>
      </c>
      <c r="AB2610" s="5">
        <f t="shared" si="820"/>
        <v>0</v>
      </c>
    </row>
    <row r="2611" spans="1:29" x14ac:dyDescent="0.25">
      <c r="D2611" t="s">
        <v>91</v>
      </c>
      <c r="E2611" s="14"/>
      <c r="F2611" s="14"/>
      <c r="G2611">
        <f>IFERROR(HLOOKUP(G$2,[79]table_male_hkom2_inj.ill_X5!$A$1:$K$36,23,FALSE),0)</f>
        <v>0</v>
      </c>
      <c r="H2611">
        <f>IFERROR(HLOOKUP(H$2,[79]table_male_hkom2_inj.ill_X5!$A$1:$K$36,23,FALSE),0)</f>
        <v>0</v>
      </c>
      <c r="I2611">
        <f>IFERROR(HLOOKUP(I$2,[79]table_male_hkom2_inj.ill_X5!$A$1:$K$36,23,FALSE),0)</f>
        <v>0</v>
      </c>
      <c r="J2611">
        <f>IFERROR(HLOOKUP(J$2,[79]table_male_hkom2_inj.ill_X5!$A$1:$K$36,23,FALSE),0)</f>
        <v>0</v>
      </c>
      <c r="K2611">
        <f>IFERROR(HLOOKUP(K$2,[79]table_male_hkom2_inj.ill_X5!$A$1:$K$36,23,FALSE),0)</f>
        <v>0</v>
      </c>
      <c r="L2611">
        <f>IFERROR(HLOOKUP(L$2,[79]table_male_hkom2_inj.ill_X5!$A$1:$K$36,23,FALSE),0)</f>
        <v>0</v>
      </c>
      <c r="M2611">
        <f t="shared" si="811"/>
        <v>0</v>
      </c>
      <c r="S2611" t="s">
        <v>91</v>
      </c>
      <c r="T2611" s="5">
        <f t="shared" si="812"/>
        <v>0</v>
      </c>
      <c r="U2611" s="5">
        <f t="shared" si="813"/>
        <v>0</v>
      </c>
      <c r="V2611" s="5">
        <f t="shared" si="814"/>
        <v>0</v>
      </c>
      <c r="W2611" s="5">
        <f t="shared" si="815"/>
        <v>0</v>
      </c>
      <c r="X2611" s="5">
        <f t="shared" si="816"/>
        <v>0</v>
      </c>
      <c r="Y2611" s="5">
        <f t="shared" si="817"/>
        <v>0</v>
      </c>
      <c r="Z2611" s="5">
        <f t="shared" si="818"/>
        <v>0</v>
      </c>
      <c r="AA2611" s="5">
        <f t="shared" si="819"/>
        <v>0</v>
      </c>
      <c r="AB2611" s="5">
        <f t="shared" si="820"/>
        <v>0</v>
      </c>
    </row>
    <row r="2612" spans="1:29" x14ac:dyDescent="0.25">
      <c r="D2612" t="s">
        <v>92</v>
      </c>
      <c r="E2612" s="14"/>
      <c r="F2612" s="14"/>
      <c r="G2612">
        <f>IFERROR(HLOOKUP(G$2,[79]table_male_hkom2_inj.ill_X5!$A$1:$K$36,24,FALSE),0)</f>
        <v>0</v>
      </c>
      <c r="H2612">
        <f>IFERROR(HLOOKUP(H$2,[79]table_male_hkom2_inj.ill_X5!$A$1:$K$36,24,FALSE),0)</f>
        <v>0</v>
      </c>
      <c r="I2612">
        <f>IFERROR(HLOOKUP(I$2,[79]table_male_hkom2_inj.ill_X5!$A$1:$K$36,24,FALSE),0)</f>
        <v>0</v>
      </c>
      <c r="J2612">
        <f>IFERROR(HLOOKUP(J$2,[79]table_male_hkom2_inj.ill_X5!$A$1:$K$36,24,FALSE),0)</f>
        <v>0</v>
      </c>
      <c r="K2612">
        <f>IFERROR(HLOOKUP(K$2,[79]table_male_hkom2_inj.ill_X5!$A$1:$K$36,24,FALSE),0)</f>
        <v>0</v>
      </c>
      <c r="L2612">
        <f>IFERROR(HLOOKUP(L$2,[79]table_male_hkom2_inj.ill_X5!$A$1:$K$36,24,FALSE),0)</f>
        <v>0</v>
      </c>
      <c r="M2612">
        <f t="shared" si="811"/>
        <v>0</v>
      </c>
      <c r="S2612" t="s">
        <v>92</v>
      </c>
      <c r="T2612" s="5">
        <f t="shared" si="812"/>
        <v>0</v>
      </c>
      <c r="U2612" s="5">
        <f t="shared" si="813"/>
        <v>0</v>
      </c>
      <c r="V2612" s="5">
        <f t="shared" si="814"/>
        <v>0</v>
      </c>
      <c r="W2612" s="5">
        <f t="shared" si="815"/>
        <v>0</v>
      </c>
      <c r="X2612" s="5">
        <f t="shared" si="816"/>
        <v>0</v>
      </c>
      <c r="Y2612" s="5">
        <f t="shared" si="817"/>
        <v>0</v>
      </c>
      <c r="Z2612" s="5">
        <f t="shared" si="818"/>
        <v>0</v>
      </c>
      <c r="AA2612" s="5">
        <f t="shared" si="819"/>
        <v>0</v>
      </c>
      <c r="AB2612" s="5">
        <f t="shared" si="820"/>
        <v>0</v>
      </c>
    </row>
    <row r="2613" spans="1:29" x14ac:dyDescent="0.25">
      <c r="D2613" t="s">
        <v>93</v>
      </c>
      <c r="E2613" s="14"/>
      <c r="F2613" s="14"/>
      <c r="G2613">
        <f>IFERROR(HLOOKUP(G$2,[79]table_male_hkom2_inj.ill_X5!$A$1:$K$36,25,FALSE),0)</f>
        <v>0</v>
      </c>
      <c r="H2613">
        <f>IFERROR(HLOOKUP(H$2,[79]table_male_hkom2_inj.ill_X5!$A$1:$K$36,25,FALSE),0)</f>
        <v>0</v>
      </c>
      <c r="I2613">
        <f>IFERROR(HLOOKUP(I$2,[79]table_male_hkom2_inj.ill_X5!$A$1:$K$36,25,FALSE),0)</f>
        <v>0</v>
      </c>
      <c r="J2613">
        <f>IFERROR(HLOOKUP(J$2,[79]table_male_hkom2_inj.ill_X5!$A$1:$K$36,25,FALSE),0)</f>
        <v>0</v>
      </c>
      <c r="K2613">
        <f>IFERROR(HLOOKUP(K$2,[79]table_male_hkom2_inj.ill_X5!$A$1:$K$36,25,FALSE),0)</f>
        <v>0</v>
      </c>
      <c r="L2613">
        <f>IFERROR(HLOOKUP(L$2,[79]table_male_hkom2_inj.ill_X5!$A$1:$K$36,25,FALSE),0)</f>
        <v>0</v>
      </c>
      <c r="M2613">
        <f t="shared" si="811"/>
        <v>0</v>
      </c>
      <c r="S2613" t="s">
        <v>93</v>
      </c>
      <c r="T2613" s="5">
        <f t="shared" si="812"/>
        <v>0</v>
      </c>
      <c r="U2613" s="5">
        <f t="shared" si="813"/>
        <v>0</v>
      </c>
      <c r="V2613" s="5">
        <f t="shared" si="814"/>
        <v>0</v>
      </c>
      <c r="W2613" s="5">
        <f t="shared" si="815"/>
        <v>0</v>
      </c>
      <c r="X2613" s="5">
        <f t="shared" si="816"/>
        <v>0</v>
      </c>
      <c r="Y2613" s="5">
        <f t="shared" si="817"/>
        <v>0</v>
      </c>
      <c r="Z2613" s="5">
        <f t="shared" si="818"/>
        <v>0</v>
      </c>
      <c r="AA2613" s="5">
        <f t="shared" si="819"/>
        <v>0</v>
      </c>
      <c r="AB2613" s="5">
        <f t="shared" si="820"/>
        <v>0</v>
      </c>
    </row>
    <row r="2614" spans="1:29" x14ac:dyDescent="0.25">
      <c r="D2614" t="s">
        <v>94</v>
      </c>
      <c r="E2614" s="14"/>
      <c r="F2614" s="14"/>
      <c r="G2614">
        <f>IFERROR(HLOOKUP(G$2,[79]table_male_hkom2_inj.ill_X5!$A$1:$K$36,26,FALSE),0)</f>
        <v>0</v>
      </c>
      <c r="H2614">
        <f>IFERROR(HLOOKUP(H$2,[79]table_male_hkom2_inj.ill_X5!$A$1:$K$36,26,FALSE),0)</f>
        <v>0</v>
      </c>
      <c r="I2614">
        <f>IFERROR(HLOOKUP(I$2,[79]table_male_hkom2_inj.ill_X5!$A$1:$K$36,26,FALSE),0)</f>
        <v>0</v>
      </c>
      <c r="J2614">
        <f>IFERROR(HLOOKUP(J$2,[79]table_male_hkom2_inj.ill_X5!$A$1:$K$36,26,FALSE),0)</f>
        <v>0</v>
      </c>
      <c r="K2614">
        <f>IFERROR(HLOOKUP(K$2,[79]table_male_hkom2_inj.ill_X5!$A$1:$K$36,26,FALSE),0)</f>
        <v>0</v>
      </c>
      <c r="L2614">
        <f>IFERROR(HLOOKUP(L$2,[79]table_male_hkom2_inj.ill_X5!$A$1:$K$36,26,FALSE),0)</f>
        <v>0</v>
      </c>
      <c r="M2614">
        <f t="shared" si="811"/>
        <v>0</v>
      </c>
      <c r="S2614" t="s">
        <v>94</v>
      </c>
      <c r="T2614" s="5">
        <f t="shared" si="812"/>
        <v>0</v>
      </c>
      <c r="U2614" s="5">
        <f t="shared" si="813"/>
        <v>0</v>
      </c>
      <c r="V2614" s="5">
        <f t="shared" si="814"/>
        <v>0</v>
      </c>
      <c r="W2614" s="5">
        <f t="shared" si="815"/>
        <v>0</v>
      </c>
      <c r="X2614" s="5">
        <f t="shared" si="816"/>
        <v>0</v>
      </c>
      <c r="Y2614" s="5">
        <f t="shared" si="817"/>
        <v>0</v>
      </c>
      <c r="Z2614" s="5">
        <f t="shared" si="818"/>
        <v>0</v>
      </c>
      <c r="AA2614" s="5">
        <f t="shared" si="819"/>
        <v>0</v>
      </c>
      <c r="AB2614" s="5">
        <f t="shared" si="820"/>
        <v>0</v>
      </c>
    </row>
    <row r="2615" spans="1:29" x14ac:dyDescent="0.25">
      <c r="D2615" t="s">
        <v>95</v>
      </c>
      <c r="E2615" s="14"/>
      <c r="F2615" s="14"/>
      <c r="G2615">
        <f>IFERROR(HLOOKUP(G$2,[79]table_male_hkom2_inj.ill_X5!$A$1:$K$36,27,FALSE),0)</f>
        <v>0</v>
      </c>
      <c r="H2615">
        <f>IFERROR(HLOOKUP(H$2,[79]table_male_hkom2_inj.ill_X5!$A$1:$K$36,27,FALSE),0)</f>
        <v>0</v>
      </c>
      <c r="I2615">
        <f>IFERROR(HLOOKUP(I$2,[79]table_male_hkom2_inj.ill_X5!$A$1:$K$36,27,FALSE),0)</f>
        <v>0</v>
      </c>
      <c r="J2615">
        <f>IFERROR(HLOOKUP(J$2,[79]table_male_hkom2_inj.ill_X5!$A$1:$K$36,27,FALSE),0)</f>
        <v>0</v>
      </c>
      <c r="K2615">
        <f>IFERROR(HLOOKUP(K$2,[79]table_male_hkom2_inj.ill_X5!$A$1:$K$36,27,FALSE),0)</f>
        <v>0</v>
      </c>
      <c r="L2615">
        <f>IFERROR(HLOOKUP(L$2,[79]table_male_hkom2_inj.ill_X5!$A$1:$K$36,27,FALSE),0)</f>
        <v>0</v>
      </c>
      <c r="M2615">
        <f t="shared" si="811"/>
        <v>0</v>
      </c>
      <c r="S2615" t="s">
        <v>95</v>
      </c>
      <c r="T2615" s="5">
        <f t="shared" si="812"/>
        <v>0</v>
      </c>
      <c r="U2615" s="5">
        <f t="shared" si="813"/>
        <v>0</v>
      </c>
      <c r="V2615" s="5">
        <f t="shared" si="814"/>
        <v>0</v>
      </c>
      <c r="W2615" s="5">
        <f t="shared" si="815"/>
        <v>0</v>
      </c>
      <c r="X2615" s="5">
        <f t="shared" si="816"/>
        <v>0</v>
      </c>
      <c r="Y2615" s="5">
        <f t="shared" si="817"/>
        <v>0</v>
      </c>
      <c r="Z2615" s="5">
        <f t="shared" si="818"/>
        <v>0</v>
      </c>
      <c r="AA2615" s="5">
        <f t="shared" si="819"/>
        <v>0</v>
      </c>
      <c r="AB2615" s="5">
        <f t="shared" si="820"/>
        <v>0</v>
      </c>
    </row>
    <row r="2616" spans="1:29" x14ac:dyDescent="0.25">
      <c r="D2616" t="s">
        <v>96</v>
      </c>
      <c r="E2616" s="14"/>
      <c r="F2616" s="14"/>
      <c r="G2616">
        <f>IFERROR(HLOOKUP(G$2,[79]table_male_hkom2_inj.ill_X5!$A$1:$K$36,28,FALSE),0)</f>
        <v>0</v>
      </c>
      <c r="H2616">
        <f>IFERROR(HLOOKUP(H$2,[79]table_male_hkom2_inj.ill_X5!$A$1:$K$36,28,FALSE),0)</f>
        <v>0</v>
      </c>
      <c r="I2616">
        <f>IFERROR(HLOOKUP(I$2,[79]table_male_hkom2_inj.ill_X5!$A$1:$K$36,28,FALSE),0)</f>
        <v>0</v>
      </c>
      <c r="J2616">
        <f>IFERROR(HLOOKUP(J$2,[79]table_male_hkom2_inj.ill_X5!$A$1:$K$36,28,FALSE),0)</f>
        <v>0</v>
      </c>
      <c r="K2616">
        <f>IFERROR(HLOOKUP(K$2,[79]table_male_hkom2_inj.ill_X5!$A$1:$K$36,28,FALSE),0)</f>
        <v>0</v>
      </c>
      <c r="L2616">
        <f>IFERROR(HLOOKUP(L$2,[79]table_male_hkom2_inj.ill_X5!$A$1:$K$36,28,FALSE),0)</f>
        <v>0</v>
      </c>
      <c r="M2616">
        <f t="shared" si="811"/>
        <v>0</v>
      </c>
      <c r="S2616" t="s">
        <v>96</v>
      </c>
      <c r="T2616" s="5">
        <f t="shared" si="812"/>
        <v>0</v>
      </c>
      <c r="U2616" s="5">
        <f t="shared" si="813"/>
        <v>0</v>
      </c>
      <c r="V2616" s="5">
        <f t="shared" si="814"/>
        <v>0</v>
      </c>
      <c r="W2616" s="5">
        <f t="shared" si="815"/>
        <v>0</v>
      </c>
      <c r="X2616" s="5">
        <f t="shared" si="816"/>
        <v>0</v>
      </c>
      <c r="Y2616" s="5">
        <f t="shared" si="817"/>
        <v>0</v>
      </c>
      <c r="Z2616" s="5">
        <f t="shared" si="818"/>
        <v>0</v>
      </c>
      <c r="AA2616" s="5">
        <f t="shared" si="819"/>
        <v>0</v>
      </c>
      <c r="AB2616" s="5">
        <f t="shared" si="820"/>
        <v>0</v>
      </c>
    </row>
    <row r="2617" spans="1:29" x14ac:dyDescent="0.25">
      <c r="D2617" t="s">
        <v>97</v>
      </c>
      <c r="E2617" s="14"/>
      <c r="F2617" s="14"/>
      <c r="G2617">
        <f>IFERROR(HLOOKUP(G$2,[79]table_male_hkom2_inj.ill_X5!$A$1:$K$36,29,FALSE),0)</f>
        <v>0</v>
      </c>
      <c r="H2617">
        <f>IFERROR(HLOOKUP(H$2,[79]table_male_hkom2_inj.ill_X5!$A$1:$K$36,29,FALSE),0)</f>
        <v>0</v>
      </c>
      <c r="I2617">
        <f>IFERROR(HLOOKUP(I$2,[79]table_male_hkom2_inj.ill_X5!$A$1:$K$36,29,FALSE),0)</f>
        <v>0</v>
      </c>
      <c r="J2617">
        <f>IFERROR(HLOOKUP(J$2,[79]table_male_hkom2_inj.ill_X5!$A$1:$K$36,29,FALSE),0)</f>
        <v>0</v>
      </c>
      <c r="K2617">
        <f>IFERROR(HLOOKUP(K$2,[79]table_male_hkom2_inj.ill_X5!$A$1:$K$36,29,FALSE),0)</f>
        <v>0</v>
      </c>
      <c r="L2617">
        <f>IFERROR(HLOOKUP(L$2,[79]table_male_hkom2_inj.ill_X5!$A$1:$K$36,29,FALSE),0)</f>
        <v>0</v>
      </c>
      <c r="M2617">
        <f t="shared" si="811"/>
        <v>0</v>
      </c>
      <c r="S2617" t="s">
        <v>97</v>
      </c>
      <c r="T2617" s="5">
        <f t="shared" si="812"/>
        <v>0</v>
      </c>
      <c r="U2617" s="5">
        <f t="shared" si="813"/>
        <v>0</v>
      </c>
      <c r="V2617" s="5">
        <f t="shared" si="814"/>
        <v>0</v>
      </c>
      <c r="W2617" s="5">
        <f t="shared" si="815"/>
        <v>0</v>
      </c>
      <c r="X2617" s="5">
        <f t="shared" si="816"/>
        <v>0</v>
      </c>
      <c r="Y2617" s="5">
        <f t="shared" si="817"/>
        <v>0</v>
      </c>
      <c r="Z2617" s="5">
        <f t="shared" si="818"/>
        <v>0</v>
      </c>
      <c r="AA2617" s="5">
        <f t="shared" si="819"/>
        <v>0</v>
      </c>
      <c r="AB2617" s="5">
        <f t="shared" si="820"/>
        <v>0</v>
      </c>
    </row>
    <row r="2618" spans="1:29" x14ac:dyDescent="0.25">
      <c r="D2618" t="s">
        <v>98</v>
      </c>
      <c r="E2618" s="14"/>
      <c r="F2618" s="14"/>
      <c r="G2618">
        <f>IFERROR(HLOOKUP(G$2,[79]table_male_hkom2_inj.ill_X5!$A$1:$K$36,30,FALSE),0)</f>
        <v>0</v>
      </c>
      <c r="H2618">
        <f>IFERROR(HLOOKUP(H$2,[79]table_male_hkom2_inj.ill_X5!$A$1:$K$36,30,FALSE),0)</f>
        <v>0</v>
      </c>
      <c r="I2618">
        <f>IFERROR(HLOOKUP(I$2,[79]table_male_hkom2_inj.ill_X5!$A$1:$K$36,30,FALSE),0)</f>
        <v>0</v>
      </c>
      <c r="J2618">
        <f>IFERROR(HLOOKUP(J$2,[79]table_male_hkom2_inj.ill_X5!$A$1:$K$36,30,FALSE),0)</f>
        <v>0</v>
      </c>
      <c r="K2618">
        <f>IFERROR(HLOOKUP(K$2,[79]table_male_hkom2_inj.ill_X5!$A$1:$K$36,30,FALSE),0)</f>
        <v>0</v>
      </c>
      <c r="L2618">
        <f>IFERROR(HLOOKUP(L$2,[79]table_male_hkom2_inj.ill_X5!$A$1:$K$36,30,FALSE),0)</f>
        <v>0</v>
      </c>
      <c r="M2618">
        <f t="shared" si="811"/>
        <v>0</v>
      </c>
      <c r="S2618" t="s">
        <v>98</v>
      </c>
      <c r="T2618" s="5">
        <f t="shared" si="812"/>
        <v>0</v>
      </c>
      <c r="U2618" s="5">
        <f t="shared" si="813"/>
        <v>0</v>
      </c>
      <c r="V2618" s="5">
        <f t="shared" si="814"/>
        <v>0</v>
      </c>
      <c r="W2618" s="5">
        <f t="shared" si="815"/>
        <v>0</v>
      </c>
      <c r="X2618" s="5">
        <f t="shared" si="816"/>
        <v>0</v>
      </c>
      <c r="Y2618" s="5">
        <f t="shared" si="817"/>
        <v>0</v>
      </c>
      <c r="Z2618" s="5">
        <f t="shared" si="818"/>
        <v>0</v>
      </c>
      <c r="AA2618" s="5">
        <f t="shared" si="819"/>
        <v>0</v>
      </c>
      <c r="AB2618" s="5">
        <f t="shared" si="820"/>
        <v>0</v>
      </c>
    </row>
    <row r="2619" spans="1:29" x14ac:dyDescent="0.25">
      <c r="D2619" t="s">
        <v>119</v>
      </c>
      <c r="E2619" s="14"/>
      <c r="F2619" s="14"/>
      <c r="G2619">
        <f>IFERROR(HLOOKUP(G$2,[79]table_male_hkom2_inj.ill_X5!$A$1:$K$36,31,FALSE),0)</f>
        <v>0</v>
      </c>
      <c r="H2619">
        <f>IFERROR(HLOOKUP(H$2,[79]table_male_hkom2_inj.ill_X5!$A$1:$K$36,31,FALSE),0)</f>
        <v>0</v>
      </c>
      <c r="I2619">
        <f>IFERROR(HLOOKUP(I$2,[79]table_male_hkom2_inj.ill_X5!$A$1:$K$36,31,FALSE),0)</f>
        <v>0</v>
      </c>
      <c r="J2619">
        <f>IFERROR(HLOOKUP(J$2,[79]table_male_hkom2_inj.ill_X5!$A$1:$K$36,31,FALSE),0)</f>
        <v>0</v>
      </c>
      <c r="K2619">
        <f>IFERROR(HLOOKUP(K$2,[79]table_male_hkom2_inj.ill_X5!$A$1:$K$36,31,FALSE),0)</f>
        <v>0</v>
      </c>
      <c r="L2619">
        <f>IFERROR(HLOOKUP(L$2,[79]table_male_hkom2_inj.ill_X5!$A$1:$K$36,31,FALSE),0)</f>
        <v>0</v>
      </c>
      <c r="M2619">
        <f t="shared" si="811"/>
        <v>0</v>
      </c>
      <c r="S2619" t="s">
        <v>119</v>
      </c>
      <c r="T2619" s="5">
        <f t="shared" si="812"/>
        <v>0</v>
      </c>
      <c r="U2619" s="5">
        <f t="shared" si="813"/>
        <v>0</v>
      </c>
      <c r="V2619" s="5">
        <f t="shared" si="814"/>
        <v>0</v>
      </c>
      <c r="W2619" s="5">
        <f t="shared" si="815"/>
        <v>0</v>
      </c>
      <c r="X2619" s="5">
        <f t="shared" si="816"/>
        <v>0</v>
      </c>
      <c r="Y2619" s="5">
        <f t="shared" si="817"/>
        <v>0</v>
      </c>
      <c r="Z2619" s="5">
        <f t="shared" si="818"/>
        <v>0</v>
      </c>
      <c r="AA2619" s="5">
        <f t="shared" si="819"/>
        <v>0</v>
      </c>
      <c r="AB2619" s="5">
        <f t="shared" si="820"/>
        <v>0</v>
      </c>
    </row>
    <row r="2620" spans="1:29" x14ac:dyDescent="0.25">
      <c r="D2620" t="s">
        <v>99</v>
      </c>
      <c r="E2620" s="14"/>
      <c r="F2620" s="14"/>
      <c r="G2620">
        <f>IFERROR(HLOOKUP(G$2,[79]table_male_hkom2_inj.ill_X5!$A$1:$K$36,32,FALSE),0)</f>
        <v>0</v>
      </c>
      <c r="H2620">
        <f>IFERROR(HLOOKUP(H$2,[79]table_male_hkom2_inj.ill_X5!$A$1:$K$36,32,FALSE),0)</f>
        <v>0</v>
      </c>
      <c r="I2620">
        <f>IFERROR(HLOOKUP(I$2,[79]table_male_hkom2_inj.ill_X5!$A$1:$K$36,32,FALSE),0)</f>
        <v>0</v>
      </c>
      <c r="J2620">
        <f>IFERROR(HLOOKUP(J$2,[79]table_male_hkom2_inj.ill_X5!$A$1:$K$36,32,FALSE),0)</f>
        <v>0</v>
      </c>
      <c r="K2620">
        <f>IFERROR(HLOOKUP(K$2,[79]table_male_hkom2_inj.ill_X5!$A$1:$K$36,32,FALSE),0)</f>
        <v>0</v>
      </c>
      <c r="L2620">
        <f>IFERROR(HLOOKUP(L$2,[79]table_male_hkom2_inj.ill_X5!$A$1:$K$36,32,FALSE),0)</f>
        <v>0</v>
      </c>
      <c r="M2620">
        <f t="shared" si="811"/>
        <v>0</v>
      </c>
      <c r="S2620" t="s">
        <v>99</v>
      </c>
      <c r="T2620" s="5">
        <f t="shared" si="812"/>
        <v>0</v>
      </c>
      <c r="U2620" s="5">
        <f t="shared" si="813"/>
        <v>0</v>
      </c>
      <c r="V2620" s="5">
        <f t="shared" si="814"/>
        <v>0</v>
      </c>
      <c r="W2620" s="5">
        <f t="shared" si="815"/>
        <v>0</v>
      </c>
      <c r="X2620" s="5">
        <f t="shared" si="816"/>
        <v>0</v>
      </c>
      <c r="Y2620" s="5">
        <f t="shared" si="817"/>
        <v>0</v>
      </c>
      <c r="Z2620" s="5">
        <f t="shared" si="818"/>
        <v>0</v>
      </c>
      <c r="AA2620" s="5">
        <f t="shared" si="819"/>
        <v>0</v>
      </c>
      <c r="AB2620" s="5">
        <f t="shared" si="820"/>
        <v>0</v>
      </c>
    </row>
    <row r="2621" spans="1:29" x14ac:dyDescent="0.25">
      <c r="D2621" t="s">
        <v>100</v>
      </c>
      <c r="E2621" s="14"/>
      <c r="F2621" s="14"/>
      <c r="G2621">
        <f>IFERROR(HLOOKUP(G$2,[79]table_male_hkom2_inj.ill_X5!$A$1:$K$36,33,FALSE),0)</f>
        <v>0</v>
      </c>
      <c r="H2621">
        <f>IFERROR(HLOOKUP(H$2,[79]table_male_hkom2_inj.ill_X5!$A$1:$K$36,33,FALSE),0)</f>
        <v>0</v>
      </c>
      <c r="I2621">
        <f>IFERROR(HLOOKUP(I$2,[79]table_male_hkom2_inj.ill_X5!$A$1:$K$36,33,FALSE),0)</f>
        <v>0</v>
      </c>
      <c r="J2621">
        <f>IFERROR(HLOOKUP(J$2,[79]table_male_hkom2_inj.ill_X5!$A$1:$K$36,33,FALSE),0)</f>
        <v>0</v>
      </c>
      <c r="K2621">
        <f>IFERROR(HLOOKUP(K$2,[79]table_male_hkom2_inj.ill_X5!$A$1:$K$36,33,FALSE),0)</f>
        <v>0</v>
      </c>
      <c r="L2621">
        <f>IFERROR(HLOOKUP(L$2,[79]table_male_hkom2_inj.ill_X5!$A$1:$K$36,33,FALSE),0)</f>
        <v>0</v>
      </c>
      <c r="M2621">
        <f t="shared" si="811"/>
        <v>0</v>
      </c>
      <c r="S2621" t="s">
        <v>100</v>
      </c>
      <c r="T2621" s="5">
        <f t="shared" si="812"/>
        <v>0</v>
      </c>
      <c r="U2621" s="5">
        <f t="shared" si="813"/>
        <v>0</v>
      </c>
      <c r="V2621" s="5">
        <f t="shared" si="814"/>
        <v>0</v>
      </c>
      <c r="W2621" s="5">
        <f t="shared" si="815"/>
        <v>0</v>
      </c>
      <c r="X2621" s="5">
        <f t="shared" si="816"/>
        <v>0</v>
      </c>
      <c r="Y2621" s="5">
        <f t="shared" si="817"/>
        <v>0</v>
      </c>
      <c r="Z2621" s="5">
        <f t="shared" si="818"/>
        <v>0</v>
      </c>
      <c r="AA2621" s="5">
        <f t="shared" si="819"/>
        <v>0</v>
      </c>
      <c r="AB2621" s="5">
        <f t="shared" si="820"/>
        <v>0</v>
      </c>
    </row>
    <row r="2622" spans="1:29" x14ac:dyDescent="0.25">
      <c r="D2622" t="s">
        <v>101</v>
      </c>
      <c r="E2622" s="14"/>
      <c r="F2622" s="14"/>
      <c r="G2622">
        <f>IFERROR(HLOOKUP(G$2,[79]table_male_hkom2_inj.ill_X5!$A$1:$K$36,34,FALSE),0)</f>
        <v>0</v>
      </c>
      <c r="H2622">
        <f>IFERROR(HLOOKUP(H$2,[79]table_male_hkom2_inj.ill_X5!$A$1:$K$36,34,FALSE),0)</f>
        <v>0</v>
      </c>
      <c r="I2622">
        <f>IFERROR(HLOOKUP(I$2,[79]table_male_hkom2_inj.ill_X5!$A$1:$K$36,34,FALSE),0)</f>
        <v>0</v>
      </c>
      <c r="J2622">
        <f>IFERROR(HLOOKUP(J$2,[79]table_male_hkom2_inj.ill_X5!$A$1:$K$36,34,FALSE),0)</f>
        <v>0</v>
      </c>
      <c r="K2622">
        <f>IFERROR(HLOOKUP(K$2,[79]table_male_hkom2_inj.ill_X5!$A$1:$K$36,34,FALSE),0)</f>
        <v>0</v>
      </c>
      <c r="L2622">
        <f>IFERROR(HLOOKUP(L$2,[79]table_male_hkom2_inj.ill_X5!$A$1:$K$36,34,FALSE),0)</f>
        <v>0</v>
      </c>
      <c r="M2622">
        <f t="shared" si="811"/>
        <v>0</v>
      </c>
      <c r="S2622" t="s">
        <v>101</v>
      </c>
      <c r="T2622" s="5">
        <f t="shared" si="812"/>
        <v>0</v>
      </c>
      <c r="U2622" s="5">
        <f t="shared" si="813"/>
        <v>0</v>
      </c>
      <c r="V2622" s="5">
        <f t="shared" si="814"/>
        <v>0</v>
      </c>
      <c r="W2622" s="5">
        <f t="shared" si="815"/>
        <v>0</v>
      </c>
      <c r="X2622" s="5">
        <f t="shared" si="816"/>
        <v>0</v>
      </c>
      <c r="Y2622" s="5">
        <f t="shared" si="817"/>
        <v>0</v>
      </c>
      <c r="Z2622" s="5">
        <f t="shared" si="818"/>
        <v>0</v>
      </c>
      <c r="AA2622" s="5">
        <f t="shared" si="819"/>
        <v>0</v>
      </c>
      <c r="AB2622" s="5">
        <f t="shared" si="820"/>
        <v>0</v>
      </c>
    </row>
    <row r="2623" spans="1:29" x14ac:dyDescent="0.25">
      <c r="D2623" t="s">
        <v>102</v>
      </c>
      <c r="E2623" s="14"/>
      <c r="F2623" s="14"/>
      <c r="G2623">
        <f>IFERROR(HLOOKUP(G$2,[79]table_male_hkom2_inj.ill_X5!$A$1:$K$36,35,FALSE),0)</f>
        <v>0</v>
      </c>
      <c r="H2623">
        <f>IFERROR(HLOOKUP(H$2,[79]table_male_hkom2_inj.ill_X5!$A$1:$K$36,35,FALSE),0)</f>
        <v>0</v>
      </c>
      <c r="I2623">
        <f>IFERROR(HLOOKUP(I$2,[79]table_male_hkom2_inj.ill_X5!$A$1:$K$36,35,FALSE),0)</f>
        <v>0</v>
      </c>
      <c r="J2623">
        <f>IFERROR(HLOOKUP(J$2,[79]table_male_hkom2_inj.ill_X5!$A$1:$K$36,35,FALSE),0)</f>
        <v>0</v>
      </c>
      <c r="K2623">
        <f>IFERROR(HLOOKUP(K$2,[79]table_male_hkom2_inj.ill_X5!$A$1:$K$36,35,FALSE),0)</f>
        <v>0</v>
      </c>
      <c r="L2623">
        <f>IFERROR(HLOOKUP(L$2,[79]table_male_hkom2_inj.ill_X5!$A$1:$K$36,35,FALSE),0)</f>
        <v>0</v>
      </c>
      <c r="M2623">
        <f t="shared" si="811"/>
        <v>0</v>
      </c>
      <c r="N2623">
        <f>SUM(M2590:M2623)</f>
        <v>0</v>
      </c>
      <c r="O2623" s="8">
        <f>SUM([79]table_male_hkom2_inj.ill_X5!$B$2:$L$37)</f>
        <v>0</v>
      </c>
      <c r="S2623" t="s">
        <v>102</v>
      </c>
      <c r="T2623" s="7"/>
      <c r="U2623" s="7"/>
      <c r="V2623" s="7"/>
      <c r="W2623" s="7"/>
      <c r="X2623" s="7"/>
      <c r="Y2623" s="7"/>
      <c r="Z2623" s="7"/>
      <c r="AA2623" s="7"/>
      <c r="AB2623" s="5">
        <f t="shared" si="820"/>
        <v>0</v>
      </c>
      <c r="AC2623" s="5">
        <f>SUM(AB2590:AB2622)</f>
        <v>0</v>
      </c>
    </row>
    <row r="2624" spans="1:29" x14ac:dyDescent="0.25">
      <c r="A2624" t="s">
        <v>104</v>
      </c>
      <c r="B2624" t="s">
        <v>116</v>
      </c>
      <c r="C2624" t="s">
        <v>128</v>
      </c>
      <c r="D2624" t="s">
        <v>70</v>
      </c>
      <c r="E2624" s="14"/>
      <c r="F2624" s="14"/>
      <c r="G2624">
        <f>IFERROR(HLOOKUP(G$2,[80]table_male_hkom2_inj.ill_X6!$A$1:$K$36,2,FALSE),0)</f>
        <v>0</v>
      </c>
      <c r="H2624">
        <f>IFERROR(HLOOKUP(H$2,[80]table_male_hkom2_inj.ill_X6!$A$1:$K$36,2,FALSE),0)</f>
        <v>0</v>
      </c>
      <c r="I2624">
        <f>IFERROR(HLOOKUP(I$2,[80]table_male_hkom2_inj.ill_X6!$A$1:$K$36,2,FALSE),0)</f>
        <v>0</v>
      </c>
      <c r="J2624">
        <f>IFERROR(HLOOKUP(J$2,[80]table_male_hkom2_inj.ill_X6!$A$1:$K$36,2,FALSE),0)</f>
        <v>0</v>
      </c>
      <c r="K2624">
        <f>IFERROR(HLOOKUP(K$2,[80]table_male_hkom2_inj.ill_X6!$A$1:$K$36,2,FALSE),0)</f>
        <v>0</v>
      </c>
      <c r="L2624">
        <f>IFERROR(HLOOKUP(L$2,[80]table_male_hkom2_inj.ill_X6!$A$1:$K$36,2,FALSE),0)</f>
        <v>0</v>
      </c>
      <c r="M2624">
        <f>SUM(E2624:L2624)</f>
        <v>0</v>
      </c>
      <c r="P2624" t="s">
        <v>104</v>
      </c>
      <c r="Q2624" t="s">
        <v>116</v>
      </c>
      <c r="R2624" t="s">
        <v>128</v>
      </c>
      <c r="S2624" t="s">
        <v>70</v>
      </c>
      <c r="T2624" s="5">
        <f>IF(SUM(E$2624:E$2656)=0,E$2657/33,E2624+IFERROR(E2624/SUM(E$2624:E$2656)*E$2657,0))</f>
        <v>0</v>
      </c>
      <c r="U2624" s="5">
        <f t="shared" ref="U2624:AA2624" si="821">IF(SUM(F$2624:F$2656)=0,F$2657/33,F2624+IFERROR(F2624/SUM(F$2624:F$2656)*F$2657,0))</f>
        <v>0</v>
      </c>
      <c r="V2624" s="5">
        <f t="shared" si="821"/>
        <v>0</v>
      </c>
      <c r="W2624" s="5">
        <f t="shared" si="821"/>
        <v>0</v>
      </c>
      <c r="X2624" s="5">
        <f t="shared" si="821"/>
        <v>0</v>
      </c>
      <c r="Y2624" s="5">
        <f t="shared" si="821"/>
        <v>0</v>
      </c>
      <c r="Z2624" s="5">
        <f t="shared" si="821"/>
        <v>0</v>
      </c>
      <c r="AA2624" s="5">
        <f t="shared" si="821"/>
        <v>0</v>
      </c>
      <c r="AB2624" s="5">
        <f t="shared" si="820"/>
        <v>0</v>
      </c>
    </row>
    <row r="2625" spans="4:28" x14ac:dyDescent="0.25">
      <c r="D2625" t="s">
        <v>71</v>
      </c>
      <c r="E2625" s="14"/>
      <c r="F2625" s="14"/>
      <c r="G2625">
        <f>IFERROR(HLOOKUP(G$2,[80]table_male_hkom2_inj.ill_X6!$A$1:$K$36,3,FALSE),0)</f>
        <v>0</v>
      </c>
      <c r="H2625">
        <f>IFERROR(HLOOKUP(H$2,[80]table_male_hkom2_inj.ill_X6!$A$1:$K$36,3,FALSE),0)</f>
        <v>0</v>
      </c>
      <c r="I2625">
        <f>IFERROR(HLOOKUP(I$2,[80]table_male_hkom2_inj.ill_X6!$A$1:$K$36,3,FALSE),0)</f>
        <v>0</v>
      </c>
      <c r="J2625">
        <f>IFERROR(HLOOKUP(J$2,[80]table_male_hkom2_inj.ill_X6!$A$1:$K$36,3,FALSE),0)</f>
        <v>0</v>
      </c>
      <c r="K2625">
        <f>IFERROR(HLOOKUP(K$2,[80]table_male_hkom2_inj.ill_X6!$A$1:$K$36,3,FALSE),0)</f>
        <v>0</v>
      </c>
      <c r="L2625">
        <f>IFERROR(HLOOKUP(L$2,[80]table_male_hkom2_inj.ill_X6!$A$1:$K$36,3,FALSE),0)</f>
        <v>0</v>
      </c>
      <c r="M2625">
        <f t="shared" ref="M2625:M2657" si="822">SUM(E2625:L2625)</f>
        <v>0</v>
      </c>
      <c r="S2625" t="s">
        <v>71</v>
      </c>
      <c r="T2625" s="5">
        <f t="shared" ref="T2625:T2656" si="823">IF(SUM(E$2624:E$2656)=0,E$2657/33,E2625+IFERROR(E2625/SUM(E$2624:E$2656)*E$2657,0))</f>
        <v>0</v>
      </c>
      <c r="U2625" s="5">
        <f t="shared" ref="U2625:U2656" si="824">IF(SUM(F$2624:F$2656)=0,F$2657/33,F2625+IFERROR(F2625/SUM(F$2624:F$2656)*F$2657,0))</f>
        <v>0</v>
      </c>
      <c r="V2625" s="5">
        <f t="shared" ref="V2625:V2656" si="825">IF(SUM(G$2624:G$2656)=0,G$2657/33,G2625+IFERROR(G2625/SUM(G$2624:G$2656)*G$2657,0))</f>
        <v>0</v>
      </c>
      <c r="W2625" s="5">
        <f t="shared" ref="W2625:W2656" si="826">IF(SUM(H$2624:H$2656)=0,H$2657/33,H2625+IFERROR(H2625/SUM(H$2624:H$2656)*H$2657,0))</f>
        <v>0</v>
      </c>
      <c r="X2625" s="5">
        <f t="shared" ref="X2625:X2656" si="827">IF(SUM(I$2624:I$2656)=0,I$2657/33,I2625+IFERROR(I2625/SUM(I$2624:I$2656)*I$2657,0))</f>
        <v>0</v>
      </c>
      <c r="Y2625" s="5">
        <f t="shared" ref="Y2625:Y2656" si="828">IF(SUM(J$2624:J$2656)=0,J$2657/33,J2625+IFERROR(J2625/SUM(J$2624:J$2656)*J$2657,0))</f>
        <v>0</v>
      </c>
      <c r="Z2625" s="5">
        <f t="shared" ref="Z2625:Z2656" si="829">IF(SUM(K$2624:K$2656)=0,K$2657/33,K2625+IFERROR(K2625/SUM(K$2624:K$2656)*K$2657,0))</f>
        <v>0</v>
      </c>
      <c r="AA2625" s="5">
        <f t="shared" ref="AA2625:AA2656" si="830">IF(SUM(L$2624:L$2656)=0,L$2657/33,L2625+IFERROR(L2625/SUM(L$2624:L$2656)*L$2657,0))</f>
        <v>0</v>
      </c>
      <c r="AB2625" s="5">
        <f t="shared" si="820"/>
        <v>0</v>
      </c>
    </row>
    <row r="2626" spans="4:28" x14ac:dyDescent="0.25">
      <c r="D2626" t="s">
        <v>72</v>
      </c>
      <c r="E2626" s="14"/>
      <c r="F2626" s="14"/>
      <c r="G2626">
        <f>IFERROR(HLOOKUP(G$2,[80]table_male_hkom2_inj.ill_X6!$A$1:$K$36,4,FALSE),0)</f>
        <v>0</v>
      </c>
      <c r="H2626">
        <f>IFERROR(HLOOKUP(H$2,[80]table_male_hkom2_inj.ill_X6!$A$1:$K$36,4,FALSE),0)</f>
        <v>0</v>
      </c>
      <c r="I2626">
        <f>IFERROR(HLOOKUP(I$2,[80]table_male_hkom2_inj.ill_X6!$A$1:$K$36,4,FALSE),0)</f>
        <v>0</v>
      </c>
      <c r="J2626">
        <f>IFERROR(HLOOKUP(J$2,[80]table_male_hkom2_inj.ill_X6!$A$1:$K$36,4,FALSE),0)</f>
        <v>0</v>
      </c>
      <c r="K2626">
        <f>IFERROR(HLOOKUP(K$2,[80]table_male_hkom2_inj.ill_X6!$A$1:$K$36,4,FALSE),0)</f>
        <v>0</v>
      </c>
      <c r="L2626">
        <f>IFERROR(HLOOKUP(L$2,[80]table_male_hkom2_inj.ill_X6!$A$1:$K$36,4,FALSE),0)</f>
        <v>0</v>
      </c>
      <c r="M2626">
        <f t="shared" si="822"/>
        <v>0</v>
      </c>
      <c r="S2626" t="s">
        <v>72</v>
      </c>
      <c r="T2626" s="5">
        <f t="shared" si="823"/>
        <v>0</v>
      </c>
      <c r="U2626" s="5">
        <f t="shared" si="824"/>
        <v>0</v>
      </c>
      <c r="V2626" s="5">
        <f t="shared" si="825"/>
        <v>0</v>
      </c>
      <c r="W2626" s="5">
        <f t="shared" si="826"/>
        <v>0</v>
      </c>
      <c r="X2626" s="5">
        <f t="shared" si="827"/>
        <v>0</v>
      </c>
      <c r="Y2626" s="5">
        <f t="shared" si="828"/>
        <v>0</v>
      </c>
      <c r="Z2626" s="5">
        <f t="shared" si="829"/>
        <v>0</v>
      </c>
      <c r="AA2626" s="5">
        <f t="shared" si="830"/>
        <v>0</v>
      </c>
      <c r="AB2626" s="5">
        <f t="shared" si="820"/>
        <v>0</v>
      </c>
    </row>
    <row r="2627" spans="4:28" x14ac:dyDescent="0.25">
      <c r="D2627" t="s">
        <v>73</v>
      </c>
      <c r="E2627" s="14"/>
      <c r="F2627" s="14"/>
      <c r="G2627">
        <f>IFERROR(HLOOKUP(G$2,[80]table_male_hkom2_inj.ill_X6!$A$1:$K$36,5,FALSE),0)</f>
        <v>0</v>
      </c>
      <c r="H2627">
        <f>IFERROR(HLOOKUP(H$2,[80]table_male_hkom2_inj.ill_X6!$A$1:$K$36,5,FALSE),0)</f>
        <v>0</v>
      </c>
      <c r="I2627">
        <f>IFERROR(HLOOKUP(I$2,[80]table_male_hkom2_inj.ill_X6!$A$1:$K$36,5,FALSE),0)</f>
        <v>0</v>
      </c>
      <c r="J2627">
        <f>IFERROR(HLOOKUP(J$2,[80]table_male_hkom2_inj.ill_X6!$A$1:$K$36,5,FALSE),0)</f>
        <v>0</v>
      </c>
      <c r="K2627">
        <f>IFERROR(HLOOKUP(K$2,[80]table_male_hkom2_inj.ill_X6!$A$1:$K$36,5,FALSE),0)</f>
        <v>0</v>
      </c>
      <c r="L2627">
        <f>IFERROR(HLOOKUP(L$2,[80]table_male_hkom2_inj.ill_X6!$A$1:$K$36,5,FALSE),0)</f>
        <v>0</v>
      </c>
      <c r="M2627">
        <f t="shared" si="822"/>
        <v>0</v>
      </c>
      <c r="S2627" t="s">
        <v>73</v>
      </c>
      <c r="T2627" s="5">
        <f t="shared" si="823"/>
        <v>0</v>
      </c>
      <c r="U2627" s="5">
        <f t="shared" si="824"/>
        <v>0</v>
      </c>
      <c r="V2627" s="5">
        <f t="shared" si="825"/>
        <v>0</v>
      </c>
      <c r="W2627" s="5">
        <f t="shared" si="826"/>
        <v>0</v>
      </c>
      <c r="X2627" s="5">
        <f t="shared" si="827"/>
        <v>0</v>
      </c>
      <c r="Y2627" s="5">
        <f t="shared" si="828"/>
        <v>0</v>
      </c>
      <c r="Z2627" s="5">
        <f t="shared" si="829"/>
        <v>0</v>
      </c>
      <c r="AA2627" s="5">
        <f t="shared" si="830"/>
        <v>0</v>
      </c>
      <c r="AB2627" s="5">
        <f t="shared" si="820"/>
        <v>0</v>
      </c>
    </row>
    <row r="2628" spans="4:28" x14ac:dyDescent="0.25">
      <c r="D2628" t="s">
        <v>74</v>
      </c>
      <c r="E2628" s="14"/>
      <c r="F2628" s="14"/>
      <c r="G2628">
        <f>IFERROR(HLOOKUP(G$2,[80]table_male_hkom2_inj.ill_X6!$A$1:$K$36,6,FALSE),0)</f>
        <v>0</v>
      </c>
      <c r="H2628">
        <f>IFERROR(HLOOKUP(H$2,[80]table_male_hkom2_inj.ill_X6!$A$1:$K$36,6,FALSE),0)</f>
        <v>0</v>
      </c>
      <c r="I2628">
        <f>IFERROR(HLOOKUP(I$2,[80]table_male_hkom2_inj.ill_X6!$A$1:$K$36,6,FALSE),0)</f>
        <v>0</v>
      </c>
      <c r="J2628">
        <f>IFERROR(HLOOKUP(J$2,[80]table_male_hkom2_inj.ill_X6!$A$1:$K$36,6,FALSE),0)</f>
        <v>0</v>
      </c>
      <c r="K2628">
        <f>IFERROR(HLOOKUP(K$2,[80]table_male_hkom2_inj.ill_X6!$A$1:$K$36,6,FALSE),0)</f>
        <v>0</v>
      </c>
      <c r="L2628">
        <f>IFERROR(HLOOKUP(L$2,[80]table_male_hkom2_inj.ill_X6!$A$1:$K$36,6,FALSE),0)</f>
        <v>0</v>
      </c>
      <c r="M2628">
        <f t="shared" si="822"/>
        <v>0</v>
      </c>
      <c r="S2628" t="s">
        <v>74</v>
      </c>
      <c r="T2628" s="5">
        <f t="shared" si="823"/>
        <v>0</v>
      </c>
      <c r="U2628" s="5">
        <f t="shared" si="824"/>
        <v>0</v>
      </c>
      <c r="V2628" s="5">
        <f t="shared" si="825"/>
        <v>0</v>
      </c>
      <c r="W2628" s="5">
        <f t="shared" si="826"/>
        <v>0</v>
      </c>
      <c r="X2628" s="5">
        <f t="shared" si="827"/>
        <v>0</v>
      </c>
      <c r="Y2628" s="5">
        <f t="shared" si="828"/>
        <v>0</v>
      </c>
      <c r="Z2628" s="5">
        <f t="shared" si="829"/>
        <v>0</v>
      </c>
      <c r="AA2628" s="5">
        <f t="shared" si="830"/>
        <v>0</v>
      </c>
      <c r="AB2628" s="5">
        <f t="shared" si="820"/>
        <v>0</v>
      </c>
    </row>
    <row r="2629" spans="4:28" x14ac:dyDescent="0.25">
      <c r="D2629" t="s">
        <v>75</v>
      </c>
      <c r="E2629" s="14"/>
      <c r="F2629" s="14"/>
      <c r="G2629">
        <f>IFERROR(HLOOKUP(G$2,[80]table_male_hkom2_inj.ill_X6!$A$1:$K$36,7,FALSE),0)</f>
        <v>0</v>
      </c>
      <c r="H2629">
        <f>IFERROR(HLOOKUP(H$2,[80]table_male_hkom2_inj.ill_X6!$A$1:$K$36,7,FALSE),0)</f>
        <v>0</v>
      </c>
      <c r="I2629">
        <f>IFERROR(HLOOKUP(I$2,[80]table_male_hkom2_inj.ill_X6!$A$1:$K$36,7,FALSE),0)</f>
        <v>0</v>
      </c>
      <c r="J2629">
        <f>IFERROR(HLOOKUP(J$2,[80]table_male_hkom2_inj.ill_X6!$A$1:$K$36,7,FALSE),0)</f>
        <v>0</v>
      </c>
      <c r="K2629">
        <f>IFERROR(HLOOKUP(K$2,[80]table_male_hkom2_inj.ill_X6!$A$1:$K$36,7,FALSE),0)</f>
        <v>0</v>
      </c>
      <c r="L2629">
        <f>IFERROR(HLOOKUP(L$2,[80]table_male_hkom2_inj.ill_X6!$A$1:$K$36,7,FALSE),0)</f>
        <v>0</v>
      </c>
      <c r="M2629">
        <f t="shared" si="822"/>
        <v>0</v>
      </c>
      <c r="S2629" t="s">
        <v>75</v>
      </c>
      <c r="T2629" s="5">
        <f t="shared" si="823"/>
        <v>0</v>
      </c>
      <c r="U2629" s="5">
        <f t="shared" si="824"/>
        <v>0</v>
      </c>
      <c r="V2629" s="5">
        <f t="shared" si="825"/>
        <v>0</v>
      </c>
      <c r="W2629" s="5">
        <f t="shared" si="826"/>
        <v>0</v>
      </c>
      <c r="X2629" s="5">
        <f t="shared" si="827"/>
        <v>0</v>
      </c>
      <c r="Y2629" s="5">
        <f t="shared" si="828"/>
        <v>0</v>
      </c>
      <c r="Z2629" s="5">
        <f t="shared" si="829"/>
        <v>0</v>
      </c>
      <c r="AA2629" s="5">
        <f t="shared" si="830"/>
        <v>0</v>
      </c>
      <c r="AB2629" s="5">
        <f t="shared" si="820"/>
        <v>0</v>
      </c>
    </row>
    <row r="2630" spans="4:28" x14ac:dyDescent="0.25">
      <c r="D2630" t="s">
        <v>76</v>
      </c>
      <c r="E2630" s="14"/>
      <c r="F2630" s="14"/>
      <c r="G2630">
        <f>IFERROR(HLOOKUP(G$2,[80]table_male_hkom2_inj.ill_X6!$A$1:$K$36,8,FALSE),0)</f>
        <v>0</v>
      </c>
      <c r="H2630">
        <f>IFERROR(HLOOKUP(H$2,[80]table_male_hkom2_inj.ill_X6!$A$1:$K$36,8,FALSE),0)</f>
        <v>0</v>
      </c>
      <c r="I2630">
        <f>IFERROR(HLOOKUP(I$2,[80]table_male_hkom2_inj.ill_X6!$A$1:$K$36,8,FALSE),0)</f>
        <v>0</v>
      </c>
      <c r="J2630">
        <f>IFERROR(HLOOKUP(J$2,[80]table_male_hkom2_inj.ill_X6!$A$1:$K$36,8,FALSE),0)</f>
        <v>0</v>
      </c>
      <c r="K2630">
        <f>IFERROR(HLOOKUP(K$2,[80]table_male_hkom2_inj.ill_X6!$A$1:$K$36,8,FALSE),0)</f>
        <v>0</v>
      </c>
      <c r="L2630">
        <f>IFERROR(HLOOKUP(L$2,[80]table_male_hkom2_inj.ill_X6!$A$1:$K$36,8,FALSE),0)</f>
        <v>0</v>
      </c>
      <c r="M2630">
        <f t="shared" si="822"/>
        <v>0</v>
      </c>
      <c r="S2630" t="s">
        <v>76</v>
      </c>
      <c r="T2630" s="5">
        <f t="shared" si="823"/>
        <v>0</v>
      </c>
      <c r="U2630" s="5">
        <f t="shared" si="824"/>
        <v>0</v>
      </c>
      <c r="V2630" s="5">
        <f t="shared" si="825"/>
        <v>0</v>
      </c>
      <c r="W2630" s="5">
        <f t="shared" si="826"/>
        <v>0</v>
      </c>
      <c r="X2630" s="5">
        <f t="shared" si="827"/>
        <v>0</v>
      </c>
      <c r="Y2630" s="5">
        <f t="shared" si="828"/>
        <v>0</v>
      </c>
      <c r="Z2630" s="5">
        <f t="shared" si="829"/>
        <v>0</v>
      </c>
      <c r="AA2630" s="5">
        <f t="shared" si="830"/>
        <v>0</v>
      </c>
      <c r="AB2630" s="5">
        <f t="shared" si="820"/>
        <v>0</v>
      </c>
    </row>
    <row r="2631" spans="4:28" x14ac:dyDescent="0.25">
      <c r="D2631" t="s">
        <v>77</v>
      </c>
      <c r="E2631" s="14"/>
      <c r="F2631" s="14"/>
      <c r="G2631">
        <f>IFERROR(HLOOKUP(G$2,[80]table_male_hkom2_inj.ill_X6!$A$1:$K$36,9,FALSE),0)</f>
        <v>0</v>
      </c>
      <c r="H2631">
        <f>IFERROR(HLOOKUP(H$2,[80]table_male_hkom2_inj.ill_X6!$A$1:$K$36,9,FALSE),0)</f>
        <v>0</v>
      </c>
      <c r="I2631">
        <f>IFERROR(HLOOKUP(I$2,[80]table_male_hkom2_inj.ill_X6!$A$1:$K$36,9,FALSE),0)</f>
        <v>0</v>
      </c>
      <c r="J2631">
        <f>IFERROR(HLOOKUP(J$2,[80]table_male_hkom2_inj.ill_X6!$A$1:$K$36,9,FALSE),0)</f>
        <v>0</v>
      </c>
      <c r="K2631">
        <f>IFERROR(HLOOKUP(K$2,[80]table_male_hkom2_inj.ill_X6!$A$1:$K$36,9,FALSE),0)</f>
        <v>0</v>
      </c>
      <c r="L2631">
        <f>IFERROR(HLOOKUP(L$2,[80]table_male_hkom2_inj.ill_X6!$A$1:$K$36,9,FALSE),0)</f>
        <v>0</v>
      </c>
      <c r="M2631">
        <f t="shared" si="822"/>
        <v>0</v>
      </c>
      <c r="S2631" t="s">
        <v>77</v>
      </c>
      <c r="T2631" s="5">
        <f t="shared" si="823"/>
        <v>0</v>
      </c>
      <c r="U2631" s="5">
        <f t="shared" si="824"/>
        <v>0</v>
      </c>
      <c r="V2631" s="5">
        <f t="shared" si="825"/>
        <v>0</v>
      </c>
      <c r="W2631" s="5">
        <f t="shared" si="826"/>
        <v>0</v>
      </c>
      <c r="X2631" s="5">
        <f t="shared" si="827"/>
        <v>0</v>
      </c>
      <c r="Y2631" s="5">
        <f t="shared" si="828"/>
        <v>0</v>
      </c>
      <c r="Z2631" s="5">
        <f t="shared" si="829"/>
        <v>0</v>
      </c>
      <c r="AA2631" s="5">
        <f t="shared" si="830"/>
        <v>0</v>
      </c>
      <c r="AB2631" s="5">
        <f t="shared" si="820"/>
        <v>0</v>
      </c>
    </row>
    <row r="2632" spans="4:28" x14ac:dyDescent="0.25">
      <c r="D2632" t="s">
        <v>78</v>
      </c>
      <c r="E2632" s="14"/>
      <c r="F2632" s="14"/>
      <c r="G2632">
        <f>IFERROR(HLOOKUP(G$2,[80]table_male_hkom2_inj.ill_X6!$A$1:$K$36,10,FALSE),0)</f>
        <v>0</v>
      </c>
      <c r="H2632">
        <f>IFERROR(HLOOKUP(H$2,[80]table_male_hkom2_inj.ill_X6!$A$1:$K$36,10,FALSE),0)</f>
        <v>0</v>
      </c>
      <c r="I2632">
        <f>IFERROR(HLOOKUP(I$2,[80]table_male_hkom2_inj.ill_X6!$A$1:$K$36,10,FALSE),0)</f>
        <v>0</v>
      </c>
      <c r="J2632">
        <f>IFERROR(HLOOKUP(J$2,[80]table_male_hkom2_inj.ill_X6!$A$1:$K$36,10,FALSE),0)</f>
        <v>0</v>
      </c>
      <c r="K2632">
        <f>IFERROR(HLOOKUP(K$2,[80]table_male_hkom2_inj.ill_X6!$A$1:$K$36,10,FALSE),0)</f>
        <v>0</v>
      </c>
      <c r="L2632">
        <f>IFERROR(HLOOKUP(L$2,[80]table_male_hkom2_inj.ill_X6!$A$1:$K$36,10,FALSE),0)</f>
        <v>0</v>
      </c>
      <c r="M2632">
        <f t="shared" si="822"/>
        <v>0</v>
      </c>
      <c r="S2632" t="s">
        <v>78</v>
      </c>
      <c r="T2632" s="5">
        <f t="shared" si="823"/>
        <v>0</v>
      </c>
      <c r="U2632" s="5">
        <f t="shared" si="824"/>
        <v>0</v>
      </c>
      <c r="V2632" s="5">
        <f t="shared" si="825"/>
        <v>0</v>
      </c>
      <c r="W2632" s="5">
        <f t="shared" si="826"/>
        <v>0</v>
      </c>
      <c r="X2632" s="5">
        <f t="shared" si="827"/>
        <v>0</v>
      </c>
      <c r="Y2632" s="5">
        <f t="shared" si="828"/>
        <v>0</v>
      </c>
      <c r="Z2632" s="5">
        <f t="shared" si="829"/>
        <v>0</v>
      </c>
      <c r="AA2632" s="5">
        <f t="shared" si="830"/>
        <v>0</v>
      </c>
      <c r="AB2632" s="5">
        <f t="shared" si="820"/>
        <v>0</v>
      </c>
    </row>
    <row r="2633" spans="4:28" x14ac:dyDescent="0.25">
      <c r="D2633" t="s">
        <v>79</v>
      </c>
      <c r="E2633" s="14"/>
      <c r="F2633" s="14"/>
      <c r="G2633">
        <f>IFERROR(HLOOKUP(G$2,[80]table_male_hkom2_inj.ill_X6!$A$1:$K$36,11,FALSE),0)</f>
        <v>0</v>
      </c>
      <c r="H2633">
        <f>IFERROR(HLOOKUP(H$2,[80]table_male_hkom2_inj.ill_X6!$A$1:$K$36,11,FALSE),0)</f>
        <v>0</v>
      </c>
      <c r="I2633">
        <f>IFERROR(HLOOKUP(I$2,[80]table_male_hkom2_inj.ill_X6!$A$1:$K$36,11,FALSE),0)</f>
        <v>0</v>
      </c>
      <c r="J2633">
        <f>IFERROR(HLOOKUP(J$2,[80]table_male_hkom2_inj.ill_X6!$A$1:$K$36,11,FALSE),0)</f>
        <v>0</v>
      </c>
      <c r="K2633">
        <f>IFERROR(HLOOKUP(K$2,[80]table_male_hkom2_inj.ill_X6!$A$1:$K$36,11,FALSE),0)</f>
        <v>0</v>
      </c>
      <c r="L2633">
        <f>IFERROR(HLOOKUP(L$2,[80]table_male_hkom2_inj.ill_X6!$A$1:$K$36,11,FALSE),0)</f>
        <v>0</v>
      </c>
      <c r="M2633">
        <f t="shared" si="822"/>
        <v>0</v>
      </c>
      <c r="S2633" t="s">
        <v>79</v>
      </c>
      <c r="T2633" s="5">
        <f t="shared" si="823"/>
        <v>0</v>
      </c>
      <c r="U2633" s="5">
        <f t="shared" si="824"/>
        <v>0</v>
      </c>
      <c r="V2633" s="5">
        <f t="shared" si="825"/>
        <v>0</v>
      </c>
      <c r="W2633" s="5">
        <f t="shared" si="826"/>
        <v>0</v>
      </c>
      <c r="X2633" s="5">
        <f t="shared" si="827"/>
        <v>0</v>
      </c>
      <c r="Y2633" s="5">
        <f t="shared" si="828"/>
        <v>0</v>
      </c>
      <c r="Z2633" s="5">
        <f t="shared" si="829"/>
        <v>0</v>
      </c>
      <c r="AA2633" s="5">
        <f t="shared" si="830"/>
        <v>0</v>
      </c>
      <c r="AB2633" s="5">
        <f t="shared" si="820"/>
        <v>0</v>
      </c>
    </row>
    <row r="2634" spans="4:28" x14ac:dyDescent="0.25">
      <c r="D2634" t="s">
        <v>80</v>
      </c>
      <c r="E2634" s="14"/>
      <c r="F2634" s="14"/>
      <c r="G2634">
        <f>IFERROR(HLOOKUP(G$2,[80]table_male_hkom2_inj.ill_X6!$A$1:$K$36,12,FALSE),0)</f>
        <v>0</v>
      </c>
      <c r="H2634">
        <f>IFERROR(HLOOKUP(H$2,[80]table_male_hkom2_inj.ill_X6!$A$1:$K$36,12,FALSE),0)</f>
        <v>0</v>
      </c>
      <c r="I2634">
        <f>IFERROR(HLOOKUP(I$2,[80]table_male_hkom2_inj.ill_X6!$A$1:$K$36,12,FALSE),0)</f>
        <v>0</v>
      </c>
      <c r="J2634">
        <f>IFERROR(HLOOKUP(J$2,[80]table_male_hkom2_inj.ill_X6!$A$1:$K$36,12,FALSE),0)</f>
        <v>0</v>
      </c>
      <c r="K2634">
        <f>IFERROR(HLOOKUP(K$2,[80]table_male_hkom2_inj.ill_X6!$A$1:$K$36,12,FALSE),0)</f>
        <v>0</v>
      </c>
      <c r="L2634">
        <f>IFERROR(HLOOKUP(L$2,[80]table_male_hkom2_inj.ill_X6!$A$1:$K$36,12,FALSE),0)</f>
        <v>0</v>
      </c>
      <c r="M2634">
        <f t="shared" si="822"/>
        <v>0</v>
      </c>
      <c r="S2634" t="s">
        <v>80</v>
      </c>
      <c r="T2634" s="5">
        <f t="shared" si="823"/>
        <v>0</v>
      </c>
      <c r="U2634" s="5">
        <f t="shared" si="824"/>
        <v>0</v>
      </c>
      <c r="V2634" s="5">
        <f t="shared" si="825"/>
        <v>0</v>
      </c>
      <c r="W2634" s="5">
        <f t="shared" si="826"/>
        <v>0</v>
      </c>
      <c r="X2634" s="5">
        <f t="shared" si="827"/>
        <v>0</v>
      </c>
      <c r="Y2634" s="5">
        <f t="shared" si="828"/>
        <v>0</v>
      </c>
      <c r="Z2634" s="5">
        <f t="shared" si="829"/>
        <v>0</v>
      </c>
      <c r="AA2634" s="5">
        <f t="shared" si="830"/>
        <v>0</v>
      </c>
      <c r="AB2634" s="5">
        <f t="shared" si="820"/>
        <v>0</v>
      </c>
    </row>
    <row r="2635" spans="4:28" x14ac:dyDescent="0.25">
      <c r="D2635" t="s">
        <v>81</v>
      </c>
      <c r="E2635" s="14"/>
      <c r="F2635" s="14"/>
      <c r="G2635">
        <f>IFERROR(HLOOKUP(G$2,[80]table_male_hkom2_inj.ill_X6!$A$1:$K$36,13,FALSE),0)</f>
        <v>0</v>
      </c>
      <c r="H2635">
        <f>IFERROR(HLOOKUP(H$2,[80]table_male_hkom2_inj.ill_X6!$A$1:$K$36,13,FALSE),0)</f>
        <v>0</v>
      </c>
      <c r="I2635">
        <f>IFERROR(HLOOKUP(I$2,[80]table_male_hkom2_inj.ill_X6!$A$1:$K$36,13,FALSE),0)</f>
        <v>0</v>
      </c>
      <c r="J2635">
        <f>IFERROR(HLOOKUP(J$2,[80]table_male_hkom2_inj.ill_X6!$A$1:$K$36,13,FALSE),0)</f>
        <v>0</v>
      </c>
      <c r="K2635">
        <f>IFERROR(HLOOKUP(K$2,[80]table_male_hkom2_inj.ill_X6!$A$1:$K$36,13,FALSE),0)</f>
        <v>0</v>
      </c>
      <c r="L2635">
        <f>IFERROR(HLOOKUP(L$2,[80]table_male_hkom2_inj.ill_X6!$A$1:$K$36,13,FALSE),0)</f>
        <v>0</v>
      </c>
      <c r="M2635">
        <f t="shared" si="822"/>
        <v>0</v>
      </c>
      <c r="S2635" t="s">
        <v>81</v>
      </c>
      <c r="T2635" s="5">
        <f t="shared" si="823"/>
        <v>0</v>
      </c>
      <c r="U2635" s="5">
        <f t="shared" si="824"/>
        <v>0</v>
      </c>
      <c r="V2635" s="5">
        <f t="shared" si="825"/>
        <v>0</v>
      </c>
      <c r="W2635" s="5">
        <f t="shared" si="826"/>
        <v>0</v>
      </c>
      <c r="X2635" s="5">
        <f t="shared" si="827"/>
        <v>0</v>
      </c>
      <c r="Y2635" s="5">
        <f t="shared" si="828"/>
        <v>0</v>
      </c>
      <c r="Z2635" s="5">
        <f t="shared" si="829"/>
        <v>0</v>
      </c>
      <c r="AA2635" s="5">
        <f t="shared" si="830"/>
        <v>0</v>
      </c>
      <c r="AB2635" s="5">
        <f t="shared" si="820"/>
        <v>0</v>
      </c>
    </row>
    <row r="2636" spans="4:28" x14ac:dyDescent="0.25">
      <c r="D2636" t="s">
        <v>82</v>
      </c>
      <c r="E2636" s="14"/>
      <c r="F2636" s="14"/>
      <c r="G2636">
        <f>IFERROR(HLOOKUP(G$2,[80]table_male_hkom2_inj.ill_X6!$A$1:$K$36,14,FALSE),0)</f>
        <v>0</v>
      </c>
      <c r="H2636">
        <f>IFERROR(HLOOKUP(H$2,[80]table_male_hkom2_inj.ill_X6!$A$1:$K$36,14,FALSE),0)</f>
        <v>0</v>
      </c>
      <c r="I2636">
        <f>IFERROR(HLOOKUP(I$2,[80]table_male_hkom2_inj.ill_X6!$A$1:$K$36,14,FALSE),0)</f>
        <v>0</v>
      </c>
      <c r="J2636">
        <f>IFERROR(HLOOKUP(J$2,[80]table_male_hkom2_inj.ill_X6!$A$1:$K$36,14,FALSE),0)</f>
        <v>0</v>
      </c>
      <c r="K2636">
        <f>IFERROR(HLOOKUP(K$2,[80]table_male_hkom2_inj.ill_X6!$A$1:$K$36,14,FALSE),0)</f>
        <v>0</v>
      </c>
      <c r="L2636">
        <f>IFERROR(HLOOKUP(L$2,[80]table_male_hkom2_inj.ill_X6!$A$1:$K$36,14,FALSE),0)</f>
        <v>0</v>
      </c>
      <c r="M2636">
        <f t="shared" si="822"/>
        <v>0</v>
      </c>
      <c r="S2636" t="s">
        <v>82</v>
      </c>
      <c r="T2636" s="5">
        <f t="shared" si="823"/>
        <v>0</v>
      </c>
      <c r="U2636" s="5">
        <f t="shared" si="824"/>
        <v>0</v>
      </c>
      <c r="V2636" s="5">
        <f t="shared" si="825"/>
        <v>0</v>
      </c>
      <c r="W2636" s="5">
        <f t="shared" si="826"/>
        <v>0</v>
      </c>
      <c r="X2636" s="5">
        <f t="shared" si="827"/>
        <v>0</v>
      </c>
      <c r="Y2636" s="5">
        <f t="shared" si="828"/>
        <v>0</v>
      </c>
      <c r="Z2636" s="5">
        <f t="shared" si="829"/>
        <v>0</v>
      </c>
      <c r="AA2636" s="5">
        <f t="shared" si="830"/>
        <v>0</v>
      </c>
      <c r="AB2636" s="5">
        <f t="shared" si="820"/>
        <v>0</v>
      </c>
    </row>
    <row r="2637" spans="4:28" x14ac:dyDescent="0.25">
      <c r="D2637" t="s">
        <v>83</v>
      </c>
      <c r="E2637" s="14"/>
      <c r="F2637" s="14"/>
      <c r="G2637">
        <f>IFERROR(HLOOKUP(G$2,[80]table_male_hkom2_inj.ill_X6!$A$1:$K$36,15,FALSE),0)</f>
        <v>0</v>
      </c>
      <c r="H2637">
        <f>IFERROR(HLOOKUP(H$2,[80]table_male_hkom2_inj.ill_X6!$A$1:$K$36,15,FALSE),0)</f>
        <v>0</v>
      </c>
      <c r="I2637">
        <f>IFERROR(HLOOKUP(I$2,[80]table_male_hkom2_inj.ill_X6!$A$1:$K$36,15,FALSE),0)</f>
        <v>0</v>
      </c>
      <c r="J2637">
        <f>IFERROR(HLOOKUP(J$2,[80]table_male_hkom2_inj.ill_X6!$A$1:$K$36,15,FALSE),0)</f>
        <v>0</v>
      </c>
      <c r="K2637">
        <f>IFERROR(HLOOKUP(K$2,[80]table_male_hkom2_inj.ill_X6!$A$1:$K$36,15,FALSE),0)</f>
        <v>0</v>
      </c>
      <c r="L2637">
        <f>IFERROR(HLOOKUP(L$2,[80]table_male_hkom2_inj.ill_X6!$A$1:$K$36,15,FALSE),0)</f>
        <v>0</v>
      </c>
      <c r="M2637">
        <f t="shared" si="822"/>
        <v>0</v>
      </c>
      <c r="S2637" t="s">
        <v>83</v>
      </c>
      <c r="T2637" s="5">
        <f t="shared" si="823"/>
        <v>0</v>
      </c>
      <c r="U2637" s="5">
        <f t="shared" si="824"/>
        <v>0</v>
      </c>
      <c r="V2637" s="5">
        <f t="shared" si="825"/>
        <v>0</v>
      </c>
      <c r="W2637" s="5">
        <f t="shared" si="826"/>
        <v>0</v>
      </c>
      <c r="X2637" s="5">
        <f t="shared" si="827"/>
        <v>0</v>
      </c>
      <c r="Y2637" s="5">
        <f t="shared" si="828"/>
        <v>0</v>
      </c>
      <c r="Z2637" s="5">
        <f t="shared" si="829"/>
        <v>0</v>
      </c>
      <c r="AA2637" s="5">
        <f t="shared" si="830"/>
        <v>0</v>
      </c>
      <c r="AB2637" s="5">
        <f t="shared" si="820"/>
        <v>0</v>
      </c>
    </row>
    <row r="2638" spans="4:28" x14ac:dyDescent="0.25">
      <c r="D2638" t="s">
        <v>84</v>
      </c>
      <c r="E2638" s="14"/>
      <c r="F2638" s="14"/>
      <c r="G2638">
        <f>IFERROR(HLOOKUP(G$2,[80]table_male_hkom2_inj.ill_X6!$A$1:$K$36,16,FALSE),0)</f>
        <v>0</v>
      </c>
      <c r="H2638">
        <f>IFERROR(HLOOKUP(H$2,[80]table_male_hkom2_inj.ill_X6!$A$1:$K$36,16,FALSE),0)</f>
        <v>0</v>
      </c>
      <c r="I2638">
        <f>IFERROR(HLOOKUP(I$2,[80]table_male_hkom2_inj.ill_X6!$A$1:$K$36,16,FALSE),0)</f>
        <v>0</v>
      </c>
      <c r="J2638">
        <f>IFERROR(HLOOKUP(J$2,[80]table_male_hkom2_inj.ill_X6!$A$1:$K$36,16,FALSE),0)</f>
        <v>0</v>
      </c>
      <c r="K2638">
        <f>IFERROR(HLOOKUP(K$2,[80]table_male_hkom2_inj.ill_X6!$A$1:$K$36,16,FALSE),0)</f>
        <v>0</v>
      </c>
      <c r="L2638">
        <f>IFERROR(HLOOKUP(L$2,[80]table_male_hkom2_inj.ill_X6!$A$1:$K$36,16,FALSE),0)</f>
        <v>0</v>
      </c>
      <c r="M2638">
        <f t="shared" si="822"/>
        <v>0</v>
      </c>
      <c r="S2638" t="s">
        <v>84</v>
      </c>
      <c r="T2638" s="5">
        <f t="shared" si="823"/>
        <v>0</v>
      </c>
      <c r="U2638" s="5">
        <f t="shared" si="824"/>
        <v>0</v>
      </c>
      <c r="V2638" s="5">
        <f t="shared" si="825"/>
        <v>0</v>
      </c>
      <c r="W2638" s="5">
        <f t="shared" si="826"/>
        <v>0</v>
      </c>
      <c r="X2638" s="5">
        <f t="shared" si="827"/>
        <v>0</v>
      </c>
      <c r="Y2638" s="5">
        <f t="shared" si="828"/>
        <v>0</v>
      </c>
      <c r="Z2638" s="5">
        <f t="shared" si="829"/>
        <v>0</v>
      </c>
      <c r="AA2638" s="5">
        <f t="shared" si="830"/>
        <v>0</v>
      </c>
      <c r="AB2638" s="5">
        <f t="shared" si="820"/>
        <v>0</v>
      </c>
    </row>
    <row r="2639" spans="4:28" x14ac:dyDescent="0.25">
      <c r="D2639" t="s">
        <v>85</v>
      </c>
      <c r="E2639" s="14"/>
      <c r="F2639" s="14"/>
      <c r="G2639">
        <f>IFERROR(HLOOKUP(G$2,[80]table_male_hkom2_inj.ill_X6!$A$1:$K$36,17,FALSE),0)</f>
        <v>0</v>
      </c>
      <c r="H2639">
        <f>IFERROR(HLOOKUP(H$2,[80]table_male_hkom2_inj.ill_X6!$A$1:$K$36,17,FALSE),0)</f>
        <v>0</v>
      </c>
      <c r="I2639">
        <f>IFERROR(HLOOKUP(I$2,[80]table_male_hkom2_inj.ill_X6!$A$1:$K$36,17,FALSE),0)</f>
        <v>0</v>
      </c>
      <c r="J2639">
        <f>IFERROR(HLOOKUP(J$2,[80]table_male_hkom2_inj.ill_X6!$A$1:$K$36,17,FALSE),0)</f>
        <v>0</v>
      </c>
      <c r="K2639">
        <f>IFERROR(HLOOKUP(K$2,[80]table_male_hkom2_inj.ill_X6!$A$1:$K$36,17,FALSE),0)</f>
        <v>0</v>
      </c>
      <c r="L2639">
        <f>IFERROR(HLOOKUP(L$2,[80]table_male_hkom2_inj.ill_X6!$A$1:$K$36,17,FALSE),0)</f>
        <v>0</v>
      </c>
      <c r="M2639">
        <f t="shared" si="822"/>
        <v>0</v>
      </c>
      <c r="S2639" t="s">
        <v>85</v>
      </c>
      <c r="T2639" s="5">
        <f t="shared" si="823"/>
        <v>0</v>
      </c>
      <c r="U2639" s="5">
        <f t="shared" si="824"/>
        <v>0</v>
      </c>
      <c r="V2639" s="5">
        <f t="shared" si="825"/>
        <v>0</v>
      </c>
      <c r="W2639" s="5">
        <f t="shared" si="826"/>
        <v>0</v>
      </c>
      <c r="X2639" s="5">
        <f t="shared" si="827"/>
        <v>0</v>
      </c>
      <c r="Y2639" s="5">
        <f t="shared" si="828"/>
        <v>0</v>
      </c>
      <c r="Z2639" s="5">
        <f t="shared" si="829"/>
        <v>0</v>
      </c>
      <c r="AA2639" s="5">
        <f t="shared" si="830"/>
        <v>0</v>
      </c>
      <c r="AB2639" s="5">
        <f t="shared" si="820"/>
        <v>0</v>
      </c>
    </row>
    <row r="2640" spans="4:28" x14ac:dyDescent="0.25">
      <c r="D2640" t="s">
        <v>86</v>
      </c>
      <c r="E2640" s="14"/>
      <c r="F2640" s="14"/>
      <c r="G2640">
        <f>IFERROR(HLOOKUP(G$2,[80]table_male_hkom2_inj.ill_X6!$A$1:$K$36,18,FALSE),0)</f>
        <v>0</v>
      </c>
      <c r="H2640">
        <f>IFERROR(HLOOKUP(H$2,[80]table_male_hkom2_inj.ill_X6!$A$1:$K$36,18,FALSE),0)</f>
        <v>0</v>
      </c>
      <c r="I2640">
        <f>IFERROR(HLOOKUP(I$2,[80]table_male_hkom2_inj.ill_X6!$A$1:$K$36,18,FALSE),0)</f>
        <v>0</v>
      </c>
      <c r="J2640">
        <f>IFERROR(HLOOKUP(J$2,[80]table_male_hkom2_inj.ill_X6!$A$1:$K$36,18,FALSE),0)</f>
        <v>0</v>
      </c>
      <c r="K2640">
        <f>IFERROR(HLOOKUP(K$2,[80]table_male_hkom2_inj.ill_X6!$A$1:$K$36,18,FALSE),0)</f>
        <v>0</v>
      </c>
      <c r="L2640">
        <f>IFERROR(HLOOKUP(L$2,[80]table_male_hkom2_inj.ill_X6!$A$1:$K$36,18,FALSE),0)</f>
        <v>0</v>
      </c>
      <c r="M2640">
        <f t="shared" si="822"/>
        <v>0</v>
      </c>
      <c r="S2640" t="s">
        <v>86</v>
      </c>
      <c r="T2640" s="5">
        <f t="shared" si="823"/>
        <v>0</v>
      </c>
      <c r="U2640" s="5">
        <f t="shared" si="824"/>
        <v>0</v>
      </c>
      <c r="V2640" s="5">
        <f t="shared" si="825"/>
        <v>0</v>
      </c>
      <c r="W2640" s="5">
        <f t="shared" si="826"/>
        <v>0</v>
      </c>
      <c r="X2640" s="5">
        <f t="shared" si="827"/>
        <v>0</v>
      </c>
      <c r="Y2640" s="5">
        <f t="shared" si="828"/>
        <v>0</v>
      </c>
      <c r="Z2640" s="5">
        <f t="shared" si="829"/>
        <v>0</v>
      </c>
      <c r="AA2640" s="5">
        <f t="shared" si="830"/>
        <v>0</v>
      </c>
      <c r="AB2640" s="5">
        <f t="shared" si="820"/>
        <v>0</v>
      </c>
    </row>
    <row r="2641" spans="4:28" x14ac:dyDescent="0.25">
      <c r="D2641" t="s">
        <v>87</v>
      </c>
      <c r="E2641" s="14"/>
      <c r="F2641" s="14"/>
      <c r="G2641">
        <f>IFERROR(HLOOKUP(G$2,[80]table_male_hkom2_inj.ill_X6!$A$1:$K$36,19,FALSE),0)</f>
        <v>0</v>
      </c>
      <c r="H2641">
        <f>IFERROR(HLOOKUP(H$2,[80]table_male_hkom2_inj.ill_X6!$A$1:$K$36,19,FALSE),0)</f>
        <v>0</v>
      </c>
      <c r="I2641">
        <f>IFERROR(HLOOKUP(I$2,[80]table_male_hkom2_inj.ill_X6!$A$1:$K$36,19,FALSE),0)</f>
        <v>0</v>
      </c>
      <c r="J2641">
        <f>IFERROR(HLOOKUP(J$2,[80]table_male_hkom2_inj.ill_X6!$A$1:$K$36,19,FALSE),0)</f>
        <v>0</v>
      </c>
      <c r="K2641">
        <f>IFERROR(HLOOKUP(K$2,[80]table_male_hkom2_inj.ill_X6!$A$1:$K$36,19,FALSE),0)</f>
        <v>0</v>
      </c>
      <c r="L2641">
        <f>IFERROR(HLOOKUP(L$2,[80]table_male_hkom2_inj.ill_X6!$A$1:$K$36,19,FALSE),0)</f>
        <v>0</v>
      </c>
      <c r="M2641">
        <f t="shared" si="822"/>
        <v>0</v>
      </c>
      <c r="S2641" t="s">
        <v>87</v>
      </c>
      <c r="T2641" s="5">
        <f t="shared" si="823"/>
        <v>0</v>
      </c>
      <c r="U2641" s="5">
        <f t="shared" si="824"/>
        <v>0</v>
      </c>
      <c r="V2641" s="5">
        <f t="shared" si="825"/>
        <v>0</v>
      </c>
      <c r="W2641" s="5">
        <f t="shared" si="826"/>
        <v>0</v>
      </c>
      <c r="X2641" s="5">
        <f t="shared" si="827"/>
        <v>0</v>
      </c>
      <c r="Y2641" s="5">
        <f t="shared" si="828"/>
        <v>0</v>
      </c>
      <c r="Z2641" s="5">
        <f t="shared" si="829"/>
        <v>0</v>
      </c>
      <c r="AA2641" s="5">
        <f t="shared" si="830"/>
        <v>0</v>
      </c>
      <c r="AB2641" s="5">
        <f t="shared" si="820"/>
        <v>0</v>
      </c>
    </row>
    <row r="2642" spans="4:28" x14ac:dyDescent="0.25">
      <c r="D2642" t="s">
        <v>88</v>
      </c>
      <c r="E2642" s="14"/>
      <c r="F2642" s="14"/>
      <c r="G2642">
        <f>IFERROR(HLOOKUP(G$2,[80]table_male_hkom2_inj.ill_X6!$A$1:$K$36,20,FALSE),0)</f>
        <v>0</v>
      </c>
      <c r="H2642">
        <f>IFERROR(HLOOKUP(H$2,[80]table_male_hkom2_inj.ill_X6!$A$1:$K$36,20,FALSE),0)</f>
        <v>0</v>
      </c>
      <c r="I2642">
        <f>IFERROR(HLOOKUP(I$2,[80]table_male_hkom2_inj.ill_X6!$A$1:$K$36,20,FALSE),0)</f>
        <v>0</v>
      </c>
      <c r="J2642">
        <f>IFERROR(HLOOKUP(J$2,[80]table_male_hkom2_inj.ill_X6!$A$1:$K$36,20,FALSE),0)</f>
        <v>0</v>
      </c>
      <c r="K2642">
        <f>IFERROR(HLOOKUP(K$2,[80]table_male_hkom2_inj.ill_X6!$A$1:$K$36,20,FALSE),0)</f>
        <v>0</v>
      </c>
      <c r="L2642">
        <f>IFERROR(HLOOKUP(L$2,[80]table_male_hkom2_inj.ill_X6!$A$1:$K$36,20,FALSE),0)</f>
        <v>0</v>
      </c>
      <c r="M2642">
        <f t="shared" si="822"/>
        <v>0</v>
      </c>
      <c r="S2642" t="s">
        <v>88</v>
      </c>
      <c r="T2642" s="5">
        <f t="shared" si="823"/>
        <v>0</v>
      </c>
      <c r="U2642" s="5">
        <f t="shared" si="824"/>
        <v>0</v>
      </c>
      <c r="V2642" s="5">
        <f t="shared" si="825"/>
        <v>0</v>
      </c>
      <c r="W2642" s="5">
        <f t="shared" si="826"/>
        <v>0</v>
      </c>
      <c r="X2642" s="5">
        <f t="shared" si="827"/>
        <v>0</v>
      </c>
      <c r="Y2642" s="5">
        <f t="shared" si="828"/>
        <v>0</v>
      </c>
      <c r="Z2642" s="5">
        <f t="shared" si="829"/>
        <v>0</v>
      </c>
      <c r="AA2642" s="5">
        <f t="shared" si="830"/>
        <v>0</v>
      </c>
      <c r="AB2642" s="5">
        <f t="shared" si="820"/>
        <v>0</v>
      </c>
    </row>
    <row r="2643" spans="4:28" x14ac:dyDescent="0.25">
      <c r="D2643" t="s">
        <v>89</v>
      </c>
      <c r="E2643" s="14"/>
      <c r="F2643" s="14"/>
      <c r="G2643">
        <f>IFERROR(HLOOKUP(G$2,[80]table_male_hkom2_inj.ill_X6!$A$1:$K$36,21,FALSE),0)</f>
        <v>0</v>
      </c>
      <c r="H2643">
        <f>IFERROR(HLOOKUP(H$2,[80]table_male_hkom2_inj.ill_X6!$A$1:$K$36,21,FALSE),0)</f>
        <v>0</v>
      </c>
      <c r="I2643">
        <f>IFERROR(HLOOKUP(I$2,[80]table_male_hkom2_inj.ill_X6!$A$1:$K$36,21,FALSE),0)</f>
        <v>0</v>
      </c>
      <c r="J2643">
        <f>IFERROR(HLOOKUP(J$2,[80]table_male_hkom2_inj.ill_X6!$A$1:$K$36,21,FALSE),0)</f>
        <v>0</v>
      </c>
      <c r="K2643">
        <f>IFERROR(HLOOKUP(K$2,[80]table_male_hkom2_inj.ill_X6!$A$1:$K$36,21,FALSE),0)</f>
        <v>0</v>
      </c>
      <c r="L2643">
        <f>IFERROR(HLOOKUP(L$2,[80]table_male_hkom2_inj.ill_X6!$A$1:$K$36,21,FALSE),0)</f>
        <v>0</v>
      </c>
      <c r="M2643">
        <f t="shared" si="822"/>
        <v>0</v>
      </c>
      <c r="S2643" t="s">
        <v>89</v>
      </c>
      <c r="T2643" s="5">
        <f t="shared" si="823"/>
        <v>0</v>
      </c>
      <c r="U2643" s="5">
        <f t="shared" si="824"/>
        <v>0</v>
      </c>
      <c r="V2643" s="5">
        <f t="shared" si="825"/>
        <v>0</v>
      </c>
      <c r="W2643" s="5">
        <f t="shared" si="826"/>
        <v>0</v>
      </c>
      <c r="X2643" s="5">
        <f t="shared" si="827"/>
        <v>0</v>
      </c>
      <c r="Y2643" s="5">
        <f t="shared" si="828"/>
        <v>0</v>
      </c>
      <c r="Z2643" s="5">
        <f t="shared" si="829"/>
        <v>0</v>
      </c>
      <c r="AA2643" s="5">
        <f t="shared" si="830"/>
        <v>0</v>
      </c>
      <c r="AB2643" s="5">
        <f t="shared" si="820"/>
        <v>0</v>
      </c>
    </row>
    <row r="2644" spans="4:28" x14ac:dyDescent="0.25">
      <c r="D2644" t="s">
        <v>90</v>
      </c>
      <c r="E2644" s="14"/>
      <c r="F2644" s="14"/>
      <c r="G2644">
        <f>IFERROR(HLOOKUP(G$2,[80]table_male_hkom2_inj.ill_X6!$A$1:$K$36,22,FALSE),0)</f>
        <v>0</v>
      </c>
      <c r="H2644">
        <f>IFERROR(HLOOKUP(H$2,[80]table_male_hkom2_inj.ill_X6!$A$1:$K$36,22,FALSE),0)</f>
        <v>0</v>
      </c>
      <c r="I2644">
        <f>IFERROR(HLOOKUP(I$2,[80]table_male_hkom2_inj.ill_X6!$A$1:$K$36,22,FALSE),0)</f>
        <v>0</v>
      </c>
      <c r="J2644">
        <f>IFERROR(HLOOKUP(J$2,[80]table_male_hkom2_inj.ill_X6!$A$1:$K$36,22,FALSE),0)</f>
        <v>0</v>
      </c>
      <c r="K2644">
        <f>IFERROR(HLOOKUP(K$2,[80]table_male_hkom2_inj.ill_X6!$A$1:$K$36,22,FALSE),0)</f>
        <v>0</v>
      </c>
      <c r="L2644">
        <f>IFERROR(HLOOKUP(L$2,[80]table_male_hkom2_inj.ill_X6!$A$1:$K$36,22,FALSE),0)</f>
        <v>0</v>
      </c>
      <c r="M2644">
        <f t="shared" si="822"/>
        <v>0</v>
      </c>
      <c r="S2644" t="s">
        <v>90</v>
      </c>
      <c r="T2644" s="5">
        <f t="shared" si="823"/>
        <v>0</v>
      </c>
      <c r="U2644" s="5">
        <f t="shared" si="824"/>
        <v>0</v>
      </c>
      <c r="V2644" s="5">
        <f t="shared" si="825"/>
        <v>0</v>
      </c>
      <c r="W2644" s="5">
        <f t="shared" si="826"/>
        <v>0</v>
      </c>
      <c r="X2644" s="5">
        <f t="shared" si="827"/>
        <v>0</v>
      </c>
      <c r="Y2644" s="5">
        <f t="shared" si="828"/>
        <v>0</v>
      </c>
      <c r="Z2644" s="5">
        <f t="shared" si="829"/>
        <v>0</v>
      </c>
      <c r="AA2644" s="5">
        <f t="shared" si="830"/>
        <v>0</v>
      </c>
      <c r="AB2644" s="5">
        <f t="shared" si="820"/>
        <v>0</v>
      </c>
    </row>
    <row r="2645" spans="4:28" x14ac:dyDescent="0.25">
      <c r="D2645" t="s">
        <v>91</v>
      </c>
      <c r="E2645" s="14"/>
      <c r="F2645" s="14"/>
      <c r="G2645">
        <f>IFERROR(HLOOKUP(G$2,[80]table_male_hkom2_inj.ill_X6!$A$1:$K$36,23,FALSE),0)</f>
        <v>0</v>
      </c>
      <c r="H2645">
        <f>IFERROR(HLOOKUP(H$2,[80]table_male_hkom2_inj.ill_X6!$A$1:$K$36,23,FALSE),0)</f>
        <v>0</v>
      </c>
      <c r="I2645">
        <f>IFERROR(HLOOKUP(I$2,[80]table_male_hkom2_inj.ill_X6!$A$1:$K$36,23,FALSE),0)</f>
        <v>0</v>
      </c>
      <c r="J2645">
        <f>IFERROR(HLOOKUP(J$2,[80]table_male_hkom2_inj.ill_X6!$A$1:$K$36,23,FALSE),0)</f>
        <v>0</v>
      </c>
      <c r="K2645">
        <f>IFERROR(HLOOKUP(K$2,[80]table_male_hkom2_inj.ill_X6!$A$1:$K$36,23,FALSE),0)</f>
        <v>0</v>
      </c>
      <c r="L2645">
        <f>IFERROR(HLOOKUP(L$2,[80]table_male_hkom2_inj.ill_X6!$A$1:$K$36,23,FALSE),0)</f>
        <v>0</v>
      </c>
      <c r="M2645">
        <f t="shared" si="822"/>
        <v>0</v>
      </c>
      <c r="S2645" t="s">
        <v>91</v>
      </c>
      <c r="T2645" s="5">
        <f t="shared" si="823"/>
        <v>0</v>
      </c>
      <c r="U2645" s="5">
        <f t="shared" si="824"/>
        <v>0</v>
      </c>
      <c r="V2645" s="5">
        <f t="shared" si="825"/>
        <v>0</v>
      </c>
      <c r="W2645" s="5">
        <f t="shared" si="826"/>
        <v>0</v>
      </c>
      <c r="X2645" s="5">
        <f t="shared" si="827"/>
        <v>0</v>
      </c>
      <c r="Y2645" s="5">
        <f t="shared" si="828"/>
        <v>0</v>
      </c>
      <c r="Z2645" s="5">
        <f t="shared" si="829"/>
        <v>0</v>
      </c>
      <c r="AA2645" s="5">
        <f t="shared" si="830"/>
        <v>0</v>
      </c>
      <c r="AB2645" s="5">
        <f t="shared" si="820"/>
        <v>0</v>
      </c>
    </row>
    <row r="2646" spans="4:28" x14ac:dyDescent="0.25">
      <c r="D2646" t="s">
        <v>92</v>
      </c>
      <c r="E2646" s="14"/>
      <c r="F2646" s="14"/>
      <c r="G2646">
        <f>IFERROR(HLOOKUP(G$2,[80]table_male_hkom2_inj.ill_X6!$A$1:$K$36,24,FALSE),0)</f>
        <v>0</v>
      </c>
      <c r="H2646">
        <f>IFERROR(HLOOKUP(H$2,[80]table_male_hkom2_inj.ill_X6!$A$1:$K$36,24,FALSE),0)</f>
        <v>0</v>
      </c>
      <c r="I2646">
        <f>IFERROR(HLOOKUP(I$2,[80]table_male_hkom2_inj.ill_X6!$A$1:$K$36,24,FALSE),0)</f>
        <v>0</v>
      </c>
      <c r="J2646">
        <f>IFERROR(HLOOKUP(J$2,[80]table_male_hkom2_inj.ill_X6!$A$1:$K$36,24,FALSE),0)</f>
        <v>0</v>
      </c>
      <c r="K2646">
        <f>IFERROR(HLOOKUP(K$2,[80]table_male_hkom2_inj.ill_X6!$A$1:$K$36,24,FALSE),0)</f>
        <v>0</v>
      </c>
      <c r="L2646">
        <f>IFERROR(HLOOKUP(L$2,[80]table_male_hkom2_inj.ill_X6!$A$1:$K$36,24,FALSE),0)</f>
        <v>0</v>
      </c>
      <c r="M2646">
        <f t="shared" si="822"/>
        <v>0</v>
      </c>
      <c r="S2646" t="s">
        <v>92</v>
      </c>
      <c r="T2646" s="5">
        <f t="shared" si="823"/>
        <v>0</v>
      </c>
      <c r="U2646" s="5">
        <f t="shared" si="824"/>
        <v>0</v>
      </c>
      <c r="V2646" s="5">
        <f t="shared" si="825"/>
        <v>0</v>
      </c>
      <c r="W2646" s="5">
        <f t="shared" si="826"/>
        <v>0</v>
      </c>
      <c r="X2646" s="5">
        <f t="shared" si="827"/>
        <v>0</v>
      </c>
      <c r="Y2646" s="5">
        <f t="shared" si="828"/>
        <v>0</v>
      </c>
      <c r="Z2646" s="5">
        <f t="shared" si="829"/>
        <v>0</v>
      </c>
      <c r="AA2646" s="5">
        <f t="shared" si="830"/>
        <v>0</v>
      </c>
      <c r="AB2646" s="5">
        <f t="shared" si="820"/>
        <v>0</v>
      </c>
    </row>
    <row r="2647" spans="4:28" x14ac:dyDescent="0.25">
      <c r="D2647" t="s">
        <v>93</v>
      </c>
      <c r="E2647" s="14"/>
      <c r="F2647" s="14"/>
      <c r="G2647">
        <f>IFERROR(HLOOKUP(G$2,[80]table_male_hkom2_inj.ill_X6!$A$1:$K$36,25,FALSE),0)</f>
        <v>0</v>
      </c>
      <c r="H2647">
        <f>IFERROR(HLOOKUP(H$2,[80]table_male_hkom2_inj.ill_X6!$A$1:$K$36,25,FALSE),0)</f>
        <v>0</v>
      </c>
      <c r="I2647">
        <f>IFERROR(HLOOKUP(I$2,[80]table_male_hkom2_inj.ill_X6!$A$1:$K$36,25,FALSE),0)</f>
        <v>0</v>
      </c>
      <c r="J2647">
        <f>IFERROR(HLOOKUP(J$2,[80]table_male_hkom2_inj.ill_X6!$A$1:$K$36,25,FALSE),0)</f>
        <v>0</v>
      </c>
      <c r="K2647">
        <f>IFERROR(HLOOKUP(K$2,[80]table_male_hkom2_inj.ill_X6!$A$1:$K$36,25,FALSE),0)</f>
        <v>0</v>
      </c>
      <c r="L2647">
        <f>IFERROR(HLOOKUP(L$2,[80]table_male_hkom2_inj.ill_X6!$A$1:$K$36,25,FALSE),0)</f>
        <v>0</v>
      </c>
      <c r="M2647">
        <f t="shared" si="822"/>
        <v>0</v>
      </c>
      <c r="S2647" t="s">
        <v>93</v>
      </c>
      <c r="T2647" s="5">
        <f t="shared" si="823"/>
        <v>0</v>
      </c>
      <c r="U2647" s="5">
        <f t="shared" si="824"/>
        <v>0</v>
      </c>
      <c r="V2647" s="5">
        <f t="shared" si="825"/>
        <v>0</v>
      </c>
      <c r="W2647" s="5">
        <f t="shared" si="826"/>
        <v>0</v>
      </c>
      <c r="X2647" s="5">
        <f t="shared" si="827"/>
        <v>0</v>
      </c>
      <c r="Y2647" s="5">
        <f t="shared" si="828"/>
        <v>0</v>
      </c>
      <c r="Z2647" s="5">
        <f t="shared" si="829"/>
        <v>0</v>
      </c>
      <c r="AA2647" s="5">
        <f t="shared" si="830"/>
        <v>0</v>
      </c>
      <c r="AB2647" s="5">
        <f t="shared" si="820"/>
        <v>0</v>
      </c>
    </row>
    <row r="2648" spans="4:28" x14ac:dyDescent="0.25">
      <c r="D2648" t="s">
        <v>94</v>
      </c>
      <c r="E2648" s="14"/>
      <c r="F2648" s="14"/>
      <c r="G2648">
        <f>IFERROR(HLOOKUP(G$2,[80]table_male_hkom2_inj.ill_X6!$A$1:$K$36,26,FALSE),0)</f>
        <v>0</v>
      </c>
      <c r="H2648">
        <f>IFERROR(HLOOKUP(H$2,[80]table_male_hkom2_inj.ill_X6!$A$1:$K$36,26,FALSE),0)</f>
        <v>0</v>
      </c>
      <c r="I2648">
        <f>IFERROR(HLOOKUP(I$2,[80]table_male_hkom2_inj.ill_X6!$A$1:$K$36,26,FALSE),0)</f>
        <v>0</v>
      </c>
      <c r="J2648">
        <f>IFERROR(HLOOKUP(J$2,[80]table_male_hkom2_inj.ill_X6!$A$1:$K$36,26,FALSE),0)</f>
        <v>0</v>
      </c>
      <c r="K2648">
        <f>IFERROR(HLOOKUP(K$2,[80]table_male_hkom2_inj.ill_X6!$A$1:$K$36,26,FALSE),0)</f>
        <v>0</v>
      </c>
      <c r="L2648">
        <f>IFERROR(HLOOKUP(L$2,[80]table_male_hkom2_inj.ill_X6!$A$1:$K$36,26,FALSE),0)</f>
        <v>0</v>
      </c>
      <c r="M2648">
        <f t="shared" si="822"/>
        <v>0</v>
      </c>
      <c r="S2648" t="s">
        <v>94</v>
      </c>
      <c r="T2648" s="5">
        <f t="shared" si="823"/>
        <v>0</v>
      </c>
      <c r="U2648" s="5">
        <f t="shared" si="824"/>
        <v>0</v>
      </c>
      <c r="V2648" s="5">
        <f t="shared" si="825"/>
        <v>0</v>
      </c>
      <c r="W2648" s="5">
        <f t="shared" si="826"/>
        <v>0</v>
      </c>
      <c r="X2648" s="5">
        <f t="shared" si="827"/>
        <v>0</v>
      </c>
      <c r="Y2648" s="5">
        <f t="shared" si="828"/>
        <v>0</v>
      </c>
      <c r="Z2648" s="5">
        <f t="shared" si="829"/>
        <v>0</v>
      </c>
      <c r="AA2648" s="5">
        <f t="shared" si="830"/>
        <v>0</v>
      </c>
      <c r="AB2648" s="5">
        <f t="shared" si="820"/>
        <v>0</v>
      </c>
    </row>
    <row r="2649" spans="4:28" x14ac:dyDescent="0.25">
      <c r="D2649" t="s">
        <v>95</v>
      </c>
      <c r="E2649" s="14"/>
      <c r="F2649" s="14"/>
      <c r="G2649">
        <f>IFERROR(HLOOKUP(G$2,[80]table_male_hkom2_inj.ill_X6!$A$1:$K$36,27,FALSE),0)</f>
        <v>0</v>
      </c>
      <c r="H2649">
        <f>IFERROR(HLOOKUP(H$2,[80]table_male_hkom2_inj.ill_X6!$A$1:$K$36,27,FALSE),0)</f>
        <v>0</v>
      </c>
      <c r="I2649">
        <f>IFERROR(HLOOKUP(I$2,[80]table_male_hkom2_inj.ill_X6!$A$1:$K$36,27,FALSE),0)</f>
        <v>0</v>
      </c>
      <c r="J2649">
        <f>IFERROR(HLOOKUP(J$2,[80]table_male_hkom2_inj.ill_X6!$A$1:$K$36,27,FALSE),0)</f>
        <v>0</v>
      </c>
      <c r="K2649">
        <f>IFERROR(HLOOKUP(K$2,[80]table_male_hkom2_inj.ill_X6!$A$1:$K$36,27,FALSE),0)</f>
        <v>0</v>
      </c>
      <c r="L2649">
        <f>IFERROR(HLOOKUP(L$2,[80]table_male_hkom2_inj.ill_X6!$A$1:$K$36,27,FALSE),0)</f>
        <v>0</v>
      </c>
      <c r="M2649">
        <f t="shared" si="822"/>
        <v>0</v>
      </c>
      <c r="S2649" t="s">
        <v>95</v>
      </c>
      <c r="T2649" s="5">
        <f t="shared" si="823"/>
        <v>0</v>
      </c>
      <c r="U2649" s="5">
        <f t="shared" si="824"/>
        <v>0</v>
      </c>
      <c r="V2649" s="5">
        <f t="shared" si="825"/>
        <v>0</v>
      </c>
      <c r="W2649" s="5">
        <f t="shared" si="826"/>
        <v>0</v>
      </c>
      <c r="X2649" s="5">
        <f t="shared" si="827"/>
        <v>0</v>
      </c>
      <c r="Y2649" s="5">
        <f t="shared" si="828"/>
        <v>0</v>
      </c>
      <c r="Z2649" s="5">
        <f t="shared" si="829"/>
        <v>0</v>
      </c>
      <c r="AA2649" s="5">
        <f t="shared" si="830"/>
        <v>0</v>
      </c>
      <c r="AB2649" s="5">
        <f t="shared" si="820"/>
        <v>0</v>
      </c>
    </row>
    <row r="2650" spans="4:28" x14ac:dyDescent="0.25">
      <c r="D2650" t="s">
        <v>96</v>
      </c>
      <c r="E2650" s="14"/>
      <c r="F2650" s="14"/>
      <c r="G2650">
        <f>IFERROR(HLOOKUP(G$2,[80]table_male_hkom2_inj.ill_X6!$A$1:$K$36,28,FALSE),0)</f>
        <v>0</v>
      </c>
      <c r="H2650">
        <f>IFERROR(HLOOKUP(H$2,[80]table_male_hkom2_inj.ill_X6!$A$1:$K$36,28,FALSE),0)</f>
        <v>0</v>
      </c>
      <c r="I2650">
        <f>IFERROR(HLOOKUP(I$2,[80]table_male_hkom2_inj.ill_X6!$A$1:$K$36,28,FALSE),0)</f>
        <v>0</v>
      </c>
      <c r="J2650">
        <f>IFERROR(HLOOKUP(J$2,[80]table_male_hkom2_inj.ill_X6!$A$1:$K$36,28,FALSE),0)</f>
        <v>0</v>
      </c>
      <c r="K2650">
        <f>IFERROR(HLOOKUP(K$2,[80]table_male_hkom2_inj.ill_X6!$A$1:$K$36,28,FALSE),0)</f>
        <v>0</v>
      </c>
      <c r="L2650">
        <f>IFERROR(HLOOKUP(L$2,[80]table_male_hkom2_inj.ill_X6!$A$1:$K$36,28,FALSE),0)</f>
        <v>0</v>
      </c>
      <c r="M2650">
        <f t="shared" si="822"/>
        <v>0</v>
      </c>
      <c r="S2650" t="s">
        <v>96</v>
      </c>
      <c r="T2650" s="5">
        <f t="shared" si="823"/>
        <v>0</v>
      </c>
      <c r="U2650" s="5">
        <f t="shared" si="824"/>
        <v>0</v>
      </c>
      <c r="V2650" s="5">
        <f t="shared" si="825"/>
        <v>0</v>
      </c>
      <c r="W2650" s="5">
        <f t="shared" si="826"/>
        <v>0</v>
      </c>
      <c r="X2650" s="5">
        <f t="shared" si="827"/>
        <v>0</v>
      </c>
      <c r="Y2650" s="5">
        <f t="shared" si="828"/>
        <v>0</v>
      </c>
      <c r="Z2650" s="5">
        <f t="shared" si="829"/>
        <v>0</v>
      </c>
      <c r="AA2650" s="5">
        <f t="shared" si="830"/>
        <v>0</v>
      </c>
      <c r="AB2650" s="5">
        <f t="shared" si="820"/>
        <v>0</v>
      </c>
    </row>
    <row r="2651" spans="4:28" x14ac:dyDescent="0.25">
      <c r="D2651" t="s">
        <v>97</v>
      </c>
      <c r="E2651" s="14"/>
      <c r="F2651" s="14"/>
      <c r="G2651">
        <f>IFERROR(HLOOKUP(G$2,[80]table_male_hkom2_inj.ill_X6!$A$1:$K$36,29,FALSE),0)</f>
        <v>0</v>
      </c>
      <c r="H2651">
        <f>IFERROR(HLOOKUP(H$2,[80]table_male_hkom2_inj.ill_X6!$A$1:$K$36,29,FALSE),0)</f>
        <v>0</v>
      </c>
      <c r="I2651">
        <f>IFERROR(HLOOKUP(I$2,[80]table_male_hkom2_inj.ill_X6!$A$1:$K$36,29,FALSE),0)</f>
        <v>0</v>
      </c>
      <c r="J2651">
        <f>IFERROR(HLOOKUP(J$2,[80]table_male_hkom2_inj.ill_X6!$A$1:$K$36,29,FALSE),0)</f>
        <v>0</v>
      </c>
      <c r="K2651">
        <f>IFERROR(HLOOKUP(K$2,[80]table_male_hkom2_inj.ill_X6!$A$1:$K$36,29,FALSE),0)</f>
        <v>0</v>
      </c>
      <c r="L2651">
        <f>IFERROR(HLOOKUP(L$2,[80]table_male_hkom2_inj.ill_X6!$A$1:$K$36,29,FALSE),0)</f>
        <v>0</v>
      </c>
      <c r="M2651">
        <f t="shared" si="822"/>
        <v>0</v>
      </c>
      <c r="S2651" t="s">
        <v>97</v>
      </c>
      <c r="T2651" s="5">
        <f t="shared" si="823"/>
        <v>0</v>
      </c>
      <c r="U2651" s="5">
        <f t="shared" si="824"/>
        <v>0</v>
      </c>
      <c r="V2651" s="5">
        <f t="shared" si="825"/>
        <v>0</v>
      </c>
      <c r="W2651" s="5">
        <f t="shared" si="826"/>
        <v>0</v>
      </c>
      <c r="X2651" s="5">
        <f t="shared" si="827"/>
        <v>0</v>
      </c>
      <c r="Y2651" s="5">
        <f t="shared" si="828"/>
        <v>0</v>
      </c>
      <c r="Z2651" s="5">
        <f t="shared" si="829"/>
        <v>0</v>
      </c>
      <c r="AA2651" s="5">
        <f t="shared" si="830"/>
        <v>0</v>
      </c>
      <c r="AB2651" s="5">
        <f t="shared" si="820"/>
        <v>0</v>
      </c>
    </row>
    <row r="2652" spans="4:28" x14ac:dyDescent="0.25">
      <c r="D2652" t="s">
        <v>98</v>
      </c>
      <c r="E2652" s="14"/>
      <c r="F2652" s="14"/>
      <c r="G2652">
        <f>IFERROR(HLOOKUP(G$2,[80]table_male_hkom2_inj.ill_X6!$A$1:$K$36,30,FALSE),0)</f>
        <v>0</v>
      </c>
      <c r="H2652">
        <f>IFERROR(HLOOKUP(H$2,[80]table_male_hkom2_inj.ill_X6!$A$1:$K$36,30,FALSE),0)</f>
        <v>0</v>
      </c>
      <c r="I2652">
        <f>IFERROR(HLOOKUP(I$2,[80]table_male_hkom2_inj.ill_X6!$A$1:$K$36,30,FALSE),0)</f>
        <v>0</v>
      </c>
      <c r="J2652">
        <f>IFERROR(HLOOKUP(J$2,[80]table_male_hkom2_inj.ill_X6!$A$1:$K$36,30,FALSE),0)</f>
        <v>0</v>
      </c>
      <c r="K2652">
        <f>IFERROR(HLOOKUP(K$2,[80]table_male_hkom2_inj.ill_X6!$A$1:$K$36,30,FALSE),0)</f>
        <v>0</v>
      </c>
      <c r="L2652">
        <f>IFERROR(HLOOKUP(L$2,[80]table_male_hkom2_inj.ill_X6!$A$1:$K$36,30,FALSE),0)</f>
        <v>0</v>
      </c>
      <c r="M2652">
        <f t="shared" si="822"/>
        <v>0</v>
      </c>
      <c r="S2652" t="s">
        <v>98</v>
      </c>
      <c r="T2652" s="5">
        <f t="shared" si="823"/>
        <v>0</v>
      </c>
      <c r="U2652" s="5">
        <f t="shared" si="824"/>
        <v>0</v>
      </c>
      <c r="V2652" s="5">
        <f t="shared" si="825"/>
        <v>0</v>
      </c>
      <c r="W2652" s="5">
        <f t="shared" si="826"/>
        <v>0</v>
      </c>
      <c r="X2652" s="5">
        <f t="shared" si="827"/>
        <v>0</v>
      </c>
      <c r="Y2652" s="5">
        <f t="shared" si="828"/>
        <v>0</v>
      </c>
      <c r="Z2652" s="5">
        <f t="shared" si="829"/>
        <v>0</v>
      </c>
      <c r="AA2652" s="5">
        <f t="shared" si="830"/>
        <v>0</v>
      </c>
      <c r="AB2652" s="5">
        <f t="shared" si="820"/>
        <v>0</v>
      </c>
    </row>
    <row r="2653" spans="4:28" x14ac:dyDescent="0.25">
      <c r="D2653" t="s">
        <v>119</v>
      </c>
      <c r="E2653" s="14"/>
      <c r="F2653" s="14"/>
      <c r="G2653">
        <f>IFERROR(HLOOKUP(G$2,[80]table_male_hkom2_inj.ill_X6!$A$1:$K$36,31,FALSE),0)</f>
        <v>0</v>
      </c>
      <c r="H2653">
        <f>IFERROR(HLOOKUP(H$2,[80]table_male_hkom2_inj.ill_X6!$A$1:$K$36,31,FALSE),0)</f>
        <v>0</v>
      </c>
      <c r="I2653">
        <f>IFERROR(HLOOKUP(I$2,[80]table_male_hkom2_inj.ill_X6!$A$1:$K$36,31,FALSE),0)</f>
        <v>0</v>
      </c>
      <c r="J2653">
        <f>IFERROR(HLOOKUP(J$2,[80]table_male_hkom2_inj.ill_X6!$A$1:$K$36,31,FALSE),0)</f>
        <v>0</v>
      </c>
      <c r="K2653">
        <f>IFERROR(HLOOKUP(K$2,[80]table_male_hkom2_inj.ill_X6!$A$1:$K$36,31,FALSE),0)</f>
        <v>0</v>
      </c>
      <c r="L2653">
        <f>IFERROR(HLOOKUP(L$2,[80]table_male_hkom2_inj.ill_X6!$A$1:$K$36,31,FALSE),0)</f>
        <v>0</v>
      </c>
      <c r="M2653">
        <f t="shared" si="822"/>
        <v>0</v>
      </c>
      <c r="S2653" t="s">
        <v>119</v>
      </c>
      <c r="T2653" s="5">
        <f t="shared" si="823"/>
        <v>0</v>
      </c>
      <c r="U2653" s="5">
        <f t="shared" si="824"/>
        <v>0</v>
      </c>
      <c r="V2653" s="5">
        <f t="shared" si="825"/>
        <v>0</v>
      </c>
      <c r="W2653" s="5">
        <f t="shared" si="826"/>
        <v>0</v>
      </c>
      <c r="X2653" s="5">
        <f t="shared" si="827"/>
        <v>0</v>
      </c>
      <c r="Y2653" s="5">
        <f t="shared" si="828"/>
        <v>0</v>
      </c>
      <c r="Z2653" s="5">
        <f t="shared" si="829"/>
        <v>0</v>
      </c>
      <c r="AA2653" s="5">
        <f t="shared" si="830"/>
        <v>0</v>
      </c>
      <c r="AB2653" s="5">
        <f t="shared" si="820"/>
        <v>0</v>
      </c>
    </row>
    <row r="2654" spans="4:28" x14ac:dyDescent="0.25">
      <c r="D2654" t="s">
        <v>99</v>
      </c>
      <c r="E2654" s="14"/>
      <c r="F2654" s="14"/>
      <c r="G2654">
        <f>IFERROR(HLOOKUP(G$2,[80]table_male_hkom2_inj.ill_X6!$A$1:$K$36,32,FALSE),0)</f>
        <v>0</v>
      </c>
      <c r="H2654">
        <f>IFERROR(HLOOKUP(H$2,[80]table_male_hkom2_inj.ill_X6!$A$1:$K$36,32,FALSE),0)</f>
        <v>0</v>
      </c>
      <c r="I2654">
        <f>IFERROR(HLOOKUP(I$2,[80]table_male_hkom2_inj.ill_X6!$A$1:$K$36,32,FALSE),0)</f>
        <v>0</v>
      </c>
      <c r="J2654">
        <f>IFERROR(HLOOKUP(J$2,[80]table_male_hkom2_inj.ill_X6!$A$1:$K$36,32,FALSE),0)</f>
        <v>0</v>
      </c>
      <c r="K2654">
        <f>IFERROR(HLOOKUP(K$2,[80]table_male_hkom2_inj.ill_X6!$A$1:$K$36,32,FALSE),0)</f>
        <v>0</v>
      </c>
      <c r="L2654">
        <f>IFERROR(HLOOKUP(L$2,[80]table_male_hkom2_inj.ill_X6!$A$1:$K$36,32,FALSE),0)</f>
        <v>0</v>
      </c>
      <c r="M2654">
        <f t="shared" si="822"/>
        <v>0</v>
      </c>
      <c r="S2654" t="s">
        <v>99</v>
      </c>
      <c r="T2654" s="5">
        <f t="shared" si="823"/>
        <v>0</v>
      </c>
      <c r="U2654" s="5">
        <f t="shared" si="824"/>
        <v>0</v>
      </c>
      <c r="V2654" s="5">
        <f t="shared" si="825"/>
        <v>0</v>
      </c>
      <c r="W2654" s="5">
        <f t="shared" si="826"/>
        <v>0</v>
      </c>
      <c r="X2654" s="5">
        <f t="shared" si="827"/>
        <v>0</v>
      </c>
      <c r="Y2654" s="5">
        <f t="shared" si="828"/>
        <v>0</v>
      </c>
      <c r="Z2654" s="5">
        <f t="shared" si="829"/>
        <v>0</v>
      </c>
      <c r="AA2654" s="5">
        <f t="shared" si="830"/>
        <v>0</v>
      </c>
      <c r="AB2654" s="5">
        <f t="shared" si="820"/>
        <v>0</v>
      </c>
    </row>
    <row r="2655" spans="4:28" x14ac:dyDescent="0.25">
      <c r="D2655" t="s">
        <v>100</v>
      </c>
      <c r="E2655" s="14"/>
      <c r="F2655" s="14"/>
      <c r="G2655">
        <f>IFERROR(HLOOKUP(G$2,[80]table_male_hkom2_inj.ill_X6!$A$1:$K$36,33,FALSE),0)</f>
        <v>0</v>
      </c>
      <c r="H2655">
        <f>IFERROR(HLOOKUP(H$2,[80]table_male_hkom2_inj.ill_X6!$A$1:$K$36,33,FALSE),0)</f>
        <v>0</v>
      </c>
      <c r="I2655">
        <f>IFERROR(HLOOKUP(I$2,[80]table_male_hkom2_inj.ill_X6!$A$1:$K$36,33,FALSE),0)</f>
        <v>0</v>
      </c>
      <c r="J2655">
        <f>IFERROR(HLOOKUP(J$2,[80]table_male_hkom2_inj.ill_X6!$A$1:$K$36,33,FALSE),0)</f>
        <v>0</v>
      </c>
      <c r="K2655">
        <f>IFERROR(HLOOKUP(K$2,[80]table_male_hkom2_inj.ill_X6!$A$1:$K$36,33,FALSE),0)</f>
        <v>0</v>
      </c>
      <c r="L2655">
        <f>IFERROR(HLOOKUP(L$2,[80]table_male_hkom2_inj.ill_X6!$A$1:$K$36,33,FALSE),0)</f>
        <v>0</v>
      </c>
      <c r="M2655">
        <f t="shared" si="822"/>
        <v>0</v>
      </c>
      <c r="S2655" t="s">
        <v>100</v>
      </c>
      <c r="T2655" s="5">
        <f t="shared" si="823"/>
        <v>0</v>
      </c>
      <c r="U2655" s="5">
        <f t="shared" si="824"/>
        <v>0</v>
      </c>
      <c r="V2655" s="5">
        <f t="shared" si="825"/>
        <v>0</v>
      </c>
      <c r="W2655" s="5">
        <f t="shared" si="826"/>
        <v>0</v>
      </c>
      <c r="X2655" s="5">
        <f t="shared" si="827"/>
        <v>0</v>
      </c>
      <c r="Y2655" s="5">
        <f t="shared" si="828"/>
        <v>0</v>
      </c>
      <c r="Z2655" s="5">
        <f t="shared" si="829"/>
        <v>0</v>
      </c>
      <c r="AA2655" s="5">
        <f t="shared" si="830"/>
        <v>0</v>
      </c>
      <c r="AB2655" s="5">
        <f t="shared" si="820"/>
        <v>0</v>
      </c>
    </row>
    <row r="2656" spans="4:28" x14ac:dyDescent="0.25">
      <c r="D2656" t="s">
        <v>101</v>
      </c>
      <c r="E2656" s="14"/>
      <c r="F2656" s="14"/>
      <c r="G2656">
        <f>IFERROR(HLOOKUP(G$2,[80]table_male_hkom2_inj.ill_X6!$A$1:$K$36,34,FALSE),0)</f>
        <v>0</v>
      </c>
      <c r="H2656">
        <f>IFERROR(HLOOKUP(H$2,[80]table_male_hkom2_inj.ill_X6!$A$1:$K$36,34,FALSE),0)</f>
        <v>0</v>
      </c>
      <c r="I2656">
        <f>IFERROR(HLOOKUP(I$2,[80]table_male_hkom2_inj.ill_X6!$A$1:$K$36,34,FALSE),0)</f>
        <v>0</v>
      </c>
      <c r="J2656">
        <f>IFERROR(HLOOKUP(J$2,[80]table_male_hkom2_inj.ill_X6!$A$1:$K$36,34,FALSE),0)</f>
        <v>0</v>
      </c>
      <c r="K2656">
        <f>IFERROR(HLOOKUP(K$2,[80]table_male_hkom2_inj.ill_X6!$A$1:$K$36,34,FALSE),0)</f>
        <v>0</v>
      </c>
      <c r="L2656">
        <f>IFERROR(HLOOKUP(L$2,[80]table_male_hkom2_inj.ill_X6!$A$1:$K$36,34,FALSE),0)</f>
        <v>0</v>
      </c>
      <c r="M2656">
        <f t="shared" si="822"/>
        <v>0</v>
      </c>
      <c r="S2656" t="s">
        <v>101</v>
      </c>
      <c r="T2656" s="5">
        <f t="shared" si="823"/>
        <v>0</v>
      </c>
      <c r="U2656" s="5">
        <f t="shared" si="824"/>
        <v>0</v>
      </c>
      <c r="V2656" s="5">
        <f t="shared" si="825"/>
        <v>0</v>
      </c>
      <c r="W2656" s="5">
        <f t="shared" si="826"/>
        <v>0</v>
      </c>
      <c r="X2656" s="5">
        <f t="shared" si="827"/>
        <v>0</v>
      </c>
      <c r="Y2656" s="5">
        <f t="shared" si="828"/>
        <v>0</v>
      </c>
      <c r="Z2656" s="5">
        <f t="shared" si="829"/>
        <v>0</v>
      </c>
      <c r="AA2656" s="5">
        <f t="shared" si="830"/>
        <v>0</v>
      </c>
      <c r="AB2656" s="5">
        <f t="shared" si="820"/>
        <v>0</v>
      </c>
    </row>
    <row r="2657" spans="1:29" x14ac:dyDescent="0.25">
      <c r="D2657" t="s">
        <v>102</v>
      </c>
      <c r="E2657" s="14"/>
      <c r="F2657" s="14"/>
      <c r="G2657">
        <f>IFERROR(HLOOKUP(G$2,[80]table_male_hkom2_inj.ill_X6!$A$1:$K$36,35,FALSE),0)</f>
        <v>0</v>
      </c>
      <c r="H2657">
        <f>IFERROR(HLOOKUP(H$2,[80]table_male_hkom2_inj.ill_X6!$A$1:$K$36,35,FALSE),0)</f>
        <v>0</v>
      </c>
      <c r="I2657">
        <f>IFERROR(HLOOKUP(I$2,[80]table_male_hkom2_inj.ill_X6!$A$1:$K$36,35,FALSE),0)</f>
        <v>0</v>
      </c>
      <c r="J2657">
        <f>IFERROR(HLOOKUP(J$2,[80]table_male_hkom2_inj.ill_X6!$A$1:$K$36,35,FALSE),0)</f>
        <v>0</v>
      </c>
      <c r="K2657">
        <f>IFERROR(HLOOKUP(K$2,[80]table_male_hkom2_inj.ill_X6!$A$1:$K$36,35,FALSE),0)</f>
        <v>0</v>
      </c>
      <c r="L2657">
        <f>IFERROR(HLOOKUP(L$2,[80]table_male_hkom2_inj.ill_X6!$A$1:$K$36,35,FALSE),0)</f>
        <v>0</v>
      </c>
      <c r="M2657">
        <f t="shared" si="822"/>
        <v>0</v>
      </c>
      <c r="N2657">
        <f>SUM(M2624:M2657)</f>
        <v>0</v>
      </c>
      <c r="O2657" s="8">
        <f>SUM([80]table_male_hkom2_inj.ill_X6!$B$2:$L$37)</f>
        <v>0</v>
      </c>
      <c r="S2657" t="s">
        <v>102</v>
      </c>
      <c r="T2657" s="7"/>
      <c r="U2657" s="7"/>
      <c r="V2657" s="7"/>
      <c r="W2657" s="7"/>
      <c r="X2657" s="7"/>
      <c r="Y2657" s="7"/>
      <c r="Z2657" s="7"/>
      <c r="AA2657" s="7"/>
      <c r="AB2657" s="5">
        <f t="shared" si="820"/>
        <v>0</v>
      </c>
      <c r="AC2657" s="5">
        <f>SUM(AB2624:AB2656)</f>
        <v>0</v>
      </c>
    </row>
    <row r="2658" spans="1:29" x14ac:dyDescent="0.25">
      <c r="A2658" t="s">
        <v>104</v>
      </c>
      <c r="B2658" t="s">
        <v>116</v>
      </c>
      <c r="C2658" t="s">
        <v>129</v>
      </c>
      <c r="D2658" t="s">
        <v>70</v>
      </c>
      <c r="E2658" s="14"/>
      <c r="F2658" s="14"/>
      <c r="G2658">
        <f>IFERROR(HLOOKUP(G$2,[81]table_male_hkom2_inj.ill_X7!$A$1:$K$36,2,FALSE),0)</f>
        <v>0</v>
      </c>
      <c r="H2658">
        <f>IFERROR(HLOOKUP(H$2,[81]table_male_hkom2_inj.ill_X7!$A$1:$K$36,2,FALSE),0)</f>
        <v>0</v>
      </c>
      <c r="I2658">
        <f>IFERROR(HLOOKUP(I$2,[81]table_male_hkom2_inj.ill_X7!$A$1:$K$36,2,FALSE),0)</f>
        <v>0</v>
      </c>
      <c r="J2658">
        <f>IFERROR(HLOOKUP(J$2,[81]table_male_hkom2_inj.ill_X7!$A$1:$K$36,2,FALSE),0)</f>
        <v>0</v>
      </c>
      <c r="K2658">
        <f>IFERROR(HLOOKUP(K$2,[81]table_male_hkom2_inj.ill_X7!$A$1:$K$36,2,FALSE),0)</f>
        <v>0</v>
      </c>
      <c r="L2658">
        <f>IFERROR(HLOOKUP(L$2,[81]table_male_hkom2_inj.ill_X7!$A$1:$K$36,2,FALSE),0)</f>
        <v>0</v>
      </c>
      <c r="M2658">
        <f>SUM(E2658:L2658)</f>
        <v>0</v>
      </c>
      <c r="P2658" t="s">
        <v>104</v>
      </c>
      <c r="Q2658" t="s">
        <v>116</v>
      </c>
      <c r="R2658" t="s">
        <v>129</v>
      </c>
      <c r="S2658" t="s">
        <v>70</v>
      </c>
      <c r="T2658" s="5">
        <f>IF(SUM(E$2658:E$2690)=0,E$2691/33,E2658+IFERROR(E2658/SUM(E$2658:E$2690)*E$2691,0))</f>
        <v>0</v>
      </c>
      <c r="U2658" s="5">
        <f t="shared" ref="U2658:AA2658" si="831">IF(SUM(F$2658:F$2690)=0,F$2691/33,F2658+IFERROR(F2658/SUM(F$2658:F$2690)*F$2691,0))</f>
        <v>0</v>
      </c>
      <c r="V2658" s="5">
        <f t="shared" si="831"/>
        <v>0</v>
      </c>
      <c r="W2658" s="5">
        <f t="shared" si="831"/>
        <v>0</v>
      </c>
      <c r="X2658" s="5">
        <f t="shared" si="831"/>
        <v>0</v>
      </c>
      <c r="Y2658" s="5">
        <f t="shared" si="831"/>
        <v>0</v>
      </c>
      <c r="Z2658" s="5">
        <f t="shared" si="831"/>
        <v>0</v>
      </c>
      <c r="AA2658" s="5">
        <f t="shared" si="831"/>
        <v>0</v>
      </c>
      <c r="AB2658" s="5">
        <f t="shared" si="820"/>
        <v>0</v>
      </c>
    </row>
    <row r="2659" spans="1:29" x14ac:dyDescent="0.25">
      <c r="D2659" t="s">
        <v>71</v>
      </c>
      <c r="E2659" s="14"/>
      <c r="F2659" s="14"/>
      <c r="G2659">
        <f>IFERROR(HLOOKUP(G$2,[81]table_male_hkom2_inj.ill_X7!$A$1:$K$36,3,FALSE),0)</f>
        <v>0</v>
      </c>
      <c r="H2659">
        <f>IFERROR(HLOOKUP(H$2,[81]table_male_hkom2_inj.ill_X7!$A$1:$K$36,3,FALSE),0)</f>
        <v>0</v>
      </c>
      <c r="I2659">
        <f>IFERROR(HLOOKUP(I$2,[81]table_male_hkom2_inj.ill_X7!$A$1:$K$36,3,FALSE),0)</f>
        <v>0</v>
      </c>
      <c r="J2659">
        <f>IFERROR(HLOOKUP(J$2,[81]table_male_hkom2_inj.ill_X7!$A$1:$K$36,3,FALSE),0)</f>
        <v>0</v>
      </c>
      <c r="K2659">
        <f>IFERROR(HLOOKUP(K$2,[81]table_male_hkom2_inj.ill_X7!$A$1:$K$36,3,FALSE),0)</f>
        <v>0</v>
      </c>
      <c r="L2659">
        <f>IFERROR(HLOOKUP(L$2,[81]table_male_hkom2_inj.ill_X7!$A$1:$K$36,3,FALSE),0)</f>
        <v>0</v>
      </c>
      <c r="M2659">
        <f t="shared" ref="M2659:M2691" si="832">SUM(E2659:L2659)</f>
        <v>0</v>
      </c>
      <c r="S2659" t="s">
        <v>71</v>
      </c>
      <c r="T2659" s="5">
        <f t="shared" ref="T2659:T2690" si="833">IF(SUM(E$2658:E$2690)=0,E$2691/33,E2659+IFERROR(E2659/SUM(E$2658:E$2690)*E$2691,0))</f>
        <v>0</v>
      </c>
      <c r="U2659" s="5">
        <f t="shared" ref="U2659:U2690" si="834">IF(SUM(F$2658:F$2690)=0,F$2691/33,F2659+IFERROR(F2659/SUM(F$2658:F$2690)*F$2691,0))</f>
        <v>0</v>
      </c>
      <c r="V2659" s="5">
        <f t="shared" ref="V2659:V2690" si="835">IF(SUM(G$2658:G$2690)=0,G$2691/33,G2659+IFERROR(G2659/SUM(G$2658:G$2690)*G$2691,0))</f>
        <v>0</v>
      </c>
      <c r="W2659" s="5">
        <f t="shared" ref="W2659:W2690" si="836">IF(SUM(H$2658:H$2690)=0,H$2691/33,H2659+IFERROR(H2659/SUM(H$2658:H$2690)*H$2691,0))</f>
        <v>0</v>
      </c>
      <c r="X2659" s="5">
        <f t="shared" ref="X2659:X2690" si="837">IF(SUM(I$2658:I$2690)=0,I$2691/33,I2659+IFERROR(I2659/SUM(I$2658:I$2690)*I$2691,0))</f>
        <v>0</v>
      </c>
      <c r="Y2659" s="5">
        <f t="shared" ref="Y2659:Y2690" si="838">IF(SUM(J$2658:J$2690)=0,J$2691/33,J2659+IFERROR(J2659/SUM(J$2658:J$2690)*J$2691,0))</f>
        <v>0</v>
      </c>
      <c r="Z2659" s="5">
        <f t="shared" ref="Z2659:Z2690" si="839">IF(SUM(K$2658:K$2690)=0,K$2691/33,K2659+IFERROR(K2659/SUM(K$2658:K$2690)*K$2691,0))</f>
        <v>0</v>
      </c>
      <c r="AA2659" s="5">
        <f t="shared" ref="AA2659:AA2690" si="840">IF(SUM(L$2658:L$2690)=0,L$2691/33,L2659+IFERROR(L2659/SUM(L$2658:L$2690)*L$2691,0))</f>
        <v>0</v>
      </c>
      <c r="AB2659" s="5">
        <f t="shared" si="820"/>
        <v>0</v>
      </c>
    </row>
    <row r="2660" spans="1:29" x14ac:dyDescent="0.25">
      <c r="D2660" t="s">
        <v>72</v>
      </c>
      <c r="E2660" s="14"/>
      <c r="F2660" s="14"/>
      <c r="G2660">
        <f>IFERROR(HLOOKUP(G$2,[81]table_male_hkom2_inj.ill_X7!$A$1:$K$36,4,FALSE),0)</f>
        <v>0</v>
      </c>
      <c r="H2660">
        <f>IFERROR(HLOOKUP(H$2,[81]table_male_hkom2_inj.ill_X7!$A$1:$K$36,4,FALSE),0)</f>
        <v>0</v>
      </c>
      <c r="I2660">
        <f>IFERROR(HLOOKUP(I$2,[81]table_male_hkom2_inj.ill_X7!$A$1:$K$36,4,FALSE),0)</f>
        <v>0</v>
      </c>
      <c r="J2660">
        <f>IFERROR(HLOOKUP(J$2,[81]table_male_hkom2_inj.ill_X7!$A$1:$K$36,4,FALSE),0)</f>
        <v>0</v>
      </c>
      <c r="K2660">
        <f>IFERROR(HLOOKUP(K$2,[81]table_male_hkom2_inj.ill_X7!$A$1:$K$36,4,FALSE),0)</f>
        <v>0</v>
      </c>
      <c r="L2660">
        <f>IFERROR(HLOOKUP(L$2,[81]table_male_hkom2_inj.ill_X7!$A$1:$K$36,4,FALSE),0)</f>
        <v>0</v>
      </c>
      <c r="M2660">
        <f t="shared" si="832"/>
        <v>0</v>
      </c>
      <c r="S2660" t="s">
        <v>72</v>
      </c>
      <c r="T2660" s="5">
        <f t="shared" si="833"/>
        <v>0</v>
      </c>
      <c r="U2660" s="5">
        <f t="shared" si="834"/>
        <v>0</v>
      </c>
      <c r="V2660" s="5">
        <f t="shared" si="835"/>
        <v>0</v>
      </c>
      <c r="W2660" s="5">
        <f t="shared" si="836"/>
        <v>0</v>
      </c>
      <c r="X2660" s="5">
        <f t="shared" si="837"/>
        <v>0</v>
      </c>
      <c r="Y2660" s="5">
        <f t="shared" si="838"/>
        <v>0</v>
      </c>
      <c r="Z2660" s="5">
        <f t="shared" si="839"/>
        <v>0</v>
      </c>
      <c r="AA2660" s="5">
        <f t="shared" si="840"/>
        <v>0</v>
      </c>
      <c r="AB2660" s="5">
        <f t="shared" si="820"/>
        <v>0</v>
      </c>
    </row>
    <row r="2661" spans="1:29" x14ac:dyDescent="0.25">
      <c r="D2661" t="s">
        <v>73</v>
      </c>
      <c r="E2661" s="14"/>
      <c r="F2661" s="14"/>
      <c r="G2661">
        <f>IFERROR(HLOOKUP(G$2,[81]table_male_hkom2_inj.ill_X7!$A$1:$K$36,5,FALSE),0)</f>
        <v>0</v>
      </c>
      <c r="H2661">
        <f>IFERROR(HLOOKUP(H$2,[81]table_male_hkom2_inj.ill_X7!$A$1:$K$36,5,FALSE),0)</f>
        <v>0</v>
      </c>
      <c r="I2661">
        <f>IFERROR(HLOOKUP(I$2,[81]table_male_hkom2_inj.ill_X7!$A$1:$K$36,5,FALSE),0)</f>
        <v>0</v>
      </c>
      <c r="J2661">
        <f>IFERROR(HLOOKUP(J$2,[81]table_male_hkom2_inj.ill_X7!$A$1:$K$36,5,FALSE),0)</f>
        <v>0</v>
      </c>
      <c r="K2661">
        <f>IFERROR(HLOOKUP(K$2,[81]table_male_hkom2_inj.ill_X7!$A$1:$K$36,5,FALSE),0)</f>
        <v>0</v>
      </c>
      <c r="L2661">
        <f>IFERROR(HLOOKUP(L$2,[81]table_male_hkom2_inj.ill_X7!$A$1:$K$36,5,FALSE),0)</f>
        <v>0</v>
      </c>
      <c r="M2661">
        <f t="shared" si="832"/>
        <v>0</v>
      </c>
      <c r="S2661" t="s">
        <v>73</v>
      </c>
      <c r="T2661" s="5">
        <f t="shared" si="833"/>
        <v>0</v>
      </c>
      <c r="U2661" s="5">
        <f t="shared" si="834"/>
        <v>0</v>
      </c>
      <c r="V2661" s="5">
        <f t="shared" si="835"/>
        <v>0</v>
      </c>
      <c r="W2661" s="5">
        <f t="shared" si="836"/>
        <v>0</v>
      </c>
      <c r="X2661" s="5">
        <f t="shared" si="837"/>
        <v>0</v>
      </c>
      <c r="Y2661" s="5">
        <f t="shared" si="838"/>
        <v>0</v>
      </c>
      <c r="Z2661" s="5">
        <f t="shared" si="839"/>
        <v>0</v>
      </c>
      <c r="AA2661" s="5">
        <f t="shared" si="840"/>
        <v>0</v>
      </c>
      <c r="AB2661" s="5">
        <f t="shared" si="820"/>
        <v>0</v>
      </c>
    </row>
    <row r="2662" spans="1:29" x14ac:dyDescent="0.25">
      <c r="D2662" t="s">
        <v>74</v>
      </c>
      <c r="E2662" s="14"/>
      <c r="F2662" s="14"/>
      <c r="G2662">
        <f>IFERROR(HLOOKUP(G$2,[81]table_male_hkom2_inj.ill_X7!$A$1:$K$36,6,FALSE),0)</f>
        <v>0</v>
      </c>
      <c r="H2662">
        <f>IFERROR(HLOOKUP(H$2,[81]table_male_hkom2_inj.ill_X7!$A$1:$K$36,6,FALSE),0)</f>
        <v>0</v>
      </c>
      <c r="I2662">
        <f>IFERROR(HLOOKUP(I$2,[81]table_male_hkom2_inj.ill_X7!$A$1:$K$36,6,FALSE),0)</f>
        <v>0</v>
      </c>
      <c r="J2662">
        <f>IFERROR(HLOOKUP(J$2,[81]table_male_hkom2_inj.ill_X7!$A$1:$K$36,6,FALSE),0)</f>
        <v>0</v>
      </c>
      <c r="K2662">
        <f>IFERROR(HLOOKUP(K$2,[81]table_male_hkom2_inj.ill_X7!$A$1:$K$36,6,FALSE),0)</f>
        <v>0</v>
      </c>
      <c r="L2662">
        <f>IFERROR(HLOOKUP(L$2,[81]table_male_hkom2_inj.ill_X7!$A$1:$K$36,6,FALSE),0)</f>
        <v>0</v>
      </c>
      <c r="M2662">
        <f t="shared" si="832"/>
        <v>0</v>
      </c>
      <c r="S2662" t="s">
        <v>74</v>
      </c>
      <c r="T2662" s="5">
        <f t="shared" si="833"/>
        <v>0</v>
      </c>
      <c r="U2662" s="5">
        <f t="shared" si="834"/>
        <v>0</v>
      </c>
      <c r="V2662" s="5">
        <f t="shared" si="835"/>
        <v>0</v>
      </c>
      <c r="W2662" s="5">
        <f t="shared" si="836"/>
        <v>0</v>
      </c>
      <c r="X2662" s="5">
        <f t="shared" si="837"/>
        <v>0</v>
      </c>
      <c r="Y2662" s="5">
        <f t="shared" si="838"/>
        <v>0</v>
      </c>
      <c r="Z2662" s="5">
        <f t="shared" si="839"/>
        <v>0</v>
      </c>
      <c r="AA2662" s="5">
        <f t="shared" si="840"/>
        <v>0</v>
      </c>
      <c r="AB2662" s="5">
        <f t="shared" si="820"/>
        <v>0</v>
      </c>
    </row>
    <row r="2663" spans="1:29" x14ac:dyDescent="0.25">
      <c r="D2663" t="s">
        <v>75</v>
      </c>
      <c r="E2663" s="14"/>
      <c r="F2663" s="14"/>
      <c r="G2663">
        <f>IFERROR(HLOOKUP(G$2,[81]table_male_hkom2_inj.ill_X7!$A$1:$K$36,7,FALSE),0)</f>
        <v>0</v>
      </c>
      <c r="H2663">
        <f>IFERROR(HLOOKUP(H$2,[81]table_male_hkom2_inj.ill_X7!$A$1:$K$36,7,FALSE),0)</f>
        <v>1</v>
      </c>
      <c r="I2663">
        <f>IFERROR(HLOOKUP(I$2,[81]table_male_hkom2_inj.ill_X7!$A$1:$K$36,7,FALSE),0)</f>
        <v>0</v>
      </c>
      <c r="J2663">
        <f>IFERROR(HLOOKUP(J$2,[81]table_male_hkom2_inj.ill_X7!$A$1:$K$36,7,FALSE),0)</f>
        <v>0</v>
      </c>
      <c r="K2663">
        <f>IFERROR(HLOOKUP(K$2,[81]table_male_hkom2_inj.ill_X7!$A$1:$K$36,7,FALSE),0)</f>
        <v>0</v>
      </c>
      <c r="L2663">
        <f>IFERROR(HLOOKUP(L$2,[81]table_male_hkom2_inj.ill_X7!$A$1:$K$36,7,FALSE),0)</f>
        <v>0</v>
      </c>
      <c r="M2663">
        <f t="shared" si="832"/>
        <v>1</v>
      </c>
      <c r="S2663" t="s">
        <v>75</v>
      </c>
      <c r="T2663" s="5">
        <f t="shared" si="833"/>
        <v>0</v>
      </c>
      <c r="U2663" s="5">
        <f t="shared" si="834"/>
        <v>0</v>
      </c>
      <c r="V2663" s="5">
        <f t="shared" si="835"/>
        <v>0</v>
      </c>
      <c r="W2663" s="5">
        <f t="shared" si="836"/>
        <v>1</v>
      </c>
      <c r="X2663" s="5">
        <f t="shared" si="837"/>
        <v>0</v>
      </c>
      <c r="Y2663" s="5">
        <f t="shared" si="838"/>
        <v>0</v>
      </c>
      <c r="Z2663" s="5">
        <f t="shared" si="839"/>
        <v>0</v>
      </c>
      <c r="AA2663" s="5">
        <f t="shared" si="840"/>
        <v>0</v>
      </c>
      <c r="AB2663" s="5">
        <f t="shared" si="820"/>
        <v>1</v>
      </c>
    </row>
    <row r="2664" spans="1:29" x14ac:dyDescent="0.25">
      <c r="D2664" t="s">
        <v>76</v>
      </c>
      <c r="E2664" s="14"/>
      <c r="F2664" s="14"/>
      <c r="G2664">
        <f>IFERROR(HLOOKUP(G$2,[81]table_male_hkom2_inj.ill_X7!$A$1:$K$36,8,FALSE),0)</f>
        <v>0</v>
      </c>
      <c r="H2664">
        <f>IFERROR(HLOOKUP(H$2,[81]table_male_hkom2_inj.ill_X7!$A$1:$K$36,8,FALSE),0)</f>
        <v>0</v>
      </c>
      <c r="I2664">
        <f>IFERROR(HLOOKUP(I$2,[81]table_male_hkom2_inj.ill_X7!$A$1:$K$36,8,FALSE),0)</f>
        <v>0</v>
      </c>
      <c r="J2664">
        <f>IFERROR(HLOOKUP(J$2,[81]table_male_hkom2_inj.ill_X7!$A$1:$K$36,8,FALSE),0)</f>
        <v>0</v>
      </c>
      <c r="K2664">
        <f>IFERROR(HLOOKUP(K$2,[81]table_male_hkom2_inj.ill_X7!$A$1:$K$36,8,FALSE),0)</f>
        <v>0</v>
      </c>
      <c r="L2664">
        <f>IFERROR(HLOOKUP(L$2,[81]table_male_hkom2_inj.ill_X7!$A$1:$K$36,8,FALSE),0)</f>
        <v>0</v>
      </c>
      <c r="M2664">
        <f t="shared" si="832"/>
        <v>0</v>
      </c>
      <c r="S2664" t="s">
        <v>76</v>
      </c>
      <c r="T2664" s="5">
        <f t="shared" si="833"/>
        <v>0</v>
      </c>
      <c r="U2664" s="5">
        <f t="shared" si="834"/>
        <v>0</v>
      </c>
      <c r="V2664" s="5">
        <f t="shared" si="835"/>
        <v>0</v>
      </c>
      <c r="W2664" s="5">
        <f t="shared" si="836"/>
        <v>0</v>
      </c>
      <c r="X2664" s="5">
        <f t="shared" si="837"/>
        <v>0</v>
      </c>
      <c r="Y2664" s="5">
        <f t="shared" si="838"/>
        <v>0</v>
      </c>
      <c r="Z2664" s="5">
        <f t="shared" si="839"/>
        <v>0</v>
      </c>
      <c r="AA2664" s="5">
        <f t="shared" si="840"/>
        <v>0</v>
      </c>
      <c r="AB2664" s="5">
        <f t="shared" si="820"/>
        <v>0</v>
      </c>
    </row>
    <row r="2665" spans="1:29" x14ac:dyDescent="0.25">
      <c r="D2665" t="s">
        <v>77</v>
      </c>
      <c r="E2665" s="14"/>
      <c r="F2665" s="14"/>
      <c r="G2665">
        <f>IFERROR(HLOOKUP(G$2,[81]table_male_hkom2_inj.ill_X7!$A$1:$K$36,9,FALSE),0)</f>
        <v>0</v>
      </c>
      <c r="H2665">
        <f>IFERROR(HLOOKUP(H$2,[81]table_male_hkom2_inj.ill_X7!$A$1:$K$36,9,FALSE),0)</f>
        <v>0</v>
      </c>
      <c r="I2665">
        <f>IFERROR(HLOOKUP(I$2,[81]table_male_hkom2_inj.ill_X7!$A$1:$K$36,9,FALSE),0)</f>
        <v>0</v>
      </c>
      <c r="J2665">
        <f>IFERROR(HLOOKUP(J$2,[81]table_male_hkom2_inj.ill_X7!$A$1:$K$36,9,FALSE),0)</f>
        <v>0</v>
      </c>
      <c r="K2665">
        <f>IFERROR(HLOOKUP(K$2,[81]table_male_hkom2_inj.ill_X7!$A$1:$K$36,9,FALSE),0)</f>
        <v>0</v>
      </c>
      <c r="L2665">
        <f>IFERROR(HLOOKUP(L$2,[81]table_male_hkom2_inj.ill_X7!$A$1:$K$36,9,FALSE),0)</f>
        <v>0</v>
      </c>
      <c r="M2665">
        <f t="shared" si="832"/>
        <v>0</v>
      </c>
      <c r="S2665" t="s">
        <v>77</v>
      </c>
      <c r="T2665" s="5">
        <f t="shared" si="833"/>
        <v>0</v>
      </c>
      <c r="U2665" s="5">
        <f t="shared" si="834"/>
        <v>0</v>
      </c>
      <c r="V2665" s="5">
        <f t="shared" si="835"/>
        <v>0</v>
      </c>
      <c r="W2665" s="5">
        <f t="shared" si="836"/>
        <v>0</v>
      </c>
      <c r="X2665" s="5">
        <f t="shared" si="837"/>
        <v>0</v>
      </c>
      <c r="Y2665" s="5">
        <f t="shared" si="838"/>
        <v>0</v>
      </c>
      <c r="Z2665" s="5">
        <f t="shared" si="839"/>
        <v>0</v>
      </c>
      <c r="AA2665" s="5">
        <f t="shared" si="840"/>
        <v>0</v>
      </c>
      <c r="AB2665" s="5">
        <f t="shared" si="820"/>
        <v>0</v>
      </c>
    </row>
    <row r="2666" spans="1:29" x14ac:dyDescent="0.25">
      <c r="D2666" t="s">
        <v>78</v>
      </c>
      <c r="E2666" s="14"/>
      <c r="F2666" s="14"/>
      <c r="G2666">
        <f>IFERROR(HLOOKUP(G$2,[81]table_male_hkom2_inj.ill_X7!$A$1:$K$36,10,FALSE),0)</f>
        <v>0</v>
      </c>
      <c r="H2666">
        <f>IFERROR(HLOOKUP(H$2,[81]table_male_hkom2_inj.ill_X7!$A$1:$K$36,10,FALSE),0)</f>
        <v>0</v>
      </c>
      <c r="I2666">
        <f>IFERROR(HLOOKUP(I$2,[81]table_male_hkom2_inj.ill_X7!$A$1:$K$36,10,FALSE),0)</f>
        <v>0</v>
      </c>
      <c r="J2666">
        <f>IFERROR(HLOOKUP(J$2,[81]table_male_hkom2_inj.ill_X7!$A$1:$K$36,10,FALSE),0)</f>
        <v>0</v>
      </c>
      <c r="K2666">
        <f>IFERROR(HLOOKUP(K$2,[81]table_male_hkom2_inj.ill_X7!$A$1:$K$36,10,FALSE),0)</f>
        <v>0</v>
      </c>
      <c r="L2666">
        <f>IFERROR(HLOOKUP(L$2,[81]table_male_hkom2_inj.ill_X7!$A$1:$K$36,10,FALSE),0)</f>
        <v>0</v>
      </c>
      <c r="M2666">
        <f t="shared" si="832"/>
        <v>0</v>
      </c>
      <c r="S2666" t="s">
        <v>78</v>
      </c>
      <c r="T2666" s="5">
        <f t="shared" si="833"/>
        <v>0</v>
      </c>
      <c r="U2666" s="5">
        <f t="shared" si="834"/>
        <v>0</v>
      </c>
      <c r="V2666" s="5">
        <f t="shared" si="835"/>
        <v>0</v>
      </c>
      <c r="W2666" s="5">
        <f t="shared" si="836"/>
        <v>0</v>
      </c>
      <c r="X2666" s="5">
        <f t="shared" si="837"/>
        <v>0</v>
      </c>
      <c r="Y2666" s="5">
        <f t="shared" si="838"/>
        <v>0</v>
      </c>
      <c r="Z2666" s="5">
        <f t="shared" si="839"/>
        <v>0</v>
      </c>
      <c r="AA2666" s="5">
        <f t="shared" si="840"/>
        <v>0</v>
      </c>
      <c r="AB2666" s="5">
        <f t="shared" si="820"/>
        <v>0</v>
      </c>
    </row>
    <row r="2667" spans="1:29" x14ac:dyDescent="0.25">
      <c r="D2667" t="s">
        <v>79</v>
      </c>
      <c r="E2667" s="14"/>
      <c r="F2667" s="14"/>
      <c r="G2667">
        <f>IFERROR(HLOOKUP(G$2,[81]table_male_hkom2_inj.ill_X7!$A$1:$K$36,11,FALSE),0)</f>
        <v>0</v>
      </c>
      <c r="H2667">
        <f>IFERROR(HLOOKUP(H$2,[81]table_male_hkom2_inj.ill_X7!$A$1:$K$36,11,FALSE),0)</f>
        <v>0</v>
      </c>
      <c r="I2667">
        <f>IFERROR(HLOOKUP(I$2,[81]table_male_hkom2_inj.ill_X7!$A$1:$K$36,11,FALSE),0)</f>
        <v>0</v>
      </c>
      <c r="J2667">
        <f>IFERROR(HLOOKUP(J$2,[81]table_male_hkom2_inj.ill_X7!$A$1:$K$36,11,FALSE),0)</f>
        <v>0</v>
      </c>
      <c r="K2667">
        <f>IFERROR(HLOOKUP(K$2,[81]table_male_hkom2_inj.ill_X7!$A$1:$K$36,11,FALSE),0)</f>
        <v>0</v>
      </c>
      <c r="L2667">
        <f>IFERROR(HLOOKUP(L$2,[81]table_male_hkom2_inj.ill_X7!$A$1:$K$36,11,FALSE),0)</f>
        <v>0</v>
      </c>
      <c r="M2667">
        <f t="shared" si="832"/>
        <v>0</v>
      </c>
      <c r="S2667" t="s">
        <v>79</v>
      </c>
      <c r="T2667" s="5">
        <f t="shared" si="833"/>
        <v>0</v>
      </c>
      <c r="U2667" s="5">
        <f t="shared" si="834"/>
        <v>0</v>
      </c>
      <c r="V2667" s="5">
        <f t="shared" si="835"/>
        <v>0</v>
      </c>
      <c r="W2667" s="5">
        <f t="shared" si="836"/>
        <v>0</v>
      </c>
      <c r="X2667" s="5">
        <f t="shared" si="837"/>
        <v>0</v>
      </c>
      <c r="Y2667" s="5">
        <f t="shared" si="838"/>
        <v>0</v>
      </c>
      <c r="Z2667" s="5">
        <f t="shared" si="839"/>
        <v>0</v>
      </c>
      <c r="AA2667" s="5">
        <f t="shared" si="840"/>
        <v>0</v>
      </c>
      <c r="AB2667" s="5">
        <f t="shared" ref="AB2667:AB2730" si="841">SUM(T2667:AA2667)</f>
        <v>0</v>
      </c>
    </row>
    <row r="2668" spans="1:29" x14ac:dyDescent="0.25">
      <c r="D2668" t="s">
        <v>80</v>
      </c>
      <c r="E2668" s="14"/>
      <c r="F2668" s="14"/>
      <c r="G2668">
        <f>IFERROR(HLOOKUP(G$2,[81]table_male_hkom2_inj.ill_X7!$A$1:$K$36,12,FALSE),0)</f>
        <v>0</v>
      </c>
      <c r="H2668">
        <f>IFERROR(HLOOKUP(H$2,[81]table_male_hkom2_inj.ill_X7!$A$1:$K$36,12,FALSE),0)</f>
        <v>0</v>
      </c>
      <c r="I2668">
        <f>IFERROR(HLOOKUP(I$2,[81]table_male_hkom2_inj.ill_X7!$A$1:$K$36,12,FALSE),0)</f>
        <v>0</v>
      </c>
      <c r="J2668">
        <f>IFERROR(HLOOKUP(J$2,[81]table_male_hkom2_inj.ill_X7!$A$1:$K$36,12,FALSE),0)</f>
        <v>0</v>
      </c>
      <c r="K2668">
        <f>IFERROR(HLOOKUP(K$2,[81]table_male_hkom2_inj.ill_X7!$A$1:$K$36,12,FALSE),0)</f>
        <v>0</v>
      </c>
      <c r="L2668">
        <f>IFERROR(HLOOKUP(L$2,[81]table_male_hkom2_inj.ill_X7!$A$1:$K$36,12,FALSE),0)</f>
        <v>0</v>
      </c>
      <c r="M2668">
        <f t="shared" si="832"/>
        <v>0</v>
      </c>
      <c r="S2668" t="s">
        <v>80</v>
      </c>
      <c r="T2668" s="5">
        <f t="shared" si="833"/>
        <v>0</v>
      </c>
      <c r="U2668" s="5">
        <f t="shared" si="834"/>
        <v>0</v>
      </c>
      <c r="V2668" s="5">
        <f t="shared" si="835"/>
        <v>0</v>
      </c>
      <c r="W2668" s="5">
        <f t="shared" si="836"/>
        <v>0</v>
      </c>
      <c r="X2668" s="5">
        <f t="shared" si="837"/>
        <v>0</v>
      </c>
      <c r="Y2668" s="5">
        <f t="shared" si="838"/>
        <v>0</v>
      </c>
      <c r="Z2668" s="5">
        <f t="shared" si="839"/>
        <v>0</v>
      </c>
      <c r="AA2668" s="5">
        <f t="shared" si="840"/>
        <v>0</v>
      </c>
      <c r="AB2668" s="5">
        <f t="shared" si="841"/>
        <v>0</v>
      </c>
    </row>
    <row r="2669" spans="1:29" x14ac:dyDescent="0.25">
      <c r="D2669" t="s">
        <v>81</v>
      </c>
      <c r="E2669" s="14"/>
      <c r="F2669" s="14"/>
      <c r="G2669">
        <f>IFERROR(HLOOKUP(G$2,[81]table_male_hkom2_inj.ill_X7!$A$1:$K$36,13,FALSE),0)</f>
        <v>0</v>
      </c>
      <c r="H2669">
        <f>IFERROR(HLOOKUP(H$2,[81]table_male_hkom2_inj.ill_X7!$A$1:$K$36,13,FALSE),0)</f>
        <v>0</v>
      </c>
      <c r="I2669">
        <f>IFERROR(HLOOKUP(I$2,[81]table_male_hkom2_inj.ill_X7!$A$1:$K$36,13,FALSE),0)</f>
        <v>0</v>
      </c>
      <c r="J2669">
        <f>IFERROR(HLOOKUP(J$2,[81]table_male_hkom2_inj.ill_X7!$A$1:$K$36,13,FALSE),0)</f>
        <v>0</v>
      </c>
      <c r="K2669">
        <f>IFERROR(HLOOKUP(K$2,[81]table_male_hkom2_inj.ill_X7!$A$1:$K$36,13,FALSE),0)</f>
        <v>0</v>
      </c>
      <c r="L2669">
        <f>IFERROR(HLOOKUP(L$2,[81]table_male_hkom2_inj.ill_X7!$A$1:$K$36,13,FALSE),0)</f>
        <v>0</v>
      </c>
      <c r="M2669">
        <f t="shared" si="832"/>
        <v>0</v>
      </c>
      <c r="S2669" t="s">
        <v>81</v>
      </c>
      <c r="T2669" s="5">
        <f t="shared" si="833"/>
        <v>0</v>
      </c>
      <c r="U2669" s="5">
        <f t="shared" si="834"/>
        <v>0</v>
      </c>
      <c r="V2669" s="5">
        <f t="shared" si="835"/>
        <v>0</v>
      </c>
      <c r="W2669" s="5">
        <f t="shared" si="836"/>
        <v>0</v>
      </c>
      <c r="X2669" s="5">
        <f t="shared" si="837"/>
        <v>0</v>
      </c>
      <c r="Y2669" s="5">
        <f t="shared" si="838"/>
        <v>0</v>
      </c>
      <c r="Z2669" s="5">
        <f t="shared" si="839"/>
        <v>0</v>
      </c>
      <c r="AA2669" s="5">
        <f t="shared" si="840"/>
        <v>0</v>
      </c>
      <c r="AB2669" s="5">
        <f t="shared" si="841"/>
        <v>0</v>
      </c>
    </row>
    <row r="2670" spans="1:29" x14ac:dyDescent="0.25">
      <c r="D2670" t="s">
        <v>82</v>
      </c>
      <c r="E2670" s="14"/>
      <c r="F2670" s="14"/>
      <c r="G2670">
        <f>IFERROR(HLOOKUP(G$2,[81]table_male_hkom2_inj.ill_X7!$A$1:$K$36,14,FALSE),0)</f>
        <v>0</v>
      </c>
      <c r="H2670">
        <f>IFERROR(HLOOKUP(H$2,[81]table_male_hkom2_inj.ill_X7!$A$1:$K$36,14,FALSE),0)</f>
        <v>0</v>
      </c>
      <c r="I2670">
        <f>IFERROR(HLOOKUP(I$2,[81]table_male_hkom2_inj.ill_X7!$A$1:$K$36,14,FALSE),0)</f>
        <v>0</v>
      </c>
      <c r="J2670">
        <f>IFERROR(HLOOKUP(J$2,[81]table_male_hkom2_inj.ill_X7!$A$1:$K$36,14,FALSE),0)</f>
        <v>0</v>
      </c>
      <c r="K2670">
        <f>IFERROR(HLOOKUP(K$2,[81]table_male_hkom2_inj.ill_X7!$A$1:$K$36,14,FALSE),0)</f>
        <v>0</v>
      </c>
      <c r="L2670">
        <f>IFERROR(HLOOKUP(L$2,[81]table_male_hkom2_inj.ill_X7!$A$1:$K$36,14,FALSE),0)</f>
        <v>0</v>
      </c>
      <c r="M2670">
        <f t="shared" si="832"/>
        <v>0</v>
      </c>
      <c r="S2670" t="s">
        <v>82</v>
      </c>
      <c r="T2670" s="5">
        <f t="shared" si="833"/>
        <v>0</v>
      </c>
      <c r="U2670" s="5">
        <f t="shared" si="834"/>
        <v>0</v>
      </c>
      <c r="V2670" s="5">
        <f t="shared" si="835"/>
        <v>0</v>
      </c>
      <c r="W2670" s="5">
        <f t="shared" si="836"/>
        <v>0</v>
      </c>
      <c r="X2670" s="5">
        <f t="shared" si="837"/>
        <v>0</v>
      </c>
      <c r="Y2670" s="5">
        <f t="shared" si="838"/>
        <v>0</v>
      </c>
      <c r="Z2670" s="5">
        <f t="shared" si="839"/>
        <v>0</v>
      </c>
      <c r="AA2670" s="5">
        <f t="shared" si="840"/>
        <v>0</v>
      </c>
      <c r="AB2670" s="5">
        <f t="shared" si="841"/>
        <v>0</v>
      </c>
    </row>
    <row r="2671" spans="1:29" x14ac:dyDescent="0.25">
      <c r="D2671" t="s">
        <v>83</v>
      </c>
      <c r="E2671" s="14"/>
      <c r="F2671" s="14"/>
      <c r="G2671">
        <f>IFERROR(HLOOKUP(G$2,[81]table_male_hkom2_inj.ill_X7!$A$1:$K$36,15,FALSE),0)</f>
        <v>0</v>
      </c>
      <c r="H2671">
        <f>IFERROR(HLOOKUP(H$2,[81]table_male_hkom2_inj.ill_X7!$A$1:$K$36,15,FALSE),0)</f>
        <v>0</v>
      </c>
      <c r="I2671">
        <f>IFERROR(HLOOKUP(I$2,[81]table_male_hkom2_inj.ill_X7!$A$1:$K$36,15,FALSE),0)</f>
        <v>0</v>
      </c>
      <c r="J2671">
        <f>IFERROR(HLOOKUP(J$2,[81]table_male_hkom2_inj.ill_X7!$A$1:$K$36,15,FALSE),0)</f>
        <v>0</v>
      </c>
      <c r="K2671">
        <f>IFERROR(HLOOKUP(K$2,[81]table_male_hkom2_inj.ill_X7!$A$1:$K$36,15,FALSE),0)</f>
        <v>0</v>
      </c>
      <c r="L2671">
        <f>IFERROR(HLOOKUP(L$2,[81]table_male_hkom2_inj.ill_X7!$A$1:$K$36,15,FALSE),0)</f>
        <v>0</v>
      </c>
      <c r="M2671">
        <f t="shared" si="832"/>
        <v>0</v>
      </c>
      <c r="S2671" t="s">
        <v>83</v>
      </c>
      <c r="T2671" s="5">
        <f t="shared" si="833"/>
        <v>0</v>
      </c>
      <c r="U2671" s="5">
        <f t="shared" si="834"/>
        <v>0</v>
      </c>
      <c r="V2671" s="5">
        <f t="shared" si="835"/>
        <v>0</v>
      </c>
      <c r="W2671" s="5">
        <f t="shared" si="836"/>
        <v>0</v>
      </c>
      <c r="X2671" s="5">
        <f t="shared" si="837"/>
        <v>0</v>
      </c>
      <c r="Y2671" s="5">
        <f t="shared" si="838"/>
        <v>0</v>
      </c>
      <c r="Z2671" s="5">
        <f t="shared" si="839"/>
        <v>0</v>
      </c>
      <c r="AA2671" s="5">
        <f t="shared" si="840"/>
        <v>0</v>
      </c>
      <c r="AB2671" s="5">
        <f t="shared" si="841"/>
        <v>0</v>
      </c>
    </row>
    <row r="2672" spans="1:29" x14ac:dyDescent="0.25">
      <c r="D2672" t="s">
        <v>84</v>
      </c>
      <c r="E2672" s="14"/>
      <c r="F2672" s="14"/>
      <c r="G2672">
        <f>IFERROR(HLOOKUP(G$2,[81]table_male_hkom2_inj.ill_X7!$A$1:$K$36,16,FALSE),0)</f>
        <v>0</v>
      </c>
      <c r="H2672">
        <f>IFERROR(HLOOKUP(H$2,[81]table_male_hkom2_inj.ill_X7!$A$1:$K$36,16,FALSE),0)</f>
        <v>0</v>
      </c>
      <c r="I2672">
        <f>IFERROR(HLOOKUP(I$2,[81]table_male_hkom2_inj.ill_X7!$A$1:$K$36,16,FALSE),0)</f>
        <v>0</v>
      </c>
      <c r="J2672">
        <f>IFERROR(HLOOKUP(J$2,[81]table_male_hkom2_inj.ill_X7!$A$1:$K$36,16,FALSE),0)</f>
        <v>0</v>
      </c>
      <c r="K2672">
        <f>IFERROR(HLOOKUP(K$2,[81]table_male_hkom2_inj.ill_X7!$A$1:$K$36,16,FALSE),0)</f>
        <v>0</v>
      </c>
      <c r="L2672">
        <f>IFERROR(HLOOKUP(L$2,[81]table_male_hkom2_inj.ill_X7!$A$1:$K$36,16,FALSE),0)</f>
        <v>0</v>
      </c>
      <c r="M2672">
        <f t="shared" si="832"/>
        <v>0</v>
      </c>
      <c r="S2672" t="s">
        <v>84</v>
      </c>
      <c r="T2672" s="5">
        <f t="shared" si="833"/>
        <v>0</v>
      </c>
      <c r="U2672" s="5">
        <f t="shared" si="834"/>
        <v>0</v>
      </c>
      <c r="V2672" s="5">
        <f t="shared" si="835"/>
        <v>0</v>
      </c>
      <c r="W2672" s="5">
        <f t="shared" si="836"/>
        <v>0</v>
      </c>
      <c r="X2672" s="5">
        <f t="shared" si="837"/>
        <v>0</v>
      </c>
      <c r="Y2672" s="5">
        <f t="shared" si="838"/>
        <v>0</v>
      </c>
      <c r="Z2672" s="5">
        <f t="shared" si="839"/>
        <v>0</v>
      </c>
      <c r="AA2672" s="5">
        <f t="shared" si="840"/>
        <v>0</v>
      </c>
      <c r="AB2672" s="5">
        <f t="shared" si="841"/>
        <v>0</v>
      </c>
    </row>
    <row r="2673" spans="4:28" x14ac:dyDescent="0.25">
      <c r="D2673" t="s">
        <v>85</v>
      </c>
      <c r="E2673" s="14"/>
      <c r="F2673" s="14"/>
      <c r="G2673">
        <f>IFERROR(HLOOKUP(G$2,[81]table_male_hkom2_inj.ill_X7!$A$1:$K$36,17,FALSE),0)</f>
        <v>0</v>
      </c>
      <c r="H2673">
        <f>IFERROR(HLOOKUP(H$2,[81]table_male_hkom2_inj.ill_X7!$A$1:$K$36,17,FALSE),0)</f>
        <v>0</v>
      </c>
      <c r="I2673">
        <f>IFERROR(HLOOKUP(I$2,[81]table_male_hkom2_inj.ill_X7!$A$1:$K$36,17,FALSE),0)</f>
        <v>0</v>
      </c>
      <c r="J2673">
        <f>IFERROR(HLOOKUP(J$2,[81]table_male_hkom2_inj.ill_X7!$A$1:$K$36,17,FALSE),0)</f>
        <v>0</v>
      </c>
      <c r="K2673">
        <f>IFERROR(HLOOKUP(K$2,[81]table_male_hkom2_inj.ill_X7!$A$1:$K$36,17,FALSE),0)</f>
        <v>0</v>
      </c>
      <c r="L2673">
        <f>IFERROR(HLOOKUP(L$2,[81]table_male_hkom2_inj.ill_X7!$A$1:$K$36,17,FALSE),0)</f>
        <v>0</v>
      </c>
      <c r="M2673">
        <f t="shared" si="832"/>
        <v>0</v>
      </c>
      <c r="S2673" t="s">
        <v>85</v>
      </c>
      <c r="T2673" s="5">
        <f t="shared" si="833"/>
        <v>0</v>
      </c>
      <c r="U2673" s="5">
        <f t="shared" si="834"/>
        <v>0</v>
      </c>
      <c r="V2673" s="5">
        <f t="shared" si="835"/>
        <v>0</v>
      </c>
      <c r="W2673" s="5">
        <f t="shared" si="836"/>
        <v>0</v>
      </c>
      <c r="X2673" s="5">
        <f t="shared" si="837"/>
        <v>0</v>
      </c>
      <c r="Y2673" s="5">
        <f t="shared" si="838"/>
        <v>0</v>
      </c>
      <c r="Z2673" s="5">
        <f t="shared" si="839"/>
        <v>0</v>
      </c>
      <c r="AA2673" s="5">
        <f t="shared" si="840"/>
        <v>0</v>
      </c>
      <c r="AB2673" s="5">
        <f t="shared" si="841"/>
        <v>0</v>
      </c>
    </row>
    <row r="2674" spans="4:28" x14ac:dyDescent="0.25">
      <c r="D2674" t="s">
        <v>86</v>
      </c>
      <c r="E2674" s="14"/>
      <c r="F2674" s="14"/>
      <c r="G2674">
        <f>IFERROR(HLOOKUP(G$2,[81]table_male_hkom2_inj.ill_X7!$A$1:$K$36,18,FALSE),0)</f>
        <v>0</v>
      </c>
      <c r="H2674">
        <f>IFERROR(HLOOKUP(H$2,[81]table_male_hkom2_inj.ill_X7!$A$1:$K$36,18,FALSE),0)</f>
        <v>0</v>
      </c>
      <c r="I2674">
        <f>IFERROR(HLOOKUP(I$2,[81]table_male_hkom2_inj.ill_X7!$A$1:$K$36,18,FALSE),0)</f>
        <v>0</v>
      </c>
      <c r="J2674">
        <f>IFERROR(HLOOKUP(J$2,[81]table_male_hkom2_inj.ill_X7!$A$1:$K$36,18,FALSE),0)</f>
        <v>0</v>
      </c>
      <c r="K2674">
        <f>IFERROR(HLOOKUP(K$2,[81]table_male_hkom2_inj.ill_X7!$A$1:$K$36,18,FALSE),0)</f>
        <v>0</v>
      </c>
      <c r="L2674">
        <f>IFERROR(HLOOKUP(L$2,[81]table_male_hkom2_inj.ill_X7!$A$1:$K$36,18,FALSE),0)</f>
        <v>0</v>
      </c>
      <c r="M2674">
        <f t="shared" si="832"/>
        <v>0</v>
      </c>
      <c r="S2674" t="s">
        <v>86</v>
      </c>
      <c r="T2674" s="5">
        <f t="shared" si="833"/>
        <v>0</v>
      </c>
      <c r="U2674" s="5">
        <f t="shared" si="834"/>
        <v>0</v>
      </c>
      <c r="V2674" s="5">
        <f t="shared" si="835"/>
        <v>0</v>
      </c>
      <c r="W2674" s="5">
        <f t="shared" si="836"/>
        <v>0</v>
      </c>
      <c r="X2674" s="5">
        <f t="shared" si="837"/>
        <v>0</v>
      </c>
      <c r="Y2674" s="5">
        <f t="shared" si="838"/>
        <v>0</v>
      </c>
      <c r="Z2674" s="5">
        <f t="shared" si="839"/>
        <v>0</v>
      </c>
      <c r="AA2674" s="5">
        <f t="shared" si="840"/>
        <v>0</v>
      </c>
      <c r="AB2674" s="5">
        <f t="shared" si="841"/>
        <v>0</v>
      </c>
    </row>
    <row r="2675" spans="4:28" x14ac:dyDescent="0.25">
      <c r="D2675" t="s">
        <v>87</v>
      </c>
      <c r="E2675" s="14"/>
      <c r="F2675" s="14"/>
      <c r="G2675">
        <f>IFERROR(HLOOKUP(G$2,[81]table_male_hkom2_inj.ill_X7!$A$1:$K$36,19,FALSE),0)</f>
        <v>0</v>
      </c>
      <c r="H2675">
        <f>IFERROR(HLOOKUP(H$2,[81]table_male_hkom2_inj.ill_X7!$A$1:$K$36,19,FALSE),0)</f>
        <v>0</v>
      </c>
      <c r="I2675">
        <f>IFERROR(HLOOKUP(I$2,[81]table_male_hkom2_inj.ill_X7!$A$1:$K$36,19,FALSE),0)</f>
        <v>0</v>
      </c>
      <c r="J2675">
        <f>IFERROR(HLOOKUP(J$2,[81]table_male_hkom2_inj.ill_X7!$A$1:$K$36,19,FALSE),0)</f>
        <v>0</v>
      </c>
      <c r="K2675">
        <f>IFERROR(HLOOKUP(K$2,[81]table_male_hkom2_inj.ill_X7!$A$1:$K$36,19,FALSE),0)</f>
        <v>0</v>
      </c>
      <c r="L2675">
        <f>IFERROR(HLOOKUP(L$2,[81]table_male_hkom2_inj.ill_X7!$A$1:$K$36,19,FALSE),0)</f>
        <v>0</v>
      </c>
      <c r="M2675">
        <f t="shared" si="832"/>
        <v>0</v>
      </c>
      <c r="S2675" t="s">
        <v>87</v>
      </c>
      <c r="T2675" s="5">
        <f t="shared" si="833"/>
        <v>0</v>
      </c>
      <c r="U2675" s="5">
        <f t="shared" si="834"/>
        <v>0</v>
      </c>
      <c r="V2675" s="5">
        <f t="shared" si="835"/>
        <v>0</v>
      </c>
      <c r="W2675" s="5">
        <f t="shared" si="836"/>
        <v>0</v>
      </c>
      <c r="X2675" s="5">
        <f t="shared" si="837"/>
        <v>0</v>
      </c>
      <c r="Y2675" s="5">
        <f t="shared" si="838"/>
        <v>0</v>
      </c>
      <c r="Z2675" s="5">
        <f t="shared" si="839"/>
        <v>0</v>
      </c>
      <c r="AA2675" s="5">
        <f t="shared" si="840"/>
        <v>0</v>
      </c>
      <c r="AB2675" s="5">
        <f t="shared" si="841"/>
        <v>0</v>
      </c>
    </row>
    <row r="2676" spans="4:28" x14ac:dyDescent="0.25">
      <c r="D2676" t="s">
        <v>88</v>
      </c>
      <c r="E2676" s="14"/>
      <c r="F2676" s="14"/>
      <c r="G2676">
        <f>IFERROR(HLOOKUP(G$2,[81]table_male_hkom2_inj.ill_X7!$A$1:$K$36,20,FALSE),0)</f>
        <v>0</v>
      </c>
      <c r="H2676">
        <f>IFERROR(HLOOKUP(H$2,[81]table_male_hkom2_inj.ill_X7!$A$1:$K$36,20,FALSE),0)</f>
        <v>1</v>
      </c>
      <c r="I2676">
        <f>IFERROR(HLOOKUP(I$2,[81]table_male_hkom2_inj.ill_X7!$A$1:$K$36,20,FALSE),0)</f>
        <v>0</v>
      </c>
      <c r="J2676">
        <f>IFERROR(HLOOKUP(J$2,[81]table_male_hkom2_inj.ill_X7!$A$1:$K$36,20,FALSE),0)</f>
        <v>0</v>
      </c>
      <c r="K2676">
        <f>IFERROR(HLOOKUP(K$2,[81]table_male_hkom2_inj.ill_X7!$A$1:$K$36,20,FALSE),0)</f>
        <v>0</v>
      </c>
      <c r="L2676">
        <f>IFERROR(HLOOKUP(L$2,[81]table_male_hkom2_inj.ill_X7!$A$1:$K$36,20,FALSE),0)</f>
        <v>0</v>
      </c>
      <c r="M2676">
        <f t="shared" si="832"/>
        <v>1</v>
      </c>
      <c r="S2676" t="s">
        <v>88</v>
      </c>
      <c r="T2676" s="5">
        <f t="shared" si="833"/>
        <v>0</v>
      </c>
      <c r="U2676" s="5">
        <f t="shared" si="834"/>
        <v>0</v>
      </c>
      <c r="V2676" s="5">
        <f t="shared" si="835"/>
        <v>0</v>
      </c>
      <c r="W2676" s="5">
        <f t="shared" si="836"/>
        <v>1</v>
      </c>
      <c r="X2676" s="5">
        <f t="shared" si="837"/>
        <v>0</v>
      </c>
      <c r="Y2676" s="5">
        <f t="shared" si="838"/>
        <v>0</v>
      </c>
      <c r="Z2676" s="5">
        <f t="shared" si="839"/>
        <v>0</v>
      </c>
      <c r="AA2676" s="5">
        <f t="shared" si="840"/>
        <v>0</v>
      </c>
      <c r="AB2676" s="5">
        <f t="shared" si="841"/>
        <v>1</v>
      </c>
    </row>
    <row r="2677" spans="4:28" x14ac:dyDescent="0.25">
      <c r="D2677" t="s">
        <v>89</v>
      </c>
      <c r="E2677" s="14"/>
      <c r="F2677" s="14"/>
      <c r="G2677">
        <f>IFERROR(HLOOKUP(G$2,[81]table_male_hkom2_inj.ill_X7!$A$1:$K$36,21,FALSE),0)</f>
        <v>0</v>
      </c>
      <c r="H2677">
        <f>IFERROR(HLOOKUP(H$2,[81]table_male_hkom2_inj.ill_X7!$A$1:$K$36,21,FALSE),0)</f>
        <v>0</v>
      </c>
      <c r="I2677">
        <f>IFERROR(HLOOKUP(I$2,[81]table_male_hkom2_inj.ill_X7!$A$1:$K$36,21,FALSE),0)</f>
        <v>0</v>
      </c>
      <c r="J2677">
        <f>IFERROR(HLOOKUP(J$2,[81]table_male_hkom2_inj.ill_X7!$A$1:$K$36,21,FALSE),0)</f>
        <v>0</v>
      </c>
      <c r="K2677">
        <f>IFERROR(HLOOKUP(K$2,[81]table_male_hkom2_inj.ill_X7!$A$1:$K$36,21,FALSE),0)</f>
        <v>0</v>
      </c>
      <c r="L2677">
        <f>IFERROR(HLOOKUP(L$2,[81]table_male_hkom2_inj.ill_X7!$A$1:$K$36,21,FALSE),0)</f>
        <v>0</v>
      </c>
      <c r="M2677">
        <f t="shared" si="832"/>
        <v>0</v>
      </c>
      <c r="S2677" t="s">
        <v>89</v>
      </c>
      <c r="T2677" s="5">
        <f t="shared" si="833"/>
        <v>0</v>
      </c>
      <c r="U2677" s="5">
        <f t="shared" si="834"/>
        <v>0</v>
      </c>
      <c r="V2677" s="5">
        <f t="shared" si="835"/>
        <v>0</v>
      </c>
      <c r="W2677" s="5">
        <f t="shared" si="836"/>
        <v>0</v>
      </c>
      <c r="X2677" s="5">
        <f t="shared" si="837"/>
        <v>0</v>
      </c>
      <c r="Y2677" s="5">
        <f t="shared" si="838"/>
        <v>0</v>
      </c>
      <c r="Z2677" s="5">
        <f t="shared" si="839"/>
        <v>0</v>
      </c>
      <c r="AA2677" s="5">
        <f t="shared" si="840"/>
        <v>0</v>
      </c>
      <c r="AB2677" s="5">
        <f t="shared" si="841"/>
        <v>0</v>
      </c>
    </row>
    <row r="2678" spans="4:28" x14ac:dyDescent="0.25">
      <c r="D2678" t="s">
        <v>90</v>
      </c>
      <c r="E2678" s="14"/>
      <c r="F2678" s="14"/>
      <c r="G2678">
        <f>IFERROR(HLOOKUP(G$2,[81]table_male_hkom2_inj.ill_X7!$A$1:$K$36,22,FALSE),0)</f>
        <v>0</v>
      </c>
      <c r="H2678">
        <f>IFERROR(HLOOKUP(H$2,[81]table_male_hkom2_inj.ill_X7!$A$1:$K$36,22,FALSE),0)</f>
        <v>0</v>
      </c>
      <c r="I2678">
        <f>IFERROR(HLOOKUP(I$2,[81]table_male_hkom2_inj.ill_X7!$A$1:$K$36,22,FALSE),0)</f>
        <v>0</v>
      </c>
      <c r="J2678">
        <f>IFERROR(HLOOKUP(J$2,[81]table_male_hkom2_inj.ill_X7!$A$1:$K$36,22,FALSE),0)</f>
        <v>0</v>
      </c>
      <c r="K2678">
        <f>IFERROR(HLOOKUP(K$2,[81]table_male_hkom2_inj.ill_X7!$A$1:$K$36,22,FALSE),0)</f>
        <v>0</v>
      </c>
      <c r="L2678">
        <f>IFERROR(HLOOKUP(L$2,[81]table_male_hkom2_inj.ill_X7!$A$1:$K$36,22,FALSE),0)</f>
        <v>0</v>
      </c>
      <c r="M2678">
        <f t="shared" si="832"/>
        <v>0</v>
      </c>
      <c r="S2678" t="s">
        <v>90</v>
      </c>
      <c r="T2678" s="5">
        <f t="shared" si="833"/>
        <v>0</v>
      </c>
      <c r="U2678" s="5">
        <f t="shared" si="834"/>
        <v>0</v>
      </c>
      <c r="V2678" s="5">
        <f t="shared" si="835"/>
        <v>0</v>
      </c>
      <c r="W2678" s="5">
        <f t="shared" si="836"/>
        <v>0</v>
      </c>
      <c r="X2678" s="5">
        <f t="shared" si="837"/>
        <v>0</v>
      </c>
      <c r="Y2678" s="5">
        <f t="shared" si="838"/>
        <v>0</v>
      </c>
      <c r="Z2678" s="5">
        <f t="shared" si="839"/>
        <v>0</v>
      </c>
      <c r="AA2678" s="5">
        <f t="shared" si="840"/>
        <v>0</v>
      </c>
      <c r="AB2678" s="5">
        <f t="shared" si="841"/>
        <v>0</v>
      </c>
    </row>
    <row r="2679" spans="4:28" x14ac:dyDescent="0.25">
      <c r="D2679" t="s">
        <v>91</v>
      </c>
      <c r="E2679" s="14"/>
      <c r="F2679" s="14"/>
      <c r="G2679">
        <f>IFERROR(HLOOKUP(G$2,[81]table_male_hkom2_inj.ill_X7!$A$1:$K$36,23,FALSE),0)</f>
        <v>0</v>
      </c>
      <c r="H2679">
        <f>IFERROR(HLOOKUP(H$2,[81]table_male_hkom2_inj.ill_X7!$A$1:$K$36,23,FALSE),0)</f>
        <v>0</v>
      </c>
      <c r="I2679">
        <f>IFERROR(HLOOKUP(I$2,[81]table_male_hkom2_inj.ill_X7!$A$1:$K$36,23,FALSE),0)</f>
        <v>0</v>
      </c>
      <c r="J2679">
        <f>IFERROR(HLOOKUP(J$2,[81]table_male_hkom2_inj.ill_X7!$A$1:$K$36,23,FALSE),0)</f>
        <v>0</v>
      </c>
      <c r="K2679">
        <f>IFERROR(HLOOKUP(K$2,[81]table_male_hkom2_inj.ill_X7!$A$1:$K$36,23,FALSE),0)</f>
        <v>0</v>
      </c>
      <c r="L2679">
        <f>IFERROR(HLOOKUP(L$2,[81]table_male_hkom2_inj.ill_X7!$A$1:$K$36,23,FALSE),0)</f>
        <v>0</v>
      </c>
      <c r="M2679">
        <f t="shared" si="832"/>
        <v>0</v>
      </c>
      <c r="S2679" t="s">
        <v>91</v>
      </c>
      <c r="T2679" s="5">
        <f t="shared" si="833"/>
        <v>0</v>
      </c>
      <c r="U2679" s="5">
        <f t="shared" si="834"/>
        <v>0</v>
      </c>
      <c r="V2679" s="5">
        <f t="shared" si="835"/>
        <v>0</v>
      </c>
      <c r="W2679" s="5">
        <f t="shared" si="836"/>
        <v>0</v>
      </c>
      <c r="X2679" s="5">
        <f t="shared" si="837"/>
        <v>0</v>
      </c>
      <c r="Y2679" s="5">
        <f t="shared" si="838"/>
        <v>0</v>
      </c>
      <c r="Z2679" s="5">
        <f t="shared" si="839"/>
        <v>0</v>
      </c>
      <c r="AA2679" s="5">
        <f t="shared" si="840"/>
        <v>0</v>
      </c>
      <c r="AB2679" s="5">
        <f t="shared" si="841"/>
        <v>0</v>
      </c>
    </row>
    <row r="2680" spans="4:28" x14ac:dyDescent="0.25">
      <c r="D2680" t="s">
        <v>92</v>
      </c>
      <c r="E2680" s="14"/>
      <c r="F2680" s="14"/>
      <c r="G2680">
        <f>IFERROR(HLOOKUP(G$2,[81]table_male_hkom2_inj.ill_X7!$A$1:$K$36,24,FALSE),0)</f>
        <v>0</v>
      </c>
      <c r="H2680">
        <f>IFERROR(HLOOKUP(H$2,[81]table_male_hkom2_inj.ill_X7!$A$1:$K$36,24,FALSE),0)</f>
        <v>0</v>
      </c>
      <c r="I2680">
        <f>IFERROR(HLOOKUP(I$2,[81]table_male_hkom2_inj.ill_X7!$A$1:$K$36,24,FALSE),0)</f>
        <v>0</v>
      </c>
      <c r="J2680">
        <f>IFERROR(HLOOKUP(J$2,[81]table_male_hkom2_inj.ill_X7!$A$1:$K$36,24,FALSE),0)</f>
        <v>0</v>
      </c>
      <c r="K2680">
        <f>IFERROR(HLOOKUP(K$2,[81]table_male_hkom2_inj.ill_X7!$A$1:$K$36,24,FALSE),0)</f>
        <v>0</v>
      </c>
      <c r="L2680">
        <f>IFERROR(HLOOKUP(L$2,[81]table_male_hkom2_inj.ill_X7!$A$1:$K$36,24,FALSE),0)</f>
        <v>0</v>
      </c>
      <c r="M2680">
        <f t="shared" si="832"/>
        <v>0</v>
      </c>
      <c r="S2680" t="s">
        <v>92</v>
      </c>
      <c r="T2680" s="5">
        <f t="shared" si="833"/>
        <v>0</v>
      </c>
      <c r="U2680" s="5">
        <f t="shared" si="834"/>
        <v>0</v>
      </c>
      <c r="V2680" s="5">
        <f t="shared" si="835"/>
        <v>0</v>
      </c>
      <c r="W2680" s="5">
        <f t="shared" si="836"/>
        <v>0</v>
      </c>
      <c r="X2680" s="5">
        <f t="shared" si="837"/>
        <v>0</v>
      </c>
      <c r="Y2680" s="5">
        <f t="shared" si="838"/>
        <v>0</v>
      </c>
      <c r="Z2680" s="5">
        <f t="shared" si="839"/>
        <v>0</v>
      </c>
      <c r="AA2680" s="5">
        <f t="shared" si="840"/>
        <v>0</v>
      </c>
      <c r="AB2680" s="5">
        <f t="shared" si="841"/>
        <v>0</v>
      </c>
    </row>
    <row r="2681" spans="4:28" x14ac:dyDescent="0.25">
      <c r="D2681" t="s">
        <v>93</v>
      </c>
      <c r="E2681" s="14"/>
      <c r="F2681" s="14"/>
      <c r="G2681">
        <f>IFERROR(HLOOKUP(G$2,[81]table_male_hkom2_inj.ill_X7!$A$1:$K$36,25,FALSE),0)</f>
        <v>0</v>
      </c>
      <c r="H2681">
        <f>IFERROR(HLOOKUP(H$2,[81]table_male_hkom2_inj.ill_X7!$A$1:$K$36,25,FALSE),0)</f>
        <v>0</v>
      </c>
      <c r="I2681">
        <f>IFERROR(HLOOKUP(I$2,[81]table_male_hkom2_inj.ill_X7!$A$1:$K$36,25,FALSE),0)</f>
        <v>0</v>
      </c>
      <c r="J2681">
        <f>IFERROR(HLOOKUP(J$2,[81]table_male_hkom2_inj.ill_X7!$A$1:$K$36,25,FALSE),0)</f>
        <v>0</v>
      </c>
      <c r="K2681">
        <f>IFERROR(HLOOKUP(K$2,[81]table_male_hkom2_inj.ill_X7!$A$1:$K$36,25,FALSE),0)</f>
        <v>0</v>
      </c>
      <c r="L2681">
        <f>IFERROR(HLOOKUP(L$2,[81]table_male_hkom2_inj.ill_X7!$A$1:$K$36,25,FALSE),0)</f>
        <v>0</v>
      </c>
      <c r="M2681">
        <f t="shared" si="832"/>
        <v>0</v>
      </c>
      <c r="S2681" t="s">
        <v>93</v>
      </c>
      <c r="T2681" s="5">
        <f t="shared" si="833"/>
        <v>0</v>
      </c>
      <c r="U2681" s="5">
        <f t="shared" si="834"/>
        <v>0</v>
      </c>
      <c r="V2681" s="5">
        <f t="shared" si="835"/>
        <v>0</v>
      </c>
      <c r="W2681" s="5">
        <f t="shared" si="836"/>
        <v>0</v>
      </c>
      <c r="X2681" s="5">
        <f t="shared" si="837"/>
        <v>0</v>
      </c>
      <c r="Y2681" s="5">
        <f t="shared" si="838"/>
        <v>0</v>
      </c>
      <c r="Z2681" s="5">
        <f t="shared" si="839"/>
        <v>0</v>
      </c>
      <c r="AA2681" s="5">
        <f t="shared" si="840"/>
        <v>0</v>
      </c>
      <c r="AB2681" s="5">
        <f t="shared" si="841"/>
        <v>0</v>
      </c>
    </row>
    <row r="2682" spans="4:28" x14ac:dyDescent="0.25">
      <c r="D2682" t="s">
        <v>94</v>
      </c>
      <c r="E2682" s="14"/>
      <c r="F2682" s="14"/>
      <c r="G2682">
        <f>IFERROR(HLOOKUP(G$2,[81]table_male_hkom2_inj.ill_X7!$A$1:$K$36,26,FALSE),0)</f>
        <v>0</v>
      </c>
      <c r="H2682">
        <f>IFERROR(HLOOKUP(H$2,[81]table_male_hkom2_inj.ill_X7!$A$1:$K$36,26,FALSE),0)</f>
        <v>0</v>
      </c>
      <c r="I2682">
        <f>IFERROR(HLOOKUP(I$2,[81]table_male_hkom2_inj.ill_X7!$A$1:$K$36,26,FALSE),0)</f>
        <v>0</v>
      </c>
      <c r="J2682">
        <f>IFERROR(HLOOKUP(J$2,[81]table_male_hkom2_inj.ill_X7!$A$1:$K$36,26,FALSE),0)</f>
        <v>0</v>
      </c>
      <c r="K2682">
        <f>IFERROR(HLOOKUP(K$2,[81]table_male_hkom2_inj.ill_X7!$A$1:$K$36,26,FALSE),0)</f>
        <v>0</v>
      </c>
      <c r="L2682">
        <f>IFERROR(HLOOKUP(L$2,[81]table_male_hkom2_inj.ill_X7!$A$1:$K$36,26,FALSE),0)</f>
        <v>0</v>
      </c>
      <c r="M2682">
        <f t="shared" si="832"/>
        <v>0</v>
      </c>
      <c r="S2682" t="s">
        <v>94</v>
      </c>
      <c r="T2682" s="5">
        <f t="shared" si="833"/>
        <v>0</v>
      </c>
      <c r="U2682" s="5">
        <f t="shared" si="834"/>
        <v>0</v>
      </c>
      <c r="V2682" s="5">
        <f t="shared" si="835"/>
        <v>0</v>
      </c>
      <c r="W2682" s="5">
        <f t="shared" si="836"/>
        <v>0</v>
      </c>
      <c r="X2682" s="5">
        <f t="shared" si="837"/>
        <v>0</v>
      </c>
      <c r="Y2682" s="5">
        <f t="shared" si="838"/>
        <v>0</v>
      </c>
      <c r="Z2682" s="5">
        <f t="shared" si="839"/>
        <v>0</v>
      </c>
      <c r="AA2682" s="5">
        <f t="shared" si="840"/>
        <v>0</v>
      </c>
      <c r="AB2682" s="5">
        <f t="shared" si="841"/>
        <v>0</v>
      </c>
    </row>
    <row r="2683" spans="4:28" x14ac:dyDescent="0.25">
      <c r="D2683" t="s">
        <v>95</v>
      </c>
      <c r="E2683" s="14"/>
      <c r="F2683" s="14"/>
      <c r="G2683">
        <f>IFERROR(HLOOKUP(G$2,[81]table_male_hkom2_inj.ill_X7!$A$1:$K$36,27,FALSE),0)</f>
        <v>0</v>
      </c>
      <c r="H2683">
        <f>IFERROR(HLOOKUP(H$2,[81]table_male_hkom2_inj.ill_X7!$A$1:$K$36,27,FALSE),0)</f>
        <v>0</v>
      </c>
      <c r="I2683">
        <f>IFERROR(HLOOKUP(I$2,[81]table_male_hkom2_inj.ill_X7!$A$1:$K$36,27,FALSE),0)</f>
        <v>0</v>
      </c>
      <c r="J2683">
        <f>IFERROR(HLOOKUP(J$2,[81]table_male_hkom2_inj.ill_X7!$A$1:$K$36,27,FALSE),0)</f>
        <v>0</v>
      </c>
      <c r="K2683">
        <f>IFERROR(HLOOKUP(K$2,[81]table_male_hkom2_inj.ill_X7!$A$1:$K$36,27,FALSE),0)</f>
        <v>0</v>
      </c>
      <c r="L2683">
        <f>IFERROR(HLOOKUP(L$2,[81]table_male_hkom2_inj.ill_X7!$A$1:$K$36,27,FALSE),0)</f>
        <v>0</v>
      </c>
      <c r="M2683">
        <f t="shared" si="832"/>
        <v>0</v>
      </c>
      <c r="S2683" t="s">
        <v>95</v>
      </c>
      <c r="T2683" s="5">
        <f t="shared" si="833"/>
        <v>0</v>
      </c>
      <c r="U2683" s="5">
        <f t="shared" si="834"/>
        <v>0</v>
      </c>
      <c r="V2683" s="5">
        <f t="shared" si="835"/>
        <v>0</v>
      </c>
      <c r="W2683" s="5">
        <f t="shared" si="836"/>
        <v>0</v>
      </c>
      <c r="X2683" s="5">
        <f t="shared" si="837"/>
        <v>0</v>
      </c>
      <c r="Y2683" s="5">
        <f t="shared" si="838"/>
        <v>0</v>
      </c>
      <c r="Z2683" s="5">
        <f t="shared" si="839"/>
        <v>0</v>
      </c>
      <c r="AA2683" s="5">
        <f t="shared" si="840"/>
        <v>0</v>
      </c>
      <c r="AB2683" s="5">
        <f t="shared" si="841"/>
        <v>0</v>
      </c>
    </row>
    <row r="2684" spans="4:28" x14ac:dyDescent="0.25">
      <c r="D2684" t="s">
        <v>96</v>
      </c>
      <c r="E2684" s="14"/>
      <c r="F2684" s="14"/>
      <c r="G2684">
        <f>IFERROR(HLOOKUP(G$2,[81]table_male_hkom2_inj.ill_X7!$A$1:$K$36,28,FALSE),0)</f>
        <v>0</v>
      </c>
      <c r="H2684">
        <f>IFERROR(HLOOKUP(H$2,[81]table_male_hkom2_inj.ill_X7!$A$1:$K$36,28,FALSE),0)</f>
        <v>0</v>
      </c>
      <c r="I2684">
        <f>IFERROR(HLOOKUP(I$2,[81]table_male_hkom2_inj.ill_X7!$A$1:$K$36,28,FALSE),0)</f>
        <v>0</v>
      </c>
      <c r="J2684">
        <f>IFERROR(HLOOKUP(J$2,[81]table_male_hkom2_inj.ill_X7!$A$1:$K$36,28,FALSE),0)</f>
        <v>0</v>
      </c>
      <c r="K2684">
        <f>IFERROR(HLOOKUP(K$2,[81]table_male_hkom2_inj.ill_X7!$A$1:$K$36,28,FALSE),0)</f>
        <v>0</v>
      </c>
      <c r="L2684">
        <f>IFERROR(HLOOKUP(L$2,[81]table_male_hkom2_inj.ill_X7!$A$1:$K$36,28,FALSE),0)</f>
        <v>0</v>
      </c>
      <c r="M2684">
        <f t="shared" si="832"/>
        <v>0</v>
      </c>
      <c r="S2684" t="s">
        <v>96</v>
      </c>
      <c r="T2684" s="5">
        <f t="shared" si="833"/>
        <v>0</v>
      </c>
      <c r="U2684" s="5">
        <f t="shared" si="834"/>
        <v>0</v>
      </c>
      <c r="V2684" s="5">
        <f t="shared" si="835"/>
        <v>0</v>
      </c>
      <c r="W2684" s="5">
        <f t="shared" si="836"/>
        <v>0</v>
      </c>
      <c r="X2684" s="5">
        <f t="shared" si="837"/>
        <v>0</v>
      </c>
      <c r="Y2684" s="5">
        <f t="shared" si="838"/>
        <v>0</v>
      </c>
      <c r="Z2684" s="5">
        <f t="shared" si="839"/>
        <v>0</v>
      </c>
      <c r="AA2684" s="5">
        <f t="shared" si="840"/>
        <v>0</v>
      </c>
      <c r="AB2684" s="5">
        <f t="shared" si="841"/>
        <v>0</v>
      </c>
    </row>
    <row r="2685" spans="4:28" x14ac:dyDescent="0.25">
      <c r="D2685" t="s">
        <v>97</v>
      </c>
      <c r="E2685" s="14"/>
      <c r="F2685" s="14"/>
      <c r="G2685">
        <f>IFERROR(HLOOKUP(G$2,[81]table_male_hkom2_inj.ill_X7!$A$1:$K$36,29,FALSE),0)</f>
        <v>0</v>
      </c>
      <c r="H2685">
        <f>IFERROR(HLOOKUP(H$2,[81]table_male_hkom2_inj.ill_X7!$A$1:$K$36,29,FALSE),0)</f>
        <v>0</v>
      </c>
      <c r="I2685">
        <f>IFERROR(HLOOKUP(I$2,[81]table_male_hkom2_inj.ill_X7!$A$1:$K$36,29,FALSE),0)</f>
        <v>0</v>
      </c>
      <c r="J2685">
        <f>IFERROR(HLOOKUP(J$2,[81]table_male_hkom2_inj.ill_X7!$A$1:$K$36,29,FALSE),0)</f>
        <v>0</v>
      </c>
      <c r="K2685">
        <f>IFERROR(HLOOKUP(K$2,[81]table_male_hkom2_inj.ill_X7!$A$1:$K$36,29,FALSE),0)</f>
        <v>0</v>
      </c>
      <c r="L2685">
        <f>IFERROR(HLOOKUP(L$2,[81]table_male_hkom2_inj.ill_X7!$A$1:$K$36,29,FALSE),0)</f>
        <v>0</v>
      </c>
      <c r="M2685">
        <f t="shared" si="832"/>
        <v>0</v>
      </c>
      <c r="S2685" t="s">
        <v>97</v>
      </c>
      <c r="T2685" s="5">
        <f t="shared" si="833"/>
        <v>0</v>
      </c>
      <c r="U2685" s="5">
        <f t="shared" si="834"/>
        <v>0</v>
      </c>
      <c r="V2685" s="5">
        <f t="shared" si="835"/>
        <v>0</v>
      </c>
      <c r="W2685" s="5">
        <f t="shared" si="836"/>
        <v>0</v>
      </c>
      <c r="X2685" s="5">
        <f t="shared" si="837"/>
        <v>0</v>
      </c>
      <c r="Y2685" s="5">
        <f t="shared" si="838"/>
        <v>0</v>
      </c>
      <c r="Z2685" s="5">
        <f t="shared" si="839"/>
        <v>0</v>
      </c>
      <c r="AA2685" s="5">
        <f t="shared" si="840"/>
        <v>0</v>
      </c>
      <c r="AB2685" s="5">
        <f t="shared" si="841"/>
        <v>0</v>
      </c>
    </row>
    <row r="2686" spans="4:28" x14ac:dyDescent="0.25">
      <c r="D2686" t="s">
        <v>98</v>
      </c>
      <c r="E2686" s="14"/>
      <c r="F2686" s="14"/>
      <c r="G2686">
        <f>IFERROR(HLOOKUP(G$2,[81]table_male_hkom2_inj.ill_X7!$A$1:$K$36,30,FALSE),0)</f>
        <v>0</v>
      </c>
      <c r="H2686">
        <f>IFERROR(HLOOKUP(H$2,[81]table_male_hkom2_inj.ill_X7!$A$1:$K$36,30,FALSE),0)</f>
        <v>0</v>
      </c>
      <c r="I2686">
        <f>IFERROR(HLOOKUP(I$2,[81]table_male_hkom2_inj.ill_X7!$A$1:$K$36,30,FALSE),0)</f>
        <v>0</v>
      </c>
      <c r="J2686">
        <f>IFERROR(HLOOKUP(J$2,[81]table_male_hkom2_inj.ill_X7!$A$1:$K$36,30,FALSE),0)</f>
        <v>0</v>
      </c>
      <c r="K2686">
        <f>IFERROR(HLOOKUP(K$2,[81]table_male_hkom2_inj.ill_X7!$A$1:$K$36,30,FALSE),0)</f>
        <v>0</v>
      </c>
      <c r="L2686">
        <f>IFERROR(HLOOKUP(L$2,[81]table_male_hkom2_inj.ill_X7!$A$1:$K$36,30,FALSE),0)</f>
        <v>0</v>
      </c>
      <c r="M2686">
        <f t="shared" si="832"/>
        <v>0</v>
      </c>
      <c r="S2686" t="s">
        <v>98</v>
      </c>
      <c r="T2686" s="5">
        <f t="shared" si="833"/>
        <v>0</v>
      </c>
      <c r="U2686" s="5">
        <f t="shared" si="834"/>
        <v>0</v>
      </c>
      <c r="V2686" s="5">
        <f t="shared" si="835"/>
        <v>0</v>
      </c>
      <c r="W2686" s="5">
        <f t="shared" si="836"/>
        <v>0</v>
      </c>
      <c r="X2686" s="5">
        <f t="shared" si="837"/>
        <v>0</v>
      </c>
      <c r="Y2686" s="5">
        <f t="shared" si="838"/>
        <v>0</v>
      </c>
      <c r="Z2686" s="5">
        <f t="shared" si="839"/>
        <v>0</v>
      </c>
      <c r="AA2686" s="5">
        <f t="shared" si="840"/>
        <v>0</v>
      </c>
      <c r="AB2686" s="5">
        <f t="shared" si="841"/>
        <v>0</v>
      </c>
    </row>
    <row r="2687" spans="4:28" x14ac:dyDescent="0.25">
      <c r="D2687" t="s">
        <v>119</v>
      </c>
      <c r="E2687" s="14"/>
      <c r="F2687" s="14"/>
      <c r="G2687">
        <f>IFERROR(HLOOKUP(G$2,[81]table_male_hkom2_inj.ill_X7!$A$1:$K$36,31,FALSE),0)</f>
        <v>0</v>
      </c>
      <c r="H2687">
        <f>IFERROR(HLOOKUP(H$2,[81]table_male_hkom2_inj.ill_X7!$A$1:$K$36,31,FALSE),0)</f>
        <v>0</v>
      </c>
      <c r="I2687">
        <f>IFERROR(HLOOKUP(I$2,[81]table_male_hkom2_inj.ill_X7!$A$1:$K$36,31,FALSE),0)</f>
        <v>0</v>
      </c>
      <c r="J2687">
        <f>IFERROR(HLOOKUP(J$2,[81]table_male_hkom2_inj.ill_X7!$A$1:$K$36,31,FALSE),0)</f>
        <v>0</v>
      </c>
      <c r="K2687">
        <f>IFERROR(HLOOKUP(K$2,[81]table_male_hkom2_inj.ill_X7!$A$1:$K$36,31,FALSE),0)</f>
        <v>0</v>
      </c>
      <c r="L2687">
        <f>IFERROR(HLOOKUP(L$2,[81]table_male_hkom2_inj.ill_X7!$A$1:$K$36,31,FALSE),0)</f>
        <v>0</v>
      </c>
      <c r="M2687">
        <f t="shared" si="832"/>
        <v>0</v>
      </c>
      <c r="S2687" t="s">
        <v>119</v>
      </c>
      <c r="T2687" s="5">
        <f t="shared" si="833"/>
        <v>0</v>
      </c>
      <c r="U2687" s="5">
        <f t="shared" si="834"/>
        <v>0</v>
      </c>
      <c r="V2687" s="5">
        <f t="shared" si="835"/>
        <v>0</v>
      </c>
      <c r="W2687" s="5">
        <f t="shared" si="836"/>
        <v>0</v>
      </c>
      <c r="X2687" s="5">
        <f t="shared" si="837"/>
        <v>0</v>
      </c>
      <c r="Y2687" s="5">
        <f t="shared" si="838"/>
        <v>0</v>
      </c>
      <c r="Z2687" s="5">
        <f t="shared" si="839"/>
        <v>0</v>
      </c>
      <c r="AA2687" s="5">
        <f t="shared" si="840"/>
        <v>0</v>
      </c>
      <c r="AB2687" s="5">
        <f t="shared" si="841"/>
        <v>0</v>
      </c>
    </row>
    <row r="2688" spans="4:28" x14ac:dyDescent="0.25">
      <c r="D2688" t="s">
        <v>99</v>
      </c>
      <c r="E2688" s="14"/>
      <c r="F2688" s="14"/>
      <c r="G2688">
        <f>IFERROR(HLOOKUP(G$2,[81]table_male_hkom2_inj.ill_X7!$A$1:$K$36,32,FALSE),0)</f>
        <v>0</v>
      </c>
      <c r="H2688">
        <f>IFERROR(HLOOKUP(H$2,[81]table_male_hkom2_inj.ill_X7!$A$1:$K$36,32,FALSE),0)</f>
        <v>0</v>
      </c>
      <c r="I2688">
        <f>IFERROR(HLOOKUP(I$2,[81]table_male_hkom2_inj.ill_X7!$A$1:$K$36,32,FALSE),0)</f>
        <v>0</v>
      </c>
      <c r="J2688">
        <f>IFERROR(HLOOKUP(J$2,[81]table_male_hkom2_inj.ill_X7!$A$1:$K$36,32,FALSE),0)</f>
        <v>0</v>
      </c>
      <c r="K2688">
        <f>IFERROR(HLOOKUP(K$2,[81]table_male_hkom2_inj.ill_X7!$A$1:$K$36,32,FALSE),0)</f>
        <v>0</v>
      </c>
      <c r="L2688">
        <f>IFERROR(HLOOKUP(L$2,[81]table_male_hkom2_inj.ill_X7!$A$1:$K$36,32,FALSE),0)</f>
        <v>0</v>
      </c>
      <c r="M2688">
        <f t="shared" si="832"/>
        <v>0</v>
      </c>
      <c r="S2688" t="s">
        <v>99</v>
      </c>
      <c r="T2688" s="5">
        <f t="shared" si="833"/>
        <v>0</v>
      </c>
      <c r="U2688" s="5">
        <f t="shared" si="834"/>
        <v>0</v>
      </c>
      <c r="V2688" s="5">
        <f t="shared" si="835"/>
        <v>0</v>
      </c>
      <c r="W2688" s="5">
        <f t="shared" si="836"/>
        <v>0</v>
      </c>
      <c r="X2688" s="5">
        <f t="shared" si="837"/>
        <v>0</v>
      </c>
      <c r="Y2688" s="5">
        <f t="shared" si="838"/>
        <v>0</v>
      </c>
      <c r="Z2688" s="5">
        <f t="shared" si="839"/>
        <v>0</v>
      </c>
      <c r="AA2688" s="5">
        <f t="shared" si="840"/>
        <v>0</v>
      </c>
      <c r="AB2688" s="5">
        <f t="shared" si="841"/>
        <v>0</v>
      </c>
    </row>
    <row r="2689" spans="1:29" x14ac:dyDescent="0.25">
      <c r="D2689" t="s">
        <v>100</v>
      </c>
      <c r="E2689" s="14"/>
      <c r="F2689" s="14"/>
      <c r="G2689">
        <f>IFERROR(HLOOKUP(G$2,[81]table_male_hkom2_inj.ill_X7!$A$1:$K$36,33,FALSE),0)</f>
        <v>0</v>
      </c>
      <c r="H2689">
        <f>IFERROR(HLOOKUP(H$2,[81]table_male_hkom2_inj.ill_X7!$A$1:$K$36,33,FALSE),0)</f>
        <v>0</v>
      </c>
      <c r="I2689">
        <f>IFERROR(HLOOKUP(I$2,[81]table_male_hkom2_inj.ill_X7!$A$1:$K$36,33,FALSE),0)</f>
        <v>0</v>
      </c>
      <c r="J2689">
        <f>IFERROR(HLOOKUP(J$2,[81]table_male_hkom2_inj.ill_X7!$A$1:$K$36,33,FALSE),0)</f>
        <v>0</v>
      </c>
      <c r="K2689">
        <f>IFERROR(HLOOKUP(K$2,[81]table_male_hkom2_inj.ill_X7!$A$1:$K$36,33,FALSE),0)</f>
        <v>0</v>
      </c>
      <c r="L2689">
        <f>IFERROR(HLOOKUP(L$2,[81]table_male_hkom2_inj.ill_X7!$A$1:$K$36,33,FALSE),0)</f>
        <v>0</v>
      </c>
      <c r="M2689">
        <f t="shared" si="832"/>
        <v>0</v>
      </c>
      <c r="S2689" t="s">
        <v>100</v>
      </c>
      <c r="T2689" s="5">
        <f t="shared" si="833"/>
        <v>0</v>
      </c>
      <c r="U2689" s="5">
        <f t="shared" si="834"/>
        <v>0</v>
      </c>
      <c r="V2689" s="5">
        <f t="shared" si="835"/>
        <v>0</v>
      </c>
      <c r="W2689" s="5">
        <f t="shared" si="836"/>
        <v>0</v>
      </c>
      <c r="X2689" s="5">
        <f t="shared" si="837"/>
        <v>0</v>
      </c>
      <c r="Y2689" s="5">
        <f t="shared" si="838"/>
        <v>0</v>
      </c>
      <c r="Z2689" s="5">
        <f t="shared" si="839"/>
        <v>0</v>
      </c>
      <c r="AA2689" s="5">
        <f t="shared" si="840"/>
        <v>0</v>
      </c>
      <c r="AB2689" s="5">
        <f t="shared" si="841"/>
        <v>0</v>
      </c>
    </row>
    <row r="2690" spans="1:29" x14ac:dyDescent="0.25">
      <c r="D2690" t="s">
        <v>101</v>
      </c>
      <c r="E2690" s="14"/>
      <c r="F2690" s="14"/>
      <c r="G2690">
        <f>IFERROR(HLOOKUP(G$2,[81]table_male_hkom2_inj.ill_X7!$A$1:$K$36,34,FALSE),0)</f>
        <v>0</v>
      </c>
      <c r="H2690">
        <f>IFERROR(HLOOKUP(H$2,[81]table_male_hkom2_inj.ill_X7!$A$1:$K$36,34,FALSE),0)</f>
        <v>0</v>
      </c>
      <c r="I2690">
        <f>IFERROR(HLOOKUP(I$2,[81]table_male_hkom2_inj.ill_X7!$A$1:$K$36,34,FALSE),0)</f>
        <v>0</v>
      </c>
      <c r="J2690">
        <f>IFERROR(HLOOKUP(J$2,[81]table_male_hkom2_inj.ill_X7!$A$1:$K$36,34,FALSE),0)</f>
        <v>0</v>
      </c>
      <c r="K2690">
        <f>IFERROR(HLOOKUP(K$2,[81]table_male_hkom2_inj.ill_X7!$A$1:$K$36,34,FALSE),0)</f>
        <v>0</v>
      </c>
      <c r="L2690">
        <f>IFERROR(HLOOKUP(L$2,[81]table_male_hkom2_inj.ill_X7!$A$1:$K$36,34,FALSE),0)</f>
        <v>0</v>
      </c>
      <c r="M2690">
        <f t="shared" si="832"/>
        <v>0</v>
      </c>
      <c r="S2690" t="s">
        <v>101</v>
      </c>
      <c r="T2690" s="5">
        <f t="shared" si="833"/>
        <v>0</v>
      </c>
      <c r="U2690" s="5">
        <f t="shared" si="834"/>
        <v>0</v>
      </c>
      <c r="V2690" s="5">
        <f t="shared" si="835"/>
        <v>0</v>
      </c>
      <c r="W2690" s="5">
        <f t="shared" si="836"/>
        <v>0</v>
      </c>
      <c r="X2690" s="5">
        <f t="shared" si="837"/>
        <v>0</v>
      </c>
      <c r="Y2690" s="5">
        <f t="shared" si="838"/>
        <v>0</v>
      </c>
      <c r="Z2690" s="5">
        <f t="shared" si="839"/>
        <v>0</v>
      </c>
      <c r="AA2690" s="5">
        <f t="shared" si="840"/>
        <v>0</v>
      </c>
      <c r="AB2690" s="5">
        <f t="shared" si="841"/>
        <v>0</v>
      </c>
    </row>
    <row r="2691" spans="1:29" x14ac:dyDescent="0.25">
      <c r="D2691" t="s">
        <v>102</v>
      </c>
      <c r="E2691" s="14"/>
      <c r="F2691" s="14"/>
      <c r="G2691">
        <f>IFERROR(HLOOKUP(G$2,[81]table_male_hkom2_inj.ill_X7!$A$1:$K$36,35,FALSE),0)</f>
        <v>0</v>
      </c>
      <c r="H2691">
        <f>IFERROR(HLOOKUP(H$2,[81]table_male_hkom2_inj.ill_X7!$A$1:$K$36,35,FALSE),0)</f>
        <v>0</v>
      </c>
      <c r="I2691">
        <f>IFERROR(HLOOKUP(I$2,[81]table_male_hkom2_inj.ill_X7!$A$1:$K$36,35,FALSE),0)</f>
        <v>0</v>
      </c>
      <c r="J2691">
        <f>IFERROR(HLOOKUP(J$2,[81]table_male_hkom2_inj.ill_X7!$A$1:$K$36,35,FALSE),0)</f>
        <v>0</v>
      </c>
      <c r="K2691">
        <f>IFERROR(HLOOKUP(K$2,[81]table_male_hkom2_inj.ill_X7!$A$1:$K$36,35,FALSE),0)</f>
        <v>0</v>
      </c>
      <c r="L2691">
        <f>IFERROR(HLOOKUP(L$2,[81]table_male_hkom2_inj.ill_X7!$A$1:$K$36,35,FALSE),0)</f>
        <v>0</v>
      </c>
      <c r="M2691">
        <f t="shared" si="832"/>
        <v>0</v>
      </c>
      <c r="N2691">
        <f>SUM(M2658:M2691)</f>
        <v>2</v>
      </c>
      <c r="O2691" s="8">
        <f>SUM([81]table_male_hkom2_inj.ill_X7!$B$2:$L$37)</f>
        <v>2</v>
      </c>
      <c r="S2691" t="s">
        <v>102</v>
      </c>
      <c r="T2691" s="7"/>
      <c r="U2691" s="7"/>
      <c r="V2691" s="7"/>
      <c r="W2691" s="7"/>
      <c r="X2691" s="7"/>
      <c r="Y2691" s="7"/>
      <c r="Z2691" s="7"/>
      <c r="AA2691" s="7"/>
      <c r="AB2691" s="5">
        <f t="shared" si="841"/>
        <v>0</v>
      </c>
      <c r="AC2691" s="5">
        <f>SUM(AB2658:AB2690)</f>
        <v>2</v>
      </c>
    </row>
    <row r="2692" spans="1:29" x14ac:dyDescent="0.25">
      <c r="A2692" t="s">
        <v>104</v>
      </c>
      <c r="B2692" t="s">
        <v>116</v>
      </c>
      <c r="C2692" t="s">
        <v>130</v>
      </c>
      <c r="D2692" t="s">
        <v>70</v>
      </c>
      <c r="E2692" s="14"/>
      <c r="F2692" s="14"/>
      <c r="G2692">
        <f>IFERROR(HLOOKUP(G$2,[82]table_male_hkom2_inj.ill_X8!$A$1:$K$36,2,FALSE),0)</f>
        <v>0</v>
      </c>
      <c r="H2692">
        <f>IFERROR(HLOOKUP(H$2,[82]table_male_hkom2_inj.ill_X8!$A$1:$K$36,2,FALSE),0)</f>
        <v>0</v>
      </c>
      <c r="I2692">
        <f>IFERROR(HLOOKUP(I$2,[82]table_male_hkom2_inj.ill_X8!$A$1:$K$36,2,FALSE),0)</f>
        <v>0</v>
      </c>
      <c r="J2692">
        <f>IFERROR(HLOOKUP(J$2,[82]table_male_hkom2_inj.ill_X8!$A$1:$K$36,2,FALSE),0)</f>
        <v>0</v>
      </c>
      <c r="K2692">
        <f>IFERROR(HLOOKUP(K$2,[82]table_male_hkom2_inj.ill_X8!$A$1:$K$36,2,FALSE),0)</f>
        <v>0</v>
      </c>
      <c r="L2692">
        <f>IFERROR(HLOOKUP(L$2,[82]table_male_hkom2_inj.ill_X8!$A$1:$K$36,2,FALSE),0)</f>
        <v>0</v>
      </c>
      <c r="M2692">
        <f>SUM(E2692:L2692)</f>
        <v>0</v>
      </c>
      <c r="P2692" t="s">
        <v>104</v>
      </c>
      <c r="Q2692" t="s">
        <v>116</v>
      </c>
      <c r="R2692" t="s">
        <v>130</v>
      </c>
      <c r="S2692" t="s">
        <v>70</v>
      </c>
      <c r="T2692" s="5">
        <f>IF(SUM(E$2692:E$2724)=0,E$2725/33,E2692+IFERROR(E2692/SUM(E$2692:E$2724)*E$2725,0))</f>
        <v>0</v>
      </c>
      <c r="U2692" s="5">
        <f t="shared" ref="U2692:AA2692" si="842">IF(SUM(F$2692:F$2724)=0,F$2725/33,F2692+IFERROR(F2692/SUM(F$2692:F$2724)*F$2725,0))</f>
        <v>0</v>
      </c>
      <c r="V2692" s="5">
        <f t="shared" si="842"/>
        <v>9.0909090909090912E-2</v>
      </c>
      <c r="W2692" s="5">
        <f t="shared" si="842"/>
        <v>0</v>
      </c>
      <c r="X2692" s="5">
        <f t="shared" si="842"/>
        <v>0</v>
      </c>
      <c r="Y2692" s="5">
        <f t="shared" si="842"/>
        <v>0</v>
      </c>
      <c r="Z2692" s="5">
        <f t="shared" si="842"/>
        <v>0</v>
      </c>
      <c r="AA2692" s="5">
        <f t="shared" si="842"/>
        <v>0</v>
      </c>
      <c r="AB2692" s="5">
        <f t="shared" si="841"/>
        <v>9.0909090909090912E-2</v>
      </c>
    </row>
    <row r="2693" spans="1:29" x14ac:dyDescent="0.25">
      <c r="D2693" t="s">
        <v>71</v>
      </c>
      <c r="E2693" s="14"/>
      <c r="F2693" s="14"/>
      <c r="G2693">
        <f>IFERROR(HLOOKUP(G$2,[82]table_male_hkom2_inj.ill_X8!$A$1:$K$36,3,FALSE),0)</f>
        <v>0</v>
      </c>
      <c r="H2693">
        <f>IFERROR(HLOOKUP(H$2,[82]table_male_hkom2_inj.ill_X8!$A$1:$K$36,3,FALSE),0)</f>
        <v>0</v>
      </c>
      <c r="I2693">
        <f>IFERROR(HLOOKUP(I$2,[82]table_male_hkom2_inj.ill_X8!$A$1:$K$36,3,FALSE),0)</f>
        <v>0</v>
      </c>
      <c r="J2693">
        <f>IFERROR(HLOOKUP(J$2,[82]table_male_hkom2_inj.ill_X8!$A$1:$K$36,3,FALSE),0)</f>
        <v>0</v>
      </c>
      <c r="K2693">
        <f>IFERROR(HLOOKUP(K$2,[82]table_male_hkom2_inj.ill_X8!$A$1:$K$36,3,FALSE),0)</f>
        <v>0</v>
      </c>
      <c r="L2693">
        <f>IFERROR(HLOOKUP(L$2,[82]table_male_hkom2_inj.ill_X8!$A$1:$K$36,3,FALSE),0)</f>
        <v>0</v>
      </c>
      <c r="M2693">
        <f t="shared" ref="M2693:M2725" si="843">SUM(E2693:L2693)</f>
        <v>0</v>
      </c>
      <c r="S2693" t="s">
        <v>71</v>
      </c>
      <c r="T2693" s="5">
        <f t="shared" ref="T2693:T2724" si="844">IF(SUM(E$2692:E$2724)=0,E$2725/33,E2693+IFERROR(E2693/SUM(E$2692:E$2724)*E$2725,0))</f>
        <v>0</v>
      </c>
      <c r="U2693" s="5">
        <f t="shared" ref="U2693:U2724" si="845">IF(SUM(F$2692:F$2724)=0,F$2725/33,F2693+IFERROR(F2693/SUM(F$2692:F$2724)*F$2725,0))</f>
        <v>0</v>
      </c>
      <c r="V2693" s="5">
        <f t="shared" ref="V2693:V2724" si="846">IF(SUM(G$2692:G$2724)=0,G$2725/33,G2693+IFERROR(G2693/SUM(G$2692:G$2724)*G$2725,0))</f>
        <v>9.0909090909090912E-2</v>
      </c>
      <c r="W2693" s="5">
        <f t="shared" ref="W2693:W2724" si="847">IF(SUM(H$2692:H$2724)=0,H$2725/33,H2693+IFERROR(H2693/SUM(H$2692:H$2724)*H$2725,0))</f>
        <v>0</v>
      </c>
      <c r="X2693" s="5">
        <f t="shared" ref="X2693:X2724" si="848">IF(SUM(I$2692:I$2724)=0,I$2725/33,I2693+IFERROR(I2693/SUM(I$2692:I$2724)*I$2725,0))</f>
        <v>0</v>
      </c>
      <c r="Y2693" s="5">
        <f t="shared" ref="Y2693:Y2724" si="849">IF(SUM(J$2692:J$2724)=0,J$2725/33,J2693+IFERROR(J2693/SUM(J$2692:J$2724)*J$2725,0))</f>
        <v>0</v>
      </c>
      <c r="Z2693" s="5">
        <f t="shared" ref="Z2693:Z2724" si="850">IF(SUM(K$2692:K$2724)=0,K$2725/33,K2693+IFERROR(K2693/SUM(K$2692:K$2724)*K$2725,0))</f>
        <v>0</v>
      </c>
      <c r="AA2693" s="5">
        <f t="shared" ref="AA2693:AA2724" si="851">IF(SUM(L$2692:L$2724)=0,L$2725/33,L2693+IFERROR(L2693/SUM(L$2692:L$2724)*L$2725,0))</f>
        <v>0</v>
      </c>
      <c r="AB2693" s="5">
        <f t="shared" si="841"/>
        <v>9.0909090909090912E-2</v>
      </c>
    </row>
    <row r="2694" spans="1:29" x14ac:dyDescent="0.25">
      <c r="D2694" t="s">
        <v>72</v>
      </c>
      <c r="E2694" s="14"/>
      <c r="F2694" s="14"/>
      <c r="G2694">
        <f>IFERROR(HLOOKUP(G$2,[82]table_male_hkom2_inj.ill_X8!$A$1:$K$36,4,FALSE),0)</f>
        <v>0</v>
      </c>
      <c r="H2694">
        <f>IFERROR(HLOOKUP(H$2,[82]table_male_hkom2_inj.ill_X8!$A$1:$K$36,4,FALSE),0)</f>
        <v>1</v>
      </c>
      <c r="I2694">
        <f>IFERROR(HLOOKUP(I$2,[82]table_male_hkom2_inj.ill_X8!$A$1:$K$36,4,FALSE),0)</f>
        <v>0</v>
      </c>
      <c r="J2694">
        <f>IFERROR(HLOOKUP(J$2,[82]table_male_hkom2_inj.ill_X8!$A$1:$K$36,4,FALSE),0)</f>
        <v>0</v>
      </c>
      <c r="K2694">
        <f>IFERROR(HLOOKUP(K$2,[82]table_male_hkom2_inj.ill_X8!$A$1:$K$36,4,FALSE),0)</f>
        <v>0</v>
      </c>
      <c r="L2694">
        <f>IFERROR(HLOOKUP(L$2,[82]table_male_hkom2_inj.ill_X8!$A$1:$K$36,4,FALSE),0)</f>
        <v>0</v>
      </c>
      <c r="M2694">
        <f t="shared" si="843"/>
        <v>1</v>
      </c>
      <c r="S2694" t="s">
        <v>72</v>
      </c>
      <c r="T2694" s="5">
        <f t="shared" si="844"/>
        <v>0</v>
      </c>
      <c r="U2694" s="5">
        <f t="shared" si="845"/>
        <v>0</v>
      </c>
      <c r="V2694" s="5">
        <f t="shared" si="846"/>
        <v>9.0909090909090912E-2</v>
      </c>
      <c r="W2694" s="5">
        <f t="shared" si="847"/>
        <v>1</v>
      </c>
      <c r="X2694" s="5">
        <f t="shared" si="848"/>
        <v>0</v>
      </c>
      <c r="Y2694" s="5">
        <f t="shared" si="849"/>
        <v>0</v>
      </c>
      <c r="Z2694" s="5">
        <f t="shared" si="850"/>
        <v>0</v>
      </c>
      <c r="AA2694" s="5">
        <f t="shared" si="851"/>
        <v>0</v>
      </c>
      <c r="AB2694" s="5">
        <f t="shared" si="841"/>
        <v>1.0909090909090908</v>
      </c>
    </row>
    <row r="2695" spans="1:29" x14ac:dyDescent="0.25">
      <c r="D2695" t="s">
        <v>73</v>
      </c>
      <c r="E2695" s="14"/>
      <c r="F2695" s="14"/>
      <c r="G2695">
        <f>IFERROR(HLOOKUP(G$2,[82]table_male_hkom2_inj.ill_X8!$A$1:$K$36,5,FALSE),0)</f>
        <v>0</v>
      </c>
      <c r="H2695">
        <f>IFERROR(HLOOKUP(H$2,[82]table_male_hkom2_inj.ill_X8!$A$1:$K$36,5,FALSE),0)</f>
        <v>1</v>
      </c>
      <c r="I2695">
        <f>IFERROR(HLOOKUP(I$2,[82]table_male_hkom2_inj.ill_X8!$A$1:$K$36,5,FALSE),0)</f>
        <v>0</v>
      </c>
      <c r="J2695">
        <f>IFERROR(HLOOKUP(J$2,[82]table_male_hkom2_inj.ill_X8!$A$1:$K$36,5,FALSE),0)</f>
        <v>0</v>
      </c>
      <c r="K2695">
        <f>IFERROR(HLOOKUP(K$2,[82]table_male_hkom2_inj.ill_X8!$A$1:$K$36,5,FALSE),0)</f>
        <v>0</v>
      </c>
      <c r="L2695">
        <f>IFERROR(HLOOKUP(L$2,[82]table_male_hkom2_inj.ill_X8!$A$1:$K$36,5,FALSE),0)</f>
        <v>0</v>
      </c>
      <c r="M2695">
        <f t="shared" si="843"/>
        <v>1</v>
      </c>
      <c r="S2695" t="s">
        <v>73</v>
      </c>
      <c r="T2695" s="5">
        <f t="shared" si="844"/>
        <v>0</v>
      </c>
      <c r="U2695" s="5">
        <f t="shared" si="845"/>
        <v>0</v>
      </c>
      <c r="V2695" s="5">
        <f t="shared" si="846"/>
        <v>9.0909090909090912E-2</v>
      </c>
      <c r="W2695" s="5">
        <f t="shared" si="847"/>
        <v>1</v>
      </c>
      <c r="X2695" s="5">
        <f t="shared" si="848"/>
        <v>0</v>
      </c>
      <c r="Y2695" s="5">
        <f t="shared" si="849"/>
        <v>0</v>
      </c>
      <c r="Z2695" s="5">
        <f t="shared" si="850"/>
        <v>0</v>
      </c>
      <c r="AA2695" s="5">
        <f t="shared" si="851"/>
        <v>0</v>
      </c>
      <c r="AB2695" s="5">
        <f t="shared" si="841"/>
        <v>1.0909090909090908</v>
      </c>
    </row>
    <row r="2696" spans="1:29" x14ac:dyDescent="0.25">
      <c r="D2696" t="s">
        <v>74</v>
      </c>
      <c r="E2696" s="14"/>
      <c r="F2696" s="14"/>
      <c r="G2696">
        <f>IFERROR(HLOOKUP(G$2,[82]table_male_hkom2_inj.ill_X8!$A$1:$K$36,6,FALSE),0)</f>
        <v>0</v>
      </c>
      <c r="H2696">
        <f>IFERROR(HLOOKUP(H$2,[82]table_male_hkom2_inj.ill_X8!$A$1:$K$36,6,FALSE),0)</f>
        <v>0</v>
      </c>
      <c r="I2696">
        <f>IFERROR(HLOOKUP(I$2,[82]table_male_hkom2_inj.ill_X8!$A$1:$K$36,6,FALSE),0)</f>
        <v>0</v>
      </c>
      <c r="J2696">
        <f>IFERROR(HLOOKUP(J$2,[82]table_male_hkom2_inj.ill_X8!$A$1:$K$36,6,FALSE),0)</f>
        <v>0</v>
      </c>
      <c r="K2696">
        <f>IFERROR(HLOOKUP(K$2,[82]table_male_hkom2_inj.ill_X8!$A$1:$K$36,6,FALSE),0)</f>
        <v>0</v>
      </c>
      <c r="L2696">
        <f>IFERROR(HLOOKUP(L$2,[82]table_male_hkom2_inj.ill_X8!$A$1:$K$36,6,FALSE),0)</f>
        <v>0</v>
      </c>
      <c r="M2696">
        <f t="shared" si="843"/>
        <v>0</v>
      </c>
      <c r="S2696" t="s">
        <v>74</v>
      </c>
      <c r="T2696" s="5">
        <f t="shared" si="844"/>
        <v>0</v>
      </c>
      <c r="U2696" s="5">
        <f t="shared" si="845"/>
        <v>0</v>
      </c>
      <c r="V2696" s="5">
        <f t="shared" si="846"/>
        <v>9.0909090909090912E-2</v>
      </c>
      <c r="W2696" s="5">
        <f t="shared" si="847"/>
        <v>0</v>
      </c>
      <c r="X2696" s="5">
        <f t="shared" si="848"/>
        <v>0</v>
      </c>
      <c r="Y2696" s="5">
        <f t="shared" si="849"/>
        <v>0</v>
      </c>
      <c r="Z2696" s="5">
        <f t="shared" si="850"/>
        <v>0</v>
      </c>
      <c r="AA2696" s="5">
        <f t="shared" si="851"/>
        <v>0</v>
      </c>
      <c r="AB2696" s="5">
        <f t="shared" si="841"/>
        <v>9.0909090909090912E-2</v>
      </c>
    </row>
    <row r="2697" spans="1:29" x14ac:dyDescent="0.25">
      <c r="D2697" t="s">
        <v>75</v>
      </c>
      <c r="E2697" s="14"/>
      <c r="F2697" s="14"/>
      <c r="G2697">
        <f>IFERROR(HLOOKUP(G$2,[82]table_male_hkom2_inj.ill_X8!$A$1:$K$36,7,FALSE),0)</f>
        <v>0</v>
      </c>
      <c r="H2697">
        <f>IFERROR(HLOOKUP(H$2,[82]table_male_hkom2_inj.ill_X8!$A$1:$K$36,7,FALSE),0)</f>
        <v>0</v>
      </c>
      <c r="I2697">
        <f>IFERROR(HLOOKUP(I$2,[82]table_male_hkom2_inj.ill_X8!$A$1:$K$36,7,FALSE),0)</f>
        <v>0</v>
      </c>
      <c r="J2697">
        <f>IFERROR(HLOOKUP(J$2,[82]table_male_hkom2_inj.ill_X8!$A$1:$K$36,7,FALSE),0)</f>
        <v>0</v>
      </c>
      <c r="K2697">
        <f>IFERROR(HLOOKUP(K$2,[82]table_male_hkom2_inj.ill_X8!$A$1:$K$36,7,FALSE),0)</f>
        <v>0</v>
      </c>
      <c r="L2697">
        <f>IFERROR(HLOOKUP(L$2,[82]table_male_hkom2_inj.ill_X8!$A$1:$K$36,7,FALSE),0)</f>
        <v>0</v>
      </c>
      <c r="M2697">
        <f t="shared" si="843"/>
        <v>0</v>
      </c>
      <c r="S2697" t="s">
        <v>75</v>
      </c>
      <c r="T2697" s="5">
        <f t="shared" si="844"/>
        <v>0</v>
      </c>
      <c r="U2697" s="5">
        <f t="shared" si="845"/>
        <v>0</v>
      </c>
      <c r="V2697" s="5">
        <f t="shared" si="846"/>
        <v>9.0909090909090912E-2</v>
      </c>
      <c r="W2697" s="5">
        <f t="shared" si="847"/>
        <v>0</v>
      </c>
      <c r="X2697" s="5">
        <f t="shared" si="848"/>
        <v>0</v>
      </c>
      <c r="Y2697" s="5">
        <f t="shared" si="849"/>
        <v>0</v>
      </c>
      <c r="Z2697" s="5">
        <f t="shared" si="850"/>
        <v>0</v>
      </c>
      <c r="AA2697" s="5">
        <f t="shared" si="851"/>
        <v>0</v>
      </c>
      <c r="AB2697" s="5">
        <f t="shared" si="841"/>
        <v>9.0909090909090912E-2</v>
      </c>
    </row>
    <row r="2698" spans="1:29" x14ac:dyDescent="0.25">
      <c r="D2698" t="s">
        <v>76</v>
      </c>
      <c r="E2698" s="14"/>
      <c r="F2698" s="14"/>
      <c r="G2698">
        <f>IFERROR(HLOOKUP(G$2,[82]table_male_hkom2_inj.ill_X8!$A$1:$K$36,8,FALSE),0)</f>
        <v>0</v>
      </c>
      <c r="H2698">
        <f>IFERROR(HLOOKUP(H$2,[82]table_male_hkom2_inj.ill_X8!$A$1:$K$36,8,FALSE),0)</f>
        <v>0</v>
      </c>
      <c r="I2698">
        <f>IFERROR(HLOOKUP(I$2,[82]table_male_hkom2_inj.ill_X8!$A$1:$K$36,8,FALSE),0)</f>
        <v>0</v>
      </c>
      <c r="J2698">
        <f>IFERROR(HLOOKUP(J$2,[82]table_male_hkom2_inj.ill_X8!$A$1:$K$36,8,FALSE),0)</f>
        <v>0</v>
      </c>
      <c r="K2698">
        <f>IFERROR(HLOOKUP(K$2,[82]table_male_hkom2_inj.ill_X8!$A$1:$K$36,8,FALSE),0)</f>
        <v>0</v>
      </c>
      <c r="L2698">
        <f>IFERROR(HLOOKUP(L$2,[82]table_male_hkom2_inj.ill_X8!$A$1:$K$36,8,FALSE),0)</f>
        <v>0</v>
      </c>
      <c r="M2698">
        <f t="shared" si="843"/>
        <v>0</v>
      </c>
      <c r="S2698" t="s">
        <v>76</v>
      </c>
      <c r="T2698" s="5">
        <f t="shared" si="844"/>
        <v>0</v>
      </c>
      <c r="U2698" s="5">
        <f t="shared" si="845"/>
        <v>0</v>
      </c>
      <c r="V2698" s="5">
        <f t="shared" si="846"/>
        <v>9.0909090909090912E-2</v>
      </c>
      <c r="W2698" s="5">
        <f t="shared" si="847"/>
        <v>0</v>
      </c>
      <c r="X2698" s="5">
        <f t="shared" si="848"/>
        <v>0</v>
      </c>
      <c r="Y2698" s="5">
        <f t="shared" si="849"/>
        <v>0</v>
      </c>
      <c r="Z2698" s="5">
        <f t="shared" si="850"/>
        <v>0</v>
      </c>
      <c r="AA2698" s="5">
        <f t="shared" si="851"/>
        <v>0</v>
      </c>
      <c r="AB2698" s="5">
        <f t="shared" si="841"/>
        <v>9.0909090909090912E-2</v>
      </c>
    </row>
    <row r="2699" spans="1:29" x14ac:dyDescent="0.25">
      <c r="D2699" t="s">
        <v>77</v>
      </c>
      <c r="E2699" s="14"/>
      <c r="F2699" s="14"/>
      <c r="G2699">
        <f>IFERROR(HLOOKUP(G$2,[82]table_male_hkom2_inj.ill_X8!$A$1:$K$36,9,FALSE),0)</f>
        <v>0</v>
      </c>
      <c r="H2699">
        <f>IFERROR(HLOOKUP(H$2,[82]table_male_hkom2_inj.ill_X8!$A$1:$K$36,9,FALSE),0)</f>
        <v>0</v>
      </c>
      <c r="I2699">
        <f>IFERROR(HLOOKUP(I$2,[82]table_male_hkom2_inj.ill_X8!$A$1:$K$36,9,FALSE),0)</f>
        <v>0</v>
      </c>
      <c r="J2699">
        <f>IFERROR(HLOOKUP(J$2,[82]table_male_hkom2_inj.ill_X8!$A$1:$K$36,9,FALSE),0)</f>
        <v>0</v>
      </c>
      <c r="K2699">
        <f>IFERROR(HLOOKUP(K$2,[82]table_male_hkom2_inj.ill_X8!$A$1:$K$36,9,FALSE),0)</f>
        <v>0</v>
      </c>
      <c r="L2699">
        <f>IFERROR(HLOOKUP(L$2,[82]table_male_hkom2_inj.ill_X8!$A$1:$K$36,9,FALSE),0)</f>
        <v>0</v>
      </c>
      <c r="M2699">
        <f t="shared" si="843"/>
        <v>0</v>
      </c>
      <c r="S2699" t="s">
        <v>77</v>
      </c>
      <c r="T2699" s="5">
        <f t="shared" si="844"/>
        <v>0</v>
      </c>
      <c r="U2699" s="5">
        <f t="shared" si="845"/>
        <v>0</v>
      </c>
      <c r="V2699" s="5">
        <f t="shared" si="846"/>
        <v>9.0909090909090912E-2</v>
      </c>
      <c r="W2699" s="5">
        <f t="shared" si="847"/>
        <v>0</v>
      </c>
      <c r="X2699" s="5">
        <f t="shared" si="848"/>
        <v>0</v>
      </c>
      <c r="Y2699" s="5">
        <f t="shared" si="849"/>
        <v>0</v>
      </c>
      <c r="Z2699" s="5">
        <f t="shared" si="850"/>
        <v>0</v>
      </c>
      <c r="AA2699" s="5">
        <f t="shared" si="851"/>
        <v>0</v>
      </c>
      <c r="AB2699" s="5">
        <f t="shared" si="841"/>
        <v>9.0909090909090912E-2</v>
      </c>
    </row>
    <row r="2700" spans="1:29" x14ac:dyDescent="0.25">
      <c r="D2700" t="s">
        <v>78</v>
      </c>
      <c r="E2700" s="14"/>
      <c r="F2700" s="14"/>
      <c r="G2700">
        <f>IFERROR(HLOOKUP(G$2,[82]table_male_hkom2_inj.ill_X8!$A$1:$K$36,10,FALSE),0)</f>
        <v>0</v>
      </c>
      <c r="H2700">
        <f>IFERROR(HLOOKUP(H$2,[82]table_male_hkom2_inj.ill_X8!$A$1:$K$36,10,FALSE),0)</f>
        <v>0</v>
      </c>
      <c r="I2700">
        <f>IFERROR(HLOOKUP(I$2,[82]table_male_hkom2_inj.ill_X8!$A$1:$K$36,10,FALSE),0)</f>
        <v>0</v>
      </c>
      <c r="J2700">
        <f>IFERROR(HLOOKUP(J$2,[82]table_male_hkom2_inj.ill_X8!$A$1:$K$36,10,FALSE),0)</f>
        <v>0</v>
      </c>
      <c r="K2700">
        <f>IFERROR(HLOOKUP(K$2,[82]table_male_hkom2_inj.ill_X8!$A$1:$K$36,10,FALSE),0)</f>
        <v>0</v>
      </c>
      <c r="L2700">
        <f>IFERROR(HLOOKUP(L$2,[82]table_male_hkom2_inj.ill_X8!$A$1:$K$36,10,FALSE),0)</f>
        <v>0</v>
      </c>
      <c r="M2700">
        <f t="shared" si="843"/>
        <v>0</v>
      </c>
      <c r="S2700" t="s">
        <v>78</v>
      </c>
      <c r="T2700" s="5">
        <f t="shared" si="844"/>
        <v>0</v>
      </c>
      <c r="U2700" s="5">
        <f t="shared" si="845"/>
        <v>0</v>
      </c>
      <c r="V2700" s="5">
        <f t="shared" si="846"/>
        <v>9.0909090909090912E-2</v>
      </c>
      <c r="W2700" s="5">
        <f t="shared" si="847"/>
        <v>0</v>
      </c>
      <c r="X2700" s="5">
        <f t="shared" si="848"/>
        <v>0</v>
      </c>
      <c r="Y2700" s="5">
        <f t="shared" si="849"/>
        <v>0</v>
      </c>
      <c r="Z2700" s="5">
        <f t="shared" si="850"/>
        <v>0</v>
      </c>
      <c r="AA2700" s="5">
        <f t="shared" si="851"/>
        <v>0</v>
      </c>
      <c r="AB2700" s="5">
        <f t="shared" si="841"/>
        <v>9.0909090909090912E-2</v>
      </c>
    </row>
    <row r="2701" spans="1:29" x14ac:dyDescent="0.25">
      <c r="D2701" t="s">
        <v>79</v>
      </c>
      <c r="E2701" s="14"/>
      <c r="F2701" s="14"/>
      <c r="G2701">
        <f>IFERROR(HLOOKUP(G$2,[82]table_male_hkom2_inj.ill_X8!$A$1:$K$36,11,FALSE),0)</f>
        <v>0</v>
      </c>
      <c r="H2701">
        <f>IFERROR(HLOOKUP(H$2,[82]table_male_hkom2_inj.ill_X8!$A$1:$K$36,11,FALSE),0)</f>
        <v>0</v>
      </c>
      <c r="I2701">
        <f>IFERROR(HLOOKUP(I$2,[82]table_male_hkom2_inj.ill_X8!$A$1:$K$36,11,FALSE),0)</f>
        <v>0</v>
      </c>
      <c r="J2701">
        <f>IFERROR(HLOOKUP(J$2,[82]table_male_hkom2_inj.ill_X8!$A$1:$K$36,11,FALSE),0)</f>
        <v>0</v>
      </c>
      <c r="K2701">
        <f>IFERROR(HLOOKUP(K$2,[82]table_male_hkom2_inj.ill_X8!$A$1:$K$36,11,FALSE),0)</f>
        <v>0</v>
      </c>
      <c r="L2701">
        <f>IFERROR(HLOOKUP(L$2,[82]table_male_hkom2_inj.ill_X8!$A$1:$K$36,11,FALSE),0)</f>
        <v>0</v>
      </c>
      <c r="M2701">
        <f t="shared" si="843"/>
        <v>0</v>
      </c>
      <c r="S2701" t="s">
        <v>79</v>
      </c>
      <c r="T2701" s="5">
        <f t="shared" si="844"/>
        <v>0</v>
      </c>
      <c r="U2701" s="5">
        <f t="shared" si="845"/>
        <v>0</v>
      </c>
      <c r="V2701" s="5">
        <f t="shared" si="846"/>
        <v>9.0909090909090912E-2</v>
      </c>
      <c r="W2701" s="5">
        <f t="shared" si="847"/>
        <v>0</v>
      </c>
      <c r="X2701" s="5">
        <f t="shared" si="848"/>
        <v>0</v>
      </c>
      <c r="Y2701" s="5">
        <f t="shared" si="849"/>
        <v>0</v>
      </c>
      <c r="Z2701" s="5">
        <f t="shared" si="850"/>
        <v>0</v>
      </c>
      <c r="AA2701" s="5">
        <f t="shared" si="851"/>
        <v>0</v>
      </c>
      <c r="AB2701" s="5">
        <f t="shared" si="841"/>
        <v>9.0909090909090912E-2</v>
      </c>
    </row>
    <row r="2702" spans="1:29" x14ac:dyDescent="0.25">
      <c r="D2702" t="s">
        <v>80</v>
      </c>
      <c r="E2702" s="14"/>
      <c r="F2702" s="14"/>
      <c r="G2702">
        <f>IFERROR(HLOOKUP(G$2,[82]table_male_hkom2_inj.ill_X8!$A$1:$K$36,12,FALSE),0)</f>
        <v>0</v>
      </c>
      <c r="H2702">
        <f>IFERROR(HLOOKUP(H$2,[82]table_male_hkom2_inj.ill_X8!$A$1:$K$36,12,FALSE),0)</f>
        <v>0</v>
      </c>
      <c r="I2702">
        <f>IFERROR(HLOOKUP(I$2,[82]table_male_hkom2_inj.ill_X8!$A$1:$K$36,12,FALSE),0)</f>
        <v>0</v>
      </c>
      <c r="J2702">
        <f>IFERROR(HLOOKUP(J$2,[82]table_male_hkom2_inj.ill_X8!$A$1:$K$36,12,FALSE),0)</f>
        <v>0</v>
      </c>
      <c r="K2702">
        <f>IFERROR(HLOOKUP(K$2,[82]table_male_hkom2_inj.ill_X8!$A$1:$K$36,12,FALSE),0)</f>
        <v>0</v>
      </c>
      <c r="L2702">
        <f>IFERROR(HLOOKUP(L$2,[82]table_male_hkom2_inj.ill_X8!$A$1:$K$36,12,FALSE),0)</f>
        <v>0</v>
      </c>
      <c r="M2702">
        <f t="shared" si="843"/>
        <v>0</v>
      </c>
      <c r="S2702" t="s">
        <v>80</v>
      </c>
      <c r="T2702" s="5">
        <f t="shared" si="844"/>
        <v>0</v>
      </c>
      <c r="U2702" s="5">
        <f t="shared" si="845"/>
        <v>0</v>
      </c>
      <c r="V2702" s="5">
        <f t="shared" si="846"/>
        <v>9.0909090909090912E-2</v>
      </c>
      <c r="W2702" s="5">
        <f t="shared" si="847"/>
        <v>0</v>
      </c>
      <c r="X2702" s="5">
        <f t="shared" si="848"/>
        <v>0</v>
      </c>
      <c r="Y2702" s="5">
        <f t="shared" si="849"/>
        <v>0</v>
      </c>
      <c r="Z2702" s="5">
        <f t="shared" si="850"/>
        <v>0</v>
      </c>
      <c r="AA2702" s="5">
        <f t="shared" si="851"/>
        <v>0</v>
      </c>
      <c r="AB2702" s="5">
        <f t="shared" si="841"/>
        <v>9.0909090909090912E-2</v>
      </c>
    </row>
    <row r="2703" spans="1:29" x14ac:dyDescent="0.25">
      <c r="D2703" t="s">
        <v>81</v>
      </c>
      <c r="E2703" s="14"/>
      <c r="F2703" s="14"/>
      <c r="G2703">
        <f>IFERROR(HLOOKUP(G$2,[82]table_male_hkom2_inj.ill_X8!$A$1:$K$36,13,FALSE),0)</f>
        <v>0</v>
      </c>
      <c r="H2703">
        <f>IFERROR(HLOOKUP(H$2,[82]table_male_hkom2_inj.ill_X8!$A$1:$K$36,13,FALSE),0)</f>
        <v>0</v>
      </c>
      <c r="I2703">
        <f>IFERROR(HLOOKUP(I$2,[82]table_male_hkom2_inj.ill_X8!$A$1:$K$36,13,FALSE),0)</f>
        <v>0</v>
      </c>
      <c r="J2703">
        <f>IFERROR(HLOOKUP(J$2,[82]table_male_hkom2_inj.ill_X8!$A$1:$K$36,13,FALSE),0)</f>
        <v>0</v>
      </c>
      <c r="K2703">
        <f>IFERROR(HLOOKUP(K$2,[82]table_male_hkom2_inj.ill_X8!$A$1:$K$36,13,FALSE),0)</f>
        <v>0</v>
      </c>
      <c r="L2703">
        <f>IFERROR(HLOOKUP(L$2,[82]table_male_hkom2_inj.ill_X8!$A$1:$K$36,13,FALSE),0)</f>
        <v>0</v>
      </c>
      <c r="M2703">
        <f t="shared" si="843"/>
        <v>0</v>
      </c>
      <c r="S2703" t="s">
        <v>81</v>
      </c>
      <c r="T2703" s="5">
        <f t="shared" si="844"/>
        <v>0</v>
      </c>
      <c r="U2703" s="5">
        <f t="shared" si="845"/>
        <v>0</v>
      </c>
      <c r="V2703" s="5">
        <f t="shared" si="846"/>
        <v>9.0909090909090912E-2</v>
      </c>
      <c r="W2703" s="5">
        <f t="shared" si="847"/>
        <v>0</v>
      </c>
      <c r="X2703" s="5">
        <f t="shared" si="848"/>
        <v>0</v>
      </c>
      <c r="Y2703" s="5">
        <f t="shared" si="849"/>
        <v>0</v>
      </c>
      <c r="Z2703" s="5">
        <f t="shared" si="850"/>
        <v>0</v>
      </c>
      <c r="AA2703" s="5">
        <f t="shared" si="851"/>
        <v>0</v>
      </c>
      <c r="AB2703" s="5">
        <f t="shared" si="841"/>
        <v>9.0909090909090912E-2</v>
      </c>
    </row>
    <row r="2704" spans="1:29" x14ac:dyDescent="0.25">
      <c r="D2704" t="s">
        <v>82</v>
      </c>
      <c r="E2704" s="14"/>
      <c r="F2704" s="14"/>
      <c r="G2704">
        <f>IFERROR(HLOOKUP(G$2,[82]table_male_hkom2_inj.ill_X8!$A$1:$K$36,14,FALSE),0)</f>
        <v>0</v>
      </c>
      <c r="H2704">
        <f>IFERROR(HLOOKUP(H$2,[82]table_male_hkom2_inj.ill_X8!$A$1:$K$36,14,FALSE),0)</f>
        <v>0</v>
      </c>
      <c r="I2704">
        <f>IFERROR(HLOOKUP(I$2,[82]table_male_hkom2_inj.ill_X8!$A$1:$K$36,14,FALSE),0)</f>
        <v>0</v>
      </c>
      <c r="J2704">
        <f>IFERROR(HLOOKUP(J$2,[82]table_male_hkom2_inj.ill_X8!$A$1:$K$36,14,FALSE),0)</f>
        <v>0</v>
      </c>
      <c r="K2704">
        <f>IFERROR(HLOOKUP(K$2,[82]table_male_hkom2_inj.ill_X8!$A$1:$K$36,14,FALSE),0)</f>
        <v>0</v>
      </c>
      <c r="L2704">
        <f>IFERROR(HLOOKUP(L$2,[82]table_male_hkom2_inj.ill_X8!$A$1:$K$36,14,FALSE),0)</f>
        <v>0</v>
      </c>
      <c r="M2704">
        <f t="shared" si="843"/>
        <v>0</v>
      </c>
      <c r="S2704" t="s">
        <v>82</v>
      </c>
      <c r="T2704" s="5">
        <f t="shared" si="844"/>
        <v>0</v>
      </c>
      <c r="U2704" s="5">
        <f t="shared" si="845"/>
        <v>0</v>
      </c>
      <c r="V2704" s="5">
        <f t="shared" si="846"/>
        <v>9.0909090909090912E-2</v>
      </c>
      <c r="W2704" s="5">
        <f t="shared" si="847"/>
        <v>0</v>
      </c>
      <c r="X2704" s="5">
        <f t="shared" si="848"/>
        <v>0</v>
      </c>
      <c r="Y2704" s="5">
        <f t="shared" si="849"/>
        <v>0</v>
      </c>
      <c r="Z2704" s="5">
        <f t="shared" si="850"/>
        <v>0</v>
      </c>
      <c r="AA2704" s="5">
        <f t="shared" si="851"/>
        <v>0</v>
      </c>
      <c r="AB2704" s="5">
        <f t="shared" si="841"/>
        <v>9.0909090909090912E-2</v>
      </c>
    </row>
    <row r="2705" spans="4:28" x14ac:dyDescent="0.25">
      <c r="D2705" t="s">
        <v>83</v>
      </c>
      <c r="E2705" s="14"/>
      <c r="F2705" s="14"/>
      <c r="G2705">
        <f>IFERROR(HLOOKUP(G$2,[82]table_male_hkom2_inj.ill_X8!$A$1:$K$36,15,FALSE),0)</f>
        <v>0</v>
      </c>
      <c r="H2705">
        <f>IFERROR(HLOOKUP(H$2,[82]table_male_hkom2_inj.ill_X8!$A$1:$K$36,15,FALSE),0)</f>
        <v>0</v>
      </c>
      <c r="I2705">
        <f>IFERROR(HLOOKUP(I$2,[82]table_male_hkom2_inj.ill_X8!$A$1:$K$36,15,FALSE),0)</f>
        <v>0</v>
      </c>
      <c r="J2705">
        <f>IFERROR(HLOOKUP(J$2,[82]table_male_hkom2_inj.ill_X8!$A$1:$K$36,15,FALSE),0)</f>
        <v>0</v>
      </c>
      <c r="K2705">
        <f>IFERROR(HLOOKUP(K$2,[82]table_male_hkom2_inj.ill_X8!$A$1:$K$36,15,FALSE),0)</f>
        <v>0</v>
      </c>
      <c r="L2705">
        <f>IFERROR(HLOOKUP(L$2,[82]table_male_hkom2_inj.ill_X8!$A$1:$K$36,15,FALSE),0)</f>
        <v>0</v>
      </c>
      <c r="M2705">
        <f t="shared" si="843"/>
        <v>0</v>
      </c>
      <c r="S2705" t="s">
        <v>83</v>
      </c>
      <c r="T2705" s="5">
        <f t="shared" si="844"/>
        <v>0</v>
      </c>
      <c r="U2705" s="5">
        <f t="shared" si="845"/>
        <v>0</v>
      </c>
      <c r="V2705" s="5">
        <f t="shared" si="846"/>
        <v>9.0909090909090912E-2</v>
      </c>
      <c r="W2705" s="5">
        <f t="shared" si="847"/>
        <v>0</v>
      </c>
      <c r="X2705" s="5">
        <f t="shared" si="848"/>
        <v>0</v>
      </c>
      <c r="Y2705" s="5">
        <f t="shared" si="849"/>
        <v>0</v>
      </c>
      <c r="Z2705" s="5">
        <f t="shared" si="850"/>
        <v>0</v>
      </c>
      <c r="AA2705" s="5">
        <f t="shared" si="851"/>
        <v>0</v>
      </c>
      <c r="AB2705" s="5">
        <f t="shared" si="841"/>
        <v>9.0909090909090912E-2</v>
      </c>
    </row>
    <row r="2706" spans="4:28" x14ac:dyDescent="0.25">
      <c r="D2706" t="s">
        <v>84</v>
      </c>
      <c r="E2706" s="14"/>
      <c r="F2706" s="14"/>
      <c r="G2706">
        <f>IFERROR(HLOOKUP(G$2,[82]table_male_hkom2_inj.ill_X8!$A$1:$K$36,16,FALSE),0)</f>
        <v>0</v>
      </c>
      <c r="H2706">
        <f>IFERROR(HLOOKUP(H$2,[82]table_male_hkom2_inj.ill_X8!$A$1:$K$36,16,FALSE),0)</f>
        <v>0</v>
      </c>
      <c r="I2706">
        <f>IFERROR(HLOOKUP(I$2,[82]table_male_hkom2_inj.ill_X8!$A$1:$K$36,16,FALSE),0)</f>
        <v>0</v>
      </c>
      <c r="J2706">
        <f>IFERROR(HLOOKUP(J$2,[82]table_male_hkom2_inj.ill_X8!$A$1:$K$36,16,FALSE),0)</f>
        <v>0</v>
      </c>
      <c r="K2706">
        <f>IFERROR(HLOOKUP(K$2,[82]table_male_hkom2_inj.ill_X8!$A$1:$K$36,16,FALSE),0)</f>
        <v>0</v>
      </c>
      <c r="L2706">
        <f>IFERROR(HLOOKUP(L$2,[82]table_male_hkom2_inj.ill_X8!$A$1:$K$36,16,FALSE),0)</f>
        <v>0</v>
      </c>
      <c r="M2706">
        <f t="shared" si="843"/>
        <v>0</v>
      </c>
      <c r="S2706" t="s">
        <v>84</v>
      </c>
      <c r="T2706" s="5">
        <f t="shared" si="844"/>
        <v>0</v>
      </c>
      <c r="U2706" s="5">
        <f t="shared" si="845"/>
        <v>0</v>
      </c>
      <c r="V2706" s="5">
        <f t="shared" si="846"/>
        <v>9.0909090909090912E-2</v>
      </c>
      <c r="W2706" s="5">
        <f t="shared" si="847"/>
        <v>0</v>
      </c>
      <c r="X2706" s="5">
        <f t="shared" si="848"/>
        <v>0</v>
      </c>
      <c r="Y2706" s="5">
        <f t="shared" si="849"/>
        <v>0</v>
      </c>
      <c r="Z2706" s="5">
        <f t="shared" si="850"/>
        <v>0</v>
      </c>
      <c r="AA2706" s="5">
        <f t="shared" si="851"/>
        <v>0</v>
      </c>
      <c r="AB2706" s="5">
        <f t="shared" si="841"/>
        <v>9.0909090909090912E-2</v>
      </c>
    </row>
    <row r="2707" spans="4:28" x14ac:dyDescent="0.25">
      <c r="D2707" t="s">
        <v>85</v>
      </c>
      <c r="E2707" s="14"/>
      <c r="F2707" s="14"/>
      <c r="G2707">
        <f>IFERROR(HLOOKUP(G$2,[82]table_male_hkom2_inj.ill_X8!$A$1:$K$36,17,FALSE),0)</f>
        <v>0</v>
      </c>
      <c r="H2707">
        <f>IFERROR(HLOOKUP(H$2,[82]table_male_hkom2_inj.ill_X8!$A$1:$K$36,17,FALSE),0)</f>
        <v>0</v>
      </c>
      <c r="I2707">
        <f>IFERROR(HLOOKUP(I$2,[82]table_male_hkom2_inj.ill_X8!$A$1:$K$36,17,FALSE),0)</f>
        <v>0</v>
      </c>
      <c r="J2707">
        <f>IFERROR(HLOOKUP(J$2,[82]table_male_hkom2_inj.ill_X8!$A$1:$K$36,17,FALSE),0)</f>
        <v>0</v>
      </c>
      <c r="K2707">
        <f>IFERROR(HLOOKUP(K$2,[82]table_male_hkom2_inj.ill_X8!$A$1:$K$36,17,FALSE),0)</f>
        <v>0</v>
      </c>
      <c r="L2707">
        <f>IFERROR(HLOOKUP(L$2,[82]table_male_hkom2_inj.ill_X8!$A$1:$K$36,17,FALSE),0)</f>
        <v>0</v>
      </c>
      <c r="M2707">
        <f t="shared" si="843"/>
        <v>0</v>
      </c>
      <c r="S2707" t="s">
        <v>85</v>
      </c>
      <c r="T2707" s="5">
        <f t="shared" si="844"/>
        <v>0</v>
      </c>
      <c r="U2707" s="5">
        <f t="shared" si="845"/>
        <v>0</v>
      </c>
      <c r="V2707" s="5">
        <f t="shared" si="846"/>
        <v>9.0909090909090912E-2</v>
      </c>
      <c r="W2707" s="5">
        <f t="shared" si="847"/>
        <v>0</v>
      </c>
      <c r="X2707" s="5">
        <f t="shared" si="848"/>
        <v>0</v>
      </c>
      <c r="Y2707" s="5">
        <f t="shared" si="849"/>
        <v>0</v>
      </c>
      <c r="Z2707" s="5">
        <f t="shared" si="850"/>
        <v>0</v>
      </c>
      <c r="AA2707" s="5">
        <f t="shared" si="851"/>
        <v>0</v>
      </c>
      <c r="AB2707" s="5">
        <f t="shared" si="841"/>
        <v>9.0909090909090912E-2</v>
      </c>
    </row>
    <row r="2708" spans="4:28" x14ac:dyDescent="0.25">
      <c r="D2708" t="s">
        <v>86</v>
      </c>
      <c r="E2708" s="14"/>
      <c r="F2708" s="14"/>
      <c r="G2708">
        <f>IFERROR(HLOOKUP(G$2,[82]table_male_hkom2_inj.ill_X8!$A$1:$K$36,18,FALSE),0)</f>
        <v>0</v>
      </c>
      <c r="H2708">
        <f>IFERROR(HLOOKUP(H$2,[82]table_male_hkom2_inj.ill_X8!$A$1:$K$36,18,FALSE),0)</f>
        <v>1</v>
      </c>
      <c r="I2708">
        <f>IFERROR(HLOOKUP(I$2,[82]table_male_hkom2_inj.ill_X8!$A$1:$K$36,18,FALSE),0)</f>
        <v>0</v>
      </c>
      <c r="J2708">
        <f>IFERROR(HLOOKUP(J$2,[82]table_male_hkom2_inj.ill_X8!$A$1:$K$36,18,FALSE),0)</f>
        <v>0</v>
      </c>
      <c r="K2708">
        <f>IFERROR(HLOOKUP(K$2,[82]table_male_hkom2_inj.ill_X8!$A$1:$K$36,18,FALSE),0)</f>
        <v>0</v>
      </c>
      <c r="L2708">
        <f>IFERROR(HLOOKUP(L$2,[82]table_male_hkom2_inj.ill_X8!$A$1:$K$36,18,FALSE),0)</f>
        <v>0</v>
      </c>
      <c r="M2708">
        <f t="shared" si="843"/>
        <v>1</v>
      </c>
      <c r="S2708" t="s">
        <v>86</v>
      </c>
      <c r="T2708" s="5">
        <f t="shared" si="844"/>
        <v>0</v>
      </c>
      <c r="U2708" s="5">
        <f t="shared" si="845"/>
        <v>0</v>
      </c>
      <c r="V2708" s="5">
        <f t="shared" si="846"/>
        <v>9.0909090909090912E-2</v>
      </c>
      <c r="W2708" s="5">
        <f t="shared" si="847"/>
        <v>1</v>
      </c>
      <c r="X2708" s="5">
        <f t="shared" si="848"/>
        <v>0</v>
      </c>
      <c r="Y2708" s="5">
        <f t="shared" si="849"/>
        <v>0</v>
      </c>
      <c r="Z2708" s="5">
        <f t="shared" si="850"/>
        <v>0</v>
      </c>
      <c r="AA2708" s="5">
        <f t="shared" si="851"/>
        <v>0</v>
      </c>
      <c r="AB2708" s="5">
        <f t="shared" si="841"/>
        <v>1.0909090909090908</v>
      </c>
    </row>
    <row r="2709" spans="4:28" x14ac:dyDescent="0.25">
      <c r="D2709" t="s">
        <v>87</v>
      </c>
      <c r="E2709" s="14"/>
      <c r="F2709" s="14"/>
      <c r="G2709">
        <f>IFERROR(HLOOKUP(G$2,[82]table_male_hkom2_inj.ill_X8!$A$1:$K$36,19,FALSE),0)</f>
        <v>0</v>
      </c>
      <c r="H2709">
        <f>IFERROR(HLOOKUP(H$2,[82]table_male_hkom2_inj.ill_X8!$A$1:$K$36,19,FALSE),0)</f>
        <v>0</v>
      </c>
      <c r="I2709">
        <f>IFERROR(HLOOKUP(I$2,[82]table_male_hkom2_inj.ill_X8!$A$1:$K$36,19,FALSE),0)</f>
        <v>0</v>
      </c>
      <c r="J2709">
        <f>IFERROR(HLOOKUP(J$2,[82]table_male_hkom2_inj.ill_X8!$A$1:$K$36,19,FALSE),0)</f>
        <v>0</v>
      </c>
      <c r="K2709">
        <f>IFERROR(HLOOKUP(K$2,[82]table_male_hkom2_inj.ill_X8!$A$1:$K$36,19,FALSE),0)</f>
        <v>0</v>
      </c>
      <c r="L2709">
        <f>IFERROR(HLOOKUP(L$2,[82]table_male_hkom2_inj.ill_X8!$A$1:$K$36,19,FALSE),0)</f>
        <v>0</v>
      </c>
      <c r="M2709">
        <f t="shared" si="843"/>
        <v>0</v>
      </c>
      <c r="S2709" t="s">
        <v>87</v>
      </c>
      <c r="T2709" s="5">
        <f t="shared" si="844"/>
        <v>0</v>
      </c>
      <c r="U2709" s="5">
        <f t="shared" si="845"/>
        <v>0</v>
      </c>
      <c r="V2709" s="5">
        <f t="shared" si="846"/>
        <v>9.0909090909090912E-2</v>
      </c>
      <c r="W2709" s="5">
        <f t="shared" si="847"/>
        <v>0</v>
      </c>
      <c r="X2709" s="5">
        <f t="shared" si="848"/>
        <v>0</v>
      </c>
      <c r="Y2709" s="5">
        <f t="shared" si="849"/>
        <v>0</v>
      </c>
      <c r="Z2709" s="5">
        <f t="shared" si="850"/>
        <v>0</v>
      </c>
      <c r="AA2709" s="5">
        <f t="shared" si="851"/>
        <v>0</v>
      </c>
      <c r="AB2709" s="5">
        <f t="shared" si="841"/>
        <v>9.0909090909090912E-2</v>
      </c>
    </row>
    <row r="2710" spans="4:28" x14ac:dyDescent="0.25">
      <c r="D2710" t="s">
        <v>88</v>
      </c>
      <c r="E2710" s="14"/>
      <c r="F2710" s="14"/>
      <c r="G2710">
        <f>IFERROR(HLOOKUP(G$2,[82]table_male_hkom2_inj.ill_X8!$A$1:$K$36,20,FALSE),0)</f>
        <v>0</v>
      </c>
      <c r="H2710">
        <f>IFERROR(HLOOKUP(H$2,[82]table_male_hkom2_inj.ill_X8!$A$1:$K$36,20,FALSE),0)</f>
        <v>2</v>
      </c>
      <c r="I2710">
        <f>IFERROR(HLOOKUP(I$2,[82]table_male_hkom2_inj.ill_X8!$A$1:$K$36,20,FALSE),0)</f>
        <v>2</v>
      </c>
      <c r="J2710">
        <f>IFERROR(HLOOKUP(J$2,[82]table_male_hkom2_inj.ill_X8!$A$1:$K$36,20,FALSE),0)</f>
        <v>0</v>
      </c>
      <c r="K2710">
        <f>IFERROR(HLOOKUP(K$2,[82]table_male_hkom2_inj.ill_X8!$A$1:$K$36,20,FALSE),0)</f>
        <v>0</v>
      </c>
      <c r="L2710">
        <f>IFERROR(HLOOKUP(L$2,[82]table_male_hkom2_inj.ill_X8!$A$1:$K$36,20,FALSE),0)</f>
        <v>0</v>
      </c>
      <c r="M2710">
        <f t="shared" si="843"/>
        <v>4</v>
      </c>
      <c r="S2710" t="s">
        <v>88</v>
      </c>
      <c r="T2710" s="5">
        <f t="shared" si="844"/>
        <v>0</v>
      </c>
      <c r="U2710" s="5">
        <f t="shared" si="845"/>
        <v>0</v>
      </c>
      <c r="V2710" s="5">
        <f t="shared" si="846"/>
        <v>9.0909090909090912E-2</v>
      </c>
      <c r="W2710" s="5">
        <f t="shared" si="847"/>
        <v>2</v>
      </c>
      <c r="X2710" s="5">
        <f t="shared" si="848"/>
        <v>3.333333333333333</v>
      </c>
      <c r="Y2710" s="5">
        <f t="shared" si="849"/>
        <v>0</v>
      </c>
      <c r="Z2710" s="5">
        <f t="shared" si="850"/>
        <v>0</v>
      </c>
      <c r="AA2710" s="5">
        <f t="shared" si="851"/>
        <v>0</v>
      </c>
      <c r="AB2710" s="5">
        <f t="shared" si="841"/>
        <v>5.4242424242424239</v>
      </c>
    </row>
    <row r="2711" spans="4:28" x14ac:dyDescent="0.25">
      <c r="D2711" t="s">
        <v>89</v>
      </c>
      <c r="E2711" s="14"/>
      <c r="F2711" s="14"/>
      <c r="G2711">
        <f>IFERROR(HLOOKUP(G$2,[82]table_male_hkom2_inj.ill_X8!$A$1:$K$36,21,FALSE),0)</f>
        <v>0</v>
      </c>
      <c r="H2711">
        <f>IFERROR(HLOOKUP(H$2,[82]table_male_hkom2_inj.ill_X8!$A$1:$K$36,21,FALSE),0)</f>
        <v>0</v>
      </c>
      <c r="I2711">
        <f>IFERROR(HLOOKUP(I$2,[82]table_male_hkom2_inj.ill_X8!$A$1:$K$36,21,FALSE),0)</f>
        <v>1</v>
      </c>
      <c r="J2711">
        <f>IFERROR(HLOOKUP(J$2,[82]table_male_hkom2_inj.ill_X8!$A$1:$K$36,21,FALSE),0)</f>
        <v>1</v>
      </c>
      <c r="K2711">
        <f>IFERROR(HLOOKUP(K$2,[82]table_male_hkom2_inj.ill_X8!$A$1:$K$36,21,FALSE),0)</f>
        <v>0</v>
      </c>
      <c r="L2711">
        <f>IFERROR(HLOOKUP(L$2,[82]table_male_hkom2_inj.ill_X8!$A$1:$K$36,21,FALSE),0)</f>
        <v>0</v>
      </c>
      <c r="M2711">
        <f t="shared" si="843"/>
        <v>2</v>
      </c>
      <c r="S2711" t="s">
        <v>89</v>
      </c>
      <c r="T2711" s="5">
        <f t="shared" si="844"/>
        <v>0</v>
      </c>
      <c r="U2711" s="5">
        <f t="shared" si="845"/>
        <v>0</v>
      </c>
      <c r="V2711" s="5">
        <f t="shared" si="846"/>
        <v>9.0909090909090912E-2</v>
      </c>
      <c r="W2711" s="5">
        <f t="shared" si="847"/>
        <v>0</v>
      </c>
      <c r="X2711" s="5">
        <f t="shared" si="848"/>
        <v>1.6666666666666665</v>
      </c>
      <c r="Y2711" s="5">
        <f t="shared" si="849"/>
        <v>2</v>
      </c>
      <c r="Z2711" s="5">
        <f t="shared" si="850"/>
        <v>0</v>
      </c>
      <c r="AA2711" s="5">
        <f t="shared" si="851"/>
        <v>0</v>
      </c>
      <c r="AB2711" s="5">
        <f t="shared" si="841"/>
        <v>3.7575757575757573</v>
      </c>
    </row>
    <row r="2712" spans="4:28" x14ac:dyDescent="0.25">
      <c r="D2712" t="s">
        <v>90</v>
      </c>
      <c r="E2712" s="14"/>
      <c r="F2712" s="14"/>
      <c r="G2712">
        <f>IFERROR(HLOOKUP(G$2,[82]table_male_hkom2_inj.ill_X8!$A$1:$K$36,22,FALSE),0)</f>
        <v>0</v>
      </c>
      <c r="H2712">
        <f>IFERROR(HLOOKUP(H$2,[82]table_male_hkom2_inj.ill_X8!$A$1:$K$36,22,FALSE),0)</f>
        <v>0</v>
      </c>
      <c r="I2712">
        <f>IFERROR(HLOOKUP(I$2,[82]table_male_hkom2_inj.ill_X8!$A$1:$K$36,22,FALSE),0)</f>
        <v>0</v>
      </c>
      <c r="J2712">
        <f>IFERROR(HLOOKUP(J$2,[82]table_male_hkom2_inj.ill_X8!$A$1:$K$36,22,FALSE),0)</f>
        <v>0</v>
      </c>
      <c r="K2712">
        <f>IFERROR(HLOOKUP(K$2,[82]table_male_hkom2_inj.ill_X8!$A$1:$K$36,22,FALSE),0)</f>
        <v>0</v>
      </c>
      <c r="L2712">
        <f>IFERROR(HLOOKUP(L$2,[82]table_male_hkom2_inj.ill_X8!$A$1:$K$36,22,FALSE),0)</f>
        <v>0</v>
      </c>
      <c r="M2712">
        <f t="shared" si="843"/>
        <v>0</v>
      </c>
      <c r="S2712" t="s">
        <v>90</v>
      </c>
      <c r="T2712" s="5">
        <f t="shared" si="844"/>
        <v>0</v>
      </c>
      <c r="U2712" s="5">
        <f t="shared" si="845"/>
        <v>0</v>
      </c>
      <c r="V2712" s="5">
        <f t="shared" si="846"/>
        <v>9.0909090909090912E-2</v>
      </c>
      <c r="W2712" s="5">
        <f t="shared" si="847"/>
        <v>0</v>
      </c>
      <c r="X2712" s="5">
        <f t="shared" si="848"/>
        <v>0</v>
      </c>
      <c r="Y2712" s="5">
        <f t="shared" si="849"/>
        <v>0</v>
      </c>
      <c r="Z2712" s="5">
        <f t="shared" si="850"/>
        <v>0</v>
      </c>
      <c r="AA2712" s="5">
        <f t="shared" si="851"/>
        <v>0</v>
      </c>
      <c r="AB2712" s="5">
        <f t="shared" si="841"/>
        <v>9.0909090909090912E-2</v>
      </c>
    </row>
    <row r="2713" spans="4:28" x14ac:dyDescent="0.25">
      <c r="D2713" t="s">
        <v>91</v>
      </c>
      <c r="E2713" s="14"/>
      <c r="F2713" s="14"/>
      <c r="G2713">
        <f>IFERROR(HLOOKUP(G$2,[82]table_male_hkom2_inj.ill_X8!$A$1:$K$36,23,FALSE),0)</f>
        <v>0</v>
      </c>
      <c r="H2713">
        <f>IFERROR(HLOOKUP(H$2,[82]table_male_hkom2_inj.ill_X8!$A$1:$K$36,23,FALSE),0)</f>
        <v>0</v>
      </c>
      <c r="I2713">
        <f>IFERROR(HLOOKUP(I$2,[82]table_male_hkom2_inj.ill_X8!$A$1:$K$36,23,FALSE),0)</f>
        <v>0</v>
      </c>
      <c r="J2713">
        <f>IFERROR(HLOOKUP(J$2,[82]table_male_hkom2_inj.ill_X8!$A$1:$K$36,23,FALSE),0)</f>
        <v>0</v>
      </c>
      <c r="K2713">
        <f>IFERROR(HLOOKUP(K$2,[82]table_male_hkom2_inj.ill_X8!$A$1:$K$36,23,FALSE),0)</f>
        <v>0</v>
      </c>
      <c r="L2713">
        <f>IFERROR(HLOOKUP(L$2,[82]table_male_hkom2_inj.ill_X8!$A$1:$K$36,23,FALSE),0)</f>
        <v>0</v>
      </c>
      <c r="M2713">
        <f t="shared" si="843"/>
        <v>0</v>
      </c>
      <c r="S2713" t="s">
        <v>91</v>
      </c>
      <c r="T2713" s="5">
        <f t="shared" si="844"/>
        <v>0</v>
      </c>
      <c r="U2713" s="5">
        <f t="shared" si="845"/>
        <v>0</v>
      </c>
      <c r="V2713" s="5">
        <f t="shared" si="846"/>
        <v>9.0909090909090912E-2</v>
      </c>
      <c r="W2713" s="5">
        <f t="shared" si="847"/>
        <v>0</v>
      </c>
      <c r="X2713" s="5">
        <f t="shared" si="848"/>
        <v>0</v>
      </c>
      <c r="Y2713" s="5">
        <f t="shared" si="849"/>
        <v>0</v>
      </c>
      <c r="Z2713" s="5">
        <f t="shared" si="850"/>
        <v>0</v>
      </c>
      <c r="AA2713" s="5">
        <f t="shared" si="851"/>
        <v>0</v>
      </c>
      <c r="AB2713" s="5">
        <f t="shared" si="841"/>
        <v>9.0909090909090912E-2</v>
      </c>
    </row>
    <row r="2714" spans="4:28" x14ac:dyDescent="0.25">
      <c r="D2714" t="s">
        <v>92</v>
      </c>
      <c r="E2714" s="14"/>
      <c r="F2714" s="14"/>
      <c r="G2714">
        <f>IFERROR(HLOOKUP(G$2,[82]table_male_hkom2_inj.ill_X8!$A$1:$K$36,24,FALSE),0)</f>
        <v>0</v>
      </c>
      <c r="H2714">
        <f>IFERROR(HLOOKUP(H$2,[82]table_male_hkom2_inj.ill_X8!$A$1:$K$36,24,FALSE),0)</f>
        <v>0</v>
      </c>
      <c r="I2714">
        <f>IFERROR(HLOOKUP(I$2,[82]table_male_hkom2_inj.ill_X8!$A$1:$K$36,24,FALSE),0)</f>
        <v>0</v>
      </c>
      <c r="J2714">
        <f>IFERROR(HLOOKUP(J$2,[82]table_male_hkom2_inj.ill_X8!$A$1:$K$36,24,FALSE),0)</f>
        <v>0</v>
      </c>
      <c r="K2714">
        <f>IFERROR(HLOOKUP(K$2,[82]table_male_hkom2_inj.ill_X8!$A$1:$K$36,24,FALSE),0)</f>
        <v>0</v>
      </c>
      <c r="L2714">
        <f>IFERROR(HLOOKUP(L$2,[82]table_male_hkom2_inj.ill_X8!$A$1:$K$36,24,FALSE),0)</f>
        <v>0</v>
      </c>
      <c r="M2714">
        <f t="shared" si="843"/>
        <v>0</v>
      </c>
      <c r="S2714" t="s">
        <v>92</v>
      </c>
      <c r="T2714" s="5">
        <f t="shared" si="844"/>
        <v>0</v>
      </c>
      <c r="U2714" s="5">
        <f t="shared" si="845"/>
        <v>0</v>
      </c>
      <c r="V2714" s="5">
        <f t="shared" si="846"/>
        <v>9.0909090909090912E-2</v>
      </c>
      <c r="W2714" s="5">
        <f t="shared" si="847"/>
        <v>0</v>
      </c>
      <c r="X2714" s="5">
        <f t="shared" si="848"/>
        <v>0</v>
      </c>
      <c r="Y2714" s="5">
        <f t="shared" si="849"/>
        <v>0</v>
      </c>
      <c r="Z2714" s="5">
        <f t="shared" si="850"/>
        <v>0</v>
      </c>
      <c r="AA2714" s="5">
        <f t="shared" si="851"/>
        <v>0</v>
      </c>
      <c r="AB2714" s="5">
        <f t="shared" si="841"/>
        <v>9.0909090909090912E-2</v>
      </c>
    </row>
    <row r="2715" spans="4:28" x14ac:dyDescent="0.25">
      <c r="D2715" t="s">
        <v>93</v>
      </c>
      <c r="E2715" s="14"/>
      <c r="F2715" s="14"/>
      <c r="G2715">
        <f>IFERROR(HLOOKUP(G$2,[82]table_male_hkom2_inj.ill_X8!$A$1:$K$36,25,FALSE),0)</f>
        <v>0</v>
      </c>
      <c r="H2715">
        <f>IFERROR(HLOOKUP(H$2,[82]table_male_hkom2_inj.ill_X8!$A$1:$K$36,25,FALSE),0)</f>
        <v>0</v>
      </c>
      <c r="I2715">
        <f>IFERROR(HLOOKUP(I$2,[82]table_male_hkom2_inj.ill_X8!$A$1:$K$36,25,FALSE),0)</f>
        <v>0</v>
      </c>
      <c r="J2715">
        <f>IFERROR(HLOOKUP(J$2,[82]table_male_hkom2_inj.ill_X8!$A$1:$K$36,25,FALSE),0)</f>
        <v>0</v>
      </c>
      <c r="K2715">
        <f>IFERROR(HLOOKUP(K$2,[82]table_male_hkom2_inj.ill_X8!$A$1:$K$36,25,FALSE),0)</f>
        <v>0</v>
      </c>
      <c r="L2715">
        <f>IFERROR(HLOOKUP(L$2,[82]table_male_hkom2_inj.ill_X8!$A$1:$K$36,25,FALSE),0)</f>
        <v>0</v>
      </c>
      <c r="M2715">
        <f t="shared" si="843"/>
        <v>0</v>
      </c>
      <c r="S2715" t="s">
        <v>93</v>
      </c>
      <c r="T2715" s="5">
        <f t="shared" si="844"/>
        <v>0</v>
      </c>
      <c r="U2715" s="5">
        <f t="shared" si="845"/>
        <v>0</v>
      </c>
      <c r="V2715" s="5">
        <f t="shared" si="846"/>
        <v>9.0909090909090912E-2</v>
      </c>
      <c r="W2715" s="5">
        <f t="shared" si="847"/>
        <v>0</v>
      </c>
      <c r="X2715" s="5">
        <f t="shared" si="848"/>
        <v>0</v>
      </c>
      <c r="Y2715" s="5">
        <f t="shared" si="849"/>
        <v>0</v>
      </c>
      <c r="Z2715" s="5">
        <f t="shared" si="850"/>
        <v>0</v>
      </c>
      <c r="AA2715" s="5">
        <f t="shared" si="851"/>
        <v>0</v>
      </c>
      <c r="AB2715" s="5">
        <f t="shared" si="841"/>
        <v>9.0909090909090912E-2</v>
      </c>
    </row>
    <row r="2716" spans="4:28" x14ac:dyDescent="0.25">
      <c r="D2716" t="s">
        <v>94</v>
      </c>
      <c r="E2716" s="14"/>
      <c r="F2716" s="14"/>
      <c r="G2716">
        <f>IFERROR(HLOOKUP(G$2,[82]table_male_hkom2_inj.ill_X8!$A$1:$K$36,26,FALSE),0)</f>
        <v>0</v>
      </c>
      <c r="H2716">
        <f>IFERROR(HLOOKUP(H$2,[82]table_male_hkom2_inj.ill_X8!$A$1:$K$36,26,FALSE),0)</f>
        <v>0</v>
      </c>
      <c r="I2716">
        <f>IFERROR(HLOOKUP(I$2,[82]table_male_hkom2_inj.ill_X8!$A$1:$K$36,26,FALSE),0)</f>
        <v>0</v>
      </c>
      <c r="J2716">
        <f>IFERROR(HLOOKUP(J$2,[82]table_male_hkom2_inj.ill_X8!$A$1:$K$36,26,FALSE),0)</f>
        <v>0</v>
      </c>
      <c r="K2716">
        <f>IFERROR(HLOOKUP(K$2,[82]table_male_hkom2_inj.ill_X8!$A$1:$K$36,26,FALSE),0)</f>
        <v>0</v>
      </c>
      <c r="L2716">
        <f>IFERROR(HLOOKUP(L$2,[82]table_male_hkom2_inj.ill_X8!$A$1:$K$36,26,FALSE),0)</f>
        <v>0</v>
      </c>
      <c r="M2716">
        <f t="shared" si="843"/>
        <v>0</v>
      </c>
      <c r="S2716" t="s">
        <v>94</v>
      </c>
      <c r="T2716" s="5">
        <f t="shared" si="844"/>
        <v>0</v>
      </c>
      <c r="U2716" s="5">
        <f t="shared" si="845"/>
        <v>0</v>
      </c>
      <c r="V2716" s="5">
        <f t="shared" si="846"/>
        <v>9.0909090909090912E-2</v>
      </c>
      <c r="W2716" s="5">
        <f t="shared" si="847"/>
        <v>0</v>
      </c>
      <c r="X2716" s="5">
        <f t="shared" si="848"/>
        <v>0</v>
      </c>
      <c r="Y2716" s="5">
        <f t="shared" si="849"/>
        <v>0</v>
      </c>
      <c r="Z2716" s="5">
        <f t="shared" si="850"/>
        <v>0</v>
      </c>
      <c r="AA2716" s="5">
        <f t="shared" si="851"/>
        <v>0</v>
      </c>
      <c r="AB2716" s="5">
        <f t="shared" si="841"/>
        <v>9.0909090909090912E-2</v>
      </c>
    </row>
    <row r="2717" spans="4:28" x14ac:dyDescent="0.25">
      <c r="D2717" t="s">
        <v>95</v>
      </c>
      <c r="E2717" s="14"/>
      <c r="F2717" s="14"/>
      <c r="G2717">
        <f>IFERROR(HLOOKUP(G$2,[82]table_male_hkom2_inj.ill_X8!$A$1:$K$36,27,FALSE),0)</f>
        <v>0</v>
      </c>
      <c r="H2717">
        <f>IFERROR(HLOOKUP(H$2,[82]table_male_hkom2_inj.ill_X8!$A$1:$K$36,27,FALSE),0)</f>
        <v>0</v>
      </c>
      <c r="I2717">
        <f>IFERROR(HLOOKUP(I$2,[82]table_male_hkom2_inj.ill_X8!$A$1:$K$36,27,FALSE),0)</f>
        <v>0</v>
      </c>
      <c r="J2717">
        <f>IFERROR(HLOOKUP(J$2,[82]table_male_hkom2_inj.ill_X8!$A$1:$K$36,27,FALSE),0)</f>
        <v>0</v>
      </c>
      <c r="K2717">
        <f>IFERROR(HLOOKUP(K$2,[82]table_male_hkom2_inj.ill_X8!$A$1:$K$36,27,FALSE),0)</f>
        <v>0</v>
      </c>
      <c r="L2717">
        <f>IFERROR(HLOOKUP(L$2,[82]table_male_hkom2_inj.ill_X8!$A$1:$K$36,27,FALSE),0)</f>
        <v>0</v>
      </c>
      <c r="M2717">
        <f t="shared" si="843"/>
        <v>0</v>
      </c>
      <c r="S2717" t="s">
        <v>95</v>
      </c>
      <c r="T2717" s="5">
        <f t="shared" si="844"/>
        <v>0</v>
      </c>
      <c r="U2717" s="5">
        <f t="shared" si="845"/>
        <v>0</v>
      </c>
      <c r="V2717" s="5">
        <f t="shared" si="846"/>
        <v>9.0909090909090912E-2</v>
      </c>
      <c r="W2717" s="5">
        <f t="shared" si="847"/>
        <v>0</v>
      </c>
      <c r="X2717" s="5">
        <f t="shared" si="848"/>
        <v>0</v>
      </c>
      <c r="Y2717" s="5">
        <f t="shared" si="849"/>
        <v>0</v>
      </c>
      <c r="Z2717" s="5">
        <f t="shared" si="850"/>
        <v>0</v>
      </c>
      <c r="AA2717" s="5">
        <f t="shared" si="851"/>
        <v>0</v>
      </c>
      <c r="AB2717" s="5">
        <f t="shared" si="841"/>
        <v>9.0909090909090912E-2</v>
      </c>
    </row>
    <row r="2718" spans="4:28" x14ac:dyDescent="0.25">
      <c r="D2718" t="s">
        <v>96</v>
      </c>
      <c r="E2718" s="14"/>
      <c r="F2718" s="14"/>
      <c r="G2718">
        <f>IFERROR(HLOOKUP(G$2,[82]table_male_hkom2_inj.ill_X8!$A$1:$K$36,28,FALSE),0)</f>
        <v>0</v>
      </c>
      <c r="H2718">
        <f>IFERROR(HLOOKUP(H$2,[82]table_male_hkom2_inj.ill_X8!$A$1:$K$36,28,FALSE),0)</f>
        <v>0</v>
      </c>
      <c r="I2718">
        <f>IFERROR(HLOOKUP(I$2,[82]table_male_hkom2_inj.ill_X8!$A$1:$K$36,28,FALSE),0)</f>
        <v>0</v>
      </c>
      <c r="J2718">
        <f>IFERROR(HLOOKUP(J$2,[82]table_male_hkom2_inj.ill_X8!$A$1:$K$36,28,FALSE),0)</f>
        <v>0</v>
      </c>
      <c r="K2718">
        <f>IFERROR(HLOOKUP(K$2,[82]table_male_hkom2_inj.ill_X8!$A$1:$K$36,28,FALSE),0)</f>
        <v>0</v>
      </c>
      <c r="L2718">
        <f>IFERROR(HLOOKUP(L$2,[82]table_male_hkom2_inj.ill_X8!$A$1:$K$36,28,FALSE),0)</f>
        <v>0</v>
      </c>
      <c r="M2718">
        <f t="shared" si="843"/>
        <v>0</v>
      </c>
      <c r="S2718" t="s">
        <v>96</v>
      </c>
      <c r="T2718" s="5">
        <f t="shared" si="844"/>
        <v>0</v>
      </c>
      <c r="U2718" s="5">
        <f t="shared" si="845"/>
        <v>0</v>
      </c>
      <c r="V2718" s="5">
        <f t="shared" si="846"/>
        <v>9.0909090909090912E-2</v>
      </c>
      <c r="W2718" s="5">
        <f t="shared" si="847"/>
        <v>0</v>
      </c>
      <c r="X2718" s="5">
        <f t="shared" si="848"/>
        <v>0</v>
      </c>
      <c r="Y2718" s="5">
        <f t="shared" si="849"/>
        <v>0</v>
      </c>
      <c r="Z2718" s="5">
        <f t="shared" si="850"/>
        <v>0</v>
      </c>
      <c r="AA2718" s="5">
        <f t="shared" si="851"/>
        <v>0</v>
      </c>
      <c r="AB2718" s="5">
        <f t="shared" si="841"/>
        <v>9.0909090909090912E-2</v>
      </c>
    </row>
    <row r="2719" spans="4:28" x14ac:dyDescent="0.25">
      <c r="D2719" t="s">
        <v>97</v>
      </c>
      <c r="E2719" s="14"/>
      <c r="F2719" s="14"/>
      <c r="G2719">
        <f>IFERROR(HLOOKUP(G$2,[82]table_male_hkom2_inj.ill_X8!$A$1:$K$36,29,FALSE),0)</f>
        <v>0</v>
      </c>
      <c r="H2719">
        <f>IFERROR(HLOOKUP(H$2,[82]table_male_hkom2_inj.ill_X8!$A$1:$K$36,29,FALSE),0)</f>
        <v>0</v>
      </c>
      <c r="I2719">
        <f>IFERROR(HLOOKUP(I$2,[82]table_male_hkom2_inj.ill_X8!$A$1:$K$36,29,FALSE),0)</f>
        <v>0</v>
      </c>
      <c r="J2719">
        <f>IFERROR(HLOOKUP(J$2,[82]table_male_hkom2_inj.ill_X8!$A$1:$K$36,29,FALSE),0)</f>
        <v>0</v>
      </c>
      <c r="K2719">
        <f>IFERROR(HLOOKUP(K$2,[82]table_male_hkom2_inj.ill_X8!$A$1:$K$36,29,FALSE),0)</f>
        <v>0</v>
      </c>
      <c r="L2719">
        <f>IFERROR(HLOOKUP(L$2,[82]table_male_hkom2_inj.ill_X8!$A$1:$K$36,29,FALSE),0)</f>
        <v>0</v>
      </c>
      <c r="M2719">
        <f t="shared" si="843"/>
        <v>0</v>
      </c>
      <c r="S2719" t="s">
        <v>97</v>
      </c>
      <c r="T2719" s="5">
        <f t="shared" si="844"/>
        <v>0</v>
      </c>
      <c r="U2719" s="5">
        <f t="shared" si="845"/>
        <v>0</v>
      </c>
      <c r="V2719" s="5">
        <f t="shared" si="846"/>
        <v>9.0909090909090912E-2</v>
      </c>
      <c r="W2719" s="5">
        <f t="shared" si="847"/>
        <v>0</v>
      </c>
      <c r="X2719" s="5">
        <f t="shared" si="848"/>
        <v>0</v>
      </c>
      <c r="Y2719" s="5">
        <f t="shared" si="849"/>
        <v>0</v>
      </c>
      <c r="Z2719" s="5">
        <f t="shared" si="850"/>
        <v>0</v>
      </c>
      <c r="AA2719" s="5">
        <f t="shared" si="851"/>
        <v>0</v>
      </c>
      <c r="AB2719" s="5">
        <f t="shared" si="841"/>
        <v>9.0909090909090912E-2</v>
      </c>
    </row>
    <row r="2720" spans="4:28" x14ac:dyDescent="0.25">
      <c r="D2720" t="s">
        <v>98</v>
      </c>
      <c r="E2720" s="14"/>
      <c r="F2720" s="14"/>
      <c r="G2720">
        <f>IFERROR(HLOOKUP(G$2,[82]table_male_hkom2_inj.ill_X8!$A$1:$K$36,30,FALSE),0)</f>
        <v>0</v>
      </c>
      <c r="H2720">
        <f>IFERROR(HLOOKUP(H$2,[82]table_male_hkom2_inj.ill_X8!$A$1:$K$36,30,FALSE),0)</f>
        <v>0</v>
      </c>
      <c r="I2720">
        <f>IFERROR(HLOOKUP(I$2,[82]table_male_hkom2_inj.ill_X8!$A$1:$K$36,30,FALSE),0)</f>
        <v>0</v>
      </c>
      <c r="J2720">
        <f>IFERROR(HLOOKUP(J$2,[82]table_male_hkom2_inj.ill_X8!$A$1:$K$36,30,FALSE),0)</f>
        <v>0</v>
      </c>
      <c r="K2720">
        <f>IFERROR(HLOOKUP(K$2,[82]table_male_hkom2_inj.ill_X8!$A$1:$K$36,30,FALSE),0)</f>
        <v>0</v>
      </c>
      <c r="L2720">
        <f>IFERROR(HLOOKUP(L$2,[82]table_male_hkom2_inj.ill_X8!$A$1:$K$36,30,FALSE),0)</f>
        <v>0</v>
      </c>
      <c r="M2720">
        <f t="shared" si="843"/>
        <v>0</v>
      </c>
      <c r="S2720" t="s">
        <v>98</v>
      </c>
      <c r="T2720" s="5">
        <f t="shared" si="844"/>
        <v>0</v>
      </c>
      <c r="U2720" s="5">
        <f t="shared" si="845"/>
        <v>0</v>
      </c>
      <c r="V2720" s="5">
        <f t="shared" si="846"/>
        <v>9.0909090909090912E-2</v>
      </c>
      <c r="W2720" s="5">
        <f t="shared" si="847"/>
        <v>0</v>
      </c>
      <c r="X2720" s="5">
        <f t="shared" si="848"/>
        <v>0</v>
      </c>
      <c r="Y2720" s="5">
        <f t="shared" si="849"/>
        <v>0</v>
      </c>
      <c r="Z2720" s="5">
        <f t="shared" si="850"/>
        <v>0</v>
      </c>
      <c r="AA2720" s="5">
        <f t="shared" si="851"/>
        <v>0</v>
      </c>
      <c r="AB2720" s="5">
        <f t="shared" si="841"/>
        <v>9.0909090909090912E-2</v>
      </c>
    </row>
    <row r="2721" spans="1:29" x14ac:dyDescent="0.25">
      <c r="D2721" t="s">
        <v>119</v>
      </c>
      <c r="E2721" s="14"/>
      <c r="F2721" s="14"/>
      <c r="G2721">
        <f>IFERROR(HLOOKUP(G$2,[82]table_male_hkom2_inj.ill_X8!$A$1:$K$36,31,FALSE),0)</f>
        <v>0</v>
      </c>
      <c r="H2721">
        <f>IFERROR(HLOOKUP(H$2,[82]table_male_hkom2_inj.ill_X8!$A$1:$K$36,31,FALSE),0)</f>
        <v>0</v>
      </c>
      <c r="I2721">
        <f>IFERROR(HLOOKUP(I$2,[82]table_male_hkom2_inj.ill_X8!$A$1:$K$36,31,FALSE),0)</f>
        <v>0</v>
      </c>
      <c r="J2721">
        <f>IFERROR(HLOOKUP(J$2,[82]table_male_hkom2_inj.ill_X8!$A$1:$K$36,31,FALSE),0)</f>
        <v>0</v>
      </c>
      <c r="K2721">
        <f>IFERROR(HLOOKUP(K$2,[82]table_male_hkom2_inj.ill_X8!$A$1:$K$36,31,FALSE),0)</f>
        <v>0</v>
      </c>
      <c r="L2721">
        <f>IFERROR(HLOOKUP(L$2,[82]table_male_hkom2_inj.ill_X8!$A$1:$K$36,31,FALSE),0)</f>
        <v>0</v>
      </c>
      <c r="M2721">
        <f t="shared" si="843"/>
        <v>0</v>
      </c>
      <c r="S2721" t="s">
        <v>119</v>
      </c>
      <c r="T2721" s="5">
        <f t="shared" si="844"/>
        <v>0</v>
      </c>
      <c r="U2721" s="5">
        <f t="shared" si="845"/>
        <v>0</v>
      </c>
      <c r="V2721" s="5">
        <f t="shared" si="846"/>
        <v>9.0909090909090912E-2</v>
      </c>
      <c r="W2721" s="5">
        <f t="shared" si="847"/>
        <v>0</v>
      </c>
      <c r="X2721" s="5">
        <f t="shared" si="848"/>
        <v>0</v>
      </c>
      <c r="Y2721" s="5">
        <f t="shared" si="849"/>
        <v>0</v>
      </c>
      <c r="Z2721" s="5">
        <f t="shared" si="850"/>
        <v>0</v>
      </c>
      <c r="AA2721" s="5">
        <f t="shared" si="851"/>
        <v>0</v>
      </c>
      <c r="AB2721" s="5">
        <f t="shared" si="841"/>
        <v>9.0909090909090912E-2</v>
      </c>
    </row>
    <row r="2722" spans="1:29" x14ac:dyDescent="0.25">
      <c r="D2722" t="s">
        <v>99</v>
      </c>
      <c r="E2722" s="14"/>
      <c r="F2722" s="14"/>
      <c r="G2722">
        <f>IFERROR(HLOOKUP(G$2,[82]table_male_hkom2_inj.ill_X8!$A$1:$K$36,32,FALSE),0)</f>
        <v>0</v>
      </c>
      <c r="H2722">
        <f>IFERROR(HLOOKUP(H$2,[82]table_male_hkom2_inj.ill_X8!$A$1:$K$36,32,FALSE),0)</f>
        <v>0</v>
      </c>
      <c r="I2722">
        <f>IFERROR(HLOOKUP(I$2,[82]table_male_hkom2_inj.ill_X8!$A$1:$K$36,32,FALSE),0)</f>
        <v>0</v>
      </c>
      <c r="J2722">
        <f>IFERROR(HLOOKUP(J$2,[82]table_male_hkom2_inj.ill_X8!$A$1:$K$36,32,FALSE),0)</f>
        <v>0</v>
      </c>
      <c r="K2722">
        <f>IFERROR(HLOOKUP(K$2,[82]table_male_hkom2_inj.ill_X8!$A$1:$K$36,32,FALSE),0)</f>
        <v>0</v>
      </c>
      <c r="L2722">
        <f>IFERROR(HLOOKUP(L$2,[82]table_male_hkom2_inj.ill_X8!$A$1:$K$36,32,FALSE),0)</f>
        <v>0</v>
      </c>
      <c r="M2722">
        <f t="shared" si="843"/>
        <v>0</v>
      </c>
      <c r="S2722" t="s">
        <v>99</v>
      </c>
      <c r="T2722" s="5">
        <f t="shared" si="844"/>
        <v>0</v>
      </c>
      <c r="U2722" s="5">
        <f t="shared" si="845"/>
        <v>0</v>
      </c>
      <c r="V2722" s="5">
        <f t="shared" si="846"/>
        <v>9.0909090909090912E-2</v>
      </c>
      <c r="W2722" s="5">
        <f t="shared" si="847"/>
        <v>0</v>
      </c>
      <c r="X2722" s="5">
        <f t="shared" si="848"/>
        <v>0</v>
      </c>
      <c r="Y2722" s="5">
        <f t="shared" si="849"/>
        <v>0</v>
      </c>
      <c r="Z2722" s="5">
        <f t="shared" si="850"/>
        <v>0</v>
      </c>
      <c r="AA2722" s="5">
        <f t="shared" si="851"/>
        <v>0</v>
      </c>
      <c r="AB2722" s="5">
        <f t="shared" si="841"/>
        <v>9.0909090909090912E-2</v>
      </c>
    </row>
    <row r="2723" spans="1:29" x14ac:dyDescent="0.25">
      <c r="D2723" t="s">
        <v>100</v>
      </c>
      <c r="E2723" s="14"/>
      <c r="F2723" s="14"/>
      <c r="G2723">
        <f>IFERROR(HLOOKUP(G$2,[82]table_male_hkom2_inj.ill_X8!$A$1:$K$36,33,FALSE),0)</f>
        <v>0</v>
      </c>
      <c r="H2723">
        <f>IFERROR(HLOOKUP(H$2,[82]table_male_hkom2_inj.ill_X8!$A$1:$K$36,33,FALSE),0)</f>
        <v>0</v>
      </c>
      <c r="I2723">
        <f>IFERROR(HLOOKUP(I$2,[82]table_male_hkom2_inj.ill_X8!$A$1:$K$36,33,FALSE),0)</f>
        <v>0</v>
      </c>
      <c r="J2723">
        <f>IFERROR(HLOOKUP(J$2,[82]table_male_hkom2_inj.ill_X8!$A$1:$K$36,33,FALSE),0)</f>
        <v>0</v>
      </c>
      <c r="K2723">
        <f>IFERROR(HLOOKUP(K$2,[82]table_male_hkom2_inj.ill_X8!$A$1:$K$36,33,FALSE),0)</f>
        <v>0</v>
      </c>
      <c r="L2723">
        <f>IFERROR(HLOOKUP(L$2,[82]table_male_hkom2_inj.ill_X8!$A$1:$K$36,33,FALSE),0)</f>
        <v>0</v>
      </c>
      <c r="M2723">
        <f t="shared" si="843"/>
        <v>0</v>
      </c>
      <c r="S2723" t="s">
        <v>100</v>
      </c>
      <c r="T2723" s="5">
        <f t="shared" si="844"/>
        <v>0</v>
      </c>
      <c r="U2723" s="5">
        <f t="shared" si="845"/>
        <v>0</v>
      </c>
      <c r="V2723" s="5">
        <f t="shared" si="846"/>
        <v>9.0909090909090912E-2</v>
      </c>
      <c r="W2723" s="5">
        <f t="shared" si="847"/>
        <v>0</v>
      </c>
      <c r="X2723" s="5">
        <f t="shared" si="848"/>
        <v>0</v>
      </c>
      <c r="Y2723" s="5">
        <f t="shared" si="849"/>
        <v>0</v>
      </c>
      <c r="Z2723" s="5">
        <f t="shared" si="850"/>
        <v>0</v>
      </c>
      <c r="AA2723" s="5">
        <f t="shared" si="851"/>
        <v>0</v>
      </c>
      <c r="AB2723" s="5">
        <f t="shared" si="841"/>
        <v>9.0909090909090912E-2</v>
      </c>
    </row>
    <row r="2724" spans="1:29" x14ac:dyDescent="0.25">
      <c r="D2724" t="s">
        <v>101</v>
      </c>
      <c r="E2724" s="14"/>
      <c r="F2724" s="14"/>
      <c r="G2724">
        <f>IFERROR(HLOOKUP(G$2,[82]table_male_hkom2_inj.ill_X8!$A$1:$K$36,34,FALSE),0)</f>
        <v>0</v>
      </c>
      <c r="H2724">
        <f>IFERROR(HLOOKUP(H$2,[82]table_male_hkom2_inj.ill_X8!$A$1:$K$36,34,FALSE),0)</f>
        <v>0</v>
      </c>
      <c r="I2724">
        <f>IFERROR(HLOOKUP(I$2,[82]table_male_hkom2_inj.ill_X8!$A$1:$K$36,34,FALSE),0)</f>
        <v>0</v>
      </c>
      <c r="J2724">
        <f>IFERROR(HLOOKUP(J$2,[82]table_male_hkom2_inj.ill_X8!$A$1:$K$36,34,FALSE),0)</f>
        <v>0</v>
      </c>
      <c r="K2724">
        <f>IFERROR(HLOOKUP(K$2,[82]table_male_hkom2_inj.ill_X8!$A$1:$K$36,34,FALSE),0)</f>
        <v>0</v>
      </c>
      <c r="L2724">
        <f>IFERROR(HLOOKUP(L$2,[82]table_male_hkom2_inj.ill_X8!$A$1:$K$36,34,FALSE),0)</f>
        <v>0</v>
      </c>
      <c r="M2724">
        <f t="shared" si="843"/>
        <v>0</v>
      </c>
      <c r="S2724" t="s">
        <v>101</v>
      </c>
      <c r="T2724" s="5">
        <f t="shared" si="844"/>
        <v>0</v>
      </c>
      <c r="U2724" s="5">
        <f t="shared" si="845"/>
        <v>0</v>
      </c>
      <c r="V2724" s="5">
        <f t="shared" si="846"/>
        <v>9.0909090909090912E-2</v>
      </c>
      <c r="W2724" s="5">
        <f t="shared" si="847"/>
        <v>0</v>
      </c>
      <c r="X2724" s="5">
        <f t="shared" si="848"/>
        <v>0</v>
      </c>
      <c r="Y2724" s="5">
        <f t="shared" si="849"/>
        <v>0</v>
      </c>
      <c r="Z2724" s="5">
        <f t="shared" si="850"/>
        <v>0</v>
      </c>
      <c r="AA2724" s="5">
        <f t="shared" si="851"/>
        <v>0</v>
      </c>
      <c r="AB2724" s="5">
        <f t="shared" si="841"/>
        <v>9.0909090909090912E-2</v>
      </c>
    </row>
    <row r="2725" spans="1:29" x14ac:dyDescent="0.25">
      <c r="D2725" t="s">
        <v>102</v>
      </c>
      <c r="E2725" s="14"/>
      <c r="F2725" s="14"/>
      <c r="G2725">
        <f>IFERROR(HLOOKUP(G$2,[82]table_male_hkom2_inj.ill_X8!$A$1:$K$36,35,FALSE),0)</f>
        <v>3</v>
      </c>
      <c r="H2725">
        <f>IFERROR(HLOOKUP(H$2,[82]table_male_hkom2_inj.ill_X8!$A$1:$K$36,35,FALSE),0)</f>
        <v>0</v>
      </c>
      <c r="I2725">
        <f>IFERROR(HLOOKUP(I$2,[82]table_male_hkom2_inj.ill_X8!$A$1:$K$36,35,FALSE),0)</f>
        <v>2</v>
      </c>
      <c r="J2725">
        <f>IFERROR(HLOOKUP(J$2,[82]table_male_hkom2_inj.ill_X8!$A$1:$K$36,35,FALSE),0)</f>
        <v>1</v>
      </c>
      <c r="K2725">
        <f>IFERROR(HLOOKUP(K$2,[82]table_male_hkom2_inj.ill_X8!$A$1:$K$36,35,FALSE),0)</f>
        <v>0</v>
      </c>
      <c r="L2725">
        <f>IFERROR(HLOOKUP(L$2,[82]table_male_hkom2_inj.ill_X8!$A$1:$K$36,35,FALSE),0)</f>
        <v>0</v>
      </c>
      <c r="M2725">
        <f t="shared" si="843"/>
        <v>6</v>
      </c>
      <c r="N2725">
        <f>SUM(M2692:M2725)</f>
        <v>15</v>
      </c>
      <c r="O2725" s="8">
        <f>SUM([82]table_male_hkom2_inj.ill_X8!$B$2:$L$37)</f>
        <v>15</v>
      </c>
      <c r="S2725" t="s">
        <v>102</v>
      </c>
      <c r="T2725" s="7"/>
      <c r="U2725" s="7"/>
      <c r="V2725" s="7"/>
      <c r="W2725" s="7"/>
      <c r="X2725" s="7"/>
      <c r="Y2725" s="7"/>
      <c r="Z2725" s="7"/>
      <c r="AA2725" s="7"/>
      <c r="AB2725" s="5">
        <f t="shared" si="841"/>
        <v>0</v>
      </c>
      <c r="AC2725" s="5">
        <f>SUM(AB2692:AB2724)</f>
        <v>15.000000000000009</v>
      </c>
    </row>
    <row r="2726" spans="1:29" x14ac:dyDescent="0.25">
      <c r="A2726" t="s">
        <v>104</v>
      </c>
      <c r="B2726" t="s">
        <v>117</v>
      </c>
      <c r="C2726" t="s">
        <v>124</v>
      </c>
      <c r="D2726" t="s">
        <v>70</v>
      </c>
      <c r="E2726" s="14"/>
      <c r="F2726" s="14"/>
      <c r="G2726">
        <f>IFERROR(HLOOKUP(G$2,[83]table_male_hkom3_inj.ill_X2!$A$1:$K$36,2,FALSE),0)</f>
        <v>0</v>
      </c>
      <c r="H2726">
        <f>IFERROR(HLOOKUP(H$2,[83]table_male_hkom3_inj.ill_X2!$A$1:$K$36,2,FALSE),0)</f>
        <v>0</v>
      </c>
      <c r="I2726">
        <f>IFERROR(HLOOKUP(I$2,[83]table_male_hkom3_inj.ill_X2!$A$1:$K$36,2,FALSE),0)</f>
        <v>0</v>
      </c>
      <c r="J2726">
        <f>IFERROR(HLOOKUP(J$2,[83]table_male_hkom3_inj.ill_X2!$A$1:$K$36,2,FALSE),0)</f>
        <v>0</v>
      </c>
      <c r="K2726">
        <f>IFERROR(HLOOKUP(K$2,[83]table_male_hkom3_inj.ill_X2!$A$1:$K$36,2,FALSE),0)</f>
        <v>0</v>
      </c>
      <c r="L2726">
        <f>IFERROR(HLOOKUP(L$2,[83]table_male_hkom3_inj.ill_X2!$A$1:$K$36,2,FALSE),0)</f>
        <v>0</v>
      </c>
      <c r="M2726">
        <f>SUM(E2726:L2726)</f>
        <v>0</v>
      </c>
      <c r="P2726" t="s">
        <v>104</v>
      </c>
      <c r="Q2726" t="s">
        <v>117</v>
      </c>
      <c r="R2726" t="s">
        <v>124</v>
      </c>
      <c r="S2726" t="s">
        <v>70</v>
      </c>
      <c r="T2726" s="5">
        <f>IF(SUM(E$2726:E$2758)=0,E$2759/33,E2726+IFERROR(E2726/SUM(E$2726:E$2758)*E$2759,0))</f>
        <v>0</v>
      </c>
      <c r="U2726" s="5">
        <f t="shared" ref="U2726:AA2726" si="852">IF(SUM(F$2726:F$2758)=0,F$2759/33,F2726+IFERROR(F2726/SUM(F$2726:F$2758)*F$2759,0))</f>
        <v>0</v>
      </c>
      <c r="V2726" s="5">
        <f t="shared" si="852"/>
        <v>0</v>
      </c>
      <c r="W2726" s="5">
        <f t="shared" si="852"/>
        <v>0</v>
      </c>
      <c r="X2726" s="5">
        <f t="shared" si="852"/>
        <v>0</v>
      </c>
      <c r="Y2726" s="5">
        <f t="shared" si="852"/>
        <v>0</v>
      </c>
      <c r="Z2726" s="5">
        <f t="shared" si="852"/>
        <v>0</v>
      </c>
      <c r="AA2726" s="5">
        <f t="shared" si="852"/>
        <v>0</v>
      </c>
      <c r="AB2726" s="5">
        <f t="shared" si="841"/>
        <v>0</v>
      </c>
    </row>
    <row r="2727" spans="1:29" x14ac:dyDescent="0.25">
      <c r="D2727" t="s">
        <v>71</v>
      </c>
      <c r="E2727" s="14"/>
      <c r="F2727" s="14"/>
      <c r="G2727">
        <f>IFERROR(HLOOKUP(G$2,[83]table_male_hkom3_inj.ill_X2!$A$1:$K$36,3,FALSE),0)</f>
        <v>0</v>
      </c>
      <c r="H2727">
        <f>IFERROR(HLOOKUP(H$2,[83]table_male_hkom3_inj.ill_X2!$A$1:$K$36,3,FALSE),0)</f>
        <v>0</v>
      </c>
      <c r="I2727">
        <f>IFERROR(HLOOKUP(I$2,[83]table_male_hkom3_inj.ill_X2!$A$1:$K$36,3,FALSE),0)</f>
        <v>0</v>
      </c>
      <c r="J2727">
        <f>IFERROR(HLOOKUP(J$2,[83]table_male_hkom3_inj.ill_X2!$A$1:$K$36,3,FALSE),0)</f>
        <v>0</v>
      </c>
      <c r="K2727">
        <f>IFERROR(HLOOKUP(K$2,[83]table_male_hkom3_inj.ill_X2!$A$1:$K$36,3,FALSE),0)</f>
        <v>0</v>
      </c>
      <c r="L2727">
        <f>IFERROR(HLOOKUP(L$2,[83]table_male_hkom3_inj.ill_X2!$A$1:$K$36,3,FALSE),0)</f>
        <v>0</v>
      </c>
      <c r="M2727">
        <f t="shared" ref="M2727:M2759" si="853">SUM(E2727:L2727)</f>
        <v>0</v>
      </c>
      <c r="S2727" t="s">
        <v>71</v>
      </c>
      <c r="T2727" s="5">
        <f t="shared" ref="T2727:T2758" si="854">IF(SUM(E$2726:E$2758)=0,E$2759/33,E2727+IFERROR(E2727/SUM(E$2726:E$2758)*E$2759,0))</f>
        <v>0</v>
      </c>
      <c r="U2727" s="5">
        <f t="shared" ref="U2727:U2758" si="855">IF(SUM(F$2726:F$2758)=0,F$2759/33,F2727+IFERROR(F2727/SUM(F$2726:F$2758)*F$2759,0))</f>
        <v>0</v>
      </c>
      <c r="V2727" s="5">
        <f t="shared" ref="V2727:V2758" si="856">IF(SUM(G$2726:G$2758)=0,G$2759/33,G2727+IFERROR(G2727/SUM(G$2726:G$2758)*G$2759,0))</f>
        <v>0</v>
      </c>
      <c r="W2727" s="5">
        <f t="shared" ref="W2727:W2758" si="857">IF(SUM(H$2726:H$2758)=0,H$2759/33,H2727+IFERROR(H2727/SUM(H$2726:H$2758)*H$2759,0))</f>
        <v>0</v>
      </c>
      <c r="X2727" s="5">
        <f t="shared" ref="X2727:X2758" si="858">IF(SUM(I$2726:I$2758)=0,I$2759/33,I2727+IFERROR(I2727/SUM(I$2726:I$2758)*I$2759,0))</f>
        <v>0</v>
      </c>
      <c r="Y2727" s="5">
        <f t="shared" ref="Y2727:Y2758" si="859">IF(SUM(J$2726:J$2758)=0,J$2759/33,J2727+IFERROR(J2727/SUM(J$2726:J$2758)*J$2759,0))</f>
        <v>0</v>
      </c>
      <c r="Z2727" s="5">
        <f t="shared" ref="Z2727:Z2758" si="860">IF(SUM(K$2726:K$2758)=0,K$2759/33,K2727+IFERROR(K2727/SUM(K$2726:K$2758)*K$2759,0))</f>
        <v>0</v>
      </c>
      <c r="AA2727" s="5">
        <f t="shared" ref="AA2727:AA2758" si="861">IF(SUM(L$2726:L$2758)=0,L$2759/33,L2727+IFERROR(L2727/SUM(L$2726:L$2758)*L$2759,0))</f>
        <v>0</v>
      </c>
      <c r="AB2727" s="5">
        <f t="shared" si="841"/>
        <v>0</v>
      </c>
    </row>
    <row r="2728" spans="1:29" x14ac:dyDescent="0.25">
      <c r="D2728" t="s">
        <v>72</v>
      </c>
      <c r="E2728" s="14"/>
      <c r="F2728" s="14"/>
      <c r="G2728">
        <f>IFERROR(HLOOKUP(G$2,[83]table_male_hkom3_inj.ill_X2!$A$1:$K$36,4,FALSE),0)</f>
        <v>0</v>
      </c>
      <c r="H2728">
        <f>IFERROR(HLOOKUP(H$2,[83]table_male_hkom3_inj.ill_X2!$A$1:$K$36,4,FALSE),0)</f>
        <v>0</v>
      </c>
      <c r="I2728">
        <f>IFERROR(HLOOKUP(I$2,[83]table_male_hkom3_inj.ill_X2!$A$1:$K$36,4,FALSE),0)</f>
        <v>0</v>
      </c>
      <c r="J2728">
        <f>IFERROR(HLOOKUP(J$2,[83]table_male_hkom3_inj.ill_X2!$A$1:$K$36,4,FALSE),0)</f>
        <v>0</v>
      </c>
      <c r="K2728">
        <f>IFERROR(HLOOKUP(K$2,[83]table_male_hkom3_inj.ill_X2!$A$1:$K$36,4,FALSE),0)</f>
        <v>0</v>
      </c>
      <c r="L2728">
        <f>IFERROR(HLOOKUP(L$2,[83]table_male_hkom3_inj.ill_X2!$A$1:$K$36,4,FALSE),0)</f>
        <v>0</v>
      </c>
      <c r="M2728">
        <f t="shared" si="853"/>
        <v>0</v>
      </c>
      <c r="S2728" t="s">
        <v>72</v>
      </c>
      <c r="T2728" s="5">
        <f t="shared" si="854"/>
        <v>0</v>
      </c>
      <c r="U2728" s="5">
        <f t="shared" si="855"/>
        <v>0</v>
      </c>
      <c r="V2728" s="5">
        <f t="shared" si="856"/>
        <v>0</v>
      </c>
      <c r="W2728" s="5">
        <f t="shared" si="857"/>
        <v>0</v>
      </c>
      <c r="X2728" s="5">
        <f t="shared" si="858"/>
        <v>0</v>
      </c>
      <c r="Y2728" s="5">
        <f t="shared" si="859"/>
        <v>0</v>
      </c>
      <c r="Z2728" s="5">
        <f t="shared" si="860"/>
        <v>0</v>
      </c>
      <c r="AA2728" s="5">
        <f t="shared" si="861"/>
        <v>0</v>
      </c>
      <c r="AB2728" s="5">
        <f t="shared" si="841"/>
        <v>0</v>
      </c>
    </row>
    <row r="2729" spans="1:29" x14ac:dyDescent="0.25">
      <c r="D2729" t="s">
        <v>73</v>
      </c>
      <c r="E2729" s="14"/>
      <c r="F2729" s="14"/>
      <c r="G2729">
        <f>IFERROR(HLOOKUP(G$2,[83]table_male_hkom3_inj.ill_X2!$A$1:$K$36,5,FALSE),0)</f>
        <v>0</v>
      </c>
      <c r="H2729">
        <f>IFERROR(HLOOKUP(H$2,[83]table_male_hkom3_inj.ill_X2!$A$1:$K$36,5,FALSE),0)</f>
        <v>0</v>
      </c>
      <c r="I2729">
        <f>IFERROR(HLOOKUP(I$2,[83]table_male_hkom3_inj.ill_X2!$A$1:$K$36,5,FALSE),0)</f>
        <v>0</v>
      </c>
      <c r="J2729">
        <f>IFERROR(HLOOKUP(J$2,[83]table_male_hkom3_inj.ill_X2!$A$1:$K$36,5,FALSE),0)</f>
        <v>0</v>
      </c>
      <c r="K2729">
        <f>IFERROR(HLOOKUP(K$2,[83]table_male_hkom3_inj.ill_X2!$A$1:$K$36,5,FALSE),0)</f>
        <v>0</v>
      </c>
      <c r="L2729">
        <f>IFERROR(HLOOKUP(L$2,[83]table_male_hkom3_inj.ill_X2!$A$1:$K$36,5,FALSE),0)</f>
        <v>0</v>
      </c>
      <c r="M2729">
        <f t="shared" si="853"/>
        <v>0</v>
      </c>
      <c r="S2729" t="s">
        <v>73</v>
      </c>
      <c r="T2729" s="5">
        <f t="shared" si="854"/>
        <v>0</v>
      </c>
      <c r="U2729" s="5">
        <f t="shared" si="855"/>
        <v>0</v>
      </c>
      <c r="V2729" s="5">
        <f t="shared" si="856"/>
        <v>0</v>
      </c>
      <c r="W2729" s="5">
        <f t="shared" si="857"/>
        <v>0</v>
      </c>
      <c r="X2729" s="5">
        <f t="shared" si="858"/>
        <v>0</v>
      </c>
      <c r="Y2729" s="5">
        <f t="shared" si="859"/>
        <v>0</v>
      </c>
      <c r="Z2729" s="5">
        <f t="shared" si="860"/>
        <v>0</v>
      </c>
      <c r="AA2729" s="5">
        <f t="shared" si="861"/>
        <v>0</v>
      </c>
      <c r="AB2729" s="5">
        <f t="shared" si="841"/>
        <v>0</v>
      </c>
    </row>
    <row r="2730" spans="1:29" x14ac:dyDescent="0.25">
      <c r="D2730" t="s">
        <v>74</v>
      </c>
      <c r="E2730" s="14"/>
      <c r="F2730" s="14"/>
      <c r="G2730">
        <f>IFERROR(HLOOKUP(G$2,[83]table_male_hkom3_inj.ill_X2!$A$1:$K$36,6,FALSE),0)</f>
        <v>0</v>
      </c>
      <c r="H2730">
        <f>IFERROR(HLOOKUP(H$2,[83]table_male_hkom3_inj.ill_X2!$A$1:$K$36,6,FALSE),0)</f>
        <v>0</v>
      </c>
      <c r="I2730">
        <f>IFERROR(HLOOKUP(I$2,[83]table_male_hkom3_inj.ill_X2!$A$1:$K$36,6,FALSE),0)</f>
        <v>0</v>
      </c>
      <c r="J2730">
        <f>IFERROR(HLOOKUP(J$2,[83]table_male_hkom3_inj.ill_X2!$A$1:$K$36,6,FALSE),0)</f>
        <v>0</v>
      </c>
      <c r="K2730">
        <f>IFERROR(HLOOKUP(K$2,[83]table_male_hkom3_inj.ill_X2!$A$1:$K$36,6,FALSE),0)</f>
        <v>0</v>
      </c>
      <c r="L2730">
        <f>IFERROR(HLOOKUP(L$2,[83]table_male_hkom3_inj.ill_X2!$A$1:$K$36,6,FALSE),0)</f>
        <v>0</v>
      </c>
      <c r="M2730">
        <f t="shared" si="853"/>
        <v>0</v>
      </c>
      <c r="S2730" t="s">
        <v>74</v>
      </c>
      <c r="T2730" s="5">
        <f t="shared" si="854"/>
        <v>0</v>
      </c>
      <c r="U2730" s="5">
        <f t="shared" si="855"/>
        <v>0</v>
      </c>
      <c r="V2730" s="5">
        <f t="shared" si="856"/>
        <v>0</v>
      </c>
      <c r="W2730" s="5">
        <f t="shared" si="857"/>
        <v>0</v>
      </c>
      <c r="X2730" s="5">
        <f t="shared" si="858"/>
        <v>0</v>
      </c>
      <c r="Y2730" s="5">
        <f t="shared" si="859"/>
        <v>0</v>
      </c>
      <c r="Z2730" s="5">
        <f t="shared" si="860"/>
        <v>0</v>
      </c>
      <c r="AA2730" s="5">
        <f t="shared" si="861"/>
        <v>0</v>
      </c>
      <c r="AB2730" s="5">
        <f t="shared" si="841"/>
        <v>0</v>
      </c>
    </row>
    <row r="2731" spans="1:29" x14ac:dyDescent="0.25">
      <c r="D2731" t="s">
        <v>75</v>
      </c>
      <c r="E2731" s="14"/>
      <c r="F2731" s="14"/>
      <c r="G2731">
        <f>IFERROR(HLOOKUP(G$2,[83]table_male_hkom3_inj.ill_X2!$A$1:$K$36,7,FALSE),0)</f>
        <v>0</v>
      </c>
      <c r="H2731">
        <f>IFERROR(HLOOKUP(H$2,[83]table_male_hkom3_inj.ill_X2!$A$1:$K$36,7,FALSE),0)</f>
        <v>0</v>
      </c>
      <c r="I2731">
        <f>IFERROR(HLOOKUP(I$2,[83]table_male_hkom3_inj.ill_X2!$A$1:$K$36,7,FALSE),0)</f>
        <v>0</v>
      </c>
      <c r="J2731">
        <f>IFERROR(HLOOKUP(J$2,[83]table_male_hkom3_inj.ill_X2!$A$1:$K$36,7,FALSE),0)</f>
        <v>0</v>
      </c>
      <c r="K2731">
        <f>IFERROR(HLOOKUP(K$2,[83]table_male_hkom3_inj.ill_X2!$A$1:$K$36,7,FALSE),0)</f>
        <v>0</v>
      </c>
      <c r="L2731">
        <f>IFERROR(HLOOKUP(L$2,[83]table_male_hkom3_inj.ill_X2!$A$1:$K$36,7,FALSE),0)</f>
        <v>0</v>
      </c>
      <c r="M2731">
        <f t="shared" si="853"/>
        <v>0</v>
      </c>
      <c r="S2731" t="s">
        <v>75</v>
      </c>
      <c r="T2731" s="5">
        <f t="shared" si="854"/>
        <v>0</v>
      </c>
      <c r="U2731" s="5">
        <f t="shared" si="855"/>
        <v>0</v>
      </c>
      <c r="V2731" s="5">
        <f t="shared" si="856"/>
        <v>0</v>
      </c>
      <c r="W2731" s="5">
        <f t="shared" si="857"/>
        <v>0</v>
      </c>
      <c r="X2731" s="5">
        <f t="shared" si="858"/>
        <v>0</v>
      </c>
      <c r="Y2731" s="5">
        <f t="shared" si="859"/>
        <v>0</v>
      </c>
      <c r="Z2731" s="5">
        <f t="shared" si="860"/>
        <v>0</v>
      </c>
      <c r="AA2731" s="5">
        <f t="shared" si="861"/>
        <v>0</v>
      </c>
      <c r="AB2731" s="5">
        <f t="shared" ref="AB2731:AB2794" si="862">SUM(T2731:AA2731)</f>
        <v>0</v>
      </c>
    </row>
    <row r="2732" spans="1:29" x14ac:dyDescent="0.25">
      <c r="D2732" t="s">
        <v>76</v>
      </c>
      <c r="E2732" s="14"/>
      <c r="F2732" s="14"/>
      <c r="G2732">
        <f>IFERROR(HLOOKUP(G$2,[83]table_male_hkom3_inj.ill_X2!$A$1:$K$36,8,FALSE),0)</f>
        <v>0</v>
      </c>
      <c r="H2732">
        <f>IFERROR(HLOOKUP(H$2,[83]table_male_hkom3_inj.ill_X2!$A$1:$K$36,8,FALSE),0)</f>
        <v>0</v>
      </c>
      <c r="I2732">
        <f>IFERROR(HLOOKUP(I$2,[83]table_male_hkom3_inj.ill_X2!$A$1:$K$36,8,FALSE),0)</f>
        <v>0</v>
      </c>
      <c r="J2732">
        <f>IFERROR(HLOOKUP(J$2,[83]table_male_hkom3_inj.ill_X2!$A$1:$K$36,8,FALSE),0)</f>
        <v>0</v>
      </c>
      <c r="K2732">
        <f>IFERROR(HLOOKUP(K$2,[83]table_male_hkom3_inj.ill_X2!$A$1:$K$36,8,FALSE),0)</f>
        <v>0</v>
      </c>
      <c r="L2732">
        <f>IFERROR(HLOOKUP(L$2,[83]table_male_hkom3_inj.ill_X2!$A$1:$K$36,8,FALSE),0)</f>
        <v>0</v>
      </c>
      <c r="M2732">
        <f t="shared" si="853"/>
        <v>0</v>
      </c>
      <c r="S2732" t="s">
        <v>76</v>
      </c>
      <c r="T2732" s="5">
        <f t="shared" si="854"/>
        <v>0</v>
      </c>
      <c r="U2732" s="5">
        <f t="shared" si="855"/>
        <v>0</v>
      </c>
      <c r="V2732" s="5">
        <f t="shared" si="856"/>
        <v>0</v>
      </c>
      <c r="W2732" s="5">
        <f t="shared" si="857"/>
        <v>0</v>
      </c>
      <c r="X2732" s="5">
        <f t="shared" si="858"/>
        <v>0</v>
      </c>
      <c r="Y2732" s="5">
        <f t="shared" si="859"/>
        <v>0</v>
      </c>
      <c r="Z2732" s="5">
        <f t="shared" si="860"/>
        <v>0</v>
      </c>
      <c r="AA2732" s="5">
        <f t="shared" si="861"/>
        <v>0</v>
      </c>
      <c r="AB2732" s="5">
        <f t="shared" si="862"/>
        <v>0</v>
      </c>
    </row>
    <row r="2733" spans="1:29" x14ac:dyDescent="0.25">
      <c r="D2733" t="s">
        <v>77</v>
      </c>
      <c r="E2733" s="14"/>
      <c r="F2733" s="14"/>
      <c r="G2733">
        <f>IFERROR(HLOOKUP(G$2,[83]table_male_hkom3_inj.ill_X2!$A$1:$K$36,9,FALSE),0)</f>
        <v>0</v>
      </c>
      <c r="H2733">
        <f>IFERROR(HLOOKUP(H$2,[83]table_male_hkom3_inj.ill_X2!$A$1:$K$36,9,FALSE),0)</f>
        <v>0</v>
      </c>
      <c r="I2733">
        <f>IFERROR(HLOOKUP(I$2,[83]table_male_hkom3_inj.ill_X2!$A$1:$K$36,9,FALSE),0)</f>
        <v>0</v>
      </c>
      <c r="J2733">
        <f>IFERROR(HLOOKUP(J$2,[83]table_male_hkom3_inj.ill_X2!$A$1:$K$36,9,FALSE),0)</f>
        <v>0</v>
      </c>
      <c r="K2733">
        <f>IFERROR(HLOOKUP(K$2,[83]table_male_hkom3_inj.ill_X2!$A$1:$K$36,9,FALSE),0)</f>
        <v>0</v>
      </c>
      <c r="L2733">
        <f>IFERROR(HLOOKUP(L$2,[83]table_male_hkom3_inj.ill_X2!$A$1:$K$36,9,FALSE),0)</f>
        <v>0</v>
      </c>
      <c r="M2733">
        <f t="shared" si="853"/>
        <v>0</v>
      </c>
      <c r="S2733" t="s">
        <v>77</v>
      </c>
      <c r="T2733" s="5">
        <f t="shared" si="854"/>
        <v>0</v>
      </c>
      <c r="U2733" s="5">
        <f t="shared" si="855"/>
        <v>0</v>
      </c>
      <c r="V2733" s="5">
        <f t="shared" si="856"/>
        <v>0</v>
      </c>
      <c r="W2733" s="5">
        <f t="shared" si="857"/>
        <v>0</v>
      </c>
      <c r="X2733" s="5">
        <f t="shared" si="858"/>
        <v>0</v>
      </c>
      <c r="Y2733" s="5">
        <f t="shared" si="859"/>
        <v>0</v>
      </c>
      <c r="Z2733" s="5">
        <f t="shared" si="860"/>
        <v>0</v>
      </c>
      <c r="AA2733" s="5">
        <f t="shared" si="861"/>
        <v>0</v>
      </c>
      <c r="AB2733" s="5">
        <f t="shared" si="862"/>
        <v>0</v>
      </c>
    </row>
    <row r="2734" spans="1:29" x14ac:dyDescent="0.25">
      <c r="D2734" t="s">
        <v>78</v>
      </c>
      <c r="E2734" s="14"/>
      <c r="F2734" s="14"/>
      <c r="G2734">
        <f>IFERROR(HLOOKUP(G$2,[83]table_male_hkom3_inj.ill_X2!$A$1:$K$36,10,FALSE),0)</f>
        <v>0</v>
      </c>
      <c r="H2734">
        <f>IFERROR(HLOOKUP(H$2,[83]table_male_hkom3_inj.ill_X2!$A$1:$K$36,10,FALSE),0)</f>
        <v>0</v>
      </c>
      <c r="I2734">
        <f>IFERROR(HLOOKUP(I$2,[83]table_male_hkom3_inj.ill_X2!$A$1:$K$36,10,FALSE),0)</f>
        <v>0</v>
      </c>
      <c r="J2734">
        <f>IFERROR(HLOOKUP(J$2,[83]table_male_hkom3_inj.ill_X2!$A$1:$K$36,10,FALSE),0)</f>
        <v>0</v>
      </c>
      <c r="K2734">
        <f>IFERROR(HLOOKUP(K$2,[83]table_male_hkom3_inj.ill_X2!$A$1:$K$36,10,FALSE),0)</f>
        <v>0</v>
      </c>
      <c r="L2734">
        <f>IFERROR(HLOOKUP(L$2,[83]table_male_hkom3_inj.ill_X2!$A$1:$K$36,10,FALSE),0)</f>
        <v>0</v>
      </c>
      <c r="M2734">
        <f t="shared" si="853"/>
        <v>0</v>
      </c>
      <c r="S2734" t="s">
        <v>78</v>
      </c>
      <c r="T2734" s="5">
        <f t="shared" si="854"/>
        <v>0</v>
      </c>
      <c r="U2734" s="5">
        <f t="shared" si="855"/>
        <v>0</v>
      </c>
      <c r="V2734" s="5">
        <f t="shared" si="856"/>
        <v>0</v>
      </c>
      <c r="W2734" s="5">
        <f t="shared" si="857"/>
        <v>0</v>
      </c>
      <c r="X2734" s="5">
        <f t="shared" si="858"/>
        <v>0</v>
      </c>
      <c r="Y2734" s="5">
        <f t="shared" si="859"/>
        <v>0</v>
      </c>
      <c r="Z2734" s="5">
        <f t="shared" si="860"/>
        <v>0</v>
      </c>
      <c r="AA2734" s="5">
        <f t="shared" si="861"/>
        <v>0</v>
      </c>
      <c r="AB2734" s="5">
        <f t="shared" si="862"/>
        <v>0</v>
      </c>
    </row>
    <row r="2735" spans="1:29" x14ac:dyDescent="0.25">
      <c r="D2735" t="s">
        <v>79</v>
      </c>
      <c r="E2735" s="14"/>
      <c r="F2735" s="14"/>
      <c r="G2735">
        <f>IFERROR(HLOOKUP(G$2,[83]table_male_hkom3_inj.ill_X2!$A$1:$K$36,11,FALSE),0)</f>
        <v>0</v>
      </c>
      <c r="H2735">
        <f>IFERROR(HLOOKUP(H$2,[83]table_male_hkom3_inj.ill_X2!$A$1:$K$36,11,FALSE),0)</f>
        <v>0</v>
      </c>
      <c r="I2735">
        <f>IFERROR(HLOOKUP(I$2,[83]table_male_hkom3_inj.ill_X2!$A$1:$K$36,11,FALSE),0)</f>
        <v>0</v>
      </c>
      <c r="J2735">
        <f>IFERROR(HLOOKUP(J$2,[83]table_male_hkom3_inj.ill_X2!$A$1:$K$36,11,FALSE),0)</f>
        <v>0</v>
      </c>
      <c r="K2735">
        <f>IFERROR(HLOOKUP(K$2,[83]table_male_hkom3_inj.ill_X2!$A$1:$K$36,11,FALSE),0)</f>
        <v>0</v>
      </c>
      <c r="L2735">
        <f>IFERROR(HLOOKUP(L$2,[83]table_male_hkom3_inj.ill_X2!$A$1:$K$36,11,FALSE),0)</f>
        <v>0</v>
      </c>
      <c r="M2735">
        <f t="shared" si="853"/>
        <v>0</v>
      </c>
      <c r="S2735" t="s">
        <v>79</v>
      </c>
      <c r="T2735" s="5">
        <f t="shared" si="854"/>
        <v>0</v>
      </c>
      <c r="U2735" s="5">
        <f t="shared" si="855"/>
        <v>0</v>
      </c>
      <c r="V2735" s="5">
        <f t="shared" si="856"/>
        <v>0</v>
      </c>
      <c r="W2735" s="5">
        <f t="shared" si="857"/>
        <v>0</v>
      </c>
      <c r="X2735" s="5">
        <f t="shared" si="858"/>
        <v>0</v>
      </c>
      <c r="Y2735" s="5">
        <f t="shared" si="859"/>
        <v>0</v>
      </c>
      <c r="Z2735" s="5">
        <f t="shared" si="860"/>
        <v>0</v>
      </c>
      <c r="AA2735" s="5">
        <f t="shared" si="861"/>
        <v>0</v>
      </c>
      <c r="AB2735" s="5">
        <f t="shared" si="862"/>
        <v>0</v>
      </c>
    </row>
    <row r="2736" spans="1:29" x14ac:dyDescent="0.25">
      <c r="D2736" t="s">
        <v>80</v>
      </c>
      <c r="E2736" s="14"/>
      <c r="F2736" s="14"/>
      <c r="G2736">
        <f>IFERROR(HLOOKUP(G$2,[83]table_male_hkom3_inj.ill_X2!$A$1:$K$36,12,FALSE),0)</f>
        <v>0</v>
      </c>
      <c r="H2736">
        <f>IFERROR(HLOOKUP(H$2,[83]table_male_hkom3_inj.ill_X2!$A$1:$K$36,12,FALSE),0)</f>
        <v>0</v>
      </c>
      <c r="I2736">
        <f>IFERROR(HLOOKUP(I$2,[83]table_male_hkom3_inj.ill_X2!$A$1:$K$36,12,FALSE),0)</f>
        <v>0</v>
      </c>
      <c r="J2736">
        <f>IFERROR(HLOOKUP(J$2,[83]table_male_hkom3_inj.ill_X2!$A$1:$K$36,12,FALSE),0)</f>
        <v>0</v>
      </c>
      <c r="K2736">
        <f>IFERROR(HLOOKUP(K$2,[83]table_male_hkom3_inj.ill_X2!$A$1:$K$36,12,FALSE),0)</f>
        <v>0</v>
      </c>
      <c r="L2736">
        <f>IFERROR(HLOOKUP(L$2,[83]table_male_hkom3_inj.ill_X2!$A$1:$K$36,12,FALSE),0)</f>
        <v>0</v>
      </c>
      <c r="M2736">
        <f t="shared" si="853"/>
        <v>0</v>
      </c>
      <c r="S2736" t="s">
        <v>80</v>
      </c>
      <c r="T2736" s="5">
        <f t="shared" si="854"/>
        <v>0</v>
      </c>
      <c r="U2736" s="5">
        <f t="shared" si="855"/>
        <v>0</v>
      </c>
      <c r="V2736" s="5">
        <f t="shared" si="856"/>
        <v>0</v>
      </c>
      <c r="W2736" s="5">
        <f t="shared" si="857"/>
        <v>0</v>
      </c>
      <c r="X2736" s="5">
        <f t="shared" si="858"/>
        <v>0</v>
      </c>
      <c r="Y2736" s="5">
        <f t="shared" si="859"/>
        <v>0</v>
      </c>
      <c r="Z2736" s="5">
        <f t="shared" si="860"/>
        <v>0</v>
      </c>
      <c r="AA2736" s="5">
        <f t="shared" si="861"/>
        <v>0</v>
      </c>
      <c r="AB2736" s="5">
        <f t="shared" si="862"/>
        <v>0</v>
      </c>
    </row>
    <row r="2737" spans="4:28" x14ac:dyDescent="0.25">
      <c r="D2737" t="s">
        <v>81</v>
      </c>
      <c r="E2737" s="14"/>
      <c r="F2737" s="14"/>
      <c r="G2737">
        <f>IFERROR(HLOOKUP(G$2,[83]table_male_hkom3_inj.ill_X2!$A$1:$K$36,13,FALSE),0)</f>
        <v>0</v>
      </c>
      <c r="H2737">
        <f>IFERROR(HLOOKUP(H$2,[83]table_male_hkom3_inj.ill_X2!$A$1:$K$36,13,FALSE),0)</f>
        <v>0</v>
      </c>
      <c r="I2737">
        <f>IFERROR(HLOOKUP(I$2,[83]table_male_hkom3_inj.ill_X2!$A$1:$K$36,13,FALSE),0)</f>
        <v>0</v>
      </c>
      <c r="J2737">
        <f>IFERROR(HLOOKUP(J$2,[83]table_male_hkom3_inj.ill_X2!$A$1:$K$36,13,FALSE),0)</f>
        <v>0</v>
      </c>
      <c r="K2737">
        <f>IFERROR(HLOOKUP(K$2,[83]table_male_hkom3_inj.ill_X2!$A$1:$K$36,13,FALSE),0)</f>
        <v>0</v>
      </c>
      <c r="L2737">
        <f>IFERROR(HLOOKUP(L$2,[83]table_male_hkom3_inj.ill_X2!$A$1:$K$36,13,FALSE),0)</f>
        <v>0</v>
      </c>
      <c r="M2737">
        <f t="shared" si="853"/>
        <v>0</v>
      </c>
      <c r="S2737" t="s">
        <v>81</v>
      </c>
      <c r="T2737" s="5">
        <f t="shared" si="854"/>
        <v>0</v>
      </c>
      <c r="U2737" s="5">
        <f t="shared" si="855"/>
        <v>0</v>
      </c>
      <c r="V2737" s="5">
        <f t="shared" si="856"/>
        <v>0</v>
      </c>
      <c r="W2737" s="5">
        <f t="shared" si="857"/>
        <v>0</v>
      </c>
      <c r="X2737" s="5">
        <f t="shared" si="858"/>
        <v>0</v>
      </c>
      <c r="Y2737" s="5">
        <f t="shared" si="859"/>
        <v>0</v>
      </c>
      <c r="Z2737" s="5">
        <f t="shared" si="860"/>
        <v>0</v>
      </c>
      <c r="AA2737" s="5">
        <f t="shared" si="861"/>
        <v>0</v>
      </c>
      <c r="AB2737" s="5">
        <f t="shared" si="862"/>
        <v>0</v>
      </c>
    </row>
    <row r="2738" spans="4:28" x14ac:dyDescent="0.25">
      <c r="D2738" t="s">
        <v>82</v>
      </c>
      <c r="E2738" s="14"/>
      <c r="F2738" s="14"/>
      <c r="G2738">
        <f>IFERROR(HLOOKUP(G$2,[83]table_male_hkom3_inj.ill_X2!$A$1:$K$36,14,FALSE),0)</f>
        <v>0</v>
      </c>
      <c r="H2738">
        <f>IFERROR(HLOOKUP(H$2,[83]table_male_hkom3_inj.ill_X2!$A$1:$K$36,14,FALSE),0)</f>
        <v>0</v>
      </c>
      <c r="I2738">
        <f>IFERROR(HLOOKUP(I$2,[83]table_male_hkom3_inj.ill_X2!$A$1:$K$36,14,FALSE),0)</f>
        <v>0</v>
      </c>
      <c r="J2738">
        <f>IFERROR(HLOOKUP(J$2,[83]table_male_hkom3_inj.ill_X2!$A$1:$K$36,14,FALSE),0)</f>
        <v>0</v>
      </c>
      <c r="K2738">
        <f>IFERROR(HLOOKUP(K$2,[83]table_male_hkom3_inj.ill_X2!$A$1:$K$36,14,FALSE),0)</f>
        <v>0</v>
      </c>
      <c r="L2738">
        <f>IFERROR(HLOOKUP(L$2,[83]table_male_hkom3_inj.ill_X2!$A$1:$K$36,14,FALSE),0)</f>
        <v>0</v>
      </c>
      <c r="M2738">
        <f t="shared" si="853"/>
        <v>0</v>
      </c>
      <c r="S2738" t="s">
        <v>82</v>
      </c>
      <c r="T2738" s="5">
        <f t="shared" si="854"/>
        <v>0</v>
      </c>
      <c r="U2738" s="5">
        <f t="shared" si="855"/>
        <v>0</v>
      </c>
      <c r="V2738" s="5">
        <f t="shared" si="856"/>
        <v>0</v>
      </c>
      <c r="W2738" s="5">
        <f t="shared" si="857"/>
        <v>0</v>
      </c>
      <c r="X2738" s="5">
        <f t="shared" si="858"/>
        <v>0</v>
      </c>
      <c r="Y2738" s="5">
        <f t="shared" si="859"/>
        <v>0</v>
      </c>
      <c r="Z2738" s="5">
        <f t="shared" si="860"/>
        <v>0</v>
      </c>
      <c r="AA2738" s="5">
        <f t="shared" si="861"/>
        <v>0</v>
      </c>
      <c r="AB2738" s="5">
        <f t="shared" si="862"/>
        <v>0</v>
      </c>
    </row>
    <row r="2739" spans="4:28" x14ac:dyDescent="0.25">
      <c r="D2739" t="s">
        <v>83</v>
      </c>
      <c r="E2739" s="14"/>
      <c r="F2739" s="14"/>
      <c r="G2739">
        <f>IFERROR(HLOOKUP(G$2,[83]table_male_hkom3_inj.ill_X2!$A$1:$K$36,15,FALSE),0)</f>
        <v>0</v>
      </c>
      <c r="H2739">
        <f>IFERROR(HLOOKUP(H$2,[83]table_male_hkom3_inj.ill_X2!$A$1:$K$36,15,FALSE),0)</f>
        <v>0</v>
      </c>
      <c r="I2739">
        <f>IFERROR(HLOOKUP(I$2,[83]table_male_hkom3_inj.ill_X2!$A$1:$K$36,15,FALSE),0)</f>
        <v>0</v>
      </c>
      <c r="J2739">
        <f>IFERROR(HLOOKUP(J$2,[83]table_male_hkom3_inj.ill_X2!$A$1:$K$36,15,FALSE),0)</f>
        <v>0</v>
      </c>
      <c r="K2739">
        <f>IFERROR(HLOOKUP(K$2,[83]table_male_hkom3_inj.ill_X2!$A$1:$K$36,15,FALSE),0)</f>
        <v>0</v>
      </c>
      <c r="L2739">
        <f>IFERROR(HLOOKUP(L$2,[83]table_male_hkom3_inj.ill_X2!$A$1:$K$36,15,FALSE),0)</f>
        <v>0</v>
      </c>
      <c r="M2739">
        <f t="shared" si="853"/>
        <v>0</v>
      </c>
      <c r="S2739" t="s">
        <v>83</v>
      </c>
      <c r="T2739" s="5">
        <f t="shared" si="854"/>
        <v>0</v>
      </c>
      <c r="U2739" s="5">
        <f t="shared" si="855"/>
        <v>0</v>
      </c>
      <c r="V2739" s="5">
        <f t="shared" si="856"/>
        <v>0</v>
      </c>
      <c r="W2739" s="5">
        <f t="shared" si="857"/>
        <v>0</v>
      </c>
      <c r="X2739" s="5">
        <f t="shared" si="858"/>
        <v>0</v>
      </c>
      <c r="Y2739" s="5">
        <f t="shared" si="859"/>
        <v>0</v>
      </c>
      <c r="Z2739" s="5">
        <f t="shared" si="860"/>
        <v>0</v>
      </c>
      <c r="AA2739" s="5">
        <f t="shared" si="861"/>
        <v>0</v>
      </c>
      <c r="AB2739" s="5">
        <f t="shared" si="862"/>
        <v>0</v>
      </c>
    </row>
    <row r="2740" spans="4:28" x14ac:dyDescent="0.25">
      <c r="D2740" t="s">
        <v>84</v>
      </c>
      <c r="E2740" s="14"/>
      <c r="F2740" s="14"/>
      <c r="G2740">
        <f>IFERROR(HLOOKUP(G$2,[83]table_male_hkom3_inj.ill_X2!$A$1:$K$36,16,FALSE),0)</f>
        <v>0</v>
      </c>
      <c r="H2740">
        <f>IFERROR(HLOOKUP(H$2,[83]table_male_hkom3_inj.ill_X2!$A$1:$K$36,16,FALSE),0)</f>
        <v>0</v>
      </c>
      <c r="I2740">
        <f>IFERROR(HLOOKUP(I$2,[83]table_male_hkom3_inj.ill_X2!$A$1:$K$36,16,FALSE),0)</f>
        <v>0</v>
      </c>
      <c r="J2740">
        <f>IFERROR(HLOOKUP(J$2,[83]table_male_hkom3_inj.ill_X2!$A$1:$K$36,16,FALSE),0)</f>
        <v>0</v>
      </c>
      <c r="K2740">
        <f>IFERROR(HLOOKUP(K$2,[83]table_male_hkom3_inj.ill_X2!$A$1:$K$36,16,FALSE),0)</f>
        <v>0</v>
      </c>
      <c r="L2740">
        <f>IFERROR(HLOOKUP(L$2,[83]table_male_hkom3_inj.ill_X2!$A$1:$K$36,16,FALSE),0)</f>
        <v>0</v>
      </c>
      <c r="M2740">
        <f t="shared" si="853"/>
        <v>0</v>
      </c>
      <c r="S2740" t="s">
        <v>84</v>
      </c>
      <c r="T2740" s="5">
        <f t="shared" si="854"/>
        <v>0</v>
      </c>
      <c r="U2740" s="5">
        <f t="shared" si="855"/>
        <v>0</v>
      </c>
      <c r="V2740" s="5">
        <f t="shared" si="856"/>
        <v>0</v>
      </c>
      <c r="W2740" s="5">
        <f t="shared" si="857"/>
        <v>0</v>
      </c>
      <c r="X2740" s="5">
        <f t="shared" si="858"/>
        <v>0</v>
      </c>
      <c r="Y2740" s="5">
        <f t="shared" si="859"/>
        <v>0</v>
      </c>
      <c r="Z2740" s="5">
        <f t="shared" si="860"/>
        <v>0</v>
      </c>
      <c r="AA2740" s="5">
        <f t="shared" si="861"/>
        <v>0</v>
      </c>
      <c r="AB2740" s="5">
        <f t="shared" si="862"/>
        <v>0</v>
      </c>
    </row>
    <row r="2741" spans="4:28" x14ac:dyDescent="0.25">
      <c r="D2741" t="s">
        <v>85</v>
      </c>
      <c r="E2741" s="14"/>
      <c r="F2741" s="14"/>
      <c r="G2741">
        <f>IFERROR(HLOOKUP(G$2,[83]table_male_hkom3_inj.ill_X2!$A$1:$K$36,17,FALSE),0)</f>
        <v>0</v>
      </c>
      <c r="H2741">
        <f>IFERROR(HLOOKUP(H$2,[83]table_male_hkom3_inj.ill_X2!$A$1:$K$36,17,FALSE),0)</f>
        <v>0</v>
      </c>
      <c r="I2741">
        <f>IFERROR(HLOOKUP(I$2,[83]table_male_hkom3_inj.ill_X2!$A$1:$K$36,17,FALSE),0)</f>
        <v>0</v>
      </c>
      <c r="J2741">
        <f>IFERROR(HLOOKUP(J$2,[83]table_male_hkom3_inj.ill_X2!$A$1:$K$36,17,FALSE),0)</f>
        <v>0</v>
      </c>
      <c r="K2741">
        <f>IFERROR(HLOOKUP(K$2,[83]table_male_hkom3_inj.ill_X2!$A$1:$K$36,17,FALSE),0)</f>
        <v>0</v>
      </c>
      <c r="L2741">
        <f>IFERROR(HLOOKUP(L$2,[83]table_male_hkom3_inj.ill_X2!$A$1:$K$36,17,FALSE),0)</f>
        <v>0</v>
      </c>
      <c r="M2741">
        <f t="shared" si="853"/>
        <v>0</v>
      </c>
      <c r="S2741" t="s">
        <v>85</v>
      </c>
      <c r="T2741" s="5">
        <f t="shared" si="854"/>
        <v>0</v>
      </c>
      <c r="U2741" s="5">
        <f t="shared" si="855"/>
        <v>0</v>
      </c>
      <c r="V2741" s="5">
        <f t="shared" si="856"/>
        <v>0</v>
      </c>
      <c r="W2741" s="5">
        <f t="shared" si="857"/>
        <v>0</v>
      </c>
      <c r="X2741" s="5">
        <f t="shared" si="858"/>
        <v>0</v>
      </c>
      <c r="Y2741" s="5">
        <f t="shared" si="859"/>
        <v>0</v>
      </c>
      <c r="Z2741" s="5">
        <f t="shared" si="860"/>
        <v>0</v>
      </c>
      <c r="AA2741" s="5">
        <f t="shared" si="861"/>
        <v>0</v>
      </c>
      <c r="AB2741" s="5">
        <f t="shared" si="862"/>
        <v>0</v>
      </c>
    </row>
    <row r="2742" spans="4:28" x14ac:dyDescent="0.25">
      <c r="D2742" t="s">
        <v>86</v>
      </c>
      <c r="E2742" s="14"/>
      <c r="F2742" s="14"/>
      <c r="G2742">
        <f>IFERROR(HLOOKUP(G$2,[83]table_male_hkom3_inj.ill_X2!$A$1:$K$36,18,FALSE),0)</f>
        <v>0</v>
      </c>
      <c r="H2742">
        <f>IFERROR(HLOOKUP(H$2,[83]table_male_hkom3_inj.ill_X2!$A$1:$K$36,18,FALSE),0)</f>
        <v>1</v>
      </c>
      <c r="I2742">
        <f>IFERROR(HLOOKUP(I$2,[83]table_male_hkom3_inj.ill_X2!$A$1:$K$36,18,FALSE),0)</f>
        <v>0</v>
      </c>
      <c r="J2742">
        <f>IFERROR(HLOOKUP(J$2,[83]table_male_hkom3_inj.ill_X2!$A$1:$K$36,18,FALSE),0)</f>
        <v>0</v>
      </c>
      <c r="K2742">
        <f>IFERROR(HLOOKUP(K$2,[83]table_male_hkom3_inj.ill_X2!$A$1:$K$36,18,FALSE),0)</f>
        <v>0</v>
      </c>
      <c r="L2742">
        <f>IFERROR(HLOOKUP(L$2,[83]table_male_hkom3_inj.ill_X2!$A$1:$K$36,18,FALSE),0)</f>
        <v>0</v>
      </c>
      <c r="M2742">
        <f t="shared" si="853"/>
        <v>1</v>
      </c>
      <c r="S2742" t="s">
        <v>86</v>
      </c>
      <c r="T2742" s="5">
        <f t="shared" si="854"/>
        <v>0</v>
      </c>
      <c r="U2742" s="5">
        <f t="shared" si="855"/>
        <v>0</v>
      </c>
      <c r="V2742" s="5">
        <f t="shared" si="856"/>
        <v>0</v>
      </c>
      <c r="W2742" s="5">
        <f t="shared" si="857"/>
        <v>1</v>
      </c>
      <c r="X2742" s="5">
        <f t="shared" si="858"/>
        <v>0</v>
      </c>
      <c r="Y2742" s="5">
        <f t="shared" si="859"/>
        <v>0</v>
      </c>
      <c r="Z2742" s="5">
        <f t="shared" si="860"/>
        <v>0</v>
      </c>
      <c r="AA2742" s="5">
        <f t="shared" si="861"/>
        <v>0</v>
      </c>
      <c r="AB2742" s="5">
        <f t="shared" si="862"/>
        <v>1</v>
      </c>
    </row>
    <row r="2743" spans="4:28" x14ac:dyDescent="0.25">
      <c r="D2743" t="s">
        <v>87</v>
      </c>
      <c r="E2743" s="14"/>
      <c r="F2743" s="14"/>
      <c r="G2743">
        <f>IFERROR(HLOOKUP(G$2,[83]table_male_hkom3_inj.ill_X2!$A$1:$K$36,19,FALSE),0)</f>
        <v>0</v>
      </c>
      <c r="H2743">
        <f>IFERROR(HLOOKUP(H$2,[83]table_male_hkom3_inj.ill_X2!$A$1:$K$36,19,FALSE),0)</f>
        <v>0</v>
      </c>
      <c r="I2743">
        <f>IFERROR(HLOOKUP(I$2,[83]table_male_hkom3_inj.ill_X2!$A$1:$K$36,19,FALSE),0)</f>
        <v>0</v>
      </c>
      <c r="J2743">
        <f>IFERROR(HLOOKUP(J$2,[83]table_male_hkom3_inj.ill_X2!$A$1:$K$36,19,FALSE),0)</f>
        <v>0</v>
      </c>
      <c r="K2743">
        <f>IFERROR(HLOOKUP(K$2,[83]table_male_hkom3_inj.ill_X2!$A$1:$K$36,19,FALSE),0)</f>
        <v>0</v>
      </c>
      <c r="L2743">
        <f>IFERROR(HLOOKUP(L$2,[83]table_male_hkom3_inj.ill_X2!$A$1:$K$36,19,FALSE),0)</f>
        <v>0</v>
      </c>
      <c r="M2743">
        <f t="shared" si="853"/>
        <v>0</v>
      </c>
      <c r="S2743" t="s">
        <v>87</v>
      </c>
      <c r="T2743" s="5">
        <f t="shared" si="854"/>
        <v>0</v>
      </c>
      <c r="U2743" s="5">
        <f t="shared" si="855"/>
        <v>0</v>
      </c>
      <c r="V2743" s="5">
        <f t="shared" si="856"/>
        <v>0</v>
      </c>
      <c r="W2743" s="5">
        <f t="shared" si="857"/>
        <v>0</v>
      </c>
      <c r="X2743" s="5">
        <f t="shared" si="858"/>
        <v>0</v>
      </c>
      <c r="Y2743" s="5">
        <f t="shared" si="859"/>
        <v>0</v>
      </c>
      <c r="Z2743" s="5">
        <f t="shared" si="860"/>
        <v>0</v>
      </c>
      <c r="AA2743" s="5">
        <f t="shared" si="861"/>
        <v>0</v>
      </c>
      <c r="AB2743" s="5">
        <f t="shared" si="862"/>
        <v>0</v>
      </c>
    </row>
    <row r="2744" spans="4:28" x14ac:dyDescent="0.25">
      <c r="D2744" t="s">
        <v>88</v>
      </c>
      <c r="E2744" s="14"/>
      <c r="F2744" s="14"/>
      <c r="G2744">
        <f>IFERROR(HLOOKUP(G$2,[83]table_male_hkom3_inj.ill_X2!$A$1:$K$36,20,FALSE),0)</f>
        <v>0</v>
      </c>
      <c r="H2744">
        <f>IFERROR(HLOOKUP(H$2,[83]table_male_hkom3_inj.ill_X2!$A$1:$K$36,20,FALSE),0)</f>
        <v>0</v>
      </c>
      <c r="I2744">
        <f>IFERROR(HLOOKUP(I$2,[83]table_male_hkom3_inj.ill_X2!$A$1:$K$36,20,FALSE),0)</f>
        <v>0</v>
      </c>
      <c r="J2744">
        <f>IFERROR(HLOOKUP(J$2,[83]table_male_hkom3_inj.ill_X2!$A$1:$K$36,20,FALSE),0)</f>
        <v>0</v>
      </c>
      <c r="K2744">
        <f>IFERROR(HLOOKUP(K$2,[83]table_male_hkom3_inj.ill_X2!$A$1:$K$36,20,FALSE),0)</f>
        <v>0</v>
      </c>
      <c r="L2744">
        <f>IFERROR(HLOOKUP(L$2,[83]table_male_hkom3_inj.ill_X2!$A$1:$K$36,20,FALSE),0)</f>
        <v>0</v>
      </c>
      <c r="M2744">
        <f t="shared" si="853"/>
        <v>0</v>
      </c>
      <c r="S2744" t="s">
        <v>88</v>
      </c>
      <c r="T2744" s="5">
        <f t="shared" si="854"/>
        <v>0</v>
      </c>
      <c r="U2744" s="5">
        <f t="shared" si="855"/>
        <v>0</v>
      </c>
      <c r="V2744" s="5">
        <f t="shared" si="856"/>
        <v>0</v>
      </c>
      <c r="W2744" s="5">
        <f t="shared" si="857"/>
        <v>0</v>
      </c>
      <c r="X2744" s="5">
        <f t="shared" si="858"/>
        <v>0</v>
      </c>
      <c r="Y2744" s="5">
        <f t="shared" si="859"/>
        <v>0</v>
      </c>
      <c r="Z2744" s="5">
        <f t="shared" si="860"/>
        <v>0</v>
      </c>
      <c r="AA2744" s="5">
        <f t="shared" si="861"/>
        <v>0</v>
      </c>
      <c r="AB2744" s="5">
        <f t="shared" si="862"/>
        <v>0</v>
      </c>
    </row>
    <row r="2745" spans="4:28" x14ac:dyDescent="0.25">
      <c r="D2745" t="s">
        <v>89</v>
      </c>
      <c r="E2745" s="14"/>
      <c r="F2745" s="14"/>
      <c r="G2745">
        <f>IFERROR(HLOOKUP(G$2,[83]table_male_hkom3_inj.ill_X2!$A$1:$K$36,21,FALSE),0)</f>
        <v>0</v>
      </c>
      <c r="H2745">
        <f>IFERROR(HLOOKUP(H$2,[83]table_male_hkom3_inj.ill_X2!$A$1:$K$36,21,FALSE),0)</f>
        <v>0</v>
      </c>
      <c r="I2745">
        <f>IFERROR(HLOOKUP(I$2,[83]table_male_hkom3_inj.ill_X2!$A$1:$K$36,21,FALSE),0)</f>
        <v>0</v>
      </c>
      <c r="J2745">
        <f>IFERROR(HLOOKUP(J$2,[83]table_male_hkom3_inj.ill_X2!$A$1:$K$36,21,FALSE),0)</f>
        <v>0</v>
      </c>
      <c r="K2745">
        <f>IFERROR(HLOOKUP(K$2,[83]table_male_hkom3_inj.ill_X2!$A$1:$K$36,21,FALSE),0)</f>
        <v>0</v>
      </c>
      <c r="L2745">
        <f>IFERROR(HLOOKUP(L$2,[83]table_male_hkom3_inj.ill_X2!$A$1:$K$36,21,FALSE),0)</f>
        <v>0</v>
      </c>
      <c r="M2745">
        <f t="shared" si="853"/>
        <v>0</v>
      </c>
      <c r="S2745" t="s">
        <v>89</v>
      </c>
      <c r="T2745" s="5">
        <f t="shared" si="854"/>
        <v>0</v>
      </c>
      <c r="U2745" s="5">
        <f t="shared" si="855"/>
        <v>0</v>
      </c>
      <c r="V2745" s="5">
        <f t="shared" si="856"/>
        <v>0</v>
      </c>
      <c r="W2745" s="5">
        <f t="shared" si="857"/>
        <v>0</v>
      </c>
      <c r="X2745" s="5">
        <f t="shared" si="858"/>
        <v>0</v>
      </c>
      <c r="Y2745" s="5">
        <f t="shared" si="859"/>
        <v>0</v>
      </c>
      <c r="Z2745" s="5">
        <f t="shared" si="860"/>
        <v>0</v>
      </c>
      <c r="AA2745" s="5">
        <f t="shared" si="861"/>
        <v>0</v>
      </c>
      <c r="AB2745" s="5">
        <f t="shared" si="862"/>
        <v>0</v>
      </c>
    </row>
    <row r="2746" spans="4:28" x14ac:dyDescent="0.25">
      <c r="D2746" t="s">
        <v>90</v>
      </c>
      <c r="E2746" s="14"/>
      <c r="F2746" s="14"/>
      <c r="G2746">
        <f>IFERROR(HLOOKUP(G$2,[83]table_male_hkom3_inj.ill_X2!$A$1:$K$36,22,FALSE),0)</f>
        <v>0</v>
      </c>
      <c r="H2746">
        <f>IFERROR(HLOOKUP(H$2,[83]table_male_hkom3_inj.ill_X2!$A$1:$K$36,22,FALSE),0)</f>
        <v>0</v>
      </c>
      <c r="I2746">
        <f>IFERROR(HLOOKUP(I$2,[83]table_male_hkom3_inj.ill_X2!$A$1:$K$36,22,FALSE),0)</f>
        <v>0</v>
      </c>
      <c r="J2746">
        <f>IFERROR(HLOOKUP(J$2,[83]table_male_hkom3_inj.ill_X2!$A$1:$K$36,22,FALSE),0)</f>
        <v>0</v>
      </c>
      <c r="K2746">
        <f>IFERROR(HLOOKUP(K$2,[83]table_male_hkom3_inj.ill_X2!$A$1:$K$36,22,FALSE),0)</f>
        <v>0</v>
      </c>
      <c r="L2746">
        <f>IFERROR(HLOOKUP(L$2,[83]table_male_hkom3_inj.ill_X2!$A$1:$K$36,22,FALSE),0)</f>
        <v>0</v>
      </c>
      <c r="M2746">
        <f t="shared" si="853"/>
        <v>0</v>
      </c>
      <c r="S2746" t="s">
        <v>90</v>
      </c>
      <c r="T2746" s="5">
        <f t="shared" si="854"/>
        <v>0</v>
      </c>
      <c r="U2746" s="5">
        <f t="shared" si="855"/>
        <v>0</v>
      </c>
      <c r="V2746" s="5">
        <f t="shared" si="856"/>
        <v>0</v>
      </c>
      <c r="W2746" s="5">
        <f t="shared" si="857"/>
        <v>0</v>
      </c>
      <c r="X2746" s="5">
        <f t="shared" si="858"/>
        <v>0</v>
      </c>
      <c r="Y2746" s="5">
        <f t="shared" si="859"/>
        <v>0</v>
      </c>
      <c r="Z2746" s="5">
        <f t="shared" si="860"/>
        <v>0</v>
      </c>
      <c r="AA2746" s="5">
        <f t="shared" si="861"/>
        <v>0</v>
      </c>
      <c r="AB2746" s="5">
        <f t="shared" si="862"/>
        <v>0</v>
      </c>
    </row>
    <row r="2747" spans="4:28" x14ac:dyDescent="0.25">
      <c r="D2747" t="s">
        <v>91</v>
      </c>
      <c r="E2747" s="14"/>
      <c r="F2747" s="14"/>
      <c r="G2747">
        <f>IFERROR(HLOOKUP(G$2,[83]table_male_hkom3_inj.ill_X2!$A$1:$K$36,23,FALSE),0)</f>
        <v>0</v>
      </c>
      <c r="H2747">
        <f>IFERROR(HLOOKUP(H$2,[83]table_male_hkom3_inj.ill_X2!$A$1:$K$36,23,FALSE),0)</f>
        <v>0</v>
      </c>
      <c r="I2747">
        <f>IFERROR(HLOOKUP(I$2,[83]table_male_hkom3_inj.ill_X2!$A$1:$K$36,23,FALSE),0)</f>
        <v>0</v>
      </c>
      <c r="J2747">
        <f>IFERROR(HLOOKUP(J$2,[83]table_male_hkom3_inj.ill_X2!$A$1:$K$36,23,FALSE),0)</f>
        <v>0</v>
      </c>
      <c r="K2747">
        <f>IFERROR(HLOOKUP(K$2,[83]table_male_hkom3_inj.ill_X2!$A$1:$K$36,23,FALSE),0)</f>
        <v>0</v>
      </c>
      <c r="L2747">
        <f>IFERROR(HLOOKUP(L$2,[83]table_male_hkom3_inj.ill_X2!$A$1:$K$36,23,FALSE),0)</f>
        <v>0</v>
      </c>
      <c r="M2747">
        <f t="shared" si="853"/>
        <v>0</v>
      </c>
      <c r="S2747" t="s">
        <v>91</v>
      </c>
      <c r="T2747" s="5">
        <f t="shared" si="854"/>
        <v>0</v>
      </c>
      <c r="U2747" s="5">
        <f t="shared" si="855"/>
        <v>0</v>
      </c>
      <c r="V2747" s="5">
        <f t="shared" si="856"/>
        <v>0</v>
      </c>
      <c r="W2747" s="5">
        <f t="shared" si="857"/>
        <v>0</v>
      </c>
      <c r="X2747" s="5">
        <f t="shared" si="858"/>
        <v>0</v>
      </c>
      <c r="Y2747" s="5">
        <f t="shared" si="859"/>
        <v>0</v>
      </c>
      <c r="Z2747" s="5">
        <f t="shared" si="860"/>
        <v>0</v>
      </c>
      <c r="AA2747" s="5">
        <f t="shared" si="861"/>
        <v>0</v>
      </c>
      <c r="AB2747" s="5">
        <f t="shared" si="862"/>
        <v>0</v>
      </c>
    </row>
    <row r="2748" spans="4:28" x14ac:dyDescent="0.25">
      <c r="D2748" t="s">
        <v>92</v>
      </c>
      <c r="E2748" s="14"/>
      <c r="F2748" s="14"/>
      <c r="G2748">
        <f>IFERROR(HLOOKUP(G$2,[83]table_male_hkom3_inj.ill_X2!$A$1:$K$36,24,FALSE),0)</f>
        <v>0</v>
      </c>
      <c r="H2748">
        <f>IFERROR(HLOOKUP(H$2,[83]table_male_hkom3_inj.ill_X2!$A$1:$K$36,24,FALSE),0)</f>
        <v>0</v>
      </c>
      <c r="I2748">
        <f>IFERROR(HLOOKUP(I$2,[83]table_male_hkom3_inj.ill_X2!$A$1:$K$36,24,FALSE),0)</f>
        <v>0</v>
      </c>
      <c r="J2748">
        <f>IFERROR(HLOOKUP(J$2,[83]table_male_hkom3_inj.ill_X2!$A$1:$K$36,24,FALSE),0)</f>
        <v>0</v>
      </c>
      <c r="K2748">
        <f>IFERROR(HLOOKUP(K$2,[83]table_male_hkom3_inj.ill_X2!$A$1:$K$36,24,FALSE),0)</f>
        <v>0</v>
      </c>
      <c r="L2748">
        <f>IFERROR(HLOOKUP(L$2,[83]table_male_hkom3_inj.ill_X2!$A$1:$K$36,24,FALSE),0)</f>
        <v>0</v>
      </c>
      <c r="M2748">
        <f t="shared" si="853"/>
        <v>0</v>
      </c>
      <c r="S2748" t="s">
        <v>92</v>
      </c>
      <c r="T2748" s="5">
        <f t="shared" si="854"/>
        <v>0</v>
      </c>
      <c r="U2748" s="5">
        <f t="shared" si="855"/>
        <v>0</v>
      </c>
      <c r="V2748" s="5">
        <f t="shared" si="856"/>
        <v>0</v>
      </c>
      <c r="W2748" s="5">
        <f t="shared" si="857"/>
        <v>0</v>
      </c>
      <c r="X2748" s="5">
        <f t="shared" si="858"/>
        <v>0</v>
      </c>
      <c r="Y2748" s="5">
        <f t="shared" si="859"/>
        <v>0</v>
      </c>
      <c r="Z2748" s="5">
        <f t="shared" si="860"/>
        <v>0</v>
      </c>
      <c r="AA2748" s="5">
        <f t="shared" si="861"/>
        <v>0</v>
      </c>
      <c r="AB2748" s="5">
        <f t="shared" si="862"/>
        <v>0</v>
      </c>
    </row>
    <row r="2749" spans="4:28" x14ac:dyDescent="0.25">
      <c r="D2749" t="s">
        <v>93</v>
      </c>
      <c r="E2749" s="14"/>
      <c r="F2749" s="14"/>
      <c r="G2749">
        <f>IFERROR(HLOOKUP(G$2,[83]table_male_hkom3_inj.ill_X2!$A$1:$K$36,25,FALSE),0)</f>
        <v>0</v>
      </c>
      <c r="H2749">
        <f>IFERROR(HLOOKUP(H$2,[83]table_male_hkom3_inj.ill_X2!$A$1:$K$36,25,FALSE),0)</f>
        <v>0</v>
      </c>
      <c r="I2749">
        <f>IFERROR(HLOOKUP(I$2,[83]table_male_hkom3_inj.ill_X2!$A$1:$K$36,25,FALSE),0)</f>
        <v>0</v>
      </c>
      <c r="J2749">
        <f>IFERROR(HLOOKUP(J$2,[83]table_male_hkom3_inj.ill_X2!$A$1:$K$36,25,FALSE),0)</f>
        <v>0</v>
      </c>
      <c r="K2749">
        <f>IFERROR(HLOOKUP(K$2,[83]table_male_hkom3_inj.ill_X2!$A$1:$K$36,25,FALSE),0)</f>
        <v>0</v>
      </c>
      <c r="L2749">
        <f>IFERROR(HLOOKUP(L$2,[83]table_male_hkom3_inj.ill_X2!$A$1:$K$36,25,FALSE),0)</f>
        <v>0</v>
      </c>
      <c r="M2749">
        <f t="shared" si="853"/>
        <v>0</v>
      </c>
      <c r="S2749" t="s">
        <v>93</v>
      </c>
      <c r="T2749" s="5">
        <f t="shared" si="854"/>
        <v>0</v>
      </c>
      <c r="U2749" s="5">
        <f t="shared" si="855"/>
        <v>0</v>
      </c>
      <c r="V2749" s="5">
        <f t="shared" si="856"/>
        <v>0</v>
      </c>
      <c r="W2749" s="5">
        <f t="shared" si="857"/>
        <v>0</v>
      </c>
      <c r="X2749" s="5">
        <f t="shared" si="858"/>
        <v>0</v>
      </c>
      <c r="Y2749" s="5">
        <f t="shared" si="859"/>
        <v>0</v>
      </c>
      <c r="Z2749" s="5">
        <f t="shared" si="860"/>
        <v>0</v>
      </c>
      <c r="AA2749" s="5">
        <f t="shared" si="861"/>
        <v>0</v>
      </c>
      <c r="AB2749" s="5">
        <f t="shared" si="862"/>
        <v>0</v>
      </c>
    </row>
    <row r="2750" spans="4:28" x14ac:dyDescent="0.25">
      <c r="D2750" t="s">
        <v>94</v>
      </c>
      <c r="E2750" s="14"/>
      <c r="F2750" s="14"/>
      <c r="G2750">
        <f>IFERROR(HLOOKUP(G$2,[83]table_male_hkom3_inj.ill_X2!$A$1:$K$36,26,FALSE),0)</f>
        <v>0</v>
      </c>
      <c r="H2750">
        <f>IFERROR(HLOOKUP(H$2,[83]table_male_hkom3_inj.ill_X2!$A$1:$K$36,26,FALSE),0)</f>
        <v>0</v>
      </c>
      <c r="I2750">
        <f>IFERROR(HLOOKUP(I$2,[83]table_male_hkom3_inj.ill_X2!$A$1:$K$36,26,FALSE),0)</f>
        <v>0</v>
      </c>
      <c r="J2750">
        <f>IFERROR(HLOOKUP(J$2,[83]table_male_hkom3_inj.ill_X2!$A$1:$K$36,26,FALSE),0)</f>
        <v>0</v>
      </c>
      <c r="K2750">
        <f>IFERROR(HLOOKUP(K$2,[83]table_male_hkom3_inj.ill_X2!$A$1:$K$36,26,FALSE),0)</f>
        <v>0</v>
      </c>
      <c r="L2750">
        <f>IFERROR(HLOOKUP(L$2,[83]table_male_hkom3_inj.ill_X2!$A$1:$K$36,26,FALSE),0)</f>
        <v>0</v>
      </c>
      <c r="M2750">
        <f t="shared" si="853"/>
        <v>0</v>
      </c>
      <c r="S2750" t="s">
        <v>94</v>
      </c>
      <c r="T2750" s="5">
        <f t="shared" si="854"/>
        <v>0</v>
      </c>
      <c r="U2750" s="5">
        <f t="shared" si="855"/>
        <v>0</v>
      </c>
      <c r="V2750" s="5">
        <f t="shared" si="856"/>
        <v>0</v>
      </c>
      <c r="W2750" s="5">
        <f t="shared" si="857"/>
        <v>0</v>
      </c>
      <c r="X2750" s="5">
        <f t="shared" si="858"/>
        <v>0</v>
      </c>
      <c r="Y2750" s="5">
        <f t="shared" si="859"/>
        <v>0</v>
      </c>
      <c r="Z2750" s="5">
        <f t="shared" si="860"/>
        <v>0</v>
      </c>
      <c r="AA2750" s="5">
        <f t="shared" si="861"/>
        <v>0</v>
      </c>
      <c r="AB2750" s="5">
        <f t="shared" si="862"/>
        <v>0</v>
      </c>
    </row>
    <row r="2751" spans="4:28" x14ac:dyDescent="0.25">
      <c r="D2751" t="s">
        <v>95</v>
      </c>
      <c r="E2751" s="14"/>
      <c r="F2751" s="14"/>
      <c r="G2751">
        <f>IFERROR(HLOOKUP(G$2,[83]table_male_hkom3_inj.ill_X2!$A$1:$K$36,27,FALSE),0)</f>
        <v>0</v>
      </c>
      <c r="H2751">
        <f>IFERROR(HLOOKUP(H$2,[83]table_male_hkom3_inj.ill_X2!$A$1:$K$36,27,FALSE),0)</f>
        <v>0</v>
      </c>
      <c r="I2751">
        <f>IFERROR(HLOOKUP(I$2,[83]table_male_hkom3_inj.ill_X2!$A$1:$K$36,27,FALSE),0)</f>
        <v>0</v>
      </c>
      <c r="J2751">
        <f>IFERROR(HLOOKUP(J$2,[83]table_male_hkom3_inj.ill_X2!$A$1:$K$36,27,FALSE),0)</f>
        <v>0</v>
      </c>
      <c r="K2751">
        <f>IFERROR(HLOOKUP(K$2,[83]table_male_hkom3_inj.ill_X2!$A$1:$K$36,27,FALSE),0)</f>
        <v>0</v>
      </c>
      <c r="L2751">
        <f>IFERROR(HLOOKUP(L$2,[83]table_male_hkom3_inj.ill_X2!$A$1:$K$36,27,FALSE),0)</f>
        <v>0</v>
      </c>
      <c r="M2751">
        <f t="shared" si="853"/>
        <v>0</v>
      </c>
      <c r="S2751" t="s">
        <v>95</v>
      </c>
      <c r="T2751" s="5">
        <f t="shared" si="854"/>
        <v>0</v>
      </c>
      <c r="U2751" s="5">
        <f t="shared" si="855"/>
        <v>0</v>
      </c>
      <c r="V2751" s="5">
        <f t="shared" si="856"/>
        <v>0</v>
      </c>
      <c r="W2751" s="5">
        <f t="shared" si="857"/>
        <v>0</v>
      </c>
      <c r="X2751" s="5">
        <f t="shared" si="858"/>
        <v>0</v>
      </c>
      <c r="Y2751" s="5">
        <f t="shared" si="859"/>
        <v>0</v>
      </c>
      <c r="Z2751" s="5">
        <f t="shared" si="860"/>
        <v>0</v>
      </c>
      <c r="AA2751" s="5">
        <f t="shared" si="861"/>
        <v>0</v>
      </c>
      <c r="AB2751" s="5">
        <f t="shared" si="862"/>
        <v>0</v>
      </c>
    </row>
    <row r="2752" spans="4:28" x14ac:dyDescent="0.25">
      <c r="D2752" t="s">
        <v>96</v>
      </c>
      <c r="E2752" s="14"/>
      <c r="F2752" s="14"/>
      <c r="G2752">
        <f>IFERROR(HLOOKUP(G$2,[83]table_male_hkom3_inj.ill_X2!$A$1:$K$36,28,FALSE),0)</f>
        <v>0</v>
      </c>
      <c r="H2752">
        <f>IFERROR(HLOOKUP(H$2,[83]table_male_hkom3_inj.ill_X2!$A$1:$K$36,28,FALSE),0)</f>
        <v>0</v>
      </c>
      <c r="I2752">
        <f>IFERROR(HLOOKUP(I$2,[83]table_male_hkom3_inj.ill_X2!$A$1:$K$36,28,FALSE),0)</f>
        <v>0</v>
      </c>
      <c r="J2752">
        <f>IFERROR(HLOOKUP(J$2,[83]table_male_hkom3_inj.ill_X2!$A$1:$K$36,28,FALSE),0)</f>
        <v>0</v>
      </c>
      <c r="K2752">
        <f>IFERROR(HLOOKUP(K$2,[83]table_male_hkom3_inj.ill_X2!$A$1:$K$36,28,FALSE),0)</f>
        <v>0</v>
      </c>
      <c r="L2752">
        <f>IFERROR(HLOOKUP(L$2,[83]table_male_hkom3_inj.ill_X2!$A$1:$K$36,28,FALSE),0)</f>
        <v>0</v>
      </c>
      <c r="M2752">
        <f t="shared" si="853"/>
        <v>0</v>
      </c>
      <c r="S2752" t="s">
        <v>96</v>
      </c>
      <c r="T2752" s="5">
        <f t="shared" si="854"/>
        <v>0</v>
      </c>
      <c r="U2752" s="5">
        <f t="shared" si="855"/>
        <v>0</v>
      </c>
      <c r="V2752" s="5">
        <f t="shared" si="856"/>
        <v>0</v>
      </c>
      <c r="W2752" s="5">
        <f t="shared" si="857"/>
        <v>0</v>
      </c>
      <c r="X2752" s="5">
        <f t="shared" si="858"/>
        <v>0</v>
      </c>
      <c r="Y2752" s="5">
        <f t="shared" si="859"/>
        <v>0</v>
      </c>
      <c r="Z2752" s="5">
        <f t="shared" si="860"/>
        <v>0</v>
      </c>
      <c r="AA2752" s="5">
        <f t="shared" si="861"/>
        <v>0</v>
      </c>
      <c r="AB2752" s="5">
        <f t="shared" si="862"/>
        <v>0</v>
      </c>
    </row>
    <row r="2753" spans="1:29" x14ac:dyDescent="0.25">
      <c r="D2753" t="s">
        <v>97</v>
      </c>
      <c r="E2753" s="14"/>
      <c r="F2753" s="14"/>
      <c r="G2753">
        <f>IFERROR(HLOOKUP(G$2,[83]table_male_hkom3_inj.ill_X2!$A$1:$K$36,29,FALSE),0)</f>
        <v>0</v>
      </c>
      <c r="H2753">
        <f>IFERROR(HLOOKUP(H$2,[83]table_male_hkom3_inj.ill_X2!$A$1:$K$36,29,FALSE),0)</f>
        <v>0</v>
      </c>
      <c r="I2753">
        <f>IFERROR(HLOOKUP(I$2,[83]table_male_hkom3_inj.ill_X2!$A$1:$K$36,29,FALSE),0)</f>
        <v>0</v>
      </c>
      <c r="J2753">
        <f>IFERROR(HLOOKUP(J$2,[83]table_male_hkom3_inj.ill_X2!$A$1:$K$36,29,FALSE),0)</f>
        <v>0</v>
      </c>
      <c r="K2753">
        <f>IFERROR(HLOOKUP(K$2,[83]table_male_hkom3_inj.ill_X2!$A$1:$K$36,29,FALSE),0)</f>
        <v>0</v>
      </c>
      <c r="L2753">
        <f>IFERROR(HLOOKUP(L$2,[83]table_male_hkom3_inj.ill_X2!$A$1:$K$36,29,FALSE),0)</f>
        <v>0</v>
      </c>
      <c r="M2753">
        <f t="shared" si="853"/>
        <v>0</v>
      </c>
      <c r="S2753" t="s">
        <v>97</v>
      </c>
      <c r="T2753" s="5">
        <f t="shared" si="854"/>
        <v>0</v>
      </c>
      <c r="U2753" s="5">
        <f t="shared" si="855"/>
        <v>0</v>
      </c>
      <c r="V2753" s="5">
        <f t="shared" si="856"/>
        <v>0</v>
      </c>
      <c r="W2753" s="5">
        <f t="shared" si="857"/>
        <v>0</v>
      </c>
      <c r="X2753" s="5">
        <f t="shared" si="858"/>
        <v>0</v>
      </c>
      <c r="Y2753" s="5">
        <f t="shared" si="859"/>
        <v>0</v>
      </c>
      <c r="Z2753" s="5">
        <f t="shared" si="860"/>
        <v>0</v>
      </c>
      <c r="AA2753" s="5">
        <f t="shared" si="861"/>
        <v>0</v>
      </c>
      <c r="AB2753" s="5">
        <f t="shared" si="862"/>
        <v>0</v>
      </c>
    </row>
    <row r="2754" spans="1:29" x14ac:dyDescent="0.25">
      <c r="D2754" t="s">
        <v>98</v>
      </c>
      <c r="E2754" s="14"/>
      <c r="F2754" s="14"/>
      <c r="G2754">
        <f>IFERROR(HLOOKUP(G$2,[83]table_male_hkom3_inj.ill_X2!$A$1:$K$36,30,FALSE),0)</f>
        <v>0</v>
      </c>
      <c r="H2754">
        <f>IFERROR(HLOOKUP(H$2,[83]table_male_hkom3_inj.ill_X2!$A$1:$K$36,30,FALSE),0)</f>
        <v>0</v>
      </c>
      <c r="I2754">
        <f>IFERROR(HLOOKUP(I$2,[83]table_male_hkom3_inj.ill_X2!$A$1:$K$36,30,FALSE),0)</f>
        <v>0</v>
      </c>
      <c r="J2754">
        <f>IFERROR(HLOOKUP(J$2,[83]table_male_hkom3_inj.ill_X2!$A$1:$K$36,30,FALSE),0)</f>
        <v>0</v>
      </c>
      <c r="K2754">
        <f>IFERROR(HLOOKUP(K$2,[83]table_male_hkom3_inj.ill_X2!$A$1:$K$36,30,FALSE),0)</f>
        <v>0</v>
      </c>
      <c r="L2754">
        <f>IFERROR(HLOOKUP(L$2,[83]table_male_hkom3_inj.ill_X2!$A$1:$K$36,30,FALSE),0)</f>
        <v>0</v>
      </c>
      <c r="M2754">
        <f t="shared" si="853"/>
        <v>0</v>
      </c>
      <c r="S2754" t="s">
        <v>98</v>
      </c>
      <c r="T2754" s="5">
        <f t="shared" si="854"/>
        <v>0</v>
      </c>
      <c r="U2754" s="5">
        <f t="shared" si="855"/>
        <v>0</v>
      </c>
      <c r="V2754" s="5">
        <f t="shared" si="856"/>
        <v>0</v>
      </c>
      <c r="W2754" s="5">
        <f t="shared" si="857"/>
        <v>0</v>
      </c>
      <c r="X2754" s="5">
        <f t="shared" si="858"/>
        <v>0</v>
      </c>
      <c r="Y2754" s="5">
        <f t="shared" si="859"/>
        <v>0</v>
      </c>
      <c r="Z2754" s="5">
        <f t="shared" si="860"/>
        <v>0</v>
      </c>
      <c r="AA2754" s="5">
        <f t="shared" si="861"/>
        <v>0</v>
      </c>
      <c r="AB2754" s="5">
        <f t="shared" si="862"/>
        <v>0</v>
      </c>
    </row>
    <row r="2755" spans="1:29" x14ac:dyDescent="0.25">
      <c r="D2755" t="s">
        <v>119</v>
      </c>
      <c r="E2755" s="14"/>
      <c r="F2755" s="14"/>
      <c r="G2755">
        <f>IFERROR(HLOOKUP(G$2,[83]table_male_hkom3_inj.ill_X2!$A$1:$K$36,31,FALSE),0)</f>
        <v>0</v>
      </c>
      <c r="H2755">
        <f>IFERROR(HLOOKUP(H$2,[83]table_male_hkom3_inj.ill_X2!$A$1:$K$36,31,FALSE),0)</f>
        <v>0</v>
      </c>
      <c r="I2755">
        <f>IFERROR(HLOOKUP(I$2,[83]table_male_hkom3_inj.ill_X2!$A$1:$K$36,31,FALSE),0)</f>
        <v>0</v>
      </c>
      <c r="J2755">
        <f>IFERROR(HLOOKUP(J$2,[83]table_male_hkom3_inj.ill_X2!$A$1:$K$36,31,FALSE),0)</f>
        <v>0</v>
      </c>
      <c r="K2755">
        <f>IFERROR(HLOOKUP(K$2,[83]table_male_hkom3_inj.ill_X2!$A$1:$K$36,31,FALSE),0)</f>
        <v>0</v>
      </c>
      <c r="L2755">
        <f>IFERROR(HLOOKUP(L$2,[83]table_male_hkom3_inj.ill_X2!$A$1:$K$36,31,FALSE),0)</f>
        <v>0</v>
      </c>
      <c r="M2755">
        <f t="shared" si="853"/>
        <v>0</v>
      </c>
      <c r="S2755" t="s">
        <v>119</v>
      </c>
      <c r="T2755" s="5">
        <f t="shared" si="854"/>
        <v>0</v>
      </c>
      <c r="U2755" s="5">
        <f t="shared" si="855"/>
        <v>0</v>
      </c>
      <c r="V2755" s="5">
        <f t="shared" si="856"/>
        <v>0</v>
      </c>
      <c r="W2755" s="5">
        <f t="shared" si="857"/>
        <v>0</v>
      </c>
      <c r="X2755" s="5">
        <f t="shared" si="858"/>
        <v>0</v>
      </c>
      <c r="Y2755" s="5">
        <f t="shared" si="859"/>
        <v>0</v>
      </c>
      <c r="Z2755" s="5">
        <f t="shared" si="860"/>
        <v>0</v>
      </c>
      <c r="AA2755" s="5">
        <f t="shared" si="861"/>
        <v>0</v>
      </c>
      <c r="AB2755" s="5">
        <f t="shared" si="862"/>
        <v>0</v>
      </c>
    </row>
    <row r="2756" spans="1:29" x14ac:dyDescent="0.25">
      <c r="D2756" t="s">
        <v>99</v>
      </c>
      <c r="E2756" s="14"/>
      <c r="F2756" s="14"/>
      <c r="G2756">
        <f>IFERROR(HLOOKUP(G$2,[83]table_male_hkom3_inj.ill_X2!$A$1:$K$36,32,FALSE),0)</f>
        <v>0</v>
      </c>
      <c r="H2756">
        <f>IFERROR(HLOOKUP(H$2,[83]table_male_hkom3_inj.ill_X2!$A$1:$K$36,32,FALSE),0)</f>
        <v>0</v>
      </c>
      <c r="I2756">
        <f>IFERROR(HLOOKUP(I$2,[83]table_male_hkom3_inj.ill_X2!$A$1:$K$36,32,FALSE),0)</f>
        <v>0</v>
      </c>
      <c r="J2756">
        <f>IFERROR(HLOOKUP(J$2,[83]table_male_hkom3_inj.ill_X2!$A$1:$K$36,32,FALSE),0)</f>
        <v>0</v>
      </c>
      <c r="K2756">
        <f>IFERROR(HLOOKUP(K$2,[83]table_male_hkom3_inj.ill_X2!$A$1:$K$36,32,FALSE),0)</f>
        <v>0</v>
      </c>
      <c r="L2756">
        <f>IFERROR(HLOOKUP(L$2,[83]table_male_hkom3_inj.ill_X2!$A$1:$K$36,32,FALSE),0)</f>
        <v>0</v>
      </c>
      <c r="M2756">
        <f t="shared" si="853"/>
        <v>0</v>
      </c>
      <c r="S2756" t="s">
        <v>99</v>
      </c>
      <c r="T2756" s="5">
        <f t="shared" si="854"/>
        <v>0</v>
      </c>
      <c r="U2756" s="5">
        <f t="shared" si="855"/>
        <v>0</v>
      </c>
      <c r="V2756" s="5">
        <f t="shared" si="856"/>
        <v>0</v>
      </c>
      <c r="W2756" s="5">
        <f t="shared" si="857"/>
        <v>0</v>
      </c>
      <c r="X2756" s="5">
        <f t="shared" si="858"/>
        <v>0</v>
      </c>
      <c r="Y2756" s="5">
        <f t="shared" si="859"/>
        <v>0</v>
      </c>
      <c r="Z2756" s="5">
        <f t="shared" si="860"/>
        <v>0</v>
      </c>
      <c r="AA2756" s="5">
        <f t="shared" si="861"/>
        <v>0</v>
      </c>
      <c r="AB2756" s="5">
        <f t="shared" si="862"/>
        <v>0</v>
      </c>
    </row>
    <row r="2757" spans="1:29" x14ac:dyDescent="0.25">
      <c r="D2757" t="s">
        <v>100</v>
      </c>
      <c r="E2757" s="14"/>
      <c r="F2757" s="14"/>
      <c r="G2757">
        <f>IFERROR(HLOOKUP(G$2,[83]table_male_hkom3_inj.ill_X2!$A$1:$K$36,33,FALSE),0)</f>
        <v>0</v>
      </c>
      <c r="H2757">
        <f>IFERROR(HLOOKUP(H$2,[83]table_male_hkom3_inj.ill_X2!$A$1:$K$36,33,FALSE),0)</f>
        <v>0</v>
      </c>
      <c r="I2757">
        <f>IFERROR(HLOOKUP(I$2,[83]table_male_hkom3_inj.ill_X2!$A$1:$K$36,33,FALSE),0)</f>
        <v>0</v>
      </c>
      <c r="J2757">
        <f>IFERROR(HLOOKUP(J$2,[83]table_male_hkom3_inj.ill_X2!$A$1:$K$36,33,FALSE),0)</f>
        <v>0</v>
      </c>
      <c r="K2757">
        <f>IFERROR(HLOOKUP(K$2,[83]table_male_hkom3_inj.ill_X2!$A$1:$K$36,33,FALSE),0)</f>
        <v>0</v>
      </c>
      <c r="L2757">
        <f>IFERROR(HLOOKUP(L$2,[83]table_male_hkom3_inj.ill_X2!$A$1:$K$36,33,FALSE),0)</f>
        <v>0</v>
      </c>
      <c r="M2757">
        <f t="shared" si="853"/>
        <v>0</v>
      </c>
      <c r="S2757" t="s">
        <v>100</v>
      </c>
      <c r="T2757" s="5">
        <f t="shared" si="854"/>
        <v>0</v>
      </c>
      <c r="U2757" s="5">
        <f t="shared" si="855"/>
        <v>0</v>
      </c>
      <c r="V2757" s="5">
        <f t="shared" si="856"/>
        <v>0</v>
      </c>
      <c r="W2757" s="5">
        <f t="shared" si="857"/>
        <v>0</v>
      </c>
      <c r="X2757" s="5">
        <f t="shared" si="858"/>
        <v>0</v>
      </c>
      <c r="Y2757" s="5">
        <f t="shared" si="859"/>
        <v>0</v>
      </c>
      <c r="Z2757" s="5">
        <f t="shared" si="860"/>
        <v>0</v>
      </c>
      <c r="AA2757" s="5">
        <f t="shared" si="861"/>
        <v>0</v>
      </c>
      <c r="AB2757" s="5">
        <f t="shared" si="862"/>
        <v>0</v>
      </c>
    </row>
    <row r="2758" spans="1:29" x14ac:dyDescent="0.25">
      <c r="D2758" t="s">
        <v>101</v>
      </c>
      <c r="E2758" s="14"/>
      <c r="F2758" s="14"/>
      <c r="G2758">
        <f>IFERROR(HLOOKUP(G$2,[83]table_male_hkom3_inj.ill_X2!$A$1:$K$36,34,FALSE),0)</f>
        <v>0</v>
      </c>
      <c r="H2758">
        <f>IFERROR(HLOOKUP(H$2,[83]table_male_hkom3_inj.ill_X2!$A$1:$K$36,34,FALSE),0)</f>
        <v>0</v>
      </c>
      <c r="I2758">
        <f>IFERROR(HLOOKUP(I$2,[83]table_male_hkom3_inj.ill_X2!$A$1:$K$36,34,FALSE),0)</f>
        <v>0</v>
      </c>
      <c r="J2758">
        <f>IFERROR(HLOOKUP(J$2,[83]table_male_hkom3_inj.ill_X2!$A$1:$K$36,34,FALSE),0)</f>
        <v>0</v>
      </c>
      <c r="K2758">
        <f>IFERROR(HLOOKUP(K$2,[83]table_male_hkom3_inj.ill_X2!$A$1:$K$36,34,FALSE),0)</f>
        <v>0</v>
      </c>
      <c r="L2758">
        <f>IFERROR(HLOOKUP(L$2,[83]table_male_hkom3_inj.ill_X2!$A$1:$K$36,34,FALSE),0)</f>
        <v>0</v>
      </c>
      <c r="M2758">
        <f t="shared" si="853"/>
        <v>0</v>
      </c>
      <c r="S2758" t="s">
        <v>101</v>
      </c>
      <c r="T2758" s="5">
        <f t="shared" si="854"/>
        <v>0</v>
      </c>
      <c r="U2758" s="5">
        <f t="shared" si="855"/>
        <v>0</v>
      </c>
      <c r="V2758" s="5">
        <f t="shared" si="856"/>
        <v>0</v>
      </c>
      <c r="W2758" s="5">
        <f t="shared" si="857"/>
        <v>0</v>
      </c>
      <c r="X2758" s="5">
        <f t="shared" si="858"/>
        <v>0</v>
      </c>
      <c r="Y2758" s="5">
        <f t="shared" si="859"/>
        <v>0</v>
      </c>
      <c r="Z2758" s="5">
        <f t="shared" si="860"/>
        <v>0</v>
      </c>
      <c r="AA2758" s="5">
        <f t="shared" si="861"/>
        <v>0</v>
      </c>
      <c r="AB2758" s="5">
        <f t="shared" si="862"/>
        <v>0</v>
      </c>
    </row>
    <row r="2759" spans="1:29" x14ac:dyDescent="0.25">
      <c r="D2759" t="s">
        <v>102</v>
      </c>
      <c r="E2759" s="14"/>
      <c r="F2759" s="14"/>
      <c r="G2759">
        <f>IFERROR(HLOOKUP(G$2,[83]table_male_hkom3_inj.ill_X2!$A$1:$K$36,35,FALSE),0)</f>
        <v>0</v>
      </c>
      <c r="H2759">
        <f>IFERROR(HLOOKUP(H$2,[83]table_male_hkom3_inj.ill_X2!$A$1:$K$36,35,FALSE),0)</f>
        <v>0</v>
      </c>
      <c r="I2759">
        <f>IFERROR(HLOOKUP(I$2,[83]table_male_hkom3_inj.ill_X2!$A$1:$K$36,35,FALSE),0)</f>
        <v>0</v>
      </c>
      <c r="J2759">
        <f>IFERROR(HLOOKUP(J$2,[83]table_male_hkom3_inj.ill_X2!$A$1:$K$36,35,FALSE),0)</f>
        <v>0</v>
      </c>
      <c r="K2759">
        <f>IFERROR(HLOOKUP(K$2,[83]table_male_hkom3_inj.ill_X2!$A$1:$K$36,35,FALSE),0)</f>
        <v>0</v>
      </c>
      <c r="L2759">
        <f>IFERROR(HLOOKUP(L$2,[83]table_male_hkom3_inj.ill_X2!$A$1:$K$36,35,FALSE),0)</f>
        <v>0</v>
      </c>
      <c r="M2759">
        <f t="shared" si="853"/>
        <v>0</v>
      </c>
      <c r="N2759">
        <f>SUM(M2726:M2759)</f>
        <v>1</v>
      </c>
      <c r="O2759" s="8">
        <f>SUM([83]table_male_hkom3_inj.ill_X2!$B$2:$L$37)</f>
        <v>1</v>
      </c>
      <c r="S2759" t="s">
        <v>102</v>
      </c>
      <c r="T2759" s="7"/>
      <c r="U2759" s="7"/>
      <c r="V2759" s="7"/>
      <c r="W2759" s="7"/>
      <c r="X2759" s="7"/>
      <c r="Y2759" s="7"/>
      <c r="Z2759" s="7"/>
      <c r="AA2759" s="7"/>
      <c r="AB2759" s="5">
        <f t="shared" si="862"/>
        <v>0</v>
      </c>
      <c r="AC2759" s="5">
        <f>SUM(AB2726:AB2758)</f>
        <v>1</v>
      </c>
    </row>
    <row r="2760" spans="1:29" x14ac:dyDescent="0.25">
      <c r="A2760" t="s">
        <v>104</v>
      </c>
      <c r="B2760" t="s">
        <v>117</v>
      </c>
      <c r="C2760" t="s">
        <v>125</v>
      </c>
      <c r="D2760" t="s">
        <v>70</v>
      </c>
      <c r="E2760" s="14"/>
      <c r="F2760" s="14"/>
      <c r="G2760">
        <f>IFERROR(HLOOKUP(G$2,[84]table_male_hkom3_inj.ill_X3!$A$1:$K$36,2,FALSE),0)</f>
        <v>0</v>
      </c>
      <c r="H2760">
        <f>IFERROR(HLOOKUP(H$2,[84]table_male_hkom3_inj.ill_X3!$A$1:$K$36,2,FALSE),0)</f>
        <v>0</v>
      </c>
      <c r="I2760">
        <f>IFERROR(HLOOKUP(I$2,[84]table_male_hkom3_inj.ill_X3!$A$1:$K$36,2,FALSE),0)</f>
        <v>0</v>
      </c>
      <c r="J2760">
        <f>IFERROR(HLOOKUP(J$2,[84]table_male_hkom3_inj.ill_X3!$A$1:$K$36,2,FALSE),0)</f>
        <v>0</v>
      </c>
      <c r="K2760">
        <f>IFERROR(HLOOKUP(K$2,[84]table_male_hkom3_inj.ill_X3!$A$1:$K$36,2,FALSE),0)</f>
        <v>0</v>
      </c>
      <c r="L2760">
        <f>IFERROR(HLOOKUP(L$2,[84]table_male_hkom3_inj.ill_X3!$A$1:$K$36,2,FALSE),0)</f>
        <v>0</v>
      </c>
      <c r="M2760">
        <f>SUM(E2760:L2760)</f>
        <v>0</v>
      </c>
      <c r="P2760" t="s">
        <v>104</v>
      </c>
      <c r="Q2760" t="s">
        <v>117</v>
      </c>
      <c r="R2760" t="s">
        <v>125</v>
      </c>
      <c r="S2760" t="s">
        <v>70</v>
      </c>
      <c r="T2760" s="5">
        <f>IF(SUM(E$2760:E$2792)=0,E$2793/33,E2760+IFERROR(E2760/SUM(E$2760:E$2792)*E$2793,0))</f>
        <v>0</v>
      </c>
      <c r="U2760" s="5">
        <f t="shared" ref="U2760:AA2760" si="863">IF(SUM(F$2760:F$2792)=0,F$2793/33,F2760+IFERROR(F2760/SUM(F$2760:F$2792)*F$2793,0))</f>
        <v>0</v>
      </c>
      <c r="V2760" s="5">
        <f t="shared" si="863"/>
        <v>0</v>
      </c>
      <c r="W2760" s="5">
        <f t="shared" si="863"/>
        <v>0</v>
      </c>
      <c r="X2760" s="5">
        <f t="shared" si="863"/>
        <v>0</v>
      </c>
      <c r="Y2760" s="5">
        <f t="shared" si="863"/>
        <v>0</v>
      </c>
      <c r="Z2760" s="5">
        <f t="shared" si="863"/>
        <v>0</v>
      </c>
      <c r="AA2760" s="5">
        <f t="shared" si="863"/>
        <v>0</v>
      </c>
      <c r="AB2760" s="5">
        <f t="shared" si="862"/>
        <v>0</v>
      </c>
    </row>
    <row r="2761" spans="1:29" x14ac:dyDescent="0.25">
      <c r="D2761" t="s">
        <v>71</v>
      </c>
      <c r="E2761" s="14"/>
      <c r="F2761" s="14"/>
      <c r="G2761">
        <f>IFERROR(HLOOKUP(G$2,[84]table_male_hkom3_inj.ill_X3!$A$1:$K$36,3,FALSE),0)</f>
        <v>0</v>
      </c>
      <c r="H2761">
        <f>IFERROR(HLOOKUP(H$2,[84]table_male_hkom3_inj.ill_X3!$A$1:$K$36,3,FALSE),0)</f>
        <v>0</v>
      </c>
      <c r="I2761">
        <f>IFERROR(HLOOKUP(I$2,[84]table_male_hkom3_inj.ill_X3!$A$1:$K$36,3,FALSE),0)</f>
        <v>0</v>
      </c>
      <c r="J2761">
        <f>IFERROR(HLOOKUP(J$2,[84]table_male_hkom3_inj.ill_X3!$A$1:$K$36,3,FALSE),0)</f>
        <v>0</v>
      </c>
      <c r="K2761">
        <f>IFERROR(HLOOKUP(K$2,[84]table_male_hkom3_inj.ill_X3!$A$1:$K$36,3,FALSE),0)</f>
        <v>0</v>
      </c>
      <c r="L2761">
        <f>IFERROR(HLOOKUP(L$2,[84]table_male_hkom3_inj.ill_X3!$A$1:$K$36,3,FALSE),0)</f>
        <v>0</v>
      </c>
      <c r="M2761">
        <f t="shared" ref="M2761:M2793" si="864">SUM(E2761:L2761)</f>
        <v>0</v>
      </c>
      <c r="S2761" t="s">
        <v>71</v>
      </c>
      <c r="T2761" s="5">
        <f t="shared" ref="T2761:T2792" si="865">IF(SUM(E$2760:E$2792)=0,E$2793/33,E2761+IFERROR(E2761/SUM(E$2760:E$2792)*E$2793,0))</f>
        <v>0</v>
      </c>
      <c r="U2761" s="5">
        <f t="shared" ref="U2761:U2792" si="866">IF(SUM(F$2760:F$2792)=0,F$2793/33,F2761+IFERROR(F2761/SUM(F$2760:F$2792)*F$2793,0))</f>
        <v>0</v>
      </c>
      <c r="V2761" s="5">
        <f t="shared" ref="V2761:V2792" si="867">IF(SUM(G$2760:G$2792)=0,G$2793/33,G2761+IFERROR(G2761/SUM(G$2760:G$2792)*G$2793,0))</f>
        <v>0</v>
      </c>
      <c r="W2761" s="5">
        <f t="shared" ref="W2761:W2792" si="868">IF(SUM(H$2760:H$2792)=0,H$2793/33,H2761+IFERROR(H2761/SUM(H$2760:H$2792)*H$2793,0))</f>
        <v>0</v>
      </c>
      <c r="X2761" s="5">
        <f t="shared" ref="X2761:X2792" si="869">IF(SUM(I$2760:I$2792)=0,I$2793/33,I2761+IFERROR(I2761/SUM(I$2760:I$2792)*I$2793,0))</f>
        <v>0</v>
      </c>
      <c r="Y2761" s="5">
        <f t="shared" ref="Y2761:Y2792" si="870">IF(SUM(J$2760:J$2792)=0,J$2793/33,J2761+IFERROR(J2761/SUM(J$2760:J$2792)*J$2793,0))</f>
        <v>0</v>
      </c>
      <c r="Z2761" s="5">
        <f t="shared" ref="Z2761:Z2792" si="871">IF(SUM(K$2760:K$2792)=0,K$2793/33,K2761+IFERROR(K2761/SUM(K$2760:K$2792)*K$2793,0))</f>
        <v>0</v>
      </c>
      <c r="AA2761" s="5">
        <f t="shared" ref="AA2761:AA2792" si="872">IF(SUM(L$2760:L$2792)=0,L$2793/33,L2761+IFERROR(L2761/SUM(L$2760:L$2792)*L$2793,0))</f>
        <v>0</v>
      </c>
      <c r="AB2761" s="5">
        <f t="shared" si="862"/>
        <v>0</v>
      </c>
    </row>
    <row r="2762" spans="1:29" x14ac:dyDescent="0.25">
      <c r="D2762" t="s">
        <v>72</v>
      </c>
      <c r="E2762" s="14"/>
      <c r="F2762" s="14"/>
      <c r="G2762">
        <f>IFERROR(HLOOKUP(G$2,[84]table_male_hkom3_inj.ill_X3!$A$1:$K$36,4,FALSE),0)</f>
        <v>0</v>
      </c>
      <c r="H2762">
        <f>IFERROR(HLOOKUP(H$2,[84]table_male_hkom3_inj.ill_X3!$A$1:$K$36,4,FALSE),0)</f>
        <v>0</v>
      </c>
      <c r="I2762">
        <f>IFERROR(HLOOKUP(I$2,[84]table_male_hkom3_inj.ill_X3!$A$1:$K$36,4,FALSE),0)</f>
        <v>0</v>
      </c>
      <c r="J2762">
        <f>IFERROR(HLOOKUP(J$2,[84]table_male_hkom3_inj.ill_X3!$A$1:$K$36,4,FALSE),0)</f>
        <v>0</v>
      </c>
      <c r="K2762">
        <f>IFERROR(HLOOKUP(K$2,[84]table_male_hkom3_inj.ill_X3!$A$1:$K$36,4,FALSE),0)</f>
        <v>0</v>
      </c>
      <c r="L2762">
        <f>IFERROR(HLOOKUP(L$2,[84]table_male_hkom3_inj.ill_X3!$A$1:$K$36,4,FALSE),0)</f>
        <v>0</v>
      </c>
      <c r="M2762">
        <f t="shared" si="864"/>
        <v>0</v>
      </c>
      <c r="S2762" t="s">
        <v>72</v>
      </c>
      <c r="T2762" s="5">
        <f t="shared" si="865"/>
        <v>0</v>
      </c>
      <c r="U2762" s="5">
        <f t="shared" si="866"/>
        <v>0</v>
      </c>
      <c r="V2762" s="5">
        <f t="shared" si="867"/>
        <v>0</v>
      </c>
      <c r="W2762" s="5">
        <f t="shared" si="868"/>
        <v>0</v>
      </c>
      <c r="X2762" s="5">
        <f t="shared" si="869"/>
        <v>0</v>
      </c>
      <c r="Y2762" s="5">
        <f t="shared" si="870"/>
        <v>0</v>
      </c>
      <c r="Z2762" s="5">
        <f t="shared" si="871"/>
        <v>0</v>
      </c>
      <c r="AA2762" s="5">
        <f t="shared" si="872"/>
        <v>0</v>
      </c>
      <c r="AB2762" s="5">
        <f t="shared" si="862"/>
        <v>0</v>
      </c>
    </row>
    <row r="2763" spans="1:29" x14ac:dyDescent="0.25">
      <c r="D2763" t="s">
        <v>73</v>
      </c>
      <c r="E2763" s="14"/>
      <c r="F2763" s="14"/>
      <c r="G2763">
        <f>IFERROR(HLOOKUP(G$2,[84]table_male_hkom3_inj.ill_X3!$A$1:$K$36,5,FALSE),0)</f>
        <v>0</v>
      </c>
      <c r="H2763">
        <f>IFERROR(HLOOKUP(H$2,[84]table_male_hkom3_inj.ill_X3!$A$1:$K$36,5,FALSE),0)</f>
        <v>0</v>
      </c>
      <c r="I2763">
        <f>IFERROR(HLOOKUP(I$2,[84]table_male_hkom3_inj.ill_X3!$A$1:$K$36,5,FALSE),0)</f>
        <v>0</v>
      </c>
      <c r="J2763">
        <f>IFERROR(HLOOKUP(J$2,[84]table_male_hkom3_inj.ill_X3!$A$1:$K$36,5,FALSE),0)</f>
        <v>0</v>
      </c>
      <c r="K2763">
        <f>IFERROR(HLOOKUP(K$2,[84]table_male_hkom3_inj.ill_X3!$A$1:$K$36,5,FALSE),0)</f>
        <v>0</v>
      </c>
      <c r="L2763">
        <f>IFERROR(HLOOKUP(L$2,[84]table_male_hkom3_inj.ill_X3!$A$1:$K$36,5,FALSE),0)</f>
        <v>0</v>
      </c>
      <c r="M2763">
        <f t="shared" si="864"/>
        <v>0</v>
      </c>
      <c r="S2763" t="s">
        <v>73</v>
      </c>
      <c r="T2763" s="5">
        <f t="shared" si="865"/>
        <v>0</v>
      </c>
      <c r="U2763" s="5">
        <f t="shared" si="866"/>
        <v>0</v>
      </c>
      <c r="V2763" s="5">
        <f t="shared" si="867"/>
        <v>0</v>
      </c>
      <c r="W2763" s="5">
        <f t="shared" si="868"/>
        <v>0</v>
      </c>
      <c r="X2763" s="5">
        <f t="shared" si="869"/>
        <v>0</v>
      </c>
      <c r="Y2763" s="5">
        <f t="shared" si="870"/>
        <v>0</v>
      </c>
      <c r="Z2763" s="5">
        <f t="shared" si="871"/>
        <v>0</v>
      </c>
      <c r="AA2763" s="5">
        <f t="shared" si="872"/>
        <v>0</v>
      </c>
      <c r="AB2763" s="5">
        <f t="shared" si="862"/>
        <v>0</v>
      </c>
    </row>
    <row r="2764" spans="1:29" x14ac:dyDescent="0.25">
      <c r="D2764" t="s">
        <v>74</v>
      </c>
      <c r="E2764" s="14"/>
      <c r="F2764" s="14"/>
      <c r="G2764">
        <f>IFERROR(HLOOKUP(G$2,[84]table_male_hkom3_inj.ill_X3!$A$1:$K$36,6,FALSE),0)</f>
        <v>0</v>
      </c>
      <c r="H2764">
        <f>IFERROR(HLOOKUP(H$2,[84]table_male_hkom3_inj.ill_X3!$A$1:$K$36,6,FALSE),0)</f>
        <v>0</v>
      </c>
      <c r="I2764">
        <f>IFERROR(HLOOKUP(I$2,[84]table_male_hkom3_inj.ill_X3!$A$1:$K$36,6,FALSE),0)</f>
        <v>0</v>
      </c>
      <c r="J2764">
        <f>IFERROR(HLOOKUP(J$2,[84]table_male_hkom3_inj.ill_X3!$A$1:$K$36,6,FALSE),0)</f>
        <v>0</v>
      </c>
      <c r="K2764">
        <f>IFERROR(HLOOKUP(K$2,[84]table_male_hkom3_inj.ill_X3!$A$1:$K$36,6,FALSE),0)</f>
        <v>0</v>
      </c>
      <c r="L2764">
        <f>IFERROR(HLOOKUP(L$2,[84]table_male_hkom3_inj.ill_X3!$A$1:$K$36,6,FALSE),0)</f>
        <v>0</v>
      </c>
      <c r="M2764">
        <f t="shared" si="864"/>
        <v>0</v>
      </c>
      <c r="S2764" t="s">
        <v>74</v>
      </c>
      <c r="T2764" s="5">
        <f t="shared" si="865"/>
        <v>0</v>
      </c>
      <c r="U2764" s="5">
        <f t="shared" si="866"/>
        <v>0</v>
      </c>
      <c r="V2764" s="5">
        <f t="shared" si="867"/>
        <v>0</v>
      </c>
      <c r="W2764" s="5">
        <f t="shared" si="868"/>
        <v>0</v>
      </c>
      <c r="X2764" s="5">
        <f t="shared" si="869"/>
        <v>0</v>
      </c>
      <c r="Y2764" s="5">
        <f t="shared" si="870"/>
        <v>0</v>
      </c>
      <c r="Z2764" s="5">
        <f t="shared" si="871"/>
        <v>0</v>
      </c>
      <c r="AA2764" s="5">
        <f t="shared" si="872"/>
        <v>0</v>
      </c>
      <c r="AB2764" s="5">
        <f t="shared" si="862"/>
        <v>0</v>
      </c>
    </row>
    <row r="2765" spans="1:29" x14ac:dyDescent="0.25">
      <c r="D2765" t="s">
        <v>75</v>
      </c>
      <c r="E2765" s="14"/>
      <c r="F2765" s="14"/>
      <c r="G2765">
        <f>IFERROR(HLOOKUP(G$2,[84]table_male_hkom3_inj.ill_X3!$A$1:$K$36,7,FALSE),0)</f>
        <v>0</v>
      </c>
      <c r="H2765">
        <f>IFERROR(HLOOKUP(H$2,[84]table_male_hkom3_inj.ill_X3!$A$1:$K$36,7,FALSE),0)</f>
        <v>0</v>
      </c>
      <c r="I2765">
        <f>IFERROR(HLOOKUP(I$2,[84]table_male_hkom3_inj.ill_X3!$A$1:$K$36,7,FALSE),0)</f>
        <v>0</v>
      </c>
      <c r="J2765">
        <f>IFERROR(HLOOKUP(J$2,[84]table_male_hkom3_inj.ill_X3!$A$1:$K$36,7,FALSE),0)</f>
        <v>0</v>
      </c>
      <c r="K2765">
        <f>IFERROR(HLOOKUP(K$2,[84]table_male_hkom3_inj.ill_X3!$A$1:$K$36,7,FALSE),0)</f>
        <v>0</v>
      </c>
      <c r="L2765">
        <f>IFERROR(HLOOKUP(L$2,[84]table_male_hkom3_inj.ill_X3!$A$1:$K$36,7,FALSE),0)</f>
        <v>0</v>
      </c>
      <c r="M2765">
        <f t="shared" si="864"/>
        <v>0</v>
      </c>
      <c r="S2765" t="s">
        <v>75</v>
      </c>
      <c r="T2765" s="5">
        <f t="shared" si="865"/>
        <v>0</v>
      </c>
      <c r="U2765" s="5">
        <f t="shared" si="866"/>
        <v>0</v>
      </c>
      <c r="V2765" s="5">
        <f t="shared" si="867"/>
        <v>0</v>
      </c>
      <c r="W2765" s="5">
        <f t="shared" si="868"/>
        <v>0</v>
      </c>
      <c r="X2765" s="5">
        <f t="shared" si="869"/>
        <v>0</v>
      </c>
      <c r="Y2765" s="5">
        <f t="shared" si="870"/>
        <v>0</v>
      </c>
      <c r="Z2765" s="5">
        <f t="shared" si="871"/>
        <v>0</v>
      </c>
      <c r="AA2765" s="5">
        <f t="shared" si="872"/>
        <v>0</v>
      </c>
      <c r="AB2765" s="5">
        <f t="shared" si="862"/>
        <v>0</v>
      </c>
    </row>
    <row r="2766" spans="1:29" x14ac:dyDescent="0.25">
      <c r="D2766" t="s">
        <v>76</v>
      </c>
      <c r="E2766" s="14"/>
      <c r="F2766" s="14"/>
      <c r="G2766">
        <f>IFERROR(HLOOKUP(G$2,[84]table_male_hkom3_inj.ill_X3!$A$1:$K$36,8,FALSE),0)</f>
        <v>1</v>
      </c>
      <c r="H2766">
        <f>IFERROR(HLOOKUP(H$2,[84]table_male_hkom3_inj.ill_X3!$A$1:$K$36,8,FALSE),0)</f>
        <v>0</v>
      </c>
      <c r="I2766">
        <f>IFERROR(HLOOKUP(I$2,[84]table_male_hkom3_inj.ill_X3!$A$1:$K$36,8,FALSE),0)</f>
        <v>0</v>
      </c>
      <c r="J2766">
        <f>IFERROR(HLOOKUP(J$2,[84]table_male_hkom3_inj.ill_X3!$A$1:$K$36,8,FALSE),0)</f>
        <v>0</v>
      </c>
      <c r="K2766">
        <f>IFERROR(HLOOKUP(K$2,[84]table_male_hkom3_inj.ill_X3!$A$1:$K$36,8,FALSE),0)</f>
        <v>0</v>
      </c>
      <c r="L2766">
        <f>IFERROR(HLOOKUP(L$2,[84]table_male_hkom3_inj.ill_X3!$A$1:$K$36,8,FALSE),0)</f>
        <v>0</v>
      </c>
      <c r="M2766">
        <f t="shared" si="864"/>
        <v>1</v>
      </c>
      <c r="S2766" t="s">
        <v>76</v>
      </c>
      <c r="T2766" s="5">
        <f t="shared" si="865"/>
        <v>0</v>
      </c>
      <c r="U2766" s="5">
        <f t="shared" si="866"/>
        <v>0</v>
      </c>
      <c r="V2766" s="5">
        <f t="shared" si="867"/>
        <v>1.6956521739130435</v>
      </c>
      <c r="W2766" s="5">
        <f t="shared" si="868"/>
        <v>0</v>
      </c>
      <c r="X2766" s="5">
        <f t="shared" si="869"/>
        <v>0</v>
      </c>
      <c r="Y2766" s="5">
        <f t="shared" si="870"/>
        <v>0</v>
      </c>
      <c r="Z2766" s="5">
        <f t="shared" si="871"/>
        <v>0</v>
      </c>
      <c r="AA2766" s="5">
        <f t="shared" si="872"/>
        <v>0</v>
      </c>
      <c r="AB2766" s="5">
        <f t="shared" si="862"/>
        <v>1.6956521739130435</v>
      </c>
    </row>
    <row r="2767" spans="1:29" x14ac:dyDescent="0.25">
      <c r="D2767" t="s">
        <v>77</v>
      </c>
      <c r="E2767" s="14"/>
      <c r="F2767" s="14"/>
      <c r="G2767">
        <f>IFERROR(HLOOKUP(G$2,[84]table_male_hkom3_inj.ill_X3!$A$1:$K$36,9,FALSE),0)</f>
        <v>0</v>
      </c>
      <c r="H2767">
        <f>IFERROR(HLOOKUP(H$2,[84]table_male_hkom3_inj.ill_X3!$A$1:$K$36,9,FALSE),0)</f>
        <v>0</v>
      </c>
      <c r="I2767">
        <f>IFERROR(HLOOKUP(I$2,[84]table_male_hkom3_inj.ill_X3!$A$1:$K$36,9,FALSE),0)</f>
        <v>0</v>
      </c>
      <c r="J2767">
        <f>IFERROR(HLOOKUP(J$2,[84]table_male_hkom3_inj.ill_X3!$A$1:$K$36,9,FALSE),0)</f>
        <v>0</v>
      </c>
      <c r="K2767">
        <f>IFERROR(HLOOKUP(K$2,[84]table_male_hkom3_inj.ill_X3!$A$1:$K$36,9,FALSE),0)</f>
        <v>0</v>
      </c>
      <c r="L2767">
        <f>IFERROR(HLOOKUP(L$2,[84]table_male_hkom3_inj.ill_X3!$A$1:$K$36,9,FALSE),0)</f>
        <v>0</v>
      </c>
      <c r="M2767">
        <f t="shared" si="864"/>
        <v>0</v>
      </c>
      <c r="S2767" t="s">
        <v>77</v>
      </c>
      <c r="T2767" s="5">
        <f t="shared" si="865"/>
        <v>0</v>
      </c>
      <c r="U2767" s="5">
        <f t="shared" si="866"/>
        <v>0</v>
      </c>
      <c r="V2767" s="5">
        <f t="shared" si="867"/>
        <v>0</v>
      </c>
      <c r="W2767" s="5">
        <f t="shared" si="868"/>
        <v>0</v>
      </c>
      <c r="X2767" s="5">
        <f t="shared" si="869"/>
        <v>0</v>
      </c>
      <c r="Y2767" s="5">
        <f t="shared" si="870"/>
        <v>0</v>
      </c>
      <c r="Z2767" s="5">
        <f t="shared" si="871"/>
        <v>0</v>
      </c>
      <c r="AA2767" s="5">
        <f t="shared" si="872"/>
        <v>0</v>
      </c>
      <c r="AB2767" s="5">
        <f t="shared" si="862"/>
        <v>0</v>
      </c>
    </row>
    <row r="2768" spans="1:29" x14ac:dyDescent="0.25">
      <c r="D2768" t="s">
        <v>78</v>
      </c>
      <c r="E2768" s="14"/>
      <c r="F2768" s="14"/>
      <c r="G2768">
        <f>IFERROR(HLOOKUP(G$2,[84]table_male_hkom3_inj.ill_X3!$A$1:$K$36,10,FALSE),0)</f>
        <v>0</v>
      </c>
      <c r="H2768">
        <f>IFERROR(HLOOKUP(H$2,[84]table_male_hkom3_inj.ill_X3!$A$1:$K$36,10,FALSE),0)</f>
        <v>0</v>
      </c>
      <c r="I2768">
        <f>IFERROR(HLOOKUP(I$2,[84]table_male_hkom3_inj.ill_X3!$A$1:$K$36,10,FALSE),0)</f>
        <v>0</v>
      </c>
      <c r="J2768">
        <f>IFERROR(HLOOKUP(J$2,[84]table_male_hkom3_inj.ill_X3!$A$1:$K$36,10,FALSE),0)</f>
        <v>0</v>
      </c>
      <c r="K2768">
        <f>IFERROR(HLOOKUP(K$2,[84]table_male_hkom3_inj.ill_X3!$A$1:$K$36,10,FALSE),0)</f>
        <v>0</v>
      </c>
      <c r="L2768">
        <f>IFERROR(HLOOKUP(L$2,[84]table_male_hkom3_inj.ill_X3!$A$1:$K$36,10,FALSE),0)</f>
        <v>0</v>
      </c>
      <c r="M2768">
        <f t="shared" si="864"/>
        <v>0</v>
      </c>
      <c r="S2768" t="s">
        <v>78</v>
      </c>
      <c r="T2768" s="5">
        <f t="shared" si="865"/>
        <v>0</v>
      </c>
      <c r="U2768" s="5">
        <f t="shared" si="866"/>
        <v>0</v>
      </c>
      <c r="V2768" s="5">
        <f t="shared" si="867"/>
        <v>0</v>
      </c>
      <c r="W2768" s="5">
        <f t="shared" si="868"/>
        <v>0</v>
      </c>
      <c r="X2768" s="5">
        <f t="shared" si="869"/>
        <v>0</v>
      </c>
      <c r="Y2768" s="5">
        <f t="shared" si="870"/>
        <v>0</v>
      </c>
      <c r="Z2768" s="5">
        <f t="shared" si="871"/>
        <v>0</v>
      </c>
      <c r="AA2768" s="5">
        <f t="shared" si="872"/>
        <v>0</v>
      </c>
      <c r="AB2768" s="5">
        <f t="shared" si="862"/>
        <v>0</v>
      </c>
    </row>
    <row r="2769" spans="4:28" x14ac:dyDescent="0.25">
      <c r="D2769" t="s">
        <v>79</v>
      </c>
      <c r="E2769" s="14"/>
      <c r="F2769" s="14"/>
      <c r="G2769">
        <f>IFERROR(HLOOKUP(G$2,[84]table_male_hkom3_inj.ill_X3!$A$1:$K$36,11,FALSE),0)</f>
        <v>0</v>
      </c>
      <c r="H2769">
        <f>IFERROR(HLOOKUP(H$2,[84]table_male_hkom3_inj.ill_X3!$A$1:$K$36,11,FALSE),0)</f>
        <v>0</v>
      </c>
      <c r="I2769">
        <f>IFERROR(HLOOKUP(I$2,[84]table_male_hkom3_inj.ill_X3!$A$1:$K$36,11,FALSE),0)</f>
        <v>0</v>
      </c>
      <c r="J2769">
        <f>IFERROR(HLOOKUP(J$2,[84]table_male_hkom3_inj.ill_X3!$A$1:$K$36,11,FALSE),0)</f>
        <v>0</v>
      </c>
      <c r="K2769">
        <f>IFERROR(HLOOKUP(K$2,[84]table_male_hkom3_inj.ill_X3!$A$1:$K$36,11,FALSE),0)</f>
        <v>0</v>
      </c>
      <c r="L2769">
        <f>IFERROR(HLOOKUP(L$2,[84]table_male_hkom3_inj.ill_X3!$A$1:$K$36,11,FALSE),0)</f>
        <v>0</v>
      </c>
      <c r="M2769">
        <f t="shared" si="864"/>
        <v>0</v>
      </c>
      <c r="S2769" t="s">
        <v>79</v>
      </c>
      <c r="T2769" s="5">
        <f t="shared" si="865"/>
        <v>0</v>
      </c>
      <c r="U2769" s="5">
        <f t="shared" si="866"/>
        <v>0</v>
      </c>
      <c r="V2769" s="5">
        <f t="shared" si="867"/>
        <v>0</v>
      </c>
      <c r="W2769" s="5">
        <f t="shared" si="868"/>
        <v>0</v>
      </c>
      <c r="X2769" s="5">
        <f t="shared" si="869"/>
        <v>0</v>
      </c>
      <c r="Y2769" s="5">
        <f t="shared" si="870"/>
        <v>0</v>
      </c>
      <c r="Z2769" s="5">
        <f t="shared" si="871"/>
        <v>0</v>
      </c>
      <c r="AA2769" s="5">
        <f t="shared" si="872"/>
        <v>0</v>
      </c>
      <c r="AB2769" s="5">
        <f t="shared" si="862"/>
        <v>0</v>
      </c>
    </row>
    <row r="2770" spans="4:28" x14ac:dyDescent="0.25">
      <c r="D2770" t="s">
        <v>80</v>
      </c>
      <c r="E2770" s="14"/>
      <c r="F2770" s="14"/>
      <c r="G2770">
        <f>IFERROR(HLOOKUP(G$2,[84]table_male_hkom3_inj.ill_X3!$A$1:$K$36,12,FALSE),0)</f>
        <v>0</v>
      </c>
      <c r="H2770">
        <f>IFERROR(HLOOKUP(H$2,[84]table_male_hkom3_inj.ill_X3!$A$1:$K$36,12,FALSE),0)</f>
        <v>0</v>
      </c>
      <c r="I2770">
        <f>IFERROR(HLOOKUP(I$2,[84]table_male_hkom3_inj.ill_X3!$A$1:$K$36,12,FALSE),0)</f>
        <v>0</v>
      </c>
      <c r="J2770">
        <f>IFERROR(HLOOKUP(J$2,[84]table_male_hkom3_inj.ill_X3!$A$1:$K$36,12,FALSE),0)</f>
        <v>0</v>
      </c>
      <c r="K2770">
        <f>IFERROR(HLOOKUP(K$2,[84]table_male_hkom3_inj.ill_X3!$A$1:$K$36,12,FALSE),0)</f>
        <v>0</v>
      </c>
      <c r="L2770">
        <f>IFERROR(HLOOKUP(L$2,[84]table_male_hkom3_inj.ill_X3!$A$1:$K$36,12,FALSE),0)</f>
        <v>0</v>
      </c>
      <c r="M2770">
        <f t="shared" si="864"/>
        <v>0</v>
      </c>
      <c r="S2770" t="s">
        <v>80</v>
      </c>
      <c r="T2770" s="5">
        <f t="shared" si="865"/>
        <v>0</v>
      </c>
      <c r="U2770" s="5">
        <f t="shared" si="866"/>
        <v>0</v>
      </c>
      <c r="V2770" s="5">
        <f t="shared" si="867"/>
        <v>0</v>
      </c>
      <c r="W2770" s="5">
        <f t="shared" si="868"/>
        <v>0</v>
      </c>
      <c r="X2770" s="5">
        <f t="shared" si="869"/>
        <v>0</v>
      </c>
      <c r="Y2770" s="5">
        <f t="shared" si="870"/>
        <v>0</v>
      </c>
      <c r="Z2770" s="5">
        <f t="shared" si="871"/>
        <v>0</v>
      </c>
      <c r="AA2770" s="5">
        <f t="shared" si="872"/>
        <v>0</v>
      </c>
      <c r="AB2770" s="5">
        <f t="shared" si="862"/>
        <v>0</v>
      </c>
    </row>
    <row r="2771" spans="4:28" x14ac:dyDescent="0.25">
      <c r="D2771" t="s">
        <v>81</v>
      </c>
      <c r="E2771" s="14"/>
      <c r="F2771" s="14"/>
      <c r="G2771">
        <f>IFERROR(HLOOKUP(G$2,[84]table_male_hkom3_inj.ill_X3!$A$1:$K$36,13,FALSE),0)</f>
        <v>0</v>
      </c>
      <c r="H2771">
        <f>IFERROR(HLOOKUP(H$2,[84]table_male_hkom3_inj.ill_X3!$A$1:$K$36,13,FALSE),0)</f>
        <v>1</v>
      </c>
      <c r="I2771">
        <f>IFERROR(HLOOKUP(I$2,[84]table_male_hkom3_inj.ill_X3!$A$1:$K$36,13,FALSE),0)</f>
        <v>0</v>
      </c>
      <c r="J2771">
        <f>IFERROR(HLOOKUP(J$2,[84]table_male_hkom3_inj.ill_X3!$A$1:$K$36,13,FALSE),0)</f>
        <v>0</v>
      </c>
      <c r="K2771">
        <f>IFERROR(HLOOKUP(K$2,[84]table_male_hkom3_inj.ill_X3!$A$1:$K$36,13,FALSE),0)</f>
        <v>0</v>
      </c>
      <c r="L2771">
        <f>IFERROR(HLOOKUP(L$2,[84]table_male_hkom3_inj.ill_X3!$A$1:$K$36,13,FALSE),0)</f>
        <v>0</v>
      </c>
      <c r="M2771">
        <f t="shared" si="864"/>
        <v>1</v>
      </c>
      <c r="S2771" t="s">
        <v>81</v>
      </c>
      <c r="T2771" s="5">
        <f t="shared" si="865"/>
        <v>0</v>
      </c>
      <c r="U2771" s="5">
        <f t="shared" si="866"/>
        <v>0</v>
      </c>
      <c r="V2771" s="5">
        <f t="shared" si="867"/>
        <v>0</v>
      </c>
      <c r="W2771" s="5">
        <f t="shared" si="868"/>
        <v>1.8275862068965516</v>
      </c>
      <c r="X2771" s="5">
        <f t="shared" si="869"/>
        <v>0</v>
      </c>
      <c r="Y2771" s="5">
        <f t="shared" si="870"/>
        <v>0</v>
      </c>
      <c r="Z2771" s="5">
        <f t="shared" si="871"/>
        <v>0</v>
      </c>
      <c r="AA2771" s="5">
        <f t="shared" si="872"/>
        <v>0</v>
      </c>
      <c r="AB2771" s="5">
        <f t="shared" si="862"/>
        <v>1.8275862068965516</v>
      </c>
    </row>
    <row r="2772" spans="4:28" x14ac:dyDescent="0.25">
      <c r="D2772" t="s">
        <v>82</v>
      </c>
      <c r="E2772" s="14"/>
      <c r="F2772" s="14"/>
      <c r="G2772">
        <f>IFERROR(HLOOKUP(G$2,[84]table_male_hkom3_inj.ill_X3!$A$1:$K$36,14,FALSE),0)</f>
        <v>0</v>
      </c>
      <c r="H2772">
        <f>IFERROR(HLOOKUP(H$2,[84]table_male_hkom3_inj.ill_X3!$A$1:$K$36,14,FALSE),0)</f>
        <v>0</v>
      </c>
      <c r="I2772">
        <f>IFERROR(HLOOKUP(I$2,[84]table_male_hkom3_inj.ill_X3!$A$1:$K$36,14,FALSE),0)</f>
        <v>0</v>
      </c>
      <c r="J2772">
        <f>IFERROR(HLOOKUP(J$2,[84]table_male_hkom3_inj.ill_X3!$A$1:$K$36,14,FALSE),0)</f>
        <v>0</v>
      </c>
      <c r="K2772">
        <f>IFERROR(HLOOKUP(K$2,[84]table_male_hkom3_inj.ill_X3!$A$1:$K$36,14,FALSE),0)</f>
        <v>0</v>
      </c>
      <c r="L2772">
        <f>IFERROR(HLOOKUP(L$2,[84]table_male_hkom3_inj.ill_X3!$A$1:$K$36,14,FALSE),0)</f>
        <v>0</v>
      </c>
      <c r="M2772">
        <f t="shared" si="864"/>
        <v>0</v>
      </c>
      <c r="S2772" t="s">
        <v>82</v>
      </c>
      <c r="T2772" s="5">
        <f t="shared" si="865"/>
        <v>0</v>
      </c>
      <c r="U2772" s="5">
        <f t="shared" si="866"/>
        <v>0</v>
      </c>
      <c r="V2772" s="5">
        <f t="shared" si="867"/>
        <v>0</v>
      </c>
      <c r="W2772" s="5">
        <f t="shared" si="868"/>
        <v>0</v>
      </c>
      <c r="X2772" s="5">
        <f t="shared" si="869"/>
        <v>0</v>
      </c>
      <c r="Y2772" s="5">
        <f t="shared" si="870"/>
        <v>0</v>
      </c>
      <c r="Z2772" s="5">
        <f t="shared" si="871"/>
        <v>0</v>
      </c>
      <c r="AA2772" s="5">
        <f t="shared" si="872"/>
        <v>0</v>
      </c>
      <c r="AB2772" s="5">
        <f t="shared" si="862"/>
        <v>0</v>
      </c>
    </row>
    <row r="2773" spans="4:28" x14ac:dyDescent="0.25">
      <c r="D2773" t="s">
        <v>83</v>
      </c>
      <c r="E2773" s="14"/>
      <c r="F2773" s="14"/>
      <c r="G2773">
        <f>IFERROR(HLOOKUP(G$2,[84]table_male_hkom3_inj.ill_X3!$A$1:$K$36,15,FALSE),0)</f>
        <v>0</v>
      </c>
      <c r="H2773">
        <f>IFERROR(HLOOKUP(H$2,[84]table_male_hkom3_inj.ill_X3!$A$1:$K$36,15,FALSE),0)</f>
        <v>0</v>
      </c>
      <c r="I2773">
        <f>IFERROR(HLOOKUP(I$2,[84]table_male_hkom3_inj.ill_X3!$A$1:$K$36,15,FALSE),0)</f>
        <v>0</v>
      </c>
      <c r="J2773">
        <f>IFERROR(HLOOKUP(J$2,[84]table_male_hkom3_inj.ill_X3!$A$1:$K$36,15,FALSE),0)</f>
        <v>0</v>
      </c>
      <c r="K2773">
        <f>IFERROR(HLOOKUP(K$2,[84]table_male_hkom3_inj.ill_X3!$A$1:$K$36,15,FALSE),0)</f>
        <v>0</v>
      </c>
      <c r="L2773">
        <f>IFERROR(HLOOKUP(L$2,[84]table_male_hkom3_inj.ill_X3!$A$1:$K$36,15,FALSE),0)</f>
        <v>0</v>
      </c>
      <c r="M2773">
        <f t="shared" si="864"/>
        <v>0</v>
      </c>
      <c r="S2773" t="s">
        <v>83</v>
      </c>
      <c r="T2773" s="5">
        <f t="shared" si="865"/>
        <v>0</v>
      </c>
      <c r="U2773" s="5">
        <f t="shared" si="866"/>
        <v>0</v>
      </c>
      <c r="V2773" s="5">
        <f t="shared" si="867"/>
        <v>0</v>
      </c>
      <c r="W2773" s="5">
        <f t="shared" si="868"/>
        <v>0</v>
      </c>
      <c r="X2773" s="5">
        <f t="shared" si="869"/>
        <v>0</v>
      </c>
      <c r="Y2773" s="5">
        <f t="shared" si="870"/>
        <v>0</v>
      </c>
      <c r="Z2773" s="5">
        <f t="shared" si="871"/>
        <v>0</v>
      </c>
      <c r="AA2773" s="5">
        <f t="shared" si="872"/>
        <v>0</v>
      </c>
      <c r="AB2773" s="5">
        <f t="shared" si="862"/>
        <v>0</v>
      </c>
    </row>
    <row r="2774" spans="4:28" x14ac:dyDescent="0.25">
      <c r="D2774" t="s">
        <v>84</v>
      </c>
      <c r="E2774" s="14"/>
      <c r="F2774" s="14"/>
      <c r="G2774">
        <f>IFERROR(HLOOKUP(G$2,[84]table_male_hkom3_inj.ill_X3!$A$1:$K$36,16,FALSE),0)</f>
        <v>0</v>
      </c>
      <c r="H2774">
        <f>IFERROR(HLOOKUP(H$2,[84]table_male_hkom3_inj.ill_X3!$A$1:$K$36,16,FALSE),0)</f>
        <v>0</v>
      </c>
      <c r="I2774">
        <f>IFERROR(HLOOKUP(I$2,[84]table_male_hkom3_inj.ill_X3!$A$1:$K$36,16,FALSE),0)</f>
        <v>0</v>
      </c>
      <c r="J2774">
        <f>IFERROR(HLOOKUP(J$2,[84]table_male_hkom3_inj.ill_X3!$A$1:$K$36,16,FALSE),0)</f>
        <v>0</v>
      </c>
      <c r="K2774">
        <f>IFERROR(HLOOKUP(K$2,[84]table_male_hkom3_inj.ill_X3!$A$1:$K$36,16,FALSE),0)</f>
        <v>0</v>
      </c>
      <c r="L2774">
        <f>IFERROR(HLOOKUP(L$2,[84]table_male_hkom3_inj.ill_X3!$A$1:$K$36,16,FALSE),0)</f>
        <v>0</v>
      </c>
      <c r="M2774">
        <f t="shared" si="864"/>
        <v>0</v>
      </c>
      <c r="S2774" t="s">
        <v>84</v>
      </c>
      <c r="T2774" s="5">
        <f t="shared" si="865"/>
        <v>0</v>
      </c>
      <c r="U2774" s="5">
        <f t="shared" si="866"/>
        <v>0</v>
      </c>
      <c r="V2774" s="5">
        <f t="shared" si="867"/>
        <v>0</v>
      </c>
      <c r="W2774" s="5">
        <f t="shared" si="868"/>
        <v>0</v>
      </c>
      <c r="X2774" s="5">
        <f t="shared" si="869"/>
        <v>0</v>
      </c>
      <c r="Y2774" s="5">
        <f t="shared" si="870"/>
        <v>0</v>
      </c>
      <c r="Z2774" s="5">
        <f t="shared" si="871"/>
        <v>0</v>
      </c>
      <c r="AA2774" s="5">
        <f t="shared" si="872"/>
        <v>0</v>
      </c>
      <c r="AB2774" s="5">
        <f t="shared" si="862"/>
        <v>0</v>
      </c>
    </row>
    <row r="2775" spans="4:28" x14ac:dyDescent="0.25">
      <c r="D2775" t="s">
        <v>85</v>
      </c>
      <c r="E2775" s="14"/>
      <c r="F2775" s="14"/>
      <c r="G2775">
        <f>IFERROR(HLOOKUP(G$2,[84]table_male_hkom3_inj.ill_X3!$A$1:$K$36,17,FALSE),0)</f>
        <v>0</v>
      </c>
      <c r="H2775">
        <f>IFERROR(HLOOKUP(H$2,[84]table_male_hkom3_inj.ill_X3!$A$1:$K$36,17,FALSE),0)</f>
        <v>0</v>
      </c>
      <c r="I2775">
        <f>IFERROR(HLOOKUP(I$2,[84]table_male_hkom3_inj.ill_X3!$A$1:$K$36,17,FALSE),0)</f>
        <v>0</v>
      </c>
      <c r="J2775">
        <f>IFERROR(HLOOKUP(J$2,[84]table_male_hkom3_inj.ill_X3!$A$1:$K$36,17,FALSE),0)</f>
        <v>0</v>
      </c>
      <c r="K2775">
        <f>IFERROR(HLOOKUP(K$2,[84]table_male_hkom3_inj.ill_X3!$A$1:$K$36,17,FALSE),0)</f>
        <v>0</v>
      </c>
      <c r="L2775">
        <f>IFERROR(HLOOKUP(L$2,[84]table_male_hkom3_inj.ill_X3!$A$1:$K$36,17,FALSE),0)</f>
        <v>0</v>
      </c>
      <c r="M2775">
        <f t="shared" si="864"/>
        <v>0</v>
      </c>
      <c r="S2775" t="s">
        <v>85</v>
      </c>
      <c r="T2775" s="5">
        <f t="shared" si="865"/>
        <v>0</v>
      </c>
      <c r="U2775" s="5">
        <f t="shared" si="866"/>
        <v>0</v>
      </c>
      <c r="V2775" s="5">
        <f t="shared" si="867"/>
        <v>0</v>
      </c>
      <c r="W2775" s="5">
        <f t="shared" si="868"/>
        <v>0</v>
      </c>
      <c r="X2775" s="5">
        <f t="shared" si="869"/>
        <v>0</v>
      </c>
      <c r="Y2775" s="5">
        <f t="shared" si="870"/>
        <v>0</v>
      </c>
      <c r="Z2775" s="5">
        <f t="shared" si="871"/>
        <v>0</v>
      </c>
      <c r="AA2775" s="5">
        <f t="shared" si="872"/>
        <v>0</v>
      </c>
      <c r="AB2775" s="5">
        <f t="shared" si="862"/>
        <v>0</v>
      </c>
    </row>
    <row r="2776" spans="4:28" x14ac:dyDescent="0.25">
      <c r="D2776" t="s">
        <v>86</v>
      </c>
      <c r="E2776" s="14"/>
      <c r="F2776" s="14"/>
      <c r="G2776">
        <f>IFERROR(HLOOKUP(G$2,[84]table_male_hkom3_inj.ill_X3!$A$1:$K$36,18,FALSE),0)</f>
        <v>0</v>
      </c>
      <c r="H2776">
        <f>IFERROR(HLOOKUP(H$2,[84]table_male_hkom3_inj.ill_X3!$A$1:$K$36,18,FALSE),0)</f>
        <v>0</v>
      </c>
      <c r="I2776">
        <f>IFERROR(HLOOKUP(I$2,[84]table_male_hkom3_inj.ill_X3!$A$1:$K$36,18,FALSE),0)</f>
        <v>1</v>
      </c>
      <c r="J2776">
        <f>IFERROR(HLOOKUP(J$2,[84]table_male_hkom3_inj.ill_X3!$A$1:$K$36,18,FALSE),0)</f>
        <v>0</v>
      </c>
      <c r="K2776">
        <f>IFERROR(HLOOKUP(K$2,[84]table_male_hkom3_inj.ill_X3!$A$1:$K$36,18,FALSE),0)</f>
        <v>0</v>
      </c>
      <c r="L2776">
        <f>IFERROR(HLOOKUP(L$2,[84]table_male_hkom3_inj.ill_X3!$A$1:$K$36,18,FALSE),0)</f>
        <v>0</v>
      </c>
      <c r="M2776">
        <f t="shared" si="864"/>
        <v>1</v>
      </c>
      <c r="S2776" t="s">
        <v>86</v>
      </c>
      <c r="T2776" s="5">
        <f t="shared" si="865"/>
        <v>0</v>
      </c>
      <c r="U2776" s="5">
        <f t="shared" si="866"/>
        <v>0</v>
      </c>
      <c r="V2776" s="5">
        <f t="shared" si="867"/>
        <v>0</v>
      </c>
      <c r="W2776" s="5">
        <f t="shared" si="868"/>
        <v>0</v>
      </c>
      <c r="X2776" s="5">
        <f t="shared" si="869"/>
        <v>1.1851851851851851</v>
      </c>
      <c r="Y2776" s="5">
        <f t="shared" si="870"/>
        <v>0</v>
      </c>
      <c r="Z2776" s="5">
        <f t="shared" si="871"/>
        <v>0</v>
      </c>
      <c r="AA2776" s="5">
        <f t="shared" si="872"/>
        <v>0</v>
      </c>
      <c r="AB2776" s="5">
        <f t="shared" si="862"/>
        <v>1.1851851851851851</v>
      </c>
    </row>
    <row r="2777" spans="4:28" x14ac:dyDescent="0.25">
      <c r="D2777" t="s">
        <v>87</v>
      </c>
      <c r="E2777" s="14"/>
      <c r="F2777" s="14"/>
      <c r="G2777">
        <f>IFERROR(HLOOKUP(G$2,[84]table_male_hkom3_inj.ill_X3!$A$1:$K$36,19,FALSE),0)</f>
        <v>0</v>
      </c>
      <c r="H2777">
        <f>IFERROR(HLOOKUP(H$2,[84]table_male_hkom3_inj.ill_X3!$A$1:$K$36,19,FALSE),0)</f>
        <v>0</v>
      </c>
      <c r="I2777">
        <f>IFERROR(HLOOKUP(I$2,[84]table_male_hkom3_inj.ill_X3!$A$1:$K$36,19,FALSE),0)</f>
        <v>0</v>
      </c>
      <c r="J2777">
        <f>IFERROR(HLOOKUP(J$2,[84]table_male_hkom3_inj.ill_X3!$A$1:$K$36,19,FALSE),0)</f>
        <v>0</v>
      </c>
      <c r="K2777">
        <f>IFERROR(HLOOKUP(K$2,[84]table_male_hkom3_inj.ill_X3!$A$1:$K$36,19,FALSE),0)</f>
        <v>0</v>
      </c>
      <c r="L2777">
        <f>IFERROR(HLOOKUP(L$2,[84]table_male_hkom3_inj.ill_X3!$A$1:$K$36,19,FALSE),0)</f>
        <v>0</v>
      </c>
      <c r="M2777">
        <f t="shared" si="864"/>
        <v>0</v>
      </c>
      <c r="S2777" t="s">
        <v>87</v>
      </c>
      <c r="T2777" s="5">
        <f t="shared" si="865"/>
        <v>0</v>
      </c>
      <c r="U2777" s="5">
        <f t="shared" si="866"/>
        <v>0</v>
      </c>
      <c r="V2777" s="5">
        <f t="shared" si="867"/>
        <v>0</v>
      </c>
      <c r="W2777" s="5">
        <f t="shared" si="868"/>
        <v>0</v>
      </c>
      <c r="X2777" s="5">
        <f t="shared" si="869"/>
        <v>0</v>
      </c>
      <c r="Y2777" s="5">
        <f t="shared" si="870"/>
        <v>0</v>
      </c>
      <c r="Z2777" s="5">
        <f t="shared" si="871"/>
        <v>0</v>
      </c>
      <c r="AA2777" s="5">
        <f t="shared" si="872"/>
        <v>0</v>
      </c>
      <c r="AB2777" s="5">
        <f t="shared" si="862"/>
        <v>0</v>
      </c>
    </row>
    <row r="2778" spans="4:28" x14ac:dyDescent="0.25">
      <c r="D2778" t="s">
        <v>88</v>
      </c>
      <c r="E2778" s="14"/>
      <c r="F2778" s="14"/>
      <c r="G2778">
        <f>IFERROR(HLOOKUP(G$2,[84]table_male_hkom3_inj.ill_X3!$A$1:$K$36,20,FALSE),0)</f>
        <v>0</v>
      </c>
      <c r="H2778">
        <f>IFERROR(HLOOKUP(H$2,[84]table_male_hkom3_inj.ill_X3!$A$1:$K$36,20,FALSE),0)</f>
        <v>0</v>
      </c>
      <c r="I2778">
        <f>IFERROR(HLOOKUP(I$2,[84]table_male_hkom3_inj.ill_X3!$A$1:$K$36,20,FALSE),0)</f>
        <v>1</v>
      </c>
      <c r="J2778">
        <f>IFERROR(HLOOKUP(J$2,[84]table_male_hkom3_inj.ill_X3!$A$1:$K$36,20,FALSE),0)</f>
        <v>0</v>
      </c>
      <c r="K2778">
        <f>IFERROR(HLOOKUP(K$2,[84]table_male_hkom3_inj.ill_X3!$A$1:$K$36,20,FALSE),0)</f>
        <v>0</v>
      </c>
      <c r="L2778">
        <f>IFERROR(HLOOKUP(L$2,[84]table_male_hkom3_inj.ill_X3!$A$1:$K$36,20,FALSE),0)</f>
        <v>0</v>
      </c>
      <c r="M2778">
        <f t="shared" si="864"/>
        <v>1</v>
      </c>
      <c r="S2778" t="s">
        <v>88</v>
      </c>
      <c r="T2778" s="5">
        <f t="shared" si="865"/>
        <v>0</v>
      </c>
      <c r="U2778" s="5">
        <f t="shared" si="866"/>
        <v>0</v>
      </c>
      <c r="V2778" s="5">
        <f t="shared" si="867"/>
        <v>0</v>
      </c>
      <c r="W2778" s="5">
        <f t="shared" si="868"/>
        <v>0</v>
      </c>
      <c r="X2778" s="5">
        <f t="shared" si="869"/>
        <v>1.1851851851851851</v>
      </c>
      <c r="Y2778" s="5">
        <f t="shared" si="870"/>
        <v>0</v>
      </c>
      <c r="Z2778" s="5">
        <f t="shared" si="871"/>
        <v>0</v>
      </c>
      <c r="AA2778" s="5">
        <f t="shared" si="872"/>
        <v>0</v>
      </c>
      <c r="AB2778" s="5">
        <f t="shared" si="862"/>
        <v>1.1851851851851851</v>
      </c>
    </row>
    <row r="2779" spans="4:28" x14ac:dyDescent="0.25">
      <c r="D2779" t="s">
        <v>89</v>
      </c>
      <c r="E2779" s="14"/>
      <c r="F2779" s="14"/>
      <c r="G2779">
        <f>IFERROR(HLOOKUP(G$2,[84]table_male_hkom3_inj.ill_X3!$A$1:$K$36,21,FALSE),0)</f>
        <v>0</v>
      </c>
      <c r="H2779">
        <f>IFERROR(HLOOKUP(H$2,[84]table_male_hkom3_inj.ill_X3!$A$1:$K$36,21,FALSE),0)</f>
        <v>0</v>
      </c>
      <c r="I2779">
        <f>IFERROR(HLOOKUP(I$2,[84]table_male_hkom3_inj.ill_X3!$A$1:$K$36,21,FALSE),0)</f>
        <v>1</v>
      </c>
      <c r="J2779">
        <f>IFERROR(HLOOKUP(J$2,[84]table_male_hkom3_inj.ill_X3!$A$1:$K$36,21,FALSE),0)</f>
        <v>0</v>
      </c>
      <c r="K2779">
        <f>IFERROR(HLOOKUP(K$2,[84]table_male_hkom3_inj.ill_X3!$A$1:$K$36,21,FALSE),0)</f>
        <v>0</v>
      </c>
      <c r="L2779">
        <f>IFERROR(HLOOKUP(L$2,[84]table_male_hkom3_inj.ill_X3!$A$1:$K$36,21,FALSE),0)</f>
        <v>0</v>
      </c>
      <c r="M2779">
        <f t="shared" si="864"/>
        <v>1</v>
      </c>
      <c r="S2779" t="s">
        <v>89</v>
      </c>
      <c r="T2779" s="5">
        <f t="shared" si="865"/>
        <v>0</v>
      </c>
      <c r="U2779" s="5">
        <f t="shared" si="866"/>
        <v>0</v>
      </c>
      <c r="V2779" s="5">
        <f t="shared" si="867"/>
        <v>0</v>
      </c>
      <c r="W2779" s="5">
        <f t="shared" si="868"/>
        <v>0</v>
      </c>
      <c r="X2779" s="5">
        <f t="shared" si="869"/>
        <v>1.1851851851851851</v>
      </c>
      <c r="Y2779" s="5">
        <f t="shared" si="870"/>
        <v>0</v>
      </c>
      <c r="Z2779" s="5">
        <f t="shared" si="871"/>
        <v>0</v>
      </c>
      <c r="AA2779" s="5">
        <f t="shared" si="872"/>
        <v>0</v>
      </c>
      <c r="AB2779" s="5">
        <f t="shared" si="862"/>
        <v>1.1851851851851851</v>
      </c>
    </row>
    <row r="2780" spans="4:28" x14ac:dyDescent="0.25">
      <c r="D2780" t="s">
        <v>90</v>
      </c>
      <c r="E2780" s="14"/>
      <c r="F2780" s="14"/>
      <c r="G2780">
        <f>IFERROR(HLOOKUP(G$2,[84]table_male_hkom3_inj.ill_X3!$A$1:$K$36,22,FALSE),0)</f>
        <v>0</v>
      </c>
      <c r="H2780">
        <f>IFERROR(HLOOKUP(H$2,[84]table_male_hkom3_inj.ill_X3!$A$1:$K$36,22,FALSE),0)</f>
        <v>0</v>
      </c>
      <c r="I2780">
        <f>IFERROR(HLOOKUP(I$2,[84]table_male_hkom3_inj.ill_X3!$A$1:$K$36,22,FALSE),0)</f>
        <v>0</v>
      </c>
      <c r="J2780">
        <f>IFERROR(HLOOKUP(J$2,[84]table_male_hkom3_inj.ill_X3!$A$1:$K$36,22,FALSE),0)</f>
        <v>0</v>
      </c>
      <c r="K2780">
        <f>IFERROR(HLOOKUP(K$2,[84]table_male_hkom3_inj.ill_X3!$A$1:$K$36,22,FALSE),0)</f>
        <v>0</v>
      </c>
      <c r="L2780">
        <f>IFERROR(HLOOKUP(L$2,[84]table_male_hkom3_inj.ill_X3!$A$1:$K$36,22,FALSE),0)</f>
        <v>0</v>
      </c>
      <c r="M2780">
        <f t="shared" si="864"/>
        <v>0</v>
      </c>
      <c r="S2780" t="s">
        <v>90</v>
      </c>
      <c r="T2780" s="5">
        <f t="shared" si="865"/>
        <v>0</v>
      </c>
      <c r="U2780" s="5">
        <f t="shared" si="866"/>
        <v>0</v>
      </c>
      <c r="V2780" s="5">
        <f t="shared" si="867"/>
        <v>0</v>
      </c>
      <c r="W2780" s="5">
        <f t="shared" si="868"/>
        <v>0</v>
      </c>
      <c r="X2780" s="5">
        <f t="shared" si="869"/>
        <v>0</v>
      </c>
      <c r="Y2780" s="5">
        <f t="shared" si="870"/>
        <v>0</v>
      </c>
      <c r="Z2780" s="5">
        <f t="shared" si="871"/>
        <v>0</v>
      </c>
      <c r="AA2780" s="5">
        <f t="shared" si="872"/>
        <v>0</v>
      </c>
      <c r="AB2780" s="5">
        <f t="shared" si="862"/>
        <v>0</v>
      </c>
    </row>
    <row r="2781" spans="4:28" x14ac:dyDescent="0.25">
      <c r="D2781" t="s">
        <v>91</v>
      </c>
      <c r="E2781" s="14"/>
      <c r="F2781" s="14"/>
      <c r="G2781">
        <f>IFERROR(HLOOKUP(G$2,[84]table_male_hkom3_inj.ill_X3!$A$1:$K$36,23,FALSE),0)</f>
        <v>0</v>
      </c>
      <c r="H2781">
        <f>IFERROR(HLOOKUP(H$2,[84]table_male_hkom3_inj.ill_X3!$A$1:$K$36,23,FALSE),0)</f>
        <v>0</v>
      </c>
      <c r="I2781">
        <f>IFERROR(HLOOKUP(I$2,[84]table_male_hkom3_inj.ill_X3!$A$1:$K$36,23,FALSE),0)</f>
        <v>0</v>
      </c>
      <c r="J2781">
        <f>IFERROR(HLOOKUP(J$2,[84]table_male_hkom3_inj.ill_X3!$A$1:$K$36,23,FALSE),0)</f>
        <v>0</v>
      </c>
      <c r="K2781">
        <f>IFERROR(HLOOKUP(K$2,[84]table_male_hkom3_inj.ill_X3!$A$1:$K$36,23,FALSE),0)</f>
        <v>0</v>
      </c>
      <c r="L2781">
        <f>IFERROR(HLOOKUP(L$2,[84]table_male_hkom3_inj.ill_X3!$A$1:$K$36,23,FALSE),0)</f>
        <v>0</v>
      </c>
      <c r="M2781">
        <f t="shared" si="864"/>
        <v>0</v>
      </c>
      <c r="S2781" t="s">
        <v>91</v>
      </c>
      <c r="T2781" s="5">
        <f t="shared" si="865"/>
        <v>0</v>
      </c>
      <c r="U2781" s="5">
        <f t="shared" si="866"/>
        <v>0</v>
      </c>
      <c r="V2781" s="5">
        <f t="shared" si="867"/>
        <v>0</v>
      </c>
      <c r="W2781" s="5">
        <f t="shared" si="868"/>
        <v>0</v>
      </c>
      <c r="X2781" s="5">
        <f t="shared" si="869"/>
        <v>0</v>
      </c>
      <c r="Y2781" s="5">
        <f t="shared" si="870"/>
        <v>0</v>
      </c>
      <c r="Z2781" s="5">
        <f t="shared" si="871"/>
        <v>0</v>
      </c>
      <c r="AA2781" s="5">
        <f t="shared" si="872"/>
        <v>0</v>
      </c>
      <c r="AB2781" s="5">
        <f t="shared" si="862"/>
        <v>0</v>
      </c>
    </row>
    <row r="2782" spans="4:28" x14ac:dyDescent="0.25">
      <c r="D2782" t="s">
        <v>92</v>
      </c>
      <c r="E2782" s="14"/>
      <c r="F2782" s="14"/>
      <c r="G2782">
        <f>IFERROR(HLOOKUP(G$2,[84]table_male_hkom3_inj.ill_X3!$A$1:$K$36,24,FALSE),0)</f>
        <v>0</v>
      </c>
      <c r="H2782">
        <f>IFERROR(HLOOKUP(H$2,[84]table_male_hkom3_inj.ill_X3!$A$1:$K$36,24,FALSE),0)</f>
        <v>0</v>
      </c>
      <c r="I2782">
        <f>IFERROR(HLOOKUP(I$2,[84]table_male_hkom3_inj.ill_X3!$A$1:$K$36,24,FALSE),0)</f>
        <v>0</v>
      </c>
      <c r="J2782">
        <f>IFERROR(HLOOKUP(J$2,[84]table_male_hkom3_inj.ill_X3!$A$1:$K$36,24,FALSE),0)</f>
        <v>0</v>
      </c>
      <c r="K2782">
        <f>IFERROR(HLOOKUP(K$2,[84]table_male_hkom3_inj.ill_X3!$A$1:$K$36,24,FALSE),0)</f>
        <v>0</v>
      </c>
      <c r="L2782">
        <f>IFERROR(HLOOKUP(L$2,[84]table_male_hkom3_inj.ill_X3!$A$1:$K$36,24,FALSE),0)</f>
        <v>0</v>
      </c>
      <c r="M2782">
        <f t="shared" si="864"/>
        <v>0</v>
      </c>
      <c r="S2782" t="s">
        <v>92</v>
      </c>
      <c r="T2782" s="5">
        <f t="shared" si="865"/>
        <v>0</v>
      </c>
      <c r="U2782" s="5">
        <f t="shared" si="866"/>
        <v>0</v>
      </c>
      <c r="V2782" s="5">
        <f t="shared" si="867"/>
        <v>0</v>
      </c>
      <c r="W2782" s="5">
        <f t="shared" si="868"/>
        <v>0</v>
      </c>
      <c r="X2782" s="5">
        <f t="shared" si="869"/>
        <v>0</v>
      </c>
      <c r="Y2782" s="5">
        <f t="shared" si="870"/>
        <v>0</v>
      </c>
      <c r="Z2782" s="5">
        <f t="shared" si="871"/>
        <v>0</v>
      </c>
      <c r="AA2782" s="5">
        <f t="shared" si="872"/>
        <v>0</v>
      </c>
      <c r="AB2782" s="5">
        <f t="shared" si="862"/>
        <v>0</v>
      </c>
    </row>
    <row r="2783" spans="4:28" x14ac:dyDescent="0.25">
      <c r="D2783" t="s">
        <v>93</v>
      </c>
      <c r="E2783" s="14"/>
      <c r="F2783" s="14"/>
      <c r="G2783">
        <f>IFERROR(HLOOKUP(G$2,[84]table_male_hkom3_inj.ill_X3!$A$1:$K$36,25,FALSE),0)</f>
        <v>0</v>
      </c>
      <c r="H2783">
        <f>IFERROR(HLOOKUP(H$2,[84]table_male_hkom3_inj.ill_X3!$A$1:$K$36,25,FALSE),0)</f>
        <v>0</v>
      </c>
      <c r="I2783">
        <f>IFERROR(HLOOKUP(I$2,[84]table_male_hkom3_inj.ill_X3!$A$1:$K$36,25,FALSE),0)</f>
        <v>0</v>
      </c>
      <c r="J2783">
        <f>IFERROR(HLOOKUP(J$2,[84]table_male_hkom3_inj.ill_X3!$A$1:$K$36,25,FALSE),0)</f>
        <v>0</v>
      </c>
      <c r="K2783">
        <f>IFERROR(HLOOKUP(K$2,[84]table_male_hkom3_inj.ill_X3!$A$1:$K$36,25,FALSE),0)</f>
        <v>0</v>
      </c>
      <c r="L2783">
        <f>IFERROR(HLOOKUP(L$2,[84]table_male_hkom3_inj.ill_X3!$A$1:$K$36,25,FALSE),0)</f>
        <v>0</v>
      </c>
      <c r="M2783">
        <f t="shared" si="864"/>
        <v>0</v>
      </c>
      <c r="S2783" t="s">
        <v>93</v>
      </c>
      <c r="T2783" s="5">
        <f t="shared" si="865"/>
        <v>0</v>
      </c>
      <c r="U2783" s="5">
        <f t="shared" si="866"/>
        <v>0</v>
      </c>
      <c r="V2783" s="5">
        <f t="shared" si="867"/>
        <v>0</v>
      </c>
      <c r="W2783" s="5">
        <f t="shared" si="868"/>
        <v>0</v>
      </c>
      <c r="X2783" s="5">
        <f t="shared" si="869"/>
        <v>0</v>
      </c>
      <c r="Y2783" s="5">
        <f t="shared" si="870"/>
        <v>0</v>
      </c>
      <c r="Z2783" s="5">
        <f t="shared" si="871"/>
        <v>0</v>
      </c>
      <c r="AA2783" s="5">
        <f t="shared" si="872"/>
        <v>0</v>
      </c>
      <c r="AB2783" s="5">
        <f t="shared" si="862"/>
        <v>0</v>
      </c>
    </row>
    <row r="2784" spans="4:28" x14ac:dyDescent="0.25">
      <c r="D2784" t="s">
        <v>94</v>
      </c>
      <c r="E2784" s="14"/>
      <c r="F2784" s="14"/>
      <c r="G2784">
        <f>IFERROR(HLOOKUP(G$2,[84]table_male_hkom3_inj.ill_X3!$A$1:$K$36,26,FALSE),0)</f>
        <v>0</v>
      </c>
      <c r="H2784">
        <f>IFERROR(HLOOKUP(H$2,[84]table_male_hkom3_inj.ill_X3!$A$1:$K$36,26,FALSE),0)</f>
        <v>0</v>
      </c>
      <c r="I2784">
        <f>IFERROR(HLOOKUP(I$2,[84]table_male_hkom3_inj.ill_X3!$A$1:$K$36,26,FALSE),0)</f>
        <v>0</v>
      </c>
      <c r="J2784">
        <f>IFERROR(HLOOKUP(J$2,[84]table_male_hkom3_inj.ill_X3!$A$1:$K$36,26,FALSE),0)</f>
        <v>0</v>
      </c>
      <c r="K2784">
        <f>IFERROR(HLOOKUP(K$2,[84]table_male_hkom3_inj.ill_X3!$A$1:$K$36,26,FALSE),0)</f>
        <v>0</v>
      </c>
      <c r="L2784">
        <f>IFERROR(HLOOKUP(L$2,[84]table_male_hkom3_inj.ill_X3!$A$1:$K$36,26,FALSE),0)</f>
        <v>0</v>
      </c>
      <c r="M2784">
        <f t="shared" si="864"/>
        <v>0</v>
      </c>
      <c r="S2784" t="s">
        <v>94</v>
      </c>
      <c r="T2784" s="5">
        <f t="shared" si="865"/>
        <v>0</v>
      </c>
      <c r="U2784" s="5">
        <f t="shared" si="866"/>
        <v>0</v>
      </c>
      <c r="V2784" s="5">
        <f t="shared" si="867"/>
        <v>0</v>
      </c>
      <c r="W2784" s="5">
        <f t="shared" si="868"/>
        <v>0</v>
      </c>
      <c r="X2784" s="5">
        <f t="shared" si="869"/>
        <v>0</v>
      </c>
      <c r="Y2784" s="5">
        <f t="shared" si="870"/>
        <v>0</v>
      </c>
      <c r="Z2784" s="5">
        <f t="shared" si="871"/>
        <v>0</v>
      </c>
      <c r="AA2784" s="5">
        <f t="shared" si="872"/>
        <v>0</v>
      </c>
      <c r="AB2784" s="5">
        <f t="shared" si="862"/>
        <v>0</v>
      </c>
    </row>
    <row r="2785" spans="1:29" x14ac:dyDescent="0.25">
      <c r="D2785" t="s">
        <v>95</v>
      </c>
      <c r="E2785" s="14"/>
      <c r="F2785" s="14"/>
      <c r="G2785">
        <f>IFERROR(HLOOKUP(G$2,[84]table_male_hkom3_inj.ill_X3!$A$1:$K$36,27,FALSE),0)</f>
        <v>0</v>
      </c>
      <c r="H2785">
        <f>IFERROR(HLOOKUP(H$2,[84]table_male_hkom3_inj.ill_X3!$A$1:$K$36,27,FALSE),0)</f>
        <v>0</v>
      </c>
      <c r="I2785">
        <f>IFERROR(HLOOKUP(I$2,[84]table_male_hkom3_inj.ill_X3!$A$1:$K$36,27,FALSE),0)</f>
        <v>0</v>
      </c>
      <c r="J2785">
        <f>IFERROR(HLOOKUP(J$2,[84]table_male_hkom3_inj.ill_X3!$A$1:$K$36,27,FALSE),0)</f>
        <v>0</v>
      </c>
      <c r="K2785">
        <f>IFERROR(HLOOKUP(K$2,[84]table_male_hkom3_inj.ill_X3!$A$1:$K$36,27,FALSE),0)</f>
        <v>0</v>
      </c>
      <c r="L2785">
        <f>IFERROR(HLOOKUP(L$2,[84]table_male_hkom3_inj.ill_X3!$A$1:$K$36,27,FALSE),0)</f>
        <v>0</v>
      </c>
      <c r="M2785">
        <f t="shared" si="864"/>
        <v>0</v>
      </c>
      <c r="S2785" t="s">
        <v>95</v>
      </c>
      <c r="T2785" s="5">
        <f t="shared" si="865"/>
        <v>0</v>
      </c>
      <c r="U2785" s="5">
        <f t="shared" si="866"/>
        <v>0</v>
      </c>
      <c r="V2785" s="5">
        <f t="shared" si="867"/>
        <v>0</v>
      </c>
      <c r="W2785" s="5">
        <f t="shared" si="868"/>
        <v>0</v>
      </c>
      <c r="X2785" s="5">
        <f t="shared" si="869"/>
        <v>0</v>
      </c>
      <c r="Y2785" s="5">
        <f t="shared" si="870"/>
        <v>0</v>
      </c>
      <c r="Z2785" s="5">
        <f t="shared" si="871"/>
        <v>0</v>
      </c>
      <c r="AA2785" s="5">
        <f t="shared" si="872"/>
        <v>0</v>
      </c>
      <c r="AB2785" s="5">
        <f t="shared" si="862"/>
        <v>0</v>
      </c>
    </row>
    <row r="2786" spans="1:29" x14ac:dyDescent="0.25">
      <c r="D2786" t="s">
        <v>96</v>
      </c>
      <c r="E2786" s="14"/>
      <c r="F2786" s="14"/>
      <c r="G2786">
        <f>IFERROR(HLOOKUP(G$2,[84]table_male_hkom3_inj.ill_X3!$A$1:$K$36,28,FALSE),0)</f>
        <v>0</v>
      </c>
      <c r="H2786">
        <f>IFERROR(HLOOKUP(H$2,[84]table_male_hkom3_inj.ill_X3!$A$1:$K$36,28,FALSE),0)</f>
        <v>0</v>
      </c>
      <c r="I2786">
        <f>IFERROR(HLOOKUP(I$2,[84]table_male_hkom3_inj.ill_X3!$A$1:$K$36,28,FALSE),0)</f>
        <v>0</v>
      </c>
      <c r="J2786">
        <f>IFERROR(HLOOKUP(J$2,[84]table_male_hkom3_inj.ill_X3!$A$1:$K$36,28,FALSE),0)</f>
        <v>0</v>
      </c>
      <c r="K2786">
        <f>IFERROR(HLOOKUP(K$2,[84]table_male_hkom3_inj.ill_X3!$A$1:$K$36,28,FALSE),0)</f>
        <v>0</v>
      </c>
      <c r="L2786">
        <f>IFERROR(HLOOKUP(L$2,[84]table_male_hkom3_inj.ill_X3!$A$1:$K$36,28,FALSE),0)</f>
        <v>0</v>
      </c>
      <c r="M2786">
        <f t="shared" si="864"/>
        <v>0</v>
      </c>
      <c r="S2786" t="s">
        <v>96</v>
      </c>
      <c r="T2786" s="5">
        <f t="shared" si="865"/>
        <v>0</v>
      </c>
      <c r="U2786" s="5">
        <f t="shared" si="866"/>
        <v>0</v>
      </c>
      <c r="V2786" s="5">
        <f t="shared" si="867"/>
        <v>0</v>
      </c>
      <c r="W2786" s="5">
        <f t="shared" si="868"/>
        <v>0</v>
      </c>
      <c r="X2786" s="5">
        <f t="shared" si="869"/>
        <v>0</v>
      </c>
      <c r="Y2786" s="5">
        <f t="shared" si="870"/>
        <v>0</v>
      </c>
      <c r="Z2786" s="5">
        <f t="shared" si="871"/>
        <v>0</v>
      </c>
      <c r="AA2786" s="5">
        <f t="shared" si="872"/>
        <v>0</v>
      </c>
      <c r="AB2786" s="5">
        <f t="shared" si="862"/>
        <v>0</v>
      </c>
    </row>
    <row r="2787" spans="1:29" x14ac:dyDescent="0.25">
      <c r="D2787" t="s">
        <v>97</v>
      </c>
      <c r="E2787" s="14"/>
      <c r="F2787" s="14"/>
      <c r="G2787">
        <f>IFERROR(HLOOKUP(G$2,[84]table_male_hkom3_inj.ill_X3!$A$1:$K$36,29,FALSE),0)</f>
        <v>0</v>
      </c>
      <c r="H2787">
        <f>IFERROR(HLOOKUP(H$2,[84]table_male_hkom3_inj.ill_X3!$A$1:$K$36,29,FALSE),0)</f>
        <v>0</v>
      </c>
      <c r="I2787">
        <f>IFERROR(HLOOKUP(I$2,[84]table_male_hkom3_inj.ill_X3!$A$1:$K$36,29,FALSE),0)</f>
        <v>0</v>
      </c>
      <c r="J2787">
        <f>IFERROR(HLOOKUP(J$2,[84]table_male_hkom3_inj.ill_X3!$A$1:$K$36,29,FALSE),0)</f>
        <v>0</v>
      </c>
      <c r="K2787">
        <f>IFERROR(HLOOKUP(K$2,[84]table_male_hkom3_inj.ill_X3!$A$1:$K$36,29,FALSE),0)</f>
        <v>0</v>
      </c>
      <c r="L2787">
        <f>IFERROR(HLOOKUP(L$2,[84]table_male_hkom3_inj.ill_X3!$A$1:$K$36,29,FALSE),0)</f>
        <v>0</v>
      </c>
      <c r="M2787">
        <f t="shared" si="864"/>
        <v>0</v>
      </c>
      <c r="S2787" t="s">
        <v>97</v>
      </c>
      <c r="T2787" s="5">
        <f t="shared" si="865"/>
        <v>0</v>
      </c>
      <c r="U2787" s="5">
        <f t="shared" si="866"/>
        <v>0</v>
      </c>
      <c r="V2787" s="5">
        <f t="shared" si="867"/>
        <v>0</v>
      </c>
      <c r="W2787" s="5">
        <f t="shared" si="868"/>
        <v>0</v>
      </c>
      <c r="X2787" s="5">
        <f t="shared" si="869"/>
        <v>0</v>
      </c>
      <c r="Y2787" s="5">
        <f t="shared" si="870"/>
        <v>0</v>
      </c>
      <c r="Z2787" s="5">
        <f t="shared" si="871"/>
        <v>0</v>
      </c>
      <c r="AA2787" s="5">
        <f t="shared" si="872"/>
        <v>0</v>
      </c>
      <c r="AB2787" s="5">
        <f t="shared" si="862"/>
        <v>0</v>
      </c>
    </row>
    <row r="2788" spans="1:29" x14ac:dyDescent="0.25">
      <c r="D2788" t="s">
        <v>98</v>
      </c>
      <c r="E2788" s="14"/>
      <c r="F2788" s="14"/>
      <c r="G2788">
        <f>IFERROR(HLOOKUP(G$2,[84]table_male_hkom3_inj.ill_X3!$A$1:$K$36,30,FALSE),0)</f>
        <v>0</v>
      </c>
      <c r="H2788">
        <f>IFERROR(HLOOKUP(H$2,[84]table_male_hkom3_inj.ill_X3!$A$1:$K$36,30,FALSE),0)</f>
        <v>0</v>
      </c>
      <c r="I2788">
        <f>IFERROR(HLOOKUP(I$2,[84]table_male_hkom3_inj.ill_X3!$A$1:$K$36,30,FALSE),0)</f>
        <v>0</v>
      </c>
      <c r="J2788">
        <f>IFERROR(HLOOKUP(J$2,[84]table_male_hkom3_inj.ill_X3!$A$1:$K$36,30,FALSE),0)</f>
        <v>0</v>
      </c>
      <c r="K2788">
        <f>IFERROR(HLOOKUP(K$2,[84]table_male_hkom3_inj.ill_X3!$A$1:$K$36,30,FALSE),0)</f>
        <v>0</v>
      </c>
      <c r="L2788">
        <f>IFERROR(HLOOKUP(L$2,[84]table_male_hkom3_inj.ill_X3!$A$1:$K$36,30,FALSE),0)</f>
        <v>0</v>
      </c>
      <c r="M2788">
        <f t="shared" si="864"/>
        <v>0</v>
      </c>
      <c r="S2788" t="s">
        <v>98</v>
      </c>
      <c r="T2788" s="5">
        <f t="shared" si="865"/>
        <v>0</v>
      </c>
      <c r="U2788" s="5">
        <f t="shared" si="866"/>
        <v>0</v>
      </c>
      <c r="V2788" s="5">
        <f t="shared" si="867"/>
        <v>0</v>
      </c>
      <c r="W2788" s="5">
        <f t="shared" si="868"/>
        <v>0</v>
      </c>
      <c r="X2788" s="5">
        <f t="shared" si="869"/>
        <v>0</v>
      </c>
      <c r="Y2788" s="5">
        <f t="shared" si="870"/>
        <v>0</v>
      </c>
      <c r="Z2788" s="5">
        <f t="shared" si="871"/>
        <v>0</v>
      </c>
      <c r="AA2788" s="5">
        <f t="shared" si="872"/>
        <v>0</v>
      </c>
      <c r="AB2788" s="5">
        <f t="shared" si="862"/>
        <v>0</v>
      </c>
    </row>
    <row r="2789" spans="1:29" x14ac:dyDescent="0.25">
      <c r="D2789" t="s">
        <v>119</v>
      </c>
      <c r="E2789" s="14"/>
      <c r="F2789" s="14"/>
      <c r="G2789">
        <f>IFERROR(HLOOKUP(G$2,[84]table_male_hkom3_inj.ill_X3!$A$1:$K$36,31,FALSE),0)</f>
        <v>0</v>
      </c>
      <c r="H2789">
        <f>IFERROR(HLOOKUP(H$2,[84]table_male_hkom3_inj.ill_X3!$A$1:$K$36,31,FALSE),0)</f>
        <v>0</v>
      </c>
      <c r="I2789">
        <f>IFERROR(HLOOKUP(I$2,[84]table_male_hkom3_inj.ill_X3!$A$1:$K$36,31,FALSE),0)</f>
        <v>0</v>
      </c>
      <c r="J2789">
        <f>IFERROR(HLOOKUP(J$2,[84]table_male_hkom3_inj.ill_X3!$A$1:$K$36,31,FALSE),0)</f>
        <v>0</v>
      </c>
      <c r="K2789">
        <f>IFERROR(HLOOKUP(K$2,[84]table_male_hkom3_inj.ill_X3!$A$1:$K$36,31,FALSE),0)</f>
        <v>0</v>
      </c>
      <c r="L2789">
        <f>IFERROR(HLOOKUP(L$2,[84]table_male_hkom3_inj.ill_X3!$A$1:$K$36,31,FALSE),0)</f>
        <v>0</v>
      </c>
      <c r="M2789">
        <f t="shared" si="864"/>
        <v>0</v>
      </c>
      <c r="S2789" t="s">
        <v>119</v>
      </c>
      <c r="T2789" s="5">
        <f t="shared" si="865"/>
        <v>0</v>
      </c>
      <c r="U2789" s="5">
        <f t="shared" si="866"/>
        <v>0</v>
      </c>
      <c r="V2789" s="5">
        <f t="shared" si="867"/>
        <v>0</v>
      </c>
      <c r="W2789" s="5">
        <f t="shared" si="868"/>
        <v>0</v>
      </c>
      <c r="X2789" s="5">
        <f t="shared" si="869"/>
        <v>0</v>
      </c>
      <c r="Y2789" s="5">
        <f t="shared" si="870"/>
        <v>0</v>
      </c>
      <c r="Z2789" s="5">
        <f t="shared" si="871"/>
        <v>0</v>
      </c>
      <c r="AA2789" s="5">
        <f t="shared" si="872"/>
        <v>0</v>
      </c>
      <c r="AB2789" s="5">
        <f t="shared" si="862"/>
        <v>0</v>
      </c>
    </row>
    <row r="2790" spans="1:29" x14ac:dyDescent="0.25">
      <c r="D2790" t="s">
        <v>99</v>
      </c>
      <c r="E2790" s="14"/>
      <c r="F2790" s="14"/>
      <c r="G2790">
        <f>IFERROR(HLOOKUP(G$2,[84]table_male_hkom3_inj.ill_X3!$A$1:$K$36,32,FALSE),0)</f>
        <v>0</v>
      </c>
      <c r="H2790">
        <f>IFERROR(HLOOKUP(H$2,[84]table_male_hkom3_inj.ill_X3!$A$1:$K$36,32,FALSE),0)</f>
        <v>0</v>
      </c>
      <c r="I2790">
        <f>IFERROR(HLOOKUP(I$2,[84]table_male_hkom3_inj.ill_X3!$A$1:$K$36,32,FALSE),0)</f>
        <v>0</v>
      </c>
      <c r="J2790">
        <f>IFERROR(HLOOKUP(J$2,[84]table_male_hkom3_inj.ill_X3!$A$1:$K$36,32,FALSE),0)</f>
        <v>0</v>
      </c>
      <c r="K2790">
        <f>IFERROR(HLOOKUP(K$2,[84]table_male_hkom3_inj.ill_X3!$A$1:$K$36,32,FALSE),0)</f>
        <v>0</v>
      </c>
      <c r="L2790">
        <f>IFERROR(HLOOKUP(L$2,[84]table_male_hkom3_inj.ill_X3!$A$1:$K$36,32,FALSE),0)</f>
        <v>0</v>
      </c>
      <c r="M2790">
        <f t="shared" si="864"/>
        <v>0</v>
      </c>
      <c r="S2790" t="s">
        <v>99</v>
      </c>
      <c r="T2790" s="5">
        <f t="shared" si="865"/>
        <v>0</v>
      </c>
      <c r="U2790" s="5">
        <f t="shared" si="866"/>
        <v>0</v>
      </c>
      <c r="V2790" s="5">
        <f t="shared" si="867"/>
        <v>0</v>
      </c>
      <c r="W2790" s="5">
        <f t="shared" si="868"/>
        <v>0</v>
      </c>
      <c r="X2790" s="5">
        <f t="shared" si="869"/>
        <v>0</v>
      </c>
      <c r="Y2790" s="5">
        <f t="shared" si="870"/>
        <v>0</v>
      </c>
      <c r="Z2790" s="5">
        <f t="shared" si="871"/>
        <v>0</v>
      </c>
      <c r="AA2790" s="5">
        <f t="shared" si="872"/>
        <v>0</v>
      </c>
      <c r="AB2790" s="5">
        <f t="shared" si="862"/>
        <v>0</v>
      </c>
    </row>
    <row r="2791" spans="1:29" x14ac:dyDescent="0.25">
      <c r="D2791" t="s">
        <v>100</v>
      </c>
      <c r="E2791" s="14"/>
      <c r="F2791" s="14"/>
      <c r="G2791">
        <f>IFERROR(HLOOKUP(G$2,[84]table_male_hkom3_inj.ill_X3!$A$1:$K$36,33,FALSE),0)</f>
        <v>21</v>
      </c>
      <c r="H2791">
        <f>IFERROR(HLOOKUP(H$2,[84]table_male_hkom3_inj.ill_X3!$A$1:$K$36,33,FALSE),0)</f>
        <v>28</v>
      </c>
      <c r="I2791">
        <f>IFERROR(HLOOKUP(I$2,[84]table_male_hkom3_inj.ill_X3!$A$1:$K$36,33,FALSE),0)</f>
        <v>24</v>
      </c>
      <c r="J2791">
        <f>IFERROR(HLOOKUP(J$2,[84]table_male_hkom3_inj.ill_X3!$A$1:$K$36,33,FALSE),0)</f>
        <v>5</v>
      </c>
      <c r="K2791">
        <f>IFERROR(HLOOKUP(K$2,[84]table_male_hkom3_inj.ill_X3!$A$1:$K$36,33,FALSE),0)</f>
        <v>0</v>
      </c>
      <c r="L2791">
        <f>IFERROR(HLOOKUP(L$2,[84]table_male_hkom3_inj.ill_X3!$A$1:$K$36,33,FALSE),0)</f>
        <v>0</v>
      </c>
      <c r="M2791">
        <f t="shared" si="864"/>
        <v>78</v>
      </c>
      <c r="S2791" t="s">
        <v>100</v>
      </c>
      <c r="T2791" s="5">
        <f t="shared" si="865"/>
        <v>0</v>
      </c>
      <c r="U2791" s="5">
        <f t="shared" si="866"/>
        <v>0</v>
      </c>
      <c r="V2791" s="5">
        <f t="shared" si="867"/>
        <v>35.608695652173914</v>
      </c>
      <c r="W2791" s="5">
        <f t="shared" si="868"/>
        <v>51.172413793103445</v>
      </c>
      <c r="X2791" s="5">
        <f t="shared" si="869"/>
        <v>28.444444444444443</v>
      </c>
      <c r="Y2791" s="5">
        <f t="shared" si="870"/>
        <v>6</v>
      </c>
      <c r="Z2791" s="5">
        <f t="shared" si="871"/>
        <v>0</v>
      </c>
      <c r="AA2791" s="5">
        <f t="shared" si="872"/>
        <v>0</v>
      </c>
      <c r="AB2791" s="5">
        <f t="shared" si="862"/>
        <v>121.22555388972181</v>
      </c>
    </row>
    <row r="2792" spans="1:29" x14ac:dyDescent="0.25">
      <c r="D2792" t="s">
        <v>101</v>
      </c>
      <c r="E2792" s="14"/>
      <c r="F2792" s="14"/>
      <c r="G2792">
        <f>IFERROR(HLOOKUP(G$2,[84]table_male_hkom3_inj.ill_X3!$A$1:$K$36,34,FALSE),0)</f>
        <v>1</v>
      </c>
      <c r="H2792">
        <f>IFERROR(HLOOKUP(H$2,[84]table_male_hkom3_inj.ill_X3!$A$1:$K$36,34,FALSE),0)</f>
        <v>0</v>
      </c>
      <c r="I2792">
        <f>IFERROR(HLOOKUP(I$2,[84]table_male_hkom3_inj.ill_X3!$A$1:$K$36,34,FALSE),0)</f>
        <v>0</v>
      </c>
      <c r="J2792">
        <f>IFERROR(HLOOKUP(J$2,[84]table_male_hkom3_inj.ill_X3!$A$1:$K$36,34,FALSE),0)</f>
        <v>0</v>
      </c>
      <c r="K2792">
        <f>IFERROR(HLOOKUP(K$2,[84]table_male_hkom3_inj.ill_X3!$A$1:$K$36,34,FALSE),0)</f>
        <v>0</v>
      </c>
      <c r="L2792">
        <f>IFERROR(HLOOKUP(L$2,[84]table_male_hkom3_inj.ill_X3!$A$1:$K$36,34,FALSE),0)</f>
        <v>0</v>
      </c>
      <c r="M2792">
        <f t="shared" si="864"/>
        <v>1</v>
      </c>
      <c r="S2792" t="s">
        <v>101</v>
      </c>
      <c r="T2792" s="5">
        <f t="shared" si="865"/>
        <v>0</v>
      </c>
      <c r="U2792" s="5">
        <f t="shared" si="866"/>
        <v>0</v>
      </c>
      <c r="V2792" s="5">
        <f t="shared" si="867"/>
        <v>1.6956521739130435</v>
      </c>
      <c r="W2792" s="5">
        <f t="shared" si="868"/>
        <v>0</v>
      </c>
      <c r="X2792" s="5">
        <f t="shared" si="869"/>
        <v>0</v>
      </c>
      <c r="Y2792" s="5">
        <f t="shared" si="870"/>
        <v>0</v>
      </c>
      <c r="Z2792" s="5">
        <f t="shared" si="871"/>
        <v>0</v>
      </c>
      <c r="AA2792" s="5">
        <f t="shared" si="872"/>
        <v>0</v>
      </c>
      <c r="AB2792" s="5">
        <f t="shared" si="862"/>
        <v>1.6956521739130435</v>
      </c>
    </row>
    <row r="2793" spans="1:29" x14ac:dyDescent="0.25">
      <c r="D2793" t="s">
        <v>102</v>
      </c>
      <c r="E2793" s="14"/>
      <c r="F2793" s="14"/>
      <c r="G2793">
        <f>IFERROR(HLOOKUP(G$2,[84]table_male_hkom3_inj.ill_X3!$A$1:$K$36,35,FALSE),0)</f>
        <v>16</v>
      </c>
      <c r="H2793">
        <f>IFERROR(HLOOKUP(H$2,[84]table_male_hkom3_inj.ill_X3!$A$1:$K$36,35,FALSE),0)</f>
        <v>24</v>
      </c>
      <c r="I2793">
        <f>IFERROR(HLOOKUP(I$2,[84]table_male_hkom3_inj.ill_X3!$A$1:$K$36,35,FALSE),0)</f>
        <v>5</v>
      </c>
      <c r="J2793">
        <f>IFERROR(HLOOKUP(J$2,[84]table_male_hkom3_inj.ill_X3!$A$1:$K$36,35,FALSE),0)</f>
        <v>1</v>
      </c>
      <c r="K2793">
        <f>IFERROR(HLOOKUP(K$2,[84]table_male_hkom3_inj.ill_X3!$A$1:$K$36,35,FALSE),0)</f>
        <v>0</v>
      </c>
      <c r="L2793">
        <f>IFERROR(HLOOKUP(L$2,[84]table_male_hkom3_inj.ill_X3!$A$1:$K$36,35,FALSE),0)</f>
        <v>0</v>
      </c>
      <c r="M2793">
        <f t="shared" si="864"/>
        <v>46</v>
      </c>
      <c r="N2793">
        <f>SUM(M2760:M2793)</f>
        <v>130</v>
      </c>
      <c r="O2793" s="8">
        <f>SUM([84]table_male_hkom3_inj.ill_X3!$B$2:$L$37)</f>
        <v>130</v>
      </c>
      <c r="S2793" t="s">
        <v>102</v>
      </c>
      <c r="T2793" s="7"/>
      <c r="U2793" s="7"/>
      <c r="V2793" s="7"/>
      <c r="W2793" s="7"/>
      <c r="X2793" s="7"/>
      <c r="Y2793" s="7"/>
      <c r="Z2793" s="7"/>
      <c r="AA2793" s="7"/>
      <c r="AB2793" s="5">
        <f t="shared" si="862"/>
        <v>0</v>
      </c>
      <c r="AC2793" s="5">
        <f>SUM(AB2760:AB2792)</f>
        <v>130</v>
      </c>
    </row>
    <row r="2794" spans="1:29" x14ac:dyDescent="0.25">
      <c r="A2794" t="s">
        <v>104</v>
      </c>
      <c r="B2794" t="s">
        <v>117</v>
      </c>
      <c r="C2794" t="s">
        <v>126</v>
      </c>
      <c r="D2794" t="s">
        <v>70</v>
      </c>
      <c r="E2794" s="14"/>
      <c r="F2794" s="14"/>
      <c r="G2794">
        <f>IFERROR(HLOOKUP(G$2,[85]table_male_hkom3_inj.ill_X4!$A$1:$K$36,2,FALSE),0)</f>
        <v>0</v>
      </c>
      <c r="H2794">
        <f>IFERROR(HLOOKUP(H$2,[85]table_male_hkom3_inj.ill_X4!$A$1:$K$36,2,FALSE),0)</f>
        <v>0</v>
      </c>
      <c r="I2794">
        <f>IFERROR(HLOOKUP(I$2,[85]table_male_hkom3_inj.ill_X4!$A$1:$K$36,2,FALSE),0)</f>
        <v>0</v>
      </c>
      <c r="J2794">
        <f>IFERROR(HLOOKUP(J$2,[85]table_male_hkom3_inj.ill_X4!$A$1:$K$36,2,FALSE),0)</f>
        <v>0</v>
      </c>
      <c r="K2794">
        <f>IFERROR(HLOOKUP(K$2,[85]table_male_hkom3_inj.ill_X4!$A$1:$K$36,2,FALSE),0)</f>
        <v>0</v>
      </c>
      <c r="L2794">
        <f>IFERROR(HLOOKUP(L$2,[85]table_male_hkom3_inj.ill_X4!$A$1:$K$36,2,FALSE),0)</f>
        <v>0</v>
      </c>
      <c r="M2794">
        <f>SUM(E2794:L2794)</f>
        <v>0</v>
      </c>
      <c r="P2794" t="s">
        <v>104</v>
      </c>
      <c r="Q2794" t="s">
        <v>117</v>
      </c>
      <c r="R2794" t="s">
        <v>126</v>
      </c>
      <c r="S2794" t="s">
        <v>70</v>
      </c>
      <c r="T2794" s="5">
        <f>IF(SUM(E$2794:E$2826)=0,E$2827/33,E2794+IFERROR(E2794/SUM(E$2794:E$2826)*E$2827,0))</f>
        <v>0</v>
      </c>
      <c r="U2794" s="5">
        <f t="shared" ref="U2794:AA2794" si="873">IF(SUM(F$2794:F$2826)=0,F$2827/33,F2794+IFERROR(F2794/SUM(F$2794:F$2826)*F$2827,0))</f>
        <v>0</v>
      </c>
      <c r="V2794" s="5">
        <f t="shared" si="873"/>
        <v>0</v>
      </c>
      <c r="W2794" s="5">
        <f t="shared" si="873"/>
        <v>0</v>
      </c>
      <c r="X2794" s="5">
        <f t="shared" si="873"/>
        <v>0</v>
      </c>
      <c r="Y2794" s="5">
        <f t="shared" si="873"/>
        <v>0</v>
      </c>
      <c r="Z2794" s="5">
        <f t="shared" si="873"/>
        <v>0</v>
      </c>
      <c r="AA2794" s="5">
        <f t="shared" si="873"/>
        <v>0</v>
      </c>
      <c r="AB2794" s="5">
        <f t="shared" si="862"/>
        <v>0</v>
      </c>
    </row>
    <row r="2795" spans="1:29" x14ac:dyDescent="0.25">
      <c r="D2795" t="s">
        <v>71</v>
      </c>
      <c r="E2795" s="14"/>
      <c r="F2795" s="14"/>
      <c r="G2795">
        <f>IFERROR(HLOOKUP(G$2,[85]table_male_hkom3_inj.ill_X4!$A$1:$K$36,3,FALSE),0)</f>
        <v>0</v>
      </c>
      <c r="H2795">
        <f>IFERROR(HLOOKUP(H$2,[85]table_male_hkom3_inj.ill_X4!$A$1:$K$36,3,FALSE),0)</f>
        <v>0</v>
      </c>
      <c r="I2795">
        <f>IFERROR(HLOOKUP(I$2,[85]table_male_hkom3_inj.ill_X4!$A$1:$K$36,3,FALSE),0)</f>
        <v>0</v>
      </c>
      <c r="J2795">
        <f>IFERROR(HLOOKUP(J$2,[85]table_male_hkom3_inj.ill_X4!$A$1:$K$36,3,FALSE),0)</f>
        <v>0</v>
      </c>
      <c r="K2795">
        <f>IFERROR(HLOOKUP(K$2,[85]table_male_hkom3_inj.ill_X4!$A$1:$K$36,3,FALSE),0)</f>
        <v>0</v>
      </c>
      <c r="L2795">
        <f>IFERROR(HLOOKUP(L$2,[85]table_male_hkom3_inj.ill_X4!$A$1:$K$36,3,FALSE),0)</f>
        <v>0</v>
      </c>
      <c r="M2795">
        <f t="shared" ref="M2795:M2827" si="874">SUM(E2795:L2795)</f>
        <v>0</v>
      </c>
      <c r="S2795" t="s">
        <v>71</v>
      </c>
      <c r="T2795" s="5">
        <f t="shared" ref="T2795:T2826" si="875">IF(SUM(E$2794:E$2826)=0,E$2827/33,E2795+IFERROR(E2795/SUM(E$2794:E$2826)*E$2827,0))</f>
        <v>0</v>
      </c>
      <c r="U2795" s="5">
        <f t="shared" ref="U2795:U2826" si="876">IF(SUM(F$2794:F$2826)=0,F$2827/33,F2795+IFERROR(F2795/SUM(F$2794:F$2826)*F$2827,0))</f>
        <v>0</v>
      </c>
      <c r="V2795" s="5">
        <f t="shared" ref="V2795:V2826" si="877">IF(SUM(G$2794:G$2826)=0,G$2827/33,G2795+IFERROR(G2795/SUM(G$2794:G$2826)*G$2827,0))</f>
        <v>0</v>
      </c>
      <c r="W2795" s="5">
        <f t="shared" ref="W2795:W2826" si="878">IF(SUM(H$2794:H$2826)=0,H$2827/33,H2795+IFERROR(H2795/SUM(H$2794:H$2826)*H$2827,0))</f>
        <v>0</v>
      </c>
      <c r="X2795" s="5">
        <f t="shared" ref="X2795:X2826" si="879">IF(SUM(I$2794:I$2826)=0,I$2827/33,I2795+IFERROR(I2795/SUM(I$2794:I$2826)*I$2827,0))</f>
        <v>0</v>
      </c>
      <c r="Y2795" s="5">
        <f t="shared" ref="Y2795:Y2826" si="880">IF(SUM(J$2794:J$2826)=0,J$2827/33,J2795+IFERROR(J2795/SUM(J$2794:J$2826)*J$2827,0))</f>
        <v>0</v>
      </c>
      <c r="Z2795" s="5">
        <f t="shared" ref="Z2795:Z2826" si="881">IF(SUM(K$2794:K$2826)=0,K$2827/33,K2795+IFERROR(K2795/SUM(K$2794:K$2826)*K$2827,0))</f>
        <v>0</v>
      </c>
      <c r="AA2795" s="5">
        <f t="shared" ref="AA2795:AA2826" si="882">IF(SUM(L$2794:L$2826)=0,L$2827/33,L2795+IFERROR(L2795/SUM(L$2794:L$2826)*L$2827,0))</f>
        <v>0</v>
      </c>
      <c r="AB2795" s="5">
        <f t="shared" ref="AB2795:AB2858" si="883">SUM(T2795:AA2795)</f>
        <v>0</v>
      </c>
    </row>
    <row r="2796" spans="1:29" x14ac:dyDescent="0.25">
      <c r="D2796" t="s">
        <v>72</v>
      </c>
      <c r="E2796" s="14"/>
      <c r="F2796" s="14"/>
      <c r="G2796">
        <f>IFERROR(HLOOKUP(G$2,[85]table_male_hkom3_inj.ill_X4!$A$1:$K$36,4,FALSE),0)</f>
        <v>0</v>
      </c>
      <c r="H2796">
        <f>IFERROR(HLOOKUP(H$2,[85]table_male_hkom3_inj.ill_X4!$A$1:$K$36,4,FALSE),0)</f>
        <v>0</v>
      </c>
      <c r="I2796">
        <f>IFERROR(HLOOKUP(I$2,[85]table_male_hkom3_inj.ill_X4!$A$1:$K$36,4,FALSE),0)</f>
        <v>0</v>
      </c>
      <c r="J2796">
        <f>IFERROR(HLOOKUP(J$2,[85]table_male_hkom3_inj.ill_X4!$A$1:$K$36,4,FALSE),0)</f>
        <v>0</v>
      </c>
      <c r="K2796">
        <f>IFERROR(HLOOKUP(K$2,[85]table_male_hkom3_inj.ill_X4!$A$1:$K$36,4,FALSE),0)</f>
        <v>0</v>
      </c>
      <c r="L2796">
        <f>IFERROR(HLOOKUP(L$2,[85]table_male_hkom3_inj.ill_X4!$A$1:$K$36,4,FALSE),0)</f>
        <v>0</v>
      </c>
      <c r="M2796">
        <f t="shared" si="874"/>
        <v>0</v>
      </c>
      <c r="S2796" t="s">
        <v>72</v>
      </c>
      <c r="T2796" s="5">
        <f t="shared" si="875"/>
        <v>0</v>
      </c>
      <c r="U2796" s="5">
        <f t="shared" si="876"/>
        <v>0</v>
      </c>
      <c r="V2796" s="5">
        <f t="shared" si="877"/>
        <v>0</v>
      </c>
      <c r="W2796" s="5">
        <f t="shared" si="878"/>
        <v>0</v>
      </c>
      <c r="X2796" s="5">
        <f t="shared" si="879"/>
        <v>0</v>
      </c>
      <c r="Y2796" s="5">
        <f t="shared" si="880"/>
        <v>0</v>
      </c>
      <c r="Z2796" s="5">
        <f t="shared" si="881"/>
        <v>0</v>
      </c>
      <c r="AA2796" s="5">
        <f t="shared" si="882"/>
        <v>0</v>
      </c>
      <c r="AB2796" s="5">
        <f t="shared" si="883"/>
        <v>0</v>
      </c>
    </row>
    <row r="2797" spans="1:29" x14ac:dyDescent="0.25">
      <c r="D2797" t="s">
        <v>73</v>
      </c>
      <c r="E2797" s="14"/>
      <c r="F2797" s="14"/>
      <c r="G2797">
        <f>IFERROR(HLOOKUP(G$2,[85]table_male_hkom3_inj.ill_X4!$A$1:$K$36,5,FALSE),0)</f>
        <v>0</v>
      </c>
      <c r="H2797">
        <f>IFERROR(HLOOKUP(H$2,[85]table_male_hkom3_inj.ill_X4!$A$1:$K$36,5,FALSE),0)</f>
        <v>0</v>
      </c>
      <c r="I2797">
        <f>IFERROR(HLOOKUP(I$2,[85]table_male_hkom3_inj.ill_X4!$A$1:$K$36,5,FALSE),0)</f>
        <v>0</v>
      </c>
      <c r="J2797">
        <f>IFERROR(HLOOKUP(J$2,[85]table_male_hkom3_inj.ill_X4!$A$1:$K$36,5,FALSE),0)</f>
        <v>0</v>
      </c>
      <c r="K2797">
        <f>IFERROR(HLOOKUP(K$2,[85]table_male_hkom3_inj.ill_X4!$A$1:$K$36,5,FALSE),0)</f>
        <v>0</v>
      </c>
      <c r="L2797">
        <f>IFERROR(HLOOKUP(L$2,[85]table_male_hkom3_inj.ill_X4!$A$1:$K$36,5,FALSE),0)</f>
        <v>0</v>
      </c>
      <c r="M2797">
        <f t="shared" si="874"/>
        <v>0</v>
      </c>
      <c r="S2797" t="s">
        <v>73</v>
      </c>
      <c r="T2797" s="5">
        <f t="shared" si="875"/>
        <v>0</v>
      </c>
      <c r="U2797" s="5">
        <f t="shared" si="876"/>
        <v>0</v>
      </c>
      <c r="V2797" s="5">
        <f t="shared" si="877"/>
        <v>0</v>
      </c>
      <c r="W2797" s="5">
        <f t="shared" si="878"/>
        <v>0</v>
      </c>
      <c r="X2797" s="5">
        <f t="shared" si="879"/>
        <v>0</v>
      </c>
      <c r="Y2797" s="5">
        <f t="shared" si="880"/>
        <v>0</v>
      </c>
      <c r="Z2797" s="5">
        <f t="shared" si="881"/>
        <v>0</v>
      </c>
      <c r="AA2797" s="5">
        <f t="shared" si="882"/>
        <v>0</v>
      </c>
      <c r="AB2797" s="5">
        <f t="shared" si="883"/>
        <v>0</v>
      </c>
    </row>
    <row r="2798" spans="1:29" x14ac:dyDescent="0.25">
      <c r="D2798" t="s">
        <v>74</v>
      </c>
      <c r="E2798" s="14"/>
      <c r="F2798" s="14"/>
      <c r="G2798">
        <f>IFERROR(HLOOKUP(G$2,[85]table_male_hkom3_inj.ill_X4!$A$1:$K$36,6,FALSE),0)</f>
        <v>0</v>
      </c>
      <c r="H2798">
        <f>IFERROR(HLOOKUP(H$2,[85]table_male_hkom3_inj.ill_X4!$A$1:$K$36,6,FALSE),0)</f>
        <v>0</v>
      </c>
      <c r="I2798">
        <f>IFERROR(HLOOKUP(I$2,[85]table_male_hkom3_inj.ill_X4!$A$1:$K$36,6,FALSE),0)</f>
        <v>0</v>
      </c>
      <c r="J2798">
        <f>IFERROR(HLOOKUP(J$2,[85]table_male_hkom3_inj.ill_X4!$A$1:$K$36,6,FALSE),0)</f>
        <v>0</v>
      </c>
      <c r="K2798">
        <f>IFERROR(HLOOKUP(K$2,[85]table_male_hkom3_inj.ill_X4!$A$1:$K$36,6,FALSE),0)</f>
        <v>0</v>
      </c>
      <c r="L2798">
        <f>IFERROR(HLOOKUP(L$2,[85]table_male_hkom3_inj.ill_X4!$A$1:$K$36,6,FALSE),0)</f>
        <v>0</v>
      </c>
      <c r="M2798">
        <f t="shared" si="874"/>
        <v>0</v>
      </c>
      <c r="S2798" t="s">
        <v>74</v>
      </c>
      <c r="T2798" s="5">
        <f t="shared" si="875"/>
        <v>0</v>
      </c>
      <c r="U2798" s="5">
        <f t="shared" si="876"/>
        <v>0</v>
      </c>
      <c r="V2798" s="5">
        <f t="shared" si="877"/>
        <v>0</v>
      </c>
      <c r="W2798" s="5">
        <f t="shared" si="878"/>
        <v>0</v>
      </c>
      <c r="X2798" s="5">
        <f t="shared" si="879"/>
        <v>0</v>
      </c>
      <c r="Y2798" s="5">
        <f t="shared" si="880"/>
        <v>0</v>
      </c>
      <c r="Z2798" s="5">
        <f t="shared" si="881"/>
        <v>0</v>
      </c>
      <c r="AA2798" s="5">
        <f t="shared" si="882"/>
        <v>0</v>
      </c>
      <c r="AB2798" s="5">
        <f t="shared" si="883"/>
        <v>0</v>
      </c>
    </row>
    <row r="2799" spans="1:29" x14ac:dyDescent="0.25">
      <c r="D2799" t="s">
        <v>75</v>
      </c>
      <c r="E2799" s="14"/>
      <c r="F2799" s="14"/>
      <c r="G2799">
        <f>IFERROR(HLOOKUP(G$2,[85]table_male_hkom3_inj.ill_X4!$A$1:$K$36,7,FALSE),0)</f>
        <v>0</v>
      </c>
      <c r="H2799">
        <f>IFERROR(HLOOKUP(H$2,[85]table_male_hkom3_inj.ill_X4!$A$1:$K$36,7,FALSE),0)</f>
        <v>0</v>
      </c>
      <c r="I2799">
        <f>IFERROR(HLOOKUP(I$2,[85]table_male_hkom3_inj.ill_X4!$A$1:$K$36,7,FALSE),0)</f>
        <v>0</v>
      </c>
      <c r="J2799">
        <f>IFERROR(HLOOKUP(J$2,[85]table_male_hkom3_inj.ill_X4!$A$1:$K$36,7,FALSE),0)</f>
        <v>0</v>
      </c>
      <c r="K2799">
        <f>IFERROR(HLOOKUP(K$2,[85]table_male_hkom3_inj.ill_X4!$A$1:$K$36,7,FALSE),0)</f>
        <v>0</v>
      </c>
      <c r="L2799">
        <f>IFERROR(HLOOKUP(L$2,[85]table_male_hkom3_inj.ill_X4!$A$1:$K$36,7,FALSE),0)</f>
        <v>0</v>
      </c>
      <c r="M2799">
        <f t="shared" si="874"/>
        <v>0</v>
      </c>
      <c r="S2799" t="s">
        <v>75</v>
      </c>
      <c r="T2799" s="5">
        <f t="shared" si="875"/>
        <v>0</v>
      </c>
      <c r="U2799" s="5">
        <f t="shared" si="876"/>
        <v>0</v>
      </c>
      <c r="V2799" s="5">
        <f t="shared" si="877"/>
        <v>0</v>
      </c>
      <c r="W2799" s="5">
        <f t="shared" si="878"/>
        <v>0</v>
      </c>
      <c r="X2799" s="5">
        <f t="shared" si="879"/>
        <v>0</v>
      </c>
      <c r="Y2799" s="5">
        <f t="shared" si="880"/>
        <v>0</v>
      </c>
      <c r="Z2799" s="5">
        <f t="shared" si="881"/>
        <v>0</v>
      </c>
      <c r="AA2799" s="5">
        <f t="shared" si="882"/>
        <v>0</v>
      </c>
      <c r="AB2799" s="5">
        <f t="shared" si="883"/>
        <v>0</v>
      </c>
    </row>
    <row r="2800" spans="1:29" x14ac:dyDescent="0.25">
      <c r="D2800" t="s">
        <v>76</v>
      </c>
      <c r="E2800" s="14"/>
      <c r="F2800" s="14"/>
      <c r="G2800">
        <f>IFERROR(HLOOKUP(G$2,[85]table_male_hkom3_inj.ill_X4!$A$1:$K$36,8,FALSE),0)</f>
        <v>0</v>
      </c>
      <c r="H2800">
        <f>IFERROR(HLOOKUP(H$2,[85]table_male_hkom3_inj.ill_X4!$A$1:$K$36,8,FALSE),0)</f>
        <v>0</v>
      </c>
      <c r="I2800">
        <f>IFERROR(HLOOKUP(I$2,[85]table_male_hkom3_inj.ill_X4!$A$1:$K$36,8,FALSE),0)</f>
        <v>0</v>
      </c>
      <c r="J2800">
        <f>IFERROR(HLOOKUP(J$2,[85]table_male_hkom3_inj.ill_X4!$A$1:$K$36,8,FALSE),0)</f>
        <v>0</v>
      </c>
      <c r="K2800">
        <f>IFERROR(HLOOKUP(K$2,[85]table_male_hkom3_inj.ill_X4!$A$1:$K$36,8,FALSE),0)</f>
        <v>0</v>
      </c>
      <c r="L2800">
        <f>IFERROR(HLOOKUP(L$2,[85]table_male_hkom3_inj.ill_X4!$A$1:$K$36,8,FALSE),0)</f>
        <v>0</v>
      </c>
      <c r="M2800">
        <f t="shared" si="874"/>
        <v>0</v>
      </c>
      <c r="S2800" t="s">
        <v>76</v>
      </c>
      <c r="T2800" s="5">
        <f t="shared" si="875"/>
        <v>0</v>
      </c>
      <c r="U2800" s="5">
        <f t="shared" si="876"/>
        <v>0</v>
      </c>
      <c r="V2800" s="5">
        <f t="shared" si="877"/>
        <v>0</v>
      </c>
      <c r="W2800" s="5">
        <f t="shared" si="878"/>
        <v>0</v>
      </c>
      <c r="X2800" s="5">
        <f t="shared" si="879"/>
        <v>0</v>
      </c>
      <c r="Y2800" s="5">
        <f t="shared" si="880"/>
        <v>0</v>
      </c>
      <c r="Z2800" s="5">
        <f t="shared" si="881"/>
        <v>0</v>
      </c>
      <c r="AA2800" s="5">
        <f t="shared" si="882"/>
        <v>0</v>
      </c>
      <c r="AB2800" s="5">
        <f t="shared" si="883"/>
        <v>0</v>
      </c>
    </row>
    <row r="2801" spans="4:28" x14ac:dyDescent="0.25">
      <c r="D2801" t="s">
        <v>77</v>
      </c>
      <c r="E2801" s="14"/>
      <c r="F2801" s="14"/>
      <c r="G2801">
        <f>IFERROR(HLOOKUP(G$2,[85]table_male_hkom3_inj.ill_X4!$A$1:$K$36,9,FALSE),0)</f>
        <v>0</v>
      </c>
      <c r="H2801">
        <f>IFERROR(HLOOKUP(H$2,[85]table_male_hkom3_inj.ill_X4!$A$1:$K$36,9,FALSE),0)</f>
        <v>0</v>
      </c>
      <c r="I2801">
        <f>IFERROR(HLOOKUP(I$2,[85]table_male_hkom3_inj.ill_X4!$A$1:$K$36,9,FALSE),0)</f>
        <v>0</v>
      </c>
      <c r="J2801">
        <f>IFERROR(HLOOKUP(J$2,[85]table_male_hkom3_inj.ill_X4!$A$1:$K$36,9,FALSE),0)</f>
        <v>0</v>
      </c>
      <c r="K2801">
        <f>IFERROR(HLOOKUP(K$2,[85]table_male_hkom3_inj.ill_X4!$A$1:$K$36,9,FALSE),0)</f>
        <v>0</v>
      </c>
      <c r="L2801">
        <f>IFERROR(HLOOKUP(L$2,[85]table_male_hkom3_inj.ill_X4!$A$1:$K$36,9,FALSE),0)</f>
        <v>0</v>
      </c>
      <c r="M2801">
        <f t="shared" si="874"/>
        <v>0</v>
      </c>
      <c r="S2801" t="s">
        <v>77</v>
      </c>
      <c r="T2801" s="5">
        <f t="shared" si="875"/>
        <v>0</v>
      </c>
      <c r="U2801" s="5">
        <f t="shared" si="876"/>
        <v>0</v>
      </c>
      <c r="V2801" s="5">
        <f t="shared" si="877"/>
        <v>0</v>
      </c>
      <c r="W2801" s="5">
        <f t="shared" si="878"/>
        <v>0</v>
      </c>
      <c r="X2801" s="5">
        <f t="shared" si="879"/>
        <v>0</v>
      </c>
      <c r="Y2801" s="5">
        <f t="shared" si="880"/>
        <v>0</v>
      </c>
      <c r="Z2801" s="5">
        <f t="shared" si="881"/>
        <v>0</v>
      </c>
      <c r="AA2801" s="5">
        <f t="shared" si="882"/>
        <v>0</v>
      </c>
      <c r="AB2801" s="5">
        <f t="shared" si="883"/>
        <v>0</v>
      </c>
    </row>
    <row r="2802" spans="4:28" x14ac:dyDescent="0.25">
      <c r="D2802" t="s">
        <v>78</v>
      </c>
      <c r="E2802" s="14"/>
      <c r="F2802" s="14"/>
      <c r="G2802">
        <f>IFERROR(HLOOKUP(G$2,[85]table_male_hkom3_inj.ill_X4!$A$1:$K$36,10,FALSE),0)</f>
        <v>0</v>
      </c>
      <c r="H2802">
        <f>IFERROR(HLOOKUP(H$2,[85]table_male_hkom3_inj.ill_X4!$A$1:$K$36,10,FALSE),0)</f>
        <v>0</v>
      </c>
      <c r="I2802">
        <f>IFERROR(HLOOKUP(I$2,[85]table_male_hkom3_inj.ill_X4!$A$1:$K$36,10,FALSE),0)</f>
        <v>0</v>
      </c>
      <c r="J2802">
        <f>IFERROR(HLOOKUP(J$2,[85]table_male_hkom3_inj.ill_X4!$A$1:$K$36,10,FALSE),0)</f>
        <v>0</v>
      </c>
      <c r="K2802">
        <f>IFERROR(HLOOKUP(K$2,[85]table_male_hkom3_inj.ill_X4!$A$1:$K$36,10,FALSE),0)</f>
        <v>0</v>
      </c>
      <c r="L2802">
        <f>IFERROR(HLOOKUP(L$2,[85]table_male_hkom3_inj.ill_X4!$A$1:$K$36,10,FALSE),0)</f>
        <v>0</v>
      </c>
      <c r="M2802">
        <f t="shared" si="874"/>
        <v>0</v>
      </c>
      <c r="S2802" t="s">
        <v>78</v>
      </c>
      <c r="T2802" s="5">
        <f t="shared" si="875"/>
        <v>0</v>
      </c>
      <c r="U2802" s="5">
        <f t="shared" si="876"/>
        <v>0</v>
      </c>
      <c r="V2802" s="5">
        <f t="shared" si="877"/>
        <v>0</v>
      </c>
      <c r="W2802" s="5">
        <f t="shared" si="878"/>
        <v>0</v>
      </c>
      <c r="X2802" s="5">
        <f t="shared" si="879"/>
        <v>0</v>
      </c>
      <c r="Y2802" s="5">
        <f t="shared" si="880"/>
        <v>0</v>
      </c>
      <c r="Z2802" s="5">
        <f t="shared" si="881"/>
        <v>0</v>
      </c>
      <c r="AA2802" s="5">
        <f t="shared" si="882"/>
        <v>0</v>
      </c>
      <c r="AB2802" s="5">
        <f t="shared" si="883"/>
        <v>0</v>
      </c>
    </row>
    <row r="2803" spans="4:28" x14ac:dyDescent="0.25">
      <c r="D2803" t="s">
        <v>79</v>
      </c>
      <c r="E2803" s="14"/>
      <c r="F2803" s="14"/>
      <c r="G2803">
        <f>IFERROR(HLOOKUP(G$2,[85]table_male_hkom3_inj.ill_X4!$A$1:$K$36,11,FALSE),0)</f>
        <v>0</v>
      </c>
      <c r="H2803">
        <f>IFERROR(HLOOKUP(H$2,[85]table_male_hkom3_inj.ill_X4!$A$1:$K$36,11,FALSE),0)</f>
        <v>0</v>
      </c>
      <c r="I2803">
        <f>IFERROR(HLOOKUP(I$2,[85]table_male_hkom3_inj.ill_X4!$A$1:$K$36,11,FALSE),0)</f>
        <v>0</v>
      </c>
      <c r="J2803">
        <f>IFERROR(HLOOKUP(J$2,[85]table_male_hkom3_inj.ill_X4!$A$1:$K$36,11,FALSE),0)</f>
        <v>0</v>
      </c>
      <c r="K2803">
        <f>IFERROR(HLOOKUP(K$2,[85]table_male_hkom3_inj.ill_X4!$A$1:$K$36,11,FALSE),0)</f>
        <v>0</v>
      </c>
      <c r="L2803">
        <f>IFERROR(HLOOKUP(L$2,[85]table_male_hkom3_inj.ill_X4!$A$1:$K$36,11,FALSE),0)</f>
        <v>0</v>
      </c>
      <c r="M2803">
        <f t="shared" si="874"/>
        <v>0</v>
      </c>
      <c r="S2803" t="s">
        <v>79</v>
      </c>
      <c r="T2803" s="5">
        <f t="shared" si="875"/>
        <v>0</v>
      </c>
      <c r="U2803" s="5">
        <f t="shared" si="876"/>
        <v>0</v>
      </c>
      <c r="V2803" s="5">
        <f t="shared" si="877"/>
        <v>0</v>
      </c>
      <c r="W2803" s="5">
        <f t="shared" si="878"/>
        <v>0</v>
      </c>
      <c r="X2803" s="5">
        <f t="shared" si="879"/>
        <v>0</v>
      </c>
      <c r="Y2803" s="5">
        <f t="shared" si="880"/>
        <v>0</v>
      </c>
      <c r="Z2803" s="5">
        <f t="shared" si="881"/>
        <v>0</v>
      </c>
      <c r="AA2803" s="5">
        <f t="shared" si="882"/>
        <v>0</v>
      </c>
      <c r="AB2803" s="5">
        <f t="shared" si="883"/>
        <v>0</v>
      </c>
    </row>
    <row r="2804" spans="4:28" x14ac:dyDescent="0.25">
      <c r="D2804" t="s">
        <v>80</v>
      </c>
      <c r="E2804" s="14"/>
      <c r="F2804" s="14"/>
      <c r="G2804">
        <f>IFERROR(HLOOKUP(G$2,[85]table_male_hkom3_inj.ill_X4!$A$1:$K$36,12,FALSE),0)</f>
        <v>0</v>
      </c>
      <c r="H2804">
        <f>IFERROR(HLOOKUP(H$2,[85]table_male_hkom3_inj.ill_X4!$A$1:$K$36,12,FALSE),0)</f>
        <v>0</v>
      </c>
      <c r="I2804">
        <f>IFERROR(HLOOKUP(I$2,[85]table_male_hkom3_inj.ill_X4!$A$1:$K$36,12,FALSE),0)</f>
        <v>0</v>
      </c>
      <c r="J2804">
        <f>IFERROR(HLOOKUP(J$2,[85]table_male_hkom3_inj.ill_X4!$A$1:$K$36,12,FALSE),0)</f>
        <v>0</v>
      </c>
      <c r="K2804">
        <f>IFERROR(HLOOKUP(K$2,[85]table_male_hkom3_inj.ill_X4!$A$1:$K$36,12,FALSE),0)</f>
        <v>0</v>
      </c>
      <c r="L2804">
        <f>IFERROR(HLOOKUP(L$2,[85]table_male_hkom3_inj.ill_X4!$A$1:$K$36,12,FALSE),0)</f>
        <v>0</v>
      </c>
      <c r="M2804">
        <f t="shared" si="874"/>
        <v>0</v>
      </c>
      <c r="S2804" t="s">
        <v>80</v>
      </c>
      <c r="T2804" s="5">
        <f t="shared" si="875"/>
        <v>0</v>
      </c>
      <c r="U2804" s="5">
        <f t="shared" si="876"/>
        <v>0</v>
      </c>
      <c r="V2804" s="5">
        <f t="shared" si="877"/>
        <v>0</v>
      </c>
      <c r="W2804" s="5">
        <f t="shared" si="878"/>
        <v>0</v>
      </c>
      <c r="X2804" s="5">
        <f t="shared" si="879"/>
        <v>0</v>
      </c>
      <c r="Y2804" s="5">
        <f t="shared" si="880"/>
        <v>0</v>
      </c>
      <c r="Z2804" s="5">
        <f t="shared" si="881"/>
        <v>0</v>
      </c>
      <c r="AA2804" s="5">
        <f t="shared" si="882"/>
        <v>0</v>
      </c>
      <c r="AB2804" s="5">
        <f t="shared" si="883"/>
        <v>0</v>
      </c>
    </row>
    <row r="2805" spans="4:28" x14ac:dyDescent="0.25">
      <c r="D2805" t="s">
        <v>81</v>
      </c>
      <c r="E2805" s="14"/>
      <c r="F2805" s="14"/>
      <c r="G2805">
        <f>IFERROR(HLOOKUP(G$2,[85]table_male_hkom3_inj.ill_X4!$A$1:$K$36,13,FALSE),0)</f>
        <v>0</v>
      </c>
      <c r="H2805">
        <f>IFERROR(HLOOKUP(H$2,[85]table_male_hkom3_inj.ill_X4!$A$1:$K$36,13,FALSE),0)</f>
        <v>0</v>
      </c>
      <c r="I2805">
        <f>IFERROR(HLOOKUP(I$2,[85]table_male_hkom3_inj.ill_X4!$A$1:$K$36,13,FALSE),0)</f>
        <v>0</v>
      </c>
      <c r="J2805">
        <f>IFERROR(HLOOKUP(J$2,[85]table_male_hkom3_inj.ill_X4!$A$1:$K$36,13,FALSE),0)</f>
        <v>0</v>
      </c>
      <c r="K2805">
        <f>IFERROR(HLOOKUP(K$2,[85]table_male_hkom3_inj.ill_X4!$A$1:$K$36,13,FALSE),0)</f>
        <v>0</v>
      </c>
      <c r="L2805">
        <f>IFERROR(HLOOKUP(L$2,[85]table_male_hkom3_inj.ill_X4!$A$1:$K$36,13,FALSE),0)</f>
        <v>0</v>
      </c>
      <c r="M2805">
        <f t="shared" si="874"/>
        <v>0</v>
      </c>
      <c r="S2805" t="s">
        <v>81</v>
      </c>
      <c r="T2805" s="5">
        <f t="shared" si="875"/>
        <v>0</v>
      </c>
      <c r="U2805" s="5">
        <f t="shared" si="876"/>
        <v>0</v>
      </c>
      <c r="V2805" s="5">
        <f t="shared" si="877"/>
        <v>0</v>
      </c>
      <c r="W2805" s="5">
        <f t="shared" si="878"/>
        <v>0</v>
      </c>
      <c r="X2805" s="5">
        <f t="shared" si="879"/>
        <v>0</v>
      </c>
      <c r="Y2805" s="5">
        <f t="shared" si="880"/>
        <v>0</v>
      </c>
      <c r="Z2805" s="5">
        <f t="shared" si="881"/>
        <v>0</v>
      </c>
      <c r="AA2805" s="5">
        <f t="shared" si="882"/>
        <v>0</v>
      </c>
      <c r="AB2805" s="5">
        <f t="shared" si="883"/>
        <v>0</v>
      </c>
    </row>
    <row r="2806" spans="4:28" x14ac:dyDescent="0.25">
      <c r="D2806" t="s">
        <v>82</v>
      </c>
      <c r="E2806" s="14"/>
      <c r="F2806" s="14"/>
      <c r="G2806">
        <f>IFERROR(HLOOKUP(G$2,[85]table_male_hkom3_inj.ill_X4!$A$1:$K$36,14,FALSE),0)</f>
        <v>0</v>
      </c>
      <c r="H2806">
        <f>IFERROR(HLOOKUP(H$2,[85]table_male_hkom3_inj.ill_X4!$A$1:$K$36,14,FALSE),0)</f>
        <v>0</v>
      </c>
      <c r="I2806">
        <f>IFERROR(HLOOKUP(I$2,[85]table_male_hkom3_inj.ill_X4!$A$1:$K$36,14,FALSE),0)</f>
        <v>0</v>
      </c>
      <c r="J2806">
        <f>IFERROR(HLOOKUP(J$2,[85]table_male_hkom3_inj.ill_X4!$A$1:$K$36,14,FALSE),0)</f>
        <v>0</v>
      </c>
      <c r="K2806">
        <f>IFERROR(HLOOKUP(K$2,[85]table_male_hkom3_inj.ill_X4!$A$1:$K$36,14,FALSE),0)</f>
        <v>0</v>
      </c>
      <c r="L2806">
        <f>IFERROR(HLOOKUP(L$2,[85]table_male_hkom3_inj.ill_X4!$A$1:$K$36,14,FALSE),0)</f>
        <v>0</v>
      </c>
      <c r="M2806">
        <f t="shared" si="874"/>
        <v>0</v>
      </c>
      <c r="S2806" t="s">
        <v>82</v>
      </c>
      <c r="T2806" s="5">
        <f t="shared" si="875"/>
        <v>0</v>
      </c>
      <c r="U2806" s="5">
        <f t="shared" si="876"/>
        <v>0</v>
      </c>
      <c r="V2806" s="5">
        <f t="shared" si="877"/>
        <v>0</v>
      </c>
      <c r="W2806" s="5">
        <f t="shared" si="878"/>
        <v>0</v>
      </c>
      <c r="X2806" s="5">
        <f t="shared" si="879"/>
        <v>0</v>
      </c>
      <c r="Y2806" s="5">
        <f t="shared" si="880"/>
        <v>0</v>
      </c>
      <c r="Z2806" s="5">
        <f t="shared" si="881"/>
        <v>0</v>
      </c>
      <c r="AA2806" s="5">
        <f t="shared" si="882"/>
        <v>0</v>
      </c>
      <c r="AB2806" s="5">
        <f t="shared" si="883"/>
        <v>0</v>
      </c>
    </row>
    <row r="2807" spans="4:28" x14ac:dyDescent="0.25">
      <c r="D2807" t="s">
        <v>83</v>
      </c>
      <c r="E2807" s="14"/>
      <c r="F2807" s="14"/>
      <c r="G2807">
        <f>IFERROR(HLOOKUP(G$2,[85]table_male_hkom3_inj.ill_X4!$A$1:$K$36,15,FALSE),0)</f>
        <v>0</v>
      </c>
      <c r="H2807">
        <f>IFERROR(HLOOKUP(H$2,[85]table_male_hkom3_inj.ill_X4!$A$1:$K$36,15,FALSE),0)</f>
        <v>0</v>
      </c>
      <c r="I2807">
        <f>IFERROR(HLOOKUP(I$2,[85]table_male_hkom3_inj.ill_X4!$A$1:$K$36,15,FALSE),0)</f>
        <v>0</v>
      </c>
      <c r="J2807">
        <f>IFERROR(HLOOKUP(J$2,[85]table_male_hkom3_inj.ill_X4!$A$1:$K$36,15,FALSE),0)</f>
        <v>0</v>
      </c>
      <c r="K2807">
        <f>IFERROR(HLOOKUP(K$2,[85]table_male_hkom3_inj.ill_X4!$A$1:$K$36,15,FALSE),0)</f>
        <v>0</v>
      </c>
      <c r="L2807">
        <f>IFERROR(HLOOKUP(L$2,[85]table_male_hkom3_inj.ill_X4!$A$1:$K$36,15,FALSE),0)</f>
        <v>0</v>
      </c>
      <c r="M2807">
        <f t="shared" si="874"/>
        <v>0</v>
      </c>
      <c r="S2807" t="s">
        <v>83</v>
      </c>
      <c r="T2807" s="5">
        <f t="shared" si="875"/>
        <v>0</v>
      </c>
      <c r="U2807" s="5">
        <f t="shared" si="876"/>
        <v>0</v>
      </c>
      <c r="V2807" s="5">
        <f t="shared" si="877"/>
        <v>0</v>
      </c>
      <c r="W2807" s="5">
        <f t="shared" si="878"/>
        <v>0</v>
      </c>
      <c r="X2807" s="5">
        <f t="shared" si="879"/>
        <v>0</v>
      </c>
      <c r="Y2807" s="5">
        <f t="shared" si="880"/>
        <v>0</v>
      </c>
      <c r="Z2807" s="5">
        <f t="shared" si="881"/>
        <v>0</v>
      </c>
      <c r="AA2807" s="5">
        <f t="shared" si="882"/>
        <v>0</v>
      </c>
      <c r="AB2807" s="5">
        <f t="shared" si="883"/>
        <v>0</v>
      </c>
    </row>
    <row r="2808" spans="4:28" x14ac:dyDescent="0.25">
      <c r="D2808" t="s">
        <v>84</v>
      </c>
      <c r="E2808" s="14"/>
      <c r="F2808" s="14"/>
      <c r="G2808">
        <f>IFERROR(HLOOKUP(G$2,[85]table_male_hkom3_inj.ill_X4!$A$1:$K$36,16,FALSE),0)</f>
        <v>0</v>
      </c>
      <c r="H2808">
        <f>IFERROR(HLOOKUP(H$2,[85]table_male_hkom3_inj.ill_X4!$A$1:$K$36,16,FALSE),0)</f>
        <v>0</v>
      </c>
      <c r="I2808">
        <f>IFERROR(HLOOKUP(I$2,[85]table_male_hkom3_inj.ill_X4!$A$1:$K$36,16,FALSE),0)</f>
        <v>0</v>
      </c>
      <c r="J2808">
        <f>IFERROR(HLOOKUP(J$2,[85]table_male_hkom3_inj.ill_X4!$A$1:$K$36,16,FALSE),0)</f>
        <v>0</v>
      </c>
      <c r="K2808">
        <f>IFERROR(HLOOKUP(K$2,[85]table_male_hkom3_inj.ill_X4!$A$1:$K$36,16,FALSE),0)</f>
        <v>0</v>
      </c>
      <c r="L2808">
        <f>IFERROR(HLOOKUP(L$2,[85]table_male_hkom3_inj.ill_X4!$A$1:$K$36,16,FALSE),0)</f>
        <v>0</v>
      </c>
      <c r="M2808">
        <f t="shared" si="874"/>
        <v>0</v>
      </c>
      <c r="S2808" t="s">
        <v>84</v>
      </c>
      <c r="T2808" s="5">
        <f t="shared" si="875"/>
        <v>0</v>
      </c>
      <c r="U2808" s="5">
        <f t="shared" si="876"/>
        <v>0</v>
      </c>
      <c r="V2808" s="5">
        <f t="shared" si="877"/>
        <v>0</v>
      </c>
      <c r="W2808" s="5">
        <f t="shared" si="878"/>
        <v>0</v>
      </c>
      <c r="X2808" s="5">
        <f t="shared" si="879"/>
        <v>0</v>
      </c>
      <c r="Y2808" s="5">
        <f t="shared" si="880"/>
        <v>0</v>
      </c>
      <c r="Z2808" s="5">
        <f t="shared" si="881"/>
        <v>0</v>
      </c>
      <c r="AA2808" s="5">
        <f t="shared" si="882"/>
        <v>0</v>
      </c>
      <c r="AB2808" s="5">
        <f t="shared" si="883"/>
        <v>0</v>
      </c>
    </row>
    <row r="2809" spans="4:28" x14ac:dyDescent="0.25">
      <c r="D2809" t="s">
        <v>85</v>
      </c>
      <c r="E2809" s="14"/>
      <c r="F2809" s="14"/>
      <c r="G2809">
        <f>IFERROR(HLOOKUP(G$2,[85]table_male_hkom3_inj.ill_X4!$A$1:$K$36,17,FALSE),0)</f>
        <v>0</v>
      </c>
      <c r="H2809">
        <f>IFERROR(HLOOKUP(H$2,[85]table_male_hkom3_inj.ill_X4!$A$1:$K$36,17,FALSE),0)</f>
        <v>0</v>
      </c>
      <c r="I2809">
        <f>IFERROR(HLOOKUP(I$2,[85]table_male_hkom3_inj.ill_X4!$A$1:$K$36,17,FALSE),0)</f>
        <v>0</v>
      </c>
      <c r="J2809">
        <f>IFERROR(HLOOKUP(J$2,[85]table_male_hkom3_inj.ill_X4!$A$1:$K$36,17,FALSE),0)</f>
        <v>0</v>
      </c>
      <c r="K2809">
        <f>IFERROR(HLOOKUP(K$2,[85]table_male_hkom3_inj.ill_X4!$A$1:$K$36,17,FALSE),0)</f>
        <v>0</v>
      </c>
      <c r="L2809">
        <f>IFERROR(HLOOKUP(L$2,[85]table_male_hkom3_inj.ill_X4!$A$1:$K$36,17,FALSE),0)</f>
        <v>0</v>
      </c>
      <c r="M2809">
        <f t="shared" si="874"/>
        <v>0</v>
      </c>
      <c r="S2809" t="s">
        <v>85</v>
      </c>
      <c r="T2809" s="5">
        <f t="shared" si="875"/>
        <v>0</v>
      </c>
      <c r="U2809" s="5">
        <f t="shared" si="876"/>
        <v>0</v>
      </c>
      <c r="V2809" s="5">
        <f t="shared" si="877"/>
        <v>0</v>
      </c>
      <c r="W2809" s="5">
        <f t="shared" si="878"/>
        <v>0</v>
      </c>
      <c r="X2809" s="5">
        <f t="shared" si="879"/>
        <v>0</v>
      </c>
      <c r="Y2809" s="5">
        <f t="shared" si="880"/>
        <v>0</v>
      </c>
      <c r="Z2809" s="5">
        <f t="shared" si="881"/>
        <v>0</v>
      </c>
      <c r="AA2809" s="5">
        <f t="shared" si="882"/>
        <v>0</v>
      </c>
      <c r="AB2809" s="5">
        <f t="shared" si="883"/>
        <v>0</v>
      </c>
    </row>
    <row r="2810" spans="4:28" x14ac:dyDescent="0.25">
      <c r="D2810" t="s">
        <v>86</v>
      </c>
      <c r="E2810" s="14"/>
      <c r="F2810" s="14"/>
      <c r="G2810">
        <f>IFERROR(HLOOKUP(G$2,[85]table_male_hkom3_inj.ill_X4!$A$1:$K$36,18,FALSE),0)</f>
        <v>0</v>
      </c>
      <c r="H2810">
        <f>IFERROR(HLOOKUP(H$2,[85]table_male_hkom3_inj.ill_X4!$A$1:$K$36,18,FALSE),0)</f>
        <v>0</v>
      </c>
      <c r="I2810">
        <f>IFERROR(HLOOKUP(I$2,[85]table_male_hkom3_inj.ill_X4!$A$1:$K$36,18,FALSE),0)</f>
        <v>1</v>
      </c>
      <c r="J2810">
        <f>IFERROR(HLOOKUP(J$2,[85]table_male_hkom3_inj.ill_X4!$A$1:$K$36,18,FALSE),0)</f>
        <v>0</v>
      </c>
      <c r="K2810">
        <f>IFERROR(HLOOKUP(K$2,[85]table_male_hkom3_inj.ill_X4!$A$1:$K$36,18,FALSE),0)</f>
        <v>0</v>
      </c>
      <c r="L2810">
        <f>IFERROR(HLOOKUP(L$2,[85]table_male_hkom3_inj.ill_X4!$A$1:$K$36,18,FALSE),0)</f>
        <v>0</v>
      </c>
      <c r="M2810">
        <f t="shared" si="874"/>
        <v>1</v>
      </c>
      <c r="S2810" t="s">
        <v>86</v>
      </c>
      <c r="T2810" s="5">
        <f t="shared" si="875"/>
        <v>0</v>
      </c>
      <c r="U2810" s="5">
        <f t="shared" si="876"/>
        <v>0</v>
      </c>
      <c r="V2810" s="5">
        <f t="shared" si="877"/>
        <v>0</v>
      </c>
      <c r="W2810" s="5">
        <f t="shared" si="878"/>
        <v>0</v>
      </c>
      <c r="X2810" s="5">
        <f t="shared" si="879"/>
        <v>1</v>
      </c>
      <c r="Y2810" s="5">
        <f t="shared" si="880"/>
        <v>0</v>
      </c>
      <c r="Z2810" s="5">
        <f t="shared" si="881"/>
        <v>0</v>
      </c>
      <c r="AA2810" s="5">
        <f t="shared" si="882"/>
        <v>0</v>
      </c>
      <c r="AB2810" s="5">
        <f t="shared" si="883"/>
        <v>1</v>
      </c>
    </row>
    <row r="2811" spans="4:28" x14ac:dyDescent="0.25">
      <c r="D2811" t="s">
        <v>87</v>
      </c>
      <c r="E2811" s="14"/>
      <c r="F2811" s="14"/>
      <c r="G2811">
        <f>IFERROR(HLOOKUP(G$2,[85]table_male_hkom3_inj.ill_X4!$A$1:$K$36,19,FALSE),0)</f>
        <v>0</v>
      </c>
      <c r="H2811">
        <f>IFERROR(HLOOKUP(H$2,[85]table_male_hkom3_inj.ill_X4!$A$1:$K$36,19,FALSE),0)</f>
        <v>0</v>
      </c>
      <c r="I2811">
        <f>IFERROR(HLOOKUP(I$2,[85]table_male_hkom3_inj.ill_X4!$A$1:$K$36,19,FALSE),0)</f>
        <v>0</v>
      </c>
      <c r="J2811">
        <f>IFERROR(HLOOKUP(J$2,[85]table_male_hkom3_inj.ill_X4!$A$1:$K$36,19,FALSE),0)</f>
        <v>0</v>
      </c>
      <c r="K2811">
        <f>IFERROR(HLOOKUP(K$2,[85]table_male_hkom3_inj.ill_X4!$A$1:$K$36,19,FALSE),0)</f>
        <v>0</v>
      </c>
      <c r="L2811">
        <f>IFERROR(HLOOKUP(L$2,[85]table_male_hkom3_inj.ill_X4!$A$1:$K$36,19,FALSE),0)</f>
        <v>0</v>
      </c>
      <c r="M2811">
        <f t="shared" si="874"/>
        <v>0</v>
      </c>
      <c r="S2811" t="s">
        <v>87</v>
      </c>
      <c r="T2811" s="5">
        <f t="shared" si="875"/>
        <v>0</v>
      </c>
      <c r="U2811" s="5">
        <f t="shared" si="876"/>
        <v>0</v>
      </c>
      <c r="V2811" s="5">
        <f t="shared" si="877"/>
        <v>0</v>
      </c>
      <c r="W2811" s="5">
        <f t="shared" si="878"/>
        <v>0</v>
      </c>
      <c r="X2811" s="5">
        <f t="shared" si="879"/>
        <v>0</v>
      </c>
      <c r="Y2811" s="5">
        <f t="shared" si="880"/>
        <v>0</v>
      </c>
      <c r="Z2811" s="5">
        <f t="shared" si="881"/>
        <v>0</v>
      </c>
      <c r="AA2811" s="5">
        <f t="shared" si="882"/>
        <v>0</v>
      </c>
      <c r="AB2811" s="5">
        <f t="shared" si="883"/>
        <v>0</v>
      </c>
    </row>
    <row r="2812" spans="4:28" x14ac:dyDescent="0.25">
      <c r="D2812" t="s">
        <v>88</v>
      </c>
      <c r="E2812" s="14"/>
      <c r="F2812" s="14"/>
      <c r="G2812">
        <f>IFERROR(HLOOKUP(G$2,[85]table_male_hkom3_inj.ill_X4!$A$1:$K$36,20,FALSE),0)</f>
        <v>0</v>
      </c>
      <c r="H2812">
        <f>IFERROR(HLOOKUP(H$2,[85]table_male_hkom3_inj.ill_X4!$A$1:$K$36,20,FALSE),0)</f>
        <v>0</v>
      </c>
      <c r="I2812">
        <f>IFERROR(HLOOKUP(I$2,[85]table_male_hkom3_inj.ill_X4!$A$1:$K$36,20,FALSE),0)</f>
        <v>0</v>
      </c>
      <c r="J2812">
        <f>IFERROR(HLOOKUP(J$2,[85]table_male_hkom3_inj.ill_X4!$A$1:$K$36,20,FALSE),0)</f>
        <v>0</v>
      </c>
      <c r="K2812">
        <f>IFERROR(HLOOKUP(K$2,[85]table_male_hkom3_inj.ill_X4!$A$1:$K$36,20,FALSE),0)</f>
        <v>0</v>
      </c>
      <c r="L2812">
        <f>IFERROR(HLOOKUP(L$2,[85]table_male_hkom3_inj.ill_X4!$A$1:$K$36,20,FALSE),0)</f>
        <v>0</v>
      </c>
      <c r="M2812">
        <f t="shared" si="874"/>
        <v>0</v>
      </c>
      <c r="S2812" t="s">
        <v>88</v>
      </c>
      <c r="T2812" s="5">
        <f t="shared" si="875"/>
        <v>0</v>
      </c>
      <c r="U2812" s="5">
        <f t="shared" si="876"/>
        <v>0</v>
      </c>
      <c r="V2812" s="5">
        <f t="shared" si="877"/>
        <v>0</v>
      </c>
      <c r="W2812" s="5">
        <f t="shared" si="878"/>
        <v>0</v>
      </c>
      <c r="X2812" s="5">
        <f t="shared" si="879"/>
        <v>0</v>
      </c>
      <c r="Y2812" s="5">
        <f t="shared" si="880"/>
        <v>0</v>
      </c>
      <c r="Z2812" s="5">
        <f t="shared" si="881"/>
        <v>0</v>
      </c>
      <c r="AA2812" s="5">
        <f t="shared" si="882"/>
        <v>0</v>
      </c>
      <c r="AB2812" s="5">
        <f t="shared" si="883"/>
        <v>0</v>
      </c>
    </row>
    <row r="2813" spans="4:28" x14ac:dyDescent="0.25">
      <c r="D2813" t="s">
        <v>89</v>
      </c>
      <c r="E2813" s="14"/>
      <c r="F2813" s="14"/>
      <c r="G2813">
        <f>IFERROR(HLOOKUP(G$2,[85]table_male_hkom3_inj.ill_X4!$A$1:$K$36,21,FALSE),0)</f>
        <v>0</v>
      </c>
      <c r="H2813">
        <f>IFERROR(HLOOKUP(H$2,[85]table_male_hkom3_inj.ill_X4!$A$1:$K$36,21,FALSE),0)</f>
        <v>0</v>
      </c>
      <c r="I2813">
        <f>IFERROR(HLOOKUP(I$2,[85]table_male_hkom3_inj.ill_X4!$A$1:$K$36,21,FALSE),0)</f>
        <v>0</v>
      </c>
      <c r="J2813">
        <f>IFERROR(HLOOKUP(J$2,[85]table_male_hkom3_inj.ill_X4!$A$1:$K$36,21,FALSE),0)</f>
        <v>0</v>
      </c>
      <c r="K2813">
        <f>IFERROR(HLOOKUP(K$2,[85]table_male_hkom3_inj.ill_X4!$A$1:$K$36,21,FALSE),0)</f>
        <v>0</v>
      </c>
      <c r="L2813">
        <f>IFERROR(HLOOKUP(L$2,[85]table_male_hkom3_inj.ill_X4!$A$1:$K$36,21,FALSE),0)</f>
        <v>0</v>
      </c>
      <c r="M2813">
        <f t="shared" si="874"/>
        <v>0</v>
      </c>
      <c r="S2813" t="s">
        <v>89</v>
      </c>
      <c r="T2813" s="5">
        <f t="shared" si="875"/>
        <v>0</v>
      </c>
      <c r="U2813" s="5">
        <f t="shared" si="876"/>
        <v>0</v>
      </c>
      <c r="V2813" s="5">
        <f t="shared" si="877"/>
        <v>0</v>
      </c>
      <c r="W2813" s="5">
        <f t="shared" si="878"/>
        <v>0</v>
      </c>
      <c r="X2813" s="5">
        <f t="shared" si="879"/>
        <v>0</v>
      </c>
      <c r="Y2813" s="5">
        <f t="shared" si="880"/>
        <v>0</v>
      </c>
      <c r="Z2813" s="5">
        <f t="shared" si="881"/>
        <v>0</v>
      </c>
      <c r="AA2813" s="5">
        <f t="shared" si="882"/>
        <v>0</v>
      </c>
      <c r="AB2813" s="5">
        <f t="shared" si="883"/>
        <v>0</v>
      </c>
    </row>
    <row r="2814" spans="4:28" x14ac:dyDescent="0.25">
      <c r="D2814" t="s">
        <v>90</v>
      </c>
      <c r="E2814" s="14"/>
      <c r="F2814" s="14"/>
      <c r="G2814">
        <f>IFERROR(HLOOKUP(G$2,[85]table_male_hkom3_inj.ill_X4!$A$1:$K$36,22,FALSE),0)</f>
        <v>0</v>
      </c>
      <c r="H2814">
        <f>IFERROR(HLOOKUP(H$2,[85]table_male_hkom3_inj.ill_X4!$A$1:$K$36,22,FALSE),0)</f>
        <v>0</v>
      </c>
      <c r="I2814">
        <f>IFERROR(HLOOKUP(I$2,[85]table_male_hkom3_inj.ill_X4!$A$1:$K$36,22,FALSE),0)</f>
        <v>0</v>
      </c>
      <c r="J2814">
        <f>IFERROR(HLOOKUP(J$2,[85]table_male_hkom3_inj.ill_X4!$A$1:$K$36,22,FALSE),0)</f>
        <v>0</v>
      </c>
      <c r="K2814">
        <f>IFERROR(HLOOKUP(K$2,[85]table_male_hkom3_inj.ill_X4!$A$1:$K$36,22,FALSE),0)</f>
        <v>0</v>
      </c>
      <c r="L2814">
        <f>IFERROR(HLOOKUP(L$2,[85]table_male_hkom3_inj.ill_X4!$A$1:$K$36,22,FALSE),0)</f>
        <v>0</v>
      </c>
      <c r="M2814">
        <f t="shared" si="874"/>
        <v>0</v>
      </c>
      <c r="S2814" t="s">
        <v>90</v>
      </c>
      <c r="T2814" s="5">
        <f t="shared" si="875"/>
        <v>0</v>
      </c>
      <c r="U2814" s="5">
        <f t="shared" si="876"/>
        <v>0</v>
      </c>
      <c r="V2814" s="5">
        <f t="shared" si="877"/>
        <v>0</v>
      </c>
      <c r="W2814" s="5">
        <f t="shared" si="878"/>
        <v>0</v>
      </c>
      <c r="X2814" s="5">
        <f t="shared" si="879"/>
        <v>0</v>
      </c>
      <c r="Y2814" s="5">
        <f t="shared" si="880"/>
        <v>0</v>
      </c>
      <c r="Z2814" s="5">
        <f t="shared" si="881"/>
        <v>0</v>
      </c>
      <c r="AA2814" s="5">
        <f t="shared" si="882"/>
        <v>0</v>
      </c>
      <c r="AB2814" s="5">
        <f t="shared" si="883"/>
        <v>0</v>
      </c>
    </row>
    <row r="2815" spans="4:28" x14ac:dyDescent="0.25">
      <c r="D2815" t="s">
        <v>91</v>
      </c>
      <c r="E2815" s="14"/>
      <c r="F2815" s="14"/>
      <c r="G2815">
        <f>IFERROR(HLOOKUP(G$2,[85]table_male_hkom3_inj.ill_X4!$A$1:$K$36,23,FALSE),0)</f>
        <v>0</v>
      </c>
      <c r="H2815">
        <f>IFERROR(HLOOKUP(H$2,[85]table_male_hkom3_inj.ill_X4!$A$1:$K$36,23,FALSE),0)</f>
        <v>0</v>
      </c>
      <c r="I2815">
        <f>IFERROR(HLOOKUP(I$2,[85]table_male_hkom3_inj.ill_X4!$A$1:$K$36,23,FALSE),0)</f>
        <v>0</v>
      </c>
      <c r="J2815">
        <f>IFERROR(HLOOKUP(J$2,[85]table_male_hkom3_inj.ill_X4!$A$1:$K$36,23,FALSE),0)</f>
        <v>0</v>
      </c>
      <c r="K2815">
        <f>IFERROR(HLOOKUP(K$2,[85]table_male_hkom3_inj.ill_X4!$A$1:$K$36,23,FALSE),0)</f>
        <v>0</v>
      </c>
      <c r="L2815">
        <f>IFERROR(HLOOKUP(L$2,[85]table_male_hkom3_inj.ill_X4!$A$1:$K$36,23,FALSE),0)</f>
        <v>0</v>
      </c>
      <c r="M2815">
        <f t="shared" si="874"/>
        <v>0</v>
      </c>
      <c r="S2815" t="s">
        <v>91</v>
      </c>
      <c r="T2815" s="5">
        <f t="shared" si="875"/>
        <v>0</v>
      </c>
      <c r="U2815" s="5">
        <f t="shared" si="876"/>
        <v>0</v>
      </c>
      <c r="V2815" s="5">
        <f t="shared" si="877"/>
        <v>0</v>
      </c>
      <c r="W2815" s="5">
        <f t="shared" si="878"/>
        <v>0</v>
      </c>
      <c r="X2815" s="5">
        <f t="shared" si="879"/>
        <v>0</v>
      </c>
      <c r="Y2815" s="5">
        <f t="shared" si="880"/>
        <v>0</v>
      </c>
      <c r="Z2815" s="5">
        <f t="shared" si="881"/>
        <v>0</v>
      </c>
      <c r="AA2815" s="5">
        <f t="shared" si="882"/>
        <v>0</v>
      </c>
      <c r="AB2815" s="5">
        <f t="shared" si="883"/>
        <v>0</v>
      </c>
    </row>
    <row r="2816" spans="4:28" x14ac:dyDescent="0.25">
      <c r="D2816" t="s">
        <v>92</v>
      </c>
      <c r="E2816" s="14"/>
      <c r="F2816" s="14"/>
      <c r="G2816">
        <f>IFERROR(HLOOKUP(G$2,[85]table_male_hkom3_inj.ill_X4!$A$1:$K$36,24,FALSE),0)</f>
        <v>0</v>
      </c>
      <c r="H2816">
        <f>IFERROR(HLOOKUP(H$2,[85]table_male_hkom3_inj.ill_X4!$A$1:$K$36,24,FALSE),0)</f>
        <v>0</v>
      </c>
      <c r="I2816">
        <f>IFERROR(HLOOKUP(I$2,[85]table_male_hkom3_inj.ill_X4!$A$1:$K$36,24,FALSE),0)</f>
        <v>0</v>
      </c>
      <c r="J2816">
        <f>IFERROR(HLOOKUP(J$2,[85]table_male_hkom3_inj.ill_X4!$A$1:$K$36,24,FALSE),0)</f>
        <v>0</v>
      </c>
      <c r="K2816">
        <f>IFERROR(HLOOKUP(K$2,[85]table_male_hkom3_inj.ill_X4!$A$1:$K$36,24,FALSE),0)</f>
        <v>0</v>
      </c>
      <c r="L2816">
        <f>IFERROR(HLOOKUP(L$2,[85]table_male_hkom3_inj.ill_X4!$A$1:$K$36,24,FALSE),0)</f>
        <v>0</v>
      </c>
      <c r="M2816">
        <f t="shared" si="874"/>
        <v>0</v>
      </c>
      <c r="S2816" t="s">
        <v>92</v>
      </c>
      <c r="T2816" s="5">
        <f t="shared" si="875"/>
        <v>0</v>
      </c>
      <c r="U2816" s="5">
        <f t="shared" si="876"/>
        <v>0</v>
      </c>
      <c r="V2816" s="5">
        <f t="shared" si="877"/>
        <v>0</v>
      </c>
      <c r="W2816" s="5">
        <f t="shared" si="878"/>
        <v>0</v>
      </c>
      <c r="X2816" s="5">
        <f t="shared" si="879"/>
        <v>0</v>
      </c>
      <c r="Y2816" s="5">
        <f t="shared" si="880"/>
        <v>0</v>
      </c>
      <c r="Z2816" s="5">
        <f t="shared" si="881"/>
        <v>0</v>
      </c>
      <c r="AA2816" s="5">
        <f t="shared" si="882"/>
        <v>0</v>
      </c>
      <c r="AB2816" s="5">
        <f t="shared" si="883"/>
        <v>0</v>
      </c>
    </row>
    <row r="2817" spans="1:29" x14ac:dyDescent="0.25">
      <c r="D2817" t="s">
        <v>93</v>
      </c>
      <c r="E2817" s="14"/>
      <c r="F2817" s="14"/>
      <c r="G2817">
        <f>IFERROR(HLOOKUP(G$2,[85]table_male_hkom3_inj.ill_X4!$A$1:$K$36,25,FALSE),0)</f>
        <v>0</v>
      </c>
      <c r="H2817">
        <f>IFERROR(HLOOKUP(H$2,[85]table_male_hkom3_inj.ill_X4!$A$1:$K$36,25,FALSE),0)</f>
        <v>0</v>
      </c>
      <c r="I2817">
        <f>IFERROR(HLOOKUP(I$2,[85]table_male_hkom3_inj.ill_X4!$A$1:$K$36,25,FALSE),0)</f>
        <v>0</v>
      </c>
      <c r="J2817">
        <f>IFERROR(HLOOKUP(J$2,[85]table_male_hkom3_inj.ill_X4!$A$1:$K$36,25,FALSE),0)</f>
        <v>0</v>
      </c>
      <c r="K2817">
        <f>IFERROR(HLOOKUP(K$2,[85]table_male_hkom3_inj.ill_X4!$A$1:$K$36,25,FALSE),0)</f>
        <v>0</v>
      </c>
      <c r="L2817">
        <f>IFERROR(HLOOKUP(L$2,[85]table_male_hkom3_inj.ill_X4!$A$1:$K$36,25,FALSE),0)</f>
        <v>0</v>
      </c>
      <c r="M2817">
        <f t="shared" si="874"/>
        <v>0</v>
      </c>
      <c r="S2817" t="s">
        <v>93</v>
      </c>
      <c r="T2817" s="5">
        <f t="shared" si="875"/>
        <v>0</v>
      </c>
      <c r="U2817" s="5">
        <f t="shared" si="876"/>
        <v>0</v>
      </c>
      <c r="V2817" s="5">
        <f t="shared" si="877"/>
        <v>0</v>
      </c>
      <c r="W2817" s="5">
        <f t="shared" si="878"/>
        <v>0</v>
      </c>
      <c r="X2817" s="5">
        <f t="shared" si="879"/>
        <v>0</v>
      </c>
      <c r="Y2817" s="5">
        <f t="shared" si="880"/>
        <v>0</v>
      </c>
      <c r="Z2817" s="5">
        <f t="shared" si="881"/>
        <v>0</v>
      </c>
      <c r="AA2817" s="5">
        <f t="shared" si="882"/>
        <v>0</v>
      </c>
      <c r="AB2817" s="5">
        <f t="shared" si="883"/>
        <v>0</v>
      </c>
    </row>
    <row r="2818" spans="1:29" x14ac:dyDescent="0.25">
      <c r="D2818" t="s">
        <v>94</v>
      </c>
      <c r="E2818" s="14"/>
      <c r="F2818" s="14"/>
      <c r="G2818">
        <f>IFERROR(HLOOKUP(G$2,[85]table_male_hkom3_inj.ill_X4!$A$1:$K$36,26,FALSE),0)</f>
        <v>0</v>
      </c>
      <c r="H2818">
        <f>IFERROR(HLOOKUP(H$2,[85]table_male_hkom3_inj.ill_X4!$A$1:$K$36,26,FALSE),0)</f>
        <v>0</v>
      </c>
      <c r="I2818">
        <f>IFERROR(HLOOKUP(I$2,[85]table_male_hkom3_inj.ill_X4!$A$1:$K$36,26,FALSE),0)</f>
        <v>0</v>
      </c>
      <c r="J2818">
        <f>IFERROR(HLOOKUP(J$2,[85]table_male_hkom3_inj.ill_X4!$A$1:$K$36,26,FALSE),0)</f>
        <v>0</v>
      </c>
      <c r="K2818">
        <f>IFERROR(HLOOKUP(K$2,[85]table_male_hkom3_inj.ill_X4!$A$1:$K$36,26,FALSE),0)</f>
        <v>0</v>
      </c>
      <c r="L2818">
        <f>IFERROR(HLOOKUP(L$2,[85]table_male_hkom3_inj.ill_X4!$A$1:$K$36,26,FALSE),0)</f>
        <v>0</v>
      </c>
      <c r="M2818">
        <f t="shared" si="874"/>
        <v>0</v>
      </c>
      <c r="S2818" t="s">
        <v>94</v>
      </c>
      <c r="T2818" s="5">
        <f t="shared" si="875"/>
        <v>0</v>
      </c>
      <c r="U2818" s="5">
        <f t="shared" si="876"/>
        <v>0</v>
      </c>
      <c r="V2818" s="5">
        <f t="shared" si="877"/>
        <v>0</v>
      </c>
      <c r="W2818" s="5">
        <f t="shared" si="878"/>
        <v>0</v>
      </c>
      <c r="X2818" s="5">
        <f t="shared" si="879"/>
        <v>0</v>
      </c>
      <c r="Y2818" s="5">
        <f t="shared" si="880"/>
        <v>0</v>
      </c>
      <c r="Z2818" s="5">
        <f t="shared" si="881"/>
        <v>0</v>
      </c>
      <c r="AA2818" s="5">
        <f t="shared" si="882"/>
        <v>0</v>
      </c>
      <c r="AB2818" s="5">
        <f t="shared" si="883"/>
        <v>0</v>
      </c>
    </row>
    <row r="2819" spans="1:29" x14ac:dyDescent="0.25">
      <c r="D2819" t="s">
        <v>95</v>
      </c>
      <c r="E2819" s="14"/>
      <c r="F2819" s="14"/>
      <c r="G2819">
        <f>IFERROR(HLOOKUP(G$2,[85]table_male_hkom3_inj.ill_X4!$A$1:$K$36,27,FALSE),0)</f>
        <v>0</v>
      </c>
      <c r="H2819">
        <f>IFERROR(HLOOKUP(H$2,[85]table_male_hkom3_inj.ill_X4!$A$1:$K$36,27,FALSE),0)</f>
        <v>0</v>
      </c>
      <c r="I2819">
        <f>IFERROR(HLOOKUP(I$2,[85]table_male_hkom3_inj.ill_X4!$A$1:$K$36,27,FALSE),0)</f>
        <v>0</v>
      </c>
      <c r="J2819">
        <f>IFERROR(HLOOKUP(J$2,[85]table_male_hkom3_inj.ill_X4!$A$1:$K$36,27,FALSE),0)</f>
        <v>0</v>
      </c>
      <c r="K2819">
        <f>IFERROR(HLOOKUP(K$2,[85]table_male_hkom3_inj.ill_X4!$A$1:$K$36,27,FALSE),0)</f>
        <v>0</v>
      </c>
      <c r="L2819">
        <f>IFERROR(HLOOKUP(L$2,[85]table_male_hkom3_inj.ill_X4!$A$1:$K$36,27,FALSE),0)</f>
        <v>0</v>
      </c>
      <c r="M2819">
        <f t="shared" si="874"/>
        <v>0</v>
      </c>
      <c r="S2819" t="s">
        <v>95</v>
      </c>
      <c r="T2819" s="5">
        <f t="shared" si="875"/>
        <v>0</v>
      </c>
      <c r="U2819" s="5">
        <f t="shared" si="876"/>
        <v>0</v>
      </c>
      <c r="V2819" s="5">
        <f t="shared" si="877"/>
        <v>0</v>
      </c>
      <c r="W2819" s="5">
        <f t="shared" si="878"/>
        <v>0</v>
      </c>
      <c r="X2819" s="5">
        <f t="shared" si="879"/>
        <v>0</v>
      </c>
      <c r="Y2819" s="5">
        <f t="shared" si="880"/>
        <v>0</v>
      </c>
      <c r="Z2819" s="5">
        <f t="shared" si="881"/>
        <v>0</v>
      </c>
      <c r="AA2819" s="5">
        <f t="shared" si="882"/>
        <v>0</v>
      </c>
      <c r="AB2819" s="5">
        <f t="shared" si="883"/>
        <v>0</v>
      </c>
    </row>
    <row r="2820" spans="1:29" x14ac:dyDescent="0.25">
      <c r="D2820" t="s">
        <v>96</v>
      </c>
      <c r="E2820" s="14"/>
      <c r="F2820" s="14"/>
      <c r="G2820">
        <f>IFERROR(HLOOKUP(G$2,[85]table_male_hkom3_inj.ill_X4!$A$1:$K$36,28,FALSE),0)</f>
        <v>0</v>
      </c>
      <c r="H2820">
        <f>IFERROR(HLOOKUP(H$2,[85]table_male_hkom3_inj.ill_X4!$A$1:$K$36,28,FALSE),0)</f>
        <v>0</v>
      </c>
      <c r="I2820">
        <f>IFERROR(HLOOKUP(I$2,[85]table_male_hkom3_inj.ill_X4!$A$1:$K$36,28,FALSE),0)</f>
        <v>0</v>
      </c>
      <c r="J2820">
        <f>IFERROR(HLOOKUP(J$2,[85]table_male_hkom3_inj.ill_X4!$A$1:$K$36,28,FALSE),0)</f>
        <v>0</v>
      </c>
      <c r="K2820">
        <f>IFERROR(HLOOKUP(K$2,[85]table_male_hkom3_inj.ill_X4!$A$1:$K$36,28,FALSE),0)</f>
        <v>0</v>
      </c>
      <c r="L2820">
        <f>IFERROR(HLOOKUP(L$2,[85]table_male_hkom3_inj.ill_X4!$A$1:$K$36,28,FALSE),0)</f>
        <v>0</v>
      </c>
      <c r="M2820">
        <f t="shared" si="874"/>
        <v>0</v>
      </c>
      <c r="S2820" t="s">
        <v>96</v>
      </c>
      <c r="T2820" s="5">
        <f t="shared" si="875"/>
        <v>0</v>
      </c>
      <c r="U2820" s="5">
        <f t="shared" si="876"/>
        <v>0</v>
      </c>
      <c r="V2820" s="5">
        <f t="shared" si="877"/>
        <v>0</v>
      </c>
      <c r="W2820" s="5">
        <f t="shared" si="878"/>
        <v>0</v>
      </c>
      <c r="X2820" s="5">
        <f t="shared" si="879"/>
        <v>0</v>
      </c>
      <c r="Y2820" s="5">
        <f t="shared" si="880"/>
        <v>0</v>
      </c>
      <c r="Z2820" s="5">
        <f t="shared" si="881"/>
        <v>0</v>
      </c>
      <c r="AA2820" s="5">
        <f t="shared" si="882"/>
        <v>0</v>
      </c>
      <c r="AB2820" s="5">
        <f t="shared" si="883"/>
        <v>0</v>
      </c>
    </row>
    <row r="2821" spans="1:29" x14ac:dyDescent="0.25">
      <c r="D2821" t="s">
        <v>97</v>
      </c>
      <c r="E2821" s="14"/>
      <c r="F2821" s="14"/>
      <c r="G2821">
        <f>IFERROR(HLOOKUP(G$2,[85]table_male_hkom3_inj.ill_X4!$A$1:$K$36,29,FALSE),0)</f>
        <v>0</v>
      </c>
      <c r="H2821">
        <f>IFERROR(HLOOKUP(H$2,[85]table_male_hkom3_inj.ill_X4!$A$1:$K$36,29,FALSE),0)</f>
        <v>0</v>
      </c>
      <c r="I2821">
        <f>IFERROR(HLOOKUP(I$2,[85]table_male_hkom3_inj.ill_X4!$A$1:$K$36,29,FALSE),0)</f>
        <v>0</v>
      </c>
      <c r="J2821">
        <f>IFERROR(HLOOKUP(J$2,[85]table_male_hkom3_inj.ill_X4!$A$1:$K$36,29,FALSE),0)</f>
        <v>0</v>
      </c>
      <c r="K2821">
        <f>IFERROR(HLOOKUP(K$2,[85]table_male_hkom3_inj.ill_X4!$A$1:$K$36,29,FALSE),0)</f>
        <v>0</v>
      </c>
      <c r="L2821">
        <f>IFERROR(HLOOKUP(L$2,[85]table_male_hkom3_inj.ill_X4!$A$1:$K$36,29,FALSE),0)</f>
        <v>0</v>
      </c>
      <c r="M2821">
        <f t="shared" si="874"/>
        <v>0</v>
      </c>
      <c r="S2821" t="s">
        <v>97</v>
      </c>
      <c r="T2821" s="5">
        <f t="shared" si="875"/>
        <v>0</v>
      </c>
      <c r="U2821" s="5">
        <f t="shared" si="876"/>
        <v>0</v>
      </c>
      <c r="V2821" s="5">
        <f t="shared" si="877"/>
        <v>0</v>
      </c>
      <c r="W2821" s="5">
        <f t="shared" si="878"/>
        <v>0</v>
      </c>
      <c r="X2821" s="5">
        <f t="shared" si="879"/>
        <v>0</v>
      </c>
      <c r="Y2821" s="5">
        <f t="shared" si="880"/>
        <v>0</v>
      </c>
      <c r="Z2821" s="5">
        <f t="shared" si="881"/>
        <v>0</v>
      </c>
      <c r="AA2821" s="5">
        <f t="shared" si="882"/>
        <v>0</v>
      </c>
      <c r="AB2821" s="5">
        <f t="shared" si="883"/>
        <v>0</v>
      </c>
    </row>
    <row r="2822" spans="1:29" x14ac:dyDescent="0.25">
      <c r="D2822" t="s">
        <v>98</v>
      </c>
      <c r="E2822" s="14"/>
      <c r="F2822" s="14"/>
      <c r="G2822">
        <f>IFERROR(HLOOKUP(G$2,[85]table_male_hkom3_inj.ill_X4!$A$1:$K$36,30,FALSE),0)</f>
        <v>0</v>
      </c>
      <c r="H2822">
        <f>IFERROR(HLOOKUP(H$2,[85]table_male_hkom3_inj.ill_X4!$A$1:$K$36,30,FALSE),0)</f>
        <v>0</v>
      </c>
      <c r="I2822">
        <f>IFERROR(HLOOKUP(I$2,[85]table_male_hkom3_inj.ill_X4!$A$1:$K$36,30,FALSE),0)</f>
        <v>0</v>
      </c>
      <c r="J2822">
        <f>IFERROR(HLOOKUP(J$2,[85]table_male_hkom3_inj.ill_X4!$A$1:$K$36,30,FALSE),0)</f>
        <v>0</v>
      </c>
      <c r="K2822">
        <f>IFERROR(HLOOKUP(K$2,[85]table_male_hkom3_inj.ill_X4!$A$1:$K$36,30,FALSE),0)</f>
        <v>0</v>
      </c>
      <c r="L2822">
        <f>IFERROR(HLOOKUP(L$2,[85]table_male_hkom3_inj.ill_X4!$A$1:$K$36,30,FALSE),0)</f>
        <v>0</v>
      </c>
      <c r="M2822">
        <f t="shared" si="874"/>
        <v>0</v>
      </c>
      <c r="S2822" t="s">
        <v>98</v>
      </c>
      <c r="T2822" s="5">
        <f t="shared" si="875"/>
        <v>0</v>
      </c>
      <c r="U2822" s="5">
        <f t="shared" si="876"/>
        <v>0</v>
      </c>
      <c r="V2822" s="5">
        <f t="shared" si="877"/>
        <v>0</v>
      </c>
      <c r="W2822" s="5">
        <f t="shared" si="878"/>
        <v>0</v>
      </c>
      <c r="X2822" s="5">
        <f t="shared" si="879"/>
        <v>0</v>
      </c>
      <c r="Y2822" s="5">
        <f t="shared" si="880"/>
        <v>0</v>
      </c>
      <c r="Z2822" s="5">
        <f t="shared" si="881"/>
        <v>0</v>
      </c>
      <c r="AA2822" s="5">
        <f t="shared" si="882"/>
        <v>0</v>
      </c>
      <c r="AB2822" s="5">
        <f t="shared" si="883"/>
        <v>0</v>
      </c>
    </row>
    <row r="2823" spans="1:29" x14ac:dyDescent="0.25">
      <c r="D2823" t="s">
        <v>119</v>
      </c>
      <c r="E2823" s="14"/>
      <c r="F2823" s="14"/>
      <c r="G2823">
        <f>IFERROR(HLOOKUP(G$2,[85]table_male_hkom3_inj.ill_X4!$A$1:$K$36,31,FALSE),0)</f>
        <v>0</v>
      </c>
      <c r="H2823">
        <f>IFERROR(HLOOKUP(H$2,[85]table_male_hkom3_inj.ill_X4!$A$1:$K$36,31,FALSE),0)</f>
        <v>0</v>
      </c>
      <c r="I2823">
        <f>IFERROR(HLOOKUP(I$2,[85]table_male_hkom3_inj.ill_X4!$A$1:$K$36,31,FALSE),0)</f>
        <v>0</v>
      </c>
      <c r="J2823">
        <f>IFERROR(HLOOKUP(J$2,[85]table_male_hkom3_inj.ill_X4!$A$1:$K$36,31,FALSE),0)</f>
        <v>0</v>
      </c>
      <c r="K2823">
        <f>IFERROR(HLOOKUP(K$2,[85]table_male_hkom3_inj.ill_X4!$A$1:$K$36,31,FALSE),0)</f>
        <v>0</v>
      </c>
      <c r="L2823">
        <f>IFERROR(HLOOKUP(L$2,[85]table_male_hkom3_inj.ill_X4!$A$1:$K$36,31,FALSE),0)</f>
        <v>0</v>
      </c>
      <c r="M2823">
        <f t="shared" si="874"/>
        <v>0</v>
      </c>
      <c r="S2823" t="s">
        <v>119</v>
      </c>
      <c r="T2823" s="5">
        <f t="shared" si="875"/>
        <v>0</v>
      </c>
      <c r="U2823" s="5">
        <f t="shared" si="876"/>
        <v>0</v>
      </c>
      <c r="V2823" s="5">
        <f t="shared" si="877"/>
        <v>0</v>
      </c>
      <c r="W2823" s="5">
        <f t="shared" si="878"/>
        <v>0</v>
      </c>
      <c r="X2823" s="5">
        <f t="shared" si="879"/>
        <v>0</v>
      </c>
      <c r="Y2823" s="5">
        <f t="shared" si="880"/>
        <v>0</v>
      </c>
      <c r="Z2823" s="5">
        <f t="shared" si="881"/>
        <v>0</v>
      </c>
      <c r="AA2823" s="5">
        <f t="shared" si="882"/>
        <v>0</v>
      </c>
      <c r="AB2823" s="5">
        <f t="shared" si="883"/>
        <v>0</v>
      </c>
    </row>
    <row r="2824" spans="1:29" x14ac:dyDescent="0.25">
      <c r="D2824" t="s">
        <v>99</v>
      </c>
      <c r="E2824" s="14"/>
      <c r="F2824" s="14"/>
      <c r="G2824">
        <f>IFERROR(HLOOKUP(G$2,[85]table_male_hkom3_inj.ill_X4!$A$1:$K$36,32,FALSE),0)</f>
        <v>0</v>
      </c>
      <c r="H2824">
        <f>IFERROR(HLOOKUP(H$2,[85]table_male_hkom3_inj.ill_X4!$A$1:$K$36,32,FALSE),0)</f>
        <v>0</v>
      </c>
      <c r="I2824">
        <f>IFERROR(HLOOKUP(I$2,[85]table_male_hkom3_inj.ill_X4!$A$1:$K$36,32,FALSE),0)</f>
        <v>0</v>
      </c>
      <c r="J2824">
        <f>IFERROR(HLOOKUP(J$2,[85]table_male_hkom3_inj.ill_X4!$A$1:$K$36,32,FALSE),0)</f>
        <v>0</v>
      </c>
      <c r="K2824">
        <f>IFERROR(HLOOKUP(K$2,[85]table_male_hkom3_inj.ill_X4!$A$1:$K$36,32,FALSE),0)</f>
        <v>0</v>
      </c>
      <c r="L2824">
        <f>IFERROR(HLOOKUP(L$2,[85]table_male_hkom3_inj.ill_X4!$A$1:$K$36,32,FALSE),0)</f>
        <v>0</v>
      </c>
      <c r="M2824">
        <f t="shared" si="874"/>
        <v>0</v>
      </c>
      <c r="S2824" t="s">
        <v>99</v>
      </c>
      <c r="T2824" s="5">
        <f t="shared" si="875"/>
        <v>0</v>
      </c>
      <c r="U2824" s="5">
        <f t="shared" si="876"/>
        <v>0</v>
      </c>
      <c r="V2824" s="5">
        <f t="shared" si="877"/>
        <v>0</v>
      </c>
      <c r="W2824" s="5">
        <f t="shared" si="878"/>
        <v>0</v>
      </c>
      <c r="X2824" s="5">
        <f t="shared" si="879"/>
        <v>0</v>
      </c>
      <c r="Y2824" s="5">
        <f t="shared" si="880"/>
        <v>0</v>
      </c>
      <c r="Z2824" s="5">
        <f t="shared" si="881"/>
        <v>0</v>
      </c>
      <c r="AA2824" s="5">
        <f t="shared" si="882"/>
        <v>0</v>
      </c>
      <c r="AB2824" s="5">
        <f t="shared" si="883"/>
        <v>0</v>
      </c>
    </row>
    <row r="2825" spans="1:29" x14ac:dyDescent="0.25">
      <c r="D2825" t="s">
        <v>100</v>
      </c>
      <c r="E2825" s="14"/>
      <c r="F2825" s="14"/>
      <c r="G2825">
        <f>IFERROR(HLOOKUP(G$2,[85]table_male_hkom3_inj.ill_X4!$A$1:$K$36,33,FALSE),0)</f>
        <v>0</v>
      </c>
      <c r="H2825">
        <f>IFERROR(HLOOKUP(H$2,[85]table_male_hkom3_inj.ill_X4!$A$1:$K$36,33,FALSE),0)</f>
        <v>0</v>
      </c>
      <c r="I2825">
        <f>IFERROR(HLOOKUP(I$2,[85]table_male_hkom3_inj.ill_X4!$A$1:$K$36,33,FALSE),0)</f>
        <v>0</v>
      </c>
      <c r="J2825">
        <f>IFERROR(HLOOKUP(J$2,[85]table_male_hkom3_inj.ill_X4!$A$1:$K$36,33,FALSE),0)</f>
        <v>0</v>
      </c>
      <c r="K2825">
        <f>IFERROR(HLOOKUP(K$2,[85]table_male_hkom3_inj.ill_X4!$A$1:$K$36,33,FALSE),0)</f>
        <v>0</v>
      </c>
      <c r="L2825">
        <f>IFERROR(HLOOKUP(L$2,[85]table_male_hkom3_inj.ill_X4!$A$1:$K$36,33,FALSE),0)</f>
        <v>0</v>
      </c>
      <c r="M2825">
        <f t="shared" si="874"/>
        <v>0</v>
      </c>
      <c r="S2825" t="s">
        <v>100</v>
      </c>
      <c r="T2825" s="5">
        <f t="shared" si="875"/>
        <v>0</v>
      </c>
      <c r="U2825" s="5">
        <f t="shared" si="876"/>
        <v>0</v>
      </c>
      <c r="V2825" s="5">
        <f t="shared" si="877"/>
        <v>0</v>
      </c>
      <c r="W2825" s="5">
        <f t="shared" si="878"/>
        <v>0</v>
      </c>
      <c r="X2825" s="5">
        <f t="shared" si="879"/>
        <v>0</v>
      </c>
      <c r="Y2825" s="5">
        <f t="shared" si="880"/>
        <v>0</v>
      </c>
      <c r="Z2825" s="5">
        <f t="shared" si="881"/>
        <v>0</v>
      </c>
      <c r="AA2825" s="5">
        <f t="shared" si="882"/>
        <v>0</v>
      </c>
      <c r="AB2825" s="5">
        <f t="shared" si="883"/>
        <v>0</v>
      </c>
    </row>
    <row r="2826" spans="1:29" x14ac:dyDescent="0.25">
      <c r="D2826" t="s">
        <v>101</v>
      </c>
      <c r="E2826" s="14"/>
      <c r="F2826" s="14"/>
      <c r="G2826">
        <f>IFERROR(HLOOKUP(G$2,[85]table_male_hkom3_inj.ill_X4!$A$1:$K$36,34,FALSE),0)</f>
        <v>0</v>
      </c>
      <c r="H2826">
        <f>IFERROR(HLOOKUP(H$2,[85]table_male_hkom3_inj.ill_X4!$A$1:$K$36,34,FALSE),0)</f>
        <v>0</v>
      </c>
      <c r="I2826">
        <f>IFERROR(HLOOKUP(I$2,[85]table_male_hkom3_inj.ill_X4!$A$1:$K$36,34,FALSE),0)</f>
        <v>0</v>
      </c>
      <c r="J2826">
        <f>IFERROR(HLOOKUP(J$2,[85]table_male_hkom3_inj.ill_X4!$A$1:$K$36,34,FALSE),0)</f>
        <v>0</v>
      </c>
      <c r="K2826">
        <f>IFERROR(HLOOKUP(K$2,[85]table_male_hkom3_inj.ill_X4!$A$1:$K$36,34,FALSE),0)</f>
        <v>0</v>
      </c>
      <c r="L2826">
        <f>IFERROR(HLOOKUP(L$2,[85]table_male_hkom3_inj.ill_X4!$A$1:$K$36,34,FALSE),0)</f>
        <v>0</v>
      </c>
      <c r="M2826">
        <f t="shared" si="874"/>
        <v>0</v>
      </c>
      <c r="S2826" t="s">
        <v>101</v>
      </c>
      <c r="T2826" s="5">
        <f t="shared" si="875"/>
        <v>0</v>
      </c>
      <c r="U2826" s="5">
        <f t="shared" si="876"/>
        <v>0</v>
      </c>
      <c r="V2826" s="5">
        <f t="shared" si="877"/>
        <v>0</v>
      </c>
      <c r="W2826" s="5">
        <f t="shared" si="878"/>
        <v>0</v>
      </c>
      <c r="X2826" s="5">
        <f t="shared" si="879"/>
        <v>0</v>
      </c>
      <c r="Y2826" s="5">
        <f t="shared" si="880"/>
        <v>0</v>
      </c>
      <c r="Z2826" s="5">
        <f t="shared" si="881"/>
        <v>0</v>
      </c>
      <c r="AA2826" s="5">
        <f t="shared" si="882"/>
        <v>0</v>
      </c>
      <c r="AB2826" s="5">
        <f t="shared" si="883"/>
        <v>0</v>
      </c>
    </row>
    <row r="2827" spans="1:29" x14ac:dyDescent="0.25">
      <c r="D2827" t="s">
        <v>102</v>
      </c>
      <c r="E2827" s="14"/>
      <c r="F2827" s="14"/>
      <c r="G2827">
        <f>IFERROR(HLOOKUP(G$2,[85]table_male_hkom3_inj.ill_X4!$A$1:$K$36,35,FALSE),0)</f>
        <v>0</v>
      </c>
      <c r="H2827">
        <f>IFERROR(HLOOKUP(H$2,[85]table_male_hkom3_inj.ill_X4!$A$1:$K$36,35,FALSE),0)</f>
        <v>0</v>
      </c>
      <c r="I2827">
        <f>IFERROR(HLOOKUP(I$2,[85]table_male_hkom3_inj.ill_X4!$A$1:$K$36,35,FALSE),0)</f>
        <v>0</v>
      </c>
      <c r="J2827">
        <f>IFERROR(HLOOKUP(J$2,[85]table_male_hkom3_inj.ill_X4!$A$1:$K$36,35,FALSE),0)</f>
        <v>0</v>
      </c>
      <c r="K2827">
        <f>IFERROR(HLOOKUP(K$2,[85]table_male_hkom3_inj.ill_X4!$A$1:$K$36,35,FALSE),0)</f>
        <v>0</v>
      </c>
      <c r="L2827">
        <f>IFERROR(HLOOKUP(L$2,[85]table_male_hkom3_inj.ill_X4!$A$1:$K$36,35,FALSE),0)</f>
        <v>0</v>
      </c>
      <c r="M2827">
        <f t="shared" si="874"/>
        <v>0</v>
      </c>
      <c r="N2827">
        <f>SUM(M2794:M2827)</f>
        <v>1</v>
      </c>
      <c r="O2827" s="8">
        <f>SUM([85]table_male_hkom3_inj.ill_X4!$B$2:$L$37)</f>
        <v>1</v>
      </c>
      <c r="S2827" t="s">
        <v>102</v>
      </c>
      <c r="T2827" s="7"/>
      <c r="U2827" s="7"/>
      <c r="V2827" s="7"/>
      <c r="W2827" s="7"/>
      <c r="X2827" s="7"/>
      <c r="Y2827" s="7"/>
      <c r="Z2827" s="7"/>
      <c r="AA2827" s="7"/>
      <c r="AB2827" s="5">
        <f t="shared" si="883"/>
        <v>0</v>
      </c>
      <c r="AC2827" s="5">
        <f>SUM(AB2794:AB2826)</f>
        <v>1</v>
      </c>
    </row>
    <row r="2828" spans="1:29" x14ac:dyDescent="0.25">
      <c r="A2828" t="s">
        <v>104</v>
      </c>
      <c r="B2828" t="s">
        <v>117</v>
      </c>
      <c r="C2828" t="s">
        <v>127</v>
      </c>
      <c r="D2828" t="s">
        <v>70</v>
      </c>
      <c r="E2828" s="14"/>
      <c r="F2828" s="14"/>
      <c r="G2828">
        <f>IFERROR(HLOOKUP(G$2,[86]table_male_hkom3_inj.ill_X5!$A$1:$K$36,2,FALSE),0)</f>
        <v>0</v>
      </c>
      <c r="H2828">
        <f>IFERROR(HLOOKUP(H$2,[86]table_male_hkom3_inj.ill_X5!$A$1:$K$36,2,FALSE),0)</f>
        <v>0</v>
      </c>
      <c r="I2828">
        <f>IFERROR(HLOOKUP(I$2,[86]table_male_hkom3_inj.ill_X5!$A$1:$K$36,2,FALSE),0)</f>
        <v>0</v>
      </c>
      <c r="J2828">
        <f>IFERROR(HLOOKUP(J$2,[86]table_male_hkom3_inj.ill_X5!$A$1:$K$36,2,FALSE),0)</f>
        <v>0</v>
      </c>
      <c r="K2828">
        <f>IFERROR(HLOOKUP(K$2,[86]table_male_hkom3_inj.ill_X5!$A$1:$K$36,2,FALSE),0)</f>
        <v>0</v>
      </c>
      <c r="L2828">
        <f>IFERROR(HLOOKUP(L$2,[86]table_male_hkom3_inj.ill_X5!$A$1:$K$36,2,FALSE),0)</f>
        <v>0</v>
      </c>
      <c r="M2828">
        <f>SUM(E2828:L2828)</f>
        <v>0</v>
      </c>
      <c r="P2828" t="s">
        <v>104</v>
      </c>
      <c r="Q2828" t="s">
        <v>117</v>
      </c>
      <c r="R2828" t="s">
        <v>127</v>
      </c>
      <c r="S2828" t="s">
        <v>70</v>
      </c>
      <c r="T2828" s="5">
        <f>IF(SUM(E$2828:E$2860)=0,E$2861/33,E2828+IFERROR(E2828/SUM(E$2828:E$2860)*E$2861,0))</f>
        <v>0</v>
      </c>
      <c r="U2828" s="5">
        <f t="shared" ref="U2828:AA2828" si="884">IF(SUM(F$2828:F$2860)=0,F$2861/33,F2828+IFERROR(F2828/SUM(F$2828:F$2860)*F$2861,0))</f>
        <v>0</v>
      </c>
      <c r="V2828" s="5">
        <f t="shared" si="884"/>
        <v>0</v>
      </c>
      <c r="W2828" s="5">
        <f t="shared" si="884"/>
        <v>0</v>
      </c>
      <c r="X2828" s="5">
        <f t="shared" si="884"/>
        <v>0</v>
      </c>
      <c r="Y2828" s="5">
        <f t="shared" si="884"/>
        <v>0</v>
      </c>
      <c r="Z2828" s="5">
        <f t="shared" si="884"/>
        <v>0</v>
      </c>
      <c r="AA2828" s="5">
        <f t="shared" si="884"/>
        <v>0</v>
      </c>
      <c r="AB2828" s="5">
        <f t="shared" si="883"/>
        <v>0</v>
      </c>
    </row>
    <row r="2829" spans="1:29" x14ac:dyDescent="0.25">
      <c r="D2829" t="s">
        <v>71</v>
      </c>
      <c r="E2829" s="14"/>
      <c r="F2829" s="14"/>
      <c r="G2829">
        <f>IFERROR(HLOOKUP(G$2,[86]table_male_hkom3_inj.ill_X5!$A$1:$K$36,3,FALSE),0)</f>
        <v>0</v>
      </c>
      <c r="H2829">
        <f>IFERROR(HLOOKUP(H$2,[86]table_male_hkom3_inj.ill_X5!$A$1:$K$36,3,FALSE),0)</f>
        <v>0</v>
      </c>
      <c r="I2829">
        <f>IFERROR(HLOOKUP(I$2,[86]table_male_hkom3_inj.ill_X5!$A$1:$K$36,3,FALSE),0)</f>
        <v>0</v>
      </c>
      <c r="J2829">
        <f>IFERROR(HLOOKUP(J$2,[86]table_male_hkom3_inj.ill_X5!$A$1:$K$36,3,FALSE),0)</f>
        <v>0</v>
      </c>
      <c r="K2829">
        <f>IFERROR(HLOOKUP(K$2,[86]table_male_hkom3_inj.ill_X5!$A$1:$K$36,3,FALSE),0)</f>
        <v>0</v>
      </c>
      <c r="L2829">
        <f>IFERROR(HLOOKUP(L$2,[86]table_male_hkom3_inj.ill_X5!$A$1:$K$36,3,FALSE),0)</f>
        <v>0</v>
      </c>
      <c r="M2829">
        <f t="shared" ref="M2829:M2861" si="885">SUM(E2829:L2829)</f>
        <v>0</v>
      </c>
      <c r="S2829" t="s">
        <v>71</v>
      </c>
      <c r="T2829" s="5">
        <f t="shared" ref="T2829:T2860" si="886">IF(SUM(E$2828:E$2860)=0,E$2861/33,E2829+IFERROR(E2829/SUM(E$2828:E$2860)*E$2861,0))</f>
        <v>0</v>
      </c>
      <c r="U2829" s="5">
        <f t="shared" ref="U2829:U2860" si="887">IF(SUM(F$2828:F$2860)=0,F$2861/33,F2829+IFERROR(F2829/SUM(F$2828:F$2860)*F$2861,0))</f>
        <v>0</v>
      </c>
      <c r="V2829" s="5">
        <f t="shared" ref="V2829:V2860" si="888">IF(SUM(G$2828:G$2860)=0,G$2861/33,G2829+IFERROR(G2829/SUM(G$2828:G$2860)*G$2861,0))</f>
        <v>0</v>
      </c>
      <c r="W2829" s="5">
        <f t="shared" ref="W2829:W2860" si="889">IF(SUM(H$2828:H$2860)=0,H$2861/33,H2829+IFERROR(H2829/SUM(H$2828:H$2860)*H$2861,0))</f>
        <v>0</v>
      </c>
      <c r="X2829" s="5">
        <f t="shared" ref="X2829:X2860" si="890">IF(SUM(I$2828:I$2860)=0,I$2861/33,I2829+IFERROR(I2829/SUM(I$2828:I$2860)*I$2861,0))</f>
        <v>0</v>
      </c>
      <c r="Y2829" s="5">
        <f t="shared" ref="Y2829:Y2860" si="891">IF(SUM(J$2828:J$2860)=0,J$2861/33,J2829+IFERROR(J2829/SUM(J$2828:J$2860)*J$2861,0))</f>
        <v>0</v>
      </c>
      <c r="Z2829" s="5">
        <f t="shared" ref="Z2829:Z2860" si="892">IF(SUM(K$2828:K$2860)=0,K$2861/33,K2829+IFERROR(K2829/SUM(K$2828:K$2860)*K$2861,0))</f>
        <v>0</v>
      </c>
      <c r="AA2829" s="5">
        <f t="shared" ref="AA2829:AA2860" si="893">IF(SUM(L$2828:L$2860)=0,L$2861/33,L2829+IFERROR(L2829/SUM(L$2828:L$2860)*L$2861,0))</f>
        <v>0</v>
      </c>
      <c r="AB2829" s="5">
        <f t="shared" si="883"/>
        <v>0</v>
      </c>
    </row>
    <row r="2830" spans="1:29" x14ac:dyDescent="0.25">
      <c r="D2830" t="s">
        <v>72</v>
      </c>
      <c r="E2830" s="14"/>
      <c r="F2830" s="14"/>
      <c r="G2830">
        <f>IFERROR(HLOOKUP(G$2,[86]table_male_hkom3_inj.ill_X5!$A$1:$K$36,4,FALSE),0)</f>
        <v>0</v>
      </c>
      <c r="H2830">
        <f>IFERROR(HLOOKUP(H$2,[86]table_male_hkom3_inj.ill_X5!$A$1:$K$36,4,FALSE),0)</f>
        <v>0</v>
      </c>
      <c r="I2830">
        <f>IFERROR(HLOOKUP(I$2,[86]table_male_hkom3_inj.ill_X5!$A$1:$K$36,4,FALSE),0)</f>
        <v>0</v>
      </c>
      <c r="J2830">
        <f>IFERROR(HLOOKUP(J$2,[86]table_male_hkom3_inj.ill_X5!$A$1:$K$36,4,FALSE),0)</f>
        <v>0</v>
      </c>
      <c r="K2830">
        <f>IFERROR(HLOOKUP(K$2,[86]table_male_hkom3_inj.ill_X5!$A$1:$K$36,4,FALSE),0)</f>
        <v>0</v>
      </c>
      <c r="L2830">
        <f>IFERROR(HLOOKUP(L$2,[86]table_male_hkom3_inj.ill_X5!$A$1:$K$36,4,FALSE),0)</f>
        <v>0</v>
      </c>
      <c r="M2830">
        <f t="shared" si="885"/>
        <v>0</v>
      </c>
      <c r="S2830" t="s">
        <v>72</v>
      </c>
      <c r="T2830" s="5">
        <f t="shared" si="886"/>
        <v>0</v>
      </c>
      <c r="U2830" s="5">
        <f t="shared" si="887"/>
        <v>0</v>
      </c>
      <c r="V2830" s="5">
        <f t="shared" si="888"/>
        <v>0</v>
      </c>
      <c r="W2830" s="5">
        <f t="shared" si="889"/>
        <v>0</v>
      </c>
      <c r="X2830" s="5">
        <f t="shared" si="890"/>
        <v>0</v>
      </c>
      <c r="Y2830" s="5">
        <f t="shared" si="891"/>
        <v>0</v>
      </c>
      <c r="Z2830" s="5">
        <f t="shared" si="892"/>
        <v>0</v>
      </c>
      <c r="AA2830" s="5">
        <f t="shared" si="893"/>
        <v>0</v>
      </c>
      <c r="AB2830" s="5">
        <f t="shared" si="883"/>
        <v>0</v>
      </c>
    </row>
    <row r="2831" spans="1:29" x14ac:dyDescent="0.25">
      <c r="D2831" t="s">
        <v>73</v>
      </c>
      <c r="E2831" s="14"/>
      <c r="F2831" s="14"/>
      <c r="G2831">
        <f>IFERROR(HLOOKUP(G$2,[86]table_male_hkom3_inj.ill_X5!$A$1:$K$36,5,FALSE),0)</f>
        <v>0</v>
      </c>
      <c r="H2831">
        <f>IFERROR(HLOOKUP(H$2,[86]table_male_hkom3_inj.ill_X5!$A$1:$K$36,5,FALSE),0)</f>
        <v>0</v>
      </c>
      <c r="I2831">
        <f>IFERROR(HLOOKUP(I$2,[86]table_male_hkom3_inj.ill_X5!$A$1:$K$36,5,FALSE),0)</f>
        <v>0</v>
      </c>
      <c r="J2831">
        <f>IFERROR(HLOOKUP(J$2,[86]table_male_hkom3_inj.ill_X5!$A$1:$K$36,5,FALSE),0)</f>
        <v>0</v>
      </c>
      <c r="K2831">
        <f>IFERROR(HLOOKUP(K$2,[86]table_male_hkom3_inj.ill_X5!$A$1:$K$36,5,FALSE),0)</f>
        <v>0</v>
      </c>
      <c r="L2831">
        <f>IFERROR(HLOOKUP(L$2,[86]table_male_hkom3_inj.ill_X5!$A$1:$K$36,5,FALSE),0)</f>
        <v>0</v>
      </c>
      <c r="M2831">
        <f t="shared" si="885"/>
        <v>0</v>
      </c>
      <c r="S2831" t="s">
        <v>73</v>
      </c>
      <c r="T2831" s="5">
        <f t="shared" si="886"/>
        <v>0</v>
      </c>
      <c r="U2831" s="5">
        <f t="shared" si="887"/>
        <v>0</v>
      </c>
      <c r="V2831" s="5">
        <f t="shared" si="888"/>
        <v>0</v>
      </c>
      <c r="W2831" s="5">
        <f t="shared" si="889"/>
        <v>0</v>
      </c>
      <c r="X2831" s="5">
        <f t="shared" si="890"/>
        <v>0</v>
      </c>
      <c r="Y2831" s="5">
        <f t="shared" si="891"/>
        <v>0</v>
      </c>
      <c r="Z2831" s="5">
        <f t="shared" si="892"/>
        <v>0</v>
      </c>
      <c r="AA2831" s="5">
        <f t="shared" si="893"/>
        <v>0</v>
      </c>
      <c r="AB2831" s="5">
        <f t="shared" si="883"/>
        <v>0</v>
      </c>
    </row>
    <row r="2832" spans="1:29" x14ac:dyDescent="0.25">
      <c r="D2832" t="s">
        <v>74</v>
      </c>
      <c r="E2832" s="14"/>
      <c r="F2832" s="14"/>
      <c r="G2832">
        <f>IFERROR(HLOOKUP(G$2,[86]table_male_hkom3_inj.ill_X5!$A$1:$K$36,6,FALSE),0)</f>
        <v>0</v>
      </c>
      <c r="H2832">
        <f>IFERROR(HLOOKUP(H$2,[86]table_male_hkom3_inj.ill_X5!$A$1:$K$36,6,FALSE),0)</f>
        <v>0</v>
      </c>
      <c r="I2832">
        <f>IFERROR(HLOOKUP(I$2,[86]table_male_hkom3_inj.ill_X5!$A$1:$K$36,6,FALSE),0)</f>
        <v>0</v>
      </c>
      <c r="J2832">
        <f>IFERROR(HLOOKUP(J$2,[86]table_male_hkom3_inj.ill_X5!$A$1:$K$36,6,FALSE),0)</f>
        <v>0</v>
      </c>
      <c r="K2832">
        <f>IFERROR(HLOOKUP(K$2,[86]table_male_hkom3_inj.ill_X5!$A$1:$K$36,6,FALSE),0)</f>
        <v>0</v>
      </c>
      <c r="L2832">
        <f>IFERROR(HLOOKUP(L$2,[86]table_male_hkom3_inj.ill_X5!$A$1:$K$36,6,FALSE),0)</f>
        <v>0</v>
      </c>
      <c r="M2832">
        <f t="shared" si="885"/>
        <v>0</v>
      </c>
      <c r="S2832" t="s">
        <v>74</v>
      </c>
      <c r="T2832" s="5">
        <f t="shared" si="886"/>
        <v>0</v>
      </c>
      <c r="U2832" s="5">
        <f t="shared" si="887"/>
        <v>0</v>
      </c>
      <c r="V2832" s="5">
        <f t="shared" si="888"/>
        <v>0</v>
      </c>
      <c r="W2832" s="5">
        <f t="shared" si="889"/>
        <v>0</v>
      </c>
      <c r="X2832" s="5">
        <f t="shared" si="890"/>
        <v>0</v>
      </c>
      <c r="Y2832" s="5">
        <f t="shared" si="891"/>
        <v>0</v>
      </c>
      <c r="Z2832" s="5">
        <f t="shared" si="892"/>
        <v>0</v>
      </c>
      <c r="AA2832" s="5">
        <f t="shared" si="893"/>
        <v>0</v>
      </c>
      <c r="AB2832" s="5">
        <f t="shared" si="883"/>
        <v>0</v>
      </c>
    </row>
    <row r="2833" spans="4:28" x14ac:dyDescent="0.25">
      <c r="D2833" t="s">
        <v>75</v>
      </c>
      <c r="E2833" s="14"/>
      <c r="F2833" s="14"/>
      <c r="G2833">
        <f>IFERROR(HLOOKUP(G$2,[86]table_male_hkom3_inj.ill_X5!$A$1:$K$36,7,FALSE),0)</f>
        <v>0</v>
      </c>
      <c r="H2833">
        <f>IFERROR(HLOOKUP(H$2,[86]table_male_hkom3_inj.ill_X5!$A$1:$K$36,7,FALSE),0)</f>
        <v>0</v>
      </c>
      <c r="I2833">
        <f>IFERROR(HLOOKUP(I$2,[86]table_male_hkom3_inj.ill_X5!$A$1:$K$36,7,FALSE),0)</f>
        <v>0</v>
      </c>
      <c r="J2833">
        <f>IFERROR(HLOOKUP(J$2,[86]table_male_hkom3_inj.ill_X5!$A$1:$K$36,7,FALSE),0)</f>
        <v>0</v>
      </c>
      <c r="K2833">
        <f>IFERROR(HLOOKUP(K$2,[86]table_male_hkom3_inj.ill_X5!$A$1:$K$36,7,FALSE),0)</f>
        <v>0</v>
      </c>
      <c r="L2833">
        <f>IFERROR(HLOOKUP(L$2,[86]table_male_hkom3_inj.ill_X5!$A$1:$K$36,7,FALSE),0)</f>
        <v>0</v>
      </c>
      <c r="M2833">
        <f t="shared" si="885"/>
        <v>0</v>
      </c>
      <c r="S2833" t="s">
        <v>75</v>
      </c>
      <c r="T2833" s="5">
        <f t="shared" si="886"/>
        <v>0</v>
      </c>
      <c r="U2833" s="5">
        <f t="shared" si="887"/>
        <v>0</v>
      </c>
      <c r="V2833" s="5">
        <f t="shared" si="888"/>
        <v>0</v>
      </c>
      <c r="W2833" s="5">
        <f t="shared" si="889"/>
        <v>0</v>
      </c>
      <c r="X2833" s="5">
        <f t="shared" si="890"/>
        <v>0</v>
      </c>
      <c r="Y2833" s="5">
        <f t="shared" si="891"/>
        <v>0</v>
      </c>
      <c r="Z2833" s="5">
        <f t="shared" si="892"/>
        <v>0</v>
      </c>
      <c r="AA2833" s="5">
        <f t="shared" si="893"/>
        <v>0</v>
      </c>
      <c r="AB2833" s="5">
        <f t="shared" si="883"/>
        <v>0</v>
      </c>
    </row>
    <row r="2834" spans="4:28" x14ac:dyDescent="0.25">
      <c r="D2834" t="s">
        <v>76</v>
      </c>
      <c r="E2834" s="14"/>
      <c r="F2834" s="14"/>
      <c r="G2834">
        <f>IFERROR(HLOOKUP(G$2,[86]table_male_hkom3_inj.ill_X5!$A$1:$K$36,8,FALSE),0)</f>
        <v>0</v>
      </c>
      <c r="H2834">
        <f>IFERROR(HLOOKUP(H$2,[86]table_male_hkom3_inj.ill_X5!$A$1:$K$36,8,FALSE),0)</f>
        <v>0</v>
      </c>
      <c r="I2834">
        <f>IFERROR(HLOOKUP(I$2,[86]table_male_hkom3_inj.ill_X5!$A$1:$K$36,8,FALSE),0)</f>
        <v>0</v>
      </c>
      <c r="J2834">
        <f>IFERROR(HLOOKUP(J$2,[86]table_male_hkom3_inj.ill_X5!$A$1:$K$36,8,FALSE),0)</f>
        <v>0</v>
      </c>
      <c r="K2834">
        <f>IFERROR(HLOOKUP(K$2,[86]table_male_hkom3_inj.ill_X5!$A$1:$K$36,8,FALSE),0)</f>
        <v>0</v>
      </c>
      <c r="L2834">
        <f>IFERROR(HLOOKUP(L$2,[86]table_male_hkom3_inj.ill_X5!$A$1:$K$36,8,FALSE),0)</f>
        <v>0</v>
      </c>
      <c r="M2834">
        <f t="shared" si="885"/>
        <v>0</v>
      </c>
      <c r="S2834" t="s">
        <v>76</v>
      </c>
      <c r="T2834" s="5">
        <f t="shared" si="886"/>
        <v>0</v>
      </c>
      <c r="U2834" s="5">
        <f t="shared" si="887"/>
        <v>0</v>
      </c>
      <c r="V2834" s="5">
        <f t="shared" si="888"/>
        <v>0</v>
      </c>
      <c r="W2834" s="5">
        <f t="shared" si="889"/>
        <v>0</v>
      </c>
      <c r="X2834" s="5">
        <f t="shared" si="890"/>
        <v>0</v>
      </c>
      <c r="Y2834" s="5">
        <f t="shared" si="891"/>
        <v>0</v>
      </c>
      <c r="Z2834" s="5">
        <f t="shared" si="892"/>
        <v>0</v>
      </c>
      <c r="AA2834" s="5">
        <f t="shared" si="893"/>
        <v>0</v>
      </c>
      <c r="AB2834" s="5">
        <f t="shared" si="883"/>
        <v>0</v>
      </c>
    </row>
    <row r="2835" spans="4:28" x14ac:dyDescent="0.25">
      <c r="D2835" t="s">
        <v>77</v>
      </c>
      <c r="E2835" s="14"/>
      <c r="F2835" s="14"/>
      <c r="G2835">
        <f>IFERROR(HLOOKUP(G$2,[86]table_male_hkom3_inj.ill_X5!$A$1:$K$36,9,FALSE),0)</f>
        <v>0</v>
      </c>
      <c r="H2835">
        <f>IFERROR(HLOOKUP(H$2,[86]table_male_hkom3_inj.ill_X5!$A$1:$K$36,9,FALSE),0)</f>
        <v>0</v>
      </c>
      <c r="I2835">
        <f>IFERROR(HLOOKUP(I$2,[86]table_male_hkom3_inj.ill_X5!$A$1:$K$36,9,FALSE),0)</f>
        <v>0</v>
      </c>
      <c r="J2835">
        <f>IFERROR(HLOOKUP(J$2,[86]table_male_hkom3_inj.ill_X5!$A$1:$K$36,9,FALSE),0)</f>
        <v>0</v>
      </c>
      <c r="K2835">
        <f>IFERROR(HLOOKUP(K$2,[86]table_male_hkom3_inj.ill_X5!$A$1:$K$36,9,FALSE),0)</f>
        <v>0</v>
      </c>
      <c r="L2835">
        <f>IFERROR(HLOOKUP(L$2,[86]table_male_hkom3_inj.ill_X5!$A$1:$K$36,9,FALSE),0)</f>
        <v>0</v>
      </c>
      <c r="M2835">
        <f t="shared" si="885"/>
        <v>0</v>
      </c>
      <c r="S2835" t="s">
        <v>77</v>
      </c>
      <c r="T2835" s="5">
        <f t="shared" si="886"/>
        <v>0</v>
      </c>
      <c r="U2835" s="5">
        <f t="shared" si="887"/>
        <v>0</v>
      </c>
      <c r="V2835" s="5">
        <f t="shared" si="888"/>
        <v>0</v>
      </c>
      <c r="W2835" s="5">
        <f t="shared" si="889"/>
        <v>0</v>
      </c>
      <c r="X2835" s="5">
        <f t="shared" si="890"/>
        <v>0</v>
      </c>
      <c r="Y2835" s="5">
        <f t="shared" si="891"/>
        <v>0</v>
      </c>
      <c r="Z2835" s="5">
        <f t="shared" si="892"/>
        <v>0</v>
      </c>
      <c r="AA2835" s="5">
        <f t="shared" si="893"/>
        <v>0</v>
      </c>
      <c r="AB2835" s="5">
        <f t="shared" si="883"/>
        <v>0</v>
      </c>
    </row>
    <row r="2836" spans="4:28" x14ac:dyDescent="0.25">
      <c r="D2836" t="s">
        <v>78</v>
      </c>
      <c r="E2836" s="14"/>
      <c r="F2836" s="14"/>
      <c r="G2836">
        <f>IFERROR(HLOOKUP(G$2,[86]table_male_hkom3_inj.ill_X5!$A$1:$K$36,10,FALSE),0)</f>
        <v>0</v>
      </c>
      <c r="H2836">
        <f>IFERROR(HLOOKUP(H$2,[86]table_male_hkom3_inj.ill_X5!$A$1:$K$36,10,FALSE),0)</f>
        <v>0</v>
      </c>
      <c r="I2836">
        <f>IFERROR(HLOOKUP(I$2,[86]table_male_hkom3_inj.ill_X5!$A$1:$K$36,10,FALSE),0)</f>
        <v>0</v>
      </c>
      <c r="J2836">
        <f>IFERROR(HLOOKUP(J$2,[86]table_male_hkom3_inj.ill_X5!$A$1:$K$36,10,FALSE),0)</f>
        <v>0</v>
      </c>
      <c r="K2836">
        <f>IFERROR(HLOOKUP(K$2,[86]table_male_hkom3_inj.ill_X5!$A$1:$K$36,10,FALSE),0)</f>
        <v>0</v>
      </c>
      <c r="L2836">
        <f>IFERROR(HLOOKUP(L$2,[86]table_male_hkom3_inj.ill_X5!$A$1:$K$36,10,FALSE),0)</f>
        <v>0</v>
      </c>
      <c r="M2836">
        <f t="shared" si="885"/>
        <v>0</v>
      </c>
      <c r="S2836" t="s">
        <v>78</v>
      </c>
      <c r="T2836" s="5">
        <f t="shared" si="886"/>
        <v>0</v>
      </c>
      <c r="U2836" s="5">
        <f t="shared" si="887"/>
        <v>0</v>
      </c>
      <c r="V2836" s="5">
        <f t="shared" si="888"/>
        <v>0</v>
      </c>
      <c r="W2836" s="5">
        <f t="shared" si="889"/>
        <v>0</v>
      </c>
      <c r="X2836" s="5">
        <f t="shared" si="890"/>
        <v>0</v>
      </c>
      <c r="Y2836" s="5">
        <f t="shared" si="891"/>
        <v>0</v>
      </c>
      <c r="Z2836" s="5">
        <f t="shared" si="892"/>
        <v>0</v>
      </c>
      <c r="AA2836" s="5">
        <f t="shared" si="893"/>
        <v>0</v>
      </c>
      <c r="AB2836" s="5">
        <f t="shared" si="883"/>
        <v>0</v>
      </c>
    </row>
    <row r="2837" spans="4:28" x14ac:dyDescent="0.25">
      <c r="D2837" t="s">
        <v>79</v>
      </c>
      <c r="E2837" s="14"/>
      <c r="F2837" s="14"/>
      <c r="G2837">
        <f>IFERROR(HLOOKUP(G$2,[86]table_male_hkom3_inj.ill_X5!$A$1:$K$36,11,FALSE),0)</f>
        <v>0</v>
      </c>
      <c r="H2837">
        <f>IFERROR(HLOOKUP(H$2,[86]table_male_hkom3_inj.ill_X5!$A$1:$K$36,11,FALSE),0)</f>
        <v>0</v>
      </c>
      <c r="I2837">
        <f>IFERROR(HLOOKUP(I$2,[86]table_male_hkom3_inj.ill_X5!$A$1:$K$36,11,FALSE),0)</f>
        <v>0</v>
      </c>
      <c r="J2837">
        <f>IFERROR(HLOOKUP(J$2,[86]table_male_hkom3_inj.ill_X5!$A$1:$K$36,11,FALSE),0)</f>
        <v>0</v>
      </c>
      <c r="K2837">
        <f>IFERROR(HLOOKUP(K$2,[86]table_male_hkom3_inj.ill_X5!$A$1:$K$36,11,FALSE),0)</f>
        <v>0</v>
      </c>
      <c r="L2837">
        <f>IFERROR(HLOOKUP(L$2,[86]table_male_hkom3_inj.ill_X5!$A$1:$K$36,11,FALSE),0)</f>
        <v>0</v>
      </c>
      <c r="M2837">
        <f t="shared" si="885"/>
        <v>0</v>
      </c>
      <c r="S2837" t="s">
        <v>79</v>
      </c>
      <c r="T2837" s="5">
        <f t="shared" si="886"/>
        <v>0</v>
      </c>
      <c r="U2837" s="5">
        <f t="shared" si="887"/>
        <v>0</v>
      </c>
      <c r="V2837" s="5">
        <f t="shared" si="888"/>
        <v>0</v>
      </c>
      <c r="W2837" s="5">
        <f t="shared" si="889"/>
        <v>0</v>
      </c>
      <c r="X2837" s="5">
        <f t="shared" si="890"/>
        <v>0</v>
      </c>
      <c r="Y2837" s="5">
        <f t="shared" si="891"/>
        <v>0</v>
      </c>
      <c r="Z2837" s="5">
        <f t="shared" si="892"/>
        <v>0</v>
      </c>
      <c r="AA2837" s="5">
        <f t="shared" si="893"/>
        <v>0</v>
      </c>
      <c r="AB2837" s="5">
        <f t="shared" si="883"/>
        <v>0</v>
      </c>
    </row>
    <row r="2838" spans="4:28" x14ac:dyDescent="0.25">
      <c r="D2838" t="s">
        <v>80</v>
      </c>
      <c r="E2838" s="14"/>
      <c r="F2838" s="14"/>
      <c r="G2838">
        <f>IFERROR(HLOOKUP(G$2,[86]table_male_hkom3_inj.ill_X5!$A$1:$K$36,12,FALSE),0)</f>
        <v>0</v>
      </c>
      <c r="H2838">
        <f>IFERROR(HLOOKUP(H$2,[86]table_male_hkom3_inj.ill_X5!$A$1:$K$36,12,FALSE),0)</f>
        <v>0</v>
      </c>
      <c r="I2838">
        <f>IFERROR(HLOOKUP(I$2,[86]table_male_hkom3_inj.ill_X5!$A$1:$K$36,12,FALSE),0)</f>
        <v>0</v>
      </c>
      <c r="J2838">
        <f>IFERROR(HLOOKUP(J$2,[86]table_male_hkom3_inj.ill_X5!$A$1:$K$36,12,FALSE),0)</f>
        <v>0</v>
      </c>
      <c r="K2838">
        <f>IFERROR(HLOOKUP(K$2,[86]table_male_hkom3_inj.ill_X5!$A$1:$K$36,12,FALSE),0)</f>
        <v>0</v>
      </c>
      <c r="L2838">
        <f>IFERROR(HLOOKUP(L$2,[86]table_male_hkom3_inj.ill_X5!$A$1:$K$36,12,FALSE),0)</f>
        <v>0</v>
      </c>
      <c r="M2838">
        <f t="shared" si="885"/>
        <v>0</v>
      </c>
      <c r="S2838" t="s">
        <v>80</v>
      </c>
      <c r="T2838" s="5">
        <f t="shared" si="886"/>
        <v>0</v>
      </c>
      <c r="U2838" s="5">
        <f t="shared" si="887"/>
        <v>0</v>
      </c>
      <c r="V2838" s="5">
        <f t="shared" si="888"/>
        <v>0</v>
      </c>
      <c r="W2838" s="5">
        <f t="shared" si="889"/>
        <v>0</v>
      </c>
      <c r="X2838" s="5">
        <f t="shared" si="890"/>
        <v>0</v>
      </c>
      <c r="Y2838" s="5">
        <f t="shared" si="891"/>
        <v>0</v>
      </c>
      <c r="Z2838" s="5">
        <f t="shared" si="892"/>
        <v>0</v>
      </c>
      <c r="AA2838" s="5">
        <f t="shared" si="893"/>
        <v>0</v>
      </c>
      <c r="AB2838" s="5">
        <f t="shared" si="883"/>
        <v>0</v>
      </c>
    </row>
    <row r="2839" spans="4:28" x14ac:dyDescent="0.25">
      <c r="D2839" t="s">
        <v>81</v>
      </c>
      <c r="E2839" s="14"/>
      <c r="F2839" s="14"/>
      <c r="G2839">
        <f>IFERROR(HLOOKUP(G$2,[86]table_male_hkom3_inj.ill_X5!$A$1:$K$36,13,FALSE),0)</f>
        <v>0</v>
      </c>
      <c r="H2839">
        <f>IFERROR(HLOOKUP(H$2,[86]table_male_hkom3_inj.ill_X5!$A$1:$K$36,13,FALSE),0)</f>
        <v>0</v>
      </c>
      <c r="I2839">
        <f>IFERROR(HLOOKUP(I$2,[86]table_male_hkom3_inj.ill_X5!$A$1:$K$36,13,FALSE),0)</f>
        <v>0</v>
      </c>
      <c r="J2839">
        <f>IFERROR(HLOOKUP(J$2,[86]table_male_hkom3_inj.ill_X5!$A$1:$K$36,13,FALSE),0)</f>
        <v>0</v>
      </c>
      <c r="K2839">
        <f>IFERROR(HLOOKUP(K$2,[86]table_male_hkom3_inj.ill_X5!$A$1:$K$36,13,FALSE),0)</f>
        <v>0</v>
      </c>
      <c r="L2839">
        <f>IFERROR(HLOOKUP(L$2,[86]table_male_hkom3_inj.ill_X5!$A$1:$K$36,13,FALSE),0)</f>
        <v>0</v>
      </c>
      <c r="M2839">
        <f t="shared" si="885"/>
        <v>0</v>
      </c>
      <c r="S2839" t="s">
        <v>81</v>
      </c>
      <c r="T2839" s="5">
        <f t="shared" si="886"/>
        <v>0</v>
      </c>
      <c r="U2839" s="5">
        <f t="shared" si="887"/>
        <v>0</v>
      </c>
      <c r="V2839" s="5">
        <f t="shared" si="888"/>
        <v>0</v>
      </c>
      <c r="W2839" s="5">
        <f t="shared" si="889"/>
        <v>0</v>
      </c>
      <c r="X2839" s="5">
        <f t="shared" si="890"/>
        <v>0</v>
      </c>
      <c r="Y2839" s="5">
        <f t="shared" si="891"/>
        <v>0</v>
      </c>
      <c r="Z2839" s="5">
        <f t="shared" si="892"/>
        <v>0</v>
      </c>
      <c r="AA2839" s="5">
        <f t="shared" si="893"/>
        <v>0</v>
      </c>
      <c r="AB2839" s="5">
        <f t="shared" si="883"/>
        <v>0</v>
      </c>
    </row>
    <row r="2840" spans="4:28" x14ac:dyDescent="0.25">
      <c r="D2840" t="s">
        <v>82</v>
      </c>
      <c r="E2840" s="14"/>
      <c r="F2840" s="14"/>
      <c r="G2840">
        <f>IFERROR(HLOOKUP(G$2,[86]table_male_hkom3_inj.ill_X5!$A$1:$K$36,14,FALSE),0)</f>
        <v>0</v>
      </c>
      <c r="H2840">
        <f>IFERROR(HLOOKUP(H$2,[86]table_male_hkom3_inj.ill_X5!$A$1:$K$36,14,FALSE),0)</f>
        <v>0</v>
      </c>
      <c r="I2840">
        <f>IFERROR(HLOOKUP(I$2,[86]table_male_hkom3_inj.ill_X5!$A$1:$K$36,14,FALSE),0)</f>
        <v>0</v>
      </c>
      <c r="J2840">
        <f>IFERROR(HLOOKUP(J$2,[86]table_male_hkom3_inj.ill_X5!$A$1:$K$36,14,FALSE),0)</f>
        <v>0</v>
      </c>
      <c r="K2840">
        <f>IFERROR(HLOOKUP(K$2,[86]table_male_hkom3_inj.ill_X5!$A$1:$K$36,14,FALSE),0)</f>
        <v>0</v>
      </c>
      <c r="L2840">
        <f>IFERROR(HLOOKUP(L$2,[86]table_male_hkom3_inj.ill_X5!$A$1:$K$36,14,FALSE),0)</f>
        <v>0</v>
      </c>
      <c r="M2840">
        <f t="shared" si="885"/>
        <v>0</v>
      </c>
      <c r="S2840" t="s">
        <v>82</v>
      </c>
      <c r="T2840" s="5">
        <f t="shared" si="886"/>
        <v>0</v>
      </c>
      <c r="U2840" s="5">
        <f t="shared" si="887"/>
        <v>0</v>
      </c>
      <c r="V2840" s="5">
        <f t="shared" si="888"/>
        <v>0</v>
      </c>
      <c r="W2840" s="5">
        <f t="shared" si="889"/>
        <v>0</v>
      </c>
      <c r="X2840" s="5">
        <f t="shared" si="890"/>
        <v>0</v>
      </c>
      <c r="Y2840" s="5">
        <f t="shared" si="891"/>
        <v>0</v>
      </c>
      <c r="Z2840" s="5">
        <f t="shared" si="892"/>
        <v>0</v>
      </c>
      <c r="AA2840" s="5">
        <f t="shared" si="893"/>
        <v>0</v>
      </c>
      <c r="AB2840" s="5">
        <f t="shared" si="883"/>
        <v>0</v>
      </c>
    </row>
    <row r="2841" spans="4:28" x14ac:dyDescent="0.25">
      <c r="D2841" t="s">
        <v>83</v>
      </c>
      <c r="E2841" s="14"/>
      <c r="F2841" s="14"/>
      <c r="G2841">
        <f>IFERROR(HLOOKUP(G$2,[86]table_male_hkom3_inj.ill_X5!$A$1:$K$36,15,FALSE),0)</f>
        <v>0</v>
      </c>
      <c r="H2841">
        <f>IFERROR(HLOOKUP(H$2,[86]table_male_hkom3_inj.ill_X5!$A$1:$K$36,15,FALSE),0)</f>
        <v>0</v>
      </c>
      <c r="I2841">
        <f>IFERROR(HLOOKUP(I$2,[86]table_male_hkom3_inj.ill_X5!$A$1:$K$36,15,FALSE),0)</f>
        <v>0</v>
      </c>
      <c r="J2841">
        <f>IFERROR(HLOOKUP(J$2,[86]table_male_hkom3_inj.ill_X5!$A$1:$K$36,15,FALSE),0)</f>
        <v>0</v>
      </c>
      <c r="K2841">
        <f>IFERROR(HLOOKUP(K$2,[86]table_male_hkom3_inj.ill_X5!$A$1:$K$36,15,FALSE),0)</f>
        <v>0</v>
      </c>
      <c r="L2841">
        <f>IFERROR(HLOOKUP(L$2,[86]table_male_hkom3_inj.ill_X5!$A$1:$K$36,15,FALSE),0)</f>
        <v>0</v>
      </c>
      <c r="M2841">
        <f t="shared" si="885"/>
        <v>0</v>
      </c>
      <c r="S2841" t="s">
        <v>83</v>
      </c>
      <c r="T2841" s="5">
        <f t="shared" si="886"/>
        <v>0</v>
      </c>
      <c r="U2841" s="5">
        <f t="shared" si="887"/>
        <v>0</v>
      </c>
      <c r="V2841" s="5">
        <f t="shared" si="888"/>
        <v>0</v>
      </c>
      <c r="W2841" s="5">
        <f t="shared" si="889"/>
        <v>0</v>
      </c>
      <c r="X2841" s="5">
        <f t="shared" si="890"/>
        <v>0</v>
      </c>
      <c r="Y2841" s="5">
        <f t="shared" si="891"/>
        <v>0</v>
      </c>
      <c r="Z2841" s="5">
        <f t="shared" si="892"/>
        <v>0</v>
      </c>
      <c r="AA2841" s="5">
        <f t="shared" si="893"/>
        <v>0</v>
      </c>
      <c r="AB2841" s="5">
        <f t="shared" si="883"/>
        <v>0</v>
      </c>
    </row>
    <row r="2842" spans="4:28" x14ac:dyDescent="0.25">
      <c r="D2842" t="s">
        <v>84</v>
      </c>
      <c r="E2842" s="14"/>
      <c r="F2842" s="14"/>
      <c r="G2842">
        <f>IFERROR(HLOOKUP(G$2,[86]table_male_hkom3_inj.ill_X5!$A$1:$K$36,16,FALSE),0)</f>
        <v>0</v>
      </c>
      <c r="H2842">
        <f>IFERROR(HLOOKUP(H$2,[86]table_male_hkom3_inj.ill_X5!$A$1:$K$36,16,FALSE),0)</f>
        <v>0</v>
      </c>
      <c r="I2842">
        <f>IFERROR(HLOOKUP(I$2,[86]table_male_hkom3_inj.ill_X5!$A$1:$K$36,16,FALSE),0)</f>
        <v>0</v>
      </c>
      <c r="J2842">
        <f>IFERROR(HLOOKUP(J$2,[86]table_male_hkom3_inj.ill_X5!$A$1:$K$36,16,FALSE),0)</f>
        <v>0</v>
      </c>
      <c r="K2842">
        <f>IFERROR(HLOOKUP(K$2,[86]table_male_hkom3_inj.ill_X5!$A$1:$K$36,16,FALSE),0)</f>
        <v>0</v>
      </c>
      <c r="L2842">
        <f>IFERROR(HLOOKUP(L$2,[86]table_male_hkom3_inj.ill_X5!$A$1:$K$36,16,FALSE),0)</f>
        <v>0</v>
      </c>
      <c r="M2842">
        <f t="shared" si="885"/>
        <v>0</v>
      </c>
      <c r="S2842" t="s">
        <v>84</v>
      </c>
      <c r="T2842" s="5">
        <f t="shared" si="886"/>
        <v>0</v>
      </c>
      <c r="U2842" s="5">
        <f t="shared" si="887"/>
        <v>0</v>
      </c>
      <c r="V2842" s="5">
        <f t="shared" si="888"/>
        <v>0</v>
      </c>
      <c r="W2842" s="5">
        <f t="shared" si="889"/>
        <v>0</v>
      </c>
      <c r="X2842" s="5">
        <f t="shared" si="890"/>
        <v>0</v>
      </c>
      <c r="Y2842" s="5">
        <f t="shared" si="891"/>
        <v>0</v>
      </c>
      <c r="Z2842" s="5">
        <f t="shared" si="892"/>
        <v>0</v>
      </c>
      <c r="AA2842" s="5">
        <f t="shared" si="893"/>
        <v>0</v>
      </c>
      <c r="AB2842" s="5">
        <f t="shared" si="883"/>
        <v>0</v>
      </c>
    </row>
    <row r="2843" spans="4:28" x14ac:dyDescent="0.25">
      <c r="D2843" t="s">
        <v>85</v>
      </c>
      <c r="E2843" s="14"/>
      <c r="F2843" s="14"/>
      <c r="G2843">
        <f>IFERROR(HLOOKUP(G$2,[86]table_male_hkom3_inj.ill_X5!$A$1:$K$36,17,FALSE),0)</f>
        <v>0</v>
      </c>
      <c r="H2843">
        <f>IFERROR(HLOOKUP(H$2,[86]table_male_hkom3_inj.ill_X5!$A$1:$K$36,17,FALSE),0)</f>
        <v>0</v>
      </c>
      <c r="I2843">
        <f>IFERROR(HLOOKUP(I$2,[86]table_male_hkom3_inj.ill_X5!$A$1:$K$36,17,FALSE),0)</f>
        <v>0</v>
      </c>
      <c r="J2843">
        <f>IFERROR(HLOOKUP(J$2,[86]table_male_hkom3_inj.ill_X5!$A$1:$K$36,17,FALSE),0)</f>
        <v>0</v>
      </c>
      <c r="K2843">
        <f>IFERROR(HLOOKUP(K$2,[86]table_male_hkom3_inj.ill_X5!$A$1:$K$36,17,FALSE),0)</f>
        <v>0</v>
      </c>
      <c r="L2843">
        <f>IFERROR(HLOOKUP(L$2,[86]table_male_hkom3_inj.ill_X5!$A$1:$K$36,17,FALSE),0)</f>
        <v>0</v>
      </c>
      <c r="M2843">
        <f t="shared" si="885"/>
        <v>0</v>
      </c>
      <c r="S2843" t="s">
        <v>85</v>
      </c>
      <c r="T2843" s="5">
        <f t="shared" si="886"/>
        <v>0</v>
      </c>
      <c r="U2843" s="5">
        <f t="shared" si="887"/>
        <v>0</v>
      </c>
      <c r="V2843" s="5">
        <f t="shared" si="888"/>
        <v>0</v>
      </c>
      <c r="W2843" s="5">
        <f t="shared" si="889"/>
        <v>0</v>
      </c>
      <c r="X2843" s="5">
        <f t="shared" si="890"/>
        <v>0</v>
      </c>
      <c r="Y2843" s="5">
        <f t="shared" si="891"/>
        <v>0</v>
      </c>
      <c r="Z2843" s="5">
        <f t="shared" si="892"/>
        <v>0</v>
      </c>
      <c r="AA2843" s="5">
        <f t="shared" si="893"/>
        <v>0</v>
      </c>
      <c r="AB2843" s="5">
        <f t="shared" si="883"/>
        <v>0</v>
      </c>
    </row>
    <row r="2844" spans="4:28" x14ac:dyDescent="0.25">
      <c r="D2844" t="s">
        <v>86</v>
      </c>
      <c r="E2844" s="14"/>
      <c r="F2844" s="14"/>
      <c r="G2844">
        <f>IFERROR(HLOOKUP(G$2,[86]table_male_hkom3_inj.ill_X5!$A$1:$K$36,18,FALSE),0)</f>
        <v>0</v>
      </c>
      <c r="H2844">
        <f>IFERROR(HLOOKUP(H$2,[86]table_male_hkom3_inj.ill_X5!$A$1:$K$36,18,FALSE),0)</f>
        <v>0</v>
      </c>
      <c r="I2844">
        <f>IFERROR(HLOOKUP(I$2,[86]table_male_hkom3_inj.ill_X5!$A$1:$K$36,18,FALSE),0)</f>
        <v>0</v>
      </c>
      <c r="J2844">
        <f>IFERROR(HLOOKUP(J$2,[86]table_male_hkom3_inj.ill_X5!$A$1:$K$36,18,FALSE),0)</f>
        <v>0</v>
      </c>
      <c r="K2844">
        <f>IFERROR(HLOOKUP(K$2,[86]table_male_hkom3_inj.ill_X5!$A$1:$K$36,18,FALSE),0)</f>
        <v>0</v>
      </c>
      <c r="L2844">
        <f>IFERROR(HLOOKUP(L$2,[86]table_male_hkom3_inj.ill_X5!$A$1:$K$36,18,FALSE),0)</f>
        <v>0</v>
      </c>
      <c r="M2844">
        <f t="shared" si="885"/>
        <v>0</v>
      </c>
      <c r="S2844" t="s">
        <v>86</v>
      </c>
      <c r="T2844" s="5">
        <f t="shared" si="886"/>
        <v>0</v>
      </c>
      <c r="U2844" s="5">
        <f t="shared" si="887"/>
        <v>0</v>
      </c>
      <c r="V2844" s="5">
        <f t="shared" si="888"/>
        <v>0</v>
      </c>
      <c r="W2844" s="5">
        <f t="shared" si="889"/>
        <v>0</v>
      </c>
      <c r="X2844" s="5">
        <f t="shared" si="890"/>
        <v>0</v>
      </c>
      <c r="Y2844" s="5">
        <f t="shared" si="891"/>
        <v>0</v>
      </c>
      <c r="Z2844" s="5">
        <f t="shared" si="892"/>
        <v>0</v>
      </c>
      <c r="AA2844" s="5">
        <f t="shared" si="893"/>
        <v>0</v>
      </c>
      <c r="AB2844" s="5">
        <f t="shared" si="883"/>
        <v>0</v>
      </c>
    </row>
    <row r="2845" spans="4:28" x14ac:dyDescent="0.25">
      <c r="D2845" t="s">
        <v>87</v>
      </c>
      <c r="E2845" s="14"/>
      <c r="F2845" s="14"/>
      <c r="G2845">
        <f>IFERROR(HLOOKUP(G$2,[86]table_male_hkom3_inj.ill_X5!$A$1:$K$36,19,FALSE),0)</f>
        <v>0</v>
      </c>
      <c r="H2845">
        <f>IFERROR(HLOOKUP(H$2,[86]table_male_hkom3_inj.ill_X5!$A$1:$K$36,19,FALSE),0)</f>
        <v>1</v>
      </c>
      <c r="I2845">
        <f>IFERROR(HLOOKUP(I$2,[86]table_male_hkom3_inj.ill_X5!$A$1:$K$36,19,FALSE),0)</f>
        <v>0</v>
      </c>
      <c r="J2845">
        <f>IFERROR(HLOOKUP(J$2,[86]table_male_hkom3_inj.ill_X5!$A$1:$K$36,19,FALSE),0)</f>
        <v>0</v>
      </c>
      <c r="K2845">
        <f>IFERROR(HLOOKUP(K$2,[86]table_male_hkom3_inj.ill_X5!$A$1:$K$36,19,FALSE),0)</f>
        <v>0</v>
      </c>
      <c r="L2845">
        <f>IFERROR(HLOOKUP(L$2,[86]table_male_hkom3_inj.ill_X5!$A$1:$K$36,19,FALSE),0)</f>
        <v>0</v>
      </c>
      <c r="M2845">
        <f t="shared" si="885"/>
        <v>1</v>
      </c>
      <c r="S2845" t="s">
        <v>87</v>
      </c>
      <c r="T2845" s="5">
        <f t="shared" si="886"/>
        <v>0</v>
      </c>
      <c r="U2845" s="5">
        <f t="shared" si="887"/>
        <v>0</v>
      </c>
      <c r="V2845" s="5">
        <f t="shared" si="888"/>
        <v>0</v>
      </c>
      <c r="W2845" s="5">
        <f t="shared" si="889"/>
        <v>1</v>
      </c>
      <c r="X2845" s="5">
        <f t="shared" si="890"/>
        <v>0</v>
      </c>
      <c r="Y2845" s="5">
        <f t="shared" si="891"/>
        <v>0</v>
      </c>
      <c r="Z2845" s="5">
        <f t="shared" si="892"/>
        <v>0</v>
      </c>
      <c r="AA2845" s="5">
        <f t="shared" si="893"/>
        <v>0</v>
      </c>
      <c r="AB2845" s="5">
        <f t="shared" si="883"/>
        <v>1</v>
      </c>
    </row>
    <row r="2846" spans="4:28" x14ac:dyDescent="0.25">
      <c r="D2846" t="s">
        <v>88</v>
      </c>
      <c r="E2846" s="14"/>
      <c r="F2846" s="14"/>
      <c r="G2846">
        <f>IFERROR(HLOOKUP(G$2,[86]table_male_hkom3_inj.ill_X5!$A$1:$K$36,20,FALSE),0)</f>
        <v>0</v>
      </c>
      <c r="H2846">
        <f>IFERROR(HLOOKUP(H$2,[86]table_male_hkom3_inj.ill_X5!$A$1:$K$36,20,FALSE),0)</f>
        <v>0</v>
      </c>
      <c r="I2846">
        <f>IFERROR(HLOOKUP(I$2,[86]table_male_hkom3_inj.ill_X5!$A$1:$K$36,20,FALSE),0)</f>
        <v>0</v>
      </c>
      <c r="J2846">
        <f>IFERROR(HLOOKUP(J$2,[86]table_male_hkom3_inj.ill_X5!$A$1:$K$36,20,FALSE),0)</f>
        <v>0</v>
      </c>
      <c r="K2846">
        <f>IFERROR(HLOOKUP(K$2,[86]table_male_hkom3_inj.ill_X5!$A$1:$K$36,20,FALSE),0)</f>
        <v>0</v>
      </c>
      <c r="L2846">
        <f>IFERROR(HLOOKUP(L$2,[86]table_male_hkom3_inj.ill_X5!$A$1:$K$36,20,FALSE),0)</f>
        <v>0</v>
      </c>
      <c r="M2846">
        <f t="shared" si="885"/>
        <v>0</v>
      </c>
      <c r="S2846" t="s">
        <v>88</v>
      </c>
      <c r="T2846" s="5">
        <f t="shared" si="886"/>
        <v>0</v>
      </c>
      <c r="U2846" s="5">
        <f t="shared" si="887"/>
        <v>0</v>
      </c>
      <c r="V2846" s="5">
        <f t="shared" si="888"/>
        <v>0</v>
      </c>
      <c r="W2846" s="5">
        <f t="shared" si="889"/>
        <v>0</v>
      </c>
      <c r="X2846" s="5">
        <f t="shared" si="890"/>
        <v>0</v>
      </c>
      <c r="Y2846" s="5">
        <f t="shared" si="891"/>
        <v>0</v>
      </c>
      <c r="Z2846" s="5">
        <f t="shared" si="892"/>
        <v>0</v>
      </c>
      <c r="AA2846" s="5">
        <f t="shared" si="893"/>
        <v>0</v>
      </c>
      <c r="AB2846" s="5">
        <f t="shared" si="883"/>
        <v>0</v>
      </c>
    </row>
    <row r="2847" spans="4:28" x14ac:dyDescent="0.25">
      <c r="D2847" t="s">
        <v>89</v>
      </c>
      <c r="E2847" s="14"/>
      <c r="F2847" s="14"/>
      <c r="G2847">
        <f>IFERROR(HLOOKUP(G$2,[86]table_male_hkom3_inj.ill_X5!$A$1:$K$36,21,FALSE),0)</f>
        <v>0</v>
      </c>
      <c r="H2847">
        <f>IFERROR(HLOOKUP(H$2,[86]table_male_hkom3_inj.ill_X5!$A$1:$K$36,21,FALSE),0)</f>
        <v>0</v>
      </c>
      <c r="I2847">
        <f>IFERROR(HLOOKUP(I$2,[86]table_male_hkom3_inj.ill_X5!$A$1:$K$36,21,FALSE),0)</f>
        <v>0</v>
      </c>
      <c r="J2847">
        <f>IFERROR(HLOOKUP(J$2,[86]table_male_hkom3_inj.ill_X5!$A$1:$K$36,21,FALSE),0)</f>
        <v>0</v>
      </c>
      <c r="K2847">
        <f>IFERROR(HLOOKUP(K$2,[86]table_male_hkom3_inj.ill_X5!$A$1:$K$36,21,FALSE),0)</f>
        <v>0</v>
      </c>
      <c r="L2847">
        <f>IFERROR(HLOOKUP(L$2,[86]table_male_hkom3_inj.ill_X5!$A$1:$K$36,21,FALSE),0)</f>
        <v>0</v>
      </c>
      <c r="M2847">
        <f t="shared" si="885"/>
        <v>0</v>
      </c>
      <c r="S2847" t="s">
        <v>89</v>
      </c>
      <c r="T2847" s="5">
        <f t="shared" si="886"/>
        <v>0</v>
      </c>
      <c r="U2847" s="5">
        <f t="shared" si="887"/>
        <v>0</v>
      </c>
      <c r="V2847" s="5">
        <f t="shared" si="888"/>
        <v>0</v>
      </c>
      <c r="W2847" s="5">
        <f t="shared" si="889"/>
        <v>0</v>
      </c>
      <c r="X2847" s="5">
        <f t="shared" si="890"/>
        <v>0</v>
      </c>
      <c r="Y2847" s="5">
        <f t="shared" si="891"/>
        <v>0</v>
      </c>
      <c r="Z2847" s="5">
        <f t="shared" si="892"/>
        <v>0</v>
      </c>
      <c r="AA2847" s="5">
        <f t="shared" si="893"/>
        <v>0</v>
      </c>
      <c r="AB2847" s="5">
        <f t="shared" si="883"/>
        <v>0</v>
      </c>
    </row>
    <row r="2848" spans="4:28" x14ac:dyDescent="0.25">
      <c r="D2848" t="s">
        <v>90</v>
      </c>
      <c r="E2848" s="14"/>
      <c r="F2848" s="14"/>
      <c r="G2848">
        <f>IFERROR(HLOOKUP(G$2,[86]table_male_hkom3_inj.ill_X5!$A$1:$K$36,22,FALSE),0)</f>
        <v>0</v>
      </c>
      <c r="H2848">
        <f>IFERROR(HLOOKUP(H$2,[86]table_male_hkom3_inj.ill_X5!$A$1:$K$36,22,FALSE),0)</f>
        <v>0</v>
      </c>
      <c r="I2848">
        <f>IFERROR(HLOOKUP(I$2,[86]table_male_hkom3_inj.ill_X5!$A$1:$K$36,22,FALSE),0)</f>
        <v>0</v>
      </c>
      <c r="J2848">
        <f>IFERROR(HLOOKUP(J$2,[86]table_male_hkom3_inj.ill_X5!$A$1:$K$36,22,FALSE),0)</f>
        <v>0</v>
      </c>
      <c r="K2848">
        <f>IFERROR(HLOOKUP(K$2,[86]table_male_hkom3_inj.ill_X5!$A$1:$K$36,22,FALSE),0)</f>
        <v>0</v>
      </c>
      <c r="L2848">
        <f>IFERROR(HLOOKUP(L$2,[86]table_male_hkom3_inj.ill_X5!$A$1:$K$36,22,FALSE),0)</f>
        <v>0</v>
      </c>
      <c r="M2848">
        <f t="shared" si="885"/>
        <v>0</v>
      </c>
      <c r="S2848" t="s">
        <v>90</v>
      </c>
      <c r="T2848" s="5">
        <f t="shared" si="886"/>
        <v>0</v>
      </c>
      <c r="U2848" s="5">
        <f t="shared" si="887"/>
        <v>0</v>
      </c>
      <c r="V2848" s="5">
        <f t="shared" si="888"/>
        <v>0</v>
      </c>
      <c r="W2848" s="5">
        <f t="shared" si="889"/>
        <v>0</v>
      </c>
      <c r="X2848" s="5">
        <f t="shared" si="890"/>
        <v>0</v>
      </c>
      <c r="Y2848" s="5">
        <f t="shared" si="891"/>
        <v>0</v>
      </c>
      <c r="Z2848" s="5">
        <f t="shared" si="892"/>
        <v>0</v>
      </c>
      <c r="AA2848" s="5">
        <f t="shared" si="893"/>
        <v>0</v>
      </c>
      <c r="AB2848" s="5">
        <f t="shared" si="883"/>
        <v>0</v>
      </c>
    </row>
    <row r="2849" spans="1:29" x14ac:dyDescent="0.25">
      <c r="D2849" t="s">
        <v>91</v>
      </c>
      <c r="E2849" s="14"/>
      <c r="F2849" s="14"/>
      <c r="G2849">
        <f>IFERROR(HLOOKUP(G$2,[86]table_male_hkom3_inj.ill_X5!$A$1:$K$36,23,FALSE),0)</f>
        <v>0</v>
      </c>
      <c r="H2849">
        <f>IFERROR(HLOOKUP(H$2,[86]table_male_hkom3_inj.ill_X5!$A$1:$K$36,23,FALSE),0)</f>
        <v>0</v>
      </c>
      <c r="I2849">
        <f>IFERROR(HLOOKUP(I$2,[86]table_male_hkom3_inj.ill_X5!$A$1:$K$36,23,FALSE),0)</f>
        <v>0</v>
      </c>
      <c r="J2849">
        <f>IFERROR(HLOOKUP(J$2,[86]table_male_hkom3_inj.ill_X5!$A$1:$K$36,23,FALSE),0)</f>
        <v>0</v>
      </c>
      <c r="K2849">
        <f>IFERROR(HLOOKUP(K$2,[86]table_male_hkom3_inj.ill_X5!$A$1:$K$36,23,FALSE),0)</f>
        <v>0</v>
      </c>
      <c r="L2849">
        <f>IFERROR(HLOOKUP(L$2,[86]table_male_hkom3_inj.ill_X5!$A$1:$K$36,23,FALSE),0)</f>
        <v>0</v>
      </c>
      <c r="M2849">
        <f t="shared" si="885"/>
        <v>0</v>
      </c>
      <c r="S2849" t="s">
        <v>91</v>
      </c>
      <c r="T2849" s="5">
        <f t="shared" si="886"/>
        <v>0</v>
      </c>
      <c r="U2849" s="5">
        <f t="shared" si="887"/>
        <v>0</v>
      </c>
      <c r="V2849" s="5">
        <f t="shared" si="888"/>
        <v>0</v>
      </c>
      <c r="W2849" s="5">
        <f t="shared" si="889"/>
        <v>0</v>
      </c>
      <c r="X2849" s="5">
        <f t="shared" si="890"/>
        <v>0</v>
      </c>
      <c r="Y2849" s="5">
        <f t="shared" si="891"/>
        <v>0</v>
      </c>
      <c r="Z2849" s="5">
        <f t="shared" si="892"/>
        <v>0</v>
      </c>
      <c r="AA2849" s="5">
        <f t="shared" si="893"/>
        <v>0</v>
      </c>
      <c r="AB2849" s="5">
        <f t="shared" si="883"/>
        <v>0</v>
      </c>
    </row>
    <row r="2850" spans="1:29" x14ac:dyDescent="0.25">
      <c r="D2850" t="s">
        <v>92</v>
      </c>
      <c r="E2850" s="14"/>
      <c r="F2850" s="14"/>
      <c r="G2850">
        <f>IFERROR(HLOOKUP(G$2,[86]table_male_hkom3_inj.ill_X5!$A$1:$K$36,24,FALSE),0)</f>
        <v>0</v>
      </c>
      <c r="H2850">
        <f>IFERROR(HLOOKUP(H$2,[86]table_male_hkom3_inj.ill_X5!$A$1:$K$36,24,FALSE),0)</f>
        <v>0</v>
      </c>
      <c r="I2850">
        <f>IFERROR(HLOOKUP(I$2,[86]table_male_hkom3_inj.ill_X5!$A$1:$K$36,24,FALSE),0)</f>
        <v>0</v>
      </c>
      <c r="J2850">
        <f>IFERROR(HLOOKUP(J$2,[86]table_male_hkom3_inj.ill_X5!$A$1:$K$36,24,FALSE),0)</f>
        <v>0</v>
      </c>
      <c r="K2850">
        <f>IFERROR(HLOOKUP(K$2,[86]table_male_hkom3_inj.ill_X5!$A$1:$K$36,24,FALSE),0)</f>
        <v>0</v>
      </c>
      <c r="L2850">
        <f>IFERROR(HLOOKUP(L$2,[86]table_male_hkom3_inj.ill_X5!$A$1:$K$36,24,FALSE),0)</f>
        <v>0</v>
      </c>
      <c r="M2850">
        <f t="shared" si="885"/>
        <v>0</v>
      </c>
      <c r="S2850" t="s">
        <v>92</v>
      </c>
      <c r="T2850" s="5">
        <f t="shared" si="886"/>
        <v>0</v>
      </c>
      <c r="U2850" s="5">
        <f t="shared" si="887"/>
        <v>0</v>
      </c>
      <c r="V2850" s="5">
        <f t="shared" si="888"/>
        <v>0</v>
      </c>
      <c r="W2850" s="5">
        <f t="shared" si="889"/>
        <v>0</v>
      </c>
      <c r="X2850" s="5">
        <f t="shared" si="890"/>
        <v>0</v>
      </c>
      <c r="Y2850" s="5">
        <f t="shared" si="891"/>
        <v>0</v>
      </c>
      <c r="Z2850" s="5">
        <f t="shared" si="892"/>
        <v>0</v>
      </c>
      <c r="AA2850" s="5">
        <f t="shared" si="893"/>
        <v>0</v>
      </c>
      <c r="AB2850" s="5">
        <f t="shared" si="883"/>
        <v>0</v>
      </c>
    </row>
    <row r="2851" spans="1:29" x14ac:dyDescent="0.25">
      <c r="D2851" t="s">
        <v>93</v>
      </c>
      <c r="E2851" s="14"/>
      <c r="F2851" s="14"/>
      <c r="G2851">
        <f>IFERROR(HLOOKUP(G$2,[86]table_male_hkom3_inj.ill_X5!$A$1:$K$36,25,FALSE),0)</f>
        <v>0</v>
      </c>
      <c r="H2851">
        <f>IFERROR(HLOOKUP(H$2,[86]table_male_hkom3_inj.ill_X5!$A$1:$K$36,25,FALSE),0)</f>
        <v>0</v>
      </c>
      <c r="I2851">
        <f>IFERROR(HLOOKUP(I$2,[86]table_male_hkom3_inj.ill_X5!$A$1:$K$36,25,FALSE),0)</f>
        <v>0</v>
      </c>
      <c r="J2851">
        <f>IFERROR(HLOOKUP(J$2,[86]table_male_hkom3_inj.ill_X5!$A$1:$K$36,25,FALSE),0)</f>
        <v>0</v>
      </c>
      <c r="K2851">
        <f>IFERROR(HLOOKUP(K$2,[86]table_male_hkom3_inj.ill_X5!$A$1:$K$36,25,FALSE),0)</f>
        <v>0</v>
      </c>
      <c r="L2851">
        <f>IFERROR(HLOOKUP(L$2,[86]table_male_hkom3_inj.ill_X5!$A$1:$K$36,25,FALSE),0)</f>
        <v>0</v>
      </c>
      <c r="M2851">
        <f t="shared" si="885"/>
        <v>0</v>
      </c>
      <c r="S2851" t="s">
        <v>93</v>
      </c>
      <c r="T2851" s="5">
        <f t="shared" si="886"/>
        <v>0</v>
      </c>
      <c r="U2851" s="5">
        <f t="shared" si="887"/>
        <v>0</v>
      </c>
      <c r="V2851" s="5">
        <f t="shared" si="888"/>
        <v>0</v>
      </c>
      <c r="W2851" s="5">
        <f t="shared" si="889"/>
        <v>0</v>
      </c>
      <c r="X2851" s="5">
        <f t="shared" si="890"/>
        <v>0</v>
      </c>
      <c r="Y2851" s="5">
        <f t="shared" si="891"/>
        <v>0</v>
      </c>
      <c r="Z2851" s="5">
        <f t="shared" si="892"/>
        <v>0</v>
      </c>
      <c r="AA2851" s="5">
        <f t="shared" si="893"/>
        <v>0</v>
      </c>
      <c r="AB2851" s="5">
        <f t="shared" si="883"/>
        <v>0</v>
      </c>
    </row>
    <row r="2852" spans="1:29" x14ac:dyDescent="0.25">
      <c r="D2852" t="s">
        <v>94</v>
      </c>
      <c r="E2852" s="14"/>
      <c r="F2852" s="14"/>
      <c r="G2852">
        <f>IFERROR(HLOOKUP(G$2,[86]table_male_hkom3_inj.ill_X5!$A$1:$K$36,26,FALSE),0)</f>
        <v>0</v>
      </c>
      <c r="H2852">
        <f>IFERROR(HLOOKUP(H$2,[86]table_male_hkom3_inj.ill_X5!$A$1:$K$36,26,FALSE),0)</f>
        <v>0</v>
      </c>
      <c r="I2852">
        <f>IFERROR(HLOOKUP(I$2,[86]table_male_hkom3_inj.ill_X5!$A$1:$K$36,26,FALSE),0)</f>
        <v>0</v>
      </c>
      <c r="J2852">
        <f>IFERROR(HLOOKUP(J$2,[86]table_male_hkom3_inj.ill_X5!$A$1:$K$36,26,FALSE),0)</f>
        <v>0</v>
      </c>
      <c r="K2852">
        <f>IFERROR(HLOOKUP(K$2,[86]table_male_hkom3_inj.ill_X5!$A$1:$K$36,26,FALSE),0)</f>
        <v>0</v>
      </c>
      <c r="L2852">
        <f>IFERROR(HLOOKUP(L$2,[86]table_male_hkom3_inj.ill_X5!$A$1:$K$36,26,FALSE),0)</f>
        <v>0</v>
      </c>
      <c r="M2852">
        <f t="shared" si="885"/>
        <v>0</v>
      </c>
      <c r="S2852" t="s">
        <v>94</v>
      </c>
      <c r="T2852" s="5">
        <f t="shared" si="886"/>
        <v>0</v>
      </c>
      <c r="U2852" s="5">
        <f t="shared" si="887"/>
        <v>0</v>
      </c>
      <c r="V2852" s="5">
        <f t="shared" si="888"/>
        <v>0</v>
      </c>
      <c r="W2852" s="5">
        <f t="shared" si="889"/>
        <v>0</v>
      </c>
      <c r="X2852" s="5">
        <f t="shared" si="890"/>
        <v>0</v>
      </c>
      <c r="Y2852" s="5">
        <f t="shared" si="891"/>
        <v>0</v>
      </c>
      <c r="Z2852" s="5">
        <f t="shared" si="892"/>
        <v>0</v>
      </c>
      <c r="AA2852" s="5">
        <f t="shared" si="893"/>
        <v>0</v>
      </c>
      <c r="AB2852" s="5">
        <f t="shared" si="883"/>
        <v>0</v>
      </c>
    </row>
    <row r="2853" spans="1:29" x14ac:dyDescent="0.25">
      <c r="D2853" t="s">
        <v>95</v>
      </c>
      <c r="E2853" s="14"/>
      <c r="F2853" s="14"/>
      <c r="G2853">
        <f>IFERROR(HLOOKUP(G$2,[86]table_male_hkom3_inj.ill_X5!$A$1:$K$36,27,FALSE),0)</f>
        <v>0</v>
      </c>
      <c r="H2853">
        <f>IFERROR(HLOOKUP(H$2,[86]table_male_hkom3_inj.ill_X5!$A$1:$K$36,27,FALSE),0)</f>
        <v>0</v>
      </c>
      <c r="I2853">
        <f>IFERROR(HLOOKUP(I$2,[86]table_male_hkom3_inj.ill_X5!$A$1:$K$36,27,FALSE),0)</f>
        <v>0</v>
      </c>
      <c r="J2853">
        <f>IFERROR(HLOOKUP(J$2,[86]table_male_hkom3_inj.ill_X5!$A$1:$K$36,27,FALSE),0)</f>
        <v>0</v>
      </c>
      <c r="K2853">
        <f>IFERROR(HLOOKUP(K$2,[86]table_male_hkom3_inj.ill_X5!$A$1:$K$36,27,FALSE),0)</f>
        <v>0</v>
      </c>
      <c r="L2853">
        <f>IFERROR(HLOOKUP(L$2,[86]table_male_hkom3_inj.ill_X5!$A$1:$K$36,27,FALSE),0)</f>
        <v>0</v>
      </c>
      <c r="M2853">
        <f t="shared" si="885"/>
        <v>0</v>
      </c>
      <c r="S2853" t="s">
        <v>95</v>
      </c>
      <c r="T2853" s="5">
        <f t="shared" si="886"/>
        <v>0</v>
      </c>
      <c r="U2853" s="5">
        <f t="shared" si="887"/>
        <v>0</v>
      </c>
      <c r="V2853" s="5">
        <f t="shared" si="888"/>
        <v>0</v>
      </c>
      <c r="W2853" s="5">
        <f t="shared" si="889"/>
        <v>0</v>
      </c>
      <c r="X2853" s="5">
        <f t="shared" si="890"/>
        <v>0</v>
      </c>
      <c r="Y2853" s="5">
        <f t="shared" si="891"/>
        <v>0</v>
      </c>
      <c r="Z2853" s="5">
        <f t="shared" si="892"/>
        <v>0</v>
      </c>
      <c r="AA2853" s="5">
        <f t="shared" si="893"/>
        <v>0</v>
      </c>
      <c r="AB2853" s="5">
        <f t="shared" si="883"/>
        <v>0</v>
      </c>
    </row>
    <row r="2854" spans="1:29" x14ac:dyDescent="0.25">
      <c r="D2854" t="s">
        <v>96</v>
      </c>
      <c r="E2854" s="14"/>
      <c r="F2854" s="14"/>
      <c r="G2854">
        <f>IFERROR(HLOOKUP(G$2,[86]table_male_hkom3_inj.ill_X5!$A$1:$K$36,28,FALSE),0)</f>
        <v>0</v>
      </c>
      <c r="H2854">
        <f>IFERROR(HLOOKUP(H$2,[86]table_male_hkom3_inj.ill_X5!$A$1:$K$36,28,FALSE),0)</f>
        <v>0</v>
      </c>
      <c r="I2854">
        <f>IFERROR(HLOOKUP(I$2,[86]table_male_hkom3_inj.ill_X5!$A$1:$K$36,28,FALSE),0)</f>
        <v>0</v>
      </c>
      <c r="J2854">
        <f>IFERROR(HLOOKUP(J$2,[86]table_male_hkom3_inj.ill_X5!$A$1:$K$36,28,FALSE),0)</f>
        <v>0</v>
      </c>
      <c r="K2854">
        <f>IFERROR(HLOOKUP(K$2,[86]table_male_hkom3_inj.ill_X5!$A$1:$K$36,28,FALSE),0)</f>
        <v>0</v>
      </c>
      <c r="L2854">
        <f>IFERROR(HLOOKUP(L$2,[86]table_male_hkom3_inj.ill_X5!$A$1:$K$36,28,FALSE),0)</f>
        <v>0</v>
      </c>
      <c r="M2854">
        <f t="shared" si="885"/>
        <v>0</v>
      </c>
      <c r="S2854" t="s">
        <v>96</v>
      </c>
      <c r="T2854" s="5">
        <f t="shared" si="886"/>
        <v>0</v>
      </c>
      <c r="U2854" s="5">
        <f t="shared" si="887"/>
        <v>0</v>
      </c>
      <c r="V2854" s="5">
        <f t="shared" si="888"/>
        <v>0</v>
      </c>
      <c r="W2854" s="5">
        <f t="shared" si="889"/>
        <v>0</v>
      </c>
      <c r="X2854" s="5">
        <f t="shared" si="890"/>
        <v>0</v>
      </c>
      <c r="Y2854" s="5">
        <f t="shared" si="891"/>
        <v>0</v>
      </c>
      <c r="Z2854" s="5">
        <f t="shared" si="892"/>
        <v>0</v>
      </c>
      <c r="AA2854" s="5">
        <f t="shared" si="893"/>
        <v>0</v>
      </c>
      <c r="AB2854" s="5">
        <f t="shared" si="883"/>
        <v>0</v>
      </c>
    </row>
    <row r="2855" spans="1:29" x14ac:dyDescent="0.25">
      <c r="D2855" t="s">
        <v>97</v>
      </c>
      <c r="E2855" s="14"/>
      <c r="F2855" s="14"/>
      <c r="G2855">
        <f>IFERROR(HLOOKUP(G$2,[86]table_male_hkom3_inj.ill_X5!$A$1:$K$36,29,FALSE),0)</f>
        <v>0</v>
      </c>
      <c r="H2855">
        <f>IFERROR(HLOOKUP(H$2,[86]table_male_hkom3_inj.ill_X5!$A$1:$K$36,29,FALSE),0)</f>
        <v>0</v>
      </c>
      <c r="I2855">
        <f>IFERROR(HLOOKUP(I$2,[86]table_male_hkom3_inj.ill_X5!$A$1:$K$36,29,FALSE),0)</f>
        <v>0</v>
      </c>
      <c r="J2855">
        <f>IFERROR(HLOOKUP(J$2,[86]table_male_hkom3_inj.ill_X5!$A$1:$K$36,29,FALSE),0)</f>
        <v>0</v>
      </c>
      <c r="K2855">
        <f>IFERROR(HLOOKUP(K$2,[86]table_male_hkom3_inj.ill_X5!$A$1:$K$36,29,FALSE),0)</f>
        <v>0</v>
      </c>
      <c r="L2855">
        <f>IFERROR(HLOOKUP(L$2,[86]table_male_hkom3_inj.ill_X5!$A$1:$K$36,29,FALSE),0)</f>
        <v>0</v>
      </c>
      <c r="M2855">
        <f t="shared" si="885"/>
        <v>0</v>
      </c>
      <c r="S2855" t="s">
        <v>97</v>
      </c>
      <c r="T2855" s="5">
        <f t="shared" si="886"/>
        <v>0</v>
      </c>
      <c r="U2855" s="5">
        <f t="shared" si="887"/>
        <v>0</v>
      </c>
      <c r="V2855" s="5">
        <f t="shared" si="888"/>
        <v>0</v>
      </c>
      <c r="W2855" s="5">
        <f t="shared" si="889"/>
        <v>0</v>
      </c>
      <c r="X2855" s="5">
        <f t="shared" si="890"/>
        <v>0</v>
      </c>
      <c r="Y2855" s="5">
        <f t="shared" si="891"/>
        <v>0</v>
      </c>
      <c r="Z2855" s="5">
        <f t="shared" si="892"/>
        <v>0</v>
      </c>
      <c r="AA2855" s="5">
        <f t="shared" si="893"/>
        <v>0</v>
      </c>
      <c r="AB2855" s="5">
        <f t="shared" si="883"/>
        <v>0</v>
      </c>
    </row>
    <row r="2856" spans="1:29" x14ac:dyDescent="0.25">
      <c r="D2856" t="s">
        <v>98</v>
      </c>
      <c r="E2856" s="14"/>
      <c r="F2856" s="14"/>
      <c r="G2856">
        <f>IFERROR(HLOOKUP(G$2,[86]table_male_hkom3_inj.ill_X5!$A$1:$K$36,30,FALSE),0)</f>
        <v>0</v>
      </c>
      <c r="H2856">
        <f>IFERROR(HLOOKUP(H$2,[86]table_male_hkom3_inj.ill_X5!$A$1:$K$36,30,FALSE),0)</f>
        <v>0</v>
      </c>
      <c r="I2856">
        <f>IFERROR(HLOOKUP(I$2,[86]table_male_hkom3_inj.ill_X5!$A$1:$K$36,30,FALSE),0)</f>
        <v>0</v>
      </c>
      <c r="J2856">
        <f>IFERROR(HLOOKUP(J$2,[86]table_male_hkom3_inj.ill_X5!$A$1:$K$36,30,FALSE),0)</f>
        <v>0</v>
      </c>
      <c r="K2856">
        <f>IFERROR(HLOOKUP(K$2,[86]table_male_hkom3_inj.ill_X5!$A$1:$K$36,30,FALSE),0)</f>
        <v>0</v>
      </c>
      <c r="L2856">
        <f>IFERROR(HLOOKUP(L$2,[86]table_male_hkom3_inj.ill_X5!$A$1:$K$36,30,FALSE),0)</f>
        <v>0</v>
      </c>
      <c r="M2856">
        <f t="shared" si="885"/>
        <v>0</v>
      </c>
      <c r="S2856" t="s">
        <v>98</v>
      </c>
      <c r="T2856" s="5">
        <f t="shared" si="886"/>
        <v>0</v>
      </c>
      <c r="U2856" s="5">
        <f t="shared" si="887"/>
        <v>0</v>
      </c>
      <c r="V2856" s="5">
        <f t="shared" si="888"/>
        <v>0</v>
      </c>
      <c r="W2856" s="5">
        <f t="shared" si="889"/>
        <v>0</v>
      </c>
      <c r="X2856" s="5">
        <f t="shared" si="890"/>
        <v>0</v>
      </c>
      <c r="Y2856" s="5">
        <f t="shared" si="891"/>
        <v>0</v>
      </c>
      <c r="Z2856" s="5">
        <f t="shared" si="892"/>
        <v>0</v>
      </c>
      <c r="AA2856" s="5">
        <f t="shared" si="893"/>
        <v>0</v>
      </c>
      <c r="AB2856" s="5">
        <f t="shared" si="883"/>
        <v>0</v>
      </c>
    </row>
    <row r="2857" spans="1:29" x14ac:dyDescent="0.25">
      <c r="D2857" t="s">
        <v>119</v>
      </c>
      <c r="E2857" s="14"/>
      <c r="F2857" s="14"/>
      <c r="G2857">
        <f>IFERROR(HLOOKUP(G$2,[86]table_male_hkom3_inj.ill_X5!$A$1:$K$36,31,FALSE),0)</f>
        <v>0</v>
      </c>
      <c r="H2857">
        <f>IFERROR(HLOOKUP(H$2,[86]table_male_hkom3_inj.ill_X5!$A$1:$K$36,31,FALSE),0)</f>
        <v>0</v>
      </c>
      <c r="I2857">
        <f>IFERROR(HLOOKUP(I$2,[86]table_male_hkom3_inj.ill_X5!$A$1:$K$36,31,FALSE),0)</f>
        <v>0</v>
      </c>
      <c r="J2857">
        <f>IFERROR(HLOOKUP(J$2,[86]table_male_hkom3_inj.ill_X5!$A$1:$K$36,31,FALSE),0)</f>
        <v>0</v>
      </c>
      <c r="K2857">
        <f>IFERROR(HLOOKUP(K$2,[86]table_male_hkom3_inj.ill_X5!$A$1:$K$36,31,FALSE),0)</f>
        <v>0</v>
      </c>
      <c r="L2857">
        <f>IFERROR(HLOOKUP(L$2,[86]table_male_hkom3_inj.ill_X5!$A$1:$K$36,31,FALSE),0)</f>
        <v>0</v>
      </c>
      <c r="M2857">
        <f t="shared" si="885"/>
        <v>0</v>
      </c>
      <c r="S2857" t="s">
        <v>119</v>
      </c>
      <c r="T2857" s="5">
        <f t="shared" si="886"/>
        <v>0</v>
      </c>
      <c r="U2857" s="5">
        <f t="shared" si="887"/>
        <v>0</v>
      </c>
      <c r="V2857" s="5">
        <f t="shared" si="888"/>
        <v>0</v>
      </c>
      <c r="W2857" s="5">
        <f t="shared" si="889"/>
        <v>0</v>
      </c>
      <c r="X2857" s="5">
        <f t="shared" si="890"/>
        <v>0</v>
      </c>
      <c r="Y2857" s="5">
        <f t="shared" si="891"/>
        <v>0</v>
      </c>
      <c r="Z2857" s="5">
        <f t="shared" si="892"/>
        <v>0</v>
      </c>
      <c r="AA2857" s="5">
        <f t="shared" si="893"/>
        <v>0</v>
      </c>
      <c r="AB2857" s="5">
        <f t="shared" si="883"/>
        <v>0</v>
      </c>
    </row>
    <row r="2858" spans="1:29" x14ac:dyDescent="0.25">
      <c r="D2858" t="s">
        <v>99</v>
      </c>
      <c r="E2858" s="14"/>
      <c r="F2858" s="14"/>
      <c r="G2858">
        <f>IFERROR(HLOOKUP(G$2,[86]table_male_hkom3_inj.ill_X5!$A$1:$K$36,32,FALSE),0)</f>
        <v>0</v>
      </c>
      <c r="H2858">
        <f>IFERROR(HLOOKUP(H$2,[86]table_male_hkom3_inj.ill_X5!$A$1:$K$36,32,FALSE),0)</f>
        <v>0</v>
      </c>
      <c r="I2858">
        <f>IFERROR(HLOOKUP(I$2,[86]table_male_hkom3_inj.ill_X5!$A$1:$K$36,32,FALSE),0)</f>
        <v>0</v>
      </c>
      <c r="J2858">
        <f>IFERROR(HLOOKUP(J$2,[86]table_male_hkom3_inj.ill_X5!$A$1:$K$36,32,FALSE),0)</f>
        <v>0</v>
      </c>
      <c r="K2858">
        <f>IFERROR(HLOOKUP(K$2,[86]table_male_hkom3_inj.ill_X5!$A$1:$K$36,32,FALSE),0)</f>
        <v>0</v>
      </c>
      <c r="L2858">
        <f>IFERROR(HLOOKUP(L$2,[86]table_male_hkom3_inj.ill_X5!$A$1:$K$36,32,FALSE),0)</f>
        <v>0</v>
      </c>
      <c r="M2858">
        <f t="shared" si="885"/>
        <v>0</v>
      </c>
      <c r="S2858" t="s">
        <v>99</v>
      </c>
      <c r="T2858" s="5">
        <f t="shared" si="886"/>
        <v>0</v>
      </c>
      <c r="U2858" s="5">
        <f t="shared" si="887"/>
        <v>0</v>
      </c>
      <c r="V2858" s="5">
        <f t="shared" si="888"/>
        <v>0</v>
      </c>
      <c r="W2858" s="5">
        <f t="shared" si="889"/>
        <v>0</v>
      </c>
      <c r="X2858" s="5">
        <f t="shared" si="890"/>
        <v>0</v>
      </c>
      <c r="Y2858" s="5">
        <f t="shared" si="891"/>
        <v>0</v>
      </c>
      <c r="Z2858" s="5">
        <f t="shared" si="892"/>
        <v>0</v>
      </c>
      <c r="AA2858" s="5">
        <f t="shared" si="893"/>
        <v>0</v>
      </c>
      <c r="AB2858" s="5">
        <f t="shared" si="883"/>
        <v>0</v>
      </c>
    </row>
    <row r="2859" spans="1:29" x14ac:dyDescent="0.25">
      <c r="D2859" t="s">
        <v>100</v>
      </c>
      <c r="E2859" s="14"/>
      <c r="F2859" s="14"/>
      <c r="G2859">
        <f>IFERROR(HLOOKUP(G$2,[86]table_male_hkom3_inj.ill_X5!$A$1:$K$36,33,FALSE),0)</f>
        <v>0</v>
      </c>
      <c r="H2859">
        <f>IFERROR(HLOOKUP(H$2,[86]table_male_hkom3_inj.ill_X5!$A$1:$K$36,33,FALSE),0)</f>
        <v>0</v>
      </c>
      <c r="I2859">
        <f>IFERROR(HLOOKUP(I$2,[86]table_male_hkom3_inj.ill_X5!$A$1:$K$36,33,FALSE),0)</f>
        <v>0</v>
      </c>
      <c r="J2859">
        <f>IFERROR(HLOOKUP(J$2,[86]table_male_hkom3_inj.ill_X5!$A$1:$K$36,33,FALSE),0)</f>
        <v>0</v>
      </c>
      <c r="K2859">
        <f>IFERROR(HLOOKUP(K$2,[86]table_male_hkom3_inj.ill_X5!$A$1:$K$36,33,FALSE),0)</f>
        <v>0</v>
      </c>
      <c r="L2859">
        <f>IFERROR(HLOOKUP(L$2,[86]table_male_hkom3_inj.ill_X5!$A$1:$K$36,33,FALSE),0)</f>
        <v>0</v>
      </c>
      <c r="M2859">
        <f t="shared" si="885"/>
        <v>0</v>
      </c>
      <c r="S2859" t="s">
        <v>100</v>
      </c>
      <c r="T2859" s="5">
        <f t="shared" si="886"/>
        <v>0</v>
      </c>
      <c r="U2859" s="5">
        <f t="shared" si="887"/>
        <v>0</v>
      </c>
      <c r="V2859" s="5">
        <f t="shared" si="888"/>
        <v>0</v>
      </c>
      <c r="W2859" s="5">
        <f t="shared" si="889"/>
        <v>0</v>
      </c>
      <c r="X2859" s="5">
        <f t="shared" si="890"/>
        <v>0</v>
      </c>
      <c r="Y2859" s="5">
        <f t="shared" si="891"/>
        <v>0</v>
      </c>
      <c r="Z2859" s="5">
        <f t="shared" si="892"/>
        <v>0</v>
      </c>
      <c r="AA2859" s="5">
        <f t="shared" si="893"/>
        <v>0</v>
      </c>
      <c r="AB2859" s="5">
        <f t="shared" ref="AB2859:AB2922" si="894">SUM(T2859:AA2859)</f>
        <v>0</v>
      </c>
    </row>
    <row r="2860" spans="1:29" x14ac:dyDescent="0.25">
      <c r="D2860" t="s">
        <v>101</v>
      </c>
      <c r="E2860" s="14"/>
      <c r="F2860" s="14"/>
      <c r="G2860">
        <f>IFERROR(HLOOKUP(G$2,[86]table_male_hkom3_inj.ill_X5!$A$1:$K$36,34,FALSE),0)</f>
        <v>0</v>
      </c>
      <c r="H2860">
        <f>IFERROR(HLOOKUP(H$2,[86]table_male_hkom3_inj.ill_X5!$A$1:$K$36,34,FALSE),0)</f>
        <v>0</v>
      </c>
      <c r="I2860">
        <f>IFERROR(HLOOKUP(I$2,[86]table_male_hkom3_inj.ill_X5!$A$1:$K$36,34,FALSE),0)</f>
        <v>0</v>
      </c>
      <c r="J2860">
        <f>IFERROR(HLOOKUP(J$2,[86]table_male_hkom3_inj.ill_X5!$A$1:$K$36,34,FALSE),0)</f>
        <v>0</v>
      </c>
      <c r="K2860">
        <f>IFERROR(HLOOKUP(K$2,[86]table_male_hkom3_inj.ill_X5!$A$1:$K$36,34,FALSE),0)</f>
        <v>0</v>
      </c>
      <c r="L2860">
        <f>IFERROR(HLOOKUP(L$2,[86]table_male_hkom3_inj.ill_X5!$A$1:$K$36,34,FALSE),0)</f>
        <v>0</v>
      </c>
      <c r="M2860">
        <f t="shared" si="885"/>
        <v>0</v>
      </c>
      <c r="S2860" t="s">
        <v>101</v>
      </c>
      <c r="T2860" s="5">
        <f t="shared" si="886"/>
        <v>0</v>
      </c>
      <c r="U2860" s="5">
        <f t="shared" si="887"/>
        <v>0</v>
      </c>
      <c r="V2860" s="5">
        <f t="shared" si="888"/>
        <v>0</v>
      </c>
      <c r="W2860" s="5">
        <f t="shared" si="889"/>
        <v>0</v>
      </c>
      <c r="X2860" s="5">
        <f t="shared" si="890"/>
        <v>0</v>
      </c>
      <c r="Y2860" s="5">
        <f t="shared" si="891"/>
        <v>0</v>
      </c>
      <c r="Z2860" s="5">
        <f t="shared" si="892"/>
        <v>0</v>
      </c>
      <c r="AA2860" s="5">
        <f t="shared" si="893"/>
        <v>0</v>
      </c>
      <c r="AB2860" s="5">
        <f t="shared" si="894"/>
        <v>0</v>
      </c>
    </row>
    <row r="2861" spans="1:29" x14ac:dyDescent="0.25">
      <c r="D2861" t="s">
        <v>102</v>
      </c>
      <c r="E2861" s="14"/>
      <c r="F2861" s="14"/>
      <c r="G2861">
        <f>IFERROR(HLOOKUP(G$2,[86]table_male_hkom3_inj.ill_X5!$A$1:$K$36,35,FALSE),0)</f>
        <v>0</v>
      </c>
      <c r="H2861">
        <f>IFERROR(HLOOKUP(H$2,[86]table_male_hkom3_inj.ill_X5!$A$1:$K$36,35,FALSE),0)</f>
        <v>0</v>
      </c>
      <c r="I2861">
        <f>IFERROR(HLOOKUP(I$2,[86]table_male_hkom3_inj.ill_X5!$A$1:$K$36,35,FALSE),0)</f>
        <v>0</v>
      </c>
      <c r="J2861">
        <f>IFERROR(HLOOKUP(J$2,[86]table_male_hkom3_inj.ill_X5!$A$1:$K$36,35,FALSE),0)</f>
        <v>0</v>
      </c>
      <c r="K2861">
        <f>IFERROR(HLOOKUP(K$2,[86]table_male_hkom3_inj.ill_X5!$A$1:$K$36,35,FALSE),0)</f>
        <v>0</v>
      </c>
      <c r="L2861">
        <f>IFERROR(HLOOKUP(L$2,[86]table_male_hkom3_inj.ill_X5!$A$1:$K$36,35,FALSE),0)</f>
        <v>0</v>
      </c>
      <c r="M2861">
        <f t="shared" si="885"/>
        <v>0</v>
      </c>
      <c r="N2861">
        <f>SUM(M2828:M2861)</f>
        <v>1</v>
      </c>
      <c r="O2861" s="8">
        <f>SUM([86]table_male_hkom3_inj.ill_X5!$B$2:$L$37)</f>
        <v>1</v>
      </c>
      <c r="S2861" t="s">
        <v>102</v>
      </c>
      <c r="T2861" s="7"/>
      <c r="U2861" s="7"/>
      <c r="V2861" s="7"/>
      <c r="W2861" s="7"/>
      <c r="X2861" s="7"/>
      <c r="Y2861" s="7"/>
      <c r="Z2861" s="7"/>
      <c r="AA2861" s="7"/>
      <c r="AB2861" s="5">
        <f t="shared" si="894"/>
        <v>0</v>
      </c>
      <c r="AC2861" s="5">
        <f>SUM(AB2828:AB2860)</f>
        <v>1</v>
      </c>
    </row>
    <row r="2862" spans="1:29" x14ac:dyDescent="0.25">
      <c r="A2862" t="s">
        <v>104</v>
      </c>
      <c r="B2862" t="s">
        <v>117</v>
      </c>
      <c r="C2862" t="s">
        <v>128</v>
      </c>
      <c r="D2862" t="s">
        <v>70</v>
      </c>
      <c r="E2862" s="14"/>
      <c r="F2862" s="14"/>
      <c r="G2862">
        <f>IFERROR(HLOOKUP(G$2,[87]table_male_hkom3_inj.ill_X6!$A$1:$K$36,2,FALSE),0)</f>
        <v>0</v>
      </c>
      <c r="H2862">
        <f>IFERROR(HLOOKUP(H$2,[87]table_male_hkom3_inj.ill_X6!$A$1:$K$36,2,FALSE),0)</f>
        <v>0</v>
      </c>
      <c r="I2862">
        <f>IFERROR(HLOOKUP(I$2,[87]table_male_hkom3_inj.ill_X6!$A$1:$K$36,2,FALSE),0)</f>
        <v>0</v>
      </c>
      <c r="J2862">
        <f>IFERROR(HLOOKUP(J$2,[87]table_male_hkom3_inj.ill_X6!$A$1:$K$36,2,FALSE),0)</f>
        <v>0</v>
      </c>
      <c r="K2862">
        <f>IFERROR(HLOOKUP(K$2,[87]table_male_hkom3_inj.ill_X6!$A$1:$K$36,2,FALSE),0)</f>
        <v>0</v>
      </c>
      <c r="L2862">
        <f>IFERROR(HLOOKUP(L$2,[87]table_male_hkom3_inj.ill_X6!$A$1:$K$36,2,FALSE),0)</f>
        <v>0</v>
      </c>
      <c r="M2862">
        <f>SUM(E2862:L2862)</f>
        <v>0</v>
      </c>
      <c r="P2862" t="s">
        <v>104</v>
      </c>
      <c r="Q2862" t="s">
        <v>117</v>
      </c>
      <c r="R2862" t="s">
        <v>128</v>
      </c>
      <c r="S2862" t="s">
        <v>70</v>
      </c>
      <c r="T2862" s="5">
        <f>IF(SUM(E$2862:E$2894)=0,E$2895/33,E2862+IFERROR(E2862/SUM(E$2862:E$2894)*E$2895,0))</f>
        <v>0</v>
      </c>
      <c r="U2862" s="5">
        <f t="shared" ref="U2862:AA2862" si="895">IF(SUM(F$2862:F$2894)=0,F$2895/33,F2862+IFERROR(F2862/SUM(F$2862:F$2894)*F$2895,0))</f>
        <v>0</v>
      </c>
      <c r="V2862" s="5">
        <f t="shared" si="895"/>
        <v>3.0303030303030304E-2</v>
      </c>
      <c r="W2862" s="5">
        <f t="shared" si="895"/>
        <v>0</v>
      </c>
      <c r="X2862" s="5">
        <f t="shared" si="895"/>
        <v>0</v>
      </c>
      <c r="Y2862" s="5">
        <f t="shared" si="895"/>
        <v>0</v>
      </c>
      <c r="Z2862" s="5">
        <f t="shared" si="895"/>
        <v>0</v>
      </c>
      <c r="AA2862" s="5">
        <f t="shared" si="895"/>
        <v>0</v>
      </c>
      <c r="AB2862" s="5">
        <f t="shared" si="894"/>
        <v>3.0303030303030304E-2</v>
      </c>
    </row>
    <row r="2863" spans="1:29" x14ac:dyDescent="0.25">
      <c r="D2863" t="s">
        <v>71</v>
      </c>
      <c r="E2863" s="14"/>
      <c r="F2863" s="14"/>
      <c r="G2863">
        <f>IFERROR(HLOOKUP(G$2,[87]table_male_hkom3_inj.ill_X6!$A$1:$K$36,3,FALSE),0)</f>
        <v>0</v>
      </c>
      <c r="H2863">
        <f>IFERROR(HLOOKUP(H$2,[87]table_male_hkom3_inj.ill_X6!$A$1:$K$36,3,FALSE),0)</f>
        <v>0</v>
      </c>
      <c r="I2863">
        <f>IFERROR(HLOOKUP(I$2,[87]table_male_hkom3_inj.ill_X6!$A$1:$K$36,3,FALSE),0)</f>
        <v>0</v>
      </c>
      <c r="J2863">
        <f>IFERROR(HLOOKUP(J$2,[87]table_male_hkom3_inj.ill_X6!$A$1:$K$36,3,FALSE),0)</f>
        <v>0</v>
      </c>
      <c r="K2863">
        <f>IFERROR(HLOOKUP(K$2,[87]table_male_hkom3_inj.ill_X6!$A$1:$K$36,3,FALSE),0)</f>
        <v>0</v>
      </c>
      <c r="L2863">
        <f>IFERROR(HLOOKUP(L$2,[87]table_male_hkom3_inj.ill_X6!$A$1:$K$36,3,FALSE),0)</f>
        <v>0</v>
      </c>
      <c r="M2863">
        <f t="shared" ref="M2863:M2895" si="896">SUM(E2863:L2863)</f>
        <v>0</v>
      </c>
      <c r="S2863" t="s">
        <v>71</v>
      </c>
      <c r="T2863" s="5">
        <f t="shared" ref="T2863:T2894" si="897">IF(SUM(E$2862:E$2894)=0,E$2895/33,E2863+IFERROR(E2863/SUM(E$2862:E$2894)*E$2895,0))</f>
        <v>0</v>
      </c>
      <c r="U2863" s="5">
        <f t="shared" ref="U2863:U2894" si="898">IF(SUM(F$2862:F$2894)=0,F$2895/33,F2863+IFERROR(F2863/SUM(F$2862:F$2894)*F$2895,0))</f>
        <v>0</v>
      </c>
      <c r="V2863" s="5">
        <f t="shared" ref="V2863:V2894" si="899">IF(SUM(G$2862:G$2894)=0,G$2895/33,G2863+IFERROR(G2863/SUM(G$2862:G$2894)*G$2895,0))</f>
        <v>3.0303030303030304E-2</v>
      </c>
      <c r="W2863" s="5">
        <f t="shared" ref="W2863:W2894" si="900">IF(SUM(H$2862:H$2894)=0,H$2895/33,H2863+IFERROR(H2863/SUM(H$2862:H$2894)*H$2895,0))</f>
        <v>0</v>
      </c>
      <c r="X2863" s="5">
        <f t="shared" ref="X2863:X2894" si="901">IF(SUM(I$2862:I$2894)=0,I$2895/33,I2863+IFERROR(I2863/SUM(I$2862:I$2894)*I$2895,0))</f>
        <v>0</v>
      </c>
      <c r="Y2863" s="5">
        <f t="shared" ref="Y2863:Y2894" si="902">IF(SUM(J$2862:J$2894)=0,J$2895/33,J2863+IFERROR(J2863/SUM(J$2862:J$2894)*J$2895,0))</f>
        <v>0</v>
      </c>
      <c r="Z2863" s="5">
        <f t="shared" ref="Z2863:Z2894" si="903">IF(SUM(K$2862:K$2894)=0,K$2895/33,K2863+IFERROR(K2863/SUM(K$2862:K$2894)*K$2895,0))</f>
        <v>0</v>
      </c>
      <c r="AA2863" s="5">
        <f t="shared" ref="AA2863:AA2894" si="904">IF(SUM(L$2862:L$2894)=0,L$2895/33,L2863+IFERROR(L2863/SUM(L$2862:L$2894)*L$2895,0))</f>
        <v>0</v>
      </c>
      <c r="AB2863" s="5">
        <f t="shared" si="894"/>
        <v>3.0303030303030304E-2</v>
      </c>
    </row>
    <row r="2864" spans="1:29" x14ac:dyDescent="0.25">
      <c r="D2864" t="s">
        <v>72</v>
      </c>
      <c r="E2864" s="14"/>
      <c r="F2864" s="14"/>
      <c r="G2864">
        <f>IFERROR(HLOOKUP(G$2,[87]table_male_hkom3_inj.ill_X6!$A$1:$K$36,4,FALSE),0)</f>
        <v>0</v>
      </c>
      <c r="H2864">
        <f>IFERROR(HLOOKUP(H$2,[87]table_male_hkom3_inj.ill_X6!$A$1:$K$36,4,FALSE),0)</f>
        <v>0</v>
      </c>
      <c r="I2864">
        <f>IFERROR(HLOOKUP(I$2,[87]table_male_hkom3_inj.ill_X6!$A$1:$K$36,4,FALSE),0)</f>
        <v>0</v>
      </c>
      <c r="J2864">
        <f>IFERROR(HLOOKUP(J$2,[87]table_male_hkom3_inj.ill_X6!$A$1:$K$36,4,FALSE),0)</f>
        <v>0</v>
      </c>
      <c r="K2864">
        <f>IFERROR(HLOOKUP(K$2,[87]table_male_hkom3_inj.ill_X6!$A$1:$K$36,4,FALSE),0)</f>
        <v>0</v>
      </c>
      <c r="L2864">
        <f>IFERROR(HLOOKUP(L$2,[87]table_male_hkom3_inj.ill_X6!$A$1:$K$36,4,FALSE),0)</f>
        <v>0</v>
      </c>
      <c r="M2864">
        <f t="shared" si="896"/>
        <v>0</v>
      </c>
      <c r="S2864" t="s">
        <v>72</v>
      </c>
      <c r="T2864" s="5">
        <f t="shared" si="897"/>
        <v>0</v>
      </c>
      <c r="U2864" s="5">
        <f t="shared" si="898"/>
        <v>0</v>
      </c>
      <c r="V2864" s="5">
        <f t="shared" si="899"/>
        <v>3.0303030303030304E-2</v>
      </c>
      <c r="W2864" s="5">
        <f t="shared" si="900"/>
        <v>0</v>
      </c>
      <c r="X2864" s="5">
        <f t="shared" si="901"/>
        <v>0</v>
      </c>
      <c r="Y2864" s="5">
        <f t="shared" si="902"/>
        <v>0</v>
      </c>
      <c r="Z2864" s="5">
        <f t="shared" si="903"/>
        <v>0</v>
      </c>
      <c r="AA2864" s="5">
        <f t="shared" si="904"/>
        <v>0</v>
      </c>
      <c r="AB2864" s="5">
        <f t="shared" si="894"/>
        <v>3.0303030303030304E-2</v>
      </c>
    </row>
    <row r="2865" spans="4:28" x14ac:dyDescent="0.25">
      <c r="D2865" t="s">
        <v>73</v>
      </c>
      <c r="E2865" s="14"/>
      <c r="F2865" s="14"/>
      <c r="G2865">
        <f>IFERROR(HLOOKUP(G$2,[87]table_male_hkom3_inj.ill_X6!$A$1:$K$36,5,FALSE),0)</f>
        <v>0</v>
      </c>
      <c r="H2865">
        <f>IFERROR(HLOOKUP(H$2,[87]table_male_hkom3_inj.ill_X6!$A$1:$K$36,5,FALSE),0)</f>
        <v>0</v>
      </c>
      <c r="I2865">
        <f>IFERROR(HLOOKUP(I$2,[87]table_male_hkom3_inj.ill_X6!$A$1:$K$36,5,FALSE),0)</f>
        <v>0</v>
      </c>
      <c r="J2865">
        <f>IFERROR(HLOOKUP(J$2,[87]table_male_hkom3_inj.ill_X6!$A$1:$K$36,5,FALSE),0)</f>
        <v>0</v>
      </c>
      <c r="K2865">
        <f>IFERROR(HLOOKUP(K$2,[87]table_male_hkom3_inj.ill_X6!$A$1:$K$36,5,FALSE),0)</f>
        <v>0</v>
      </c>
      <c r="L2865">
        <f>IFERROR(HLOOKUP(L$2,[87]table_male_hkom3_inj.ill_X6!$A$1:$K$36,5,FALSE),0)</f>
        <v>0</v>
      </c>
      <c r="M2865">
        <f t="shared" si="896"/>
        <v>0</v>
      </c>
      <c r="S2865" t="s">
        <v>73</v>
      </c>
      <c r="T2865" s="5">
        <f t="shared" si="897"/>
        <v>0</v>
      </c>
      <c r="U2865" s="5">
        <f t="shared" si="898"/>
        <v>0</v>
      </c>
      <c r="V2865" s="5">
        <f t="shared" si="899"/>
        <v>3.0303030303030304E-2</v>
      </c>
      <c r="W2865" s="5">
        <f t="shared" si="900"/>
        <v>0</v>
      </c>
      <c r="X2865" s="5">
        <f t="shared" si="901"/>
        <v>0</v>
      </c>
      <c r="Y2865" s="5">
        <f t="shared" si="902"/>
        <v>0</v>
      </c>
      <c r="Z2865" s="5">
        <f t="shared" si="903"/>
        <v>0</v>
      </c>
      <c r="AA2865" s="5">
        <f t="shared" si="904"/>
        <v>0</v>
      </c>
      <c r="AB2865" s="5">
        <f t="shared" si="894"/>
        <v>3.0303030303030304E-2</v>
      </c>
    </row>
    <row r="2866" spans="4:28" x14ac:dyDescent="0.25">
      <c r="D2866" t="s">
        <v>74</v>
      </c>
      <c r="E2866" s="14"/>
      <c r="F2866" s="14"/>
      <c r="G2866">
        <f>IFERROR(HLOOKUP(G$2,[87]table_male_hkom3_inj.ill_X6!$A$1:$K$36,6,FALSE),0)</f>
        <v>0</v>
      </c>
      <c r="H2866">
        <f>IFERROR(HLOOKUP(H$2,[87]table_male_hkom3_inj.ill_X6!$A$1:$K$36,6,FALSE),0)</f>
        <v>0</v>
      </c>
      <c r="I2866">
        <f>IFERROR(HLOOKUP(I$2,[87]table_male_hkom3_inj.ill_X6!$A$1:$K$36,6,FALSE),0)</f>
        <v>0</v>
      </c>
      <c r="J2866">
        <f>IFERROR(HLOOKUP(J$2,[87]table_male_hkom3_inj.ill_X6!$A$1:$K$36,6,FALSE),0)</f>
        <v>0</v>
      </c>
      <c r="K2866">
        <f>IFERROR(HLOOKUP(K$2,[87]table_male_hkom3_inj.ill_X6!$A$1:$K$36,6,FALSE),0)</f>
        <v>0</v>
      </c>
      <c r="L2866">
        <f>IFERROR(HLOOKUP(L$2,[87]table_male_hkom3_inj.ill_X6!$A$1:$K$36,6,FALSE),0)</f>
        <v>0</v>
      </c>
      <c r="M2866">
        <f t="shared" si="896"/>
        <v>0</v>
      </c>
      <c r="S2866" t="s">
        <v>74</v>
      </c>
      <c r="T2866" s="5">
        <f t="shared" si="897"/>
        <v>0</v>
      </c>
      <c r="U2866" s="5">
        <f t="shared" si="898"/>
        <v>0</v>
      </c>
      <c r="V2866" s="5">
        <f t="shared" si="899"/>
        <v>3.0303030303030304E-2</v>
      </c>
      <c r="W2866" s="5">
        <f t="shared" si="900"/>
        <v>0</v>
      </c>
      <c r="X2866" s="5">
        <f t="shared" si="901"/>
        <v>0</v>
      </c>
      <c r="Y2866" s="5">
        <f t="shared" si="902"/>
        <v>0</v>
      </c>
      <c r="Z2866" s="5">
        <f t="shared" si="903"/>
        <v>0</v>
      </c>
      <c r="AA2866" s="5">
        <f t="shared" si="904"/>
        <v>0</v>
      </c>
      <c r="AB2866" s="5">
        <f t="shared" si="894"/>
        <v>3.0303030303030304E-2</v>
      </c>
    </row>
    <row r="2867" spans="4:28" x14ac:dyDescent="0.25">
      <c r="D2867" t="s">
        <v>75</v>
      </c>
      <c r="E2867" s="14"/>
      <c r="F2867" s="14"/>
      <c r="G2867">
        <f>IFERROR(HLOOKUP(G$2,[87]table_male_hkom3_inj.ill_X6!$A$1:$K$36,7,FALSE),0)</f>
        <v>0</v>
      </c>
      <c r="H2867">
        <f>IFERROR(HLOOKUP(H$2,[87]table_male_hkom3_inj.ill_X6!$A$1:$K$36,7,FALSE),0)</f>
        <v>0</v>
      </c>
      <c r="I2867">
        <f>IFERROR(HLOOKUP(I$2,[87]table_male_hkom3_inj.ill_X6!$A$1:$K$36,7,FALSE),0)</f>
        <v>0</v>
      </c>
      <c r="J2867">
        <f>IFERROR(HLOOKUP(J$2,[87]table_male_hkom3_inj.ill_X6!$A$1:$K$36,7,FALSE),0)</f>
        <v>0</v>
      </c>
      <c r="K2867">
        <f>IFERROR(HLOOKUP(K$2,[87]table_male_hkom3_inj.ill_X6!$A$1:$K$36,7,FALSE),0)</f>
        <v>0</v>
      </c>
      <c r="L2867">
        <f>IFERROR(HLOOKUP(L$2,[87]table_male_hkom3_inj.ill_X6!$A$1:$K$36,7,FALSE),0)</f>
        <v>0</v>
      </c>
      <c r="M2867">
        <f t="shared" si="896"/>
        <v>0</v>
      </c>
      <c r="S2867" t="s">
        <v>75</v>
      </c>
      <c r="T2867" s="5">
        <f t="shared" si="897"/>
        <v>0</v>
      </c>
      <c r="U2867" s="5">
        <f t="shared" si="898"/>
        <v>0</v>
      </c>
      <c r="V2867" s="5">
        <f t="shared" si="899"/>
        <v>3.0303030303030304E-2</v>
      </c>
      <c r="W2867" s="5">
        <f t="shared" si="900"/>
        <v>0</v>
      </c>
      <c r="X2867" s="5">
        <f t="shared" si="901"/>
        <v>0</v>
      </c>
      <c r="Y2867" s="5">
        <f t="shared" si="902"/>
        <v>0</v>
      </c>
      <c r="Z2867" s="5">
        <f t="shared" si="903"/>
        <v>0</v>
      </c>
      <c r="AA2867" s="5">
        <f t="shared" si="904"/>
        <v>0</v>
      </c>
      <c r="AB2867" s="5">
        <f t="shared" si="894"/>
        <v>3.0303030303030304E-2</v>
      </c>
    </row>
    <row r="2868" spans="4:28" x14ac:dyDescent="0.25">
      <c r="D2868" t="s">
        <v>76</v>
      </c>
      <c r="E2868" s="14"/>
      <c r="F2868" s="14"/>
      <c r="G2868">
        <f>IFERROR(HLOOKUP(G$2,[87]table_male_hkom3_inj.ill_X6!$A$1:$K$36,8,FALSE),0)</f>
        <v>0</v>
      </c>
      <c r="H2868">
        <f>IFERROR(HLOOKUP(H$2,[87]table_male_hkom3_inj.ill_X6!$A$1:$K$36,8,FALSE),0)</f>
        <v>0</v>
      </c>
      <c r="I2868">
        <f>IFERROR(HLOOKUP(I$2,[87]table_male_hkom3_inj.ill_X6!$A$1:$K$36,8,FALSE),0)</f>
        <v>0</v>
      </c>
      <c r="J2868">
        <f>IFERROR(HLOOKUP(J$2,[87]table_male_hkom3_inj.ill_X6!$A$1:$K$36,8,FALSE),0)</f>
        <v>0</v>
      </c>
      <c r="K2868">
        <f>IFERROR(HLOOKUP(K$2,[87]table_male_hkom3_inj.ill_X6!$A$1:$K$36,8,FALSE),0)</f>
        <v>0</v>
      </c>
      <c r="L2868">
        <f>IFERROR(HLOOKUP(L$2,[87]table_male_hkom3_inj.ill_X6!$A$1:$K$36,8,FALSE),0)</f>
        <v>0</v>
      </c>
      <c r="M2868">
        <f t="shared" si="896"/>
        <v>0</v>
      </c>
      <c r="S2868" t="s">
        <v>76</v>
      </c>
      <c r="T2868" s="5">
        <f t="shared" si="897"/>
        <v>0</v>
      </c>
      <c r="U2868" s="5">
        <f t="shared" si="898"/>
        <v>0</v>
      </c>
      <c r="V2868" s="5">
        <f t="shared" si="899"/>
        <v>3.0303030303030304E-2</v>
      </c>
      <c r="W2868" s="5">
        <f t="shared" si="900"/>
        <v>0</v>
      </c>
      <c r="X2868" s="5">
        <f t="shared" si="901"/>
        <v>0</v>
      </c>
      <c r="Y2868" s="5">
        <f t="shared" si="902"/>
        <v>0</v>
      </c>
      <c r="Z2868" s="5">
        <f t="shared" si="903"/>
        <v>0</v>
      </c>
      <c r="AA2868" s="5">
        <f t="shared" si="904"/>
        <v>0</v>
      </c>
      <c r="AB2868" s="5">
        <f t="shared" si="894"/>
        <v>3.0303030303030304E-2</v>
      </c>
    </row>
    <row r="2869" spans="4:28" x14ac:dyDescent="0.25">
      <c r="D2869" t="s">
        <v>77</v>
      </c>
      <c r="E2869" s="14"/>
      <c r="F2869" s="14"/>
      <c r="G2869">
        <f>IFERROR(HLOOKUP(G$2,[87]table_male_hkom3_inj.ill_X6!$A$1:$K$36,9,FALSE),0)</f>
        <v>0</v>
      </c>
      <c r="H2869">
        <f>IFERROR(HLOOKUP(H$2,[87]table_male_hkom3_inj.ill_X6!$A$1:$K$36,9,FALSE),0)</f>
        <v>0</v>
      </c>
      <c r="I2869">
        <f>IFERROR(HLOOKUP(I$2,[87]table_male_hkom3_inj.ill_X6!$A$1:$K$36,9,FALSE),0)</f>
        <v>0</v>
      </c>
      <c r="J2869">
        <f>IFERROR(HLOOKUP(J$2,[87]table_male_hkom3_inj.ill_X6!$A$1:$K$36,9,FALSE),0)</f>
        <v>0</v>
      </c>
      <c r="K2869">
        <f>IFERROR(HLOOKUP(K$2,[87]table_male_hkom3_inj.ill_X6!$A$1:$K$36,9,FALSE),0)</f>
        <v>0</v>
      </c>
      <c r="L2869">
        <f>IFERROR(HLOOKUP(L$2,[87]table_male_hkom3_inj.ill_X6!$A$1:$K$36,9,FALSE),0)</f>
        <v>0</v>
      </c>
      <c r="M2869">
        <f t="shared" si="896"/>
        <v>0</v>
      </c>
      <c r="S2869" t="s">
        <v>77</v>
      </c>
      <c r="T2869" s="5">
        <f t="shared" si="897"/>
        <v>0</v>
      </c>
      <c r="U2869" s="5">
        <f t="shared" si="898"/>
        <v>0</v>
      </c>
      <c r="V2869" s="5">
        <f t="shared" si="899"/>
        <v>3.0303030303030304E-2</v>
      </c>
      <c r="W2869" s="5">
        <f t="shared" si="900"/>
        <v>0</v>
      </c>
      <c r="X2869" s="5">
        <f t="shared" si="901"/>
        <v>0</v>
      </c>
      <c r="Y2869" s="5">
        <f t="shared" si="902"/>
        <v>0</v>
      </c>
      <c r="Z2869" s="5">
        <f t="shared" si="903"/>
        <v>0</v>
      </c>
      <c r="AA2869" s="5">
        <f t="shared" si="904"/>
        <v>0</v>
      </c>
      <c r="AB2869" s="5">
        <f t="shared" si="894"/>
        <v>3.0303030303030304E-2</v>
      </c>
    </row>
    <row r="2870" spans="4:28" x14ac:dyDescent="0.25">
      <c r="D2870" t="s">
        <v>78</v>
      </c>
      <c r="E2870" s="14"/>
      <c r="F2870" s="14"/>
      <c r="G2870">
        <f>IFERROR(HLOOKUP(G$2,[87]table_male_hkom3_inj.ill_X6!$A$1:$K$36,10,FALSE),0)</f>
        <v>0</v>
      </c>
      <c r="H2870">
        <f>IFERROR(HLOOKUP(H$2,[87]table_male_hkom3_inj.ill_X6!$A$1:$K$36,10,FALSE),0)</f>
        <v>0</v>
      </c>
      <c r="I2870">
        <f>IFERROR(HLOOKUP(I$2,[87]table_male_hkom3_inj.ill_X6!$A$1:$K$36,10,FALSE),0)</f>
        <v>0</v>
      </c>
      <c r="J2870">
        <f>IFERROR(HLOOKUP(J$2,[87]table_male_hkom3_inj.ill_X6!$A$1:$K$36,10,FALSE),0)</f>
        <v>0</v>
      </c>
      <c r="K2870">
        <f>IFERROR(HLOOKUP(K$2,[87]table_male_hkom3_inj.ill_X6!$A$1:$K$36,10,FALSE),0)</f>
        <v>0</v>
      </c>
      <c r="L2870">
        <f>IFERROR(HLOOKUP(L$2,[87]table_male_hkom3_inj.ill_X6!$A$1:$K$36,10,FALSE),0)</f>
        <v>0</v>
      </c>
      <c r="M2870">
        <f t="shared" si="896"/>
        <v>0</v>
      </c>
      <c r="S2870" t="s">
        <v>78</v>
      </c>
      <c r="T2870" s="5">
        <f t="shared" si="897"/>
        <v>0</v>
      </c>
      <c r="U2870" s="5">
        <f t="shared" si="898"/>
        <v>0</v>
      </c>
      <c r="V2870" s="5">
        <f t="shared" si="899"/>
        <v>3.0303030303030304E-2</v>
      </c>
      <c r="W2870" s="5">
        <f t="shared" si="900"/>
        <v>0</v>
      </c>
      <c r="X2870" s="5">
        <f t="shared" si="901"/>
        <v>0</v>
      </c>
      <c r="Y2870" s="5">
        <f t="shared" si="902"/>
        <v>0</v>
      </c>
      <c r="Z2870" s="5">
        <f t="shared" si="903"/>
        <v>0</v>
      </c>
      <c r="AA2870" s="5">
        <f t="shared" si="904"/>
        <v>0</v>
      </c>
      <c r="AB2870" s="5">
        <f t="shared" si="894"/>
        <v>3.0303030303030304E-2</v>
      </c>
    </row>
    <row r="2871" spans="4:28" x14ac:dyDescent="0.25">
      <c r="D2871" t="s">
        <v>79</v>
      </c>
      <c r="E2871" s="14"/>
      <c r="F2871" s="14"/>
      <c r="G2871">
        <f>IFERROR(HLOOKUP(G$2,[87]table_male_hkom3_inj.ill_X6!$A$1:$K$36,11,FALSE),0)</f>
        <v>0</v>
      </c>
      <c r="H2871">
        <f>IFERROR(HLOOKUP(H$2,[87]table_male_hkom3_inj.ill_X6!$A$1:$K$36,11,FALSE),0)</f>
        <v>0</v>
      </c>
      <c r="I2871">
        <f>IFERROR(HLOOKUP(I$2,[87]table_male_hkom3_inj.ill_X6!$A$1:$K$36,11,FALSE),0)</f>
        <v>0</v>
      </c>
      <c r="J2871">
        <f>IFERROR(HLOOKUP(J$2,[87]table_male_hkom3_inj.ill_X6!$A$1:$K$36,11,FALSE),0)</f>
        <v>0</v>
      </c>
      <c r="K2871">
        <f>IFERROR(HLOOKUP(K$2,[87]table_male_hkom3_inj.ill_X6!$A$1:$K$36,11,FALSE),0)</f>
        <v>0</v>
      </c>
      <c r="L2871">
        <f>IFERROR(HLOOKUP(L$2,[87]table_male_hkom3_inj.ill_X6!$A$1:$K$36,11,FALSE),0)</f>
        <v>0</v>
      </c>
      <c r="M2871">
        <f t="shared" si="896"/>
        <v>0</v>
      </c>
      <c r="S2871" t="s">
        <v>79</v>
      </c>
      <c r="T2871" s="5">
        <f t="shared" si="897"/>
        <v>0</v>
      </c>
      <c r="U2871" s="5">
        <f t="shared" si="898"/>
        <v>0</v>
      </c>
      <c r="V2871" s="5">
        <f t="shared" si="899"/>
        <v>3.0303030303030304E-2</v>
      </c>
      <c r="W2871" s="5">
        <f t="shared" si="900"/>
        <v>0</v>
      </c>
      <c r="X2871" s="5">
        <f t="shared" si="901"/>
        <v>0</v>
      </c>
      <c r="Y2871" s="5">
        <f t="shared" si="902"/>
        <v>0</v>
      </c>
      <c r="Z2871" s="5">
        <f t="shared" si="903"/>
        <v>0</v>
      </c>
      <c r="AA2871" s="5">
        <f t="shared" si="904"/>
        <v>0</v>
      </c>
      <c r="AB2871" s="5">
        <f t="shared" si="894"/>
        <v>3.0303030303030304E-2</v>
      </c>
    </row>
    <row r="2872" spans="4:28" x14ac:dyDescent="0.25">
      <c r="D2872" t="s">
        <v>80</v>
      </c>
      <c r="E2872" s="14"/>
      <c r="F2872" s="14"/>
      <c r="G2872">
        <f>IFERROR(HLOOKUP(G$2,[87]table_male_hkom3_inj.ill_X6!$A$1:$K$36,12,FALSE),0)</f>
        <v>0</v>
      </c>
      <c r="H2872">
        <f>IFERROR(HLOOKUP(H$2,[87]table_male_hkom3_inj.ill_X6!$A$1:$K$36,12,FALSE),0)</f>
        <v>0</v>
      </c>
      <c r="I2872">
        <f>IFERROR(HLOOKUP(I$2,[87]table_male_hkom3_inj.ill_X6!$A$1:$K$36,12,FALSE),0)</f>
        <v>0</v>
      </c>
      <c r="J2872">
        <f>IFERROR(HLOOKUP(J$2,[87]table_male_hkom3_inj.ill_X6!$A$1:$K$36,12,FALSE),0)</f>
        <v>0</v>
      </c>
      <c r="K2872">
        <f>IFERROR(HLOOKUP(K$2,[87]table_male_hkom3_inj.ill_X6!$A$1:$K$36,12,FALSE),0)</f>
        <v>0</v>
      </c>
      <c r="L2872">
        <f>IFERROR(HLOOKUP(L$2,[87]table_male_hkom3_inj.ill_X6!$A$1:$K$36,12,FALSE),0)</f>
        <v>0</v>
      </c>
      <c r="M2872">
        <f t="shared" si="896"/>
        <v>0</v>
      </c>
      <c r="S2872" t="s">
        <v>80</v>
      </c>
      <c r="T2872" s="5">
        <f t="shared" si="897"/>
        <v>0</v>
      </c>
      <c r="U2872" s="5">
        <f t="shared" si="898"/>
        <v>0</v>
      </c>
      <c r="V2872" s="5">
        <f t="shared" si="899"/>
        <v>3.0303030303030304E-2</v>
      </c>
      <c r="W2872" s="5">
        <f t="shared" si="900"/>
        <v>0</v>
      </c>
      <c r="X2872" s="5">
        <f t="shared" si="901"/>
        <v>0</v>
      </c>
      <c r="Y2872" s="5">
        <f t="shared" si="902"/>
        <v>0</v>
      </c>
      <c r="Z2872" s="5">
        <f t="shared" si="903"/>
        <v>0</v>
      </c>
      <c r="AA2872" s="5">
        <f t="shared" si="904"/>
        <v>0</v>
      </c>
      <c r="AB2872" s="5">
        <f t="shared" si="894"/>
        <v>3.0303030303030304E-2</v>
      </c>
    </row>
    <row r="2873" spans="4:28" x14ac:dyDescent="0.25">
      <c r="D2873" t="s">
        <v>81</v>
      </c>
      <c r="E2873" s="14"/>
      <c r="F2873" s="14"/>
      <c r="G2873">
        <f>IFERROR(HLOOKUP(G$2,[87]table_male_hkom3_inj.ill_X6!$A$1:$K$36,13,FALSE),0)</f>
        <v>0</v>
      </c>
      <c r="H2873">
        <f>IFERROR(HLOOKUP(H$2,[87]table_male_hkom3_inj.ill_X6!$A$1:$K$36,13,FALSE),0)</f>
        <v>0</v>
      </c>
      <c r="I2873">
        <f>IFERROR(HLOOKUP(I$2,[87]table_male_hkom3_inj.ill_X6!$A$1:$K$36,13,FALSE),0)</f>
        <v>0</v>
      </c>
      <c r="J2873">
        <f>IFERROR(HLOOKUP(J$2,[87]table_male_hkom3_inj.ill_X6!$A$1:$K$36,13,FALSE),0)</f>
        <v>0</v>
      </c>
      <c r="K2873">
        <f>IFERROR(HLOOKUP(K$2,[87]table_male_hkom3_inj.ill_X6!$A$1:$K$36,13,FALSE),0)</f>
        <v>0</v>
      </c>
      <c r="L2873">
        <f>IFERROR(HLOOKUP(L$2,[87]table_male_hkom3_inj.ill_X6!$A$1:$K$36,13,FALSE),0)</f>
        <v>0</v>
      </c>
      <c r="M2873">
        <f t="shared" si="896"/>
        <v>0</v>
      </c>
      <c r="S2873" t="s">
        <v>81</v>
      </c>
      <c r="T2873" s="5">
        <f t="shared" si="897"/>
        <v>0</v>
      </c>
      <c r="U2873" s="5">
        <f t="shared" si="898"/>
        <v>0</v>
      </c>
      <c r="V2873" s="5">
        <f t="shared" si="899"/>
        <v>3.0303030303030304E-2</v>
      </c>
      <c r="W2873" s="5">
        <f t="shared" si="900"/>
        <v>0</v>
      </c>
      <c r="X2873" s="5">
        <f t="shared" si="901"/>
        <v>0</v>
      </c>
      <c r="Y2873" s="5">
        <f t="shared" si="902"/>
        <v>0</v>
      </c>
      <c r="Z2873" s="5">
        <f t="shared" si="903"/>
        <v>0</v>
      </c>
      <c r="AA2873" s="5">
        <f t="shared" si="904"/>
        <v>0</v>
      </c>
      <c r="AB2873" s="5">
        <f t="shared" si="894"/>
        <v>3.0303030303030304E-2</v>
      </c>
    </row>
    <row r="2874" spans="4:28" x14ac:dyDescent="0.25">
      <c r="D2874" t="s">
        <v>82</v>
      </c>
      <c r="E2874" s="14"/>
      <c r="F2874" s="14"/>
      <c r="G2874">
        <f>IFERROR(HLOOKUP(G$2,[87]table_male_hkom3_inj.ill_X6!$A$1:$K$36,14,FALSE),0)</f>
        <v>0</v>
      </c>
      <c r="H2874">
        <f>IFERROR(HLOOKUP(H$2,[87]table_male_hkom3_inj.ill_X6!$A$1:$K$36,14,FALSE),0)</f>
        <v>0</v>
      </c>
      <c r="I2874">
        <f>IFERROR(HLOOKUP(I$2,[87]table_male_hkom3_inj.ill_X6!$A$1:$K$36,14,FALSE),0)</f>
        <v>0</v>
      </c>
      <c r="J2874">
        <f>IFERROR(HLOOKUP(J$2,[87]table_male_hkom3_inj.ill_X6!$A$1:$K$36,14,FALSE),0)</f>
        <v>0</v>
      </c>
      <c r="K2874">
        <f>IFERROR(HLOOKUP(K$2,[87]table_male_hkom3_inj.ill_X6!$A$1:$K$36,14,FALSE),0)</f>
        <v>0</v>
      </c>
      <c r="L2874">
        <f>IFERROR(HLOOKUP(L$2,[87]table_male_hkom3_inj.ill_X6!$A$1:$K$36,14,FALSE),0)</f>
        <v>0</v>
      </c>
      <c r="M2874">
        <f t="shared" si="896"/>
        <v>0</v>
      </c>
      <c r="S2874" t="s">
        <v>82</v>
      </c>
      <c r="T2874" s="5">
        <f t="shared" si="897"/>
        <v>0</v>
      </c>
      <c r="U2874" s="5">
        <f t="shared" si="898"/>
        <v>0</v>
      </c>
      <c r="V2874" s="5">
        <f t="shared" si="899"/>
        <v>3.0303030303030304E-2</v>
      </c>
      <c r="W2874" s="5">
        <f t="shared" si="900"/>
        <v>0</v>
      </c>
      <c r="X2874" s="5">
        <f t="shared" si="901"/>
        <v>0</v>
      </c>
      <c r="Y2874" s="5">
        <f t="shared" si="902"/>
        <v>0</v>
      </c>
      <c r="Z2874" s="5">
        <f t="shared" si="903"/>
        <v>0</v>
      </c>
      <c r="AA2874" s="5">
        <f t="shared" si="904"/>
        <v>0</v>
      </c>
      <c r="AB2874" s="5">
        <f t="shared" si="894"/>
        <v>3.0303030303030304E-2</v>
      </c>
    </row>
    <row r="2875" spans="4:28" x14ac:dyDescent="0.25">
      <c r="D2875" t="s">
        <v>83</v>
      </c>
      <c r="E2875" s="14"/>
      <c r="F2875" s="14"/>
      <c r="G2875">
        <f>IFERROR(HLOOKUP(G$2,[87]table_male_hkom3_inj.ill_X6!$A$1:$K$36,15,FALSE),0)</f>
        <v>0</v>
      </c>
      <c r="H2875">
        <f>IFERROR(HLOOKUP(H$2,[87]table_male_hkom3_inj.ill_X6!$A$1:$K$36,15,FALSE),0)</f>
        <v>0</v>
      </c>
      <c r="I2875">
        <f>IFERROR(HLOOKUP(I$2,[87]table_male_hkom3_inj.ill_X6!$A$1:$K$36,15,FALSE),0)</f>
        <v>0</v>
      </c>
      <c r="J2875">
        <f>IFERROR(HLOOKUP(J$2,[87]table_male_hkom3_inj.ill_X6!$A$1:$K$36,15,FALSE),0)</f>
        <v>0</v>
      </c>
      <c r="K2875">
        <f>IFERROR(HLOOKUP(K$2,[87]table_male_hkom3_inj.ill_X6!$A$1:$K$36,15,FALSE),0)</f>
        <v>0</v>
      </c>
      <c r="L2875">
        <f>IFERROR(HLOOKUP(L$2,[87]table_male_hkom3_inj.ill_X6!$A$1:$K$36,15,FALSE),0)</f>
        <v>0</v>
      </c>
      <c r="M2875">
        <f t="shared" si="896"/>
        <v>0</v>
      </c>
      <c r="S2875" t="s">
        <v>83</v>
      </c>
      <c r="T2875" s="5">
        <f t="shared" si="897"/>
        <v>0</v>
      </c>
      <c r="U2875" s="5">
        <f t="shared" si="898"/>
        <v>0</v>
      </c>
      <c r="V2875" s="5">
        <f t="shared" si="899"/>
        <v>3.0303030303030304E-2</v>
      </c>
      <c r="W2875" s="5">
        <f t="shared" si="900"/>
        <v>0</v>
      </c>
      <c r="X2875" s="5">
        <f t="shared" si="901"/>
        <v>0</v>
      </c>
      <c r="Y2875" s="5">
        <f t="shared" si="902"/>
        <v>0</v>
      </c>
      <c r="Z2875" s="5">
        <f t="shared" si="903"/>
        <v>0</v>
      </c>
      <c r="AA2875" s="5">
        <f t="shared" si="904"/>
        <v>0</v>
      </c>
      <c r="AB2875" s="5">
        <f t="shared" si="894"/>
        <v>3.0303030303030304E-2</v>
      </c>
    </row>
    <row r="2876" spans="4:28" x14ac:dyDescent="0.25">
      <c r="D2876" t="s">
        <v>84</v>
      </c>
      <c r="E2876" s="14"/>
      <c r="F2876" s="14"/>
      <c r="G2876">
        <f>IFERROR(HLOOKUP(G$2,[87]table_male_hkom3_inj.ill_X6!$A$1:$K$36,16,FALSE),0)</f>
        <v>0</v>
      </c>
      <c r="H2876">
        <f>IFERROR(HLOOKUP(H$2,[87]table_male_hkom3_inj.ill_X6!$A$1:$K$36,16,FALSE),0)</f>
        <v>0</v>
      </c>
      <c r="I2876">
        <f>IFERROR(HLOOKUP(I$2,[87]table_male_hkom3_inj.ill_X6!$A$1:$K$36,16,FALSE),0)</f>
        <v>0</v>
      </c>
      <c r="J2876">
        <f>IFERROR(HLOOKUP(J$2,[87]table_male_hkom3_inj.ill_X6!$A$1:$K$36,16,FALSE),0)</f>
        <v>0</v>
      </c>
      <c r="K2876">
        <f>IFERROR(HLOOKUP(K$2,[87]table_male_hkom3_inj.ill_X6!$A$1:$K$36,16,FALSE),0)</f>
        <v>0</v>
      </c>
      <c r="L2876">
        <f>IFERROR(HLOOKUP(L$2,[87]table_male_hkom3_inj.ill_X6!$A$1:$K$36,16,FALSE),0)</f>
        <v>0</v>
      </c>
      <c r="M2876">
        <f t="shared" si="896"/>
        <v>0</v>
      </c>
      <c r="S2876" t="s">
        <v>84</v>
      </c>
      <c r="T2876" s="5">
        <f t="shared" si="897"/>
        <v>0</v>
      </c>
      <c r="U2876" s="5">
        <f t="shared" si="898"/>
        <v>0</v>
      </c>
      <c r="V2876" s="5">
        <f t="shared" si="899"/>
        <v>3.0303030303030304E-2</v>
      </c>
      <c r="W2876" s="5">
        <f t="shared" si="900"/>
        <v>0</v>
      </c>
      <c r="X2876" s="5">
        <f t="shared" si="901"/>
        <v>0</v>
      </c>
      <c r="Y2876" s="5">
        <f t="shared" si="902"/>
        <v>0</v>
      </c>
      <c r="Z2876" s="5">
        <f t="shared" si="903"/>
        <v>0</v>
      </c>
      <c r="AA2876" s="5">
        <f t="shared" si="904"/>
        <v>0</v>
      </c>
      <c r="AB2876" s="5">
        <f t="shared" si="894"/>
        <v>3.0303030303030304E-2</v>
      </c>
    </row>
    <row r="2877" spans="4:28" x14ac:dyDescent="0.25">
      <c r="D2877" t="s">
        <v>85</v>
      </c>
      <c r="E2877" s="14"/>
      <c r="F2877" s="14"/>
      <c r="G2877">
        <f>IFERROR(HLOOKUP(G$2,[87]table_male_hkom3_inj.ill_X6!$A$1:$K$36,17,FALSE),0)</f>
        <v>0</v>
      </c>
      <c r="H2877">
        <f>IFERROR(HLOOKUP(H$2,[87]table_male_hkom3_inj.ill_X6!$A$1:$K$36,17,FALSE),0)</f>
        <v>0</v>
      </c>
      <c r="I2877">
        <f>IFERROR(HLOOKUP(I$2,[87]table_male_hkom3_inj.ill_X6!$A$1:$K$36,17,FALSE),0)</f>
        <v>0</v>
      </c>
      <c r="J2877">
        <f>IFERROR(HLOOKUP(J$2,[87]table_male_hkom3_inj.ill_X6!$A$1:$K$36,17,FALSE),0)</f>
        <v>0</v>
      </c>
      <c r="K2877">
        <f>IFERROR(HLOOKUP(K$2,[87]table_male_hkom3_inj.ill_X6!$A$1:$K$36,17,FALSE),0)</f>
        <v>0</v>
      </c>
      <c r="L2877">
        <f>IFERROR(HLOOKUP(L$2,[87]table_male_hkom3_inj.ill_X6!$A$1:$K$36,17,FALSE),0)</f>
        <v>0</v>
      </c>
      <c r="M2877">
        <f t="shared" si="896"/>
        <v>0</v>
      </c>
      <c r="S2877" t="s">
        <v>85</v>
      </c>
      <c r="T2877" s="5">
        <f t="shared" si="897"/>
        <v>0</v>
      </c>
      <c r="U2877" s="5">
        <f t="shared" si="898"/>
        <v>0</v>
      </c>
      <c r="V2877" s="5">
        <f t="shared" si="899"/>
        <v>3.0303030303030304E-2</v>
      </c>
      <c r="W2877" s="5">
        <f t="shared" si="900"/>
        <v>0</v>
      </c>
      <c r="X2877" s="5">
        <f t="shared" si="901"/>
        <v>0</v>
      </c>
      <c r="Y2877" s="5">
        <f t="shared" si="902"/>
        <v>0</v>
      </c>
      <c r="Z2877" s="5">
        <f t="shared" si="903"/>
        <v>0</v>
      </c>
      <c r="AA2877" s="5">
        <f t="shared" si="904"/>
        <v>0</v>
      </c>
      <c r="AB2877" s="5">
        <f t="shared" si="894"/>
        <v>3.0303030303030304E-2</v>
      </c>
    </row>
    <row r="2878" spans="4:28" x14ac:dyDescent="0.25">
      <c r="D2878" t="s">
        <v>86</v>
      </c>
      <c r="E2878" s="14"/>
      <c r="F2878" s="14"/>
      <c r="G2878">
        <f>IFERROR(HLOOKUP(G$2,[87]table_male_hkom3_inj.ill_X6!$A$1:$K$36,18,FALSE),0)</f>
        <v>0</v>
      </c>
      <c r="H2878">
        <f>IFERROR(HLOOKUP(H$2,[87]table_male_hkom3_inj.ill_X6!$A$1:$K$36,18,FALSE),0)</f>
        <v>0</v>
      </c>
      <c r="I2878">
        <f>IFERROR(HLOOKUP(I$2,[87]table_male_hkom3_inj.ill_X6!$A$1:$K$36,18,FALSE),0)</f>
        <v>0</v>
      </c>
      <c r="J2878">
        <f>IFERROR(HLOOKUP(J$2,[87]table_male_hkom3_inj.ill_X6!$A$1:$K$36,18,FALSE),0)</f>
        <v>0</v>
      </c>
      <c r="K2878">
        <f>IFERROR(HLOOKUP(K$2,[87]table_male_hkom3_inj.ill_X6!$A$1:$K$36,18,FALSE),0)</f>
        <v>0</v>
      </c>
      <c r="L2878">
        <f>IFERROR(HLOOKUP(L$2,[87]table_male_hkom3_inj.ill_X6!$A$1:$K$36,18,FALSE),0)</f>
        <v>0</v>
      </c>
      <c r="M2878">
        <f t="shared" si="896"/>
        <v>0</v>
      </c>
      <c r="S2878" t="s">
        <v>86</v>
      </c>
      <c r="T2878" s="5">
        <f t="shared" si="897"/>
        <v>0</v>
      </c>
      <c r="U2878" s="5">
        <f t="shared" si="898"/>
        <v>0</v>
      </c>
      <c r="V2878" s="5">
        <f t="shared" si="899"/>
        <v>3.0303030303030304E-2</v>
      </c>
      <c r="W2878" s="5">
        <f t="shared" si="900"/>
        <v>0</v>
      </c>
      <c r="X2878" s="5">
        <f t="shared" si="901"/>
        <v>0</v>
      </c>
      <c r="Y2878" s="5">
        <f t="shared" si="902"/>
        <v>0</v>
      </c>
      <c r="Z2878" s="5">
        <f t="shared" si="903"/>
        <v>0</v>
      </c>
      <c r="AA2878" s="5">
        <f t="shared" si="904"/>
        <v>0</v>
      </c>
      <c r="AB2878" s="5">
        <f t="shared" si="894"/>
        <v>3.0303030303030304E-2</v>
      </c>
    </row>
    <row r="2879" spans="4:28" x14ac:dyDescent="0.25">
      <c r="D2879" t="s">
        <v>87</v>
      </c>
      <c r="E2879" s="14"/>
      <c r="F2879" s="14"/>
      <c r="G2879">
        <f>IFERROR(HLOOKUP(G$2,[87]table_male_hkom3_inj.ill_X6!$A$1:$K$36,19,FALSE),0)</f>
        <v>0</v>
      </c>
      <c r="H2879">
        <f>IFERROR(HLOOKUP(H$2,[87]table_male_hkom3_inj.ill_X6!$A$1:$K$36,19,FALSE),0)</f>
        <v>0</v>
      </c>
      <c r="I2879">
        <f>IFERROR(HLOOKUP(I$2,[87]table_male_hkom3_inj.ill_X6!$A$1:$K$36,19,FALSE),0)</f>
        <v>0</v>
      </c>
      <c r="J2879">
        <f>IFERROR(HLOOKUP(J$2,[87]table_male_hkom3_inj.ill_X6!$A$1:$K$36,19,FALSE),0)</f>
        <v>0</v>
      </c>
      <c r="K2879">
        <f>IFERROR(HLOOKUP(K$2,[87]table_male_hkom3_inj.ill_X6!$A$1:$K$36,19,FALSE),0)</f>
        <v>0</v>
      </c>
      <c r="L2879">
        <f>IFERROR(HLOOKUP(L$2,[87]table_male_hkom3_inj.ill_X6!$A$1:$K$36,19,FALSE),0)</f>
        <v>0</v>
      </c>
      <c r="M2879">
        <f t="shared" si="896"/>
        <v>0</v>
      </c>
      <c r="S2879" t="s">
        <v>87</v>
      </c>
      <c r="T2879" s="5">
        <f t="shared" si="897"/>
        <v>0</v>
      </c>
      <c r="U2879" s="5">
        <f t="shared" si="898"/>
        <v>0</v>
      </c>
      <c r="V2879" s="5">
        <f t="shared" si="899"/>
        <v>3.0303030303030304E-2</v>
      </c>
      <c r="W2879" s="5">
        <f t="shared" si="900"/>
        <v>0</v>
      </c>
      <c r="X2879" s="5">
        <f t="shared" si="901"/>
        <v>0</v>
      </c>
      <c r="Y2879" s="5">
        <f t="shared" si="902"/>
        <v>0</v>
      </c>
      <c r="Z2879" s="5">
        <f t="shared" si="903"/>
        <v>0</v>
      </c>
      <c r="AA2879" s="5">
        <f t="shared" si="904"/>
        <v>0</v>
      </c>
      <c r="AB2879" s="5">
        <f t="shared" si="894"/>
        <v>3.0303030303030304E-2</v>
      </c>
    </row>
    <row r="2880" spans="4:28" x14ac:dyDescent="0.25">
      <c r="D2880" t="s">
        <v>88</v>
      </c>
      <c r="E2880" s="14"/>
      <c r="F2880" s="14"/>
      <c r="G2880">
        <f>IFERROR(HLOOKUP(G$2,[87]table_male_hkom3_inj.ill_X6!$A$1:$K$36,20,FALSE),0)</f>
        <v>0</v>
      </c>
      <c r="H2880">
        <f>IFERROR(HLOOKUP(H$2,[87]table_male_hkom3_inj.ill_X6!$A$1:$K$36,20,FALSE),0)</f>
        <v>0</v>
      </c>
      <c r="I2880">
        <f>IFERROR(HLOOKUP(I$2,[87]table_male_hkom3_inj.ill_X6!$A$1:$K$36,20,FALSE),0)</f>
        <v>0</v>
      </c>
      <c r="J2880">
        <f>IFERROR(HLOOKUP(J$2,[87]table_male_hkom3_inj.ill_X6!$A$1:$K$36,20,FALSE),0)</f>
        <v>0</v>
      </c>
      <c r="K2880">
        <f>IFERROR(HLOOKUP(K$2,[87]table_male_hkom3_inj.ill_X6!$A$1:$K$36,20,FALSE),0)</f>
        <v>0</v>
      </c>
      <c r="L2880">
        <f>IFERROR(HLOOKUP(L$2,[87]table_male_hkom3_inj.ill_X6!$A$1:$K$36,20,FALSE),0)</f>
        <v>0</v>
      </c>
      <c r="M2880">
        <f t="shared" si="896"/>
        <v>0</v>
      </c>
      <c r="S2880" t="s">
        <v>88</v>
      </c>
      <c r="T2880" s="5">
        <f t="shared" si="897"/>
        <v>0</v>
      </c>
      <c r="U2880" s="5">
        <f t="shared" si="898"/>
        <v>0</v>
      </c>
      <c r="V2880" s="5">
        <f t="shared" si="899"/>
        <v>3.0303030303030304E-2</v>
      </c>
      <c r="W2880" s="5">
        <f t="shared" si="900"/>
        <v>0</v>
      </c>
      <c r="X2880" s="5">
        <f t="shared" si="901"/>
        <v>0</v>
      </c>
      <c r="Y2880" s="5">
        <f t="shared" si="902"/>
        <v>0</v>
      </c>
      <c r="Z2880" s="5">
        <f t="shared" si="903"/>
        <v>0</v>
      </c>
      <c r="AA2880" s="5">
        <f t="shared" si="904"/>
        <v>0</v>
      </c>
      <c r="AB2880" s="5">
        <f t="shared" si="894"/>
        <v>3.0303030303030304E-2</v>
      </c>
    </row>
    <row r="2881" spans="1:29" x14ac:dyDescent="0.25">
      <c r="D2881" t="s">
        <v>89</v>
      </c>
      <c r="E2881" s="14"/>
      <c r="F2881" s="14"/>
      <c r="G2881">
        <f>IFERROR(HLOOKUP(G$2,[87]table_male_hkom3_inj.ill_X6!$A$1:$K$36,21,FALSE),0)</f>
        <v>0</v>
      </c>
      <c r="H2881">
        <f>IFERROR(HLOOKUP(H$2,[87]table_male_hkom3_inj.ill_X6!$A$1:$K$36,21,FALSE),0)</f>
        <v>0</v>
      </c>
      <c r="I2881">
        <f>IFERROR(HLOOKUP(I$2,[87]table_male_hkom3_inj.ill_X6!$A$1:$K$36,21,FALSE),0)</f>
        <v>0</v>
      </c>
      <c r="J2881">
        <f>IFERROR(HLOOKUP(J$2,[87]table_male_hkom3_inj.ill_X6!$A$1:$K$36,21,FALSE),0)</f>
        <v>0</v>
      </c>
      <c r="K2881">
        <f>IFERROR(HLOOKUP(K$2,[87]table_male_hkom3_inj.ill_X6!$A$1:$K$36,21,FALSE),0)</f>
        <v>0</v>
      </c>
      <c r="L2881">
        <f>IFERROR(HLOOKUP(L$2,[87]table_male_hkom3_inj.ill_X6!$A$1:$K$36,21,FALSE),0)</f>
        <v>0</v>
      </c>
      <c r="M2881">
        <f t="shared" si="896"/>
        <v>0</v>
      </c>
      <c r="S2881" t="s">
        <v>89</v>
      </c>
      <c r="T2881" s="5">
        <f t="shared" si="897"/>
        <v>0</v>
      </c>
      <c r="U2881" s="5">
        <f t="shared" si="898"/>
        <v>0</v>
      </c>
      <c r="V2881" s="5">
        <f t="shared" si="899"/>
        <v>3.0303030303030304E-2</v>
      </c>
      <c r="W2881" s="5">
        <f t="shared" si="900"/>
        <v>0</v>
      </c>
      <c r="X2881" s="5">
        <f t="shared" si="901"/>
        <v>0</v>
      </c>
      <c r="Y2881" s="5">
        <f t="shared" si="902"/>
        <v>0</v>
      </c>
      <c r="Z2881" s="5">
        <f t="shared" si="903"/>
        <v>0</v>
      </c>
      <c r="AA2881" s="5">
        <f t="shared" si="904"/>
        <v>0</v>
      </c>
      <c r="AB2881" s="5">
        <f t="shared" si="894"/>
        <v>3.0303030303030304E-2</v>
      </c>
    </row>
    <row r="2882" spans="1:29" x14ac:dyDescent="0.25">
      <c r="D2882" t="s">
        <v>90</v>
      </c>
      <c r="E2882" s="14"/>
      <c r="F2882" s="14"/>
      <c r="G2882">
        <f>IFERROR(HLOOKUP(G$2,[87]table_male_hkom3_inj.ill_X6!$A$1:$K$36,22,FALSE),0)</f>
        <v>0</v>
      </c>
      <c r="H2882">
        <f>IFERROR(HLOOKUP(H$2,[87]table_male_hkom3_inj.ill_X6!$A$1:$K$36,22,FALSE),0)</f>
        <v>0</v>
      </c>
      <c r="I2882">
        <f>IFERROR(HLOOKUP(I$2,[87]table_male_hkom3_inj.ill_X6!$A$1:$K$36,22,FALSE),0)</f>
        <v>0</v>
      </c>
      <c r="J2882">
        <f>IFERROR(HLOOKUP(J$2,[87]table_male_hkom3_inj.ill_X6!$A$1:$K$36,22,FALSE),0)</f>
        <v>0</v>
      </c>
      <c r="K2882">
        <f>IFERROR(HLOOKUP(K$2,[87]table_male_hkom3_inj.ill_X6!$A$1:$K$36,22,FALSE),0)</f>
        <v>0</v>
      </c>
      <c r="L2882">
        <f>IFERROR(HLOOKUP(L$2,[87]table_male_hkom3_inj.ill_X6!$A$1:$K$36,22,FALSE),0)</f>
        <v>0</v>
      </c>
      <c r="M2882">
        <f t="shared" si="896"/>
        <v>0</v>
      </c>
      <c r="S2882" t="s">
        <v>90</v>
      </c>
      <c r="T2882" s="5">
        <f t="shared" si="897"/>
        <v>0</v>
      </c>
      <c r="U2882" s="5">
        <f t="shared" si="898"/>
        <v>0</v>
      </c>
      <c r="V2882" s="5">
        <f t="shared" si="899"/>
        <v>3.0303030303030304E-2</v>
      </c>
      <c r="W2882" s="5">
        <f t="shared" si="900"/>
        <v>0</v>
      </c>
      <c r="X2882" s="5">
        <f t="shared" si="901"/>
        <v>0</v>
      </c>
      <c r="Y2882" s="5">
        <f t="shared" si="902"/>
        <v>0</v>
      </c>
      <c r="Z2882" s="5">
        <f t="shared" si="903"/>
        <v>0</v>
      </c>
      <c r="AA2882" s="5">
        <f t="shared" si="904"/>
        <v>0</v>
      </c>
      <c r="AB2882" s="5">
        <f t="shared" si="894"/>
        <v>3.0303030303030304E-2</v>
      </c>
    </row>
    <row r="2883" spans="1:29" x14ac:dyDescent="0.25">
      <c r="D2883" t="s">
        <v>91</v>
      </c>
      <c r="E2883" s="14"/>
      <c r="F2883" s="14"/>
      <c r="G2883">
        <f>IFERROR(HLOOKUP(G$2,[87]table_male_hkom3_inj.ill_X6!$A$1:$K$36,23,FALSE),0)</f>
        <v>0</v>
      </c>
      <c r="H2883">
        <f>IFERROR(HLOOKUP(H$2,[87]table_male_hkom3_inj.ill_X6!$A$1:$K$36,23,FALSE),0)</f>
        <v>0</v>
      </c>
      <c r="I2883">
        <f>IFERROR(HLOOKUP(I$2,[87]table_male_hkom3_inj.ill_X6!$A$1:$K$36,23,FALSE),0)</f>
        <v>0</v>
      </c>
      <c r="J2883">
        <f>IFERROR(HLOOKUP(J$2,[87]table_male_hkom3_inj.ill_X6!$A$1:$K$36,23,FALSE),0)</f>
        <v>0</v>
      </c>
      <c r="K2883">
        <f>IFERROR(HLOOKUP(K$2,[87]table_male_hkom3_inj.ill_X6!$A$1:$K$36,23,FALSE),0)</f>
        <v>0</v>
      </c>
      <c r="L2883">
        <f>IFERROR(HLOOKUP(L$2,[87]table_male_hkom3_inj.ill_X6!$A$1:$K$36,23,FALSE),0)</f>
        <v>0</v>
      </c>
      <c r="M2883">
        <f t="shared" si="896"/>
        <v>0</v>
      </c>
      <c r="S2883" t="s">
        <v>91</v>
      </c>
      <c r="T2883" s="5">
        <f t="shared" si="897"/>
        <v>0</v>
      </c>
      <c r="U2883" s="5">
        <f t="shared" si="898"/>
        <v>0</v>
      </c>
      <c r="V2883" s="5">
        <f t="shared" si="899"/>
        <v>3.0303030303030304E-2</v>
      </c>
      <c r="W2883" s="5">
        <f t="shared" si="900"/>
        <v>0</v>
      </c>
      <c r="X2883" s="5">
        <f t="shared" si="901"/>
        <v>0</v>
      </c>
      <c r="Y2883" s="5">
        <f t="shared" si="902"/>
        <v>0</v>
      </c>
      <c r="Z2883" s="5">
        <f t="shared" si="903"/>
        <v>0</v>
      </c>
      <c r="AA2883" s="5">
        <f t="shared" si="904"/>
        <v>0</v>
      </c>
      <c r="AB2883" s="5">
        <f t="shared" si="894"/>
        <v>3.0303030303030304E-2</v>
      </c>
    </row>
    <row r="2884" spans="1:29" x14ac:dyDescent="0.25">
      <c r="D2884" t="s">
        <v>92</v>
      </c>
      <c r="E2884" s="14"/>
      <c r="F2884" s="14"/>
      <c r="G2884">
        <f>IFERROR(HLOOKUP(G$2,[87]table_male_hkom3_inj.ill_X6!$A$1:$K$36,24,FALSE),0)</f>
        <v>0</v>
      </c>
      <c r="H2884">
        <f>IFERROR(HLOOKUP(H$2,[87]table_male_hkom3_inj.ill_X6!$A$1:$K$36,24,FALSE),0)</f>
        <v>0</v>
      </c>
      <c r="I2884">
        <f>IFERROR(HLOOKUP(I$2,[87]table_male_hkom3_inj.ill_X6!$A$1:$K$36,24,FALSE),0)</f>
        <v>0</v>
      </c>
      <c r="J2884">
        <f>IFERROR(HLOOKUP(J$2,[87]table_male_hkom3_inj.ill_X6!$A$1:$K$36,24,FALSE),0)</f>
        <v>0</v>
      </c>
      <c r="K2884">
        <f>IFERROR(HLOOKUP(K$2,[87]table_male_hkom3_inj.ill_X6!$A$1:$K$36,24,FALSE),0)</f>
        <v>0</v>
      </c>
      <c r="L2884">
        <f>IFERROR(HLOOKUP(L$2,[87]table_male_hkom3_inj.ill_X6!$A$1:$K$36,24,FALSE),0)</f>
        <v>0</v>
      </c>
      <c r="M2884">
        <f t="shared" si="896"/>
        <v>0</v>
      </c>
      <c r="S2884" t="s">
        <v>92</v>
      </c>
      <c r="T2884" s="5">
        <f t="shared" si="897"/>
        <v>0</v>
      </c>
      <c r="U2884" s="5">
        <f t="shared" si="898"/>
        <v>0</v>
      </c>
      <c r="V2884" s="5">
        <f t="shared" si="899"/>
        <v>3.0303030303030304E-2</v>
      </c>
      <c r="W2884" s="5">
        <f t="shared" si="900"/>
        <v>0</v>
      </c>
      <c r="X2884" s="5">
        <f t="shared" si="901"/>
        <v>0</v>
      </c>
      <c r="Y2884" s="5">
        <f t="shared" si="902"/>
        <v>0</v>
      </c>
      <c r="Z2884" s="5">
        <f t="shared" si="903"/>
        <v>0</v>
      </c>
      <c r="AA2884" s="5">
        <f t="shared" si="904"/>
        <v>0</v>
      </c>
      <c r="AB2884" s="5">
        <f t="shared" si="894"/>
        <v>3.0303030303030304E-2</v>
      </c>
    </row>
    <row r="2885" spans="1:29" x14ac:dyDescent="0.25">
      <c r="D2885" t="s">
        <v>93</v>
      </c>
      <c r="E2885" s="14"/>
      <c r="F2885" s="14"/>
      <c r="G2885">
        <f>IFERROR(HLOOKUP(G$2,[87]table_male_hkom3_inj.ill_X6!$A$1:$K$36,25,FALSE),0)</f>
        <v>0</v>
      </c>
      <c r="H2885">
        <f>IFERROR(HLOOKUP(H$2,[87]table_male_hkom3_inj.ill_X6!$A$1:$K$36,25,FALSE),0)</f>
        <v>0</v>
      </c>
      <c r="I2885">
        <f>IFERROR(HLOOKUP(I$2,[87]table_male_hkom3_inj.ill_X6!$A$1:$K$36,25,FALSE),0)</f>
        <v>0</v>
      </c>
      <c r="J2885">
        <f>IFERROR(HLOOKUP(J$2,[87]table_male_hkom3_inj.ill_X6!$A$1:$K$36,25,FALSE),0)</f>
        <v>0</v>
      </c>
      <c r="K2885">
        <f>IFERROR(HLOOKUP(K$2,[87]table_male_hkom3_inj.ill_X6!$A$1:$K$36,25,FALSE),0)</f>
        <v>0</v>
      </c>
      <c r="L2885">
        <f>IFERROR(HLOOKUP(L$2,[87]table_male_hkom3_inj.ill_X6!$A$1:$K$36,25,FALSE),0)</f>
        <v>0</v>
      </c>
      <c r="M2885">
        <f t="shared" si="896"/>
        <v>0</v>
      </c>
      <c r="S2885" t="s">
        <v>93</v>
      </c>
      <c r="T2885" s="5">
        <f t="shared" si="897"/>
        <v>0</v>
      </c>
      <c r="U2885" s="5">
        <f t="shared" si="898"/>
        <v>0</v>
      </c>
      <c r="V2885" s="5">
        <f t="shared" si="899"/>
        <v>3.0303030303030304E-2</v>
      </c>
      <c r="W2885" s="5">
        <f t="shared" si="900"/>
        <v>0</v>
      </c>
      <c r="X2885" s="5">
        <f t="shared" si="901"/>
        <v>0</v>
      </c>
      <c r="Y2885" s="5">
        <f t="shared" si="902"/>
        <v>0</v>
      </c>
      <c r="Z2885" s="5">
        <f t="shared" si="903"/>
        <v>0</v>
      </c>
      <c r="AA2885" s="5">
        <f t="shared" si="904"/>
        <v>0</v>
      </c>
      <c r="AB2885" s="5">
        <f t="shared" si="894"/>
        <v>3.0303030303030304E-2</v>
      </c>
    </row>
    <row r="2886" spans="1:29" x14ac:dyDescent="0.25">
      <c r="D2886" t="s">
        <v>94</v>
      </c>
      <c r="E2886" s="14"/>
      <c r="F2886" s="14"/>
      <c r="G2886">
        <f>IFERROR(HLOOKUP(G$2,[87]table_male_hkom3_inj.ill_X6!$A$1:$K$36,26,FALSE),0)</f>
        <v>0</v>
      </c>
      <c r="H2886">
        <f>IFERROR(HLOOKUP(H$2,[87]table_male_hkom3_inj.ill_X6!$A$1:$K$36,26,FALSE),0)</f>
        <v>0</v>
      </c>
      <c r="I2886">
        <f>IFERROR(HLOOKUP(I$2,[87]table_male_hkom3_inj.ill_X6!$A$1:$K$36,26,FALSE),0)</f>
        <v>0</v>
      </c>
      <c r="J2886">
        <f>IFERROR(HLOOKUP(J$2,[87]table_male_hkom3_inj.ill_X6!$A$1:$K$36,26,FALSE),0)</f>
        <v>0</v>
      </c>
      <c r="K2886">
        <f>IFERROR(HLOOKUP(K$2,[87]table_male_hkom3_inj.ill_X6!$A$1:$K$36,26,FALSE),0)</f>
        <v>0</v>
      </c>
      <c r="L2886">
        <f>IFERROR(HLOOKUP(L$2,[87]table_male_hkom3_inj.ill_X6!$A$1:$K$36,26,FALSE),0)</f>
        <v>0</v>
      </c>
      <c r="M2886">
        <f t="shared" si="896"/>
        <v>0</v>
      </c>
      <c r="S2886" t="s">
        <v>94</v>
      </c>
      <c r="T2886" s="5">
        <f t="shared" si="897"/>
        <v>0</v>
      </c>
      <c r="U2886" s="5">
        <f t="shared" si="898"/>
        <v>0</v>
      </c>
      <c r="V2886" s="5">
        <f t="shared" si="899"/>
        <v>3.0303030303030304E-2</v>
      </c>
      <c r="W2886" s="5">
        <f t="shared" si="900"/>
        <v>0</v>
      </c>
      <c r="X2886" s="5">
        <f t="shared" si="901"/>
        <v>0</v>
      </c>
      <c r="Y2886" s="5">
        <f t="shared" si="902"/>
        <v>0</v>
      </c>
      <c r="Z2886" s="5">
        <f t="shared" si="903"/>
        <v>0</v>
      </c>
      <c r="AA2886" s="5">
        <f t="shared" si="904"/>
        <v>0</v>
      </c>
      <c r="AB2886" s="5">
        <f t="shared" si="894"/>
        <v>3.0303030303030304E-2</v>
      </c>
    </row>
    <row r="2887" spans="1:29" x14ac:dyDescent="0.25">
      <c r="D2887" t="s">
        <v>95</v>
      </c>
      <c r="E2887" s="14"/>
      <c r="F2887" s="14"/>
      <c r="G2887">
        <f>IFERROR(HLOOKUP(G$2,[87]table_male_hkom3_inj.ill_X6!$A$1:$K$36,27,FALSE),0)</f>
        <v>0</v>
      </c>
      <c r="H2887">
        <f>IFERROR(HLOOKUP(H$2,[87]table_male_hkom3_inj.ill_X6!$A$1:$K$36,27,FALSE),0)</f>
        <v>0</v>
      </c>
      <c r="I2887">
        <f>IFERROR(HLOOKUP(I$2,[87]table_male_hkom3_inj.ill_X6!$A$1:$K$36,27,FALSE),0)</f>
        <v>0</v>
      </c>
      <c r="J2887">
        <f>IFERROR(HLOOKUP(J$2,[87]table_male_hkom3_inj.ill_X6!$A$1:$K$36,27,FALSE),0)</f>
        <v>0</v>
      </c>
      <c r="K2887">
        <f>IFERROR(HLOOKUP(K$2,[87]table_male_hkom3_inj.ill_X6!$A$1:$K$36,27,FALSE),0)</f>
        <v>0</v>
      </c>
      <c r="L2887">
        <f>IFERROR(HLOOKUP(L$2,[87]table_male_hkom3_inj.ill_X6!$A$1:$K$36,27,FALSE),0)</f>
        <v>0</v>
      </c>
      <c r="M2887">
        <f t="shared" si="896"/>
        <v>0</v>
      </c>
      <c r="S2887" t="s">
        <v>95</v>
      </c>
      <c r="T2887" s="5">
        <f t="shared" si="897"/>
        <v>0</v>
      </c>
      <c r="U2887" s="5">
        <f t="shared" si="898"/>
        <v>0</v>
      </c>
      <c r="V2887" s="5">
        <f t="shared" si="899"/>
        <v>3.0303030303030304E-2</v>
      </c>
      <c r="W2887" s="5">
        <f t="shared" si="900"/>
        <v>0</v>
      </c>
      <c r="X2887" s="5">
        <f t="shared" si="901"/>
        <v>0</v>
      </c>
      <c r="Y2887" s="5">
        <f t="shared" si="902"/>
        <v>0</v>
      </c>
      <c r="Z2887" s="5">
        <f t="shared" si="903"/>
        <v>0</v>
      </c>
      <c r="AA2887" s="5">
        <f t="shared" si="904"/>
        <v>0</v>
      </c>
      <c r="AB2887" s="5">
        <f t="shared" si="894"/>
        <v>3.0303030303030304E-2</v>
      </c>
    </row>
    <row r="2888" spans="1:29" x14ac:dyDescent="0.25">
      <c r="D2888" t="s">
        <v>96</v>
      </c>
      <c r="E2888" s="14"/>
      <c r="F2888" s="14"/>
      <c r="G2888">
        <f>IFERROR(HLOOKUP(G$2,[87]table_male_hkom3_inj.ill_X6!$A$1:$K$36,28,FALSE),0)</f>
        <v>0</v>
      </c>
      <c r="H2888">
        <f>IFERROR(HLOOKUP(H$2,[87]table_male_hkom3_inj.ill_X6!$A$1:$K$36,28,FALSE),0)</f>
        <v>0</v>
      </c>
      <c r="I2888">
        <f>IFERROR(HLOOKUP(I$2,[87]table_male_hkom3_inj.ill_X6!$A$1:$K$36,28,FALSE),0)</f>
        <v>0</v>
      </c>
      <c r="J2888">
        <f>IFERROR(HLOOKUP(J$2,[87]table_male_hkom3_inj.ill_X6!$A$1:$K$36,28,FALSE),0)</f>
        <v>0</v>
      </c>
      <c r="K2888">
        <f>IFERROR(HLOOKUP(K$2,[87]table_male_hkom3_inj.ill_X6!$A$1:$K$36,28,FALSE),0)</f>
        <v>0</v>
      </c>
      <c r="L2888">
        <f>IFERROR(HLOOKUP(L$2,[87]table_male_hkom3_inj.ill_X6!$A$1:$K$36,28,FALSE),0)</f>
        <v>0</v>
      </c>
      <c r="M2888">
        <f t="shared" si="896"/>
        <v>0</v>
      </c>
      <c r="S2888" t="s">
        <v>96</v>
      </c>
      <c r="T2888" s="5">
        <f t="shared" si="897"/>
        <v>0</v>
      </c>
      <c r="U2888" s="5">
        <f t="shared" si="898"/>
        <v>0</v>
      </c>
      <c r="V2888" s="5">
        <f t="shared" si="899"/>
        <v>3.0303030303030304E-2</v>
      </c>
      <c r="W2888" s="5">
        <f t="shared" si="900"/>
        <v>0</v>
      </c>
      <c r="X2888" s="5">
        <f t="shared" si="901"/>
        <v>0</v>
      </c>
      <c r="Y2888" s="5">
        <f t="shared" si="902"/>
        <v>0</v>
      </c>
      <c r="Z2888" s="5">
        <f t="shared" si="903"/>
        <v>0</v>
      </c>
      <c r="AA2888" s="5">
        <f t="shared" si="904"/>
        <v>0</v>
      </c>
      <c r="AB2888" s="5">
        <f t="shared" si="894"/>
        <v>3.0303030303030304E-2</v>
      </c>
    </row>
    <row r="2889" spans="1:29" x14ac:dyDescent="0.25">
      <c r="D2889" t="s">
        <v>97</v>
      </c>
      <c r="E2889" s="14"/>
      <c r="F2889" s="14"/>
      <c r="G2889">
        <f>IFERROR(HLOOKUP(G$2,[87]table_male_hkom3_inj.ill_X6!$A$1:$K$36,29,FALSE),0)</f>
        <v>0</v>
      </c>
      <c r="H2889">
        <f>IFERROR(HLOOKUP(H$2,[87]table_male_hkom3_inj.ill_X6!$A$1:$K$36,29,FALSE),0)</f>
        <v>0</v>
      </c>
      <c r="I2889">
        <f>IFERROR(HLOOKUP(I$2,[87]table_male_hkom3_inj.ill_X6!$A$1:$K$36,29,FALSE),0)</f>
        <v>0</v>
      </c>
      <c r="J2889">
        <f>IFERROR(HLOOKUP(J$2,[87]table_male_hkom3_inj.ill_X6!$A$1:$K$36,29,FALSE),0)</f>
        <v>0</v>
      </c>
      <c r="K2889">
        <f>IFERROR(HLOOKUP(K$2,[87]table_male_hkom3_inj.ill_X6!$A$1:$K$36,29,FALSE),0)</f>
        <v>0</v>
      </c>
      <c r="L2889">
        <f>IFERROR(HLOOKUP(L$2,[87]table_male_hkom3_inj.ill_X6!$A$1:$K$36,29,FALSE),0)</f>
        <v>0</v>
      </c>
      <c r="M2889">
        <f t="shared" si="896"/>
        <v>0</v>
      </c>
      <c r="S2889" t="s">
        <v>97</v>
      </c>
      <c r="T2889" s="5">
        <f t="shared" si="897"/>
        <v>0</v>
      </c>
      <c r="U2889" s="5">
        <f t="shared" si="898"/>
        <v>0</v>
      </c>
      <c r="V2889" s="5">
        <f t="shared" si="899"/>
        <v>3.0303030303030304E-2</v>
      </c>
      <c r="W2889" s="5">
        <f t="shared" si="900"/>
        <v>0</v>
      </c>
      <c r="X2889" s="5">
        <f t="shared" si="901"/>
        <v>0</v>
      </c>
      <c r="Y2889" s="5">
        <f t="shared" si="902"/>
        <v>0</v>
      </c>
      <c r="Z2889" s="5">
        <f t="shared" si="903"/>
        <v>0</v>
      </c>
      <c r="AA2889" s="5">
        <f t="shared" si="904"/>
        <v>0</v>
      </c>
      <c r="AB2889" s="5">
        <f t="shared" si="894"/>
        <v>3.0303030303030304E-2</v>
      </c>
    </row>
    <row r="2890" spans="1:29" x14ac:dyDescent="0.25">
      <c r="D2890" t="s">
        <v>98</v>
      </c>
      <c r="E2890" s="14"/>
      <c r="F2890" s="14"/>
      <c r="G2890">
        <f>IFERROR(HLOOKUP(G$2,[87]table_male_hkom3_inj.ill_X6!$A$1:$K$36,30,FALSE),0)</f>
        <v>0</v>
      </c>
      <c r="H2890">
        <f>IFERROR(HLOOKUP(H$2,[87]table_male_hkom3_inj.ill_X6!$A$1:$K$36,30,FALSE),0)</f>
        <v>0</v>
      </c>
      <c r="I2890">
        <f>IFERROR(HLOOKUP(I$2,[87]table_male_hkom3_inj.ill_X6!$A$1:$K$36,30,FALSE),0)</f>
        <v>0</v>
      </c>
      <c r="J2890">
        <f>IFERROR(HLOOKUP(J$2,[87]table_male_hkom3_inj.ill_X6!$A$1:$K$36,30,FALSE),0)</f>
        <v>0</v>
      </c>
      <c r="K2890">
        <f>IFERROR(HLOOKUP(K$2,[87]table_male_hkom3_inj.ill_X6!$A$1:$K$36,30,FALSE),0)</f>
        <v>0</v>
      </c>
      <c r="L2890">
        <f>IFERROR(HLOOKUP(L$2,[87]table_male_hkom3_inj.ill_X6!$A$1:$K$36,30,FALSE),0)</f>
        <v>0</v>
      </c>
      <c r="M2890">
        <f t="shared" si="896"/>
        <v>0</v>
      </c>
      <c r="S2890" t="s">
        <v>98</v>
      </c>
      <c r="T2890" s="5">
        <f t="shared" si="897"/>
        <v>0</v>
      </c>
      <c r="U2890" s="5">
        <f t="shared" si="898"/>
        <v>0</v>
      </c>
      <c r="V2890" s="5">
        <f t="shared" si="899"/>
        <v>3.0303030303030304E-2</v>
      </c>
      <c r="W2890" s="5">
        <f t="shared" si="900"/>
        <v>0</v>
      </c>
      <c r="X2890" s="5">
        <f t="shared" si="901"/>
        <v>0</v>
      </c>
      <c r="Y2890" s="5">
        <f t="shared" si="902"/>
        <v>0</v>
      </c>
      <c r="Z2890" s="5">
        <f t="shared" si="903"/>
        <v>0</v>
      </c>
      <c r="AA2890" s="5">
        <f t="shared" si="904"/>
        <v>0</v>
      </c>
      <c r="AB2890" s="5">
        <f t="shared" si="894"/>
        <v>3.0303030303030304E-2</v>
      </c>
    </row>
    <row r="2891" spans="1:29" x14ac:dyDescent="0.25">
      <c r="D2891" t="s">
        <v>119</v>
      </c>
      <c r="E2891" s="14"/>
      <c r="F2891" s="14"/>
      <c r="G2891">
        <f>IFERROR(HLOOKUP(G$2,[87]table_male_hkom3_inj.ill_X6!$A$1:$K$36,31,FALSE),0)</f>
        <v>0</v>
      </c>
      <c r="H2891">
        <f>IFERROR(HLOOKUP(H$2,[87]table_male_hkom3_inj.ill_X6!$A$1:$K$36,31,FALSE),0)</f>
        <v>0</v>
      </c>
      <c r="I2891">
        <f>IFERROR(HLOOKUP(I$2,[87]table_male_hkom3_inj.ill_X6!$A$1:$K$36,31,FALSE),0)</f>
        <v>0</v>
      </c>
      <c r="J2891">
        <f>IFERROR(HLOOKUP(J$2,[87]table_male_hkom3_inj.ill_X6!$A$1:$K$36,31,FALSE),0)</f>
        <v>0</v>
      </c>
      <c r="K2891">
        <f>IFERROR(HLOOKUP(K$2,[87]table_male_hkom3_inj.ill_X6!$A$1:$K$36,31,FALSE),0)</f>
        <v>0</v>
      </c>
      <c r="L2891">
        <f>IFERROR(HLOOKUP(L$2,[87]table_male_hkom3_inj.ill_X6!$A$1:$K$36,31,FALSE),0)</f>
        <v>0</v>
      </c>
      <c r="M2891">
        <f t="shared" si="896"/>
        <v>0</v>
      </c>
      <c r="S2891" t="s">
        <v>119</v>
      </c>
      <c r="T2891" s="5">
        <f t="shared" si="897"/>
        <v>0</v>
      </c>
      <c r="U2891" s="5">
        <f t="shared" si="898"/>
        <v>0</v>
      </c>
      <c r="V2891" s="5">
        <f t="shared" si="899"/>
        <v>3.0303030303030304E-2</v>
      </c>
      <c r="W2891" s="5">
        <f t="shared" si="900"/>
        <v>0</v>
      </c>
      <c r="X2891" s="5">
        <f t="shared" si="901"/>
        <v>0</v>
      </c>
      <c r="Y2891" s="5">
        <f t="shared" si="902"/>
        <v>0</v>
      </c>
      <c r="Z2891" s="5">
        <f t="shared" si="903"/>
        <v>0</v>
      </c>
      <c r="AA2891" s="5">
        <f t="shared" si="904"/>
        <v>0</v>
      </c>
      <c r="AB2891" s="5">
        <f t="shared" si="894"/>
        <v>3.0303030303030304E-2</v>
      </c>
    </row>
    <row r="2892" spans="1:29" x14ac:dyDescent="0.25">
      <c r="D2892" t="s">
        <v>99</v>
      </c>
      <c r="E2892" s="14"/>
      <c r="F2892" s="14"/>
      <c r="G2892">
        <f>IFERROR(HLOOKUP(G$2,[87]table_male_hkom3_inj.ill_X6!$A$1:$K$36,32,FALSE),0)</f>
        <v>0</v>
      </c>
      <c r="H2892">
        <f>IFERROR(HLOOKUP(H$2,[87]table_male_hkom3_inj.ill_X6!$A$1:$K$36,32,FALSE),0)</f>
        <v>0</v>
      </c>
      <c r="I2892">
        <f>IFERROR(HLOOKUP(I$2,[87]table_male_hkom3_inj.ill_X6!$A$1:$K$36,32,FALSE),0)</f>
        <v>0</v>
      </c>
      <c r="J2892">
        <f>IFERROR(HLOOKUP(J$2,[87]table_male_hkom3_inj.ill_X6!$A$1:$K$36,32,FALSE),0)</f>
        <v>0</v>
      </c>
      <c r="K2892">
        <f>IFERROR(HLOOKUP(K$2,[87]table_male_hkom3_inj.ill_X6!$A$1:$K$36,32,FALSE),0)</f>
        <v>0</v>
      </c>
      <c r="L2892">
        <f>IFERROR(HLOOKUP(L$2,[87]table_male_hkom3_inj.ill_X6!$A$1:$K$36,32,FALSE),0)</f>
        <v>0</v>
      </c>
      <c r="M2892">
        <f t="shared" si="896"/>
        <v>0</v>
      </c>
      <c r="S2892" t="s">
        <v>99</v>
      </c>
      <c r="T2892" s="5">
        <f t="shared" si="897"/>
        <v>0</v>
      </c>
      <c r="U2892" s="5">
        <f t="shared" si="898"/>
        <v>0</v>
      </c>
      <c r="V2892" s="5">
        <f t="shared" si="899"/>
        <v>3.0303030303030304E-2</v>
      </c>
      <c r="W2892" s="5">
        <f t="shared" si="900"/>
        <v>0</v>
      </c>
      <c r="X2892" s="5">
        <f t="shared" si="901"/>
        <v>0</v>
      </c>
      <c r="Y2892" s="5">
        <f t="shared" si="902"/>
        <v>0</v>
      </c>
      <c r="Z2892" s="5">
        <f t="shared" si="903"/>
        <v>0</v>
      </c>
      <c r="AA2892" s="5">
        <f t="shared" si="904"/>
        <v>0</v>
      </c>
      <c r="AB2892" s="5">
        <f t="shared" si="894"/>
        <v>3.0303030303030304E-2</v>
      </c>
    </row>
    <row r="2893" spans="1:29" x14ac:dyDescent="0.25">
      <c r="D2893" t="s">
        <v>100</v>
      </c>
      <c r="E2893" s="14"/>
      <c r="F2893" s="14"/>
      <c r="G2893">
        <f>IFERROR(HLOOKUP(G$2,[87]table_male_hkom3_inj.ill_X6!$A$1:$K$36,33,FALSE),0)</f>
        <v>0</v>
      </c>
      <c r="H2893">
        <f>IFERROR(HLOOKUP(H$2,[87]table_male_hkom3_inj.ill_X6!$A$1:$K$36,33,FALSE),0)</f>
        <v>0</v>
      </c>
      <c r="I2893">
        <f>IFERROR(HLOOKUP(I$2,[87]table_male_hkom3_inj.ill_X6!$A$1:$K$36,33,FALSE),0)</f>
        <v>0</v>
      </c>
      <c r="J2893">
        <f>IFERROR(HLOOKUP(J$2,[87]table_male_hkom3_inj.ill_X6!$A$1:$K$36,33,FALSE),0)</f>
        <v>0</v>
      </c>
      <c r="K2893">
        <f>IFERROR(HLOOKUP(K$2,[87]table_male_hkom3_inj.ill_X6!$A$1:$K$36,33,FALSE),0)</f>
        <v>0</v>
      </c>
      <c r="L2893">
        <f>IFERROR(HLOOKUP(L$2,[87]table_male_hkom3_inj.ill_X6!$A$1:$K$36,33,FALSE),0)</f>
        <v>0</v>
      </c>
      <c r="M2893">
        <f t="shared" si="896"/>
        <v>0</v>
      </c>
      <c r="S2893" t="s">
        <v>100</v>
      </c>
      <c r="T2893" s="5">
        <f t="shared" si="897"/>
        <v>0</v>
      </c>
      <c r="U2893" s="5">
        <f t="shared" si="898"/>
        <v>0</v>
      </c>
      <c r="V2893" s="5">
        <f t="shared" si="899"/>
        <v>3.0303030303030304E-2</v>
      </c>
      <c r="W2893" s="5">
        <f t="shared" si="900"/>
        <v>0</v>
      </c>
      <c r="X2893" s="5">
        <f t="shared" si="901"/>
        <v>0</v>
      </c>
      <c r="Y2893" s="5">
        <f t="shared" si="902"/>
        <v>0</v>
      </c>
      <c r="Z2893" s="5">
        <f t="shared" si="903"/>
        <v>0</v>
      </c>
      <c r="AA2893" s="5">
        <f t="shared" si="904"/>
        <v>0</v>
      </c>
      <c r="AB2893" s="5">
        <f t="shared" si="894"/>
        <v>3.0303030303030304E-2</v>
      </c>
    </row>
    <row r="2894" spans="1:29" x14ac:dyDescent="0.25">
      <c r="D2894" t="s">
        <v>101</v>
      </c>
      <c r="E2894" s="14"/>
      <c r="F2894" s="14"/>
      <c r="G2894">
        <f>IFERROR(HLOOKUP(G$2,[87]table_male_hkom3_inj.ill_X6!$A$1:$K$36,34,FALSE),0)</f>
        <v>0</v>
      </c>
      <c r="H2894">
        <f>IFERROR(HLOOKUP(H$2,[87]table_male_hkom3_inj.ill_X6!$A$1:$K$36,34,FALSE),0)</f>
        <v>0</v>
      </c>
      <c r="I2894">
        <f>IFERROR(HLOOKUP(I$2,[87]table_male_hkom3_inj.ill_X6!$A$1:$K$36,34,FALSE),0)</f>
        <v>0</v>
      </c>
      <c r="J2894">
        <f>IFERROR(HLOOKUP(J$2,[87]table_male_hkom3_inj.ill_X6!$A$1:$K$36,34,FALSE),0)</f>
        <v>0</v>
      </c>
      <c r="K2894">
        <f>IFERROR(HLOOKUP(K$2,[87]table_male_hkom3_inj.ill_X6!$A$1:$K$36,34,FALSE),0)</f>
        <v>0</v>
      </c>
      <c r="L2894">
        <f>IFERROR(HLOOKUP(L$2,[87]table_male_hkom3_inj.ill_X6!$A$1:$K$36,34,FALSE),0)</f>
        <v>0</v>
      </c>
      <c r="M2894">
        <f t="shared" si="896"/>
        <v>0</v>
      </c>
      <c r="S2894" t="s">
        <v>101</v>
      </c>
      <c r="T2894" s="5">
        <f t="shared" si="897"/>
        <v>0</v>
      </c>
      <c r="U2894" s="5">
        <f t="shared" si="898"/>
        <v>0</v>
      </c>
      <c r="V2894" s="5">
        <f t="shared" si="899"/>
        <v>3.0303030303030304E-2</v>
      </c>
      <c r="W2894" s="5">
        <f t="shared" si="900"/>
        <v>0</v>
      </c>
      <c r="X2894" s="5">
        <f t="shared" si="901"/>
        <v>0</v>
      </c>
      <c r="Y2894" s="5">
        <f t="shared" si="902"/>
        <v>0</v>
      </c>
      <c r="Z2894" s="5">
        <f t="shared" si="903"/>
        <v>0</v>
      </c>
      <c r="AA2894" s="5">
        <f t="shared" si="904"/>
        <v>0</v>
      </c>
      <c r="AB2894" s="5">
        <f t="shared" si="894"/>
        <v>3.0303030303030304E-2</v>
      </c>
    </row>
    <row r="2895" spans="1:29" x14ac:dyDescent="0.25">
      <c r="D2895" t="s">
        <v>102</v>
      </c>
      <c r="E2895" s="14"/>
      <c r="F2895" s="14"/>
      <c r="G2895">
        <f>IFERROR(HLOOKUP(G$2,[87]table_male_hkom3_inj.ill_X6!$A$1:$K$36,35,FALSE),0)</f>
        <v>1</v>
      </c>
      <c r="H2895">
        <f>IFERROR(HLOOKUP(H$2,[87]table_male_hkom3_inj.ill_X6!$A$1:$K$36,35,FALSE),0)</f>
        <v>0</v>
      </c>
      <c r="I2895">
        <f>IFERROR(HLOOKUP(I$2,[87]table_male_hkom3_inj.ill_X6!$A$1:$K$36,35,FALSE),0)</f>
        <v>0</v>
      </c>
      <c r="J2895">
        <f>IFERROR(HLOOKUP(J$2,[87]table_male_hkom3_inj.ill_X6!$A$1:$K$36,35,FALSE),0)</f>
        <v>0</v>
      </c>
      <c r="K2895">
        <f>IFERROR(HLOOKUP(K$2,[87]table_male_hkom3_inj.ill_X6!$A$1:$K$36,35,FALSE),0)</f>
        <v>0</v>
      </c>
      <c r="L2895">
        <f>IFERROR(HLOOKUP(L$2,[87]table_male_hkom3_inj.ill_X6!$A$1:$K$36,35,FALSE),0)</f>
        <v>0</v>
      </c>
      <c r="M2895">
        <f t="shared" si="896"/>
        <v>1</v>
      </c>
      <c r="N2895">
        <f>SUM(M2862:M2895)</f>
        <v>1</v>
      </c>
      <c r="O2895" s="8">
        <f>SUM([87]table_male_hkom3_inj.ill_X6!$B$2:$L$37)</f>
        <v>1</v>
      </c>
      <c r="S2895" t="s">
        <v>102</v>
      </c>
      <c r="T2895" s="7"/>
      <c r="U2895" s="7"/>
      <c r="V2895" s="7"/>
      <c r="W2895" s="7"/>
      <c r="X2895" s="7"/>
      <c r="Y2895" s="7"/>
      <c r="Z2895" s="7"/>
      <c r="AA2895" s="7"/>
      <c r="AB2895" s="5">
        <f t="shared" si="894"/>
        <v>0</v>
      </c>
      <c r="AC2895" s="5">
        <f>SUM(AB2862:AB2894)</f>
        <v>0.99999999999999933</v>
      </c>
    </row>
    <row r="2896" spans="1:29" x14ac:dyDescent="0.25">
      <c r="A2896" t="s">
        <v>104</v>
      </c>
      <c r="B2896" t="s">
        <v>117</v>
      </c>
      <c r="C2896" t="s">
        <v>129</v>
      </c>
      <c r="D2896" t="s">
        <v>70</v>
      </c>
      <c r="E2896" s="14"/>
      <c r="F2896" s="14"/>
      <c r="G2896">
        <f>IFERROR(HLOOKUP(G$2,[88]table_male_hkom3_inj.ill_X7!$A$1:$K$36,2,FALSE),0)</f>
        <v>1</v>
      </c>
      <c r="H2896">
        <f>IFERROR(HLOOKUP(H$2,[88]table_male_hkom3_inj.ill_X7!$A$1:$K$36,2,FALSE),0)</f>
        <v>0</v>
      </c>
      <c r="I2896">
        <f>IFERROR(HLOOKUP(I$2,[88]table_male_hkom3_inj.ill_X7!$A$1:$K$36,2,FALSE),0)</f>
        <v>0</v>
      </c>
      <c r="J2896">
        <f>IFERROR(HLOOKUP(J$2,[88]table_male_hkom3_inj.ill_X7!$A$1:$K$36,2,FALSE),0)</f>
        <v>0</v>
      </c>
      <c r="K2896">
        <f>IFERROR(HLOOKUP(K$2,[88]table_male_hkom3_inj.ill_X7!$A$1:$K$36,2,FALSE),0)</f>
        <v>0</v>
      </c>
      <c r="L2896">
        <f>IFERROR(HLOOKUP(L$2,[88]table_male_hkom3_inj.ill_X7!$A$1:$K$36,2,FALSE),0)</f>
        <v>0</v>
      </c>
      <c r="M2896">
        <f>SUM(E2896:L2896)</f>
        <v>1</v>
      </c>
      <c r="P2896" t="s">
        <v>104</v>
      </c>
      <c r="Q2896" t="s">
        <v>117</v>
      </c>
      <c r="R2896" t="s">
        <v>129</v>
      </c>
      <c r="S2896" t="s">
        <v>70</v>
      </c>
      <c r="T2896" s="5">
        <f>IF(SUM(E$2896:E$2928)=0,E$2929/33,E2896+IFERROR(E2896/SUM(E$2896:E$2928)*E$2929,0))</f>
        <v>0</v>
      </c>
      <c r="U2896" s="5">
        <f t="shared" ref="U2896:AA2896" si="905">IF(SUM(F$2896:F$2928)=0,F$2929/33,F2896+IFERROR(F2896/SUM(F$2896:F$2928)*F$2929,0))</f>
        <v>0</v>
      </c>
      <c r="V2896" s="5">
        <f t="shared" si="905"/>
        <v>1.125</v>
      </c>
      <c r="W2896" s="5">
        <f t="shared" si="905"/>
        <v>0</v>
      </c>
      <c r="X2896" s="5">
        <f t="shared" si="905"/>
        <v>0</v>
      </c>
      <c r="Y2896" s="5">
        <f t="shared" si="905"/>
        <v>0</v>
      </c>
      <c r="Z2896" s="5">
        <f t="shared" si="905"/>
        <v>0</v>
      </c>
      <c r="AA2896" s="5">
        <f t="shared" si="905"/>
        <v>0</v>
      </c>
      <c r="AB2896" s="5">
        <f t="shared" si="894"/>
        <v>1.125</v>
      </c>
    </row>
    <row r="2897" spans="4:28" x14ac:dyDescent="0.25">
      <c r="D2897" t="s">
        <v>71</v>
      </c>
      <c r="E2897" s="14"/>
      <c r="F2897" s="14"/>
      <c r="G2897">
        <f>IFERROR(HLOOKUP(G$2,[88]table_male_hkom3_inj.ill_X7!$A$1:$K$36,3,FALSE),0)</f>
        <v>0</v>
      </c>
      <c r="H2897">
        <f>IFERROR(HLOOKUP(H$2,[88]table_male_hkom3_inj.ill_X7!$A$1:$K$36,3,FALSE),0)</f>
        <v>0</v>
      </c>
      <c r="I2897">
        <f>IFERROR(HLOOKUP(I$2,[88]table_male_hkom3_inj.ill_X7!$A$1:$K$36,3,FALSE),0)</f>
        <v>0</v>
      </c>
      <c r="J2897">
        <f>IFERROR(HLOOKUP(J$2,[88]table_male_hkom3_inj.ill_X7!$A$1:$K$36,3,FALSE),0)</f>
        <v>0</v>
      </c>
      <c r="K2897">
        <f>IFERROR(HLOOKUP(K$2,[88]table_male_hkom3_inj.ill_X7!$A$1:$K$36,3,FALSE),0)</f>
        <v>0</v>
      </c>
      <c r="L2897">
        <f>IFERROR(HLOOKUP(L$2,[88]table_male_hkom3_inj.ill_X7!$A$1:$K$36,3,FALSE),0)</f>
        <v>0</v>
      </c>
      <c r="M2897">
        <f t="shared" ref="M2897:M2929" si="906">SUM(E2897:L2897)</f>
        <v>0</v>
      </c>
      <c r="S2897" t="s">
        <v>71</v>
      </c>
      <c r="T2897" s="5">
        <f t="shared" ref="T2897:T2928" si="907">IF(SUM(E$2896:E$2928)=0,E$2929/33,E2897+IFERROR(E2897/SUM(E$2896:E$2928)*E$2929,0))</f>
        <v>0</v>
      </c>
      <c r="U2897" s="5">
        <f t="shared" ref="U2897:U2928" si="908">IF(SUM(F$2896:F$2928)=0,F$2929/33,F2897+IFERROR(F2897/SUM(F$2896:F$2928)*F$2929,0))</f>
        <v>0</v>
      </c>
      <c r="V2897" s="5">
        <f t="shared" ref="V2897:V2928" si="909">IF(SUM(G$2896:G$2928)=0,G$2929/33,G2897+IFERROR(G2897/SUM(G$2896:G$2928)*G$2929,0))</f>
        <v>0</v>
      </c>
      <c r="W2897" s="5">
        <f t="shared" ref="W2897:W2928" si="910">IF(SUM(H$2896:H$2928)=0,H$2929/33,H2897+IFERROR(H2897/SUM(H$2896:H$2928)*H$2929,0))</f>
        <v>0</v>
      </c>
      <c r="X2897" s="5">
        <f t="shared" ref="X2897:X2928" si="911">IF(SUM(I$2896:I$2928)=0,I$2929/33,I2897+IFERROR(I2897/SUM(I$2896:I$2928)*I$2929,0))</f>
        <v>0</v>
      </c>
      <c r="Y2897" s="5">
        <f t="shared" ref="Y2897:Y2928" si="912">IF(SUM(J$2896:J$2928)=0,J$2929/33,J2897+IFERROR(J2897/SUM(J$2896:J$2928)*J$2929,0))</f>
        <v>0</v>
      </c>
      <c r="Z2897" s="5">
        <f t="shared" ref="Z2897:Z2928" si="913">IF(SUM(K$2896:K$2928)=0,K$2929/33,K2897+IFERROR(K2897/SUM(K$2896:K$2928)*K$2929,0))</f>
        <v>0</v>
      </c>
      <c r="AA2897" s="5">
        <f t="shared" ref="AA2897:AA2928" si="914">IF(SUM(L$2896:L$2928)=0,L$2929/33,L2897+IFERROR(L2897/SUM(L$2896:L$2928)*L$2929,0))</f>
        <v>0</v>
      </c>
      <c r="AB2897" s="5">
        <f t="shared" si="894"/>
        <v>0</v>
      </c>
    </row>
    <row r="2898" spans="4:28" x14ac:dyDescent="0.25">
      <c r="D2898" t="s">
        <v>72</v>
      </c>
      <c r="E2898" s="14"/>
      <c r="F2898" s="14"/>
      <c r="G2898">
        <f>IFERROR(HLOOKUP(G$2,[88]table_male_hkom3_inj.ill_X7!$A$1:$K$36,4,FALSE),0)</f>
        <v>0</v>
      </c>
      <c r="H2898">
        <f>IFERROR(HLOOKUP(H$2,[88]table_male_hkom3_inj.ill_X7!$A$1:$K$36,4,FALSE),0)</f>
        <v>0</v>
      </c>
      <c r="I2898">
        <f>IFERROR(HLOOKUP(I$2,[88]table_male_hkom3_inj.ill_X7!$A$1:$K$36,4,FALSE),0)</f>
        <v>0</v>
      </c>
      <c r="J2898">
        <f>IFERROR(HLOOKUP(J$2,[88]table_male_hkom3_inj.ill_X7!$A$1:$K$36,4,FALSE),0)</f>
        <v>0</v>
      </c>
      <c r="K2898">
        <f>IFERROR(HLOOKUP(K$2,[88]table_male_hkom3_inj.ill_X7!$A$1:$K$36,4,FALSE),0)</f>
        <v>0</v>
      </c>
      <c r="L2898">
        <f>IFERROR(HLOOKUP(L$2,[88]table_male_hkom3_inj.ill_X7!$A$1:$K$36,4,FALSE),0)</f>
        <v>0</v>
      </c>
      <c r="M2898">
        <f t="shared" si="906"/>
        <v>0</v>
      </c>
      <c r="S2898" t="s">
        <v>72</v>
      </c>
      <c r="T2898" s="5">
        <f t="shared" si="907"/>
        <v>0</v>
      </c>
      <c r="U2898" s="5">
        <f t="shared" si="908"/>
        <v>0</v>
      </c>
      <c r="V2898" s="5">
        <f t="shared" si="909"/>
        <v>0</v>
      </c>
      <c r="W2898" s="5">
        <f t="shared" si="910"/>
        <v>0</v>
      </c>
      <c r="X2898" s="5">
        <f t="shared" si="911"/>
        <v>0</v>
      </c>
      <c r="Y2898" s="5">
        <f t="shared" si="912"/>
        <v>0</v>
      </c>
      <c r="Z2898" s="5">
        <f t="shared" si="913"/>
        <v>0</v>
      </c>
      <c r="AA2898" s="5">
        <f t="shared" si="914"/>
        <v>0</v>
      </c>
      <c r="AB2898" s="5">
        <f t="shared" si="894"/>
        <v>0</v>
      </c>
    </row>
    <row r="2899" spans="4:28" x14ac:dyDescent="0.25">
      <c r="D2899" t="s">
        <v>73</v>
      </c>
      <c r="E2899" s="14"/>
      <c r="F2899" s="14"/>
      <c r="G2899">
        <f>IFERROR(HLOOKUP(G$2,[88]table_male_hkom3_inj.ill_X7!$A$1:$K$36,5,FALSE),0)</f>
        <v>0</v>
      </c>
      <c r="H2899">
        <f>IFERROR(HLOOKUP(H$2,[88]table_male_hkom3_inj.ill_X7!$A$1:$K$36,5,FALSE),0)</f>
        <v>0</v>
      </c>
      <c r="I2899">
        <f>IFERROR(HLOOKUP(I$2,[88]table_male_hkom3_inj.ill_X7!$A$1:$K$36,5,FALSE),0)</f>
        <v>0</v>
      </c>
      <c r="J2899">
        <f>IFERROR(HLOOKUP(J$2,[88]table_male_hkom3_inj.ill_X7!$A$1:$K$36,5,FALSE),0)</f>
        <v>0</v>
      </c>
      <c r="K2899">
        <f>IFERROR(HLOOKUP(K$2,[88]table_male_hkom3_inj.ill_X7!$A$1:$K$36,5,FALSE),0)</f>
        <v>0</v>
      </c>
      <c r="L2899">
        <f>IFERROR(HLOOKUP(L$2,[88]table_male_hkom3_inj.ill_X7!$A$1:$K$36,5,FALSE),0)</f>
        <v>0</v>
      </c>
      <c r="M2899">
        <f t="shared" si="906"/>
        <v>0</v>
      </c>
      <c r="S2899" t="s">
        <v>73</v>
      </c>
      <c r="T2899" s="5">
        <f t="shared" si="907"/>
        <v>0</v>
      </c>
      <c r="U2899" s="5">
        <f t="shared" si="908"/>
        <v>0</v>
      </c>
      <c r="V2899" s="5">
        <f t="shared" si="909"/>
        <v>0</v>
      </c>
      <c r="W2899" s="5">
        <f t="shared" si="910"/>
        <v>0</v>
      </c>
      <c r="X2899" s="5">
        <f t="shared" si="911"/>
        <v>0</v>
      </c>
      <c r="Y2899" s="5">
        <f t="shared" si="912"/>
        <v>0</v>
      </c>
      <c r="Z2899" s="5">
        <f t="shared" si="913"/>
        <v>0</v>
      </c>
      <c r="AA2899" s="5">
        <f t="shared" si="914"/>
        <v>0</v>
      </c>
      <c r="AB2899" s="5">
        <f t="shared" si="894"/>
        <v>0</v>
      </c>
    </row>
    <row r="2900" spans="4:28" x14ac:dyDescent="0.25">
      <c r="D2900" t="s">
        <v>74</v>
      </c>
      <c r="E2900" s="14"/>
      <c r="F2900" s="14"/>
      <c r="G2900">
        <f>IFERROR(HLOOKUP(G$2,[88]table_male_hkom3_inj.ill_X7!$A$1:$K$36,6,FALSE),0)</f>
        <v>0</v>
      </c>
      <c r="H2900">
        <f>IFERROR(HLOOKUP(H$2,[88]table_male_hkom3_inj.ill_X7!$A$1:$K$36,6,FALSE),0)</f>
        <v>0</v>
      </c>
      <c r="I2900">
        <f>IFERROR(HLOOKUP(I$2,[88]table_male_hkom3_inj.ill_X7!$A$1:$K$36,6,FALSE),0)</f>
        <v>0</v>
      </c>
      <c r="J2900">
        <f>IFERROR(HLOOKUP(J$2,[88]table_male_hkom3_inj.ill_X7!$A$1:$K$36,6,FALSE),0)</f>
        <v>0</v>
      </c>
      <c r="K2900">
        <f>IFERROR(HLOOKUP(K$2,[88]table_male_hkom3_inj.ill_X7!$A$1:$K$36,6,FALSE),0)</f>
        <v>0</v>
      </c>
      <c r="L2900">
        <f>IFERROR(HLOOKUP(L$2,[88]table_male_hkom3_inj.ill_X7!$A$1:$K$36,6,FALSE),0)</f>
        <v>0</v>
      </c>
      <c r="M2900">
        <f t="shared" si="906"/>
        <v>0</v>
      </c>
      <c r="S2900" t="s">
        <v>74</v>
      </c>
      <c r="T2900" s="5">
        <f t="shared" si="907"/>
        <v>0</v>
      </c>
      <c r="U2900" s="5">
        <f t="shared" si="908"/>
        <v>0</v>
      </c>
      <c r="V2900" s="5">
        <f t="shared" si="909"/>
        <v>0</v>
      </c>
      <c r="W2900" s="5">
        <f t="shared" si="910"/>
        <v>0</v>
      </c>
      <c r="X2900" s="5">
        <f t="shared" si="911"/>
        <v>0</v>
      </c>
      <c r="Y2900" s="5">
        <f t="shared" si="912"/>
        <v>0</v>
      </c>
      <c r="Z2900" s="5">
        <f t="shared" si="913"/>
        <v>0</v>
      </c>
      <c r="AA2900" s="5">
        <f t="shared" si="914"/>
        <v>0</v>
      </c>
      <c r="AB2900" s="5">
        <f t="shared" si="894"/>
        <v>0</v>
      </c>
    </row>
    <row r="2901" spans="4:28" x14ac:dyDescent="0.25">
      <c r="D2901" t="s">
        <v>75</v>
      </c>
      <c r="E2901" s="14"/>
      <c r="F2901" s="14"/>
      <c r="G2901">
        <f>IFERROR(HLOOKUP(G$2,[88]table_male_hkom3_inj.ill_X7!$A$1:$K$36,7,FALSE),0)</f>
        <v>0</v>
      </c>
      <c r="H2901">
        <f>IFERROR(HLOOKUP(H$2,[88]table_male_hkom3_inj.ill_X7!$A$1:$K$36,7,FALSE),0)</f>
        <v>0</v>
      </c>
      <c r="I2901">
        <f>IFERROR(HLOOKUP(I$2,[88]table_male_hkom3_inj.ill_X7!$A$1:$K$36,7,FALSE),0)</f>
        <v>0</v>
      </c>
      <c r="J2901">
        <f>IFERROR(HLOOKUP(J$2,[88]table_male_hkom3_inj.ill_X7!$A$1:$K$36,7,FALSE),0)</f>
        <v>0</v>
      </c>
      <c r="K2901">
        <f>IFERROR(HLOOKUP(K$2,[88]table_male_hkom3_inj.ill_X7!$A$1:$K$36,7,FALSE),0)</f>
        <v>0</v>
      </c>
      <c r="L2901">
        <f>IFERROR(HLOOKUP(L$2,[88]table_male_hkom3_inj.ill_X7!$A$1:$K$36,7,FALSE),0)</f>
        <v>0</v>
      </c>
      <c r="M2901">
        <f t="shared" si="906"/>
        <v>0</v>
      </c>
      <c r="S2901" t="s">
        <v>75</v>
      </c>
      <c r="T2901" s="5">
        <f t="shared" si="907"/>
        <v>0</v>
      </c>
      <c r="U2901" s="5">
        <f t="shared" si="908"/>
        <v>0</v>
      </c>
      <c r="V2901" s="5">
        <f t="shared" si="909"/>
        <v>0</v>
      </c>
      <c r="W2901" s="5">
        <f t="shared" si="910"/>
        <v>0</v>
      </c>
      <c r="X2901" s="5">
        <f t="shared" si="911"/>
        <v>0</v>
      </c>
      <c r="Y2901" s="5">
        <f t="shared" si="912"/>
        <v>0</v>
      </c>
      <c r="Z2901" s="5">
        <f t="shared" si="913"/>
        <v>0</v>
      </c>
      <c r="AA2901" s="5">
        <f t="shared" si="914"/>
        <v>0</v>
      </c>
      <c r="AB2901" s="5">
        <f t="shared" si="894"/>
        <v>0</v>
      </c>
    </row>
    <row r="2902" spans="4:28" x14ac:dyDescent="0.25">
      <c r="D2902" t="s">
        <v>76</v>
      </c>
      <c r="E2902" s="14"/>
      <c r="F2902" s="14"/>
      <c r="G2902">
        <f>IFERROR(HLOOKUP(G$2,[88]table_male_hkom3_inj.ill_X7!$A$1:$K$36,8,FALSE),0)</f>
        <v>0</v>
      </c>
      <c r="H2902">
        <f>IFERROR(HLOOKUP(H$2,[88]table_male_hkom3_inj.ill_X7!$A$1:$K$36,8,FALSE),0)</f>
        <v>0</v>
      </c>
      <c r="I2902">
        <f>IFERROR(HLOOKUP(I$2,[88]table_male_hkom3_inj.ill_X7!$A$1:$K$36,8,FALSE),0)</f>
        <v>1</v>
      </c>
      <c r="J2902">
        <f>IFERROR(HLOOKUP(J$2,[88]table_male_hkom3_inj.ill_X7!$A$1:$K$36,8,FALSE),0)</f>
        <v>0</v>
      </c>
      <c r="K2902">
        <f>IFERROR(HLOOKUP(K$2,[88]table_male_hkom3_inj.ill_X7!$A$1:$K$36,8,FALSE),0)</f>
        <v>0</v>
      </c>
      <c r="L2902">
        <f>IFERROR(HLOOKUP(L$2,[88]table_male_hkom3_inj.ill_X7!$A$1:$K$36,8,FALSE),0)</f>
        <v>0</v>
      </c>
      <c r="M2902">
        <f t="shared" si="906"/>
        <v>1</v>
      </c>
      <c r="S2902" t="s">
        <v>76</v>
      </c>
      <c r="T2902" s="5">
        <f t="shared" si="907"/>
        <v>0</v>
      </c>
      <c r="U2902" s="5">
        <f t="shared" si="908"/>
        <v>0</v>
      </c>
      <c r="V2902" s="5">
        <f t="shared" si="909"/>
        <v>0</v>
      </c>
      <c r="W2902" s="5">
        <f t="shared" si="910"/>
        <v>0</v>
      </c>
      <c r="X2902" s="5">
        <f t="shared" si="911"/>
        <v>1.25</v>
      </c>
      <c r="Y2902" s="5">
        <f t="shared" si="912"/>
        <v>0</v>
      </c>
      <c r="Z2902" s="5">
        <f t="shared" si="913"/>
        <v>0</v>
      </c>
      <c r="AA2902" s="5">
        <f t="shared" si="914"/>
        <v>0</v>
      </c>
      <c r="AB2902" s="5">
        <f t="shared" si="894"/>
        <v>1.25</v>
      </c>
    </row>
    <row r="2903" spans="4:28" x14ac:dyDescent="0.25">
      <c r="D2903" t="s">
        <v>77</v>
      </c>
      <c r="E2903" s="14"/>
      <c r="F2903" s="14"/>
      <c r="G2903">
        <f>IFERROR(HLOOKUP(G$2,[88]table_male_hkom3_inj.ill_X7!$A$1:$K$36,9,FALSE),0)</f>
        <v>0</v>
      </c>
      <c r="H2903">
        <f>IFERROR(HLOOKUP(H$2,[88]table_male_hkom3_inj.ill_X7!$A$1:$K$36,9,FALSE),0)</f>
        <v>0</v>
      </c>
      <c r="I2903">
        <f>IFERROR(HLOOKUP(I$2,[88]table_male_hkom3_inj.ill_X7!$A$1:$K$36,9,FALSE),0)</f>
        <v>0</v>
      </c>
      <c r="J2903">
        <f>IFERROR(HLOOKUP(J$2,[88]table_male_hkom3_inj.ill_X7!$A$1:$K$36,9,FALSE),0)</f>
        <v>0</v>
      </c>
      <c r="K2903">
        <f>IFERROR(HLOOKUP(K$2,[88]table_male_hkom3_inj.ill_X7!$A$1:$K$36,9,FALSE),0)</f>
        <v>0</v>
      </c>
      <c r="L2903">
        <f>IFERROR(HLOOKUP(L$2,[88]table_male_hkom3_inj.ill_X7!$A$1:$K$36,9,FALSE),0)</f>
        <v>0</v>
      </c>
      <c r="M2903">
        <f t="shared" si="906"/>
        <v>0</v>
      </c>
      <c r="S2903" t="s">
        <v>77</v>
      </c>
      <c r="T2903" s="5">
        <f t="shared" si="907"/>
        <v>0</v>
      </c>
      <c r="U2903" s="5">
        <f t="shared" si="908"/>
        <v>0</v>
      </c>
      <c r="V2903" s="5">
        <f t="shared" si="909"/>
        <v>0</v>
      </c>
      <c r="W2903" s="5">
        <f t="shared" si="910"/>
        <v>0</v>
      </c>
      <c r="X2903" s="5">
        <f t="shared" si="911"/>
        <v>0</v>
      </c>
      <c r="Y2903" s="5">
        <f t="shared" si="912"/>
        <v>0</v>
      </c>
      <c r="Z2903" s="5">
        <f t="shared" si="913"/>
        <v>0</v>
      </c>
      <c r="AA2903" s="5">
        <f t="shared" si="914"/>
        <v>0</v>
      </c>
      <c r="AB2903" s="5">
        <f t="shared" si="894"/>
        <v>0</v>
      </c>
    </row>
    <row r="2904" spans="4:28" x14ac:dyDescent="0.25">
      <c r="D2904" t="s">
        <v>78</v>
      </c>
      <c r="E2904" s="14"/>
      <c r="F2904" s="14"/>
      <c r="G2904">
        <f>IFERROR(HLOOKUP(G$2,[88]table_male_hkom3_inj.ill_X7!$A$1:$K$36,10,FALSE),0)</f>
        <v>1</v>
      </c>
      <c r="H2904">
        <f>IFERROR(HLOOKUP(H$2,[88]table_male_hkom3_inj.ill_X7!$A$1:$K$36,10,FALSE),0)</f>
        <v>0</v>
      </c>
      <c r="I2904">
        <f>IFERROR(HLOOKUP(I$2,[88]table_male_hkom3_inj.ill_X7!$A$1:$K$36,10,FALSE),0)</f>
        <v>2</v>
      </c>
      <c r="J2904">
        <f>IFERROR(HLOOKUP(J$2,[88]table_male_hkom3_inj.ill_X7!$A$1:$K$36,10,FALSE),0)</f>
        <v>0</v>
      </c>
      <c r="K2904">
        <f>IFERROR(HLOOKUP(K$2,[88]table_male_hkom3_inj.ill_X7!$A$1:$K$36,10,FALSE),0)</f>
        <v>0</v>
      </c>
      <c r="L2904">
        <f>IFERROR(HLOOKUP(L$2,[88]table_male_hkom3_inj.ill_X7!$A$1:$K$36,10,FALSE),0)</f>
        <v>0</v>
      </c>
      <c r="M2904">
        <f t="shared" si="906"/>
        <v>3</v>
      </c>
      <c r="S2904" t="s">
        <v>78</v>
      </c>
      <c r="T2904" s="5">
        <f t="shared" si="907"/>
        <v>0</v>
      </c>
      <c r="U2904" s="5">
        <f t="shared" si="908"/>
        <v>0</v>
      </c>
      <c r="V2904" s="5">
        <f t="shared" si="909"/>
        <v>1.125</v>
      </c>
      <c r="W2904" s="5">
        <f t="shared" si="910"/>
        <v>0</v>
      </c>
      <c r="X2904" s="5">
        <f t="shared" si="911"/>
        <v>2.5</v>
      </c>
      <c r="Y2904" s="5">
        <f t="shared" si="912"/>
        <v>0</v>
      </c>
      <c r="Z2904" s="5">
        <f t="shared" si="913"/>
        <v>0</v>
      </c>
      <c r="AA2904" s="5">
        <f t="shared" si="914"/>
        <v>0</v>
      </c>
      <c r="AB2904" s="5">
        <f t="shared" si="894"/>
        <v>3.625</v>
      </c>
    </row>
    <row r="2905" spans="4:28" x14ac:dyDescent="0.25">
      <c r="D2905" t="s">
        <v>79</v>
      </c>
      <c r="E2905" s="14"/>
      <c r="F2905" s="14"/>
      <c r="G2905">
        <f>IFERROR(HLOOKUP(G$2,[88]table_male_hkom3_inj.ill_X7!$A$1:$K$36,11,FALSE),0)</f>
        <v>0</v>
      </c>
      <c r="H2905">
        <f>IFERROR(HLOOKUP(H$2,[88]table_male_hkom3_inj.ill_X7!$A$1:$K$36,11,FALSE),0)</f>
        <v>0</v>
      </c>
      <c r="I2905">
        <f>IFERROR(HLOOKUP(I$2,[88]table_male_hkom3_inj.ill_X7!$A$1:$K$36,11,FALSE),0)</f>
        <v>0</v>
      </c>
      <c r="J2905">
        <f>IFERROR(HLOOKUP(J$2,[88]table_male_hkom3_inj.ill_X7!$A$1:$K$36,11,FALSE),0)</f>
        <v>0</v>
      </c>
      <c r="K2905">
        <f>IFERROR(HLOOKUP(K$2,[88]table_male_hkom3_inj.ill_X7!$A$1:$K$36,11,FALSE),0)</f>
        <v>0</v>
      </c>
      <c r="L2905">
        <f>IFERROR(HLOOKUP(L$2,[88]table_male_hkom3_inj.ill_X7!$A$1:$K$36,11,FALSE),0)</f>
        <v>0</v>
      </c>
      <c r="M2905">
        <f t="shared" si="906"/>
        <v>0</v>
      </c>
      <c r="S2905" t="s">
        <v>79</v>
      </c>
      <c r="T2905" s="5">
        <f t="shared" si="907"/>
        <v>0</v>
      </c>
      <c r="U2905" s="5">
        <f t="shared" si="908"/>
        <v>0</v>
      </c>
      <c r="V2905" s="5">
        <f t="shared" si="909"/>
        <v>0</v>
      </c>
      <c r="W2905" s="5">
        <f t="shared" si="910"/>
        <v>0</v>
      </c>
      <c r="X2905" s="5">
        <f t="shared" si="911"/>
        <v>0</v>
      </c>
      <c r="Y2905" s="5">
        <f t="shared" si="912"/>
        <v>0</v>
      </c>
      <c r="Z2905" s="5">
        <f t="shared" si="913"/>
        <v>0</v>
      </c>
      <c r="AA2905" s="5">
        <f t="shared" si="914"/>
        <v>0</v>
      </c>
      <c r="AB2905" s="5">
        <f t="shared" si="894"/>
        <v>0</v>
      </c>
    </row>
    <row r="2906" spans="4:28" x14ac:dyDescent="0.25">
      <c r="D2906" t="s">
        <v>80</v>
      </c>
      <c r="E2906" s="14"/>
      <c r="F2906" s="14"/>
      <c r="G2906">
        <f>IFERROR(HLOOKUP(G$2,[88]table_male_hkom3_inj.ill_X7!$A$1:$K$36,12,FALSE),0)</f>
        <v>0</v>
      </c>
      <c r="H2906">
        <f>IFERROR(HLOOKUP(H$2,[88]table_male_hkom3_inj.ill_X7!$A$1:$K$36,12,FALSE),0)</f>
        <v>1</v>
      </c>
      <c r="I2906">
        <f>IFERROR(HLOOKUP(I$2,[88]table_male_hkom3_inj.ill_X7!$A$1:$K$36,12,FALSE),0)</f>
        <v>0</v>
      </c>
      <c r="J2906">
        <f>IFERROR(HLOOKUP(J$2,[88]table_male_hkom3_inj.ill_X7!$A$1:$K$36,12,FALSE),0)</f>
        <v>0</v>
      </c>
      <c r="K2906">
        <f>IFERROR(HLOOKUP(K$2,[88]table_male_hkom3_inj.ill_X7!$A$1:$K$36,12,FALSE),0)</f>
        <v>0</v>
      </c>
      <c r="L2906">
        <f>IFERROR(HLOOKUP(L$2,[88]table_male_hkom3_inj.ill_X7!$A$1:$K$36,12,FALSE),0)</f>
        <v>0</v>
      </c>
      <c r="M2906">
        <f t="shared" si="906"/>
        <v>1</v>
      </c>
      <c r="S2906" t="s">
        <v>80</v>
      </c>
      <c r="T2906" s="5">
        <f t="shared" si="907"/>
        <v>0</v>
      </c>
      <c r="U2906" s="5">
        <f t="shared" si="908"/>
        <v>0</v>
      </c>
      <c r="V2906" s="5">
        <f t="shared" si="909"/>
        <v>0</v>
      </c>
      <c r="W2906" s="5">
        <f t="shared" si="910"/>
        <v>1.25</v>
      </c>
      <c r="X2906" s="5">
        <f t="shared" si="911"/>
        <v>0</v>
      </c>
      <c r="Y2906" s="5">
        <f t="shared" si="912"/>
        <v>0</v>
      </c>
      <c r="Z2906" s="5">
        <f t="shared" si="913"/>
        <v>0</v>
      </c>
      <c r="AA2906" s="5">
        <f t="shared" si="914"/>
        <v>0</v>
      </c>
      <c r="AB2906" s="5">
        <f t="shared" si="894"/>
        <v>1.25</v>
      </c>
    </row>
    <row r="2907" spans="4:28" x14ac:dyDescent="0.25">
      <c r="D2907" t="s">
        <v>81</v>
      </c>
      <c r="E2907" s="14"/>
      <c r="F2907" s="14"/>
      <c r="G2907">
        <f>IFERROR(HLOOKUP(G$2,[88]table_male_hkom3_inj.ill_X7!$A$1:$K$36,13,FALSE),0)</f>
        <v>0</v>
      </c>
      <c r="H2907">
        <f>IFERROR(HLOOKUP(H$2,[88]table_male_hkom3_inj.ill_X7!$A$1:$K$36,13,FALSE),0)</f>
        <v>0</v>
      </c>
      <c r="I2907">
        <f>IFERROR(HLOOKUP(I$2,[88]table_male_hkom3_inj.ill_X7!$A$1:$K$36,13,FALSE),0)</f>
        <v>0</v>
      </c>
      <c r="J2907">
        <f>IFERROR(HLOOKUP(J$2,[88]table_male_hkom3_inj.ill_X7!$A$1:$K$36,13,FALSE),0)</f>
        <v>0</v>
      </c>
      <c r="K2907">
        <f>IFERROR(HLOOKUP(K$2,[88]table_male_hkom3_inj.ill_X7!$A$1:$K$36,13,FALSE),0)</f>
        <v>0</v>
      </c>
      <c r="L2907">
        <f>IFERROR(HLOOKUP(L$2,[88]table_male_hkom3_inj.ill_X7!$A$1:$K$36,13,FALSE),0)</f>
        <v>0</v>
      </c>
      <c r="M2907">
        <f t="shared" si="906"/>
        <v>0</v>
      </c>
      <c r="S2907" t="s">
        <v>81</v>
      </c>
      <c r="T2907" s="5">
        <f t="shared" si="907"/>
        <v>0</v>
      </c>
      <c r="U2907" s="5">
        <f t="shared" si="908"/>
        <v>0</v>
      </c>
      <c r="V2907" s="5">
        <f t="shared" si="909"/>
        <v>0</v>
      </c>
      <c r="W2907" s="5">
        <f t="shared" si="910"/>
        <v>0</v>
      </c>
      <c r="X2907" s="5">
        <f t="shared" si="911"/>
        <v>0</v>
      </c>
      <c r="Y2907" s="5">
        <f t="shared" si="912"/>
        <v>0</v>
      </c>
      <c r="Z2907" s="5">
        <f t="shared" si="913"/>
        <v>0</v>
      </c>
      <c r="AA2907" s="5">
        <f t="shared" si="914"/>
        <v>0</v>
      </c>
      <c r="AB2907" s="5">
        <f t="shared" si="894"/>
        <v>0</v>
      </c>
    </row>
    <row r="2908" spans="4:28" x14ac:dyDescent="0.25">
      <c r="D2908" t="s">
        <v>82</v>
      </c>
      <c r="E2908" s="14"/>
      <c r="F2908" s="14"/>
      <c r="G2908">
        <f>IFERROR(HLOOKUP(G$2,[88]table_male_hkom3_inj.ill_X7!$A$1:$K$36,14,FALSE),0)</f>
        <v>0</v>
      </c>
      <c r="H2908">
        <f>IFERROR(HLOOKUP(H$2,[88]table_male_hkom3_inj.ill_X7!$A$1:$K$36,14,FALSE),0)</f>
        <v>0</v>
      </c>
      <c r="I2908">
        <f>IFERROR(HLOOKUP(I$2,[88]table_male_hkom3_inj.ill_X7!$A$1:$K$36,14,FALSE),0)</f>
        <v>0</v>
      </c>
      <c r="J2908">
        <f>IFERROR(HLOOKUP(J$2,[88]table_male_hkom3_inj.ill_X7!$A$1:$K$36,14,FALSE),0)</f>
        <v>0</v>
      </c>
      <c r="K2908">
        <f>IFERROR(HLOOKUP(K$2,[88]table_male_hkom3_inj.ill_X7!$A$1:$K$36,14,FALSE),0)</f>
        <v>0</v>
      </c>
      <c r="L2908">
        <f>IFERROR(HLOOKUP(L$2,[88]table_male_hkom3_inj.ill_X7!$A$1:$K$36,14,FALSE),0)</f>
        <v>0</v>
      </c>
      <c r="M2908">
        <f t="shared" si="906"/>
        <v>0</v>
      </c>
      <c r="S2908" t="s">
        <v>82</v>
      </c>
      <c r="T2908" s="5">
        <f t="shared" si="907"/>
        <v>0</v>
      </c>
      <c r="U2908" s="5">
        <f t="shared" si="908"/>
        <v>0</v>
      </c>
      <c r="V2908" s="5">
        <f t="shared" si="909"/>
        <v>0</v>
      </c>
      <c r="W2908" s="5">
        <f t="shared" si="910"/>
        <v>0</v>
      </c>
      <c r="X2908" s="5">
        <f t="shared" si="911"/>
        <v>0</v>
      </c>
      <c r="Y2908" s="5">
        <f t="shared" si="912"/>
        <v>0</v>
      </c>
      <c r="Z2908" s="5">
        <f t="shared" si="913"/>
        <v>0</v>
      </c>
      <c r="AA2908" s="5">
        <f t="shared" si="914"/>
        <v>0</v>
      </c>
      <c r="AB2908" s="5">
        <f t="shared" si="894"/>
        <v>0</v>
      </c>
    </row>
    <row r="2909" spans="4:28" x14ac:dyDescent="0.25">
      <c r="D2909" t="s">
        <v>83</v>
      </c>
      <c r="E2909" s="14"/>
      <c r="F2909" s="14"/>
      <c r="G2909">
        <f>IFERROR(HLOOKUP(G$2,[88]table_male_hkom3_inj.ill_X7!$A$1:$K$36,15,FALSE),0)</f>
        <v>0</v>
      </c>
      <c r="H2909">
        <f>IFERROR(HLOOKUP(H$2,[88]table_male_hkom3_inj.ill_X7!$A$1:$K$36,15,FALSE),0)</f>
        <v>0</v>
      </c>
      <c r="I2909">
        <f>IFERROR(HLOOKUP(I$2,[88]table_male_hkom3_inj.ill_X7!$A$1:$K$36,15,FALSE),0)</f>
        <v>0</v>
      </c>
      <c r="J2909">
        <f>IFERROR(HLOOKUP(J$2,[88]table_male_hkom3_inj.ill_X7!$A$1:$K$36,15,FALSE),0)</f>
        <v>0</v>
      </c>
      <c r="K2909">
        <f>IFERROR(HLOOKUP(K$2,[88]table_male_hkom3_inj.ill_X7!$A$1:$K$36,15,FALSE),0)</f>
        <v>0</v>
      </c>
      <c r="L2909">
        <f>IFERROR(HLOOKUP(L$2,[88]table_male_hkom3_inj.ill_X7!$A$1:$K$36,15,FALSE),0)</f>
        <v>0</v>
      </c>
      <c r="M2909">
        <f t="shared" si="906"/>
        <v>0</v>
      </c>
      <c r="S2909" t="s">
        <v>83</v>
      </c>
      <c r="T2909" s="5">
        <f t="shared" si="907"/>
        <v>0</v>
      </c>
      <c r="U2909" s="5">
        <f t="shared" si="908"/>
        <v>0</v>
      </c>
      <c r="V2909" s="5">
        <f t="shared" si="909"/>
        <v>0</v>
      </c>
      <c r="W2909" s="5">
        <f t="shared" si="910"/>
        <v>0</v>
      </c>
      <c r="X2909" s="5">
        <f t="shared" si="911"/>
        <v>0</v>
      </c>
      <c r="Y2909" s="5">
        <f t="shared" si="912"/>
        <v>0</v>
      </c>
      <c r="Z2909" s="5">
        <f t="shared" si="913"/>
        <v>0</v>
      </c>
      <c r="AA2909" s="5">
        <f t="shared" si="914"/>
        <v>0</v>
      </c>
      <c r="AB2909" s="5">
        <f t="shared" si="894"/>
        <v>0</v>
      </c>
    </row>
    <row r="2910" spans="4:28" x14ac:dyDescent="0.25">
      <c r="D2910" t="s">
        <v>84</v>
      </c>
      <c r="E2910" s="14"/>
      <c r="F2910" s="14"/>
      <c r="G2910">
        <f>IFERROR(HLOOKUP(G$2,[88]table_male_hkom3_inj.ill_X7!$A$1:$K$36,16,FALSE),0)</f>
        <v>0</v>
      </c>
      <c r="H2910">
        <f>IFERROR(HLOOKUP(H$2,[88]table_male_hkom3_inj.ill_X7!$A$1:$K$36,16,FALSE),0)</f>
        <v>0</v>
      </c>
      <c r="I2910">
        <f>IFERROR(HLOOKUP(I$2,[88]table_male_hkom3_inj.ill_X7!$A$1:$K$36,16,FALSE),0)</f>
        <v>0</v>
      </c>
      <c r="J2910">
        <f>IFERROR(HLOOKUP(J$2,[88]table_male_hkom3_inj.ill_X7!$A$1:$K$36,16,FALSE),0)</f>
        <v>0</v>
      </c>
      <c r="K2910">
        <f>IFERROR(HLOOKUP(K$2,[88]table_male_hkom3_inj.ill_X7!$A$1:$K$36,16,FALSE),0)</f>
        <v>0</v>
      </c>
      <c r="L2910">
        <f>IFERROR(HLOOKUP(L$2,[88]table_male_hkom3_inj.ill_X7!$A$1:$K$36,16,FALSE),0)</f>
        <v>0</v>
      </c>
      <c r="M2910">
        <f t="shared" si="906"/>
        <v>0</v>
      </c>
      <c r="S2910" t="s">
        <v>84</v>
      </c>
      <c r="T2910" s="5">
        <f t="shared" si="907"/>
        <v>0</v>
      </c>
      <c r="U2910" s="5">
        <f t="shared" si="908"/>
        <v>0</v>
      </c>
      <c r="V2910" s="5">
        <f t="shared" si="909"/>
        <v>0</v>
      </c>
      <c r="W2910" s="5">
        <f t="shared" si="910"/>
        <v>0</v>
      </c>
      <c r="X2910" s="5">
        <f t="shared" si="911"/>
        <v>0</v>
      </c>
      <c r="Y2910" s="5">
        <f t="shared" si="912"/>
        <v>0</v>
      </c>
      <c r="Z2910" s="5">
        <f t="shared" si="913"/>
        <v>0</v>
      </c>
      <c r="AA2910" s="5">
        <f t="shared" si="914"/>
        <v>0</v>
      </c>
      <c r="AB2910" s="5">
        <f t="shared" si="894"/>
        <v>0</v>
      </c>
    </row>
    <row r="2911" spans="4:28" x14ac:dyDescent="0.25">
      <c r="D2911" t="s">
        <v>85</v>
      </c>
      <c r="E2911" s="14"/>
      <c r="F2911" s="14"/>
      <c r="G2911">
        <f>IFERROR(HLOOKUP(G$2,[88]table_male_hkom3_inj.ill_X7!$A$1:$K$36,17,FALSE),0)</f>
        <v>0</v>
      </c>
      <c r="H2911">
        <f>IFERROR(HLOOKUP(H$2,[88]table_male_hkom3_inj.ill_X7!$A$1:$K$36,17,FALSE),0)</f>
        <v>0</v>
      </c>
      <c r="I2911">
        <f>IFERROR(HLOOKUP(I$2,[88]table_male_hkom3_inj.ill_X7!$A$1:$K$36,17,FALSE),0)</f>
        <v>0</v>
      </c>
      <c r="J2911">
        <f>IFERROR(HLOOKUP(J$2,[88]table_male_hkom3_inj.ill_X7!$A$1:$K$36,17,FALSE),0)</f>
        <v>0</v>
      </c>
      <c r="K2911">
        <f>IFERROR(HLOOKUP(K$2,[88]table_male_hkom3_inj.ill_X7!$A$1:$K$36,17,FALSE),0)</f>
        <v>0</v>
      </c>
      <c r="L2911">
        <f>IFERROR(HLOOKUP(L$2,[88]table_male_hkom3_inj.ill_X7!$A$1:$K$36,17,FALSE),0)</f>
        <v>0</v>
      </c>
      <c r="M2911">
        <f t="shared" si="906"/>
        <v>0</v>
      </c>
      <c r="S2911" t="s">
        <v>85</v>
      </c>
      <c r="T2911" s="5">
        <f t="shared" si="907"/>
        <v>0</v>
      </c>
      <c r="U2911" s="5">
        <f t="shared" si="908"/>
        <v>0</v>
      </c>
      <c r="V2911" s="5">
        <f t="shared" si="909"/>
        <v>0</v>
      </c>
      <c r="W2911" s="5">
        <f t="shared" si="910"/>
        <v>0</v>
      </c>
      <c r="X2911" s="5">
        <f t="shared" si="911"/>
        <v>0</v>
      </c>
      <c r="Y2911" s="5">
        <f t="shared" si="912"/>
        <v>0</v>
      </c>
      <c r="Z2911" s="5">
        <f t="shared" si="913"/>
        <v>0</v>
      </c>
      <c r="AA2911" s="5">
        <f t="shared" si="914"/>
        <v>0</v>
      </c>
      <c r="AB2911" s="5">
        <f t="shared" si="894"/>
        <v>0</v>
      </c>
    </row>
    <row r="2912" spans="4:28" x14ac:dyDescent="0.25">
      <c r="D2912" t="s">
        <v>86</v>
      </c>
      <c r="E2912" s="14"/>
      <c r="F2912" s="14"/>
      <c r="G2912">
        <f>IFERROR(HLOOKUP(G$2,[88]table_male_hkom3_inj.ill_X7!$A$1:$K$36,18,FALSE),0)</f>
        <v>1</v>
      </c>
      <c r="H2912">
        <f>IFERROR(HLOOKUP(H$2,[88]table_male_hkom3_inj.ill_X7!$A$1:$K$36,18,FALSE),0)</f>
        <v>0</v>
      </c>
      <c r="I2912">
        <f>IFERROR(HLOOKUP(I$2,[88]table_male_hkom3_inj.ill_X7!$A$1:$K$36,18,FALSE),0)</f>
        <v>0</v>
      </c>
      <c r="J2912">
        <f>IFERROR(HLOOKUP(J$2,[88]table_male_hkom3_inj.ill_X7!$A$1:$K$36,18,FALSE),0)</f>
        <v>0</v>
      </c>
      <c r="K2912">
        <f>IFERROR(HLOOKUP(K$2,[88]table_male_hkom3_inj.ill_X7!$A$1:$K$36,18,FALSE),0)</f>
        <v>0</v>
      </c>
      <c r="L2912">
        <f>IFERROR(HLOOKUP(L$2,[88]table_male_hkom3_inj.ill_X7!$A$1:$K$36,18,FALSE),0)</f>
        <v>0</v>
      </c>
      <c r="M2912">
        <f t="shared" si="906"/>
        <v>1</v>
      </c>
      <c r="S2912" t="s">
        <v>86</v>
      </c>
      <c r="T2912" s="5">
        <f t="shared" si="907"/>
        <v>0</v>
      </c>
      <c r="U2912" s="5">
        <f t="shared" si="908"/>
        <v>0</v>
      </c>
      <c r="V2912" s="5">
        <f t="shared" si="909"/>
        <v>1.125</v>
      </c>
      <c r="W2912" s="5">
        <f t="shared" si="910"/>
        <v>0</v>
      </c>
      <c r="X2912" s="5">
        <f t="shared" si="911"/>
        <v>0</v>
      </c>
      <c r="Y2912" s="5">
        <f t="shared" si="912"/>
        <v>0</v>
      </c>
      <c r="Z2912" s="5">
        <f t="shared" si="913"/>
        <v>0</v>
      </c>
      <c r="AA2912" s="5">
        <f t="shared" si="914"/>
        <v>0</v>
      </c>
      <c r="AB2912" s="5">
        <f t="shared" si="894"/>
        <v>1.125</v>
      </c>
    </row>
    <row r="2913" spans="4:28" x14ac:dyDescent="0.25">
      <c r="D2913" t="s">
        <v>87</v>
      </c>
      <c r="E2913" s="14"/>
      <c r="F2913" s="14"/>
      <c r="G2913">
        <f>IFERROR(HLOOKUP(G$2,[88]table_male_hkom3_inj.ill_X7!$A$1:$K$36,19,FALSE),0)</f>
        <v>0</v>
      </c>
      <c r="H2913">
        <f>IFERROR(HLOOKUP(H$2,[88]table_male_hkom3_inj.ill_X7!$A$1:$K$36,19,FALSE),0)</f>
        <v>0</v>
      </c>
      <c r="I2913">
        <f>IFERROR(HLOOKUP(I$2,[88]table_male_hkom3_inj.ill_X7!$A$1:$K$36,19,FALSE),0)</f>
        <v>0</v>
      </c>
      <c r="J2913">
        <f>IFERROR(HLOOKUP(J$2,[88]table_male_hkom3_inj.ill_X7!$A$1:$K$36,19,FALSE),0)</f>
        <v>0</v>
      </c>
      <c r="K2913">
        <f>IFERROR(HLOOKUP(K$2,[88]table_male_hkom3_inj.ill_X7!$A$1:$K$36,19,FALSE),0)</f>
        <v>0</v>
      </c>
      <c r="L2913">
        <f>IFERROR(HLOOKUP(L$2,[88]table_male_hkom3_inj.ill_X7!$A$1:$K$36,19,FALSE),0)</f>
        <v>0</v>
      </c>
      <c r="M2913">
        <f t="shared" si="906"/>
        <v>0</v>
      </c>
      <c r="S2913" t="s">
        <v>87</v>
      </c>
      <c r="T2913" s="5">
        <f t="shared" si="907"/>
        <v>0</v>
      </c>
      <c r="U2913" s="5">
        <f t="shared" si="908"/>
        <v>0</v>
      </c>
      <c r="V2913" s="5">
        <f t="shared" si="909"/>
        <v>0</v>
      </c>
      <c r="W2913" s="5">
        <f t="shared" si="910"/>
        <v>0</v>
      </c>
      <c r="X2913" s="5">
        <f t="shared" si="911"/>
        <v>0</v>
      </c>
      <c r="Y2913" s="5">
        <f t="shared" si="912"/>
        <v>0</v>
      </c>
      <c r="Z2913" s="5">
        <f t="shared" si="913"/>
        <v>0</v>
      </c>
      <c r="AA2913" s="5">
        <f t="shared" si="914"/>
        <v>0</v>
      </c>
      <c r="AB2913" s="5">
        <f t="shared" si="894"/>
        <v>0</v>
      </c>
    </row>
    <row r="2914" spans="4:28" x14ac:dyDescent="0.25">
      <c r="D2914" t="s">
        <v>88</v>
      </c>
      <c r="E2914" s="14"/>
      <c r="F2914" s="14"/>
      <c r="G2914">
        <f>IFERROR(HLOOKUP(G$2,[88]table_male_hkom3_inj.ill_X7!$A$1:$K$36,20,FALSE),0)</f>
        <v>3</v>
      </c>
      <c r="H2914">
        <f>IFERROR(HLOOKUP(H$2,[88]table_male_hkom3_inj.ill_X7!$A$1:$K$36,20,FALSE),0)</f>
        <v>2</v>
      </c>
      <c r="I2914">
        <f>IFERROR(HLOOKUP(I$2,[88]table_male_hkom3_inj.ill_X7!$A$1:$K$36,20,FALSE),0)</f>
        <v>0</v>
      </c>
      <c r="J2914">
        <f>IFERROR(HLOOKUP(J$2,[88]table_male_hkom3_inj.ill_X7!$A$1:$K$36,20,FALSE),0)</f>
        <v>0</v>
      </c>
      <c r="K2914">
        <f>IFERROR(HLOOKUP(K$2,[88]table_male_hkom3_inj.ill_X7!$A$1:$K$36,20,FALSE),0)</f>
        <v>0</v>
      </c>
      <c r="L2914">
        <f>IFERROR(HLOOKUP(L$2,[88]table_male_hkom3_inj.ill_X7!$A$1:$K$36,20,FALSE),0)</f>
        <v>0</v>
      </c>
      <c r="M2914">
        <f t="shared" si="906"/>
        <v>5</v>
      </c>
      <c r="S2914" t="s">
        <v>88</v>
      </c>
      <c r="T2914" s="5">
        <f t="shared" si="907"/>
        <v>0</v>
      </c>
      <c r="U2914" s="5">
        <f t="shared" si="908"/>
        <v>0</v>
      </c>
      <c r="V2914" s="5">
        <f t="shared" si="909"/>
        <v>3.375</v>
      </c>
      <c r="W2914" s="5">
        <f t="shared" si="910"/>
        <v>2.5</v>
      </c>
      <c r="X2914" s="5">
        <f t="shared" si="911"/>
        <v>0</v>
      </c>
      <c r="Y2914" s="5">
        <f t="shared" si="912"/>
        <v>0</v>
      </c>
      <c r="Z2914" s="5">
        <f t="shared" si="913"/>
        <v>0</v>
      </c>
      <c r="AA2914" s="5">
        <f t="shared" si="914"/>
        <v>0</v>
      </c>
      <c r="AB2914" s="5">
        <f t="shared" si="894"/>
        <v>5.875</v>
      </c>
    </row>
    <row r="2915" spans="4:28" x14ac:dyDescent="0.25">
      <c r="D2915" t="s">
        <v>89</v>
      </c>
      <c r="E2915" s="14"/>
      <c r="F2915" s="14"/>
      <c r="G2915">
        <f>IFERROR(HLOOKUP(G$2,[88]table_male_hkom3_inj.ill_X7!$A$1:$K$36,21,FALSE),0)</f>
        <v>0</v>
      </c>
      <c r="H2915">
        <f>IFERROR(HLOOKUP(H$2,[88]table_male_hkom3_inj.ill_X7!$A$1:$K$36,21,FALSE),0)</f>
        <v>0</v>
      </c>
      <c r="I2915">
        <f>IFERROR(HLOOKUP(I$2,[88]table_male_hkom3_inj.ill_X7!$A$1:$K$36,21,FALSE),0)</f>
        <v>0</v>
      </c>
      <c r="J2915">
        <f>IFERROR(HLOOKUP(J$2,[88]table_male_hkom3_inj.ill_X7!$A$1:$K$36,21,FALSE),0)</f>
        <v>0</v>
      </c>
      <c r="K2915">
        <f>IFERROR(HLOOKUP(K$2,[88]table_male_hkom3_inj.ill_X7!$A$1:$K$36,21,FALSE),0)</f>
        <v>0</v>
      </c>
      <c r="L2915">
        <f>IFERROR(HLOOKUP(L$2,[88]table_male_hkom3_inj.ill_X7!$A$1:$K$36,21,FALSE),0)</f>
        <v>0</v>
      </c>
      <c r="M2915">
        <f t="shared" si="906"/>
        <v>0</v>
      </c>
      <c r="S2915" t="s">
        <v>89</v>
      </c>
      <c r="T2915" s="5">
        <f t="shared" si="907"/>
        <v>0</v>
      </c>
      <c r="U2915" s="5">
        <f t="shared" si="908"/>
        <v>0</v>
      </c>
      <c r="V2915" s="5">
        <f t="shared" si="909"/>
        <v>0</v>
      </c>
      <c r="W2915" s="5">
        <f t="shared" si="910"/>
        <v>0</v>
      </c>
      <c r="X2915" s="5">
        <f t="shared" si="911"/>
        <v>0</v>
      </c>
      <c r="Y2915" s="5">
        <f t="shared" si="912"/>
        <v>0</v>
      </c>
      <c r="Z2915" s="5">
        <f t="shared" si="913"/>
        <v>0</v>
      </c>
      <c r="AA2915" s="5">
        <f t="shared" si="914"/>
        <v>0</v>
      </c>
      <c r="AB2915" s="5">
        <f t="shared" si="894"/>
        <v>0</v>
      </c>
    </row>
    <row r="2916" spans="4:28" x14ac:dyDescent="0.25">
      <c r="D2916" t="s">
        <v>90</v>
      </c>
      <c r="E2916" s="14"/>
      <c r="F2916" s="14"/>
      <c r="G2916">
        <f>IFERROR(HLOOKUP(G$2,[88]table_male_hkom3_inj.ill_X7!$A$1:$K$36,22,FALSE),0)</f>
        <v>0</v>
      </c>
      <c r="H2916">
        <f>IFERROR(HLOOKUP(H$2,[88]table_male_hkom3_inj.ill_X7!$A$1:$K$36,22,FALSE),0)</f>
        <v>0</v>
      </c>
      <c r="I2916">
        <f>IFERROR(HLOOKUP(I$2,[88]table_male_hkom3_inj.ill_X7!$A$1:$K$36,22,FALSE),0)</f>
        <v>0</v>
      </c>
      <c r="J2916">
        <f>IFERROR(HLOOKUP(J$2,[88]table_male_hkom3_inj.ill_X7!$A$1:$K$36,22,FALSE),0)</f>
        <v>0</v>
      </c>
      <c r="K2916">
        <f>IFERROR(HLOOKUP(K$2,[88]table_male_hkom3_inj.ill_X7!$A$1:$K$36,22,FALSE),0)</f>
        <v>0</v>
      </c>
      <c r="L2916">
        <f>IFERROR(HLOOKUP(L$2,[88]table_male_hkom3_inj.ill_X7!$A$1:$K$36,22,FALSE),0)</f>
        <v>0</v>
      </c>
      <c r="M2916">
        <f t="shared" si="906"/>
        <v>0</v>
      </c>
      <c r="S2916" t="s">
        <v>90</v>
      </c>
      <c r="T2916" s="5">
        <f t="shared" si="907"/>
        <v>0</v>
      </c>
      <c r="U2916" s="5">
        <f t="shared" si="908"/>
        <v>0</v>
      </c>
      <c r="V2916" s="5">
        <f t="shared" si="909"/>
        <v>0</v>
      </c>
      <c r="W2916" s="5">
        <f t="shared" si="910"/>
        <v>0</v>
      </c>
      <c r="X2916" s="5">
        <f t="shared" si="911"/>
        <v>0</v>
      </c>
      <c r="Y2916" s="5">
        <f t="shared" si="912"/>
        <v>0</v>
      </c>
      <c r="Z2916" s="5">
        <f t="shared" si="913"/>
        <v>0</v>
      </c>
      <c r="AA2916" s="5">
        <f t="shared" si="914"/>
        <v>0</v>
      </c>
      <c r="AB2916" s="5">
        <f t="shared" si="894"/>
        <v>0</v>
      </c>
    </row>
    <row r="2917" spans="4:28" x14ac:dyDescent="0.25">
      <c r="D2917" t="s">
        <v>91</v>
      </c>
      <c r="E2917" s="14"/>
      <c r="F2917" s="14"/>
      <c r="G2917">
        <f>IFERROR(HLOOKUP(G$2,[88]table_male_hkom3_inj.ill_X7!$A$1:$K$36,23,FALSE),0)</f>
        <v>0</v>
      </c>
      <c r="H2917">
        <f>IFERROR(HLOOKUP(H$2,[88]table_male_hkom3_inj.ill_X7!$A$1:$K$36,23,FALSE),0)</f>
        <v>0</v>
      </c>
      <c r="I2917">
        <f>IFERROR(HLOOKUP(I$2,[88]table_male_hkom3_inj.ill_X7!$A$1:$K$36,23,FALSE),0)</f>
        <v>1</v>
      </c>
      <c r="J2917">
        <f>IFERROR(HLOOKUP(J$2,[88]table_male_hkom3_inj.ill_X7!$A$1:$K$36,23,FALSE),0)</f>
        <v>0</v>
      </c>
      <c r="K2917">
        <f>IFERROR(HLOOKUP(K$2,[88]table_male_hkom3_inj.ill_X7!$A$1:$K$36,23,FALSE),0)</f>
        <v>0</v>
      </c>
      <c r="L2917">
        <f>IFERROR(HLOOKUP(L$2,[88]table_male_hkom3_inj.ill_X7!$A$1:$K$36,23,FALSE),0)</f>
        <v>0</v>
      </c>
      <c r="M2917">
        <f t="shared" si="906"/>
        <v>1</v>
      </c>
      <c r="S2917" t="s">
        <v>91</v>
      </c>
      <c r="T2917" s="5">
        <f t="shared" si="907"/>
        <v>0</v>
      </c>
      <c r="U2917" s="5">
        <f t="shared" si="908"/>
        <v>0</v>
      </c>
      <c r="V2917" s="5">
        <f t="shared" si="909"/>
        <v>0</v>
      </c>
      <c r="W2917" s="5">
        <f t="shared" si="910"/>
        <v>0</v>
      </c>
      <c r="X2917" s="5">
        <f t="shared" si="911"/>
        <v>1.25</v>
      </c>
      <c r="Y2917" s="5">
        <f t="shared" si="912"/>
        <v>0</v>
      </c>
      <c r="Z2917" s="5">
        <f t="shared" si="913"/>
        <v>0</v>
      </c>
      <c r="AA2917" s="5">
        <f t="shared" si="914"/>
        <v>0</v>
      </c>
      <c r="AB2917" s="5">
        <f t="shared" si="894"/>
        <v>1.25</v>
      </c>
    </row>
    <row r="2918" spans="4:28" x14ac:dyDescent="0.25">
      <c r="D2918" t="s">
        <v>92</v>
      </c>
      <c r="E2918" s="14"/>
      <c r="F2918" s="14"/>
      <c r="G2918">
        <f>IFERROR(HLOOKUP(G$2,[88]table_male_hkom3_inj.ill_X7!$A$1:$K$36,24,FALSE),0)</f>
        <v>0</v>
      </c>
      <c r="H2918">
        <f>IFERROR(HLOOKUP(H$2,[88]table_male_hkom3_inj.ill_X7!$A$1:$K$36,24,FALSE),0)</f>
        <v>0</v>
      </c>
      <c r="I2918">
        <f>IFERROR(HLOOKUP(I$2,[88]table_male_hkom3_inj.ill_X7!$A$1:$K$36,24,FALSE),0)</f>
        <v>0</v>
      </c>
      <c r="J2918">
        <f>IFERROR(HLOOKUP(J$2,[88]table_male_hkom3_inj.ill_X7!$A$1:$K$36,24,FALSE),0)</f>
        <v>0</v>
      </c>
      <c r="K2918">
        <f>IFERROR(HLOOKUP(K$2,[88]table_male_hkom3_inj.ill_X7!$A$1:$K$36,24,FALSE),0)</f>
        <v>0</v>
      </c>
      <c r="L2918">
        <f>IFERROR(HLOOKUP(L$2,[88]table_male_hkom3_inj.ill_X7!$A$1:$K$36,24,FALSE),0)</f>
        <v>0</v>
      </c>
      <c r="M2918">
        <f t="shared" si="906"/>
        <v>0</v>
      </c>
      <c r="S2918" t="s">
        <v>92</v>
      </c>
      <c r="T2918" s="5">
        <f t="shared" si="907"/>
        <v>0</v>
      </c>
      <c r="U2918" s="5">
        <f t="shared" si="908"/>
        <v>0</v>
      </c>
      <c r="V2918" s="5">
        <f t="shared" si="909"/>
        <v>0</v>
      </c>
      <c r="W2918" s="5">
        <f t="shared" si="910"/>
        <v>0</v>
      </c>
      <c r="X2918" s="5">
        <f t="shared" si="911"/>
        <v>0</v>
      </c>
      <c r="Y2918" s="5">
        <f t="shared" si="912"/>
        <v>0</v>
      </c>
      <c r="Z2918" s="5">
        <f t="shared" si="913"/>
        <v>0</v>
      </c>
      <c r="AA2918" s="5">
        <f t="shared" si="914"/>
        <v>0</v>
      </c>
      <c r="AB2918" s="5">
        <f t="shared" si="894"/>
        <v>0</v>
      </c>
    </row>
    <row r="2919" spans="4:28" x14ac:dyDescent="0.25">
      <c r="D2919" t="s">
        <v>93</v>
      </c>
      <c r="E2919" s="14"/>
      <c r="F2919" s="14"/>
      <c r="G2919">
        <f>IFERROR(HLOOKUP(G$2,[88]table_male_hkom3_inj.ill_X7!$A$1:$K$36,25,FALSE),0)</f>
        <v>0</v>
      </c>
      <c r="H2919">
        <f>IFERROR(HLOOKUP(H$2,[88]table_male_hkom3_inj.ill_X7!$A$1:$K$36,25,FALSE),0)</f>
        <v>0</v>
      </c>
      <c r="I2919">
        <f>IFERROR(HLOOKUP(I$2,[88]table_male_hkom3_inj.ill_X7!$A$1:$K$36,25,FALSE),0)</f>
        <v>0</v>
      </c>
      <c r="J2919">
        <f>IFERROR(HLOOKUP(J$2,[88]table_male_hkom3_inj.ill_X7!$A$1:$K$36,25,FALSE),0)</f>
        <v>0</v>
      </c>
      <c r="K2919">
        <f>IFERROR(HLOOKUP(K$2,[88]table_male_hkom3_inj.ill_X7!$A$1:$K$36,25,FALSE),0)</f>
        <v>0</v>
      </c>
      <c r="L2919">
        <f>IFERROR(HLOOKUP(L$2,[88]table_male_hkom3_inj.ill_X7!$A$1:$K$36,25,FALSE),0)</f>
        <v>0</v>
      </c>
      <c r="M2919">
        <f t="shared" si="906"/>
        <v>0</v>
      </c>
      <c r="S2919" t="s">
        <v>93</v>
      </c>
      <c r="T2919" s="5">
        <f t="shared" si="907"/>
        <v>0</v>
      </c>
      <c r="U2919" s="5">
        <f t="shared" si="908"/>
        <v>0</v>
      </c>
      <c r="V2919" s="5">
        <f t="shared" si="909"/>
        <v>0</v>
      </c>
      <c r="W2919" s="5">
        <f t="shared" si="910"/>
        <v>0</v>
      </c>
      <c r="X2919" s="5">
        <f t="shared" si="911"/>
        <v>0</v>
      </c>
      <c r="Y2919" s="5">
        <f t="shared" si="912"/>
        <v>0</v>
      </c>
      <c r="Z2919" s="5">
        <f t="shared" si="913"/>
        <v>0</v>
      </c>
      <c r="AA2919" s="5">
        <f t="shared" si="914"/>
        <v>0</v>
      </c>
      <c r="AB2919" s="5">
        <f t="shared" si="894"/>
        <v>0</v>
      </c>
    </row>
    <row r="2920" spans="4:28" x14ac:dyDescent="0.25">
      <c r="D2920" t="s">
        <v>94</v>
      </c>
      <c r="E2920" s="14"/>
      <c r="F2920" s="14"/>
      <c r="G2920">
        <f>IFERROR(HLOOKUP(G$2,[88]table_male_hkom3_inj.ill_X7!$A$1:$K$36,26,FALSE),0)</f>
        <v>0</v>
      </c>
      <c r="H2920">
        <f>IFERROR(HLOOKUP(H$2,[88]table_male_hkom3_inj.ill_X7!$A$1:$K$36,26,FALSE),0)</f>
        <v>0</v>
      </c>
      <c r="I2920">
        <f>IFERROR(HLOOKUP(I$2,[88]table_male_hkom3_inj.ill_X7!$A$1:$K$36,26,FALSE),0)</f>
        <v>0</v>
      </c>
      <c r="J2920">
        <f>IFERROR(HLOOKUP(J$2,[88]table_male_hkom3_inj.ill_X7!$A$1:$K$36,26,FALSE),0)</f>
        <v>0</v>
      </c>
      <c r="K2920">
        <f>IFERROR(HLOOKUP(K$2,[88]table_male_hkom3_inj.ill_X7!$A$1:$K$36,26,FALSE),0)</f>
        <v>0</v>
      </c>
      <c r="L2920">
        <f>IFERROR(HLOOKUP(L$2,[88]table_male_hkom3_inj.ill_X7!$A$1:$K$36,26,FALSE),0)</f>
        <v>0</v>
      </c>
      <c r="M2920">
        <f t="shared" si="906"/>
        <v>0</v>
      </c>
      <c r="S2920" t="s">
        <v>94</v>
      </c>
      <c r="T2920" s="5">
        <f t="shared" si="907"/>
        <v>0</v>
      </c>
      <c r="U2920" s="5">
        <f t="shared" si="908"/>
        <v>0</v>
      </c>
      <c r="V2920" s="5">
        <f t="shared" si="909"/>
        <v>0</v>
      </c>
      <c r="W2920" s="5">
        <f t="shared" si="910"/>
        <v>0</v>
      </c>
      <c r="X2920" s="5">
        <f t="shared" si="911"/>
        <v>0</v>
      </c>
      <c r="Y2920" s="5">
        <f t="shared" si="912"/>
        <v>0</v>
      </c>
      <c r="Z2920" s="5">
        <f t="shared" si="913"/>
        <v>0</v>
      </c>
      <c r="AA2920" s="5">
        <f t="shared" si="914"/>
        <v>0</v>
      </c>
      <c r="AB2920" s="5">
        <f t="shared" si="894"/>
        <v>0</v>
      </c>
    </row>
    <row r="2921" spans="4:28" x14ac:dyDescent="0.25">
      <c r="D2921" t="s">
        <v>95</v>
      </c>
      <c r="E2921" s="14"/>
      <c r="F2921" s="14"/>
      <c r="G2921">
        <f>IFERROR(HLOOKUP(G$2,[88]table_male_hkom3_inj.ill_X7!$A$1:$K$36,27,FALSE),0)</f>
        <v>0</v>
      </c>
      <c r="H2921">
        <f>IFERROR(HLOOKUP(H$2,[88]table_male_hkom3_inj.ill_X7!$A$1:$K$36,27,FALSE),0)</f>
        <v>0</v>
      </c>
      <c r="I2921">
        <f>IFERROR(HLOOKUP(I$2,[88]table_male_hkom3_inj.ill_X7!$A$1:$K$36,27,FALSE),0)</f>
        <v>0</v>
      </c>
      <c r="J2921">
        <f>IFERROR(HLOOKUP(J$2,[88]table_male_hkom3_inj.ill_X7!$A$1:$K$36,27,FALSE),0)</f>
        <v>0</v>
      </c>
      <c r="K2921">
        <f>IFERROR(HLOOKUP(K$2,[88]table_male_hkom3_inj.ill_X7!$A$1:$K$36,27,FALSE),0)</f>
        <v>0</v>
      </c>
      <c r="L2921">
        <f>IFERROR(HLOOKUP(L$2,[88]table_male_hkom3_inj.ill_X7!$A$1:$K$36,27,FALSE),0)</f>
        <v>0</v>
      </c>
      <c r="M2921">
        <f t="shared" si="906"/>
        <v>0</v>
      </c>
      <c r="S2921" t="s">
        <v>95</v>
      </c>
      <c r="T2921" s="5">
        <f t="shared" si="907"/>
        <v>0</v>
      </c>
      <c r="U2921" s="5">
        <f t="shared" si="908"/>
        <v>0</v>
      </c>
      <c r="V2921" s="5">
        <f t="shared" si="909"/>
        <v>0</v>
      </c>
      <c r="W2921" s="5">
        <f t="shared" si="910"/>
        <v>0</v>
      </c>
      <c r="X2921" s="5">
        <f t="shared" si="911"/>
        <v>0</v>
      </c>
      <c r="Y2921" s="5">
        <f t="shared" si="912"/>
        <v>0</v>
      </c>
      <c r="Z2921" s="5">
        <f t="shared" si="913"/>
        <v>0</v>
      </c>
      <c r="AA2921" s="5">
        <f t="shared" si="914"/>
        <v>0</v>
      </c>
      <c r="AB2921" s="5">
        <f t="shared" si="894"/>
        <v>0</v>
      </c>
    </row>
    <row r="2922" spans="4:28" x14ac:dyDescent="0.25">
      <c r="D2922" t="s">
        <v>96</v>
      </c>
      <c r="E2922" s="14"/>
      <c r="F2922" s="14"/>
      <c r="G2922">
        <f>IFERROR(HLOOKUP(G$2,[88]table_male_hkom3_inj.ill_X7!$A$1:$K$36,28,FALSE),0)</f>
        <v>0</v>
      </c>
      <c r="H2922">
        <f>IFERROR(HLOOKUP(H$2,[88]table_male_hkom3_inj.ill_X7!$A$1:$K$36,28,FALSE),0)</f>
        <v>0</v>
      </c>
      <c r="I2922">
        <f>IFERROR(HLOOKUP(I$2,[88]table_male_hkom3_inj.ill_X7!$A$1:$K$36,28,FALSE),0)</f>
        <v>0</v>
      </c>
      <c r="J2922">
        <f>IFERROR(HLOOKUP(J$2,[88]table_male_hkom3_inj.ill_X7!$A$1:$K$36,28,FALSE),0)</f>
        <v>0</v>
      </c>
      <c r="K2922">
        <f>IFERROR(HLOOKUP(K$2,[88]table_male_hkom3_inj.ill_X7!$A$1:$K$36,28,FALSE),0)</f>
        <v>0</v>
      </c>
      <c r="L2922">
        <f>IFERROR(HLOOKUP(L$2,[88]table_male_hkom3_inj.ill_X7!$A$1:$K$36,28,FALSE),0)</f>
        <v>0</v>
      </c>
      <c r="M2922">
        <f t="shared" si="906"/>
        <v>0</v>
      </c>
      <c r="S2922" t="s">
        <v>96</v>
      </c>
      <c r="T2922" s="5">
        <f t="shared" si="907"/>
        <v>0</v>
      </c>
      <c r="U2922" s="5">
        <f t="shared" si="908"/>
        <v>0</v>
      </c>
      <c r="V2922" s="5">
        <f t="shared" si="909"/>
        <v>0</v>
      </c>
      <c r="W2922" s="5">
        <f t="shared" si="910"/>
        <v>0</v>
      </c>
      <c r="X2922" s="5">
        <f t="shared" si="911"/>
        <v>0</v>
      </c>
      <c r="Y2922" s="5">
        <f t="shared" si="912"/>
        <v>0</v>
      </c>
      <c r="Z2922" s="5">
        <f t="shared" si="913"/>
        <v>0</v>
      </c>
      <c r="AA2922" s="5">
        <f t="shared" si="914"/>
        <v>0</v>
      </c>
      <c r="AB2922" s="5">
        <f t="shared" si="894"/>
        <v>0</v>
      </c>
    </row>
    <row r="2923" spans="4:28" x14ac:dyDescent="0.25">
      <c r="D2923" t="s">
        <v>97</v>
      </c>
      <c r="E2923" s="14"/>
      <c r="F2923" s="14"/>
      <c r="G2923">
        <f>IFERROR(HLOOKUP(G$2,[88]table_male_hkom3_inj.ill_X7!$A$1:$K$36,29,FALSE),0)</f>
        <v>0</v>
      </c>
      <c r="H2923">
        <f>IFERROR(HLOOKUP(H$2,[88]table_male_hkom3_inj.ill_X7!$A$1:$K$36,29,FALSE),0)</f>
        <v>0</v>
      </c>
      <c r="I2923">
        <f>IFERROR(HLOOKUP(I$2,[88]table_male_hkom3_inj.ill_X7!$A$1:$K$36,29,FALSE),0)</f>
        <v>0</v>
      </c>
      <c r="J2923">
        <f>IFERROR(HLOOKUP(J$2,[88]table_male_hkom3_inj.ill_X7!$A$1:$K$36,29,FALSE),0)</f>
        <v>0</v>
      </c>
      <c r="K2923">
        <f>IFERROR(HLOOKUP(K$2,[88]table_male_hkom3_inj.ill_X7!$A$1:$K$36,29,FALSE),0)</f>
        <v>0</v>
      </c>
      <c r="L2923">
        <f>IFERROR(HLOOKUP(L$2,[88]table_male_hkom3_inj.ill_X7!$A$1:$K$36,29,FALSE),0)</f>
        <v>0</v>
      </c>
      <c r="M2923">
        <f t="shared" si="906"/>
        <v>0</v>
      </c>
      <c r="S2923" t="s">
        <v>97</v>
      </c>
      <c r="T2923" s="5">
        <f t="shared" si="907"/>
        <v>0</v>
      </c>
      <c r="U2923" s="5">
        <f t="shared" si="908"/>
        <v>0</v>
      </c>
      <c r="V2923" s="5">
        <f t="shared" si="909"/>
        <v>0</v>
      </c>
      <c r="W2923" s="5">
        <f t="shared" si="910"/>
        <v>0</v>
      </c>
      <c r="X2923" s="5">
        <f t="shared" si="911"/>
        <v>0</v>
      </c>
      <c r="Y2923" s="5">
        <f t="shared" si="912"/>
        <v>0</v>
      </c>
      <c r="Z2923" s="5">
        <f t="shared" si="913"/>
        <v>0</v>
      </c>
      <c r="AA2923" s="5">
        <f t="shared" si="914"/>
        <v>0</v>
      </c>
      <c r="AB2923" s="5">
        <f t="shared" ref="AB2923:AB2986" si="915">SUM(T2923:AA2923)</f>
        <v>0</v>
      </c>
    </row>
    <row r="2924" spans="4:28" x14ac:dyDescent="0.25">
      <c r="D2924" t="s">
        <v>98</v>
      </c>
      <c r="E2924" s="14"/>
      <c r="F2924" s="14"/>
      <c r="G2924">
        <f>IFERROR(HLOOKUP(G$2,[88]table_male_hkom3_inj.ill_X7!$A$1:$K$36,30,FALSE),0)</f>
        <v>0</v>
      </c>
      <c r="H2924">
        <f>IFERROR(HLOOKUP(H$2,[88]table_male_hkom3_inj.ill_X7!$A$1:$K$36,30,FALSE),0)</f>
        <v>0</v>
      </c>
      <c r="I2924">
        <f>IFERROR(HLOOKUP(I$2,[88]table_male_hkom3_inj.ill_X7!$A$1:$K$36,30,FALSE),0)</f>
        <v>0</v>
      </c>
      <c r="J2924">
        <f>IFERROR(HLOOKUP(J$2,[88]table_male_hkom3_inj.ill_X7!$A$1:$K$36,30,FALSE),0)</f>
        <v>0</v>
      </c>
      <c r="K2924">
        <f>IFERROR(HLOOKUP(K$2,[88]table_male_hkom3_inj.ill_X7!$A$1:$K$36,30,FALSE),0)</f>
        <v>0</v>
      </c>
      <c r="L2924">
        <f>IFERROR(HLOOKUP(L$2,[88]table_male_hkom3_inj.ill_X7!$A$1:$K$36,30,FALSE),0)</f>
        <v>0</v>
      </c>
      <c r="M2924">
        <f t="shared" si="906"/>
        <v>0</v>
      </c>
      <c r="S2924" t="s">
        <v>98</v>
      </c>
      <c r="T2924" s="5">
        <f t="shared" si="907"/>
        <v>0</v>
      </c>
      <c r="U2924" s="5">
        <f t="shared" si="908"/>
        <v>0</v>
      </c>
      <c r="V2924" s="5">
        <f t="shared" si="909"/>
        <v>0</v>
      </c>
      <c r="W2924" s="5">
        <f t="shared" si="910"/>
        <v>0</v>
      </c>
      <c r="X2924" s="5">
        <f t="shared" si="911"/>
        <v>0</v>
      </c>
      <c r="Y2924" s="5">
        <f t="shared" si="912"/>
        <v>0</v>
      </c>
      <c r="Z2924" s="5">
        <f t="shared" si="913"/>
        <v>0</v>
      </c>
      <c r="AA2924" s="5">
        <f t="shared" si="914"/>
        <v>0</v>
      </c>
      <c r="AB2924" s="5">
        <f t="shared" si="915"/>
        <v>0</v>
      </c>
    </row>
    <row r="2925" spans="4:28" x14ac:dyDescent="0.25">
      <c r="D2925" t="s">
        <v>119</v>
      </c>
      <c r="E2925" s="14"/>
      <c r="F2925" s="14"/>
      <c r="G2925">
        <f>IFERROR(HLOOKUP(G$2,[88]table_male_hkom3_inj.ill_X7!$A$1:$K$36,31,FALSE),0)</f>
        <v>0</v>
      </c>
      <c r="H2925">
        <f>IFERROR(HLOOKUP(H$2,[88]table_male_hkom3_inj.ill_X7!$A$1:$K$36,31,FALSE),0)</f>
        <v>0</v>
      </c>
      <c r="I2925">
        <f>IFERROR(HLOOKUP(I$2,[88]table_male_hkom3_inj.ill_X7!$A$1:$K$36,31,FALSE),0)</f>
        <v>0</v>
      </c>
      <c r="J2925">
        <f>IFERROR(HLOOKUP(J$2,[88]table_male_hkom3_inj.ill_X7!$A$1:$K$36,31,FALSE),0)</f>
        <v>0</v>
      </c>
      <c r="K2925">
        <f>IFERROR(HLOOKUP(K$2,[88]table_male_hkom3_inj.ill_X7!$A$1:$K$36,31,FALSE),0)</f>
        <v>0</v>
      </c>
      <c r="L2925">
        <f>IFERROR(HLOOKUP(L$2,[88]table_male_hkom3_inj.ill_X7!$A$1:$K$36,31,FALSE),0)</f>
        <v>0</v>
      </c>
      <c r="M2925">
        <f t="shared" si="906"/>
        <v>0</v>
      </c>
      <c r="S2925" t="s">
        <v>119</v>
      </c>
      <c r="T2925" s="5">
        <f t="shared" si="907"/>
        <v>0</v>
      </c>
      <c r="U2925" s="5">
        <f t="shared" si="908"/>
        <v>0</v>
      </c>
      <c r="V2925" s="5">
        <f t="shared" si="909"/>
        <v>0</v>
      </c>
      <c r="W2925" s="5">
        <f t="shared" si="910"/>
        <v>0</v>
      </c>
      <c r="X2925" s="5">
        <f t="shared" si="911"/>
        <v>0</v>
      </c>
      <c r="Y2925" s="5">
        <f t="shared" si="912"/>
        <v>0</v>
      </c>
      <c r="Z2925" s="5">
        <f t="shared" si="913"/>
        <v>0</v>
      </c>
      <c r="AA2925" s="5">
        <f t="shared" si="914"/>
        <v>0</v>
      </c>
      <c r="AB2925" s="5">
        <f t="shared" si="915"/>
        <v>0</v>
      </c>
    </row>
    <row r="2926" spans="4:28" x14ac:dyDescent="0.25">
      <c r="D2926" t="s">
        <v>99</v>
      </c>
      <c r="E2926" s="14"/>
      <c r="F2926" s="14"/>
      <c r="G2926">
        <f>IFERROR(HLOOKUP(G$2,[88]table_male_hkom3_inj.ill_X7!$A$1:$K$36,32,FALSE),0)</f>
        <v>1</v>
      </c>
      <c r="H2926">
        <f>IFERROR(HLOOKUP(H$2,[88]table_male_hkom3_inj.ill_X7!$A$1:$K$36,32,FALSE),0)</f>
        <v>1</v>
      </c>
      <c r="I2926">
        <f>IFERROR(HLOOKUP(I$2,[88]table_male_hkom3_inj.ill_X7!$A$1:$K$36,32,FALSE),0)</f>
        <v>0</v>
      </c>
      <c r="J2926">
        <f>IFERROR(HLOOKUP(J$2,[88]table_male_hkom3_inj.ill_X7!$A$1:$K$36,32,FALSE),0)</f>
        <v>0</v>
      </c>
      <c r="K2926">
        <f>IFERROR(HLOOKUP(K$2,[88]table_male_hkom3_inj.ill_X7!$A$1:$K$36,32,FALSE),0)</f>
        <v>0</v>
      </c>
      <c r="L2926">
        <f>IFERROR(HLOOKUP(L$2,[88]table_male_hkom3_inj.ill_X7!$A$1:$K$36,32,FALSE),0)</f>
        <v>0</v>
      </c>
      <c r="M2926">
        <f t="shared" si="906"/>
        <v>2</v>
      </c>
      <c r="S2926" t="s">
        <v>99</v>
      </c>
      <c r="T2926" s="5">
        <f t="shared" si="907"/>
        <v>0</v>
      </c>
      <c r="U2926" s="5">
        <f t="shared" si="908"/>
        <v>0</v>
      </c>
      <c r="V2926" s="5">
        <f t="shared" si="909"/>
        <v>1.125</v>
      </c>
      <c r="W2926" s="5">
        <f t="shared" si="910"/>
        <v>1.25</v>
      </c>
      <c r="X2926" s="5">
        <f t="shared" si="911"/>
        <v>0</v>
      </c>
      <c r="Y2926" s="5">
        <f t="shared" si="912"/>
        <v>0</v>
      </c>
      <c r="Z2926" s="5">
        <f t="shared" si="913"/>
        <v>0</v>
      </c>
      <c r="AA2926" s="5">
        <f t="shared" si="914"/>
        <v>0</v>
      </c>
      <c r="AB2926" s="5">
        <f t="shared" si="915"/>
        <v>2.375</v>
      </c>
    </row>
    <row r="2927" spans="4:28" x14ac:dyDescent="0.25">
      <c r="D2927" t="s">
        <v>100</v>
      </c>
      <c r="E2927" s="14"/>
      <c r="F2927" s="14"/>
      <c r="G2927">
        <f>IFERROR(HLOOKUP(G$2,[88]table_male_hkom3_inj.ill_X7!$A$1:$K$36,33,FALSE),0)</f>
        <v>0</v>
      </c>
      <c r="H2927">
        <f>IFERROR(HLOOKUP(H$2,[88]table_male_hkom3_inj.ill_X7!$A$1:$K$36,33,FALSE),0)</f>
        <v>0</v>
      </c>
      <c r="I2927">
        <f>IFERROR(HLOOKUP(I$2,[88]table_male_hkom3_inj.ill_X7!$A$1:$K$36,33,FALSE),0)</f>
        <v>0</v>
      </c>
      <c r="J2927">
        <f>IFERROR(HLOOKUP(J$2,[88]table_male_hkom3_inj.ill_X7!$A$1:$K$36,33,FALSE),0)</f>
        <v>0</v>
      </c>
      <c r="K2927">
        <f>IFERROR(HLOOKUP(K$2,[88]table_male_hkom3_inj.ill_X7!$A$1:$K$36,33,FALSE),0)</f>
        <v>0</v>
      </c>
      <c r="L2927">
        <f>IFERROR(HLOOKUP(L$2,[88]table_male_hkom3_inj.ill_X7!$A$1:$K$36,33,FALSE),0)</f>
        <v>0</v>
      </c>
      <c r="M2927">
        <f t="shared" si="906"/>
        <v>0</v>
      </c>
      <c r="S2927" t="s">
        <v>100</v>
      </c>
      <c r="T2927" s="5">
        <f t="shared" si="907"/>
        <v>0</v>
      </c>
      <c r="U2927" s="5">
        <f t="shared" si="908"/>
        <v>0</v>
      </c>
      <c r="V2927" s="5">
        <f t="shared" si="909"/>
        <v>0</v>
      </c>
      <c r="W2927" s="5">
        <f t="shared" si="910"/>
        <v>0</v>
      </c>
      <c r="X2927" s="5">
        <f t="shared" si="911"/>
        <v>0</v>
      </c>
      <c r="Y2927" s="5">
        <f t="shared" si="912"/>
        <v>0</v>
      </c>
      <c r="Z2927" s="5">
        <f t="shared" si="913"/>
        <v>0</v>
      </c>
      <c r="AA2927" s="5">
        <f t="shared" si="914"/>
        <v>0</v>
      </c>
      <c r="AB2927" s="5">
        <f t="shared" si="915"/>
        <v>0</v>
      </c>
    </row>
    <row r="2928" spans="4:28" x14ac:dyDescent="0.25">
      <c r="D2928" t="s">
        <v>101</v>
      </c>
      <c r="E2928" s="14"/>
      <c r="F2928" s="14"/>
      <c r="G2928">
        <f>IFERROR(HLOOKUP(G$2,[88]table_male_hkom3_inj.ill_X7!$A$1:$K$36,34,FALSE),0)</f>
        <v>1</v>
      </c>
      <c r="H2928">
        <f>IFERROR(HLOOKUP(H$2,[88]table_male_hkom3_inj.ill_X7!$A$1:$K$36,34,FALSE),0)</f>
        <v>0</v>
      </c>
      <c r="I2928">
        <f>IFERROR(HLOOKUP(I$2,[88]table_male_hkom3_inj.ill_X7!$A$1:$K$36,34,FALSE),0)</f>
        <v>0</v>
      </c>
      <c r="J2928">
        <f>IFERROR(HLOOKUP(J$2,[88]table_male_hkom3_inj.ill_X7!$A$1:$K$36,34,FALSE),0)</f>
        <v>0</v>
      </c>
      <c r="K2928">
        <f>IFERROR(HLOOKUP(K$2,[88]table_male_hkom3_inj.ill_X7!$A$1:$K$36,34,FALSE),0)</f>
        <v>0</v>
      </c>
      <c r="L2928">
        <f>IFERROR(HLOOKUP(L$2,[88]table_male_hkom3_inj.ill_X7!$A$1:$K$36,34,FALSE),0)</f>
        <v>0</v>
      </c>
      <c r="M2928">
        <f t="shared" si="906"/>
        <v>1</v>
      </c>
      <c r="S2928" t="s">
        <v>101</v>
      </c>
      <c r="T2928" s="5">
        <f t="shared" si="907"/>
        <v>0</v>
      </c>
      <c r="U2928" s="5">
        <f t="shared" si="908"/>
        <v>0</v>
      </c>
      <c r="V2928" s="5">
        <f t="shared" si="909"/>
        <v>1.125</v>
      </c>
      <c r="W2928" s="5">
        <f t="shared" si="910"/>
        <v>0</v>
      </c>
      <c r="X2928" s="5">
        <f t="shared" si="911"/>
        <v>0</v>
      </c>
      <c r="Y2928" s="5">
        <f t="shared" si="912"/>
        <v>0</v>
      </c>
      <c r="Z2928" s="5">
        <f t="shared" si="913"/>
        <v>0</v>
      </c>
      <c r="AA2928" s="5">
        <f t="shared" si="914"/>
        <v>0</v>
      </c>
      <c r="AB2928" s="5">
        <f t="shared" si="915"/>
        <v>1.125</v>
      </c>
    </row>
    <row r="2929" spans="1:29" x14ac:dyDescent="0.25">
      <c r="D2929" t="s">
        <v>102</v>
      </c>
      <c r="E2929" s="14"/>
      <c r="F2929" s="14"/>
      <c r="G2929">
        <f>IFERROR(HLOOKUP(G$2,[88]table_male_hkom3_inj.ill_X7!$A$1:$K$36,35,FALSE),0)</f>
        <v>1</v>
      </c>
      <c r="H2929">
        <f>IFERROR(HLOOKUP(H$2,[88]table_male_hkom3_inj.ill_X7!$A$1:$K$36,35,FALSE),0)</f>
        <v>1</v>
      </c>
      <c r="I2929">
        <f>IFERROR(HLOOKUP(I$2,[88]table_male_hkom3_inj.ill_X7!$A$1:$K$36,35,FALSE),0)</f>
        <v>1</v>
      </c>
      <c r="J2929">
        <f>IFERROR(HLOOKUP(J$2,[88]table_male_hkom3_inj.ill_X7!$A$1:$K$36,35,FALSE),0)</f>
        <v>0</v>
      </c>
      <c r="K2929">
        <f>IFERROR(HLOOKUP(K$2,[88]table_male_hkom3_inj.ill_X7!$A$1:$K$36,35,FALSE),0)</f>
        <v>0</v>
      </c>
      <c r="L2929">
        <f>IFERROR(HLOOKUP(L$2,[88]table_male_hkom3_inj.ill_X7!$A$1:$K$36,35,FALSE),0)</f>
        <v>0</v>
      </c>
      <c r="M2929">
        <f t="shared" si="906"/>
        <v>3</v>
      </c>
      <c r="N2929">
        <f>SUM(M2896:M2929)</f>
        <v>19</v>
      </c>
      <c r="O2929" s="8">
        <f>SUM([88]table_male_hkom3_inj.ill_X7!$B$2:$L$37)</f>
        <v>19</v>
      </c>
      <c r="S2929" t="s">
        <v>102</v>
      </c>
      <c r="T2929" s="7"/>
      <c r="U2929" s="7"/>
      <c r="V2929" s="7"/>
      <c r="W2929" s="7"/>
      <c r="X2929" s="7"/>
      <c r="Y2929" s="7"/>
      <c r="Z2929" s="7"/>
      <c r="AA2929" s="7"/>
      <c r="AB2929" s="5">
        <f t="shared" si="915"/>
        <v>0</v>
      </c>
      <c r="AC2929" s="5">
        <f>SUM(AB2896:AB2928)</f>
        <v>19</v>
      </c>
    </row>
    <row r="2930" spans="1:29" x14ac:dyDescent="0.25">
      <c r="A2930" t="s">
        <v>104</v>
      </c>
      <c r="B2930" t="s">
        <v>117</v>
      </c>
      <c r="C2930" t="s">
        <v>130</v>
      </c>
      <c r="D2930" t="s">
        <v>70</v>
      </c>
      <c r="E2930" s="14"/>
      <c r="F2930" s="14"/>
      <c r="G2930">
        <f>IFERROR(HLOOKUP(G$2,[89]table_male_hkom3_inj.ill_X8!$A$1:$K$36,2,FALSE),0)</f>
        <v>1</v>
      </c>
      <c r="H2930">
        <f>IFERROR(HLOOKUP(H$2,[89]table_male_hkom3_inj.ill_X8!$A$1:$K$36,2,FALSE),0)</f>
        <v>0</v>
      </c>
      <c r="I2930">
        <f>IFERROR(HLOOKUP(I$2,[89]table_male_hkom3_inj.ill_X8!$A$1:$K$36,2,FALSE),0)</f>
        <v>0</v>
      </c>
      <c r="J2930">
        <f>IFERROR(HLOOKUP(J$2,[89]table_male_hkom3_inj.ill_X8!$A$1:$K$36,2,FALSE),0)</f>
        <v>1</v>
      </c>
      <c r="K2930">
        <f>IFERROR(HLOOKUP(K$2,[89]table_male_hkom3_inj.ill_X8!$A$1:$K$36,2,FALSE),0)</f>
        <v>0</v>
      </c>
      <c r="L2930">
        <f>IFERROR(HLOOKUP(L$2,[89]table_male_hkom3_inj.ill_X8!$A$1:$K$36,2,FALSE),0)</f>
        <v>0</v>
      </c>
      <c r="M2930">
        <f>SUM(E2930:L2930)</f>
        <v>2</v>
      </c>
      <c r="P2930" t="s">
        <v>104</v>
      </c>
      <c r="Q2930" t="s">
        <v>117</v>
      </c>
      <c r="R2930" t="s">
        <v>130</v>
      </c>
      <c r="S2930" t="s">
        <v>70</v>
      </c>
      <c r="T2930" s="5">
        <f>IF(SUM(E$2930:E$2962)=0,E$2963/33,E2930+IFERROR(E2930/SUM(E$2930:E$2962)*E$2963,0))</f>
        <v>0</v>
      </c>
      <c r="U2930" s="5">
        <f t="shared" ref="U2930:AA2930" si="916">IF(SUM(F$2930:F$2962)=0,F$2963/33,F2930+IFERROR(F2930/SUM(F$2930:F$2962)*F$2963,0))</f>
        <v>0</v>
      </c>
      <c r="V2930" s="5">
        <f t="shared" si="916"/>
        <v>1.2</v>
      </c>
      <c r="W2930" s="5">
        <f t="shared" si="916"/>
        <v>0</v>
      </c>
      <c r="X2930" s="5">
        <f t="shared" si="916"/>
        <v>0</v>
      </c>
      <c r="Y2930" s="5">
        <f t="shared" si="916"/>
        <v>1</v>
      </c>
      <c r="Z2930" s="5">
        <f t="shared" si="916"/>
        <v>0</v>
      </c>
      <c r="AA2930" s="5">
        <f t="shared" si="916"/>
        <v>0</v>
      </c>
      <c r="AB2930" s="5">
        <f t="shared" si="915"/>
        <v>2.2000000000000002</v>
      </c>
    </row>
    <row r="2931" spans="1:29" x14ac:dyDescent="0.25">
      <c r="D2931" t="s">
        <v>71</v>
      </c>
      <c r="E2931" s="14"/>
      <c r="F2931" s="14"/>
      <c r="G2931">
        <f>IFERROR(HLOOKUP(G$2,[89]table_male_hkom3_inj.ill_X8!$A$1:$K$36,3,FALSE),0)</f>
        <v>0</v>
      </c>
      <c r="H2931">
        <f>IFERROR(HLOOKUP(H$2,[89]table_male_hkom3_inj.ill_X8!$A$1:$K$36,3,FALSE),0)</f>
        <v>0</v>
      </c>
      <c r="I2931">
        <f>IFERROR(HLOOKUP(I$2,[89]table_male_hkom3_inj.ill_X8!$A$1:$K$36,3,FALSE),0)</f>
        <v>0</v>
      </c>
      <c r="J2931">
        <f>IFERROR(HLOOKUP(J$2,[89]table_male_hkom3_inj.ill_X8!$A$1:$K$36,3,FALSE),0)</f>
        <v>0</v>
      </c>
      <c r="K2931">
        <f>IFERROR(HLOOKUP(K$2,[89]table_male_hkom3_inj.ill_X8!$A$1:$K$36,3,FALSE),0)</f>
        <v>0</v>
      </c>
      <c r="L2931">
        <f>IFERROR(HLOOKUP(L$2,[89]table_male_hkom3_inj.ill_X8!$A$1:$K$36,3,FALSE),0)</f>
        <v>0</v>
      </c>
      <c r="M2931">
        <f t="shared" ref="M2931:M2963" si="917">SUM(E2931:L2931)</f>
        <v>0</v>
      </c>
      <c r="S2931" t="s">
        <v>71</v>
      </c>
      <c r="T2931" s="5">
        <f t="shared" ref="T2931:T2962" si="918">IF(SUM(E$2930:E$2962)=0,E$2963/33,E2931+IFERROR(E2931/SUM(E$2930:E$2962)*E$2963,0))</f>
        <v>0</v>
      </c>
      <c r="U2931" s="5">
        <f t="shared" ref="U2931:U2962" si="919">IF(SUM(F$2930:F$2962)=0,F$2963/33,F2931+IFERROR(F2931/SUM(F$2930:F$2962)*F$2963,0))</f>
        <v>0</v>
      </c>
      <c r="V2931" s="5">
        <f t="shared" ref="V2931:V2962" si="920">IF(SUM(G$2930:G$2962)=0,G$2963/33,G2931+IFERROR(G2931/SUM(G$2930:G$2962)*G$2963,0))</f>
        <v>0</v>
      </c>
      <c r="W2931" s="5">
        <f t="shared" ref="W2931:W2962" si="921">IF(SUM(H$2930:H$2962)=0,H$2963/33,H2931+IFERROR(H2931/SUM(H$2930:H$2962)*H$2963,0))</f>
        <v>0</v>
      </c>
      <c r="X2931" s="5">
        <f t="shared" ref="X2931:X2962" si="922">IF(SUM(I$2930:I$2962)=0,I$2963/33,I2931+IFERROR(I2931/SUM(I$2930:I$2962)*I$2963,0))</f>
        <v>0</v>
      </c>
      <c r="Y2931" s="5">
        <f t="shared" ref="Y2931:Y2962" si="923">IF(SUM(J$2930:J$2962)=0,J$2963/33,J2931+IFERROR(J2931/SUM(J$2930:J$2962)*J$2963,0))</f>
        <v>0</v>
      </c>
      <c r="Z2931" s="5">
        <f t="shared" ref="Z2931:Z2962" si="924">IF(SUM(K$2930:K$2962)=0,K$2963/33,K2931+IFERROR(K2931/SUM(K$2930:K$2962)*K$2963,0))</f>
        <v>0</v>
      </c>
      <c r="AA2931" s="5">
        <f t="shared" ref="AA2931:AA2962" si="925">IF(SUM(L$2930:L$2962)=0,L$2963/33,L2931+IFERROR(L2931/SUM(L$2930:L$2962)*L$2963,0))</f>
        <v>0</v>
      </c>
      <c r="AB2931" s="5">
        <f t="shared" si="915"/>
        <v>0</v>
      </c>
    </row>
    <row r="2932" spans="1:29" x14ac:dyDescent="0.25">
      <c r="D2932" t="s">
        <v>72</v>
      </c>
      <c r="E2932" s="14"/>
      <c r="F2932" s="14"/>
      <c r="G2932">
        <f>IFERROR(HLOOKUP(G$2,[89]table_male_hkom3_inj.ill_X8!$A$1:$K$36,4,FALSE),0)</f>
        <v>0</v>
      </c>
      <c r="H2932">
        <f>IFERROR(HLOOKUP(H$2,[89]table_male_hkom3_inj.ill_X8!$A$1:$K$36,4,FALSE),0)</f>
        <v>0</v>
      </c>
      <c r="I2932">
        <f>IFERROR(HLOOKUP(I$2,[89]table_male_hkom3_inj.ill_X8!$A$1:$K$36,4,FALSE),0)</f>
        <v>0</v>
      </c>
      <c r="J2932">
        <f>IFERROR(HLOOKUP(J$2,[89]table_male_hkom3_inj.ill_X8!$A$1:$K$36,4,FALSE),0)</f>
        <v>0</v>
      </c>
      <c r="K2932">
        <f>IFERROR(HLOOKUP(K$2,[89]table_male_hkom3_inj.ill_X8!$A$1:$K$36,4,FALSE),0)</f>
        <v>0</v>
      </c>
      <c r="L2932">
        <f>IFERROR(HLOOKUP(L$2,[89]table_male_hkom3_inj.ill_X8!$A$1:$K$36,4,FALSE),0)</f>
        <v>0</v>
      </c>
      <c r="M2932">
        <f t="shared" si="917"/>
        <v>0</v>
      </c>
      <c r="S2932" t="s">
        <v>72</v>
      </c>
      <c r="T2932" s="5">
        <f t="shared" si="918"/>
        <v>0</v>
      </c>
      <c r="U2932" s="5">
        <f t="shared" si="919"/>
        <v>0</v>
      </c>
      <c r="V2932" s="5">
        <f t="shared" si="920"/>
        <v>0</v>
      </c>
      <c r="W2932" s="5">
        <f t="shared" si="921"/>
        <v>0</v>
      </c>
      <c r="X2932" s="5">
        <f t="shared" si="922"/>
        <v>0</v>
      </c>
      <c r="Y2932" s="5">
        <f t="shared" si="923"/>
        <v>0</v>
      </c>
      <c r="Z2932" s="5">
        <f t="shared" si="924"/>
        <v>0</v>
      </c>
      <c r="AA2932" s="5">
        <f t="shared" si="925"/>
        <v>0</v>
      </c>
      <c r="AB2932" s="5">
        <f t="shared" si="915"/>
        <v>0</v>
      </c>
    </row>
    <row r="2933" spans="1:29" x14ac:dyDescent="0.25">
      <c r="D2933" t="s">
        <v>73</v>
      </c>
      <c r="E2933" s="14"/>
      <c r="F2933" s="14"/>
      <c r="G2933">
        <f>IFERROR(HLOOKUP(G$2,[89]table_male_hkom3_inj.ill_X8!$A$1:$K$36,5,FALSE),0)</f>
        <v>0</v>
      </c>
      <c r="H2933">
        <f>IFERROR(HLOOKUP(H$2,[89]table_male_hkom3_inj.ill_X8!$A$1:$K$36,5,FALSE),0)</f>
        <v>0</v>
      </c>
      <c r="I2933">
        <f>IFERROR(HLOOKUP(I$2,[89]table_male_hkom3_inj.ill_X8!$A$1:$K$36,5,FALSE),0)</f>
        <v>1</v>
      </c>
      <c r="J2933">
        <f>IFERROR(HLOOKUP(J$2,[89]table_male_hkom3_inj.ill_X8!$A$1:$K$36,5,FALSE),0)</f>
        <v>0</v>
      </c>
      <c r="K2933">
        <f>IFERROR(HLOOKUP(K$2,[89]table_male_hkom3_inj.ill_X8!$A$1:$K$36,5,FALSE),0)</f>
        <v>0</v>
      </c>
      <c r="L2933">
        <f>IFERROR(HLOOKUP(L$2,[89]table_male_hkom3_inj.ill_X8!$A$1:$K$36,5,FALSE),0)</f>
        <v>0</v>
      </c>
      <c r="M2933">
        <f t="shared" si="917"/>
        <v>1</v>
      </c>
      <c r="S2933" t="s">
        <v>73</v>
      </c>
      <c r="T2933" s="5">
        <f t="shared" si="918"/>
        <v>0</v>
      </c>
      <c r="U2933" s="5">
        <f t="shared" si="919"/>
        <v>0</v>
      </c>
      <c r="V2933" s="5">
        <f t="shared" si="920"/>
        <v>0</v>
      </c>
      <c r="W2933" s="5">
        <f t="shared" si="921"/>
        <v>0</v>
      </c>
      <c r="X2933" s="5">
        <f t="shared" si="922"/>
        <v>1.1111111111111112</v>
      </c>
      <c r="Y2933" s="5">
        <f t="shared" si="923"/>
        <v>0</v>
      </c>
      <c r="Z2933" s="5">
        <f t="shared" si="924"/>
        <v>0</v>
      </c>
      <c r="AA2933" s="5">
        <f t="shared" si="925"/>
        <v>0</v>
      </c>
      <c r="AB2933" s="5">
        <f t="shared" si="915"/>
        <v>1.1111111111111112</v>
      </c>
    </row>
    <row r="2934" spans="1:29" x14ac:dyDescent="0.25">
      <c r="D2934" t="s">
        <v>74</v>
      </c>
      <c r="E2934" s="14"/>
      <c r="F2934" s="14"/>
      <c r="G2934">
        <f>IFERROR(HLOOKUP(G$2,[89]table_male_hkom3_inj.ill_X8!$A$1:$K$36,6,FALSE),0)</f>
        <v>0</v>
      </c>
      <c r="H2934">
        <f>IFERROR(HLOOKUP(H$2,[89]table_male_hkom3_inj.ill_X8!$A$1:$K$36,6,FALSE),0)</f>
        <v>0</v>
      </c>
      <c r="I2934">
        <f>IFERROR(HLOOKUP(I$2,[89]table_male_hkom3_inj.ill_X8!$A$1:$K$36,6,FALSE),0)</f>
        <v>0</v>
      </c>
      <c r="J2934">
        <f>IFERROR(HLOOKUP(J$2,[89]table_male_hkom3_inj.ill_X8!$A$1:$K$36,6,FALSE),0)</f>
        <v>0</v>
      </c>
      <c r="K2934">
        <f>IFERROR(HLOOKUP(K$2,[89]table_male_hkom3_inj.ill_X8!$A$1:$K$36,6,FALSE),0)</f>
        <v>0</v>
      </c>
      <c r="L2934">
        <f>IFERROR(HLOOKUP(L$2,[89]table_male_hkom3_inj.ill_X8!$A$1:$K$36,6,FALSE),0)</f>
        <v>0</v>
      </c>
      <c r="M2934">
        <f t="shared" si="917"/>
        <v>0</v>
      </c>
      <c r="S2934" t="s">
        <v>74</v>
      </c>
      <c r="T2934" s="5">
        <f t="shared" si="918"/>
        <v>0</v>
      </c>
      <c r="U2934" s="5">
        <f t="shared" si="919"/>
        <v>0</v>
      </c>
      <c r="V2934" s="5">
        <f t="shared" si="920"/>
        <v>0</v>
      </c>
      <c r="W2934" s="5">
        <f t="shared" si="921"/>
        <v>0</v>
      </c>
      <c r="X2934" s="5">
        <f t="shared" si="922"/>
        <v>0</v>
      </c>
      <c r="Y2934" s="5">
        <f t="shared" si="923"/>
        <v>0</v>
      </c>
      <c r="Z2934" s="5">
        <f t="shared" si="924"/>
        <v>0</v>
      </c>
      <c r="AA2934" s="5">
        <f t="shared" si="925"/>
        <v>0</v>
      </c>
      <c r="AB2934" s="5">
        <f t="shared" si="915"/>
        <v>0</v>
      </c>
    </row>
    <row r="2935" spans="1:29" x14ac:dyDescent="0.25">
      <c r="D2935" t="s">
        <v>75</v>
      </c>
      <c r="E2935" s="14"/>
      <c r="F2935" s="14"/>
      <c r="G2935">
        <f>IFERROR(HLOOKUP(G$2,[89]table_male_hkom3_inj.ill_X8!$A$1:$K$36,7,FALSE),0)</f>
        <v>0</v>
      </c>
      <c r="H2935">
        <f>IFERROR(HLOOKUP(H$2,[89]table_male_hkom3_inj.ill_X8!$A$1:$K$36,7,FALSE),0)</f>
        <v>0</v>
      </c>
      <c r="I2935">
        <f>IFERROR(HLOOKUP(I$2,[89]table_male_hkom3_inj.ill_X8!$A$1:$K$36,7,FALSE),0)</f>
        <v>0</v>
      </c>
      <c r="J2935">
        <f>IFERROR(HLOOKUP(J$2,[89]table_male_hkom3_inj.ill_X8!$A$1:$K$36,7,FALSE),0)</f>
        <v>0</v>
      </c>
      <c r="K2935">
        <f>IFERROR(HLOOKUP(K$2,[89]table_male_hkom3_inj.ill_X8!$A$1:$K$36,7,FALSE),0)</f>
        <v>0</v>
      </c>
      <c r="L2935">
        <f>IFERROR(HLOOKUP(L$2,[89]table_male_hkom3_inj.ill_X8!$A$1:$K$36,7,FALSE),0)</f>
        <v>0</v>
      </c>
      <c r="M2935">
        <f t="shared" si="917"/>
        <v>0</v>
      </c>
      <c r="S2935" t="s">
        <v>75</v>
      </c>
      <c r="T2935" s="5">
        <f t="shared" si="918"/>
        <v>0</v>
      </c>
      <c r="U2935" s="5">
        <f t="shared" si="919"/>
        <v>0</v>
      </c>
      <c r="V2935" s="5">
        <f t="shared" si="920"/>
        <v>0</v>
      </c>
      <c r="W2935" s="5">
        <f t="shared" si="921"/>
        <v>0</v>
      </c>
      <c r="X2935" s="5">
        <f t="shared" si="922"/>
        <v>0</v>
      </c>
      <c r="Y2935" s="5">
        <f t="shared" si="923"/>
        <v>0</v>
      </c>
      <c r="Z2935" s="5">
        <f t="shared" si="924"/>
        <v>0</v>
      </c>
      <c r="AA2935" s="5">
        <f t="shared" si="925"/>
        <v>0</v>
      </c>
      <c r="AB2935" s="5">
        <f t="shared" si="915"/>
        <v>0</v>
      </c>
    </row>
    <row r="2936" spans="1:29" x14ac:dyDescent="0.25">
      <c r="D2936" t="s">
        <v>76</v>
      </c>
      <c r="E2936" s="14"/>
      <c r="F2936" s="14"/>
      <c r="G2936">
        <f>IFERROR(HLOOKUP(G$2,[89]table_male_hkom3_inj.ill_X8!$A$1:$K$36,8,FALSE),0)</f>
        <v>0</v>
      </c>
      <c r="H2936">
        <f>IFERROR(HLOOKUP(H$2,[89]table_male_hkom3_inj.ill_X8!$A$1:$K$36,8,FALSE),0)</f>
        <v>0</v>
      </c>
      <c r="I2936">
        <f>IFERROR(HLOOKUP(I$2,[89]table_male_hkom3_inj.ill_X8!$A$1:$K$36,8,FALSE),0)</f>
        <v>1</v>
      </c>
      <c r="J2936">
        <f>IFERROR(HLOOKUP(J$2,[89]table_male_hkom3_inj.ill_X8!$A$1:$K$36,8,FALSE),0)</f>
        <v>0</v>
      </c>
      <c r="K2936">
        <f>IFERROR(HLOOKUP(K$2,[89]table_male_hkom3_inj.ill_X8!$A$1:$K$36,8,FALSE),0)</f>
        <v>0</v>
      </c>
      <c r="L2936">
        <f>IFERROR(HLOOKUP(L$2,[89]table_male_hkom3_inj.ill_X8!$A$1:$K$36,8,FALSE),0)</f>
        <v>0</v>
      </c>
      <c r="M2936">
        <f t="shared" si="917"/>
        <v>1</v>
      </c>
      <c r="S2936" t="s">
        <v>76</v>
      </c>
      <c r="T2936" s="5">
        <f t="shared" si="918"/>
        <v>0</v>
      </c>
      <c r="U2936" s="5">
        <f t="shared" si="919"/>
        <v>0</v>
      </c>
      <c r="V2936" s="5">
        <f t="shared" si="920"/>
        <v>0</v>
      </c>
      <c r="W2936" s="5">
        <f t="shared" si="921"/>
        <v>0</v>
      </c>
      <c r="X2936" s="5">
        <f t="shared" si="922"/>
        <v>1.1111111111111112</v>
      </c>
      <c r="Y2936" s="5">
        <f t="shared" si="923"/>
        <v>0</v>
      </c>
      <c r="Z2936" s="5">
        <f t="shared" si="924"/>
        <v>0</v>
      </c>
      <c r="AA2936" s="5">
        <f t="shared" si="925"/>
        <v>0</v>
      </c>
      <c r="AB2936" s="5">
        <f t="shared" si="915"/>
        <v>1.1111111111111112</v>
      </c>
    </row>
    <row r="2937" spans="1:29" x14ac:dyDescent="0.25">
      <c r="D2937" t="s">
        <v>77</v>
      </c>
      <c r="E2937" s="14"/>
      <c r="F2937" s="14"/>
      <c r="G2937">
        <f>IFERROR(HLOOKUP(G$2,[89]table_male_hkom3_inj.ill_X8!$A$1:$K$36,9,FALSE),0)</f>
        <v>0</v>
      </c>
      <c r="H2937">
        <f>IFERROR(HLOOKUP(H$2,[89]table_male_hkom3_inj.ill_X8!$A$1:$K$36,9,FALSE),0)</f>
        <v>0</v>
      </c>
      <c r="I2937">
        <f>IFERROR(HLOOKUP(I$2,[89]table_male_hkom3_inj.ill_X8!$A$1:$K$36,9,FALSE),0)</f>
        <v>0</v>
      </c>
      <c r="J2937">
        <f>IFERROR(HLOOKUP(J$2,[89]table_male_hkom3_inj.ill_X8!$A$1:$K$36,9,FALSE),0)</f>
        <v>0</v>
      </c>
      <c r="K2937">
        <f>IFERROR(HLOOKUP(K$2,[89]table_male_hkom3_inj.ill_X8!$A$1:$K$36,9,FALSE),0)</f>
        <v>0</v>
      </c>
      <c r="L2937">
        <f>IFERROR(HLOOKUP(L$2,[89]table_male_hkom3_inj.ill_X8!$A$1:$K$36,9,FALSE),0)</f>
        <v>0</v>
      </c>
      <c r="M2937">
        <f t="shared" si="917"/>
        <v>0</v>
      </c>
      <c r="S2937" t="s">
        <v>77</v>
      </c>
      <c r="T2937" s="5">
        <f t="shared" si="918"/>
        <v>0</v>
      </c>
      <c r="U2937" s="5">
        <f t="shared" si="919"/>
        <v>0</v>
      </c>
      <c r="V2937" s="5">
        <f t="shared" si="920"/>
        <v>0</v>
      </c>
      <c r="W2937" s="5">
        <f t="shared" si="921"/>
        <v>0</v>
      </c>
      <c r="X2937" s="5">
        <f t="shared" si="922"/>
        <v>0</v>
      </c>
      <c r="Y2937" s="5">
        <f t="shared" si="923"/>
        <v>0</v>
      </c>
      <c r="Z2937" s="5">
        <f t="shared" si="924"/>
        <v>0</v>
      </c>
      <c r="AA2937" s="5">
        <f t="shared" si="925"/>
        <v>0</v>
      </c>
      <c r="AB2937" s="5">
        <f t="shared" si="915"/>
        <v>0</v>
      </c>
    </row>
    <row r="2938" spans="1:29" x14ac:dyDescent="0.25">
      <c r="D2938" t="s">
        <v>78</v>
      </c>
      <c r="E2938" s="14"/>
      <c r="F2938" s="14"/>
      <c r="G2938">
        <f>IFERROR(HLOOKUP(G$2,[89]table_male_hkom3_inj.ill_X8!$A$1:$K$36,10,FALSE),0)</f>
        <v>0</v>
      </c>
      <c r="H2938">
        <f>IFERROR(HLOOKUP(H$2,[89]table_male_hkom3_inj.ill_X8!$A$1:$K$36,10,FALSE),0)</f>
        <v>0</v>
      </c>
      <c r="I2938">
        <f>IFERROR(HLOOKUP(I$2,[89]table_male_hkom3_inj.ill_X8!$A$1:$K$36,10,FALSE),0)</f>
        <v>0</v>
      </c>
      <c r="J2938">
        <f>IFERROR(HLOOKUP(J$2,[89]table_male_hkom3_inj.ill_X8!$A$1:$K$36,10,FALSE),0)</f>
        <v>0</v>
      </c>
      <c r="K2938">
        <f>IFERROR(HLOOKUP(K$2,[89]table_male_hkom3_inj.ill_X8!$A$1:$K$36,10,FALSE),0)</f>
        <v>0</v>
      </c>
      <c r="L2938">
        <f>IFERROR(HLOOKUP(L$2,[89]table_male_hkom3_inj.ill_X8!$A$1:$K$36,10,FALSE),0)</f>
        <v>0</v>
      </c>
      <c r="M2938">
        <f t="shared" si="917"/>
        <v>0</v>
      </c>
      <c r="S2938" t="s">
        <v>78</v>
      </c>
      <c r="T2938" s="5">
        <f t="shared" si="918"/>
        <v>0</v>
      </c>
      <c r="U2938" s="5">
        <f t="shared" si="919"/>
        <v>0</v>
      </c>
      <c r="V2938" s="5">
        <f t="shared" si="920"/>
        <v>0</v>
      </c>
      <c r="W2938" s="5">
        <f t="shared" si="921"/>
        <v>0</v>
      </c>
      <c r="X2938" s="5">
        <f t="shared" si="922"/>
        <v>0</v>
      </c>
      <c r="Y2938" s="5">
        <f t="shared" si="923"/>
        <v>0</v>
      </c>
      <c r="Z2938" s="5">
        <f t="shared" si="924"/>
        <v>0</v>
      </c>
      <c r="AA2938" s="5">
        <f t="shared" si="925"/>
        <v>0</v>
      </c>
      <c r="AB2938" s="5">
        <f t="shared" si="915"/>
        <v>0</v>
      </c>
    </row>
    <row r="2939" spans="1:29" x14ac:dyDescent="0.25">
      <c r="D2939" t="s">
        <v>79</v>
      </c>
      <c r="E2939" s="14"/>
      <c r="F2939" s="14"/>
      <c r="G2939">
        <f>IFERROR(HLOOKUP(G$2,[89]table_male_hkom3_inj.ill_X8!$A$1:$K$36,11,FALSE),0)</f>
        <v>0</v>
      </c>
      <c r="H2939">
        <f>IFERROR(HLOOKUP(H$2,[89]table_male_hkom3_inj.ill_X8!$A$1:$K$36,11,FALSE),0)</f>
        <v>0</v>
      </c>
      <c r="I2939">
        <f>IFERROR(HLOOKUP(I$2,[89]table_male_hkom3_inj.ill_X8!$A$1:$K$36,11,FALSE),0)</f>
        <v>0</v>
      </c>
      <c r="J2939">
        <f>IFERROR(HLOOKUP(J$2,[89]table_male_hkom3_inj.ill_X8!$A$1:$K$36,11,FALSE),0)</f>
        <v>0</v>
      </c>
      <c r="K2939">
        <f>IFERROR(HLOOKUP(K$2,[89]table_male_hkom3_inj.ill_X8!$A$1:$K$36,11,FALSE),0)</f>
        <v>0</v>
      </c>
      <c r="L2939">
        <f>IFERROR(HLOOKUP(L$2,[89]table_male_hkom3_inj.ill_X8!$A$1:$K$36,11,FALSE),0)</f>
        <v>0</v>
      </c>
      <c r="M2939">
        <f t="shared" si="917"/>
        <v>0</v>
      </c>
      <c r="S2939" t="s">
        <v>79</v>
      </c>
      <c r="T2939" s="5">
        <f t="shared" si="918"/>
        <v>0</v>
      </c>
      <c r="U2939" s="5">
        <f t="shared" si="919"/>
        <v>0</v>
      </c>
      <c r="V2939" s="5">
        <f t="shared" si="920"/>
        <v>0</v>
      </c>
      <c r="W2939" s="5">
        <f t="shared" si="921"/>
        <v>0</v>
      </c>
      <c r="X2939" s="5">
        <f t="shared" si="922"/>
        <v>0</v>
      </c>
      <c r="Y2939" s="5">
        <f t="shared" si="923"/>
        <v>0</v>
      </c>
      <c r="Z2939" s="5">
        <f t="shared" si="924"/>
        <v>0</v>
      </c>
      <c r="AA2939" s="5">
        <f t="shared" si="925"/>
        <v>0</v>
      </c>
      <c r="AB2939" s="5">
        <f t="shared" si="915"/>
        <v>0</v>
      </c>
    </row>
    <row r="2940" spans="1:29" x14ac:dyDescent="0.25">
      <c r="D2940" t="s">
        <v>80</v>
      </c>
      <c r="E2940" s="14"/>
      <c r="F2940" s="14"/>
      <c r="G2940">
        <f>IFERROR(HLOOKUP(G$2,[89]table_male_hkom3_inj.ill_X8!$A$1:$K$36,12,FALSE),0)</f>
        <v>0</v>
      </c>
      <c r="H2940">
        <f>IFERROR(HLOOKUP(H$2,[89]table_male_hkom3_inj.ill_X8!$A$1:$K$36,12,FALSE),0)</f>
        <v>0</v>
      </c>
      <c r="I2940">
        <f>IFERROR(HLOOKUP(I$2,[89]table_male_hkom3_inj.ill_X8!$A$1:$K$36,12,FALSE),0)</f>
        <v>0</v>
      </c>
      <c r="J2940">
        <f>IFERROR(HLOOKUP(J$2,[89]table_male_hkom3_inj.ill_X8!$A$1:$K$36,12,FALSE),0)</f>
        <v>0</v>
      </c>
      <c r="K2940">
        <f>IFERROR(HLOOKUP(K$2,[89]table_male_hkom3_inj.ill_X8!$A$1:$K$36,12,FALSE),0)</f>
        <v>0</v>
      </c>
      <c r="L2940">
        <f>IFERROR(HLOOKUP(L$2,[89]table_male_hkom3_inj.ill_X8!$A$1:$K$36,12,FALSE),0)</f>
        <v>0</v>
      </c>
      <c r="M2940">
        <f t="shared" si="917"/>
        <v>0</v>
      </c>
      <c r="S2940" t="s">
        <v>80</v>
      </c>
      <c r="T2940" s="5">
        <f t="shared" si="918"/>
        <v>0</v>
      </c>
      <c r="U2940" s="5">
        <f t="shared" si="919"/>
        <v>0</v>
      </c>
      <c r="V2940" s="5">
        <f t="shared" si="920"/>
        <v>0</v>
      </c>
      <c r="W2940" s="5">
        <f t="shared" si="921"/>
        <v>0</v>
      </c>
      <c r="X2940" s="5">
        <f t="shared" si="922"/>
        <v>0</v>
      </c>
      <c r="Y2940" s="5">
        <f t="shared" si="923"/>
        <v>0</v>
      </c>
      <c r="Z2940" s="5">
        <f t="shared" si="924"/>
        <v>0</v>
      </c>
      <c r="AA2940" s="5">
        <f t="shared" si="925"/>
        <v>0</v>
      </c>
      <c r="AB2940" s="5">
        <f t="shared" si="915"/>
        <v>0</v>
      </c>
    </row>
    <row r="2941" spans="1:29" x14ac:dyDescent="0.25">
      <c r="D2941" t="s">
        <v>81</v>
      </c>
      <c r="E2941" s="14"/>
      <c r="F2941" s="14"/>
      <c r="G2941">
        <f>IFERROR(HLOOKUP(G$2,[89]table_male_hkom3_inj.ill_X8!$A$1:$K$36,13,FALSE),0)</f>
        <v>0</v>
      </c>
      <c r="H2941">
        <f>IFERROR(HLOOKUP(H$2,[89]table_male_hkom3_inj.ill_X8!$A$1:$K$36,13,FALSE),0)</f>
        <v>0</v>
      </c>
      <c r="I2941">
        <f>IFERROR(HLOOKUP(I$2,[89]table_male_hkom3_inj.ill_X8!$A$1:$K$36,13,FALSE),0)</f>
        <v>0</v>
      </c>
      <c r="J2941">
        <f>IFERROR(HLOOKUP(J$2,[89]table_male_hkom3_inj.ill_X8!$A$1:$K$36,13,FALSE),0)</f>
        <v>0</v>
      </c>
      <c r="K2941">
        <f>IFERROR(HLOOKUP(K$2,[89]table_male_hkom3_inj.ill_X8!$A$1:$K$36,13,FALSE),0)</f>
        <v>0</v>
      </c>
      <c r="L2941">
        <f>IFERROR(HLOOKUP(L$2,[89]table_male_hkom3_inj.ill_X8!$A$1:$K$36,13,FALSE),0)</f>
        <v>0</v>
      </c>
      <c r="M2941">
        <f t="shared" si="917"/>
        <v>0</v>
      </c>
      <c r="S2941" t="s">
        <v>81</v>
      </c>
      <c r="T2941" s="5">
        <f t="shared" si="918"/>
        <v>0</v>
      </c>
      <c r="U2941" s="5">
        <f t="shared" si="919"/>
        <v>0</v>
      </c>
      <c r="V2941" s="5">
        <f t="shared" si="920"/>
        <v>0</v>
      </c>
      <c r="W2941" s="5">
        <f t="shared" si="921"/>
        <v>0</v>
      </c>
      <c r="X2941" s="5">
        <f t="shared" si="922"/>
        <v>0</v>
      </c>
      <c r="Y2941" s="5">
        <f t="shared" si="923"/>
        <v>0</v>
      </c>
      <c r="Z2941" s="5">
        <f t="shared" si="924"/>
        <v>0</v>
      </c>
      <c r="AA2941" s="5">
        <f t="shared" si="925"/>
        <v>0</v>
      </c>
      <c r="AB2941" s="5">
        <f t="shared" si="915"/>
        <v>0</v>
      </c>
    </row>
    <row r="2942" spans="1:29" x14ac:dyDescent="0.25">
      <c r="D2942" t="s">
        <v>82</v>
      </c>
      <c r="E2942" s="14"/>
      <c r="F2942" s="14"/>
      <c r="G2942">
        <f>IFERROR(HLOOKUP(G$2,[89]table_male_hkom3_inj.ill_X8!$A$1:$K$36,14,FALSE),0)</f>
        <v>1</v>
      </c>
      <c r="H2942">
        <f>IFERROR(HLOOKUP(H$2,[89]table_male_hkom3_inj.ill_X8!$A$1:$K$36,14,FALSE),0)</f>
        <v>0</v>
      </c>
      <c r="I2942">
        <f>IFERROR(HLOOKUP(I$2,[89]table_male_hkom3_inj.ill_X8!$A$1:$K$36,14,FALSE),0)</f>
        <v>0</v>
      </c>
      <c r="J2942">
        <f>IFERROR(HLOOKUP(J$2,[89]table_male_hkom3_inj.ill_X8!$A$1:$K$36,14,FALSE),0)</f>
        <v>0</v>
      </c>
      <c r="K2942">
        <f>IFERROR(HLOOKUP(K$2,[89]table_male_hkom3_inj.ill_X8!$A$1:$K$36,14,FALSE),0)</f>
        <v>0</v>
      </c>
      <c r="L2942">
        <f>IFERROR(HLOOKUP(L$2,[89]table_male_hkom3_inj.ill_X8!$A$1:$K$36,14,FALSE),0)</f>
        <v>0</v>
      </c>
      <c r="M2942">
        <f t="shared" si="917"/>
        <v>1</v>
      </c>
      <c r="S2942" t="s">
        <v>82</v>
      </c>
      <c r="T2942" s="5">
        <f t="shared" si="918"/>
        <v>0</v>
      </c>
      <c r="U2942" s="5">
        <f t="shared" si="919"/>
        <v>0</v>
      </c>
      <c r="V2942" s="5">
        <f t="shared" si="920"/>
        <v>1.2</v>
      </c>
      <c r="W2942" s="5">
        <f t="shared" si="921"/>
        <v>0</v>
      </c>
      <c r="X2942" s="5">
        <f t="shared" si="922"/>
        <v>0</v>
      </c>
      <c r="Y2942" s="5">
        <f t="shared" si="923"/>
        <v>0</v>
      </c>
      <c r="Z2942" s="5">
        <f t="shared" si="924"/>
        <v>0</v>
      </c>
      <c r="AA2942" s="5">
        <f t="shared" si="925"/>
        <v>0</v>
      </c>
      <c r="AB2942" s="5">
        <f t="shared" si="915"/>
        <v>1.2</v>
      </c>
    </row>
    <row r="2943" spans="1:29" x14ac:dyDescent="0.25">
      <c r="D2943" t="s">
        <v>83</v>
      </c>
      <c r="E2943" s="14"/>
      <c r="F2943" s="14"/>
      <c r="G2943">
        <f>IFERROR(HLOOKUP(G$2,[89]table_male_hkom3_inj.ill_X8!$A$1:$K$36,15,FALSE),0)</f>
        <v>0</v>
      </c>
      <c r="H2943">
        <f>IFERROR(HLOOKUP(H$2,[89]table_male_hkom3_inj.ill_X8!$A$1:$K$36,15,FALSE),0)</f>
        <v>0</v>
      </c>
      <c r="I2943">
        <f>IFERROR(HLOOKUP(I$2,[89]table_male_hkom3_inj.ill_X8!$A$1:$K$36,15,FALSE),0)</f>
        <v>0</v>
      </c>
      <c r="J2943">
        <f>IFERROR(HLOOKUP(J$2,[89]table_male_hkom3_inj.ill_X8!$A$1:$K$36,15,FALSE),0)</f>
        <v>0</v>
      </c>
      <c r="K2943">
        <f>IFERROR(HLOOKUP(K$2,[89]table_male_hkom3_inj.ill_X8!$A$1:$K$36,15,FALSE),0)</f>
        <v>0</v>
      </c>
      <c r="L2943">
        <f>IFERROR(HLOOKUP(L$2,[89]table_male_hkom3_inj.ill_X8!$A$1:$K$36,15,FALSE),0)</f>
        <v>0</v>
      </c>
      <c r="M2943">
        <f t="shared" si="917"/>
        <v>0</v>
      </c>
      <c r="S2943" t="s">
        <v>83</v>
      </c>
      <c r="T2943" s="5">
        <f t="shared" si="918"/>
        <v>0</v>
      </c>
      <c r="U2943" s="5">
        <f t="shared" si="919"/>
        <v>0</v>
      </c>
      <c r="V2943" s="5">
        <f t="shared" si="920"/>
        <v>0</v>
      </c>
      <c r="W2943" s="5">
        <f t="shared" si="921"/>
        <v>0</v>
      </c>
      <c r="X2943" s="5">
        <f t="shared" si="922"/>
        <v>0</v>
      </c>
      <c r="Y2943" s="5">
        <f t="shared" si="923"/>
        <v>0</v>
      </c>
      <c r="Z2943" s="5">
        <f t="shared" si="924"/>
        <v>0</v>
      </c>
      <c r="AA2943" s="5">
        <f t="shared" si="925"/>
        <v>0</v>
      </c>
      <c r="AB2943" s="5">
        <f t="shared" si="915"/>
        <v>0</v>
      </c>
    </row>
    <row r="2944" spans="1:29" x14ac:dyDescent="0.25">
      <c r="D2944" t="s">
        <v>84</v>
      </c>
      <c r="E2944" s="14"/>
      <c r="F2944" s="14"/>
      <c r="G2944">
        <f>IFERROR(HLOOKUP(G$2,[89]table_male_hkom3_inj.ill_X8!$A$1:$K$36,16,FALSE),0)</f>
        <v>0</v>
      </c>
      <c r="H2944">
        <f>IFERROR(HLOOKUP(H$2,[89]table_male_hkom3_inj.ill_X8!$A$1:$K$36,16,FALSE),0)</f>
        <v>0</v>
      </c>
      <c r="I2944">
        <f>IFERROR(HLOOKUP(I$2,[89]table_male_hkom3_inj.ill_X8!$A$1:$K$36,16,FALSE),0)</f>
        <v>0</v>
      </c>
      <c r="J2944">
        <f>IFERROR(HLOOKUP(J$2,[89]table_male_hkom3_inj.ill_X8!$A$1:$K$36,16,FALSE),0)</f>
        <v>0</v>
      </c>
      <c r="K2944">
        <f>IFERROR(HLOOKUP(K$2,[89]table_male_hkom3_inj.ill_X8!$A$1:$K$36,16,FALSE),0)</f>
        <v>0</v>
      </c>
      <c r="L2944">
        <f>IFERROR(HLOOKUP(L$2,[89]table_male_hkom3_inj.ill_X8!$A$1:$K$36,16,FALSE),0)</f>
        <v>0</v>
      </c>
      <c r="M2944">
        <f t="shared" si="917"/>
        <v>0</v>
      </c>
      <c r="S2944" t="s">
        <v>84</v>
      </c>
      <c r="T2944" s="5">
        <f t="shared" si="918"/>
        <v>0</v>
      </c>
      <c r="U2944" s="5">
        <f t="shared" si="919"/>
        <v>0</v>
      </c>
      <c r="V2944" s="5">
        <f t="shared" si="920"/>
        <v>0</v>
      </c>
      <c r="W2944" s="5">
        <f t="shared" si="921"/>
        <v>0</v>
      </c>
      <c r="X2944" s="5">
        <f t="shared" si="922"/>
        <v>0</v>
      </c>
      <c r="Y2944" s="5">
        <f t="shared" si="923"/>
        <v>0</v>
      </c>
      <c r="Z2944" s="5">
        <f t="shared" si="924"/>
        <v>0</v>
      </c>
      <c r="AA2944" s="5">
        <f t="shared" si="925"/>
        <v>0</v>
      </c>
      <c r="AB2944" s="5">
        <f t="shared" si="915"/>
        <v>0</v>
      </c>
    </row>
    <row r="2945" spans="4:28" x14ac:dyDescent="0.25">
      <c r="D2945" t="s">
        <v>85</v>
      </c>
      <c r="E2945" s="14"/>
      <c r="F2945" s="14"/>
      <c r="G2945">
        <f>IFERROR(HLOOKUP(G$2,[89]table_male_hkom3_inj.ill_X8!$A$1:$K$36,17,FALSE),0)</f>
        <v>0</v>
      </c>
      <c r="H2945">
        <f>IFERROR(HLOOKUP(H$2,[89]table_male_hkom3_inj.ill_X8!$A$1:$K$36,17,FALSE),0)</f>
        <v>0</v>
      </c>
      <c r="I2945">
        <f>IFERROR(HLOOKUP(I$2,[89]table_male_hkom3_inj.ill_X8!$A$1:$K$36,17,FALSE),0)</f>
        <v>0</v>
      </c>
      <c r="J2945">
        <f>IFERROR(HLOOKUP(J$2,[89]table_male_hkom3_inj.ill_X8!$A$1:$K$36,17,FALSE),0)</f>
        <v>0</v>
      </c>
      <c r="K2945">
        <f>IFERROR(HLOOKUP(K$2,[89]table_male_hkom3_inj.ill_X8!$A$1:$K$36,17,FALSE),0)</f>
        <v>0</v>
      </c>
      <c r="L2945">
        <f>IFERROR(HLOOKUP(L$2,[89]table_male_hkom3_inj.ill_X8!$A$1:$K$36,17,FALSE),0)</f>
        <v>0</v>
      </c>
      <c r="M2945">
        <f t="shared" si="917"/>
        <v>0</v>
      </c>
      <c r="S2945" t="s">
        <v>85</v>
      </c>
      <c r="T2945" s="5">
        <f t="shared" si="918"/>
        <v>0</v>
      </c>
      <c r="U2945" s="5">
        <f t="shared" si="919"/>
        <v>0</v>
      </c>
      <c r="V2945" s="5">
        <f t="shared" si="920"/>
        <v>0</v>
      </c>
      <c r="W2945" s="5">
        <f t="shared" si="921"/>
        <v>0</v>
      </c>
      <c r="X2945" s="5">
        <f t="shared" si="922"/>
        <v>0</v>
      </c>
      <c r="Y2945" s="5">
        <f t="shared" si="923"/>
        <v>0</v>
      </c>
      <c r="Z2945" s="5">
        <f t="shared" si="924"/>
        <v>0</v>
      </c>
      <c r="AA2945" s="5">
        <f t="shared" si="925"/>
        <v>0</v>
      </c>
      <c r="AB2945" s="5">
        <f t="shared" si="915"/>
        <v>0</v>
      </c>
    </row>
    <row r="2946" spans="4:28" x14ac:dyDescent="0.25">
      <c r="D2946" t="s">
        <v>86</v>
      </c>
      <c r="E2946" s="14"/>
      <c r="F2946" s="14"/>
      <c r="G2946">
        <f>IFERROR(HLOOKUP(G$2,[89]table_male_hkom3_inj.ill_X8!$A$1:$K$36,18,FALSE),0)</f>
        <v>1</v>
      </c>
      <c r="H2946">
        <f>IFERROR(HLOOKUP(H$2,[89]table_male_hkom3_inj.ill_X8!$A$1:$K$36,18,FALSE),0)</f>
        <v>0</v>
      </c>
      <c r="I2946">
        <f>IFERROR(HLOOKUP(I$2,[89]table_male_hkom3_inj.ill_X8!$A$1:$K$36,18,FALSE),0)</f>
        <v>2</v>
      </c>
      <c r="J2946">
        <f>IFERROR(HLOOKUP(J$2,[89]table_male_hkom3_inj.ill_X8!$A$1:$K$36,18,FALSE),0)</f>
        <v>0</v>
      </c>
      <c r="K2946">
        <f>IFERROR(HLOOKUP(K$2,[89]table_male_hkom3_inj.ill_X8!$A$1:$K$36,18,FALSE),0)</f>
        <v>0</v>
      </c>
      <c r="L2946">
        <f>IFERROR(HLOOKUP(L$2,[89]table_male_hkom3_inj.ill_X8!$A$1:$K$36,18,FALSE),0)</f>
        <v>0</v>
      </c>
      <c r="M2946">
        <f t="shared" si="917"/>
        <v>3</v>
      </c>
      <c r="S2946" t="s">
        <v>86</v>
      </c>
      <c r="T2946" s="5">
        <f t="shared" si="918"/>
        <v>0</v>
      </c>
      <c r="U2946" s="5">
        <f t="shared" si="919"/>
        <v>0</v>
      </c>
      <c r="V2946" s="5">
        <f t="shared" si="920"/>
        <v>1.2</v>
      </c>
      <c r="W2946" s="5">
        <f t="shared" si="921"/>
        <v>0</v>
      </c>
      <c r="X2946" s="5">
        <f t="shared" si="922"/>
        <v>2.2222222222222223</v>
      </c>
      <c r="Y2946" s="5">
        <f t="shared" si="923"/>
        <v>0</v>
      </c>
      <c r="Z2946" s="5">
        <f t="shared" si="924"/>
        <v>0</v>
      </c>
      <c r="AA2946" s="5">
        <f t="shared" si="925"/>
        <v>0</v>
      </c>
      <c r="AB2946" s="5">
        <f t="shared" si="915"/>
        <v>3.4222222222222225</v>
      </c>
    </row>
    <row r="2947" spans="4:28" x14ac:dyDescent="0.25">
      <c r="D2947" t="s">
        <v>87</v>
      </c>
      <c r="E2947" s="14"/>
      <c r="F2947" s="14"/>
      <c r="G2947">
        <f>IFERROR(HLOOKUP(G$2,[89]table_male_hkom3_inj.ill_X8!$A$1:$K$36,19,FALSE),0)</f>
        <v>0</v>
      </c>
      <c r="H2947">
        <f>IFERROR(HLOOKUP(H$2,[89]table_male_hkom3_inj.ill_X8!$A$1:$K$36,19,FALSE),0)</f>
        <v>1</v>
      </c>
      <c r="I2947">
        <f>IFERROR(HLOOKUP(I$2,[89]table_male_hkom3_inj.ill_X8!$A$1:$K$36,19,FALSE),0)</f>
        <v>0</v>
      </c>
      <c r="J2947">
        <f>IFERROR(HLOOKUP(J$2,[89]table_male_hkom3_inj.ill_X8!$A$1:$K$36,19,FALSE),0)</f>
        <v>0</v>
      </c>
      <c r="K2947">
        <f>IFERROR(HLOOKUP(K$2,[89]table_male_hkom3_inj.ill_X8!$A$1:$K$36,19,FALSE),0)</f>
        <v>0</v>
      </c>
      <c r="L2947">
        <f>IFERROR(HLOOKUP(L$2,[89]table_male_hkom3_inj.ill_X8!$A$1:$K$36,19,FALSE),0)</f>
        <v>0</v>
      </c>
      <c r="M2947">
        <f t="shared" si="917"/>
        <v>1</v>
      </c>
      <c r="S2947" t="s">
        <v>87</v>
      </c>
      <c r="T2947" s="5">
        <f t="shared" si="918"/>
        <v>0</v>
      </c>
      <c r="U2947" s="5">
        <f t="shared" si="919"/>
        <v>0</v>
      </c>
      <c r="V2947" s="5">
        <f t="shared" si="920"/>
        <v>0</v>
      </c>
      <c r="W2947" s="5">
        <f t="shared" si="921"/>
        <v>2.4000000000000004</v>
      </c>
      <c r="X2947" s="5">
        <f t="shared" si="922"/>
        <v>0</v>
      </c>
      <c r="Y2947" s="5">
        <f t="shared" si="923"/>
        <v>0</v>
      </c>
      <c r="Z2947" s="5">
        <f t="shared" si="924"/>
        <v>0</v>
      </c>
      <c r="AA2947" s="5">
        <f t="shared" si="925"/>
        <v>0</v>
      </c>
      <c r="AB2947" s="5">
        <f t="shared" si="915"/>
        <v>2.4000000000000004</v>
      </c>
    </row>
    <row r="2948" spans="4:28" x14ac:dyDescent="0.25">
      <c r="D2948" t="s">
        <v>88</v>
      </c>
      <c r="E2948" s="14"/>
      <c r="F2948" s="14"/>
      <c r="G2948">
        <f>IFERROR(HLOOKUP(G$2,[89]table_male_hkom3_inj.ill_X8!$A$1:$K$36,20,FALSE),0)</f>
        <v>1</v>
      </c>
      <c r="H2948">
        <f>IFERROR(HLOOKUP(H$2,[89]table_male_hkom3_inj.ill_X8!$A$1:$K$36,20,FALSE),0)</f>
        <v>2</v>
      </c>
      <c r="I2948">
        <f>IFERROR(HLOOKUP(I$2,[89]table_male_hkom3_inj.ill_X8!$A$1:$K$36,20,FALSE),0)</f>
        <v>1</v>
      </c>
      <c r="J2948">
        <f>IFERROR(HLOOKUP(J$2,[89]table_male_hkom3_inj.ill_X8!$A$1:$K$36,20,FALSE),0)</f>
        <v>0</v>
      </c>
      <c r="K2948">
        <f>IFERROR(HLOOKUP(K$2,[89]table_male_hkom3_inj.ill_X8!$A$1:$K$36,20,FALSE),0)</f>
        <v>0</v>
      </c>
      <c r="L2948">
        <f>IFERROR(HLOOKUP(L$2,[89]table_male_hkom3_inj.ill_X8!$A$1:$K$36,20,FALSE),0)</f>
        <v>0</v>
      </c>
      <c r="M2948">
        <f t="shared" si="917"/>
        <v>4</v>
      </c>
      <c r="S2948" t="s">
        <v>88</v>
      </c>
      <c r="T2948" s="5">
        <f t="shared" si="918"/>
        <v>0</v>
      </c>
      <c r="U2948" s="5">
        <f t="shared" si="919"/>
        <v>0</v>
      </c>
      <c r="V2948" s="5">
        <f t="shared" si="920"/>
        <v>1.2</v>
      </c>
      <c r="W2948" s="5">
        <f t="shared" si="921"/>
        <v>4.8000000000000007</v>
      </c>
      <c r="X2948" s="5">
        <f t="shared" si="922"/>
        <v>1.1111111111111112</v>
      </c>
      <c r="Y2948" s="5">
        <f t="shared" si="923"/>
        <v>0</v>
      </c>
      <c r="Z2948" s="5">
        <f t="shared" si="924"/>
        <v>0</v>
      </c>
      <c r="AA2948" s="5">
        <f t="shared" si="925"/>
        <v>0</v>
      </c>
      <c r="AB2948" s="5">
        <f t="shared" si="915"/>
        <v>7.1111111111111125</v>
      </c>
    </row>
    <row r="2949" spans="4:28" x14ac:dyDescent="0.25">
      <c r="D2949" t="s">
        <v>89</v>
      </c>
      <c r="E2949" s="14"/>
      <c r="F2949" s="14"/>
      <c r="G2949">
        <f>IFERROR(HLOOKUP(G$2,[89]table_male_hkom3_inj.ill_X8!$A$1:$K$36,21,FALSE),0)</f>
        <v>0</v>
      </c>
      <c r="H2949">
        <f>IFERROR(HLOOKUP(H$2,[89]table_male_hkom3_inj.ill_X8!$A$1:$K$36,21,FALSE),0)</f>
        <v>1</v>
      </c>
      <c r="I2949">
        <f>IFERROR(HLOOKUP(I$2,[89]table_male_hkom3_inj.ill_X8!$A$1:$K$36,21,FALSE),0)</f>
        <v>0</v>
      </c>
      <c r="J2949">
        <f>IFERROR(HLOOKUP(J$2,[89]table_male_hkom3_inj.ill_X8!$A$1:$K$36,21,FALSE),0)</f>
        <v>0</v>
      </c>
      <c r="K2949">
        <f>IFERROR(HLOOKUP(K$2,[89]table_male_hkom3_inj.ill_X8!$A$1:$K$36,21,FALSE),0)</f>
        <v>0</v>
      </c>
      <c r="L2949">
        <f>IFERROR(HLOOKUP(L$2,[89]table_male_hkom3_inj.ill_X8!$A$1:$K$36,21,FALSE),0)</f>
        <v>0</v>
      </c>
      <c r="M2949">
        <f t="shared" si="917"/>
        <v>1</v>
      </c>
      <c r="S2949" t="s">
        <v>89</v>
      </c>
      <c r="T2949" s="5">
        <f t="shared" si="918"/>
        <v>0</v>
      </c>
      <c r="U2949" s="5">
        <f t="shared" si="919"/>
        <v>0</v>
      </c>
      <c r="V2949" s="5">
        <f t="shared" si="920"/>
        <v>0</v>
      </c>
      <c r="W2949" s="5">
        <f t="shared" si="921"/>
        <v>2.4000000000000004</v>
      </c>
      <c r="X2949" s="5">
        <f t="shared" si="922"/>
        <v>0</v>
      </c>
      <c r="Y2949" s="5">
        <f t="shared" si="923"/>
        <v>0</v>
      </c>
      <c r="Z2949" s="5">
        <f t="shared" si="924"/>
        <v>0</v>
      </c>
      <c r="AA2949" s="5">
        <f t="shared" si="925"/>
        <v>0</v>
      </c>
      <c r="AB2949" s="5">
        <f t="shared" si="915"/>
        <v>2.4000000000000004</v>
      </c>
    </row>
    <row r="2950" spans="4:28" x14ac:dyDescent="0.25">
      <c r="D2950" t="s">
        <v>90</v>
      </c>
      <c r="E2950" s="14"/>
      <c r="F2950" s="14"/>
      <c r="G2950">
        <f>IFERROR(HLOOKUP(G$2,[89]table_male_hkom3_inj.ill_X8!$A$1:$K$36,22,FALSE),0)</f>
        <v>0</v>
      </c>
      <c r="H2950">
        <f>IFERROR(HLOOKUP(H$2,[89]table_male_hkom3_inj.ill_X8!$A$1:$K$36,22,FALSE),0)</f>
        <v>0</v>
      </c>
      <c r="I2950">
        <f>IFERROR(HLOOKUP(I$2,[89]table_male_hkom3_inj.ill_X8!$A$1:$K$36,22,FALSE),0)</f>
        <v>0</v>
      </c>
      <c r="J2950">
        <f>IFERROR(HLOOKUP(J$2,[89]table_male_hkom3_inj.ill_X8!$A$1:$K$36,22,FALSE),0)</f>
        <v>0</v>
      </c>
      <c r="K2950">
        <f>IFERROR(HLOOKUP(K$2,[89]table_male_hkom3_inj.ill_X8!$A$1:$K$36,22,FALSE),0)</f>
        <v>0</v>
      </c>
      <c r="L2950">
        <f>IFERROR(HLOOKUP(L$2,[89]table_male_hkom3_inj.ill_X8!$A$1:$K$36,22,FALSE),0)</f>
        <v>0</v>
      </c>
      <c r="M2950">
        <f t="shared" si="917"/>
        <v>0</v>
      </c>
      <c r="S2950" t="s">
        <v>90</v>
      </c>
      <c r="T2950" s="5">
        <f t="shared" si="918"/>
        <v>0</v>
      </c>
      <c r="U2950" s="5">
        <f t="shared" si="919"/>
        <v>0</v>
      </c>
      <c r="V2950" s="5">
        <f t="shared" si="920"/>
        <v>0</v>
      </c>
      <c r="W2950" s="5">
        <f t="shared" si="921"/>
        <v>0</v>
      </c>
      <c r="X2950" s="5">
        <f t="shared" si="922"/>
        <v>0</v>
      </c>
      <c r="Y2950" s="5">
        <f t="shared" si="923"/>
        <v>0</v>
      </c>
      <c r="Z2950" s="5">
        <f t="shared" si="924"/>
        <v>0</v>
      </c>
      <c r="AA2950" s="5">
        <f t="shared" si="925"/>
        <v>0</v>
      </c>
      <c r="AB2950" s="5">
        <f t="shared" si="915"/>
        <v>0</v>
      </c>
    </row>
    <row r="2951" spans="4:28" x14ac:dyDescent="0.25">
      <c r="D2951" t="s">
        <v>91</v>
      </c>
      <c r="E2951" s="14"/>
      <c r="F2951" s="14"/>
      <c r="G2951">
        <f>IFERROR(HLOOKUP(G$2,[89]table_male_hkom3_inj.ill_X8!$A$1:$K$36,23,FALSE),0)</f>
        <v>0</v>
      </c>
      <c r="H2951">
        <f>IFERROR(HLOOKUP(H$2,[89]table_male_hkom3_inj.ill_X8!$A$1:$K$36,23,FALSE),0)</f>
        <v>0</v>
      </c>
      <c r="I2951">
        <f>IFERROR(HLOOKUP(I$2,[89]table_male_hkom3_inj.ill_X8!$A$1:$K$36,23,FALSE),0)</f>
        <v>0</v>
      </c>
      <c r="J2951">
        <f>IFERROR(HLOOKUP(J$2,[89]table_male_hkom3_inj.ill_X8!$A$1:$K$36,23,FALSE),0)</f>
        <v>0</v>
      </c>
      <c r="K2951">
        <f>IFERROR(HLOOKUP(K$2,[89]table_male_hkom3_inj.ill_X8!$A$1:$K$36,23,FALSE),0)</f>
        <v>0</v>
      </c>
      <c r="L2951">
        <f>IFERROR(HLOOKUP(L$2,[89]table_male_hkom3_inj.ill_X8!$A$1:$K$36,23,FALSE),0)</f>
        <v>0</v>
      </c>
      <c r="M2951">
        <f t="shared" si="917"/>
        <v>0</v>
      </c>
      <c r="S2951" t="s">
        <v>91</v>
      </c>
      <c r="T2951" s="5">
        <f t="shared" si="918"/>
        <v>0</v>
      </c>
      <c r="U2951" s="5">
        <f t="shared" si="919"/>
        <v>0</v>
      </c>
      <c r="V2951" s="5">
        <f t="shared" si="920"/>
        <v>0</v>
      </c>
      <c r="W2951" s="5">
        <f t="shared" si="921"/>
        <v>0</v>
      </c>
      <c r="X2951" s="5">
        <f t="shared" si="922"/>
        <v>0</v>
      </c>
      <c r="Y2951" s="5">
        <f t="shared" si="923"/>
        <v>0</v>
      </c>
      <c r="Z2951" s="5">
        <f t="shared" si="924"/>
        <v>0</v>
      </c>
      <c r="AA2951" s="5">
        <f t="shared" si="925"/>
        <v>0</v>
      </c>
      <c r="AB2951" s="5">
        <f t="shared" si="915"/>
        <v>0</v>
      </c>
    </row>
    <row r="2952" spans="4:28" x14ac:dyDescent="0.25">
      <c r="D2952" t="s">
        <v>92</v>
      </c>
      <c r="E2952" s="14"/>
      <c r="F2952" s="14"/>
      <c r="G2952">
        <f>IFERROR(HLOOKUP(G$2,[89]table_male_hkom3_inj.ill_X8!$A$1:$K$36,24,FALSE),0)</f>
        <v>0</v>
      </c>
      <c r="H2952">
        <f>IFERROR(HLOOKUP(H$2,[89]table_male_hkom3_inj.ill_X8!$A$1:$K$36,24,FALSE),0)</f>
        <v>0</v>
      </c>
      <c r="I2952">
        <f>IFERROR(HLOOKUP(I$2,[89]table_male_hkom3_inj.ill_X8!$A$1:$K$36,24,FALSE),0)</f>
        <v>0</v>
      </c>
      <c r="J2952">
        <f>IFERROR(HLOOKUP(J$2,[89]table_male_hkom3_inj.ill_X8!$A$1:$K$36,24,FALSE),0)</f>
        <v>0</v>
      </c>
      <c r="K2952">
        <f>IFERROR(HLOOKUP(K$2,[89]table_male_hkom3_inj.ill_X8!$A$1:$K$36,24,FALSE),0)</f>
        <v>0</v>
      </c>
      <c r="L2952">
        <f>IFERROR(HLOOKUP(L$2,[89]table_male_hkom3_inj.ill_X8!$A$1:$K$36,24,FALSE),0)</f>
        <v>0</v>
      </c>
      <c r="M2952">
        <f t="shared" si="917"/>
        <v>0</v>
      </c>
      <c r="S2952" t="s">
        <v>92</v>
      </c>
      <c r="T2952" s="5">
        <f t="shared" si="918"/>
        <v>0</v>
      </c>
      <c r="U2952" s="5">
        <f t="shared" si="919"/>
        <v>0</v>
      </c>
      <c r="V2952" s="5">
        <f t="shared" si="920"/>
        <v>0</v>
      </c>
      <c r="W2952" s="5">
        <f t="shared" si="921"/>
        <v>0</v>
      </c>
      <c r="X2952" s="5">
        <f t="shared" si="922"/>
        <v>0</v>
      </c>
      <c r="Y2952" s="5">
        <f t="shared" si="923"/>
        <v>0</v>
      </c>
      <c r="Z2952" s="5">
        <f t="shared" si="924"/>
        <v>0</v>
      </c>
      <c r="AA2952" s="5">
        <f t="shared" si="925"/>
        <v>0</v>
      </c>
      <c r="AB2952" s="5">
        <f t="shared" si="915"/>
        <v>0</v>
      </c>
    </row>
    <row r="2953" spans="4:28" x14ac:dyDescent="0.25">
      <c r="D2953" t="s">
        <v>93</v>
      </c>
      <c r="E2953" s="14"/>
      <c r="F2953" s="14"/>
      <c r="G2953">
        <f>IFERROR(HLOOKUP(G$2,[89]table_male_hkom3_inj.ill_X8!$A$1:$K$36,25,FALSE),0)</f>
        <v>0</v>
      </c>
      <c r="H2953">
        <f>IFERROR(HLOOKUP(H$2,[89]table_male_hkom3_inj.ill_X8!$A$1:$K$36,25,FALSE),0)</f>
        <v>0</v>
      </c>
      <c r="I2953">
        <f>IFERROR(HLOOKUP(I$2,[89]table_male_hkom3_inj.ill_X8!$A$1:$K$36,25,FALSE),0)</f>
        <v>0</v>
      </c>
      <c r="J2953">
        <f>IFERROR(HLOOKUP(J$2,[89]table_male_hkom3_inj.ill_X8!$A$1:$K$36,25,FALSE),0)</f>
        <v>0</v>
      </c>
      <c r="K2953">
        <f>IFERROR(HLOOKUP(K$2,[89]table_male_hkom3_inj.ill_X8!$A$1:$K$36,25,FALSE),0)</f>
        <v>0</v>
      </c>
      <c r="L2953">
        <f>IFERROR(HLOOKUP(L$2,[89]table_male_hkom3_inj.ill_X8!$A$1:$K$36,25,FALSE),0)</f>
        <v>0</v>
      </c>
      <c r="M2953">
        <f t="shared" si="917"/>
        <v>0</v>
      </c>
      <c r="S2953" t="s">
        <v>93</v>
      </c>
      <c r="T2953" s="5">
        <f t="shared" si="918"/>
        <v>0</v>
      </c>
      <c r="U2953" s="5">
        <f t="shared" si="919"/>
        <v>0</v>
      </c>
      <c r="V2953" s="5">
        <f t="shared" si="920"/>
        <v>0</v>
      </c>
      <c r="W2953" s="5">
        <f t="shared" si="921"/>
        <v>0</v>
      </c>
      <c r="X2953" s="5">
        <f t="shared" si="922"/>
        <v>0</v>
      </c>
      <c r="Y2953" s="5">
        <f t="shared" si="923"/>
        <v>0</v>
      </c>
      <c r="Z2953" s="5">
        <f t="shared" si="924"/>
        <v>0</v>
      </c>
      <c r="AA2953" s="5">
        <f t="shared" si="925"/>
        <v>0</v>
      </c>
      <c r="AB2953" s="5">
        <f t="shared" si="915"/>
        <v>0</v>
      </c>
    </row>
    <row r="2954" spans="4:28" x14ac:dyDescent="0.25">
      <c r="D2954" t="s">
        <v>94</v>
      </c>
      <c r="E2954" s="14"/>
      <c r="F2954" s="14"/>
      <c r="G2954">
        <f>IFERROR(HLOOKUP(G$2,[89]table_male_hkom3_inj.ill_X8!$A$1:$K$36,26,FALSE),0)</f>
        <v>0</v>
      </c>
      <c r="H2954">
        <f>IFERROR(HLOOKUP(H$2,[89]table_male_hkom3_inj.ill_X8!$A$1:$K$36,26,FALSE),0)</f>
        <v>0</v>
      </c>
      <c r="I2954">
        <f>IFERROR(HLOOKUP(I$2,[89]table_male_hkom3_inj.ill_X8!$A$1:$K$36,26,FALSE),0)</f>
        <v>0</v>
      </c>
      <c r="J2954">
        <f>IFERROR(HLOOKUP(J$2,[89]table_male_hkom3_inj.ill_X8!$A$1:$K$36,26,FALSE),0)</f>
        <v>0</v>
      </c>
      <c r="K2954">
        <f>IFERROR(HLOOKUP(K$2,[89]table_male_hkom3_inj.ill_X8!$A$1:$K$36,26,FALSE),0)</f>
        <v>0</v>
      </c>
      <c r="L2954">
        <f>IFERROR(HLOOKUP(L$2,[89]table_male_hkom3_inj.ill_X8!$A$1:$K$36,26,FALSE),0)</f>
        <v>0</v>
      </c>
      <c r="M2954">
        <f t="shared" si="917"/>
        <v>0</v>
      </c>
      <c r="S2954" t="s">
        <v>94</v>
      </c>
      <c r="T2954" s="5">
        <f t="shared" si="918"/>
        <v>0</v>
      </c>
      <c r="U2954" s="5">
        <f t="shared" si="919"/>
        <v>0</v>
      </c>
      <c r="V2954" s="5">
        <f t="shared" si="920"/>
        <v>0</v>
      </c>
      <c r="W2954" s="5">
        <f t="shared" si="921"/>
        <v>0</v>
      </c>
      <c r="X2954" s="5">
        <f t="shared" si="922"/>
        <v>0</v>
      </c>
      <c r="Y2954" s="5">
        <f t="shared" si="923"/>
        <v>0</v>
      </c>
      <c r="Z2954" s="5">
        <f t="shared" si="924"/>
        <v>0</v>
      </c>
      <c r="AA2954" s="5">
        <f t="shared" si="925"/>
        <v>0</v>
      </c>
      <c r="AB2954" s="5">
        <f t="shared" si="915"/>
        <v>0</v>
      </c>
    </row>
    <row r="2955" spans="4:28" x14ac:dyDescent="0.25">
      <c r="D2955" t="s">
        <v>95</v>
      </c>
      <c r="E2955" s="14"/>
      <c r="F2955" s="14"/>
      <c r="G2955">
        <f>IFERROR(HLOOKUP(G$2,[89]table_male_hkom3_inj.ill_X8!$A$1:$K$36,27,FALSE),0)</f>
        <v>0</v>
      </c>
      <c r="H2955">
        <f>IFERROR(HLOOKUP(H$2,[89]table_male_hkom3_inj.ill_X8!$A$1:$K$36,27,FALSE),0)</f>
        <v>0</v>
      </c>
      <c r="I2955">
        <f>IFERROR(HLOOKUP(I$2,[89]table_male_hkom3_inj.ill_X8!$A$1:$K$36,27,FALSE),0)</f>
        <v>0</v>
      </c>
      <c r="J2955">
        <f>IFERROR(HLOOKUP(J$2,[89]table_male_hkom3_inj.ill_X8!$A$1:$K$36,27,FALSE),0)</f>
        <v>0</v>
      </c>
      <c r="K2955">
        <f>IFERROR(HLOOKUP(K$2,[89]table_male_hkom3_inj.ill_X8!$A$1:$K$36,27,FALSE),0)</f>
        <v>0</v>
      </c>
      <c r="L2955">
        <f>IFERROR(HLOOKUP(L$2,[89]table_male_hkom3_inj.ill_X8!$A$1:$K$36,27,FALSE),0)</f>
        <v>0</v>
      </c>
      <c r="M2955">
        <f t="shared" si="917"/>
        <v>0</v>
      </c>
      <c r="S2955" t="s">
        <v>95</v>
      </c>
      <c r="T2955" s="5">
        <f t="shared" si="918"/>
        <v>0</v>
      </c>
      <c r="U2955" s="5">
        <f t="shared" si="919"/>
        <v>0</v>
      </c>
      <c r="V2955" s="5">
        <f t="shared" si="920"/>
        <v>0</v>
      </c>
      <c r="W2955" s="5">
        <f t="shared" si="921"/>
        <v>0</v>
      </c>
      <c r="X2955" s="5">
        <f t="shared" si="922"/>
        <v>0</v>
      </c>
      <c r="Y2955" s="5">
        <f t="shared" si="923"/>
        <v>0</v>
      </c>
      <c r="Z2955" s="5">
        <f t="shared" si="924"/>
        <v>0</v>
      </c>
      <c r="AA2955" s="5">
        <f t="shared" si="925"/>
        <v>0</v>
      </c>
      <c r="AB2955" s="5">
        <f t="shared" si="915"/>
        <v>0</v>
      </c>
    </row>
    <row r="2956" spans="4:28" x14ac:dyDescent="0.25">
      <c r="D2956" t="s">
        <v>96</v>
      </c>
      <c r="E2956" s="14"/>
      <c r="F2956" s="14"/>
      <c r="G2956">
        <f>IFERROR(HLOOKUP(G$2,[89]table_male_hkom3_inj.ill_X8!$A$1:$K$36,28,FALSE),0)</f>
        <v>0</v>
      </c>
      <c r="H2956">
        <f>IFERROR(HLOOKUP(H$2,[89]table_male_hkom3_inj.ill_X8!$A$1:$K$36,28,FALSE),0)</f>
        <v>0</v>
      </c>
      <c r="I2956">
        <f>IFERROR(HLOOKUP(I$2,[89]table_male_hkom3_inj.ill_X8!$A$1:$K$36,28,FALSE),0)</f>
        <v>1</v>
      </c>
      <c r="J2956">
        <f>IFERROR(HLOOKUP(J$2,[89]table_male_hkom3_inj.ill_X8!$A$1:$K$36,28,FALSE),0)</f>
        <v>0</v>
      </c>
      <c r="K2956">
        <f>IFERROR(HLOOKUP(K$2,[89]table_male_hkom3_inj.ill_X8!$A$1:$K$36,28,FALSE),0)</f>
        <v>0</v>
      </c>
      <c r="L2956">
        <f>IFERROR(HLOOKUP(L$2,[89]table_male_hkom3_inj.ill_X8!$A$1:$K$36,28,FALSE),0)</f>
        <v>0</v>
      </c>
      <c r="M2956">
        <f t="shared" si="917"/>
        <v>1</v>
      </c>
      <c r="S2956" t="s">
        <v>96</v>
      </c>
      <c r="T2956" s="5">
        <f t="shared" si="918"/>
        <v>0</v>
      </c>
      <c r="U2956" s="5">
        <f t="shared" si="919"/>
        <v>0</v>
      </c>
      <c r="V2956" s="5">
        <f t="shared" si="920"/>
        <v>0</v>
      </c>
      <c r="W2956" s="5">
        <f t="shared" si="921"/>
        <v>0</v>
      </c>
      <c r="X2956" s="5">
        <f t="shared" si="922"/>
        <v>1.1111111111111112</v>
      </c>
      <c r="Y2956" s="5">
        <f t="shared" si="923"/>
        <v>0</v>
      </c>
      <c r="Z2956" s="5">
        <f t="shared" si="924"/>
        <v>0</v>
      </c>
      <c r="AA2956" s="5">
        <f t="shared" si="925"/>
        <v>0</v>
      </c>
      <c r="AB2956" s="5">
        <f t="shared" si="915"/>
        <v>1.1111111111111112</v>
      </c>
    </row>
    <row r="2957" spans="4:28" x14ac:dyDescent="0.25">
      <c r="D2957" t="s">
        <v>97</v>
      </c>
      <c r="E2957" s="14"/>
      <c r="F2957" s="14"/>
      <c r="G2957">
        <f>IFERROR(HLOOKUP(G$2,[89]table_male_hkom3_inj.ill_X8!$A$1:$K$36,29,FALSE),0)</f>
        <v>0</v>
      </c>
      <c r="H2957">
        <f>IFERROR(HLOOKUP(H$2,[89]table_male_hkom3_inj.ill_X8!$A$1:$K$36,29,FALSE),0)</f>
        <v>0</v>
      </c>
      <c r="I2957">
        <f>IFERROR(HLOOKUP(I$2,[89]table_male_hkom3_inj.ill_X8!$A$1:$K$36,29,FALSE),0)</f>
        <v>0</v>
      </c>
      <c r="J2957">
        <f>IFERROR(HLOOKUP(J$2,[89]table_male_hkom3_inj.ill_X8!$A$1:$K$36,29,FALSE),0)</f>
        <v>0</v>
      </c>
      <c r="K2957">
        <f>IFERROR(HLOOKUP(K$2,[89]table_male_hkom3_inj.ill_X8!$A$1:$K$36,29,FALSE),0)</f>
        <v>0</v>
      </c>
      <c r="L2957">
        <f>IFERROR(HLOOKUP(L$2,[89]table_male_hkom3_inj.ill_X8!$A$1:$K$36,29,FALSE),0)</f>
        <v>0</v>
      </c>
      <c r="M2957">
        <f t="shared" si="917"/>
        <v>0</v>
      </c>
      <c r="S2957" t="s">
        <v>97</v>
      </c>
      <c r="T2957" s="5">
        <f t="shared" si="918"/>
        <v>0</v>
      </c>
      <c r="U2957" s="5">
        <f t="shared" si="919"/>
        <v>0</v>
      </c>
      <c r="V2957" s="5">
        <f t="shared" si="920"/>
        <v>0</v>
      </c>
      <c r="W2957" s="5">
        <f t="shared" si="921"/>
        <v>0</v>
      </c>
      <c r="X2957" s="5">
        <f t="shared" si="922"/>
        <v>0</v>
      </c>
      <c r="Y2957" s="5">
        <f t="shared" si="923"/>
        <v>0</v>
      </c>
      <c r="Z2957" s="5">
        <f t="shared" si="924"/>
        <v>0</v>
      </c>
      <c r="AA2957" s="5">
        <f t="shared" si="925"/>
        <v>0</v>
      </c>
      <c r="AB2957" s="5">
        <f t="shared" si="915"/>
        <v>0</v>
      </c>
    </row>
    <row r="2958" spans="4:28" x14ac:dyDescent="0.25">
      <c r="D2958" t="s">
        <v>98</v>
      </c>
      <c r="E2958" s="14"/>
      <c r="F2958" s="14"/>
      <c r="G2958">
        <f>IFERROR(HLOOKUP(G$2,[89]table_male_hkom3_inj.ill_X8!$A$1:$K$36,30,FALSE),0)</f>
        <v>0</v>
      </c>
      <c r="H2958">
        <f>IFERROR(HLOOKUP(H$2,[89]table_male_hkom3_inj.ill_X8!$A$1:$K$36,30,FALSE),0)</f>
        <v>0</v>
      </c>
      <c r="I2958">
        <f>IFERROR(HLOOKUP(I$2,[89]table_male_hkom3_inj.ill_X8!$A$1:$K$36,30,FALSE),0)</f>
        <v>1</v>
      </c>
      <c r="J2958">
        <f>IFERROR(HLOOKUP(J$2,[89]table_male_hkom3_inj.ill_X8!$A$1:$K$36,30,FALSE),0)</f>
        <v>0</v>
      </c>
      <c r="K2958">
        <f>IFERROR(HLOOKUP(K$2,[89]table_male_hkom3_inj.ill_X8!$A$1:$K$36,30,FALSE),0)</f>
        <v>0</v>
      </c>
      <c r="L2958">
        <f>IFERROR(HLOOKUP(L$2,[89]table_male_hkom3_inj.ill_X8!$A$1:$K$36,30,FALSE),0)</f>
        <v>0</v>
      </c>
      <c r="M2958">
        <f t="shared" si="917"/>
        <v>1</v>
      </c>
      <c r="S2958" t="s">
        <v>98</v>
      </c>
      <c r="T2958" s="5">
        <f t="shared" si="918"/>
        <v>0</v>
      </c>
      <c r="U2958" s="5">
        <f t="shared" si="919"/>
        <v>0</v>
      </c>
      <c r="V2958" s="5">
        <f t="shared" si="920"/>
        <v>0</v>
      </c>
      <c r="W2958" s="5">
        <f t="shared" si="921"/>
        <v>0</v>
      </c>
      <c r="X2958" s="5">
        <f t="shared" si="922"/>
        <v>1.1111111111111112</v>
      </c>
      <c r="Y2958" s="5">
        <f t="shared" si="923"/>
        <v>0</v>
      </c>
      <c r="Z2958" s="5">
        <f t="shared" si="924"/>
        <v>0</v>
      </c>
      <c r="AA2958" s="5">
        <f t="shared" si="925"/>
        <v>0</v>
      </c>
      <c r="AB2958" s="5">
        <f t="shared" si="915"/>
        <v>1.1111111111111112</v>
      </c>
    </row>
    <row r="2959" spans="4:28" x14ac:dyDescent="0.25">
      <c r="D2959" t="s">
        <v>119</v>
      </c>
      <c r="E2959" s="14"/>
      <c r="F2959" s="14"/>
      <c r="G2959">
        <f>IFERROR(HLOOKUP(G$2,[89]table_male_hkom3_inj.ill_X8!$A$1:$K$36,31,FALSE),0)</f>
        <v>0</v>
      </c>
      <c r="H2959">
        <f>IFERROR(HLOOKUP(H$2,[89]table_male_hkom3_inj.ill_X8!$A$1:$K$36,31,FALSE),0)</f>
        <v>0</v>
      </c>
      <c r="I2959">
        <f>IFERROR(HLOOKUP(I$2,[89]table_male_hkom3_inj.ill_X8!$A$1:$K$36,31,FALSE),0)</f>
        <v>0</v>
      </c>
      <c r="J2959">
        <f>IFERROR(HLOOKUP(J$2,[89]table_male_hkom3_inj.ill_X8!$A$1:$K$36,31,FALSE),0)</f>
        <v>0</v>
      </c>
      <c r="K2959">
        <f>IFERROR(HLOOKUP(K$2,[89]table_male_hkom3_inj.ill_X8!$A$1:$K$36,31,FALSE),0)</f>
        <v>0</v>
      </c>
      <c r="L2959">
        <f>IFERROR(HLOOKUP(L$2,[89]table_male_hkom3_inj.ill_X8!$A$1:$K$36,31,FALSE),0)</f>
        <v>0</v>
      </c>
      <c r="M2959">
        <f t="shared" si="917"/>
        <v>0</v>
      </c>
      <c r="S2959" t="s">
        <v>119</v>
      </c>
      <c r="T2959" s="5">
        <f t="shared" si="918"/>
        <v>0</v>
      </c>
      <c r="U2959" s="5">
        <f t="shared" si="919"/>
        <v>0</v>
      </c>
      <c r="V2959" s="5">
        <f t="shared" si="920"/>
        <v>0</v>
      </c>
      <c r="W2959" s="5">
        <f t="shared" si="921"/>
        <v>0</v>
      </c>
      <c r="X2959" s="5">
        <f t="shared" si="922"/>
        <v>0</v>
      </c>
      <c r="Y2959" s="5">
        <f t="shared" si="923"/>
        <v>0</v>
      </c>
      <c r="Z2959" s="5">
        <f t="shared" si="924"/>
        <v>0</v>
      </c>
      <c r="AA2959" s="5">
        <f t="shared" si="925"/>
        <v>0</v>
      </c>
      <c r="AB2959" s="5">
        <f t="shared" si="915"/>
        <v>0</v>
      </c>
    </row>
    <row r="2960" spans="4:28" x14ac:dyDescent="0.25">
      <c r="D2960" t="s">
        <v>99</v>
      </c>
      <c r="E2960" s="14"/>
      <c r="F2960" s="14"/>
      <c r="G2960">
        <f>IFERROR(HLOOKUP(G$2,[89]table_male_hkom3_inj.ill_X8!$A$1:$K$36,32,FALSE),0)</f>
        <v>1</v>
      </c>
      <c r="H2960">
        <f>IFERROR(HLOOKUP(H$2,[89]table_male_hkom3_inj.ill_X8!$A$1:$K$36,32,FALSE),0)</f>
        <v>0</v>
      </c>
      <c r="I2960">
        <f>IFERROR(HLOOKUP(I$2,[89]table_male_hkom3_inj.ill_X8!$A$1:$K$36,32,FALSE),0)</f>
        <v>1</v>
      </c>
      <c r="J2960">
        <f>IFERROR(HLOOKUP(J$2,[89]table_male_hkom3_inj.ill_X8!$A$1:$K$36,32,FALSE),0)</f>
        <v>0</v>
      </c>
      <c r="K2960">
        <f>IFERROR(HLOOKUP(K$2,[89]table_male_hkom3_inj.ill_X8!$A$1:$K$36,32,FALSE),0)</f>
        <v>0</v>
      </c>
      <c r="L2960">
        <f>IFERROR(HLOOKUP(L$2,[89]table_male_hkom3_inj.ill_X8!$A$1:$K$36,32,FALSE),0)</f>
        <v>0</v>
      </c>
      <c r="M2960">
        <f t="shared" si="917"/>
        <v>2</v>
      </c>
      <c r="S2960" t="s">
        <v>99</v>
      </c>
      <c r="T2960" s="5">
        <f t="shared" si="918"/>
        <v>0</v>
      </c>
      <c r="U2960" s="5">
        <f t="shared" si="919"/>
        <v>0</v>
      </c>
      <c r="V2960" s="5">
        <f t="shared" si="920"/>
        <v>1.2</v>
      </c>
      <c r="W2960" s="5">
        <f t="shared" si="921"/>
        <v>0</v>
      </c>
      <c r="X2960" s="5">
        <f t="shared" si="922"/>
        <v>1.1111111111111112</v>
      </c>
      <c r="Y2960" s="5">
        <f t="shared" si="923"/>
        <v>0</v>
      </c>
      <c r="Z2960" s="5">
        <f t="shared" si="924"/>
        <v>0</v>
      </c>
      <c r="AA2960" s="5">
        <f t="shared" si="925"/>
        <v>0</v>
      </c>
      <c r="AB2960" s="5">
        <f t="shared" si="915"/>
        <v>2.3111111111111109</v>
      </c>
    </row>
    <row r="2961" spans="1:29" x14ac:dyDescent="0.25">
      <c r="D2961" t="s">
        <v>100</v>
      </c>
      <c r="E2961" s="14"/>
      <c r="F2961" s="14"/>
      <c r="G2961">
        <f>IFERROR(HLOOKUP(G$2,[89]table_male_hkom3_inj.ill_X8!$A$1:$K$36,33,FALSE),0)</f>
        <v>0</v>
      </c>
      <c r="H2961">
        <f>IFERROR(HLOOKUP(H$2,[89]table_male_hkom3_inj.ill_X8!$A$1:$K$36,33,FALSE),0)</f>
        <v>0</v>
      </c>
      <c r="I2961">
        <f>IFERROR(HLOOKUP(I$2,[89]table_male_hkom3_inj.ill_X8!$A$1:$K$36,33,FALSE),0)</f>
        <v>0</v>
      </c>
      <c r="J2961">
        <f>IFERROR(HLOOKUP(J$2,[89]table_male_hkom3_inj.ill_X8!$A$1:$K$36,33,FALSE),0)</f>
        <v>0</v>
      </c>
      <c r="K2961">
        <f>IFERROR(HLOOKUP(K$2,[89]table_male_hkom3_inj.ill_X8!$A$1:$K$36,33,FALSE),0)</f>
        <v>0</v>
      </c>
      <c r="L2961">
        <f>IFERROR(HLOOKUP(L$2,[89]table_male_hkom3_inj.ill_X8!$A$1:$K$36,33,FALSE),0)</f>
        <v>0</v>
      </c>
      <c r="M2961">
        <f t="shared" si="917"/>
        <v>0</v>
      </c>
      <c r="S2961" t="s">
        <v>100</v>
      </c>
      <c r="T2961" s="5">
        <f t="shared" si="918"/>
        <v>0</v>
      </c>
      <c r="U2961" s="5">
        <f t="shared" si="919"/>
        <v>0</v>
      </c>
      <c r="V2961" s="5">
        <f t="shared" si="920"/>
        <v>0</v>
      </c>
      <c r="W2961" s="5">
        <f t="shared" si="921"/>
        <v>0</v>
      </c>
      <c r="X2961" s="5">
        <f t="shared" si="922"/>
        <v>0</v>
      </c>
      <c r="Y2961" s="5">
        <f t="shared" si="923"/>
        <v>0</v>
      </c>
      <c r="Z2961" s="5">
        <f t="shared" si="924"/>
        <v>0</v>
      </c>
      <c r="AA2961" s="5">
        <f t="shared" si="925"/>
        <v>0</v>
      </c>
      <c r="AB2961" s="5">
        <f t="shared" si="915"/>
        <v>0</v>
      </c>
    </row>
    <row r="2962" spans="1:29" x14ac:dyDescent="0.25">
      <c r="D2962" t="s">
        <v>101</v>
      </c>
      <c r="E2962" s="14"/>
      <c r="F2962" s="14"/>
      <c r="G2962">
        <f>IFERROR(HLOOKUP(G$2,[89]table_male_hkom3_inj.ill_X8!$A$1:$K$36,34,FALSE),0)</f>
        <v>0</v>
      </c>
      <c r="H2962">
        <f>IFERROR(HLOOKUP(H$2,[89]table_male_hkom3_inj.ill_X8!$A$1:$K$36,34,FALSE),0)</f>
        <v>1</v>
      </c>
      <c r="I2962">
        <f>IFERROR(HLOOKUP(I$2,[89]table_male_hkom3_inj.ill_X8!$A$1:$K$36,34,FALSE),0)</f>
        <v>1</v>
      </c>
      <c r="J2962">
        <f>IFERROR(HLOOKUP(J$2,[89]table_male_hkom3_inj.ill_X8!$A$1:$K$36,34,FALSE),0)</f>
        <v>0</v>
      </c>
      <c r="K2962">
        <f>IFERROR(HLOOKUP(K$2,[89]table_male_hkom3_inj.ill_X8!$A$1:$K$36,34,FALSE),0)</f>
        <v>0</v>
      </c>
      <c r="L2962">
        <f>IFERROR(HLOOKUP(L$2,[89]table_male_hkom3_inj.ill_X8!$A$1:$K$36,34,FALSE),0)</f>
        <v>0</v>
      </c>
      <c r="M2962">
        <f t="shared" si="917"/>
        <v>2</v>
      </c>
      <c r="S2962" t="s">
        <v>101</v>
      </c>
      <c r="T2962" s="5">
        <f t="shared" si="918"/>
        <v>0</v>
      </c>
      <c r="U2962" s="5">
        <f t="shared" si="919"/>
        <v>0</v>
      </c>
      <c r="V2962" s="5">
        <f t="shared" si="920"/>
        <v>0</v>
      </c>
      <c r="W2962" s="5">
        <f t="shared" si="921"/>
        <v>2.4000000000000004</v>
      </c>
      <c r="X2962" s="5">
        <f t="shared" si="922"/>
        <v>1.1111111111111112</v>
      </c>
      <c r="Y2962" s="5">
        <f t="shared" si="923"/>
        <v>0</v>
      </c>
      <c r="Z2962" s="5">
        <f t="shared" si="924"/>
        <v>0</v>
      </c>
      <c r="AA2962" s="5">
        <f t="shared" si="925"/>
        <v>0</v>
      </c>
      <c r="AB2962" s="5">
        <f t="shared" si="915"/>
        <v>3.5111111111111115</v>
      </c>
    </row>
    <row r="2963" spans="1:29" x14ac:dyDescent="0.25">
      <c r="D2963" t="s">
        <v>102</v>
      </c>
      <c r="E2963" s="14"/>
      <c r="F2963" s="14"/>
      <c r="G2963">
        <f>IFERROR(HLOOKUP(G$2,[89]table_male_hkom3_inj.ill_X8!$A$1:$K$36,35,FALSE),0)</f>
        <v>1</v>
      </c>
      <c r="H2963">
        <f>IFERROR(HLOOKUP(H$2,[89]table_male_hkom3_inj.ill_X8!$A$1:$K$36,35,FALSE),0)</f>
        <v>7</v>
      </c>
      <c r="I2963">
        <f>IFERROR(HLOOKUP(I$2,[89]table_male_hkom3_inj.ill_X8!$A$1:$K$36,35,FALSE),0)</f>
        <v>1</v>
      </c>
      <c r="J2963">
        <f>IFERROR(HLOOKUP(J$2,[89]table_male_hkom3_inj.ill_X8!$A$1:$K$36,35,FALSE),0)</f>
        <v>0</v>
      </c>
      <c r="K2963">
        <f>IFERROR(HLOOKUP(K$2,[89]table_male_hkom3_inj.ill_X8!$A$1:$K$36,35,FALSE),0)</f>
        <v>0</v>
      </c>
      <c r="L2963">
        <f>IFERROR(HLOOKUP(L$2,[89]table_male_hkom3_inj.ill_X8!$A$1:$K$36,35,FALSE),0)</f>
        <v>0</v>
      </c>
      <c r="M2963">
        <f t="shared" si="917"/>
        <v>9</v>
      </c>
      <c r="N2963">
        <f>SUM(M2930:M2963)</f>
        <v>29</v>
      </c>
      <c r="O2963" s="8">
        <f>SUM([89]table_male_hkom3_inj.ill_X8!$B$2:$L$37)</f>
        <v>29</v>
      </c>
      <c r="S2963" t="s">
        <v>102</v>
      </c>
      <c r="T2963" s="7"/>
      <c r="U2963" s="7"/>
      <c r="V2963" s="7"/>
      <c r="W2963" s="7"/>
      <c r="X2963" s="7"/>
      <c r="Y2963" s="7"/>
      <c r="Z2963" s="7"/>
      <c r="AA2963" s="7"/>
      <c r="AB2963" s="5">
        <f t="shared" si="915"/>
        <v>0</v>
      </c>
      <c r="AC2963" s="5">
        <f>SUM(AB2930:AB2962)</f>
        <v>29</v>
      </c>
    </row>
    <row r="2964" spans="1:29" x14ac:dyDescent="0.25">
      <c r="A2964" t="s">
        <v>115</v>
      </c>
      <c r="B2964" t="s">
        <v>103</v>
      </c>
      <c r="C2964" t="s">
        <v>124</v>
      </c>
      <c r="D2964" t="s">
        <v>70</v>
      </c>
      <c r="E2964" s="14"/>
      <c r="F2964" s="14"/>
      <c r="G2964">
        <f>IFERROR(HLOOKUP(G$2,[90]table_female_hkom1_inj.ill_X2!$A$1:$K$36,2,FALSE),0)</f>
        <v>0</v>
      </c>
      <c r="H2964">
        <f>IFERROR(HLOOKUP(H$2,[90]table_female_hkom1_inj.ill_X2!$A$1:$K$36,2,FALSE),0)</f>
        <v>0</v>
      </c>
      <c r="I2964">
        <f>IFERROR(HLOOKUP(I$2,[90]table_female_hkom1_inj.ill_X2!$A$1:$K$36,2,FALSE),0)</f>
        <v>0</v>
      </c>
      <c r="J2964">
        <f>IFERROR(HLOOKUP(J$2,[90]table_female_hkom1_inj.ill_X2!$A$1:$K$36,2,FALSE),0)</f>
        <v>0</v>
      </c>
      <c r="K2964">
        <f>IFERROR(HLOOKUP(K$2,[90]table_female_hkom1_inj.ill_X2!$A$1:$K$36,2,FALSE),0)</f>
        <v>0</v>
      </c>
      <c r="L2964">
        <f>IFERROR(HLOOKUP(L$2,[90]table_female_hkom1_inj.ill_X2!$A$1:$K$36,2,FALSE),0)</f>
        <v>0</v>
      </c>
      <c r="M2964">
        <f>SUM(E2964:L2964)</f>
        <v>0</v>
      </c>
      <c r="P2964" t="s">
        <v>115</v>
      </c>
      <c r="Q2964" t="s">
        <v>103</v>
      </c>
      <c r="R2964" t="s">
        <v>124</v>
      </c>
      <c r="S2964" t="s">
        <v>70</v>
      </c>
      <c r="T2964" s="5">
        <f>IF(SUM(E$2964:E$2996)=0,E$2997/33,E2964+IFERROR(E2964/SUM(E$2964:E$2996)*E$2997,0))</f>
        <v>0</v>
      </c>
      <c r="U2964" s="5">
        <f t="shared" ref="U2964:AA2964" si="926">IF(SUM(F$2964:F$2996)=0,F$2997/33,F2964+IFERROR(F2964/SUM(F$2964:F$2996)*F$2997,0))</f>
        <v>0</v>
      </c>
      <c r="V2964" s="5">
        <f t="shared" si="926"/>
        <v>0</v>
      </c>
      <c r="W2964" s="5">
        <f t="shared" si="926"/>
        <v>0</v>
      </c>
      <c r="X2964" s="5">
        <f t="shared" si="926"/>
        <v>0</v>
      </c>
      <c r="Y2964" s="5">
        <f t="shared" si="926"/>
        <v>0</v>
      </c>
      <c r="Z2964" s="5">
        <f t="shared" si="926"/>
        <v>0</v>
      </c>
      <c r="AA2964" s="5">
        <f t="shared" si="926"/>
        <v>0</v>
      </c>
      <c r="AB2964" s="5">
        <f t="shared" si="915"/>
        <v>0</v>
      </c>
    </row>
    <row r="2965" spans="1:29" x14ac:dyDescent="0.25">
      <c r="D2965" t="s">
        <v>71</v>
      </c>
      <c r="E2965" s="14"/>
      <c r="F2965" s="14"/>
      <c r="G2965">
        <f>IFERROR(HLOOKUP(G$2,[90]table_female_hkom1_inj.ill_X2!$A$1:$K$36,3,FALSE),0)</f>
        <v>0</v>
      </c>
      <c r="H2965">
        <f>IFERROR(HLOOKUP(H$2,[90]table_female_hkom1_inj.ill_X2!$A$1:$K$36,3,FALSE),0)</f>
        <v>0</v>
      </c>
      <c r="I2965">
        <f>IFERROR(HLOOKUP(I$2,[90]table_female_hkom1_inj.ill_X2!$A$1:$K$36,3,FALSE),0)</f>
        <v>0</v>
      </c>
      <c r="J2965">
        <f>IFERROR(HLOOKUP(J$2,[90]table_female_hkom1_inj.ill_X2!$A$1:$K$36,3,FALSE),0)</f>
        <v>0</v>
      </c>
      <c r="K2965">
        <f>IFERROR(HLOOKUP(K$2,[90]table_female_hkom1_inj.ill_X2!$A$1:$K$36,3,FALSE),0)</f>
        <v>0</v>
      </c>
      <c r="L2965">
        <f>IFERROR(HLOOKUP(L$2,[90]table_female_hkom1_inj.ill_X2!$A$1:$K$36,3,FALSE),0)</f>
        <v>0</v>
      </c>
      <c r="M2965">
        <f t="shared" ref="M2965:M2997" si="927">SUM(E2965:L2965)</f>
        <v>0</v>
      </c>
      <c r="S2965" t="s">
        <v>71</v>
      </c>
      <c r="T2965" s="5">
        <f t="shared" ref="T2965:T2996" si="928">IF(SUM(E$2964:E$2996)=0,E$2997/33,E2965+IFERROR(E2965/SUM(E$2964:E$2996)*E$2997,0))</f>
        <v>0</v>
      </c>
      <c r="U2965" s="5">
        <f t="shared" ref="U2965:U2996" si="929">IF(SUM(F$2964:F$2996)=0,F$2997/33,F2965+IFERROR(F2965/SUM(F$2964:F$2996)*F$2997,0))</f>
        <v>0</v>
      </c>
      <c r="V2965" s="5">
        <f t="shared" ref="V2965:V2996" si="930">IF(SUM(G$2964:G$2996)=0,G$2997/33,G2965+IFERROR(G2965/SUM(G$2964:G$2996)*G$2997,0))</f>
        <v>0</v>
      </c>
      <c r="W2965" s="5">
        <f t="shared" ref="W2965:W2996" si="931">IF(SUM(H$2964:H$2996)=0,H$2997/33,H2965+IFERROR(H2965/SUM(H$2964:H$2996)*H$2997,0))</f>
        <v>0</v>
      </c>
      <c r="X2965" s="5">
        <f t="shared" ref="X2965:X2996" si="932">IF(SUM(I$2964:I$2996)=0,I$2997/33,I2965+IFERROR(I2965/SUM(I$2964:I$2996)*I$2997,0))</f>
        <v>0</v>
      </c>
      <c r="Y2965" s="5">
        <f t="shared" ref="Y2965:Y2996" si="933">IF(SUM(J$2964:J$2996)=0,J$2997/33,J2965+IFERROR(J2965/SUM(J$2964:J$2996)*J$2997,0))</f>
        <v>0</v>
      </c>
      <c r="Z2965" s="5">
        <f t="shared" ref="Z2965:Z2996" si="934">IF(SUM(K$2964:K$2996)=0,K$2997/33,K2965+IFERROR(K2965/SUM(K$2964:K$2996)*K$2997,0))</f>
        <v>0</v>
      </c>
      <c r="AA2965" s="5">
        <f t="shared" ref="AA2965:AA2996" si="935">IF(SUM(L$2964:L$2996)=0,L$2997/33,L2965+IFERROR(L2965/SUM(L$2964:L$2996)*L$2997,0))</f>
        <v>0</v>
      </c>
      <c r="AB2965" s="5">
        <f t="shared" si="915"/>
        <v>0</v>
      </c>
    </row>
    <row r="2966" spans="1:29" x14ac:dyDescent="0.25">
      <c r="D2966" t="s">
        <v>72</v>
      </c>
      <c r="E2966" s="14"/>
      <c r="F2966" s="14"/>
      <c r="G2966">
        <f>IFERROR(HLOOKUP(G$2,[90]table_female_hkom1_inj.ill_X2!$A$1:$K$36,4,FALSE),0)</f>
        <v>0</v>
      </c>
      <c r="H2966">
        <f>IFERROR(HLOOKUP(H$2,[90]table_female_hkom1_inj.ill_X2!$A$1:$K$36,4,FALSE),0)</f>
        <v>0</v>
      </c>
      <c r="I2966">
        <f>IFERROR(HLOOKUP(I$2,[90]table_female_hkom1_inj.ill_X2!$A$1:$K$36,4,FALSE),0)</f>
        <v>0</v>
      </c>
      <c r="J2966">
        <f>IFERROR(HLOOKUP(J$2,[90]table_female_hkom1_inj.ill_X2!$A$1:$K$36,4,FALSE),0)</f>
        <v>0</v>
      </c>
      <c r="K2966">
        <f>IFERROR(HLOOKUP(K$2,[90]table_female_hkom1_inj.ill_X2!$A$1:$K$36,4,FALSE),0)</f>
        <v>0</v>
      </c>
      <c r="L2966">
        <f>IFERROR(HLOOKUP(L$2,[90]table_female_hkom1_inj.ill_X2!$A$1:$K$36,4,FALSE),0)</f>
        <v>0</v>
      </c>
      <c r="M2966">
        <f t="shared" si="927"/>
        <v>0</v>
      </c>
      <c r="S2966" t="s">
        <v>72</v>
      </c>
      <c r="T2966" s="5">
        <f t="shared" si="928"/>
        <v>0</v>
      </c>
      <c r="U2966" s="5">
        <f t="shared" si="929"/>
        <v>0</v>
      </c>
      <c r="V2966" s="5">
        <f t="shared" si="930"/>
        <v>0</v>
      </c>
      <c r="W2966" s="5">
        <f t="shared" si="931"/>
        <v>0</v>
      </c>
      <c r="X2966" s="5">
        <f t="shared" si="932"/>
        <v>0</v>
      </c>
      <c r="Y2966" s="5">
        <f t="shared" si="933"/>
        <v>0</v>
      </c>
      <c r="Z2966" s="5">
        <f t="shared" si="934"/>
        <v>0</v>
      </c>
      <c r="AA2966" s="5">
        <f t="shared" si="935"/>
        <v>0</v>
      </c>
      <c r="AB2966" s="5">
        <f t="shared" si="915"/>
        <v>0</v>
      </c>
    </row>
    <row r="2967" spans="1:29" x14ac:dyDescent="0.25">
      <c r="D2967" t="s">
        <v>73</v>
      </c>
      <c r="E2967" s="14"/>
      <c r="F2967" s="14"/>
      <c r="G2967">
        <f>IFERROR(HLOOKUP(G$2,[90]table_female_hkom1_inj.ill_X2!$A$1:$K$36,5,FALSE),0)</f>
        <v>0</v>
      </c>
      <c r="H2967">
        <f>IFERROR(HLOOKUP(H$2,[90]table_female_hkom1_inj.ill_X2!$A$1:$K$36,5,FALSE),0)</f>
        <v>0</v>
      </c>
      <c r="I2967">
        <f>IFERROR(HLOOKUP(I$2,[90]table_female_hkom1_inj.ill_X2!$A$1:$K$36,5,FALSE),0)</f>
        <v>0</v>
      </c>
      <c r="J2967">
        <f>IFERROR(HLOOKUP(J$2,[90]table_female_hkom1_inj.ill_X2!$A$1:$K$36,5,FALSE),0)</f>
        <v>0</v>
      </c>
      <c r="K2967">
        <f>IFERROR(HLOOKUP(K$2,[90]table_female_hkom1_inj.ill_X2!$A$1:$K$36,5,FALSE),0)</f>
        <v>0</v>
      </c>
      <c r="L2967">
        <f>IFERROR(HLOOKUP(L$2,[90]table_female_hkom1_inj.ill_X2!$A$1:$K$36,5,FALSE),0)</f>
        <v>0</v>
      </c>
      <c r="M2967">
        <f t="shared" si="927"/>
        <v>0</v>
      </c>
      <c r="S2967" t="s">
        <v>73</v>
      </c>
      <c r="T2967" s="5">
        <f t="shared" si="928"/>
        <v>0</v>
      </c>
      <c r="U2967" s="5">
        <f t="shared" si="929"/>
        <v>0</v>
      </c>
      <c r="V2967" s="5">
        <f t="shared" si="930"/>
        <v>0</v>
      </c>
      <c r="W2967" s="5">
        <f t="shared" si="931"/>
        <v>0</v>
      </c>
      <c r="X2967" s="5">
        <f t="shared" si="932"/>
        <v>0</v>
      </c>
      <c r="Y2967" s="5">
        <f t="shared" si="933"/>
        <v>0</v>
      </c>
      <c r="Z2967" s="5">
        <f t="shared" si="934"/>
        <v>0</v>
      </c>
      <c r="AA2967" s="5">
        <f t="shared" si="935"/>
        <v>0</v>
      </c>
      <c r="AB2967" s="5">
        <f t="shared" si="915"/>
        <v>0</v>
      </c>
    </row>
    <row r="2968" spans="1:29" x14ac:dyDescent="0.25">
      <c r="D2968" t="s">
        <v>74</v>
      </c>
      <c r="E2968" s="14"/>
      <c r="F2968" s="14"/>
      <c r="G2968">
        <f>IFERROR(HLOOKUP(G$2,[90]table_female_hkom1_inj.ill_X2!$A$1:$K$36,6,FALSE),0)</f>
        <v>0</v>
      </c>
      <c r="H2968">
        <f>IFERROR(HLOOKUP(H$2,[90]table_female_hkom1_inj.ill_X2!$A$1:$K$36,6,FALSE),0)</f>
        <v>0</v>
      </c>
      <c r="I2968">
        <f>IFERROR(HLOOKUP(I$2,[90]table_female_hkom1_inj.ill_X2!$A$1:$K$36,6,FALSE),0)</f>
        <v>0</v>
      </c>
      <c r="J2968">
        <f>IFERROR(HLOOKUP(J$2,[90]table_female_hkom1_inj.ill_X2!$A$1:$K$36,6,FALSE),0)</f>
        <v>0</v>
      </c>
      <c r="K2968">
        <f>IFERROR(HLOOKUP(K$2,[90]table_female_hkom1_inj.ill_X2!$A$1:$K$36,6,FALSE),0)</f>
        <v>0</v>
      </c>
      <c r="L2968">
        <f>IFERROR(HLOOKUP(L$2,[90]table_female_hkom1_inj.ill_X2!$A$1:$K$36,6,FALSE),0)</f>
        <v>0</v>
      </c>
      <c r="M2968">
        <f t="shared" si="927"/>
        <v>0</v>
      </c>
      <c r="S2968" t="s">
        <v>74</v>
      </c>
      <c r="T2968" s="5">
        <f t="shared" si="928"/>
        <v>0</v>
      </c>
      <c r="U2968" s="5">
        <f t="shared" si="929"/>
        <v>0</v>
      </c>
      <c r="V2968" s="5">
        <f t="shared" si="930"/>
        <v>0</v>
      </c>
      <c r="W2968" s="5">
        <f t="shared" si="931"/>
        <v>0</v>
      </c>
      <c r="X2968" s="5">
        <f t="shared" si="932"/>
        <v>0</v>
      </c>
      <c r="Y2968" s="5">
        <f t="shared" si="933"/>
        <v>0</v>
      </c>
      <c r="Z2968" s="5">
        <f t="shared" si="934"/>
        <v>0</v>
      </c>
      <c r="AA2968" s="5">
        <f t="shared" si="935"/>
        <v>0</v>
      </c>
      <c r="AB2968" s="5">
        <f t="shared" si="915"/>
        <v>0</v>
      </c>
    </row>
    <row r="2969" spans="1:29" x14ac:dyDescent="0.25">
      <c r="D2969" t="s">
        <v>75</v>
      </c>
      <c r="E2969" s="14"/>
      <c r="F2969" s="14"/>
      <c r="G2969">
        <f>IFERROR(HLOOKUP(G$2,[90]table_female_hkom1_inj.ill_X2!$A$1:$K$36,7,FALSE),0)</f>
        <v>0</v>
      </c>
      <c r="H2969">
        <f>IFERROR(HLOOKUP(H$2,[90]table_female_hkom1_inj.ill_X2!$A$1:$K$36,7,FALSE),0)</f>
        <v>0</v>
      </c>
      <c r="I2969">
        <f>IFERROR(HLOOKUP(I$2,[90]table_female_hkom1_inj.ill_X2!$A$1:$K$36,7,FALSE),0)</f>
        <v>0</v>
      </c>
      <c r="J2969">
        <f>IFERROR(HLOOKUP(J$2,[90]table_female_hkom1_inj.ill_X2!$A$1:$K$36,7,FALSE),0)</f>
        <v>0</v>
      </c>
      <c r="K2969">
        <f>IFERROR(HLOOKUP(K$2,[90]table_female_hkom1_inj.ill_X2!$A$1:$K$36,7,FALSE),0)</f>
        <v>0</v>
      </c>
      <c r="L2969">
        <f>IFERROR(HLOOKUP(L$2,[90]table_female_hkom1_inj.ill_X2!$A$1:$K$36,7,FALSE),0)</f>
        <v>0</v>
      </c>
      <c r="M2969">
        <f t="shared" si="927"/>
        <v>0</v>
      </c>
      <c r="S2969" t="s">
        <v>75</v>
      </c>
      <c r="T2969" s="5">
        <f t="shared" si="928"/>
        <v>0</v>
      </c>
      <c r="U2969" s="5">
        <f t="shared" si="929"/>
        <v>0</v>
      </c>
      <c r="V2969" s="5">
        <f t="shared" si="930"/>
        <v>0</v>
      </c>
      <c r="W2969" s="5">
        <f t="shared" si="931"/>
        <v>0</v>
      </c>
      <c r="X2969" s="5">
        <f t="shared" si="932"/>
        <v>0</v>
      </c>
      <c r="Y2969" s="5">
        <f t="shared" si="933"/>
        <v>0</v>
      </c>
      <c r="Z2969" s="5">
        <f t="shared" si="934"/>
        <v>0</v>
      </c>
      <c r="AA2969" s="5">
        <f t="shared" si="935"/>
        <v>0</v>
      </c>
      <c r="AB2969" s="5">
        <f t="shared" si="915"/>
        <v>0</v>
      </c>
    </row>
    <row r="2970" spans="1:29" x14ac:dyDescent="0.25">
      <c r="D2970" t="s">
        <v>76</v>
      </c>
      <c r="E2970" s="14"/>
      <c r="F2970" s="14"/>
      <c r="G2970">
        <f>IFERROR(HLOOKUP(G$2,[90]table_female_hkom1_inj.ill_X2!$A$1:$K$36,8,FALSE),0)</f>
        <v>0</v>
      </c>
      <c r="H2970">
        <f>IFERROR(HLOOKUP(H$2,[90]table_female_hkom1_inj.ill_X2!$A$1:$K$36,8,FALSE),0)</f>
        <v>0</v>
      </c>
      <c r="I2970">
        <f>IFERROR(HLOOKUP(I$2,[90]table_female_hkom1_inj.ill_X2!$A$1:$K$36,8,FALSE),0)</f>
        <v>0</v>
      </c>
      <c r="J2970">
        <f>IFERROR(HLOOKUP(J$2,[90]table_female_hkom1_inj.ill_X2!$A$1:$K$36,8,FALSE),0)</f>
        <v>0</v>
      </c>
      <c r="K2970">
        <f>IFERROR(HLOOKUP(K$2,[90]table_female_hkom1_inj.ill_X2!$A$1:$K$36,8,FALSE),0)</f>
        <v>0</v>
      </c>
      <c r="L2970">
        <f>IFERROR(HLOOKUP(L$2,[90]table_female_hkom1_inj.ill_X2!$A$1:$K$36,8,FALSE),0)</f>
        <v>0</v>
      </c>
      <c r="M2970">
        <f t="shared" si="927"/>
        <v>0</v>
      </c>
      <c r="S2970" t="s">
        <v>76</v>
      </c>
      <c r="T2970" s="5">
        <f t="shared" si="928"/>
        <v>0</v>
      </c>
      <c r="U2970" s="5">
        <f t="shared" si="929"/>
        <v>0</v>
      </c>
      <c r="V2970" s="5">
        <f t="shared" si="930"/>
        <v>0</v>
      </c>
      <c r="W2970" s="5">
        <f t="shared" si="931"/>
        <v>0</v>
      </c>
      <c r="X2970" s="5">
        <f t="shared" si="932"/>
        <v>0</v>
      </c>
      <c r="Y2970" s="5">
        <f t="shared" si="933"/>
        <v>0</v>
      </c>
      <c r="Z2970" s="5">
        <f t="shared" si="934"/>
        <v>0</v>
      </c>
      <c r="AA2970" s="5">
        <f t="shared" si="935"/>
        <v>0</v>
      </c>
      <c r="AB2970" s="5">
        <f t="shared" si="915"/>
        <v>0</v>
      </c>
    </row>
    <row r="2971" spans="1:29" x14ac:dyDescent="0.25">
      <c r="D2971" t="s">
        <v>77</v>
      </c>
      <c r="E2971" s="14"/>
      <c r="F2971" s="14"/>
      <c r="G2971">
        <f>IFERROR(HLOOKUP(G$2,[90]table_female_hkom1_inj.ill_X2!$A$1:$K$36,9,FALSE),0)</f>
        <v>0</v>
      </c>
      <c r="H2971">
        <f>IFERROR(HLOOKUP(H$2,[90]table_female_hkom1_inj.ill_X2!$A$1:$K$36,9,FALSE),0)</f>
        <v>0</v>
      </c>
      <c r="I2971">
        <f>IFERROR(HLOOKUP(I$2,[90]table_female_hkom1_inj.ill_X2!$A$1:$K$36,9,FALSE),0)</f>
        <v>0</v>
      </c>
      <c r="J2971">
        <f>IFERROR(HLOOKUP(J$2,[90]table_female_hkom1_inj.ill_X2!$A$1:$K$36,9,FALSE),0)</f>
        <v>0</v>
      </c>
      <c r="K2971">
        <f>IFERROR(HLOOKUP(K$2,[90]table_female_hkom1_inj.ill_X2!$A$1:$K$36,9,FALSE),0)</f>
        <v>0</v>
      </c>
      <c r="L2971">
        <f>IFERROR(HLOOKUP(L$2,[90]table_female_hkom1_inj.ill_X2!$A$1:$K$36,9,FALSE),0)</f>
        <v>0</v>
      </c>
      <c r="M2971">
        <f t="shared" si="927"/>
        <v>0</v>
      </c>
      <c r="S2971" t="s">
        <v>77</v>
      </c>
      <c r="T2971" s="5">
        <f t="shared" si="928"/>
        <v>0</v>
      </c>
      <c r="U2971" s="5">
        <f t="shared" si="929"/>
        <v>0</v>
      </c>
      <c r="V2971" s="5">
        <f t="shared" si="930"/>
        <v>0</v>
      </c>
      <c r="W2971" s="5">
        <f t="shared" si="931"/>
        <v>0</v>
      </c>
      <c r="X2971" s="5">
        <f t="shared" si="932"/>
        <v>0</v>
      </c>
      <c r="Y2971" s="5">
        <f t="shared" si="933"/>
        <v>0</v>
      </c>
      <c r="Z2971" s="5">
        <f t="shared" si="934"/>
        <v>0</v>
      </c>
      <c r="AA2971" s="5">
        <f t="shared" si="935"/>
        <v>0</v>
      </c>
      <c r="AB2971" s="5">
        <f t="shared" si="915"/>
        <v>0</v>
      </c>
    </row>
    <row r="2972" spans="1:29" x14ac:dyDescent="0.25">
      <c r="D2972" t="s">
        <v>78</v>
      </c>
      <c r="E2972" s="14"/>
      <c r="F2972" s="14"/>
      <c r="G2972">
        <f>IFERROR(HLOOKUP(G$2,[90]table_female_hkom1_inj.ill_X2!$A$1:$K$36,10,FALSE),0)</f>
        <v>0</v>
      </c>
      <c r="H2972">
        <f>IFERROR(HLOOKUP(H$2,[90]table_female_hkom1_inj.ill_X2!$A$1:$K$36,10,FALSE),0)</f>
        <v>0</v>
      </c>
      <c r="I2972">
        <f>IFERROR(HLOOKUP(I$2,[90]table_female_hkom1_inj.ill_X2!$A$1:$K$36,10,FALSE),0)</f>
        <v>0</v>
      </c>
      <c r="J2972">
        <f>IFERROR(HLOOKUP(J$2,[90]table_female_hkom1_inj.ill_X2!$A$1:$K$36,10,FALSE),0)</f>
        <v>0</v>
      </c>
      <c r="K2972">
        <f>IFERROR(HLOOKUP(K$2,[90]table_female_hkom1_inj.ill_X2!$A$1:$K$36,10,FALSE),0)</f>
        <v>0</v>
      </c>
      <c r="L2972">
        <f>IFERROR(HLOOKUP(L$2,[90]table_female_hkom1_inj.ill_X2!$A$1:$K$36,10,FALSE),0)</f>
        <v>0</v>
      </c>
      <c r="M2972">
        <f t="shared" si="927"/>
        <v>0</v>
      </c>
      <c r="S2972" t="s">
        <v>78</v>
      </c>
      <c r="T2972" s="5">
        <f t="shared" si="928"/>
        <v>0</v>
      </c>
      <c r="U2972" s="5">
        <f t="shared" si="929"/>
        <v>0</v>
      </c>
      <c r="V2972" s="5">
        <f t="shared" si="930"/>
        <v>0</v>
      </c>
      <c r="W2972" s="5">
        <f t="shared" si="931"/>
        <v>0</v>
      </c>
      <c r="X2972" s="5">
        <f t="shared" si="932"/>
        <v>0</v>
      </c>
      <c r="Y2972" s="5">
        <f t="shared" si="933"/>
        <v>0</v>
      </c>
      <c r="Z2972" s="5">
        <f t="shared" si="934"/>
        <v>0</v>
      </c>
      <c r="AA2972" s="5">
        <f t="shared" si="935"/>
        <v>0</v>
      </c>
      <c r="AB2972" s="5">
        <f t="shared" si="915"/>
        <v>0</v>
      </c>
    </row>
    <row r="2973" spans="1:29" x14ac:dyDescent="0.25">
      <c r="D2973" t="s">
        <v>79</v>
      </c>
      <c r="E2973" s="14"/>
      <c r="F2973" s="14"/>
      <c r="G2973">
        <f>IFERROR(HLOOKUP(G$2,[90]table_female_hkom1_inj.ill_X2!$A$1:$K$36,11,FALSE),0)</f>
        <v>0</v>
      </c>
      <c r="H2973">
        <f>IFERROR(HLOOKUP(H$2,[90]table_female_hkom1_inj.ill_X2!$A$1:$K$36,11,FALSE),0)</f>
        <v>0</v>
      </c>
      <c r="I2973">
        <f>IFERROR(HLOOKUP(I$2,[90]table_female_hkom1_inj.ill_X2!$A$1:$K$36,11,FALSE),0)</f>
        <v>0</v>
      </c>
      <c r="J2973">
        <f>IFERROR(HLOOKUP(J$2,[90]table_female_hkom1_inj.ill_X2!$A$1:$K$36,11,FALSE),0)</f>
        <v>0</v>
      </c>
      <c r="K2973">
        <f>IFERROR(HLOOKUP(K$2,[90]table_female_hkom1_inj.ill_X2!$A$1:$K$36,11,FALSE),0)</f>
        <v>0</v>
      </c>
      <c r="L2973">
        <f>IFERROR(HLOOKUP(L$2,[90]table_female_hkom1_inj.ill_X2!$A$1:$K$36,11,FALSE),0)</f>
        <v>0</v>
      </c>
      <c r="M2973">
        <f t="shared" si="927"/>
        <v>0</v>
      </c>
      <c r="S2973" t="s">
        <v>79</v>
      </c>
      <c r="T2973" s="5">
        <f t="shared" si="928"/>
        <v>0</v>
      </c>
      <c r="U2973" s="5">
        <f t="shared" si="929"/>
        <v>0</v>
      </c>
      <c r="V2973" s="5">
        <f t="shared" si="930"/>
        <v>0</v>
      </c>
      <c r="W2973" s="5">
        <f t="shared" si="931"/>
        <v>0</v>
      </c>
      <c r="X2973" s="5">
        <f t="shared" si="932"/>
        <v>0</v>
      </c>
      <c r="Y2973" s="5">
        <f t="shared" si="933"/>
        <v>0</v>
      </c>
      <c r="Z2973" s="5">
        <f t="shared" si="934"/>
        <v>0</v>
      </c>
      <c r="AA2973" s="5">
        <f t="shared" si="935"/>
        <v>0</v>
      </c>
      <c r="AB2973" s="5">
        <f t="shared" si="915"/>
        <v>0</v>
      </c>
    </row>
    <row r="2974" spans="1:29" x14ac:dyDescent="0.25">
      <c r="D2974" t="s">
        <v>80</v>
      </c>
      <c r="E2974" s="14"/>
      <c r="F2974" s="14"/>
      <c r="G2974">
        <f>IFERROR(HLOOKUP(G$2,[90]table_female_hkom1_inj.ill_X2!$A$1:$K$36,12,FALSE),0)</f>
        <v>0</v>
      </c>
      <c r="H2974">
        <f>IFERROR(HLOOKUP(H$2,[90]table_female_hkom1_inj.ill_X2!$A$1:$K$36,12,FALSE),0)</f>
        <v>0</v>
      </c>
      <c r="I2974">
        <f>IFERROR(HLOOKUP(I$2,[90]table_female_hkom1_inj.ill_X2!$A$1:$K$36,12,FALSE),0)</f>
        <v>0</v>
      </c>
      <c r="J2974">
        <f>IFERROR(HLOOKUP(J$2,[90]table_female_hkom1_inj.ill_X2!$A$1:$K$36,12,FALSE),0)</f>
        <v>0</v>
      </c>
      <c r="K2974">
        <f>IFERROR(HLOOKUP(K$2,[90]table_female_hkom1_inj.ill_X2!$A$1:$K$36,12,FALSE),0)</f>
        <v>0</v>
      </c>
      <c r="L2974">
        <f>IFERROR(HLOOKUP(L$2,[90]table_female_hkom1_inj.ill_X2!$A$1:$K$36,12,FALSE),0)</f>
        <v>0</v>
      </c>
      <c r="M2974">
        <f t="shared" si="927"/>
        <v>0</v>
      </c>
      <c r="S2974" t="s">
        <v>80</v>
      </c>
      <c r="T2974" s="5">
        <f t="shared" si="928"/>
        <v>0</v>
      </c>
      <c r="U2974" s="5">
        <f t="shared" si="929"/>
        <v>0</v>
      </c>
      <c r="V2974" s="5">
        <f t="shared" si="930"/>
        <v>0</v>
      </c>
      <c r="W2974" s="5">
        <f t="shared" si="931"/>
        <v>0</v>
      </c>
      <c r="X2974" s="5">
        <f t="shared" si="932"/>
        <v>0</v>
      </c>
      <c r="Y2974" s="5">
        <f t="shared" si="933"/>
        <v>0</v>
      </c>
      <c r="Z2974" s="5">
        <f t="shared" si="934"/>
        <v>0</v>
      </c>
      <c r="AA2974" s="5">
        <f t="shared" si="935"/>
        <v>0</v>
      </c>
      <c r="AB2974" s="5">
        <f t="shared" si="915"/>
        <v>0</v>
      </c>
    </row>
    <row r="2975" spans="1:29" x14ac:dyDescent="0.25">
      <c r="D2975" t="s">
        <v>81</v>
      </c>
      <c r="E2975" s="14"/>
      <c r="F2975" s="14"/>
      <c r="G2975">
        <f>IFERROR(HLOOKUP(G$2,[90]table_female_hkom1_inj.ill_X2!$A$1:$K$36,13,FALSE),0)</f>
        <v>0</v>
      </c>
      <c r="H2975">
        <f>IFERROR(HLOOKUP(H$2,[90]table_female_hkom1_inj.ill_X2!$A$1:$K$36,13,FALSE),0)</f>
        <v>0</v>
      </c>
      <c r="I2975">
        <f>IFERROR(HLOOKUP(I$2,[90]table_female_hkom1_inj.ill_X2!$A$1:$K$36,13,FALSE),0)</f>
        <v>0</v>
      </c>
      <c r="J2975">
        <f>IFERROR(HLOOKUP(J$2,[90]table_female_hkom1_inj.ill_X2!$A$1:$K$36,13,FALSE),0)</f>
        <v>0</v>
      </c>
      <c r="K2975">
        <f>IFERROR(HLOOKUP(K$2,[90]table_female_hkom1_inj.ill_X2!$A$1:$K$36,13,FALSE),0)</f>
        <v>0</v>
      </c>
      <c r="L2975">
        <f>IFERROR(HLOOKUP(L$2,[90]table_female_hkom1_inj.ill_X2!$A$1:$K$36,13,FALSE),0)</f>
        <v>0</v>
      </c>
      <c r="M2975">
        <f t="shared" si="927"/>
        <v>0</v>
      </c>
      <c r="S2975" t="s">
        <v>81</v>
      </c>
      <c r="T2975" s="5">
        <f t="shared" si="928"/>
        <v>0</v>
      </c>
      <c r="U2975" s="5">
        <f t="shared" si="929"/>
        <v>0</v>
      </c>
      <c r="V2975" s="5">
        <f t="shared" si="930"/>
        <v>0</v>
      </c>
      <c r="W2975" s="5">
        <f t="shared" si="931"/>
        <v>0</v>
      </c>
      <c r="X2975" s="5">
        <f t="shared" si="932"/>
        <v>0</v>
      </c>
      <c r="Y2975" s="5">
        <f t="shared" si="933"/>
        <v>0</v>
      </c>
      <c r="Z2975" s="5">
        <f t="shared" si="934"/>
        <v>0</v>
      </c>
      <c r="AA2975" s="5">
        <f t="shared" si="935"/>
        <v>0</v>
      </c>
      <c r="AB2975" s="5">
        <f t="shared" si="915"/>
        <v>0</v>
      </c>
    </row>
    <row r="2976" spans="1:29" x14ac:dyDescent="0.25">
      <c r="D2976" t="s">
        <v>82</v>
      </c>
      <c r="E2976" s="14"/>
      <c r="F2976" s="14"/>
      <c r="G2976">
        <f>IFERROR(HLOOKUP(G$2,[90]table_female_hkom1_inj.ill_X2!$A$1:$K$36,14,FALSE),0)</f>
        <v>0</v>
      </c>
      <c r="H2976">
        <f>IFERROR(HLOOKUP(H$2,[90]table_female_hkom1_inj.ill_X2!$A$1:$K$36,14,FALSE),0)</f>
        <v>0</v>
      </c>
      <c r="I2976">
        <f>IFERROR(HLOOKUP(I$2,[90]table_female_hkom1_inj.ill_X2!$A$1:$K$36,14,FALSE),0)</f>
        <v>0</v>
      </c>
      <c r="J2976">
        <f>IFERROR(HLOOKUP(J$2,[90]table_female_hkom1_inj.ill_X2!$A$1:$K$36,14,FALSE),0)</f>
        <v>0</v>
      </c>
      <c r="K2976">
        <f>IFERROR(HLOOKUP(K$2,[90]table_female_hkom1_inj.ill_X2!$A$1:$K$36,14,FALSE),0)</f>
        <v>0</v>
      </c>
      <c r="L2976">
        <f>IFERROR(HLOOKUP(L$2,[90]table_female_hkom1_inj.ill_X2!$A$1:$K$36,14,FALSE),0)</f>
        <v>0</v>
      </c>
      <c r="M2976">
        <f t="shared" si="927"/>
        <v>0</v>
      </c>
      <c r="S2976" t="s">
        <v>82</v>
      </c>
      <c r="T2976" s="5">
        <f t="shared" si="928"/>
        <v>0</v>
      </c>
      <c r="U2976" s="5">
        <f t="shared" si="929"/>
        <v>0</v>
      </c>
      <c r="V2976" s="5">
        <f t="shared" si="930"/>
        <v>0</v>
      </c>
      <c r="W2976" s="5">
        <f t="shared" si="931"/>
        <v>0</v>
      </c>
      <c r="X2976" s="5">
        <f t="shared" si="932"/>
        <v>0</v>
      </c>
      <c r="Y2976" s="5">
        <f t="shared" si="933"/>
        <v>0</v>
      </c>
      <c r="Z2976" s="5">
        <f t="shared" si="934"/>
        <v>0</v>
      </c>
      <c r="AA2976" s="5">
        <f t="shared" si="935"/>
        <v>0</v>
      </c>
      <c r="AB2976" s="5">
        <f t="shared" si="915"/>
        <v>0</v>
      </c>
    </row>
    <row r="2977" spans="4:28" x14ac:dyDescent="0.25">
      <c r="D2977" t="s">
        <v>83</v>
      </c>
      <c r="E2977" s="14"/>
      <c r="F2977" s="14"/>
      <c r="G2977">
        <f>IFERROR(HLOOKUP(G$2,[90]table_female_hkom1_inj.ill_X2!$A$1:$K$36,15,FALSE),0)</f>
        <v>0</v>
      </c>
      <c r="H2977">
        <f>IFERROR(HLOOKUP(H$2,[90]table_female_hkom1_inj.ill_X2!$A$1:$K$36,15,FALSE),0)</f>
        <v>0</v>
      </c>
      <c r="I2977">
        <f>IFERROR(HLOOKUP(I$2,[90]table_female_hkom1_inj.ill_X2!$A$1:$K$36,15,FALSE),0)</f>
        <v>0</v>
      </c>
      <c r="J2977">
        <f>IFERROR(HLOOKUP(J$2,[90]table_female_hkom1_inj.ill_X2!$A$1:$K$36,15,FALSE),0)</f>
        <v>0</v>
      </c>
      <c r="K2977">
        <f>IFERROR(HLOOKUP(K$2,[90]table_female_hkom1_inj.ill_X2!$A$1:$K$36,15,FALSE),0)</f>
        <v>0</v>
      </c>
      <c r="L2977">
        <f>IFERROR(HLOOKUP(L$2,[90]table_female_hkom1_inj.ill_X2!$A$1:$K$36,15,FALSE),0)</f>
        <v>0</v>
      </c>
      <c r="M2977">
        <f t="shared" si="927"/>
        <v>0</v>
      </c>
      <c r="S2977" t="s">
        <v>83</v>
      </c>
      <c r="T2977" s="5">
        <f t="shared" si="928"/>
        <v>0</v>
      </c>
      <c r="U2977" s="5">
        <f t="shared" si="929"/>
        <v>0</v>
      </c>
      <c r="V2977" s="5">
        <f t="shared" si="930"/>
        <v>0</v>
      </c>
      <c r="W2977" s="5">
        <f t="shared" si="931"/>
        <v>0</v>
      </c>
      <c r="X2977" s="5">
        <f t="shared" si="932"/>
        <v>0</v>
      </c>
      <c r="Y2977" s="5">
        <f t="shared" si="933"/>
        <v>0</v>
      </c>
      <c r="Z2977" s="5">
        <f t="shared" si="934"/>
        <v>0</v>
      </c>
      <c r="AA2977" s="5">
        <f t="shared" si="935"/>
        <v>0</v>
      </c>
      <c r="AB2977" s="5">
        <f t="shared" si="915"/>
        <v>0</v>
      </c>
    </row>
    <row r="2978" spans="4:28" x14ac:dyDescent="0.25">
      <c r="D2978" t="s">
        <v>84</v>
      </c>
      <c r="E2978" s="14"/>
      <c r="F2978" s="14"/>
      <c r="G2978">
        <f>IFERROR(HLOOKUP(G$2,[90]table_female_hkom1_inj.ill_X2!$A$1:$K$36,16,FALSE),0)</f>
        <v>0</v>
      </c>
      <c r="H2978">
        <f>IFERROR(HLOOKUP(H$2,[90]table_female_hkom1_inj.ill_X2!$A$1:$K$36,16,FALSE),0)</f>
        <v>0</v>
      </c>
      <c r="I2978">
        <f>IFERROR(HLOOKUP(I$2,[90]table_female_hkom1_inj.ill_X2!$A$1:$K$36,16,FALSE),0)</f>
        <v>0</v>
      </c>
      <c r="J2978">
        <f>IFERROR(HLOOKUP(J$2,[90]table_female_hkom1_inj.ill_X2!$A$1:$K$36,16,FALSE),0)</f>
        <v>0</v>
      </c>
      <c r="K2978">
        <f>IFERROR(HLOOKUP(K$2,[90]table_female_hkom1_inj.ill_X2!$A$1:$K$36,16,FALSE),0)</f>
        <v>0</v>
      </c>
      <c r="L2978">
        <f>IFERROR(HLOOKUP(L$2,[90]table_female_hkom1_inj.ill_X2!$A$1:$K$36,16,FALSE),0)</f>
        <v>0</v>
      </c>
      <c r="M2978">
        <f t="shared" si="927"/>
        <v>0</v>
      </c>
      <c r="S2978" t="s">
        <v>84</v>
      </c>
      <c r="T2978" s="5">
        <f t="shared" si="928"/>
        <v>0</v>
      </c>
      <c r="U2978" s="5">
        <f t="shared" si="929"/>
        <v>0</v>
      </c>
      <c r="V2978" s="5">
        <f t="shared" si="930"/>
        <v>0</v>
      </c>
      <c r="W2978" s="5">
        <f t="shared" si="931"/>
        <v>0</v>
      </c>
      <c r="X2978" s="5">
        <f t="shared" si="932"/>
        <v>0</v>
      </c>
      <c r="Y2978" s="5">
        <f t="shared" si="933"/>
        <v>0</v>
      </c>
      <c r="Z2978" s="5">
        <f t="shared" si="934"/>
        <v>0</v>
      </c>
      <c r="AA2978" s="5">
        <f t="shared" si="935"/>
        <v>0</v>
      </c>
      <c r="AB2978" s="5">
        <f t="shared" si="915"/>
        <v>0</v>
      </c>
    </row>
    <row r="2979" spans="4:28" x14ac:dyDescent="0.25">
      <c r="D2979" t="s">
        <v>85</v>
      </c>
      <c r="E2979" s="14"/>
      <c r="F2979" s="14"/>
      <c r="G2979">
        <f>IFERROR(HLOOKUP(G$2,[90]table_female_hkom1_inj.ill_X2!$A$1:$K$36,17,FALSE),0)</f>
        <v>0</v>
      </c>
      <c r="H2979">
        <f>IFERROR(HLOOKUP(H$2,[90]table_female_hkom1_inj.ill_X2!$A$1:$K$36,17,FALSE),0)</f>
        <v>0</v>
      </c>
      <c r="I2979">
        <f>IFERROR(HLOOKUP(I$2,[90]table_female_hkom1_inj.ill_X2!$A$1:$K$36,17,FALSE),0)</f>
        <v>0</v>
      </c>
      <c r="J2979">
        <f>IFERROR(HLOOKUP(J$2,[90]table_female_hkom1_inj.ill_X2!$A$1:$K$36,17,FALSE),0)</f>
        <v>0</v>
      </c>
      <c r="K2979">
        <f>IFERROR(HLOOKUP(K$2,[90]table_female_hkom1_inj.ill_X2!$A$1:$K$36,17,FALSE),0)</f>
        <v>0</v>
      </c>
      <c r="L2979">
        <f>IFERROR(HLOOKUP(L$2,[90]table_female_hkom1_inj.ill_X2!$A$1:$K$36,17,FALSE),0)</f>
        <v>0</v>
      </c>
      <c r="M2979">
        <f t="shared" si="927"/>
        <v>0</v>
      </c>
      <c r="S2979" t="s">
        <v>85</v>
      </c>
      <c r="T2979" s="5">
        <f t="shared" si="928"/>
        <v>0</v>
      </c>
      <c r="U2979" s="5">
        <f t="shared" si="929"/>
        <v>0</v>
      </c>
      <c r="V2979" s="5">
        <f t="shared" si="930"/>
        <v>0</v>
      </c>
      <c r="W2979" s="5">
        <f t="shared" si="931"/>
        <v>0</v>
      </c>
      <c r="X2979" s="5">
        <f t="shared" si="932"/>
        <v>0</v>
      </c>
      <c r="Y2979" s="5">
        <f t="shared" si="933"/>
        <v>0</v>
      </c>
      <c r="Z2979" s="5">
        <f t="shared" si="934"/>
        <v>0</v>
      </c>
      <c r="AA2979" s="5">
        <f t="shared" si="935"/>
        <v>0</v>
      </c>
      <c r="AB2979" s="5">
        <f t="shared" si="915"/>
        <v>0</v>
      </c>
    </row>
    <row r="2980" spans="4:28" x14ac:dyDescent="0.25">
      <c r="D2980" t="s">
        <v>86</v>
      </c>
      <c r="E2980" s="14"/>
      <c r="F2980" s="14"/>
      <c r="G2980">
        <f>IFERROR(HLOOKUP(G$2,[90]table_female_hkom1_inj.ill_X2!$A$1:$K$36,18,FALSE),0)</f>
        <v>0</v>
      </c>
      <c r="H2980">
        <f>IFERROR(HLOOKUP(H$2,[90]table_female_hkom1_inj.ill_X2!$A$1:$K$36,18,FALSE),0)</f>
        <v>0</v>
      </c>
      <c r="I2980">
        <f>IFERROR(HLOOKUP(I$2,[90]table_female_hkom1_inj.ill_X2!$A$1:$K$36,18,FALSE),0)</f>
        <v>0</v>
      </c>
      <c r="J2980">
        <f>IFERROR(HLOOKUP(J$2,[90]table_female_hkom1_inj.ill_X2!$A$1:$K$36,18,FALSE),0)</f>
        <v>0</v>
      </c>
      <c r="K2980">
        <f>IFERROR(HLOOKUP(K$2,[90]table_female_hkom1_inj.ill_X2!$A$1:$K$36,18,FALSE),0)</f>
        <v>0</v>
      </c>
      <c r="L2980">
        <f>IFERROR(HLOOKUP(L$2,[90]table_female_hkom1_inj.ill_X2!$A$1:$K$36,18,FALSE),0)</f>
        <v>0</v>
      </c>
      <c r="M2980">
        <f t="shared" si="927"/>
        <v>0</v>
      </c>
      <c r="S2980" t="s">
        <v>86</v>
      </c>
      <c r="T2980" s="5">
        <f t="shared" si="928"/>
        <v>0</v>
      </c>
      <c r="U2980" s="5">
        <f t="shared" si="929"/>
        <v>0</v>
      </c>
      <c r="V2980" s="5">
        <f t="shared" si="930"/>
        <v>0</v>
      </c>
      <c r="W2980" s="5">
        <f t="shared" si="931"/>
        <v>0</v>
      </c>
      <c r="X2980" s="5">
        <f t="shared" si="932"/>
        <v>0</v>
      </c>
      <c r="Y2980" s="5">
        <f t="shared" si="933"/>
        <v>0</v>
      </c>
      <c r="Z2980" s="5">
        <f t="shared" si="934"/>
        <v>0</v>
      </c>
      <c r="AA2980" s="5">
        <f t="shared" si="935"/>
        <v>0</v>
      </c>
      <c r="AB2980" s="5">
        <f t="shared" si="915"/>
        <v>0</v>
      </c>
    </row>
    <row r="2981" spans="4:28" x14ac:dyDescent="0.25">
      <c r="D2981" t="s">
        <v>87</v>
      </c>
      <c r="E2981" s="14"/>
      <c r="F2981" s="14"/>
      <c r="G2981">
        <f>IFERROR(HLOOKUP(G$2,[90]table_female_hkom1_inj.ill_X2!$A$1:$K$36,19,FALSE),0)</f>
        <v>0</v>
      </c>
      <c r="H2981">
        <f>IFERROR(HLOOKUP(H$2,[90]table_female_hkom1_inj.ill_X2!$A$1:$K$36,19,FALSE),0)</f>
        <v>0</v>
      </c>
      <c r="I2981">
        <f>IFERROR(HLOOKUP(I$2,[90]table_female_hkom1_inj.ill_X2!$A$1:$K$36,19,FALSE),0)</f>
        <v>0</v>
      </c>
      <c r="J2981">
        <f>IFERROR(HLOOKUP(J$2,[90]table_female_hkom1_inj.ill_X2!$A$1:$K$36,19,FALSE),0)</f>
        <v>0</v>
      </c>
      <c r="K2981">
        <f>IFERROR(HLOOKUP(K$2,[90]table_female_hkom1_inj.ill_X2!$A$1:$K$36,19,FALSE),0)</f>
        <v>0</v>
      </c>
      <c r="L2981">
        <f>IFERROR(HLOOKUP(L$2,[90]table_female_hkom1_inj.ill_X2!$A$1:$K$36,19,FALSE),0)</f>
        <v>0</v>
      </c>
      <c r="M2981">
        <f t="shared" si="927"/>
        <v>0</v>
      </c>
      <c r="S2981" t="s">
        <v>87</v>
      </c>
      <c r="T2981" s="5">
        <f t="shared" si="928"/>
        <v>0</v>
      </c>
      <c r="U2981" s="5">
        <f t="shared" si="929"/>
        <v>0</v>
      </c>
      <c r="V2981" s="5">
        <f t="shared" si="930"/>
        <v>0</v>
      </c>
      <c r="W2981" s="5">
        <f t="shared" si="931"/>
        <v>0</v>
      </c>
      <c r="X2981" s="5">
        <f t="shared" si="932"/>
        <v>0</v>
      </c>
      <c r="Y2981" s="5">
        <f t="shared" si="933"/>
        <v>0</v>
      </c>
      <c r="Z2981" s="5">
        <f t="shared" si="934"/>
        <v>0</v>
      </c>
      <c r="AA2981" s="5">
        <f t="shared" si="935"/>
        <v>0</v>
      </c>
      <c r="AB2981" s="5">
        <f t="shared" si="915"/>
        <v>0</v>
      </c>
    </row>
    <row r="2982" spans="4:28" x14ac:dyDescent="0.25">
      <c r="D2982" t="s">
        <v>88</v>
      </c>
      <c r="E2982" s="14"/>
      <c r="F2982" s="14"/>
      <c r="G2982">
        <f>IFERROR(HLOOKUP(G$2,[90]table_female_hkom1_inj.ill_X2!$A$1:$K$36,20,FALSE),0)</f>
        <v>0</v>
      </c>
      <c r="H2982">
        <f>IFERROR(HLOOKUP(H$2,[90]table_female_hkom1_inj.ill_X2!$A$1:$K$36,20,FALSE),0)</f>
        <v>0</v>
      </c>
      <c r="I2982">
        <f>IFERROR(HLOOKUP(I$2,[90]table_female_hkom1_inj.ill_X2!$A$1:$K$36,20,FALSE),0)</f>
        <v>0</v>
      </c>
      <c r="J2982">
        <f>IFERROR(HLOOKUP(J$2,[90]table_female_hkom1_inj.ill_X2!$A$1:$K$36,20,FALSE),0)</f>
        <v>0</v>
      </c>
      <c r="K2982">
        <f>IFERROR(HLOOKUP(K$2,[90]table_female_hkom1_inj.ill_X2!$A$1:$K$36,20,FALSE),0)</f>
        <v>0</v>
      </c>
      <c r="L2982">
        <f>IFERROR(HLOOKUP(L$2,[90]table_female_hkom1_inj.ill_X2!$A$1:$K$36,20,FALSE),0)</f>
        <v>0</v>
      </c>
      <c r="M2982">
        <f t="shared" si="927"/>
        <v>0</v>
      </c>
      <c r="S2982" t="s">
        <v>88</v>
      </c>
      <c r="T2982" s="5">
        <f t="shared" si="928"/>
        <v>0</v>
      </c>
      <c r="U2982" s="5">
        <f t="shared" si="929"/>
        <v>0</v>
      </c>
      <c r="V2982" s="5">
        <f t="shared" si="930"/>
        <v>0</v>
      </c>
      <c r="W2982" s="5">
        <f t="shared" si="931"/>
        <v>0</v>
      </c>
      <c r="X2982" s="5">
        <f t="shared" si="932"/>
        <v>0</v>
      </c>
      <c r="Y2982" s="5">
        <f t="shared" si="933"/>
        <v>0</v>
      </c>
      <c r="Z2982" s="5">
        <f t="shared" si="934"/>
        <v>0</v>
      </c>
      <c r="AA2982" s="5">
        <f t="shared" si="935"/>
        <v>0</v>
      </c>
      <c r="AB2982" s="5">
        <f t="shared" si="915"/>
        <v>0</v>
      </c>
    </row>
    <row r="2983" spans="4:28" x14ac:dyDescent="0.25">
      <c r="D2983" t="s">
        <v>89</v>
      </c>
      <c r="E2983" s="14"/>
      <c r="F2983" s="14"/>
      <c r="G2983">
        <f>IFERROR(HLOOKUP(G$2,[90]table_female_hkom1_inj.ill_X2!$A$1:$K$36,21,FALSE),0)</f>
        <v>0</v>
      </c>
      <c r="H2983">
        <f>IFERROR(HLOOKUP(H$2,[90]table_female_hkom1_inj.ill_X2!$A$1:$K$36,21,FALSE),0)</f>
        <v>0</v>
      </c>
      <c r="I2983">
        <f>IFERROR(HLOOKUP(I$2,[90]table_female_hkom1_inj.ill_X2!$A$1:$K$36,21,FALSE),0)</f>
        <v>0</v>
      </c>
      <c r="J2983">
        <f>IFERROR(HLOOKUP(J$2,[90]table_female_hkom1_inj.ill_X2!$A$1:$K$36,21,FALSE),0)</f>
        <v>0</v>
      </c>
      <c r="K2983">
        <f>IFERROR(HLOOKUP(K$2,[90]table_female_hkom1_inj.ill_X2!$A$1:$K$36,21,FALSE),0)</f>
        <v>0</v>
      </c>
      <c r="L2983">
        <f>IFERROR(HLOOKUP(L$2,[90]table_female_hkom1_inj.ill_X2!$A$1:$K$36,21,FALSE),0)</f>
        <v>0</v>
      </c>
      <c r="M2983">
        <f t="shared" si="927"/>
        <v>0</v>
      </c>
      <c r="S2983" t="s">
        <v>89</v>
      </c>
      <c r="T2983" s="5">
        <f t="shared" si="928"/>
        <v>0</v>
      </c>
      <c r="U2983" s="5">
        <f t="shared" si="929"/>
        <v>0</v>
      </c>
      <c r="V2983" s="5">
        <f t="shared" si="930"/>
        <v>0</v>
      </c>
      <c r="W2983" s="5">
        <f t="shared" si="931"/>
        <v>0</v>
      </c>
      <c r="X2983" s="5">
        <f t="shared" si="932"/>
        <v>0</v>
      </c>
      <c r="Y2983" s="5">
        <f t="shared" si="933"/>
        <v>0</v>
      </c>
      <c r="Z2983" s="5">
        <f t="shared" si="934"/>
        <v>0</v>
      </c>
      <c r="AA2983" s="5">
        <f t="shared" si="935"/>
        <v>0</v>
      </c>
      <c r="AB2983" s="5">
        <f t="shared" si="915"/>
        <v>0</v>
      </c>
    </row>
    <row r="2984" spans="4:28" x14ac:dyDescent="0.25">
      <c r="D2984" t="s">
        <v>90</v>
      </c>
      <c r="E2984" s="14"/>
      <c r="F2984" s="14"/>
      <c r="G2984">
        <f>IFERROR(HLOOKUP(G$2,[90]table_female_hkom1_inj.ill_X2!$A$1:$K$36,22,FALSE),0)</f>
        <v>0</v>
      </c>
      <c r="H2984">
        <f>IFERROR(HLOOKUP(H$2,[90]table_female_hkom1_inj.ill_X2!$A$1:$K$36,22,FALSE),0)</f>
        <v>0</v>
      </c>
      <c r="I2984">
        <f>IFERROR(HLOOKUP(I$2,[90]table_female_hkom1_inj.ill_X2!$A$1:$K$36,22,FALSE),0)</f>
        <v>0</v>
      </c>
      <c r="J2984">
        <f>IFERROR(HLOOKUP(J$2,[90]table_female_hkom1_inj.ill_X2!$A$1:$K$36,22,FALSE),0)</f>
        <v>0</v>
      </c>
      <c r="K2984">
        <f>IFERROR(HLOOKUP(K$2,[90]table_female_hkom1_inj.ill_X2!$A$1:$K$36,22,FALSE),0)</f>
        <v>0</v>
      </c>
      <c r="L2984">
        <f>IFERROR(HLOOKUP(L$2,[90]table_female_hkom1_inj.ill_X2!$A$1:$K$36,22,FALSE),0)</f>
        <v>0</v>
      </c>
      <c r="M2984">
        <f t="shared" si="927"/>
        <v>0</v>
      </c>
      <c r="S2984" t="s">
        <v>90</v>
      </c>
      <c r="T2984" s="5">
        <f t="shared" si="928"/>
        <v>0</v>
      </c>
      <c r="U2984" s="5">
        <f t="shared" si="929"/>
        <v>0</v>
      </c>
      <c r="V2984" s="5">
        <f t="shared" si="930"/>
        <v>0</v>
      </c>
      <c r="W2984" s="5">
        <f t="shared" si="931"/>
        <v>0</v>
      </c>
      <c r="X2984" s="5">
        <f t="shared" si="932"/>
        <v>0</v>
      </c>
      <c r="Y2984" s="5">
        <f t="shared" si="933"/>
        <v>0</v>
      </c>
      <c r="Z2984" s="5">
        <f t="shared" si="934"/>
        <v>0</v>
      </c>
      <c r="AA2984" s="5">
        <f t="shared" si="935"/>
        <v>0</v>
      </c>
      <c r="AB2984" s="5">
        <f t="shared" si="915"/>
        <v>0</v>
      </c>
    </row>
    <row r="2985" spans="4:28" x14ac:dyDescent="0.25">
      <c r="D2985" t="s">
        <v>91</v>
      </c>
      <c r="E2985" s="14"/>
      <c r="F2985" s="14"/>
      <c r="G2985">
        <f>IFERROR(HLOOKUP(G$2,[90]table_female_hkom1_inj.ill_X2!$A$1:$K$36,23,FALSE),0)</f>
        <v>0</v>
      </c>
      <c r="H2985">
        <f>IFERROR(HLOOKUP(H$2,[90]table_female_hkom1_inj.ill_X2!$A$1:$K$36,23,FALSE),0)</f>
        <v>0</v>
      </c>
      <c r="I2985">
        <f>IFERROR(HLOOKUP(I$2,[90]table_female_hkom1_inj.ill_X2!$A$1:$K$36,23,FALSE),0)</f>
        <v>0</v>
      </c>
      <c r="J2985">
        <f>IFERROR(HLOOKUP(J$2,[90]table_female_hkom1_inj.ill_X2!$A$1:$K$36,23,FALSE),0)</f>
        <v>0</v>
      </c>
      <c r="K2985">
        <f>IFERROR(HLOOKUP(K$2,[90]table_female_hkom1_inj.ill_X2!$A$1:$K$36,23,FALSE),0)</f>
        <v>0</v>
      </c>
      <c r="L2985">
        <f>IFERROR(HLOOKUP(L$2,[90]table_female_hkom1_inj.ill_X2!$A$1:$K$36,23,FALSE),0)</f>
        <v>0</v>
      </c>
      <c r="M2985">
        <f t="shared" si="927"/>
        <v>0</v>
      </c>
      <c r="S2985" t="s">
        <v>91</v>
      </c>
      <c r="T2985" s="5">
        <f t="shared" si="928"/>
        <v>0</v>
      </c>
      <c r="U2985" s="5">
        <f t="shared" si="929"/>
        <v>0</v>
      </c>
      <c r="V2985" s="5">
        <f t="shared" si="930"/>
        <v>0</v>
      </c>
      <c r="W2985" s="5">
        <f t="shared" si="931"/>
        <v>0</v>
      </c>
      <c r="X2985" s="5">
        <f t="shared" si="932"/>
        <v>0</v>
      </c>
      <c r="Y2985" s="5">
        <f t="shared" si="933"/>
        <v>0</v>
      </c>
      <c r="Z2985" s="5">
        <f t="shared" si="934"/>
        <v>0</v>
      </c>
      <c r="AA2985" s="5">
        <f t="shared" si="935"/>
        <v>0</v>
      </c>
      <c r="AB2985" s="5">
        <f t="shared" si="915"/>
        <v>0</v>
      </c>
    </row>
    <row r="2986" spans="4:28" x14ac:dyDescent="0.25">
      <c r="D2986" t="s">
        <v>92</v>
      </c>
      <c r="E2986" s="14"/>
      <c r="F2986" s="14"/>
      <c r="G2986">
        <f>IFERROR(HLOOKUP(G$2,[90]table_female_hkom1_inj.ill_X2!$A$1:$K$36,24,FALSE),0)</f>
        <v>0</v>
      </c>
      <c r="H2986">
        <f>IFERROR(HLOOKUP(H$2,[90]table_female_hkom1_inj.ill_X2!$A$1:$K$36,24,FALSE),0)</f>
        <v>0</v>
      </c>
      <c r="I2986">
        <f>IFERROR(HLOOKUP(I$2,[90]table_female_hkom1_inj.ill_X2!$A$1:$K$36,24,FALSE),0)</f>
        <v>0</v>
      </c>
      <c r="J2986">
        <f>IFERROR(HLOOKUP(J$2,[90]table_female_hkom1_inj.ill_X2!$A$1:$K$36,24,FALSE),0)</f>
        <v>0</v>
      </c>
      <c r="K2986">
        <f>IFERROR(HLOOKUP(K$2,[90]table_female_hkom1_inj.ill_X2!$A$1:$K$36,24,FALSE),0)</f>
        <v>0</v>
      </c>
      <c r="L2986">
        <f>IFERROR(HLOOKUP(L$2,[90]table_female_hkom1_inj.ill_X2!$A$1:$K$36,24,FALSE),0)</f>
        <v>0</v>
      </c>
      <c r="M2986">
        <f t="shared" si="927"/>
        <v>0</v>
      </c>
      <c r="S2986" t="s">
        <v>92</v>
      </c>
      <c r="T2986" s="5">
        <f t="shared" si="928"/>
        <v>0</v>
      </c>
      <c r="U2986" s="5">
        <f t="shared" si="929"/>
        <v>0</v>
      </c>
      <c r="V2986" s="5">
        <f t="shared" si="930"/>
        <v>0</v>
      </c>
      <c r="W2986" s="5">
        <f t="shared" si="931"/>
        <v>0</v>
      </c>
      <c r="X2986" s="5">
        <f t="shared" si="932"/>
        <v>0</v>
      </c>
      <c r="Y2986" s="5">
        <f t="shared" si="933"/>
        <v>0</v>
      </c>
      <c r="Z2986" s="5">
        <f t="shared" si="934"/>
        <v>0</v>
      </c>
      <c r="AA2986" s="5">
        <f t="shared" si="935"/>
        <v>0</v>
      </c>
      <c r="AB2986" s="5">
        <f t="shared" si="915"/>
        <v>0</v>
      </c>
    </row>
    <row r="2987" spans="4:28" x14ac:dyDescent="0.25">
      <c r="D2987" t="s">
        <v>93</v>
      </c>
      <c r="E2987" s="14"/>
      <c r="F2987" s="14"/>
      <c r="G2987">
        <f>IFERROR(HLOOKUP(G$2,[90]table_female_hkom1_inj.ill_X2!$A$1:$K$36,25,FALSE),0)</f>
        <v>0</v>
      </c>
      <c r="H2987">
        <f>IFERROR(HLOOKUP(H$2,[90]table_female_hkom1_inj.ill_X2!$A$1:$K$36,25,FALSE),0)</f>
        <v>0</v>
      </c>
      <c r="I2987">
        <f>IFERROR(HLOOKUP(I$2,[90]table_female_hkom1_inj.ill_X2!$A$1:$K$36,25,FALSE),0)</f>
        <v>0</v>
      </c>
      <c r="J2987">
        <f>IFERROR(HLOOKUP(J$2,[90]table_female_hkom1_inj.ill_X2!$A$1:$K$36,25,FALSE),0)</f>
        <v>0</v>
      </c>
      <c r="K2987">
        <f>IFERROR(HLOOKUP(K$2,[90]table_female_hkom1_inj.ill_X2!$A$1:$K$36,25,FALSE),0)</f>
        <v>0</v>
      </c>
      <c r="L2987">
        <f>IFERROR(HLOOKUP(L$2,[90]table_female_hkom1_inj.ill_X2!$A$1:$K$36,25,FALSE),0)</f>
        <v>0</v>
      </c>
      <c r="M2987">
        <f t="shared" si="927"/>
        <v>0</v>
      </c>
      <c r="S2987" t="s">
        <v>93</v>
      </c>
      <c r="T2987" s="5">
        <f t="shared" si="928"/>
        <v>0</v>
      </c>
      <c r="U2987" s="5">
        <f t="shared" si="929"/>
        <v>0</v>
      </c>
      <c r="V2987" s="5">
        <f t="shared" si="930"/>
        <v>0</v>
      </c>
      <c r="W2987" s="5">
        <f t="shared" si="931"/>
        <v>0</v>
      </c>
      <c r="X2987" s="5">
        <f t="shared" si="932"/>
        <v>0</v>
      </c>
      <c r="Y2987" s="5">
        <f t="shared" si="933"/>
        <v>0</v>
      </c>
      <c r="Z2987" s="5">
        <f t="shared" si="934"/>
        <v>0</v>
      </c>
      <c r="AA2987" s="5">
        <f t="shared" si="935"/>
        <v>0</v>
      </c>
      <c r="AB2987" s="5">
        <f t="shared" ref="AB2987:AB3050" si="936">SUM(T2987:AA2987)</f>
        <v>0</v>
      </c>
    </row>
    <row r="2988" spans="4:28" x14ac:dyDescent="0.25">
      <c r="D2988" t="s">
        <v>94</v>
      </c>
      <c r="E2988" s="14"/>
      <c r="F2988" s="14"/>
      <c r="G2988">
        <f>IFERROR(HLOOKUP(G$2,[90]table_female_hkom1_inj.ill_X2!$A$1:$K$36,26,FALSE),0)</f>
        <v>0</v>
      </c>
      <c r="H2988">
        <f>IFERROR(HLOOKUP(H$2,[90]table_female_hkom1_inj.ill_X2!$A$1:$K$36,26,FALSE),0)</f>
        <v>0</v>
      </c>
      <c r="I2988">
        <f>IFERROR(HLOOKUP(I$2,[90]table_female_hkom1_inj.ill_X2!$A$1:$K$36,26,FALSE),0)</f>
        <v>0</v>
      </c>
      <c r="J2988">
        <f>IFERROR(HLOOKUP(J$2,[90]table_female_hkom1_inj.ill_X2!$A$1:$K$36,26,FALSE),0)</f>
        <v>0</v>
      </c>
      <c r="K2988">
        <f>IFERROR(HLOOKUP(K$2,[90]table_female_hkom1_inj.ill_X2!$A$1:$K$36,26,FALSE),0)</f>
        <v>0</v>
      </c>
      <c r="L2988">
        <f>IFERROR(HLOOKUP(L$2,[90]table_female_hkom1_inj.ill_X2!$A$1:$K$36,26,FALSE),0)</f>
        <v>0</v>
      </c>
      <c r="M2988">
        <f t="shared" si="927"/>
        <v>0</v>
      </c>
      <c r="S2988" t="s">
        <v>94</v>
      </c>
      <c r="T2988" s="5">
        <f t="shared" si="928"/>
        <v>0</v>
      </c>
      <c r="U2988" s="5">
        <f t="shared" si="929"/>
        <v>0</v>
      </c>
      <c r="V2988" s="5">
        <f t="shared" si="930"/>
        <v>0</v>
      </c>
      <c r="W2988" s="5">
        <f t="shared" si="931"/>
        <v>0</v>
      </c>
      <c r="X2988" s="5">
        <f t="shared" si="932"/>
        <v>0</v>
      </c>
      <c r="Y2988" s="5">
        <f t="shared" si="933"/>
        <v>0</v>
      </c>
      <c r="Z2988" s="5">
        <f t="shared" si="934"/>
        <v>0</v>
      </c>
      <c r="AA2988" s="5">
        <f t="shared" si="935"/>
        <v>0</v>
      </c>
      <c r="AB2988" s="5">
        <f t="shared" si="936"/>
        <v>0</v>
      </c>
    </row>
    <row r="2989" spans="4:28" x14ac:dyDescent="0.25">
      <c r="D2989" t="s">
        <v>95</v>
      </c>
      <c r="E2989" s="14"/>
      <c r="F2989" s="14"/>
      <c r="G2989">
        <f>IFERROR(HLOOKUP(G$2,[90]table_female_hkom1_inj.ill_X2!$A$1:$K$36,27,FALSE),0)</f>
        <v>0</v>
      </c>
      <c r="H2989">
        <f>IFERROR(HLOOKUP(H$2,[90]table_female_hkom1_inj.ill_X2!$A$1:$K$36,27,FALSE),0)</f>
        <v>0</v>
      </c>
      <c r="I2989">
        <f>IFERROR(HLOOKUP(I$2,[90]table_female_hkom1_inj.ill_X2!$A$1:$K$36,27,FALSE),0)</f>
        <v>0</v>
      </c>
      <c r="J2989">
        <f>IFERROR(HLOOKUP(J$2,[90]table_female_hkom1_inj.ill_X2!$A$1:$K$36,27,FALSE),0)</f>
        <v>0</v>
      </c>
      <c r="K2989">
        <f>IFERROR(HLOOKUP(K$2,[90]table_female_hkom1_inj.ill_X2!$A$1:$K$36,27,FALSE),0)</f>
        <v>0</v>
      </c>
      <c r="L2989">
        <f>IFERROR(HLOOKUP(L$2,[90]table_female_hkom1_inj.ill_X2!$A$1:$K$36,27,FALSE),0)</f>
        <v>0</v>
      </c>
      <c r="M2989">
        <f t="shared" si="927"/>
        <v>0</v>
      </c>
      <c r="S2989" t="s">
        <v>95</v>
      </c>
      <c r="T2989" s="5">
        <f t="shared" si="928"/>
        <v>0</v>
      </c>
      <c r="U2989" s="5">
        <f t="shared" si="929"/>
        <v>0</v>
      </c>
      <c r="V2989" s="5">
        <f t="shared" si="930"/>
        <v>0</v>
      </c>
      <c r="W2989" s="5">
        <f t="shared" si="931"/>
        <v>0</v>
      </c>
      <c r="X2989" s="5">
        <f t="shared" si="932"/>
        <v>0</v>
      </c>
      <c r="Y2989" s="5">
        <f t="shared" si="933"/>
        <v>0</v>
      </c>
      <c r="Z2989" s="5">
        <f t="shared" si="934"/>
        <v>0</v>
      </c>
      <c r="AA2989" s="5">
        <f t="shared" si="935"/>
        <v>0</v>
      </c>
      <c r="AB2989" s="5">
        <f t="shared" si="936"/>
        <v>0</v>
      </c>
    </row>
    <row r="2990" spans="4:28" x14ac:dyDescent="0.25">
      <c r="D2990" t="s">
        <v>96</v>
      </c>
      <c r="E2990" s="14"/>
      <c r="F2990" s="14"/>
      <c r="G2990">
        <f>IFERROR(HLOOKUP(G$2,[90]table_female_hkom1_inj.ill_X2!$A$1:$K$36,28,FALSE),0)</f>
        <v>0</v>
      </c>
      <c r="H2990">
        <f>IFERROR(HLOOKUP(H$2,[90]table_female_hkom1_inj.ill_X2!$A$1:$K$36,28,FALSE),0)</f>
        <v>0</v>
      </c>
      <c r="I2990">
        <f>IFERROR(HLOOKUP(I$2,[90]table_female_hkom1_inj.ill_X2!$A$1:$K$36,28,FALSE),0)</f>
        <v>0</v>
      </c>
      <c r="J2990">
        <f>IFERROR(HLOOKUP(J$2,[90]table_female_hkom1_inj.ill_X2!$A$1:$K$36,28,FALSE),0)</f>
        <v>0</v>
      </c>
      <c r="K2990">
        <f>IFERROR(HLOOKUP(K$2,[90]table_female_hkom1_inj.ill_X2!$A$1:$K$36,28,FALSE),0)</f>
        <v>0</v>
      </c>
      <c r="L2990">
        <f>IFERROR(HLOOKUP(L$2,[90]table_female_hkom1_inj.ill_X2!$A$1:$K$36,28,FALSE),0)</f>
        <v>0</v>
      </c>
      <c r="M2990">
        <f t="shared" si="927"/>
        <v>0</v>
      </c>
      <c r="S2990" t="s">
        <v>96</v>
      </c>
      <c r="T2990" s="5">
        <f t="shared" si="928"/>
        <v>0</v>
      </c>
      <c r="U2990" s="5">
        <f t="shared" si="929"/>
        <v>0</v>
      </c>
      <c r="V2990" s="5">
        <f t="shared" si="930"/>
        <v>0</v>
      </c>
      <c r="W2990" s="5">
        <f t="shared" si="931"/>
        <v>0</v>
      </c>
      <c r="X2990" s="5">
        <f t="shared" si="932"/>
        <v>0</v>
      </c>
      <c r="Y2990" s="5">
        <f t="shared" si="933"/>
        <v>0</v>
      </c>
      <c r="Z2990" s="5">
        <f t="shared" si="934"/>
        <v>0</v>
      </c>
      <c r="AA2990" s="5">
        <f t="shared" si="935"/>
        <v>0</v>
      </c>
      <c r="AB2990" s="5">
        <f t="shared" si="936"/>
        <v>0</v>
      </c>
    </row>
    <row r="2991" spans="4:28" x14ac:dyDescent="0.25">
      <c r="D2991" t="s">
        <v>97</v>
      </c>
      <c r="E2991" s="14"/>
      <c r="F2991" s="14"/>
      <c r="G2991">
        <f>IFERROR(HLOOKUP(G$2,[90]table_female_hkom1_inj.ill_X2!$A$1:$K$36,29,FALSE),0)</f>
        <v>0</v>
      </c>
      <c r="H2991">
        <f>IFERROR(HLOOKUP(H$2,[90]table_female_hkom1_inj.ill_X2!$A$1:$K$36,29,FALSE),0)</f>
        <v>0</v>
      </c>
      <c r="I2991">
        <f>IFERROR(HLOOKUP(I$2,[90]table_female_hkom1_inj.ill_X2!$A$1:$K$36,29,FALSE),0)</f>
        <v>0</v>
      </c>
      <c r="J2991">
        <f>IFERROR(HLOOKUP(J$2,[90]table_female_hkom1_inj.ill_X2!$A$1:$K$36,29,FALSE),0)</f>
        <v>0</v>
      </c>
      <c r="K2991">
        <f>IFERROR(HLOOKUP(K$2,[90]table_female_hkom1_inj.ill_X2!$A$1:$K$36,29,FALSE),0)</f>
        <v>0</v>
      </c>
      <c r="L2991">
        <f>IFERROR(HLOOKUP(L$2,[90]table_female_hkom1_inj.ill_X2!$A$1:$K$36,29,FALSE),0)</f>
        <v>0</v>
      </c>
      <c r="M2991">
        <f t="shared" si="927"/>
        <v>0</v>
      </c>
      <c r="S2991" t="s">
        <v>97</v>
      </c>
      <c r="T2991" s="5">
        <f t="shared" si="928"/>
        <v>0</v>
      </c>
      <c r="U2991" s="5">
        <f t="shared" si="929"/>
        <v>0</v>
      </c>
      <c r="V2991" s="5">
        <f t="shared" si="930"/>
        <v>0</v>
      </c>
      <c r="W2991" s="5">
        <f t="shared" si="931"/>
        <v>0</v>
      </c>
      <c r="X2991" s="5">
        <f t="shared" si="932"/>
        <v>0</v>
      </c>
      <c r="Y2991" s="5">
        <f t="shared" si="933"/>
        <v>0</v>
      </c>
      <c r="Z2991" s="5">
        <f t="shared" si="934"/>
        <v>0</v>
      </c>
      <c r="AA2991" s="5">
        <f t="shared" si="935"/>
        <v>0</v>
      </c>
      <c r="AB2991" s="5">
        <f t="shared" si="936"/>
        <v>0</v>
      </c>
    </row>
    <row r="2992" spans="4:28" x14ac:dyDescent="0.25">
      <c r="D2992" t="s">
        <v>98</v>
      </c>
      <c r="E2992" s="14"/>
      <c r="F2992" s="14"/>
      <c r="G2992">
        <f>IFERROR(HLOOKUP(G$2,[90]table_female_hkom1_inj.ill_X2!$A$1:$K$36,30,FALSE),0)</f>
        <v>0</v>
      </c>
      <c r="H2992">
        <f>IFERROR(HLOOKUP(H$2,[90]table_female_hkom1_inj.ill_X2!$A$1:$K$36,30,FALSE),0)</f>
        <v>0</v>
      </c>
      <c r="I2992">
        <f>IFERROR(HLOOKUP(I$2,[90]table_female_hkom1_inj.ill_X2!$A$1:$K$36,30,FALSE),0)</f>
        <v>0</v>
      </c>
      <c r="J2992">
        <f>IFERROR(HLOOKUP(J$2,[90]table_female_hkom1_inj.ill_X2!$A$1:$K$36,30,FALSE),0)</f>
        <v>0</v>
      </c>
      <c r="K2992">
        <f>IFERROR(HLOOKUP(K$2,[90]table_female_hkom1_inj.ill_X2!$A$1:$K$36,30,FALSE),0)</f>
        <v>0</v>
      </c>
      <c r="L2992">
        <f>IFERROR(HLOOKUP(L$2,[90]table_female_hkom1_inj.ill_X2!$A$1:$K$36,30,FALSE),0)</f>
        <v>0</v>
      </c>
      <c r="M2992">
        <f t="shared" si="927"/>
        <v>0</v>
      </c>
      <c r="S2992" t="s">
        <v>98</v>
      </c>
      <c r="T2992" s="5">
        <f t="shared" si="928"/>
        <v>0</v>
      </c>
      <c r="U2992" s="5">
        <f t="shared" si="929"/>
        <v>0</v>
      </c>
      <c r="V2992" s="5">
        <f t="shared" si="930"/>
        <v>0</v>
      </c>
      <c r="W2992" s="5">
        <f t="shared" si="931"/>
        <v>0</v>
      </c>
      <c r="X2992" s="5">
        <f t="shared" si="932"/>
        <v>0</v>
      </c>
      <c r="Y2992" s="5">
        <f t="shared" si="933"/>
        <v>0</v>
      </c>
      <c r="Z2992" s="5">
        <f t="shared" si="934"/>
        <v>0</v>
      </c>
      <c r="AA2992" s="5">
        <f t="shared" si="935"/>
        <v>0</v>
      </c>
      <c r="AB2992" s="5">
        <f t="shared" si="936"/>
        <v>0</v>
      </c>
    </row>
    <row r="2993" spans="1:29" x14ac:dyDescent="0.25">
      <c r="D2993" t="s">
        <v>119</v>
      </c>
      <c r="E2993" s="14"/>
      <c r="F2993" s="14"/>
      <c r="G2993">
        <f>IFERROR(HLOOKUP(G$2,[90]table_female_hkom1_inj.ill_X2!$A$1:$K$36,31,FALSE),0)</f>
        <v>0</v>
      </c>
      <c r="H2993">
        <f>IFERROR(HLOOKUP(H$2,[90]table_female_hkom1_inj.ill_X2!$A$1:$K$36,31,FALSE),0)</f>
        <v>0</v>
      </c>
      <c r="I2993">
        <f>IFERROR(HLOOKUP(I$2,[90]table_female_hkom1_inj.ill_X2!$A$1:$K$36,31,FALSE),0)</f>
        <v>0</v>
      </c>
      <c r="J2993">
        <f>IFERROR(HLOOKUP(J$2,[90]table_female_hkom1_inj.ill_X2!$A$1:$K$36,31,FALSE),0)</f>
        <v>0</v>
      </c>
      <c r="K2993">
        <f>IFERROR(HLOOKUP(K$2,[90]table_female_hkom1_inj.ill_X2!$A$1:$K$36,31,FALSE),0)</f>
        <v>0</v>
      </c>
      <c r="L2993">
        <f>IFERROR(HLOOKUP(L$2,[90]table_female_hkom1_inj.ill_X2!$A$1:$K$36,31,FALSE),0)</f>
        <v>0</v>
      </c>
      <c r="M2993">
        <f t="shared" si="927"/>
        <v>0</v>
      </c>
      <c r="S2993" t="s">
        <v>119</v>
      </c>
      <c r="T2993" s="5">
        <f t="shared" si="928"/>
        <v>0</v>
      </c>
      <c r="U2993" s="5">
        <f t="shared" si="929"/>
        <v>0</v>
      </c>
      <c r="V2993" s="5">
        <f t="shared" si="930"/>
        <v>0</v>
      </c>
      <c r="W2993" s="5">
        <f t="shared" si="931"/>
        <v>0</v>
      </c>
      <c r="X2993" s="5">
        <f t="shared" si="932"/>
        <v>0</v>
      </c>
      <c r="Y2993" s="5">
        <f t="shared" si="933"/>
        <v>0</v>
      </c>
      <c r="Z2993" s="5">
        <f t="shared" si="934"/>
        <v>0</v>
      </c>
      <c r="AA2993" s="5">
        <f t="shared" si="935"/>
        <v>0</v>
      </c>
      <c r="AB2993" s="5">
        <f t="shared" si="936"/>
        <v>0</v>
      </c>
    </row>
    <row r="2994" spans="1:29" x14ac:dyDescent="0.25">
      <c r="D2994" t="s">
        <v>99</v>
      </c>
      <c r="E2994" s="14"/>
      <c r="F2994" s="14"/>
      <c r="G2994">
        <f>IFERROR(HLOOKUP(G$2,[90]table_female_hkom1_inj.ill_X2!$A$1:$K$36,32,FALSE),0)</f>
        <v>0</v>
      </c>
      <c r="H2994">
        <f>IFERROR(HLOOKUP(H$2,[90]table_female_hkom1_inj.ill_X2!$A$1:$K$36,32,FALSE),0)</f>
        <v>0</v>
      </c>
      <c r="I2994">
        <f>IFERROR(HLOOKUP(I$2,[90]table_female_hkom1_inj.ill_X2!$A$1:$K$36,32,FALSE),0)</f>
        <v>0</v>
      </c>
      <c r="J2994">
        <f>IFERROR(HLOOKUP(J$2,[90]table_female_hkom1_inj.ill_X2!$A$1:$K$36,32,FALSE),0)</f>
        <v>0</v>
      </c>
      <c r="K2994">
        <f>IFERROR(HLOOKUP(K$2,[90]table_female_hkom1_inj.ill_X2!$A$1:$K$36,32,FALSE),0)</f>
        <v>0</v>
      </c>
      <c r="L2994">
        <f>IFERROR(HLOOKUP(L$2,[90]table_female_hkom1_inj.ill_X2!$A$1:$K$36,32,FALSE),0)</f>
        <v>0</v>
      </c>
      <c r="M2994">
        <f t="shared" si="927"/>
        <v>0</v>
      </c>
      <c r="S2994" t="s">
        <v>99</v>
      </c>
      <c r="T2994" s="5">
        <f t="shared" si="928"/>
        <v>0</v>
      </c>
      <c r="U2994" s="5">
        <f t="shared" si="929"/>
        <v>0</v>
      </c>
      <c r="V2994" s="5">
        <f t="shared" si="930"/>
        <v>0</v>
      </c>
      <c r="W2994" s="5">
        <f t="shared" si="931"/>
        <v>0</v>
      </c>
      <c r="X2994" s="5">
        <f t="shared" si="932"/>
        <v>0</v>
      </c>
      <c r="Y2994" s="5">
        <f t="shared" si="933"/>
        <v>0</v>
      </c>
      <c r="Z2994" s="5">
        <f t="shared" si="934"/>
        <v>0</v>
      </c>
      <c r="AA2994" s="5">
        <f t="shared" si="935"/>
        <v>0</v>
      </c>
      <c r="AB2994" s="5">
        <f t="shared" si="936"/>
        <v>0</v>
      </c>
    </row>
    <row r="2995" spans="1:29" x14ac:dyDescent="0.25">
      <c r="D2995" t="s">
        <v>100</v>
      </c>
      <c r="E2995" s="14"/>
      <c r="F2995" s="14"/>
      <c r="G2995">
        <f>IFERROR(HLOOKUP(G$2,[90]table_female_hkom1_inj.ill_X2!$A$1:$K$36,33,FALSE),0)</f>
        <v>0</v>
      </c>
      <c r="H2995">
        <f>IFERROR(HLOOKUP(H$2,[90]table_female_hkom1_inj.ill_X2!$A$1:$K$36,33,FALSE),0)</f>
        <v>0</v>
      </c>
      <c r="I2995">
        <f>IFERROR(HLOOKUP(I$2,[90]table_female_hkom1_inj.ill_X2!$A$1:$K$36,33,FALSE),0)</f>
        <v>0</v>
      </c>
      <c r="J2995">
        <f>IFERROR(HLOOKUP(J$2,[90]table_female_hkom1_inj.ill_X2!$A$1:$K$36,33,FALSE),0)</f>
        <v>0</v>
      </c>
      <c r="K2995">
        <f>IFERROR(HLOOKUP(K$2,[90]table_female_hkom1_inj.ill_X2!$A$1:$K$36,33,FALSE),0)</f>
        <v>0</v>
      </c>
      <c r="L2995">
        <f>IFERROR(HLOOKUP(L$2,[90]table_female_hkom1_inj.ill_X2!$A$1:$K$36,33,FALSE),0)</f>
        <v>0</v>
      </c>
      <c r="M2995">
        <f t="shared" si="927"/>
        <v>0</v>
      </c>
      <c r="S2995" t="s">
        <v>100</v>
      </c>
      <c r="T2995" s="5">
        <f t="shared" si="928"/>
        <v>0</v>
      </c>
      <c r="U2995" s="5">
        <f t="shared" si="929"/>
        <v>0</v>
      </c>
      <c r="V2995" s="5">
        <f t="shared" si="930"/>
        <v>0</v>
      </c>
      <c r="W2995" s="5">
        <f t="shared" si="931"/>
        <v>0</v>
      </c>
      <c r="X2995" s="5">
        <f t="shared" si="932"/>
        <v>0</v>
      </c>
      <c r="Y2995" s="5">
        <f t="shared" si="933"/>
        <v>0</v>
      </c>
      <c r="Z2995" s="5">
        <f t="shared" si="934"/>
        <v>0</v>
      </c>
      <c r="AA2995" s="5">
        <f t="shared" si="935"/>
        <v>0</v>
      </c>
      <c r="AB2995" s="5">
        <f t="shared" si="936"/>
        <v>0</v>
      </c>
    </row>
    <row r="2996" spans="1:29" x14ac:dyDescent="0.25">
      <c r="D2996" t="s">
        <v>101</v>
      </c>
      <c r="E2996" s="14"/>
      <c r="F2996" s="14"/>
      <c r="G2996">
        <f>IFERROR(HLOOKUP(G$2,[90]table_female_hkom1_inj.ill_X2!$A$1:$K$36,34,FALSE),0)</f>
        <v>0</v>
      </c>
      <c r="H2996">
        <f>IFERROR(HLOOKUP(H$2,[90]table_female_hkom1_inj.ill_X2!$A$1:$K$36,34,FALSE),0)</f>
        <v>0</v>
      </c>
      <c r="I2996">
        <f>IFERROR(HLOOKUP(I$2,[90]table_female_hkom1_inj.ill_X2!$A$1:$K$36,34,FALSE),0)</f>
        <v>0</v>
      </c>
      <c r="J2996">
        <f>IFERROR(HLOOKUP(J$2,[90]table_female_hkom1_inj.ill_X2!$A$1:$K$36,34,FALSE),0)</f>
        <v>0</v>
      </c>
      <c r="K2996">
        <f>IFERROR(HLOOKUP(K$2,[90]table_female_hkom1_inj.ill_X2!$A$1:$K$36,34,FALSE),0)</f>
        <v>0</v>
      </c>
      <c r="L2996">
        <f>IFERROR(HLOOKUP(L$2,[90]table_female_hkom1_inj.ill_X2!$A$1:$K$36,34,FALSE),0)</f>
        <v>0</v>
      </c>
      <c r="M2996">
        <f t="shared" si="927"/>
        <v>0</v>
      </c>
      <c r="S2996" t="s">
        <v>101</v>
      </c>
      <c r="T2996" s="5">
        <f t="shared" si="928"/>
        <v>0</v>
      </c>
      <c r="U2996" s="5">
        <f t="shared" si="929"/>
        <v>0</v>
      </c>
      <c r="V2996" s="5">
        <f t="shared" si="930"/>
        <v>0</v>
      </c>
      <c r="W2996" s="5">
        <f t="shared" si="931"/>
        <v>0</v>
      </c>
      <c r="X2996" s="5">
        <f t="shared" si="932"/>
        <v>0</v>
      </c>
      <c r="Y2996" s="5">
        <f t="shared" si="933"/>
        <v>0</v>
      </c>
      <c r="Z2996" s="5">
        <f t="shared" si="934"/>
        <v>0</v>
      </c>
      <c r="AA2996" s="5">
        <f t="shared" si="935"/>
        <v>0</v>
      </c>
      <c r="AB2996" s="5">
        <f t="shared" si="936"/>
        <v>0</v>
      </c>
    </row>
    <row r="2997" spans="1:29" x14ac:dyDescent="0.25">
      <c r="D2997" t="s">
        <v>102</v>
      </c>
      <c r="E2997" s="14"/>
      <c r="F2997" s="14"/>
      <c r="G2997">
        <f>IFERROR(HLOOKUP(G$2,[90]table_female_hkom1_inj.ill_X2!$A$1:$K$36,35,FALSE),0)</f>
        <v>0</v>
      </c>
      <c r="H2997">
        <f>IFERROR(HLOOKUP(H$2,[90]table_female_hkom1_inj.ill_X2!$A$1:$K$36,35,FALSE),0)</f>
        <v>0</v>
      </c>
      <c r="I2997">
        <f>IFERROR(HLOOKUP(I$2,[90]table_female_hkom1_inj.ill_X2!$A$1:$K$36,35,FALSE),0)</f>
        <v>0</v>
      </c>
      <c r="J2997">
        <f>IFERROR(HLOOKUP(J$2,[90]table_female_hkom1_inj.ill_X2!$A$1:$K$36,35,FALSE),0)</f>
        <v>0</v>
      </c>
      <c r="K2997">
        <f>IFERROR(HLOOKUP(K$2,[90]table_female_hkom1_inj.ill_X2!$A$1:$K$36,35,FALSE),0)</f>
        <v>0</v>
      </c>
      <c r="L2997">
        <f>IFERROR(HLOOKUP(L$2,[90]table_female_hkom1_inj.ill_X2!$A$1:$K$36,35,FALSE),0)</f>
        <v>0</v>
      </c>
      <c r="M2997">
        <f t="shared" si="927"/>
        <v>0</v>
      </c>
      <c r="N2997">
        <f>SUM(M2964:M2997)</f>
        <v>0</v>
      </c>
      <c r="O2997" s="8">
        <f>SUM([90]table_female_hkom1_inj.ill_X2!$B$2:$L$37)</f>
        <v>0</v>
      </c>
      <c r="S2997" t="s">
        <v>102</v>
      </c>
      <c r="T2997" s="7"/>
      <c r="U2997" s="7"/>
      <c r="V2997" s="7"/>
      <c r="W2997" s="7"/>
      <c r="X2997" s="7"/>
      <c r="Y2997" s="7"/>
      <c r="Z2997" s="7"/>
      <c r="AA2997" s="7"/>
      <c r="AB2997" s="5">
        <f t="shared" si="936"/>
        <v>0</v>
      </c>
      <c r="AC2997" s="5">
        <f>SUM(AB2964:AB2996)</f>
        <v>0</v>
      </c>
    </row>
    <row r="2998" spans="1:29" x14ac:dyDescent="0.25">
      <c r="A2998" t="s">
        <v>115</v>
      </c>
      <c r="B2998" t="s">
        <v>103</v>
      </c>
      <c r="C2998" t="s">
        <v>125</v>
      </c>
      <c r="D2998" t="s">
        <v>70</v>
      </c>
      <c r="E2998" s="14"/>
      <c r="F2998" s="14"/>
      <c r="G2998">
        <f>IFERROR(HLOOKUP(G$2,[91]table_female_hkom1_inj.ill_X3!$A$1:$K$36,2,FALSE),0)</f>
        <v>0</v>
      </c>
      <c r="H2998">
        <f>IFERROR(HLOOKUP(H$2,[91]table_female_hkom1_inj.ill_X3!$A$1:$K$36,2,FALSE),0)</f>
        <v>0</v>
      </c>
      <c r="I2998">
        <f>IFERROR(HLOOKUP(I$2,[91]table_female_hkom1_inj.ill_X3!$A$1:$K$36,2,FALSE),0)</f>
        <v>0</v>
      </c>
      <c r="J2998">
        <f>IFERROR(HLOOKUP(J$2,[91]table_female_hkom1_inj.ill_X3!$A$1:$K$36,2,FALSE),0)</f>
        <v>0</v>
      </c>
      <c r="K2998">
        <f>IFERROR(HLOOKUP(K$2,[91]table_female_hkom1_inj.ill_X3!$A$1:$K$36,2,FALSE),0)</f>
        <v>0</v>
      </c>
      <c r="L2998">
        <f>IFERROR(HLOOKUP(L$2,[91]table_female_hkom1_inj.ill_X3!$A$1:$K$36,2,FALSE),0)</f>
        <v>0</v>
      </c>
      <c r="M2998">
        <f>SUM(E2998:L2998)</f>
        <v>0</v>
      </c>
      <c r="P2998" t="s">
        <v>115</v>
      </c>
      <c r="Q2998" t="s">
        <v>103</v>
      </c>
      <c r="R2998" t="s">
        <v>125</v>
      </c>
      <c r="S2998" t="s">
        <v>70</v>
      </c>
      <c r="T2998" s="5">
        <f>IF(SUM(E$2998:E$3030)=0,E$3031/33,E2998+IFERROR(E2998/SUM(E$2998:E$3030)*E$3031,0))</f>
        <v>0</v>
      </c>
      <c r="U2998" s="5">
        <f t="shared" ref="U2998:AA2998" si="937">IF(SUM(F$2998:F$3030)=0,F$3031/33,F2998+IFERROR(F2998/SUM(F$2998:F$3030)*F$3031,0))</f>
        <v>0</v>
      </c>
      <c r="V2998" s="5">
        <f t="shared" si="937"/>
        <v>0</v>
      </c>
      <c r="W2998" s="5">
        <f t="shared" si="937"/>
        <v>0</v>
      </c>
      <c r="X2998" s="5">
        <f t="shared" si="937"/>
        <v>0</v>
      </c>
      <c r="Y2998" s="5">
        <f t="shared" si="937"/>
        <v>0</v>
      </c>
      <c r="Z2998" s="5">
        <f t="shared" si="937"/>
        <v>0</v>
      </c>
      <c r="AA2998" s="5">
        <f t="shared" si="937"/>
        <v>0</v>
      </c>
      <c r="AB2998" s="5">
        <f t="shared" si="936"/>
        <v>0</v>
      </c>
    </row>
    <row r="2999" spans="1:29" x14ac:dyDescent="0.25">
      <c r="D2999" t="s">
        <v>71</v>
      </c>
      <c r="E2999" s="14"/>
      <c r="F2999" s="14"/>
      <c r="G2999">
        <f>IFERROR(HLOOKUP(G$2,[91]table_female_hkom1_inj.ill_X3!$A$1:$K$36,3,FALSE),0)</f>
        <v>0</v>
      </c>
      <c r="H2999">
        <f>IFERROR(HLOOKUP(H$2,[91]table_female_hkom1_inj.ill_X3!$A$1:$K$36,3,FALSE),0)</f>
        <v>0</v>
      </c>
      <c r="I2999">
        <f>IFERROR(HLOOKUP(I$2,[91]table_female_hkom1_inj.ill_X3!$A$1:$K$36,3,FALSE),0)</f>
        <v>0</v>
      </c>
      <c r="J2999">
        <f>IFERROR(HLOOKUP(J$2,[91]table_female_hkom1_inj.ill_X3!$A$1:$K$36,3,FALSE),0)</f>
        <v>0</v>
      </c>
      <c r="K2999">
        <f>IFERROR(HLOOKUP(K$2,[91]table_female_hkom1_inj.ill_X3!$A$1:$K$36,3,FALSE),0)</f>
        <v>0</v>
      </c>
      <c r="L2999">
        <f>IFERROR(HLOOKUP(L$2,[91]table_female_hkom1_inj.ill_X3!$A$1:$K$36,3,FALSE),0)</f>
        <v>0</v>
      </c>
      <c r="M2999">
        <f t="shared" ref="M2999:M3031" si="938">SUM(E2999:L2999)</f>
        <v>0</v>
      </c>
      <c r="S2999" t="s">
        <v>71</v>
      </c>
      <c r="T2999" s="5">
        <f t="shared" ref="T2999:T3030" si="939">IF(SUM(E$2998:E$3030)=0,E$3031/33,E2999+IFERROR(E2999/SUM(E$2998:E$3030)*E$3031,0))</f>
        <v>0</v>
      </c>
      <c r="U2999" s="5">
        <f t="shared" ref="U2999:U3030" si="940">IF(SUM(F$2998:F$3030)=0,F$3031/33,F2999+IFERROR(F2999/SUM(F$2998:F$3030)*F$3031,0))</f>
        <v>0</v>
      </c>
      <c r="V2999" s="5">
        <f t="shared" ref="V2999:V3030" si="941">IF(SUM(G$2998:G$3030)=0,G$3031/33,G2999+IFERROR(G2999/SUM(G$2998:G$3030)*G$3031,0))</f>
        <v>0</v>
      </c>
      <c r="W2999" s="5">
        <f t="shared" ref="W2999:W3030" si="942">IF(SUM(H$2998:H$3030)=0,H$3031/33,H2999+IFERROR(H2999/SUM(H$2998:H$3030)*H$3031,0))</f>
        <v>0</v>
      </c>
      <c r="X2999" s="5">
        <f t="shared" ref="X2999:X3030" si="943">IF(SUM(I$2998:I$3030)=0,I$3031/33,I2999+IFERROR(I2999/SUM(I$2998:I$3030)*I$3031,0))</f>
        <v>0</v>
      </c>
      <c r="Y2999" s="5">
        <f t="shared" ref="Y2999:Y3030" si="944">IF(SUM(J$2998:J$3030)=0,J$3031/33,J2999+IFERROR(J2999/SUM(J$2998:J$3030)*J$3031,0))</f>
        <v>0</v>
      </c>
      <c r="Z2999" s="5">
        <f t="shared" ref="Z2999:Z3030" si="945">IF(SUM(K$2998:K$3030)=0,K$3031/33,K2999+IFERROR(K2999/SUM(K$2998:K$3030)*K$3031,0))</f>
        <v>0</v>
      </c>
      <c r="AA2999" s="5">
        <f t="shared" ref="AA2999:AA3030" si="946">IF(SUM(L$2998:L$3030)=0,L$3031/33,L2999+IFERROR(L2999/SUM(L$2998:L$3030)*L$3031,0))</f>
        <v>0</v>
      </c>
      <c r="AB2999" s="5">
        <f t="shared" si="936"/>
        <v>0</v>
      </c>
    </row>
    <row r="3000" spans="1:29" x14ac:dyDescent="0.25">
      <c r="D3000" t="s">
        <v>72</v>
      </c>
      <c r="E3000" s="14"/>
      <c r="F3000" s="14"/>
      <c r="G3000">
        <f>IFERROR(HLOOKUP(G$2,[91]table_female_hkom1_inj.ill_X3!$A$1:$K$36,4,FALSE),0)</f>
        <v>0</v>
      </c>
      <c r="H3000">
        <f>IFERROR(HLOOKUP(H$2,[91]table_female_hkom1_inj.ill_X3!$A$1:$K$36,4,FALSE),0)</f>
        <v>0</v>
      </c>
      <c r="I3000">
        <f>IFERROR(HLOOKUP(I$2,[91]table_female_hkom1_inj.ill_X3!$A$1:$K$36,4,FALSE),0)</f>
        <v>0</v>
      </c>
      <c r="J3000">
        <f>IFERROR(HLOOKUP(J$2,[91]table_female_hkom1_inj.ill_X3!$A$1:$K$36,4,FALSE),0)</f>
        <v>0</v>
      </c>
      <c r="K3000">
        <f>IFERROR(HLOOKUP(K$2,[91]table_female_hkom1_inj.ill_X3!$A$1:$K$36,4,FALSE),0)</f>
        <v>0</v>
      </c>
      <c r="L3000">
        <f>IFERROR(HLOOKUP(L$2,[91]table_female_hkom1_inj.ill_X3!$A$1:$K$36,4,FALSE),0)</f>
        <v>0</v>
      </c>
      <c r="M3000">
        <f t="shared" si="938"/>
        <v>0</v>
      </c>
      <c r="S3000" t="s">
        <v>72</v>
      </c>
      <c r="T3000" s="5">
        <f t="shared" si="939"/>
        <v>0</v>
      </c>
      <c r="U3000" s="5">
        <f t="shared" si="940"/>
        <v>0</v>
      </c>
      <c r="V3000" s="5">
        <f t="shared" si="941"/>
        <v>0</v>
      </c>
      <c r="W3000" s="5">
        <f t="shared" si="942"/>
        <v>0</v>
      </c>
      <c r="X3000" s="5">
        <f t="shared" si="943"/>
        <v>0</v>
      </c>
      <c r="Y3000" s="5">
        <f t="shared" si="944"/>
        <v>0</v>
      </c>
      <c r="Z3000" s="5">
        <f t="shared" si="945"/>
        <v>0</v>
      </c>
      <c r="AA3000" s="5">
        <f t="shared" si="946"/>
        <v>0</v>
      </c>
      <c r="AB3000" s="5">
        <f t="shared" si="936"/>
        <v>0</v>
      </c>
    </row>
    <row r="3001" spans="1:29" x14ac:dyDescent="0.25">
      <c r="D3001" t="s">
        <v>73</v>
      </c>
      <c r="E3001" s="14"/>
      <c r="F3001" s="14"/>
      <c r="G3001">
        <f>IFERROR(HLOOKUP(G$2,[91]table_female_hkom1_inj.ill_X3!$A$1:$K$36,5,FALSE),0)</f>
        <v>0</v>
      </c>
      <c r="H3001">
        <f>IFERROR(HLOOKUP(H$2,[91]table_female_hkom1_inj.ill_X3!$A$1:$K$36,5,FALSE),0)</f>
        <v>0</v>
      </c>
      <c r="I3001">
        <f>IFERROR(HLOOKUP(I$2,[91]table_female_hkom1_inj.ill_X3!$A$1:$K$36,5,FALSE),0)</f>
        <v>0</v>
      </c>
      <c r="J3001">
        <f>IFERROR(HLOOKUP(J$2,[91]table_female_hkom1_inj.ill_X3!$A$1:$K$36,5,FALSE),0)</f>
        <v>0</v>
      </c>
      <c r="K3001">
        <f>IFERROR(HLOOKUP(K$2,[91]table_female_hkom1_inj.ill_X3!$A$1:$K$36,5,FALSE),0)</f>
        <v>0</v>
      </c>
      <c r="L3001">
        <f>IFERROR(HLOOKUP(L$2,[91]table_female_hkom1_inj.ill_X3!$A$1:$K$36,5,FALSE),0)</f>
        <v>0</v>
      </c>
      <c r="M3001">
        <f t="shared" si="938"/>
        <v>0</v>
      </c>
      <c r="S3001" t="s">
        <v>73</v>
      </c>
      <c r="T3001" s="5">
        <f t="shared" si="939"/>
        <v>0</v>
      </c>
      <c r="U3001" s="5">
        <f t="shared" si="940"/>
        <v>0</v>
      </c>
      <c r="V3001" s="5">
        <f t="shared" si="941"/>
        <v>0</v>
      </c>
      <c r="W3001" s="5">
        <f t="shared" si="942"/>
        <v>0</v>
      </c>
      <c r="X3001" s="5">
        <f t="shared" si="943"/>
        <v>0</v>
      </c>
      <c r="Y3001" s="5">
        <f t="shared" si="944"/>
        <v>0</v>
      </c>
      <c r="Z3001" s="5">
        <f t="shared" si="945"/>
        <v>0</v>
      </c>
      <c r="AA3001" s="5">
        <f t="shared" si="946"/>
        <v>0</v>
      </c>
      <c r="AB3001" s="5">
        <f t="shared" si="936"/>
        <v>0</v>
      </c>
    </row>
    <row r="3002" spans="1:29" x14ac:dyDescent="0.25">
      <c r="D3002" t="s">
        <v>74</v>
      </c>
      <c r="E3002" s="14"/>
      <c r="F3002" s="14"/>
      <c r="G3002">
        <f>IFERROR(HLOOKUP(G$2,[91]table_female_hkom1_inj.ill_X3!$A$1:$K$36,6,FALSE),0)</f>
        <v>0</v>
      </c>
      <c r="H3002">
        <f>IFERROR(HLOOKUP(H$2,[91]table_female_hkom1_inj.ill_X3!$A$1:$K$36,6,FALSE),0)</f>
        <v>0</v>
      </c>
      <c r="I3002">
        <f>IFERROR(HLOOKUP(I$2,[91]table_female_hkom1_inj.ill_X3!$A$1:$K$36,6,FALSE),0)</f>
        <v>0</v>
      </c>
      <c r="J3002">
        <f>IFERROR(HLOOKUP(J$2,[91]table_female_hkom1_inj.ill_X3!$A$1:$K$36,6,FALSE),0)</f>
        <v>0</v>
      </c>
      <c r="K3002">
        <f>IFERROR(HLOOKUP(K$2,[91]table_female_hkom1_inj.ill_X3!$A$1:$K$36,6,FALSE),0)</f>
        <v>0</v>
      </c>
      <c r="L3002">
        <f>IFERROR(HLOOKUP(L$2,[91]table_female_hkom1_inj.ill_X3!$A$1:$K$36,6,FALSE),0)</f>
        <v>0</v>
      </c>
      <c r="M3002">
        <f t="shared" si="938"/>
        <v>0</v>
      </c>
      <c r="S3002" t="s">
        <v>74</v>
      </c>
      <c r="T3002" s="5">
        <f t="shared" si="939"/>
        <v>0</v>
      </c>
      <c r="U3002" s="5">
        <f t="shared" si="940"/>
        <v>0</v>
      </c>
      <c r="V3002" s="5">
        <f t="shared" si="941"/>
        <v>0</v>
      </c>
      <c r="W3002" s="5">
        <f t="shared" si="942"/>
        <v>0</v>
      </c>
      <c r="X3002" s="5">
        <f t="shared" si="943"/>
        <v>0</v>
      </c>
      <c r="Y3002" s="5">
        <f t="shared" si="944"/>
        <v>0</v>
      </c>
      <c r="Z3002" s="5">
        <f t="shared" si="945"/>
        <v>0</v>
      </c>
      <c r="AA3002" s="5">
        <f t="shared" si="946"/>
        <v>0</v>
      </c>
      <c r="AB3002" s="5">
        <f t="shared" si="936"/>
        <v>0</v>
      </c>
    </row>
    <row r="3003" spans="1:29" x14ac:dyDescent="0.25">
      <c r="D3003" t="s">
        <v>75</v>
      </c>
      <c r="E3003" s="14"/>
      <c r="F3003" s="14"/>
      <c r="G3003">
        <f>IFERROR(HLOOKUP(G$2,[91]table_female_hkom1_inj.ill_X3!$A$1:$K$36,7,FALSE),0)</f>
        <v>0</v>
      </c>
      <c r="H3003">
        <f>IFERROR(HLOOKUP(H$2,[91]table_female_hkom1_inj.ill_X3!$A$1:$K$36,7,FALSE),0)</f>
        <v>0</v>
      </c>
      <c r="I3003">
        <f>IFERROR(HLOOKUP(I$2,[91]table_female_hkom1_inj.ill_X3!$A$1:$K$36,7,FALSE),0)</f>
        <v>0</v>
      </c>
      <c r="J3003">
        <f>IFERROR(HLOOKUP(J$2,[91]table_female_hkom1_inj.ill_X3!$A$1:$K$36,7,FALSE),0)</f>
        <v>0</v>
      </c>
      <c r="K3003">
        <f>IFERROR(HLOOKUP(K$2,[91]table_female_hkom1_inj.ill_X3!$A$1:$K$36,7,FALSE),0)</f>
        <v>0</v>
      </c>
      <c r="L3003">
        <f>IFERROR(HLOOKUP(L$2,[91]table_female_hkom1_inj.ill_X3!$A$1:$K$36,7,FALSE),0)</f>
        <v>0</v>
      </c>
      <c r="M3003">
        <f t="shared" si="938"/>
        <v>0</v>
      </c>
      <c r="S3003" t="s">
        <v>75</v>
      </c>
      <c r="T3003" s="5">
        <f t="shared" si="939"/>
        <v>0</v>
      </c>
      <c r="U3003" s="5">
        <f t="shared" si="940"/>
        <v>0</v>
      </c>
      <c r="V3003" s="5">
        <f t="shared" si="941"/>
        <v>0</v>
      </c>
      <c r="W3003" s="5">
        <f t="shared" si="942"/>
        <v>0</v>
      </c>
      <c r="X3003" s="5">
        <f t="shared" si="943"/>
        <v>0</v>
      </c>
      <c r="Y3003" s="5">
        <f t="shared" si="944"/>
        <v>0</v>
      </c>
      <c r="Z3003" s="5">
        <f t="shared" si="945"/>
        <v>0</v>
      </c>
      <c r="AA3003" s="5">
        <f t="shared" si="946"/>
        <v>0</v>
      </c>
      <c r="AB3003" s="5">
        <f t="shared" si="936"/>
        <v>0</v>
      </c>
    </row>
    <row r="3004" spans="1:29" x14ac:dyDescent="0.25">
      <c r="D3004" t="s">
        <v>76</v>
      </c>
      <c r="E3004" s="14"/>
      <c r="F3004" s="14"/>
      <c r="G3004">
        <f>IFERROR(HLOOKUP(G$2,[91]table_female_hkom1_inj.ill_X3!$A$1:$K$36,8,FALSE),0)</f>
        <v>0</v>
      </c>
      <c r="H3004">
        <f>IFERROR(HLOOKUP(H$2,[91]table_female_hkom1_inj.ill_X3!$A$1:$K$36,8,FALSE),0)</f>
        <v>0</v>
      </c>
      <c r="I3004">
        <f>IFERROR(HLOOKUP(I$2,[91]table_female_hkom1_inj.ill_X3!$A$1:$K$36,8,FALSE),0)</f>
        <v>0</v>
      </c>
      <c r="J3004">
        <f>IFERROR(HLOOKUP(J$2,[91]table_female_hkom1_inj.ill_X3!$A$1:$K$36,8,FALSE),0)</f>
        <v>0</v>
      </c>
      <c r="K3004">
        <f>IFERROR(HLOOKUP(K$2,[91]table_female_hkom1_inj.ill_X3!$A$1:$K$36,8,FALSE),0)</f>
        <v>0</v>
      </c>
      <c r="L3004">
        <f>IFERROR(HLOOKUP(L$2,[91]table_female_hkom1_inj.ill_X3!$A$1:$K$36,8,FALSE),0)</f>
        <v>0</v>
      </c>
      <c r="M3004">
        <f t="shared" si="938"/>
        <v>0</v>
      </c>
      <c r="S3004" t="s">
        <v>76</v>
      </c>
      <c r="T3004" s="5">
        <f t="shared" si="939"/>
        <v>0</v>
      </c>
      <c r="U3004" s="5">
        <f t="shared" si="940"/>
        <v>0</v>
      </c>
      <c r="V3004" s="5">
        <f t="shared" si="941"/>
        <v>0</v>
      </c>
      <c r="W3004" s="5">
        <f t="shared" si="942"/>
        <v>0</v>
      </c>
      <c r="X3004" s="5">
        <f t="shared" si="943"/>
        <v>0</v>
      </c>
      <c r="Y3004" s="5">
        <f t="shared" si="944"/>
        <v>0</v>
      </c>
      <c r="Z3004" s="5">
        <f t="shared" si="945"/>
        <v>0</v>
      </c>
      <c r="AA3004" s="5">
        <f t="shared" si="946"/>
        <v>0</v>
      </c>
      <c r="AB3004" s="5">
        <f t="shared" si="936"/>
        <v>0</v>
      </c>
    </row>
    <row r="3005" spans="1:29" x14ac:dyDescent="0.25">
      <c r="D3005" t="s">
        <v>77</v>
      </c>
      <c r="E3005" s="14"/>
      <c r="F3005" s="14"/>
      <c r="G3005">
        <f>IFERROR(HLOOKUP(G$2,[91]table_female_hkom1_inj.ill_X3!$A$1:$K$36,9,FALSE),0)</f>
        <v>0</v>
      </c>
      <c r="H3005">
        <f>IFERROR(HLOOKUP(H$2,[91]table_female_hkom1_inj.ill_X3!$A$1:$K$36,9,FALSE),0)</f>
        <v>0</v>
      </c>
      <c r="I3005">
        <f>IFERROR(HLOOKUP(I$2,[91]table_female_hkom1_inj.ill_X3!$A$1:$K$36,9,FALSE),0)</f>
        <v>0</v>
      </c>
      <c r="J3005">
        <f>IFERROR(HLOOKUP(J$2,[91]table_female_hkom1_inj.ill_X3!$A$1:$K$36,9,FALSE),0)</f>
        <v>0</v>
      </c>
      <c r="K3005">
        <f>IFERROR(HLOOKUP(K$2,[91]table_female_hkom1_inj.ill_X3!$A$1:$K$36,9,FALSE),0)</f>
        <v>0</v>
      </c>
      <c r="L3005">
        <f>IFERROR(HLOOKUP(L$2,[91]table_female_hkom1_inj.ill_X3!$A$1:$K$36,9,FALSE),0)</f>
        <v>0</v>
      </c>
      <c r="M3005">
        <f t="shared" si="938"/>
        <v>0</v>
      </c>
      <c r="S3005" t="s">
        <v>77</v>
      </c>
      <c r="T3005" s="5">
        <f t="shared" si="939"/>
        <v>0</v>
      </c>
      <c r="U3005" s="5">
        <f t="shared" si="940"/>
        <v>0</v>
      </c>
      <c r="V3005" s="5">
        <f t="shared" si="941"/>
        <v>0</v>
      </c>
      <c r="W3005" s="5">
        <f t="shared" si="942"/>
        <v>0</v>
      </c>
      <c r="X3005" s="5">
        <f t="shared" si="943"/>
        <v>0</v>
      </c>
      <c r="Y3005" s="5">
        <f t="shared" si="944"/>
        <v>0</v>
      </c>
      <c r="Z3005" s="5">
        <f t="shared" si="945"/>
        <v>0</v>
      </c>
      <c r="AA3005" s="5">
        <f t="shared" si="946"/>
        <v>0</v>
      </c>
      <c r="AB3005" s="5">
        <f t="shared" si="936"/>
        <v>0</v>
      </c>
    </row>
    <row r="3006" spans="1:29" x14ac:dyDescent="0.25">
      <c r="D3006" t="s">
        <v>78</v>
      </c>
      <c r="E3006" s="14"/>
      <c r="F3006" s="14"/>
      <c r="G3006">
        <f>IFERROR(HLOOKUP(G$2,[91]table_female_hkom1_inj.ill_X3!$A$1:$K$36,10,FALSE),0)</f>
        <v>0</v>
      </c>
      <c r="H3006">
        <f>IFERROR(HLOOKUP(H$2,[91]table_female_hkom1_inj.ill_X3!$A$1:$K$36,10,FALSE),0)</f>
        <v>0</v>
      </c>
      <c r="I3006">
        <f>IFERROR(HLOOKUP(I$2,[91]table_female_hkom1_inj.ill_X3!$A$1:$K$36,10,FALSE),0)</f>
        <v>0</v>
      </c>
      <c r="J3006">
        <f>IFERROR(HLOOKUP(J$2,[91]table_female_hkom1_inj.ill_X3!$A$1:$K$36,10,FALSE),0)</f>
        <v>0</v>
      </c>
      <c r="K3006">
        <f>IFERROR(HLOOKUP(K$2,[91]table_female_hkom1_inj.ill_X3!$A$1:$K$36,10,FALSE),0)</f>
        <v>0</v>
      </c>
      <c r="L3006">
        <f>IFERROR(HLOOKUP(L$2,[91]table_female_hkom1_inj.ill_X3!$A$1:$K$36,10,FALSE),0)</f>
        <v>0</v>
      </c>
      <c r="M3006">
        <f t="shared" si="938"/>
        <v>0</v>
      </c>
      <c r="S3006" t="s">
        <v>78</v>
      </c>
      <c r="T3006" s="5">
        <f t="shared" si="939"/>
        <v>0</v>
      </c>
      <c r="U3006" s="5">
        <f t="shared" si="940"/>
        <v>0</v>
      </c>
      <c r="V3006" s="5">
        <f t="shared" si="941"/>
        <v>0</v>
      </c>
      <c r="W3006" s="5">
        <f t="shared" si="942"/>
        <v>0</v>
      </c>
      <c r="X3006" s="5">
        <f t="shared" si="943"/>
        <v>0</v>
      </c>
      <c r="Y3006" s="5">
        <f t="shared" si="944"/>
        <v>0</v>
      </c>
      <c r="Z3006" s="5">
        <f t="shared" si="945"/>
        <v>0</v>
      </c>
      <c r="AA3006" s="5">
        <f t="shared" si="946"/>
        <v>0</v>
      </c>
      <c r="AB3006" s="5">
        <f t="shared" si="936"/>
        <v>0</v>
      </c>
    </row>
    <row r="3007" spans="1:29" x14ac:dyDescent="0.25">
      <c r="D3007" t="s">
        <v>79</v>
      </c>
      <c r="E3007" s="14"/>
      <c r="F3007" s="14"/>
      <c r="G3007">
        <f>IFERROR(HLOOKUP(G$2,[91]table_female_hkom1_inj.ill_X3!$A$1:$K$36,11,FALSE),0)</f>
        <v>0</v>
      </c>
      <c r="H3007">
        <f>IFERROR(HLOOKUP(H$2,[91]table_female_hkom1_inj.ill_X3!$A$1:$K$36,11,FALSE),0)</f>
        <v>0</v>
      </c>
      <c r="I3007">
        <f>IFERROR(HLOOKUP(I$2,[91]table_female_hkom1_inj.ill_X3!$A$1:$K$36,11,FALSE),0)</f>
        <v>0</v>
      </c>
      <c r="J3007">
        <f>IFERROR(HLOOKUP(J$2,[91]table_female_hkom1_inj.ill_X3!$A$1:$K$36,11,FALSE),0)</f>
        <v>0</v>
      </c>
      <c r="K3007">
        <f>IFERROR(HLOOKUP(K$2,[91]table_female_hkom1_inj.ill_X3!$A$1:$K$36,11,FALSE),0)</f>
        <v>0</v>
      </c>
      <c r="L3007">
        <f>IFERROR(HLOOKUP(L$2,[91]table_female_hkom1_inj.ill_X3!$A$1:$K$36,11,FALSE),0)</f>
        <v>0</v>
      </c>
      <c r="M3007">
        <f t="shared" si="938"/>
        <v>0</v>
      </c>
      <c r="S3007" t="s">
        <v>79</v>
      </c>
      <c r="T3007" s="5">
        <f t="shared" si="939"/>
        <v>0</v>
      </c>
      <c r="U3007" s="5">
        <f t="shared" si="940"/>
        <v>0</v>
      </c>
      <c r="V3007" s="5">
        <f t="shared" si="941"/>
        <v>0</v>
      </c>
      <c r="W3007" s="5">
        <f t="shared" si="942"/>
        <v>0</v>
      </c>
      <c r="X3007" s="5">
        <f t="shared" si="943"/>
        <v>0</v>
      </c>
      <c r="Y3007" s="5">
        <f t="shared" si="944"/>
        <v>0</v>
      </c>
      <c r="Z3007" s="5">
        <f t="shared" si="945"/>
        <v>0</v>
      </c>
      <c r="AA3007" s="5">
        <f t="shared" si="946"/>
        <v>0</v>
      </c>
      <c r="AB3007" s="5">
        <f t="shared" si="936"/>
        <v>0</v>
      </c>
    </row>
    <row r="3008" spans="1:29" x14ac:dyDescent="0.25">
      <c r="D3008" t="s">
        <v>80</v>
      </c>
      <c r="E3008" s="14"/>
      <c r="F3008" s="14"/>
      <c r="G3008">
        <f>IFERROR(HLOOKUP(G$2,[91]table_female_hkom1_inj.ill_X3!$A$1:$K$36,12,FALSE),0)</f>
        <v>0</v>
      </c>
      <c r="H3008">
        <f>IFERROR(HLOOKUP(H$2,[91]table_female_hkom1_inj.ill_X3!$A$1:$K$36,12,FALSE),0)</f>
        <v>0</v>
      </c>
      <c r="I3008">
        <f>IFERROR(HLOOKUP(I$2,[91]table_female_hkom1_inj.ill_X3!$A$1:$K$36,12,FALSE),0)</f>
        <v>0</v>
      </c>
      <c r="J3008">
        <f>IFERROR(HLOOKUP(J$2,[91]table_female_hkom1_inj.ill_X3!$A$1:$K$36,12,FALSE),0)</f>
        <v>0</v>
      </c>
      <c r="K3008">
        <f>IFERROR(HLOOKUP(K$2,[91]table_female_hkom1_inj.ill_X3!$A$1:$K$36,12,FALSE),0)</f>
        <v>0</v>
      </c>
      <c r="L3008">
        <f>IFERROR(HLOOKUP(L$2,[91]table_female_hkom1_inj.ill_X3!$A$1:$K$36,12,FALSE),0)</f>
        <v>0</v>
      </c>
      <c r="M3008">
        <f t="shared" si="938"/>
        <v>0</v>
      </c>
      <c r="S3008" t="s">
        <v>80</v>
      </c>
      <c r="T3008" s="5">
        <f t="shared" si="939"/>
        <v>0</v>
      </c>
      <c r="U3008" s="5">
        <f t="shared" si="940"/>
        <v>0</v>
      </c>
      <c r="V3008" s="5">
        <f t="shared" si="941"/>
        <v>0</v>
      </c>
      <c r="W3008" s="5">
        <f t="shared" si="942"/>
        <v>0</v>
      </c>
      <c r="X3008" s="5">
        <f t="shared" si="943"/>
        <v>0</v>
      </c>
      <c r="Y3008" s="5">
        <f t="shared" si="944"/>
        <v>0</v>
      </c>
      <c r="Z3008" s="5">
        <f t="shared" si="945"/>
        <v>0</v>
      </c>
      <c r="AA3008" s="5">
        <f t="shared" si="946"/>
        <v>0</v>
      </c>
      <c r="AB3008" s="5">
        <f t="shared" si="936"/>
        <v>0</v>
      </c>
    </row>
    <row r="3009" spans="4:28" x14ac:dyDescent="0.25">
      <c r="D3009" t="s">
        <v>81</v>
      </c>
      <c r="E3009" s="14"/>
      <c r="F3009" s="14"/>
      <c r="G3009">
        <f>IFERROR(HLOOKUP(G$2,[91]table_female_hkom1_inj.ill_X3!$A$1:$K$36,13,FALSE),0)</f>
        <v>0</v>
      </c>
      <c r="H3009">
        <f>IFERROR(HLOOKUP(H$2,[91]table_female_hkom1_inj.ill_X3!$A$1:$K$36,13,FALSE),0)</f>
        <v>0</v>
      </c>
      <c r="I3009">
        <f>IFERROR(HLOOKUP(I$2,[91]table_female_hkom1_inj.ill_X3!$A$1:$K$36,13,FALSE),0)</f>
        <v>0</v>
      </c>
      <c r="J3009">
        <f>IFERROR(HLOOKUP(J$2,[91]table_female_hkom1_inj.ill_X3!$A$1:$K$36,13,FALSE),0)</f>
        <v>0</v>
      </c>
      <c r="K3009">
        <f>IFERROR(HLOOKUP(K$2,[91]table_female_hkom1_inj.ill_X3!$A$1:$K$36,13,FALSE),0)</f>
        <v>0</v>
      </c>
      <c r="L3009">
        <f>IFERROR(HLOOKUP(L$2,[91]table_female_hkom1_inj.ill_X3!$A$1:$K$36,13,FALSE),0)</f>
        <v>0</v>
      </c>
      <c r="M3009">
        <f t="shared" si="938"/>
        <v>0</v>
      </c>
      <c r="S3009" t="s">
        <v>81</v>
      </c>
      <c r="T3009" s="5">
        <f t="shared" si="939"/>
        <v>0</v>
      </c>
      <c r="U3009" s="5">
        <f t="shared" si="940"/>
        <v>0</v>
      </c>
      <c r="V3009" s="5">
        <f t="shared" si="941"/>
        <v>0</v>
      </c>
      <c r="W3009" s="5">
        <f t="shared" si="942"/>
        <v>0</v>
      </c>
      <c r="X3009" s="5">
        <f t="shared" si="943"/>
        <v>0</v>
      </c>
      <c r="Y3009" s="5">
        <f t="shared" si="944"/>
        <v>0</v>
      </c>
      <c r="Z3009" s="5">
        <f t="shared" si="945"/>
        <v>0</v>
      </c>
      <c r="AA3009" s="5">
        <f t="shared" si="946"/>
        <v>0</v>
      </c>
      <c r="AB3009" s="5">
        <f t="shared" si="936"/>
        <v>0</v>
      </c>
    </row>
    <row r="3010" spans="4:28" x14ac:dyDescent="0.25">
      <c r="D3010" t="s">
        <v>82</v>
      </c>
      <c r="E3010" s="14"/>
      <c r="F3010" s="14"/>
      <c r="G3010">
        <f>IFERROR(HLOOKUP(G$2,[91]table_female_hkom1_inj.ill_X3!$A$1:$K$36,14,FALSE),0)</f>
        <v>0</v>
      </c>
      <c r="H3010">
        <f>IFERROR(HLOOKUP(H$2,[91]table_female_hkom1_inj.ill_X3!$A$1:$K$36,14,FALSE),0)</f>
        <v>0</v>
      </c>
      <c r="I3010">
        <f>IFERROR(HLOOKUP(I$2,[91]table_female_hkom1_inj.ill_X3!$A$1:$K$36,14,FALSE),0)</f>
        <v>0</v>
      </c>
      <c r="J3010">
        <f>IFERROR(HLOOKUP(J$2,[91]table_female_hkom1_inj.ill_X3!$A$1:$K$36,14,FALSE),0)</f>
        <v>0</v>
      </c>
      <c r="K3010">
        <f>IFERROR(HLOOKUP(K$2,[91]table_female_hkom1_inj.ill_X3!$A$1:$K$36,14,FALSE),0)</f>
        <v>0</v>
      </c>
      <c r="L3010">
        <f>IFERROR(HLOOKUP(L$2,[91]table_female_hkom1_inj.ill_X3!$A$1:$K$36,14,FALSE),0)</f>
        <v>0</v>
      </c>
      <c r="M3010">
        <f t="shared" si="938"/>
        <v>0</v>
      </c>
      <c r="S3010" t="s">
        <v>82</v>
      </c>
      <c r="T3010" s="5">
        <f t="shared" si="939"/>
        <v>0</v>
      </c>
      <c r="U3010" s="5">
        <f t="shared" si="940"/>
        <v>0</v>
      </c>
      <c r="V3010" s="5">
        <f t="shared" si="941"/>
        <v>0</v>
      </c>
      <c r="W3010" s="5">
        <f t="shared" si="942"/>
        <v>0</v>
      </c>
      <c r="X3010" s="5">
        <f t="shared" si="943"/>
        <v>0</v>
      </c>
      <c r="Y3010" s="5">
        <f t="shared" si="944"/>
        <v>0</v>
      </c>
      <c r="Z3010" s="5">
        <f t="shared" si="945"/>
        <v>0</v>
      </c>
      <c r="AA3010" s="5">
        <f t="shared" si="946"/>
        <v>0</v>
      </c>
      <c r="AB3010" s="5">
        <f t="shared" si="936"/>
        <v>0</v>
      </c>
    </row>
    <row r="3011" spans="4:28" x14ac:dyDescent="0.25">
      <c r="D3011" t="s">
        <v>83</v>
      </c>
      <c r="E3011" s="14"/>
      <c r="F3011" s="14"/>
      <c r="G3011">
        <f>IFERROR(HLOOKUP(G$2,[91]table_female_hkom1_inj.ill_X3!$A$1:$K$36,15,FALSE),0)</f>
        <v>0</v>
      </c>
      <c r="H3011">
        <f>IFERROR(HLOOKUP(H$2,[91]table_female_hkom1_inj.ill_X3!$A$1:$K$36,15,FALSE),0)</f>
        <v>0</v>
      </c>
      <c r="I3011">
        <f>IFERROR(HLOOKUP(I$2,[91]table_female_hkom1_inj.ill_X3!$A$1:$K$36,15,FALSE),0)</f>
        <v>0</v>
      </c>
      <c r="J3011">
        <f>IFERROR(HLOOKUP(J$2,[91]table_female_hkom1_inj.ill_X3!$A$1:$K$36,15,FALSE),0)</f>
        <v>0</v>
      </c>
      <c r="K3011">
        <f>IFERROR(HLOOKUP(K$2,[91]table_female_hkom1_inj.ill_X3!$A$1:$K$36,15,FALSE),0)</f>
        <v>0</v>
      </c>
      <c r="L3011">
        <f>IFERROR(HLOOKUP(L$2,[91]table_female_hkom1_inj.ill_X3!$A$1:$K$36,15,FALSE),0)</f>
        <v>0</v>
      </c>
      <c r="M3011">
        <f t="shared" si="938"/>
        <v>0</v>
      </c>
      <c r="S3011" t="s">
        <v>83</v>
      </c>
      <c r="T3011" s="5">
        <f t="shared" si="939"/>
        <v>0</v>
      </c>
      <c r="U3011" s="5">
        <f t="shared" si="940"/>
        <v>0</v>
      </c>
      <c r="V3011" s="5">
        <f t="shared" si="941"/>
        <v>0</v>
      </c>
      <c r="W3011" s="5">
        <f t="shared" si="942"/>
        <v>0</v>
      </c>
      <c r="X3011" s="5">
        <f t="shared" si="943"/>
        <v>0</v>
      </c>
      <c r="Y3011" s="5">
        <f t="shared" si="944"/>
        <v>0</v>
      </c>
      <c r="Z3011" s="5">
        <f t="shared" si="945"/>
        <v>0</v>
      </c>
      <c r="AA3011" s="5">
        <f t="shared" si="946"/>
        <v>0</v>
      </c>
      <c r="AB3011" s="5">
        <f t="shared" si="936"/>
        <v>0</v>
      </c>
    </row>
    <row r="3012" spans="4:28" x14ac:dyDescent="0.25">
      <c r="D3012" t="s">
        <v>84</v>
      </c>
      <c r="E3012" s="14"/>
      <c r="F3012" s="14"/>
      <c r="G3012">
        <f>IFERROR(HLOOKUP(G$2,[91]table_female_hkom1_inj.ill_X3!$A$1:$K$36,16,FALSE),0)</f>
        <v>0</v>
      </c>
      <c r="H3012">
        <f>IFERROR(HLOOKUP(H$2,[91]table_female_hkom1_inj.ill_X3!$A$1:$K$36,16,FALSE),0)</f>
        <v>0</v>
      </c>
      <c r="I3012">
        <f>IFERROR(HLOOKUP(I$2,[91]table_female_hkom1_inj.ill_X3!$A$1:$K$36,16,FALSE),0)</f>
        <v>0</v>
      </c>
      <c r="J3012">
        <f>IFERROR(HLOOKUP(J$2,[91]table_female_hkom1_inj.ill_X3!$A$1:$K$36,16,FALSE),0)</f>
        <v>0</v>
      </c>
      <c r="K3012">
        <f>IFERROR(HLOOKUP(K$2,[91]table_female_hkom1_inj.ill_X3!$A$1:$K$36,16,FALSE),0)</f>
        <v>0</v>
      </c>
      <c r="L3012">
        <f>IFERROR(HLOOKUP(L$2,[91]table_female_hkom1_inj.ill_X3!$A$1:$K$36,16,FALSE),0)</f>
        <v>0</v>
      </c>
      <c r="M3012">
        <f t="shared" si="938"/>
        <v>0</v>
      </c>
      <c r="S3012" t="s">
        <v>84</v>
      </c>
      <c r="T3012" s="5">
        <f t="shared" si="939"/>
        <v>0</v>
      </c>
      <c r="U3012" s="5">
        <f t="shared" si="940"/>
        <v>0</v>
      </c>
      <c r="V3012" s="5">
        <f t="shared" si="941"/>
        <v>0</v>
      </c>
      <c r="W3012" s="5">
        <f t="shared" si="942"/>
        <v>0</v>
      </c>
      <c r="X3012" s="5">
        <f t="shared" si="943"/>
        <v>0</v>
      </c>
      <c r="Y3012" s="5">
        <f t="shared" si="944"/>
        <v>0</v>
      </c>
      <c r="Z3012" s="5">
        <f t="shared" si="945"/>
        <v>0</v>
      </c>
      <c r="AA3012" s="5">
        <f t="shared" si="946"/>
        <v>0</v>
      </c>
      <c r="AB3012" s="5">
        <f t="shared" si="936"/>
        <v>0</v>
      </c>
    </row>
    <row r="3013" spans="4:28" x14ac:dyDescent="0.25">
      <c r="D3013" t="s">
        <v>85</v>
      </c>
      <c r="E3013" s="14"/>
      <c r="F3013" s="14"/>
      <c r="G3013">
        <f>IFERROR(HLOOKUP(G$2,[91]table_female_hkom1_inj.ill_X3!$A$1:$K$36,17,FALSE),0)</f>
        <v>1</v>
      </c>
      <c r="H3013">
        <f>IFERROR(HLOOKUP(H$2,[91]table_female_hkom1_inj.ill_X3!$A$1:$K$36,17,FALSE),0)</f>
        <v>0</v>
      </c>
      <c r="I3013">
        <f>IFERROR(HLOOKUP(I$2,[91]table_female_hkom1_inj.ill_X3!$A$1:$K$36,17,FALSE),0)</f>
        <v>0</v>
      </c>
      <c r="J3013">
        <f>IFERROR(HLOOKUP(J$2,[91]table_female_hkom1_inj.ill_X3!$A$1:$K$36,17,FALSE),0)</f>
        <v>0</v>
      </c>
      <c r="K3013">
        <f>IFERROR(HLOOKUP(K$2,[91]table_female_hkom1_inj.ill_X3!$A$1:$K$36,17,FALSE),0)</f>
        <v>0</v>
      </c>
      <c r="L3013">
        <f>IFERROR(HLOOKUP(L$2,[91]table_female_hkom1_inj.ill_X3!$A$1:$K$36,17,FALSE),0)</f>
        <v>0</v>
      </c>
      <c r="M3013">
        <f t="shared" si="938"/>
        <v>1</v>
      </c>
      <c r="S3013" t="s">
        <v>85</v>
      </c>
      <c r="T3013" s="5">
        <f t="shared" si="939"/>
        <v>0</v>
      </c>
      <c r="U3013" s="5">
        <f t="shared" si="940"/>
        <v>0</v>
      </c>
      <c r="V3013" s="5">
        <f t="shared" si="941"/>
        <v>1.76</v>
      </c>
      <c r="W3013" s="5">
        <f t="shared" si="942"/>
        <v>0</v>
      </c>
      <c r="X3013" s="5">
        <f t="shared" si="943"/>
        <v>0</v>
      </c>
      <c r="Y3013" s="5">
        <f t="shared" si="944"/>
        <v>0</v>
      </c>
      <c r="Z3013" s="5">
        <f t="shared" si="945"/>
        <v>0</v>
      </c>
      <c r="AA3013" s="5">
        <f t="shared" si="946"/>
        <v>0</v>
      </c>
      <c r="AB3013" s="5">
        <f t="shared" si="936"/>
        <v>1.76</v>
      </c>
    </row>
    <row r="3014" spans="4:28" x14ac:dyDescent="0.25">
      <c r="D3014" t="s">
        <v>86</v>
      </c>
      <c r="E3014" s="14"/>
      <c r="F3014" s="14"/>
      <c r="G3014">
        <f>IFERROR(HLOOKUP(G$2,[91]table_female_hkom1_inj.ill_X3!$A$1:$K$36,18,FALSE),0)</f>
        <v>0</v>
      </c>
      <c r="H3014">
        <f>IFERROR(HLOOKUP(H$2,[91]table_female_hkom1_inj.ill_X3!$A$1:$K$36,18,FALSE),0)</f>
        <v>0</v>
      </c>
      <c r="I3014">
        <f>IFERROR(HLOOKUP(I$2,[91]table_female_hkom1_inj.ill_X3!$A$1:$K$36,18,FALSE),0)</f>
        <v>0</v>
      </c>
      <c r="J3014">
        <f>IFERROR(HLOOKUP(J$2,[91]table_female_hkom1_inj.ill_X3!$A$1:$K$36,18,FALSE),0)</f>
        <v>0</v>
      </c>
      <c r="K3014">
        <f>IFERROR(HLOOKUP(K$2,[91]table_female_hkom1_inj.ill_X3!$A$1:$K$36,18,FALSE),0)</f>
        <v>0</v>
      </c>
      <c r="L3014">
        <f>IFERROR(HLOOKUP(L$2,[91]table_female_hkom1_inj.ill_X3!$A$1:$K$36,18,FALSE),0)</f>
        <v>0</v>
      </c>
      <c r="M3014">
        <f t="shared" si="938"/>
        <v>0</v>
      </c>
      <c r="S3014" t="s">
        <v>86</v>
      </c>
      <c r="T3014" s="5">
        <f t="shared" si="939"/>
        <v>0</v>
      </c>
      <c r="U3014" s="5">
        <f t="shared" si="940"/>
        <v>0</v>
      </c>
      <c r="V3014" s="5">
        <f t="shared" si="941"/>
        <v>0</v>
      </c>
      <c r="W3014" s="5">
        <f t="shared" si="942"/>
        <v>0</v>
      </c>
      <c r="X3014" s="5">
        <f t="shared" si="943"/>
        <v>0</v>
      </c>
      <c r="Y3014" s="5">
        <f t="shared" si="944"/>
        <v>0</v>
      </c>
      <c r="Z3014" s="5">
        <f t="shared" si="945"/>
        <v>0</v>
      </c>
      <c r="AA3014" s="5">
        <f t="shared" si="946"/>
        <v>0</v>
      </c>
      <c r="AB3014" s="5">
        <f t="shared" si="936"/>
        <v>0</v>
      </c>
    </row>
    <row r="3015" spans="4:28" x14ac:dyDescent="0.25">
      <c r="D3015" t="s">
        <v>87</v>
      </c>
      <c r="E3015" s="14"/>
      <c r="F3015" s="14"/>
      <c r="G3015">
        <f>IFERROR(HLOOKUP(G$2,[91]table_female_hkom1_inj.ill_X3!$A$1:$K$36,19,FALSE),0)</f>
        <v>0</v>
      </c>
      <c r="H3015">
        <f>IFERROR(HLOOKUP(H$2,[91]table_female_hkom1_inj.ill_X3!$A$1:$K$36,19,FALSE),0)</f>
        <v>0</v>
      </c>
      <c r="I3015">
        <f>IFERROR(HLOOKUP(I$2,[91]table_female_hkom1_inj.ill_X3!$A$1:$K$36,19,FALSE),0)</f>
        <v>0</v>
      </c>
      <c r="J3015">
        <f>IFERROR(HLOOKUP(J$2,[91]table_female_hkom1_inj.ill_X3!$A$1:$K$36,19,FALSE),0)</f>
        <v>0</v>
      </c>
      <c r="K3015">
        <f>IFERROR(HLOOKUP(K$2,[91]table_female_hkom1_inj.ill_X3!$A$1:$K$36,19,FALSE),0)</f>
        <v>0</v>
      </c>
      <c r="L3015">
        <f>IFERROR(HLOOKUP(L$2,[91]table_female_hkom1_inj.ill_X3!$A$1:$K$36,19,FALSE),0)</f>
        <v>0</v>
      </c>
      <c r="M3015">
        <f t="shared" si="938"/>
        <v>0</v>
      </c>
      <c r="S3015" t="s">
        <v>87</v>
      </c>
      <c r="T3015" s="5">
        <f t="shared" si="939"/>
        <v>0</v>
      </c>
      <c r="U3015" s="5">
        <f t="shared" si="940"/>
        <v>0</v>
      </c>
      <c r="V3015" s="5">
        <f t="shared" si="941"/>
        <v>0</v>
      </c>
      <c r="W3015" s="5">
        <f t="shared" si="942"/>
        <v>0</v>
      </c>
      <c r="X3015" s="5">
        <f t="shared" si="943"/>
        <v>0</v>
      </c>
      <c r="Y3015" s="5">
        <f t="shared" si="944"/>
        <v>0</v>
      </c>
      <c r="Z3015" s="5">
        <f t="shared" si="945"/>
        <v>0</v>
      </c>
      <c r="AA3015" s="5">
        <f t="shared" si="946"/>
        <v>0</v>
      </c>
      <c r="AB3015" s="5">
        <f t="shared" si="936"/>
        <v>0</v>
      </c>
    </row>
    <row r="3016" spans="4:28" x14ac:dyDescent="0.25">
      <c r="D3016" t="s">
        <v>88</v>
      </c>
      <c r="E3016" s="14"/>
      <c r="F3016" s="14"/>
      <c r="G3016">
        <f>IFERROR(HLOOKUP(G$2,[91]table_female_hkom1_inj.ill_X3!$A$1:$K$36,20,FALSE),0)</f>
        <v>1</v>
      </c>
      <c r="H3016">
        <f>IFERROR(HLOOKUP(H$2,[91]table_female_hkom1_inj.ill_X3!$A$1:$K$36,20,FALSE),0)</f>
        <v>0</v>
      </c>
      <c r="I3016">
        <f>IFERROR(HLOOKUP(I$2,[91]table_female_hkom1_inj.ill_X3!$A$1:$K$36,20,FALSE),0)</f>
        <v>0</v>
      </c>
      <c r="J3016">
        <f>IFERROR(HLOOKUP(J$2,[91]table_female_hkom1_inj.ill_X3!$A$1:$K$36,20,FALSE),0)</f>
        <v>0</v>
      </c>
      <c r="K3016">
        <f>IFERROR(HLOOKUP(K$2,[91]table_female_hkom1_inj.ill_X3!$A$1:$K$36,20,FALSE),0)</f>
        <v>0</v>
      </c>
      <c r="L3016">
        <f>IFERROR(HLOOKUP(L$2,[91]table_female_hkom1_inj.ill_X3!$A$1:$K$36,20,FALSE),0)</f>
        <v>0</v>
      </c>
      <c r="M3016">
        <f t="shared" si="938"/>
        <v>1</v>
      </c>
      <c r="S3016" t="s">
        <v>88</v>
      </c>
      <c r="T3016" s="5">
        <f t="shared" si="939"/>
        <v>0</v>
      </c>
      <c r="U3016" s="5">
        <f t="shared" si="940"/>
        <v>0</v>
      </c>
      <c r="V3016" s="5">
        <f t="shared" si="941"/>
        <v>1.76</v>
      </c>
      <c r="W3016" s="5">
        <f t="shared" si="942"/>
        <v>0</v>
      </c>
      <c r="X3016" s="5">
        <f t="shared" si="943"/>
        <v>0</v>
      </c>
      <c r="Y3016" s="5">
        <f t="shared" si="944"/>
        <v>0</v>
      </c>
      <c r="Z3016" s="5">
        <f t="shared" si="945"/>
        <v>0</v>
      </c>
      <c r="AA3016" s="5">
        <f t="shared" si="946"/>
        <v>0</v>
      </c>
      <c r="AB3016" s="5">
        <f t="shared" si="936"/>
        <v>1.76</v>
      </c>
    </row>
    <row r="3017" spans="4:28" x14ac:dyDescent="0.25">
      <c r="D3017" t="s">
        <v>89</v>
      </c>
      <c r="E3017" s="14"/>
      <c r="F3017" s="14"/>
      <c r="G3017">
        <f>IFERROR(HLOOKUP(G$2,[91]table_female_hkom1_inj.ill_X3!$A$1:$K$36,21,FALSE),0)</f>
        <v>0</v>
      </c>
      <c r="H3017">
        <f>IFERROR(HLOOKUP(H$2,[91]table_female_hkom1_inj.ill_X3!$A$1:$K$36,21,FALSE),0)</f>
        <v>0</v>
      </c>
      <c r="I3017">
        <f>IFERROR(HLOOKUP(I$2,[91]table_female_hkom1_inj.ill_X3!$A$1:$K$36,21,FALSE),0)</f>
        <v>0</v>
      </c>
      <c r="J3017">
        <f>IFERROR(HLOOKUP(J$2,[91]table_female_hkom1_inj.ill_X3!$A$1:$K$36,21,FALSE),0)</f>
        <v>0</v>
      </c>
      <c r="K3017">
        <f>IFERROR(HLOOKUP(K$2,[91]table_female_hkom1_inj.ill_X3!$A$1:$K$36,21,FALSE),0)</f>
        <v>0</v>
      </c>
      <c r="L3017">
        <f>IFERROR(HLOOKUP(L$2,[91]table_female_hkom1_inj.ill_X3!$A$1:$K$36,21,FALSE),0)</f>
        <v>0</v>
      </c>
      <c r="M3017">
        <f t="shared" si="938"/>
        <v>0</v>
      </c>
      <c r="S3017" t="s">
        <v>89</v>
      </c>
      <c r="T3017" s="5">
        <f t="shared" si="939"/>
        <v>0</v>
      </c>
      <c r="U3017" s="5">
        <f t="shared" si="940"/>
        <v>0</v>
      </c>
      <c r="V3017" s="5">
        <f t="shared" si="941"/>
        <v>0</v>
      </c>
      <c r="W3017" s="5">
        <f t="shared" si="942"/>
        <v>0</v>
      </c>
      <c r="X3017" s="5">
        <f t="shared" si="943"/>
        <v>0</v>
      </c>
      <c r="Y3017" s="5">
        <f t="shared" si="944"/>
        <v>0</v>
      </c>
      <c r="Z3017" s="5">
        <f t="shared" si="945"/>
        <v>0</v>
      </c>
      <c r="AA3017" s="5">
        <f t="shared" si="946"/>
        <v>0</v>
      </c>
      <c r="AB3017" s="5">
        <f t="shared" si="936"/>
        <v>0</v>
      </c>
    </row>
    <row r="3018" spans="4:28" x14ac:dyDescent="0.25">
      <c r="D3018" t="s">
        <v>90</v>
      </c>
      <c r="E3018" s="14"/>
      <c r="F3018" s="14"/>
      <c r="G3018">
        <f>IFERROR(HLOOKUP(G$2,[91]table_female_hkom1_inj.ill_X3!$A$1:$K$36,22,FALSE),0)</f>
        <v>0</v>
      </c>
      <c r="H3018">
        <f>IFERROR(HLOOKUP(H$2,[91]table_female_hkom1_inj.ill_X3!$A$1:$K$36,22,FALSE),0)</f>
        <v>0</v>
      </c>
      <c r="I3018">
        <f>IFERROR(HLOOKUP(I$2,[91]table_female_hkom1_inj.ill_X3!$A$1:$K$36,22,FALSE),0)</f>
        <v>0</v>
      </c>
      <c r="J3018">
        <f>IFERROR(HLOOKUP(J$2,[91]table_female_hkom1_inj.ill_X3!$A$1:$K$36,22,FALSE),0)</f>
        <v>0</v>
      </c>
      <c r="K3018">
        <f>IFERROR(HLOOKUP(K$2,[91]table_female_hkom1_inj.ill_X3!$A$1:$K$36,22,FALSE),0)</f>
        <v>0</v>
      </c>
      <c r="L3018">
        <f>IFERROR(HLOOKUP(L$2,[91]table_female_hkom1_inj.ill_X3!$A$1:$K$36,22,FALSE),0)</f>
        <v>0</v>
      </c>
      <c r="M3018">
        <f t="shared" si="938"/>
        <v>0</v>
      </c>
      <c r="S3018" t="s">
        <v>90</v>
      </c>
      <c r="T3018" s="5">
        <f t="shared" si="939"/>
        <v>0</v>
      </c>
      <c r="U3018" s="5">
        <f t="shared" si="940"/>
        <v>0</v>
      </c>
      <c r="V3018" s="5">
        <f t="shared" si="941"/>
        <v>0</v>
      </c>
      <c r="W3018" s="5">
        <f t="shared" si="942"/>
        <v>0</v>
      </c>
      <c r="X3018" s="5">
        <f t="shared" si="943"/>
        <v>0</v>
      </c>
      <c r="Y3018" s="5">
        <f t="shared" si="944"/>
        <v>0</v>
      </c>
      <c r="Z3018" s="5">
        <f t="shared" si="945"/>
        <v>0</v>
      </c>
      <c r="AA3018" s="5">
        <f t="shared" si="946"/>
        <v>0</v>
      </c>
      <c r="AB3018" s="5">
        <f t="shared" si="936"/>
        <v>0</v>
      </c>
    </row>
    <row r="3019" spans="4:28" x14ac:dyDescent="0.25">
      <c r="D3019" t="s">
        <v>91</v>
      </c>
      <c r="E3019" s="14"/>
      <c r="F3019" s="14"/>
      <c r="G3019">
        <f>IFERROR(HLOOKUP(G$2,[91]table_female_hkom1_inj.ill_X3!$A$1:$K$36,23,FALSE),0)</f>
        <v>0</v>
      </c>
      <c r="H3019">
        <f>IFERROR(HLOOKUP(H$2,[91]table_female_hkom1_inj.ill_X3!$A$1:$K$36,23,FALSE),0)</f>
        <v>0</v>
      </c>
      <c r="I3019">
        <f>IFERROR(HLOOKUP(I$2,[91]table_female_hkom1_inj.ill_X3!$A$1:$K$36,23,FALSE),0)</f>
        <v>0</v>
      </c>
      <c r="J3019">
        <f>IFERROR(HLOOKUP(J$2,[91]table_female_hkom1_inj.ill_X3!$A$1:$K$36,23,FALSE),0)</f>
        <v>0</v>
      </c>
      <c r="K3019">
        <f>IFERROR(HLOOKUP(K$2,[91]table_female_hkom1_inj.ill_X3!$A$1:$K$36,23,FALSE),0)</f>
        <v>0</v>
      </c>
      <c r="L3019">
        <f>IFERROR(HLOOKUP(L$2,[91]table_female_hkom1_inj.ill_X3!$A$1:$K$36,23,FALSE),0)</f>
        <v>0</v>
      </c>
      <c r="M3019">
        <f t="shared" si="938"/>
        <v>0</v>
      </c>
      <c r="S3019" t="s">
        <v>91</v>
      </c>
      <c r="T3019" s="5">
        <f t="shared" si="939"/>
        <v>0</v>
      </c>
      <c r="U3019" s="5">
        <f t="shared" si="940"/>
        <v>0</v>
      </c>
      <c r="V3019" s="5">
        <f t="shared" si="941"/>
        <v>0</v>
      </c>
      <c r="W3019" s="5">
        <f t="shared" si="942"/>
        <v>0</v>
      </c>
      <c r="X3019" s="5">
        <f t="shared" si="943"/>
        <v>0</v>
      </c>
      <c r="Y3019" s="5">
        <f t="shared" si="944"/>
        <v>0</v>
      </c>
      <c r="Z3019" s="5">
        <f t="shared" si="945"/>
        <v>0</v>
      </c>
      <c r="AA3019" s="5">
        <f t="shared" si="946"/>
        <v>0</v>
      </c>
      <c r="AB3019" s="5">
        <f t="shared" si="936"/>
        <v>0</v>
      </c>
    </row>
    <row r="3020" spans="4:28" x14ac:dyDescent="0.25">
      <c r="D3020" t="s">
        <v>92</v>
      </c>
      <c r="E3020" s="14"/>
      <c r="F3020" s="14"/>
      <c r="G3020">
        <f>IFERROR(HLOOKUP(G$2,[91]table_female_hkom1_inj.ill_X3!$A$1:$K$36,24,FALSE),0)</f>
        <v>0</v>
      </c>
      <c r="H3020">
        <f>IFERROR(HLOOKUP(H$2,[91]table_female_hkom1_inj.ill_X3!$A$1:$K$36,24,FALSE),0)</f>
        <v>0</v>
      </c>
      <c r="I3020">
        <f>IFERROR(HLOOKUP(I$2,[91]table_female_hkom1_inj.ill_X3!$A$1:$K$36,24,FALSE),0)</f>
        <v>0</v>
      </c>
      <c r="J3020">
        <f>IFERROR(HLOOKUP(J$2,[91]table_female_hkom1_inj.ill_X3!$A$1:$K$36,24,FALSE),0)</f>
        <v>0</v>
      </c>
      <c r="K3020">
        <f>IFERROR(HLOOKUP(K$2,[91]table_female_hkom1_inj.ill_X3!$A$1:$K$36,24,FALSE),0)</f>
        <v>0</v>
      </c>
      <c r="L3020">
        <f>IFERROR(HLOOKUP(L$2,[91]table_female_hkom1_inj.ill_X3!$A$1:$K$36,24,FALSE),0)</f>
        <v>0</v>
      </c>
      <c r="M3020">
        <f t="shared" si="938"/>
        <v>0</v>
      </c>
      <c r="S3020" t="s">
        <v>92</v>
      </c>
      <c r="T3020" s="5">
        <f t="shared" si="939"/>
        <v>0</v>
      </c>
      <c r="U3020" s="5">
        <f t="shared" si="940"/>
        <v>0</v>
      </c>
      <c r="V3020" s="5">
        <f t="shared" si="941"/>
        <v>0</v>
      </c>
      <c r="W3020" s="5">
        <f t="shared" si="942"/>
        <v>0</v>
      </c>
      <c r="X3020" s="5">
        <f t="shared" si="943"/>
        <v>0</v>
      </c>
      <c r="Y3020" s="5">
        <f t="shared" si="944"/>
        <v>0</v>
      </c>
      <c r="Z3020" s="5">
        <f t="shared" si="945"/>
        <v>0</v>
      </c>
      <c r="AA3020" s="5">
        <f t="shared" si="946"/>
        <v>0</v>
      </c>
      <c r="AB3020" s="5">
        <f t="shared" si="936"/>
        <v>0</v>
      </c>
    </row>
    <row r="3021" spans="4:28" x14ac:dyDescent="0.25">
      <c r="D3021" t="s">
        <v>93</v>
      </c>
      <c r="E3021" s="14"/>
      <c r="F3021" s="14"/>
      <c r="G3021">
        <f>IFERROR(HLOOKUP(G$2,[91]table_female_hkom1_inj.ill_X3!$A$1:$K$36,25,FALSE),0)</f>
        <v>0</v>
      </c>
      <c r="H3021">
        <f>IFERROR(HLOOKUP(H$2,[91]table_female_hkom1_inj.ill_X3!$A$1:$K$36,25,FALSE),0)</f>
        <v>0</v>
      </c>
      <c r="I3021">
        <f>IFERROR(HLOOKUP(I$2,[91]table_female_hkom1_inj.ill_X3!$A$1:$K$36,25,FALSE),0)</f>
        <v>0</v>
      </c>
      <c r="J3021">
        <f>IFERROR(HLOOKUP(J$2,[91]table_female_hkom1_inj.ill_X3!$A$1:$K$36,25,FALSE),0)</f>
        <v>0</v>
      </c>
      <c r="K3021">
        <f>IFERROR(HLOOKUP(K$2,[91]table_female_hkom1_inj.ill_X3!$A$1:$K$36,25,FALSE),0)</f>
        <v>0</v>
      </c>
      <c r="L3021">
        <f>IFERROR(HLOOKUP(L$2,[91]table_female_hkom1_inj.ill_X3!$A$1:$K$36,25,FALSE),0)</f>
        <v>0</v>
      </c>
      <c r="M3021">
        <f t="shared" si="938"/>
        <v>0</v>
      </c>
      <c r="S3021" t="s">
        <v>93</v>
      </c>
      <c r="T3021" s="5">
        <f t="shared" si="939"/>
        <v>0</v>
      </c>
      <c r="U3021" s="5">
        <f t="shared" si="940"/>
        <v>0</v>
      </c>
      <c r="V3021" s="5">
        <f t="shared" si="941"/>
        <v>0</v>
      </c>
      <c r="W3021" s="5">
        <f t="shared" si="942"/>
        <v>0</v>
      </c>
      <c r="X3021" s="5">
        <f t="shared" si="943"/>
        <v>0</v>
      </c>
      <c r="Y3021" s="5">
        <f t="shared" si="944"/>
        <v>0</v>
      </c>
      <c r="Z3021" s="5">
        <f t="shared" si="945"/>
        <v>0</v>
      </c>
      <c r="AA3021" s="5">
        <f t="shared" si="946"/>
        <v>0</v>
      </c>
      <c r="AB3021" s="5">
        <f t="shared" si="936"/>
        <v>0</v>
      </c>
    </row>
    <row r="3022" spans="4:28" x14ac:dyDescent="0.25">
      <c r="D3022" t="s">
        <v>94</v>
      </c>
      <c r="E3022" s="14"/>
      <c r="F3022" s="14"/>
      <c r="G3022">
        <f>IFERROR(HLOOKUP(G$2,[91]table_female_hkom1_inj.ill_X3!$A$1:$K$36,26,FALSE),0)</f>
        <v>0</v>
      </c>
      <c r="H3022">
        <f>IFERROR(HLOOKUP(H$2,[91]table_female_hkom1_inj.ill_X3!$A$1:$K$36,26,FALSE),0)</f>
        <v>0</v>
      </c>
      <c r="I3022">
        <f>IFERROR(HLOOKUP(I$2,[91]table_female_hkom1_inj.ill_X3!$A$1:$K$36,26,FALSE),0)</f>
        <v>0</v>
      </c>
      <c r="J3022">
        <f>IFERROR(HLOOKUP(J$2,[91]table_female_hkom1_inj.ill_X3!$A$1:$K$36,26,FALSE),0)</f>
        <v>0</v>
      </c>
      <c r="K3022">
        <f>IFERROR(HLOOKUP(K$2,[91]table_female_hkom1_inj.ill_X3!$A$1:$K$36,26,FALSE),0)</f>
        <v>0</v>
      </c>
      <c r="L3022">
        <f>IFERROR(HLOOKUP(L$2,[91]table_female_hkom1_inj.ill_X3!$A$1:$K$36,26,FALSE),0)</f>
        <v>0</v>
      </c>
      <c r="M3022">
        <f t="shared" si="938"/>
        <v>0</v>
      </c>
      <c r="S3022" t="s">
        <v>94</v>
      </c>
      <c r="T3022" s="5">
        <f t="shared" si="939"/>
        <v>0</v>
      </c>
      <c r="U3022" s="5">
        <f t="shared" si="940"/>
        <v>0</v>
      </c>
      <c r="V3022" s="5">
        <f t="shared" si="941"/>
        <v>0</v>
      </c>
      <c r="W3022" s="5">
        <f t="shared" si="942"/>
        <v>0</v>
      </c>
      <c r="X3022" s="5">
        <f t="shared" si="943"/>
        <v>0</v>
      </c>
      <c r="Y3022" s="5">
        <f t="shared" si="944"/>
        <v>0</v>
      </c>
      <c r="Z3022" s="5">
        <f t="shared" si="945"/>
        <v>0</v>
      </c>
      <c r="AA3022" s="5">
        <f t="shared" si="946"/>
        <v>0</v>
      </c>
      <c r="AB3022" s="5">
        <f t="shared" si="936"/>
        <v>0</v>
      </c>
    </row>
    <row r="3023" spans="4:28" x14ac:dyDescent="0.25">
      <c r="D3023" t="s">
        <v>95</v>
      </c>
      <c r="E3023" s="14"/>
      <c r="F3023" s="14"/>
      <c r="G3023">
        <f>IFERROR(HLOOKUP(G$2,[91]table_female_hkom1_inj.ill_X3!$A$1:$K$36,27,FALSE),0)</f>
        <v>0</v>
      </c>
      <c r="H3023">
        <f>IFERROR(HLOOKUP(H$2,[91]table_female_hkom1_inj.ill_X3!$A$1:$K$36,27,FALSE),0)</f>
        <v>0</v>
      </c>
      <c r="I3023">
        <f>IFERROR(HLOOKUP(I$2,[91]table_female_hkom1_inj.ill_X3!$A$1:$K$36,27,FALSE),0)</f>
        <v>0</v>
      </c>
      <c r="J3023">
        <f>IFERROR(HLOOKUP(J$2,[91]table_female_hkom1_inj.ill_X3!$A$1:$K$36,27,FALSE),0)</f>
        <v>0</v>
      </c>
      <c r="K3023">
        <f>IFERROR(HLOOKUP(K$2,[91]table_female_hkom1_inj.ill_X3!$A$1:$K$36,27,FALSE),0)</f>
        <v>0</v>
      </c>
      <c r="L3023">
        <f>IFERROR(HLOOKUP(L$2,[91]table_female_hkom1_inj.ill_X3!$A$1:$K$36,27,FALSE),0)</f>
        <v>0</v>
      </c>
      <c r="M3023">
        <f t="shared" si="938"/>
        <v>0</v>
      </c>
      <c r="S3023" t="s">
        <v>95</v>
      </c>
      <c r="T3023" s="5">
        <f t="shared" si="939"/>
        <v>0</v>
      </c>
      <c r="U3023" s="5">
        <f t="shared" si="940"/>
        <v>0</v>
      </c>
      <c r="V3023" s="5">
        <f t="shared" si="941"/>
        <v>0</v>
      </c>
      <c r="W3023" s="5">
        <f t="shared" si="942"/>
        <v>0</v>
      </c>
      <c r="X3023" s="5">
        <f t="shared" si="943"/>
        <v>0</v>
      </c>
      <c r="Y3023" s="5">
        <f t="shared" si="944"/>
        <v>0</v>
      </c>
      <c r="Z3023" s="5">
        <f t="shared" si="945"/>
        <v>0</v>
      </c>
      <c r="AA3023" s="5">
        <f t="shared" si="946"/>
        <v>0</v>
      </c>
      <c r="AB3023" s="5">
        <f t="shared" si="936"/>
        <v>0</v>
      </c>
    </row>
    <row r="3024" spans="4:28" x14ac:dyDescent="0.25">
      <c r="D3024" t="s">
        <v>96</v>
      </c>
      <c r="E3024" s="14"/>
      <c r="F3024" s="14"/>
      <c r="G3024">
        <f>IFERROR(HLOOKUP(G$2,[91]table_female_hkom1_inj.ill_X3!$A$1:$K$36,28,FALSE),0)</f>
        <v>0</v>
      </c>
      <c r="H3024">
        <f>IFERROR(HLOOKUP(H$2,[91]table_female_hkom1_inj.ill_X3!$A$1:$K$36,28,FALSE),0)</f>
        <v>0</v>
      </c>
      <c r="I3024">
        <f>IFERROR(HLOOKUP(I$2,[91]table_female_hkom1_inj.ill_X3!$A$1:$K$36,28,FALSE),0)</f>
        <v>0</v>
      </c>
      <c r="J3024">
        <f>IFERROR(HLOOKUP(J$2,[91]table_female_hkom1_inj.ill_X3!$A$1:$K$36,28,FALSE),0)</f>
        <v>0</v>
      </c>
      <c r="K3024">
        <f>IFERROR(HLOOKUP(K$2,[91]table_female_hkom1_inj.ill_X3!$A$1:$K$36,28,FALSE),0)</f>
        <v>0</v>
      </c>
      <c r="L3024">
        <f>IFERROR(HLOOKUP(L$2,[91]table_female_hkom1_inj.ill_X3!$A$1:$K$36,28,FALSE),0)</f>
        <v>0</v>
      </c>
      <c r="M3024">
        <f t="shared" si="938"/>
        <v>0</v>
      </c>
      <c r="S3024" t="s">
        <v>96</v>
      </c>
      <c r="T3024" s="5">
        <f t="shared" si="939"/>
        <v>0</v>
      </c>
      <c r="U3024" s="5">
        <f t="shared" si="940"/>
        <v>0</v>
      </c>
      <c r="V3024" s="5">
        <f t="shared" si="941"/>
        <v>0</v>
      </c>
      <c r="W3024" s="5">
        <f t="shared" si="942"/>
        <v>0</v>
      </c>
      <c r="X3024" s="5">
        <f t="shared" si="943"/>
        <v>0</v>
      </c>
      <c r="Y3024" s="5">
        <f t="shared" si="944"/>
        <v>0</v>
      </c>
      <c r="Z3024" s="5">
        <f t="shared" si="945"/>
        <v>0</v>
      </c>
      <c r="AA3024" s="5">
        <f t="shared" si="946"/>
        <v>0</v>
      </c>
      <c r="AB3024" s="5">
        <f t="shared" si="936"/>
        <v>0</v>
      </c>
    </row>
    <row r="3025" spans="1:29" x14ac:dyDescent="0.25">
      <c r="D3025" t="s">
        <v>97</v>
      </c>
      <c r="E3025" s="14"/>
      <c r="F3025" s="14"/>
      <c r="G3025">
        <f>IFERROR(HLOOKUP(G$2,[91]table_female_hkom1_inj.ill_X3!$A$1:$K$36,29,FALSE),0)</f>
        <v>0</v>
      </c>
      <c r="H3025">
        <f>IFERROR(HLOOKUP(H$2,[91]table_female_hkom1_inj.ill_X3!$A$1:$K$36,29,FALSE),0)</f>
        <v>0</v>
      </c>
      <c r="I3025">
        <f>IFERROR(HLOOKUP(I$2,[91]table_female_hkom1_inj.ill_X3!$A$1:$K$36,29,FALSE),0)</f>
        <v>0</v>
      </c>
      <c r="J3025">
        <f>IFERROR(HLOOKUP(J$2,[91]table_female_hkom1_inj.ill_X3!$A$1:$K$36,29,FALSE),0)</f>
        <v>0</v>
      </c>
      <c r="K3025">
        <f>IFERROR(HLOOKUP(K$2,[91]table_female_hkom1_inj.ill_X3!$A$1:$K$36,29,FALSE),0)</f>
        <v>0</v>
      </c>
      <c r="L3025">
        <f>IFERROR(HLOOKUP(L$2,[91]table_female_hkom1_inj.ill_X3!$A$1:$K$36,29,FALSE),0)</f>
        <v>0</v>
      </c>
      <c r="M3025">
        <f t="shared" si="938"/>
        <v>0</v>
      </c>
      <c r="S3025" t="s">
        <v>97</v>
      </c>
      <c r="T3025" s="5">
        <f t="shared" si="939"/>
        <v>0</v>
      </c>
      <c r="U3025" s="5">
        <f t="shared" si="940"/>
        <v>0</v>
      </c>
      <c r="V3025" s="5">
        <f t="shared" si="941"/>
        <v>0</v>
      </c>
      <c r="W3025" s="5">
        <f t="shared" si="942"/>
        <v>0</v>
      </c>
      <c r="X3025" s="5">
        <f t="shared" si="943"/>
        <v>0</v>
      </c>
      <c r="Y3025" s="5">
        <f t="shared" si="944"/>
        <v>0</v>
      </c>
      <c r="Z3025" s="5">
        <f t="shared" si="945"/>
        <v>0</v>
      </c>
      <c r="AA3025" s="5">
        <f t="shared" si="946"/>
        <v>0</v>
      </c>
      <c r="AB3025" s="5">
        <f t="shared" si="936"/>
        <v>0</v>
      </c>
    </row>
    <row r="3026" spans="1:29" x14ac:dyDescent="0.25">
      <c r="D3026" t="s">
        <v>98</v>
      </c>
      <c r="E3026" s="14"/>
      <c r="F3026" s="14"/>
      <c r="G3026">
        <f>IFERROR(HLOOKUP(G$2,[91]table_female_hkom1_inj.ill_X3!$A$1:$K$36,30,FALSE),0)</f>
        <v>0</v>
      </c>
      <c r="H3026">
        <f>IFERROR(HLOOKUP(H$2,[91]table_female_hkom1_inj.ill_X3!$A$1:$K$36,30,FALSE),0)</f>
        <v>0</v>
      </c>
      <c r="I3026">
        <f>IFERROR(HLOOKUP(I$2,[91]table_female_hkom1_inj.ill_X3!$A$1:$K$36,30,FALSE),0)</f>
        <v>0</v>
      </c>
      <c r="J3026">
        <f>IFERROR(HLOOKUP(J$2,[91]table_female_hkom1_inj.ill_X3!$A$1:$K$36,30,FALSE),0)</f>
        <v>0</v>
      </c>
      <c r="K3026">
        <f>IFERROR(HLOOKUP(K$2,[91]table_female_hkom1_inj.ill_X3!$A$1:$K$36,30,FALSE),0)</f>
        <v>0</v>
      </c>
      <c r="L3026">
        <f>IFERROR(HLOOKUP(L$2,[91]table_female_hkom1_inj.ill_X3!$A$1:$K$36,30,FALSE),0)</f>
        <v>0</v>
      </c>
      <c r="M3026">
        <f t="shared" si="938"/>
        <v>0</v>
      </c>
      <c r="S3026" t="s">
        <v>98</v>
      </c>
      <c r="T3026" s="5">
        <f t="shared" si="939"/>
        <v>0</v>
      </c>
      <c r="U3026" s="5">
        <f t="shared" si="940"/>
        <v>0</v>
      </c>
      <c r="V3026" s="5">
        <f t="shared" si="941"/>
        <v>0</v>
      </c>
      <c r="W3026" s="5">
        <f t="shared" si="942"/>
        <v>0</v>
      </c>
      <c r="X3026" s="5">
        <f t="shared" si="943"/>
        <v>0</v>
      </c>
      <c r="Y3026" s="5">
        <f t="shared" si="944"/>
        <v>0</v>
      </c>
      <c r="Z3026" s="5">
        <f t="shared" si="945"/>
        <v>0</v>
      </c>
      <c r="AA3026" s="5">
        <f t="shared" si="946"/>
        <v>0</v>
      </c>
      <c r="AB3026" s="5">
        <f t="shared" si="936"/>
        <v>0</v>
      </c>
    </row>
    <row r="3027" spans="1:29" x14ac:dyDescent="0.25">
      <c r="D3027" t="s">
        <v>119</v>
      </c>
      <c r="E3027" s="14"/>
      <c r="F3027" s="14"/>
      <c r="G3027">
        <f>IFERROR(HLOOKUP(G$2,[91]table_female_hkom1_inj.ill_X3!$A$1:$K$36,31,FALSE),0)</f>
        <v>0</v>
      </c>
      <c r="H3027">
        <f>IFERROR(HLOOKUP(H$2,[91]table_female_hkom1_inj.ill_X3!$A$1:$K$36,31,FALSE),0)</f>
        <v>0</v>
      </c>
      <c r="I3027">
        <f>IFERROR(HLOOKUP(I$2,[91]table_female_hkom1_inj.ill_X3!$A$1:$K$36,31,FALSE),0)</f>
        <v>0</v>
      </c>
      <c r="J3027">
        <f>IFERROR(HLOOKUP(J$2,[91]table_female_hkom1_inj.ill_X3!$A$1:$K$36,31,FALSE),0)</f>
        <v>0</v>
      </c>
      <c r="K3027">
        <f>IFERROR(HLOOKUP(K$2,[91]table_female_hkom1_inj.ill_X3!$A$1:$K$36,31,FALSE),0)</f>
        <v>0</v>
      </c>
      <c r="L3027">
        <f>IFERROR(HLOOKUP(L$2,[91]table_female_hkom1_inj.ill_X3!$A$1:$K$36,31,FALSE),0)</f>
        <v>0</v>
      </c>
      <c r="M3027">
        <f t="shared" si="938"/>
        <v>0</v>
      </c>
      <c r="S3027" t="s">
        <v>119</v>
      </c>
      <c r="T3027" s="5">
        <f t="shared" si="939"/>
        <v>0</v>
      </c>
      <c r="U3027" s="5">
        <f t="shared" si="940"/>
        <v>0</v>
      </c>
      <c r="V3027" s="5">
        <f t="shared" si="941"/>
        <v>0</v>
      </c>
      <c r="W3027" s="5">
        <f t="shared" si="942"/>
        <v>0</v>
      </c>
      <c r="X3027" s="5">
        <f t="shared" si="943"/>
        <v>0</v>
      </c>
      <c r="Y3027" s="5">
        <f t="shared" si="944"/>
        <v>0</v>
      </c>
      <c r="Z3027" s="5">
        <f t="shared" si="945"/>
        <v>0</v>
      </c>
      <c r="AA3027" s="5">
        <f t="shared" si="946"/>
        <v>0</v>
      </c>
      <c r="AB3027" s="5">
        <f t="shared" si="936"/>
        <v>0</v>
      </c>
    </row>
    <row r="3028" spans="1:29" x14ac:dyDescent="0.25">
      <c r="D3028" t="s">
        <v>99</v>
      </c>
      <c r="E3028" s="14"/>
      <c r="F3028" s="14"/>
      <c r="G3028">
        <f>IFERROR(HLOOKUP(G$2,[91]table_female_hkom1_inj.ill_X3!$A$1:$K$36,32,FALSE),0)</f>
        <v>0</v>
      </c>
      <c r="H3028">
        <f>IFERROR(HLOOKUP(H$2,[91]table_female_hkom1_inj.ill_X3!$A$1:$K$36,32,FALSE),0)</f>
        <v>0</v>
      </c>
      <c r="I3028">
        <f>IFERROR(HLOOKUP(I$2,[91]table_female_hkom1_inj.ill_X3!$A$1:$K$36,32,FALSE),0)</f>
        <v>0</v>
      </c>
      <c r="J3028">
        <f>IFERROR(HLOOKUP(J$2,[91]table_female_hkom1_inj.ill_X3!$A$1:$K$36,32,FALSE),0)</f>
        <v>0</v>
      </c>
      <c r="K3028">
        <f>IFERROR(HLOOKUP(K$2,[91]table_female_hkom1_inj.ill_X3!$A$1:$K$36,32,FALSE),0)</f>
        <v>0</v>
      </c>
      <c r="L3028">
        <f>IFERROR(HLOOKUP(L$2,[91]table_female_hkom1_inj.ill_X3!$A$1:$K$36,32,FALSE),0)</f>
        <v>0</v>
      </c>
      <c r="M3028">
        <f t="shared" si="938"/>
        <v>0</v>
      </c>
      <c r="S3028" t="s">
        <v>99</v>
      </c>
      <c r="T3028" s="5">
        <f t="shared" si="939"/>
        <v>0</v>
      </c>
      <c r="U3028" s="5">
        <f t="shared" si="940"/>
        <v>0</v>
      </c>
      <c r="V3028" s="5">
        <f t="shared" si="941"/>
        <v>0</v>
      </c>
      <c r="W3028" s="5">
        <f t="shared" si="942"/>
        <v>0</v>
      </c>
      <c r="X3028" s="5">
        <f t="shared" si="943"/>
        <v>0</v>
      </c>
      <c r="Y3028" s="5">
        <f t="shared" si="944"/>
        <v>0</v>
      </c>
      <c r="Z3028" s="5">
        <f t="shared" si="945"/>
        <v>0</v>
      </c>
      <c r="AA3028" s="5">
        <f t="shared" si="946"/>
        <v>0</v>
      </c>
      <c r="AB3028" s="5">
        <f t="shared" si="936"/>
        <v>0</v>
      </c>
    </row>
    <row r="3029" spans="1:29" x14ac:dyDescent="0.25">
      <c r="D3029" t="s">
        <v>100</v>
      </c>
      <c r="E3029" s="14"/>
      <c r="F3029" s="14"/>
      <c r="G3029">
        <f>IFERROR(HLOOKUP(G$2,[91]table_female_hkom1_inj.ill_X3!$A$1:$K$36,33,FALSE),0)</f>
        <v>23</v>
      </c>
      <c r="H3029">
        <f>IFERROR(HLOOKUP(H$2,[91]table_female_hkom1_inj.ill_X3!$A$1:$K$36,33,FALSE),0)</f>
        <v>26</v>
      </c>
      <c r="I3029">
        <f>IFERROR(HLOOKUP(I$2,[91]table_female_hkom1_inj.ill_X3!$A$1:$K$36,33,FALSE),0)</f>
        <v>14</v>
      </c>
      <c r="J3029">
        <f>IFERROR(HLOOKUP(J$2,[91]table_female_hkom1_inj.ill_X3!$A$1:$K$36,33,FALSE),0)</f>
        <v>1</v>
      </c>
      <c r="K3029">
        <f>IFERROR(HLOOKUP(K$2,[91]table_female_hkom1_inj.ill_X3!$A$1:$K$36,33,FALSE),0)</f>
        <v>0</v>
      </c>
      <c r="L3029">
        <f>IFERROR(HLOOKUP(L$2,[91]table_female_hkom1_inj.ill_X3!$A$1:$K$36,33,FALSE),0)</f>
        <v>0</v>
      </c>
      <c r="M3029">
        <f t="shared" si="938"/>
        <v>64</v>
      </c>
      <c r="S3029" t="s">
        <v>100</v>
      </c>
      <c r="T3029" s="5">
        <f t="shared" si="939"/>
        <v>0</v>
      </c>
      <c r="U3029" s="5">
        <f t="shared" si="940"/>
        <v>0</v>
      </c>
      <c r="V3029" s="5">
        <f t="shared" si="941"/>
        <v>40.480000000000004</v>
      </c>
      <c r="W3029" s="5">
        <f t="shared" si="942"/>
        <v>46</v>
      </c>
      <c r="X3029" s="5">
        <f t="shared" si="943"/>
        <v>24</v>
      </c>
      <c r="Y3029" s="5">
        <f t="shared" si="944"/>
        <v>1</v>
      </c>
      <c r="Z3029" s="5">
        <f t="shared" si="945"/>
        <v>0</v>
      </c>
      <c r="AA3029" s="5">
        <f t="shared" si="946"/>
        <v>0</v>
      </c>
      <c r="AB3029" s="5">
        <f t="shared" si="936"/>
        <v>111.48</v>
      </c>
    </row>
    <row r="3030" spans="1:29" x14ac:dyDescent="0.25">
      <c r="D3030" t="s">
        <v>101</v>
      </c>
      <c r="E3030" s="14"/>
      <c r="F3030" s="14"/>
      <c r="G3030">
        <f>IFERROR(HLOOKUP(G$2,[91]table_female_hkom1_inj.ill_X3!$A$1:$K$36,34,FALSE),0)</f>
        <v>0</v>
      </c>
      <c r="H3030">
        <f>IFERROR(HLOOKUP(H$2,[91]table_female_hkom1_inj.ill_X3!$A$1:$K$36,34,FALSE),0)</f>
        <v>0</v>
      </c>
      <c r="I3030">
        <f>IFERROR(HLOOKUP(I$2,[91]table_female_hkom1_inj.ill_X3!$A$1:$K$36,34,FALSE),0)</f>
        <v>0</v>
      </c>
      <c r="J3030">
        <f>IFERROR(HLOOKUP(J$2,[91]table_female_hkom1_inj.ill_X3!$A$1:$K$36,34,FALSE),0)</f>
        <v>0</v>
      </c>
      <c r="K3030">
        <f>IFERROR(HLOOKUP(K$2,[91]table_female_hkom1_inj.ill_X3!$A$1:$K$36,34,FALSE),0)</f>
        <v>0</v>
      </c>
      <c r="L3030">
        <f>IFERROR(HLOOKUP(L$2,[91]table_female_hkom1_inj.ill_X3!$A$1:$K$36,34,FALSE),0)</f>
        <v>0</v>
      </c>
      <c r="M3030">
        <f t="shared" si="938"/>
        <v>0</v>
      </c>
      <c r="S3030" t="s">
        <v>101</v>
      </c>
      <c r="T3030" s="5">
        <f t="shared" si="939"/>
        <v>0</v>
      </c>
      <c r="U3030" s="5">
        <f t="shared" si="940"/>
        <v>0</v>
      </c>
      <c r="V3030" s="5">
        <f t="shared" si="941"/>
        <v>0</v>
      </c>
      <c r="W3030" s="5">
        <f t="shared" si="942"/>
        <v>0</v>
      </c>
      <c r="X3030" s="5">
        <f t="shared" si="943"/>
        <v>0</v>
      </c>
      <c r="Y3030" s="5">
        <f t="shared" si="944"/>
        <v>0</v>
      </c>
      <c r="Z3030" s="5">
        <f t="shared" si="945"/>
        <v>0</v>
      </c>
      <c r="AA3030" s="5">
        <f t="shared" si="946"/>
        <v>0</v>
      </c>
      <c r="AB3030" s="5">
        <f t="shared" si="936"/>
        <v>0</v>
      </c>
    </row>
    <row r="3031" spans="1:29" x14ac:dyDescent="0.25">
      <c r="D3031" t="s">
        <v>102</v>
      </c>
      <c r="E3031" s="14"/>
      <c r="F3031" s="14"/>
      <c r="G3031">
        <f>IFERROR(HLOOKUP(G$2,[91]table_female_hkom1_inj.ill_X3!$A$1:$K$36,35,FALSE),0)</f>
        <v>19</v>
      </c>
      <c r="H3031">
        <f>IFERROR(HLOOKUP(H$2,[91]table_female_hkom1_inj.ill_X3!$A$1:$K$36,35,FALSE),0)</f>
        <v>20</v>
      </c>
      <c r="I3031">
        <f>IFERROR(HLOOKUP(I$2,[91]table_female_hkom1_inj.ill_X3!$A$1:$K$36,35,FALSE),0)</f>
        <v>10</v>
      </c>
      <c r="J3031">
        <f>IFERROR(HLOOKUP(J$2,[91]table_female_hkom1_inj.ill_X3!$A$1:$K$36,35,FALSE),0)</f>
        <v>0</v>
      </c>
      <c r="K3031">
        <f>IFERROR(HLOOKUP(K$2,[91]table_female_hkom1_inj.ill_X3!$A$1:$K$36,35,FALSE),0)</f>
        <v>0</v>
      </c>
      <c r="L3031">
        <f>IFERROR(HLOOKUP(L$2,[91]table_female_hkom1_inj.ill_X3!$A$1:$K$36,35,FALSE),0)</f>
        <v>0</v>
      </c>
      <c r="M3031">
        <f t="shared" si="938"/>
        <v>49</v>
      </c>
      <c r="N3031">
        <f>SUM(M2998:M3031)</f>
        <v>115</v>
      </c>
      <c r="O3031" s="8">
        <f>SUM([91]table_female_hkom1_inj.ill_X3!$B$2:$L$37)</f>
        <v>115</v>
      </c>
      <c r="S3031" t="s">
        <v>102</v>
      </c>
      <c r="T3031" s="7"/>
      <c r="U3031" s="7"/>
      <c r="V3031" s="7"/>
      <c r="W3031" s="7"/>
      <c r="X3031" s="7"/>
      <c r="Y3031" s="7"/>
      <c r="Z3031" s="7"/>
      <c r="AA3031" s="7"/>
      <c r="AB3031" s="5">
        <f t="shared" si="936"/>
        <v>0</v>
      </c>
      <c r="AC3031" s="5">
        <f>SUM(AB2998:AB3030)</f>
        <v>115</v>
      </c>
    </row>
    <row r="3032" spans="1:29" x14ac:dyDescent="0.25">
      <c r="A3032" t="s">
        <v>115</v>
      </c>
      <c r="B3032" t="s">
        <v>103</v>
      </c>
      <c r="C3032" t="s">
        <v>126</v>
      </c>
      <c r="D3032" t="s">
        <v>70</v>
      </c>
      <c r="E3032" s="14"/>
      <c r="F3032" s="14"/>
      <c r="G3032">
        <f>IFERROR(HLOOKUP(G$2,[92]table_female_hkom1_inj.ill_X4!$A$1:$K$36,2,FALSE),0)</f>
        <v>0</v>
      </c>
      <c r="H3032">
        <f>IFERROR(HLOOKUP(H$2,[92]table_female_hkom1_inj.ill_X4!$A$1:$K$36,2,FALSE),0)</f>
        <v>0</v>
      </c>
      <c r="I3032">
        <f>IFERROR(HLOOKUP(I$2,[92]table_female_hkom1_inj.ill_X4!$A$1:$K$36,2,FALSE),0)</f>
        <v>0</v>
      </c>
      <c r="J3032">
        <f>IFERROR(HLOOKUP(J$2,[92]table_female_hkom1_inj.ill_X4!$A$1:$K$36,2,FALSE),0)</f>
        <v>0</v>
      </c>
      <c r="K3032">
        <f>IFERROR(HLOOKUP(K$2,[92]table_female_hkom1_inj.ill_X4!$A$1:$K$36,2,FALSE),0)</f>
        <v>0</v>
      </c>
      <c r="L3032">
        <f>IFERROR(HLOOKUP(L$2,[92]table_female_hkom1_inj.ill_X4!$A$1:$K$36,2,FALSE),0)</f>
        <v>0</v>
      </c>
      <c r="M3032">
        <f>SUM(E3032:L3032)</f>
        <v>0</v>
      </c>
      <c r="P3032" t="s">
        <v>115</v>
      </c>
      <c r="Q3032" t="s">
        <v>103</v>
      </c>
      <c r="R3032" t="s">
        <v>126</v>
      </c>
      <c r="S3032" t="s">
        <v>70</v>
      </c>
      <c r="T3032" s="5">
        <f>IF(SUM(E$3032:E$3064)=0,E$3065/33,E3032+IFERROR(E3032/SUM(E$3032:E$3064)*E$3065,0))</f>
        <v>0</v>
      </c>
      <c r="U3032" s="5">
        <f t="shared" ref="U3032:AA3032" si="947">IF(SUM(F$3032:F$3064)=0,F$3065/33,F3032+IFERROR(F3032/SUM(F$3032:F$3064)*F$3065,0))</f>
        <v>0</v>
      </c>
      <c r="V3032" s="5">
        <f t="shared" si="947"/>
        <v>0</v>
      </c>
      <c r="W3032" s="5">
        <f t="shared" si="947"/>
        <v>0</v>
      </c>
      <c r="X3032" s="5">
        <f t="shared" si="947"/>
        <v>0</v>
      </c>
      <c r="Y3032" s="5">
        <f t="shared" si="947"/>
        <v>0</v>
      </c>
      <c r="Z3032" s="5">
        <f t="shared" si="947"/>
        <v>0</v>
      </c>
      <c r="AA3032" s="5">
        <f t="shared" si="947"/>
        <v>0</v>
      </c>
      <c r="AB3032" s="5">
        <f t="shared" si="936"/>
        <v>0</v>
      </c>
    </row>
    <row r="3033" spans="1:29" x14ac:dyDescent="0.25">
      <c r="D3033" t="s">
        <v>71</v>
      </c>
      <c r="E3033" s="14"/>
      <c r="F3033" s="14"/>
      <c r="G3033">
        <f>IFERROR(HLOOKUP(G$2,[92]table_female_hkom1_inj.ill_X4!$A$1:$K$36,3,FALSE),0)</f>
        <v>0</v>
      </c>
      <c r="H3033">
        <f>IFERROR(HLOOKUP(H$2,[92]table_female_hkom1_inj.ill_X4!$A$1:$K$36,3,FALSE),0)</f>
        <v>0</v>
      </c>
      <c r="I3033">
        <f>IFERROR(HLOOKUP(I$2,[92]table_female_hkom1_inj.ill_X4!$A$1:$K$36,3,FALSE),0)</f>
        <v>0</v>
      </c>
      <c r="J3033">
        <f>IFERROR(HLOOKUP(J$2,[92]table_female_hkom1_inj.ill_X4!$A$1:$K$36,3,FALSE),0)</f>
        <v>0</v>
      </c>
      <c r="K3033">
        <f>IFERROR(HLOOKUP(K$2,[92]table_female_hkom1_inj.ill_X4!$A$1:$K$36,3,FALSE),0)</f>
        <v>0</v>
      </c>
      <c r="L3033">
        <f>IFERROR(HLOOKUP(L$2,[92]table_female_hkom1_inj.ill_X4!$A$1:$K$36,3,FALSE),0)</f>
        <v>0</v>
      </c>
      <c r="M3033">
        <f t="shared" ref="M3033:M3065" si="948">SUM(E3033:L3033)</f>
        <v>0</v>
      </c>
      <c r="S3033" t="s">
        <v>71</v>
      </c>
      <c r="T3033" s="5">
        <f t="shared" ref="T3033:T3064" si="949">IF(SUM(E$3032:E$3064)=0,E$3065/33,E3033+IFERROR(E3033/SUM(E$3032:E$3064)*E$3065,0))</f>
        <v>0</v>
      </c>
      <c r="U3033" s="5">
        <f t="shared" ref="U3033:U3064" si="950">IF(SUM(F$3032:F$3064)=0,F$3065/33,F3033+IFERROR(F3033/SUM(F$3032:F$3064)*F$3065,0))</f>
        <v>0</v>
      </c>
      <c r="V3033" s="5">
        <f t="shared" ref="V3033:V3064" si="951">IF(SUM(G$3032:G$3064)=0,G$3065/33,G3033+IFERROR(G3033/SUM(G$3032:G$3064)*G$3065,0))</f>
        <v>0</v>
      </c>
      <c r="W3033" s="5">
        <f t="shared" ref="W3033:W3064" si="952">IF(SUM(H$3032:H$3064)=0,H$3065/33,H3033+IFERROR(H3033/SUM(H$3032:H$3064)*H$3065,0))</f>
        <v>0</v>
      </c>
      <c r="X3033" s="5">
        <f t="shared" ref="X3033:X3064" si="953">IF(SUM(I$3032:I$3064)=0,I$3065/33,I3033+IFERROR(I3033/SUM(I$3032:I$3064)*I$3065,0))</f>
        <v>0</v>
      </c>
      <c r="Y3033" s="5">
        <f t="shared" ref="Y3033:Y3064" si="954">IF(SUM(J$3032:J$3064)=0,J$3065/33,J3033+IFERROR(J3033/SUM(J$3032:J$3064)*J$3065,0))</f>
        <v>0</v>
      </c>
      <c r="Z3033" s="5">
        <f t="shared" ref="Z3033:Z3064" si="955">IF(SUM(K$3032:K$3064)=0,K$3065/33,K3033+IFERROR(K3033/SUM(K$3032:K$3064)*K$3065,0))</f>
        <v>0</v>
      </c>
      <c r="AA3033" s="5">
        <f t="shared" ref="AA3033:AA3064" si="956">IF(SUM(L$3032:L$3064)=0,L$3065/33,L3033+IFERROR(L3033/SUM(L$3032:L$3064)*L$3065,0))</f>
        <v>0</v>
      </c>
      <c r="AB3033" s="5">
        <f t="shared" si="936"/>
        <v>0</v>
      </c>
    </row>
    <row r="3034" spans="1:29" x14ac:dyDescent="0.25">
      <c r="D3034" t="s">
        <v>72</v>
      </c>
      <c r="E3034" s="14"/>
      <c r="F3034" s="14"/>
      <c r="G3034">
        <f>IFERROR(HLOOKUP(G$2,[92]table_female_hkom1_inj.ill_X4!$A$1:$K$36,4,FALSE),0)</f>
        <v>0</v>
      </c>
      <c r="H3034">
        <f>IFERROR(HLOOKUP(H$2,[92]table_female_hkom1_inj.ill_X4!$A$1:$K$36,4,FALSE),0)</f>
        <v>0</v>
      </c>
      <c r="I3034">
        <f>IFERROR(HLOOKUP(I$2,[92]table_female_hkom1_inj.ill_X4!$A$1:$K$36,4,FALSE),0)</f>
        <v>0</v>
      </c>
      <c r="J3034">
        <f>IFERROR(HLOOKUP(J$2,[92]table_female_hkom1_inj.ill_X4!$A$1:$K$36,4,FALSE),0)</f>
        <v>0</v>
      </c>
      <c r="K3034">
        <f>IFERROR(HLOOKUP(K$2,[92]table_female_hkom1_inj.ill_X4!$A$1:$K$36,4,FALSE),0)</f>
        <v>0</v>
      </c>
      <c r="L3034">
        <f>IFERROR(HLOOKUP(L$2,[92]table_female_hkom1_inj.ill_X4!$A$1:$K$36,4,FALSE),0)</f>
        <v>0</v>
      </c>
      <c r="M3034">
        <f t="shared" si="948"/>
        <v>0</v>
      </c>
      <c r="S3034" t="s">
        <v>72</v>
      </c>
      <c r="T3034" s="5">
        <f t="shared" si="949"/>
        <v>0</v>
      </c>
      <c r="U3034" s="5">
        <f t="shared" si="950"/>
        <v>0</v>
      </c>
      <c r="V3034" s="5">
        <f t="shared" si="951"/>
        <v>0</v>
      </c>
      <c r="W3034" s="5">
        <f t="shared" si="952"/>
        <v>0</v>
      </c>
      <c r="X3034" s="5">
        <f t="shared" si="953"/>
        <v>0</v>
      </c>
      <c r="Y3034" s="5">
        <f t="shared" si="954"/>
        <v>0</v>
      </c>
      <c r="Z3034" s="5">
        <f t="shared" si="955"/>
        <v>0</v>
      </c>
      <c r="AA3034" s="5">
        <f t="shared" si="956"/>
        <v>0</v>
      </c>
      <c r="AB3034" s="5">
        <f t="shared" si="936"/>
        <v>0</v>
      </c>
    </row>
    <row r="3035" spans="1:29" x14ac:dyDescent="0.25">
      <c r="D3035" t="s">
        <v>73</v>
      </c>
      <c r="E3035" s="14"/>
      <c r="F3035" s="14"/>
      <c r="G3035">
        <f>IFERROR(HLOOKUP(G$2,[92]table_female_hkom1_inj.ill_X4!$A$1:$K$36,5,FALSE),0)</f>
        <v>0</v>
      </c>
      <c r="H3035">
        <f>IFERROR(HLOOKUP(H$2,[92]table_female_hkom1_inj.ill_X4!$A$1:$K$36,5,FALSE),0)</f>
        <v>0</v>
      </c>
      <c r="I3035">
        <f>IFERROR(HLOOKUP(I$2,[92]table_female_hkom1_inj.ill_X4!$A$1:$K$36,5,FALSE),0)</f>
        <v>0</v>
      </c>
      <c r="J3035">
        <f>IFERROR(HLOOKUP(J$2,[92]table_female_hkom1_inj.ill_X4!$A$1:$K$36,5,FALSE),0)</f>
        <v>0</v>
      </c>
      <c r="K3035">
        <f>IFERROR(HLOOKUP(K$2,[92]table_female_hkom1_inj.ill_X4!$A$1:$K$36,5,FALSE),0)</f>
        <v>0</v>
      </c>
      <c r="L3035">
        <f>IFERROR(HLOOKUP(L$2,[92]table_female_hkom1_inj.ill_X4!$A$1:$K$36,5,FALSE),0)</f>
        <v>0</v>
      </c>
      <c r="M3035">
        <f t="shared" si="948"/>
        <v>0</v>
      </c>
      <c r="S3035" t="s">
        <v>73</v>
      </c>
      <c r="T3035" s="5">
        <f t="shared" si="949"/>
        <v>0</v>
      </c>
      <c r="U3035" s="5">
        <f t="shared" si="950"/>
        <v>0</v>
      </c>
      <c r="V3035" s="5">
        <f t="shared" si="951"/>
        <v>0</v>
      </c>
      <c r="W3035" s="5">
        <f t="shared" si="952"/>
        <v>0</v>
      </c>
      <c r="X3035" s="5">
        <f t="shared" si="953"/>
        <v>0</v>
      </c>
      <c r="Y3035" s="5">
        <f t="shared" si="954"/>
        <v>0</v>
      </c>
      <c r="Z3035" s="5">
        <f t="shared" si="955"/>
        <v>0</v>
      </c>
      <c r="AA3035" s="5">
        <f t="shared" si="956"/>
        <v>0</v>
      </c>
      <c r="AB3035" s="5">
        <f t="shared" si="936"/>
        <v>0</v>
      </c>
    </row>
    <row r="3036" spans="1:29" x14ac:dyDescent="0.25">
      <c r="D3036" t="s">
        <v>74</v>
      </c>
      <c r="E3036" s="14"/>
      <c r="F3036" s="14"/>
      <c r="G3036">
        <f>IFERROR(HLOOKUP(G$2,[92]table_female_hkom1_inj.ill_X4!$A$1:$K$36,6,FALSE),0)</f>
        <v>0</v>
      </c>
      <c r="H3036">
        <f>IFERROR(HLOOKUP(H$2,[92]table_female_hkom1_inj.ill_X4!$A$1:$K$36,6,FALSE),0)</f>
        <v>0</v>
      </c>
      <c r="I3036">
        <f>IFERROR(HLOOKUP(I$2,[92]table_female_hkom1_inj.ill_X4!$A$1:$K$36,6,FALSE),0)</f>
        <v>0</v>
      </c>
      <c r="J3036">
        <f>IFERROR(HLOOKUP(J$2,[92]table_female_hkom1_inj.ill_X4!$A$1:$K$36,6,FALSE),0)</f>
        <v>0</v>
      </c>
      <c r="K3036">
        <f>IFERROR(HLOOKUP(K$2,[92]table_female_hkom1_inj.ill_X4!$A$1:$K$36,6,FALSE),0)</f>
        <v>0</v>
      </c>
      <c r="L3036">
        <f>IFERROR(HLOOKUP(L$2,[92]table_female_hkom1_inj.ill_X4!$A$1:$K$36,6,FALSE),0)</f>
        <v>0</v>
      </c>
      <c r="M3036">
        <f t="shared" si="948"/>
        <v>0</v>
      </c>
      <c r="S3036" t="s">
        <v>74</v>
      </c>
      <c r="T3036" s="5">
        <f t="shared" si="949"/>
        <v>0</v>
      </c>
      <c r="U3036" s="5">
        <f t="shared" si="950"/>
        <v>0</v>
      </c>
      <c r="V3036" s="5">
        <f t="shared" si="951"/>
        <v>0</v>
      </c>
      <c r="W3036" s="5">
        <f t="shared" si="952"/>
        <v>0</v>
      </c>
      <c r="X3036" s="5">
        <f t="shared" si="953"/>
        <v>0</v>
      </c>
      <c r="Y3036" s="5">
        <f t="shared" si="954"/>
        <v>0</v>
      </c>
      <c r="Z3036" s="5">
        <f t="shared" si="955"/>
        <v>0</v>
      </c>
      <c r="AA3036" s="5">
        <f t="shared" si="956"/>
        <v>0</v>
      </c>
      <c r="AB3036" s="5">
        <f t="shared" si="936"/>
        <v>0</v>
      </c>
    </row>
    <row r="3037" spans="1:29" x14ac:dyDescent="0.25">
      <c r="D3037" t="s">
        <v>75</v>
      </c>
      <c r="E3037" s="14"/>
      <c r="F3037" s="14"/>
      <c r="G3037">
        <f>IFERROR(HLOOKUP(G$2,[92]table_female_hkom1_inj.ill_X4!$A$1:$K$36,7,FALSE),0)</f>
        <v>0</v>
      </c>
      <c r="H3037">
        <f>IFERROR(HLOOKUP(H$2,[92]table_female_hkom1_inj.ill_X4!$A$1:$K$36,7,FALSE),0)</f>
        <v>0</v>
      </c>
      <c r="I3037">
        <f>IFERROR(HLOOKUP(I$2,[92]table_female_hkom1_inj.ill_X4!$A$1:$K$36,7,FALSE),0)</f>
        <v>0</v>
      </c>
      <c r="J3037">
        <f>IFERROR(HLOOKUP(J$2,[92]table_female_hkom1_inj.ill_X4!$A$1:$K$36,7,FALSE),0)</f>
        <v>0</v>
      </c>
      <c r="K3037">
        <f>IFERROR(HLOOKUP(K$2,[92]table_female_hkom1_inj.ill_X4!$A$1:$K$36,7,FALSE),0)</f>
        <v>0</v>
      </c>
      <c r="L3037">
        <f>IFERROR(HLOOKUP(L$2,[92]table_female_hkom1_inj.ill_X4!$A$1:$K$36,7,FALSE),0)</f>
        <v>0</v>
      </c>
      <c r="M3037">
        <f t="shared" si="948"/>
        <v>0</v>
      </c>
      <c r="S3037" t="s">
        <v>75</v>
      </c>
      <c r="T3037" s="5">
        <f t="shared" si="949"/>
        <v>0</v>
      </c>
      <c r="U3037" s="5">
        <f t="shared" si="950"/>
        <v>0</v>
      </c>
      <c r="V3037" s="5">
        <f t="shared" si="951"/>
        <v>0</v>
      </c>
      <c r="W3037" s="5">
        <f t="shared" si="952"/>
        <v>0</v>
      </c>
      <c r="X3037" s="5">
        <f t="shared" si="953"/>
        <v>0</v>
      </c>
      <c r="Y3037" s="5">
        <f t="shared" si="954"/>
        <v>0</v>
      </c>
      <c r="Z3037" s="5">
        <f t="shared" si="955"/>
        <v>0</v>
      </c>
      <c r="AA3037" s="5">
        <f t="shared" si="956"/>
        <v>0</v>
      </c>
      <c r="AB3037" s="5">
        <f t="shared" si="936"/>
        <v>0</v>
      </c>
    </row>
    <row r="3038" spans="1:29" x14ac:dyDescent="0.25">
      <c r="D3038" t="s">
        <v>76</v>
      </c>
      <c r="E3038" s="14"/>
      <c r="F3038" s="14"/>
      <c r="G3038">
        <f>IFERROR(HLOOKUP(G$2,[92]table_female_hkom1_inj.ill_X4!$A$1:$K$36,8,FALSE),0)</f>
        <v>0</v>
      </c>
      <c r="H3038">
        <f>IFERROR(HLOOKUP(H$2,[92]table_female_hkom1_inj.ill_X4!$A$1:$K$36,8,FALSE),0)</f>
        <v>0</v>
      </c>
      <c r="I3038">
        <f>IFERROR(HLOOKUP(I$2,[92]table_female_hkom1_inj.ill_X4!$A$1:$K$36,8,FALSE),0)</f>
        <v>0</v>
      </c>
      <c r="J3038">
        <f>IFERROR(HLOOKUP(J$2,[92]table_female_hkom1_inj.ill_X4!$A$1:$K$36,8,FALSE),0)</f>
        <v>0</v>
      </c>
      <c r="K3038">
        <f>IFERROR(HLOOKUP(K$2,[92]table_female_hkom1_inj.ill_X4!$A$1:$K$36,8,FALSE),0)</f>
        <v>0</v>
      </c>
      <c r="L3038">
        <f>IFERROR(HLOOKUP(L$2,[92]table_female_hkom1_inj.ill_X4!$A$1:$K$36,8,FALSE),0)</f>
        <v>0</v>
      </c>
      <c r="M3038">
        <f t="shared" si="948"/>
        <v>0</v>
      </c>
      <c r="S3038" t="s">
        <v>76</v>
      </c>
      <c r="T3038" s="5">
        <f t="shared" si="949"/>
        <v>0</v>
      </c>
      <c r="U3038" s="5">
        <f t="shared" si="950"/>
        <v>0</v>
      </c>
      <c r="V3038" s="5">
        <f t="shared" si="951"/>
        <v>0</v>
      </c>
      <c r="W3038" s="5">
        <f t="shared" si="952"/>
        <v>0</v>
      </c>
      <c r="X3038" s="5">
        <f t="shared" si="953"/>
        <v>0</v>
      </c>
      <c r="Y3038" s="5">
        <f t="shared" si="954"/>
        <v>0</v>
      </c>
      <c r="Z3038" s="5">
        <f t="shared" si="955"/>
        <v>0</v>
      </c>
      <c r="AA3038" s="5">
        <f t="shared" si="956"/>
        <v>0</v>
      </c>
      <c r="AB3038" s="5">
        <f t="shared" si="936"/>
        <v>0</v>
      </c>
    </row>
    <row r="3039" spans="1:29" x14ac:dyDescent="0.25">
      <c r="D3039" t="s">
        <v>77</v>
      </c>
      <c r="E3039" s="14"/>
      <c r="F3039" s="14"/>
      <c r="G3039">
        <f>IFERROR(HLOOKUP(G$2,[92]table_female_hkom1_inj.ill_X4!$A$1:$K$36,9,FALSE),0)</f>
        <v>0</v>
      </c>
      <c r="H3039">
        <f>IFERROR(HLOOKUP(H$2,[92]table_female_hkom1_inj.ill_X4!$A$1:$K$36,9,FALSE),0)</f>
        <v>0</v>
      </c>
      <c r="I3039">
        <f>IFERROR(HLOOKUP(I$2,[92]table_female_hkom1_inj.ill_X4!$A$1:$K$36,9,FALSE),0)</f>
        <v>0</v>
      </c>
      <c r="J3039">
        <f>IFERROR(HLOOKUP(J$2,[92]table_female_hkom1_inj.ill_X4!$A$1:$K$36,9,FALSE),0)</f>
        <v>0</v>
      </c>
      <c r="K3039">
        <f>IFERROR(HLOOKUP(K$2,[92]table_female_hkom1_inj.ill_X4!$A$1:$K$36,9,FALSE),0)</f>
        <v>0</v>
      </c>
      <c r="L3039">
        <f>IFERROR(HLOOKUP(L$2,[92]table_female_hkom1_inj.ill_X4!$A$1:$K$36,9,FALSE),0)</f>
        <v>0</v>
      </c>
      <c r="M3039">
        <f t="shared" si="948"/>
        <v>0</v>
      </c>
      <c r="S3039" t="s">
        <v>77</v>
      </c>
      <c r="T3039" s="5">
        <f t="shared" si="949"/>
        <v>0</v>
      </c>
      <c r="U3039" s="5">
        <f t="shared" si="950"/>
        <v>0</v>
      </c>
      <c r="V3039" s="5">
        <f t="shared" si="951"/>
        <v>0</v>
      </c>
      <c r="W3039" s="5">
        <f t="shared" si="952"/>
        <v>0</v>
      </c>
      <c r="X3039" s="5">
        <f t="shared" si="953"/>
        <v>0</v>
      </c>
      <c r="Y3039" s="5">
        <f t="shared" si="954"/>
        <v>0</v>
      </c>
      <c r="Z3039" s="5">
        <f t="shared" si="955"/>
        <v>0</v>
      </c>
      <c r="AA3039" s="5">
        <f t="shared" si="956"/>
        <v>0</v>
      </c>
      <c r="AB3039" s="5">
        <f t="shared" si="936"/>
        <v>0</v>
      </c>
    </row>
    <row r="3040" spans="1:29" x14ac:dyDescent="0.25">
      <c r="D3040" t="s">
        <v>78</v>
      </c>
      <c r="E3040" s="14"/>
      <c r="F3040" s="14"/>
      <c r="G3040">
        <f>IFERROR(HLOOKUP(G$2,[92]table_female_hkom1_inj.ill_X4!$A$1:$K$36,10,FALSE),0)</f>
        <v>0</v>
      </c>
      <c r="H3040">
        <f>IFERROR(HLOOKUP(H$2,[92]table_female_hkom1_inj.ill_X4!$A$1:$K$36,10,FALSE),0)</f>
        <v>0</v>
      </c>
      <c r="I3040">
        <f>IFERROR(HLOOKUP(I$2,[92]table_female_hkom1_inj.ill_X4!$A$1:$K$36,10,FALSE),0)</f>
        <v>0</v>
      </c>
      <c r="J3040">
        <f>IFERROR(HLOOKUP(J$2,[92]table_female_hkom1_inj.ill_X4!$A$1:$K$36,10,FALSE),0)</f>
        <v>0</v>
      </c>
      <c r="K3040">
        <f>IFERROR(HLOOKUP(K$2,[92]table_female_hkom1_inj.ill_X4!$A$1:$K$36,10,FALSE),0)</f>
        <v>0</v>
      </c>
      <c r="L3040">
        <f>IFERROR(HLOOKUP(L$2,[92]table_female_hkom1_inj.ill_X4!$A$1:$K$36,10,FALSE),0)</f>
        <v>0</v>
      </c>
      <c r="M3040">
        <f t="shared" si="948"/>
        <v>0</v>
      </c>
      <c r="S3040" t="s">
        <v>78</v>
      </c>
      <c r="T3040" s="5">
        <f t="shared" si="949"/>
        <v>0</v>
      </c>
      <c r="U3040" s="5">
        <f t="shared" si="950"/>
        <v>0</v>
      </c>
      <c r="V3040" s="5">
        <f t="shared" si="951"/>
        <v>0</v>
      </c>
      <c r="W3040" s="5">
        <f t="shared" si="952"/>
        <v>0</v>
      </c>
      <c r="X3040" s="5">
        <f t="shared" si="953"/>
        <v>0</v>
      </c>
      <c r="Y3040" s="5">
        <f t="shared" si="954"/>
        <v>0</v>
      </c>
      <c r="Z3040" s="5">
        <f t="shared" si="955"/>
        <v>0</v>
      </c>
      <c r="AA3040" s="5">
        <f t="shared" si="956"/>
        <v>0</v>
      </c>
      <c r="AB3040" s="5">
        <f t="shared" si="936"/>
        <v>0</v>
      </c>
    </row>
    <row r="3041" spans="4:28" x14ac:dyDescent="0.25">
      <c r="D3041" t="s">
        <v>79</v>
      </c>
      <c r="E3041" s="14"/>
      <c r="F3041" s="14"/>
      <c r="G3041">
        <f>IFERROR(HLOOKUP(G$2,[92]table_female_hkom1_inj.ill_X4!$A$1:$K$36,11,FALSE),0)</f>
        <v>0</v>
      </c>
      <c r="H3041">
        <f>IFERROR(HLOOKUP(H$2,[92]table_female_hkom1_inj.ill_X4!$A$1:$K$36,11,FALSE),0)</f>
        <v>0</v>
      </c>
      <c r="I3041">
        <f>IFERROR(HLOOKUP(I$2,[92]table_female_hkom1_inj.ill_X4!$A$1:$K$36,11,FALSE),0)</f>
        <v>0</v>
      </c>
      <c r="J3041">
        <f>IFERROR(HLOOKUP(J$2,[92]table_female_hkom1_inj.ill_X4!$A$1:$K$36,11,FALSE),0)</f>
        <v>0</v>
      </c>
      <c r="K3041">
        <f>IFERROR(HLOOKUP(K$2,[92]table_female_hkom1_inj.ill_X4!$A$1:$K$36,11,FALSE),0)</f>
        <v>0</v>
      </c>
      <c r="L3041">
        <f>IFERROR(HLOOKUP(L$2,[92]table_female_hkom1_inj.ill_X4!$A$1:$K$36,11,FALSE),0)</f>
        <v>0</v>
      </c>
      <c r="M3041">
        <f t="shared" si="948"/>
        <v>0</v>
      </c>
      <c r="S3041" t="s">
        <v>79</v>
      </c>
      <c r="T3041" s="5">
        <f t="shared" si="949"/>
        <v>0</v>
      </c>
      <c r="U3041" s="5">
        <f t="shared" si="950"/>
        <v>0</v>
      </c>
      <c r="V3041" s="5">
        <f t="shared" si="951"/>
        <v>0</v>
      </c>
      <c r="W3041" s="5">
        <f t="shared" si="952"/>
        <v>0</v>
      </c>
      <c r="X3041" s="5">
        <f t="shared" si="953"/>
        <v>0</v>
      </c>
      <c r="Y3041" s="5">
        <f t="shared" si="954"/>
        <v>0</v>
      </c>
      <c r="Z3041" s="5">
        <f t="shared" si="955"/>
        <v>0</v>
      </c>
      <c r="AA3041" s="5">
        <f t="shared" si="956"/>
        <v>0</v>
      </c>
      <c r="AB3041" s="5">
        <f t="shared" si="936"/>
        <v>0</v>
      </c>
    </row>
    <row r="3042" spans="4:28" x14ac:dyDescent="0.25">
      <c r="D3042" t="s">
        <v>80</v>
      </c>
      <c r="E3042" s="14"/>
      <c r="F3042" s="14"/>
      <c r="G3042">
        <f>IFERROR(HLOOKUP(G$2,[92]table_female_hkom1_inj.ill_X4!$A$1:$K$36,12,FALSE),0)</f>
        <v>0</v>
      </c>
      <c r="H3042">
        <f>IFERROR(HLOOKUP(H$2,[92]table_female_hkom1_inj.ill_X4!$A$1:$K$36,12,FALSE),0)</f>
        <v>0</v>
      </c>
      <c r="I3042">
        <f>IFERROR(HLOOKUP(I$2,[92]table_female_hkom1_inj.ill_X4!$A$1:$K$36,12,FALSE),0)</f>
        <v>0</v>
      </c>
      <c r="J3042">
        <f>IFERROR(HLOOKUP(J$2,[92]table_female_hkom1_inj.ill_X4!$A$1:$K$36,12,FALSE),0)</f>
        <v>0</v>
      </c>
      <c r="K3042">
        <f>IFERROR(HLOOKUP(K$2,[92]table_female_hkom1_inj.ill_X4!$A$1:$K$36,12,FALSE),0)</f>
        <v>0</v>
      </c>
      <c r="L3042">
        <f>IFERROR(HLOOKUP(L$2,[92]table_female_hkom1_inj.ill_X4!$A$1:$K$36,12,FALSE),0)</f>
        <v>0</v>
      </c>
      <c r="M3042">
        <f t="shared" si="948"/>
        <v>0</v>
      </c>
      <c r="S3042" t="s">
        <v>80</v>
      </c>
      <c r="T3042" s="5">
        <f t="shared" si="949"/>
        <v>0</v>
      </c>
      <c r="U3042" s="5">
        <f t="shared" si="950"/>
        <v>0</v>
      </c>
      <c r="V3042" s="5">
        <f t="shared" si="951"/>
        <v>0</v>
      </c>
      <c r="W3042" s="5">
        <f t="shared" si="952"/>
        <v>0</v>
      </c>
      <c r="X3042" s="5">
        <f t="shared" si="953"/>
        <v>0</v>
      </c>
      <c r="Y3042" s="5">
        <f t="shared" si="954"/>
        <v>0</v>
      </c>
      <c r="Z3042" s="5">
        <f t="shared" si="955"/>
        <v>0</v>
      </c>
      <c r="AA3042" s="5">
        <f t="shared" si="956"/>
        <v>0</v>
      </c>
      <c r="AB3042" s="5">
        <f t="shared" si="936"/>
        <v>0</v>
      </c>
    </row>
    <row r="3043" spans="4:28" x14ac:dyDescent="0.25">
      <c r="D3043" t="s">
        <v>81</v>
      </c>
      <c r="E3043" s="14"/>
      <c r="F3043" s="14"/>
      <c r="G3043">
        <f>IFERROR(HLOOKUP(G$2,[92]table_female_hkom1_inj.ill_X4!$A$1:$K$36,13,FALSE),0)</f>
        <v>0</v>
      </c>
      <c r="H3043">
        <f>IFERROR(HLOOKUP(H$2,[92]table_female_hkom1_inj.ill_X4!$A$1:$K$36,13,FALSE),0)</f>
        <v>0</v>
      </c>
      <c r="I3043">
        <f>IFERROR(HLOOKUP(I$2,[92]table_female_hkom1_inj.ill_X4!$A$1:$K$36,13,FALSE),0)</f>
        <v>0</v>
      </c>
      <c r="J3043">
        <f>IFERROR(HLOOKUP(J$2,[92]table_female_hkom1_inj.ill_X4!$A$1:$K$36,13,FALSE),0)</f>
        <v>0</v>
      </c>
      <c r="K3043">
        <f>IFERROR(HLOOKUP(K$2,[92]table_female_hkom1_inj.ill_X4!$A$1:$K$36,13,FALSE),0)</f>
        <v>0</v>
      </c>
      <c r="L3043">
        <f>IFERROR(HLOOKUP(L$2,[92]table_female_hkom1_inj.ill_X4!$A$1:$K$36,13,FALSE),0)</f>
        <v>0</v>
      </c>
      <c r="M3043">
        <f t="shared" si="948"/>
        <v>0</v>
      </c>
      <c r="S3043" t="s">
        <v>81</v>
      </c>
      <c r="T3043" s="5">
        <f t="shared" si="949"/>
        <v>0</v>
      </c>
      <c r="U3043" s="5">
        <f t="shared" si="950"/>
        <v>0</v>
      </c>
      <c r="V3043" s="5">
        <f t="shared" si="951"/>
        <v>0</v>
      </c>
      <c r="W3043" s="5">
        <f t="shared" si="952"/>
        <v>0</v>
      </c>
      <c r="X3043" s="5">
        <f t="shared" si="953"/>
        <v>0</v>
      </c>
      <c r="Y3043" s="5">
        <f t="shared" si="954"/>
        <v>0</v>
      </c>
      <c r="Z3043" s="5">
        <f t="shared" si="955"/>
        <v>0</v>
      </c>
      <c r="AA3043" s="5">
        <f t="shared" si="956"/>
        <v>0</v>
      </c>
      <c r="AB3043" s="5">
        <f t="shared" si="936"/>
        <v>0</v>
      </c>
    </row>
    <row r="3044" spans="4:28" x14ac:dyDescent="0.25">
      <c r="D3044" t="s">
        <v>82</v>
      </c>
      <c r="E3044" s="14"/>
      <c r="F3044" s="14"/>
      <c r="G3044">
        <f>IFERROR(HLOOKUP(G$2,[92]table_female_hkom1_inj.ill_X4!$A$1:$K$36,14,FALSE),0)</f>
        <v>0</v>
      </c>
      <c r="H3044">
        <f>IFERROR(HLOOKUP(H$2,[92]table_female_hkom1_inj.ill_X4!$A$1:$K$36,14,FALSE),0)</f>
        <v>0</v>
      </c>
      <c r="I3044">
        <f>IFERROR(HLOOKUP(I$2,[92]table_female_hkom1_inj.ill_X4!$A$1:$K$36,14,FALSE),0)</f>
        <v>0</v>
      </c>
      <c r="J3044">
        <f>IFERROR(HLOOKUP(J$2,[92]table_female_hkom1_inj.ill_X4!$A$1:$K$36,14,FALSE),0)</f>
        <v>0</v>
      </c>
      <c r="K3044">
        <f>IFERROR(HLOOKUP(K$2,[92]table_female_hkom1_inj.ill_X4!$A$1:$K$36,14,FALSE),0)</f>
        <v>0</v>
      </c>
      <c r="L3044">
        <f>IFERROR(HLOOKUP(L$2,[92]table_female_hkom1_inj.ill_X4!$A$1:$K$36,14,FALSE),0)</f>
        <v>0</v>
      </c>
      <c r="M3044">
        <f t="shared" si="948"/>
        <v>0</v>
      </c>
      <c r="S3044" t="s">
        <v>82</v>
      </c>
      <c r="T3044" s="5">
        <f t="shared" si="949"/>
        <v>0</v>
      </c>
      <c r="U3044" s="5">
        <f t="shared" si="950"/>
        <v>0</v>
      </c>
      <c r="V3044" s="5">
        <f t="shared" si="951"/>
        <v>0</v>
      </c>
      <c r="W3044" s="5">
        <f t="shared" si="952"/>
        <v>0</v>
      </c>
      <c r="X3044" s="5">
        <f t="shared" si="953"/>
        <v>0</v>
      </c>
      <c r="Y3044" s="5">
        <f t="shared" si="954"/>
        <v>0</v>
      </c>
      <c r="Z3044" s="5">
        <f t="shared" si="955"/>
        <v>0</v>
      </c>
      <c r="AA3044" s="5">
        <f t="shared" si="956"/>
        <v>0</v>
      </c>
      <c r="AB3044" s="5">
        <f t="shared" si="936"/>
        <v>0</v>
      </c>
    </row>
    <row r="3045" spans="4:28" x14ac:dyDescent="0.25">
      <c r="D3045" t="s">
        <v>83</v>
      </c>
      <c r="E3045" s="14"/>
      <c r="F3045" s="14"/>
      <c r="G3045">
        <f>IFERROR(HLOOKUP(G$2,[92]table_female_hkom1_inj.ill_X4!$A$1:$K$36,15,FALSE),0)</f>
        <v>0</v>
      </c>
      <c r="H3045">
        <f>IFERROR(HLOOKUP(H$2,[92]table_female_hkom1_inj.ill_X4!$A$1:$K$36,15,FALSE),0)</f>
        <v>0</v>
      </c>
      <c r="I3045">
        <f>IFERROR(HLOOKUP(I$2,[92]table_female_hkom1_inj.ill_X4!$A$1:$K$36,15,FALSE),0)</f>
        <v>0</v>
      </c>
      <c r="J3045">
        <f>IFERROR(HLOOKUP(J$2,[92]table_female_hkom1_inj.ill_X4!$A$1:$K$36,15,FALSE),0)</f>
        <v>0</v>
      </c>
      <c r="K3045">
        <f>IFERROR(HLOOKUP(K$2,[92]table_female_hkom1_inj.ill_X4!$A$1:$K$36,15,FALSE),0)</f>
        <v>0</v>
      </c>
      <c r="L3045">
        <f>IFERROR(HLOOKUP(L$2,[92]table_female_hkom1_inj.ill_X4!$A$1:$K$36,15,FALSE),0)</f>
        <v>0</v>
      </c>
      <c r="M3045">
        <f t="shared" si="948"/>
        <v>0</v>
      </c>
      <c r="S3045" t="s">
        <v>83</v>
      </c>
      <c r="T3045" s="5">
        <f t="shared" si="949"/>
        <v>0</v>
      </c>
      <c r="U3045" s="5">
        <f t="shared" si="950"/>
        <v>0</v>
      </c>
      <c r="V3045" s="5">
        <f t="shared" si="951"/>
        <v>0</v>
      </c>
      <c r="W3045" s="5">
        <f t="shared" si="952"/>
        <v>0</v>
      </c>
      <c r="X3045" s="5">
        <f t="shared" si="953"/>
        <v>0</v>
      </c>
      <c r="Y3045" s="5">
        <f t="shared" si="954"/>
        <v>0</v>
      </c>
      <c r="Z3045" s="5">
        <f t="shared" si="955"/>
        <v>0</v>
      </c>
      <c r="AA3045" s="5">
        <f t="shared" si="956"/>
        <v>0</v>
      </c>
      <c r="AB3045" s="5">
        <f t="shared" si="936"/>
        <v>0</v>
      </c>
    </row>
    <row r="3046" spans="4:28" x14ac:dyDescent="0.25">
      <c r="D3046" t="s">
        <v>84</v>
      </c>
      <c r="E3046" s="14"/>
      <c r="F3046" s="14"/>
      <c r="G3046">
        <f>IFERROR(HLOOKUP(G$2,[92]table_female_hkom1_inj.ill_X4!$A$1:$K$36,16,FALSE),0)</f>
        <v>0</v>
      </c>
      <c r="H3046">
        <f>IFERROR(HLOOKUP(H$2,[92]table_female_hkom1_inj.ill_X4!$A$1:$K$36,16,FALSE),0)</f>
        <v>0</v>
      </c>
      <c r="I3046">
        <f>IFERROR(HLOOKUP(I$2,[92]table_female_hkom1_inj.ill_X4!$A$1:$K$36,16,FALSE),0)</f>
        <v>0</v>
      </c>
      <c r="J3046">
        <f>IFERROR(HLOOKUP(J$2,[92]table_female_hkom1_inj.ill_X4!$A$1:$K$36,16,FALSE),0)</f>
        <v>0</v>
      </c>
      <c r="K3046">
        <f>IFERROR(HLOOKUP(K$2,[92]table_female_hkom1_inj.ill_X4!$A$1:$K$36,16,FALSE),0)</f>
        <v>0</v>
      </c>
      <c r="L3046">
        <f>IFERROR(HLOOKUP(L$2,[92]table_female_hkom1_inj.ill_X4!$A$1:$K$36,16,FALSE),0)</f>
        <v>0</v>
      </c>
      <c r="M3046">
        <f t="shared" si="948"/>
        <v>0</v>
      </c>
      <c r="S3046" t="s">
        <v>84</v>
      </c>
      <c r="T3046" s="5">
        <f t="shared" si="949"/>
        <v>0</v>
      </c>
      <c r="U3046" s="5">
        <f t="shared" si="950"/>
        <v>0</v>
      </c>
      <c r="V3046" s="5">
        <f t="shared" si="951"/>
        <v>0</v>
      </c>
      <c r="W3046" s="5">
        <f t="shared" si="952"/>
        <v>0</v>
      </c>
      <c r="X3046" s="5">
        <f t="shared" si="953"/>
        <v>0</v>
      </c>
      <c r="Y3046" s="5">
        <f t="shared" si="954"/>
        <v>0</v>
      </c>
      <c r="Z3046" s="5">
        <f t="shared" si="955"/>
        <v>0</v>
      </c>
      <c r="AA3046" s="5">
        <f t="shared" si="956"/>
        <v>0</v>
      </c>
      <c r="AB3046" s="5">
        <f t="shared" si="936"/>
        <v>0</v>
      </c>
    </row>
    <row r="3047" spans="4:28" x14ac:dyDescent="0.25">
      <c r="D3047" t="s">
        <v>85</v>
      </c>
      <c r="E3047" s="14"/>
      <c r="F3047" s="14"/>
      <c r="G3047">
        <f>IFERROR(HLOOKUP(G$2,[92]table_female_hkom1_inj.ill_X4!$A$1:$K$36,17,FALSE),0)</f>
        <v>0</v>
      </c>
      <c r="H3047">
        <f>IFERROR(HLOOKUP(H$2,[92]table_female_hkom1_inj.ill_X4!$A$1:$K$36,17,FALSE),0)</f>
        <v>0</v>
      </c>
      <c r="I3047">
        <f>IFERROR(HLOOKUP(I$2,[92]table_female_hkom1_inj.ill_X4!$A$1:$K$36,17,FALSE),0)</f>
        <v>0</v>
      </c>
      <c r="J3047">
        <f>IFERROR(HLOOKUP(J$2,[92]table_female_hkom1_inj.ill_X4!$A$1:$K$36,17,FALSE),0)</f>
        <v>0</v>
      </c>
      <c r="K3047">
        <f>IFERROR(HLOOKUP(K$2,[92]table_female_hkom1_inj.ill_X4!$A$1:$K$36,17,FALSE),0)</f>
        <v>0</v>
      </c>
      <c r="L3047">
        <f>IFERROR(HLOOKUP(L$2,[92]table_female_hkom1_inj.ill_X4!$A$1:$K$36,17,FALSE),0)</f>
        <v>0</v>
      </c>
      <c r="M3047">
        <f t="shared" si="948"/>
        <v>0</v>
      </c>
      <c r="S3047" t="s">
        <v>85</v>
      </c>
      <c r="T3047" s="5">
        <f t="shared" si="949"/>
        <v>0</v>
      </c>
      <c r="U3047" s="5">
        <f t="shared" si="950"/>
        <v>0</v>
      </c>
      <c r="V3047" s="5">
        <f t="shared" si="951"/>
        <v>0</v>
      </c>
      <c r="W3047" s="5">
        <f t="shared" si="952"/>
        <v>0</v>
      </c>
      <c r="X3047" s="5">
        <f t="shared" si="953"/>
        <v>0</v>
      </c>
      <c r="Y3047" s="5">
        <f t="shared" si="954"/>
        <v>0</v>
      </c>
      <c r="Z3047" s="5">
        <f t="shared" si="955"/>
        <v>0</v>
      </c>
      <c r="AA3047" s="5">
        <f t="shared" si="956"/>
        <v>0</v>
      </c>
      <c r="AB3047" s="5">
        <f t="shared" si="936"/>
        <v>0</v>
      </c>
    </row>
    <row r="3048" spans="4:28" x14ac:dyDescent="0.25">
      <c r="D3048" t="s">
        <v>86</v>
      </c>
      <c r="E3048" s="14"/>
      <c r="F3048" s="14"/>
      <c r="G3048">
        <f>IFERROR(HLOOKUP(G$2,[92]table_female_hkom1_inj.ill_X4!$A$1:$K$36,18,FALSE),0)</f>
        <v>0</v>
      </c>
      <c r="H3048">
        <f>IFERROR(HLOOKUP(H$2,[92]table_female_hkom1_inj.ill_X4!$A$1:$K$36,18,FALSE),0)</f>
        <v>0</v>
      </c>
      <c r="I3048">
        <f>IFERROR(HLOOKUP(I$2,[92]table_female_hkom1_inj.ill_X4!$A$1:$K$36,18,FALSE),0)</f>
        <v>0</v>
      </c>
      <c r="J3048">
        <f>IFERROR(HLOOKUP(J$2,[92]table_female_hkom1_inj.ill_X4!$A$1:$K$36,18,FALSE),0)</f>
        <v>0</v>
      </c>
      <c r="K3048">
        <f>IFERROR(HLOOKUP(K$2,[92]table_female_hkom1_inj.ill_X4!$A$1:$K$36,18,FALSE),0)</f>
        <v>0</v>
      </c>
      <c r="L3048">
        <f>IFERROR(HLOOKUP(L$2,[92]table_female_hkom1_inj.ill_X4!$A$1:$K$36,18,FALSE),0)</f>
        <v>0</v>
      </c>
      <c r="M3048">
        <f t="shared" si="948"/>
        <v>0</v>
      </c>
      <c r="S3048" t="s">
        <v>86</v>
      </c>
      <c r="T3048" s="5">
        <f t="shared" si="949"/>
        <v>0</v>
      </c>
      <c r="U3048" s="5">
        <f t="shared" si="950"/>
        <v>0</v>
      </c>
      <c r="V3048" s="5">
        <f t="shared" si="951"/>
        <v>0</v>
      </c>
      <c r="W3048" s="5">
        <f t="shared" si="952"/>
        <v>0</v>
      </c>
      <c r="X3048" s="5">
        <f t="shared" si="953"/>
        <v>0</v>
      </c>
      <c r="Y3048" s="5">
        <f t="shared" si="954"/>
        <v>0</v>
      </c>
      <c r="Z3048" s="5">
        <f t="shared" si="955"/>
        <v>0</v>
      </c>
      <c r="AA3048" s="5">
        <f t="shared" si="956"/>
        <v>0</v>
      </c>
      <c r="AB3048" s="5">
        <f t="shared" si="936"/>
        <v>0</v>
      </c>
    </row>
    <row r="3049" spans="4:28" x14ac:dyDescent="0.25">
      <c r="D3049" t="s">
        <v>87</v>
      </c>
      <c r="E3049" s="14"/>
      <c r="F3049" s="14"/>
      <c r="G3049">
        <f>IFERROR(HLOOKUP(G$2,[92]table_female_hkom1_inj.ill_X4!$A$1:$K$36,19,FALSE),0)</f>
        <v>0</v>
      </c>
      <c r="H3049">
        <f>IFERROR(HLOOKUP(H$2,[92]table_female_hkom1_inj.ill_X4!$A$1:$K$36,19,FALSE),0)</f>
        <v>0</v>
      </c>
      <c r="I3049">
        <f>IFERROR(HLOOKUP(I$2,[92]table_female_hkom1_inj.ill_X4!$A$1:$K$36,19,FALSE),0)</f>
        <v>0</v>
      </c>
      <c r="J3049">
        <f>IFERROR(HLOOKUP(J$2,[92]table_female_hkom1_inj.ill_X4!$A$1:$K$36,19,FALSE),0)</f>
        <v>0</v>
      </c>
      <c r="K3049">
        <f>IFERROR(HLOOKUP(K$2,[92]table_female_hkom1_inj.ill_X4!$A$1:$K$36,19,FALSE),0)</f>
        <v>0</v>
      </c>
      <c r="L3049">
        <f>IFERROR(HLOOKUP(L$2,[92]table_female_hkom1_inj.ill_X4!$A$1:$K$36,19,FALSE),0)</f>
        <v>0</v>
      </c>
      <c r="M3049">
        <f t="shared" si="948"/>
        <v>0</v>
      </c>
      <c r="S3049" t="s">
        <v>87</v>
      </c>
      <c r="T3049" s="5">
        <f t="shared" si="949"/>
        <v>0</v>
      </c>
      <c r="U3049" s="5">
        <f t="shared" si="950"/>
        <v>0</v>
      </c>
      <c r="V3049" s="5">
        <f t="shared" si="951"/>
        <v>0</v>
      </c>
      <c r="W3049" s="5">
        <f t="shared" si="952"/>
        <v>0</v>
      </c>
      <c r="X3049" s="5">
        <f t="shared" si="953"/>
        <v>0</v>
      </c>
      <c r="Y3049" s="5">
        <f t="shared" si="954"/>
        <v>0</v>
      </c>
      <c r="Z3049" s="5">
        <f t="shared" si="955"/>
        <v>0</v>
      </c>
      <c r="AA3049" s="5">
        <f t="shared" si="956"/>
        <v>0</v>
      </c>
      <c r="AB3049" s="5">
        <f t="shared" si="936"/>
        <v>0</v>
      </c>
    </row>
    <row r="3050" spans="4:28" x14ac:dyDescent="0.25">
      <c r="D3050" t="s">
        <v>88</v>
      </c>
      <c r="E3050" s="14"/>
      <c r="F3050" s="14"/>
      <c r="G3050">
        <f>IFERROR(HLOOKUP(G$2,[92]table_female_hkom1_inj.ill_X4!$A$1:$K$36,20,FALSE),0)</f>
        <v>0</v>
      </c>
      <c r="H3050">
        <f>IFERROR(HLOOKUP(H$2,[92]table_female_hkom1_inj.ill_X4!$A$1:$K$36,20,FALSE),0)</f>
        <v>0</v>
      </c>
      <c r="I3050">
        <f>IFERROR(HLOOKUP(I$2,[92]table_female_hkom1_inj.ill_X4!$A$1:$K$36,20,FALSE),0)</f>
        <v>0</v>
      </c>
      <c r="J3050">
        <f>IFERROR(HLOOKUP(J$2,[92]table_female_hkom1_inj.ill_X4!$A$1:$K$36,20,FALSE),0)</f>
        <v>0</v>
      </c>
      <c r="K3050">
        <f>IFERROR(HLOOKUP(K$2,[92]table_female_hkom1_inj.ill_X4!$A$1:$K$36,20,FALSE),0)</f>
        <v>0</v>
      </c>
      <c r="L3050">
        <f>IFERROR(HLOOKUP(L$2,[92]table_female_hkom1_inj.ill_X4!$A$1:$K$36,20,FALSE),0)</f>
        <v>0</v>
      </c>
      <c r="M3050">
        <f t="shared" si="948"/>
        <v>0</v>
      </c>
      <c r="S3050" t="s">
        <v>88</v>
      </c>
      <c r="T3050" s="5">
        <f t="shared" si="949"/>
        <v>0</v>
      </c>
      <c r="U3050" s="5">
        <f t="shared" si="950"/>
        <v>0</v>
      </c>
      <c r="V3050" s="5">
        <f t="shared" si="951"/>
        <v>0</v>
      </c>
      <c r="W3050" s="5">
        <f t="shared" si="952"/>
        <v>0</v>
      </c>
      <c r="X3050" s="5">
        <f t="shared" si="953"/>
        <v>0</v>
      </c>
      <c r="Y3050" s="5">
        <f t="shared" si="954"/>
        <v>0</v>
      </c>
      <c r="Z3050" s="5">
        <f t="shared" si="955"/>
        <v>0</v>
      </c>
      <c r="AA3050" s="5">
        <f t="shared" si="956"/>
        <v>0</v>
      </c>
      <c r="AB3050" s="5">
        <f t="shared" si="936"/>
        <v>0</v>
      </c>
    </row>
    <row r="3051" spans="4:28" x14ac:dyDescent="0.25">
      <c r="D3051" t="s">
        <v>89</v>
      </c>
      <c r="E3051" s="14"/>
      <c r="F3051" s="14"/>
      <c r="G3051">
        <f>IFERROR(HLOOKUP(G$2,[92]table_female_hkom1_inj.ill_X4!$A$1:$K$36,21,FALSE),0)</f>
        <v>0</v>
      </c>
      <c r="H3051">
        <f>IFERROR(HLOOKUP(H$2,[92]table_female_hkom1_inj.ill_X4!$A$1:$K$36,21,FALSE),0)</f>
        <v>0</v>
      </c>
      <c r="I3051">
        <f>IFERROR(HLOOKUP(I$2,[92]table_female_hkom1_inj.ill_X4!$A$1:$K$36,21,FALSE),0)</f>
        <v>0</v>
      </c>
      <c r="J3051">
        <f>IFERROR(HLOOKUP(J$2,[92]table_female_hkom1_inj.ill_X4!$A$1:$K$36,21,FALSE),0)</f>
        <v>0</v>
      </c>
      <c r="K3051">
        <f>IFERROR(HLOOKUP(K$2,[92]table_female_hkom1_inj.ill_X4!$A$1:$K$36,21,FALSE),0)</f>
        <v>0</v>
      </c>
      <c r="L3051">
        <f>IFERROR(HLOOKUP(L$2,[92]table_female_hkom1_inj.ill_X4!$A$1:$K$36,21,FALSE),0)</f>
        <v>0</v>
      </c>
      <c r="M3051">
        <f t="shared" si="948"/>
        <v>0</v>
      </c>
      <c r="S3051" t="s">
        <v>89</v>
      </c>
      <c r="T3051" s="5">
        <f t="shared" si="949"/>
        <v>0</v>
      </c>
      <c r="U3051" s="5">
        <f t="shared" si="950"/>
        <v>0</v>
      </c>
      <c r="V3051" s="5">
        <f t="shared" si="951"/>
        <v>0</v>
      </c>
      <c r="W3051" s="5">
        <f t="shared" si="952"/>
        <v>0</v>
      </c>
      <c r="X3051" s="5">
        <f t="shared" si="953"/>
        <v>0</v>
      </c>
      <c r="Y3051" s="5">
        <f t="shared" si="954"/>
        <v>0</v>
      </c>
      <c r="Z3051" s="5">
        <f t="shared" si="955"/>
        <v>0</v>
      </c>
      <c r="AA3051" s="5">
        <f t="shared" si="956"/>
        <v>0</v>
      </c>
      <c r="AB3051" s="5">
        <f t="shared" ref="AB3051:AB3114" si="957">SUM(T3051:AA3051)</f>
        <v>0</v>
      </c>
    </row>
    <row r="3052" spans="4:28" x14ac:dyDescent="0.25">
      <c r="D3052" t="s">
        <v>90</v>
      </c>
      <c r="E3052" s="14"/>
      <c r="F3052" s="14"/>
      <c r="G3052">
        <f>IFERROR(HLOOKUP(G$2,[92]table_female_hkom1_inj.ill_X4!$A$1:$K$36,22,FALSE),0)</f>
        <v>0</v>
      </c>
      <c r="H3052">
        <f>IFERROR(HLOOKUP(H$2,[92]table_female_hkom1_inj.ill_X4!$A$1:$K$36,22,FALSE),0)</f>
        <v>0</v>
      </c>
      <c r="I3052">
        <f>IFERROR(HLOOKUP(I$2,[92]table_female_hkom1_inj.ill_X4!$A$1:$K$36,22,FALSE),0)</f>
        <v>0</v>
      </c>
      <c r="J3052">
        <f>IFERROR(HLOOKUP(J$2,[92]table_female_hkom1_inj.ill_X4!$A$1:$K$36,22,FALSE),0)</f>
        <v>0</v>
      </c>
      <c r="K3052">
        <f>IFERROR(HLOOKUP(K$2,[92]table_female_hkom1_inj.ill_X4!$A$1:$K$36,22,FALSE),0)</f>
        <v>0</v>
      </c>
      <c r="L3052">
        <f>IFERROR(HLOOKUP(L$2,[92]table_female_hkom1_inj.ill_X4!$A$1:$K$36,22,FALSE),0)</f>
        <v>0</v>
      </c>
      <c r="M3052">
        <f t="shared" si="948"/>
        <v>0</v>
      </c>
      <c r="S3052" t="s">
        <v>90</v>
      </c>
      <c r="T3052" s="5">
        <f t="shared" si="949"/>
        <v>0</v>
      </c>
      <c r="U3052" s="5">
        <f t="shared" si="950"/>
        <v>0</v>
      </c>
      <c r="V3052" s="5">
        <f t="shared" si="951"/>
        <v>0</v>
      </c>
      <c r="W3052" s="5">
        <f t="shared" si="952"/>
        <v>0</v>
      </c>
      <c r="X3052" s="5">
        <f t="shared" si="953"/>
        <v>0</v>
      </c>
      <c r="Y3052" s="5">
        <f t="shared" si="954"/>
        <v>0</v>
      </c>
      <c r="Z3052" s="5">
        <f t="shared" si="955"/>
        <v>0</v>
      </c>
      <c r="AA3052" s="5">
        <f t="shared" si="956"/>
        <v>0</v>
      </c>
      <c r="AB3052" s="5">
        <f t="shared" si="957"/>
        <v>0</v>
      </c>
    </row>
    <row r="3053" spans="4:28" x14ac:dyDescent="0.25">
      <c r="D3053" t="s">
        <v>91</v>
      </c>
      <c r="E3053" s="14"/>
      <c r="F3053" s="14"/>
      <c r="G3053">
        <f>IFERROR(HLOOKUP(G$2,[92]table_female_hkom1_inj.ill_X4!$A$1:$K$36,23,FALSE),0)</f>
        <v>0</v>
      </c>
      <c r="H3053">
        <f>IFERROR(HLOOKUP(H$2,[92]table_female_hkom1_inj.ill_X4!$A$1:$K$36,23,FALSE),0)</f>
        <v>0</v>
      </c>
      <c r="I3053">
        <f>IFERROR(HLOOKUP(I$2,[92]table_female_hkom1_inj.ill_X4!$A$1:$K$36,23,FALSE),0)</f>
        <v>0</v>
      </c>
      <c r="J3053">
        <f>IFERROR(HLOOKUP(J$2,[92]table_female_hkom1_inj.ill_X4!$A$1:$K$36,23,FALSE),0)</f>
        <v>0</v>
      </c>
      <c r="K3053">
        <f>IFERROR(HLOOKUP(K$2,[92]table_female_hkom1_inj.ill_X4!$A$1:$K$36,23,FALSE),0)</f>
        <v>0</v>
      </c>
      <c r="L3053">
        <f>IFERROR(HLOOKUP(L$2,[92]table_female_hkom1_inj.ill_X4!$A$1:$K$36,23,FALSE),0)</f>
        <v>0</v>
      </c>
      <c r="M3053">
        <f t="shared" si="948"/>
        <v>0</v>
      </c>
      <c r="S3053" t="s">
        <v>91</v>
      </c>
      <c r="T3053" s="5">
        <f t="shared" si="949"/>
        <v>0</v>
      </c>
      <c r="U3053" s="5">
        <f t="shared" si="950"/>
        <v>0</v>
      </c>
      <c r="V3053" s="5">
        <f t="shared" si="951"/>
        <v>0</v>
      </c>
      <c r="W3053" s="5">
        <f t="shared" si="952"/>
        <v>0</v>
      </c>
      <c r="X3053" s="5">
        <f t="shared" si="953"/>
        <v>0</v>
      </c>
      <c r="Y3053" s="5">
        <f t="shared" si="954"/>
        <v>0</v>
      </c>
      <c r="Z3053" s="5">
        <f t="shared" si="955"/>
        <v>0</v>
      </c>
      <c r="AA3053" s="5">
        <f t="shared" si="956"/>
        <v>0</v>
      </c>
      <c r="AB3053" s="5">
        <f t="shared" si="957"/>
        <v>0</v>
      </c>
    </row>
    <row r="3054" spans="4:28" x14ac:dyDescent="0.25">
      <c r="D3054" t="s">
        <v>92</v>
      </c>
      <c r="E3054" s="14"/>
      <c r="F3054" s="14"/>
      <c r="G3054">
        <f>IFERROR(HLOOKUP(G$2,[92]table_female_hkom1_inj.ill_X4!$A$1:$K$36,24,FALSE),0)</f>
        <v>0</v>
      </c>
      <c r="H3054">
        <f>IFERROR(HLOOKUP(H$2,[92]table_female_hkom1_inj.ill_X4!$A$1:$K$36,24,FALSE),0)</f>
        <v>0</v>
      </c>
      <c r="I3054">
        <f>IFERROR(HLOOKUP(I$2,[92]table_female_hkom1_inj.ill_X4!$A$1:$K$36,24,FALSE),0)</f>
        <v>0</v>
      </c>
      <c r="J3054">
        <f>IFERROR(HLOOKUP(J$2,[92]table_female_hkom1_inj.ill_X4!$A$1:$K$36,24,FALSE),0)</f>
        <v>0</v>
      </c>
      <c r="K3054">
        <f>IFERROR(HLOOKUP(K$2,[92]table_female_hkom1_inj.ill_X4!$A$1:$K$36,24,FALSE),0)</f>
        <v>0</v>
      </c>
      <c r="L3054">
        <f>IFERROR(HLOOKUP(L$2,[92]table_female_hkom1_inj.ill_X4!$A$1:$K$36,24,FALSE),0)</f>
        <v>0</v>
      </c>
      <c r="M3054">
        <f t="shared" si="948"/>
        <v>0</v>
      </c>
      <c r="S3054" t="s">
        <v>92</v>
      </c>
      <c r="T3054" s="5">
        <f t="shared" si="949"/>
        <v>0</v>
      </c>
      <c r="U3054" s="5">
        <f t="shared" si="950"/>
        <v>0</v>
      </c>
      <c r="V3054" s="5">
        <f t="shared" si="951"/>
        <v>0</v>
      </c>
      <c r="W3054" s="5">
        <f t="shared" si="952"/>
        <v>0</v>
      </c>
      <c r="X3054" s="5">
        <f t="shared" si="953"/>
        <v>0</v>
      </c>
      <c r="Y3054" s="5">
        <f t="shared" si="954"/>
        <v>0</v>
      </c>
      <c r="Z3054" s="5">
        <f t="shared" si="955"/>
        <v>0</v>
      </c>
      <c r="AA3054" s="5">
        <f t="shared" si="956"/>
        <v>0</v>
      </c>
      <c r="AB3054" s="5">
        <f t="shared" si="957"/>
        <v>0</v>
      </c>
    </row>
    <row r="3055" spans="4:28" x14ac:dyDescent="0.25">
      <c r="D3055" t="s">
        <v>93</v>
      </c>
      <c r="E3055" s="14"/>
      <c r="F3055" s="14"/>
      <c r="G3055">
        <f>IFERROR(HLOOKUP(G$2,[92]table_female_hkom1_inj.ill_X4!$A$1:$K$36,25,FALSE),0)</f>
        <v>0</v>
      </c>
      <c r="H3055">
        <f>IFERROR(HLOOKUP(H$2,[92]table_female_hkom1_inj.ill_X4!$A$1:$K$36,25,FALSE),0)</f>
        <v>0</v>
      </c>
      <c r="I3055">
        <f>IFERROR(HLOOKUP(I$2,[92]table_female_hkom1_inj.ill_X4!$A$1:$K$36,25,FALSE),0)</f>
        <v>0</v>
      </c>
      <c r="J3055">
        <f>IFERROR(HLOOKUP(J$2,[92]table_female_hkom1_inj.ill_X4!$A$1:$K$36,25,FALSE),0)</f>
        <v>0</v>
      </c>
      <c r="K3055">
        <f>IFERROR(HLOOKUP(K$2,[92]table_female_hkom1_inj.ill_X4!$A$1:$K$36,25,FALSE),0)</f>
        <v>0</v>
      </c>
      <c r="L3055">
        <f>IFERROR(HLOOKUP(L$2,[92]table_female_hkom1_inj.ill_X4!$A$1:$K$36,25,FALSE),0)</f>
        <v>0</v>
      </c>
      <c r="M3055">
        <f t="shared" si="948"/>
        <v>0</v>
      </c>
      <c r="S3055" t="s">
        <v>93</v>
      </c>
      <c r="T3055" s="5">
        <f t="shared" si="949"/>
        <v>0</v>
      </c>
      <c r="U3055" s="5">
        <f t="shared" si="950"/>
        <v>0</v>
      </c>
      <c r="V3055" s="5">
        <f t="shared" si="951"/>
        <v>0</v>
      </c>
      <c r="W3055" s="5">
        <f t="shared" si="952"/>
        <v>0</v>
      </c>
      <c r="X3055" s="5">
        <f t="shared" si="953"/>
        <v>0</v>
      </c>
      <c r="Y3055" s="5">
        <f t="shared" si="954"/>
        <v>0</v>
      </c>
      <c r="Z3055" s="5">
        <f t="shared" si="955"/>
        <v>0</v>
      </c>
      <c r="AA3055" s="5">
        <f t="shared" si="956"/>
        <v>0</v>
      </c>
      <c r="AB3055" s="5">
        <f t="shared" si="957"/>
        <v>0</v>
      </c>
    </row>
    <row r="3056" spans="4:28" x14ac:dyDescent="0.25">
      <c r="D3056" t="s">
        <v>94</v>
      </c>
      <c r="E3056" s="14"/>
      <c r="F3056" s="14"/>
      <c r="G3056">
        <f>IFERROR(HLOOKUP(G$2,[92]table_female_hkom1_inj.ill_X4!$A$1:$K$36,26,FALSE),0)</f>
        <v>0</v>
      </c>
      <c r="H3056">
        <f>IFERROR(HLOOKUP(H$2,[92]table_female_hkom1_inj.ill_X4!$A$1:$K$36,26,FALSE),0)</f>
        <v>0</v>
      </c>
      <c r="I3056">
        <f>IFERROR(HLOOKUP(I$2,[92]table_female_hkom1_inj.ill_X4!$A$1:$K$36,26,FALSE),0)</f>
        <v>0</v>
      </c>
      <c r="J3056">
        <f>IFERROR(HLOOKUP(J$2,[92]table_female_hkom1_inj.ill_X4!$A$1:$K$36,26,FALSE),0)</f>
        <v>0</v>
      </c>
      <c r="K3056">
        <f>IFERROR(HLOOKUP(K$2,[92]table_female_hkom1_inj.ill_X4!$A$1:$K$36,26,FALSE),0)</f>
        <v>0</v>
      </c>
      <c r="L3056">
        <f>IFERROR(HLOOKUP(L$2,[92]table_female_hkom1_inj.ill_X4!$A$1:$K$36,26,FALSE),0)</f>
        <v>0</v>
      </c>
      <c r="M3056">
        <f t="shared" si="948"/>
        <v>0</v>
      </c>
      <c r="S3056" t="s">
        <v>94</v>
      </c>
      <c r="T3056" s="5">
        <f t="shared" si="949"/>
        <v>0</v>
      </c>
      <c r="U3056" s="5">
        <f t="shared" si="950"/>
        <v>0</v>
      </c>
      <c r="V3056" s="5">
        <f t="shared" si="951"/>
        <v>0</v>
      </c>
      <c r="W3056" s="5">
        <f t="shared" si="952"/>
        <v>0</v>
      </c>
      <c r="X3056" s="5">
        <f t="shared" si="953"/>
        <v>0</v>
      </c>
      <c r="Y3056" s="5">
        <f t="shared" si="954"/>
        <v>0</v>
      </c>
      <c r="Z3056" s="5">
        <f t="shared" si="955"/>
        <v>0</v>
      </c>
      <c r="AA3056" s="5">
        <f t="shared" si="956"/>
        <v>0</v>
      </c>
      <c r="AB3056" s="5">
        <f t="shared" si="957"/>
        <v>0</v>
      </c>
    </row>
    <row r="3057" spans="1:29" x14ac:dyDescent="0.25">
      <c r="D3057" t="s">
        <v>95</v>
      </c>
      <c r="E3057" s="14"/>
      <c r="F3057" s="14"/>
      <c r="G3057">
        <f>IFERROR(HLOOKUP(G$2,[92]table_female_hkom1_inj.ill_X4!$A$1:$K$36,27,FALSE),0)</f>
        <v>0</v>
      </c>
      <c r="H3057">
        <f>IFERROR(HLOOKUP(H$2,[92]table_female_hkom1_inj.ill_X4!$A$1:$K$36,27,FALSE),0)</f>
        <v>0</v>
      </c>
      <c r="I3057">
        <f>IFERROR(HLOOKUP(I$2,[92]table_female_hkom1_inj.ill_X4!$A$1:$K$36,27,FALSE),0)</f>
        <v>0</v>
      </c>
      <c r="J3057">
        <f>IFERROR(HLOOKUP(J$2,[92]table_female_hkom1_inj.ill_X4!$A$1:$K$36,27,FALSE),0)</f>
        <v>0</v>
      </c>
      <c r="K3057">
        <f>IFERROR(HLOOKUP(K$2,[92]table_female_hkom1_inj.ill_X4!$A$1:$K$36,27,FALSE),0)</f>
        <v>0</v>
      </c>
      <c r="L3057">
        <f>IFERROR(HLOOKUP(L$2,[92]table_female_hkom1_inj.ill_X4!$A$1:$K$36,27,FALSE),0)</f>
        <v>0</v>
      </c>
      <c r="M3057">
        <f t="shared" si="948"/>
        <v>0</v>
      </c>
      <c r="S3057" t="s">
        <v>95</v>
      </c>
      <c r="T3057" s="5">
        <f t="shared" si="949"/>
        <v>0</v>
      </c>
      <c r="U3057" s="5">
        <f t="shared" si="950"/>
        <v>0</v>
      </c>
      <c r="V3057" s="5">
        <f t="shared" si="951"/>
        <v>0</v>
      </c>
      <c r="W3057" s="5">
        <f t="shared" si="952"/>
        <v>0</v>
      </c>
      <c r="X3057" s="5">
        <f t="shared" si="953"/>
        <v>0</v>
      </c>
      <c r="Y3057" s="5">
        <f t="shared" si="954"/>
        <v>0</v>
      </c>
      <c r="Z3057" s="5">
        <f t="shared" si="955"/>
        <v>0</v>
      </c>
      <c r="AA3057" s="5">
        <f t="shared" si="956"/>
        <v>0</v>
      </c>
      <c r="AB3057" s="5">
        <f t="shared" si="957"/>
        <v>0</v>
      </c>
    </row>
    <row r="3058" spans="1:29" x14ac:dyDescent="0.25">
      <c r="D3058" t="s">
        <v>96</v>
      </c>
      <c r="E3058" s="14"/>
      <c r="F3058" s="14"/>
      <c r="G3058">
        <f>IFERROR(HLOOKUP(G$2,[92]table_female_hkom1_inj.ill_X4!$A$1:$K$36,28,FALSE),0)</f>
        <v>0</v>
      </c>
      <c r="H3058">
        <f>IFERROR(HLOOKUP(H$2,[92]table_female_hkom1_inj.ill_X4!$A$1:$K$36,28,FALSE),0)</f>
        <v>0</v>
      </c>
      <c r="I3058">
        <f>IFERROR(HLOOKUP(I$2,[92]table_female_hkom1_inj.ill_X4!$A$1:$K$36,28,FALSE),0)</f>
        <v>0</v>
      </c>
      <c r="J3058">
        <f>IFERROR(HLOOKUP(J$2,[92]table_female_hkom1_inj.ill_X4!$A$1:$K$36,28,FALSE),0)</f>
        <v>0</v>
      </c>
      <c r="K3058">
        <f>IFERROR(HLOOKUP(K$2,[92]table_female_hkom1_inj.ill_X4!$A$1:$K$36,28,FALSE),0)</f>
        <v>0</v>
      </c>
      <c r="L3058">
        <f>IFERROR(HLOOKUP(L$2,[92]table_female_hkom1_inj.ill_X4!$A$1:$K$36,28,FALSE),0)</f>
        <v>0</v>
      </c>
      <c r="M3058">
        <f t="shared" si="948"/>
        <v>0</v>
      </c>
      <c r="S3058" t="s">
        <v>96</v>
      </c>
      <c r="T3058" s="5">
        <f t="shared" si="949"/>
        <v>0</v>
      </c>
      <c r="U3058" s="5">
        <f t="shared" si="950"/>
        <v>0</v>
      </c>
      <c r="V3058" s="5">
        <f t="shared" si="951"/>
        <v>0</v>
      </c>
      <c r="W3058" s="5">
        <f t="shared" si="952"/>
        <v>0</v>
      </c>
      <c r="X3058" s="5">
        <f t="shared" si="953"/>
        <v>0</v>
      </c>
      <c r="Y3058" s="5">
        <f t="shared" si="954"/>
        <v>0</v>
      </c>
      <c r="Z3058" s="5">
        <f t="shared" si="955"/>
        <v>0</v>
      </c>
      <c r="AA3058" s="5">
        <f t="shared" si="956"/>
        <v>0</v>
      </c>
      <c r="AB3058" s="5">
        <f t="shared" si="957"/>
        <v>0</v>
      </c>
    </row>
    <row r="3059" spans="1:29" x14ac:dyDescent="0.25">
      <c r="D3059" t="s">
        <v>97</v>
      </c>
      <c r="E3059" s="14"/>
      <c r="F3059" s="14"/>
      <c r="G3059">
        <f>IFERROR(HLOOKUP(G$2,[92]table_female_hkom1_inj.ill_X4!$A$1:$K$36,29,FALSE),0)</f>
        <v>0</v>
      </c>
      <c r="H3059">
        <f>IFERROR(HLOOKUP(H$2,[92]table_female_hkom1_inj.ill_X4!$A$1:$K$36,29,FALSE),0)</f>
        <v>0</v>
      </c>
      <c r="I3059">
        <f>IFERROR(HLOOKUP(I$2,[92]table_female_hkom1_inj.ill_X4!$A$1:$K$36,29,FALSE),0)</f>
        <v>0</v>
      </c>
      <c r="J3059">
        <f>IFERROR(HLOOKUP(J$2,[92]table_female_hkom1_inj.ill_X4!$A$1:$K$36,29,FALSE),0)</f>
        <v>0</v>
      </c>
      <c r="K3059">
        <f>IFERROR(HLOOKUP(K$2,[92]table_female_hkom1_inj.ill_X4!$A$1:$K$36,29,FALSE),0)</f>
        <v>0</v>
      </c>
      <c r="L3059">
        <f>IFERROR(HLOOKUP(L$2,[92]table_female_hkom1_inj.ill_X4!$A$1:$K$36,29,FALSE),0)</f>
        <v>0</v>
      </c>
      <c r="M3059">
        <f t="shared" si="948"/>
        <v>0</v>
      </c>
      <c r="S3059" t="s">
        <v>97</v>
      </c>
      <c r="T3059" s="5">
        <f t="shared" si="949"/>
        <v>0</v>
      </c>
      <c r="U3059" s="5">
        <f t="shared" si="950"/>
        <v>0</v>
      </c>
      <c r="V3059" s="5">
        <f t="shared" si="951"/>
        <v>0</v>
      </c>
      <c r="W3059" s="5">
        <f t="shared" si="952"/>
        <v>0</v>
      </c>
      <c r="X3059" s="5">
        <f t="shared" si="953"/>
        <v>0</v>
      </c>
      <c r="Y3059" s="5">
        <f t="shared" si="954"/>
        <v>0</v>
      </c>
      <c r="Z3059" s="5">
        <f t="shared" si="955"/>
        <v>0</v>
      </c>
      <c r="AA3059" s="5">
        <f t="shared" si="956"/>
        <v>0</v>
      </c>
      <c r="AB3059" s="5">
        <f t="shared" si="957"/>
        <v>0</v>
      </c>
    </row>
    <row r="3060" spans="1:29" x14ac:dyDescent="0.25">
      <c r="D3060" t="s">
        <v>98</v>
      </c>
      <c r="E3060" s="14"/>
      <c r="F3060" s="14"/>
      <c r="G3060">
        <f>IFERROR(HLOOKUP(G$2,[92]table_female_hkom1_inj.ill_X4!$A$1:$K$36,30,FALSE),0)</f>
        <v>0</v>
      </c>
      <c r="H3060">
        <f>IFERROR(HLOOKUP(H$2,[92]table_female_hkom1_inj.ill_X4!$A$1:$K$36,30,FALSE),0)</f>
        <v>0</v>
      </c>
      <c r="I3060">
        <f>IFERROR(HLOOKUP(I$2,[92]table_female_hkom1_inj.ill_X4!$A$1:$K$36,30,FALSE),0)</f>
        <v>0</v>
      </c>
      <c r="J3060">
        <f>IFERROR(HLOOKUP(J$2,[92]table_female_hkom1_inj.ill_X4!$A$1:$K$36,30,FALSE),0)</f>
        <v>0</v>
      </c>
      <c r="K3060">
        <f>IFERROR(HLOOKUP(K$2,[92]table_female_hkom1_inj.ill_X4!$A$1:$K$36,30,FALSE),0)</f>
        <v>0</v>
      </c>
      <c r="L3060">
        <f>IFERROR(HLOOKUP(L$2,[92]table_female_hkom1_inj.ill_X4!$A$1:$K$36,30,FALSE),0)</f>
        <v>0</v>
      </c>
      <c r="M3060">
        <f t="shared" si="948"/>
        <v>0</v>
      </c>
      <c r="S3060" t="s">
        <v>98</v>
      </c>
      <c r="T3060" s="5">
        <f t="shared" si="949"/>
        <v>0</v>
      </c>
      <c r="U3060" s="5">
        <f t="shared" si="950"/>
        <v>0</v>
      </c>
      <c r="V3060" s="5">
        <f t="shared" si="951"/>
        <v>0</v>
      </c>
      <c r="W3060" s="5">
        <f t="shared" si="952"/>
        <v>0</v>
      </c>
      <c r="X3060" s="5">
        <f t="shared" si="953"/>
        <v>0</v>
      </c>
      <c r="Y3060" s="5">
        <f t="shared" si="954"/>
        <v>0</v>
      </c>
      <c r="Z3060" s="5">
        <f t="shared" si="955"/>
        <v>0</v>
      </c>
      <c r="AA3060" s="5">
        <f t="shared" si="956"/>
        <v>0</v>
      </c>
      <c r="AB3060" s="5">
        <f t="shared" si="957"/>
        <v>0</v>
      </c>
    </row>
    <row r="3061" spans="1:29" x14ac:dyDescent="0.25">
      <c r="D3061" t="s">
        <v>119</v>
      </c>
      <c r="E3061" s="14"/>
      <c r="F3061" s="14"/>
      <c r="G3061">
        <f>IFERROR(HLOOKUP(G$2,[92]table_female_hkom1_inj.ill_X4!$A$1:$K$36,31,FALSE),0)</f>
        <v>0</v>
      </c>
      <c r="H3061">
        <f>IFERROR(HLOOKUP(H$2,[92]table_female_hkom1_inj.ill_X4!$A$1:$K$36,31,FALSE),0)</f>
        <v>0</v>
      </c>
      <c r="I3061">
        <f>IFERROR(HLOOKUP(I$2,[92]table_female_hkom1_inj.ill_X4!$A$1:$K$36,31,FALSE),0)</f>
        <v>0</v>
      </c>
      <c r="J3061">
        <f>IFERROR(HLOOKUP(J$2,[92]table_female_hkom1_inj.ill_X4!$A$1:$K$36,31,FALSE),0)</f>
        <v>0</v>
      </c>
      <c r="K3061">
        <f>IFERROR(HLOOKUP(K$2,[92]table_female_hkom1_inj.ill_X4!$A$1:$K$36,31,FALSE),0)</f>
        <v>0</v>
      </c>
      <c r="L3061">
        <f>IFERROR(HLOOKUP(L$2,[92]table_female_hkom1_inj.ill_X4!$A$1:$K$36,31,FALSE),0)</f>
        <v>0</v>
      </c>
      <c r="M3061">
        <f t="shared" si="948"/>
        <v>0</v>
      </c>
      <c r="S3061" t="s">
        <v>119</v>
      </c>
      <c r="T3061" s="5">
        <f t="shared" si="949"/>
        <v>0</v>
      </c>
      <c r="U3061" s="5">
        <f t="shared" si="950"/>
        <v>0</v>
      </c>
      <c r="V3061" s="5">
        <f t="shared" si="951"/>
        <v>0</v>
      </c>
      <c r="W3061" s="5">
        <f t="shared" si="952"/>
        <v>0</v>
      </c>
      <c r="X3061" s="5">
        <f t="shared" si="953"/>
        <v>0</v>
      </c>
      <c r="Y3061" s="5">
        <f t="shared" si="954"/>
        <v>0</v>
      </c>
      <c r="Z3061" s="5">
        <f t="shared" si="955"/>
        <v>0</v>
      </c>
      <c r="AA3061" s="5">
        <f t="shared" si="956"/>
        <v>0</v>
      </c>
      <c r="AB3061" s="5">
        <f t="shared" si="957"/>
        <v>0</v>
      </c>
    </row>
    <row r="3062" spans="1:29" x14ac:dyDescent="0.25">
      <c r="D3062" t="s">
        <v>99</v>
      </c>
      <c r="E3062" s="14"/>
      <c r="F3062" s="14"/>
      <c r="G3062">
        <f>IFERROR(HLOOKUP(G$2,[92]table_female_hkom1_inj.ill_X4!$A$1:$K$36,32,FALSE),0)</f>
        <v>0</v>
      </c>
      <c r="H3062">
        <f>IFERROR(HLOOKUP(H$2,[92]table_female_hkom1_inj.ill_X4!$A$1:$K$36,32,FALSE),0)</f>
        <v>0</v>
      </c>
      <c r="I3062">
        <f>IFERROR(HLOOKUP(I$2,[92]table_female_hkom1_inj.ill_X4!$A$1:$K$36,32,FALSE),0)</f>
        <v>0</v>
      </c>
      <c r="J3062">
        <f>IFERROR(HLOOKUP(J$2,[92]table_female_hkom1_inj.ill_X4!$A$1:$K$36,32,FALSE),0)</f>
        <v>0</v>
      </c>
      <c r="K3062">
        <f>IFERROR(HLOOKUP(K$2,[92]table_female_hkom1_inj.ill_X4!$A$1:$K$36,32,FALSE),0)</f>
        <v>0</v>
      </c>
      <c r="L3062">
        <f>IFERROR(HLOOKUP(L$2,[92]table_female_hkom1_inj.ill_X4!$A$1:$K$36,32,FALSE),0)</f>
        <v>0</v>
      </c>
      <c r="M3062">
        <f t="shared" si="948"/>
        <v>0</v>
      </c>
      <c r="S3062" t="s">
        <v>99</v>
      </c>
      <c r="T3062" s="5">
        <f t="shared" si="949"/>
        <v>0</v>
      </c>
      <c r="U3062" s="5">
        <f t="shared" si="950"/>
        <v>0</v>
      </c>
      <c r="V3062" s="5">
        <f t="shared" si="951"/>
        <v>0</v>
      </c>
      <c r="W3062" s="5">
        <f t="shared" si="952"/>
        <v>0</v>
      </c>
      <c r="X3062" s="5">
        <f t="shared" si="953"/>
        <v>0</v>
      </c>
      <c r="Y3062" s="5">
        <f t="shared" si="954"/>
        <v>0</v>
      </c>
      <c r="Z3062" s="5">
        <f t="shared" si="955"/>
        <v>0</v>
      </c>
      <c r="AA3062" s="5">
        <f t="shared" si="956"/>
        <v>0</v>
      </c>
      <c r="AB3062" s="5">
        <f t="shared" si="957"/>
        <v>0</v>
      </c>
    </row>
    <row r="3063" spans="1:29" x14ac:dyDescent="0.25">
      <c r="D3063" t="s">
        <v>100</v>
      </c>
      <c r="E3063" s="14"/>
      <c r="F3063" s="14"/>
      <c r="G3063">
        <f>IFERROR(HLOOKUP(G$2,[92]table_female_hkom1_inj.ill_X4!$A$1:$K$36,33,FALSE),0)</f>
        <v>0</v>
      </c>
      <c r="H3063">
        <f>IFERROR(HLOOKUP(H$2,[92]table_female_hkom1_inj.ill_X4!$A$1:$K$36,33,FALSE),0)</f>
        <v>0</v>
      </c>
      <c r="I3063">
        <f>IFERROR(HLOOKUP(I$2,[92]table_female_hkom1_inj.ill_X4!$A$1:$K$36,33,FALSE),0)</f>
        <v>0</v>
      </c>
      <c r="J3063">
        <f>IFERROR(HLOOKUP(J$2,[92]table_female_hkom1_inj.ill_X4!$A$1:$K$36,33,FALSE),0)</f>
        <v>0</v>
      </c>
      <c r="K3063">
        <f>IFERROR(HLOOKUP(K$2,[92]table_female_hkom1_inj.ill_X4!$A$1:$K$36,33,FALSE),0)</f>
        <v>0</v>
      </c>
      <c r="L3063">
        <f>IFERROR(HLOOKUP(L$2,[92]table_female_hkom1_inj.ill_X4!$A$1:$K$36,33,FALSE),0)</f>
        <v>0</v>
      </c>
      <c r="M3063">
        <f t="shared" si="948"/>
        <v>0</v>
      </c>
      <c r="S3063" t="s">
        <v>100</v>
      </c>
      <c r="T3063" s="5">
        <f t="shared" si="949"/>
        <v>0</v>
      </c>
      <c r="U3063" s="5">
        <f t="shared" si="950"/>
        <v>0</v>
      </c>
      <c r="V3063" s="5">
        <f t="shared" si="951"/>
        <v>0</v>
      </c>
      <c r="W3063" s="5">
        <f t="shared" si="952"/>
        <v>0</v>
      </c>
      <c r="X3063" s="5">
        <f t="shared" si="953"/>
        <v>0</v>
      </c>
      <c r="Y3063" s="5">
        <f t="shared" si="954"/>
        <v>0</v>
      </c>
      <c r="Z3063" s="5">
        <f t="shared" si="955"/>
        <v>0</v>
      </c>
      <c r="AA3063" s="5">
        <f t="shared" si="956"/>
        <v>0</v>
      </c>
      <c r="AB3063" s="5">
        <f t="shared" si="957"/>
        <v>0</v>
      </c>
    </row>
    <row r="3064" spans="1:29" x14ac:dyDescent="0.25">
      <c r="D3064" t="s">
        <v>101</v>
      </c>
      <c r="E3064" s="14"/>
      <c r="F3064" s="14"/>
      <c r="G3064">
        <f>IFERROR(HLOOKUP(G$2,[92]table_female_hkom1_inj.ill_X4!$A$1:$K$36,34,FALSE),0)</f>
        <v>0</v>
      </c>
      <c r="H3064">
        <f>IFERROR(HLOOKUP(H$2,[92]table_female_hkom1_inj.ill_X4!$A$1:$K$36,34,FALSE),0)</f>
        <v>0</v>
      </c>
      <c r="I3064">
        <f>IFERROR(HLOOKUP(I$2,[92]table_female_hkom1_inj.ill_X4!$A$1:$K$36,34,FALSE),0)</f>
        <v>0</v>
      </c>
      <c r="J3064">
        <f>IFERROR(HLOOKUP(J$2,[92]table_female_hkom1_inj.ill_X4!$A$1:$K$36,34,FALSE),0)</f>
        <v>0</v>
      </c>
      <c r="K3064">
        <f>IFERROR(HLOOKUP(K$2,[92]table_female_hkom1_inj.ill_X4!$A$1:$K$36,34,FALSE),0)</f>
        <v>0</v>
      </c>
      <c r="L3064">
        <f>IFERROR(HLOOKUP(L$2,[92]table_female_hkom1_inj.ill_X4!$A$1:$K$36,34,FALSE),0)</f>
        <v>0</v>
      </c>
      <c r="M3064">
        <f t="shared" si="948"/>
        <v>0</v>
      </c>
      <c r="S3064" t="s">
        <v>101</v>
      </c>
      <c r="T3064" s="5">
        <f t="shared" si="949"/>
        <v>0</v>
      </c>
      <c r="U3064" s="5">
        <f t="shared" si="950"/>
        <v>0</v>
      </c>
      <c r="V3064" s="5">
        <f t="shared" si="951"/>
        <v>0</v>
      </c>
      <c r="W3064" s="5">
        <f t="shared" si="952"/>
        <v>0</v>
      </c>
      <c r="X3064" s="5">
        <f t="shared" si="953"/>
        <v>0</v>
      </c>
      <c r="Y3064" s="5">
        <f t="shared" si="954"/>
        <v>0</v>
      </c>
      <c r="Z3064" s="5">
        <f t="shared" si="955"/>
        <v>0</v>
      </c>
      <c r="AA3064" s="5">
        <f t="shared" si="956"/>
        <v>0</v>
      </c>
      <c r="AB3064" s="5">
        <f t="shared" si="957"/>
        <v>0</v>
      </c>
    </row>
    <row r="3065" spans="1:29" x14ac:dyDescent="0.25">
      <c r="D3065" t="s">
        <v>102</v>
      </c>
      <c r="E3065" s="14"/>
      <c r="F3065" s="14"/>
      <c r="G3065">
        <f>IFERROR(HLOOKUP(G$2,[92]table_female_hkom1_inj.ill_X4!$A$1:$K$36,35,FALSE),0)</f>
        <v>0</v>
      </c>
      <c r="H3065">
        <f>IFERROR(HLOOKUP(H$2,[92]table_female_hkom1_inj.ill_X4!$A$1:$K$36,35,FALSE),0)</f>
        <v>0</v>
      </c>
      <c r="I3065">
        <f>IFERROR(HLOOKUP(I$2,[92]table_female_hkom1_inj.ill_X4!$A$1:$K$36,35,FALSE),0)</f>
        <v>0</v>
      </c>
      <c r="J3065">
        <f>IFERROR(HLOOKUP(J$2,[92]table_female_hkom1_inj.ill_X4!$A$1:$K$36,35,FALSE),0)</f>
        <v>0</v>
      </c>
      <c r="K3065">
        <f>IFERROR(HLOOKUP(K$2,[92]table_female_hkom1_inj.ill_X4!$A$1:$K$36,35,FALSE),0)</f>
        <v>0</v>
      </c>
      <c r="L3065">
        <f>IFERROR(HLOOKUP(L$2,[92]table_female_hkom1_inj.ill_X4!$A$1:$K$36,35,FALSE),0)</f>
        <v>0</v>
      </c>
      <c r="M3065">
        <f t="shared" si="948"/>
        <v>0</v>
      </c>
      <c r="N3065">
        <f>SUM(M3032:M3065)</f>
        <v>0</v>
      </c>
      <c r="O3065" s="8">
        <f>SUM([92]table_female_hkom1_inj.ill_X4!$B$2:$L$37)</f>
        <v>0</v>
      </c>
      <c r="S3065" t="s">
        <v>102</v>
      </c>
      <c r="T3065" s="7"/>
      <c r="U3065" s="7"/>
      <c r="V3065" s="7"/>
      <c r="W3065" s="7"/>
      <c r="X3065" s="7"/>
      <c r="Y3065" s="7"/>
      <c r="Z3065" s="7"/>
      <c r="AA3065" s="7"/>
      <c r="AB3065" s="5">
        <f t="shared" si="957"/>
        <v>0</v>
      </c>
      <c r="AC3065" s="5">
        <f>SUM(AB3032:AB3064)</f>
        <v>0</v>
      </c>
    </row>
    <row r="3066" spans="1:29" x14ac:dyDescent="0.25">
      <c r="A3066" t="s">
        <v>115</v>
      </c>
      <c r="B3066" t="s">
        <v>103</v>
      </c>
      <c r="C3066" t="s">
        <v>127</v>
      </c>
      <c r="D3066" t="s">
        <v>70</v>
      </c>
      <c r="E3066" s="14"/>
      <c r="F3066" s="14"/>
      <c r="G3066">
        <f>IFERROR(HLOOKUP(G$2,[93]table_female_hkom1_inj.ill_X5!$A$1:$K$36,2,FALSE),0)</f>
        <v>0</v>
      </c>
      <c r="H3066">
        <f>IFERROR(HLOOKUP(H$2,[93]table_female_hkom1_inj.ill_X5!$A$1:$K$36,2,FALSE),0)</f>
        <v>0</v>
      </c>
      <c r="I3066">
        <f>IFERROR(HLOOKUP(I$2,[93]table_female_hkom1_inj.ill_X5!$A$1:$K$36,2,FALSE),0)</f>
        <v>0</v>
      </c>
      <c r="J3066">
        <f>IFERROR(HLOOKUP(J$2,[93]table_female_hkom1_inj.ill_X5!$A$1:$K$36,2,FALSE),0)</f>
        <v>0</v>
      </c>
      <c r="K3066">
        <f>IFERROR(HLOOKUP(K$2,[93]table_female_hkom1_inj.ill_X5!$A$1:$K$36,2,FALSE),0)</f>
        <v>0</v>
      </c>
      <c r="L3066">
        <f>IFERROR(HLOOKUP(L$2,[93]table_female_hkom1_inj.ill_X5!$A$1:$K$36,2,FALSE),0)</f>
        <v>0</v>
      </c>
      <c r="M3066">
        <f>SUM(E3066:L3066)</f>
        <v>0</v>
      </c>
      <c r="P3066" t="s">
        <v>115</v>
      </c>
      <c r="Q3066" t="s">
        <v>103</v>
      </c>
      <c r="R3066" t="s">
        <v>127</v>
      </c>
      <c r="S3066" t="s">
        <v>70</v>
      </c>
      <c r="T3066" s="5">
        <f>IF(SUM(E$3066:E$3098)=0,E$3099/33,E3066+IFERROR(E3066/SUM(E$3066:E$3098)*E$3099,0))</f>
        <v>0</v>
      </c>
      <c r="U3066" s="5">
        <f t="shared" ref="U3066:AA3066" si="958">IF(SUM(F$3066:F$3098)=0,F$3099/33,F3066+IFERROR(F3066/SUM(F$3066:F$3098)*F$3099,0))</f>
        <v>0</v>
      </c>
      <c r="V3066" s="5">
        <f t="shared" si="958"/>
        <v>0</v>
      </c>
      <c r="W3066" s="5">
        <f t="shared" si="958"/>
        <v>0</v>
      </c>
      <c r="X3066" s="5">
        <f t="shared" si="958"/>
        <v>0</v>
      </c>
      <c r="Y3066" s="5">
        <f t="shared" si="958"/>
        <v>0</v>
      </c>
      <c r="Z3066" s="5">
        <f t="shared" si="958"/>
        <v>0</v>
      </c>
      <c r="AA3066" s="5">
        <f t="shared" si="958"/>
        <v>0</v>
      </c>
      <c r="AB3066" s="5">
        <f t="shared" si="957"/>
        <v>0</v>
      </c>
    </row>
    <row r="3067" spans="1:29" x14ac:dyDescent="0.25">
      <c r="D3067" t="s">
        <v>71</v>
      </c>
      <c r="E3067" s="14"/>
      <c r="F3067" s="14"/>
      <c r="G3067">
        <f>IFERROR(HLOOKUP(G$2,[93]table_female_hkom1_inj.ill_X5!$A$1:$K$36,3,FALSE),0)</f>
        <v>0</v>
      </c>
      <c r="H3067">
        <f>IFERROR(HLOOKUP(H$2,[93]table_female_hkom1_inj.ill_X5!$A$1:$K$36,3,FALSE),0)</f>
        <v>0</v>
      </c>
      <c r="I3067">
        <f>IFERROR(HLOOKUP(I$2,[93]table_female_hkom1_inj.ill_X5!$A$1:$K$36,3,FALSE),0)</f>
        <v>0</v>
      </c>
      <c r="J3067">
        <f>IFERROR(HLOOKUP(J$2,[93]table_female_hkom1_inj.ill_X5!$A$1:$K$36,3,FALSE),0)</f>
        <v>0</v>
      </c>
      <c r="K3067">
        <f>IFERROR(HLOOKUP(K$2,[93]table_female_hkom1_inj.ill_X5!$A$1:$K$36,3,FALSE),0)</f>
        <v>0</v>
      </c>
      <c r="L3067">
        <f>IFERROR(HLOOKUP(L$2,[93]table_female_hkom1_inj.ill_X5!$A$1:$K$36,3,FALSE),0)</f>
        <v>0</v>
      </c>
      <c r="M3067">
        <f t="shared" ref="M3067:M3099" si="959">SUM(E3067:L3067)</f>
        <v>0</v>
      </c>
      <c r="S3067" t="s">
        <v>71</v>
      </c>
      <c r="T3067" s="5">
        <f t="shared" ref="T3067:T3098" si="960">IF(SUM(E$3066:E$3098)=0,E$3099/33,E3067+IFERROR(E3067/SUM(E$3066:E$3098)*E$3099,0))</f>
        <v>0</v>
      </c>
      <c r="U3067" s="5">
        <f t="shared" ref="U3067:U3098" si="961">IF(SUM(F$3066:F$3098)=0,F$3099/33,F3067+IFERROR(F3067/SUM(F$3066:F$3098)*F$3099,0))</f>
        <v>0</v>
      </c>
      <c r="V3067" s="5">
        <f t="shared" ref="V3067:V3098" si="962">IF(SUM(G$3066:G$3098)=0,G$3099/33,G3067+IFERROR(G3067/SUM(G$3066:G$3098)*G$3099,0))</f>
        <v>0</v>
      </c>
      <c r="W3067" s="5">
        <f t="shared" ref="W3067:W3098" si="963">IF(SUM(H$3066:H$3098)=0,H$3099/33,H3067+IFERROR(H3067/SUM(H$3066:H$3098)*H$3099,0))</f>
        <v>0</v>
      </c>
      <c r="X3067" s="5">
        <f t="shared" ref="X3067:X3098" si="964">IF(SUM(I$3066:I$3098)=0,I$3099/33,I3067+IFERROR(I3067/SUM(I$3066:I$3098)*I$3099,0))</f>
        <v>0</v>
      </c>
      <c r="Y3067" s="5">
        <f t="shared" ref="Y3067:Y3098" si="965">IF(SUM(J$3066:J$3098)=0,J$3099/33,J3067+IFERROR(J3067/SUM(J$3066:J$3098)*J$3099,0))</f>
        <v>0</v>
      </c>
      <c r="Z3067" s="5">
        <f t="shared" ref="Z3067:Z3098" si="966">IF(SUM(K$3066:K$3098)=0,K$3099/33,K3067+IFERROR(K3067/SUM(K$3066:K$3098)*K$3099,0))</f>
        <v>0</v>
      </c>
      <c r="AA3067" s="5">
        <f t="shared" ref="AA3067:AA3098" si="967">IF(SUM(L$3066:L$3098)=0,L$3099/33,L3067+IFERROR(L3067/SUM(L$3066:L$3098)*L$3099,0))</f>
        <v>0</v>
      </c>
      <c r="AB3067" s="5">
        <f t="shared" si="957"/>
        <v>0</v>
      </c>
    </row>
    <row r="3068" spans="1:29" x14ac:dyDescent="0.25">
      <c r="D3068" t="s">
        <v>72</v>
      </c>
      <c r="E3068" s="14"/>
      <c r="F3068" s="14"/>
      <c r="G3068">
        <f>IFERROR(HLOOKUP(G$2,[93]table_female_hkom1_inj.ill_X5!$A$1:$K$36,4,FALSE),0)</f>
        <v>0</v>
      </c>
      <c r="H3068">
        <f>IFERROR(HLOOKUP(H$2,[93]table_female_hkom1_inj.ill_X5!$A$1:$K$36,4,FALSE),0)</f>
        <v>0</v>
      </c>
      <c r="I3068">
        <f>IFERROR(HLOOKUP(I$2,[93]table_female_hkom1_inj.ill_X5!$A$1:$K$36,4,FALSE),0)</f>
        <v>0</v>
      </c>
      <c r="J3068">
        <f>IFERROR(HLOOKUP(J$2,[93]table_female_hkom1_inj.ill_X5!$A$1:$K$36,4,FALSE),0)</f>
        <v>0</v>
      </c>
      <c r="K3068">
        <f>IFERROR(HLOOKUP(K$2,[93]table_female_hkom1_inj.ill_X5!$A$1:$K$36,4,FALSE),0)</f>
        <v>0</v>
      </c>
      <c r="L3068">
        <f>IFERROR(HLOOKUP(L$2,[93]table_female_hkom1_inj.ill_X5!$A$1:$K$36,4,FALSE),0)</f>
        <v>0</v>
      </c>
      <c r="M3068">
        <f t="shared" si="959"/>
        <v>0</v>
      </c>
      <c r="S3068" t="s">
        <v>72</v>
      </c>
      <c r="T3068" s="5">
        <f t="shared" si="960"/>
        <v>0</v>
      </c>
      <c r="U3068" s="5">
        <f t="shared" si="961"/>
        <v>0</v>
      </c>
      <c r="V3068" s="5">
        <f t="shared" si="962"/>
        <v>0</v>
      </c>
      <c r="W3068" s="5">
        <f t="shared" si="963"/>
        <v>0</v>
      </c>
      <c r="X3068" s="5">
        <f t="shared" si="964"/>
        <v>0</v>
      </c>
      <c r="Y3068" s="5">
        <f t="shared" si="965"/>
        <v>0</v>
      </c>
      <c r="Z3068" s="5">
        <f t="shared" si="966"/>
        <v>0</v>
      </c>
      <c r="AA3068" s="5">
        <f t="shared" si="967"/>
        <v>0</v>
      </c>
      <c r="AB3068" s="5">
        <f t="shared" si="957"/>
        <v>0</v>
      </c>
    </row>
    <row r="3069" spans="1:29" x14ac:dyDescent="0.25">
      <c r="D3069" t="s">
        <v>73</v>
      </c>
      <c r="E3069" s="14"/>
      <c r="F3069" s="14"/>
      <c r="G3069">
        <f>IFERROR(HLOOKUP(G$2,[93]table_female_hkom1_inj.ill_X5!$A$1:$K$36,5,FALSE),0)</f>
        <v>0</v>
      </c>
      <c r="H3069">
        <f>IFERROR(HLOOKUP(H$2,[93]table_female_hkom1_inj.ill_X5!$A$1:$K$36,5,FALSE),0)</f>
        <v>0</v>
      </c>
      <c r="I3069">
        <f>IFERROR(HLOOKUP(I$2,[93]table_female_hkom1_inj.ill_X5!$A$1:$K$36,5,FALSE),0)</f>
        <v>0</v>
      </c>
      <c r="J3069">
        <f>IFERROR(HLOOKUP(J$2,[93]table_female_hkom1_inj.ill_X5!$A$1:$K$36,5,FALSE),0)</f>
        <v>0</v>
      </c>
      <c r="K3069">
        <f>IFERROR(HLOOKUP(K$2,[93]table_female_hkom1_inj.ill_X5!$A$1:$K$36,5,FALSE),0)</f>
        <v>0</v>
      </c>
      <c r="L3069">
        <f>IFERROR(HLOOKUP(L$2,[93]table_female_hkom1_inj.ill_X5!$A$1:$K$36,5,FALSE),0)</f>
        <v>0</v>
      </c>
      <c r="M3069">
        <f t="shared" si="959"/>
        <v>0</v>
      </c>
      <c r="S3069" t="s">
        <v>73</v>
      </c>
      <c r="T3069" s="5">
        <f t="shared" si="960"/>
        <v>0</v>
      </c>
      <c r="U3069" s="5">
        <f t="shared" si="961"/>
        <v>0</v>
      </c>
      <c r="V3069" s="5">
        <f t="shared" si="962"/>
        <v>0</v>
      </c>
      <c r="W3069" s="5">
        <f t="shared" si="963"/>
        <v>0</v>
      </c>
      <c r="X3069" s="5">
        <f t="shared" si="964"/>
        <v>0</v>
      </c>
      <c r="Y3069" s="5">
        <f t="shared" si="965"/>
        <v>0</v>
      </c>
      <c r="Z3069" s="5">
        <f t="shared" si="966"/>
        <v>0</v>
      </c>
      <c r="AA3069" s="5">
        <f t="shared" si="967"/>
        <v>0</v>
      </c>
      <c r="AB3069" s="5">
        <f t="shared" si="957"/>
        <v>0</v>
      </c>
    </row>
    <row r="3070" spans="1:29" x14ac:dyDescent="0.25">
      <c r="D3070" t="s">
        <v>74</v>
      </c>
      <c r="E3070" s="14"/>
      <c r="F3070" s="14"/>
      <c r="G3070">
        <f>IFERROR(HLOOKUP(G$2,[93]table_female_hkom1_inj.ill_X5!$A$1:$K$36,6,FALSE),0)</f>
        <v>0</v>
      </c>
      <c r="H3070">
        <f>IFERROR(HLOOKUP(H$2,[93]table_female_hkom1_inj.ill_X5!$A$1:$K$36,6,FALSE),0)</f>
        <v>0</v>
      </c>
      <c r="I3070">
        <f>IFERROR(HLOOKUP(I$2,[93]table_female_hkom1_inj.ill_X5!$A$1:$K$36,6,FALSE),0)</f>
        <v>0</v>
      </c>
      <c r="J3070">
        <f>IFERROR(HLOOKUP(J$2,[93]table_female_hkom1_inj.ill_X5!$A$1:$K$36,6,FALSE),0)</f>
        <v>0</v>
      </c>
      <c r="K3070">
        <f>IFERROR(HLOOKUP(K$2,[93]table_female_hkom1_inj.ill_X5!$A$1:$K$36,6,FALSE),0)</f>
        <v>0</v>
      </c>
      <c r="L3070">
        <f>IFERROR(HLOOKUP(L$2,[93]table_female_hkom1_inj.ill_X5!$A$1:$K$36,6,FALSE),0)</f>
        <v>0</v>
      </c>
      <c r="M3070">
        <f t="shared" si="959"/>
        <v>0</v>
      </c>
      <c r="S3070" t="s">
        <v>74</v>
      </c>
      <c r="T3070" s="5">
        <f t="shared" si="960"/>
        <v>0</v>
      </c>
      <c r="U3070" s="5">
        <f t="shared" si="961"/>
        <v>0</v>
      </c>
      <c r="V3070" s="5">
        <f t="shared" si="962"/>
        <v>0</v>
      </c>
      <c r="W3070" s="5">
        <f t="shared" si="963"/>
        <v>0</v>
      </c>
      <c r="X3070" s="5">
        <f t="shared" si="964"/>
        <v>0</v>
      </c>
      <c r="Y3070" s="5">
        <f t="shared" si="965"/>
        <v>0</v>
      </c>
      <c r="Z3070" s="5">
        <f t="shared" si="966"/>
        <v>0</v>
      </c>
      <c r="AA3070" s="5">
        <f t="shared" si="967"/>
        <v>0</v>
      </c>
      <c r="AB3070" s="5">
        <f t="shared" si="957"/>
        <v>0</v>
      </c>
    </row>
    <row r="3071" spans="1:29" x14ac:dyDescent="0.25">
      <c r="D3071" t="s">
        <v>75</v>
      </c>
      <c r="E3071" s="14"/>
      <c r="F3071" s="14"/>
      <c r="G3071">
        <f>IFERROR(HLOOKUP(G$2,[93]table_female_hkom1_inj.ill_X5!$A$1:$K$36,7,FALSE),0)</f>
        <v>0</v>
      </c>
      <c r="H3071">
        <f>IFERROR(HLOOKUP(H$2,[93]table_female_hkom1_inj.ill_X5!$A$1:$K$36,7,FALSE),0)</f>
        <v>0</v>
      </c>
      <c r="I3071">
        <f>IFERROR(HLOOKUP(I$2,[93]table_female_hkom1_inj.ill_X5!$A$1:$K$36,7,FALSE),0)</f>
        <v>0</v>
      </c>
      <c r="J3071">
        <f>IFERROR(HLOOKUP(J$2,[93]table_female_hkom1_inj.ill_X5!$A$1:$K$36,7,FALSE),0)</f>
        <v>0</v>
      </c>
      <c r="K3071">
        <f>IFERROR(HLOOKUP(K$2,[93]table_female_hkom1_inj.ill_X5!$A$1:$K$36,7,FALSE),0)</f>
        <v>0</v>
      </c>
      <c r="L3071">
        <f>IFERROR(HLOOKUP(L$2,[93]table_female_hkom1_inj.ill_X5!$A$1:$K$36,7,FALSE),0)</f>
        <v>0</v>
      </c>
      <c r="M3071">
        <f t="shared" si="959"/>
        <v>0</v>
      </c>
      <c r="S3071" t="s">
        <v>75</v>
      </c>
      <c r="T3071" s="5">
        <f t="shared" si="960"/>
        <v>0</v>
      </c>
      <c r="U3071" s="5">
        <f t="shared" si="961"/>
        <v>0</v>
      </c>
      <c r="V3071" s="5">
        <f t="shared" si="962"/>
        <v>0</v>
      </c>
      <c r="W3071" s="5">
        <f t="shared" si="963"/>
        <v>0</v>
      </c>
      <c r="X3071" s="5">
        <f t="shared" si="964"/>
        <v>0</v>
      </c>
      <c r="Y3071" s="5">
        <f t="shared" si="965"/>
        <v>0</v>
      </c>
      <c r="Z3071" s="5">
        <f t="shared" si="966"/>
        <v>0</v>
      </c>
      <c r="AA3071" s="5">
        <f t="shared" si="967"/>
        <v>0</v>
      </c>
      <c r="AB3071" s="5">
        <f t="shared" si="957"/>
        <v>0</v>
      </c>
    </row>
    <row r="3072" spans="1:29" x14ac:dyDescent="0.25">
      <c r="D3072" t="s">
        <v>76</v>
      </c>
      <c r="E3072" s="14"/>
      <c r="F3072" s="14"/>
      <c r="G3072">
        <f>IFERROR(HLOOKUP(G$2,[93]table_female_hkom1_inj.ill_X5!$A$1:$K$36,8,FALSE),0)</f>
        <v>0</v>
      </c>
      <c r="H3072">
        <f>IFERROR(HLOOKUP(H$2,[93]table_female_hkom1_inj.ill_X5!$A$1:$K$36,8,FALSE),0)</f>
        <v>0</v>
      </c>
      <c r="I3072">
        <f>IFERROR(HLOOKUP(I$2,[93]table_female_hkom1_inj.ill_X5!$A$1:$K$36,8,FALSE),0)</f>
        <v>0</v>
      </c>
      <c r="J3072">
        <f>IFERROR(HLOOKUP(J$2,[93]table_female_hkom1_inj.ill_X5!$A$1:$K$36,8,FALSE),0)</f>
        <v>0</v>
      </c>
      <c r="K3072">
        <f>IFERROR(HLOOKUP(K$2,[93]table_female_hkom1_inj.ill_X5!$A$1:$K$36,8,FALSE),0)</f>
        <v>0</v>
      </c>
      <c r="L3072">
        <f>IFERROR(HLOOKUP(L$2,[93]table_female_hkom1_inj.ill_X5!$A$1:$K$36,8,FALSE),0)</f>
        <v>0</v>
      </c>
      <c r="M3072">
        <f t="shared" si="959"/>
        <v>0</v>
      </c>
      <c r="S3072" t="s">
        <v>76</v>
      </c>
      <c r="T3072" s="5">
        <f t="shared" si="960"/>
        <v>0</v>
      </c>
      <c r="U3072" s="5">
        <f t="shared" si="961"/>
        <v>0</v>
      </c>
      <c r="V3072" s="5">
        <f t="shared" si="962"/>
        <v>0</v>
      </c>
      <c r="W3072" s="5">
        <f t="shared" si="963"/>
        <v>0</v>
      </c>
      <c r="X3072" s="5">
        <f t="shared" si="964"/>
        <v>0</v>
      </c>
      <c r="Y3072" s="5">
        <f t="shared" si="965"/>
        <v>0</v>
      </c>
      <c r="Z3072" s="5">
        <f t="shared" si="966"/>
        <v>0</v>
      </c>
      <c r="AA3072" s="5">
        <f t="shared" si="967"/>
        <v>0</v>
      </c>
      <c r="AB3072" s="5">
        <f t="shared" si="957"/>
        <v>0</v>
      </c>
    </row>
    <row r="3073" spans="4:28" x14ac:dyDescent="0.25">
      <c r="D3073" t="s">
        <v>77</v>
      </c>
      <c r="E3073" s="14"/>
      <c r="F3073" s="14"/>
      <c r="G3073">
        <f>IFERROR(HLOOKUP(G$2,[93]table_female_hkom1_inj.ill_X5!$A$1:$K$36,9,FALSE),0)</f>
        <v>0</v>
      </c>
      <c r="H3073">
        <f>IFERROR(HLOOKUP(H$2,[93]table_female_hkom1_inj.ill_X5!$A$1:$K$36,9,FALSE),0)</f>
        <v>0</v>
      </c>
      <c r="I3073">
        <f>IFERROR(HLOOKUP(I$2,[93]table_female_hkom1_inj.ill_X5!$A$1:$K$36,9,FALSE),0)</f>
        <v>0</v>
      </c>
      <c r="J3073">
        <f>IFERROR(HLOOKUP(J$2,[93]table_female_hkom1_inj.ill_X5!$A$1:$K$36,9,FALSE),0)</f>
        <v>0</v>
      </c>
      <c r="K3073">
        <f>IFERROR(HLOOKUP(K$2,[93]table_female_hkom1_inj.ill_X5!$A$1:$K$36,9,FALSE),0)</f>
        <v>0</v>
      </c>
      <c r="L3073">
        <f>IFERROR(HLOOKUP(L$2,[93]table_female_hkom1_inj.ill_X5!$A$1:$K$36,9,FALSE),0)</f>
        <v>0</v>
      </c>
      <c r="M3073">
        <f t="shared" si="959"/>
        <v>0</v>
      </c>
      <c r="S3073" t="s">
        <v>77</v>
      </c>
      <c r="T3073" s="5">
        <f t="shared" si="960"/>
        <v>0</v>
      </c>
      <c r="U3073" s="5">
        <f t="shared" si="961"/>
        <v>0</v>
      </c>
      <c r="V3073" s="5">
        <f t="shared" si="962"/>
        <v>0</v>
      </c>
      <c r="W3073" s="5">
        <f t="shared" si="963"/>
        <v>0</v>
      </c>
      <c r="X3073" s="5">
        <f t="shared" si="964"/>
        <v>0</v>
      </c>
      <c r="Y3073" s="5">
        <f t="shared" si="965"/>
        <v>0</v>
      </c>
      <c r="Z3073" s="5">
        <f t="shared" si="966"/>
        <v>0</v>
      </c>
      <c r="AA3073" s="5">
        <f t="shared" si="967"/>
        <v>0</v>
      </c>
      <c r="AB3073" s="5">
        <f t="shared" si="957"/>
        <v>0</v>
      </c>
    </row>
    <row r="3074" spans="4:28" x14ac:dyDescent="0.25">
      <c r="D3074" t="s">
        <v>78</v>
      </c>
      <c r="E3074" s="14"/>
      <c r="F3074" s="14"/>
      <c r="G3074">
        <f>IFERROR(HLOOKUP(G$2,[93]table_female_hkom1_inj.ill_X5!$A$1:$K$36,10,FALSE),0)</f>
        <v>0</v>
      </c>
      <c r="H3074">
        <f>IFERROR(HLOOKUP(H$2,[93]table_female_hkom1_inj.ill_X5!$A$1:$K$36,10,FALSE),0)</f>
        <v>0</v>
      </c>
      <c r="I3074">
        <f>IFERROR(HLOOKUP(I$2,[93]table_female_hkom1_inj.ill_X5!$A$1:$K$36,10,FALSE),0)</f>
        <v>0</v>
      </c>
      <c r="J3074">
        <f>IFERROR(HLOOKUP(J$2,[93]table_female_hkom1_inj.ill_X5!$A$1:$K$36,10,FALSE),0)</f>
        <v>0</v>
      </c>
      <c r="K3074">
        <f>IFERROR(HLOOKUP(K$2,[93]table_female_hkom1_inj.ill_X5!$A$1:$K$36,10,FALSE),0)</f>
        <v>0</v>
      </c>
      <c r="L3074">
        <f>IFERROR(HLOOKUP(L$2,[93]table_female_hkom1_inj.ill_X5!$A$1:$K$36,10,FALSE),0)</f>
        <v>0</v>
      </c>
      <c r="M3074">
        <f t="shared" si="959"/>
        <v>0</v>
      </c>
      <c r="S3074" t="s">
        <v>78</v>
      </c>
      <c r="T3074" s="5">
        <f t="shared" si="960"/>
        <v>0</v>
      </c>
      <c r="U3074" s="5">
        <f t="shared" si="961"/>
        <v>0</v>
      </c>
      <c r="V3074" s="5">
        <f t="shared" si="962"/>
        <v>0</v>
      </c>
      <c r="W3074" s="5">
        <f t="shared" si="963"/>
        <v>0</v>
      </c>
      <c r="X3074" s="5">
        <f t="shared" si="964"/>
        <v>0</v>
      </c>
      <c r="Y3074" s="5">
        <f t="shared" si="965"/>
        <v>0</v>
      </c>
      <c r="Z3074" s="5">
        <f t="shared" si="966"/>
        <v>0</v>
      </c>
      <c r="AA3074" s="5">
        <f t="shared" si="967"/>
        <v>0</v>
      </c>
      <c r="AB3074" s="5">
        <f t="shared" si="957"/>
        <v>0</v>
      </c>
    </row>
    <row r="3075" spans="4:28" x14ac:dyDescent="0.25">
      <c r="D3075" t="s">
        <v>79</v>
      </c>
      <c r="E3075" s="14"/>
      <c r="F3075" s="14"/>
      <c r="G3075">
        <f>IFERROR(HLOOKUP(G$2,[93]table_female_hkom1_inj.ill_X5!$A$1:$K$36,11,FALSE),0)</f>
        <v>0</v>
      </c>
      <c r="H3075">
        <f>IFERROR(HLOOKUP(H$2,[93]table_female_hkom1_inj.ill_X5!$A$1:$K$36,11,FALSE),0)</f>
        <v>0</v>
      </c>
      <c r="I3075">
        <f>IFERROR(HLOOKUP(I$2,[93]table_female_hkom1_inj.ill_X5!$A$1:$K$36,11,FALSE),0)</f>
        <v>0</v>
      </c>
      <c r="J3075">
        <f>IFERROR(HLOOKUP(J$2,[93]table_female_hkom1_inj.ill_X5!$A$1:$K$36,11,FALSE),0)</f>
        <v>0</v>
      </c>
      <c r="K3075">
        <f>IFERROR(HLOOKUP(K$2,[93]table_female_hkom1_inj.ill_X5!$A$1:$K$36,11,FALSE),0)</f>
        <v>0</v>
      </c>
      <c r="L3075">
        <f>IFERROR(HLOOKUP(L$2,[93]table_female_hkom1_inj.ill_X5!$A$1:$K$36,11,FALSE),0)</f>
        <v>0</v>
      </c>
      <c r="M3075">
        <f t="shared" si="959"/>
        <v>0</v>
      </c>
      <c r="S3075" t="s">
        <v>79</v>
      </c>
      <c r="T3075" s="5">
        <f t="shared" si="960"/>
        <v>0</v>
      </c>
      <c r="U3075" s="5">
        <f t="shared" si="961"/>
        <v>0</v>
      </c>
      <c r="V3075" s="5">
        <f t="shared" si="962"/>
        <v>0</v>
      </c>
      <c r="W3075" s="5">
        <f t="shared" si="963"/>
        <v>0</v>
      </c>
      <c r="X3075" s="5">
        <f t="shared" si="964"/>
        <v>0</v>
      </c>
      <c r="Y3075" s="5">
        <f t="shared" si="965"/>
        <v>0</v>
      </c>
      <c r="Z3075" s="5">
        <f t="shared" si="966"/>
        <v>0</v>
      </c>
      <c r="AA3075" s="5">
        <f t="shared" si="967"/>
        <v>0</v>
      </c>
      <c r="AB3075" s="5">
        <f t="shared" si="957"/>
        <v>0</v>
      </c>
    </row>
    <row r="3076" spans="4:28" x14ac:dyDescent="0.25">
      <c r="D3076" t="s">
        <v>80</v>
      </c>
      <c r="E3076" s="14"/>
      <c r="F3076" s="14"/>
      <c r="G3076">
        <f>IFERROR(HLOOKUP(G$2,[93]table_female_hkom1_inj.ill_X5!$A$1:$K$36,12,FALSE),0)</f>
        <v>0</v>
      </c>
      <c r="H3076">
        <f>IFERROR(HLOOKUP(H$2,[93]table_female_hkom1_inj.ill_X5!$A$1:$K$36,12,FALSE),0)</f>
        <v>0</v>
      </c>
      <c r="I3076">
        <f>IFERROR(HLOOKUP(I$2,[93]table_female_hkom1_inj.ill_X5!$A$1:$K$36,12,FALSE),0)</f>
        <v>0</v>
      </c>
      <c r="J3076">
        <f>IFERROR(HLOOKUP(J$2,[93]table_female_hkom1_inj.ill_X5!$A$1:$K$36,12,FALSE),0)</f>
        <v>0</v>
      </c>
      <c r="K3076">
        <f>IFERROR(HLOOKUP(K$2,[93]table_female_hkom1_inj.ill_X5!$A$1:$K$36,12,FALSE),0)</f>
        <v>0</v>
      </c>
      <c r="L3076">
        <f>IFERROR(HLOOKUP(L$2,[93]table_female_hkom1_inj.ill_X5!$A$1:$K$36,12,FALSE),0)</f>
        <v>0</v>
      </c>
      <c r="M3076">
        <f t="shared" si="959"/>
        <v>0</v>
      </c>
      <c r="S3076" t="s">
        <v>80</v>
      </c>
      <c r="T3076" s="5">
        <f t="shared" si="960"/>
        <v>0</v>
      </c>
      <c r="U3076" s="5">
        <f t="shared" si="961"/>
        <v>0</v>
      </c>
      <c r="V3076" s="5">
        <f t="shared" si="962"/>
        <v>0</v>
      </c>
      <c r="W3076" s="5">
        <f t="shared" si="963"/>
        <v>0</v>
      </c>
      <c r="X3076" s="5">
        <f t="shared" si="964"/>
        <v>0</v>
      </c>
      <c r="Y3076" s="5">
        <f t="shared" si="965"/>
        <v>0</v>
      </c>
      <c r="Z3076" s="5">
        <f t="shared" si="966"/>
        <v>0</v>
      </c>
      <c r="AA3076" s="5">
        <f t="shared" si="967"/>
        <v>0</v>
      </c>
      <c r="AB3076" s="5">
        <f t="shared" si="957"/>
        <v>0</v>
      </c>
    </row>
    <row r="3077" spans="4:28" x14ac:dyDescent="0.25">
      <c r="D3077" t="s">
        <v>81</v>
      </c>
      <c r="E3077" s="14"/>
      <c r="F3077" s="14"/>
      <c r="G3077">
        <f>IFERROR(HLOOKUP(G$2,[93]table_female_hkom1_inj.ill_X5!$A$1:$K$36,13,FALSE),0)</f>
        <v>0</v>
      </c>
      <c r="H3077">
        <f>IFERROR(HLOOKUP(H$2,[93]table_female_hkom1_inj.ill_X5!$A$1:$K$36,13,FALSE),0)</f>
        <v>0</v>
      </c>
      <c r="I3077">
        <f>IFERROR(HLOOKUP(I$2,[93]table_female_hkom1_inj.ill_X5!$A$1:$K$36,13,FALSE),0)</f>
        <v>0</v>
      </c>
      <c r="J3077">
        <f>IFERROR(HLOOKUP(J$2,[93]table_female_hkom1_inj.ill_X5!$A$1:$K$36,13,FALSE),0)</f>
        <v>0</v>
      </c>
      <c r="K3077">
        <f>IFERROR(HLOOKUP(K$2,[93]table_female_hkom1_inj.ill_X5!$A$1:$K$36,13,FALSE),0)</f>
        <v>0</v>
      </c>
      <c r="L3077">
        <f>IFERROR(HLOOKUP(L$2,[93]table_female_hkom1_inj.ill_X5!$A$1:$K$36,13,FALSE),0)</f>
        <v>0</v>
      </c>
      <c r="M3077">
        <f t="shared" si="959"/>
        <v>0</v>
      </c>
      <c r="S3077" t="s">
        <v>81</v>
      </c>
      <c r="T3077" s="5">
        <f t="shared" si="960"/>
        <v>0</v>
      </c>
      <c r="U3077" s="5">
        <f t="shared" si="961"/>
        <v>0</v>
      </c>
      <c r="V3077" s="5">
        <f t="shared" si="962"/>
        <v>0</v>
      </c>
      <c r="W3077" s="5">
        <f t="shared" si="963"/>
        <v>0</v>
      </c>
      <c r="X3077" s="5">
        <f t="shared" si="964"/>
        <v>0</v>
      </c>
      <c r="Y3077" s="5">
        <f t="shared" si="965"/>
        <v>0</v>
      </c>
      <c r="Z3077" s="5">
        <f t="shared" si="966"/>
        <v>0</v>
      </c>
      <c r="AA3077" s="5">
        <f t="shared" si="967"/>
        <v>0</v>
      </c>
      <c r="AB3077" s="5">
        <f t="shared" si="957"/>
        <v>0</v>
      </c>
    </row>
    <row r="3078" spans="4:28" x14ac:dyDescent="0.25">
      <c r="D3078" t="s">
        <v>82</v>
      </c>
      <c r="E3078" s="14"/>
      <c r="F3078" s="14"/>
      <c r="G3078">
        <f>IFERROR(HLOOKUP(G$2,[93]table_female_hkom1_inj.ill_X5!$A$1:$K$36,14,FALSE),0)</f>
        <v>0</v>
      </c>
      <c r="H3078">
        <f>IFERROR(HLOOKUP(H$2,[93]table_female_hkom1_inj.ill_X5!$A$1:$K$36,14,FALSE),0)</f>
        <v>0</v>
      </c>
      <c r="I3078">
        <f>IFERROR(HLOOKUP(I$2,[93]table_female_hkom1_inj.ill_X5!$A$1:$K$36,14,FALSE),0)</f>
        <v>0</v>
      </c>
      <c r="J3078">
        <f>IFERROR(HLOOKUP(J$2,[93]table_female_hkom1_inj.ill_X5!$A$1:$K$36,14,FALSE),0)</f>
        <v>0</v>
      </c>
      <c r="K3078">
        <f>IFERROR(HLOOKUP(K$2,[93]table_female_hkom1_inj.ill_X5!$A$1:$K$36,14,FALSE),0)</f>
        <v>0</v>
      </c>
      <c r="L3078">
        <f>IFERROR(HLOOKUP(L$2,[93]table_female_hkom1_inj.ill_X5!$A$1:$K$36,14,FALSE),0)</f>
        <v>0</v>
      </c>
      <c r="M3078">
        <f t="shared" si="959"/>
        <v>0</v>
      </c>
      <c r="S3078" t="s">
        <v>82</v>
      </c>
      <c r="T3078" s="5">
        <f t="shared" si="960"/>
        <v>0</v>
      </c>
      <c r="U3078" s="5">
        <f t="shared" si="961"/>
        <v>0</v>
      </c>
      <c r="V3078" s="5">
        <f t="shared" si="962"/>
        <v>0</v>
      </c>
      <c r="W3078" s="5">
        <f t="shared" si="963"/>
        <v>0</v>
      </c>
      <c r="X3078" s="5">
        <f t="shared" si="964"/>
        <v>0</v>
      </c>
      <c r="Y3078" s="5">
        <f t="shared" si="965"/>
        <v>0</v>
      </c>
      <c r="Z3078" s="5">
        <f t="shared" si="966"/>
        <v>0</v>
      </c>
      <c r="AA3078" s="5">
        <f t="shared" si="967"/>
        <v>0</v>
      </c>
      <c r="AB3078" s="5">
        <f t="shared" si="957"/>
        <v>0</v>
      </c>
    </row>
    <row r="3079" spans="4:28" x14ac:dyDescent="0.25">
      <c r="D3079" t="s">
        <v>83</v>
      </c>
      <c r="E3079" s="14"/>
      <c r="F3079" s="14"/>
      <c r="G3079">
        <f>IFERROR(HLOOKUP(G$2,[93]table_female_hkom1_inj.ill_X5!$A$1:$K$36,15,FALSE),0)</f>
        <v>0</v>
      </c>
      <c r="H3079">
        <f>IFERROR(HLOOKUP(H$2,[93]table_female_hkom1_inj.ill_X5!$A$1:$K$36,15,FALSE),0)</f>
        <v>0</v>
      </c>
      <c r="I3079">
        <f>IFERROR(HLOOKUP(I$2,[93]table_female_hkom1_inj.ill_X5!$A$1:$K$36,15,FALSE),0)</f>
        <v>0</v>
      </c>
      <c r="J3079">
        <f>IFERROR(HLOOKUP(J$2,[93]table_female_hkom1_inj.ill_X5!$A$1:$K$36,15,FALSE),0)</f>
        <v>0</v>
      </c>
      <c r="K3079">
        <f>IFERROR(HLOOKUP(K$2,[93]table_female_hkom1_inj.ill_X5!$A$1:$K$36,15,FALSE),0)</f>
        <v>0</v>
      </c>
      <c r="L3079">
        <f>IFERROR(HLOOKUP(L$2,[93]table_female_hkom1_inj.ill_X5!$A$1:$K$36,15,FALSE),0)</f>
        <v>0</v>
      </c>
      <c r="M3079">
        <f t="shared" si="959"/>
        <v>0</v>
      </c>
      <c r="S3079" t="s">
        <v>83</v>
      </c>
      <c r="T3079" s="5">
        <f t="shared" si="960"/>
        <v>0</v>
      </c>
      <c r="U3079" s="5">
        <f t="shared" si="961"/>
        <v>0</v>
      </c>
      <c r="V3079" s="5">
        <f t="shared" si="962"/>
        <v>0</v>
      </c>
      <c r="W3079" s="5">
        <f t="shared" si="963"/>
        <v>0</v>
      </c>
      <c r="X3079" s="5">
        <f t="shared" si="964"/>
        <v>0</v>
      </c>
      <c r="Y3079" s="5">
        <f t="shared" si="965"/>
        <v>0</v>
      </c>
      <c r="Z3079" s="5">
        <f t="shared" si="966"/>
        <v>0</v>
      </c>
      <c r="AA3079" s="5">
        <f t="shared" si="967"/>
        <v>0</v>
      </c>
      <c r="AB3079" s="5">
        <f t="shared" si="957"/>
        <v>0</v>
      </c>
    </row>
    <row r="3080" spans="4:28" x14ac:dyDescent="0.25">
      <c r="D3080" t="s">
        <v>84</v>
      </c>
      <c r="E3080" s="14"/>
      <c r="F3080" s="14"/>
      <c r="G3080">
        <f>IFERROR(HLOOKUP(G$2,[93]table_female_hkom1_inj.ill_X5!$A$1:$K$36,16,FALSE),0)</f>
        <v>0</v>
      </c>
      <c r="H3080">
        <f>IFERROR(HLOOKUP(H$2,[93]table_female_hkom1_inj.ill_X5!$A$1:$K$36,16,FALSE),0)</f>
        <v>0</v>
      </c>
      <c r="I3080">
        <f>IFERROR(HLOOKUP(I$2,[93]table_female_hkom1_inj.ill_X5!$A$1:$K$36,16,FALSE),0)</f>
        <v>0</v>
      </c>
      <c r="J3080">
        <f>IFERROR(HLOOKUP(J$2,[93]table_female_hkom1_inj.ill_X5!$A$1:$K$36,16,FALSE),0)</f>
        <v>0</v>
      </c>
      <c r="K3080">
        <f>IFERROR(HLOOKUP(K$2,[93]table_female_hkom1_inj.ill_X5!$A$1:$K$36,16,FALSE),0)</f>
        <v>0</v>
      </c>
      <c r="L3080">
        <f>IFERROR(HLOOKUP(L$2,[93]table_female_hkom1_inj.ill_X5!$A$1:$K$36,16,FALSE),0)</f>
        <v>0</v>
      </c>
      <c r="M3080">
        <f t="shared" si="959"/>
        <v>0</v>
      </c>
      <c r="S3080" t="s">
        <v>84</v>
      </c>
      <c r="T3080" s="5">
        <f t="shared" si="960"/>
        <v>0</v>
      </c>
      <c r="U3080" s="5">
        <f t="shared" si="961"/>
        <v>0</v>
      </c>
      <c r="V3080" s="5">
        <f t="shared" si="962"/>
        <v>0</v>
      </c>
      <c r="W3080" s="5">
        <f t="shared" si="963"/>
        <v>0</v>
      </c>
      <c r="X3080" s="5">
        <f t="shared" si="964"/>
        <v>0</v>
      </c>
      <c r="Y3080" s="5">
        <f t="shared" si="965"/>
        <v>0</v>
      </c>
      <c r="Z3080" s="5">
        <f t="shared" si="966"/>
        <v>0</v>
      </c>
      <c r="AA3080" s="5">
        <f t="shared" si="967"/>
        <v>0</v>
      </c>
      <c r="AB3080" s="5">
        <f t="shared" si="957"/>
        <v>0</v>
      </c>
    </row>
    <row r="3081" spans="4:28" x14ac:dyDescent="0.25">
      <c r="D3081" t="s">
        <v>85</v>
      </c>
      <c r="E3081" s="14"/>
      <c r="F3081" s="14"/>
      <c r="G3081">
        <f>IFERROR(HLOOKUP(G$2,[93]table_female_hkom1_inj.ill_X5!$A$1:$K$36,17,FALSE),0)</f>
        <v>0</v>
      </c>
      <c r="H3081">
        <f>IFERROR(HLOOKUP(H$2,[93]table_female_hkom1_inj.ill_X5!$A$1:$K$36,17,FALSE),0)</f>
        <v>0</v>
      </c>
      <c r="I3081">
        <f>IFERROR(HLOOKUP(I$2,[93]table_female_hkom1_inj.ill_X5!$A$1:$K$36,17,FALSE),0)</f>
        <v>0</v>
      </c>
      <c r="J3081">
        <f>IFERROR(HLOOKUP(J$2,[93]table_female_hkom1_inj.ill_X5!$A$1:$K$36,17,FALSE),0)</f>
        <v>0</v>
      </c>
      <c r="K3081">
        <f>IFERROR(HLOOKUP(K$2,[93]table_female_hkom1_inj.ill_X5!$A$1:$K$36,17,FALSE),0)</f>
        <v>0</v>
      </c>
      <c r="L3081">
        <f>IFERROR(HLOOKUP(L$2,[93]table_female_hkom1_inj.ill_X5!$A$1:$K$36,17,FALSE),0)</f>
        <v>0</v>
      </c>
      <c r="M3081">
        <f t="shared" si="959"/>
        <v>0</v>
      </c>
      <c r="S3081" t="s">
        <v>85</v>
      </c>
      <c r="T3081" s="5">
        <f t="shared" si="960"/>
        <v>0</v>
      </c>
      <c r="U3081" s="5">
        <f t="shared" si="961"/>
        <v>0</v>
      </c>
      <c r="V3081" s="5">
        <f t="shared" si="962"/>
        <v>0</v>
      </c>
      <c r="W3081" s="5">
        <f t="shared" si="963"/>
        <v>0</v>
      </c>
      <c r="X3081" s="5">
        <f t="shared" si="964"/>
        <v>0</v>
      </c>
      <c r="Y3081" s="5">
        <f t="shared" si="965"/>
        <v>0</v>
      </c>
      <c r="Z3081" s="5">
        <f t="shared" si="966"/>
        <v>0</v>
      </c>
      <c r="AA3081" s="5">
        <f t="shared" si="967"/>
        <v>0</v>
      </c>
      <c r="AB3081" s="5">
        <f t="shared" si="957"/>
        <v>0</v>
      </c>
    </row>
    <row r="3082" spans="4:28" x14ac:dyDescent="0.25">
      <c r="D3082" t="s">
        <v>86</v>
      </c>
      <c r="E3082" s="14"/>
      <c r="F3082" s="14"/>
      <c r="G3082">
        <f>IFERROR(HLOOKUP(G$2,[93]table_female_hkom1_inj.ill_X5!$A$1:$K$36,18,FALSE),0)</f>
        <v>0</v>
      </c>
      <c r="H3082">
        <f>IFERROR(HLOOKUP(H$2,[93]table_female_hkom1_inj.ill_X5!$A$1:$K$36,18,FALSE),0)</f>
        <v>0</v>
      </c>
      <c r="I3082">
        <f>IFERROR(HLOOKUP(I$2,[93]table_female_hkom1_inj.ill_X5!$A$1:$K$36,18,FALSE),0)</f>
        <v>0</v>
      </c>
      <c r="J3082">
        <f>IFERROR(HLOOKUP(J$2,[93]table_female_hkom1_inj.ill_X5!$A$1:$K$36,18,FALSE),0)</f>
        <v>0</v>
      </c>
      <c r="K3082">
        <f>IFERROR(HLOOKUP(K$2,[93]table_female_hkom1_inj.ill_X5!$A$1:$K$36,18,FALSE),0)</f>
        <v>0</v>
      </c>
      <c r="L3082">
        <f>IFERROR(HLOOKUP(L$2,[93]table_female_hkom1_inj.ill_X5!$A$1:$K$36,18,FALSE),0)</f>
        <v>0</v>
      </c>
      <c r="M3082">
        <f t="shared" si="959"/>
        <v>0</v>
      </c>
      <c r="S3082" t="s">
        <v>86</v>
      </c>
      <c r="T3082" s="5">
        <f t="shared" si="960"/>
        <v>0</v>
      </c>
      <c r="U3082" s="5">
        <f t="shared" si="961"/>
        <v>0</v>
      </c>
      <c r="V3082" s="5">
        <f t="shared" si="962"/>
        <v>0</v>
      </c>
      <c r="W3082" s="5">
        <f t="shared" si="963"/>
        <v>0</v>
      </c>
      <c r="X3082" s="5">
        <f t="shared" si="964"/>
        <v>0</v>
      </c>
      <c r="Y3082" s="5">
        <f t="shared" si="965"/>
        <v>0</v>
      </c>
      <c r="Z3082" s="5">
        <f t="shared" si="966"/>
        <v>0</v>
      </c>
      <c r="AA3082" s="5">
        <f t="shared" si="967"/>
        <v>0</v>
      </c>
      <c r="AB3082" s="5">
        <f t="shared" si="957"/>
        <v>0</v>
      </c>
    </row>
    <row r="3083" spans="4:28" x14ac:dyDescent="0.25">
      <c r="D3083" t="s">
        <v>87</v>
      </c>
      <c r="E3083" s="14"/>
      <c r="F3083" s="14"/>
      <c r="G3083">
        <f>IFERROR(HLOOKUP(G$2,[93]table_female_hkom1_inj.ill_X5!$A$1:$K$36,19,FALSE),0)</f>
        <v>0</v>
      </c>
      <c r="H3083">
        <f>IFERROR(HLOOKUP(H$2,[93]table_female_hkom1_inj.ill_X5!$A$1:$K$36,19,FALSE),0)</f>
        <v>0</v>
      </c>
      <c r="I3083">
        <f>IFERROR(HLOOKUP(I$2,[93]table_female_hkom1_inj.ill_X5!$A$1:$K$36,19,FALSE),0)</f>
        <v>0</v>
      </c>
      <c r="J3083">
        <f>IFERROR(HLOOKUP(J$2,[93]table_female_hkom1_inj.ill_X5!$A$1:$K$36,19,FALSE),0)</f>
        <v>0</v>
      </c>
      <c r="K3083">
        <f>IFERROR(HLOOKUP(K$2,[93]table_female_hkom1_inj.ill_X5!$A$1:$K$36,19,FALSE),0)</f>
        <v>0</v>
      </c>
      <c r="L3083">
        <f>IFERROR(HLOOKUP(L$2,[93]table_female_hkom1_inj.ill_X5!$A$1:$K$36,19,FALSE),0)</f>
        <v>0</v>
      </c>
      <c r="M3083">
        <f t="shared" si="959"/>
        <v>0</v>
      </c>
      <c r="S3083" t="s">
        <v>87</v>
      </c>
      <c r="T3083" s="5">
        <f t="shared" si="960"/>
        <v>0</v>
      </c>
      <c r="U3083" s="5">
        <f t="shared" si="961"/>
        <v>0</v>
      </c>
      <c r="V3083" s="5">
        <f t="shared" si="962"/>
        <v>0</v>
      </c>
      <c r="W3083" s="5">
        <f t="shared" si="963"/>
        <v>0</v>
      </c>
      <c r="X3083" s="5">
        <f t="shared" si="964"/>
        <v>0</v>
      </c>
      <c r="Y3083" s="5">
        <f t="shared" si="965"/>
        <v>0</v>
      </c>
      <c r="Z3083" s="5">
        <f t="shared" si="966"/>
        <v>0</v>
      </c>
      <c r="AA3083" s="5">
        <f t="shared" si="967"/>
        <v>0</v>
      </c>
      <c r="AB3083" s="5">
        <f t="shared" si="957"/>
        <v>0</v>
      </c>
    </row>
    <row r="3084" spans="4:28" x14ac:dyDescent="0.25">
      <c r="D3084" t="s">
        <v>88</v>
      </c>
      <c r="E3084" s="14"/>
      <c r="F3084" s="14"/>
      <c r="G3084">
        <f>IFERROR(HLOOKUP(G$2,[93]table_female_hkom1_inj.ill_X5!$A$1:$K$36,20,FALSE),0)</f>
        <v>0</v>
      </c>
      <c r="H3084">
        <f>IFERROR(HLOOKUP(H$2,[93]table_female_hkom1_inj.ill_X5!$A$1:$K$36,20,FALSE),0)</f>
        <v>0</v>
      </c>
      <c r="I3084">
        <f>IFERROR(HLOOKUP(I$2,[93]table_female_hkom1_inj.ill_X5!$A$1:$K$36,20,FALSE),0)</f>
        <v>0</v>
      </c>
      <c r="J3084">
        <f>IFERROR(HLOOKUP(J$2,[93]table_female_hkom1_inj.ill_X5!$A$1:$K$36,20,FALSE),0)</f>
        <v>0</v>
      </c>
      <c r="K3084">
        <f>IFERROR(HLOOKUP(K$2,[93]table_female_hkom1_inj.ill_X5!$A$1:$K$36,20,FALSE),0)</f>
        <v>0</v>
      </c>
      <c r="L3084">
        <f>IFERROR(HLOOKUP(L$2,[93]table_female_hkom1_inj.ill_X5!$A$1:$K$36,20,FALSE),0)</f>
        <v>0</v>
      </c>
      <c r="M3084">
        <f t="shared" si="959"/>
        <v>0</v>
      </c>
      <c r="S3084" t="s">
        <v>88</v>
      </c>
      <c r="T3084" s="5">
        <f t="shared" si="960"/>
        <v>0</v>
      </c>
      <c r="U3084" s="5">
        <f t="shared" si="961"/>
        <v>0</v>
      </c>
      <c r="V3084" s="5">
        <f t="shared" si="962"/>
        <v>0</v>
      </c>
      <c r="W3084" s="5">
        <f t="shared" si="963"/>
        <v>0</v>
      </c>
      <c r="X3084" s="5">
        <f t="shared" si="964"/>
        <v>0</v>
      </c>
      <c r="Y3084" s="5">
        <f t="shared" si="965"/>
        <v>0</v>
      </c>
      <c r="Z3084" s="5">
        <f t="shared" si="966"/>
        <v>0</v>
      </c>
      <c r="AA3084" s="5">
        <f t="shared" si="967"/>
        <v>0</v>
      </c>
      <c r="AB3084" s="5">
        <f t="shared" si="957"/>
        <v>0</v>
      </c>
    </row>
    <row r="3085" spans="4:28" x14ac:dyDescent="0.25">
      <c r="D3085" t="s">
        <v>89</v>
      </c>
      <c r="E3085" s="14"/>
      <c r="F3085" s="14"/>
      <c r="G3085">
        <f>IFERROR(HLOOKUP(G$2,[93]table_female_hkom1_inj.ill_X5!$A$1:$K$36,21,FALSE),0)</f>
        <v>1</v>
      </c>
      <c r="H3085">
        <f>IFERROR(HLOOKUP(H$2,[93]table_female_hkom1_inj.ill_X5!$A$1:$K$36,21,FALSE),0)</f>
        <v>0</v>
      </c>
      <c r="I3085">
        <f>IFERROR(HLOOKUP(I$2,[93]table_female_hkom1_inj.ill_X5!$A$1:$K$36,21,FALSE),0)</f>
        <v>0</v>
      </c>
      <c r="J3085">
        <f>IFERROR(HLOOKUP(J$2,[93]table_female_hkom1_inj.ill_X5!$A$1:$K$36,21,FALSE),0)</f>
        <v>0</v>
      </c>
      <c r="K3085">
        <f>IFERROR(HLOOKUP(K$2,[93]table_female_hkom1_inj.ill_X5!$A$1:$K$36,21,FALSE),0)</f>
        <v>0</v>
      </c>
      <c r="L3085">
        <f>IFERROR(HLOOKUP(L$2,[93]table_female_hkom1_inj.ill_X5!$A$1:$K$36,21,FALSE),0)</f>
        <v>0</v>
      </c>
      <c r="M3085">
        <f t="shared" si="959"/>
        <v>1</v>
      </c>
      <c r="S3085" t="s">
        <v>89</v>
      </c>
      <c r="T3085" s="5">
        <f t="shared" si="960"/>
        <v>0</v>
      </c>
      <c r="U3085" s="5">
        <f t="shared" si="961"/>
        <v>0</v>
      </c>
      <c r="V3085" s="5">
        <f t="shared" si="962"/>
        <v>1</v>
      </c>
      <c r="W3085" s="5">
        <f t="shared" si="963"/>
        <v>0</v>
      </c>
      <c r="X3085" s="5">
        <f t="shared" si="964"/>
        <v>0</v>
      </c>
      <c r="Y3085" s="5">
        <f t="shared" si="965"/>
        <v>0</v>
      </c>
      <c r="Z3085" s="5">
        <f t="shared" si="966"/>
        <v>0</v>
      </c>
      <c r="AA3085" s="5">
        <f t="shared" si="967"/>
        <v>0</v>
      </c>
      <c r="AB3085" s="5">
        <f t="shared" si="957"/>
        <v>1</v>
      </c>
    </row>
    <row r="3086" spans="4:28" x14ac:dyDescent="0.25">
      <c r="D3086" t="s">
        <v>90</v>
      </c>
      <c r="E3086" s="14"/>
      <c r="F3086" s="14"/>
      <c r="G3086">
        <f>IFERROR(HLOOKUP(G$2,[93]table_female_hkom1_inj.ill_X5!$A$1:$K$36,22,FALSE),0)</f>
        <v>0</v>
      </c>
      <c r="H3086">
        <f>IFERROR(HLOOKUP(H$2,[93]table_female_hkom1_inj.ill_X5!$A$1:$K$36,22,FALSE),0)</f>
        <v>0</v>
      </c>
      <c r="I3086">
        <f>IFERROR(HLOOKUP(I$2,[93]table_female_hkom1_inj.ill_X5!$A$1:$K$36,22,FALSE),0)</f>
        <v>0</v>
      </c>
      <c r="J3086">
        <f>IFERROR(HLOOKUP(J$2,[93]table_female_hkom1_inj.ill_X5!$A$1:$K$36,22,FALSE),0)</f>
        <v>0</v>
      </c>
      <c r="K3086">
        <f>IFERROR(HLOOKUP(K$2,[93]table_female_hkom1_inj.ill_X5!$A$1:$K$36,22,FALSE),0)</f>
        <v>0</v>
      </c>
      <c r="L3086">
        <f>IFERROR(HLOOKUP(L$2,[93]table_female_hkom1_inj.ill_X5!$A$1:$K$36,22,FALSE),0)</f>
        <v>0</v>
      </c>
      <c r="M3086">
        <f t="shared" si="959"/>
        <v>0</v>
      </c>
      <c r="S3086" t="s">
        <v>90</v>
      </c>
      <c r="T3086" s="5">
        <f t="shared" si="960"/>
        <v>0</v>
      </c>
      <c r="U3086" s="5">
        <f t="shared" si="961"/>
        <v>0</v>
      </c>
      <c r="V3086" s="5">
        <f t="shared" si="962"/>
        <v>0</v>
      </c>
      <c r="W3086" s="5">
        <f t="shared" si="963"/>
        <v>0</v>
      </c>
      <c r="X3086" s="5">
        <f t="shared" si="964"/>
        <v>0</v>
      </c>
      <c r="Y3086" s="5">
        <f t="shared" si="965"/>
        <v>0</v>
      </c>
      <c r="Z3086" s="5">
        <f t="shared" si="966"/>
        <v>0</v>
      </c>
      <c r="AA3086" s="5">
        <f t="shared" si="967"/>
        <v>0</v>
      </c>
      <c r="AB3086" s="5">
        <f t="shared" si="957"/>
        <v>0</v>
      </c>
    </row>
    <row r="3087" spans="4:28" x14ac:dyDescent="0.25">
      <c r="D3087" t="s">
        <v>91</v>
      </c>
      <c r="E3087" s="14"/>
      <c r="F3087" s="14"/>
      <c r="G3087">
        <f>IFERROR(HLOOKUP(G$2,[93]table_female_hkom1_inj.ill_X5!$A$1:$K$36,23,FALSE),0)</f>
        <v>0</v>
      </c>
      <c r="H3087">
        <f>IFERROR(HLOOKUP(H$2,[93]table_female_hkom1_inj.ill_X5!$A$1:$K$36,23,FALSE),0)</f>
        <v>0</v>
      </c>
      <c r="I3087">
        <f>IFERROR(HLOOKUP(I$2,[93]table_female_hkom1_inj.ill_X5!$A$1:$K$36,23,FALSE),0)</f>
        <v>0</v>
      </c>
      <c r="J3087">
        <f>IFERROR(HLOOKUP(J$2,[93]table_female_hkom1_inj.ill_X5!$A$1:$K$36,23,FALSE),0)</f>
        <v>0</v>
      </c>
      <c r="K3087">
        <f>IFERROR(HLOOKUP(K$2,[93]table_female_hkom1_inj.ill_X5!$A$1:$K$36,23,FALSE),0)</f>
        <v>0</v>
      </c>
      <c r="L3087">
        <f>IFERROR(HLOOKUP(L$2,[93]table_female_hkom1_inj.ill_X5!$A$1:$K$36,23,FALSE),0)</f>
        <v>0</v>
      </c>
      <c r="M3087">
        <f t="shared" si="959"/>
        <v>0</v>
      </c>
      <c r="S3087" t="s">
        <v>91</v>
      </c>
      <c r="T3087" s="5">
        <f t="shared" si="960"/>
        <v>0</v>
      </c>
      <c r="U3087" s="5">
        <f t="shared" si="961"/>
        <v>0</v>
      </c>
      <c r="V3087" s="5">
        <f t="shared" si="962"/>
        <v>0</v>
      </c>
      <c r="W3087" s="5">
        <f t="shared" si="963"/>
        <v>0</v>
      </c>
      <c r="X3087" s="5">
        <f t="shared" si="964"/>
        <v>0</v>
      </c>
      <c r="Y3087" s="5">
        <f t="shared" si="965"/>
        <v>0</v>
      </c>
      <c r="Z3087" s="5">
        <f t="shared" si="966"/>
        <v>0</v>
      </c>
      <c r="AA3087" s="5">
        <f t="shared" si="967"/>
        <v>0</v>
      </c>
      <c r="AB3087" s="5">
        <f t="shared" si="957"/>
        <v>0</v>
      </c>
    </row>
    <row r="3088" spans="4:28" x14ac:dyDescent="0.25">
      <c r="D3088" t="s">
        <v>92</v>
      </c>
      <c r="E3088" s="14"/>
      <c r="F3088" s="14"/>
      <c r="G3088">
        <f>IFERROR(HLOOKUP(G$2,[93]table_female_hkom1_inj.ill_X5!$A$1:$K$36,24,FALSE),0)</f>
        <v>0</v>
      </c>
      <c r="H3088">
        <f>IFERROR(HLOOKUP(H$2,[93]table_female_hkom1_inj.ill_X5!$A$1:$K$36,24,FALSE),0)</f>
        <v>0</v>
      </c>
      <c r="I3088">
        <f>IFERROR(HLOOKUP(I$2,[93]table_female_hkom1_inj.ill_X5!$A$1:$K$36,24,FALSE),0)</f>
        <v>0</v>
      </c>
      <c r="J3088">
        <f>IFERROR(HLOOKUP(J$2,[93]table_female_hkom1_inj.ill_X5!$A$1:$K$36,24,FALSE),0)</f>
        <v>0</v>
      </c>
      <c r="K3088">
        <f>IFERROR(HLOOKUP(K$2,[93]table_female_hkom1_inj.ill_X5!$A$1:$K$36,24,FALSE),0)</f>
        <v>0</v>
      </c>
      <c r="L3088">
        <f>IFERROR(HLOOKUP(L$2,[93]table_female_hkom1_inj.ill_X5!$A$1:$K$36,24,FALSE),0)</f>
        <v>0</v>
      </c>
      <c r="M3088">
        <f t="shared" si="959"/>
        <v>0</v>
      </c>
      <c r="S3088" t="s">
        <v>92</v>
      </c>
      <c r="T3088" s="5">
        <f t="shared" si="960"/>
        <v>0</v>
      </c>
      <c r="U3088" s="5">
        <f t="shared" si="961"/>
        <v>0</v>
      </c>
      <c r="V3088" s="5">
        <f t="shared" si="962"/>
        <v>0</v>
      </c>
      <c r="W3088" s="5">
        <f t="shared" si="963"/>
        <v>0</v>
      </c>
      <c r="X3088" s="5">
        <f t="shared" si="964"/>
        <v>0</v>
      </c>
      <c r="Y3088" s="5">
        <f t="shared" si="965"/>
        <v>0</v>
      </c>
      <c r="Z3088" s="5">
        <f t="shared" si="966"/>
        <v>0</v>
      </c>
      <c r="AA3088" s="5">
        <f t="shared" si="967"/>
        <v>0</v>
      </c>
      <c r="AB3088" s="5">
        <f t="shared" si="957"/>
        <v>0</v>
      </c>
    </row>
    <row r="3089" spans="1:29" x14ac:dyDescent="0.25">
      <c r="D3089" t="s">
        <v>93</v>
      </c>
      <c r="E3089" s="14"/>
      <c r="F3089" s="14"/>
      <c r="G3089">
        <f>IFERROR(HLOOKUP(G$2,[93]table_female_hkom1_inj.ill_X5!$A$1:$K$36,25,FALSE),0)</f>
        <v>0</v>
      </c>
      <c r="H3089">
        <f>IFERROR(HLOOKUP(H$2,[93]table_female_hkom1_inj.ill_X5!$A$1:$K$36,25,FALSE),0)</f>
        <v>0</v>
      </c>
      <c r="I3089">
        <f>IFERROR(HLOOKUP(I$2,[93]table_female_hkom1_inj.ill_X5!$A$1:$K$36,25,FALSE),0)</f>
        <v>0</v>
      </c>
      <c r="J3089">
        <f>IFERROR(HLOOKUP(J$2,[93]table_female_hkom1_inj.ill_X5!$A$1:$K$36,25,FALSE),0)</f>
        <v>0</v>
      </c>
      <c r="K3089">
        <f>IFERROR(HLOOKUP(K$2,[93]table_female_hkom1_inj.ill_X5!$A$1:$K$36,25,FALSE),0)</f>
        <v>0</v>
      </c>
      <c r="L3089">
        <f>IFERROR(HLOOKUP(L$2,[93]table_female_hkom1_inj.ill_X5!$A$1:$K$36,25,FALSE),0)</f>
        <v>0</v>
      </c>
      <c r="M3089">
        <f t="shared" si="959"/>
        <v>0</v>
      </c>
      <c r="S3089" t="s">
        <v>93</v>
      </c>
      <c r="T3089" s="5">
        <f t="shared" si="960"/>
        <v>0</v>
      </c>
      <c r="U3089" s="5">
        <f t="shared" si="961"/>
        <v>0</v>
      </c>
      <c r="V3089" s="5">
        <f t="shared" si="962"/>
        <v>0</v>
      </c>
      <c r="W3089" s="5">
        <f t="shared" si="963"/>
        <v>0</v>
      </c>
      <c r="X3089" s="5">
        <f t="shared" si="964"/>
        <v>0</v>
      </c>
      <c r="Y3089" s="5">
        <f t="shared" si="965"/>
        <v>0</v>
      </c>
      <c r="Z3089" s="5">
        <f t="shared" si="966"/>
        <v>0</v>
      </c>
      <c r="AA3089" s="5">
        <f t="shared" si="967"/>
        <v>0</v>
      </c>
      <c r="AB3089" s="5">
        <f t="shared" si="957"/>
        <v>0</v>
      </c>
    </row>
    <row r="3090" spans="1:29" x14ac:dyDescent="0.25">
      <c r="D3090" t="s">
        <v>94</v>
      </c>
      <c r="E3090" s="14"/>
      <c r="F3090" s="14"/>
      <c r="G3090">
        <f>IFERROR(HLOOKUP(G$2,[93]table_female_hkom1_inj.ill_X5!$A$1:$K$36,26,FALSE),0)</f>
        <v>0</v>
      </c>
      <c r="H3090">
        <f>IFERROR(HLOOKUP(H$2,[93]table_female_hkom1_inj.ill_X5!$A$1:$K$36,26,FALSE),0)</f>
        <v>0</v>
      </c>
      <c r="I3090">
        <f>IFERROR(HLOOKUP(I$2,[93]table_female_hkom1_inj.ill_X5!$A$1:$K$36,26,FALSE),0)</f>
        <v>0</v>
      </c>
      <c r="J3090">
        <f>IFERROR(HLOOKUP(J$2,[93]table_female_hkom1_inj.ill_X5!$A$1:$K$36,26,FALSE),0)</f>
        <v>0</v>
      </c>
      <c r="K3090">
        <f>IFERROR(HLOOKUP(K$2,[93]table_female_hkom1_inj.ill_X5!$A$1:$K$36,26,FALSE),0)</f>
        <v>0</v>
      </c>
      <c r="L3090">
        <f>IFERROR(HLOOKUP(L$2,[93]table_female_hkom1_inj.ill_X5!$A$1:$K$36,26,FALSE),0)</f>
        <v>0</v>
      </c>
      <c r="M3090">
        <f t="shared" si="959"/>
        <v>0</v>
      </c>
      <c r="S3090" t="s">
        <v>94</v>
      </c>
      <c r="T3090" s="5">
        <f t="shared" si="960"/>
        <v>0</v>
      </c>
      <c r="U3090" s="5">
        <f t="shared" si="961"/>
        <v>0</v>
      </c>
      <c r="V3090" s="5">
        <f t="shared" si="962"/>
        <v>0</v>
      </c>
      <c r="W3090" s="5">
        <f t="shared" si="963"/>
        <v>0</v>
      </c>
      <c r="X3090" s="5">
        <f t="shared" si="964"/>
        <v>0</v>
      </c>
      <c r="Y3090" s="5">
        <f t="shared" si="965"/>
        <v>0</v>
      </c>
      <c r="Z3090" s="5">
        <f t="shared" si="966"/>
        <v>0</v>
      </c>
      <c r="AA3090" s="5">
        <f t="shared" si="967"/>
        <v>0</v>
      </c>
      <c r="AB3090" s="5">
        <f t="shared" si="957"/>
        <v>0</v>
      </c>
    </row>
    <row r="3091" spans="1:29" x14ac:dyDescent="0.25">
      <c r="D3091" t="s">
        <v>95</v>
      </c>
      <c r="E3091" s="14"/>
      <c r="F3091" s="14"/>
      <c r="G3091">
        <f>IFERROR(HLOOKUP(G$2,[93]table_female_hkom1_inj.ill_X5!$A$1:$K$36,27,FALSE),0)</f>
        <v>0</v>
      </c>
      <c r="H3091">
        <f>IFERROR(HLOOKUP(H$2,[93]table_female_hkom1_inj.ill_X5!$A$1:$K$36,27,FALSE),0)</f>
        <v>0</v>
      </c>
      <c r="I3091">
        <f>IFERROR(HLOOKUP(I$2,[93]table_female_hkom1_inj.ill_X5!$A$1:$K$36,27,FALSE),0)</f>
        <v>0</v>
      </c>
      <c r="J3091">
        <f>IFERROR(HLOOKUP(J$2,[93]table_female_hkom1_inj.ill_X5!$A$1:$K$36,27,FALSE),0)</f>
        <v>0</v>
      </c>
      <c r="K3091">
        <f>IFERROR(HLOOKUP(K$2,[93]table_female_hkom1_inj.ill_X5!$A$1:$K$36,27,FALSE),0)</f>
        <v>0</v>
      </c>
      <c r="L3091">
        <f>IFERROR(HLOOKUP(L$2,[93]table_female_hkom1_inj.ill_X5!$A$1:$K$36,27,FALSE),0)</f>
        <v>0</v>
      </c>
      <c r="M3091">
        <f t="shared" si="959"/>
        <v>0</v>
      </c>
      <c r="S3091" t="s">
        <v>95</v>
      </c>
      <c r="T3091" s="5">
        <f t="shared" si="960"/>
        <v>0</v>
      </c>
      <c r="U3091" s="5">
        <f t="shared" si="961"/>
        <v>0</v>
      </c>
      <c r="V3091" s="5">
        <f t="shared" si="962"/>
        <v>0</v>
      </c>
      <c r="W3091" s="5">
        <f t="shared" si="963"/>
        <v>0</v>
      </c>
      <c r="X3091" s="5">
        <f t="shared" si="964"/>
        <v>0</v>
      </c>
      <c r="Y3091" s="5">
        <f t="shared" si="965"/>
        <v>0</v>
      </c>
      <c r="Z3091" s="5">
        <f t="shared" si="966"/>
        <v>0</v>
      </c>
      <c r="AA3091" s="5">
        <f t="shared" si="967"/>
        <v>0</v>
      </c>
      <c r="AB3091" s="5">
        <f t="shared" si="957"/>
        <v>0</v>
      </c>
    </row>
    <row r="3092" spans="1:29" x14ac:dyDescent="0.25">
      <c r="D3092" t="s">
        <v>96</v>
      </c>
      <c r="E3092" s="14"/>
      <c r="F3092" s="14"/>
      <c r="G3092">
        <f>IFERROR(HLOOKUP(G$2,[93]table_female_hkom1_inj.ill_X5!$A$1:$K$36,28,FALSE),0)</f>
        <v>0</v>
      </c>
      <c r="H3092">
        <f>IFERROR(HLOOKUP(H$2,[93]table_female_hkom1_inj.ill_X5!$A$1:$K$36,28,FALSE),0)</f>
        <v>0</v>
      </c>
      <c r="I3092">
        <f>IFERROR(HLOOKUP(I$2,[93]table_female_hkom1_inj.ill_X5!$A$1:$K$36,28,FALSE),0)</f>
        <v>0</v>
      </c>
      <c r="J3092">
        <f>IFERROR(HLOOKUP(J$2,[93]table_female_hkom1_inj.ill_X5!$A$1:$K$36,28,FALSE),0)</f>
        <v>0</v>
      </c>
      <c r="K3092">
        <f>IFERROR(HLOOKUP(K$2,[93]table_female_hkom1_inj.ill_X5!$A$1:$K$36,28,FALSE),0)</f>
        <v>0</v>
      </c>
      <c r="L3092">
        <f>IFERROR(HLOOKUP(L$2,[93]table_female_hkom1_inj.ill_X5!$A$1:$K$36,28,FALSE),0)</f>
        <v>0</v>
      </c>
      <c r="M3092">
        <f t="shared" si="959"/>
        <v>0</v>
      </c>
      <c r="S3092" t="s">
        <v>96</v>
      </c>
      <c r="T3092" s="5">
        <f t="shared" si="960"/>
        <v>0</v>
      </c>
      <c r="U3092" s="5">
        <f t="shared" si="961"/>
        <v>0</v>
      </c>
      <c r="V3092" s="5">
        <f t="shared" si="962"/>
        <v>0</v>
      </c>
      <c r="W3092" s="5">
        <f t="shared" si="963"/>
        <v>0</v>
      </c>
      <c r="X3092" s="5">
        <f t="shared" si="964"/>
        <v>0</v>
      </c>
      <c r="Y3092" s="5">
        <f t="shared" si="965"/>
        <v>0</v>
      </c>
      <c r="Z3092" s="5">
        <f t="shared" si="966"/>
        <v>0</v>
      </c>
      <c r="AA3092" s="5">
        <f t="shared" si="967"/>
        <v>0</v>
      </c>
      <c r="AB3092" s="5">
        <f t="shared" si="957"/>
        <v>0</v>
      </c>
    </row>
    <row r="3093" spans="1:29" x14ac:dyDescent="0.25">
      <c r="D3093" t="s">
        <v>97</v>
      </c>
      <c r="E3093" s="14"/>
      <c r="F3093" s="14"/>
      <c r="G3093">
        <f>IFERROR(HLOOKUP(G$2,[93]table_female_hkom1_inj.ill_X5!$A$1:$K$36,29,FALSE),0)</f>
        <v>0</v>
      </c>
      <c r="H3093">
        <f>IFERROR(HLOOKUP(H$2,[93]table_female_hkom1_inj.ill_X5!$A$1:$K$36,29,FALSE),0)</f>
        <v>0</v>
      </c>
      <c r="I3093">
        <f>IFERROR(HLOOKUP(I$2,[93]table_female_hkom1_inj.ill_X5!$A$1:$K$36,29,FALSE),0)</f>
        <v>0</v>
      </c>
      <c r="J3093">
        <f>IFERROR(HLOOKUP(J$2,[93]table_female_hkom1_inj.ill_X5!$A$1:$K$36,29,FALSE),0)</f>
        <v>0</v>
      </c>
      <c r="K3093">
        <f>IFERROR(HLOOKUP(K$2,[93]table_female_hkom1_inj.ill_X5!$A$1:$K$36,29,FALSE),0)</f>
        <v>0</v>
      </c>
      <c r="L3093">
        <f>IFERROR(HLOOKUP(L$2,[93]table_female_hkom1_inj.ill_X5!$A$1:$K$36,29,FALSE),0)</f>
        <v>0</v>
      </c>
      <c r="M3093">
        <f t="shared" si="959"/>
        <v>0</v>
      </c>
      <c r="S3093" t="s">
        <v>97</v>
      </c>
      <c r="T3093" s="5">
        <f t="shared" si="960"/>
        <v>0</v>
      </c>
      <c r="U3093" s="5">
        <f t="shared" si="961"/>
        <v>0</v>
      </c>
      <c r="V3093" s="5">
        <f t="shared" si="962"/>
        <v>0</v>
      </c>
      <c r="W3093" s="5">
        <f t="shared" si="963"/>
        <v>0</v>
      </c>
      <c r="X3093" s="5">
        <f t="shared" si="964"/>
        <v>0</v>
      </c>
      <c r="Y3093" s="5">
        <f t="shared" si="965"/>
        <v>0</v>
      </c>
      <c r="Z3093" s="5">
        <f t="shared" si="966"/>
        <v>0</v>
      </c>
      <c r="AA3093" s="5">
        <f t="shared" si="967"/>
        <v>0</v>
      </c>
      <c r="AB3093" s="5">
        <f t="shared" si="957"/>
        <v>0</v>
      </c>
    </row>
    <row r="3094" spans="1:29" x14ac:dyDescent="0.25">
      <c r="D3094" t="s">
        <v>98</v>
      </c>
      <c r="E3094" s="14"/>
      <c r="F3094" s="14"/>
      <c r="G3094">
        <f>IFERROR(HLOOKUP(G$2,[93]table_female_hkom1_inj.ill_X5!$A$1:$K$36,30,FALSE),0)</f>
        <v>0</v>
      </c>
      <c r="H3094">
        <f>IFERROR(HLOOKUP(H$2,[93]table_female_hkom1_inj.ill_X5!$A$1:$K$36,30,FALSE),0)</f>
        <v>0</v>
      </c>
      <c r="I3094">
        <f>IFERROR(HLOOKUP(I$2,[93]table_female_hkom1_inj.ill_X5!$A$1:$K$36,30,FALSE),0)</f>
        <v>0</v>
      </c>
      <c r="J3094">
        <f>IFERROR(HLOOKUP(J$2,[93]table_female_hkom1_inj.ill_X5!$A$1:$K$36,30,FALSE),0)</f>
        <v>0</v>
      </c>
      <c r="K3094">
        <f>IFERROR(HLOOKUP(K$2,[93]table_female_hkom1_inj.ill_X5!$A$1:$K$36,30,FALSE),0)</f>
        <v>0</v>
      </c>
      <c r="L3094">
        <f>IFERROR(HLOOKUP(L$2,[93]table_female_hkom1_inj.ill_X5!$A$1:$K$36,30,FALSE),0)</f>
        <v>0</v>
      </c>
      <c r="M3094">
        <f t="shared" si="959"/>
        <v>0</v>
      </c>
      <c r="S3094" t="s">
        <v>98</v>
      </c>
      <c r="T3094" s="5">
        <f t="shared" si="960"/>
        <v>0</v>
      </c>
      <c r="U3094" s="5">
        <f t="shared" si="961"/>
        <v>0</v>
      </c>
      <c r="V3094" s="5">
        <f t="shared" si="962"/>
        <v>0</v>
      </c>
      <c r="W3094" s="5">
        <f t="shared" si="963"/>
        <v>0</v>
      </c>
      <c r="X3094" s="5">
        <f t="shared" si="964"/>
        <v>0</v>
      </c>
      <c r="Y3094" s="5">
        <f t="shared" si="965"/>
        <v>0</v>
      </c>
      <c r="Z3094" s="5">
        <f t="shared" si="966"/>
        <v>0</v>
      </c>
      <c r="AA3094" s="5">
        <f t="shared" si="967"/>
        <v>0</v>
      </c>
      <c r="AB3094" s="5">
        <f t="shared" si="957"/>
        <v>0</v>
      </c>
    </row>
    <row r="3095" spans="1:29" x14ac:dyDescent="0.25">
      <c r="D3095" t="s">
        <v>119</v>
      </c>
      <c r="E3095" s="14"/>
      <c r="F3095" s="14"/>
      <c r="G3095">
        <f>IFERROR(HLOOKUP(G$2,[93]table_female_hkom1_inj.ill_X5!$A$1:$K$36,31,FALSE),0)</f>
        <v>0</v>
      </c>
      <c r="H3095">
        <f>IFERROR(HLOOKUP(H$2,[93]table_female_hkom1_inj.ill_X5!$A$1:$K$36,31,FALSE),0)</f>
        <v>0</v>
      </c>
      <c r="I3095">
        <f>IFERROR(HLOOKUP(I$2,[93]table_female_hkom1_inj.ill_X5!$A$1:$K$36,31,FALSE),0)</f>
        <v>0</v>
      </c>
      <c r="J3095">
        <f>IFERROR(HLOOKUP(J$2,[93]table_female_hkom1_inj.ill_X5!$A$1:$K$36,31,FALSE),0)</f>
        <v>0</v>
      </c>
      <c r="K3095">
        <f>IFERROR(HLOOKUP(K$2,[93]table_female_hkom1_inj.ill_X5!$A$1:$K$36,31,FALSE),0)</f>
        <v>0</v>
      </c>
      <c r="L3095">
        <f>IFERROR(HLOOKUP(L$2,[93]table_female_hkom1_inj.ill_X5!$A$1:$K$36,31,FALSE),0)</f>
        <v>0</v>
      </c>
      <c r="M3095">
        <f t="shared" si="959"/>
        <v>0</v>
      </c>
      <c r="S3095" t="s">
        <v>119</v>
      </c>
      <c r="T3095" s="5">
        <f t="shared" si="960"/>
        <v>0</v>
      </c>
      <c r="U3095" s="5">
        <f t="shared" si="961"/>
        <v>0</v>
      </c>
      <c r="V3095" s="5">
        <f t="shared" si="962"/>
        <v>0</v>
      </c>
      <c r="W3095" s="5">
        <f t="shared" si="963"/>
        <v>0</v>
      </c>
      <c r="X3095" s="5">
        <f t="shared" si="964"/>
        <v>0</v>
      </c>
      <c r="Y3095" s="5">
        <f t="shared" si="965"/>
        <v>0</v>
      </c>
      <c r="Z3095" s="5">
        <f t="shared" si="966"/>
        <v>0</v>
      </c>
      <c r="AA3095" s="5">
        <f t="shared" si="967"/>
        <v>0</v>
      </c>
      <c r="AB3095" s="5">
        <f t="shared" si="957"/>
        <v>0</v>
      </c>
    </row>
    <row r="3096" spans="1:29" x14ac:dyDescent="0.25">
      <c r="D3096" t="s">
        <v>99</v>
      </c>
      <c r="E3096" s="14"/>
      <c r="F3096" s="14"/>
      <c r="G3096">
        <f>IFERROR(HLOOKUP(G$2,[93]table_female_hkom1_inj.ill_X5!$A$1:$K$36,32,FALSE),0)</f>
        <v>0</v>
      </c>
      <c r="H3096">
        <f>IFERROR(HLOOKUP(H$2,[93]table_female_hkom1_inj.ill_X5!$A$1:$K$36,32,FALSE),0)</f>
        <v>0</v>
      </c>
      <c r="I3096">
        <f>IFERROR(HLOOKUP(I$2,[93]table_female_hkom1_inj.ill_X5!$A$1:$K$36,32,FALSE),0)</f>
        <v>0</v>
      </c>
      <c r="J3096">
        <f>IFERROR(HLOOKUP(J$2,[93]table_female_hkom1_inj.ill_X5!$A$1:$K$36,32,FALSE),0)</f>
        <v>0</v>
      </c>
      <c r="K3096">
        <f>IFERROR(HLOOKUP(K$2,[93]table_female_hkom1_inj.ill_X5!$A$1:$K$36,32,FALSE),0)</f>
        <v>0</v>
      </c>
      <c r="L3096">
        <f>IFERROR(HLOOKUP(L$2,[93]table_female_hkom1_inj.ill_X5!$A$1:$K$36,32,FALSE),0)</f>
        <v>0</v>
      </c>
      <c r="M3096">
        <f t="shared" si="959"/>
        <v>0</v>
      </c>
      <c r="S3096" t="s">
        <v>99</v>
      </c>
      <c r="T3096" s="5">
        <f t="shared" si="960"/>
        <v>0</v>
      </c>
      <c r="U3096" s="5">
        <f t="shared" si="961"/>
        <v>0</v>
      </c>
      <c r="V3096" s="5">
        <f t="shared" si="962"/>
        <v>0</v>
      </c>
      <c r="W3096" s="5">
        <f t="shared" si="963"/>
        <v>0</v>
      </c>
      <c r="X3096" s="5">
        <f t="shared" si="964"/>
        <v>0</v>
      </c>
      <c r="Y3096" s="5">
        <f t="shared" si="965"/>
        <v>0</v>
      </c>
      <c r="Z3096" s="5">
        <f t="shared" si="966"/>
        <v>0</v>
      </c>
      <c r="AA3096" s="5">
        <f t="shared" si="967"/>
        <v>0</v>
      </c>
      <c r="AB3096" s="5">
        <f t="shared" si="957"/>
        <v>0</v>
      </c>
    </row>
    <row r="3097" spans="1:29" x14ac:dyDescent="0.25">
      <c r="D3097" t="s">
        <v>100</v>
      </c>
      <c r="E3097" s="14"/>
      <c r="F3097" s="14"/>
      <c r="G3097">
        <f>IFERROR(HLOOKUP(G$2,[93]table_female_hkom1_inj.ill_X5!$A$1:$K$36,33,FALSE),0)</f>
        <v>0</v>
      </c>
      <c r="H3097">
        <f>IFERROR(HLOOKUP(H$2,[93]table_female_hkom1_inj.ill_X5!$A$1:$K$36,33,FALSE),0)</f>
        <v>0</v>
      </c>
      <c r="I3097">
        <f>IFERROR(HLOOKUP(I$2,[93]table_female_hkom1_inj.ill_X5!$A$1:$K$36,33,FALSE),0)</f>
        <v>0</v>
      </c>
      <c r="J3097">
        <f>IFERROR(HLOOKUP(J$2,[93]table_female_hkom1_inj.ill_X5!$A$1:$K$36,33,FALSE),0)</f>
        <v>0</v>
      </c>
      <c r="K3097">
        <f>IFERROR(HLOOKUP(K$2,[93]table_female_hkom1_inj.ill_X5!$A$1:$K$36,33,FALSE),0)</f>
        <v>0</v>
      </c>
      <c r="L3097">
        <f>IFERROR(HLOOKUP(L$2,[93]table_female_hkom1_inj.ill_X5!$A$1:$K$36,33,FALSE),0)</f>
        <v>0</v>
      </c>
      <c r="M3097">
        <f t="shared" si="959"/>
        <v>0</v>
      </c>
      <c r="S3097" t="s">
        <v>100</v>
      </c>
      <c r="T3097" s="5">
        <f t="shared" si="960"/>
        <v>0</v>
      </c>
      <c r="U3097" s="5">
        <f t="shared" si="961"/>
        <v>0</v>
      </c>
      <c r="V3097" s="5">
        <f t="shared" si="962"/>
        <v>0</v>
      </c>
      <c r="W3097" s="5">
        <f t="shared" si="963"/>
        <v>0</v>
      </c>
      <c r="X3097" s="5">
        <f t="shared" si="964"/>
        <v>0</v>
      </c>
      <c r="Y3097" s="5">
        <f t="shared" si="965"/>
        <v>0</v>
      </c>
      <c r="Z3097" s="5">
        <f t="shared" si="966"/>
        <v>0</v>
      </c>
      <c r="AA3097" s="5">
        <f t="shared" si="967"/>
        <v>0</v>
      </c>
      <c r="AB3097" s="5">
        <f t="shared" si="957"/>
        <v>0</v>
      </c>
    </row>
    <row r="3098" spans="1:29" x14ac:dyDescent="0.25">
      <c r="D3098" t="s">
        <v>101</v>
      </c>
      <c r="E3098" s="14"/>
      <c r="F3098" s="14"/>
      <c r="G3098">
        <f>IFERROR(HLOOKUP(G$2,[93]table_female_hkom1_inj.ill_X5!$A$1:$K$36,34,FALSE),0)</f>
        <v>0</v>
      </c>
      <c r="H3098">
        <f>IFERROR(HLOOKUP(H$2,[93]table_female_hkom1_inj.ill_X5!$A$1:$K$36,34,FALSE),0)</f>
        <v>0</v>
      </c>
      <c r="I3098">
        <f>IFERROR(HLOOKUP(I$2,[93]table_female_hkom1_inj.ill_X5!$A$1:$K$36,34,FALSE),0)</f>
        <v>0</v>
      </c>
      <c r="J3098">
        <f>IFERROR(HLOOKUP(J$2,[93]table_female_hkom1_inj.ill_X5!$A$1:$K$36,34,FALSE),0)</f>
        <v>0</v>
      </c>
      <c r="K3098">
        <f>IFERROR(HLOOKUP(K$2,[93]table_female_hkom1_inj.ill_X5!$A$1:$K$36,34,FALSE),0)</f>
        <v>0</v>
      </c>
      <c r="L3098">
        <f>IFERROR(HLOOKUP(L$2,[93]table_female_hkom1_inj.ill_X5!$A$1:$K$36,34,FALSE),0)</f>
        <v>0</v>
      </c>
      <c r="M3098">
        <f t="shared" si="959"/>
        <v>0</v>
      </c>
      <c r="S3098" t="s">
        <v>101</v>
      </c>
      <c r="T3098" s="5">
        <f t="shared" si="960"/>
        <v>0</v>
      </c>
      <c r="U3098" s="5">
        <f t="shared" si="961"/>
        <v>0</v>
      </c>
      <c r="V3098" s="5">
        <f t="shared" si="962"/>
        <v>0</v>
      </c>
      <c r="W3098" s="5">
        <f t="shared" si="963"/>
        <v>0</v>
      </c>
      <c r="X3098" s="5">
        <f t="shared" si="964"/>
        <v>0</v>
      </c>
      <c r="Y3098" s="5">
        <f t="shared" si="965"/>
        <v>0</v>
      </c>
      <c r="Z3098" s="5">
        <f t="shared" si="966"/>
        <v>0</v>
      </c>
      <c r="AA3098" s="5">
        <f t="shared" si="967"/>
        <v>0</v>
      </c>
      <c r="AB3098" s="5">
        <f t="shared" si="957"/>
        <v>0</v>
      </c>
    </row>
    <row r="3099" spans="1:29" x14ac:dyDescent="0.25">
      <c r="D3099" t="s">
        <v>102</v>
      </c>
      <c r="E3099" s="14"/>
      <c r="F3099" s="14"/>
      <c r="G3099">
        <f>IFERROR(HLOOKUP(G$2,[93]table_female_hkom1_inj.ill_X5!$A$1:$K$36,35,FALSE),0)</f>
        <v>0</v>
      </c>
      <c r="H3099">
        <f>IFERROR(HLOOKUP(H$2,[93]table_female_hkom1_inj.ill_X5!$A$1:$K$36,35,FALSE),0)</f>
        <v>0</v>
      </c>
      <c r="I3099">
        <f>IFERROR(HLOOKUP(I$2,[93]table_female_hkom1_inj.ill_X5!$A$1:$K$36,35,FALSE),0)</f>
        <v>0</v>
      </c>
      <c r="J3099">
        <f>IFERROR(HLOOKUP(J$2,[93]table_female_hkom1_inj.ill_X5!$A$1:$K$36,35,FALSE),0)</f>
        <v>0</v>
      </c>
      <c r="K3099">
        <f>IFERROR(HLOOKUP(K$2,[93]table_female_hkom1_inj.ill_X5!$A$1:$K$36,35,FALSE),0)</f>
        <v>0</v>
      </c>
      <c r="L3099">
        <f>IFERROR(HLOOKUP(L$2,[93]table_female_hkom1_inj.ill_X5!$A$1:$K$36,35,FALSE),0)</f>
        <v>0</v>
      </c>
      <c r="M3099">
        <f t="shared" si="959"/>
        <v>0</v>
      </c>
      <c r="N3099">
        <f>SUM(M3066:M3099)</f>
        <v>1</v>
      </c>
      <c r="O3099" s="8">
        <f>SUM([93]table_female_hkom1_inj.ill_X5!$B$2:$L$37)</f>
        <v>1</v>
      </c>
      <c r="S3099" t="s">
        <v>102</v>
      </c>
      <c r="T3099" s="7"/>
      <c r="U3099" s="7"/>
      <c r="V3099" s="7"/>
      <c r="W3099" s="7"/>
      <c r="X3099" s="7"/>
      <c r="Y3099" s="7"/>
      <c r="Z3099" s="7"/>
      <c r="AA3099" s="7"/>
      <c r="AB3099" s="5">
        <f t="shared" si="957"/>
        <v>0</v>
      </c>
      <c r="AC3099" s="5">
        <f>SUM(AB3066:AB3098)</f>
        <v>1</v>
      </c>
    </row>
    <row r="3100" spans="1:29" x14ac:dyDescent="0.25">
      <c r="A3100" t="s">
        <v>115</v>
      </c>
      <c r="B3100" t="s">
        <v>103</v>
      </c>
      <c r="C3100" t="s">
        <v>128</v>
      </c>
      <c r="D3100" t="s">
        <v>70</v>
      </c>
      <c r="E3100" s="14"/>
      <c r="F3100" s="14"/>
      <c r="G3100">
        <f>IFERROR(HLOOKUP(G$2,[94]table_female_hkom1_inj.ill_X6!$A$1:$K$36,2,FALSE),0)</f>
        <v>0</v>
      </c>
      <c r="H3100">
        <f>IFERROR(HLOOKUP(H$2,[94]table_female_hkom1_inj.ill_X6!$A$1:$K$36,2,FALSE),0)</f>
        <v>0</v>
      </c>
      <c r="I3100">
        <f>IFERROR(HLOOKUP(I$2,[94]table_female_hkom1_inj.ill_X6!$A$1:$K$36,2,FALSE),0)</f>
        <v>0</v>
      </c>
      <c r="J3100">
        <f>IFERROR(HLOOKUP(J$2,[94]table_female_hkom1_inj.ill_X6!$A$1:$K$36,2,FALSE),0)</f>
        <v>0</v>
      </c>
      <c r="K3100">
        <f>IFERROR(HLOOKUP(K$2,[94]table_female_hkom1_inj.ill_X6!$A$1:$K$36,2,FALSE),0)</f>
        <v>0</v>
      </c>
      <c r="L3100">
        <f>IFERROR(HLOOKUP(L$2,[94]table_female_hkom1_inj.ill_X6!$A$1:$K$36,2,FALSE),0)</f>
        <v>0</v>
      </c>
      <c r="M3100">
        <f>SUM(E3100:L3100)</f>
        <v>0</v>
      </c>
      <c r="P3100" t="s">
        <v>115</v>
      </c>
      <c r="Q3100" t="s">
        <v>103</v>
      </c>
      <c r="R3100" t="s">
        <v>128</v>
      </c>
      <c r="S3100" t="s">
        <v>70</v>
      </c>
      <c r="T3100" s="5">
        <f>IF(SUM(E$3100:E$3132)=0,E$3133/33,E3100+IFERROR(E3100/SUM(E$3100:E$3132)*E$3133,0))</f>
        <v>0</v>
      </c>
      <c r="U3100" s="5">
        <f t="shared" ref="U3100:AA3100" si="968">IF(SUM(F$3100:F$3132)=0,F$3133/33,F3100+IFERROR(F3100/SUM(F$3100:F$3132)*F$3133,0))</f>
        <v>0</v>
      </c>
      <c r="V3100" s="5">
        <f t="shared" si="968"/>
        <v>0</v>
      </c>
      <c r="W3100" s="5">
        <f t="shared" si="968"/>
        <v>0</v>
      </c>
      <c r="X3100" s="5">
        <f t="shared" si="968"/>
        <v>0</v>
      </c>
      <c r="Y3100" s="5">
        <f t="shared" si="968"/>
        <v>0</v>
      </c>
      <c r="Z3100" s="5">
        <f t="shared" si="968"/>
        <v>0</v>
      </c>
      <c r="AA3100" s="5">
        <f t="shared" si="968"/>
        <v>0</v>
      </c>
      <c r="AB3100" s="5">
        <f t="shared" si="957"/>
        <v>0</v>
      </c>
    </row>
    <row r="3101" spans="1:29" x14ac:dyDescent="0.25">
      <c r="D3101" t="s">
        <v>71</v>
      </c>
      <c r="E3101" s="14"/>
      <c r="F3101" s="14"/>
      <c r="G3101">
        <f>IFERROR(HLOOKUP(G$2,[94]table_female_hkom1_inj.ill_X6!$A$1:$K$36,3,FALSE),0)</f>
        <v>0</v>
      </c>
      <c r="H3101">
        <f>IFERROR(HLOOKUP(H$2,[94]table_female_hkom1_inj.ill_X6!$A$1:$K$36,3,FALSE),0)</f>
        <v>0</v>
      </c>
      <c r="I3101">
        <f>IFERROR(HLOOKUP(I$2,[94]table_female_hkom1_inj.ill_X6!$A$1:$K$36,3,FALSE),0)</f>
        <v>0</v>
      </c>
      <c r="J3101">
        <f>IFERROR(HLOOKUP(J$2,[94]table_female_hkom1_inj.ill_X6!$A$1:$K$36,3,FALSE),0)</f>
        <v>0</v>
      </c>
      <c r="K3101">
        <f>IFERROR(HLOOKUP(K$2,[94]table_female_hkom1_inj.ill_X6!$A$1:$K$36,3,FALSE),0)</f>
        <v>0</v>
      </c>
      <c r="L3101">
        <f>IFERROR(HLOOKUP(L$2,[94]table_female_hkom1_inj.ill_X6!$A$1:$K$36,3,FALSE),0)</f>
        <v>0</v>
      </c>
      <c r="M3101">
        <f t="shared" ref="M3101:M3133" si="969">SUM(E3101:L3101)</f>
        <v>0</v>
      </c>
      <c r="S3101" t="s">
        <v>71</v>
      </c>
      <c r="T3101" s="5">
        <f t="shared" ref="T3101:T3132" si="970">IF(SUM(E$3100:E$3132)=0,E$3133/33,E3101+IFERROR(E3101/SUM(E$3100:E$3132)*E$3133,0))</f>
        <v>0</v>
      </c>
      <c r="U3101" s="5">
        <f t="shared" ref="U3101:U3132" si="971">IF(SUM(F$3100:F$3132)=0,F$3133/33,F3101+IFERROR(F3101/SUM(F$3100:F$3132)*F$3133,0))</f>
        <v>0</v>
      </c>
      <c r="V3101" s="5">
        <f t="shared" ref="V3101:V3132" si="972">IF(SUM(G$3100:G$3132)=0,G$3133/33,G3101+IFERROR(G3101/SUM(G$3100:G$3132)*G$3133,0))</f>
        <v>0</v>
      </c>
      <c r="W3101" s="5">
        <f t="shared" ref="W3101:W3132" si="973">IF(SUM(H$3100:H$3132)=0,H$3133/33,H3101+IFERROR(H3101/SUM(H$3100:H$3132)*H$3133,0))</f>
        <v>0</v>
      </c>
      <c r="X3101" s="5">
        <f t="shared" ref="X3101:X3132" si="974">IF(SUM(I$3100:I$3132)=0,I$3133/33,I3101+IFERROR(I3101/SUM(I$3100:I$3132)*I$3133,0))</f>
        <v>0</v>
      </c>
      <c r="Y3101" s="5">
        <f t="shared" ref="Y3101:Y3132" si="975">IF(SUM(J$3100:J$3132)=0,J$3133/33,J3101+IFERROR(J3101/SUM(J$3100:J$3132)*J$3133,0))</f>
        <v>0</v>
      </c>
      <c r="Z3101" s="5">
        <f t="shared" ref="Z3101:Z3132" si="976">IF(SUM(K$3100:K$3132)=0,K$3133/33,K3101+IFERROR(K3101/SUM(K$3100:K$3132)*K$3133,0))</f>
        <v>0</v>
      </c>
      <c r="AA3101" s="5">
        <f t="shared" ref="AA3101:AA3132" si="977">IF(SUM(L$3100:L$3132)=0,L$3133/33,L3101+IFERROR(L3101/SUM(L$3100:L$3132)*L$3133,0))</f>
        <v>0</v>
      </c>
      <c r="AB3101" s="5">
        <f t="shared" si="957"/>
        <v>0</v>
      </c>
    </row>
    <row r="3102" spans="1:29" x14ac:dyDescent="0.25">
      <c r="D3102" t="s">
        <v>72</v>
      </c>
      <c r="E3102" s="14"/>
      <c r="F3102" s="14"/>
      <c r="G3102">
        <f>IFERROR(HLOOKUP(G$2,[94]table_female_hkom1_inj.ill_X6!$A$1:$K$36,4,FALSE),0)</f>
        <v>0</v>
      </c>
      <c r="H3102">
        <f>IFERROR(HLOOKUP(H$2,[94]table_female_hkom1_inj.ill_X6!$A$1:$K$36,4,FALSE),0)</f>
        <v>0</v>
      </c>
      <c r="I3102">
        <f>IFERROR(HLOOKUP(I$2,[94]table_female_hkom1_inj.ill_X6!$A$1:$K$36,4,FALSE),0)</f>
        <v>0</v>
      </c>
      <c r="J3102">
        <f>IFERROR(HLOOKUP(J$2,[94]table_female_hkom1_inj.ill_X6!$A$1:$K$36,4,FALSE),0)</f>
        <v>0</v>
      </c>
      <c r="K3102">
        <f>IFERROR(HLOOKUP(K$2,[94]table_female_hkom1_inj.ill_X6!$A$1:$K$36,4,FALSE),0)</f>
        <v>0</v>
      </c>
      <c r="L3102">
        <f>IFERROR(HLOOKUP(L$2,[94]table_female_hkom1_inj.ill_X6!$A$1:$K$36,4,FALSE),0)</f>
        <v>0</v>
      </c>
      <c r="M3102">
        <f t="shared" si="969"/>
        <v>0</v>
      </c>
      <c r="S3102" t="s">
        <v>72</v>
      </c>
      <c r="T3102" s="5">
        <f t="shared" si="970"/>
        <v>0</v>
      </c>
      <c r="U3102" s="5">
        <f t="shared" si="971"/>
        <v>0</v>
      </c>
      <c r="V3102" s="5">
        <f t="shared" si="972"/>
        <v>0</v>
      </c>
      <c r="W3102" s="5">
        <f t="shared" si="973"/>
        <v>0</v>
      </c>
      <c r="X3102" s="5">
        <f t="shared" si="974"/>
        <v>0</v>
      </c>
      <c r="Y3102" s="5">
        <f t="shared" si="975"/>
        <v>0</v>
      </c>
      <c r="Z3102" s="5">
        <f t="shared" si="976"/>
        <v>0</v>
      </c>
      <c r="AA3102" s="5">
        <f t="shared" si="977"/>
        <v>0</v>
      </c>
      <c r="AB3102" s="5">
        <f t="shared" si="957"/>
        <v>0</v>
      </c>
    </row>
    <row r="3103" spans="1:29" x14ac:dyDescent="0.25">
      <c r="D3103" t="s">
        <v>73</v>
      </c>
      <c r="E3103" s="14"/>
      <c r="F3103" s="14"/>
      <c r="G3103">
        <f>IFERROR(HLOOKUP(G$2,[94]table_female_hkom1_inj.ill_X6!$A$1:$K$36,5,FALSE),0)</f>
        <v>0</v>
      </c>
      <c r="H3103">
        <f>IFERROR(HLOOKUP(H$2,[94]table_female_hkom1_inj.ill_X6!$A$1:$K$36,5,FALSE),0)</f>
        <v>0</v>
      </c>
      <c r="I3103">
        <f>IFERROR(HLOOKUP(I$2,[94]table_female_hkom1_inj.ill_X6!$A$1:$K$36,5,FALSE),0)</f>
        <v>0</v>
      </c>
      <c r="J3103">
        <f>IFERROR(HLOOKUP(J$2,[94]table_female_hkom1_inj.ill_X6!$A$1:$K$36,5,FALSE),0)</f>
        <v>0</v>
      </c>
      <c r="K3103">
        <f>IFERROR(HLOOKUP(K$2,[94]table_female_hkom1_inj.ill_X6!$A$1:$K$36,5,FALSE),0)</f>
        <v>0</v>
      </c>
      <c r="L3103">
        <f>IFERROR(HLOOKUP(L$2,[94]table_female_hkom1_inj.ill_X6!$A$1:$K$36,5,FALSE),0)</f>
        <v>0</v>
      </c>
      <c r="M3103">
        <f t="shared" si="969"/>
        <v>0</v>
      </c>
      <c r="S3103" t="s">
        <v>73</v>
      </c>
      <c r="T3103" s="5">
        <f t="shared" si="970"/>
        <v>0</v>
      </c>
      <c r="U3103" s="5">
        <f t="shared" si="971"/>
        <v>0</v>
      </c>
      <c r="V3103" s="5">
        <f t="shared" si="972"/>
        <v>0</v>
      </c>
      <c r="W3103" s="5">
        <f t="shared" si="973"/>
        <v>0</v>
      </c>
      <c r="X3103" s="5">
        <f t="shared" si="974"/>
        <v>0</v>
      </c>
      <c r="Y3103" s="5">
        <f t="shared" si="975"/>
        <v>0</v>
      </c>
      <c r="Z3103" s="5">
        <f t="shared" si="976"/>
        <v>0</v>
      </c>
      <c r="AA3103" s="5">
        <f t="shared" si="977"/>
        <v>0</v>
      </c>
      <c r="AB3103" s="5">
        <f t="shared" si="957"/>
        <v>0</v>
      </c>
    </row>
    <row r="3104" spans="1:29" x14ac:dyDescent="0.25">
      <c r="D3104" t="s">
        <v>74</v>
      </c>
      <c r="E3104" s="14"/>
      <c r="F3104" s="14"/>
      <c r="G3104">
        <f>IFERROR(HLOOKUP(G$2,[94]table_female_hkom1_inj.ill_X6!$A$1:$K$36,6,FALSE),0)</f>
        <v>0</v>
      </c>
      <c r="H3104">
        <f>IFERROR(HLOOKUP(H$2,[94]table_female_hkom1_inj.ill_X6!$A$1:$K$36,6,FALSE),0)</f>
        <v>0</v>
      </c>
      <c r="I3104">
        <f>IFERROR(HLOOKUP(I$2,[94]table_female_hkom1_inj.ill_X6!$A$1:$K$36,6,FALSE),0)</f>
        <v>0</v>
      </c>
      <c r="J3104">
        <f>IFERROR(HLOOKUP(J$2,[94]table_female_hkom1_inj.ill_X6!$A$1:$K$36,6,FALSE),0)</f>
        <v>0</v>
      </c>
      <c r="K3104">
        <f>IFERROR(HLOOKUP(K$2,[94]table_female_hkom1_inj.ill_X6!$A$1:$K$36,6,FALSE),0)</f>
        <v>0</v>
      </c>
      <c r="L3104">
        <f>IFERROR(HLOOKUP(L$2,[94]table_female_hkom1_inj.ill_X6!$A$1:$K$36,6,FALSE),0)</f>
        <v>0</v>
      </c>
      <c r="M3104">
        <f t="shared" si="969"/>
        <v>0</v>
      </c>
      <c r="S3104" t="s">
        <v>74</v>
      </c>
      <c r="T3104" s="5">
        <f t="shared" si="970"/>
        <v>0</v>
      </c>
      <c r="U3104" s="5">
        <f t="shared" si="971"/>
        <v>0</v>
      </c>
      <c r="V3104" s="5">
        <f t="shared" si="972"/>
        <v>0</v>
      </c>
      <c r="W3104" s="5">
        <f t="shared" si="973"/>
        <v>0</v>
      </c>
      <c r="X3104" s="5">
        <f t="shared" si="974"/>
        <v>0</v>
      </c>
      <c r="Y3104" s="5">
        <f t="shared" si="975"/>
        <v>0</v>
      </c>
      <c r="Z3104" s="5">
        <f t="shared" si="976"/>
        <v>0</v>
      </c>
      <c r="AA3104" s="5">
        <f t="shared" si="977"/>
        <v>0</v>
      </c>
      <c r="AB3104" s="5">
        <f t="shared" si="957"/>
        <v>0</v>
      </c>
    </row>
    <row r="3105" spans="4:28" x14ac:dyDescent="0.25">
      <c r="D3105" t="s">
        <v>75</v>
      </c>
      <c r="E3105" s="14"/>
      <c r="F3105" s="14"/>
      <c r="G3105">
        <f>IFERROR(HLOOKUP(G$2,[94]table_female_hkom1_inj.ill_X6!$A$1:$K$36,7,FALSE),0)</f>
        <v>0</v>
      </c>
      <c r="H3105">
        <f>IFERROR(HLOOKUP(H$2,[94]table_female_hkom1_inj.ill_X6!$A$1:$K$36,7,FALSE),0)</f>
        <v>0</v>
      </c>
      <c r="I3105">
        <f>IFERROR(HLOOKUP(I$2,[94]table_female_hkom1_inj.ill_X6!$A$1:$K$36,7,FALSE),0)</f>
        <v>0</v>
      </c>
      <c r="J3105">
        <f>IFERROR(HLOOKUP(J$2,[94]table_female_hkom1_inj.ill_X6!$A$1:$K$36,7,FALSE),0)</f>
        <v>0</v>
      </c>
      <c r="K3105">
        <f>IFERROR(HLOOKUP(K$2,[94]table_female_hkom1_inj.ill_X6!$A$1:$K$36,7,FALSE),0)</f>
        <v>0</v>
      </c>
      <c r="L3105">
        <f>IFERROR(HLOOKUP(L$2,[94]table_female_hkom1_inj.ill_X6!$A$1:$K$36,7,FALSE),0)</f>
        <v>0</v>
      </c>
      <c r="M3105">
        <f t="shared" si="969"/>
        <v>0</v>
      </c>
      <c r="S3105" t="s">
        <v>75</v>
      </c>
      <c r="T3105" s="5">
        <f t="shared" si="970"/>
        <v>0</v>
      </c>
      <c r="U3105" s="5">
        <f t="shared" si="971"/>
        <v>0</v>
      </c>
      <c r="V3105" s="5">
        <f t="shared" si="972"/>
        <v>0</v>
      </c>
      <c r="W3105" s="5">
        <f t="shared" si="973"/>
        <v>0</v>
      </c>
      <c r="X3105" s="5">
        <f t="shared" si="974"/>
        <v>0</v>
      </c>
      <c r="Y3105" s="5">
        <f t="shared" si="975"/>
        <v>0</v>
      </c>
      <c r="Z3105" s="5">
        <f t="shared" si="976"/>
        <v>0</v>
      </c>
      <c r="AA3105" s="5">
        <f t="shared" si="977"/>
        <v>0</v>
      </c>
      <c r="AB3105" s="5">
        <f t="shared" si="957"/>
        <v>0</v>
      </c>
    </row>
    <row r="3106" spans="4:28" x14ac:dyDescent="0.25">
      <c r="D3106" t="s">
        <v>76</v>
      </c>
      <c r="E3106" s="14"/>
      <c r="F3106" s="14"/>
      <c r="G3106">
        <f>IFERROR(HLOOKUP(G$2,[94]table_female_hkom1_inj.ill_X6!$A$1:$K$36,8,FALSE),0)</f>
        <v>0</v>
      </c>
      <c r="H3106">
        <f>IFERROR(HLOOKUP(H$2,[94]table_female_hkom1_inj.ill_X6!$A$1:$K$36,8,FALSE),0)</f>
        <v>0</v>
      </c>
      <c r="I3106">
        <f>IFERROR(HLOOKUP(I$2,[94]table_female_hkom1_inj.ill_X6!$A$1:$K$36,8,FALSE),0)</f>
        <v>0</v>
      </c>
      <c r="J3106">
        <f>IFERROR(HLOOKUP(J$2,[94]table_female_hkom1_inj.ill_X6!$A$1:$K$36,8,FALSE),0)</f>
        <v>0</v>
      </c>
      <c r="K3106">
        <f>IFERROR(HLOOKUP(K$2,[94]table_female_hkom1_inj.ill_X6!$A$1:$K$36,8,FALSE),0)</f>
        <v>0</v>
      </c>
      <c r="L3106">
        <f>IFERROR(HLOOKUP(L$2,[94]table_female_hkom1_inj.ill_X6!$A$1:$K$36,8,FALSE),0)</f>
        <v>0</v>
      </c>
      <c r="M3106">
        <f t="shared" si="969"/>
        <v>0</v>
      </c>
      <c r="S3106" t="s">
        <v>76</v>
      </c>
      <c r="T3106" s="5">
        <f t="shared" si="970"/>
        <v>0</v>
      </c>
      <c r="U3106" s="5">
        <f t="shared" si="971"/>
        <v>0</v>
      </c>
      <c r="V3106" s="5">
        <f t="shared" si="972"/>
        <v>0</v>
      </c>
      <c r="W3106" s="5">
        <f t="shared" si="973"/>
        <v>0</v>
      </c>
      <c r="X3106" s="5">
        <f t="shared" si="974"/>
        <v>0</v>
      </c>
      <c r="Y3106" s="5">
        <f t="shared" si="975"/>
        <v>0</v>
      </c>
      <c r="Z3106" s="5">
        <f t="shared" si="976"/>
        <v>0</v>
      </c>
      <c r="AA3106" s="5">
        <f t="shared" si="977"/>
        <v>0</v>
      </c>
      <c r="AB3106" s="5">
        <f t="shared" si="957"/>
        <v>0</v>
      </c>
    </row>
    <row r="3107" spans="4:28" x14ac:dyDescent="0.25">
      <c r="D3107" t="s">
        <v>77</v>
      </c>
      <c r="E3107" s="14"/>
      <c r="F3107" s="14"/>
      <c r="G3107">
        <f>IFERROR(HLOOKUP(G$2,[94]table_female_hkom1_inj.ill_X6!$A$1:$K$36,9,FALSE),0)</f>
        <v>0</v>
      </c>
      <c r="H3107">
        <f>IFERROR(HLOOKUP(H$2,[94]table_female_hkom1_inj.ill_X6!$A$1:$K$36,9,FALSE),0)</f>
        <v>0</v>
      </c>
      <c r="I3107">
        <f>IFERROR(HLOOKUP(I$2,[94]table_female_hkom1_inj.ill_X6!$A$1:$K$36,9,FALSE),0)</f>
        <v>0</v>
      </c>
      <c r="J3107">
        <f>IFERROR(HLOOKUP(J$2,[94]table_female_hkom1_inj.ill_X6!$A$1:$K$36,9,FALSE),0)</f>
        <v>0</v>
      </c>
      <c r="K3107">
        <f>IFERROR(HLOOKUP(K$2,[94]table_female_hkom1_inj.ill_X6!$A$1:$K$36,9,FALSE),0)</f>
        <v>0</v>
      </c>
      <c r="L3107">
        <f>IFERROR(HLOOKUP(L$2,[94]table_female_hkom1_inj.ill_X6!$A$1:$K$36,9,FALSE),0)</f>
        <v>0</v>
      </c>
      <c r="M3107">
        <f t="shared" si="969"/>
        <v>0</v>
      </c>
      <c r="S3107" t="s">
        <v>77</v>
      </c>
      <c r="T3107" s="5">
        <f t="shared" si="970"/>
        <v>0</v>
      </c>
      <c r="U3107" s="5">
        <f t="shared" si="971"/>
        <v>0</v>
      </c>
      <c r="V3107" s="5">
        <f t="shared" si="972"/>
        <v>0</v>
      </c>
      <c r="W3107" s="5">
        <f t="shared" si="973"/>
        <v>0</v>
      </c>
      <c r="X3107" s="5">
        <f t="shared" si="974"/>
        <v>0</v>
      </c>
      <c r="Y3107" s="5">
        <f t="shared" si="975"/>
        <v>0</v>
      </c>
      <c r="Z3107" s="5">
        <f t="shared" si="976"/>
        <v>0</v>
      </c>
      <c r="AA3107" s="5">
        <f t="shared" si="977"/>
        <v>0</v>
      </c>
      <c r="AB3107" s="5">
        <f t="shared" si="957"/>
        <v>0</v>
      </c>
    </row>
    <row r="3108" spans="4:28" x14ac:dyDescent="0.25">
      <c r="D3108" t="s">
        <v>78</v>
      </c>
      <c r="E3108" s="14"/>
      <c r="F3108" s="14"/>
      <c r="G3108">
        <f>IFERROR(HLOOKUP(G$2,[94]table_female_hkom1_inj.ill_X6!$A$1:$K$36,10,FALSE),0)</f>
        <v>0</v>
      </c>
      <c r="H3108">
        <f>IFERROR(HLOOKUP(H$2,[94]table_female_hkom1_inj.ill_X6!$A$1:$K$36,10,FALSE),0)</f>
        <v>0</v>
      </c>
      <c r="I3108">
        <f>IFERROR(HLOOKUP(I$2,[94]table_female_hkom1_inj.ill_X6!$A$1:$K$36,10,FALSE),0)</f>
        <v>0</v>
      </c>
      <c r="J3108">
        <f>IFERROR(HLOOKUP(J$2,[94]table_female_hkom1_inj.ill_X6!$A$1:$K$36,10,FALSE),0)</f>
        <v>0</v>
      </c>
      <c r="K3108">
        <f>IFERROR(HLOOKUP(K$2,[94]table_female_hkom1_inj.ill_X6!$A$1:$K$36,10,FALSE),0)</f>
        <v>0</v>
      </c>
      <c r="L3108">
        <f>IFERROR(HLOOKUP(L$2,[94]table_female_hkom1_inj.ill_X6!$A$1:$K$36,10,FALSE),0)</f>
        <v>0</v>
      </c>
      <c r="M3108">
        <f t="shared" si="969"/>
        <v>0</v>
      </c>
      <c r="S3108" t="s">
        <v>78</v>
      </c>
      <c r="T3108" s="5">
        <f t="shared" si="970"/>
        <v>0</v>
      </c>
      <c r="U3108" s="5">
        <f t="shared" si="971"/>
        <v>0</v>
      </c>
      <c r="V3108" s="5">
        <f t="shared" si="972"/>
        <v>0</v>
      </c>
      <c r="W3108" s="5">
        <f t="shared" si="973"/>
        <v>0</v>
      </c>
      <c r="X3108" s="5">
        <f t="shared" si="974"/>
        <v>0</v>
      </c>
      <c r="Y3108" s="5">
        <f t="shared" si="975"/>
        <v>0</v>
      </c>
      <c r="Z3108" s="5">
        <f t="shared" si="976"/>
        <v>0</v>
      </c>
      <c r="AA3108" s="5">
        <f t="shared" si="977"/>
        <v>0</v>
      </c>
      <c r="AB3108" s="5">
        <f t="shared" si="957"/>
        <v>0</v>
      </c>
    </row>
    <row r="3109" spans="4:28" x14ac:dyDescent="0.25">
      <c r="D3109" t="s">
        <v>79</v>
      </c>
      <c r="E3109" s="14"/>
      <c r="F3109" s="14"/>
      <c r="G3109">
        <f>IFERROR(HLOOKUP(G$2,[94]table_female_hkom1_inj.ill_X6!$A$1:$K$36,11,FALSE),0)</f>
        <v>0</v>
      </c>
      <c r="H3109">
        <f>IFERROR(HLOOKUP(H$2,[94]table_female_hkom1_inj.ill_X6!$A$1:$K$36,11,FALSE),0)</f>
        <v>0</v>
      </c>
      <c r="I3109">
        <f>IFERROR(HLOOKUP(I$2,[94]table_female_hkom1_inj.ill_X6!$A$1:$K$36,11,FALSE),0)</f>
        <v>0</v>
      </c>
      <c r="J3109">
        <f>IFERROR(HLOOKUP(J$2,[94]table_female_hkom1_inj.ill_X6!$A$1:$K$36,11,FALSE),0)</f>
        <v>0</v>
      </c>
      <c r="K3109">
        <f>IFERROR(HLOOKUP(K$2,[94]table_female_hkom1_inj.ill_X6!$A$1:$K$36,11,FALSE),0)</f>
        <v>0</v>
      </c>
      <c r="L3109">
        <f>IFERROR(HLOOKUP(L$2,[94]table_female_hkom1_inj.ill_X6!$A$1:$K$36,11,FALSE),0)</f>
        <v>0</v>
      </c>
      <c r="M3109">
        <f t="shared" si="969"/>
        <v>0</v>
      </c>
      <c r="S3109" t="s">
        <v>79</v>
      </c>
      <c r="T3109" s="5">
        <f t="shared" si="970"/>
        <v>0</v>
      </c>
      <c r="U3109" s="5">
        <f t="shared" si="971"/>
        <v>0</v>
      </c>
      <c r="V3109" s="5">
        <f t="shared" si="972"/>
        <v>0</v>
      </c>
      <c r="W3109" s="5">
        <f t="shared" si="973"/>
        <v>0</v>
      </c>
      <c r="X3109" s="5">
        <f t="shared" si="974"/>
        <v>0</v>
      </c>
      <c r="Y3109" s="5">
        <f t="shared" si="975"/>
        <v>0</v>
      </c>
      <c r="Z3109" s="5">
        <f t="shared" si="976"/>
        <v>0</v>
      </c>
      <c r="AA3109" s="5">
        <f t="shared" si="977"/>
        <v>0</v>
      </c>
      <c r="AB3109" s="5">
        <f t="shared" si="957"/>
        <v>0</v>
      </c>
    </row>
    <row r="3110" spans="4:28" x14ac:dyDescent="0.25">
      <c r="D3110" t="s">
        <v>80</v>
      </c>
      <c r="E3110" s="14"/>
      <c r="F3110" s="14"/>
      <c r="G3110">
        <f>IFERROR(HLOOKUP(G$2,[94]table_female_hkom1_inj.ill_X6!$A$1:$K$36,12,FALSE),0)</f>
        <v>0</v>
      </c>
      <c r="H3110">
        <f>IFERROR(HLOOKUP(H$2,[94]table_female_hkom1_inj.ill_X6!$A$1:$K$36,12,FALSE),0)</f>
        <v>0</v>
      </c>
      <c r="I3110">
        <f>IFERROR(HLOOKUP(I$2,[94]table_female_hkom1_inj.ill_X6!$A$1:$K$36,12,FALSE),0)</f>
        <v>0</v>
      </c>
      <c r="J3110">
        <f>IFERROR(HLOOKUP(J$2,[94]table_female_hkom1_inj.ill_X6!$A$1:$K$36,12,FALSE),0)</f>
        <v>0</v>
      </c>
      <c r="K3110">
        <f>IFERROR(HLOOKUP(K$2,[94]table_female_hkom1_inj.ill_X6!$A$1:$K$36,12,FALSE),0)</f>
        <v>0</v>
      </c>
      <c r="L3110">
        <f>IFERROR(HLOOKUP(L$2,[94]table_female_hkom1_inj.ill_X6!$A$1:$K$36,12,FALSE),0)</f>
        <v>0</v>
      </c>
      <c r="M3110">
        <f t="shared" si="969"/>
        <v>0</v>
      </c>
      <c r="S3110" t="s">
        <v>80</v>
      </c>
      <c r="T3110" s="5">
        <f t="shared" si="970"/>
        <v>0</v>
      </c>
      <c r="U3110" s="5">
        <f t="shared" si="971"/>
        <v>0</v>
      </c>
      <c r="V3110" s="5">
        <f t="shared" si="972"/>
        <v>0</v>
      </c>
      <c r="W3110" s="5">
        <f t="shared" si="973"/>
        <v>0</v>
      </c>
      <c r="X3110" s="5">
        <f t="shared" si="974"/>
        <v>0</v>
      </c>
      <c r="Y3110" s="5">
        <f t="shared" si="975"/>
        <v>0</v>
      </c>
      <c r="Z3110" s="5">
        <f t="shared" si="976"/>
        <v>0</v>
      </c>
      <c r="AA3110" s="5">
        <f t="shared" si="977"/>
        <v>0</v>
      </c>
      <c r="AB3110" s="5">
        <f t="shared" si="957"/>
        <v>0</v>
      </c>
    </row>
    <row r="3111" spans="4:28" x14ac:dyDescent="0.25">
      <c r="D3111" t="s">
        <v>81</v>
      </c>
      <c r="E3111" s="14"/>
      <c r="F3111" s="14"/>
      <c r="G3111">
        <f>IFERROR(HLOOKUP(G$2,[94]table_female_hkom1_inj.ill_X6!$A$1:$K$36,13,FALSE),0)</f>
        <v>0</v>
      </c>
      <c r="H3111">
        <f>IFERROR(HLOOKUP(H$2,[94]table_female_hkom1_inj.ill_X6!$A$1:$K$36,13,FALSE),0)</f>
        <v>0</v>
      </c>
      <c r="I3111">
        <f>IFERROR(HLOOKUP(I$2,[94]table_female_hkom1_inj.ill_X6!$A$1:$K$36,13,FALSE),0)</f>
        <v>0</v>
      </c>
      <c r="J3111">
        <f>IFERROR(HLOOKUP(J$2,[94]table_female_hkom1_inj.ill_X6!$A$1:$K$36,13,FALSE),0)</f>
        <v>0</v>
      </c>
      <c r="K3111">
        <f>IFERROR(HLOOKUP(K$2,[94]table_female_hkom1_inj.ill_X6!$A$1:$K$36,13,FALSE),0)</f>
        <v>0</v>
      </c>
      <c r="L3111">
        <f>IFERROR(HLOOKUP(L$2,[94]table_female_hkom1_inj.ill_X6!$A$1:$K$36,13,FALSE),0)</f>
        <v>0</v>
      </c>
      <c r="M3111">
        <f t="shared" si="969"/>
        <v>0</v>
      </c>
      <c r="S3111" t="s">
        <v>81</v>
      </c>
      <c r="T3111" s="5">
        <f t="shared" si="970"/>
        <v>0</v>
      </c>
      <c r="U3111" s="5">
        <f t="shared" si="971"/>
        <v>0</v>
      </c>
      <c r="V3111" s="5">
        <f t="shared" si="972"/>
        <v>0</v>
      </c>
      <c r="W3111" s="5">
        <f t="shared" si="973"/>
        <v>0</v>
      </c>
      <c r="X3111" s="5">
        <f t="shared" si="974"/>
        <v>0</v>
      </c>
      <c r="Y3111" s="5">
        <f t="shared" si="975"/>
        <v>0</v>
      </c>
      <c r="Z3111" s="5">
        <f t="shared" si="976"/>
        <v>0</v>
      </c>
      <c r="AA3111" s="5">
        <f t="shared" si="977"/>
        <v>0</v>
      </c>
      <c r="AB3111" s="5">
        <f t="shared" si="957"/>
        <v>0</v>
      </c>
    </row>
    <row r="3112" spans="4:28" x14ac:dyDescent="0.25">
      <c r="D3112" t="s">
        <v>82</v>
      </c>
      <c r="E3112" s="14"/>
      <c r="F3112" s="14"/>
      <c r="G3112">
        <f>IFERROR(HLOOKUP(G$2,[94]table_female_hkom1_inj.ill_X6!$A$1:$K$36,14,FALSE),0)</f>
        <v>0</v>
      </c>
      <c r="H3112">
        <f>IFERROR(HLOOKUP(H$2,[94]table_female_hkom1_inj.ill_X6!$A$1:$K$36,14,FALSE),0)</f>
        <v>0</v>
      </c>
      <c r="I3112">
        <f>IFERROR(HLOOKUP(I$2,[94]table_female_hkom1_inj.ill_X6!$A$1:$K$36,14,FALSE),0)</f>
        <v>0</v>
      </c>
      <c r="J3112">
        <f>IFERROR(HLOOKUP(J$2,[94]table_female_hkom1_inj.ill_X6!$A$1:$K$36,14,FALSE),0)</f>
        <v>0</v>
      </c>
      <c r="K3112">
        <f>IFERROR(HLOOKUP(K$2,[94]table_female_hkom1_inj.ill_X6!$A$1:$K$36,14,FALSE),0)</f>
        <v>0</v>
      </c>
      <c r="L3112">
        <f>IFERROR(HLOOKUP(L$2,[94]table_female_hkom1_inj.ill_X6!$A$1:$K$36,14,FALSE),0)</f>
        <v>0</v>
      </c>
      <c r="M3112">
        <f t="shared" si="969"/>
        <v>0</v>
      </c>
      <c r="S3112" t="s">
        <v>82</v>
      </c>
      <c r="T3112" s="5">
        <f t="shared" si="970"/>
        <v>0</v>
      </c>
      <c r="U3112" s="5">
        <f t="shared" si="971"/>
        <v>0</v>
      </c>
      <c r="V3112" s="5">
        <f t="shared" si="972"/>
        <v>0</v>
      </c>
      <c r="W3112" s="5">
        <f t="shared" si="973"/>
        <v>0</v>
      </c>
      <c r="X3112" s="5">
        <f t="shared" si="974"/>
        <v>0</v>
      </c>
      <c r="Y3112" s="5">
        <f t="shared" si="975"/>
        <v>0</v>
      </c>
      <c r="Z3112" s="5">
        <f t="shared" si="976"/>
        <v>0</v>
      </c>
      <c r="AA3112" s="5">
        <f t="shared" si="977"/>
        <v>0</v>
      </c>
      <c r="AB3112" s="5">
        <f t="shared" si="957"/>
        <v>0</v>
      </c>
    </row>
    <row r="3113" spans="4:28" x14ac:dyDescent="0.25">
      <c r="D3113" t="s">
        <v>83</v>
      </c>
      <c r="E3113" s="14"/>
      <c r="F3113" s="14"/>
      <c r="G3113">
        <f>IFERROR(HLOOKUP(G$2,[94]table_female_hkom1_inj.ill_X6!$A$1:$K$36,15,FALSE),0)</f>
        <v>0</v>
      </c>
      <c r="H3113">
        <f>IFERROR(HLOOKUP(H$2,[94]table_female_hkom1_inj.ill_X6!$A$1:$K$36,15,FALSE),0)</f>
        <v>0</v>
      </c>
      <c r="I3113">
        <f>IFERROR(HLOOKUP(I$2,[94]table_female_hkom1_inj.ill_X6!$A$1:$K$36,15,FALSE),0)</f>
        <v>0</v>
      </c>
      <c r="J3113">
        <f>IFERROR(HLOOKUP(J$2,[94]table_female_hkom1_inj.ill_X6!$A$1:$K$36,15,FALSE),0)</f>
        <v>0</v>
      </c>
      <c r="K3113">
        <f>IFERROR(HLOOKUP(K$2,[94]table_female_hkom1_inj.ill_X6!$A$1:$K$36,15,FALSE),0)</f>
        <v>0</v>
      </c>
      <c r="L3113">
        <f>IFERROR(HLOOKUP(L$2,[94]table_female_hkom1_inj.ill_X6!$A$1:$K$36,15,FALSE),0)</f>
        <v>0</v>
      </c>
      <c r="M3113">
        <f t="shared" si="969"/>
        <v>0</v>
      </c>
      <c r="S3113" t="s">
        <v>83</v>
      </c>
      <c r="T3113" s="5">
        <f t="shared" si="970"/>
        <v>0</v>
      </c>
      <c r="U3113" s="5">
        <f t="shared" si="971"/>
        <v>0</v>
      </c>
      <c r="V3113" s="5">
        <f t="shared" si="972"/>
        <v>0</v>
      </c>
      <c r="W3113" s="5">
        <f t="shared" si="973"/>
        <v>0</v>
      </c>
      <c r="X3113" s="5">
        <f t="shared" si="974"/>
        <v>0</v>
      </c>
      <c r="Y3113" s="5">
        <f t="shared" si="975"/>
        <v>0</v>
      </c>
      <c r="Z3113" s="5">
        <f t="shared" si="976"/>
        <v>0</v>
      </c>
      <c r="AA3113" s="5">
        <f t="shared" si="977"/>
        <v>0</v>
      </c>
      <c r="AB3113" s="5">
        <f t="shared" si="957"/>
        <v>0</v>
      </c>
    </row>
    <row r="3114" spans="4:28" x14ac:dyDescent="0.25">
      <c r="D3114" t="s">
        <v>84</v>
      </c>
      <c r="E3114" s="14"/>
      <c r="F3114" s="14"/>
      <c r="G3114">
        <f>IFERROR(HLOOKUP(G$2,[94]table_female_hkom1_inj.ill_X6!$A$1:$K$36,16,FALSE),0)</f>
        <v>0</v>
      </c>
      <c r="H3114">
        <f>IFERROR(HLOOKUP(H$2,[94]table_female_hkom1_inj.ill_X6!$A$1:$K$36,16,FALSE),0)</f>
        <v>0</v>
      </c>
      <c r="I3114">
        <f>IFERROR(HLOOKUP(I$2,[94]table_female_hkom1_inj.ill_X6!$A$1:$K$36,16,FALSE),0)</f>
        <v>0</v>
      </c>
      <c r="J3114">
        <f>IFERROR(HLOOKUP(J$2,[94]table_female_hkom1_inj.ill_X6!$A$1:$K$36,16,FALSE),0)</f>
        <v>0</v>
      </c>
      <c r="K3114">
        <f>IFERROR(HLOOKUP(K$2,[94]table_female_hkom1_inj.ill_X6!$A$1:$K$36,16,FALSE),0)</f>
        <v>0</v>
      </c>
      <c r="L3114">
        <f>IFERROR(HLOOKUP(L$2,[94]table_female_hkom1_inj.ill_X6!$A$1:$K$36,16,FALSE),0)</f>
        <v>0</v>
      </c>
      <c r="M3114">
        <f t="shared" si="969"/>
        <v>0</v>
      </c>
      <c r="S3114" t="s">
        <v>84</v>
      </c>
      <c r="T3114" s="5">
        <f t="shared" si="970"/>
        <v>0</v>
      </c>
      <c r="U3114" s="5">
        <f t="shared" si="971"/>
        <v>0</v>
      </c>
      <c r="V3114" s="5">
        <f t="shared" si="972"/>
        <v>0</v>
      </c>
      <c r="W3114" s="5">
        <f t="shared" si="973"/>
        <v>0</v>
      </c>
      <c r="X3114" s="5">
        <f t="shared" si="974"/>
        <v>0</v>
      </c>
      <c r="Y3114" s="5">
        <f t="shared" si="975"/>
        <v>0</v>
      </c>
      <c r="Z3114" s="5">
        <f t="shared" si="976"/>
        <v>0</v>
      </c>
      <c r="AA3114" s="5">
        <f t="shared" si="977"/>
        <v>0</v>
      </c>
      <c r="AB3114" s="5">
        <f t="shared" si="957"/>
        <v>0</v>
      </c>
    </row>
    <row r="3115" spans="4:28" x14ac:dyDescent="0.25">
      <c r="D3115" t="s">
        <v>85</v>
      </c>
      <c r="E3115" s="14"/>
      <c r="F3115" s="14"/>
      <c r="G3115">
        <f>IFERROR(HLOOKUP(G$2,[94]table_female_hkom1_inj.ill_X6!$A$1:$K$36,17,FALSE),0)</f>
        <v>0</v>
      </c>
      <c r="H3115">
        <f>IFERROR(HLOOKUP(H$2,[94]table_female_hkom1_inj.ill_X6!$A$1:$K$36,17,FALSE),0)</f>
        <v>0</v>
      </c>
      <c r="I3115">
        <f>IFERROR(HLOOKUP(I$2,[94]table_female_hkom1_inj.ill_X6!$A$1:$K$36,17,FALSE),0)</f>
        <v>0</v>
      </c>
      <c r="J3115">
        <f>IFERROR(HLOOKUP(J$2,[94]table_female_hkom1_inj.ill_X6!$A$1:$K$36,17,FALSE),0)</f>
        <v>0</v>
      </c>
      <c r="K3115">
        <f>IFERROR(HLOOKUP(K$2,[94]table_female_hkom1_inj.ill_X6!$A$1:$K$36,17,FALSE),0)</f>
        <v>0</v>
      </c>
      <c r="L3115">
        <f>IFERROR(HLOOKUP(L$2,[94]table_female_hkom1_inj.ill_X6!$A$1:$K$36,17,FALSE),0)</f>
        <v>0</v>
      </c>
      <c r="M3115">
        <f t="shared" si="969"/>
        <v>0</v>
      </c>
      <c r="S3115" t="s">
        <v>85</v>
      </c>
      <c r="T3115" s="5">
        <f t="shared" si="970"/>
        <v>0</v>
      </c>
      <c r="U3115" s="5">
        <f t="shared" si="971"/>
        <v>0</v>
      </c>
      <c r="V3115" s="5">
        <f t="shared" si="972"/>
        <v>0</v>
      </c>
      <c r="W3115" s="5">
        <f t="shared" si="973"/>
        <v>0</v>
      </c>
      <c r="X3115" s="5">
        <f t="shared" si="974"/>
        <v>0</v>
      </c>
      <c r="Y3115" s="5">
        <f t="shared" si="975"/>
        <v>0</v>
      </c>
      <c r="Z3115" s="5">
        <f t="shared" si="976"/>
        <v>0</v>
      </c>
      <c r="AA3115" s="5">
        <f t="shared" si="977"/>
        <v>0</v>
      </c>
      <c r="AB3115" s="5">
        <f t="shared" ref="AB3115:AB3178" si="978">SUM(T3115:AA3115)</f>
        <v>0</v>
      </c>
    </row>
    <row r="3116" spans="4:28" x14ac:dyDescent="0.25">
      <c r="D3116" t="s">
        <v>86</v>
      </c>
      <c r="E3116" s="14"/>
      <c r="F3116" s="14"/>
      <c r="G3116">
        <f>IFERROR(HLOOKUP(G$2,[94]table_female_hkom1_inj.ill_X6!$A$1:$K$36,18,FALSE),0)</f>
        <v>0</v>
      </c>
      <c r="H3116">
        <f>IFERROR(HLOOKUP(H$2,[94]table_female_hkom1_inj.ill_X6!$A$1:$K$36,18,FALSE),0)</f>
        <v>0</v>
      </c>
      <c r="I3116">
        <f>IFERROR(HLOOKUP(I$2,[94]table_female_hkom1_inj.ill_X6!$A$1:$K$36,18,FALSE),0)</f>
        <v>0</v>
      </c>
      <c r="J3116">
        <f>IFERROR(HLOOKUP(J$2,[94]table_female_hkom1_inj.ill_X6!$A$1:$K$36,18,FALSE),0)</f>
        <v>0</v>
      </c>
      <c r="K3116">
        <f>IFERROR(HLOOKUP(K$2,[94]table_female_hkom1_inj.ill_X6!$A$1:$K$36,18,FALSE),0)</f>
        <v>0</v>
      </c>
      <c r="L3116">
        <f>IFERROR(HLOOKUP(L$2,[94]table_female_hkom1_inj.ill_X6!$A$1:$K$36,18,FALSE),0)</f>
        <v>0</v>
      </c>
      <c r="M3116">
        <f t="shared" si="969"/>
        <v>0</v>
      </c>
      <c r="S3116" t="s">
        <v>86</v>
      </c>
      <c r="T3116" s="5">
        <f t="shared" si="970"/>
        <v>0</v>
      </c>
      <c r="U3116" s="5">
        <f t="shared" si="971"/>
        <v>0</v>
      </c>
      <c r="V3116" s="5">
        <f t="shared" si="972"/>
        <v>0</v>
      </c>
      <c r="W3116" s="5">
        <f t="shared" si="973"/>
        <v>0</v>
      </c>
      <c r="X3116" s="5">
        <f t="shared" si="974"/>
        <v>0</v>
      </c>
      <c r="Y3116" s="5">
        <f t="shared" si="975"/>
        <v>0</v>
      </c>
      <c r="Z3116" s="5">
        <f t="shared" si="976"/>
        <v>0</v>
      </c>
      <c r="AA3116" s="5">
        <f t="shared" si="977"/>
        <v>0</v>
      </c>
      <c r="AB3116" s="5">
        <f t="shared" si="978"/>
        <v>0</v>
      </c>
    </row>
    <row r="3117" spans="4:28" x14ac:dyDescent="0.25">
      <c r="D3117" t="s">
        <v>87</v>
      </c>
      <c r="E3117" s="14"/>
      <c r="F3117" s="14"/>
      <c r="G3117">
        <f>IFERROR(HLOOKUP(G$2,[94]table_female_hkom1_inj.ill_X6!$A$1:$K$36,19,FALSE),0)</f>
        <v>0</v>
      </c>
      <c r="H3117">
        <f>IFERROR(HLOOKUP(H$2,[94]table_female_hkom1_inj.ill_X6!$A$1:$K$36,19,FALSE),0)</f>
        <v>0</v>
      </c>
      <c r="I3117">
        <f>IFERROR(HLOOKUP(I$2,[94]table_female_hkom1_inj.ill_X6!$A$1:$K$36,19,FALSE),0)</f>
        <v>0</v>
      </c>
      <c r="J3117">
        <f>IFERROR(HLOOKUP(J$2,[94]table_female_hkom1_inj.ill_X6!$A$1:$K$36,19,FALSE),0)</f>
        <v>0</v>
      </c>
      <c r="K3117">
        <f>IFERROR(HLOOKUP(K$2,[94]table_female_hkom1_inj.ill_X6!$A$1:$K$36,19,FALSE),0)</f>
        <v>0</v>
      </c>
      <c r="L3117">
        <f>IFERROR(HLOOKUP(L$2,[94]table_female_hkom1_inj.ill_X6!$A$1:$K$36,19,FALSE),0)</f>
        <v>0</v>
      </c>
      <c r="M3117">
        <f t="shared" si="969"/>
        <v>0</v>
      </c>
      <c r="S3117" t="s">
        <v>87</v>
      </c>
      <c r="T3117" s="5">
        <f t="shared" si="970"/>
        <v>0</v>
      </c>
      <c r="U3117" s="5">
        <f t="shared" si="971"/>
        <v>0</v>
      </c>
      <c r="V3117" s="5">
        <f t="shared" si="972"/>
        <v>0</v>
      </c>
      <c r="W3117" s="5">
        <f t="shared" si="973"/>
        <v>0</v>
      </c>
      <c r="X3117" s="5">
        <f t="shared" si="974"/>
        <v>0</v>
      </c>
      <c r="Y3117" s="5">
        <f t="shared" si="975"/>
        <v>0</v>
      </c>
      <c r="Z3117" s="5">
        <f t="shared" si="976"/>
        <v>0</v>
      </c>
      <c r="AA3117" s="5">
        <f t="shared" si="977"/>
        <v>0</v>
      </c>
      <c r="AB3117" s="5">
        <f t="shared" si="978"/>
        <v>0</v>
      </c>
    </row>
    <row r="3118" spans="4:28" x14ac:dyDescent="0.25">
      <c r="D3118" t="s">
        <v>88</v>
      </c>
      <c r="E3118" s="14"/>
      <c r="F3118" s="14"/>
      <c r="G3118">
        <f>IFERROR(HLOOKUP(G$2,[94]table_female_hkom1_inj.ill_X6!$A$1:$K$36,20,FALSE),0)</f>
        <v>0</v>
      </c>
      <c r="H3118">
        <f>IFERROR(HLOOKUP(H$2,[94]table_female_hkom1_inj.ill_X6!$A$1:$K$36,20,FALSE),0)</f>
        <v>0</v>
      </c>
      <c r="I3118">
        <f>IFERROR(HLOOKUP(I$2,[94]table_female_hkom1_inj.ill_X6!$A$1:$K$36,20,FALSE),0)</f>
        <v>0</v>
      </c>
      <c r="J3118">
        <f>IFERROR(HLOOKUP(J$2,[94]table_female_hkom1_inj.ill_X6!$A$1:$K$36,20,FALSE),0)</f>
        <v>0</v>
      </c>
      <c r="K3118">
        <f>IFERROR(HLOOKUP(K$2,[94]table_female_hkom1_inj.ill_X6!$A$1:$K$36,20,FALSE),0)</f>
        <v>0</v>
      </c>
      <c r="L3118">
        <f>IFERROR(HLOOKUP(L$2,[94]table_female_hkom1_inj.ill_X6!$A$1:$K$36,20,FALSE),0)</f>
        <v>0</v>
      </c>
      <c r="M3118">
        <f t="shared" si="969"/>
        <v>0</v>
      </c>
      <c r="S3118" t="s">
        <v>88</v>
      </c>
      <c r="T3118" s="5">
        <f t="shared" si="970"/>
        <v>0</v>
      </c>
      <c r="U3118" s="5">
        <f t="shared" si="971"/>
        <v>0</v>
      </c>
      <c r="V3118" s="5">
        <f t="shared" si="972"/>
        <v>0</v>
      </c>
      <c r="W3118" s="5">
        <f t="shared" si="973"/>
        <v>0</v>
      </c>
      <c r="X3118" s="5">
        <f t="shared" si="974"/>
        <v>0</v>
      </c>
      <c r="Y3118" s="5">
        <f t="shared" si="975"/>
        <v>0</v>
      </c>
      <c r="Z3118" s="5">
        <f t="shared" si="976"/>
        <v>0</v>
      </c>
      <c r="AA3118" s="5">
        <f t="shared" si="977"/>
        <v>0</v>
      </c>
      <c r="AB3118" s="5">
        <f t="shared" si="978"/>
        <v>0</v>
      </c>
    </row>
    <row r="3119" spans="4:28" x14ac:dyDescent="0.25">
      <c r="D3119" t="s">
        <v>89</v>
      </c>
      <c r="E3119" s="14"/>
      <c r="F3119" s="14"/>
      <c r="G3119">
        <f>IFERROR(HLOOKUP(G$2,[94]table_female_hkom1_inj.ill_X6!$A$1:$K$36,21,FALSE),0)</f>
        <v>0</v>
      </c>
      <c r="H3119">
        <f>IFERROR(HLOOKUP(H$2,[94]table_female_hkom1_inj.ill_X6!$A$1:$K$36,21,FALSE),0)</f>
        <v>0</v>
      </c>
      <c r="I3119">
        <f>IFERROR(HLOOKUP(I$2,[94]table_female_hkom1_inj.ill_X6!$A$1:$K$36,21,FALSE),0)</f>
        <v>0</v>
      </c>
      <c r="J3119">
        <f>IFERROR(HLOOKUP(J$2,[94]table_female_hkom1_inj.ill_X6!$A$1:$K$36,21,FALSE),0)</f>
        <v>0</v>
      </c>
      <c r="K3119">
        <f>IFERROR(HLOOKUP(K$2,[94]table_female_hkom1_inj.ill_X6!$A$1:$K$36,21,FALSE),0)</f>
        <v>0</v>
      </c>
      <c r="L3119">
        <f>IFERROR(HLOOKUP(L$2,[94]table_female_hkom1_inj.ill_X6!$A$1:$K$36,21,FALSE),0)</f>
        <v>0</v>
      </c>
      <c r="M3119">
        <f t="shared" si="969"/>
        <v>0</v>
      </c>
      <c r="S3119" t="s">
        <v>89</v>
      </c>
      <c r="T3119" s="5">
        <f t="shared" si="970"/>
        <v>0</v>
      </c>
      <c r="U3119" s="5">
        <f t="shared" si="971"/>
        <v>0</v>
      </c>
      <c r="V3119" s="5">
        <f t="shared" si="972"/>
        <v>0</v>
      </c>
      <c r="W3119" s="5">
        <f t="shared" si="973"/>
        <v>0</v>
      </c>
      <c r="X3119" s="5">
        <f t="shared" si="974"/>
        <v>0</v>
      </c>
      <c r="Y3119" s="5">
        <f t="shared" si="975"/>
        <v>0</v>
      </c>
      <c r="Z3119" s="5">
        <f t="shared" si="976"/>
        <v>0</v>
      </c>
      <c r="AA3119" s="5">
        <f t="shared" si="977"/>
        <v>0</v>
      </c>
      <c r="AB3119" s="5">
        <f t="shared" si="978"/>
        <v>0</v>
      </c>
    </row>
    <row r="3120" spans="4:28" x14ac:dyDescent="0.25">
      <c r="D3120" t="s">
        <v>90</v>
      </c>
      <c r="E3120" s="14"/>
      <c r="F3120" s="14"/>
      <c r="G3120">
        <f>IFERROR(HLOOKUP(G$2,[94]table_female_hkom1_inj.ill_X6!$A$1:$K$36,22,FALSE),0)</f>
        <v>0</v>
      </c>
      <c r="H3120">
        <f>IFERROR(HLOOKUP(H$2,[94]table_female_hkom1_inj.ill_X6!$A$1:$K$36,22,FALSE),0)</f>
        <v>0</v>
      </c>
      <c r="I3120">
        <f>IFERROR(HLOOKUP(I$2,[94]table_female_hkom1_inj.ill_X6!$A$1:$K$36,22,FALSE),0)</f>
        <v>0</v>
      </c>
      <c r="J3120">
        <f>IFERROR(HLOOKUP(J$2,[94]table_female_hkom1_inj.ill_X6!$A$1:$K$36,22,FALSE),0)</f>
        <v>0</v>
      </c>
      <c r="K3120">
        <f>IFERROR(HLOOKUP(K$2,[94]table_female_hkom1_inj.ill_X6!$A$1:$K$36,22,FALSE),0)</f>
        <v>0</v>
      </c>
      <c r="L3120">
        <f>IFERROR(HLOOKUP(L$2,[94]table_female_hkom1_inj.ill_X6!$A$1:$K$36,22,FALSE),0)</f>
        <v>0</v>
      </c>
      <c r="M3120">
        <f t="shared" si="969"/>
        <v>0</v>
      </c>
      <c r="S3120" t="s">
        <v>90</v>
      </c>
      <c r="T3120" s="5">
        <f t="shared" si="970"/>
        <v>0</v>
      </c>
      <c r="U3120" s="5">
        <f t="shared" si="971"/>
        <v>0</v>
      </c>
      <c r="V3120" s="5">
        <f t="shared" si="972"/>
        <v>0</v>
      </c>
      <c r="W3120" s="5">
        <f t="shared" si="973"/>
        <v>0</v>
      </c>
      <c r="X3120" s="5">
        <f t="shared" si="974"/>
        <v>0</v>
      </c>
      <c r="Y3120" s="5">
        <f t="shared" si="975"/>
        <v>0</v>
      </c>
      <c r="Z3120" s="5">
        <f t="shared" si="976"/>
        <v>0</v>
      </c>
      <c r="AA3120" s="5">
        <f t="shared" si="977"/>
        <v>0</v>
      </c>
      <c r="AB3120" s="5">
        <f t="shared" si="978"/>
        <v>0</v>
      </c>
    </row>
    <row r="3121" spans="1:29" x14ac:dyDescent="0.25">
      <c r="D3121" t="s">
        <v>91</v>
      </c>
      <c r="E3121" s="14"/>
      <c r="F3121" s="14"/>
      <c r="G3121">
        <f>IFERROR(HLOOKUP(G$2,[94]table_female_hkom1_inj.ill_X6!$A$1:$K$36,23,FALSE),0)</f>
        <v>0</v>
      </c>
      <c r="H3121">
        <f>IFERROR(HLOOKUP(H$2,[94]table_female_hkom1_inj.ill_X6!$A$1:$K$36,23,FALSE),0)</f>
        <v>0</v>
      </c>
      <c r="I3121">
        <f>IFERROR(HLOOKUP(I$2,[94]table_female_hkom1_inj.ill_X6!$A$1:$K$36,23,FALSE),0)</f>
        <v>0</v>
      </c>
      <c r="J3121">
        <f>IFERROR(HLOOKUP(J$2,[94]table_female_hkom1_inj.ill_X6!$A$1:$K$36,23,FALSE),0)</f>
        <v>0</v>
      </c>
      <c r="K3121">
        <f>IFERROR(HLOOKUP(K$2,[94]table_female_hkom1_inj.ill_X6!$A$1:$K$36,23,FALSE),0)</f>
        <v>0</v>
      </c>
      <c r="L3121">
        <f>IFERROR(HLOOKUP(L$2,[94]table_female_hkom1_inj.ill_X6!$A$1:$K$36,23,FALSE),0)</f>
        <v>0</v>
      </c>
      <c r="M3121">
        <f t="shared" si="969"/>
        <v>0</v>
      </c>
      <c r="S3121" t="s">
        <v>91</v>
      </c>
      <c r="T3121" s="5">
        <f t="shared" si="970"/>
        <v>0</v>
      </c>
      <c r="U3121" s="5">
        <f t="shared" si="971"/>
        <v>0</v>
      </c>
      <c r="V3121" s="5">
        <f t="shared" si="972"/>
        <v>0</v>
      </c>
      <c r="W3121" s="5">
        <f t="shared" si="973"/>
        <v>0</v>
      </c>
      <c r="X3121" s="5">
        <f t="shared" si="974"/>
        <v>0</v>
      </c>
      <c r="Y3121" s="5">
        <f t="shared" si="975"/>
        <v>0</v>
      </c>
      <c r="Z3121" s="5">
        <f t="shared" si="976"/>
        <v>0</v>
      </c>
      <c r="AA3121" s="5">
        <f t="shared" si="977"/>
        <v>0</v>
      </c>
      <c r="AB3121" s="5">
        <f t="shared" si="978"/>
        <v>0</v>
      </c>
    </row>
    <row r="3122" spans="1:29" x14ac:dyDescent="0.25">
      <c r="D3122" t="s">
        <v>92</v>
      </c>
      <c r="E3122" s="14"/>
      <c r="F3122" s="14"/>
      <c r="G3122">
        <f>IFERROR(HLOOKUP(G$2,[94]table_female_hkom1_inj.ill_X6!$A$1:$K$36,24,FALSE),0)</f>
        <v>0</v>
      </c>
      <c r="H3122">
        <f>IFERROR(HLOOKUP(H$2,[94]table_female_hkom1_inj.ill_X6!$A$1:$K$36,24,FALSE),0)</f>
        <v>0</v>
      </c>
      <c r="I3122">
        <f>IFERROR(HLOOKUP(I$2,[94]table_female_hkom1_inj.ill_X6!$A$1:$K$36,24,FALSE),0)</f>
        <v>0</v>
      </c>
      <c r="J3122">
        <f>IFERROR(HLOOKUP(J$2,[94]table_female_hkom1_inj.ill_X6!$A$1:$K$36,24,FALSE),0)</f>
        <v>0</v>
      </c>
      <c r="K3122">
        <f>IFERROR(HLOOKUP(K$2,[94]table_female_hkom1_inj.ill_X6!$A$1:$K$36,24,FALSE),0)</f>
        <v>0</v>
      </c>
      <c r="L3122">
        <f>IFERROR(HLOOKUP(L$2,[94]table_female_hkom1_inj.ill_X6!$A$1:$K$36,24,FALSE),0)</f>
        <v>0</v>
      </c>
      <c r="M3122">
        <f t="shared" si="969"/>
        <v>0</v>
      </c>
      <c r="S3122" t="s">
        <v>92</v>
      </c>
      <c r="T3122" s="5">
        <f t="shared" si="970"/>
        <v>0</v>
      </c>
      <c r="U3122" s="5">
        <f t="shared" si="971"/>
        <v>0</v>
      </c>
      <c r="V3122" s="5">
        <f t="shared" si="972"/>
        <v>0</v>
      </c>
      <c r="W3122" s="5">
        <f t="shared" si="973"/>
        <v>0</v>
      </c>
      <c r="X3122" s="5">
        <f t="shared" si="974"/>
        <v>0</v>
      </c>
      <c r="Y3122" s="5">
        <f t="shared" si="975"/>
        <v>0</v>
      </c>
      <c r="Z3122" s="5">
        <f t="shared" si="976"/>
        <v>0</v>
      </c>
      <c r="AA3122" s="5">
        <f t="shared" si="977"/>
        <v>0</v>
      </c>
      <c r="AB3122" s="5">
        <f t="shared" si="978"/>
        <v>0</v>
      </c>
    </row>
    <row r="3123" spans="1:29" x14ac:dyDescent="0.25">
      <c r="D3123" t="s">
        <v>93</v>
      </c>
      <c r="E3123" s="14"/>
      <c r="F3123" s="14"/>
      <c r="G3123">
        <f>IFERROR(HLOOKUP(G$2,[94]table_female_hkom1_inj.ill_X6!$A$1:$K$36,25,FALSE),0)</f>
        <v>0</v>
      </c>
      <c r="H3123">
        <f>IFERROR(HLOOKUP(H$2,[94]table_female_hkom1_inj.ill_X6!$A$1:$K$36,25,FALSE),0)</f>
        <v>0</v>
      </c>
      <c r="I3123">
        <f>IFERROR(HLOOKUP(I$2,[94]table_female_hkom1_inj.ill_X6!$A$1:$K$36,25,FALSE),0)</f>
        <v>0</v>
      </c>
      <c r="J3123">
        <f>IFERROR(HLOOKUP(J$2,[94]table_female_hkom1_inj.ill_X6!$A$1:$K$36,25,FALSE),0)</f>
        <v>0</v>
      </c>
      <c r="K3123">
        <f>IFERROR(HLOOKUP(K$2,[94]table_female_hkom1_inj.ill_X6!$A$1:$K$36,25,FALSE),0)</f>
        <v>0</v>
      </c>
      <c r="L3123">
        <f>IFERROR(HLOOKUP(L$2,[94]table_female_hkom1_inj.ill_X6!$A$1:$K$36,25,FALSE),0)</f>
        <v>0</v>
      </c>
      <c r="M3123">
        <f t="shared" si="969"/>
        <v>0</v>
      </c>
      <c r="S3123" t="s">
        <v>93</v>
      </c>
      <c r="T3123" s="5">
        <f t="shared" si="970"/>
        <v>0</v>
      </c>
      <c r="U3123" s="5">
        <f t="shared" si="971"/>
        <v>0</v>
      </c>
      <c r="V3123" s="5">
        <f t="shared" si="972"/>
        <v>0</v>
      </c>
      <c r="W3123" s="5">
        <f t="shared" si="973"/>
        <v>0</v>
      </c>
      <c r="X3123" s="5">
        <f t="shared" si="974"/>
        <v>0</v>
      </c>
      <c r="Y3123" s="5">
        <f t="shared" si="975"/>
        <v>0</v>
      </c>
      <c r="Z3123" s="5">
        <f t="shared" si="976"/>
        <v>0</v>
      </c>
      <c r="AA3123" s="5">
        <f t="shared" si="977"/>
        <v>0</v>
      </c>
      <c r="AB3123" s="5">
        <f t="shared" si="978"/>
        <v>0</v>
      </c>
    </row>
    <row r="3124" spans="1:29" x14ac:dyDescent="0.25">
      <c r="D3124" t="s">
        <v>94</v>
      </c>
      <c r="E3124" s="14"/>
      <c r="F3124" s="14"/>
      <c r="G3124">
        <f>IFERROR(HLOOKUP(G$2,[94]table_female_hkom1_inj.ill_X6!$A$1:$K$36,26,FALSE),0)</f>
        <v>0</v>
      </c>
      <c r="H3124">
        <f>IFERROR(HLOOKUP(H$2,[94]table_female_hkom1_inj.ill_X6!$A$1:$K$36,26,FALSE),0)</f>
        <v>0</v>
      </c>
      <c r="I3124">
        <f>IFERROR(HLOOKUP(I$2,[94]table_female_hkom1_inj.ill_X6!$A$1:$K$36,26,FALSE),0)</f>
        <v>0</v>
      </c>
      <c r="J3124">
        <f>IFERROR(HLOOKUP(J$2,[94]table_female_hkom1_inj.ill_X6!$A$1:$K$36,26,FALSE),0)</f>
        <v>0</v>
      </c>
      <c r="K3124">
        <f>IFERROR(HLOOKUP(K$2,[94]table_female_hkom1_inj.ill_X6!$A$1:$K$36,26,FALSE),0)</f>
        <v>0</v>
      </c>
      <c r="L3124">
        <f>IFERROR(HLOOKUP(L$2,[94]table_female_hkom1_inj.ill_X6!$A$1:$K$36,26,FALSE),0)</f>
        <v>0</v>
      </c>
      <c r="M3124">
        <f t="shared" si="969"/>
        <v>0</v>
      </c>
      <c r="S3124" t="s">
        <v>94</v>
      </c>
      <c r="T3124" s="5">
        <f t="shared" si="970"/>
        <v>0</v>
      </c>
      <c r="U3124" s="5">
        <f t="shared" si="971"/>
        <v>0</v>
      </c>
      <c r="V3124" s="5">
        <f t="shared" si="972"/>
        <v>0</v>
      </c>
      <c r="W3124" s="5">
        <f t="shared" si="973"/>
        <v>0</v>
      </c>
      <c r="X3124" s="5">
        <f t="shared" si="974"/>
        <v>0</v>
      </c>
      <c r="Y3124" s="5">
        <f t="shared" si="975"/>
        <v>0</v>
      </c>
      <c r="Z3124" s="5">
        <f t="shared" si="976"/>
        <v>0</v>
      </c>
      <c r="AA3124" s="5">
        <f t="shared" si="977"/>
        <v>0</v>
      </c>
      <c r="AB3124" s="5">
        <f t="shared" si="978"/>
        <v>0</v>
      </c>
    </row>
    <row r="3125" spans="1:29" x14ac:dyDescent="0.25">
      <c r="D3125" t="s">
        <v>95</v>
      </c>
      <c r="E3125" s="14"/>
      <c r="F3125" s="14"/>
      <c r="G3125">
        <f>IFERROR(HLOOKUP(G$2,[94]table_female_hkom1_inj.ill_X6!$A$1:$K$36,27,FALSE),0)</f>
        <v>0</v>
      </c>
      <c r="H3125">
        <f>IFERROR(HLOOKUP(H$2,[94]table_female_hkom1_inj.ill_X6!$A$1:$K$36,27,FALSE),0)</f>
        <v>0</v>
      </c>
      <c r="I3125">
        <f>IFERROR(HLOOKUP(I$2,[94]table_female_hkom1_inj.ill_X6!$A$1:$K$36,27,FALSE),0)</f>
        <v>0</v>
      </c>
      <c r="J3125">
        <f>IFERROR(HLOOKUP(J$2,[94]table_female_hkom1_inj.ill_X6!$A$1:$K$36,27,FALSE),0)</f>
        <v>0</v>
      </c>
      <c r="K3125">
        <f>IFERROR(HLOOKUP(K$2,[94]table_female_hkom1_inj.ill_X6!$A$1:$K$36,27,FALSE),0)</f>
        <v>0</v>
      </c>
      <c r="L3125">
        <f>IFERROR(HLOOKUP(L$2,[94]table_female_hkom1_inj.ill_X6!$A$1:$K$36,27,FALSE),0)</f>
        <v>0</v>
      </c>
      <c r="M3125">
        <f t="shared" si="969"/>
        <v>0</v>
      </c>
      <c r="S3125" t="s">
        <v>95</v>
      </c>
      <c r="T3125" s="5">
        <f t="shared" si="970"/>
        <v>0</v>
      </c>
      <c r="U3125" s="5">
        <f t="shared" si="971"/>
        <v>0</v>
      </c>
      <c r="V3125" s="5">
        <f t="shared" si="972"/>
        <v>0</v>
      </c>
      <c r="W3125" s="5">
        <f t="shared" si="973"/>
        <v>0</v>
      </c>
      <c r="X3125" s="5">
        <f t="shared" si="974"/>
        <v>0</v>
      </c>
      <c r="Y3125" s="5">
        <f t="shared" si="975"/>
        <v>0</v>
      </c>
      <c r="Z3125" s="5">
        <f t="shared" si="976"/>
        <v>0</v>
      </c>
      <c r="AA3125" s="5">
        <f t="shared" si="977"/>
        <v>0</v>
      </c>
      <c r="AB3125" s="5">
        <f t="shared" si="978"/>
        <v>0</v>
      </c>
    </row>
    <row r="3126" spans="1:29" x14ac:dyDescent="0.25">
      <c r="D3126" t="s">
        <v>96</v>
      </c>
      <c r="E3126" s="14"/>
      <c r="F3126" s="14"/>
      <c r="G3126">
        <f>IFERROR(HLOOKUP(G$2,[94]table_female_hkom1_inj.ill_X6!$A$1:$K$36,28,FALSE),0)</f>
        <v>0</v>
      </c>
      <c r="H3126">
        <f>IFERROR(HLOOKUP(H$2,[94]table_female_hkom1_inj.ill_X6!$A$1:$K$36,28,FALSE),0)</f>
        <v>0</v>
      </c>
      <c r="I3126">
        <f>IFERROR(HLOOKUP(I$2,[94]table_female_hkom1_inj.ill_X6!$A$1:$K$36,28,FALSE),0)</f>
        <v>0</v>
      </c>
      <c r="J3126">
        <f>IFERROR(HLOOKUP(J$2,[94]table_female_hkom1_inj.ill_X6!$A$1:$K$36,28,FALSE),0)</f>
        <v>0</v>
      </c>
      <c r="K3126">
        <f>IFERROR(HLOOKUP(K$2,[94]table_female_hkom1_inj.ill_X6!$A$1:$K$36,28,FALSE),0)</f>
        <v>0</v>
      </c>
      <c r="L3126">
        <f>IFERROR(HLOOKUP(L$2,[94]table_female_hkom1_inj.ill_X6!$A$1:$K$36,28,FALSE),0)</f>
        <v>0</v>
      </c>
      <c r="M3126">
        <f t="shared" si="969"/>
        <v>0</v>
      </c>
      <c r="S3126" t="s">
        <v>96</v>
      </c>
      <c r="T3126" s="5">
        <f t="shared" si="970"/>
        <v>0</v>
      </c>
      <c r="U3126" s="5">
        <f t="shared" si="971"/>
        <v>0</v>
      </c>
      <c r="V3126" s="5">
        <f t="shared" si="972"/>
        <v>0</v>
      </c>
      <c r="W3126" s="5">
        <f t="shared" si="973"/>
        <v>0</v>
      </c>
      <c r="X3126" s="5">
        <f t="shared" si="974"/>
        <v>0</v>
      </c>
      <c r="Y3126" s="5">
        <f t="shared" si="975"/>
        <v>0</v>
      </c>
      <c r="Z3126" s="5">
        <f t="shared" si="976"/>
        <v>0</v>
      </c>
      <c r="AA3126" s="5">
        <f t="shared" si="977"/>
        <v>0</v>
      </c>
      <c r="AB3126" s="5">
        <f t="shared" si="978"/>
        <v>0</v>
      </c>
    </row>
    <row r="3127" spans="1:29" x14ac:dyDescent="0.25">
      <c r="D3127" t="s">
        <v>97</v>
      </c>
      <c r="E3127" s="14"/>
      <c r="F3127" s="14"/>
      <c r="G3127">
        <f>IFERROR(HLOOKUP(G$2,[94]table_female_hkom1_inj.ill_X6!$A$1:$K$36,29,FALSE),0)</f>
        <v>0</v>
      </c>
      <c r="H3127">
        <f>IFERROR(HLOOKUP(H$2,[94]table_female_hkom1_inj.ill_X6!$A$1:$K$36,29,FALSE),0)</f>
        <v>0</v>
      </c>
      <c r="I3127">
        <f>IFERROR(HLOOKUP(I$2,[94]table_female_hkom1_inj.ill_X6!$A$1:$K$36,29,FALSE),0)</f>
        <v>0</v>
      </c>
      <c r="J3127">
        <f>IFERROR(HLOOKUP(J$2,[94]table_female_hkom1_inj.ill_X6!$A$1:$K$36,29,FALSE),0)</f>
        <v>0</v>
      </c>
      <c r="K3127">
        <f>IFERROR(HLOOKUP(K$2,[94]table_female_hkom1_inj.ill_X6!$A$1:$K$36,29,FALSE),0)</f>
        <v>0</v>
      </c>
      <c r="L3127">
        <f>IFERROR(HLOOKUP(L$2,[94]table_female_hkom1_inj.ill_X6!$A$1:$K$36,29,FALSE),0)</f>
        <v>0</v>
      </c>
      <c r="M3127">
        <f t="shared" si="969"/>
        <v>0</v>
      </c>
      <c r="S3127" t="s">
        <v>97</v>
      </c>
      <c r="T3127" s="5">
        <f t="shared" si="970"/>
        <v>0</v>
      </c>
      <c r="U3127" s="5">
        <f t="shared" si="971"/>
        <v>0</v>
      </c>
      <c r="V3127" s="5">
        <f t="shared" si="972"/>
        <v>0</v>
      </c>
      <c r="W3127" s="5">
        <f t="shared" si="973"/>
        <v>0</v>
      </c>
      <c r="X3127" s="5">
        <f t="shared" si="974"/>
        <v>0</v>
      </c>
      <c r="Y3127" s="5">
        <f t="shared" si="975"/>
        <v>0</v>
      </c>
      <c r="Z3127" s="5">
        <f t="shared" si="976"/>
        <v>0</v>
      </c>
      <c r="AA3127" s="5">
        <f t="shared" si="977"/>
        <v>0</v>
      </c>
      <c r="AB3127" s="5">
        <f t="shared" si="978"/>
        <v>0</v>
      </c>
    </row>
    <row r="3128" spans="1:29" x14ac:dyDescent="0.25">
      <c r="D3128" t="s">
        <v>98</v>
      </c>
      <c r="E3128" s="14"/>
      <c r="F3128" s="14"/>
      <c r="G3128">
        <f>IFERROR(HLOOKUP(G$2,[94]table_female_hkom1_inj.ill_X6!$A$1:$K$36,30,FALSE),0)</f>
        <v>0</v>
      </c>
      <c r="H3128">
        <f>IFERROR(HLOOKUP(H$2,[94]table_female_hkom1_inj.ill_X6!$A$1:$K$36,30,FALSE),0)</f>
        <v>0</v>
      </c>
      <c r="I3128">
        <f>IFERROR(HLOOKUP(I$2,[94]table_female_hkom1_inj.ill_X6!$A$1:$K$36,30,FALSE),0)</f>
        <v>0</v>
      </c>
      <c r="J3128">
        <f>IFERROR(HLOOKUP(J$2,[94]table_female_hkom1_inj.ill_X6!$A$1:$K$36,30,FALSE),0)</f>
        <v>0</v>
      </c>
      <c r="K3128">
        <f>IFERROR(HLOOKUP(K$2,[94]table_female_hkom1_inj.ill_X6!$A$1:$K$36,30,FALSE),0)</f>
        <v>0</v>
      </c>
      <c r="L3128">
        <f>IFERROR(HLOOKUP(L$2,[94]table_female_hkom1_inj.ill_X6!$A$1:$K$36,30,FALSE),0)</f>
        <v>0</v>
      </c>
      <c r="M3128">
        <f t="shared" si="969"/>
        <v>0</v>
      </c>
      <c r="S3128" t="s">
        <v>98</v>
      </c>
      <c r="T3128" s="5">
        <f t="shared" si="970"/>
        <v>0</v>
      </c>
      <c r="U3128" s="5">
        <f t="shared" si="971"/>
        <v>0</v>
      </c>
      <c r="V3128" s="5">
        <f t="shared" si="972"/>
        <v>0</v>
      </c>
      <c r="W3128" s="5">
        <f t="shared" si="973"/>
        <v>0</v>
      </c>
      <c r="X3128" s="5">
        <f t="shared" si="974"/>
        <v>0</v>
      </c>
      <c r="Y3128" s="5">
        <f t="shared" si="975"/>
        <v>0</v>
      </c>
      <c r="Z3128" s="5">
        <f t="shared" si="976"/>
        <v>0</v>
      </c>
      <c r="AA3128" s="5">
        <f t="shared" si="977"/>
        <v>0</v>
      </c>
      <c r="AB3128" s="5">
        <f t="shared" si="978"/>
        <v>0</v>
      </c>
    </row>
    <row r="3129" spans="1:29" x14ac:dyDescent="0.25">
      <c r="D3129" t="s">
        <v>119</v>
      </c>
      <c r="E3129" s="14"/>
      <c r="F3129" s="14"/>
      <c r="G3129">
        <f>IFERROR(HLOOKUP(G$2,[94]table_female_hkom1_inj.ill_X6!$A$1:$K$36,31,FALSE),0)</f>
        <v>0</v>
      </c>
      <c r="H3129">
        <f>IFERROR(HLOOKUP(H$2,[94]table_female_hkom1_inj.ill_X6!$A$1:$K$36,31,FALSE),0)</f>
        <v>0</v>
      </c>
      <c r="I3129">
        <f>IFERROR(HLOOKUP(I$2,[94]table_female_hkom1_inj.ill_X6!$A$1:$K$36,31,FALSE),0)</f>
        <v>0</v>
      </c>
      <c r="J3129">
        <f>IFERROR(HLOOKUP(J$2,[94]table_female_hkom1_inj.ill_X6!$A$1:$K$36,31,FALSE),0)</f>
        <v>0</v>
      </c>
      <c r="K3129">
        <f>IFERROR(HLOOKUP(K$2,[94]table_female_hkom1_inj.ill_X6!$A$1:$K$36,31,FALSE),0)</f>
        <v>0</v>
      </c>
      <c r="L3129">
        <f>IFERROR(HLOOKUP(L$2,[94]table_female_hkom1_inj.ill_X6!$A$1:$K$36,31,FALSE),0)</f>
        <v>0</v>
      </c>
      <c r="M3129">
        <f t="shared" si="969"/>
        <v>0</v>
      </c>
      <c r="S3129" t="s">
        <v>119</v>
      </c>
      <c r="T3129" s="5">
        <f t="shared" si="970"/>
        <v>0</v>
      </c>
      <c r="U3129" s="5">
        <f t="shared" si="971"/>
        <v>0</v>
      </c>
      <c r="V3129" s="5">
        <f t="shared" si="972"/>
        <v>0</v>
      </c>
      <c r="W3129" s="5">
        <f t="shared" si="973"/>
        <v>0</v>
      </c>
      <c r="X3129" s="5">
        <f t="shared" si="974"/>
        <v>0</v>
      </c>
      <c r="Y3129" s="5">
        <f t="shared" si="975"/>
        <v>0</v>
      </c>
      <c r="Z3129" s="5">
        <f t="shared" si="976"/>
        <v>0</v>
      </c>
      <c r="AA3129" s="5">
        <f t="shared" si="977"/>
        <v>0</v>
      </c>
      <c r="AB3129" s="5">
        <f t="shared" si="978"/>
        <v>0</v>
      </c>
    </row>
    <row r="3130" spans="1:29" x14ac:dyDescent="0.25">
      <c r="D3130" t="s">
        <v>99</v>
      </c>
      <c r="E3130" s="14"/>
      <c r="F3130" s="14"/>
      <c r="G3130">
        <f>IFERROR(HLOOKUP(G$2,[94]table_female_hkom1_inj.ill_X6!$A$1:$K$36,32,FALSE),0)</f>
        <v>0</v>
      </c>
      <c r="H3130">
        <f>IFERROR(HLOOKUP(H$2,[94]table_female_hkom1_inj.ill_X6!$A$1:$K$36,32,FALSE),0)</f>
        <v>0</v>
      </c>
      <c r="I3130">
        <f>IFERROR(HLOOKUP(I$2,[94]table_female_hkom1_inj.ill_X6!$A$1:$K$36,32,FALSE),0)</f>
        <v>0</v>
      </c>
      <c r="J3130">
        <f>IFERROR(HLOOKUP(J$2,[94]table_female_hkom1_inj.ill_X6!$A$1:$K$36,32,FALSE),0)</f>
        <v>0</v>
      </c>
      <c r="K3130">
        <f>IFERROR(HLOOKUP(K$2,[94]table_female_hkom1_inj.ill_X6!$A$1:$K$36,32,FALSE),0)</f>
        <v>0</v>
      </c>
      <c r="L3130">
        <f>IFERROR(HLOOKUP(L$2,[94]table_female_hkom1_inj.ill_X6!$A$1:$K$36,32,FALSE),0)</f>
        <v>0</v>
      </c>
      <c r="M3130">
        <f t="shared" si="969"/>
        <v>0</v>
      </c>
      <c r="S3130" t="s">
        <v>99</v>
      </c>
      <c r="T3130" s="5">
        <f t="shared" si="970"/>
        <v>0</v>
      </c>
      <c r="U3130" s="5">
        <f t="shared" si="971"/>
        <v>0</v>
      </c>
      <c r="V3130" s="5">
        <f t="shared" si="972"/>
        <v>0</v>
      </c>
      <c r="W3130" s="5">
        <f t="shared" si="973"/>
        <v>0</v>
      </c>
      <c r="X3130" s="5">
        <f t="shared" si="974"/>
        <v>0</v>
      </c>
      <c r="Y3130" s="5">
        <f t="shared" si="975"/>
        <v>0</v>
      </c>
      <c r="Z3130" s="5">
        <f t="shared" si="976"/>
        <v>0</v>
      </c>
      <c r="AA3130" s="5">
        <f t="shared" si="977"/>
        <v>0</v>
      </c>
      <c r="AB3130" s="5">
        <f t="shared" si="978"/>
        <v>0</v>
      </c>
    </row>
    <row r="3131" spans="1:29" x14ac:dyDescent="0.25">
      <c r="D3131" t="s">
        <v>100</v>
      </c>
      <c r="E3131" s="14"/>
      <c r="F3131" s="14"/>
      <c r="G3131">
        <f>IFERROR(HLOOKUP(G$2,[94]table_female_hkom1_inj.ill_X6!$A$1:$K$36,33,FALSE),0)</f>
        <v>0</v>
      </c>
      <c r="H3131">
        <f>IFERROR(HLOOKUP(H$2,[94]table_female_hkom1_inj.ill_X6!$A$1:$K$36,33,FALSE),0)</f>
        <v>0</v>
      </c>
      <c r="I3131">
        <f>IFERROR(HLOOKUP(I$2,[94]table_female_hkom1_inj.ill_X6!$A$1:$K$36,33,FALSE),0)</f>
        <v>0</v>
      </c>
      <c r="J3131">
        <f>IFERROR(HLOOKUP(J$2,[94]table_female_hkom1_inj.ill_X6!$A$1:$K$36,33,FALSE),0)</f>
        <v>0</v>
      </c>
      <c r="K3131">
        <f>IFERROR(HLOOKUP(K$2,[94]table_female_hkom1_inj.ill_X6!$A$1:$K$36,33,FALSE),0)</f>
        <v>0</v>
      </c>
      <c r="L3131">
        <f>IFERROR(HLOOKUP(L$2,[94]table_female_hkom1_inj.ill_X6!$A$1:$K$36,33,FALSE),0)</f>
        <v>0</v>
      </c>
      <c r="M3131">
        <f t="shared" si="969"/>
        <v>0</v>
      </c>
      <c r="S3131" t="s">
        <v>100</v>
      </c>
      <c r="T3131" s="5">
        <f t="shared" si="970"/>
        <v>0</v>
      </c>
      <c r="U3131" s="5">
        <f t="shared" si="971"/>
        <v>0</v>
      </c>
      <c r="V3131" s="5">
        <f t="shared" si="972"/>
        <v>0</v>
      </c>
      <c r="W3131" s="5">
        <f t="shared" si="973"/>
        <v>0</v>
      </c>
      <c r="X3131" s="5">
        <f t="shared" si="974"/>
        <v>0</v>
      </c>
      <c r="Y3131" s="5">
        <f t="shared" si="975"/>
        <v>0</v>
      </c>
      <c r="Z3131" s="5">
        <f t="shared" si="976"/>
        <v>0</v>
      </c>
      <c r="AA3131" s="5">
        <f t="shared" si="977"/>
        <v>0</v>
      </c>
      <c r="AB3131" s="5">
        <f t="shared" si="978"/>
        <v>0</v>
      </c>
    </row>
    <row r="3132" spans="1:29" x14ac:dyDescent="0.25">
      <c r="D3132" t="s">
        <v>101</v>
      </c>
      <c r="E3132" s="14"/>
      <c r="F3132" s="14"/>
      <c r="G3132">
        <f>IFERROR(HLOOKUP(G$2,[94]table_female_hkom1_inj.ill_X6!$A$1:$K$36,34,FALSE),0)</f>
        <v>0</v>
      </c>
      <c r="H3132">
        <f>IFERROR(HLOOKUP(H$2,[94]table_female_hkom1_inj.ill_X6!$A$1:$K$36,34,FALSE),0)</f>
        <v>0</v>
      </c>
      <c r="I3132">
        <f>IFERROR(HLOOKUP(I$2,[94]table_female_hkom1_inj.ill_X6!$A$1:$K$36,34,FALSE),0)</f>
        <v>0</v>
      </c>
      <c r="J3132">
        <f>IFERROR(HLOOKUP(J$2,[94]table_female_hkom1_inj.ill_X6!$A$1:$K$36,34,FALSE),0)</f>
        <v>0</v>
      </c>
      <c r="K3132">
        <f>IFERROR(HLOOKUP(K$2,[94]table_female_hkom1_inj.ill_X6!$A$1:$K$36,34,FALSE),0)</f>
        <v>0</v>
      </c>
      <c r="L3132">
        <f>IFERROR(HLOOKUP(L$2,[94]table_female_hkom1_inj.ill_X6!$A$1:$K$36,34,FALSE),0)</f>
        <v>0</v>
      </c>
      <c r="M3132">
        <f t="shared" si="969"/>
        <v>0</v>
      </c>
      <c r="S3132" t="s">
        <v>101</v>
      </c>
      <c r="T3132" s="5">
        <f t="shared" si="970"/>
        <v>0</v>
      </c>
      <c r="U3132" s="5">
        <f t="shared" si="971"/>
        <v>0</v>
      </c>
      <c r="V3132" s="5">
        <f t="shared" si="972"/>
        <v>0</v>
      </c>
      <c r="W3132" s="5">
        <f t="shared" si="973"/>
        <v>0</v>
      </c>
      <c r="X3132" s="5">
        <f t="shared" si="974"/>
        <v>0</v>
      </c>
      <c r="Y3132" s="5">
        <f t="shared" si="975"/>
        <v>0</v>
      </c>
      <c r="Z3132" s="5">
        <f t="shared" si="976"/>
        <v>0</v>
      </c>
      <c r="AA3132" s="5">
        <f t="shared" si="977"/>
        <v>0</v>
      </c>
      <c r="AB3132" s="5">
        <f t="shared" si="978"/>
        <v>0</v>
      </c>
    </row>
    <row r="3133" spans="1:29" x14ac:dyDescent="0.25">
      <c r="D3133" t="s">
        <v>102</v>
      </c>
      <c r="E3133" s="14"/>
      <c r="F3133" s="14"/>
      <c r="G3133">
        <f>IFERROR(HLOOKUP(G$2,[94]table_female_hkom1_inj.ill_X6!$A$1:$K$36,35,FALSE),0)</f>
        <v>0</v>
      </c>
      <c r="H3133">
        <f>IFERROR(HLOOKUP(H$2,[94]table_female_hkom1_inj.ill_X6!$A$1:$K$36,35,FALSE),0)</f>
        <v>0</v>
      </c>
      <c r="I3133">
        <f>IFERROR(HLOOKUP(I$2,[94]table_female_hkom1_inj.ill_X6!$A$1:$K$36,35,FALSE),0)</f>
        <v>0</v>
      </c>
      <c r="J3133">
        <f>IFERROR(HLOOKUP(J$2,[94]table_female_hkom1_inj.ill_X6!$A$1:$K$36,35,FALSE),0)</f>
        <v>0</v>
      </c>
      <c r="K3133">
        <f>IFERROR(HLOOKUP(K$2,[94]table_female_hkom1_inj.ill_X6!$A$1:$K$36,35,FALSE),0)</f>
        <v>0</v>
      </c>
      <c r="L3133">
        <f>IFERROR(HLOOKUP(L$2,[94]table_female_hkom1_inj.ill_X6!$A$1:$K$36,35,FALSE),0)</f>
        <v>0</v>
      </c>
      <c r="M3133">
        <f t="shared" si="969"/>
        <v>0</v>
      </c>
      <c r="N3133">
        <f>SUM(M3100:M3133)</f>
        <v>0</v>
      </c>
      <c r="O3133" s="8">
        <f>SUM([94]table_female_hkom1_inj.ill_X6!$B$2:$L$37)</f>
        <v>0</v>
      </c>
      <c r="S3133" t="s">
        <v>102</v>
      </c>
      <c r="T3133" s="7"/>
      <c r="U3133" s="7"/>
      <c r="V3133" s="7"/>
      <c r="W3133" s="7"/>
      <c r="X3133" s="7"/>
      <c r="Y3133" s="7"/>
      <c r="Z3133" s="7"/>
      <c r="AA3133" s="7"/>
      <c r="AB3133" s="5">
        <f t="shared" si="978"/>
        <v>0</v>
      </c>
      <c r="AC3133" s="5">
        <f>SUM(AB3100:AB3132)</f>
        <v>0</v>
      </c>
    </row>
    <row r="3134" spans="1:29" x14ac:dyDescent="0.25">
      <c r="A3134" t="s">
        <v>115</v>
      </c>
      <c r="B3134" t="s">
        <v>103</v>
      </c>
      <c r="C3134" t="s">
        <v>129</v>
      </c>
      <c r="D3134" t="s">
        <v>70</v>
      </c>
      <c r="E3134" s="14"/>
      <c r="F3134" s="14"/>
      <c r="G3134">
        <f>IFERROR(HLOOKUP(G$2,[95]table_female_hkom1_inj.ill_X7!$A$1:$K$36,2,FALSE),0)</f>
        <v>0</v>
      </c>
      <c r="H3134">
        <f>IFERROR(HLOOKUP(H$2,[95]table_female_hkom1_inj.ill_X7!$A$1:$K$36,2,FALSE),0)</f>
        <v>0</v>
      </c>
      <c r="I3134">
        <f>IFERROR(HLOOKUP(I$2,[95]table_female_hkom1_inj.ill_X7!$A$1:$K$36,2,FALSE),0)</f>
        <v>0</v>
      </c>
      <c r="J3134">
        <f>IFERROR(HLOOKUP(J$2,[95]table_female_hkom1_inj.ill_X7!$A$1:$K$36,2,FALSE),0)</f>
        <v>0</v>
      </c>
      <c r="K3134">
        <f>IFERROR(HLOOKUP(K$2,[95]table_female_hkom1_inj.ill_X7!$A$1:$K$36,2,FALSE),0)</f>
        <v>0</v>
      </c>
      <c r="L3134">
        <f>IFERROR(HLOOKUP(L$2,[95]table_female_hkom1_inj.ill_X7!$A$1:$K$36,2,FALSE),0)</f>
        <v>0</v>
      </c>
      <c r="M3134">
        <f>SUM(E3134:L3134)</f>
        <v>0</v>
      </c>
      <c r="P3134" t="s">
        <v>115</v>
      </c>
      <c r="Q3134" t="s">
        <v>103</v>
      </c>
      <c r="R3134" t="s">
        <v>129</v>
      </c>
      <c r="S3134" t="s">
        <v>70</v>
      </c>
      <c r="T3134" s="5">
        <f>IF(SUM(E$3134:E$3166)=0,E$3167/33,E3134+IFERROR(E3134/SUM(E$3134:E$3166)*E$3167,0))</f>
        <v>0</v>
      </c>
      <c r="U3134" s="5">
        <f t="shared" ref="U3134:AA3134" si="979">IF(SUM(F$3134:F$3166)=0,F$3167/33,F3134+IFERROR(F3134/SUM(F$3134:F$3166)*F$3167,0))</f>
        <v>0</v>
      </c>
      <c r="V3134" s="5">
        <f t="shared" si="979"/>
        <v>0</v>
      </c>
      <c r="W3134" s="5">
        <f t="shared" si="979"/>
        <v>0</v>
      </c>
      <c r="X3134" s="5">
        <f t="shared" si="979"/>
        <v>0</v>
      </c>
      <c r="Y3134" s="5">
        <f t="shared" si="979"/>
        <v>0</v>
      </c>
      <c r="Z3134" s="5">
        <f t="shared" si="979"/>
        <v>0</v>
      </c>
      <c r="AA3134" s="5">
        <f t="shared" si="979"/>
        <v>0</v>
      </c>
      <c r="AB3134" s="5">
        <f t="shared" si="978"/>
        <v>0</v>
      </c>
    </row>
    <row r="3135" spans="1:29" x14ac:dyDescent="0.25">
      <c r="D3135" t="s">
        <v>71</v>
      </c>
      <c r="E3135" s="14"/>
      <c r="F3135" s="14"/>
      <c r="G3135">
        <f>IFERROR(HLOOKUP(G$2,[95]table_female_hkom1_inj.ill_X7!$A$1:$K$36,3,FALSE),0)</f>
        <v>0</v>
      </c>
      <c r="H3135">
        <f>IFERROR(HLOOKUP(H$2,[95]table_female_hkom1_inj.ill_X7!$A$1:$K$36,3,FALSE),0)</f>
        <v>0</v>
      </c>
      <c r="I3135">
        <f>IFERROR(HLOOKUP(I$2,[95]table_female_hkom1_inj.ill_X7!$A$1:$K$36,3,FALSE),0)</f>
        <v>0</v>
      </c>
      <c r="J3135">
        <f>IFERROR(HLOOKUP(J$2,[95]table_female_hkom1_inj.ill_X7!$A$1:$K$36,3,FALSE),0)</f>
        <v>0</v>
      </c>
      <c r="K3135">
        <f>IFERROR(HLOOKUP(K$2,[95]table_female_hkom1_inj.ill_X7!$A$1:$K$36,3,FALSE),0)</f>
        <v>0</v>
      </c>
      <c r="L3135">
        <f>IFERROR(HLOOKUP(L$2,[95]table_female_hkom1_inj.ill_X7!$A$1:$K$36,3,FALSE),0)</f>
        <v>0</v>
      </c>
      <c r="M3135">
        <f t="shared" ref="M3135:M3167" si="980">SUM(E3135:L3135)</f>
        <v>0</v>
      </c>
      <c r="S3135" t="s">
        <v>71</v>
      </c>
      <c r="T3135" s="5">
        <f t="shared" ref="T3135:T3166" si="981">IF(SUM(E$3134:E$3166)=0,E$3167/33,E3135+IFERROR(E3135/SUM(E$3134:E$3166)*E$3167,0))</f>
        <v>0</v>
      </c>
      <c r="U3135" s="5">
        <f t="shared" ref="U3135:U3166" si="982">IF(SUM(F$3134:F$3166)=0,F$3167/33,F3135+IFERROR(F3135/SUM(F$3134:F$3166)*F$3167,0))</f>
        <v>0</v>
      </c>
      <c r="V3135" s="5">
        <f t="shared" ref="V3135:V3166" si="983">IF(SUM(G$3134:G$3166)=0,G$3167/33,G3135+IFERROR(G3135/SUM(G$3134:G$3166)*G$3167,0))</f>
        <v>0</v>
      </c>
      <c r="W3135" s="5">
        <f t="shared" ref="W3135:W3166" si="984">IF(SUM(H$3134:H$3166)=0,H$3167/33,H3135+IFERROR(H3135/SUM(H$3134:H$3166)*H$3167,0))</f>
        <v>0</v>
      </c>
      <c r="X3135" s="5">
        <f t="shared" ref="X3135:X3166" si="985">IF(SUM(I$3134:I$3166)=0,I$3167/33,I3135+IFERROR(I3135/SUM(I$3134:I$3166)*I$3167,0))</f>
        <v>0</v>
      </c>
      <c r="Y3135" s="5">
        <f t="shared" ref="Y3135:Y3166" si="986">IF(SUM(J$3134:J$3166)=0,J$3167/33,J3135+IFERROR(J3135/SUM(J$3134:J$3166)*J$3167,0))</f>
        <v>0</v>
      </c>
      <c r="Z3135" s="5">
        <f t="shared" ref="Z3135:Z3166" si="987">IF(SUM(K$3134:K$3166)=0,K$3167/33,K3135+IFERROR(K3135/SUM(K$3134:K$3166)*K$3167,0))</f>
        <v>0</v>
      </c>
      <c r="AA3135" s="5">
        <f t="shared" ref="AA3135:AA3166" si="988">IF(SUM(L$3134:L$3166)=0,L$3167/33,L3135+IFERROR(L3135/SUM(L$3134:L$3166)*L$3167,0))</f>
        <v>0</v>
      </c>
      <c r="AB3135" s="5">
        <f t="shared" si="978"/>
        <v>0</v>
      </c>
    </row>
    <row r="3136" spans="1:29" x14ac:dyDescent="0.25">
      <c r="D3136" t="s">
        <v>72</v>
      </c>
      <c r="E3136" s="14"/>
      <c r="F3136" s="14"/>
      <c r="G3136">
        <f>IFERROR(HLOOKUP(G$2,[95]table_female_hkom1_inj.ill_X7!$A$1:$K$36,4,FALSE),0)</f>
        <v>0</v>
      </c>
      <c r="H3136">
        <f>IFERROR(HLOOKUP(H$2,[95]table_female_hkom1_inj.ill_X7!$A$1:$K$36,4,FALSE),0)</f>
        <v>0</v>
      </c>
      <c r="I3136">
        <f>IFERROR(HLOOKUP(I$2,[95]table_female_hkom1_inj.ill_X7!$A$1:$K$36,4,FALSE),0)</f>
        <v>0</v>
      </c>
      <c r="J3136">
        <f>IFERROR(HLOOKUP(J$2,[95]table_female_hkom1_inj.ill_X7!$A$1:$K$36,4,FALSE),0)</f>
        <v>0</v>
      </c>
      <c r="K3136">
        <f>IFERROR(HLOOKUP(K$2,[95]table_female_hkom1_inj.ill_X7!$A$1:$K$36,4,FALSE),0)</f>
        <v>0</v>
      </c>
      <c r="L3136">
        <f>IFERROR(HLOOKUP(L$2,[95]table_female_hkom1_inj.ill_X7!$A$1:$K$36,4,FALSE),0)</f>
        <v>0</v>
      </c>
      <c r="M3136">
        <f t="shared" si="980"/>
        <v>0</v>
      </c>
      <c r="S3136" t="s">
        <v>72</v>
      </c>
      <c r="T3136" s="5">
        <f t="shared" si="981"/>
        <v>0</v>
      </c>
      <c r="U3136" s="5">
        <f t="shared" si="982"/>
        <v>0</v>
      </c>
      <c r="V3136" s="5">
        <f t="shared" si="983"/>
        <v>0</v>
      </c>
      <c r="W3136" s="5">
        <f t="shared" si="984"/>
        <v>0</v>
      </c>
      <c r="X3136" s="5">
        <f t="shared" si="985"/>
        <v>0</v>
      </c>
      <c r="Y3136" s="5">
        <f t="shared" si="986"/>
        <v>0</v>
      </c>
      <c r="Z3136" s="5">
        <f t="shared" si="987"/>
        <v>0</v>
      </c>
      <c r="AA3136" s="5">
        <f t="shared" si="988"/>
        <v>0</v>
      </c>
      <c r="AB3136" s="5">
        <f t="shared" si="978"/>
        <v>0</v>
      </c>
    </row>
    <row r="3137" spans="4:28" x14ac:dyDescent="0.25">
      <c r="D3137" t="s">
        <v>73</v>
      </c>
      <c r="E3137" s="14"/>
      <c r="F3137" s="14"/>
      <c r="G3137">
        <f>IFERROR(HLOOKUP(G$2,[95]table_female_hkom1_inj.ill_X7!$A$1:$K$36,5,FALSE),0)</f>
        <v>0</v>
      </c>
      <c r="H3137">
        <f>IFERROR(HLOOKUP(H$2,[95]table_female_hkom1_inj.ill_X7!$A$1:$K$36,5,FALSE),0)</f>
        <v>0</v>
      </c>
      <c r="I3137">
        <f>IFERROR(HLOOKUP(I$2,[95]table_female_hkom1_inj.ill_X7!$A$1:$K$36,5,FALSE),0)</f>
        <v>0</v>
      </c>
      <c r="J3137">
        <f>IFERROR(HLOOKUP(J$2,[95]table_female_hkom1_inj.ill_X7!$A$1:$K$36,5,FALSE),0)</f>
        <v>0</v>
      </c>
      <c r="K3137">
        <f>IFERROR(HLOOKUP(K$2,[95]table_female_hkom1_inj.ill_X7!$A$1:$K$36,5,FALSE),0)</f>
        <v>0</v>
      </c>
      <c r="L3137">
        <f>IFERROR(HLOOKUP(L$2,[95]table_female_hkom1_inj.ill_X7!$A$1:$K$36,5,FALSE),0)</f>
        <v>0</v>
      </c>
      <c r="M3137">
        <f t="shared" si="980"/>
        <v>0</v>
      </c>
      <c r="S3137" t="s">
        <v>73</v>
      </c>
      <c r="T3137" s="5">
        <f t="shared" si="981"/>
        <v>0</v>
      </c>
      <c r="U3137" s="5">
        <f t="shared" si="982"/>
        <v>0</v>
      </c>
      <c r="V3137" s="5">
        <f t="shared" si="983"/>
        <v>0</v>
      </c>
      <c r="W3137" s="5">
        <f t="shared" si="984"/>
        <v>0</v>
      </c>
      <c r="X3137" s="5">
        <f t="shared" si="985"/>
        <v>0</v>
      </c>
      <c r="Y3137" s="5">
        <f t="shared" si="986"/>
        <v>0</v>
      </c>
      <c r="Z3137" s="5">
        <f t="shared" si="987"/>
        <v>0</v>
      </c>
      <c r="AA3137" s="5">
        <f t="shared" si="988"/>
        <v>0</v>
      </c>
      <c r="AB3137" s="5">
        <f t="shared" si="978"/>
        <v>0</v>
      </c>
    </row>
    <row r="3138" spans="4:28" x14ac:dyDescent="0.25">
      <c r="D3138" t="s">
        <v>74</v>
      </c>
      <c r="E3138" s="14"/>
      <c r="F3138" s="14"/>
      <c r="G3138">
        <f>IFERROR(HLOOKUP(G$2,[95]table_female_hkom1_inj.ill_X7!$A$1:$K$36,6,FALSE),0)</f>
        <v>0</v>
      </c>
      <c r="H3138">
        <f>IFERROR(HLOOKUP(H$2,[95]table_female_hkom1_inj.ill_X7!$A$1:$K$36,6,FALSE),0)</f>
        <v>0</v>
      </c>
      <c r="I3138">
        <f>IFERROR(HLOOKUP(I$2,[95]table_female_hkom1_inj.ill_X7!$A$1:$K$36,6,FALSE),0)</f>
        <v>0</v>
      </c>
      <c r="J3138">
        <f>IFERROR(HLOOKUP(J$2,[95]table_female_hkom1_inj.ill_X7!$A$1:$K$36,6,FALSE),0)</f>
        <v>0</v>
      </c>
      <c r="K3138">
        <f>IFERROR(HLOOKUP(K$2,[95]table_female_hkom1_inj.ill_X7!$A$1:$K$36,6,FALSE),0)</f>
        <v>0</v>
      </c>
      <c r="L3138">
        <f>IFERROR(HLOOKUP(L$2,[95]table_female_hkom1_inj.ill_X7!$A$1:$K$36,6,FALSE),0)</f>
        <v>0</v>
      </c>
      <c r="M3138">
        <f t="shared" si="980"/>
        <v>0</v>
      </c>
      <c r="S3138" t="s">
        <v>74</v>
      </c>
      <c r="T3138" s="5">
        <f t="shared" si="981"/>
        <v>0</v>
      </c>
      <c r="U3138" s="5">
        <f t="shared" si="982"/>
        <v>0</v>
      </c>
      <c r="V3138" s="5">
        <f t="shared" si="983"/>
        <v>0</v>
      </c>
      <c r="W3138" s="5">
        <f t="shared" si="984"/>
        <v>0</v>
      </c>
      <c r="X3138" s="5">
        <f t="shared" si="985"/>
        <v>0</v>
      </c>
      <c r="Y3138" s="5">
        <f t="shared" si="986"/>
        <v>0</v>
      </c>
      <c r="Z3138" s="5">
        <f t="shared" si="987"/>
        <v>0</v>
      </c>
      <c r="AA3138" s="5">
        <f t="shared" si="988"/>
        <v>0</v>
      </c>
      <c r="AB3138" s="5">
        <f t="shared" si="978"/>
        <v>0</v>
      </c>
    </row>
    <row r="3139" spans="4:28" x14ac:dyDescent="0.25">
      <c r="D3139" t="s">
        <v>75</v>
      </c>
      <c r="E3139" s="14"/>
      <c r="F3139" s="14"/>
      <c r="G3139">
        <f>IFERROR(HLOOKUP(G$2,[95]table_female_hkom1_inj.ill_X7!$A$1:$K$36,7,FALSE),0)</f>
        <v>0</v>
      </c>
      <c r="H3139">
        <f>IFERROR(HLOOKUP(H$2,[95]table_female_hkom1_inj.ill_X7!$A$1:$K$36,7,FALSE),0)</f>
        <v>0</v>
      </c>
      <c r="I3139">
        <f>IFERROR(HLOOKUP(I$2,[95]table_female_hkom1_inj.ill_X7!$A$1:$K$36,7,FALSE),0)</f>
        <v>0</v>
      </c>
      <c r="J3139">
        <f>IFERROR(HLOOKUP(J$2,[95]table_female_hkom1_inj.ill_X7!$A$1:$K$36,7,FALSE),0)</f>
        <v>0</v>
      </c>
      <c r="K3139">
        <f>IFERROR(HLOOKUP(K$2,[95]table_female_hkom1_inj.ill_X7!$A$1:$K$36,7,FALSE),0)</f>
        <v>0</v>
      </c>
      <c r="L3139">
        <f>IFERROR(HLOOKUP(L$2,[95]table_female_hkom1_inj.ill_X7!$A$1:$K$36,7,FALSE),0)</f>
        <v>0</v>
      </c>
      <c r="M3139">
        <f t="shared" si="980"/>
        <v>0</v>
      </c>
      <c r="S3139" t="s">
        <v>75</v>
      </c>
      <c r="T3139" s="5">
        <f t="shared" si="981"/>
        <v>0</v>
      </c>
      <c r="U3139" s="5">
        <f t="shared" si="982"/>
        <v>0</v>
      </c>
      <c r="V3139" s="5">
        <f t="shared" si="983"/>
        <v>0</v>
      </c>
      <c r="W3139" s="5">
        <f t="shared" si="984"/>
        <v>0</v>
      </c>
      <c r="X3139" s="5">
        <f t="shared" si="985"/>
        <v>0</v>
      </c>
      <c r="Y3139" s="5">
        <f t="shared" si="986"/>
        <v>0</v>
      </c>
      <c r="Z3139" s="5">
        <f t="shared" si="987"/>
        <v>0</v>
      </c>
      <c r="AA3139" s="5">
        <f t="shared" si="988"/>
        <v>0</v>
      </c>
      <c r="AB3139" s="5">
        <f t="shared" si="978"/>
        <v>0</v>
      </c>
    </row>
    <row r="3140" spans="4:28" x14ac:dyDescent="0.25">
      <c r="D3140" t="s">
        <v>76</v>
      </c>
      <c r="E3140" s="14"/>
      <c r="F3140" s="14"/>
      <c r="G3140">
        <f>IFERROR(HLOOKUP(G$2,[95]table_female_hkom1_inj.ill_X7!$A$1:$K$36,8,FALSE),0)</f>
        <v>1</v>
      </c>
      <c r="H3140">
        <f>IFERROR(HLOOKUP(H$2,[95]table_female_hkom1_inj.ill_X7!$A$1:$K$36,8,FALSE),0)</f>
        <v>0</v>
      </c>
      <c r="I3140">
        <f>IFERROR(HLOOKUP(I$2,[95]table_female_hkom1_inj.ill_X7!$A$1:$K$36,8,FALSE),0)</f>
        <v>0</v>
      </c>
      <c r="J3140">
        <f>IFERROR(HLOOKUP(J$2,[95]table_female_hkom1_inj.ill_X7!$A$1:$K$36,8,FALSE),0)</f>
        <v>0</v>
      </c>
      <c r="K3140">
        <f>IFERROR(HLOOKUP(K$2,[95]table_female_hkom1_inj.ill_X7!$A$1:$K$36,8,FALSE),0)</f>
        <v>0</v>
      </c>
      <c r="L3140">
        <f>IFERROR(HLOOKUP(L$2,[95]table_female_hkom1_inj.ill_X7!$A$1:$K$36,8,FALSE),0)</f>
        <v>0</v>
      </c>
      <c r="M3140">
        <f t="shared" si="980"/>
        <v>1</v>
      </c>
      <c r="S3140" t="s">
        <v>76</v>
      </c>
      <c r="T3140" s="5">
        <f t="shared" si="981"/>
        <v>0</v>
      </c>
      <c r="U3140" s="5">
        <f t="shared" si="982"/>
        <v>0</v>
      </c>
      <c r="V3140" s="5">
        <f t="shared" si="983"/>
        <v>1.25</v>
      </c>
      <c r="W3140" s="5">
        <f t="shared" si="984"/>
        <v>0</v>
      </c>
      <c r="X3140" s="5">
        <f t="shared" si="985"/>
        <v>0</v>
      </c>
      <c r="Y3140" s="5">
        <f t="shared" si="986"/>
        <v>0</v>
      </c>
      <c r="Z3140" s="5">
        <f t="shared" si="987"/>
        <v>0</v>
      </c>
      <c r="AA3140" s="5">
        <f t="shared" si="988"/>
        <v>0</v>
      </c>
      <c r="AB3140" s="5">
        <f t="shared" si="978"/>
        <v>1.25</v>
      </c>
    </row>
    <row r="3141" spans="4:28" x14ac:dyDescent="0.25">
      <c r="D3141" t="s">
        <v>77</v>
      </c>
      <c r="E3141" s="14"/>
      <c r="F3141" s="14"/>
      <c r="G3141">
        <f>IFERROR(HLOOKUP(G$2,[95]table_female_hkom1_inj.ill_X7!$A$1:$K$36,9,FALSE),0)</f>
        <v>0</v>
      </c>
      <c r="H3141">
        <f>IFERROR(HLOOKUP(H$2,[95]table_female_hkom1_inj.ill_X7!$A$1:$K$36,9,FALSE),0)</f>
        <v>0</v>
      </c>
      <c r="I3141">
        <f>IFERROR(HLOOKUP(I$2,[95]table_female_hkom1_inj.ill_X7!$A$1:$K$36,9,FALSE),0)</f>
        <v>0</v>
      </c>
      <c r="J3141">
        <f>IFERROR(HLOOKUP(J$2,[95]table_female_hkom1_inj.ill_X7!$A$1:$K$36,9,FALSE),0)</f>
        <v>0</v>
      </c>
      <c r="K3141">
        <f>IFERROR(HLOOKUP(K$2,[95]table_female_hkom1_inj.ill_X7!$A$1:$K$36,9,FALSE),0)</f>
        <v>0</v>
      </c>
      <c r="L3141">
        <f>IFERROR(HLOOKUP(L$2,[95]table_female_hkom1_inj.ill_X7!$A$1:$K$36,9,FALSE),0)</f>
        <v>0</v>
      </c>
      <c r="M3141">
        <f t="shared" si="980"/>
        <v>0</v>
      </c>
      <c r="S3141" t="s">
        <v>77</v>
      </c>
      <c r="T3141" s="5">
        <f t="shared" si="981"/>
        <v>0</v>
      </c>
      <c r="U3141" s="5">
        <f t="shared" si="982"/>
        <v>0</v>
      </c>
      <c r="V3141" s="5">
        <f t="shared" si="983"/>
        <v>0</v>
      </c>
      <c r="W3141" s="5">
        <f t="shared" si="984"/>
        <v>0</v>
      </c>
      <c r="X3141" s="5">
        <f t="shared" si="985"/>
        <v>0</v>
      </c>
      <c r="Y3141" s="5">
        <f t="shared" si="986"/>
        <v>0</v>
      </c>
      <c r="Z3141" s="5">
        <f t="shared" si="987"/>
        <v>0</v>
      </c>
      <c r="AA3141" s="5">
        <f t="shared" si="988"/>
        <v>0</v>
      </c>
      <c r="AB3141" s="5">
        <f t="shared" si="978"/>
        <v>0</v>
      </c>
    </row>
    <row r="3142" spans="4:28" x14ac:dyDescent="0.25">
      <c r="D3142" t="s">
        <v>78</v>
      </c>
      <c r="E3142" s="14"/>
      <c r="F3142" s="14"/>
      <c r="G3142">
        <f>IFERROR(HLOOKUP(G$2,[95]table_female_hkom1_inj.ill_X7!$A$1:$K$36,10,FALSE),0)</f>
        <v>0</v>
      </c>
      <c r="H3142">
        <f>IFERROR(HLOOKUP(H$2,[95]table_female_hkom1_inj.ill_X7!$A$1:$K$36,10,FALSE),0)</f>
        <v>0</v>
      </c>
      <c r="I3142">
        <f>IFERROR(HLOOKUP(I$2,[95]table_female_hkom1_inj.ill_X7!$A$1:$K$36,10,FALSE),0)</f>
        <v>0</v>
      </c>
      <c r="J3142">
        <f>IFERROR(HLOOKUP(J$2,[95]table_female_hkom1_inj.ill_X7!$A$1:$K$36,10,FALSE),0)</f>
        <v>0</v>
      </c>
      <c r="K3142">
        <f>IFERROR(HLOOKUP(K$2,[95]table_female_hkom1_inj.ill_X7!$A$1:$K$36,10,FALSE),0)</f>
        <v>0</v>
      </c>
      <c r="L3142">
        <f>IFERROR(HLOOKUP(L$2,[95]table_female_hkom1_inj.ill_X7!$A$1:$K$36,10,FALSE),0)</f>
        <v>0</v>
      </c>
      <c r="M3142">
        <f t="shared" si="980"/>
        <v>0</v>
      </c>
      <c r="S3142" t="s">
        <v>78</v>
      </c>
      <c r="T3142" s="5">
        <f t="shared" si="981"/>
        <v>0</v>
      </c>
      <c r="U3142" s="5">
        <f t="shared" si="982"/>
        <v>0</v>
      </c>
      <c r="V3142" s="5">
        <f t="shared" si="983"/>
        <v>0</v>
      </c>
      <c r="W3142" s="5">
        <f t="shared" si="984"/>
        <v>0</v>
      </c>
      <c r="X3142" s="5">
        <f t="shared" si="985"/>
        <v>0</v>
      </c>
      <c r="Y3142" s="5">
        <f t="shared" si="986"/>
        <v>0</v>
      </c>
      <c r="Z3142" s="5">
        <f t="shared" si="987"/>
        <v>0</v>
      </c>
      <c r="AA3142" s="5">
        <f t="shared" si="988"/>
        <v>0</v>
      </c>
      <c r="AB3142" s="5">
        <f t="shared" si="978"/>
        <v>0</v>
      </c>
    </row>
    <row r="3143" spans="4:28" x14ac:dyDescent="0.25">
      <c r="D3143" t="s">
        <v>79</v>
      </c>
      <c r="E3143" s="14"/>
      <c r="F3143" s="14"/>
      <c r="G3143">
        <f>IFERROR(HLOOKUP(G$2,[95]table_female_hkom1_inj.ill_X7!$A$1:$K$36,11,FALSE),0)</f>
        <v>1</v>
      </c>
      <c r="H3143">
        <f>IFERROR(HLOOKUP(H$2,[95]table_female_hkom1_inj.ill_X7!$A$1:$K$36,11,FALSE),0)</f>
        <v>0</v>
      </c>
      <c r="I3143">
        <f>IFERROR(HLOOKUP(I$2,[95]table_female_hkom1_inj.ill_X7!$A$1:$K$36,11,FALSE),0)</f>
        <v>0</v>
      </c>
      <c r="J3143">
        <f>IFERROR(HLOOKUP(J$2,[95]table_female_hkom1_inj.ill_X7!$A$1:$K$36,11,FALSE),0)</f>
        <v>0</v>
      </c>
      <c r="K3143">
        <f>IFERROR(HLOOKUP(K$2,[95]table_female_hkom1_inj.ill_X7!$A$1:$K$36,11,FALSE),0)</f>
        <v>0</v>
      </c>
      <c r="L3143">
        <f>IFERROR(HLOOKUP(L$2,[95]table_female_hkom1_inj.ill_X7!$A$1:$K$36,11,FALSE),0)</f>
        <v>0</v>
      </c>
      <c r="M3143">
        <f t="shared" si="980"/>
        <v>1</v>
      </c>
      <c r="S3143" t="s">
        <v>79</v>
      </c>
      <c r="T3143" s="5">
        <f t="shared" si="981"/>
        <v>0</v>
      </c>
      <c r="U3143" s="5">
        <f t="shared" si="982"/>
        <v>0</v>
      </c>
      <c r="V3143" s="5">
        <f t="shared" si="983"/>
        <v>1.25</v>
      </c>
      <c r="W3143" s="5">
        <f t="shared" si="984"/>
        <v>0</v>
      </c>
      <c r="X3143" s="5">
        <f t="shared" si="985"/>
        <v>0</v>
      </c>
      <c r="Y3143" s="5">
        <f t="shared" si="986"/>
        <v>0</v>
      </c>
      <c r="Z3143" s="5">
        <f t="shared" si="987"/>
        <v>0</v>
      </c>
      <c r="AA3143" s="5">
        <f t="shared" si="988"/>
        <v>0</v>
      </c>
      <c r="AB3143" s="5">
        <f t="shared" si="978"/>
        <v>1.25</v>
      </c>
    </row>
    <row r="3144" spans="4:28" x14ac:dyDescent="0.25">
      <c r="D3144" t="s">
        <v>80</v>
      </c>
      <c r="E3144" s="14"/>
      <c r="F3144" s="14"/>
      <c r="G3144">
        <f>IFERROR(HLOOKUP(G$2,[95]table_female_hkom1_inj.ill_X7!$A$1:$K$36,12,FALSE),0)</f>
        <v>0</v>
      </c>
      <c r="H3144">
        <f>IFERROR(HLOOKUP(H$2,[95]table_female_hkom1_inj.ill_X7!$A$1:$K$36,12,FALSE),0)</f>
        <v>0</v>
      </c>
      <c r="I3144">
        <f>IFERROR(HLOOKUP(I$2,[95]table_female_hkom1_inj.ill_X7!$A$1:$K$36,12,FALSE),0)</f>
        <v>0</v>
      </c>
      <c r="J3144">
        <f>IFERROR(HLOOKUP(J$2,[95]table_female_hkom1_inj.ill_X7!$A$1:$K$36,12,FALSE),0)</f>
        <v>0</v>
      </c>
      <c r="K3144">
        <f>IFERROR(HLOOKUP(K$2,[95]table_female_hkom1_inj.ill_X7!$A$1:$K$36,12,FALSE),0)</f>
        <v>0</v>
      </c>
      <c r="L3144">
        <f>IFERROR(HLOOKUP(L$2,[95]table_female_hkom1_inj.ill_X7!$A$1:$K$36,12,FALSE),0)</f>
        <v>0</v>
      </c>
      <c r="M3144">
        <f t="shared" si="980"/>
        <v>0</v>
      </c>
      <c r="S3144" t="s">
        <v>80</v>
      </c>
      <c r="T3144" s="5">
        <f t="shared" si="981"/>
        <v>0</v>
      </c>
      <c r="U3144" s="5">
        <f t="shared" si="982"/>
        <v>0</v>
      </c>
      <c r="V3144" s="5">
        <f t="shared" si="983"/>
        <v>0</v>
      </c>
      <c r="W3144" s="5">
        <f t="shared" si="984"/>
        <v>0</v>
      </c>
      <c r="X3144" s="5">
        <f t="shared" si="985"/>
        <v>0</v>
      </c>
      <c r="Y3144" s="5">
        <f t="shared" si="986"/>
        <v>0</v>
      </c>
      <c r="Z3144" s="5">
        <f t="shared" si="987"/>
        <v>0</v>
      </c>
      <c r="AA3144" s="5">
        <f t="shared" si="988"/>
        <v>0</v>
      </c>
      <c r="AB3144" s="5">
        <f t="shared" si="978"/>
        <v>0</v>
      </c>
    </row>
    <row r="3145" spans="4:28" x14ac:dyDescent="0.25">
      <c r="D3145" t="s">
        <v>81</v>
      </c>
      <c r="E3145" s="14"/>
      <c r="F3145" s="14"/>
      <c r="G3145">
        <f>IFERROR(HLOOKUP(G$2,[95]table_female_hkom1_inj.ill_X7!$A$1:$K$36,13,FALSE),0)</f>
        <v>0</v>
      </c>
      <c r="H3145">
        <f>IFERROR(HLOOKUP(H$2,[95]table_female_hkom1_inj.ill_X7!$A$1:$K$36,13,FALSE),0)</f>
        <v>0</v>
      </c>
      <c r="I3145">
        <f>IFERROR(HLOOKUP(I$2,[95]table_female_hkom1_inj.ill_X7!$A$1:$K$36,13,FALSE),0)</f>
        <v>0</v>
      </c>
      <c r="J3145">
        <f>IFERROR(HLOOKUP(J$2,[95]table_female_hkom1_inj.ill_X7!$A$1:$K$36,13,FALSE),0)</f>
        <v>0</v>
      </c>
      <c r="K3145">
        <f>IFERROR(HLOOKUP(K$2,[95]table_female_hkom1_inj.ill_X7!$A$1:$K$36,13,FALSE),0)</f>
        <v>0</v>
      </c>
      <c r="L3145">
        <f>IFERROR(HLOOKUP(L$2,[95]table_female_hkom1_inj.ill_X7!$A$1:$K$36,13,FALSE),0)</f>
        <v>0</v>
      </c>
      <c r="M3145">
        <f t="shared" si="980"/>
        <v>0</v>
      </c>
      <c r="S3145" t="s">
        <v>81</v>
      </c>
      <c r="T3145" s="5">
        <f t="shared" si="981"/>
        <v>0</v>
      </c>
      <c r="U3145" s="5">
        <f t="shared" si="982"/>
        <v>0</v>
      </c>
      <c r="V3145" s="5">
        <f t="shared" si="983"/>
        <v>0</v>
      </c>
      <c r="W3145" s="5">
        <f t="shared" si="984"/>
        <v>0</v>
      </c>
      <c r="X3145" s="5">
        <f t="shared" si="985"/>
        <v>0</v>
      </c>
      <c r="Y3145" s="5">
        <f t="shared" si="986"/>
        <v>0</v>
      </c>
      <c r="Z3145" s="5">
        <f t="shared" si="987"/>
        <v>0</v>
      </c>
      <c r="AA3145" s="5">
        <f t="shared" si="988"/>
        <v>0</v>
      </c>
      <c r="AB3145" s="5">
        <f t="shared" si="978"/>
        <v>0</v>
      </c>
    </row>
    <row r="3146" spans="4:28" x14ac:dyDescent="0.25">
      <c r="D3146" t="s">
        <v>82</v>
      </c>
      <c r="E3146" s="14"/>
      <c r="F3146" s="14"/>
      <c r="G3146">
        <f>IFERROR(HLOOKUP(G$2,[95]table_female_hkom1_inj.ill_X7!$A$1:$K$36,14,FALSE),0)</f>
        <v>0</v>
      </c>
      <c r="H3146">
        <f>IFERROR(HLOOKUP(H$2,[95]table_female_hkom1_inj.ill_X7!$A$1:$K$36,14,FALSE),0)</f>
        <v>0</v>
      </c>
      <c r="I3146">
        <f>IFERROR(HLOOKUP(I$2,[95]table_female_hkom1_inj.ill_X7!$A$1:$K$36,14,FALSE),0)</f>
        <v>0</v>
      </c>
      <c r="J3146">
        <f>IFERROR(HLOOKUP(J$2,[95]table_female_hkom1_inj.ill_X7!$A$1:$K$36,14,FALSE),0)</f>
        <v>0</v>
      </c>
      <c r="K3146">
        <f>IFERROR(HLOOKUP(K$2,[95]table_female_hkom1_inj.ill_X7!$A$1:$K$36,14,FALSE),0)</f>
        <v>0</v>
      </c>
      <c r="L3146">
        <f>IFERROR(HLOOKUP(L$2,[95]table_female_hkom1_inj.ill_X7!$A$1:$K$36,14,FALSE),0)</f>
        <v>0</v>
      </c>
      <c r="M3146">
        <f t="shared" si="980"/>
        <v>0</v>
      </c>
      <c r="S3146" t="s">
        <v>82</v>
      </c>
      <c r="T3146" s="5">
        <f t="shared" si="981"/>
        <v>0</v>
      </c>
      <c r="U3146" s="5">
        <f t="shared" si="982"/>
        <v>0</v>
      </c>
      <c r="V3146" s="5">
        <f t="shared" si="983"/>
        <v>0</v>
      </c>
      <c r="W3146" s="5">
        <f t="shared" si="984"/>
        <v>0</v>
      </c>
      <c r="X3146" s="5">
        <f t="shared" si="985"/>
        <v>0</v>
      </c>
      <c r="Y3146" s="5">
        <f t="shared" si="986"/>
        <v>0</v>
      </c>
      <c r="Z3146" s="5">
        <f t="shared" si="987"/>
        <v>0</v>
      </c>
      <c r="AA3146" s="5">
        <f t="shared" si="988"/>
        <v>0</v>
      </c>
      <c r="AB3146" s="5">
        <f t="shared" si="978"/>
        <v>0</v>
      </c>
    </row>
    <row r="3147" spans="4:28" x14ac:dyDescent="0.25">
      <c r="D3147" t="s">
        <v>83</v>
      </c>
      <c r="E3147" s="14"/>
      <c r="F3147" s="14"/>
      <c r="G3147">
        <f>IFERROR(HLOOKUP(G$2,[95]table_female_hkom1_inj.ill_X7!$A$1:$K$36,15,FALSE),0)</f>
        <v>0</v>
      </c>
      <c r="H3147">
        <f>IFERROR(HLOOKUP(H$2,[95]table_female_hkom1_inj.ill_X7!$A$1:$K$36,15,FALSE),0)</f>
        <v>0</v>
      </c>
      <c r="I3147">
        <f>IFERROR(HLOOKUP(I$2,[95]table_female_hkom1_inj.ill_X7!$A$1:$K$36,15,FALSE),0)</f>
        <v>0</v>
      </c>
      <c r="J3147">
        <f>IFERROR(HLOOKUP(J$2,[95]table_female_hkom1_inj.ill_X7!$A$1:$K$36,15,FALSE),0)</f>
        <v>0</v>
      </c>
      <c r="K3147">
        <f>IFERROR(HLOOKUP(K$2,[95]table_female_hkom1_inj.ill_X7!$A$1:$K$36,15,FALSE),0)</f>
        <v>0</v>
      </c>
      <c r="L3147">
        <f>IFERROR(HLOOKUP(L$2,[95]table_female_hkom1_inj.ill_X7!$A$1:$K$36,15,FALSE),0)</f>
        <v>0</v>
      </c>
      <c r="M3147">
        <f t="shared" si="980"/>
        <v>0</v>
      </c>
      <c r="S3147" t="s">
        <v>83</v>
      </c>
      <c r="T3147" s="5">
        <f t="shared" si="981"/>
        <v>0</v>
      </c>
      <c r="U3147" s="5">
        <f t="shared" si="982"/>
        <v>0</v>
      </c>
      <c r="V3147" s="5">
        <f t="shared" si="983"/>
        <v>0</v>
      </c>
      <c r="W3147" s="5">
        <f t="shared" si="984"/>
        <v>0</v>
      </c>
      <c r="X3147" s="5">
        <f t="shared" si="985"/>
        <v>0</v>
      </c>
      <c r="Y3147" s="5">
        <f t="shared" si="986"/>
        <v>0</v>
      </c>
      <c r="Z3147" s="5">
        <f t="shared" si="987"/>
        <v>0</v>
      </c>
      <c r="AA3147" s="5">
        <f t="shared" si="988"/>
        <v>0</v>
      </c>
      <c r="AB3147" s="5">
        <f t="shared" si="978"/>
        <v>0</v>
      </c>
    </row>
    <row r="3148" spans="4:28" x14ac:dyDescent="0.25">
      <c r="D3148" t="s">
        <v>84</v>
      </c>
      <c r="E3148" s="14"/>
      <c r="F3148" s="14"/>
      <c r="G3148">
        <f>IFERROR(HLOOKUP(G$2,[95]table_female_hkom1_inj.ill_X7!$A$1:$K$36,16,FALSE),0)</f>
        <v>0</v>
      </c>
      <c r="H3148">
        <f>IFERROR(HLOOKUP(H$2,[95]table_female_hkom1_inj.ill_X7!$A$1:$K$36,16,FALSE),0)</f>
        <v>0</v>
      </c>
      <c r="I3148">
        <f>IFERROR(HLOOKUP(I$2,[95]table_female_hkom1_inj.ill_X7!$A$1:$K$36,16,FALSE),0)</f>
        <v>0</v>
      </c>
      <c r="J3148">
        <f>IFERROR(HLOOKUP(J$2,[95]table_female_hkom1_inj.ill_X7!$A$1:$K$36,16,FALSE),0)</f>
        <v>0</v>
      </c>
      <c r="K3148">
        <f>IFERROR(HLOOKUP(K$2,[95]table_female_hkom1_inj.ill_X7!$A$1:$K$36,16,FALSE),0)</f>
        <v>0</v>
      </c>
      <c r="L3148">
        <f>IFERROR(HLOOKUP(L$2,[95]table_female_hkom1_inj.ill_X7!$A$1:$K$36,16,FALSE),0)</f>
        <v>0</v>
      </c>
      <c r="M3148">
        <f t="shared" si="980"/>
        <v>0</v>
      </c>
      <c r="S3148" t="s">
        <v>84</v>
      </c>
      <c r="T3148" s="5">
        <f t="shared" si="981"/>
        <v>0</v>
      </c>
      <c r="U3148" s="5">
        <f t="shared" si="982"/>
        <v>0</v>
      </c>
      <c r="V3148" s="5">
        <f t="shared" si="983"/>
        <v>0</v>
      </c>
      <c r="W3148" s="5">
        <f t="shared" si="984"/>
        <v>0</v>
      </c>
      <c r="X3148" s="5">
        <f t="shared" si="985"/>
        <v>0</v>
      </c>
      <c r="Y3148" s="5">
        <f t="shared" si="986"/>
        <v>0</v>
      </c>
      <c r="Z3148" s="5">
        <f t="shared" si="987"/>
        <v>0</v>
      </c>
      <c r="AA3148" s="5">
        <f t="shared" si="988"/>
        <v>0</v>
      </c>
      <c r="AB3148" s="5">
        <f t="shared" si="978"/>
        <v>0</v>
      </c>
    </row>
    <row r="3149" spans="4:28" x14ac:dyDescent="0.25">
      <c r="D3149" t="s">
        <v>85</v>
      </c>
      <c r="E3149" s="14"/>
      <c r="F3149" s="14"/>
      <c r="G3149">
        <f>IFERROR(HLOOKUP(G$2,[95]table_female_hkom1_inj.ill_X7!$A$1:$K$36,17,FALSE),0)</f>
        <v>0</v>
      </c>
      <c r="H3149">
        <f>IFERROR(HLOOKUP(H$2,[95]table_female_hkom1_inj.ill_X7!$A$1:$K$36,17,FALSE),0)</f>
        <v>0</v>
      </c>
      <c r="I3149">
        <f>IFERROR(HLOOKUP(I$2,[95]table_female_hkom1_inj.ill_X7!$A$1:$K$36,17,FALSE),0)</f>
        <v>0</v>
      </c>
      <c r="J3149">
        <f>IFERROR(HLOOKUP(J$2,[95]table_female_hkom1_inj.ill_X7!$A$1:$K$36,17,FALSE),0)</f>
        <v>0</v>
      </c>
      <c r="K3149">
        <f>IFERROR(HLOOKUP(K$2,[95]table_female_hkom1_inj.ill_X7!$A$1:$K$36,17,FALSE),0)</f>
        <v>0</v>
      </c>
      <c r="L3149">
        <f>IFERROR(HLOOKUP(L$2,[95]table_female_hkom1_inj.ill_X7!$A$1:$K$36,17,FALSE),0)</f>
        <v>0</v>
      </c>
      <c r="M3149">
        <f t="shared" si="980"/>
        <v>0</v>
      </c>
      <c r="S3149" t="s">
        <v>85</v>
      </c>
      <c r="T3149" s="5">
        <f t="shared" si="981"/>
        <v>0</v>
      </c>
      <c r="U3149" s="5">
        <f t="shared" si="982"/>
        <v>0</v>
      </c>
      <c r="V3149" s="5">
        <f t="shared" si="983"/>
        <v>0</v>
      </c>
      <c r="W3149" s="5">
        <f t="shared" si="984"/>
        <v>0</v>
      </c>
      <c r="X3149" s="5">
        <f t="shared" si="985"/>
        <v>0</v>
      </c>
      <c r="Y3149" s="5">
        <f t="shared" si="986"/>
        <v>0</v>
      </c>
      <c r="Z3149" s="5">
        <f t="shared" si="987"/>
        <v>0</v>
      </c>
      <c r="AA3149" s="5">
        <f t="shared" si="988"/>
        <v>0</v>
      </c>
      <c r="AB3149" s="5">
        <f t="shared" si="978"/>
        <v>0</v>
      </c>
    </row>
    <row r="3150" spans="4:28" x14ac:dyDescent="0.25">
      <c r="D3150" t="s">
        <v>86</v>
      </c>
      <c r="E3150" s="14"/>
      <c r="F3150" s="14"/>
      <c r="G3150">
        <f>IFERROR(HLOOKUP(G$2,[95]table_female_hkom1_inj.ill_X7!$A$1:$K$36,18,FALSE),0)</f>
        <v>0</v>
      </c>
      <c r="H3150">
        <f>IFERROR(HLOOKUP(H$2,[95]table_female_hkom1_inj.ill_X7!$A$1:$K$36,18,FALSE),0)</f>
        <v>0</v>
      </c>
      <c r="I3150">
        <f>IFERROR(HLOOKUP(I$2,[95]table_female_hkom1_inj.ill_X7!$A$1:$K$36,18,FALSE),0)</f>
        <v>0</v>
      </c>
      <c r="J3150">
        <f>IFERROR(HLOOKUP(J$2,[95]table_female_hkom1_inj.ill_X7!$A$1:$K$36,18,FALSE),0)</f>
        <v>0</v>
      </c>
      <c r="K3150">
        <f>IFERROR(HLOOKUP(K$2,[95]table_female_hkom1_inj.ill_X7!$A$1:$K$36,18,FALSE),0)</f>
        <v>0</v>
      </c>
      <c r="L3150">
        <f>IFERROR(HLOOKUP(L$2,[95]table_female_hkom1_inj.ill_X7!$A$1:$K$36,18,FALSE),0)</f>
        <v>0</v>
      </c>
      <c r="M3150">
        <f t="shared" si="980"/>
        <v>0</v>
      </c>
      <c r="S3150" t="s">
        <v>86</v>
      </c>
      <c r="T3150" s="5">
        <f t="shared" si="981"/>
        <v>0</v>
      </c>
      <c r="U3150" s="5">
        <f t="shared" si="982"/>
        <v>0</v>
      </c>
      <c r="V3150" s="5">
        <f t="shared" si="983"/>
        <v>0</v>
      </c>
      <c r="W3150" s="5">
        <f t="shared" si="984"/>
        <v>0</v>
      </c>
      <c r="X3150" s="5">
        <f t="shared" si="985"/>
        <v>0</v>
      </c>
      <c r="Y3150" s="5">
        <f t="shared" si="986"/>
        <v>0</v>
      </c>
      <c r="Z3150" s="5">
        <f t="shared" si="987"/>
        <v>0</v>
      </c>
      <c r="AA3150" s="5">
        <f t="shared" si="988"/>
        <v>0</v>
      </c>
      <c r="AB3150" s="5">
        <f t="shared" si="978"/>
        <v>0</v>
      </c>
    </row>
    <row r="3151" spans="4:28" x14ac:dyDescent="0.25">
      <c r="D3151" t="s">
        <v>87</v>
      </c>
      <c r="E3151" s="14"/>
      <c r="F3151" s="14"/>
      <c r="G3151">
        <f>IFERROR(HLOOKUP(G$2,[95]table_female_hkom1_inj.ill_X7!$A$1:$K$36,19,FALSE),0)</f>
        <v>0</v>
      </c>
      <c r="H3151">
        <f>IFERROR(HLOOKUP(H$2,[95]table_female_hkom1_inj.ill_X7!$A$1:$K$36,19,FALSE),0)</f>
        <v>0</v>
      </c>
      <c r="I3151">
        <f>IFERROR(HLOOKUP(I$2,[95]table_female_hkom1_inj.ill_X7!$A$1:$K$36,19,FALSE),0)</f>
        <v>0</v>
      </c>
      <c r="J3151">
        <f>IFERROR(HLOOKUP(J$2,[95]table_female_hkom1_inj.ill_X7!$A$1:$K$36,19,FALSE),0)</f>
        <v>0</v>
      </c>
      <c r="K3151">
        <f>IFERROR(HLOOKUP(K$2,[95]table_female_hkom1_inj.ill_X7!$A$1:$K$36,19,FALSE),0)</f>
        <v>0</v>
      </c>
      <c r="L3151">
        <f>IFERROR(HLOOKUP(L$2,[95]table_female_hkom1_inj.ill_X7!$A$1:$K$36,19,FALSE),0)</f>
        <v>0</v>
      </c>
      <c r="M3151">
        <f t="shared" si="980"/>
        <v>0</v>
      </c>
      <c r="S3151" t="s">
        <v>87</v>
      </c>
      <c r="T3151" s="5">
        <f t="shared" si="981"/>
        <v>0</v>
      </c>
      <c r="U3151" s="5">
        <f t="shared" si="982"/>
        <v>0</v>
      </c>
      <c r="V3151" s="5">
        <f t="shared" si="983"/>
        <v>0</v>
      </c>
      <c r="W3151" s="5">
        <f t="shared" si="984"/>
        <v>0</v>
      </c>
      <c r="X3151" s="5">
        <f t="shared" si="985"/>
        <v>0</v>
      </c>
      <c r="Y3151" s="5">
        <f t="shared" si="986"/>
        <v>0</v>
      </c>
      <c r="Z3151" s="5">
        <f t="shared" si="987"/>
        <v>0</v>
      </c>
      <c r="AA3151" s="5">
        <f t="shared" si="988"/>
        <v>0</v>
      </c>
      <c r="AB3151" s="5">
        <f t="shared" si="978"/>
        <v>0</v>
      </c>
    </row>
    <row r="3152" spans="4:28" x14ac:dyDescent="0.25">
      <c r="D3152" t="s">
        <v>88</v>
      </c>
      <c r="E3152" s="14"/>
      <c r="F3152" s="14"/>
      <c r="G3152">
        <f>IFERROR(HLOOKUP(G$2,[95]table_female_hkom1_inj.ill_X7!$A$1:$K$36,20,FALSE),0)</f>
        <v>1</v>
      </c>
      <c r="H3152">
        <f>IFERROR(HLOOKUP(H$2,[95]table_female_hkom1_inj.ill_X7!$A$1:$K$36,20,FALSE),0)</f>
        <v>1</v>
      </c>
      <c r="I3152">
        <f>IFERROR(HLOOKUP(I$2,[95]table_female_hkom1_inj.ill_X7!$A$1:$K$36,20,FALSE),0)</f>
        <v>0</v>
      </c>
      <c r="J3152">
        <f>IFERROR(HLOOKUP(J$2,[95]table_female_hkom1_inj.ill_X7!$A$1:$K$36,20,FALSE),0)</f>
        <v>0</v>
      </c>
      <c r="K3152">
        <f>IFERROR(HLOOKUP(K$2,[95]table_female_hkom1_inj.ill_X7!$A$1:$K$36,20,FALSE),0)</f>
        <v>0</v>
      </c>
      <c r="L3152">
        <f>IFERROR(HLOOKUP(L$2,[95]table_female_hkom1_inj.ill_X7!$A$1:$K$36,20,FALSE),0)</f>
        <v>0</v>
      </c>
      <c r="M3152">
        <f t="shared" si="980"/>
        <v>2</v>
      </c>
      <c r="S3152" t="s">
        <v>88</v>
      </c>
      <c r="T3152" s="5">
        <f t="shared" si="981"/>
        <v>0</v>
      </c>
      <c r="U3152" s="5">
        <f t="shared" si="982"/>
        <v>0</v>
      </c>
      <c r="V3152" s="5">
        <f t="shared" si="983"/>
        <v>1.25</v>
      </c>
      <c r="W3152" s="5">
        <f t="shared" si="984"/>
        <v>1</v>
      </c>
      <c r="X3152" s="5">
        <f t="shared" si="985"/>
        <v>0</v>
      </c>
      <c r="Y3152" s="5">
        <f t="shared" si="986"/>
        <v>0</v>
      </c>
      <c r="Z3152" s="5">
        <f t="shared" si="987"/>
        <v>0</v>
      </c>
      <c r="AA3152" s="5">
        <f t="shared" si="988"/>
        <v>0</v>
      </c>
      <c r="AB3152" s="5">
        <f t="shared" si="978"/>
        <v>2.25</v>
      </c>
    </row>
    <row r="3153" spans="1:29" x14ac:dyDescent="0.25">
      <c r="D3153" t="s">
        <v>89</v>
      </c>
      <c r="E3153" s="14"/>
      <c r="F3153" s="14"/>
      <c r="G3153">
        <f>IFERROR(HLOOKUP(G$2,[95]table_female_hkom1_inj.ill_X7!$A$1:$K$36,21,FALSE),0)</f>
        <v>0</v>
      </c>
      <c r="H3153">
        <f>IFERROR(HLOOKUP(H$2,[95]table_female_hkom1_inj.ill_X7!$A$1:$K$36,21,FALSE),0)</f>
        <v>0</v>
      </c>
      <c r="I3153">
        <f>IFERROR(HLOOKUP(I$2,[95]table_female_hkom1_inj.ill_X7!$A$1:$K$36,21,FALSE),0)</f>
        <v>0</v>
      </c>
      <c r="J3153">
        <f>IFERROR(HLOOKUP(J$2,[95]table_female_hkom1_inj.ill_X7!$A$1:$K$36,21,FALSE),0)</f>
        <v>0</v>
      </c>
      <c r="K3153">
        <f>IFERROR(HLOOKUP(K$2,[95]table_female_hkom1_inj.ill_X7!$A$1:$K$36,21,FALSE),0)</f>
        <v>0</v>
      </c>
      <c r="L3153">
        <f>IFERROR(HLOOKUP(L$2,[95]table_female_hkom1_inj.ill_X7!$A$1:$K$36,21,FALSE),0)</f>
        <v>0</v>
      </c>
      <c r="M3153">
        <f t="shared" si="980"/>
        <v>0</v>
      </c>
      <c r="S3153" t="s">
        <v>89</v>
      </c>
      <c r="T3153" s="5">
        <f t="shared" si="981"/>
        <v>0</v>
      </c>
      <c r="U3153" s="5">
        <f t="shared" si="982"/>
        <v>0</v>
      </c>
      <c r="V3153" s="5">
        <f t="shared" si="983"/>
        <v>0</v>
      </c>
      <c r="W3153" s="5">
        <f t="shared" si="984"/>
        <v>0</v>
      </c>
      <c r="X3153" s="5">
        <f t="shared" si="985"/>
        <v>0</v>
      </c>
      <c r="Y3153" s="5">
        <f t="shared" si="986"/>
        <v>0</v>
      </c>
      <c r="Z3153" s="5">
        <f t="shared" si="987"/>
        <v>0</v>
      </c>
      <c r="AA3153" s="5">
        <f t="shared" si="988"/>
        <v>0</v>
      </c>
      <c r="AB3153" s="5">
        <f t="shared" si="978"/>
        <v>0</v>
      </c>
    </row>
    <row r="3154" spans="1:29" x14ac:dyDescent="0.25">
      <c r="D3154" t="s">
        <v>90</v>
      </c>
      <c r="E3154" s="14"/>
      <c r="F3154" s="14"/>
      <c r="G3154">
        <f>IFERROR(HLOOKUP(G$2,[95]table_female_hkom1_inj.ill_X7!$A$1:$K$36,22,FALSE),0)</f>
        <v>0</v>
      </c>
      <c r="H3154">
        <f>IFERROR(HLOOKUP(H$2,[95]table_female_hkom1_inj.ill_X7!$A$1:$K$36,22,FALSE),0)</f>
        <v>0</v>
      </c>
      <c r="I3154">
        <f>IFERROR(HLOOKUP(I$2,[95]table_female_hkom1_inj.ill_X7!$A$1:$K$36,22,FALSE),0)</f>
        <v>0</v>
      </c>
      <c r="J3154">
        <f>IFERROR(HLOOKUP(J$2,[95]table_female_hkom1_inj.ill_X7!$A$1:$K$36,22,FALSE),0)</f>
        <v>0</v>
      </c>
      <c r="K3154">
        <f>IFERROR(HLOOKUP(K$2,[95]table_female_hkom1_inj.ill_X7!$A$1:$K$36,22,FALSE),0)</f>
        <v>0</v>
      </c>
      <c r="L3154">
        <f>IFERROR(HLOOKUP(L$2,[95]table_female_hkom1_inj.ill_X7!$A$1:$K$36,22,FALSE),0)</f>
        <v>0</v>
      </c>
      <c r="M3154">
        <f t="shared" si="980"/>
        <v>0</v>
      </c>
      <c r="S3154" t="s">
        <v>90</v>
      </c>
      <c r="T3154" s="5">
        <f t="shared" si="981"/>
        <v>0</v>
      </c>
      <c r="U3154" s="5">
        <f t="shared" si="982"/>
        <v>0</v>
      </c>
      <c r="V3154" s="5">
        <f t="shared" si="983"/>
        <v>0</v>
      </c>
      <c r="W3154" s="5">
        <f t="shared" si="984"/>
        <v>0</v>
      </c>
      <c r="X3154" s="5">
        <f t="shared" si="985"/>
        <v>0</v>
      </c>
      <c r="Y3154" s="5">
        <f t="shared" si="986"/>
        <v>0</v>
      </c>
      <c r="Z3154" s="5">
        <f t="shared" si="987"/>
        <v>0</v>
      </c>
      <c r="AA3154" s="5">
        <f t="shared" si="988"/>
        <v>0</v>
      </c>
      <c r="AB3154" s="5">
        <f t="shared" si="978"/>
        <v>0</v>
      </c>
    </row>
    <row r="3155" spans="1:29" x14ac:dyDescent="0.25">
      <c r="D3155" t="s">
        <v>91</v>
      </c>
      <c r="E3155" s="14"/>
      <c r="F3155" s="14"/>
      <c r="G3155">
        <f>IFERROR(HLOOKUP(G$2,[95]table_female_hkom1_inj.ill_X7!$A$1:$K$36,23,FALSE),0)</f>
        <v>0</v>
      </c>
      <c r="H3155">
        <f>IFERROR(HLOOKUP(H$2,[95]table_female_hkom1_inj.ill_X7!$A$1:$K$36,23,FALSE),0)</f>
        <v>0</v>
      </c>
      <c r="I3155">
        <f>IFERROR(HLOOKUP(I$2,[95]table_female_hkom1_inj.ill_X7!$A$1:$K$36,23,FALSE),0)</f>
        <v>0</v>
      </c>
      <c r="J3155">
        <f>IFERROR(HLOOKUP(J$2,[95]table_female_hkom1_inj.ill_X7!$A$1:$K$36,23,FALSE),0)</f>
        <v>0</v>
      </c>
      <c r="K3155">
        <f>IFERROR(HLOOKUP(K$2,[95]table_female_hkom1_inj.ill_X7!$A$1:$K$36,23,FALSE),0)</f>
        <v>0</v>
      </c>
      <c r="L3155">
        <f>IFERROR(HLOOKUP(L$2,[95]table_female_hkom1_inj.ill_X7!$A$1:$K$36,23,FALSE),0)</f>
        <v>0</v>
      </c>
      <c r="M3155">
        <f t="shared" si="980"/>
        <v>0</v>
      </c>
      <c r="S3155" t="s">
        <v>91</v>
      </c>
      <c r="T3155" s="5">
        <f t="shared" si="981"/>
        <v>0</v>
      </c>
      <c r="U3155" s="5">
        <f t="shared" si="982"/>
        <v>0</v>
      </c>
      <c r="V3155" s="5">
        <f t="shared" si="983"/>
        <v>0</v>
      </c>
      <c r="W3155" s="5">
        <f t="shared" si="984"/>
        <v>0</v>
      </c>
      <c r="X3155" s="5">
        <f t="shared" si="985"/>
        <v>0</v>
      </c>
      <c r="Y3155" s="5">
        <f t="shared" si="986"/>
        <v>0</v>
      </c>
      <c r="Z3155" s="5">
        <f t="shared" si="987"/>
        <v>0</v>
      </c>
      <c r="AA3155" s="5">
        <f t="shared" si="988"/>
        <v>0</v>
      </c>
      <c r="AB3155" s="5">
        <f t="shared" si="978"/>
        <v>0</v>
      </c>
    </row>
    <row r="3156" spans="1:29" x14ac:dyDescent="0.25">
      <c r="D3156" t="s">
        <v>92</v>
      </c>
      <c r="E3156" s="14"/>
      <c r="F3156" s="14"/>
      <c r="G3156">
        <f>IFERROR(HLOOKUP(G$2,[95]table_female_hkom1_inj.ill_X7!$A$1:$K$36,24,FALSE),0)</f>
        <v>0</v>
      </c>
      <c r="H3156">
        <f>IFERROR(HLOOKUP(H$2,[95]table_female_hkom1_inj.ill_X7!$A$1:$K$36,24,FALSE),0)</f>
        <v>0</v>
      </c>
      <c r="I3156">
        <f>IFERROR(HLOOKUP(I$2,[95]table_female_hkom1_inj.ill_X7!$A$1:$K$36,24,FALSE),0)</f>
        <v>0</v>
      </c>
      <c r="J3156">
        <f>IFERROR(HLOOKUP(J$2,[95]table_female_hkom1_inj.ill_X7!$A$1:$K$36,24,FALSE),0)</f>
        <v>0</v>
      </c>
      <c r="K3156">
        <f>IFERROR(HLOOKUP(K$2,[95]table_female_hkom1_inj.ill_X7!$A$1:$K$36,24,FALSE),0)</f>
        <v>0</v>
      </c>
      <c r="L3156">
        <f>IFERROR(HLOOKUP(L$2,[95]table_female_hkom1_inj.ill_X7!$A$1:$K$36,24,FALSE),0)</f>
        <v>0</v>
      </c>
      <c r="M3156">
        <f t="shared" si="980"/>
        <v>0</v>
      </c>
      <c r="S3156" t="s">
        <v>92</v>
      </c>
      <c r="T3156" s="5">
        <f t="shared" si="981"/>
        <v>0</v>
      </c>
      <c r="U3156" s="5">
        <f t="shared" si="982"/>
        <v>0</v>
      </c>
      <c r="V3156" s="5">
        <f t="shared" si="983"/>
        <v>0</v>
      </c>
      <c r="W3156" s="5">
        <f t="shared" si="984"/>
        <v>0</v>
      </c>
      <c r="X3156" s="5">
        <f t="shared" si="985"/>
        <v>0</v>
      </c>
      <c r="Y3156" s="5">
        <f t="shared" si="986"/>
        <v>0</v>
      </c>
      <c r="Z3156" s="5">
        <f t="shared" si="987"/>
        <v>0</v>
      </c>
      <c r="AA3156" s="5">
        <f t="shared" si="988"/>
        <v>0</v>
      </c>
      <c r="AB3156" s="5">
        <f t="shared" si="978"/>
        <v>0</v>
      </c>
    </row>
    <row r="3157" spans="1:29" x14ac:dyDescent="0.25">
      <c r="D3157" t="s">
        <v>93</v>
      </c>
      <c r="E3157" s="14"/>
      <c r="F3157" s="14"/>
      <c r="G3157">
        <f>IFERROR(HLOOKUP(G$2,[95]table_female_hkom1_inj.ill_X7!$A$1:$K$36,25,FALSE),0)</f>
        <v>0</v>
      </c>
      <c r="H3157">
        <f>IFERROR(HLOOKUP(H$2,[95]table_female_hkom1_inj.ill_X7!$A$1:$K$36,25,FALSE),0)</f>
        <v>0</v>
      </c>
      <c r="I3157">
        <f>IFERROR(HLOOKUP(I$2,[95]table_female_hkom1_inj.ill_X7!$A$1:$K$36,25,FALSE),0)</f>
        <v>0</v>
      </c>
      <c r="J3157">
        <f>IFERROR(HLOOKUP(J$2,[95]table_female_hkom1_inj.ill_X7!$A$1:$K$36,25,FALSE),0)</f>
        <v>0</v>
      </c>
      <c r="K3157">
        <f>IFERROR(HLOOKUP(K$2,[95]table_female_hkom1_inj.ill_X7!$A$1:$K$36,25,FALSE),0)</f>
        <v>0</v>
      </c>
      <c r="L3157">
        <f>IFERROR(HLOOKUP(L$2,[95]table_female_hkom1_inj.ill_X7!$A$1:$K$36,25,FALSE),0)</f>
        <v>0</v>
      </c>
      <c r="M3157">
        <f t="shared" si="980"/>
        <v>0</v>
      </c>
      <c r="S3157" t="s">
        <v>93</v>
      </c>
      <c r="T3157" s="5">
        <f t="shared" si="981"/>
        <v>0</v>
      </c>
      <c r="U3157" s="5">
        <f t="shared" si="982"/>
        <v>0</v>
      </c>
      <c r="V3157" s="5">
        <f t="shared" si="983"/>
        <v>0</v>
      </c>
      <c r="W3157" s="5">
        <f t="shared" si="984"/>
        <v>0</v>
      </c>
      <c r="X3157" s="5">
        <f t="shared" si="985"/>
        <v>0</v>
      </c>
      <c r="Y3157" s="5">
        <f t="shared" si="986"/>
        <v>0</v>
      </c>
      <c r="Z3157" s="5">
        <f t="shared" si="987"/>
        <v>0</v>
      </c>
      <c r="AA3157" s="5">
        <f t="shared" si="988"/>
        <v>0</v>
      </c>
      <c r="AB3157" s="5">
        <f t="shared" si="978"/>
        <v>0</v>
      </c>
    </row>
    <row r="3158" spans="1:29" x14ac:dyDescent="0.25">
      <c r="D3158" t="s">
        <v>94</v>
      </c>
      <c r="E3158" s="14"/>
      <c r="F3158" s="14"/>
      <c r="G3158">
        <f>IFERROR(HLOOKUP(G$2,[95]table_female_hkom1_inj.ill_X7!$A$1:$K$36,26,FALSE),0)</f>
        <v>0</v>
      </c>
      <c r="H3158">
        <f>IFERROR(HLOOKUP(H$2,[95]table_female_hkom1_inj.ill_X7!$A$1:$K$36,26,FALSE),0)</f>
        <v>0</v>
      </c>
      <c r="I3158">
        <f>IFERROR(HLOOKUP(I$2,[95]table_female_hkom1_inj.ill_X7!$A$1:$K$36,26,FALSE),0)</f>
        <v>0</v>
      </c>
      <c r="J3158">
        <f>IFERROR(HLOOKUP(J$2,[95]table_female_hkom1_inj.ill_X7!$A$1:$K$36,26,FALSE),0)</f>
        <v>0</v>
      </c>
      <c r="K3158">
        <f>IFERROR(HLOOKUP(K$2,[95]table_female_hkom1_inj.ill_X7!$A$1:$K$36,26,FALSE),0)</f>
        <v>0</v>
      </c>
      <c r="L3158">
        <f>IFERROR(HLOOKUP(L$2,[95]table_female_hkom1_inj.ill_X7!$A$1:$K$36,26,FALSE),0)</f>
        <v>0</v>
      </c>
      <c r="M3158">
        <f t="shared" si="980"/>
        <v>0</v>
      </c>
      <c r="S3158" t="s">
        <v>94</v>
      </c>
      <c r="T3158" s="5">
        <f t="shared" si="981"/>
        <v>0</v>
      </c>
      <c r="U3158" s="5">
        <f t="shared" si="982"/>
        <v>0</v>
      </c>
      <c r="V3158" s="5">
        <f t="shared" si="983"/>
        <v>0</v>
      </c>
      <c r="W3158" s="5">
        <f t="shared" si="984"/>
        <v>0</v>
      </c>
      <c r="X3158" s="5">
        <f t="shared" si="985"/>
        <v>0</v>
      </c>
      <c r="Y3158" s="5">
        <f t="shared" si="986"/>
        <v>0</v>
      </c>
      <c r="Z3158" s="5">
        <f t="shared" si="987"/>
        <v>0</v>
      </c>
      <c r="AA3158" s="5">
        <f t="shared" si="988"/>
        <v>0</v>
      </c>
      <c r="AB3158" s="5">
        <f t="shared" si="978"/>
        <v>0</v>
      </c>
    </row>
    <row r="3159" spans="1:29" x14ac:dyDescent="0.25">
      <c r="D3159" t="s">
        <v>95</v>
      </c>
      <c r="E3159" s="14"/>
      <c r="F3159" s="14"/>
      <c r="G3159">
        <f>IFERROR(HLOOKUP(G$2,[95]table_female_hkom1_inj.ill_X7!$A$1:$K$36,27,FALSE),0)</f>
        <v>0</v>
      </c>
      <c r="H3159">
        <f>IFERROR(HLOOKUP(H$2,[95]table_female_hkom1_inj.ill_X7!$A$1:$K$36,27,FALSE),0)</f>
        <v>0</v>
      </c>
      <c r="I3159">
        <f>IFERROR(HLOOKUP(I$2,[95]table_female_hkom1_inj.ill_X7!$A$1:$K$36,27,FALSE),0)</f>
        <v>0</v>
      </c>
      <c r="J3159">
        <f>IFERROR(HLOOKUP(J$2,[95]table_female_hkom1_inj.ill_X7!$A$1:$K$36,27,FALSE),0)</f>
        <v>0</v>
      </c>
      <c r="K3159">
        <f>IFERROR(HLOOKUP(K$2,[95]table_female_hkom1_inj.ill_X7!$A$1:$K$36,27,FALSE),0)</f>
        <v>0</v>
      </c>
      <c r="L3159">
        <f>IFERROR(HLOOKUP(L$2,[95]table_female_hkom1_inj.ill_X7!$A$1:$K$36,27,FALSE),0)</f>
        <v>0</v>
      </c>
      <c r="M3159">
        <f t="shared" si="980"/>
        <v>0</v>
      </c>
      <c r="S3159" t="s">
        <v>95</v>
      </c>
      <c r="T3159" s="5">
        <f t="shared" si="981"/>
        <v>0</v>
      </c>
      <c r="U3159" s="5">
        <f t="shared" si="982"/>
        <v>0</v>
      </c>
      <c r="V3159" s="5">
        <f t="shared" si="983"/>
        <v>0</v>
      </c>
      <c r="W3159" s="5">
        <f t="shared" si="984"/>
        <v>0</v>
      </c>
      <c r="X3159" s="5">
        <f t="shared" si="985"/>
        <v>0</v>
      </c>
      <c r="Y3159" s="5">
        <f t="shared" si="986"/>
        <v>0</v>
      </c>
      <c r="Z3159" s="5">
        <f t="shared" si="987"/>
        <v>0</v>
      </c>
      <c r="AA3159" s="5">
        <f t="shared" si="988"/>
        <v>0</v>
      </c>
      <c r="AB3159" s="5">
        <f t="shared" si="978"/>
        <v>0</v>
      </c>
    </row>
    <row r="3160" spans="1:29" x14ac:dyDescent="0.25">
      <c r="D3160" t="s">
        <v>96</v>
      </c>
      <c r="E3160" s="14"/>
      <c r="F3160" s="14"/>
      <c r="G3160">
        <f>IFERROR(HLOOKUP(G$2,[95]table_female_hkom1_inj.ill_X7!$A$1:$K$36,28,FALSE),0)</f>
        <v>0</v>
      </c>
      <c r="H3160">
        <f>IFERROR(HLOOKUP(H$2,[95]table_female_hkom1_inj.ill_X7!$A$1:$K$36,28,FALSE),0)</f>
        <v>0</v>
      </c>
      <c r="I3160">
        <f>IFERROR(HLOOKUP(I$2,[95]table_female_hkom1_inj.ill_X7!$A$1:$K$36,28,FALSE),0)</f>
        <v>0</v>
      </c>
      <c r="J3160">
        <f>IFERROR(HLOOKUP(J$2,[95]table_female_hkom1_inj.ill_X7!$A$1:$K$36,28,FALSE),0)</f>
        <v>0</v>
      </c>
      <c r="K3160">
        <f>IFERROR(HLOOKUP(K$2,[95]table_female_hkom1_inj.ill_X7!$A$1:$K$36,28,FALSE),0)</f>
        <v>0</v>
      </c>
      <c r="L3160">
        <f>IFERROR(HLOOKUP(L$2,[95]table_female_hkom1_inj.ill_X7!$A$1:$K$36,28,FALSE),0)</f>
        <v>0</v>
      </c>
      <c r="M3160">
        <f t="shared" si="980"/>
        <v>0</v>
      </c>
      <c r="S3160" t="s">
        <v>96</v>
      </c>
      <c r="T3160" s="5">
        <f t="shared" si="981"/>
        <v>0</v>
      </c>
      <c r="U3160" s="5">
        <f t="shared" si="982"/>
        <v>0</v>
      </c>
      <c r="V3160" s="5">
        <f t="shared" si="983"/>
        <v>0</v>
      </c>
      <c r="W3160" s="5">
        <f t="shared" si="984"/>
        <v>0</v>
      </c>
      <c r="X3160" s="5">
        <f t="shared" si="985"/>
        <v>0</v>
      </c>
      <c r="Y3160" s="5">
        <f t="shared" si="986"/>
        <v>0</v>
      </c>
      <c r="Z3160" s="5">
        <f t="shared" si="987"/>
        <v>0</v>
      </c>
      <c r="AA3160" s="5">
        <f t="shared" si="988"/>
        <v>0</v>
      </c>
      <c r="AB3160" s="5">
        <f t="shared" si="978"/>
        <v>0</v>
      </c>
    </row>
    <row r="3161" spans="1:29" x14ac:dyDescent="0.25">
      <c r="D3161" t="s">
        <v>97</v>
      </c>
      <c r="E3161" s="14"/>
      <c r="F3161" s="14"/>
      <c r="G3161">
        <f>IFERROR(HLOOKUP(G$2,[95]table_female_hkom1_inj.ill_X7!$A$1:$K$36,29,FALSE),0)</f>
        <v>0</v>
      </c>
      <c r="H3161">
        <f>IFERROR(HLOOKUP(H$2,[95]table_female_hkom1_inj.ill_X7!$A$1:$K$36,29,FALSE),0)</f>
        <v>0</v>
      </c>
      <c r="I3161">
        <f>IFERROR(HLOOKUP(I$2,[95]table_female_hkom1_inj.ill_X7!$A$1:$K$36,29,FALSE),0)</f>
        <v>0</v>
      </c>
      <c r="J3161">
        <f>IFERROR(HLOOKUP(J$2,[95]table_female_hkom1_inj.ill_X7!$A$1:$K$36,29,FALSE),0)</f>
        <v>0</v>
      </c>
      <c r="K3161">
        <f>IFERROR(HLOOKUP(K$2,[95]table_female_hkom1_inj.ill_X7!$A$1:$K$36,29,FALSE),0)</f>
        <v>0</v>
      </c>
      <c r="L3161">
        <f>IFERROR(HLOOKUP(L$2,[95]table_female_hkom1_inj.ill_X7!$A$1:$K$36,29,FALSE),0)</f>
        <v>0</v>
      </c>
      <c r="M3161">
        <f t="shared" si="980"/>
        <v>0</v>
      </c>
      <c r="S3161" t="s">
        <v>97</v>
      </c>
      <c r="T3161" s="5">
        <f t="shared" si="981"/>
        <v>0</v>
      </c>
      <c r="U3161" s="5">
        <f t="shared" si="982"/>
        <v>0</v>
      </c>
      <c r="V3161" s="5">
        <f t="shared" si="983"/>
        <v>0</v>
      </c>
      <c r="W3161" s="5">
        <f t="shared" si="984"/>
        <v>0</v>
      </c>
      <c r="X3161" s="5">
        <f t="shared" si="985"/>
        <v>0</v>
      </c>
      <c r="Y3161" s="5">
        <f t="shared" si="986"/>
        <v>0</v>
      </c>
      <c r="Z3161" s="5">
        <f t="shared" si="987"/>
        <v>0</v>
      </c>
      <c r="AA3161" s="5">
        <f t="shared" si="988"/>
        <v>0</v>
      </c>
      <c r="AB3161" s="5">
        <f t="shared" si="978"/>
        <v>0</v>
      </c>
    </row>
    <row r="3162" spans="1:29" x14ac:dyDescent="0.25">
      <c r="D3162" t="s">
        <v>98</v>
      </c>
      <c r="E3162" s="14"/>
      <c r="F3162" s="14"/>
      <c r="G3162">
        <f>IFERROR(HLOOKUP(G$2,[95]table_female_hkom1_inj.ill_X7!$A$1:$K$36,30,FALSE),0)</f>
        <v>0</v>
      </c>
      <c r="H3162">
        <f>IFERROR(HLOOKUP(H$2,[95]table_female_hkom1_inj.ill_X7!$A$1:$K$36,30,FALSE),0)</f>
        <v>0</v>
      </c>
      <c r="I3162">
        <f>IFERROR(HLOOKUP(I$2,[95]table_female_hkom1_inj.ill_X7!$A$1:$K$36,30,FALSE),0)</f>
        <v>0</v>
      </c>
      <c r="J3162">
        <f>IFERROR(HLOOKUP(J$2,[95]table_female_hkom1_inj.ill_X7!$A$1:$K$36,30,FALSE),0)</f>
        <v>0</v>
      </c>
      <c r="K3162">
        <f>IFERROR(HLOOKUP(K$2,[95]table_female_hkom1_inj.ill_X7!$A$1:$K$36,30,FALSE),0)</f>
        <v>0</v>
      </c>
      <c r="L3162">
        <f>IFERROR(HLOOKUP(L$2,[95]table_female_hkom1_inj.ill_X7!$A$1:$K$36,30,FALSE),0)</f>
        <v>0</v>
      </c>
      <c r="M3162">
        <f t="shared" si="980"/>
        <v>0</v>
      </c>
      <c r="S3162" t="s">
        <v>98</v>
      </c>
      <c r="T3162" s="5">
        <f t="shared" si="981"/>
        <v>0</v>
      </c>
      <c r="U3162" s="5">
        <f t="shared" si="982"/>
        <v>0</v>
      </c>
      <c r="V3162" s="5">
        <f t="shared" si="983"/>
        <v>0</v>
      </c>
      <c r="W3162" s="5">
        <f t="shared" si="984"/>
        <v>0</v>
      </c>
      <c r="X3162" s="5">
        <f t="shared" si="985"/>
        <v>0</v>
      </c>
      <c r="Y3162" s="5">
        <f t="shared" si="986"/>
        <v>0</v>
      </c>
      <c r="Z3162" s="5">
        <f t="shared" si="987"/>
        <v>0</v>
      </c>
      <c r="AA3162" s="5">
        <f t="shared" si="988"/>
        <v>0</v>
      </c>
      <c r="AB3162" s="5">
        <f t="shared" si="978"/>
        <v>0</v>
      </c>
    </row>
    <row r="3163" spans="1:29" x14ac:dyDescent="0.25">
      <c r="D3163" t="s">
        <v>119</v>
      </c>
      <c r="E3163" s="14"/>
      <c r="F3163" s="14"/>
      <c r="G3163">
        <f>IFERROR(HLOOKUP(G$2,[95]table_female_hkom1_inj.ill_X7!$A$1:$K$36,31,FALSE),0)</f>
        <v>0</v>
      </c>
      <c r="H3163">
        <f>IFERROR(HLOOKUP(H$2,[95]table_female_hkom1_inj.ill_X7!$A$1:$K$36,31,FALSE),0)</f>
        <v>0</v>
      </c>
      <c r="I3163">
        <f>IFERROR(HLOOKUP(I$2,[95]table_female_hkom1_inj.ill_X7!$A$1:$K$36,31,FALSE),0)</f>
        <v>0</v>
      </c>
      <c r="J3163">
        <f>IFERROR(HLOOKUP(J$2,[95]table_female_hkom1_inj.ill_X7!$A$1:$K$36,31,FALSE),0)</f>
        <v>0</v>
      </c>
      <c r="K3163">
        <f>IFERROR(HLOOKUP(K$2,[95]table_female_hkom1_inj.ill_X7!$A$1:$K$36,31,FALSE),0)</f>
        <v>0</v>
      </c>
      <c r="L3163">
        <f>IFERROR(HLOOKUP(L$2,[95]table_female_hkom1_inj.ill_X7!$A$1:$K$36,31,FALSE),0)</f>
        <v>0</v>
      </c>
      <c r="M3163">
        <f t="shared" si="980"/>
        <v>0</v>
      </c>
      <c r="S3163" t="s">
        <v>119</v>
      </c>
      <c r="T3163" s="5">
        <f t="shared" si="981"/>
        <v>0</v>
      </c>
      <c r="U3163" s="5">
        <f t="shared" si="982"/>
        <v>0</v>
      </c>
      <c r="V3163" s="5">
        <f t="shared" si="983"/>
        <v>0</v>
      </c>
      <c r="W3163" s="5">
        <f t="shared" si="984"/>
        <v>0</v>
      </c>
      <c r="X3163" s="5">
        <f t="shared" si="985"/>
        <v>0</v>
      </c>
      <c r="Y3163" s="5">
        <f t="shared" si="986"/>
        <v>0</v>
      </c>
      <c r="Z3163" s="5">
        <f t="shared" si="987"/>
        <v>0</v>
      </c>
      <c r="AA3163" s="5">
        <f t="shared" si="988"/>
        <v>0</v>
      </c>
      <c r="AB3163" s="5">
        <f t="shared" si="978"/>
        <v>0</v>
      </c>
    </row>
    <row r="3164" spans="1:29" x14ac:dyDescent="0.25">
      <c r="D3164" t="s">
        <v>99</v>
      </c>
      <c r="E3164" s="14"/>
      <c r="F3164" s="14"/>
      <c r="G3164">
        <f>IFERROR(HLOOKUP(G$2,[95]table_female_hkom1_inj.ill_X7!$A$1:$K$36,32,FALSE),0)</f>
        <v>1</v>
      </c>
      <c r="H3164">
        <f>IFERROR(HLOOKUP(H$2,[95]table_female_hkom1_inj.ill_X7!$A$1:$K$36,32,FALSE),0)</f>
        <v>0</v>
      </c>
      <c r="I3164">
        <f>IFERROR(HLOOKUP(I$2,[95]table_female_hkom1_inj.ill_X7!$A$1:$K$36,32,FALSE),0)</f>
        <v>0</v>
      </c>
      <c r="J3164">
        <f>IFERROR(HLOOKUP(J$2,[95]table_female_hkom1_inj.ill_X7!$A$1:$K$36,32,FALSE),0)</f>
        <v>0</v>
      </c>
      <c r="K3164">
        <f>IFERROR(HLOOKUP(K$2,[95]table_female_hkom1_inj.ill_X7!$A$1:$K$36,32,FALSE),0)</f>
        <v>0</v>
      </c>
      <c r="L3164">
        <f>IFERROR(HLOOKUP(L$2,[95]table_female_hkom1_inj.ill_X7!$A$1:$K$36,32,FALSE),0)</f>
        <v>0</v>
      </c>
      <c r="M3164">
        <f t="shared" si="980"/>
        <v>1</v>
      </c>
      <c r="S3164" t="s">
        <v>99</v>
      </c>
      <c r="T3164" s="5">
        <f t="shared" si="981"/>
        <v>0</v>
      </c>
      <c r="U3164" s="5">
        <f t="shared" si="982"/>
        <v>0</v>
      </c>
      <c r="V3164" s="5">
        <f t="shared" si="983"/>
        <v>1.25</v>
      </c>
      <c r="W3164" s="5">
        <f t="shared" si="984"/>
        <v>0</v>
      </c>
      <c r="X3164" s="5">
        <f t="shared" si="985"/>
        <v>0</v>
      </c>
      <c r="Y3164" s="5">
        <f t="shared" si="986"/>
        <v>0</v>
      </c>
      <c r="Z3164" s="5">
        <f t="shared" si="987"/>
        <v>0</v>
      </c>
      <c r="AA3164" s="5">
        <f t="shared" si="988"/>
        <v>0</v>
      </c>
      <c r="AB3164" s="5">
        <f t="shared" si="978"/>
        <v>1.25</v>
      </c>
    </row>
    <row r="3165" spans="1:29" x14ac:dyDescent="0.25">
      <c r="D3165" t="s">
        <v>100</v>
      </c>
      <c r="E3165" s="14"/>
      <c r="F3165" s="14"/>
      <c r="G3165">
        <f>IFERROR(HLOOKUP(G$2,[95]table_female_hkom1_inj.ill_X7!$A$1:$K$36,33,FALSE),0)</f>
        <v>0</v>
      </c>
      <c r="H3165">
        <f>IFERROR(HLOOKUP(H$2,[95]table_female_hkom1_inj.ill_X7!$A$1:$K$36,33,FALSE),0)</f>
        <v>2</v>
      </c>
      <c r="I3165">
        <f>IFERROR(HLOOKUP(I$2,[95]table_female_hkom1_inj.ill_X7!$A$1:$K$36,33,FALSE),0)</f>
        <v>0</v>
      </c>
      <c r="J3165">
        <f>IFERROR(HLOOKUP(J$2,[95]table_female_hkom1_inj.ill_X7!$A$1:$K$36,33,FALSE),0)</f>
        <v>0</v>
      </c>
      <c r="K3165">
        <f>IFERROR(HLOOKUP(K$2,[95]table_female_hkom1_inj.ill_X7!$A$1:$K$36,33,FALSE),0)</f>
        <v>0</v>
      </c>
      <c r="L3165">
        <f>IFERROR(HLOOKUP(L$2,[95]table_female_hkom1_inj.ill_X7!$A$1:$K$36,33,FALSE),0)</f>
        <v>0</v>
      </c>
      <c r="M3165">
        <f t="shared" si="980"/>
        <v>2</v>
      </c>
      <c r="S3165" t="s">
        <v>100</v>
      </c>
      <c r="T3165" s="5">
        <f t="shared" si="981"/>
        <v>0</v>
      </c>
      <c r="U3165" s="5">
        <f t="shared" si="982"/>
        <v>0</v>
      </c>
      <c r="V3165" s="5">
        <f t="shared" si="983"/>
        <v>0</v>
      </c>
      <c r="W3165" s="5">
        <f t="shared" si="984"/>
        <v>2</v>
      </c>
      <c r="X3165" s="5">
        <f t="shared" si="985"/>
        <v>0</v>
      </c>
      <c r="Y3165" s="5">
        <f t="shared" si="986"/>
        <v>0</v>
      </c>
      <c r="Z3165" s="5">
        <f t="shared" si="987"/>
        <v>0</v>
      </c>
      <c r="AA3165" s="5">
        <f t="shared" si="988"/>
        <v>0</v>
      </c>
      <c r="AB3165" s="5">
        <f t="shared" si="978"/>
        <v>2</v>
      </c>
    </row>
    <row r="3166" spans="1:29" x14ac:dyDescent="0.25">
      <c r="D3166" t="s">
        <v>101</v>
      </c>
      <c r="E3166" s="14"/>
      <c r="F3166" s="14"/>
      <c r="G3166">
        <f>IFERROR(HLOOKUP(G$2,[95]table_female_hkom1_inj.ill_X7!$A$1:$K$36,34,FALSE),0)</f>
        <v>0</v>
      </c>
      <c r="H3166">
        <f>IFERROR(HLOOKUP(H$2,[95]table_female_hkom1_inj.ill_X7!$A$1:$K$36,34,FALSE),0)</f>
        <v>0</v>
      </c>
      <c r="I3166">
        <f>IFERROR(HLOOKUP(I$2,[95]table_female_hkom1_inj.ill_X7!$A$1:$K$36,34,FALSE),0)</f>
        <v>0</v>
      </c>
      <c r="J3166">
        <f>IFERROR(HLOOKUP(J$2,[95]table_female_hkom1_inj.ill_X7!$A$1:$K$36,34,FALSE),0)</f>
        <v>0</v>
      </c>
      <c r="K3166">
        <f>IFERROR(HLOOKUP(K$2,[95]table_female_hkom1_inj.ill_X7!$A$1:$K$36,34,FALSE),0)</f>
        <v>0</v>
      </c>
      <c r="L3166">
        <f>IFERROR(HLOOKUP(L$2,[95]table_female_hkom1_inj.ill_X7!$A$1:$K$36,34,FALSE),0)</f>
        <v>0</v>
      </c>
      <c r="M3166">
        <f t="shared" si="980"/>
        <v>0</v>
      </c>
      <c r="S3166" t="s">
        <v>101</v>
      </c>
      <c r="T3166" s="5">
        <f t="shared" si="981"/>
        <v>0</v>
      </c>
      <c r="U3166" s="5">
        <f t="shared" si="982"/>
        <v>0</v>
      </c>
      <c r="V3166" s="5">
        <f t="shared" si="983"/>
        <v>0</v>
      </c>
      <c r="W3166" s="5">
        <f t="shared" si="984"/>
        <v>0</v>
      </c>
      <c r="X3166" s="5">
        <f t="shared" si="985"/>
        <v>0</v>
      </c>
      <c r="Y3166" s="5">
        <f t="shared" si="986"/>
        <v>0</v>
      </c>
      <c r="Z3166" s="5">
        <f t="shared" si="987"/>
        <v>0</v>
      </c>
      <c r="AA3166" s="5">
        <f t="shared" si="988"/>
        <v>0</v>
      </c>
      <c r="AB3166" s="5">
        <f t="shared" si="978"/>
        <v>0</v>
      </c>
    </row>
    <row r="3167" spans="1:29" x14ac:dyDescent="0.25">
      <c r="D3167" t="s">
        <v>102</v>
      </c>
      <c r="E3167" s="14"/>
      <c r="F3167" s="14"/>
      <c r="G3167">
        <f>IFERROR(HLOOKUP(G$2,[95]table_female_hkom1_inj.ill_X7!$A$1:$K$36,35,FALSE),0)</f>
        <v>1</v>
      </c>
      <c r="H3167">
        <f>IFERROR(HLOOKUP(H$2,[95]table_female_hkom1_inj.ill_X7!$A$1:$K$36,35,FALSE),0)</f>
        <v>0</v>
      </c>
      <c r="I3167">
        <f>IFERROR(HLOOKUP(I$2,[95]table_female_hkom1_inj.ill_X7!$A$1:$K$36,35,FALSE),0)</f>
        <v>0</v>
      </c>
      <c r="J3167">
        <f>IFERROR(HLOOKUP(J$2,[95]table_female_hkom1_inj.ill_X7!$A$1:$K$36,35,FALSE),0)</f>
        <v>0</v>
      </c>
      <c r="K3167">
        <f>IFERROR(HLOOKUP(K$2,[95]table_female_hkom1_inj.ill_X7!$A$1:$K$36,35,FALSE),0)</f>
        <v>0</v>
      </c>
      <c r="L3167">
        <f>IFERROR(HLOOKUP(L$2,[95]table_female_hkom1_inj.ill_X7!$A$1:$K$36,35,FALSE),0)</f>
        <v>0</v>
      </c>
      <c r="M3167">
        <f t="shared" si="980"/>
        <v>1</v>
      </c>
      <c r="N3167">
        <f>SUM(M3134:M3167)</f>
        <v>8</v>
      </c>
      <c r="O3167" s="8">
        <f>SUM([95]table_female_hkom1_inj.ill_X7!$B$2:$L$37)</f>
        <v>8</v>
      </c>
      <c r="S3167" t="s">
        <v>102</v>
      </c>
      <c r="T3167" s="7"/>
      <c r="U3167" s="7"/>
      <c r="V3167" s="7"/>
      <c r="W3167" s="7"/>
      <c r="X3167" s="7"/>
      <c r="Y3167" s="7"/>
      <c r="Z3167" s="7"/>
      <c r="AA3167" s="7"/>
      <c r="AB3167" s="5">
        <f t="shared" si="978"/>
        <v>0</v>
      </c>
      <c r="AC3167" s="5">
        <f>SUM(AB3134:AB3166)</f>
        <v>8</v>
      </c>
    </row>
    <row r="3168" spans="1:29" x14ac:dyDescent="0.25">
      <c r="A3168" t="s">
        <v>115</v>
      </c>
      <c r="B3168" t="s">
        <v>103</v>
      </c>
      <c r="C3168" t="s">
        <v>130</v>
      </c>
      <c r="D3168" t="s">
        <v>70</v>
      </c>
      <c r="E3168" s="14"/>
      <c r="F3168" s="14"/>
      <c r="G3168">
        <f>IFERROR(HLOOKUP(G$2,[96]table_female_hkom1_inj.ill_X8!$A$1:$K$36,2,FALSE),0)</f>
        <v>0</v>
      </c>
      <c r="H3168">
        <f>IFERROR(HLOOKUP(H$2,[96]table_female_hkom1_inj.ill_X8!$A$1:$K$36,2,FALSE),0)</f>
        <v>0</v>
      </c>
      <c r="I3168">
        <f>IFERROR(HLOOKUP(I$2,[96]table_female_hkom1_inj.ill_X8!$A$1:$K$36,2,FALSE),0)</f>
        <v>0</v>
      </c>
      <c r="J3168">
        <f>IFERROR(HLOOKUP(J$2,[96]table_female_hkom1_inj.ill_X8!$A$1:$K$36,2,FALSE),0)</f>
        <v>0</v>
      </c>
      <c r="K3168">
        <f>IFERROR(HLOOKUP(K$2,[96]table_female_hkom1_inj.ill_X8!$A$1:$K$36,2,FALSE),0)</f>
        <v>0</v>
      </c>
      <c r="L3168">
        <f>IFERROR(HLOOKUP(L$2,[96]table_female_hkom1_inj.ill_X8!$A$1:$K$36,2,FALSE),0)</f>
        <v>0</v>
      </c>
      <c r="M3168">
        <f>SUM(E3168:L3168)</f>
        <v>0</v>
      </c>
      <c r="P3168" t="s">
        <v>115</v>
      </c>
      <c r="Q3168" t="s">
        <v>103</v>
      </c>
      <c r="R3168" t="s">
        <v>130</v>
      </c>
      <c r="S3168" t="s">
        <v>70</v>
      </c>
      <c r="T3168" s="5">
        <f>IF(SUM(E$3168:E$3200)=0,E$3201/33,E3168+IFERROR(E3168/SUM(E$3168:E$3200)*E$3201,0))</f>
        <v>0</v>
      </c>
      <c r="U3168" s="5">
        <f t="shared" ref="U3168:AA3168" si="989">IF(SUM(F$3168:F$3200)=0,F$3201/33,F3168+IFERROR(F3168/SUM(F$3168:F$3200)*F$3201,0))</f>
        <v>0</v>
      </c>
      <c r="V3168" s="5">
        <f t="shared" si="989"/>
        <v>0</v>
      </c>
      <c r="W3168" s="5">
        <f t="shared" si="989"/>
        <v>0</v>
      </c>
      <c r="X3168" s="5">
        <f t="shared" si="989"/>
        <v>0</v>
      </c>
      <c r="Y3168" s="5">
        <f t="shared" si="989"/>
        <v>0</v>
      </c>
      <c r="Z3168" s="5">
        <f t="shared" si="989"/>
        <v>3.0303030303030304E-2</v>
      </c>
      <c r="AA3168" s="5">
        <f t="shared" si="989"/>
        <v>0</v>
      </c>
      <c r="AB3168" s="5">
        <f t="shared" si="978"/>
        <v>3.0303030303030304E-2</v>
      </c>
    </row>
    <row r="3169" spans="4:28" x14ac:dyDescent="0.25">
      <c r="D3169" t="s">
        <v>71</v>
      </c>
      <c r="E3169" s="14"/>
      <c r="F3169" s="14"/>
      <c r="G3169">
        <f>IFERROR(HLOOKUP(G$2,[96]table_female_hkom1_inj.ill_X8!$A$1:$K$36,3,FALSE),0)</f>
        <v>0</v>
      </c>
      <c r="H3169">
        <f>IFERROR(HLOOKUP(H$2,[96]table_female_hkom1_inj.ill_X8!$A$1:$K$36,3,FALSE),0)</f>
        <v>1</v>
      </c>
      <c r="I3169">
        <f>IFERROR(HLOOKUP(I$2,[96]table_female_hkom1_inj.ill_X8!$A$1:$K$36,3,FALSE),0)</f>
        <v>0</v>
      </c>
      <c r="J3169">
        <f>IFERROR(HLOOKUP(J$2,[96]table_female_hkom1_inj.ill_X8!$A$1:$K$36,3,FALSE),0)</f>
        <v>0</v>
      </c>
      <c r="K3169">
        <f>IFERROR(HLOOKUP(K$2,[96]table_female_hkom1_inj.ill_X8!$A$1:$K$36,3,FALSE),0)</f>
        <v>0</v>
      </c>
      <c r="L3169">
        <f>IFERROR(HLOOKUP(L$2,[96]table_female_hkom1_inj.ill_X8!$A$1:$K$36,3,FALSE),0)</f>
        <v>0</v>
      </c>
      <c r="M3169">
        <f t="shared" ref="M3169:M3201" si="990">SUM(E3169:L3169)</f>
        <v>1</v>
      </c>
      <c r="S3169" t="s">
        <v>71</v>
      </c>
      <c r="T3169" s="5">
        <f t="shared" ref="T3169:T3200" si="991">IF(SUM(E$3168:E$3200)=0,E$3201/33,E3169+IFERROR(E3169/SUM(E$3168:E$3200)*E$3201,0))</f>
        <v>0</v>
      </c>
      <c r="U3169" s="5">
        <f t="shared" ref="U3169:U3200" si="992">IF(SUM(F$3168:F$3200)=0,F$3201/33,F3169+IFERROR(F3169/SUM(F$3168:F$3200)*F$3201,0))</f>
        <v>0</v>
      </c>
      <c r="V3169" s="5">
        <f t="shared" ref="V3169:V3200" si="993">IF(SUM(G$3168:G$3200)=0,G$3201/33,G3169+IFERROR(G3169/SUM(G$3168:G$3200)*G$3201,0))</f>
        <v>0</v>
      </c>
      <c r="W3169" s="5">
        <f t="shared" ref="W3169:W3200" si="994">IF(SUM(H$3168:H$3200)=0,H$3201/33,H3169+IFERROR(H3169/SUM(H$3168:H$3200)*H$3201,0))</f>
        <v>1.9</v>
      </c>
      <c r="X3169" s="5">
        <f t="shared" ref="X3169:X3200" si="995">IF(SUM(I$3168:I$3200)=0,I$3201/33,I3169+IFERROR(I3169/SUM(I$3168:I$3200)*I$3201,0))</f>
        <v>0</v>
      </c>
      <c r="Y3169" s="5">
        <f t="shared" ref="Y3169:Y3200" si="996">IF(SUM(J$3168:J$3200)=0,J$3201/33,J3169+IFERROR(J3169/SUM(J$3168:J$3200)*J$3201,0))</f>
        <v>0</v>
      </c>
      <c r="Z3169" s="5">
        <f t="shared" ref="Z3169:Z3200" si="997">IF(SUM(K$3168:K$3200)=0,K$3201/33,K3169+IFERROR(K3169/SUM(K$3168:K$3200)*K$3201,0))</f>
        <v>3.0303030303030304E-2</v>
      </c>
      <c r="AA3169" s="5">
        <f t="shared" ref="AA3169:AA3200" si="998">IF(SUM(L$3168:L$3200)=0,L$3201/33,L3169+IFERROR(L3169/SUM(L$3168:L$3200)*L$3201,0))</f>
        <v>0</v>
      </c>
      <c r="AB3169" s="5">
        <f t="shared" si="978"/>
        <v>1.9303030303030302</v>
      </c>
    </row>
    <row r="3170" spans="4:28" x14ac:dyDescent="0.25">
      <c r="D3170" t="s">
        <v>72</v>
      </c>
      <c r="E3170" s="14"/>
      <c r="F3170" s="14"/>
      <c r="G3170">
        <f>IFERROR(HLOOKUP(G$2,[96]table_female_hkom1_inj.ill_X8!$A$1:$K$36,4,FALSE),0)</f>
        <v>0</v>
      </c>
      <c r="H3170">
        <f>IFERROR(HLOOKUP(H$2,[96]table_female_hkom1_inj.ill_X8!$A$1:$K$36,4,FALSE),0)</f>
        <v>0</v>
      </c>
      <c r="I3170">
        <f>IFERROR(HLOOKUP(I$2,[96]table_female_hkom1_inj.ill_X8!$A$1:$K$36,4,FALSE),0)</f>
        <v>0</v>
      </c>
      <c r="J3170">
        <f>IFERROR(HLOOKUP(J$2,[96]table_female_hkom1_inj.ill_X8!$A$1:$K$36,4,FALSE),0)</f>
        <v>0</v>
      </c>
      <c r="K3170">
        <f>IFERROR(HLOOKUP(K$2,[96]table_female_hkom1_inj.ill_X8!$A$1:$K$36,4,FALSE),0)</f>
        <v>0</v>
      </c>
      <c r="L3170">
        <f>IFERROR(HLOOKUP(L$2,[96]table_female_hkom1_inj.ill_X8!$A$1:$K$36,4,FALSE),0)</f>
        <v>0</v>
      </c>
      <c r="M3170">
        <f t="shared" si="990"/>
        <v>0</v>
      </c>
      <c r="S3170" t="s">
        <v>72</v>
      </c>
      <c r="T3170" s="5">
        <f t="shared" si="991"/>
        <v>0</v>
      </c>
      <c r="U3170" s="5">
        <f t="shared" si="992"/>
        <v>0</v>
      </c>
      <c r="V3170" s="5">
        <f t="shared" si="993"/>
        <v>0</v>
      </c>
      <c r="W3170" s="5">
        <f t="shared" si="994"/>
        <v>0</v>
      </c>
      <c r="X3170" s="5">
        <f t="shared" si="995"/>
        <v>0</v>
      </c>
      <c r="Y3170" s="5">
        <f t="shared" si="996"/>
        <v>0</v>
      </c>
      <c r="Z3170" s="5">
        <f t="shared" si="997"/>
        <v>3.0303030303030304E-2</v>
      </c>
      <c r="AA3170" s="5">
        <f t="shared" si="998"/>
        <v>0</v>
      </c>
      <c r="AB3170" s="5">
        <f t="shared" si="978"/>
        <v>3.0303030303030304E-2</v>
      </c>
    </row>
    <row r="3171" spans="4:28" x14ac:dyDescent="0.25">
      <c r="D3171" t="s">
        <v>73</v>
      </c>
      <c r="E3171" s="14"/>
      <c r="F3171" s="14"/>
      <c r="G3171">
        <f>IFERROR(HLOOKUP(G$2,[96]table_female_hkom1_inj.ill_X8!$A$1:$K$36,5,FALSE),0)</f>
        <v>0</v>
      </c>
      <c r="H3171">
        <f>IFERROR(HLOOKUP(H$2,[96]table_female_hkom1_inj.ill_X8!$A$1:$K$36,5,FALSE),0)</f>
        <v>0</v>
      </c>
      <c r="I3171">
        <f>IFERROR(HLOOKUP(I$2,[96]table_female_hkom1_inj.ill_X8!$A$1:$K$36,5,FALSE),0)</f>
        <v>0</v>
      </c>
      <c r="J3171">
        <f>IFERROR(HLOOKUP(J$2,[96]table_female_hkom1_inj.ill_X8!$A$1:$K$36,5,FALSE),0)</f>
        <v>0</v>
      </c>
      <c r="K3171">
        <f>IFERROR(HLOOKUP(K$2,[96]table_female_hkom1_inj.ill_X8!$A$1:$K$36,5,FALSE),0)</f>
        <v>0</v>
      </c>
      <c r="L3171">
        <f>IFERROR(HLOOKUP(L$2,[96]table_female_hkom1_inj.ill_X8!$A$1:$K$36,5,FALSE),0)</f>
        <v>0</v>
      </c>
      <c r="M3171">
        <f t="shared" si="990"/>
        <v>0</v>
      </c>
      <c r="S3171" t="s">
        <v>73</v>
      </c>
      <c r="T3171" s="5">
        <f t="shared" si="991"/>
        <v>0</v>
      </c>
      <c r="U3171" s="5">
        <f t="shared" si="992"/>
        <v>0</v>
      </c>
      <c r="V3171" s="5">
        <f t="shared" si="993"/>
        <v>0</v>
      </c>
      <c r="W3171" s="5">
        <f t="shared" si="994"/>
        <v>0</v>
      </c>
      <c r="X3171" s="5">
        <f t="shared" si="995"/>
        <v>0</v>
      </c>
      <c r="Y3171" s="5">
        <f t="shared" si="996"/>
        <v>0</v>
      </c>
      <c r="Z3171" s="5">
        <f t="shared" si="997"/>
        <v>3.0303030303030304E-2</v>
      </c>
      <c r="AA3171" s="5">
        <f t="shared" si="998"/>
        <v>0</v>
      </c>
      <c r="AB3171" s="5">
        <f t="shared" si="978"/>
        <v>3.0303030303030304E-2</v>
      </c>
    </row>
    <row r="3172" spans="4:28" x14ac:dyDescent="0.25">
      <c r="D3172" t="s">
        <v>74</v>
      </c>
      <c r="E3172" s="14"/>
      <c r="F3172" s="14"/>
      <c r="G3172">
        <f>IFERROR(HLOOKUP(G$2,[96]table_female_hkom1_inj.ill_X8!$A$1:$K$36,6,FALSE),0)</f>
        <v>0</v>
      </c>
      <c r="H3172">
        <f>IFERROR(HLOOKUP(H$2,[96]table_female_hkom1_inj.ill_X8!$A$1:$K$36,6,FALSE),0)</f>
        <v>0</v>
      </c>
      <c r="I3172">
        <f>IFERROR(HLOOKUP(I$2,[96]table_female_hkom1_inj.ill_X8!$A$1:$K$36,6,FALSE),0)</f>
        <v>0</v>
      </c>
      <c r="J3172">
        <f>IFERROR(HLOOKUP(J$2,[96]table_female_hkom1_inj.ill_X8!$A$1:$K$36,6,FALSE),0)</f>
        <v>0</v>
      </c>
      <c r="K3172">
        <f>IFERROR(HLOOKUP(K$2,[96]table_female_hkom1_inj.ill_X8!$A$1:$K$36,6,FALSE),0)</f>
        <v>0</v>
      </c>
      <c r="L3172">
        <f>IFERROR(HLOOKUP(L$2,[96]table_female_hkom1_inj.ill_X8!$A$1:$K$36,6,FALSE),0)</f>
        <v>0</v>
      </c>
      <c r="M3172">
        <f t="shared" si="990"/>
        <v>0</v>
      </c>
      <c r="S3172" t="s">
        <v>74</v>
      </c>
      <c r="T3172" s="5">
        <f t="shared" si="991"/>
        <v>0</v>
      </c>
      <c r="U3172" s="5">
        <f t="shared" si="992"/>
        <v>0</v>
      </c>
      <c r="V3172" s="5">
        <f t="shared" si="993"/>
        <v>0</v>
      </c>
      <c r="W3172" s="5">
        <f t="shared" si="994"/>
        <v>0</v>
      </c>
      <c r="X3172" s="5">
        <f t="shared" si="995"/>
        <v>0</v>
      </c>
      <c r="Y3172" s="5">
        <f t="shared" si="996"/>
        <v>0</v>
      </c>
      <c r="Z3172" s="5">
        <f t="shared" si="997"/>
        <v>3.0303030303030304E-2</v>
      </c>
      <c r="AA3172" s="5">
        <f t="shared" si="998"/>
        <v>0</v>
      </c>
      <c r="AB3172" s="5">
        <f t="shared" si="978"/>
        <v>3.0303030303030304E-2</v>
      </c>
    </row>
    <row r="3173" spans="4:28" x14ac:dyDescent="0.25">
      <c r="D3173" t="s">
        <v>75</v>
      </c>
      <c r="E3173" s="14"/>
      <c r="F3173" s="14"/>
      <c r="G3173">
        <f>IFERROR(HLOOKUP(G$2,[96]table_female_hkom1_inj.ill_X8!$A$1:$K$36,7,FALSE),0)</f>
        <v>0</v>
      </c>
      <c r="H3173">
        <f>IFERROR(HLOOKUP(H$2,[96]table_female_hkom1_inj.ill_X8!$A$1:$K$36,7,FALSE),0)</f>
        <v>0</v>
      </c>
      <c r="I3173">
        <f>IFERROR(HLOOKUP(I$2,[96]table_female_hkom1_inj.ill_X8!$A$1:$K$36,7,FALSE),0)</f>
        <v>0</v>
      </c>
      <c r="J3173">
        <f>IFERROR(HLOOKUP(J$2,[96]table_female_hkom1_inj.ill_X8!$A$1:$K$36,7,FALSE),0)</f>
        <v>0</v>
      </c>
      <c r="K3173">
        <f>IFERROR(HLOOKUP(K$2,[96]table_female_hkom1_inj.ill_X8!$A$1:$K$36,7,FALSE),0)</f>
        <v>0</v>
      </c>
      <c r="L3173">
        <f>IFERROR(HLOOKUP(L$2,[96]table_female_hkom1_inj.ill_X8!$A$1:$K$36,7,FALSE),0)</f>
        <v>0</v>
      </c>
      <c r="M3173">
        <f t="shared" si="990"/>
        <v>0</v>
      </c>
      <c r="S3173" t="s">
        <v>75</v>
      </c>
      <c r="T3173" s="5">
        <f t="shared" si="991"/>
        <v>0</v>
      </c>
      <c r="U3173" s="5">
        <f t="shared" si="992"/>
        <v>0</v>
      </c>
      <c r="V3173" s="5">
        <f t="shared" si="993"/>
        <v>0</v>
      </c>
      <c r="W3173" s="5">
        <f t="shared" si="994"/>
        <v>0</v>
      </c>
      <c r="X3173" s="5">
        <f t="shared" si="995"/>
        <v>0</v>
      </c>
      <c r="Y3173" s="5">
        <f t="shared" si="996"/>
        <v>0</v>
      </c>
      <c r="Z3173" s="5">
        <f t="shared" si="997"/>
        <v>3.0303030303030304E-2</v>
      </c>
      <c r="AA3173" s="5">
        <f t="shared" si="998"/>
        <v>0</v>
      </c>
      <c r="AB3173" s="5">
        <f t="shared" si="978"/>
        <v>3.0303030303030304E-2</v>
      </c>
    </row>
    <row r="3174" spans="4:28" x14ac:dyDescent="0.25">
      <c r="D3174" t="s">
        <v>76</v>
      </c>
      <c r="E3174" s="14"/>
      <c r="F3174" s="14"/>
      <c r="G3174">
        <f>IFERROR(HLOOKUP(G$2,[96]table_female_hkom1_inj.ill_X8!$A$1:$K$36,8,FALSE),0)</f>
        <v>0</v>
      </c>
      <c r="H3174">
        <f>IFERROR(HLOOKUP(H$2,[96]table_female_hkom1_inj.ill_X8!$A$1:$K$36,8,FALSE),0)</f>
        <v>0</v>
      </c>
      <c r="I3174">
        <f>IFERROR(HLOOKUP(I$2,[96]table_female_hkom1_inj.ill_X8!$A$1:$K$36,8,FALSE),0)</f>
        <v>0</v>
      </c>
      <c r="J3174">
        <f>IFERROR(HLOOKUP(J$2,[96]table_female_hkom1_inj.ill_X8!$A$1:$K$36,8,FALSE),0)</f>
        <v>0</v>
      </c>
      <c r="K3174">
        <f>IFERROR(HLOOKUP(K$2,[96]table_female_hkom1_inj.ill_X8!$A$1:$K$36,8,FALSE),0)</f>
        <v>0</v>
      </c>
      <c r="L3174">
        <f>IFERROR(HLOOKUP(L$2,[96]table_female_hkom1_inj.ill_X8!$A$1:$K$36,8,FALSE),0)</f>
        <v>0</v>
      </c>
      <c r="M3174">
        <f t="shared" si="990"/>
        <v>0</v>
      </c>
      <c r="S3174" t="s">
        <v>76</v>
      </c>
      <c r="T3174" s="5">
        <f t="shared" si="991"/>
        <v>0</v>
      </c>
      <c r="U3174" s="5">
        <f t="shared" si="992"/>
        <v>0</v>
      </c>
      <c r="V3174" s="5">
        <f t="shared" si="993"/>
        <v>0</v>
      </c>
      <c r="W3174" s="5">
        <f t="shared" si="994"/>
        <v>0</v>
      </c>
      <c r="X3174" s="5">
        <f t="shared" si="995"/>
        <v>0</v>
      </c>
      <c r="Y3174" s="5">
        <f t="shared" si="996"/>
        <v>0</v>
      </c>
      <c r="Z3174" s="5">
        <f t="shared" si="997"/>
        <v>3.0303030303030304E-2</v>
      </c>
      <c r="AA3174" s="5">
        <f t="shared" si="998"/>
        <v>0</v>
      </c>
      <c r="AB3174" s="5">
        <f t="shared" si="978"/>
        <v>3.0303030303030304E-2</v>
      </c>
    </row>
    <row r="3175" spans="4:28" x14ac:dyDescent="0.25">
      <c r="D3175" t="s">
        <v>77</v>
      </c>
      <c r="E3175" s="14"/>
      <c r="F3175" s="14"/>
      <c r="G3175">
        <f>IFERROR(HLOOKUP(G$2,[96]table_female_hkom1_inj.ill_X8!$A$1:$K$36,9,FALSE),0)</f>
        <v>0</v>
      </c>
      <c r="H3175">
        <f>IFERROR(HLOOKUP(H$2,[96]table_female_hkom1_inj.ill_X8!$A$1:$K$36,9,FALSE),0)</f>
        <v>0</v>
      </c>
      <c r="I3175">
        <f>IFERROR(HLOOKUP(I$2,[96]table_female_hkom1_inj.ill_X8!$A$1:$K$36,9,FALSE),0)</f>
        <v>0</v>
      </c>
      <c r="J3175">
        <f>IFERROR(HLOOKUP(J$2,[96]table_female_hkom1_inj.ill_X8!$A$1:$K$36,9,FALSE),0)</f>
        <v>0</v>
      </c>
      <c r="K3175">
        <f>IFERROR(HLOOKUP(K$2,[96]table_female_hkom1_inj.ill_X8!$A$1:$K$36,9,FALSE),0)</f>
        <v>0</v>
      </c>
      <c r="L3175">
        <f>IFERROR(HLOOKUP(L$2,[96]table_female_hkom1_inj.ill_X8!$A$1:$K$36,9,FALSE),0)</f>
        <v>0</v>
      </c>
      <c r="M3175">
        <f t="shared" si="990"/>
        <v>0</v>
      </c>
      <c r="S3175" t="s">
        <v>77</v>
      </c>
      <c r="T3175" s="5">
        <f t="shared" si="991"/>
        <v>0</v>
      </c>
      <c r="U3175" s="5">
        <f t="shared" si="992"/>
        <v>0</v>
      </c>
      <c r="V3175" s="5">
        <f t="shared" si="993"/>
        <v>0</v>
      </c>
      <c r="W3175" s="5">
        <f t="shared" si="994"/>
        <v>0</v>
      </c>
      <c r="X3175" s="5">
        <f t="shared" si="995"/>
        <v>0</v>
      </c>
      <c r="Y3175" s="5">
        <f t="shared" si="996"/>
        <v>0</v>
      </c>
      <c r="Z3175" s="5">
        <f t="shared" si="997"/>
        <v>3.0303030303030304E-2</v>
      </c>
      <c r="AA3175" s="5">
        <f t="shared" si="998"/>
        <v>0</v>
      </c>
      <c r="AB3175" s="5">
        <f t="shared" si="978"/>
        <v>3.0303030303030304E-2</v>
      </c>
    </row>
    <row r="3176" spans="4:28" x14ac:dyDescent="0.25">
      <c r="D3176" t="s">
        <v>78</v>
      </c>
      <c r="E3176" s="14"/>
      <c r="F3176" s="14"/>
      <c r="G3176">
        <f>IFERROR(HLOOKUP(G$2,[96]table_female_hkom1_inj.ill_X8!$A$1:$K$36,10,FALSE),0)</f>
        <v>0</v>
      </c>
      <c r="H3176">
        <f>IFERROR(HLOOKUP(H$2,[96]table_female_hkom1_inj.ill_X8!$A$1:$K$36,10,FALSE),0)</f>
        <v>0</v>
      </c>
      <c r="I3176">
        <f>IFERROR(HLOOKUP(I$2,[96]table_female_hkom1_inj.ill_X8!$A$1:$K$36,10,FALSE),0)</f>
        <v>0</v>
      </c>
      <c r="J3176">
        <f>IFERROR(HLOOKUP(J$2,[96]table_female_hkom1_inj.ill_X8!$A$1:$K$36,10,FALSE),0)</f>
        <v>0</v>
      </c>
      <c r="K3176">
        <f>IFERROR(HLOOKUP(K$2,[96]table_female_hkom1_inj.ill_X8!$A$1:$K$36,10,FALSE),0)</f>
        <v>0</v>
      </c>
      <c r="L3176">
        <f>IFERROR(HLOOKUP(L$2,[96]table_female_hkom1_inj.ill_X8!$A$1:$K$36,10,FALSE),0)</f>
        <v>0</v>
      </c>
      <c r="M3176">
        <f t="shared" si="990"/>
        <v>0</v>
      </c>
      <c r="S3176" t="s">
        <v>78</v>
      </c>
      <c r="T3176" s="5">
        <f t="shared" si="991"/>
        <v>0</v>
      </c>
      <c r="U3176" s="5">
        <f t="shared" si="992"/>
        <v>0</v>
      </c>
      <c r="V3176" s="5">
        <f t="shared" si="993"/>
        <v>0</v>
      </c>
      <c r="W3176" s="5">
        <f t="shared" si="994"/>
        <v>0</v>
      </c>
      <c r="X3176" s="5">
        <f t="shared" si="995"/>
        <v>0</v>
      </c>
      <c r="Y3176" s="5">
        <f t="shared" si="996"/>
        <v>0</v>
      </c>
      <c r="Z3176" s="5">
        <f t="shared" si="997"/>
        <v>3.0303030303030304E-2</v>
      </c>
      <c r="AA3176" s="5">
        <f t="shared" si="998"/>
        <v>0</v>
      </c>
      <c r="AB3176" s="5">
        <f t="shared" si="978"/>
        <v>3.0303030303030304E-2</v>
      </c>
    </row>
    <row r="3177" spans="4:28" x14ac:dyDescent="0.25">
      <c r="D3177" t="s">
        <v>79</v>
      </c>
      <c r="E3177" s="14"/>
      <c r="F3177" s="14"/>
      <c r="G3177">
        <f>IFERROR(HLOOKUP(G$2,[96]table_female_hkom1_inj.ill_X8!$A$1:$K$36,11,FALSE),0)</f>
        <v>0</v>
      </c>
      <c r="H3177">
        <f>IFERROR(HLOOKUP(H$2,[96]table_female_hkom1_inj.ill_X8!$A$1:$K$36,11,FALSE),0)</f>
        <v>0</v>
      </c>
      <c r="I3177">
        <f>IFERROR(HLOOKUP(I$2,[96]table_female_hkom1_inj.ill_X8!$A$1:$K$36,11,FALSE),0)</f>
        <v>0</v>
      </c>
      <c r="J3177">
        <f>IFERROR(HLOOKUP(J$2,[96]table_female_hkom1_inj.ill_X8!$A$1:$K$36,11,FALSE),0)</f>
        <v>0</v>
      </c>
      <c r="K3177">
        <f>IFERROR(HLOOKUP(K$2,[96]table_female_hkom1_inj.ill_X8!$A$1:$K$36,11,FALSE),0)</f>
        <v>0</v>
      </c>
      <c r="L3177">
        <f>IFERROR(HLOOKUP(L$2,[96]table_female_hkom1_inj.ill_X8!$A$1:$K$36,11,FALSE),0)</f>
        <v>0</v>
      </c>
      <c r="M3177">
        <f t="shared" si="990"/>
        <v>0</v>
      </c>
      <c r="S3177" t="s">
        <v>79</v>
      </c>
      <c r="T3177" s="5">
        <f t="shared" si="991"/>
        <v>0</v>
      </c>
      <c r="U3177" s="5">
        <f t="shared" si="992"/>
        <v>0</v>
      </c>
      <c r="V3177" s="5">
        <f t="shared" si="993"/>
        <v>0</v>
      </c>
      <c r="W3177" s="5">
        <f t="shared" si="994"/>
        <v>0</v>
      </c>
      <c r="X3177" s="5">
        <f t="shared" si="995"/>
        <v>0</v>
      </c>
      <c r="Y3177" s="5">
        <f t="shared" si="996"/>
        <v>0</v>
      </c>
      <c r="Z3177" s="5">
        <f t="shared" si="997"/>
        <v>3.0303030303030304E-2</v>
      </c>
      <c r="AA3177" s="5">
        <f t="shared" si="998"/>
        <v>0</v>
      </c>
      <c r="AB3177" s="5">
        <f t="shared" si="978"/>
        <v>3.0303030303030304E-2</v>
      </c>
    </row>
    <row r="3178" spans="4:28" x14ac:dyDescent="0.25">
      <c r="D3178" t="s">
        <v>80</v>
      </c>
      <c r="E3178" s="14"/>
      <c r="F3178" s="14"/>
      <c r="G3178">
        <f>IFERROR(HLOOKUP(G$2,[96]table_female_hkom1_inj.ill_X8!$A$1:$K$36,12,FALSE),0)</f>
        <v>0</v>
      </c>
      <c r="H3178">
        <f>IFERROR(HLOOKUP(H$2,[96]table_female_hkom1_inj.ill_X8!$A$1:$K$36,12,FALSE),0)</f>
        <v>0</v>
      </c>
      <c r="I3178">
        <f>IFERROR(HLOOKUP(I$2,[96]table_female_hkom1_inj.ill_X8!$A$1:$K$36,12,FALSE),0)</f>
        <v>0</v>
      </c>
      <c r="J3178">
        <f>IFERROR(HLOOKUP(J$2,[96]table_female_hkom1_inj.ill_X8!$A$1:$K$36,12,FALSE),0)</f>
        <v>0</v>
      </c>
      <c r="K3178">
        <f>IFERROR(HLOOKUP(K$2,[96]table_female_hkom1_inj.ill_X8!$A$1:$K$36,12,FALSE),0)</f>
        <v>0</v>
      </c>
      <c r="L3178">
        <f>IFERROR(HLOOKUP(L$2,[96]table_female_hkom1_inj.ill_X8!$A$1:$K$36,12,FALSE),0)</f>
        <v>0</v>
      </c>
      <c r="M3178">
        <f t="shared" si="990"/>
        <v>0</v>
      </c>
      <c r="S3178" t="s">
        <v>80</v>
      </c>
      <c r="T3178" s="5">
        <f t="shared" si="991"/>
        <v>0</v>
      </c>
      <c r="U3178" s="5">
        <f t="shared" si="992"/>
        <v>0</v>
      </c>
      <c r="V3178" s="5">
        <f t="shared" si="993"/>
        <v>0</v>
      </c>
      <c r="W3178" s="5">
        <f t="shared" si="994"/>
        <v>0</v>
      </c>
      <c r="X3178" s="5">
        <f t="shared" si="995"/>
        <v>0</v>
      </c>
      <c r="Y3178" s="5">
        <f t="shared" si="996"/>
        <v>0</v>
      </c>
      <c r="Z3178" s="5">
        <f t="shared" si="997"/>
        <v>3.0303030303030304E-2</v>
      </c>
      <c r="AA3178" s="5">
        <f t="shared" si="998"/>
        <v>0</v>
      </c>
      <c r="AB3178" s="5">
        <f t="shared" si="978"/>
        <v>3.0303030303030304E-2</v>
      </c>
    </row>
    <row r="3179" spans="4:28" x14ac:dyDescent="0.25">
      <c r="D3179" t="s">
        <v>81</v>
      </c>
      <c r="E3179" s="14"/>
      <c r="F3179" s="14"/>
      <c r="G3179">
        <f>IFERROR(HLOOKUP(G$2,[96]table_female_hkom1_inj.ill_X8!$A$1:$K$36,13,FALSE),0)</f>
        <v>0</v>
      </c>
      <c r="H3179">
        <f>IFERROR(HLOOKUP(H$2,[96]table_female_hkom1_inj.ill_X8!$A$1:$K$36,13,FALSE),0)</f>
        <v>0</v>
      </c>
      <c r="I3179">
        <f>IFERROR(HLOOKUP(I$2,[96]table_female_hkom1_inj.ill_X8!$A$1:$K$36,13,FALSE),0)</f>
        <v>0</v>
      </c>
      <c r="J3179">
        <f>IFERROR(HLOOKUP(J$2,[96]table_female_hkom1_inj.ill_X8!$A$1:$K$36,13,FALSE),0)</f>
        <v>0</v>
      </c>
      <c r="K3179">
        <f>IFERROR(HLOOKUP(K$2,[96]table_female_hkom1_inj.ill_X8!$A$1:$K$36,13,FALSE),0)</f>
        <v>0</v>
      </c>
      <c r="L3179">
        <f>IFERROR(HLOOKUP(L$2,[96]table_female_hkom1_inj.ill_X8!$A$1:$K$36,13,FALSE),0)</f>
        <v>0</v>
      </c>
      <c r="M3179">
        <f t="shared" si="990"/>
        <v>0</v>
      </c>
      <c r="S3179" t="s">
        <v>81</v>
      </c>
      <c r="T3179" s="5">
        <f t="shared" si="991"/>
        <v>0</v>
      </c>
      <c r="U3179" s="5">
        <f t="shared" si="992"/>
        <v>0</v>
      </c>
      <c r="V3179" s="5">
        <f t="shared" si="993"/>
        <v>0</v>
      </c>
      <c r="W3179" s="5">
        <f t="shared" si="994"/>
        <v>0</v>
      </c>
      <c r="X3179" s="5">
        <f t="shared" si="995"/>
        <v>0</v>
      </c>
      <c r="Y3179" s="5">
        <f t="shared" si="996"/>
        <v>0</v>
      </c>
      <c r="Z3179" s="5">
        <f t="shared" si="997"/>
        <v>3.0303030303030304E-2</v>
      </c>
      <c r="AA3179" s="5">
        <f t="shared" si="998"/>
        <v>0</v>
      </c>
      <c r="AB3179" s="5">
        <f t="shared" ref="AB3179:AB3242" si="999">SUM(T3179:AA3179)</f>
        <v>3.0303030303030304E-2</v>
      </c>
    </row>
    <row r="3180" spans="4:28" x14ac:dyDescent="0.25">
      <c r="D3180" t="s">
        <v>82</v>
      </c>
      <c r="E3180" s="14"/>
      <c r="F3180" s="14"/>
      <c r="G3180">
        <f>IFERROR(HLOOKUP(G$2,[96]table_female_hkom1_inj.ill_X8!$A$1:$K$36,14,FALSE),0)</f>
        <v>0</v>
      </c>
      <c r="H3180">
        <f>IFERROR(HLOOKUP(H$2,[96]table_female_hkom1_inj.ill_X8!$A$1:$K$36,14,FALSE),0)</f>
        <v>0</v>
      </c>
      <c r="I3180">
        <f>IFERROR(HLOOKUP(I$2,[96]table_female_hkom1_inj.ill_X8!$A$1:$K$36,14,FALSE),0)</f>
        <v>0</v>
      </c>
      <c r="J3180">
        <f>IFERROR(HLOOKUP(J$2,[96]table_female_hkom1_inj.ill_X8!$A$1:$K$36,14,FALSE),0)</f>
        <v>0</v>
      </c>
      <c r="K3180">
        <f>IFERROR(HLOOKUP(K$2,[96]table_female_hkom1_inj.ill_X8!$A$1:$K$36,14,FALSE),0)</f>
        <v>0</v>
      </c>
      <c r="L3180">
        <f>IFERROR(HLOOKUP(L$2,[96]table_female_hkom1_inj.ill_X8!$A$1:$K$36,14,FALSE),0)</f>
        <v>0</v>
      </c>
      <c r="M3180">
        <f t="shared" si="990"/>
        <v>0</v>
      </c>
      <c r="S3180" t="s">
        <v>82</v>
      </c>
      <c r="T3180" s="5">
        <f t="shared" si="991"/>
        <v>0</v>
      </c>
      <c r="U3180" s="5">
        <f t="shared" si="992"/>
        <v>0</v>
      </c>
      <c r="V3180" s="5">
        <f t="shared" si="993"/>
        <v>0</v>
      </c>
      <c r="W3180" s="5">
        <f t="shared" si="994"/>
        <v>0</v>
      </c>
      <c r="X3180" s="5">
        <f t="shared" si="995"/>
        <v>0</v>
      </c>
      <c r="Y3180" s="5">
        <f t="shared" si="996"/>
        <v>0</v>
      </c>
      <c r="Z3180" s="5">
        <f t="shared" si="997"/>
        <v>3.0303030303030304E-2</v>
      </c>
      <c r="AA3180" s="5">
        <f t="shared" si="998"/>
        <v>0</v>
      </c>
      <c r="AB3180" s="5">
        <f t="shared" si="999"/>
        <v>3.0303030303030304E-2</v>
      </c>
    </row>
    <row r="3181" spans="4:28" x14ac:dyDescent="0.25">
      <c r="D3181" t="s">
        <v>83</v>
      </c>
      <c r="E3181" s="14"/>
      <c r="F3181" s="14"/>
      <c r="G3181">
        <f>IFERROR(HLOOKUP(G$2,[96]table_female_hkom1_inj.ill_X8!$A$1:$K$36,15,FALSE),0)</f>
        <v>0</v>
      </c>
      <c r="H3181">
        <f>IFERROR(HLOOKUP(H$2,[96]table_female_hkom1_inj.ill_X8!$A$1:$K$36,15,FALSE),0)</f>
        <v>0</v>
      </c>
      <c r="I3181">
        <f>IFERROR(HLOOKUP(I$2,[96]table_female_hkom1_inj.ill_X8!$A$1:$K$36,15,FALSE),0)</f>
        <v>0</v>
      </c>
      <c r="J3181">
        <f>IFERROR(HLOOKUP(J$2,[96]table_female_hkom1_inj.ill_X8!$A$1:$K$36,15,FALSE),0)</f>
        <v>0</v>
      </c>
      <c r="K3181">
        <f>IFERROR(HLOOKUP(K$2,[96]table_female_hkom1_inj.ill_X8!$A$1:$K$36,15,FALSE),0)</f>
        <v>0</v>
      </c>
      <c r="L3181">
        <f>IFERROR(HLOOKUP(L$2,[96]table_female_hkom1_inj.ill_X8!$A$1:$K$36,15,FALSE),0)</f>
        <v>0</v>
      </c>
      <c r="M3181">
        <f t="shared" si="990"/>
        <v>0</v>
      </c>
      <c r="S3181" t="s">
        <v>83</v>
      </c>
      <c r="T3181" s="5">
        <f t="shared" si="991"/>
        <v>0</v>
      </c>
      <c r="U3181" s="5">
        <f t="shared" si="992"/>
        <v>0</v>
      </c>
      <c r="V3181" s="5">
        <f t="shared" si="993"/>
        <v>0</v>
      </c>
      <c r="W3181" s="5">
        <f t="shared" si="994"/>
        <v>0</v>
      </c>
      <c r="X3181" s="5">
        <f t="shared" si="995"/>
        <v>0</v>
      </c>
      <c r="Y3181" s="5">
        <f t="shared" si="996"/>
        <v>0</v>
      </c>
      <c r="Z3181" s="5">
        <f t="shared" si="997"/>
        <v>3.0303030303030304E-2</v>
      </c>
      <c r="AA3181" s="5">
        <f t="shared" si="998"/>
        <v>0</v>
      </c>
      <c r="AB3181" s="5">
        <f t="shared" si="999"/>
        <v>3.0303030303030304E-2</v>
      </c>
    </row>
    <row r="3182" spans="4:28" x14ac:dyDescent="0.25">
      <c r="D3182" t="s">
        <v>84</v>
      </c>
      <c r="E3182" s="14"/>
      <c r="F3182" s="14"/>
      <c r="G3182">
        <f>IFERROR(HLOOKUP(G$2,[96]table_female_hkom1_inj.ill_X8!$A$1:$K$36,16,FALSE),0)</f>
        <v>0</v>
      </c>
      <c r="H3182">
        <f>IFERROR(HLOOKUP(H$2,[96]table_female_hkom1_inj.ill_X8!$A$1:$K$36,16,FALSE),0)</f>
        <v>0</v>
      </c>
      <c r="I3182">
        <f>IFERROR(HLOOKUP(I$2,[96]table_female_hkom1_inj.ill_X8!$A$1:$K$36,16,FALSE),0)</f>
        <v>0</v>
      </c>
      <c r="J3182">
        <f>IFERROR(HLOOKUP(J$2,[96]table_female_hkom1_inj.ill_X8!$A$1:$K$36,16,FALSE),0)</f>
        <v>0</v>
      </c>
      <c r="K3182">
        <f>IFERROR(HLOOKUP(K$2,[96]table_female_hkom1_inj.ill_X8!$A$1:$K$36,16,FALSE),0)</f>
        <v>0</v>
      </c>
      <c r="L3182">
        <f>IFERROR(HLOOKUP(L$2,[96]table_female_hkom1_inj.ill_X8!$A$1:$K$36,16,FALSE),0)</f>
        <v>0</v>
      </c>
      <c r="M3182">
        <f t="shared" si="990"/>
        <v>0</v>
      </c>
      <c r="S3182" t="s">
        <v>84</v>
      </c>
      <c r="T3182" s="5">
        <f t="shared" si="991"/>
        <v>0</v>
      </c>
      <c r="U3182" s="5">
        <f t="shared" si="992"/>
        <v>0</v>
      </c>
      <c r="V3182" s="5">
        <f t="shared" si="993"/>
        <v>0</v>
      </c>
      <c r="W3182" s="5">
        <f t="shared" si="994"/>
        <v>0</v>
      </c>
      <c r="X3182" s="5">
        <f t="shared" si="995"/>
        <v>0</v>
      </c>
      <c r="Y3182" s="5">
        <f t="shared" si="996"/>
        <v>0</v>
      </c>
      <c r="Z3182" s="5">
        <f t="shared" si="997"/>
        <v>3.0303030303030304E-2</v>
      </c>
      <c r="AA3182" s="5">
        <f t="shared" si="998"/>
        <v>0</v>
      </c>
      <c r="AB3182" s="5">
        <f t="shared" si="999"/>
        <v>3.0303030303030304E-2</v>
      </c>
    </row>
    <row r="3183" spans="4:28" x14ac:dyDescent="0.25">
      <c r="D3183" t="s">
        <v>85</v>
      </c>
      <c r="E3183" s="14"/>
      <c r="F3183" s="14"/>
      <c r="G3183">
        <f>IFERROR(HLOOKUP(G$2,[96]table_female_hkom1_inj.ill_X8!$A$1:$K$36,17,FALSE),0)</f>
        <v>1</v>
      </c>
      <c r="H3183">
        <f>IFERROR(HLOOKUP(H$2,[96]table_female_hkom1_inj.ill_X8!$A$1:$K$36,17,FALSE),0)</f>
        <v>1</v>
      </c>
      <c r="I3183">
        <f>IFERROR(HLOOKUP(I$2,[96]table_female_hkom1_inj.ill_X8!$A$1:$K$36,17,FALSE),0)</f>
        <v>0</v>
      </c>
      <c r="J3183">
        <f>IFERROR(HLOOKUP(J$2,[96]table_female_hkom1_inj.ill_X8!$A$1:$K$36,17,FALSE),0)</f>
        <v>0</v>
      </c>
      <c r="K3183">
        <f>IFERROR(HLOOKUP(K$2,[96]table_female_hkom1_inj.ill_X8!$A$1:$K$36,17,FALSE),0)</f>
        <v>0</v>
      </c>
      <c r="L3183">
        <f>IFERROR(HLOOKUP(L$2,[96]table_female_hkom1_inj.ill_X8!$A$1:$K$36,17,FALSE),0)</f>
        <v>0</v>
      </c>
      <c r="M3183">
        <f t="shared" si="990"/>
        <v>2</v>
      </c>
      <c r="S3183" t="s">
        <v>85</v>
      </c>
      <c r="T3183" s="5">
        <f t="shared" si="991"/>
        <v>0</v>
      </c>
      <c r="U3183" s="5">
        <f t="shared" si="992"/>
        <v>0</v>
      </c>
      <c r="V3183" s="5">
        <f t="shared" si="993"/>
        <v>1.25</v>
      </c>
      <c r="W3183" s="5">
        <f t="shared" si="994"/>
        <v>1.9</v>
      </c>
      <c r="X3183" s="5">
        <f t="shared" si="995"/>
        <v>0</v>
      </c>
      <c r="Y3183" s="5">
        <f t="shared" si="996"/>
        <v>0</v>
      </c>
      <c r="Z3183" s="5">
        <f t="shared" si="997"/>
        <v>3.0303030303030304E-2</v>
      </c>
      <c r="AA3183" s="5">
        <f t="shared" si="998"/>
        <v>0</v>
      </c>
      <c r="AB3183" s="5">
        <f t="shared" si="999"/>
        <v>3.1803030303030302</v>
      </c>
    </row>
    <row r="3184" spans="4:28" x14ac:dyDescent="0.25">
      <c r="D3184" t="s">
        <v>86</v>
      </c>
      <c r="E3184" s="14"/>
      <c r="F3184" s="14"/>
      <c r="G3184">
        <f>IFERROR(HLOOKUP(G$2,[96]table_female_hkom1_inj.ill_X8!$A$1:$K$36,18,FALSE),0)</f>
        <v>1</v>
      </c>
      <c r="H3184">
        <f>IFERROR(HLOOKUP(H$2,[96]table_female_hkom1_inj.ill_X8!$A$1:$K$36,18,FALSE),0)</f>
        <v>2</v>
      </c>
      <c r="I3184">
        <f>IFERROR(HLOOKUP(I$2,[96]table_female_hkom1_inj.ill_X8!$A$1:$K$36,18,FALSE),0)</f>
        <v>0</v>
      </c>
      <c r="J3184">
        <f>IFERROR(HLOOKUP(J$2,[96]table_female_hkom1_inj.ill_X8!$A$1:$K$36,18,FALSE),0)</f>
        <v>0</v>
      </c>
      <c r="K3184">
        <f>IFERROR(HLOOKUP(K$2,[96]table_female_hkom1_inj.ill_X8!$A$1:$K$36,18,FALSE),0)</f>
        <v>0</v>
      </c>
      <c r="L3184">
        <f>IFERROR(HLOOKUP(L$2,[96]table_female_hkom1_inj.ill_X8!$A$1:$K$36,18,FALSE),0)</f>
        <v>0</v>
      </c>
      <c r="M3184">
        <f t="shared" si="990"/>
        <v>3</v>
      </c>
      <c r="S3184" t="s">
        <v>86</v>
      </c>
      <c r="T3184" s="5">
        <f t="shared" si="991"/>
        <v>0</v>
      </c>
      <c r="U3184" s="5">
        <f t="shared" si="992"/>
        <v>0</v>
      </c>
      <c r="V3184" s="5">
        <f t="shared" si="993"/>
        <v>1.25</v>
      </c>
      <c r="W3184" s="5">
        <f t="shared" si="994"/>
        <v>3.8</v>
      </c>
      <c r="X3184" s="5">
        <f t="shared" si="995"/>
        <v>0</v>
      </c>
      <c r="Y3184" s="5">
        <f t="shared" si="996"/>
        <v>0</v>
      </c>
      <c r="Z3184" s="5">
        <f t="shared" si="997"/>
        <v>3.0303030303030304E-2</v>
      </c>
      <c r="AA3184" s="5">
        <f t="shared" si="998"/>
        <v>0</v>
      </c>
      <c r="AB3184" s="5">
        <f t="shared" si="999"/>
        <v>5.0803030303030301</v>
      </c>
    </row>
    <row r="3185" spans="4:28" x14ac:dyDescent="0.25">
      <c r="D3185" t="s">
        <v>87</v>
      </c>
      <c r="E3185" s="14"/>
      <c r="F3185" s="14"/>
      <c r="G3185">
        <f>IFERROR(HLOOKUP(G$2,[96]table_female_hkom1_inj.ill_X8!$A$1:$K$36,19,FALSE),0)</f>
        <v>0</v>
      </c>
      <c r="H3185">
        <f>IFERROR(HLOOKUP(H$2,[96]table_female_hkom1_inj.ill_X8!$A$1:$K$36,19,FALSE),0)</f>
        <v>0</v>
      </c>
      <c r="I3185">
        <f>IFERROR(HLOOKUP(I$2,[96]table_female_hkom1_inj.ill_X8!$A$1:$K$36,19,FALSE),0)</f>
        <v>0</v>
      </c>
      <c r="J3185">
        <f>IFERROR(HLOOKUP(J$2,[96]table_female_hkom1_inj.ill_X8!$A$1:$K$36,19,FALSE),0)</f>
        <v>0</v>
      </c>
      <c r="K3185">
        <f>IFERROR(HLOOKUP(K$2,[96]table_female_hkom1_inj.ill_X8!$A$1:$K$36,19,FALSE),0)</f>
        <v>0</v>
      </c>
      <c r="L3185">
        <f>IFERROR(HLOOKUP(L$2,[96]table_female_hkom1_inj.ill_X8!$A$1:$K$36,19,FALSE),0)</f>
        <v>0</v>
      </c>
      <c r="M3185">
        <f t="shared" si="990"/>
        <v>0</v>
      </c>
      <c r="S3185" t="s">
        <v>87</v>
      </c>
      <c r="T3185" s="5">
        <f t="shared" si="991"/>
        <v>0</v>
      </c>
      <c r="U3185" s="5">
        <f t="shared" si="992"/>
        <v>0</v>
      </c>
      <c r="V3185" s="5">
        <f t="shared" si="993"/>
        <v>0</v>
      </c>
      <c r="W3185" s="5">
        <f t="shared" si="994"/>
        <v>0</v>
      </c>
      <c r="X3185" s="5">
        <f t="shared" si="995"/>
        <v>0</v>
      </c>
      <c r="Y3185" s="5">
        <f t="shared" si="996"/>
        <v>0</v>
      </c>
      <c r="Z3185" s="5">
        <f t="shared" si="997"/>
        <v>3.0303030303030304E-2</v>
      </c>
      <c r="AA3185" s="5">
        <f t="shared" si="998"/>
        <v>0</v>
      </c>
      <c r="AB3185" s="5">
        <f t="shared" si="999"/>
        <v>3.0303030303030304E-2</v>
      </c>
    </row>
    <row r="3186" spans="4:28" x14ac:dyDescent="0.25">
      <c r="D3186" t="s">
        <v>88</v>
      </c>
      <c r="E3186" s="14"/>
      <c r="F3186" s="14"/>
      <c r="G3186">
        <f>IFERROR(HLOOKUP(G$2,[96]table_female_hkom1_inj.ill_X8!$A$1:$K$36,20,FALSE),0)</f>
        <v>2</v>
      </c>
      <c r="H3186">
        <f>IFERROR(HLOOKUP(H$2,[96]table_female_hkom1_inj.ill_X8!$A$1:$K$36,20,FALSE),0)</f>
        <v>4</v>
      </c>
      <c r="I3186">
        <f>IFERROR(HLOOKUP(I$2,[96]table_female_hkom1_inj.ill_X8!$A$1:$K$36,20,FALSE),0)</f>
        <v>0</v>
      </c>
      <c r="J3186">
        <f>IFERROR(HLOOKUP(J$2,[96]table_female_hkom1_inj.ill_X8!$A$1:$K$36,20,FALSE),0)</f>
        <v>0</v>
      </c>
      <c r="K3186">
        <f>IFERROR(HLOOKUP(K$2,[96]table_female_hkom1_inj.ill_X8!$A$1:$K$36,20,FALSE),0)</f>
        <v>0</v>
      </c>
      <c r="L3186">
        <f>IFERROR(HLOOKUP(L$2,[96]table_female_hkom1_inj.ill_X8!$A$1:$K$36,20,FALSE),0)</f>
        <v>0</v>
      </c>
      <c r="M3186">
        <f t="shared" si="990"/>
        <v>6</v>
      </c>
      <c r="S3186" t="s">
        <v>88</v>
      </c>
      <c r="T3186" s="5">
        <f t="shared" si="991"/>
        <v>0</v>
      </c>
      <c r="U3186" s="5">
        <f t="shared" si="992"/>
        <v>0</v>
      </c>
      <c r="V3186" s="5">
        <f t="shared" si="993"/>
        <v>2.5</v>
      </c>
      <c r="W3186" s="5">
        <f t="shared" si="994"/>
        <v>7.6</v>
      </c>
      <c r="X3186" s="5">
        <f t="shared" si="995"/>
        <v>0</v>
      </c>
      <c r="Y3186" s="5">
        <f t="shared" si="996"/>
        <v>0</v>
      </c>
      <c r="Z3186" s="5">
        <f t="shared" si="997"/>
        <v>3.0303030303030304E-2</v>
      </c>
      <c r="AA3186" s="5">
        <f t="shared" si="998"/>
        <v>0</v>
      </c>
      <c r="AB3186" s="5">
        <f t="shared" si="999"/>
        <v>10.130303030303031</v>
      </c>
    </row>
    <row r="3187" spans="4:28" x14ac:dyDescent="0.25">
      <c r="D3187" t="s">
        <v>89</v>
      </c>
      <c r="E3187" s="14"/>
      <c r="F3187" s="14"/>
      <c r="G3187">
        <f>IFERROR(HLOOKUP(G$2,[96]table_female_hkom1_inj.ill_X8!$A$1:$K$36,21,FALSE),0)</f>
        <v>0</v>
      </c>
      <c r="H3187">
        <f>IFERROR(HLOOKUP(H$2,[96]table_female_hkom1_inj.ill_X8!$A$1:$K$36,21,FALSE),0)</f>
        <v>0</v>
      </c>
      <c r="I3187">
        <f>IFERROR(HLOOKUP(I$2,[96]table_female_hkom1_inj.ill_X8!$A$1:$K$36,21,FALSE),0)</f>
        <v>0</v>
      </c>
      <c r="J3187">
        <f>IFERROR(HLOOKUP(J$2,[96]table_female_hkom1_inj.ill_X8!$A$1:$K$36,21,FALSE),0)</f>
        <v>0</v>
      </c>
      <c r="K3187">
        <f>IFERROR(HLOOKUP(K$2,[96]table_female_hkom1_inj.ill_X8!$A$1:$K$36,21,FALSE),0)</f>
        <v>0</v>
      </c>
      <c r="L3187">
        <f>IFERROR(HLOOKUP(L$2,[96]table_female_hkom1_inj.ill_X8!$A$1:$K$36,21,FALSE),0)</f>
        <v>0</v>
      </c>
      <c r="M3187">
        <f t="shared" si="990"/>
        <v>0</v>
      </c>
      <c r="S3187" t="s">
        <v>89</v>
      </c>
      <c r="T3187" s="5">
        <f t="shared" si="991"/>
        <v>0</v>
      </c>
      <c r="U3187" s="5">
        <f t="shared" si="992"/>
        <v>0</v>
      </c>
      <c r="V3187" s="5">
        <f t="shared" si="993"/>
        <v>0</v>
      </c>
      <c r="W3187" s="5">
        <f t="shared" si="994"/>
        <v>0</v>
      </c>
      <c r="X3187" s="5">
        <f t="shared" si="995"/>
        <v>0</v>
      </c>
      <c r="Y3187" s="5">
        <f t="shared" si="996"/>
        <v>0</v>
      </c>
      <c r="Z3187" s="5">
        <f t="shared" si="997"/>
        <v>3.0303030303030304E-2</v>
      </c>
      <c r="AA3187" s="5">
        <f t="shared" si="998"/>
        <v>0</v>
      </c>
      <c r="AB3187" s="5">
        <f t="shared" si="999"/>
        <v>3.0303030303030304E-2</v>
      </c>
    </row>
    <row r="3188" spans="4:28" x14ac:dyDescent="0.25">
      <c r="D3188" t="s">
        <v>90</v>
      </c>
      <c r="E3188" s="14"/>
      <c r="F3188" s="14"/>
      <c r="G3188">
        <f>IFERROR(HLOOKUP(G$2,[96]table_female_hkom1_inj.ill_X8!$A$1:$K$36,22,FALSE),0)</f>
        <v>0</v>
      </c>
      <c r="H3188">
        <f>IFERROR(HLOOKUP(H$2,[96]table_female_hkom1_inj.ill_X8!$A$1:$K$36,22,FALSE),0)</f>
        <v>0</v>
      </c>
      <c r="I3188">
        <f>IFERROR(HLOOKUP(I$2,[96]table_female_hkom1_inj.ill_X8!$A$1:$K$36,22,FALSE),0)</f>
        <v>0</v>
      </c>
      <c r="J3188">
        <f>IFERROR(HLOOKUP(J$2,[96]table_female_hkom1_inj.ill_X8!$A$1:$K$36,22,FALSE),0)</f>
        <v>0</v>
      </c>
      <c r="K3188">
        <f>IFERROR(HLOOKUP(K$2,[96]table_female_hkom1_inj.ill_X8!$A$1:$K$36,22,FALSE),0)</f>
        <v>0</v>
      </c>
      <c r="L3188">
        <f>IFERROR(HLOOKUP(L$2,[96]table_female_hkom1_inj.ill_X8!$A$1:$K$36,22,FALSE),0)</f>
        <v>0</v>
      </c>
      <c r="M3188">
        <f t="shared" si="990"/>
        <v>0</v>
      </c>
      <c r="S3188" t="s">
        <v>90</v>
      </c>
      <c r="T3188" s="5">
        <f t="shared" si="991"/>
        <v>0</v>
      </c>
      <c r="U3188" s="5">
        <f t="shared" si="992"/>
        <v>0</v>
      </c>
      <c r="V3188" s="5">
        <f t="shared" si="993"/>
        <v>0</v>
      </c>
      <c r="W3188" s="5">
        <f t="shared" si="994"/>
        <v>0</v>
      </c>
      <c r="X3188" s="5">
        <f t="shared" si="995"/>
        <v>0</v>
      </c>
      <c r="Y3188" s="5">
        <f t="shared" si="996"/>
        <v>0</v>
      </c>
      <c r="Z3188" s="5">
        <f t="shared" si="997"/>
        <v>3.0303030303030304E-2</v>
      </c>
      <c r="AA3188" s="5">
        <f t="shared" si="998"/>
        <v>0</v>
      </c>
      <c r="AB3188" s="5">
        <f t="shared" si="999"/>
        <v>3.0303030303030304E-2</v>
      </c>
    </row>
    <row r="3189" spans="4:28" x14ac:dyDescent="0.25">
      <c r="D3189" t="s">
        <v>91</v>
      </c>
      <c r="E3189" s="14"/>
      <c r="F3189" s="14"/>
      <c r="G3189">
        <f>IFERROR(HLOOKUP(G$2,[96]table_female_hkom1_inj.ill_X8!$A$1:$K$36,23,FALSE),0)</f>
        <v>0</v>
      </c>
      <c r="H3189">
        <f>IFERROR(HLOOKUP(H$2,[96]table_female_hkom1_inj.ill_X8!$A$1:$K$36,23,FALSE),0)</f>
        <v>0</v>
      </c>
      <c r="I3189">
        <f>IFERROR(HLOOKUP(I$2,[96]table_female_hkom1_inj.ill_X8!$A$1:$K$36,23,FALSE),0)</f>
        <v>0</v>
      </c>
      <c r="J3189">
        <f>IFERROR(HLOOKUP(J$2,[96]table_female_hkom1_inj.ill_X8!$A$1:$K$36,23,FALSE),0)</f>
        <v>0</v>
      </c>
      <c r="K3189">
        <f>IFERROR(HLOOKUP(K$2,[96]table_female_hkom1_inj.ill_X8!$A$1:$K$36,23,FALSE),0)</f>
        <v>0</v>
      </c>
      <c r="L3189">
        <f>IFERROR(HLOOKUP(L$2,[96]table_female_hkom1_inj.ill_X8!$A$1:$K$36,23,FALSE),0)</f>
        <v>0</v>
      </c>
      <c r="M3189">
        <f t="shared" si="990"/>
        <v>0</v>
      </c>
      <c r="S3189" t="s">
        <v>91</v>
      </c>
      <c r="T3189" s="5">
        <f t="shared" si="991"/>
        <v>0</v>
      </c>
      <c r="U3189" s="5">
        <f t="shared" si="992"/>
        <v>0</v>
      </c>
      <c r="V3189" s="5">
        <f t="shared" si="993"/>
        <v>0</v>
      </c>
      <c r="W3189" s="5">
        <f t="shared" si="994"/>
        <v>0</v>
      </c>
      <c r="X3189" s="5">
        <f t="shared" si="995"/>
        <v>0</v>
      </c>
      <c r="Y3189" s="5">
        <f t="shared" si="996"/>
        <v>0</v>
      </c>
      <c r="Z3189" s="5">
        <f t="shared" si="997"/>
        <v>3.0303030303030304E-2</v>
      </c>
      <c r="AA3189" s="5">
        <f t="shared" si="998"/>
        <v>0</v>
      </c>
      <c r="AB3189" s="5">
        <f t="shared" si="999"/>
        <v>3.0303030303030304E-2</v>
      </c>
    </row>
    <row r="3190" spans="4:28" x14ac:dyDescent="0.25">
      <c r="D3190" t="s">
        <v>92</v>
      </c>
      <c r="E3190" s="14"/>
      <c r="F3190" s="14"/>
      <c r="G3190">
        <f>IFERROR(HLOOKUP(G$2,[96]table_female_hkom1_inj.ill_X8!$A$1:$K$36,24,FALSE),0)</f>
        <v>0</v>
      </c>
      <c r="H3190">
        <f>IFERROR(HLOOKUP(H$2,[96]table_female_hkom1_inj.ill_X8!$A$1:$K$36,24,FALSE),0)</f>
        <v>0</v>
      </c>
      <c r="I3190">
        <f>IFERROR(HLOOKUP(I$2,[96]table_female_hkom1_inj.ill_X8!$A$1:$K$36,24,FALSE),0)</f>
        <v>0</v>
      </c>
      <c r="J3190">
        <f>IFERROR(HLOOKUP(J$2,[96]table_female_hkom1_inj.ill_X8!$A$1:$K$36,24,FALSE),0)</f>
        <v>0</v>
      </c>
      <c r="K3190">
        <f>IFERROR(HLOOKUP(K$2,[96]table_female_hkom1_inj.ill_X8!$A$1:$K$36,24,FALSE),0)</f>
        <v>0</v>
      </c>
      <c r="L3190">
        <f>IFERROR(HLOOKUP(L$2,[96]table_female_hkom1_inj.ill_X8!$A$1:$K$36,24,FALSE),0)</f>
        <v>0</v>
      </c>
      <c r="M3190">
        <f t="shared" si="990"/>
        <v>0</v>
      </c>
      <c r="S3190" t="s">
        <v>92</v>
      </c>
      <c r="T3190" s="5">
        <f t="shared" si="991"/>
        <v>0</v>
      </c>
      <c r="U3190" s="5">
        <f t="shared" si="992"/>
        <v>0</v>
      </c>
      <c r="V3190" s="5">
        <f t="shared" si="993"/>
        <v>0</v>
      </c>
      <c r="W3190" s="5">
        <f t="shared" si="994"/>
        <v>0</v>
      </c>
      <c r="X3190" s="5">
        <f t="shared" si="995"/>
        <v>0</v>
      </c>
      <c r="Y3190" s="5">
        <f t="shared" si="996"/>
        <v>0</v>
      </c>
      <c r="Z3190" s="5">
        <f t="shared" si="997"/>
        <v>3.0303030303030304E-2</v>
      </c>
      <c r="AA3190" s="5">
        <f t="shared" si="998"/>
        <v>0</v>
      </c>
      <c r="AB3190" s="5">
        <f t="shared" si="999"/>
        <v>3.0303030303030304E-2</v>
      </c>
    </row>
    <row r="3191" spans="4:28" x14ac:dyDescent="0.25">
      <c r="D3191" t="s">
        <v>93</v>
      </c>
      <c r="E3191" s="14"/>
      <c r="F3191" s="14"/>
      <c r="G3191">
        <f>IFERROR(HLOOKUP(G$2,[96]table_female_hkom1_inj.ill_X8!$A$1:$K$36,25,FALSE),0)</f>
        <v>0</v>
      </c>
      <c r="H3191">
        <f>IFERROR(HLOOKUP(H$2,[96]table_female_hkom1_inj.ill_X8!$A$1:$K$36,25,FALSE),0)</f>
        <v>0</v>
      </c>
      <c r="I3191">
        <f>IFERROR(HLOOKUP(I$2,[96]table_female_hkom1_inj.ill_X8!$A$1:$K$36,25,FALSE),0)</f>
        <v>0</v>
      </c>
      <c r="J3191">
        <f>IFERROR(HLOOKUP(J$2,[96]table_female_hkom1_inj.ill_X8!$A$1:$K$36,25,FALSE),0)</f>
        <v>0</v>
      </c>
      <c r="K3191">
        <f>IFERROR(HLOOKUP(K$2,[96]table_female_hkom1_inj.ill_X8!$A$1:$K$36,25,FALSE),0)</f>
        <v>0</v>
      </c>
      <c r="L3191">
        <f>IFERROR(HLOOKUP(L$2,[96]table_female_hkom1_inj.ill_X8!$A$1:$K$36,25,FALSE),0)</f>
        <v>0</v>
      </c>
      <c r="M3191">
        <f t="shared" si="990"/>
        <v>0</v>
      </c>
      <c r="S3191" t="s">
        <v>93</v>
      </c>
      <c r="T3191" s="5">
        <f t="shared" si="991"/>
        <v>0</v>
      </c>
      <c r="U3191" s="5">
        <f t="shared" si="992"/>
        <v>0</v>
      </c>
      <c r="V3191" s="5">
        <f t="shared" si="993"/>
        <v>0</v>
      </c>
      <c r="W3191" s="5">
        <f t="shared" si="994"/>
        <v>0</v>
      </c>
      <c r="X3191" s="5">
        <f t="shared" si="995"/>
        <v>0</v>
      </c>
      <c r="Y3191" s="5">
        <f t="shared" si="996"/>
        <v>0</v>
      </c>
      <c r="Z3191" s="5">
        <f t="shared" si="997"/>
        <v>3.0303030303030304E-2</v>
      </c>
      <c r="AA3191" s="5">
        <f t="shared" si="998"/>
        <v>0</v>
      </c>
      <c r="AB3191" s="5">
        <f t="shared" si="999"/>
        <v>3.0303030303030304E-2</v>
      </c>
    </row>
    <row r="3192" spans="4:28" x14ac:dyDescent="0.25">
      <c r="D3192" t="s">
        <v>94</v>
      </c>
      <c r="E3192" s="14"/>
      <c r="F3192" s="14"/>
      <c r="G3192">
        <f>IFERROR(HLOOKUP(G$2,[96]table_female_hkom1_inj.ill_X8!$A$1:$K$36,26,FALSE),0)</f>
        <v>0</v>
      </c>
      <c r="H3192">
        <f>IFERROR(HLOOKUP(H$2,[96]table_female_hkom1_inj.ill_X8!$A$1:$K$36,26,FALSE),0)</f>
        <v>0</v>
      </c>
      <c r="I3192">
        <f>IFERROR(HLOOKUP(I$2,[96]table_female_hkom1_inj.ill_X8!$A$1:$K$36,26,FALSE),0)</f>
        <v>0</v>
      </c>
      <c r="J3192">
        <f>IFERROR(HLOOKUP(J$2,[96]table_female_hkom1_inj.ill_X8!$A$1:$K$36,26,FALSE),0)</f>
        <v>0</v>
      </c>
      <c r="K3192">
        <f>IFERROR(HLOOKUP(K$2,[96]table_female_hkom1_inj.ill_X8!$A$1:$K$36,26,FALSE),0)</f>
        <v>0</v>
      </c>
      <c r="L3192">
        <f>IFERROR(HLOOKUP(L$2,[96]table_female_hkom1_inj.ill_X8!$A$1:$K$36,26,FALSE),0)</f>
        <v>0</v>
      </c>
      <c r="M3192">
        <f t="shared" si="990"/>
        <v>0</v>
      </c>
      <c r="S3192" t="s">
        <v>94</v>
      </c>
      <c r="T3192" s="5">
        <f t="shared" si="991"/>
        <v>0</v>
      </c>
      <c r="U3192" s="5">
        <f t="shared" si="992"/>
        <v>0</v>
      </c>
      <c r="V3192" s="5">
        <f t="shared" si="993"/>
        <v>0</v>
      </c>
      <c r="W3192" s="5">
        <f t="shared" si="994"/>
        <v>0</v>
      </c>
      <c r="X3192" s="5">
        <f t="shared" si="995"/>
        <v>0</v>
      </c>
      <c r="Y3192" s="5">
        <f t="shared" si="996"/>
        <v>0</v>
      </c>
      <c r="Z3192" s="5">
        <f t="shared" si="997"/>
        <v>3.0303030303030304E-2</v>
      </c>
      <c r="AA3192" s="5">
        <f t="shared" si="998"/>
        <v>0</v>
      </c>
      <c r="AB3192" s="5">
        <f t="shared" si="999"/>
        <v>3.0303030303030304E-2</v>
      </c>
    </row>
    <row r="3193" spans="4:28" x14ac:dyDescent="0.25">
      <c r="D3193" t="s">
        <v>95</v>
      </c>
      <c r="E3193" s="14"/>
      <c r="F3193" s="14"/>
      <c r="G3193">
        <f>IFERROR(HLOOKUP(G$2,[96]table_female_hkom1_inj.ill_X8!$A$1:$K$36,27,FALSE),0)</f>
        <v>0</v>
      </c>
      <c r="H3193">
        <f>IFERROR(HLOOKUP(H$2,[96]table_female_hkom1_inj.ill_X8!$A$1:$K$36,27,FALSE),0)</f>
        <v>0</v>
      </c>
      <c r="I3193">
        <f>IFERROR(HLOOKUP(I$2,[96]table_female_hkom1_inj.ill_X8!$A$1:$K$36,27,FALSE),0)</f>
        <v>0</v>
      </c>
      <c r="J3193">
        <f>IFERROR(HLOOKUP(J$2,[96]table_female_hkom1_inj.ill_X8!$A$1:$K$36,27,FALSE),0)</f>
        <v>0</v>
      </c>
      <c r="K3193">
        <f>IFERROR(HLOOKUP(K$2,[96]table_female_hkom1_inj.ill_X8!$A$1:$K$36,27,FALSE),0)</f>
        <v>0</v>
      </c>
      <c r="L3193">
        <f>IFERROR(HLOOKUP(L$2,[96]table_female_hkom1_inj.ill_X8!$A$1:$K$36,27,FALSE),0)</f>
        <v>0</v>
      </c>
      <c r="M3193">
        <f t="shared" si="990"/>
        <v>0</v>
      </c>
      <c r="S3193" t="s">
        <v>95</v>
      </c>
      <c r="T3193" s="5">
        <f t="shared" si="991"/>
        <v>0</v>
      </c>
      <c r="U3193" s="5">
        <f t="shared" si="992"/>
        <v>0</v>
      </c>
      <c r="V3193" s="5">
        <f t="shared" si="993"/>
        <v>0</v>
      </c>
      <c r="W3193" s="5">
        <f t="shared" si="994"/>
        <v>0</v>
      </c>
      <c r="X3193" s="5">
        <f t="shared" si="995"/>
        <v>0</v>
      </c>
      <c r="Y3193" s="5">
        <f t="shared" si="996"/>
        <v>0</v>
      </c>
      <c r="Z3193" s="5">
        <f t="shared" si="997"/>
        <v>3.0303030303030304E-2</v>
      </c>
      <c r="AA3193" s="5">
        <f t="shared" si="998"/>
        <v>0</v>
      </c>
      <c r="AB3193" s="5">
        <f t="shared" si="999"/>
        <v>3.0303030303030304E-2</v>
      </c>
    </row>
    <row r="3194" spans="4:28" x14ac:dyDescent="0.25">
      <c r="D3194" t="s">
        <v>96</v>
      </c>
      <c r="E3194" s="14"/>
      <c r="F3194" s="14"/>
      <c r="G3194">
        <f>IFERROR(HLOOKUP(G$2,[96]table_female_hkom1_inj.ill_X8!$A$1:$K$36,28,FALSE),0)</f>
        <v>0</v>
      </c>
      <c r="H3194">
        <f>IFERROR(HLOOKUP(H$2,[96]table_female_hkom1_inj.ill_X8!$A$1:$K$36,28,FALSE),0)</f>
        <v>0</v>
      </c>
      <c r="I3194">
        <f>IFERROR(HLOOKUP(I$2,[96]table_female_hkom1_inj.ill_X8!$A$1:$K$36,28,FALSE),0)</f>
        <v>0</v>
      </c>
      <c r="J3194">
        <f>IFERROR(HLOOKUP(J$2,[96]table_female_hkom1_inj.ill_X8!$A$1:$K$36,28,FALSE),0)</f>
        <v>0</v>
      </c>
      <c r="K3194">
        <f>IFERROR(HLOOKUP(K$2,[96]table_female_hkom1_inj.ill_X8!$A$1:$K$36,28,FALSE),0)</f>
        <v>0</v>
      </c>
      <c r="L3194">
        <f>IFERROR(HLOOKUP(L$2,[96]table_female_hkom1_inj.ill_X8!$A$1:$K$36,28,FALSE),0)</f>
        <v>0</v>
      </c>
      <c r="M3194">
        <f t="shared" si="990"/>
        <v>0</v>
      </c>
      <c r="S3194" t="s">
        <v>96</v>
      </c>
      <c r="T3194" s="5">
        <f t="shared" si="991"/>
        <v>0</v>
      </c>
      <c r="U3194" s="5">
        <f t="shared" si="992"/>
        <v>0</v>
      </c>
      <c r="V3194" s="5">
        <f t="shared" si="993"/>
        <v>0</v>
      </c>
      <c r="W3194" s="5">
        <f t="shared" si="994"/>
        <v>0</v>
      </c>
      <c r="X3194" s="5">
        <f t="shared" si="995"/>
        <v>0</v>
      </c>
      <c r="Y3194" s="5">
        <f t="shared" si="996"/>
        <v>0</v>
      </c>
      <c r="Z3194" s="5">
        <f t="shared" si="997"/>
        <v>3.0303030303030304E-2</v>
      </c>
      <c r="AA3194" s="5">
        <f t="shared" si="998"/>
        <v>0</v>
      </c>
      <c r="AB3194" s="5">
        <f t="shared" si="999"/>
        <v>3.0303030303030304E-2</v>
      </c>
    </row>
    <row r="3195" spans="4:28" x14ac:dyDescent="0.25">
      <c r="D3195" t="s">
        <v>97</v>
      </c>
      <c r="E3195" s="14"/>
      <c r="F3195" s="14"/>
      <c r="G3195">
        <f>IFERROR(HLOOKUP(G$2,[96]table_female_hkom1_inj.ill_X8!$A$1:$K$36,29,FALSE),0)</f>
        <v>0</v>
      </c>
      <c r="H3195">
        <f>IFERROR(HLOOKUP(H$2,[96]table_female_hkom1_inj.ill_X8!$A$1:$K$36,29,FALSE),0)</f>
        <v>0</v>
      </c>
      <c r="I3195">
        <f>IFERROR(HLOOKUP(I$2,[96]table_female_hkom1_inj.ill_X8!$A$1:$K$36,29,FALSE),0)</f>
        <v>0</v>
      </c>
      <c r="J3195">
        <f>IFERROR(HLOOKUP(J$2,[96]table_female_hkom1_inj.ill_X8!$A$1:$K$36,29,FALSE),0)</f>
        <v>0</v>
      </c>
      <c r="K3195">
        <f>IFERROR(HLOOKUP(K$2,[96]table_female_hkom1_inj.ill_X8!$A$1:$K$36,29,FALSE),0)</f>
        <v>0</v>
      </c>
      <c r="L3195">
        <f>IFERROR(HLOOKUP(L$2,[96]table_female_hkom1_inj.ill_X8!$A$1:$K$36,29,FALSE),0)</f>
        <v>0</v>
      </c>
      <c r="M3195">
        <f t="shared" si="990"/>
        <v>0</v>
      </c>
      <c r="S3195" t="s">
        <v>97</v>
      </c>
      <c r="T3195" s="5">
        <f t="shared" si="991"/>
        <v>0</v>
      </c>
      <c r="U3195" s="5">
        <f t="shared" si="992"/>
        <v>0</v>
      </c>
      <c r="V3195" s="5">
        <f t="shared" si="993"/>
        <v>0</v>
      </c>
      <c r="W3195" s="5">
        <f t="shared" si="994"/>
        <v>0</v>
      </c>
      <c r="X3195" s="5">
        <f t="shared" si="995"/>
        <v>0</v>
      </c>
      <c r="Y3195" s="5">
        <f t="shared" si="996"/>
        <v>0</v>
      </c>
      <c r="Z3195" s="5">
        <f t="shared" si="997"/>
        <v>3.0303030303030304E-2</v>
      </c>
      <c r="AA3195" s="5">
        <f t="shared" si="998"/>
        <v>0</v>
      </c>
      <c r="AB3195" s="5">
        <f t="shared" si="999"/>
        <v>3.0303030303030304E-2</v>
      </c>
    </row>
    <row r="3196" spans="4:28" x14ac:dyDescent="0.25">
      <c r="D3196" t="s">
        <v>98</v>
      </c>
      <c r="E3196" s="14"/>
      <c r="F3196" s="14"/>
      <c r="G3196">
        <f>IFERROR(HLOOKUP(G$2,[96]table_female_hkom1_inj.ill_X8!$A$1:$K$36,30,FALSE),0)</f>
        <v>0</v>
      </c>
      <c r="H3196">
        <f>IFERROR(HLOOKUP(H$2,[96]table_female_hkom1_inj.ill_X8!$A$1:$K$36,30,FALSE),0)</f>
        <v>0</v>
      </c>
      <c r="I3196">
        <f>IFERROR(HLOOKUP(I$2,[96]table_female_hkom1_inj.ill_X8!$A$1:$K$36,30,FALSE),0)</f>
        <v>0</v>
      </c>
      <c r="J3196">
        <f>IFERROR(HLOOKUP(J$2,[96]table_female_hkom1_inj.ill_X8!$A$1:$K$36,30,FALSE),0)</f>
        <v>0</v>
      </c>
      <c r="K3196">
        <f>IFERROR(HLOOKUP(K$2,[96]table_female_hkom1_inj.ill_X8!$A$1:$K$36,30,FALSE),0)</f>
        <v>0</v>
      </c>
      <c r="L3196">
        <f>IFERROR(HLOOKUP(L$2,[96]table_female_hkom1_inj.ill_X8!$A$1:$K$36,30,FALSE),0)</f>
        <v>0</v>
      </c>
      <c r="M3196">
        <f t="shared" si="990"/>
        <v>0</v>
      </c>
      <c r="S3196" t="s">
        <v>98</v>
      </c>
      <c r="T3196" s="5">
        <f t="shared" si="991"/>
        <v>0</v>
      </c>
      <c r="U3196" s="5">
        <f t="shared" si="992"/>
        <v>0</v>
      </c>
      <c r="V3196" s="5">
        <f t="shared" si="993"/>
        <v>0</v>
      </c>
      <c r="W3196" s="5">
        <f t="shared" si="994"/>
        <v>0</v>
      </c>
      <c r="X3196" s="5">
        <f t="shared" si="995"/>
        <v>0</v>
      </c>
      <c r="Y3196" s="5">
        <f t="shared" si="996"/>
        <v>0</v>
      </c>
      <c r="Z3196" s="5">
        <f t="shared" si="997"/>
        <v>3.0303030303030304E-2</v>
      </c>
      <c r="AA3196" s="5">
        <f t="shared" si="998"/>
        <v>0</v>
      </c>
      <c r="AB3196" s="5">
        <f t="shared" si="999"/>
        <v>3.0303030303030304E-2</v>
      </c>
    </row>
    <row r="3197" spans="4:28" x14ac:dyDescent="0.25">
      <c r="D3197" t="s">
        <v>119</v>
      </c>
      <c r="E3197" s="14"/>
      <c r="F3197" s="14"/>
      <c r="G3197">
        <f>IFERROR(HLOOKUP(G$2,[96]table_female_hkom1_inj.ill_X8!$A$1:$K$36,31,FALSE),0)</f>
        <v>0</v>
      </c>
      <c r="H3197">
        <f>IFERROR(HLOOKUP(H$2,[96]table_female_hkom1_inj.ill_X8!$A$1:$K$36,31,FALSE),0)</f>
        <v>0</v>
      </c>
      <c r="I3197">
        <f>IFERROR(HLOOKUP(I$2,[96]table_female_hkom1_inj.ill_X8!$A$1:$K$36,31,FALSE),0)</f>
        <v>0</v>
      </c>
      <c r="J3197">
        <f>IFERROR(HLOOKUP(J$2,[96]table_female_hkom1_inj.ill_X8!$A$1:$K$36,31,FALSE),0)</f>
        <v>0</v>
      </c>
      <c r="K3197">
        <f>IFERROR(HLOOKUP(K$2,[96]table_female_hkom1_inj.ill_X8!$A$1:$K$36,31,FALSE),0)</f>
        <v>0</v>
      </c>
      <c r="L3197">
        <f>IFERROR(HLOOKUP(L$2,[96]table_female_hkom1_inj.ill_X8!$A$1:$K$36,31,FALSE),0)</f>
        <v>0</v>
      </c>
      <c r="M3197">
        <f t="shared" si="990"/>
        <v>0</v>
      </c>
      <c r="S3197" t="s">
        <v>119</v>
      </c>
      <c r="T3197" s="5">
        <f t="shared" si="991"/>
        <v>0</v>
      </c>
      <c r="U3197" s="5">
        <f t="shared" si="992"/>
        <v>0</v>
      </c>
      <c r="V3197" s="5">
        <f t="shared" si="993"/>
        <v>0</v>
      </c>
      <c r="W3197" s="5">
        <f t="shared" si="994"/>
        <v>0</v>
      </c>
      <c r="X3197" s="5">
        <f t="shared" si="995"/>
        <v>0</v>
      </c>
      <c r="Y3197" s="5">
        <f t="shared" si="996"/>
        <v>0</v>
      </c>
      <c r="Z3197" s="5">
        <f t="shared" si="997"/>
        <v>3.0303030303030304E-2</v>
      </c>
      <c r="AA3197" s="5">
        <f t="shared" si="998"/>
        <v>0</v>
      </c>
      <c r="AB3197" s="5">
        <f t="shared" si="999"/>
        <v>3.0303030303030304E-2</v>
      </c>
    </row>
    <row r="3198" spans="4:28" x14ac:dyDescent="0.25">
      <c r="D3198" t="s">
        <v>99</v>
      </c>
      <c r="E3198" s="14"/>
      <c r="F3198" s="14"/>
      <c r="G3198">
        <f>IFERROR(HLOOKUP(G$2,[96]table_female_hkom1_inj.ill_X8!$A$1:$K$36,32,FALSE),0)</f>
        <v>0</v>
      </c>
      <c r="H3198">
        <f>IFERROR(HLOOKUP(H$2,[96]table_female_hkom1_inj.ill_X8!$A$1:$K$36,32,FALSE),0)</f>
        <v>1</v>
      </c>
      <c r="I3198">
        <f>IFERROR(HLOOKUP(I$2,[96]table_female_hkom1_inj.ill_X8!$A$1:$K$36,32,FALSE),0)</f>
        <v>1</v>
      </c>
      <c r="J3198">
        <f>IFERROR(HLOOKUP(J$2,[96]table_female_hkom1_inj.ill_X8!$A$1:$K$36,32,FALSE),0)</f>
        <v>0</v>
      </c>
      <c r="K3198">
        <f>IFERROR(HLOOKUP(K$2,[96]table_female_hkom1_inj.ill_X8!$A$1:$K$36,32,FALSE),0)</f>
        <v>0</v>
      </c>
      <c r="L3198">
        <f>IFERROR(HLOOKUP(L$2,[96]table_female_hkom1_inj.ill_X8!$A$1:$K$36,32,FALSE),0)</f>
        <v>0</v>
      </c>
      <c r="M3198">
        <f t="shared" si="990"/>
        <v>2</v>
      </c>
      <c r="S3198" t="s">
        <v>99</v>
      </c>
      <c r="T3198" s="5">
        <f t="shared" si="991"/>
        <v>0</v>
      </c>
      <c r="U3198" s="5">
        <f t="shared" si="992"/>
        <v>0</v>
      </c>
      <c r="V3198" s="5">
        <f t="shared" si="993"/>
        <v>0</v>
      </c>
      <c r="W3198" s="5">
        <f t="shared" si="994"/>
        <v>1.9</v>
      </c>
      <c r="X3198" s="5">
        <f t="shared" si="995"/>
        <v>6</v>
      </c>
      <c r="Y3198" s="5">
        <f t="shared" si="996"/>
        <v>0</v>
      </c>
      <c r="Z3198" s="5">
        <f t="shared" si="997"/>
        <v>3.0303030303030304E-2</v>
      </c>
      <c r="AA3198" s="5">
        <f t="shared" si="998"/>
        <v>0</v>
      </c>
      <c r="AB3198" s="5">
        <f t="shared" si="999"/>
        <v>7.9303030303030306</v>
      </c>
    </row>
    <row r="3199" spans="4:28" x14ac:dyDescent="0.25">
      <c r="D3199" t="s">
        <v>100</v>
      </c>
      <c r="E3199" s="14"/>
      <c r="F3199" s="14"/>
      <c r="G3199">
        <f>IFERROR(HLOOKUP(G$2,[96]table_female_hkom1_inj.ill_X8!$A$1:$K$36,33,FALSE),0)</f>
        <v>0</v>
      </c>
      <c r="H3199">
        <f>IFERROR(HLOOKUP(H$2,[96]table_female_hkom1_inj.ill_X8!$A$1:$K$36,33,FALSE),0)</f>
        <v>1</v>
      </c>
      <c r="I3199">
        <f>IFERROR(HLOOKUP(I$2,[96]table_female_hkom1_inj.ill_X8!$A$1:$K$36,33,FALSE),0)</f>
        <v>0</v>
      </c>
      <c r="J3199">
        <f>IFERROR(HLOOKUP(J$2,[96]table_female_hkom1_inj.ill_X8!$A$1:$K$36,33,FALSE),0)</f>
        <v>0</v>
      </c>
      <c r="K3199">
        <f>IFERROR(HLOOKUP(K$2,[96]table_female_hkom1_inj.ill_X8!$A$1:$K$36,33,FALSE),0)</f>
        <v>0</v>
      </c>
      <c r="L3199">
        <f>IFERROR(HLOOKUP(L$2,[96]table_female_hkom1_inj.ill_X8!$A$1:$K$36,33,FALSE),0)</f>
        <v>0</v>
      </c>
      <c r="M3199">
        <f t="shared" si="990"/>
        <v>1</v>
      </c>
      <c r="S3199" t="s">
        <v>100</v>
      </c>
      <c r="T3199" s="5">
        <f t="shared" si="991"/>
        <v>0</v>
      </c>
      <c r="U3199" s="5">
        <f t="shared" si="992"/>
        <v>0</v>
      </c>
      <c r="V3199" s="5">
        <f t="shared" si="993"/>
        <v>0</v>
      </c>
      <c r="W3199" s="5">
        <f t="shared" si="994"/>
        <v>1.9</v>
      </c>
      <c r="X3199" s="5">
        <f t="shared" si="995"/>
        <v>0</v>
      </c>
      <c r="Y3199" s="5">
        <f t="shared" si="996"/>
        <v>0</v>
      </c>
      <c r="Z3199" s="5">
        <f t="shared" si="997"/>
        <v>3.0303030303030304E-2</v>
      </c>
      <c r="AA3199" s="5">
        <f t="shared" si="998"/>
        <v>0</v>
      </c>
      <c r="AB3199" s="5">
        <f t="shared" si="999"/>
        <v>1.9303030303030302</v>
      </c>
    </row>
    <row r="3200" spans="4:28" x14ac:dyDescent="0.25">
      <c r="D3200" t="s">
        <v>101</v>
      </c>
      <c r="E3200" s="14"/>
      <c r="F3200" s="14"/>
      <c r="G3200">
        <f>IFERROR(HLOOKUP(G$2,[96]table_female_hkom1_inj.ill_X8!$A$1:$K$36,34,FALSE),0)</f>
        <v>0</v>
      </c>
      <c r="H3200">
        <f>IFERROR(HLOOKUP(H$2,[96]table_female_hkom1_inj.ill_X8!$A$1:$K$36,34,FALSE),0)</f>
        <v>0</v>
      </c>
      <c r="I3200">
        <f>IFERROR(HLOOKUP(I$2,[96]table_female_hkom1_inj.ill_X8!$A$1:$K$36,34,FALSE),0)</f>
        <v>0</v>
      </c>
      <c r="J3200">
        <f>IFERROR(HLOOKUP(J$2,[96]table_female_hkom1_inj.ill_X8!$A$1:$K$36,34,FALSE),0)</f>
        <v>0</v>
      </c>
      <c r="K3200">
        <f>IFERROR(HLOOKUP(K$2,[96]table_female_hkom1_inj.ill_X8!$A$1:$K$36,34,FALSE),0)</f>
        <v>0</v>
      </c>
      <c r="L3200">
        <f>IFERROR(HLOOKUP(L$2,[96]table_female_hkom1_inj.ill_X8!$A$1:$K$36,34,FALSE),0)</f>
        <v>0</v>
      </c>
      <c r="M3200">
        <f t="shared" si="990"/>
        <v>0</v>
      </c>
      <c r="S3200" t="s">
        <v>101</v>
      </c>
      <c r="T3200" s="5">
        <f t="shared" si="991"/>
        <v>0</v>
      </c>
      <c r="U3200" s="5">
        <f t="shared" si="992"/>
        <v>0</v>
      </c>
      <c r="V3200" s="5">
        <f t="shared" si="993"/>
        <v>0</v>
      </c>
      <c r="W3200" s="5">
        <f t="shared" si="994"/>
        <v>0</v>
      </c>
      <c r="X3200" s="5">
        <f t="shared" si="995"/>
        <v>0</v>
      </c>
      <c r="Y3200" s="5">
        <f t="shared" si="996"/>
        <v>0</v>
      </c>
      <c r="Z3200" s="5">
        <f t="shared" si="997"/>
        <v>3.0303030303030304E-2</v>
      </c>
      <c r="AA3200" s="5">
        <f t="shared" si="998"/>
        <v>0</v>
      </c>
      <c r="AB3200" s="5">
        <f t="shared" si="999"/>
        <v>3.0303030303030304E-2</v>
      </c>
    </row>
    <row r="3201" spans="1:29" x14ac:dyDescent="0.25">
      <c r="D3201" t="s">
        <v>102</v>
      </c>
      <c r="E3201" s="14"/>
      <c r="F3201" s="14"/>
      <c r="G3201">
        <f>IFERROR(HLOOKUP(G$2,[96]table_female_hkom1_inj.ill_X8!$A$1:$K$36,35,FALSE),0)</f>
        <v>1</v>
      </c>
      <c r="H3201">
        <f>IFERROR(HLOOKUP(H$2,[96]table_female_hkom1_inj.ill_X8!$A$1:$K$36,35,FALSE),0)</f>
        <v>9</v>
      </c>
      <c r="I3201">
        <f>IFERROR(HLOOKUP(I$2,[96]table_female_hkom1_inj.ill_X8!$A$1:$K$36,35,FALSE),0)</f>
        <v>5</v>
      </c>
      <c r="J3201">
        <f>IFERROR(HLOOKUP(J$2,[96]table_female_hkom1_inj.ill_X8!$A$1:$K$36,35,FALSE),0)</f>
        <v>0</v>
      </c>
      <c r="K3201">
        <f>IFERROR(HLOOKUP(K$2,[96]table_female_hkom1_inj.ill_X8!$A$1:$K$36,35,FALSE),0)</f>
        <v>1</v>
      </c>
      <c r="L3201">
        <f>IFERROR(HLOOKUP(L$2,[96]table_female_hkom1_inj.ill_X8!$A$1:$K$36,35,FALSE),0)</f>
        <v>0</v>
      </c>
      <c r="M3201">
        <f t="shared" si="990"/>
        <v>16</v>
      </c>
      <c r="N3201">
        <f>SUM(M3168:M3201)</f>
        <v>31</v>
      </c>
      <c r="O3201" s="8">
        <f>SUM([96]table_female_hkom1_inj.ill_X8!$B$2:$L$37)</f>
        <v>31</v>
      </c>
      <c r="S3201" t="s">
        <v>102</v>
      </c>
      <c r="T3201" s="7"/>
      <c r="U3201" s="7"/>
      <c r="V3201" s="7"/>
      <c r="W3201" s="7"/>
      <c r="X3201" s="7"/>
      <c r="Y3201" s="7"/>
      <c r="Z3201" s="7"/>
      <c r="AA3201" s="7"/>
      <c r="AB3201" s="5">
        <f t="shared" si="999"/>
        <v>0</v>
      </c>
      <c r="AC3201" s="5">
        <f>SUM(AB3168:AB3200)</f>
        <v>31.000000000000007</v>
      </c>
    </row>
    <row r="3202" spans="1:29" x14ac:dyDescent="0.25">
      <c r="A3202" t="s">
        <v>115</v>
      </c>
      <c r="B3202" t="s">
        <v>116</v>
      </c>
      <c r="C3202" t="s">
        <v>124</v>
      </c>
      <c r="D3202" t="s">
        <v>70</v>
      </c>
      <c r="E3202" s="14"/>
      <c r="F3202" s="14"/>
      <c r="G3202">
        <f>IFERROR(HLOOKUP(G$2,[97]table_female_hkom2_inj.ill_X2!$A$1:$K$36,2,FALSE),0)</f>
        <v>0</v>
      </c>
      <c r="H3202">
        <f>IFERROR(HLOOKUP(H$2,[97]table_female_hkom2_inj.ill_X2!$A$1:$K$36,2,FALSE),0)</f>
        <v>0</v>
      </c>
      <c r="I3202">
        <f>IFERROR(HLOOKUP(I$2,[97]table_female_hkom2_inj.ill_X2!$A$1:$K$36,2,FALSE),0)</f>
        <v>0</v>
      </c>
      <c r="J3202">
        <f>IFERROR(HLOOKUP(J$2,[97]table_female_hkom2_inj.ill_X2!$A$1:$K$36,2,FALSE),0)</f>
        <v>0</v>
      </c>
      <c r="K3202">
        <f>IFERROR(HLOOKUP(K$2,[97]table_female_hkom2_inj.ill_X2!$A$1:$K$36,2,FALSE),0)</f>
        <v>0</v>
      </c>
      <c r="L3202">
        <f>IFERROR(HLOOKUP(L$2,[97]table_female_hkom2_inj.ill_X2!$A$1:$K$36,2,FALSE),0)</f>
        <v>0</v>
      </c>
      <c r="M3202">
        <f>SUM(E3202:L3202)</f>
        <v>0</v>
      </c>
      <c r="P3202" t="s">
        <v>115</v>
      </c>
      <c r="Q3202" t="s">
        <v>116</v>
      </c>
      <c r="R3202" t="s">
        <v>124</v>
      </c>
      <c r="S3202" t="s">
        <v>70</v>
      </c>
      <c r="T3202" s="5">
        <f>IF(SUM(E$3202:E$3234)=0,E$3235/33,E3202+IFERROR(E3202/SUM(E$3202:E$3234)*E$3235,0))</f>
        <v>0</v>
      </c>
      <c r="U3202" s="5">
        <f t="shared" ref="U3202:AA3202" si="1000">IF(SUM(F$3202:F$3234)=0,F$3235/33,F3202+IFERROR(F3202/SUM(F$3202:F$3234)*F$3235,0))</f>
        <v>0</v>
      </c>
      <c r="V3202" s="5">
        <f t="shared" si="1000"/>
        <v>0</v>
      </c>
      <c r="W3202" s="5">
        <f t="shared" si="1000"/>
        <v>0</v>
      </c>
      <c r="X3202" s="5">
        <f t="shared" si="1000"/>
        <v>0</v>
      </c>
      <c r="Y3202" s="5">
        <f t="shared" si="1000"/>
        <v>0</v>
      </c>
      <c r="Z3202" s="5">
        <f t="shared" si="1000"/>
        <v>0</v>
      </c>
      <c r="AA3202" s="5">
        <f t="shared" si="1000"/>
        <v>0</v>
      </c>
      <c r="AB3202" s="5">
        <f t="shared" si="999"/>
        <v>0</v>
      </c>
    </row>
    <row r="3203" spans="1:29" x14ac:dyDescent="0.25">
      <c r="D3203" t="s">
        <v>71</v>
      </c>
      <c r="E3203" s="14"/>
      <c r="F3203" s="14"/>
      <c r="G3203">
        <f>IFERROR(HLOOKUP(G$2,[97]table_female_hkom2_inj.ill_X2!$A$1:$K$36,3,FALSE),0)</f>
        <v>0</v>
      </c>
      <c r="H3203">
        <f>IFERROR(HLOOKUP(H$2,[97]table_female_hkom2_inj.ill_X2!$A$1:$K$36,3,FALSE),0)</f>
        <v>0</v>
      </c>
      <c r="I3203">
        <f>IFERROR(HLOOKUP(I$2,[97]table_female_hkom2_inj.ill_X2!$A$1:$K$36,3,FALSE),0)</f>
        <v>0</v>
      </c>
      <c r="J3203">
        <f>IFERROR(HLOOKUP(J$2,[97]table_female_hkom2_inj.ill_X2!$A$1:$K$36,3,FALSE),0)</f>
        <v>0</v>
      </c>
      <c r="K3203">
        <f>IFERROR(HLOOKUP(K$2,[97]table_female_hkom2_inj.ill_X2!$A$1:$K$36,3,FALSE),0)</f>
        <v>0</v>
      </c>
      <c r="L3203">
        <f>IFERROR(HLOOKUP(L$2,[97]table_female_hkom2_inj.ill_X2!$A$1:$K$36,3,FALSE),0)</f>
        <v>0</v>
      </c>
      <c r="M3203">
        <f t="shared" ref="M3203:M3235" si="1001">SUM(E3203:L3203)</f>
        <v>0</v>
      </c>
      <c r="S3203" t="s">
        <v>71</v>
      </c>
      <c r="T3203" s="5">
        <f t="shared" ref="T3203:T3234" si="1002">IF(SUM(E$3202:E$3234)=0,E$3235/33,E3203+IFERROR(E3203/SUM(E$3202:E$3234)*E$3235,0))</f>
        <v>0</v>
      </c>
      <c r="U3203" s="5">
        <f t="shared" ref="U3203:U3234" si="1003">IF(SUM(F$3202:F$3234)=0,F$3235/33,F3203+IFERROR(F3203/SUM(F$3202:F$3234)*F$3235,0))</f>
        <v>0</v>
      </c>
      <c r="V3203" s="5">
        <f t="shared" ref="V3203:V3234" si="1004">IF(SUM(G$3202:G$3234)=0,G$3235/33,G3203+IFERROR(G3203/SUM(G$3202:G$3234)*G$3235,0))</f>
        <v>0</v>
      </c>
      <c r="W3203" s="5">
        <f t="shared" ref="W3203:W3234" si="1005">IF(SUM(H$3202:H$3234)=0,H$3235/33,H3203+IFERROR(H3203/SUM(H$3202:H$3234)*H$3235,0))</f>
        <v>0</v>
      </c>
      <c r="X3203" s="5">
        <f t="shared" ref="X3203:X3234" si="1006">IF(SUM(I$3202:I$3234)=0,I$3235/33,I3203+IFERROR(I3203/SUM(I$3202:I$3234)*I$3235,0))</f>
        <v>0</v>
      </c>
      <c r="Y3203" s="5">
        <f t="shared" ref="Y3203:Y3234" si="1007">IF(SUM(J$3202:J$3234)=0,J$3235/33,J3203+IFERROR(J3203/SUM(J$3202:J$3234)*J$3235,0))</f>
        <v>0</v>
      </c>
      <c r="Z3203" s="5">
        <f t="shared" ref="Z3203:Z3234" si="1008">IF(SUM(K$3202:K$3234)=0,K$3235/33,K3203+IFERROR(K3203/SUM(K$3202:K$3234)*K$3235,0))</f>
        <v>0</v>
      </c>
      <c r="AA3203" s="5">
        <f t="shared" ref="AA3203:AA3234" si="1009">IF(SUM(L$3202:L$3234)=0,L$3235/33,L3203+IFERROR(L3203/SUM(L$3202:L$3234)*L$3235,0))</f>
        <v>0</v>
      </c>
      <c r="AB3203" s="5">
        <f t="shared" si="999"/>
        <v>0</v>
      </c>
    </row>
    <row r="3204" spans="1:29" x14ac:dyDescent="0.25">
      <c r="D3204" t="s">
        <v>72</v>
      </c>
      <c r="E3204" s="14"/>
      <c r="F3204" s="14"/>
      <c r="G3204">
        <f>IFERROR(HLOOKUP(G$2,[97]table_female_hkom2_inj.ill_X2!$A$1:$K$36,4,FALSE),0)</f>
        <v>0</v>
      </c>
      <c r="H3204">
        <f>IFERROR(HLOOKUP(H$2,[97]table_female_hkom2_inj.ill_X2!$A$1:$K$36,4,FALSE),0)</f>
        <v>0</v>
      </c>
      <c r="I3204">
        <f>IFERROR(HLOOKUP(I$2,[97]table_female_hkom2_inj.ill_X2!$A$1:$K$36,4,FALSE),0)</f>
        <v>0</v>
      </c>
      <c r="J3204">
        <f>IFERROR(HLOOKUP(J$2,[97]table_female_hkom2_inj.ill_X2!$A$1:$K$36,4,FALSE),0)</f>
        <v>0</v>
      </c>
      <c r="K3204">
        <f>IFERROR(HLOOKUP(K$2,[97]table_female_hkom2_inj.ill_X2!$A$1:$K$36,4,FALSE),0)</f>
        <v>0</v>
      </c>
      <c r="L3204">
        <f>IFERROR(HLOOKUP(L$2,[97]table_female_hkom2_inj.ill_X2!$A$1:$K$36,4,FALSE),0)</f>
        <v>0</v>
      </c>
      <c r="M3204">
        <f t="shared" si="1001"/>
        <v>0</v>
      </c>
      <c r="S3204" t="s">
        <v>72</v>
      </c>
      <c r="T3204" s="5">
        <f t="shared" si="1002"/>
        <v>0</v>
      </c>
      <c r="U3204" s="5">
        <f t="shared" si="1003"/>
        <v>0</v>
      </c>
      <c r="V3204" s="5">
        <f t="shared" si="1004"/>
        <v>0</v>
      </c>
      <c r="W3204" s="5">
        <f t="shared" si="1005"/>
        <v>0</v>
      </c>
      <c r="X3204" s="5">
        <f t="shared" si="1006"/>
        <v>0</v>
      </c>
      <c r="Y3204" s="5">
        <f t="shared" si="1007"/>
        <v>0</v>
      </c>
      <c r="Z3204" s="5">
        <f t="shared" si="1008"/>
        <v>0</v>
      </c>
      <c r="AA3204" s="5">
        <f t="shared" si="1009"/>
        <v>0</v>
      </c>
      <c r="AB3204" s="5">
        <f t="shared" si="999"/>
        <v>0</v>
      </c>
    </row>
    <row r="3205" spans="1:29" x14ac:dyDescent="0.25">
      <c r="D3205" t="s">
        <v>73</v>
      </c>
      <c r="E3205" s="14"/>
      <c r="F3205" s="14"/>
      <c r="G3205">
        <f>IFERROR(HLOOKUP(G$2,[97]table_female_hkom2_inj.ill_X2!$A$1:$K$36,5,FALSE),0)</f>
        <v>0</v>
      </c>
      <c r="H3205">
        <f>IFERROR(HLOOKUP(H$2,[97]table_female_hkom2_inj.ill_X2!$A$1:$K$36,5,FALSE),0)</f>
        <v>0</v>
      </c>
      <c r="I3205">
        <f>IFERROR(HLOOKUP(I$2,[97]table_female_hkom2_inj.ill_X2!$A$1:$K$36,5,FALSE),0)</f>
        <v>0</v>
      </c>
      <c r="J3205">
        <f>IFERROR(HLOOKUP(J$2,[97]table_female_hkom2_inj.ill_X2!$A$1:$K$36,5,FALSE),0)</f>
        <v>0</v>
      </c>
      <c r="K3205">
        <f>IFERROR(HLOOKUP(K$2,[97]table_female_hkom2_inj.ill_X2!$A$1:$K$36,5,FALSE),0)</f>
        <v>0</v>
      </c>
      <c r="L3205">
        <f>IFERROR(HLOOKUP(L$2,[97]table_female_hkom2_inj.ill_X2!$A$1:$K$36,5,FALSE),0)</f>
        <v>0</v>
      </c>
      <c r="M3205">
        <f t="shared" si="1001"/>
        <v>0</v>
      </c>
      <c r="S3205" t="s">
        <v>73</v>
      </c>
      <c r="T3205" s="5">
        <f t="shared" si="1002"/>
        <v>0</v>
      </c>
      <c r="U3205" s="5">
        <f t="shared" si="1003"/>
        <v>0</v>
      </c>
      <c r="V3205" s="5">
        <f t="shared" si="1004"/>
        <v>0</v>
      </c>
      <c r="W3205" s="5">
        <f t="shared" si="1005"/>
        <v>0</v>
      </c>
      <c r="X3205" s="5">
        <f t="shared" si="1006"/>
        <v>0</v>
      </c>
      <c r="Y3205" s="5">
        <f t="shared" si="1007"/>
        <v>0</v>
      </c>
      <c r="Z3205" s="5">
        <f t="shared" si="1008"/>
        <v>0</v>
      </c>
      <c r="AA3205" s="5">
        <f t="shared" si="1009"/>
        <v>0</v>
      </c>
      <c r="AB3205" s="5">
        <f t="shared" si="999"/>
        <v>0</v>
      </c>
    </row>
    <row r="3206" spans="1:29" x14ac:dyDescent="0.25">
      <c r="D3206" t="s">
        <v>74</v>
      </c>
      <c r="E3206" s="14"/>
      <c r="F3206" s="14"/>
      <c r="G3206">
        <f>IFERROR(HLOOKUP(G$2,[97]table_female_hkom2_inj.ill_X2!$A$1:$K$36,6,FALSE),0)</f>
        <v>0</v>
      </c>
      <c r="H3206">
        <f>IFERROR(HLOOKUP(H$2,[97]table_female_hkom2_inj.ill_X2!$A$1:$K$36,6,FALSE),0)</f>
        <v>0</v>
      </c>
      <c r="I3206">
        <f>IFERROR(HLOOKUP(I$2,[97]table_female_hkom2_inj.ill_X2!$A$1:$K$36,6,FALSE),0)</f>
        <v>0</v>
      </c>
      <c r="J3206">
        <f>IFERROR(HLOOKUP(J$2,[97]table_female_hkom2_inj.ill_X2!$A$1:$K$36,6,FALSE),0)</f>
        <v>0</v>
      </c>
      <c r="K3206">
        <f>IFERROR(HLOOKUP(K$2,[97]table_female_hkom2_inj.ill_X2!$A$1:$K$36,6,FALSE),0)</f>
        <v>0</v>
      </c>
      <c r="L3206">
        <f>IFERROR(HLOOKUP(L$2,[97]table_female_hkom2_inj.ill_X2!$A$1:$K$36,6,FALSE),0)</f>
        <v>0</v>
      </c>
      <c r="M3206">
        <f t="shared" si="1001"/>
        <v>0</v>
      </c>
      <c r="S3206" t="s">
        <v>74</v>
      </c>
      <c r="T3206" s="5">
        <f t="shared" si="1002"/>
        <v>0</v>
      </c>
      <c r="U3206" s="5">
        <f t="shared" si="1003"/>
        <v>0</v>
      </c>
      <c r="V3206" s="5">
        <f t="shared" si="1004"/>
        <v>0</v>
      </c>
      <c r="W3206" s="5">
        <f t="shared" si="1005"/>
        <v>0</v>
      </c>
      <c r="X3206" s="5">
        <f t="shared" si="1006"/>
        <v>0</v>
      </c>
      <c r="Y3206" s="5">
        <f t="shared" si="1007"/>
        <v>0</v>
      </c>
      <c r="Z3206" s="5">
        <f t="shared" si="1008"/>
        <v>0</v>
      </c>
      <c r="AA3206" s="5">
        <f t="shared" si="1009"/>
        <v>0</v>
      </c>
      <c r="AB3206" s="5">
        <f t="shared" si="999"/>
        <v>0</v>
      </c>
    </row>
    <row r="3207" spans="1:29" x14ac:dyDescent="0.25">
      <c r="D3207" t="s">
        <v>75</v>
      </c>
      <c r="E3207" s="14"/>
      <c r="F3207" s="14"/>
      <c r="G3207">
        <f>IFERROR(HLOOKUP(G$2,[97]table_female_hkom2_inj.ill_X2!$A$1:$K$36,7,FALSE),0)</f>
        <v>0</v>
      </c>
      <c r="H3207">
        <f>IFERROR(HLOOKUP(H$2,[97]table_female_hkom2_inj.ill_X2!$A$1:$K$36,7,FALSE),0)</f>
        <v>0</v>
      </c>
      <c r="I3207">
        <f>IFERROR(HLOOKUP(I$2,[97]table_female_hkom2_inj.ill_X2!$A$1:$K$36,7,FALSE),0)</f>
        <v>0</v>
      </c>
      <c r="J3207">
        <f>IFERROR(HLOOKUP(J$2,[97]table_female_hkom2_inj.ill_X2!$A$1:$K$36,7,FALSE),0)</f>
        <v>0</v>
      </c>
      <c r="K3207">
        <f>IFERROR(HLOOKUP(K$2,[97]table_female_hkom2_inj.ill_X2!$A$1:$K$36,7,FALSE),0)</f>
        <v>0</v>
      </c>
      <c r="L3207">
        <f>IFERROR(HLOOKUP(L$2,[97]table_female_hkom2_inj.ill_X2!$A$1:$K$36,7,FALSE),0)</f>
        <v>0</v>
      </c>
      <c r="M3207">
        <f t="shared" si="1001"/>
        <v>0</v>
      </c>
      <c r="S3207" t="s">
        <v>75</v>
      </c>
      <c r="T3207" s="5">
        <f t="shared" si="1002"/>
        <v>0</v>
      </c>
      <c r="U3207" s="5">
        <f t="shared" si="1003"/>
        <v>0</v>
      </c>
      <c r="V3207" s="5">
        <f t="shared" si="1004"/>
        <v>0</v>
      </c>
      <c r="W3207" s="5">
        <f t="shared" si="1005"/>
        <v>0</v>
      </c>
      <c r="X3207" s="5">
        <f t="shared" si="1006"/>
        <v>0</v>
      </c>
      <c r="Y3207" s="5">
        <f t="shared" si="1007"/>
        <v>0</v>
      </c>
      <c r="Z3207" s="5">
        <f t="shared" si="1008"/>
        <v>0</v>
      </c>
      <c r="AA3207" s="5">
        <f t="shared" si="1009"/>
        <v>0</v>
      </c>
      <c r="AB3207" s="5">
        <f t="shared" si="999"/>
        <v>0</v>
      </c>
    </row>
    <row r="3208" spans="1:29" x14ac:dyDescent="0.25">
      <c r="D3208" t="s">
        <v>76</v>
      </c>
      <c r="E3208" s="14"/>
      <c r="F3208" s="14"/>
      <c r="G3208">
        <f>IFERROR(HLOOKUP(G$2,[97]table_female_hkom2_inj.ill_X2!$A$1:$K$36,8,FALSE),0)</f>
        <v>0</v>
      </c>
      <c r="H3208">
        <f>IFERROR(HLOOKUP(H$2,[97]table_female_hkom2_inj.ill_X2!$A$1:$K$36,8,FALSE),0)</f>
        <v>0</v>
      </c>
      <c r="I3208">
        <f>IFERROR(HLOOKUP(I$2,[97]table_female_hkom2_inj.ill_X2!$A$1:$K$36,8,FALSE),0)</f>
        <v>0</v>
      </c>
      <c r="J3208">
        <f>IFERROR(HLOOKUP(J$2,[97]table_female_hkom2_inj.ill_X2!$A$1:$K$36,8,FALSE),0)</f>
        <v>0</v>
      </c>
      <c r="K3208">
        <f>IFERROR(HLOOKUP(K$2,[97]table_female_hkom2_inj.ill_X2!$A$1:$K$36,8,FALSE),0)</f>
        <v>0</v>
      </c>
      <c r="L3208">
        <f>IFERROR(HLOOKUP(L$2,[97]table_female_hkom2_inj.ill_X2!$A$1:$K$36,8,FALSE),0)</f>
        <v>0</v>
      </c>
      <c r="M3208">
        <f t="shared" si="1001"/>
        <v>0</v>
      </c>
      <c r="S3208" t="s">
        <v>76</v>
      </c>
      <c r="T3208" s="5">
        <f t="shared" si="1002"/>
        <v>0</v>
      </c>
      <c r="U3208" s="5">
        <f t="shared" si="1003"/>
        <v>0</v>
      </c>
      <c r="V3208" s="5">
        <f t="shared" si="1004"/>
        <v>0</v>
      </c>
      <c r="W3208" s="5">
        <f t="shared" si="1005"/>
        <v>0</v>
      </c>
      <c r="X3208" s="5">
        <f t="shared" si="1006"/>
        <v>0</v>
      </c>
      <c r="Y3208" s="5">
        <f t="shared" si="1007"/>
        <v>0</v>
      </c>
      <c r="Z3208" s="5">
        <f t="shared" si="1008"/>
        <v>0</v>
      </c>
      <c r="AA3208" s="5">
        <f t="shared" si="1009"/>
        <v>0</v>
      </c>
      <c r="AB3208" s="5">
        <f t="shared" si="999"/>
        <v>0</v>
      </c>
    </row>
    <row r="3209" spans="1:29" x14ac:dyDescent="0.25">
      <c r="D3209" t="s">
        <v>77</v>
      </c>
      <c r="E3209" s="14"/>
      <c r="F3209" s="14"/>
      <c r="G3209">
        <f>IFERROR(HLOOKUP(G$2,[97]table_female_hkom2_inj.ill_X2!$A$1:$K$36,9,FALSE),0)</f>
        <v>0</v>
      </c>
      <c r="H3209">
        <f>IFERROR(HLOOKUP(H$2,[97]table_female_hkom2_inj.ill_X2!$A$1:$K$36,9,FALSE),0)</f>
        <v>0</v>
      </c>
      <c r="I3209">
        <f>IFERROR(HLOOKUP(I$2,[97]table_female_hkom2_inj.ill_X2!$A$1:$K$36,9,FALSE),0)</f>
        <v>0</v>
      </c>
      <c r="J3209">
        <f>IFERROR(HLOOKUP(J$2,[97]table_female_hkom2_inj.ill_X2!$A$1:$K$36,9,FALSE),0)</f>
        <v>0</v>
      </c>
      <c r="K3209">
        <f>IFERROR(HLOOKUP(K$2,[97]table_female_hkom2_inj.ill_X2!$A$1:$K$36,9,FALSE),0)</f>
        <v>0</v>
      </c>
      <c r="L3209">
        <f>IFERROR(HLOOKUP(L$2,[97]table_female_hkom2_inj.ill_X2!$A$1:$K$36,9,FALSE),0)</f>
        <v>0</v>
      </c>
      <c r="M3209">
        <f t="shared" si="1001"/>
        <v>0</v>
      </c>
      <c r="S3209" t="s">
        <v>77</v>
      </c>
      <c r="T3209" s="5">
        <f t="shared" si="1002"/>
        <v>0</v>
      </c>
      <c r="U3209" s="5">
        <f t="shared" si="1003"/>
        <v>0</v>
      </c>
      <c r="V3209" s="5">
        <f t="shared" si="1004"/>
        <v>0</v>
      </c>
      <c r="W3209" s="5">
        <f t="shared" si="1005"/>
        <v>0</v>
      </c>
      <c r="X3209" s="5">
        <f t="shared" si="1006"/>
        <v>0</v>
      </c>
      <c r="Y3209" s="5">
        <f t="shared" si="1007"/>
        <v>0</v>
      </c>
      <c r="Z3209" s="5">
        <f t="shared" si="1008"/>
        <v>0</v>
      </c>
      <c r="AA3209" s="5">
        <f t="shared" si="1009"/>
        <v>0</v>
      </c>
      <c r="AB3209" s="5">
        <f t="shared" si="999"/>
        <v>0</v>
      </c>
    </row>
    <row r="3210" spans="1:29" x14ac:dyDescent="0.25">
      <c r="D3210" t="s">
        <v>78</v>
      </c>
      <c r="E3210" s="14"/>
      <c r="F3210" s="14"/>
      <c r="G3210">
        <f>IFERROR(HLOOKUP(G$2,[97]table_female_hkom2_inj.ill_X2!$A$1:$K$36,10,FALSE),0)</f>
        <v>0</v>
      </c>
      <c r="H3210">
        <f>IFERROR(HLOOKUP(H$2,[97]table_female_hkom2_inj.ill_X2!$A$1:$K$36,10,FALSE),0)</f>
        <v>0</v>
      </c>
      <c r="I3210">
        <f>IFERROR(HLOOKUP(I$2,[97]table_female_hkom2_inj.ill_X2!$A$1:$K$36,10,FALSE),0)</f>
        <v>0</v>
      </c>
      <c r="J3210">
        <f>IFERROR(HLOOKUP(J$2,[97]table_female_hkom2_inj.ill_X2!$A$1:$K$36,10,FALSE),0)</f>
        <v>0</v>
      </c>
      <c r="K3210">
        <f>IFERROR(HLOOKUP(K$2,[97]table_female_hkom2_inj.ill_X2!$A$1:$K$36,10,FALSE),0)</f>
        <v>0</v>
      </c>
      <c r="L3210">
        <f>IFERROR(HLOOKUP(L$2,[97]table_female_hkom2_inj.ill_X2!$A$1:$K$36,10,FALSE),0)</f>
        <v>0</v>
      </c>
      <c r="M3210">
        <f t="shared" si="1001"/>
        <v>0</v>
      </c>
      <c r="S3210" t="s">
        <v>78</v>
      </c>
      <c r="T3210" s="5">
        <f t="shared" si="1002"/>
        <v>0</v>
      </c>
      <c r="U3210" s="5">
        <f t="shared" si="1003"/>
        <v>0</v>
      </c>
      <c r="V3210" s="5">
        <f t="shared" si="1004"/>
        <v>0</v>
      </c>
      <c r="W3210" s="5">
        <f t="shared" si="1005"/>
        <v>0</v>
      </c>
      <c r="X3210" s="5">
        <f t="shared" si="1006"/>
        <v>0</v>
      </c>
      <c r="Y3210" s="5">
        <f t="shared" si="1007"/>
        <v>0</v>
      </c>
      <c r="Z3210" s="5">
        <f t="shared" si="1008"/>
        <v>0</v>
      </c>
      <c r="AA3210" s="5">
        <f t="shared" si="1009"/>
        <v>0</v>
      </c>
      <c r="AB3210" s="5">
        <f t="shared" si="999"/>
        <v>0</v>
      </c>
    </row>
    <row r="3211" spans="1:29" x14ac:dyDescent="0.25">
      <c r="D3211" t="s">
        <v>79</v>
      </c>
      <c r="E3211" s="14"/>
      <c r="F3211" s="14"/>
      <c r="G3211">
        <f>IFERROR(HLOOKUP(G$2,[97]table_female_hkom2_inj.ill_X2!$A$1:$K$36,11,FALSE),0)</f>
        <v>0</v>
      </c>
      <c r="H3211">
        <f>IFERROR(HLOOKUP(H$2,[97]table_female_hkom2_inj.ill_X2!$A$1:$K$36,11,FALSE),0)</f>
        <v>0</v>
      </c>
      <c r="I3211">
        <f>IFERROR(HLOOKUP(I$2,[97]table_female_hkom2_inj.ill_X2!$A$1:$K$36,11,FALSE),0)</f>
        <v>0</v>
      </c>
      <c r="J3211">
        <f>IFERROR(HLOOKUP(J$2,[97]table_female_hkom2_inj.ill_X2!$A$1:$K$36,11,FALSE),0)</f>
        <v>0</v>
      </c>
      <c r="K3211">
        <f>IFERROR(HLOOKUP(K$2,[97]table_female_hkom2_inj.ill_X2!$A$1:$K$36,11,FALSE),0)</f>
        <v>0</v>
      </c>
      <c r="L3211">
        <f>IFERROR(HLOOKUP(L$2,[97]table_female_hkom2_inj.ill_X2!$A$1:$K$36,11,FALSE),0)</f>
        <v>0</v>
      </c>
      <c r="M3211">
        <f t="shared" si="1001"/>
        <v>0</v>
      </c>
      <c r="S3211" t="s">
        <v>79</v>
      </c>
      <c r="T3211" s="5">
        <f t="shared" si="1002"/>
        <v>0</v>
      </c>
      <c r="U3211" s="5">
        <f t="shared" si="1003"/>
        <v>0</v>
      </c>
      <c r="V3211" s="5">
        <f t="shared" si="1004"/>
        <v>0</v>
      </c>
      <c r="W3211" s="5">
        <f t="shared" si="1005"/>
        <v>0</v>
      </c>
      <c r="X3211" s="5">
        <f t="shared" si="1006"/>
        <v>0</v>
      </c>
      <c r="Y3211" s="5">
        <f t="shared" si="1007"/>
        <v>0</v>
      </c>
      <c r="Z3211" s="5">
        <f t="shared" si="1008"/>
        <v>0</v>
      </c>
      <c r="AA3211" s="5">
        <f t="shared" si="1009"/>
        <v>0</v>
      </c>
      <c r="AB3211" s="5">
        <f t="shared" si="999"/>
        <v>0</v>
      </c>
    </row>
    <row r="3212" spans="1:29" x14ac:dyDescent="0.25">
      <c r="D3212" t="s">
        <v>80</v>
      </c>
      <c r="E3212" s="14"/>
      <c r="F3212" s="14"/>
      <c r="G3212">
        <f>IFERROR(HLOOKUP(G$2,[97]table_female_hkom2_inj.ill_X2!$A$1:$K$36,12,FALSE),0)</f>
        <v>0</v>
      </c>
      <c r="H3212">
        <f>IFERROR(HLOOKUP(H$2,[97]table_female_hkom2_inj.ill_X2!$A$1:$K$36,12,FALSE),0)</f>
        <v>0</v>
      </c>
      <c r="I3212">
        <f>IFERROR(HLOOKUP(I$2,[97]table_female_hkom2_inj.ill_X2!$A$1:$K$36,12,FALSE),0)</f>
        <v>0</v>
      </c>
      <c r="J3212">
        <f>IFERROR(HLOOKUP(J$2,[97]table_female_hkom2_inj.ill_X2!$A$1:$K$36,12,FALSE),0)</f>
        <v>0</v>
      </c>
      <c r="K3212">
        <f>IFERROR(HLOOKUP(K$2,[97]table_female_hkom2_inj.ill_X2!$A$1:$K$36,12,FALSE),0)</f>
        <v>0</v>
      </c>
      <c r="L3212">
        <f>IFERROR(HLOOKUP(L$2,[97]table_female_hkom2_inj.ill_X2!$A$1:$K$36,12,FALSE),0)</f>
        <v>0</v>
      </c>
      <c r="M3212">
        <f t="shared" si="1001"/>
        <v>0</v>
      </c>
      <c r="S3212" t="s">
        <v>80</v>
      </c>
      <c r="T3212" s="5">
        <f t="shared" si="1002"/>
        <v>0</v>
      </c>
      <c r="U3212" s="5">
        <f t="shared" si="1003"/>
        <v>0</v>
      </c>
      <c r="V3212" s="5">
        <f t="shared" si="1004"/>
        <v>0</v>
      </c>
      <c r="W3212" s="5">
        <f t="shared" si="1005"/>
        <v>0</v>
      </c>
      <c r="X3212" s="5">
        <f t="shared" si="1006"/>
        <v>0</v>
      </c>
      <c r="Y3212" s="5">
        <f t="shared" si="1007"/>
        <v>0</v>
      </c>
      <c r="Z3212" s="5">
        <f t="shared" si="1008"/>
        <v>0</v>
      </c>
      <c r="AA3212" s="5">
        <f t="shared" si="1009"/>
        <v>0</v>
      </c>
      <c r="AB3212" s="5">
        <f t="shared" si="999"/>
        <v>0</v>
      </c>
    </row>
    <row r="3213" spans="1:29" x14ac:dyDescent="0.25">
      <c r="D3213" t="s">
        <v>81</v>
      </c>
      <c r="E3213" s="14"/>
      <c r="F3213" s="14"/>
      <c r="G3213">
        <f>IFERROR(HLOOKUP(G$2,[97]table_female_hkom2_inj.ill_X2!$A$1:$K$36,13,FALSE),0)</f>
        <v>0</v>
      </c>
      <c r="H3213">
        <f>IFERROR(HLOOKUP(H$2,[97]table_female_hkom2_inj.ill_X2!$A$1:$K$36,13,FALSE),0)</f>
        <v>0</v>
      </c>
      <c r="I3213">
        <f>IFERROR(HLOOKUP(I$2,[97]table_female_hkom2_inj.ill_X2!$A$1:$K$36,13,FALSE),0)</f>
        <v>0</v>
      </c>
      <c r="J3213">
        <f>IFERROR(HLOOKUP(J$2,[97]table_female_hkom2_inj.ill_X2!$A$1:$K$36,13,FALSE),0)</f>
        <v>0</v>
      </c>
      <c r="K3213">
        <f>IFERROR(HLOOKUP(K$2,[97]table_female_hkom2_inj.ill_X2!$A$1:$K$36,13,FALSE),0)</f>
        <v>0</v>
      </c>
      <c r="L3213">
        <f>IFERROR(HLOOKUP(L$2,[97]table_female_hkom2_inj.ill_X2!$A$1:$K$36,13,FALSE),0)</f>
        <v>0</v>
      </c>
      <c r="M3213">
        <f t="shared" si="1001"/>
        <v>0</v>
      </c>
      <c r="S3213" t="s">
        <v>81</v>
      </c>
      <c r="T3213" s="5">
        <f t="shared" si="1002"/>
        <v>0</v>
      </c>
      <c r="U3213" s="5">
        <f t="shared" si="1003"/>
        <v>0</v>
      </c>
      <c r="V3213" s="5">
        <f t="shared" si="1004"/>
        <v>0</v>
      </c>
      <c r="W3213" s="5">
        <f t="shared" si="1005"/>
        <v>0</v>
      </c>
      <c r="X3213" s="5">
        <f t="shared" si="1006"/>
        <v>0</v>
      </c>
      <c r="Y3213" s="5">
        <f t="shared" si="1007"/>
        <v>0</v>
      </c>
      <c r="Z3213" s="5">
        <f t="shared" si="1008"/>
        <v>0</v>
      </c>
      <c r="AA3213" s="5">
        <f t="shared" si="1009"/>
        <v>0</v>
      </c>
      <c r="AB3213" s="5">
        <f t="shared" si="999"/>
        <v>0</v>
      </c>
    </row>
    <row r="3214" spans="1:29" x14ac:dyDescent="0.25">
      <c r="D3214" t="s">
        <v>82</v>
      </c>
      <c r="E3214" s="14"/>
      <c r="F3214" s="14"/>
      <c r="G3214">
        <f>IFERROR(HLOOKUP(G$2,[97]table_female_hkom2_inj.ill_X2!$A$1:$K$36,14,FALSE),0)</f>
        <v>0</v>
      </c>
      <c r="H3214">
        <f>IFERROR(HLOOKUP(H$2,[97]table_female_hkom2_inj.ill_X2!$A$1:$K$36,14,FALSE),0)</f>
        <v>0</v>
      </c>
      <c r="I3214">
        <f>IFERROR(HLOOKUP(I$2,[97]table_female_hkom2_inj.ill_X2!$A$1:$K$36,14,FALSE),0)</f>
        <v>0</v>
      </c>
      <c r="J3214">
        <f>IFERROR(HLOOKUP(J$2,[97]table_female_hkom2_inj.ill_X2!$A$1:$K$36,14,FALSE),0)</f>
        <v>0</v>
      </c>
      <c r="K3214">
        <f>IFERROR(HLOOKUP(K$2,[97]table_female_hkom2_inj.ill_X2!$A$1:$K$36,14,FALSE),0)</f>
        <v>0</v>
      </c>
      <c r="L3214">
        <f>IFERROR(HLOOKUP(L$2,[97]table_female_hkom2_inj.ill_X2!$A$1:$K$36,14,FALSE),0)</f>
        <v>0</v>
      </c>
      <c r="M3214">
        <f t="shared" si="1001"/>
        <v>0</v>
      </c>
      <c r="S3214" t="s">
        <v>82</v>
      </c>
      <c r="T3214" s="5">
        <f t="shared" si="1002"/>
        <v>0</v>
      </c>
      <c r="U3214" s="5">
        <f t="shared" si="1003"/>
        <v>0</v>
      </c>
      <c r="V3214" s="5">
        <f t="shared" si="1004"/>
        <v>0</v>
      </c>
      <c r="W3214" s="5">
        <f t="shared" si="1005"/>
        <v>0</v>
      </c>
      <c r="X3214" s="5">
        <f t="shared" si="1006"/>
        <v>0</v>
      </c>
      <c r="Y3214" s="5">
        <f t="shared" si="1007"/>
        <v>0</v>
      </c>
      <c r="Z3214" s="5">
        <f t="shared" si="1008"/>
        <v>0</v>
      </c>
      <c r="AA3214" s="5">
        <f t="shared" si="1009"/>
        <v>0</v>
      </c>
      <c r="AB3214" s="5">
        <f t="shared" si="999"/>
        <v>0</v>
      </c>
    </row>
    <row r="3215" spans="1:29" x14ac:dyDescent="0.25">
      <c r="D3215" t="s">
        <v>83</v>
      </c>
      <c r="E3215" s="14"/>
      <c r="F3215" s="14"/>
      <c r="G3215">
        <f>IFERROR(HLOOKUP(G$2,[97]table_female_hkom2_inj.ill_X2!$A$1:$K$36,15,FALSE),0)</f>
        <v>0</v>
      </c>
      <c r="H3215">
        <f>IFERROR(HLOOKUP(H$2,[97]table_female_hkom2_inj.ill_X2!$A$1:$K$36,15,FALSE),0)</f>
        <v>0</v>
      </c>
      <c r="I3215">
        <f>IFERROR(HLOOKUP(I$2,[97]table_female_hkom2_inj.ill_X2!$A$1:$K$36,15,FALSE),0)</f>
        <v>0</v>
      </c>
      <c r="J3215">
        <f>IFERROR(HLOOKUP(J$2,[97]table_female_hkom2_inj.ill_X2!$A$1:$K$36,15,FALSE),0)</f>
        <v>0</v>
      </c>
      <c r="K3215">
        <f>IFERROR(HLOOKUP(K$2,[97]table_female_hkom2_inj.ill_X2!$A$1:$K$36,15,FALSE),0)</f>
        <v>0</v>
      </c>
      <c r="L3215">
        <f>IFERROR(HLOOKUP(L$2,[97]table_female_hkom2_inj.ill_X2!$A$1:$K$36,15,FALSE),0)</f>
        <v>0</v>
      </c>
      <c r="M3215">
        <f t="shared" si="1001"/>
        <v>0</v>
      </c>
      <c r="S3215" t="s">
        <v>83</v>
      </c>
      <c r="T3215" s="5">
        <f t="shared" si="1002"/>
        <v>0</v>
      </c>
      <c r="U3215" s="5">
        <f t="shared" si="1003"/>
        <v>0</v>
      </c>
      <c r="V3215" s="5">
        <f t="shared" si="1004"/>
        <v>0</v>
      </c>
      <c r="W3215" s="5">
        <f t="shared" si="1005"/>
        <v>0</v>
      </c>
      <c r="X3215" s="5">
        <f t="shared" si="1006"/>
        <v>0</v>
      </c>
      <c r="Y3215" s="5">
        <f t="shared" si="1007"/>
        <v>0</v>
      </c>
      <c r="Z3215" s="5">
        <f t="shared" si="1008"/>
        <v>0</v>
      </c>
      <c r="AA3215" s="5">
        <f t="shared" si="1009"/>
        <v>0</v>
      </c>
      <c r="AB3215" s="5">
        <f t="shared" si="999"/>
        <v>0</v>
      </c>
    </row>
    <row r="3216" spans="1:29" x14ac:dyDescent="0.25">
      <c r="D3216" t="s">
        <v>84</v>
      </c>
      <c r="E3216" s="14"/>
      <c r="F3216" s="14"/>
      <c r="G3216">
        <f>IFERROR(HLOOKUP(G$2,[97]table_female_hkom2_inj.ill_X2!$A$1:$K$36,16,FALSE),0)</f>
        <v>0</v>
      </c>
      <c r="H3216">
        <f>IFERROR(HLOOKUP(H$2,[97]table_female_hkom2_inj.ill_X2!$A$1:$K$36,16,FALSE),0)</f>
        <v>0</v>
      </c>
      <c r="I3216">
        <f>IFERROR(HLOOKUP(I$2,[97]table_female_hkom2_inj.ill_X2!$A$1:$K$36,16,FALSE),0)</f>
        <v>0</v>
      </c>
      <c r="J3216">
        <f>IFERROR(HLOOKUP(J$2,[97]table_female_hkom2_inj.ill_X2!$A$1:$K$36,16,FALSE),0)</f>
        <v>0</v>
      </c>
      <c r="K3216">
        <f>IFERROR(HLOOKUP(K$2,[97]table_female_hkom2_inj.ill_X2!$A$1:$K$36,16,FALSE),0)</f>
        <v>0</v>
      </c>
      <c r="L3216">
        <f>IFERROR(HLOOKUP(L$2,[97]table_female_hkom2_inj.ill_X2!$A$1:$K$36,16,FALSE),0)</f>
        <v>0</v>
      </c>
      <c r="M3216">
        <f t="shared" si="1001"/>
        <v>0</v>
      </c>
      <c r="S3216" t="s">
        <v>84</v>
      </c>
      <c r="T3216" s="5">
        <f t="shared" si="1002"/>
        <v>0</v>
      </c>
      <c r="U3216" s="5">
        <f t="shared" si="1003"/>
        <v>0</v>
      </c>
      <c r="V3216" s="5">
        <f t="shared" si="1004"/>
        <v>0</v>
      </c>
      <c r="W3216" s="5">
        <f t="shared" si="1005"/>
        <v>0</v>
      </c>
      <c r="X3216" s="5">
        <f t="shared" si="1006"/>
        <v>0</v>
      </c>
      <c r="Y3216" s="5">
        <f t="shared" si="1007"/>
        <v>0</v>
      </c>
      <c r="Z3216" s="5">
        <f t="shared" si="1008"/>
        <v>0</v>
      </c>
      <c r="AA3216" s="5">
        <f t="shared" si="1009"/>
        <v>0</v>
      </c>
      <c r="AB3216" s="5">
        <f t="shared" si="999"/>
        <v>0</v>
      </c>
    </row>
    <row r="3217" spans="4:28" x14ac:dyDescent="0.25">
      <c r="D3217" t="s">
        <v>85</v>
      </c>
      <c r="E3217" s="14"/>
      <c r="F3217" s="14"/>
      <c r="G3217">
        <f>IFERROR(HLOOKUP(G$2,[97]table_female_hkom2_inj.ill_X2!$A$1:$K$36,17,FALSE),0)</f>
        <v>0</v>
      </c>
      <c r="H3217">
        <f>IFERROR(HLOOKUP(H$2,[97]table_female_hkom2_inj.ill_X2!$A$1:$K$36,17,FALSE),0)</f>
        <v>0</v>
      </c>
      <c r="I3217">
        <f>IFERROR(HLOOKUP(I$2,[97]table_female_hkom2_inj.ill_X2!$A$1:$K$36,17,FALSE),0)</f>
        <v>0</v>
      </c>
      <c r="J3217">
        <f>IFERROR(HLOOKUP(J$2,[97]table_female_hkom2_inj.ill_X2!$A$1:$K$36,17,FALSE),0)</f>
        <v>0</v>
      </c>
      <c r="K3217">
        <f>IFERROR(HLOOKUP(K$2,[97]table_female_hkom2_inj.ill_X2!$A$1:$K$36,17,FALSE),0)</f>
        <v>0</v>
      </c>
      <c r="L3217">
        <f>IFERROR(HLOOKUP(L$2,[97]table_female_hkom2_inj.ill_X2!$A$1:$K$36,17,FALSE),0)</f>
        <v>0</v>
      </c>
      <c r="M3217">
        <f t="shared" si="1001"/>
        <v>0</v>
      </c>
      <c r="S3217" t="s">
        <v>85</v>
      </c>
      <c r="T3217" s="5">
        <f t="shared" si="1002"/>
        <v>0</v>
      </c>
      <c r="U3217" s="5">
        <f t="shared" si="1003"/>
        <v>0</v>
      </c>
      <c r="V3217" s="5">
        <f t="shared" si="1004"/>
        <v>0</v>
      </c>
      <c r="W3217" s="5">
        <f t="shared" si="1005"/>
        <v>0</v>
      </c>
      <c r="X3217" s="5">
        <f t="shared" si="1006"/>
        <v>0</v>
      </c>
      <c r="Y3217" s="5">
        <f t="shared" si="1007"/>
        <v>0</v>
      </c>
      <c r="Z3217" s="5">
        <f t="shared" si="1008"/>
        <v>0</v>
      </c>
      <c r="AA3217" s="5">
        <f t="shared" si="1009"/>
        <v>0</v>
      </c>
      <c r="AB3217" s="5">
        <f t="shared" si="999"/>
        <v>0</v>
      </c>
    </row>
    <row r="3218" spans="4:28" x14ac:dyDescent="0.25">
      <c r="D3218" t="s">
        <v>86</v>
      </c>
      <c r="E3218" s="14"/>
      <c r="F3218" s="14"/>
      <c r="G3218">
        <f>IFERROR(HLOOKUP(G$2,[97]table_female_hkom2_inj.ill_X2!$A$1:$K$36,18,FALSE),0)</f>
        <v>0</v>
      </c>
      <c r="H3218">
        <f>IFERROR(HLOOKUP(H$2,[97]table_female_hkom2_inj.ill_X2!$A$1:$K$36,18,FALSE),0)</f>
        <v>0</v>
      </c>
      <c r="I3218">
        <f>IFERROR(HLOOKUP(I$2,[97]table_female_hkom2_inj.ill_X2!$A$1:$K$36,18,FALSE),0)</f>
        <v>0</v>
      </c>
      <c r="J3218">
        <f>IFERROR(HLOOKUP(J$2,[97]table_female_hkom2_inj.ill_X2!$A$1:$K$36,18,FALSE),0)</f>
        <v>0</v>
      </c>
      <c r="K3218">
        <f>IFERROR(HLOOKUP(K$2,[97]table_female_hkom2_inj.ill_X2!$A$1:$K$36,18,FALSE),0)</f>
        <v>0</v>
      </c>
      <c r="L3218">
        <f>IFERROR(HLOOKUP(L$2,[97]table_female_hkom2_inj.ill_X2!$A$1:$K$36,18,FALSE),0)</f>
        <v>0</v>
      </c>
      <c r="M3218">
        <f t="shared" si="1001"/>
        <v>0</v>
      </c>
      <c r="S3218" t="s">
        <v>86</v>
      </c>
      <c r="T3218" s="5">
        <f t="shared" si="1002"/>
        <v>0</v>
      </c>
      <c r="U3218" s="5">
        <f t="shared" si="1003"/>
        <v>0</v>
      </c>
      <c r="V3218" s="5">
        <f t="shared" si="1004"/>
        <v>0</v>
      </c>
      <c r="W3218" s="5">
        <f t="shared" si="1005"/>
        <v>0</v>
      </c>
      <c r="X3218" s="5">
        <f t="shared" si="1006"/>
        <v>0</v>
      </c>
      <c r="Y3218" s="5">
        <f t="shared" si="1007"/>
        <v>0</v>
      </c>
      <c r="Z3218" s="5">
        <f t="shared" si="1008"/>
        <v>0</v>
      </c>
      <c r="AA3218" s="5">
        <f t="shared" si="1009"/>
        <v>0</v>
      </c>
      <c r="AB3218" s="5">
        <f t="shared" si="999"/>
        <v>0</v>
      </c>
    </row>
    <row r="3219" spans="4:28" x14ac:dyDescent="0.25">
      <c r="D3219" t="s">
        <v>87</v>
      </c>
      <c r="E3219" s="14"/>
      <c r="F3219" s="14"/>
      <c r="G3219">
        <f>IFERROR(HLOOKUP(G$2,[97]table_female_hkom2_inj.ill_X2!$A$1:$K$36,19,FALSE),0)</f>
        <v>0</v>
      </c>
      <c r="H3219">
        <f>IFERROR(HLOOKUP(H$2,[97]table_female_hkom2_inj.ill_X2!$A$1:$K$36,19,FALSE),0)</f>
        <v>0</v>
      </c>
      <c r="I3219">
        <f>IFERROR(HLOOKUP(I$2,[97]table_female_hkom2_inj.ill_X2!$A$1:$K$36,19,FALSE),0)</f>
        <v>0</v>
      </c>
      <c r="J3219">
        <f>IFERROR(HLOOKUP(J$2,[97]table_female_hkom2_inj.ill_X2!$A$1:$K$36,19,FALSE),0)</f>
        <v>0</v>
      </c>
      <c r="K3219">
        <f>IFERROR(HLOOKUP(K$2,[97]table_female_hkom2_inj.ill_X2!$A$1:$K$36,19,FALSE),0)</f>
        <v>0</v>
      </c>
      <c r="L3219">
        <f>IFERROR(HLOOKUP(L$2,[97]table_female_hkom2_inj.ill_X2!$A$1:$K$36,19,FALSE),0)</f>
        <v>0</v>
      </c>
      <c r="M3219">
        <f t="shared" si="1001"/>
        <v>0</v>
      </c>
      <c r="S3219" t="s">
        <v>87</v>
      </c>
      <c r="T3219" s="5">
        <f t="shared" si="1002"/>
        <v>0</v>
      </c>
      <c r="U3219" s="5">
        <f t="shared" si="1003"/>
        <v>0</v>
      </c>
      <c r="V3219" s="5">
        <f t="shared" si="1004"/>
        <v>0</v>
      </c>
      <c r="W3219" s="5">
        <f t="shared" si="1005"/>
        <v>0</v>
      </c>
      <c r="X3219" s="5">
        <f t="shared" si="1006"/>
        <v>0</v>
      </c>
      <c r="Y3219" s="5">
        <f t="shared" si="1007"/>
        <v>0</v>
      </c>
      <c r="Z3219" s="5">
        <f t="shared" si="1008"/>
        <v>0</v>
      </c>
      <c r="AA3219" s="5">
        <f t="shared" si="1009"/>
        <v>0</v>
      </c>
      <c r="AB3219" s="5">
        <f t="shared" si="999"/>
        <v>0</v>
      </c>
    </row>
    <row r="3220" spans="4:28" x14ac:dyDescent="0.25">
      <c r="D3220" t="s">
        <v>88</v>
      </c>
      <c r="E3220" s="14"/>
      <c r="F3220" s="14"/>
      <c r="G3220">
        <f>IFERROR(HLOOKUP(G$2,[97]table_female_hkom2_inj.ill_X2!$A$1:$K$36,20,FALSE),0)</f>
        <v>0</v>
      </c>
      <c r="H3220">
        <f>IFERROR(HLOOKUP(H$2,[97]table_female_hkom2_inj.ill_X2!$A$1:$K$36,20,FALSE),0)</f>
        <v>0</v>
      </c>
      <c r="I3220">
        <f>IFERROR(HLOOKUP(I$2,[97]table_female_hkom2_inj.ill_X2!$A$1:$K$36,20,FALSE),0)</f>
        <v>0</v>
      </c>
      <c r="J3220">
        <f>IFERROR(HLOOKUP(J$2,[97]table_female_hkom2_inj.ill_X2!$A$1:$K$36,20,FALSE),0)</f>
        <v>0</v>
      </c>
      <c r="K3220">
        <f>IFERROR(HLOOKUP(K$2,[97]table_female_hkom2_inj.ill_X2!$A$1:$K$36,20,FALSE),0)</f>
        <v>0</v>
      </c>
      <c r="L3220">
        <f>IFERROR(HLOOKUP(L$2,[97]table_female_hkom2_inj.ill_X2!$A$1:$K$36,20,FALSE),0)</f>
        <v>0</v>
      </c>
      <c r="M3220">
        <f t="shared" si="1001"/>
        <v>0</v>
      </c>
      <c r="S3220" t="s">
        <v>88</v>
      </c>
      <c r="T3220" s="5">
        <f t="shared" si="1002"/>
        <v>0</v>
      </c>
      <c r="U3220" s="5">
        <f t="shared" si="1003"/>
        <v>0</v>
      </c>
      <c r="V3220" s="5">
        <f t="shared" si="1004"/>
        <v>0</v>
      </c>
      <c r="W3220" s="5">
        <f t="shared" si="1005"/>
        <v>0</v>
      </c>
      <c r="X3220" s="5">
        <f t="shared" si="1006"/>
        <v>0</v>
      </c>
      <c r="Y3220" s="5">
        <f t="shared" si="1007"/>
        <v>0</v>
      </c>
      <c r="Z3220" s="5">
        <f t="shared" si="1008"/>
        <v>0</v>
      </c>
      <c r="AA3220" s="5">
        <f t="shared" si="1009"/>
        <v>0</v>
      </c>
      <c r="AB3220" s="5">
        <f t="shared" si="999"/>
        <v>0</v>
      </c>
    </row>
    <row r="3221" spans="4:28" x14ac:dyDescent="0.25">
      <c r="D3221" t="s">
        <v>89</v>
      </c>
      <c r="E3221" s="14"/>
      <c r="F3221" s="14"/>
      <c r="G3221">
        <f>IFERROR(HLOOKUP(G$2,[97]table_female_hkom2_inj.ill_X2!$A$1:$K$36,21,FALSE),0)</f>
        <v>0</v>
      </c>
      <c r="H3221">
        <f>IFERROR(HLOOKUP(H$2,[97]table_female_hkom2_inj.ill_X2!$A$1:$K$36,21,FALSE),0)</f>
        <v>0</v>
      </c>
      <c r="I3221">
        <f>IFERROR(HLOOKUP(I$2,[97]table_female_hkom2_inj.ill_X2!$A$1:$K$36,21,FALSE),0)</f>
        <v>0</v>
      </c>
      <c r="J3221">
        <f>IFERROR(HLOOKUP(J$2,[97]table_female_hkom2_inj.ill_X2!$A$1:$K$36,21,FALSE),0)</f>
        <v>0</v>
      </c>
      <c r="K3221">
        <f>IFERROR(HLOOKUP(K$2,[97]table_female_hkom2_inj.ill_X2!$A$1:$K$36,21,FALSE),0)</f>
        <v>0</v>
      </c>
      <c r="L3221">
        <f>IFERROR(HLOOKUP(L$2,[97]table_female_hkom2_inj.ill_X2!$A$1:$K$36,21,FALSE),0)</f>
        <v>0</v>
      </c>
      <c r="M3221">
        <f t="shared" si="1001"/>
        <v>0</v>
      </c>
      <c r="S3221" t="s">
        <v>89</v>
      </c>
      <c r="T3221" s="5">
        <f t="shared" si="1002"/>
        <v>0</v>
      </c>
      <c r="U3221" s="5">
        <f t="shared" si="1003"/>
        <v>0</v>
      </c>
      <c r="V3221" s="5">
        <f t="shared" si="1004"/>
        <v>0</v>
      </c>
      <c r="W3221" s="5">
        <f t="shared" si="1005"/>
        <v>0</v>
      </c>
      <c r="X3221" s="5">
        <f t="shared" si="1006"/>
        <v>0</v>
      </c>
      <c r="Y3221" s="5">
        <f t="shared" si="1007"/>
        <v>0</v>
      </c>
      <c r="Z3221" s="5">
        <f t="shared" si="1008"/>
        <v>0</v>
      </c>
      <c r="AA3221" s="5">
        <f t="shared" si="1009"/>
        <v>0</v>
      </c>
      <c r="AB3221" s="5">
        <f t="shared" si="999"/>
        <v>0</v>
      </c>
    </row>
    <row r="3222" spans="4:28" x14ac:dyDescent="0.25">
      <c r="D3222" t="s">
        <v>90</v>
      </c>
      <c r="E3222" s="14"/>
      <c r="F3222" s="14"/>
      <c r="G3222">
        <f>IFERROR(HLOOKUP(G$2,[97]table_female_hkom2_inj.ill_X2!$A$1:$K$36,22,FALSE),0)</f>
        <v>0</v>
      </c>
      <c r="H3222">
        <f>IFERROR(HLOOKUP(H$2,[97]table_female_hkom2_inj.ill_X2!$A$1:$K$36,22,FALSE),0)</f>
        <v>0</v>
      </c>
      <c r="I3222">
        <f>IFERROR(HLOOKUP(I$2,[97]table_female_hkom2_inj.ill_X2!$A$1:$K$36,22,FALSE),0)</f>
        <v>0</v>
      </c>
      <c r="J3222">
        <f>IFERROR(HLOOKUP(J$2,[97]table_female_hkom2_inj.ill_X2!$A$1:$K$36,22,FALSE),0)</f>
        <v>0</v>
      </c>
      <c r="K3222">
        <f>IFERROR(HLOOKUP(K$2,[97]table_female_hkom2_inj.ill_X2!$A$1:$K$36,22,FALSE),0)</f>
        <v>0</v>
      </c>
      <c r="L3222">
        <f>IFERROR(HLOOKUP(L$2,[97]table_female_hkom2_inj.ill_X2!$A$1:$K$36,22,FALSE),0)</f>
        <v>0</v>
      </c>
      <c r="M3222">
        <f t="shared" si="1001"/>
        <v>0</v>
      </c>
      <c r="S3222" t="s">
        <v>90</v>
      </c>
      <c r="T3222" s="5">
        <f t="shared" si="1002"/>
        <v>0</v>
      </c>
      <c r="U3222" s="5">
        <f t="shared" si="1003"/>
        <v>0</v>
      </c>
      <c r="V3222" s="5">
        <f t="shared" si="1004"/>
        <v>0</v>
      </c>
      <c r="W3222" s="5">
        <f t="shared" si="1005"/>
        <v>0</v>
      </c>
      <c r="X3222" s="5">
        <f t="shared" si="1006"/>
        <v>0</v>
      </c>
      <c r="Y3222" s="5">
        <f t="shared" si="1007"/>
        <v>0</v>
      </c>
      <c r="Z3222" s="5">
        <f t="shared" si="1008"/>
        <v>0</v>
      </c>
      <c r="AA3222" s="5">
        <f t="shared" si="1009"/>
        <v>0</v>
      </c>
      <c r="AB3222" s="5">
        <f t="shared" si="999"/>
        <v>0</v>
      </c>
    </row>
    <row r="3223" spans="4:28" x14ac:dyDescent="0.25">
      <c r="D3223" t="s">
        <v>91</v>
      </c>
      <c r="E3223" s="14"/>
      <c r="F3223" s="14"/>
      <c r="G3223">
        <f>IFERROR(HLOOKUP(G$2,[97]table_female_hkom2_inj.ill_X2!$A$1:$K$36,23,FALSE),0)</f>
        <v>0</v>
      </c>
      <c r="H3223">
        <f>IFERROR(HLOOKUP(H$2,[97]table_female_hkom2_inj.ill_X2!$A$1:$K$36,23,FALSE),0)</f>
        <v>0</v>
      </c>
      <c r="I3223">
        <f>IFERROR(HLOOKUP(I$2,[97]table_female_hkom2_inj.ill_X2!$A$1:$K$36,23,FALSE),0)</f>
        <v>0</v>
      </c>
      <c r="J3223">
        <f>IFERROR(HLOOKUP(J$2,[97]table_female_hkom2_inj.ill_X2!$A$1:$K$36,23,FALSE),0)</f>
        <v>0</v>
      </c>
      <c r="K3223">
        <f>IFERROR(HLOOKUP(K$2,[97]table_female_hkom2_inj.ill_X2!$A$1:$K$36,23,FALSE),0)</f>
        <v>0</v>
      </c>
      <c r="L3223">
        <f>IFERROR(HLOOKUP(L$2,[97]table_female_hkom2_inj.ill_X2!$A$1:$K$36,23,FALSE),0)</f>
        <v>0</v>
      </c>
      <c r="M3223">
        <f t="shared" si="1001"/>
        <v>0</v>
      </c>
      <c r="S3223" t="s">
        <v>91</v>
      </c>
      <c r="T3223" s="5">
        <f t="shared" si="1002"/>
        <v>0</v>
      </c>
      <c r="U3223" s="5">
        <f t="shared" si="1003"/>
        <v>0</v>
      </c>
      <c r="V3223" s="5">
        <f t="shared" si="1004"/>
        <v>0</v>
      </c>
      <c r="W3223" s="5">
        <f t="shared" si="1005"/>
        <v>0</v>
      </c>
      <c r="X3223" s="5">
        <f t="shared" si="1006"/>
        <v>0</v>
      </c>
      <c r="Y3223" s="5">
        <f t="shared" si="1007"/>
        <v>0</v>
      </c>
      <c r="Z3223" s="5">
        <f t="shared" si="1008"/>
        <v>0</v>
      </c>
      <c r="AA3223" s="5">
        <f t="shared" si="1009"/>
        <v>0</v>
      </c>
      <c r="AB3223" s="5">
        <f t="shared" si="999"/>
        <v>0</v>
      </c>
    </row>
    <row r="3224" spans="4:28" x14ac:dyDescent="0.25">
      <c r="D3224" t="s">
        <v>92</v>
      </c>
      <c r="E3224" s="14"/>
      <c r="F3224" s="14"/>
      <c r="G3224">
        <f>IFERROR(HLOOKUP(G$2,[97]table_female_hkom2_inj.ill_X2!$A$1:$K$36,24,FALSE),0)</f>
        <v>0</v>
      </c>
      <c r="H3224">
        <f>IFERROR(HLOOKUP(H$2,[97]table_female_hkom2_inj.ill_X2!$A$1:$K$36,24,FALSE),0)</f>
        <v>0</v>
      </c>
      <c r="I3224">
        <f>IFERROR(HLOOKUP(I$2,[97]table_female_hkom2_inj.ill_X2!$A$1:$K$36,24,FALSE),0)</f>
        <v>0</v>
      </c>
      <c r="J3224">
        <f>IFERROR(HLOOKUP(J$2,[97]table_female_hkom2_inj.ill_X2!$A$1:$K$36,24,FALSE),0)</f>
        <v>0</v>
      </c>
      <c r="K3224">
        <f>IFERROR(HLOOKUP(K$2,[97]table_female_hkom2_inj.ill_X2!$A$1:$K$36,24,FALSE),0)</f>
        <v>0</v>
      </c>
      <c r="L3224">
        <f>IFERROR(HLOOKUP(L$2,[97]table_female_hkom2_inj.ill_X2!$A$1:$K$36,24,FALSE),0)</f>
        <v>0</v>
      </c>
      <c r="M3224">
        <f t="shared" si="1001"/>
        <v>0</v>
      </c>
      <c r="S3224" t="s">
        <v>92</v>
      </c>
      <c r="T3224" s="5">
        <f t="shared" si="1002"/>
        <v>0</v>
      </c>
      <c r="U3224" s="5">
        <f t="shared" si="1003"/>
        <v>0</v>
      </c>
      <c r="V3224" s="5">
        <f t="shared" si="1004"/>
        <v>0</v>
      </c>
      <c r="W3224" s="5">
        <f t="shared" si="1005"/>
        <v>0</v>
      </c>
      <c r="X3224" s="5">
        <f t="shared" si="1006"/>
        <v>0</v>
      </c>
      <c r="Y3224" s="5">
        <f t="shared" si="1007"/>
        <v>0</v>
      </c>
      <c r="Z3224" s="5">
        <f t="shared" si="1008"/>
        <v>0</v>
      </c>
      <c r="AA3224" s="5">
        <f t="shared" si="1009"/>
        <v>0</v>
      </c>
      <c r="AB3224" s="5">
        <f t="shared" si="999"/>
        <v>0</v>
      </c>
    </row>
    <row r="3225" spans="4:28" x14ac:dyDescent="0.25">
      <c r="D3225" t="s">
        <v>93</v>
      </c>
      <c r="E3225" s="14"/>
      <c r="F3225" s="14"/>
      <c r="G3225">
        <f>IFERROR(HLOOKUP(G$2,[97]table_female_hkom2_inj.ill_X2!$A$1:$K$36,25,FALSE),0)</f>
        <v>0</v>
      </c>
      <c r="H3225">
        <f>IFERROR(HLOOKUP(H$2,[97]table_female_hkom2_inj.ill_X2!$A$1:$K$36,25,FALSE),0)</f>
        <v>0</v>
      </c>
      <c r="I3225">
        <f>IFERROR(HLOOKUP(I$2,[97]table_female_hkom2_inj.ill_X2!$A$1:$K$36,25,FALSE),0)</f>
        <v>0</v>
      </c>
      <c r="J3225">
        <f>IFERROR(HLOOKUP(J$2,[97]table_female_hkom2_inj.ill_X2!$A$1:$K$36,25,FALSE),0)</f>
        <v>0</v>
      </c>
      <c r="K3225">
        <f>IFERROR(HLOOKUP(K$2,[97]table_female_hkom2_inj.ill_X2!$A$1:$K$36,25,FALSE),0)</f>
        <v>0</v>
      </c>
      <c r="L3225">
        <f>IFERROR(HLOOKUP(L$2,[97]table_female_hkom2_inj.ill_X2!$A$1:$K$36,25,FALSE),0)</f>
        <v>0</v>
      </c>
      <c r="M3225">
        <f t="shared" si="1001"/>
        <v>0</v>
      </c>
      <c r="S3225" t="s">
        <v>93</v>
      </c>
      <c r="T3225" s="5">
        <f t="shared" si="1002"/>
        <v>0</v>
      </c>
      <c r="U3225" s="5">
        <f t="shared" si="1003"/>
        <v>0</v>
      </c>
      <c r="V3225" s="5">
        <f t="shared" si="1004"/>
        <v>0</v>
      </c>
      <c r="W3225" s="5">
        <f t="shared" si="1005"/>
        <v>0</v>
      </c>
      <c r="X3225" s="5">
        <f t="shared" si="1006"/>
        <v>0</v>
      </c>
      <c r="Y3225" s="5">
        <f t="shared" si="1007"/>
        <v>0</v>
      </c>
      <c r="Z3225" s="5">
        <f t="shared" si="1008"/>
        <v>0</v>
      </c>
      <c r="AA3225" s="5">
        <f t="shared" si="1009"/>
        <v>0</v>
      </c>
      <c r="AB3225" s="5">
        <f t="shared" si="999"/>
        <v>0</v>
      </c>
    </row>
    <row r="3226" spans="4:28" x14ac:dyDescent="0.25">
      <c r="D3226" t="s">
        <v>94</v>
      </c>
      <c r="E3226" s="14"/>
      <c r="F3226" s="14"/>
      <c r="G3226">
        <f>IFERROR(HLOOKUP(G$2,[97]table_female_hkom2_inj.ill_X2!$A$1:$K$36,26,FALSE),0)</f>
        <v>0</v>
      </c>
      <c r="H3226">
        <f>IFERROR(HLOOKUP(H$2,[97]table_female_hkom2_inj.ill_X2!$A$1:$K$36,26,FALSE),0)</f>
        <v>0</v>
      </c>
      <c r="I3226">
        <f>IFERROR(HLOOKUP(I$2,[97]table_female_hkom2_inj.ill_X2!$A$1:$K$36,26,FALSE),0)</f>
        <v>0</v>
      </c>
      <c r="J3226">
        <f>IFERROR(HLOOKUP(J$2,[97]table_female_hkom2_inj.ill_X2!$A$1:$K$36,26,FALSE),0)</f>
        <v>0</v>
      </c>
      <c r="K3226">
        <f>IFERROR(HLOOKUP(K$2,[97]table_female_hkom2_inj.ill_X2!$A$1:$K$36,26,FALSE),0)</f>
        <v>0</v>
      </c>
      <c r="L3226">
        <f>IFERROR(HLOOKUP(L$2,[97]table_female_hkom2_inj.ill_X2!$A$1:$K$36,26,FALSE),0)</f>
        <v>0</v>
      </c>
      <c r="M3226">
        <f t="shared" si="1001"/>
        <v>0</v>
      </c>
      <c r="S3226" t="s">
        <v>94</v>
      </c>
      <c r="T3226" s="5">
        <f t="shared" si="1002"/>
        <v>0</v>
      </c>
      <c r="U3226" s="5">
        <f t="shared" si="1003"/>
        <v>0</v>
      </c>
      <c r="V3226" s="5">
        <f t="shared" si="1004"/>
        <v>0</v>
      </c>
      <c r="W3226" s="5">
        <f t="shared" si="1005"/>
        <v>0</v>
      </c>
      <c r="X3226" s="5">
        <f t="shared" si="1006"/>
        <v>0</v>
      </c>
      <c r="Y3226" s="5">
        <f t="shared" si="1007"/>
        <v>0</v>
      </c>
      <c r="Z3226" s="5">
        <f t="shared" si="1008"/>
        <v>0</v>
      </c>
      <c r="AA3226" s="5">
        <f t="shared" si="1009"/>
        <v>0</v>
      </c>
      <c r="AB3226" s="5">
        <f t="shared" si="999"/>
        <v>0</v>
      </c>
    </row>
    <row r="3227" spans="4:28" x14ac:dyDescent="0.25">
      <c r="D3227" t="s">
        <v>95</v>
      </c>
      <c r="E3227" s="14"/>
      <c r="F3227" s="14"/>
      <c r="G3227">
        <f>IFERROR(HLOOKUP(G$2,[97]table_female_hkom2_inj.ill_X2!$A$1:$K$36,27,FALSE),0)</f>
        <v>0</v>
      </c>
      <c r="H3227">
        <f>IFERROR(HLOOKUP(H$2,[97]table_female_hkom2_inj.ill_X2!$A$1:$K$36,27,FALSE),0)</f>
        <v>0</v>
      </c>
      <c r="I3227">
        <f>IFERROR(HLOOKUP(I$2,[97]table_female_hkom2_inj.ill_X2!$A$1:$K$36,27,FALSE),0)</f>
        <v>0</v>
      </c>
      <c r="J3227">
        <f>IFERROR(HLOOKUP(J$2,[97]table_female_hkom2_inj.ill_X2!$A$1:$K$36,27,FALSE),0)</f>
        <v>0</v>
      </c>
      <c r="K3227">
        <f>IFERROR(HLOOKUP(K$2,[97]table_female_hkom2_inj.ill_X2!$A$1:$K$36,27,FALSE),0)</f>
        <v>0</v>
      </c>
      <c r="L3227">
        <f>IFERROR(HLOOKUP(L$2,[97]table_female_hkom2_inj.ill_X2!$A$1:$K$36,27,FALSE),0)</f>
        <v>0</v>
      </c>
      <c r="M3227">
        <f t="shared" si="1001"/>
        <v>0</v>
      </c>
      <c r="S3227" t="s">
        <v>95</v>
      </c>
      <c r="T3227" s="5">
        <f t="shared" si="1002"/>
        <v>0</v>
      </c>
      <c r="U3227" s="5">
        <f t="shared" si="1003"/>
        <v>0</v>
      </c>
      <c r="V3227" s="5">
        <f t="shared" si="1004"/>
        <v>0</v>
      </c>
      <c r="W3227" s="5">
        <f t="shared" si="1005"/>
        <v>0</v>
      </c>
      <c r="X3227" s="5">
        <f t="shared" si="1006"/>
        <v>0</v>
      </c>
      <c r="Y3227" s="5">
        <f t="shared" si="1007"/>
        <v>0</v>
      </c>
      <c r="Z3227" s="5">
        <f t="shared" si="1008"/>
        <v>0</v>
      </c>
      <c r="AA3227" s="5">
        <f t="shared" si="1009"/>
        <v>0</v>
      </c>
      <c r="AB3227" s="5">
        <f t="shared" si="999"/>
        <v>0</v>
      </c>
    </row>
    <row r="3228" spans="4:28" x14ac:dyDescent="0.25">
      <c r="D3228" t="s">
        <v>96</v>
      </c>
      <c r="E3228" s="14"/>
      <c r="F3228" s="14"/>
      <c r="G3228">
        <f>IFERROR(HLOOKUP(G$2,[97]table_female_hkom2_inj.ill_X2!$A$1:$K$36,28,FALSE),0)</f>
        <v>0</v>
      </c>
      <c r="H3228">
        <f>IFERROR(HLOOKUP(H$2,[97]table_female_hkom2_inj.ill_X2!$A$1:$K$36,28,FALSE),0)</f>
        <v>0</v>
      </c>
      <c r="I3228">
        <f>IFERROR(HLOOKUP(I$2,[97]table_female_hkom2_inj.ill_X2!$A$1:$K$36,28,FALSE),0)</f>
        <v>0</v>
      </c>
      <c r="J3228">
        <f>IFERROR(HLOOKUP(J$2,[97]table_female_hkom2_inj.ill_X2!$A$1:$K$36,28,FALSE),0)</f>
        <v>0</v>
      </c>
      <c r="K3228">
        <f>IFERROR(HLOOKUP(K$2,[97]table_female_hkom2_inj.ill_X2!$A$1:$K$36,28,FALSE),0)</f>
        <v>0</v>
      </c>
      <c r="L3228">
        <f>IFERROR(HLOOKUP(L$2,[97]table_female_hkom2_inj.ill_X2!$A$1:$K$36,28,FALSE),0)</f>
        <v>0</v>
      </c>
      <c r="M3228">
        <f t="shared" si="1001"/>
        <v>0</v>
      </c>
      <c r="S3228" t="s">
        <v>96</v>
      </c>
      <c r="T3228" s="5">
        <f t="shared" si="1002"/>
        <v>0</v>
      </c>
      <c r="U3228" s="5">
        <f t="shared" si="1003"/>
        <v>0</v>
      </c>
      <c r="V3228" s="5">
        <f t="shared" si="1004"/>
        <v>0</v>
      </c>
      <c r="W3228" s="5">
        <f t="shared" si="1005"/>
        <v>0</v>
      </c>
      <c r="X3228" s="5">
        <f t="shared" si="1006"/>
        <v>0</v>
      </c>
      <c r="Y3228" s="5">
        <f t="shared" si="1007"/>
        <v>0</v>
      </c>
      <c r="Z3228" s="5">
        <f t="shared" si="1008"/>
        <v>0</v>
      </c>
      <c r="AA3228" s="5">
        <f t="shared" si="1009"/>
        <v>0</v>
      </c>
      <c r="AB3228" s="5">
        <f t="shared" si="999"/>
        <v>0</v>
      </c>
    </row>
    <row r="3229" spans="4:28" x14ac:dyDescent="0.25">
      <c r="D3229" t="s">
        <v>97</v>
      </c>
      <c r="E3229" s="14"/>
      <c r="F3229" s="14"/>
      <c r="G3229">
        <f>IFERROR(HLOOKUP(G$2,[97]table_female_hkom2_inj.ill_X2!$A$1:$K$36,29,FALSE),0)</f>
        <v>0</v>
      </c>
      <c r="H3229">
        <f>IFERROR(HLOOKUP(H$2,[97]table_female_hkom2_inj.ill_X2!$A$1:$K$36,29,FALSE),0)</f>
        <v>0</v>
      </c>
      <c r="I3229">
        <f>IFERROR(HLOOKUP(I$2,[97]table_female_hkom2_inj.ill_X2!$A$1:$K$36,29,FALSE),0)</f>
        <v>0</v>
      </c>
      <c r="J3229">
        <f>IFERROR(HLOOKUP(J$2,[97]table_female_hkom2_inj.ill_X2!$A$1:$K$36,29,FALSE),0)</f>
        <v>0</v>
      </c>
      <c r="K3229">
        <f>IFERROR(HLOOKUP(K$2,[97]table_female_hkom2_inj.ill_X2!$A$1:$K$36,29,FALSE),0)</f>
        <v>0</v>
      </c>
      <c r="L3229">
        <f>IFERROR(HLOOKUP(L$2,[97]table_female_hkom2_inj.ill_X2!$A$1:$K$36,29,FALSE),0)</f>
        <v>0</v>
      </c>
      <c r="M3229">
        <f t="shared" si="1001"/>
        <v>0</v>
      </c>
      <c r="S3229" t="s">
        <v>97</v>
      </c>
      <c r="T3229" s="5">
        <f t="shared" si="1002"/>
        <v>0</v>
      </c>
      <c r="U3229" s="5">
        <f t="shared" si="1003"/>
        <v>0</v>
      </c>
      <c r="V3229" s="5">
        <f t="shared" si="1004"/>
        <v>0</v>
      </c>
      <c r="W3229" s="5">
        <f t="shared" si="1005"/>
        <v>0</v>
      </c>
      <c r="X3229" s="5">
        <f t="shared" si="1006"/>
        <v>0</v>
      </c>
      <c r="Y3229" s="5">
        <f t="shared" si="1007"/>
        <v>0</v>
      </c>
      <c r="Z3229" s="5">
        <f t="shared" si="1008"/>
        <v>0</v>
      </c>
      <c r="AA3229" s="5">
        <f t="shared" si="1009"/>
        <v>0</v>
      </c>
      <c r="AB3229" s="5">
        <f t="shared" si="999"/>
        <v>0</v>
      </c>
    </row>
    <row r="3230" spans="4:28" x14ac:dyDescent="0.25">
      <c r="D3230" t="s">
        <v>98</v>
      </c>
      <c r="E3230" s="14"/>
      <c r="F3230" s="14"/>
      <c r="G3230">
        <f>IFERROR(HLOOKUP(G$2,[97]table_female_hkom2_inj.ill_X2!$A$1:$K$36,30,FALSE),0)</f>
        <v>0</v>
      </c>
      <c r="H3230">
        <f>IFERROR(HLOOKUP(H$2,[97]table_female_hkom2_inj.ill_X2!$A$1:$K$36,30,FALSE),0)</f>
        <v>0</v>
      </c>
      <c r="I3230">
        <f>IFERROR(HLOOKUP(I$2,[97]table_female_hkom2_inj.ill_X2!$A$1:$K$36,30,FALSE),0)</f>
        <v>0</v>
      </c>
      <c r="J3230">
        <f>IFERROR(HLOOKUP(J$2,[97]table_female_hkom2_inj.ill_X2!$A$1:$K$36,30,FALSE),0)</f>
        <v>0</v>
      </c>
      <c r="K3230">
        <f>IFERROR(HLOOKUP(K$2,[97]table_female_hkom2_inj.ill_X2!$A$1:$K$36,30,FALSE),0)</f>
        <v>0</v>
      </c>
      <c r="L3230">
        <f>IFERROR(HLOOKUP(L$2,[97]table_female_hkom2_inj.ill_X2!$A$1:$K$36,30,FALSE),0)</f>
        <v>0</v>
      </c>
      <c r="M3230">
        <f t="shared" si="1001"/>
        <v>0</v>
      </c>
      <c r="S3230" t="s">
        <v>98</v>
      </c>
      <c r="T3230" s="5">
        <f t="shared" si="1002"/>
        <v>0</v>
      </c>
      <c r="U3230" s="5">
        <f t="shared" si="1003"/>
        <v>0</v>
      </c>
      <c r="V3230" s="5">
        <f t="shared" si="1004"/>
        <v>0</v>
      </c>
      <c r="W3230" s="5">
        <f t="shared" si="1005"/>
        <v>0</v>
      </c>
      <c r="X3230" s="5">
        <f t="shared" si="1006"/>
        <v>0</v>
      </c>
      <c r="Y3230" s="5">
        <f t="shared" si="1007"/>
        <v>0</v>
      </c>
      <c r="Z3230" s="5">
        <f t="shared" si="1008"/>
        <v>0</v>
      </c>
      <c r="AA3230" s="5">
        <f t="shared" si="1009"/>
        <v>0</v>
      </c>
      <c r="AB3230" s="5">
        <f t="shared" si="999"/>
        <v>0</v>
      </c>
    </row>
    <row r="3231" spans="4:28" x14ac:dyDescent="0.25">
      <c r="D3231" t="s">
        <v>119</v>
      </c>
      <c r="E3231" s="14"/>
      <c r="F3231" s="14"/>
      <c r="G3231">
        <f>IFERROR(HLOOKUP(G$2,[97]table_female_hkom2_inj.ill_X2!$A$1:$K$36,31,FALSE),0)</f>
        <v>0</v>
      </c>
      <c r="H3231">
        <f>IFERROR(HLOOKUP(H$2,[97]table_female_hkom2_inj.ill_X2!$A$1:$K$36,31,FALSE),0)</f>
        <v>0</v>
      </c>
      <c r="I3231">
        <f>IFERROR(HLOOKUP(I$2,[97]table_female_hkom2_inj.ill_X2!$A$1:$K$36,31,FALSE),0)</f>
        <v>0</v>
      </c>
      <c r="J3231">
        <f>IFERROR(HLOOKUP(J$2,[97]table_female_hkom2_inj.ill_X2!$A$1:$K$36,31,FALSE),0)</f>
        <v>0</v>
      </c>
      <c r="K3231">
        <f>IFERROR(HLOOKUP(K$2,[97]table_female_hkom2_inj.ill_X2!$A$1:$K$36,31,FALSE),0)</f>
        <v>0</v>
      </c>
      <c r="L3231">
        <f>IFERROR(HLOOKUP(L$2,[97]table_female_hkom2_inj.ill_X2!$A$1:$K$36,31,FALSE),0)</f>
        <v>0</v>
      </c>
      <c r="M3231">
        <f t="shared" si="1001"/>
        <v>0</v>
      </c>
      <c r="S3231" t="s">
        <v>119</v>
      </c>
      <c r="T3231" s="5">
        <f t="shared" si="1002"/>
        <v>0</v>
      </c>
      <c r="U3231" s="5">
        <f t="shared" si="1003"/>
        <v>0</v>
      </c>
      <c r="V3231" s="5">
        <f t="shared" si="1004"/>
        <v>0</v>
      </c>
      <c r="W3231" s="5">
        <f t="shared" si="1005"/>
        <v>0</v>
      </c>
      <c r="X3231" s="5">
        <f t="shared" si="1006"/>
        <v>0</v>
      </c>
      <c r="Y3231" s="5">
        <f t="shared" si="1007"/>
        <v>0</v>
      </c>
      <c r="Z3231" s="5">
        <f t="shared" si="1008"/>
        <v>0</v>
      </c>
      <c r="AA3231" s="5">
        <f t="shared" si="1009"/>
        <v>0</v>
      </c>
      <c r="AB3231" s="5">
        <f t="shared" si="999"/>
        <v>0</v>
      </c>
    </row>
    <row r="3232" spans="4:28" x14ac:dyDescent="0.25">
      <c r="D3232" t="s">
        <v>99</v>
      </c>
      <c r="E3232" s="14"/>
      <c r="F3232" s="14"/>
      <c r="G3232">
        <f>IFERROR(HLOOKUP(G$2,[97]table_female_hkom2_inj.ill_X2!$A$1:$K$36,32,FALSE),0)</f>
        <v>0</v>
      </c>
      <c r="H3232">
        <f>IFERROR(HLOOKUP(H$2,[97]table_female_hkom2_inj.ill_X2!$A$1:$K$36,32,FALSE),0)</f>
        <v>0</v>
      </c>
      <c r="I3232">
        <f>IFERROR(HLOOKUP(I$2,[97]table_female_hkom2_inj.ill_X2!$A$1:$K$36,32,FALSE),0)</f>
        <v>0</v>
      </c>
      <c r="J3232">
        <f>IFERROR(HLOOKUP(J$2,[97]table_female_hkom2_inj.ill_X2!$A$1:$K$36,32,FALSE),0)</f>
        <v>0</v>
      </c>
      <c r="K3232">
        <f>IFERROR(HLOOKUP(K$2,[97]table_female_hkom2_inj.ill_X2!$A$1:$K$36,32,FALSE),0)</f>
        <v>0</v>
      </c>
      <c r="L3232">
        <f>IFERROR(HLOOKUP(L$2,[97]table_female_hkom2_inj.ill_X2!$A$1:$K$36,32,FALSE),0)</f>
        <v>0</v>
      </c>
      <c r="M3232">
        <f t="shared" si="1001"/>
        <v>0</v>
      </c>
      <c r="S3232" t="s">
        <v>99</v>
      </c>
      <c r="T3232" s="5">
        <f t="shared" si="1002"/>
        <v>0</v>
      </c>
      <c r="U3232" s="5">
        <f t="shared" si="1003"/>
        <v>0</v>
      </c>
      <c r="V3232" s="5">
        <f t="shared" si="1004"/>
        <v>0</v>
      </c>
      <c r="W3232" s="5">
        <f t="shared" si="1005"/>
        <v>0</v>
      </c>
      <c r="X3232" s="5">
        <f t="shared" si="1006"/>
        <v>0</v>
      </c>
      <c r="Y3232" s="5">
        <f t="shared" si="1007"/>
        <v>0</v>
      </c>
      <c r="Z3232" s="5">
        <f t="shared" si="1008"/>
        <v>0</v>
      </c>
      <c r="AA3232" s="5">
        <f t="shared" si="1009"/>
        <v>0</v>
      </c>
      <c r="AB3232" s="5">
        <f t="shared" si="999"/>
        <v>0</v>
      </c>
    </row>
    <row r="3233" spans="1:29" x14ac:dyDescent="0.25">
      <c r="D3233" t="s">
        <v>100</v>
      </c>
      <c r="E3233" s="14"/>
      <c r="F3233" s="14"/>
      <c r="G3233">
        <f>IFERROR(HLOOKUP(G$2,[97]table_female_hkom2_inj.ill_X2!$A$1:$K$36,33,FALSE),0)</f>
        <v>0</v>
      </c>
      <c r="H3233">
        <f>IFERROR(HLOOKUP(H$2,[97]table_female_hkom2_inj.ill_X2!$A$1:$K$36,33,FALSE),0)</f>
        <v>0</v>
      </c>
      <c r="I3233">
        <f>IFERROR(HLOOKUP(I$2,[97]table_female_hkom2_inj.ill_X2!$A$1:$K$36,33,FALSE),0)</f>
        <v>0</v>
      </c>
      <c r="J3233">
        <f>IFERROR(HLOOKUP(J$2,[97]table_female_hkom2_inj.ill_X2!$A$1:$K$36,33,FALSE),0)</f>
        <v>0</v>
      </c>
      <c r="K3233">
        <f>IFERROR(HLOOKUP(K$2,[97]table_female_hkom2_inj.ill_X2!$A$1:$K$36,33,FALSE),0)</f>
        <v>0</v>
      </c>
      <c r="L3233">
        <f>IFERROR(HLOOKUP(L$2,[97]table_female_hkom2_inj.ill_X2!$A$1:$K$36,33,FALSE),0)</f>
        <v>0</v>
      </c>
      <c r="M3233">
        <f t="shared" si="1001"/>
        <v>0</v>
      </c>
      <c r="S3233" t="s">
        <v>100</v>
      </c>
      <c r="T3233" s="5">
        <f t="shared" si="1002"/>
        <v>0</v>
      </c>
      <c r="U3233" s="5">
        <f t="shared" si="1003"/>
        <v>0</v>
      </c>
      <c r="V3233" s="5">
        <f t="shared" si="1004"/>
        <v>0</v>
      </c>
      <c r="W3233" s="5">
        <f t="shared" si="1005"/>
        <v>0</v>
      </c>
      <c r="X3233" s="5">
        <f t="shared" si="1006"/>
        <v>0</v>
      </c>
      <c r="Y3233" s="5">
        <f t="shared" si="1007"/>
        <v>0</v>
      </c>
      <c r="Z3233" s="5">
        <f t="shared" si="1008"/>
        <v>0</v>
      </c>
      <c r="AA3233" s="5">
        <f t="shared" si="1009"/>
        <v>0</v>
      </c>
      <c r="AB3233" s="5">
        <f t="shared" si="999"/>
        <v>0</v>
      </c>
    </row>
    <row r="3234" spans="1:29" x14ac:dyDescent="0.25">
      <c r="D3234" t="s">
        <v>101</v>
      </c>
      <c r="E3234" s="14"/>
      <c r="F3234" s="14"/>
      <c r="G3234">
        <f>IFERROR(HLOOKUP(G$2,[97]table_female_hkom2_inj.ill_X2!$A$1:$K$36,34,FALSE),0)</f>
        <v>0</v>
      </c>
      <c r="H3234">
        <f>IFERROR(HLOOKUP(H$2,[97]table_female_hkom2_inj.ill_X2!$A$1:$K$36,34,FALSE),0)</f>
        <v>0</v>
      </c>
      <c r="I3234">
        <f>IFERROR(HLOOKUP(I$2,[97]table_female_hkom2_inj.ill_X2!$A$1:$K$36,34,FALSE),0)</f>
        <v>0</v>
      </c>
      <c r="J3234">
        <f>IFERROR(HLOOKUP(J$2,[97]table_female_hkom2_inj.ill_X2!$A$1:$K$36,34,FALSE),0)</f>
        <v>0</v>
      </c>
      <c r="K3234">
        <f>IFERROR(HLOOKUP(K$2,[97]table_female_hkom2_inj.ill_X2!$A$1:$K$36,34,FALSE),0)</f>
        <v>0</v>
      </c>
      <c r="L3234">
        <f>IFERROR(HLOOKUP(L$2,[97]table_female_hkom2_inj.ill_X2!$A$1:$K$36,34,FALSE),0)</f>
        <v>0</v>
      </c>
      <c r="M3234">
        <f t="shared" si="1001"/>
        <v>0</v>
      </c>
      <c r="S3234" t="s">
        <v>101</v>
      </c>
      <c r="T3234" s="5">
        <f t="shared" si="1002"/>
        <v>0</v>
      </c>
      <c r="U3234" s="5">
        <f t="shared" si="1003"/>
        <v>0</v>
      </c>
      <c r="V3234" s="5">
        <f t="shared" si="1004"/>
        <v>0</v>
      </c>
      <c r="W3234" s="5">
        <f t="shared" si="1005"/>
        <v>0</v>
      </c>
      <c r="X3234" s="5">
        <f t="shared" si="1006"/>
        <v>0</v>
      </c>
      <c r="Y3234" s="5">
        <f t="shared" si="1007"/>
        <v>0</v>
      </c>
      <c r="Z3234" s="5">
        <f t="shared" si="1008"/>
        <v>0</v>
      </c>
      <c r="AA3234" s="5">
        <f t="shared" si="1009"/>
        <v>0</v>
      </c>
      <c r="AB3234" s="5">
        <f t="shared" si="999"/>
        <v>0</v>
      </c>
    </row>
    <row r="3235" spans="1:29" x14ac:dyDescent="0.25">
      <c r="D3235" t="s">
        <v>102</v>
      </c>
      <c r="E3235" s="14"/>
      <c r="F3235" s="14"/>
      <c r="G3235">
        <f>IFERROR(HLOOKUP(G$2,[97]table_female_hkom2_inj.ill_X2!$A$1:$K$36,35,FALSE),0)</f>
        <v>0</v>
      </c>
      <c r="H3235">
        <f>IFERROR(HLOOKUP(H$2,[97]table_female_hkom2_inj.ill_X2!$A$1:$K$36,35,FALSE),0)</f>
        <v>0</v>
      </c>
      <c r="I3235">
        <f>IFERROR(HLOOKUP(I$2,[97]table_female_hkom2_inj.ill_X2!$A$1:$K$36,35,FALSE),0)</f>
        <v>0</v>
      </c>
      <c r="J3235">
        <f>IFERROR(HLOOKUP(J$2,[97]table_female_hkom2_inj.ill_X2!$A$1:$K$36,35,FALSE),0)</f>
        <v>0</v>
      </c>
      <c r="K3235">
        <f>IFERROR(HLOOKUP(K$2,[97]table_female_hkom2_inj.ill_X2!$A$1:$K$36,35,FALSE),0)</f>
        <v>0</v>
      </c>
      <c r="L3235">
        <f>IFERROR(HLOOKUP(L$2,[97]table_female_hkom2_inj.ill_X2!$A$1:$K$36,35,FALSE),0)</f>
        <v>0</v>
      </c>
      <c r="M3235">
        <f t="shared" si="1001"/>
        <v>0</v>
      </c>
      <c r="N3235">
        <f>SUM(M3202:M3235)</f>
        <v>0</v>
      </c>
      <c r="O3235" s="8">
        <f>SUM([97]table_female_hkom2_inj.ill_X2!$B$2:$L$37)</f>
        <v>0</v>
      </c>
      <c r="S3235" t="s">
        <v>102</v>
      </c>
      <c r="T3235" s="7"/>
      <c r="U3235" s="7"/>
      <c r="V3235" s="7"/>
      <c r="W3235" s="7"/>
      <c r="X3235" s="7"/>
      <c r="Y3235" s="7"/>
      <c r="Z3235" s="7"/>
      <c r="AA3235" s="7"/>
      <c r="AB3235" s="5">
        <f t="shared" si="999"/>
        <v>0</v>
      </c>
      <c r="AC3235" s="5">
        <f>SUM(AB3202:AB3234)</f>
        <v>0</v>
      </c>
    </row>
    <row r="3236" spans="1:29" x14ac:dyDescent="0.25">
      <c r="A3236" t="s">
        <v>115</v>
      </c>
      <c r="B3236" t="s">
        <v>116</v>
      </c>
      <c r="C3236" t="s">
        <v>125</v>
      </c>
      <c r="D3236" t="s">
        <v>70</v>
      </c>
      <c r="E3236" s="14"/>
      <c r="F3236" s="14"/>
      <c r="G3236">
        <f>IFERROR(HLOOKUP(G$2,[98]table_female_hkom2_inj.ill_X3!$A$1:$K$36,2,FALSE),0)</f>
        <v>0</v>
      </c>
      <c r="H3236">
        <f>IFERROR(HLOOKUP(H$2,[98]table_female_hkom2_inj.ill_X3!$A$1:$K$36,2,FALSE),0)</f>
        <v>0</v>
      </c>
      <c r="I3236">
        <f>IFERROR(HLOOKUP(I$2,[98]table_female_hkom2_inj.ill_X3!$A$1:$K$36,2,FALSE),0)</f>
        <v>0</v>
      </c>
      <c r="J3236">
        <f>IFERROR(HLOOKUP(J$2,[98]table_female_hkom2_inj.ill_X3!$A$1:$K$36,2,FALSE),0)</f>
        <v>0</v>
      </c>
      <c r="K3236">
        <f>IFERROR(HLOOKUP(K$2,[98]table_female_hkom2_inj.ill_X3!$A$1:$K$36,2,FALSE),0)</f>
        <v>0</v>
      </c>
      <c r="L3236">
        <f>IFERROR(HLOOKUP(L$2,[98]table_female_hkom2_inj.ill_X3!$A$1:$K$36,2,FALSE),0)</f>
        <v>0</v>
      </c>
      <c r="M3236">
        <f>SUM(E3236:L3236)</f>
        <v>0</v>
      </c>
      <c r="P3236" t="s">
        <v>115</v>
      </c>
      <c r="Q3236" t="s">
        <v>116</v>
      </c>
      <c r="R3236" t="s">
        <v>125</v>
      </c>
      <c r="S3236" t="s">
        <v>70</v>
      </c>
      <c r="T3236" s="5">
        <f>IF(SUM(E$3236:E$3268)=0,E$3269/33,E3236+IFERROR(E3236/SUM(E$3236:E$3268)*E$3269,0))</f>
        <v>0</v>
      </c>
      <c r="U3236" s="5">
        <f t="shared" ref="U3236:AA3236" si="1010">IF(SUM(F$3236:F$3268)=0,F$3269/33,F3236+IFERROR(F3236/SUM(F$3236:F$3268)*F$3269,0))</f>
        <v>0</v>
      </c>
      <c r="V3236" s="5">
        <f t="shared" si="1010"/>
        <v>0</v>
      </c>
      <c r="W3236" s="5">
        <f t="shared" si="1010"/>
        <v>0</v>
      </c>
      <c r="X3236" s="5">
        <f t="shared" si="1010"/>
        <v>0</v>
      </c>
      <c r="Y3236" s="5">
        <f t="shared" si="1010"/>
        <v>0</v>
      </c>
      <c r="Z3236" s="5">
        <f t="shared" si="1010"/>
        <v>0</v>
      </c>
      <c r="AA3236" s="5">
        <f t="shared" si="1010"/>
        <v>0</v>
      </c>
      <c r="AB3236" s="5">
        <f t="shared" si="999"/>
        <v>0</v>
      </c>
    </row>
    <row r="3237" spans="1:29" x14ac:dyDescent="0.25">
      <c r="D3237" t="s">
        <v>71</v>
      </c>
      <c r="E3237" s="14"/>
      <c r="F3237" s="14"/>
      <c r="G3237">
        <f>IFERROR(HLOOKUP(G$2,[98]table_female_hkom2_inj.ill_X3!$A$1:$K$36,3,FALSE),0)</f>
        <v>0</v>
      </c>
      <c r="H3237">
        <f>IFERROR(HLOOKUP(H$2,[98]table_female_hkom2_inj.ill_X3!$A$1:$K$36,3,FALSE),0)</f>
        <v>0</v>
      </c>
      <c r="I3237">
        <f>IFERROR(HLOOKUP(I$2,[98]table_female_hkom2_inj.ill_X3!$A$1:$K$36,3,FALSE),0)</f>
        <v>0</v>
      </c>
      <c r="J3237">
        <f>IFERROR(HLOOKUP(J$2,[98]table_female_hkom2_inj.ill_X3!$A$1:$K$36,3,FALSE),0)</f>
        <v>0</v>
      </c>
      <c r="K3237">
        <f>IFERROR(HLOOKUP(K$2,[98]table_female_hkom2_inj.ill_X3!$A$1:$K$36,3,FALSE),0)</f>
        <v>0</v>
      </c>
      <c r="L3237">
        <f>IFERROR(HLOOKUP(L$2,[98]table_female_hkom2_inj.ill_X3!$A$1:$K$36,3,FALSE),0)</f>
        <v>0</v>
      </c>
      <c r="M3237">
        <f t="shared" ref="M3237:M3269" si="1011">SUM(E3237:L3237)</f>
        <v>0</v>
      </c>
      <c r="S3237" t="s">
        <v>71</v>
      </c>
      <c r="T3237" s="5">
        <f t="shared" ref="T3237:T3268" si="1012">IF(SUM(E$3236:E$3268)=0,E$3269/33,E3237+IFERROR(E3237/SUM(E$3236:E$3268)*E$3269,0))</f>
        <v>0</v>
      </c>
      <c r="U3237" s="5">
        <f t="shared" ref="U3237:U3268" si="1013">IF(SUM(F$3236:F$3268)=0,F$3269/33,F3237+IFERROR(F3237/SUM(F$3236:F$3268)*F$3269,0))</f>
        <v>0</v>
      </c>
      <c r="V3237" s="5">
        <f t="shared" ref="V3237:V3268" si="1014">IF(SUM(G$3236:G$3268)=0,G$3269/33,G3237+IFERROR(G3237/SUM(G$3236:G$3268)*G$3269,0))</f>
        <v>0</v>
      </c>
      <c r="W3237" s="5">
        <f t="shared" ref="W3237:W3268" si="1015">IF(SUM(H$3236:H$3268)=0,H$3269/33,H3237+IFERROR(H3237/SUM(H$3236:H$3268)*H$3269,0))</f>
        <v>0</v>
      </c>
      <c r="X3237" s="5">
        <f t="shared" ref="X3237:X3268" si="1016">IF(SUM(I$3236:I$3268)=0,I$3269/33,I3237+IFERROR(I3237/SUM(I$3236:I$3268)*I$3269,0))</f>
        <v>0</v>
      </c>
      <c r="Y3237" s="5">
        <f t="shared" ref="Y3237:Y3268" si="1017">IF(SUM(J$3236:J$3268)=0,J$3269/33,J3237+IFERROR(J3237/SUM(J$3236:J$3268)*J$3269,0))</f>
        <v>0</v>
      </c>
      <c r="Z3237" s="5">
        <f t="shared" ref="Z3237:Z3268" si="1018">IF(SUM(K$3236:K$3268)=0,K$3269/33,K3237+IFERROR(K3237/SUM(K$3236:K$3268)*K$3269,0))</f>
        <v>0</v>
      </c>
      <c r="AA3237" s="5">
        <f t="shared" ref="AA3237:AA3268" si="1019">IF(SUM(L$3236:L$3268)=0,L$3269/33,L3237+IFERROR(L3237/SUM(L$3236:L$3268)*L$3269,0))</f>
        <v>0</v>
      </c>
      <c r="AB3237" s="5">
        <f t="shared" si="999"/>
        <v>0</v>
      </c>
    </row>
    <row r="3238" spans="1:29" x14ac:dyDescent="0.25">
      <c r="D3238" t="s">
        <v>72</v>
      </c>
      <c r="E3238" s="14"/>
      <c r="F3238" s="14"/>
      <c r="G3238">
        <f>IFERROR(HLOOKUP(G$2,[98]table_female_hkom2_inj.ill_X3!$A$1:$K$36,4,FALSE),0)</f>
        <v>0</v>
      </c>
      <c r="H3238">
        <f>IFERROR(HLOOKUP(H$2,[98]table_female_hkom2_inj.ill_X3!$A$1:$K$36,4,FALSE),0)</f>
        <v>0</v>
      </c>
      <c r="I3238">
        <f>IFERROR(HLOOKUP(I$2,[98]table_female_hkom2_inj.ill_X3!$A$1:$K$36,4,FALSE),0)</f>
        <v>0</v>
      </c>
      <c r="J3238">
        <f>IFERROR(HLOOKUP(J$2,[98]table_female_hkom2_inj.ill_X3!$A$1:$K$36,4,FALSE),0)</f>
        <v>0</v>
      </c>
      <c r="K3238">
        <f>IFERROR(HLOOKUP(K$2,[98]table_female_hkom2_inj.ill_X3!$A$1:$K$36,4,FALSE),0)</f>
        <v>0</v>
      </c>
      <c r="L3238">
        <f>IFERROR(HLOOKUP(L$2,[98]table_female_hkom2_inj.ill_X3!$A$1:$K$36,4,FALSE),0)</f>
        <v>0</v>
      </c>
      <c r="M3238">
        <f t="shared" si="1011"/>
        <v>0</v>
      </c>
      <c r="S3238" t="s">
        <v>72</v>
      </c>
      <c r="T3238" s="5">
        <f t="shared" si="1012"/>
        <v>0</v>
      </c>
      <c r="U3238" s="5">
        <f t="shared" si="1013"/>
        <v>0</v>
      </c>
      <c r="V3238" s="5">
        <f t="shared" si="1014"/>
        <v>0</v>
      </c>
      <c r="W3238" s="5">
        <f t="shared" si="1015"/>
        <v>0</v>
      </c>
      <c r="X3238" s="5">
        <f t="shared" si="1016"/>
        <v>0</v>
      </c>
      <c r="Y3238" s="5">
        <f t="shared" si="1017"/>
        <v>0</v>
      </c>
      <c r="Z3238" s="5">
        <f t="shared" si="1018"/>
        <v>0</v>
      </c>
      <c r="AA3238" s="5">
        <f t="shared" si="1019"/>
        <v>0</v>
      </c>
      <c r="AB3238" s="5">
        <f t="shared" si="999"/>
        <v>0</v>
      </c>
    </row>
    <row r="3239" spans="1:29" x14ac:dyDescent="0.25">
      <c r="D3239" t="s">
        <v>73</v>
      </c>
      <c r="E3239" s="14"/>
      <c r="F3239" s="14"/>
      <c r="G3239">
        <f>IFERROR(HLOOKUP(G$2,[98]table_female_hkom2_inj.ill_X3!$A$1:$K$36,5,FALSE),0)</f>
        <v>0</v>
      </c>
      <c r="H3239">
        <f>IFERROR(HLOOKUP(H$2,[98]table_female_hkom2_inj.ill_X3!$A$1:$K$36,5,FALSE),0)</f>
        <v>0</v>
      </c>
      <c r="I3239">
        <f>IFERROR(HLOOKUP(I$2,[98]table_female_hkom2_inj.ill_X3!$A$1:$K$36,5,FALSE),0)</f>
        <v>0</v>
      </c>
      <c r="J3239">
        <f>IFERROR(HLOOKUP(J$2,[98]table_female_hkom2_inj.ill_X3!$A$1:$K$36,5,FALSE),0)</f>
        <v>0</v>
      </c>
      <c r="K3239">
        <f>IFERROR(HLOOKUP(K$2,[98]table_female_hkom2_inj.ill_X3!$A$1:$K$36,5,FALSE),0)</f>
        <v>0</v>
      </c>
      <c r="L3239">
        <f>IFERROR(HLOOKUP(L$2,[98]table_female_hkom2_inj.ill_X3!$A$1:$K$36,5,FALSE),0)</f>
        <v>0</v>
      </c>
      <c r="M3239">
        <f t="shared" si="1011"/>
        <v>0</v>
      </c>
      <c r="S3239" t="s">
        <v>73</v>
      </c>
      <c r="T3239" s="5">
        <f t="shared" si="1012"/>
        <v>0</v>
      </c>
      <c r="U3239" s="5">
        <f t="shared" si="1013"/>
        <v>0</v>
      </c>
      <c r="V3239" s="5">
        <f t="shared" si="1014"/>
        <v>0</v>
      </c>
      <c r="W3239" s="5">
        <f t="shared" si="1015"/>
        <v>0</v>
      </c>
      <c r="X3239" s="5">
        <f t="shared" si="1016"/>
        <v>0</v>
      </c>
      <c r="Y3239" s="5">
        <f t="shared" si="1017"/>
        <v>0</v>
      </c>
      <c r="Z3239" s="5">
        <f t="shared" si="1018"/>
        <v>0</v>
      </c>
      <c r="AA3239" s="5">
        <f t="shared" si="1019"/>
        <v>0</v>
      </c>
      <c r="AB3239" s="5">
        <f t="shared" si="999"/>
        <v>0</v>
      </c>
    </row>
    <row r="3240" spans="1:29" x14ac:dyDescent="0.25">
      <c r="D3240" t="s">
        <v>74</v>
      </c>
      <c r="E3240" s="14"/>
      <c r="F3240" s="14"/>
      <c r="G3240">
        <f>IFERROR(HLOOKUP(G$2,[98]table_female_hkom2_inj.ill_X3!$A$1:$K$36,6,FALSE),0)</f>
        <v>0</v>
      </c>
      <c r="H3240">
        <f>IFERROR(HLOOKUP(H$2,[98]table_female_hkom2_inj.ill_X3!$A$1:$K$36,6,FALSE),0)</f>
        <v>0</v>
      </c>
      <c r="I3240">
        <f>IFERROR(HLOOKUP(I$2,[98]table_female_hkom2_inj.ill_X3!$A$1:$K$36,6,FALSE),0)</f>
        <v>0</v>
      </c>
      <c r="J3240">
        <f>IFERROR(HLOOKUP(J$2,[98]table_female_hkom2_inj.ill_X3!$A$1:$K$36,6,FALSE),0)</f>
        <v>0</v>
      </c>
      <c r="K3240">
        <f>IFERROR(HLOOKUP(K$2,[98]table_female_hkom2_inj.ill_X3!$A$1:$K$36,6,FALSE),0)</f>
        <v>0</v>
      </c>
      <c r="L3240">
        <f>IFERROR(HLOOKUP(L$2,[98]table_female_hkom2_inj.ill_X3!$A$1:$K$36,6,FALSE),0)</f>
        <v>0</v>
      </c>
      <c r="M3240">
        <f t="shared" si="1011"/>
        <v>0</v>
      </c>
      <c r="S3240" t="s">
        <v>74</v>
      </c>
      <c r="T3240" s="5">
        <f t="shared" si="1012"/>
        <v>0</v>
      </c>
      <c r="U3240" s="5">
        <f t="shared" si="1013"/>
        <v>0</v>
      </c>
      <c r="V3240" s="5">
        <f t="shared" si="1014"/>
        <v>0</v>
      </c>
      <c r="W3240" s="5">
        <f t="shared" si="1015"/>
        <v>0</v>
      </c>
      <c r="X3240" s="5">
        <f t="shared" si="1016"/>
        <v>0</v>
      </c>
      <c r="Y3240" s="5">
        <f t="shared" si="1017"/>
        <v>0</v>
      </c>
      <c r="Z3240" s="5">
        <f t="shared" si="1018"/>
        <v>0</v>
      </c>
      <c r="AA3240" s="5">
        <f t="shared" si="1019"/>
        <v>0</v>
      </c>
      <c r="AB3240" s="5">
        <f t="shared" si="999"/>
        <v>0</v>
      </c>
    </row>
    <row r="3241" spans="1:29" x14ac:dyDescent="0.25">
      <c r="D3241" t="s">
        <v>75</v>
      </c>
      <c r="E3241" s="14"/>
      <c r="F3241" s="14"/>
      <c r="G3241">
        <f>IFERROR(HLOOKUP(G$2,[98]table_female_hkom2_inj.ill_X3!$A$1:$K$36,7,FALSE),0)</f>
        <v>0</v>
      </c>
      <c r="H3241">
        <f>IFERROR(HLOOKUP(H$2,[98]table_female_hkom2_inj.ill_X3!$A$1:$K$36,7,FALSE),0)</f>
        <v>0</v>
      </c>
      <c r="I3241">
        <f>IFERROR(HLOOKUP(I$2,[98]table_female_hkom2_inj.ill_X3!$A$1:$K$36,7,FALSE),0)</f>
        <v>0</v>
      </c>
      <c r="J3241">
        <f>IFERROR(HLOOKUP(J$2,[98]table_female_hkom2_inj.ill_X3!$A$1:$K$36,7,FALSE),0)</f>
        <v>0</v>
      </c>
      <c r="K3241">
        <f>IFERROR(HLOOKUP(K$2,[98]table_female_hkom2_inj.ill_X3!$A$1:$K$36,7,FALSE),0)</f>
        <v>0</v>
      </c>
      <c r="L3241">
        <f>IFERROR(HLOOKUP(L$2,[98]table_female_hkom2_inj.ill_X3!$A$1:$K$36,7,FALSE),0)</f>
        <v>0</v>
      </c>
      <c r="M3241">
        <f t="shared" si="1011"/>
        <v>0</v>
      </c>
      <c r="S3241" t="s">
        <v>75</v>
      </c>
      <c r="T3241" s="5">
        <f t="shared" si="1012"/>
        <v>0</v>
      </c>
      <c r="U3241" s="5">
        <f t="shared" si="1013"/>
        <v>0</v>
      </c>
      <c r="V3241" s="5">
        <f t="shared" si="1014"/>
        <v>0</v>
      </c>
      <c r="W3241" s="5">
        <f t="shared" si="1015"/>
        <v>0</v>
      </c>
      <c r="X3241" s="5">
        <f t="shared" si="1016"/>
        <v>0</v>
      </c>
      <c r="Y3241" s="5">
        <f t="shared" si="1017"/>
        <v>0</v>
      </c>
      <c r="Z3241" s="5">
        <f t="shared" si="1018"/>
        <v>0</v>
      </c>
      <c r="AA3241" s="5">
        <f t="shared" si="1019"/>
        <v>0</v>
      </c>
      <c r="AB3241" s="5">
        <f t="shared" si="999"/>
        <v>0</v>
      </c>
    </row>
    <row r="3242" spans="1:29" x14ac:dyDescent="0.25">
      <c r="D3242" t="s">
        <v>76</v>
      </c>
      <c r="E3242" s="14"/>
      <c r="F3242" s="14"/>
      <c r="G3242">
        <f>IFERROR(HLOOKUP(G$2,[98]table_female_hkom2_inj.ill_X3!$A$1:$K$36,8,FALSE),0)</f>
        <v>0</v>
      </c>
      <c r="H3242">
        <f>IFERROR(HLOOKUP(H$2,[98]table_female_hkom2_inj.ill_X3!$A$1:$K$36,8,FALSE),0)</f>
        <v>0</v>
      </c>
      <c r="I3242">
        <f>IFERROR(HLOOKUP(I$2,[98]table_female_hkom2_inj.ill_X3!$A$1:$K$36,8,FALSE),0)</f>
        <v>0</v>
      </c>
      <c r="J3242">
        <f>IFERROR(HLOOKUP(J$2,[98]table_female_hkom2_inj.ill_X3!$A$1:$K$36,8,FALSE),0)</f>
        <v>0</v>
      </c>
      <c r="K3242">
        <f>IFERROR(HLOOKUP(K$2,[98]table_female_hkom2_inj.ill_X3!$A$1:$K$36,8,FALSE),0)</f>
        <v>0</v>
      </c>
      <c r="L3242">
        <f>IFERROR(HLOOKUP(L$2,[98]table_female_hkom2_inj.ill_X3!$A$1:$K$36,8,FALSE),0)</f>
        <v>0</v>
      </c>
      <c r="M3242">
        <f t="shared" si="1011"/>
        <v>0</v>
      </c>
      <c r="S3242" t="s">
        <v>76</v>
      </c>
      <c r="T3242" s="5">
        <f t="shared" si="1012"/>
        <v>0</v>
      </c>
      <c r="U3242" s="5">
        <f t="shared" si="1013"/>
        <v>0</v>
      </c>
      <c r="V3242" s="5">
        <f t="shared" si="1014"/>
        <v>0</v>
      </c>
      <c r="W3242" s="5">
        <f t="shared" si="1015"/>
        <v>0</v>
      </c>
      <c r="X3242" s="5">
        <f t="shared" si="1016"/>
        <v>0</v>
      </c>
      <c r="Y3242" s="5">
        <f t="shared" si="1017"/>
        <v>0</v>
      </c>
      <c r="Z3242" s="5">
        <f t="shared" si="1018"/>
        <v>0</v>
      </c>
      <c r="AA3242" s="5">
        <f t="shared" si="1019"/>
        <v>0</v>
      </c>
      <c r="AB3242" s="5">
        <f t="shared" si="999"/>
        <v>0</v>
      </c>
    </row>
    <row r="3243" spans="1:29" x14ac:dyDescent="0.25">
      <c r="D3243" t="s">
        <v>77</v>
      </c>
      <c r="E3243" s="14"/>
      <c r="F3243" s="14"/>
      <c r="G3243">
        <f>IFERROR(HLOOKUP(G$2,[98]table_female_hkom2_inj.ill_X3!$A$1:$K$36,9,FALSE),0)</f>
        <v>0</v>
      </c>
      <c r="H3243">
        <f>IFERROR(HLOOKUP(H$2,[98]table_female_hkom2_inj.ill_X3!$A$1:$K$36,9,FALSE),0)</f>
        <v>0</v>
      </c>
      <c r="I3243">
        <f>IFERROR(HLOOKUP(I$2,[98]table_female_hkom2_inj.ill_X3!$A$1:$K$36,9,FALSE),0)</f>
        <v>0</v>
      </c>
      <c r="J3243">
        <f>IFERROR(HLOOKUP(J$2,[98]table_female_hkom2_inj.ill_X3!$A$1:$K$36,9,FALSE),0)</f>
        <v>0</v>
      </c>
      <c r="K3243">
        <f>IFERROR(HLOOKUP(K$2,[98]table_female_hkom2_inj.ill_X3!$A$1:$K$36,9,FALSE),0)</f>
        <v>0</v>
      </c>
      <c r="L3243">
        <f>IFERROR(HLOOKUP(L$2,[98]table_female_hkom2_inj.ill_X3!$A$1:$K$36,9,FALSE),0)</f>
        <v>0</v>
      </c>
      <c r="M3243">
        <f t="shared" si="1011"/>
        <v>0</v>
      </c>
      <c r="S3243" t="s">
        <v>77</v>
      </c>
      <c r="T3243" s="5">
        <f t="shared" si="1012"/>
        <v>0</v>
      </c>
      <c r="U3243" s="5">
        <f t="shared" si="1013"/>
        <v>0</v>
      </c>
      <c r="V3243" s="5">
        <f t="shared" si="1014"/>
        <v>0</v>
      </c>
      <c r="W3243" s="5">
        <f t="shared" si="1015"/>
        <v>0</v>
      </c>
      <c r="X3243" s="5">
        <f t="shared" si="1016"/>
        <v>0</v>
      </c>
      <c r="Y3243" s="5">
        <f t="shared" si="1017"/>
        <v>0</v>
      </c>
      <c r="Z3243" s="5">
        <f t="shared" si="1018"/>
        <v>0</v>
      </c>
      <c r="AA3243" s="5">
        <f t="shared" si="1019"/>
        <v>0</v>
      </c>
      <c r="AB3243" s="5">
        <f t="shared" ref="AB3243:AB3306" si="1020">SUM(T3243:AA3243)</f>
        <v>0</v>
      </c>
    </row>
    <row r="3244" spans="1:29" x14ac:dyDescent="0.25">
      <c r="D3244" t="s">
        <v>78</v>
      </c>
      <c r="E3244" s="14"/>
      <c r="F3244" s="14"/>
      <c r="G3244">
        <f>IFERROR(HLOOKUP(G$2,[98]table_female_hkom2_inj.ill_X3!$A$1:$K$36,10,FALSE),0)</f>
        <v>0</v>
      </c>
      <c r="H3244">
        <f>IFERROR(HLOOKUP(H$2,[98]table_female_hkom2_inj.ill_X3!$A$1:$K$36,10,FALSE),0)</f>
        <v>0</v>
      </c>
      <c r="I3244">
        <f>IFERROR(HLOOKUP(I$2,[98]table_female_hkom2_inj.ill_X3!$A$1:$K$36,10,FALSE),0)</f>
        <v>0</v>
      </c>
      <c r="J3244">
        <f>IFERROR(HLOOKUP(J$2,[98]table_female_hkom2_inj.ill_X3!$A$1:$K$36,10,FALSE),0)</f>
        <v>0</v>
      </c>
      <c r="K3244">
        <f>IFERROR(HLOOKUP(K$2,[98]table_female_hkom2_inj.ill_X3!$A$1:$K$36,10,FALSE),0)</f>
        <v>0</v>
      </c>
      <c r="L3244">
        <f>IFERROR(HLOOKUP(L$2,[98]table_female_hkom2_inj.ill_X3!$A$1:$K$36,10,FALSE),0)</f>
        <v>0</v>
      </c>
      <c r="M3244">
        <f t="shared" si="1011"/>
        <v>0</v>
      </c>
      <c r="S3244" t="s">
        <v>78</v>
      </c>
      <c r="T3244" s="5">
        <f t="shared" si="1012"/>
        <v>0</v>
      </c>
      <c r="U3244" s="5">
        <f t="shared" si="1013"/>
        <v>0</v>
      </c>
      <c r="V3244" s="5">
        <f t="shared" si="1014"/>
        <v>0</v>
      </c>
      <c r="W3244" s="5">
        <f t="shared" si="1015"/>
        <v>0</v>
      </c>
      <c r="X3244" s="5">
        <f t="shared" si="1016"/>
        <v>0</v>
      </c>
      <c r="Y3244" s="5">
        <f t="shared" si="1017"/>
        <v>0</v>
      </c>
      <c r="Z3244" s="5">
        <f t="shared" si="1018"/>
        <v>0</v>
      </c>
      <c r="AA3244" s="5">
        <f t="shared" si="1019"/>
        <v>0</v>
      </c>
      <c r="AB3244" s="5">
        <f t="shared" si="1020"/>
        <v>0</v>
      </c>
    </row>
    <row r="3245" spans="1:29" x14ac:dyDescent="0.25">
      <c r="D3245" t="s">
        <v>79</v>
      </c>
      <c r="E3245" s="14"/>
      <c r="F3245" s="14"/>
      <c r="G3245">
        <f>IFERROR(HLOOKUP(G$2,[98]table_female_hkom2_inj.ill_X3!$A$1:$K$36,11,FALSE),0)</f>
        <v>0</v>
      </c>
      <c r="H3245">
        <f>IFERROR(HLOOKUP(H$2,[98]table_female_hkom2_inj.ill_X3!$A$1:$K$36,11,FALSE),0)</f>
        <v>0</v>
      </c>
      <c r="I3245">
        <f>IFERROR(HLOOKUP(I$2,[98]table_female_hkom2_inj.ill_X3!$A$1:$K$36,11,FALSE),0)</f>
        <v>0</v>
      </c>
      <c r="J3245">
        <f>IFERROR(HLOOKUP(J$2,[98]table_female_hkom2_inj.ill_X3!$A$1:$K$36,11,FALSE),0)</f>
        <v>0</v>
      </c>
      <c r="K3245">
        <f>IFERROR(HLOOKUP(K$2,[98]table_female_hkom2_inj.ill_X3!$A$1:$K$36,11,FALSE),0)</f>
        <v>0</v>
      </c>
      <c r="L3245">
        <f>IFERROR(HLOOKUP(L$2,[98]table_female_hkom2_inj.ill_X3!$A$1:$K$36,11,FALSE),0)</f>
        <v>0</v>
      </c>
      <c r="M3245">
        <f t="shared" si="1011"/>
        <v>0</v>
      </c>
      <c r="S3245" t="s">
        <v>79</v>
      </c>
      <c r="T3245" s="5">
        <f t="shared" si="1012"/>
        <v>0</v>
      </c>
      <c r="U3245" s="5">
        <f t="shared" si="1013"/>
        <v>0</v>
      </c>
      <c r="V3245" s="5">
        <f t="shared" si="1014"/>
        <v>0</v>
      </c>
      <c r="W3245" s="5">
        <f t="shared" si="1015"/>
        <v>0</v>
      </c>
      <c r="X3245" s="5">
        <f t="shared" si="1016"/>
        <v>0</v>
      </c>
      <c r="Y3245" s="5">
        <f t="shared" si="1017"/>
        <v>0</v>
      </c>
      <c r="Z3245" s="5">
        <f t="shared" si="1018"/>
        <v>0</v>
      </c>
      <c r="AA3245" s="5">
        <f t="shared" si="1019"/>
        <v>0</v>
      </c>
      <c r="AB3245" s="5">
        <f t="shared" si="1020"/>
        <v>0</v>
      </c>
    </row>
    <row r="3246" spans="1:29" x14ac:dyDescent="0.25">
      <c r="D3246" t="s">
        <v>80</v>
      </c>
      <c r="E3246" s="14"/>
      <c r="F3246" s="14"/>
      <c r="G3246">
        <f>IFERROR(HLOOKUP(G$2,[98]table_female_hkom2_inj.ill_X3!$A$1:$K$36,12,FALSE),0)</f>
        <v>0</v>
      </c>
      <c r="H3246">
        <f>IFERROR(HLOOKUP(H$2,[98]table_female_hkom2_inj.ill_X3!$A$1:$K$36,12,FALSE),0)</f>
        <v>0</v>
      </c>
      <c r="I3246">
        <f>IFERROR(HLOOKUP(I$2,[98]table_female_hkom2_inj.ill_X3!$A$1:$K$36,12,FALSE),0)</f>
        <v>0</v>
      </c>
      <c r="J3246">
        <f>IFERROR(HLOOKUP(J$2,[98]table_female_hkom2_inj.ill_X3!$A$1:$K$36,12,FALSE),0)</f>
        <v>0</v>
      </c>
      <c r="K3246">
        <f>IFERROR(HLOOKUP(K$2,[98]table_female_hkom2_inj.ill_X3!$A$1:$K$36,12,FALSE),0)</f>
        <v>0</v>
      </c>
      <c r="L3246">
        <f>IFERROR(HLOOKUP(L$2,[98]table_female_hkom2_inj.ill_X3!$A$1:$K$36,12,FALSE),0)</f>
        <v>0</v>
      </c>
      <c r="M3246">
        <f t="shared" si="1011"/>
        <v>0</v>
      </c>
      <c r="S3246" t="s">
        <v>80</v>
      </c>
      <c r="T3246" s="5">
        <f t="shared" si="1012"/>
        <v>0</v>
      </c>
      <c r="U3246" s="5">
        <f t="shared" si="1013"/>
        <v>0</v>
      </c>
      <c r="V3246" s="5">
        <f t="shared" si="1014"/>
        <v>0</v>
      </c>
      <c r="W3246" s="5">
        <f t="shared" si="1015"/>
        <v>0</v>
      </c>
      <c r="X3246" s="5">
        <f t="shared" si="1016"/>
        <v>0</v>
      </c>
      <c r="Y3246" s="5">
        <f t="shared" si="1017"/>
        <v>0</v>
      </c>
      <c r="Z3246" s="5">
        <f t="shared" si="1018"/>
        <v>0</v>
      </c>
      <c r="AA3246" s="5">
        <f t="shared" si="1019"/>
        <v>0</v>
      </c>
      <c r="AB3246" s="5">
        <f t="shared" si="1020"/>
        <v>0</v>
      </c>
    </row>
    <row r="3247" spans="1:29" x14ac:dyDescent="0.25">
      <c r="D3247" t="s">
        <v>81</v>
      </c>
      <c r="E3247" s="14"/>
      <c r="F3247" s="14"/>
      <c r="G3247">
        <f>IFERROR(HLOOKUP(G$2,[98]table_female_hkom2_inj.ill_X3!$A$1:$K$36,13,FALSE),0)</f>
        <v>0</v>
      </c>
      <c r="H3247">
        <f>IFERROR(HLOOKUP(H$2,[98]table_female_hkom2_inj.ill_X3!$A$1:$K$36,13,FALSE),0)</f>
        <v>0</v>
      </c>
      <c r="I3247">
        <f>IFERROR(HLOOKUP(I$2,[98]table_female_hkom2_inj.ill_X3!$A$1:$K$36,13,FALSE),0)</f>
        <v>0</v>
      </c>
      <c r="J3247">
        <f>IFERROR(HLOOKUP(J$2,[98]table_female_hkom2_inj.ill_X3!$A$1:$K$36,13,FALSE),0)</f>
        <v>0</v>
      </c>
      <c r="K3247">
        <f>IFERROR(HLOOKUP(K$2,[98]table_female_hkom2_inj.ill_X3!$A$1:$K$36,13,FALSE),0)</f>
        <v>0</v>
      </c>
      <c r="L3247">
        <f>IFERROR(HLOOKUP(L$2,[98]table_female_hkom2_inj.ill_X3!$A$1:$K$36,13,FALSE),0)</f>
        <v>0</v>
      </c>
      <c r="M3247">
        <f t="shared" si="1011"/>
        <v>0</v>
      </c>
      <c r="S3247" t="s">
        <v>81</v>
      </c>
      <c r="T3247" s="5">
        <f t="shared" si="1012"/>
        <v>0</v>
      </c>
      <c r="U3247" s="5">
        <f t="shared" si="1013"/>
        <v>0</v>
      </c>
      <c r="V3247" s="5">
        <f t="shared" si="1014"/>
        <v>0</v>
      </c>
      <c r="W3247" s="5">
        <f t="shared" si="1015"/>
        <v>0</v>
      </c>
      <c r="X3247" s="5">
        <f t="shared" si="1016"/>
        <v>0</v>
      </c>
      <c r="Y3247" s="5">
        <f t="shared" si="1017"/>
        <v>0</v>
      </c>
      <c r="Z3247" s="5">
        <f t="shared" si="1018"/>
        <v>0</v>
      </c>
      <c r="AA3247" s="5">
        <f t="shared" si="1019"/>
        <v>0</v>
      </c>
      <c r="AB3247" s="5">
        <f t="shared" si="1020"/>
        <v>0</v>
      </c>
    </row>
    <row r="3248" spans="1:29" x14ac:dyDescent="0.25">
      <c r="D3248" t="s">
        <v>82</v>
      </c>
      <c r="E3248" s="14"/>
      <c r="F3248" s="14"/>
      <c r="G3248">
        <f>IFERROR(HLOOKUP(G$2,[98]table_female_hkom2_inj.ill_X3!$A$1:$K$36,14,FALSE),0)</f>
        <v>0</v>
      </c>
      <c r="H3248">
        <f>IFERROR(HLOOKUP(H$2,[98]table_female_hkom2_inj.ill_X3!$A$1:$K$36,14,FALSE),0)</f>
        <v>0</v>
      </c>
      <c r="I3248">
        <f>IFERROR(HLOOKUP(I$2,[98]table_female_hkom2_inj.ill_X3!$A$1:$K$36,14,FALSE),0)</f>
        <v>0</v>
      </c>
      <c r="J3248">
        <f>IFERROR(HLOOKUP(J$2,[98]table_female_hkom2_inj.ill_X3!$A$1:$K$36,14,FALSE),0)</f>
        <v>0</v>
      </c>
      <c r="K3248">
        <f>IFERROR(HLOOKUP(K$2,[98]table_female_hkom2_inj.ill_X3!$A$1:$K$36,14,FALSE),0)</f>
        <v>0</v>
      </c>
      <c r="L3248">
        <f>IFERROR(HLOOKUP(L$2,[98]table_female_hkom2_inj.ill_X3!$A$1:$K$36,14,FALSE),0)</f>
        <v>0</v>
      </c>
      <c r="M3248">
        <f t="shared" si="1011"/>
        <v>0</v>
      </c>
      <c r="S3248" t="s">
        <v>82</v>
      </c>
      <c r="T3248" s="5">
        <f t="shared" si="1012"/>
        <v>0</v>
      </c>
      <c r="U3248" s="5">
        <f t="shared" si="1013"/>
        <v>0</v>
      </c>
      <c r="V3248" s="5">
        <f t="shared" si="1014"/>
        <v>0</v>
      </c>
      <c r="W3248" s="5">
        <f t="shared" si="1015"/>
        <v>0</v>
      </c>
      <c r="X3248" s="5">
        <f t="shared" si="1016"/>
        <v>0</v>
      </c>
      <c r="Y3248" s="5">
        <f t="shared" si="1017"/>
        <v>0</v>
      </c>
      <c r="Z3248" s="5">
        <f t="shared" si="1018"/>
        <v>0</v>
      </c>
      <c r="AA3248" s="5">
        <f t="shared" si="1019"/>
        <v>0</v>
      </c>
      <c r="AB3248" s="5">
        <f t="shared" si="1020"/>
        <v>0</v>
      </c>
    </row>
    <row r="3249" spans="4:28" x14ac:dyDescent="0.25">
      <c r="D3249" t="s">
        <v>83</v>
      </c>
      <c r="E3249" s="14"/>
      <c r="F3249" s="14"/>
      <c r="G3249">
        <f>IFERROR(HLOOKUP(G$2,[98]table_female_hkom2_inj.ill_X3!$A$1:$K$36,15,FALSE),0)</f>
        <v>0</v>
      </c>
      <c r="H3249">
        <f>IFERROR(HLOOKUP(H$2,[98]table_female_hkom2_inj.ill_X3!$A$1:$K$36,15,FALSE),0)</f>
        <v>0</v>
      </c>
      <c r="I3249">
        <f>IFERROR(HLOOKUP(I$2,[98]table_female_hkom2_inj.ill_X3!$A$1:$K$36,15,FALSE),0)</f>
        <v>0</v>
      </c>
      <c r="J3249">
        <f>IFERROR(HLOOKUP(J$2,[98]table_female_hkom2_inj.ill_X3!$A$1:$K$36,15,FALSE),0)</f>
        <v>0</v>
      </c>
      <c r="K3249">
        <f>IFERROR(HLOOKUP(K$2,[98]table_female_hkom2_inj.ill_X3!$A$1:$K$36,15,FALSE),0)</f>
        <v>0</v>
      </c>
      <c r="L3249">
        <f>IFERROR(HLOOKUP(L$2,[98]table_female_hkom2_inj.ill_X3!$A$1:$K$36,15,FALSE),0)</f>
        <v>0</v>
      </c>
      <c r="M3249">
        <f t="shared" si="1011"/>
        <v>0</v>
      </c>
      <c r="S3249" t="s">
        <v>83</v>
      </c>
      <c r="T3249" s="5">
        <f t="shared" si="1012"/>
        <v>0</v>
      </c>
      <c r="U3249" s="5">
        <f t="shared" si="1013"/>
        <v>0</v>
      </c>
      <c r="V3249" s="5">
        <f t="shared" si="1014"/>
        <v>0</v>
      </c>
      <c r="W3249" s="5">
        <f t="shared" si="1015"/>
        <v>0</v>
      </c>
      <c r="X3249" s="5">
        <f t="shared" si="1016"/>
        <v>0</v>
      </c>
      <c r="Y3249" s="5">
        <f t="shared" si="1017"/>
        <v>0</v>
      </c>
      <c r="Z3249" s="5">
        <f t="shared" si="1018"/>
        <v>0</v>
      </c>
      <c r="AA3249" s="5">
        <f t="shared" si="1019"/>
        <v>0</v>
      </c>
      <c r="AB3249" s="5">
        <f t="shared" si="1020"/>
        <v>0</v>
      </c>
    </row>
    <row r="3250" spans="4:28" x14ac:dyDescent="0.25">
      <c r="D3250" t="s">
        <v>84</v>
      </c>
      <c r="E3250" s="14"/>
      <c r="F3250" s="14"/>
      <c r="G3250">
        <f>IFERROR(HLOOKUP(G$2,[98]table_female_hkom2_inj.ill_X3!$A$1:$K$36,16,FALSE),0)</f>
        <v>0</v>
      </c>
      <c r="H3250">
        <f>IFERROR(HLOOKUP(H$2,[98]table_female_hkom2_inj.ill_X3!$A$1:$K$36,16,FALSE),0)</f>
        <v>0</v>
      </c>
      <c r="I3250">
        <f>IFERROR(HLOOKUP(I$2,[98]table_female_hkom2_inj.ill_X3!$A$1:$K$36,16,FALSE),0)</f>
        <v>0</v>
      </c>
      <c r="J3250">
        <f>IFERROR(HLOOKUP(J$2,[98]table_female_hkom2_inj.ill_X3!$A$1:$K$36,16,FALSE),0)</f>
        <v>0</v>
      </c>
      <c r="K3250">
        <f>IFERROR(HLOOKUP(K$2,[98]table_female_hkom2_inj.ill_X3!$A$1:$K$36,16,FALSE),0)</f>
        <v>0</v>
      </c>
      <c r="L3250">
        <f>IFERROR(HLOOKUP(L$2,[98]table_female_hkom2_inj.ill_X3!$A$1:$K$36,16,FALSE),0)</f>
        <v>0</v>
      </c>
      <c r="M3250">
        <f t="shared" si="1011"/>
        <v>0</v>
      </c>
      <c r="S3250" t="s">
        <v>84</v>
      </c>
      <c r="T3250" s="5">
        <f t="shared" si="1012"/>
        <v>0</v>
      </c>
      <c r="U3250" s="5">
        <f t="shared" si="1013"/>
        <v>0</v>
      </c>
      <c r="V3250" s="5">
        <f t="shared" si="1014"/>
        <v>0</v>
      </c>
      <c r="W3250" s="5">
        <f t="shared" si="1015"/>
        <v>0</v>
      </c>
      <c r="X3250" s="5">
        <f t="shared" si="1016"/>
        <v>0</v>
      </c>
      <c r="Y3250" s="5">
        <f t="shared" si="1017"/>
        <v>0</v>
      </c>
      <c r="Z3250" s="5">
        <f t="shared" si="1018"/>
        <v>0</v>
      </c>
      <c r="AA3250" s="5">
        <f t="shared" si="1019"/>
        <v>0</v>
      </c>
      <c r="AB3250" s="5">
        <f t="shared" si="1020"/>
        <v>0</v>
      </c>
    </row>
    <row r="3251" spans="4:28" x14ac:dyDescent="0.25">
      <c r="D3251" t="s">
        <v>85</v>
      </c>
      <c r="E3251" s="14"/>
      <c r="F3251" s="14"/>
      <c r="G3251">
        <f>IFERROR(HLOOKUP(G$2,[98]table_female_hkom2_inj.ill_X3!$A$1:$K$36,17,FALSE),0)</f>
        <v>0</v>
      </c>
      <c r="H3251">
        <f>IFERROR(HLOOKUP(H$2,[98]table_female_hkom2_inj.ill_X3!$A$1:$K$36,17,FALSE),0)</f>
        <v>0</v>
      </c>
      <c r="I3251">
        <f>IFERROR(HLOOKUP(I$2,[98]table_female_hkom2_inj.ill_X3!$A$1:$K$36,17,FALSE),0)</f>
        <v>0</v>
      </c>
      <c r="J3251">
        <f>IFERROR(HLOOKUP(J$2,[98]table_female_hkom2_inj.ill_X3!$A$1:$K$36,17,FALSE),0)</f>
        <v>0</v>
      </c>
      <c r="K3251">
        <f>IFERROR(HLOOKUP(K$2,[98]table_female_hkom2_inj.ill_X3!$A$1:$K$36,17,FALSE),0)</f>
        <v>0</v>
      </c>
      <c r="L3251">
        <f>IFERROR(HLOOKUP(L$2,[98]table_female_hkom2_inj.ill_X3!$A$1:$K$36,17,FALSE),0)</f>
        <v>0</v>
      </c>
      <c r="M3251">
        <f t="shared" si="1011"/>
        <v>0</v>
      </c>
      <c r="S3251" t="s">
        <v>85</v>
      </c>
      <c r="T3251" s="5">
        <f t="shared" si="1012"/>
        <v>0</v>
      </c>
      <c r="U3251" s="5">
        <f t="shared" si="1013"/>
        <v>0</v>
      </c>
      <c r="V3251" s="5">
        <f t="shared" si="1014"/>
        <v>0</v>
      </c>
      <c r="W3251" s="5">
        <f t="shared" si="1015"/>
        <v>0</v>
      </c>
      <c r="X3251" s="5">
        <f t="shared" si="1016"/>
        <v>0</v>
      </c>
      <c r="Y3251" s="5">
        <f t="shared" si="1017"/>
        <v>0</v>
      </c>
      <c r="Z3251" s="5">
        <f t="shared" si="1018"/>
        <v>0</v>
      </c>
      <c r="AA3251" s="5">
        <f t="shared" si="1019"/>
        <v>0</v>
      </c>
      <c r="AB3251" s="5">
        <f t="shared" si="1020"/>
        <v>0</v>
      </c>
    </row>
    <row r="3252" spans="4:28" x14ac:dyDescent="0.25">
      <c r="D3252" t="s">
        <v>86</v>
      </c>
      <c r="E3252" s="14"/>
      <c r="F3252" s="14"/>
      <c r="G3252">
        <f>IFERROR(HLOOKUP(G$2,[98]table_female_hkom2_inj.ill_X3!$A$1:$K$36,18,FALSE),0)</f>
        <v>0</v>
      </c>
      <c r="H3252">
        <f>IFERROR(HLOOKUP(H$2,[98]table_female_hkom2_inj.ill_X3!$A$1:$K$36,18,FALSE),0)</f>
        <v>0</v>
      </c>
      <c r="I3252">
        <f>IFERROR(HLOOKUP(I$2,[98]table_female_hkom2_inj.ill_X3!$A$1:$K$36,18,FALSE),0)</f>
        <v>0</v>
      </c>
      <c r="J3252">
        <f>IFERROR(HLOOKUP(J$2,[98]table_female_hkom2_inj.ill_X3!$A$1:$K$36,18,FALSE),0)</f>
        <v>0</v>
      </c>
      <c r="K3252">
        <f>IFERROR(HLOOKUP(K$2,[98]table_female_hkom2_inj.ill_X3!$A$1:$K$36,18,FALSE),0)</f>
        <v>0</v>
      </c>
      <c r="L3252">
        <f>IFERROR(HLOOKUP(L$2,[98]table_female_hkom2_inj.ill_X3!$A$1:$K$36,18,FALSE),0)</f>
        <v>0</v>
      </c>
      <c r="M3252">
        <f t="shared" si="1011"/>
        <v>0</v>
      </c>
      <c r="S3252" t="s">
        <v>86</v>
      </c>
      <c r="T3252" s="5">
        <f t="shared" si="1012"/>
        <v>0</v>
      </c>
      <c r="U3252" s="5">
        <f t="shared" si="1013"/>
        <v>0</v>
      </c>
      <c r="V3252" s="5">
        <f t="shared" si="1014"/>
        <v>0</v>
      </c>
      <c r="W3252" s="5">
        <f t="shared" si="1015"/>
        <v>0</v>
      </c>
      <c r="X3252" s="5">
        <f t="shared" si="1016"/>
        <v>0</v>
      </c>
      <c r="Y3252" s="5">
        <f t="shared" si="1017"/>
        <v>0</v>
      </c>
      <c r="Z3252" s="5">
        <f t="shared" si="1018"/>
        <v>0</v>
      </c>
      <c r="AA3252" s="5">
        <f t="shared" si="1019"/>
        <v>0</v>
      </c>
      <c r="AB3252" s="5">
        <f t="shared" si="1020"/>
        <v>0</v>
      </c>
    </row>
    <row r="3253" spans="4:28" x14ac:dyDescent="0.25">
      <c r="D3253" t="s">
        <v>87</v>
      </c>
      <c r="E3253" s="14"/>
      <c r="F3253" s="14"/>
      <c r="G3253">
        <f>IFERROR(HLOOKUP(G$2,[98]table_female_hkom2_inj.ill_X3!$A$1:$K$36,19,FALSE),0)</f>
        <v>0</v>
      </c>
      <c r="H3253">
        <f>IFERROR(HLOOKUP(H$2,[98]table_female_hkom2_inj.ill_X3!$A$1:$K$36,19,FALSE),0)</f>
        <v>0</v>
      </c>
      <c r="I3253">
        <f>IFERROR(HLOOKUP(I$2,[98]table_female_hkom2_inj.ill_X3!$A$1:$K$36,19,FALSE),0)</f>
        <v>0</v>
      </c>
      <c r="J3253">
        <f>IFERROR(HLOOKUP(J$2,[98]table_female_hkom2_inj.ill_X3!$A$1:$K$36,19,FALSE),0)</f>
        <v>0</v>
      </c>
      <c r="K3253">
        <f>IFERROR(HLOOKUP(K$2,[98]table_female_hkom2_inj.ill_X3!$A$1:$K$36,19,FALSE),0)</f>
        <v>0</v>
      </c>
      <c r="L3253">
        <f>IFERROR(HLOOKUP(L$2,[98]table_female_hkom2_inj.ill_X3!$A$1:$K$36,19,FALSE),0)</f>
        <v>0</v>
      </c>
      <c r="M3253">
        <f t="shared" si="1011"/>
        <v>0</v>
      </c>
      <c r="S3253" t="s">
        <v>87</v>
      </c>
      <c r="T3253" s="5">
        <f t="shared" si="1012"/>
        <v>0</v>
      </c>
      <c r="U3253" s="5">
        <f t="shared" si="1013"/>
        <v>0</v>
      </c>
      <c r="V3253" s="5">
        <f t="shared" si="1014"/>
        <v>0</v>
      </c>
      <c r="W3253" s="5">
        <f t="shared" si="1015"/>
        <v>0</v>
      </c>
      <c r="X3253" s="5">
        <f t="shared" si="1016"/>
        <v>0</v>
      </c>
      <c r="Y3253" s="5">
        <f t="shared" si="1017"/>
        <v>0</v>
      </c>
      <c r="Z3253" s="5">
        <f t="shared" si="1018"/>
        <v>0</v>
      </c>
      <c r="AA3253" s="5">
        <f t="shared" si="1019"/>
        <v>0</v>
      </c>
      <c r="AB3253" s="5">
        <f t="shared" si="1020"/>
        <v>0</v>
      </c>
    </row>
    <row r="3254" spans="4:28" x14ac:dyDescent="0.25">
      <c r="D3254" t="s">
        <v>88</v>
      </c>
      <c r="E3254" s="14"/>
      <c r="F3254" s="14"/>
      <c r="G3254">
        <f>IFERROR(HLOOKUP(G$2,[98]table_female_hkom2_inj.ill_X3!$A$1:$K$36,20,FALSE),0)</f>
        <v>0</v>
      </c>
      <c r="H3254">
        <f>IFERROR(HLOOKUP(H$2,[98]table_female_hkom2_inj.ill_X3!$A$1:$K$36,20,FALSE),0)</f>
        <v>0</v>
      </c>
      <c r="I3254">
        <f>IFERROR(HLOOKUP(I$2,[98]table_female_hkom2_inj.ill_X3!$A$1:$K$36,20,FALSE),0)</f>
        <v>0</v>
      </c>
      <c r="J3254">
        <f>IFERROR(HLOOKUP(J$2,[98]table_female_hkom2_inj.ill_X3!$A$1:$K$36,20,FALSE),0)</f>
        <v>0</v>
      </c>
      <c r="K3254">
        <f>IFERROR(HLOOKUP(K$2,[98]table_female_hkom2_inj.ill_X3!$A$1:$K$36,20,FALSE),0)</f>
        <v>0</v>
      </c>
      <c r="L3254">
        <f>IFERROR(HLOOKUP(L$2,[98]table_female_hkom2_inj.ill_X3!$A$1:$K$36,20,FALSE),0)</f>
        <v>0</v>
      </c>
      <c r="M3254">
        <f t="shared" si="1011"/>
        <v>0</v>
      </c>
      <c r="S3254" t="s">
        <v>88</v>
      </c>
      <c r="T3254" s="5">
        <f t="shared" si="1012"/>
        <v>0</v>
      </c>
      <c r="U3254" s="5">
        <f t="shared" si="1013"/>
        <v>0</v>
      </c>
      <c r="V3254" s="5">
        <f t="shared" si="1014"/>
        <v>0</v>
      </c>
      <c r="W3254" s="5">
        <f t="shared" si="1015"/>
        <v>0</v>
      </c>
      <c r="X3254" s="5">
        <f t="shared" si="1016"/>
        <v>0</v>
      </c>
      <c r="Y3254" s="5">
        <f t="shared" si="1017"/>
        <v>0</v>
      </c>
      <c r="Z3254" s="5">
        <f t="shared" si="1018"/>
        <v>0</v>
      </c>
      <c r="AA3254" s="5">
        <f t="shared" si="1019"/>
        <v>0</v>
      </c>
      <c r="AB3254" s="5">
        <f t="shared" si="1020"/>
        <v>0</v>
      </c>
    </row>
    <row r="3255" spans="4:28" x14ac:dyDescent="0.25">
      <c r="D3255" t="s">
        <v>89</v>
      </c>
      <c r="E3255" s="14"/>
      <c r="F3255" s="14"/>
      <c r="G3255">
        <f>IFERROR(HLOOKUP(G$2,[98]table_female_hkom2_inj.ill_X3!$A$1:$K$36,21,FALSE),0)</f>
        <v>0</v>
      </c>
      <c r="H3255">
        <f>IFERROR(HLOOKUP(H$2,[98]table_female_hkom2_inj.ill_X3!$A$1:$K$36,21,FALSE),0)</f>
        <v>0</v>
      </c>
      <c r="I3255">
        <f>IFERROR(HLOOKUP(I$2,[98]table_female_hkom2_inj.ill_X3!$A$1:$K$36,21,FALSE),0)</f>
        <v>0</v>
      </c>
      <c r="J3255">
        <f>IFERROR(HLOOKUP(J$2,[98]table_female_hkom2_inj.ill_X3!$A$1:$K$36,21,FALSE),0)</f>
        <v>0</v>
      </c>
      <c r="K3255">
        <f>IFERROR(HLOOKUP(K$2,[98]table_female_hkom2_inj.ill_X3!$A$1:$K$36,21,FALSE),0)</f>
        <v>0</v>
      </c>
      <c r="L3255">
        <f>IFERROR(HLOOKUP(L$2,[98]table_female_hkom2_inj.ill_X3!$A$1:$K$36,21,FALSE),0)</f>
        <v>0</v>
      </c>
      <c r="M3255">
        <f t="shared" si="1011"/>
        <v>0</v>
      </c>
      <c r="S3255" t="s">
        <v>89</v>
      </c>
      <c r="T3255" s="5">
        <f t="shared" si="1012"/>
        <v>0</v>
      </c>
      <c r="U3255" s="5">
        <f t="shared" si="1013"/>
        <v>0</v>
      </c>
      <c r="V3255" s="5">
        <f t="shared" si="1014"/>
        <v>0</v>
      </c>
      <c r="W3255" s="5">
        <f t="shared" si="1015"/>
        <v>0</v>
      </c>
      <c r="X3255" s="5">
        <f t="shared" si="1016"/>
        <v>0</v>
      </c>
      <c r="Y3255" s="5">
        <f t="shared" si="1017"/>
        <v>0</v>
      </c>
      <c r="Z3255" s="5">
        <f t="shared" si="1018"/>
        <v>0</v>
      </c>
      <c r="AA3255" s="5">
        <f t="shared" si="1019"/>
        <v>0</v>
      </c>
      <c r="AB3255" s="5">
        <f t="shared" si="1020"/>
        <v>0</v>
      </c>
    </row>
    <row r="3256" spans="4:28" x14ac:dyDescent="0.25">
      <c r="D3256" t="s">
        <v>90</v>
      </c>
      <c r="E3256" s="14"/>
      <c r="F3256" s="14"/>
      <c r="G3256">
        <f>IFERROR(HLOOKUP(G$2,[98]table_female_hkom2_inj.ill_X3!$A$1:$K$36,22,FALSE),0)</f>
        <v>0</v>
      </c>
      <c r="H3256">
        <f>IFERROR(HLOOKUP(H$2,[98]table_female_hkom2_inj.ill_X3!$A$1:$K$36,22,FALSE),0)</f>
        <v>0</v>
      </c>
      <c r="I3256">
        <f>IFERROR(HLOOKUP(I$2,[98]table_female_hkom2_inj.ill_X3!$A$1:$K$36,22,FALSE),0)</f>
        <v>0</v>
      </c>
      <c r="J3256">
        <f>IFERROR(HLOOKUP(J$2,[98]table_female_hkom2_inj.ill_X3!$A$1:$K$36,22,FALSE),0)</f>
        <v>0</v>
      </c>
      <c r="K3256">
        <f>IFERROR(HLOOKUP(K$2,[98]table_female_hkom2_inj.ill_X3!$A$1:$K$36,22,FALSE),0)</f>
        <v>0</v>
      </c>
      <c r="L3256">
        <f>IFERROR(HLOOKUP(L$2,[98]table_female_hkom2_inj.ill_X3!$A$1:$K$36,22,FALSE),0)</f>
        <v>0</v>
      </c>
      <c r="M3256">
        <f t="shared" si="1011"/>
        <v>0</v>
      </c>
      <c r="S3256" t="s">
        <v>90</v>
      </c>
      <c r="T3256" s="5">
        <f t="shared" si="1012"/>
        <v>0</v>
      </c>
      <c r="U3256" s="5">
        <f t="shared" si="1013"/>
        <v>0</v>
      </c>
      <c r="V3256" s="5">
        <f t="shared" si="1014"/>
        <v>0</v>
      </c>
      <c r="W3256" s="5">
        <f t="shared" si="1015"/>
        <v>0</v>
      </c>
      <c r="X3256" s="5">
        <f t="shared" si="1016"/>
        <v>0</v>
      </c>
      <c r="Y3256" s="5">
        <f t="shared" si="1017"/>
        <v>0</v>
      </c>
      <c r="Z3256" s="5">
        <f t="shared" si="1018"/>
        <v>0</v>
      </c>
      <c r="AA3256" s="5">
        <f t="shared" si="1019"/>
        <v>0</v>
      </c>
      <c r="AB3256" s="5">
        <f t="shared" si="1020"/>
        <v>0</v>
      </c>
    </row>
    <row r="3257" spans="4:28" x14ac:dyDescent="0.25">
      <c r="D3257" t="s">
        <v>91</v>
      </c>
      <c r="E3257" s="14"/>
      <c r="F3257" s="14"/>
      <c r="G3257">
        <f>IFERROR(HLOOKUP(G$2,[98]table_female_hkom2_inj.ill_X3!$A$1:$K$36,23,FALSE),0)</f>
        <v>0</v>
      </c>
      <c r="H3257">
        <f>IFERROR(HLOOKUP(H$2,[98]table_female_hkom2_inj.ill_X3!$A$1:$K$36,23,FALSE),0)</f>
        <v>0</v>
      </c>
      <c r="I3257">
        <f>IFERROR(HLOOKUP(I$2,[98]table_female_hkom2_inj.ill_X3!$A$1:$K$36,23,FALSE),0)</f>
        <v>0</v>
      </c>
      <c r="J3257">
        <f>IFERROR(HLOOKUP(J$2,[98]table_female_hkom2_inj.ill_X3!$A$1:$K$36,23,FALSE),0)</f>
        <v>0</v>
      </c>
      <c r="K3257">
        <f>IFERROR(HLOOKUP(K$2,[98]table_female_hkom2_inj.ill_X3!$A$1:$K$36,23,FALSE),0)</f>
        <v>0</v>
      </c>
      <c r="L3257">
        <f>IFERROR(HLOOKUP(L$2,[98]table_female_hkom2_inj.ill_X3!$A$1:$K$36,23,FALSE),0)</f>
        <v>0</v>
      </c>
      <c r="M3257">
        <f t="shared" si="1011"/>
        <v>0</v>
      </c>
      <c r="S3257" t="s">
        <v>91</v>
      </c>
      <c r="T3257" s="5">
        <f t="shared" si="1012"/>
        <v>0</v>
      </c>
      <c r="U3257" s="5">
        <f t="shared" si="1013"/>
        <v>0</v>
      </c>
      <c r="V3257" s="5">
        <f t="shared" si="1014"/>
        <v>0</v>
      </c>
      <c r="W3257" s="5">
        <f t="shared" si="1015"/>
        <v>0</v>
      </c>
      <c r="X3257" s="5">
        <f t="shared" si="1016"/>
        <v>0</v>
      </c>
      <c r="Y3257" s="5">
        <f t="shared" si="1017"/>
        <v>0</v>
      </c>
      <c r="Z3257" s="5">
        <f t="shared" si="1018"/>
        <v>0</v>
      </c>
      <c r="AA3257" s="5">
        <f t="shared" si="1019"/>
        <v>0</v>
      </c>
      <c r="AB3257" s="5">
        <f t="shared" si="1020"/>
        <v>0</v>
      </c>
    </row>
    <row r="3258" spans="4:28" x14ac:dyDescent="0.25">
      <c r="D3258" t="s">
        <v>92</v>
      </c>
      <c r="E3258" s="14"/>
      <c r="F3258" s="14"/>
      <c r="G3258">
        <f>IFERROR(HLOOKUP(G$2,[98]table_female_hkom2_inj.ill_X3!$A$1:$K$36,24,FALSE),0)</f>
        <v>0</v>
      </c>
      <c r="H3258">
        <f>IFERROR(HLOOKUP(H$2,[98]table_female_hkom2_inj.ill_X3!$A$1:$K$36,24,FALSE),0)</f>
        <v>0</v>
      </c>
      <c r="I3258">
        <f>IFERROR(HLOOKUP(I$2,[98]table_female_hkom2_inj.ill_X3!$A$1:$K$36,24,FALSE),0)</f>
        <v>0</v>
      </c>
      <c r="J3258">
        <f>IFERROR(HLOOKUP(J$2,[98]table_female_hkom2_inj.ill_X3!$A$1:$K$36,24,FALSE),0)</f>
        <v>0</v>
      </c>
      <c r="K3258">
        <f>IFERROR(HLOOKUP(K$2,[98]table_female_hkom2_inj.ill_X3!$A$1:$K$36,24,FALSE),0)</f>
        <v>0</v>
      </c>
      <c r="L3258">
        <f>IFERROR(HLOOKUP(L$2,[98]table_female_hkom2_inj.ill_X3!$A$1:$K$36,24,FALSE),0)</f>
        <v>0</v>
      </c>
      <c r="M3258">
        <f t="shared" si="1011"/>
        <v>0</v>
      </c>
      <c r="S3258" t="s">
        <v>92</v>
      </c>
      <c r="T3258" s="5">
        <f t="shared" si="1012"/>
        <v>0</v>
      </c>
      <c r="U3258" s="5">
        <f t="shared" si="1013"/>
        <v>0</v>
      </c>
      <c r="V3258" s="5">
        <f t="shared" si="1014"/>
        <v>0</v>
      </c>
      <c r="W3258" s="5">
        <f t="shared" si="1015"/>
        <v>0</v>
      </c>
      <c r="X3258" s="5">
        <f t="shared" si="1016"/>
        <v>0</v>
      </c>
      <c r="Y3258" s="5">
        <f t="shared" si="1017"/>
        <v>0</v>
      </c>
      <c r="Z3258" s="5">
        <f t="shared" si="1018"/>
        <v>0</v>
      </c>
      <c r="AA3258" s="5">
        <f t="shared" si="1019"/>
        <v>0</v>
      </c>
      <c r="AB3258" s="5">
        <f t="shared" si="1020"/>
        <v>0</v>
      </c>
    </row>
    <row r="3259" spans="4:28" x14ac:dyDescent="0.25">
      <c r="D3259" t="s">
        <v>93</v>
      </c>
      <c r="E3259" s="14"/>
      <c r="F3259" s="14"/>
      <c r="G3259">
        <f>IFERROR(HLOOKUP(G$2,[98]table_female_hkom2_inj.ill_X3!$A$1:$K$36,25,FALSE),0)</f>
        <v>0</v>
      </c>
      <c r="H3259">
        <f>IFERROR(HLOOKUP(H$2,[98]table_female_hkom2_inj.ill_X3!$A$1:$K$36,25,FALSE),0)</f>
        <v>0</v>
      </c>
      <c r="I3259">
        <f>IFERROR(HLOOKUP(I$2,[98]table_female_hkom2_inj.ill_X3!$A$1:$K$36,25,FALSE),0)</f>
        <v>0</v>
      </c>
      <c r="J3259">
        <f>IFERROR(HLOOKUP(J$2,[98]table_female_hkom2_inj.ill_X3!$A$1:$K$36,25,FALSE),0)</f>
        <v>0</v>
      </c>
      <c r="K3259">
        <f>IFERROR(HLOOKUP(K$2,[98]table_female_hkom2_inj.ill_X3!$A$1:$K$36,25,FALSE),0)</f>
        <v>0</v>
      </c>
      <c r="L3259">
        <f>IFERROR(HLOOKUP(L$2,[98]table_female_hkom2_inj.ill_X3!$A$1:$K$36,25,FALSE),0)</f>
        <v>0</v>
      </c>
      <c r="M3259">
        <f t="shared" si="1011"/>
        <v>0</v>
      </c>
      <c r="S3259" t="s">
        <v>93</v>
      </c>
      <c r="T3259" s="5">
        <f t="shared" si="1012"/>
        <v>0</v>
      </c>
      <c r="U3259" s="5">
        <f t="shared" si="1013"/>
        <v>0</v>
      </c>
      <c r="V3259" s="5">
        <f t="shared" si="1014"/>
        <v>0</v>
      </c>
      <c r="W3259" s="5">
        <f t="shared" si="1015"/>
        <v>0</v>
      </c>
      <c r="X3259" s="5">
        <f t="shared" si="1016"/>
        <v>0</v>
      </c>
      <c r="Y3259" s="5">
        <f t="shared" si="1017"/>
        <v>0</v>
      </c>
      <c r="Z3259" s="5">
        <f t="shared" si="1018"/>
        <v>0</v>
      </c>
      <c r="AA3259" s="5">
        <f t="shared" si="1019"/>
        <v>0</v>
      </c>
      <c r="AB3259" s="5">
        <f t="shared" si="1020"/>
        <v>0</v>
      </c>
    </row>
    <row r="3260" spans="4:28" x14ac:dyDescent="0.25">
      <c r="D3260" t="s">
        <v>94</v>
      </c>
      <c r="E3260" s="14"/>
      <c r="F3260" s="14"/>
      <c r="G3260">
        <f>IFERROR(HLOOKUP(G$2,[98]table_female_hkom2_inj.ill_X3!$A$1:$K$36,26,FALSE),0)</f>
        <v>0</v>
      </c>
      <c r="H3260">
        <f>IFERROR(HLOOKUP(H$2,[98]table_female_hkom2_inj.ill_X3!$A$1:$K$36,26,FALSE),0)</f>
        <v>0</v>
      </c>
      <c r="I3260">
        <f>IFERROR(HLOOKUP(I$2,[98]table_female_hkom2_inj.ill_X3!$A$1:$K$36,26,FALSE),0)</f>
        <v>0</v>
      </c>
      <c r="J3260">
        <f>IFERROR(HLOOKUP(J$2,[98]table_female_hkom2_inj.ill_X3!$A$1:$K$36,26,FALSE),0)</f>
        <v>0</v>
      </c>
      <c r="K3260">
        <f>IFERROR(HLOOKUP(K$2,[98]table_female_hkom2_inj.ill_X3!$A$1:$K$36,26,FALSE),0)</f>
        <v>0</v>
      </c>
      <c r="L3260">
        <f>IFERROR(HLOOKUP(L$2,[98]table_female_hkom2_inj.ill_X3!$A$1:$K$36,26,FALSE),0)</f>
        <v>0</v>
      </c>
      <c r="M3260">
        <f t="shared" si="1011"/>
        <v>0</v>
      </c>
      <c r="S3260" t="s">
        <v>94</v>
      </c>
      <c r="T3260" s="5">
        <f t="shared" si="1012"/>
        <v>0</v>
      </c>
      <c r="U3260" s="5">
        <f t="shared" si="1013"/>
        <v>0</v>
      </c>
      <c r="V3260" s="5">
        <f t="shared" si="1014"/>
        <v>0</v>
      </c>
      <c r="W3260" s="5">
        <f t="shared" si="1015"/>
        <v>0</v>
      </c>
      <c r="X3260" s="5">
        <f t="shared" si="1016"/>
        <v>0</v>
      </c>
      <c r="Y3260" s="5">
        <f t="shared" si="1017"/>
        <v>0</v>
      </c>
      <c r="Z3260" s="5">
        <f t="shared" si="1018"/>
        <v>0</v>
      </c>
      <c r="AA3260" s="5">
        <f t="shared" si="1019"/>
        <v>0</v>
      </c>
      <c r="AB3260" s="5">
        <f t="shared" si="1020"/>
        <v>0</v>
      </c>
    </row>
    <row r="3261" spans="4:28" x14ac:dyDescent="0.25">
      <c r="D3261" t="s">
        <v>95</v>
      </c>
      <c r="E3261" s="14"/>
      <c r="F3261" s="14"/>
      <c r="G3261">
        <f>IFERROR(HLOOKUP(G$2,[98]table_female_hkom2_inj.ill_X3!$A$1:$K$36,27,FALSE),0)</f>
        <v>0</v>
      </c>
      <c r="H3261">
        <f>IFERROR(HLOOKUP(H$2,[98]table_female_hkom2_inj.ill_X3!$A$1:$K$36,27,FALSE),0)</f>
        <v>0</v>
      </c>
      <c r="I3261">
        <f>IFERROR(HLOOKUP(I$2,[98]table_female_hkom2_inj.ill_X3!$A$1:$K$36,27,FALSE),0)</f>
        <v>0</v>
      </c>
      <c r="J3261">
        <f>IFERROR(HLOOKUP(J$2,[98]table_female_hkom2_inj.ill_X3!$A$1:$K$36,27,FALSE),0)</f>
        <v>0</v>
      </c>
      <c r="K3261">
        <f>IFERROR(HLOOKUP(K$2,[98]table_female_hkom2_inj.ill_X3!$A$1:$K$36,27,FALSE),0)</f>
        <v>0</v>
      </c>
      <c r="L3261">
        <f>IFERROR(HLOOKUP(L$2,[98]table_female_hkom2_inj.ill_X3!$A$1:$K$36,27,FALSE),0)</f>
        <v>0</v>
      </c>
      <c r="M3261">
        <f t="shared" si="1011"/>
        <v>0</v>
      </c>
      <c r="S3261" t="s">
        <v>95</v>
      </c>
      <c r="T3261" s="5">
        <f t="shared" si="1012"/>
        <v>0</v>
      </c>
      <c r="U3261" s="5">
        <f t="shared" si="1013"/>
        <v>0</v>
      </c>
      <c r="V3261" s="5">
        <f t="shared" si="1014"/>
        <v>0</v>
      </c>
      <c r="W3261" s="5">
        <f t="shared" si="1015"/>
        <v>0</v>
      </c>
      <c r="X3261" s="5">
        <f t="shared" si="1016"/>
        <v>0</v>
      </c>
      <c r="Y3261" s="5">
        <f t="shared" si="1017"/>
        <v>0</v>
      </c>
      <c r="Z3261" s="5">
        <f t="shared" si="1018"/>
        <v>0</v>
      </c>
      <c r="AA3261" s="5">
        <f t="shared" si="1019"/>
        <v>0</v>
      </c>
      <c r="AB3261" s="5">
        <f t="shared" si="1020"/>
        <v>0</v>
      </c>
    </row>
    <row r="3262" spans="4:28" x14ac:dyDescent="0.25">
      <c r="D3262" t="s">
        <v>96</v>
      </c>
      <c r="E3262" s="14"/>
      <c r="F3262" s="14"/>
      <c r="G3262">
        <f>IFERROR(HLOOKUP(G$2,[98]table_female_hkom2_inj.ill_X3!$A$1:$K$36,28,FALSE),0)</f>
        <v>0</v>
      </c>
      <c r="H3262">
        <f>IFERROR(HLOOKUP(H$2,[98]table_female_hkom2_inj.ill_X3!$A$1:$K$36,28,FALSE),0)</f>
        <v>0</v>
      </c>
      <c r="I3262">
        <f>IFERROR(HLOOKUP(I$2,[98]table_female_hkom2_inj.ill_X3!$A$1:$K$36,28,FALSE),0)</f>
        <v>0</v>
      </c>
      <c r="J3262">
        <f>IFERROR(HLOOKUP(J$2,[98]table_female_hkom2_inj.ill_X3!$A$1:$K$36,28,FALSE),0)</f>
        <v>0</v>
      </c>
      <c r="K3262">
        <f>IFERROR(HLOOKUP(K$2,[98]table_female_hkom2_inj.ill_X3!$A$1:$K$36,28,FALSE),0)</f>
        <v>0</v>
      </c>
      <c r="L3262">
        <f>IFERROR(HLOOKUP(L$2,[98]table_female_hkom2_inj.ill_X3!$A$1:$K$36,28,FALSE),0)</f>
        <v>0</v>
      </c>
      <c r="M3262">
        <f t="shared" si="1011"/>
        <v>0</v>
      </c>
      <c r="S3262" t="s">
        <v>96</v>
      </c>
      <c r="T3262" s="5">
        <f t="shared" si="1012"/>
        <v>0</v>
      </c>
      <c r="U3262" s="5">
        <f t="shared" si="1013"/>
        <v>0</v>
      </c>
      <c r="V3262" s="5">
        <f t="shared" si="1014"/>
        <v>0</v>
      </c>
      <c r="W3262" s="5">
        <f t="shared" si="1015"/>
        <v>0</v>
      </c>
      <c r="X3262" s="5">
        <f t="shared" si="1016"/>
        <v>0</v>
      </c>
      <c r="Y3262" s="5">
        <f t="shared" si="1017"/>
        <v>0</v>
      </c>
      <c r="Z3262" s="5">
        <f t="shared" si="1018"/>
        <v>0</v>
      </c>
      <c r="AA3262" s="5">
        <f t="shared" si="1019"/>
        <v>0</v>
      </c>
      <c r="AB3262" s="5">
        <f t="shared" si="1020"/>
        <v>0</v>
      </c>
    </row>
    <row r="3263" spans="4:28" x14ac:dyDescent="0.25">
      <c r="D3263" t="s">
        <v>97</v>
      </c>
      <c r="E3263" s="14"/>
      <c r="F3263" s="14"/>
      <c r="G3263">
        <f>IFERROR(HLOOKUP(G$2,[98]table_female_hkom2_inj.ill_X3!$A$1:$K$36,29,FALSE),0)</f>
        <v>0</v>
      </c>
      <c r="H3263">
        <f>IFERROR(HLOOKUP(H$2,[98]table_female_hkom2_inj.ill_X3!$A$1:$K$36,29,FALSE),0)</f>
        <v>0</v>
      </c>
      <c r="I3263">
        <f>IFERROR(HLOOKUP(I$2,[98]table_female_hkom2_inj.ill_X3!$A$1:$K$36,29,FALSE),0)</f>
        <v>0</v>
      </c>
      <c r="J3263">
        <f>IFERROR(HLOOKUP(J$2,[98]table_female_hkom2_inj.ill_X3!$A$1:$K$36,29,FALSE),0)</f>
        <v>0</v>
      </c>
      <c r="K3263">
        <f>IFERROR(HLOOKUP(K$2,[98]table_female_hkom2_inj.ill_X3!$A$1:$K$36,29,FALSE),0)</f>
        <v>0</v>
      </c>
      <c r="L3263">
        <f>IFERROR(HLOOKUP(L$2,[98]table_female_hkom2_inj.ill_X3!$A$1:$K$36,29,FALSE),0)</f>
        <v>0</v>
      </c>
      <c r="M3263">
        <f t="shared" si="1011"/>
        <v>0</v>
      </c>
      <c r="S3263" t="s">
        <v>97</v>
      </c>
      <c r="T3263" s="5">
        <f t="shared" si="1012"/>
        <v>0</v>
      </c>
      <c r="U3263" s="5">
        <f t="shared" si="1013"/>
        <v>0</v>
      </c>
      <c r="V3263" s="5">
        <f t="shared" si="1014"/>
        <v>0</v>
      </c>
      <c r="W3263" s="5">
        <f t="shared" si="1015"/>
        <v>0</v>
      </c>
      <c r="X3263" s="5">
        <f t="shared" si="1016"/>
        <v>0</v>
      </c>
      <c r="Y3263" s="5">
        <f t="shared" si="1017"/>
        <v>0</v>
      </c>
      <c r="Z3263" s="5">
        <f t="shared" si="1018"/>
        <v>0</v>
      </c>
      <c r="AA3263" s="5">
        <f t="shared" si="1019"/>
        <v>0</v>
      </c>
      <c r="AB3263" s="5">
        <f t="shared" si="1020"/>
        <v>0</v>
      </c>
    </row>
    <row r="3264" spans="4:28" x14ac:dyDescent="0.25">
      <c r="D3264" t="s">
        <v>98</v>
      </c>
      <c r="E3264" s="14"/>
      <c r="F3264" s="14"/>
      <c r="G3264">
        <f>IFERROR(HLOOKUP(G$2,[98]table_female_hkom2_inj.ill_X3!$A$1:$K$36,30,FALSE),0)</f>
        <v>0</v>
      </c>
      <c r="H3264">
        <f>IFERROR(HLOOKUP(H$2,[98]table_female_hkom2_inj.ill_X3!$A$1:$K$36,30,FALSE),0)</f>
        <v>0</v>
      </c>
      <c r="I3264">
        <f>IFERROR(HLOOKUP(I$2,[98]table_female_hkom2_inj.ill_X3!$A$1:$K$36,30,FALSE),0)</f>
        <v>0</v>
      </c>
      <c r="J3264">
        <f>IFERROR(HLOOKUP(J$2,[98]table_female_hkom2_inj.ill_X3!$A$1:$K$36,30,FALSE),0)</f>
        <v>0</v>
      </c>
      <c r="K3264">
        <f>IFERROR(HLOOKUP(K$2,[98]table_female_hkom2_inj.ill_X3!$A$1:$K$36,30,FALSE),0)</f>
        <v>0</v>
      </c>
      <c r="L3264">
        <f>IFERROR(HLOOKUP(L$2,[98]table_female_hkom2_inj.ill_X3!$A$1:$K$36,30,FALSE),0)</f>
        <v>0</v>
      </c>
      <c r="M3264">
        <f t="shared" si="1011"/>
        <v>0</v>
      </c>
      <c r="S3264" t="s">
        <v>98</v>
      </c>
      <c r="T3264" s="5">
        <f t="shared" si="1012"/>
        <v>0</v>
      </c>
      <c r="U3264" s="5">
        <f t="shared" si="1013"/>
        <v>0</v>
      </c>
      <c r="V3264" s="5">
        <f t="shared" si="1014"/>
        <v>0</v>
      </c>
      <c r="W3264" s="5">
        <f t="shared" si="1015"/>
        <v>0</v>
      </c>
      <c r="X3264" s="5">
        <f t="shared" si="1016"/>
        <v>0</v>
      </c>
      <c r="Y3264" s="5">
        <f t="shared" si="1017"/>
        <v>0</v>
      </c>
      <c r="Z3264" s="5">
        <f t="shared" si="1018"/>
        <v>0</v>
      </c>
      <c r="AA3264" s="5">
        <f t="shared" si="1019"/>
        <v>0</v>
      </c>
      <c r="AB3264" s="5">
        <f t="shared" si="1020"/>
        <v>0</v>
      </c>
    </row>
    <row r="3265" spans="1:29" x14ac:dyDescent="0.25">
      <c r="D3265" t="s">
        <v>119</v>
      </c>
      <c r="E3265" s="14"/>
      <c r="F3265" s="14"/>
      <c r="G3265">
        <f>IFERROR(HLOOKUP(G$2,[98]table_female_hkom2_inj.ill_X3!$A$1:$K$36,31,FALSE),0)</f>
        <v>0</v>
      </c>
      <c r="H3265">
        <f>IFERROR(HLOOKUP(H$2,[98]table_female_hkom2_inj.ill_X3!$A$1:$K$36,31,FALSE),0)</f>
        <v>0</v>
      </c>
      <c r="I3265">
        <f>IFERROR(HLOOKUP(I$2,[98]table_female_hkom2_inj.ill_X3!$A$1:$K$36,31,FALSE),0)</f>
        <v>0</v>
      </c>
      <c r="J3265">
        <f>IFERROR(HLOOKUP(J$2,[98]table_female_hkom2_inj.ill_X3!$A$1:$K$36,31,FALSE),0)</f>
        <v>0</v>
      </c>
      <c r="K3265">
        <f>IFERROR(HLOOKUP(K$2,[98]table_female_hkom2_inj.ill_X3!$A$1:$K$36,31,FALSE),0)</f>
        <v>0</v>
      </c>
      <c r="L3265">
        <f>IFERROR(HLOOKUP(L$2,[98]table_female_hkom2_inj.ill_X3!$A$1:$K$36,31,FALSE),0)</f>
        <v>0</v>
      </c>
      <c r="M3265">
        <f t="shared" si="1011"/>
        <v>0</v>
      </c>
      <c r="S3265" t="s">
        <v>119</v>
      </c>
      <c r="T3265" s="5">
        <f t="shared" si="1012"/>
        <v>0</v>
      </c>
      <c r="U3265" s="5">
        <f t="shared" si="1013"/>
        <v>0</v>
      </c>
      <c r="V3265" s="5">
        <f t="shared" si="1014"/>
        <v>0</v>
      </c>
      <c r="W3265" s="5">
        <f t="shared" si="1015"/>
        <v>0</v>
      </c>
      <c r="X3265" s="5">
        <f t="shared" si="1016"/>
        <v>0</v>
      </c>
      <c r="Y3265" s="5">
        <f t="shared" si="1017"/>
        <v>0</v>
      </c>
      <c r="Z3265" s="5">
        <f t="shared" si="1018"/>
        <v>0</v>
      </c>
      <c r="AA3265" s="5">
        <f t="shared" si="1019"/>
        <v>0</v>
      </c>
      <c r="AB3265" s="5">
        <f t="shared" si="1020"/>
        <v>0</v>
      </c>
    </row>
    <row r="3266" spans="1:29" x14ac:dyDescent="0.25">
      <c r="D3266" t="s">
        <v>99</v>
      </c>
      <c r="E3266" s="14"/>
      <c r="F3266" s="14"/>
      <c r="G3266">
        <f>IFERROR(HLOOKUP(G$2,[98]table_female_hkom2_inj.ill_X3!$A$1:$K$36,32,FALSE),0)</f>
        <v>0</v>
      </c>
      <c r="H3266">
        <f>IFERROR(HLOOKUP(H$2,[98]table_female_hkom2_inj.ill_X3!$A$1:$K$36,32,FALSE),0)</f>
        <v>0</v>
      </c>
      <c r="I3266">
        <f>IFERROR(HLOOKUP(I$2,[98]table_female_hkom2_inj.ill_X3!$A$1:$K$36,32,FALSE),0)</f>
        <v>0</v>
      </c>
      <c r="J3266">
        <f>IFERROR(HLOOKUP(J$2,[98]table_female_hkom2_inj.ill_X3!$A$1:$K$36,32,FALSE),0)</f>
        <v>0</v>
      </c>
      <c r="K3266">
        <f>IFERROR(HLOOKUP(K$2,[98]table_female_hkom2_inj.ill_X3!$A$1:$K$36,32,FALSE),0)</f>
        <v>0</v>
      </c>
      <c r="L3266">
        <f>IFERROR(HLOOKUP(L$2,[98]table_female_hkom2_inj.ill_X3!$A$1:$K$36,32,FALSE),0)</f>
        <v>0</v>
      </c>
      <c r="M3266">
        <f t="shared" si="1011"/>
        <v>0</v>
      </c>
      <c r="S3266" t="s">
        <v>99</v>
      </c>
      <c r="T3266" s="5">
        <f t="shared" si="1012"/>
        <v>0</v>
      </c>
      <c r="U3266" s="5">
        <f t="shared" si="1013"/>
        <v>0</v>
      </c>
      <c r="V3266" s="5">
        <f t="shared" si="1014"/>
        <v>0</v>
      </c>
      <c r="W3266" s="5">
        <f t="shared" si="1015"/>
        <v>0</v>
      </c>
      <c r="X3266" s="5">
        <f t="shared" si="1016"/>
        <v>0</v>
      </c>
      <c r="Y3266" s="5">
        <f t="shared" si="1017"/>
        <v>0</v>
      </c>
      <c r="Z3266" s="5">
        <f t="shared" si="1018"/>
        <v>0</v>
      </c>
      <c r="AA3266" s="5">
        <f t="shared" si="1019"/>
        <v>0</v>
      </c>
      <c r="AB3266" s="5">
        <f t="shared" si="1020"/>
        <v>0</v>
      </c>
    </row>
    <row r="3267" spans="1:29" x14ac:dyDescent="0.25">
      <c r="D3267" t="s">
        <v>100</v>
      </c>
      <c r="E3267" s="14"/>
      <c r="F3267" s="14"/>
      <c r="G3267">
        <f>IFERROR(HLOOKUP(G$2,[98]table_female_hkom2_inj.ill_X3!$A$1:$K$36,33,FALSE),0)</f>
        <v>4</v>
      </c>
      <c r="H3267">
        <f>IFERROR(HLOOKUP(H$2,[98]table_female_hkom2_inj.ill_X3!$A$1:$K$36,33,FALSE),0)</f>
        <v>5</v>
      </c>
      <c r="I3267">
        <f>IFERROR(HLOOKUP(I$2,[98]table_female_hkom2_inj.ill_X3!$A$1:$K$36,33,FALSE),0)</f>
        <v>1</v>
      </c>
      <c r="J3267">
        <f>IFERROR(HLOOKUP(J$2,[98]table_female_hkom2_inj.ill_X3!$A$1:$K$36,33,FALSE),0)</f>
        <v>0</v>
      </c>
      <c r="K3267">
        <f>IFERROR(HLOOKUP(K$2,[98]table_female_hkom2_inj.ill_X3!$A$1:$K$36,33,FALSE),0)</f>
        <v>0</v>
      </c>
      <c r="L3267">
        <f>IFERROR(HLOOKUP(L$2,[98]table_female_hkom2_inj.ill_X3!$A$1:$K$36,33,FALSE),0)</f>
        <v>0</v>
      </c>
      <c r="M3267">
        <f t="shared" si="1011"/>
        <v>10</v>
      </c>
      <c r="S3267" t="s">
        <v>100</v>
      </c>
      <c r="T3267" s="5">
        <f t="shared" si="1012"/>
        <v>0</v>
      </c>
      <c r="U3267" s="5">
        <f t="shared" si="1013"/>
        <v>0</v>
      </c>
      <c r="V3267" s="5">
        <f t="shared" si="1014"/>
        <v>5</v>
      </c>
      <c r="W3267" s="5">
        <f t="shared" si="1015"/>
        <v>7</v>
      </c>
      <c r="X3267" s="5">
        <f t="shared" si="1016"/>
        <v>2</v>
      </c>
      <c r="Y3267" s="5">
        <f t="shared" si="1017"/>
        <v>0</v>
      </c>
      <c r="Z3267" s="5">
        <f t="shared" si="1018"/>
        <v>0</v>
      </c>
      <c r="AA3267" s="5">
        <f t="shared" si="1019"/>
        <v>0</v>
      </c>
      <c r="AB3267" s="5">
        <f t="shared" si="1020"/>
        <v>14</v>
      </c>
    </row>
    <row r="3268" spans="1:29" x14ac:dyDescent="0.25">
      <c r="D3268" t="s">
        <v>101</v>
      </c>
      <c r="E3268" s="14"/>
      <c r="F3268" s="14"/>
      <c r="G3268">
        <f>IFERROR(HLOOKUP(G$2,[98]table_female_hkom2_inj.ill_X3!$A$1:$K$36,34,FALSE),0)</f>
        <v>0</v>
      </c>
      <c r="H3268">
        <f>IFERROR(HLOOKUP(H$2,[98]table_female_hkom2_inj.ill_X3!$A$1:$K$36,34,FALSE),0)</f>
        <v>0</v>
      </c>
      <c r="I3268">
        <f>IFERROR(HLOOKUP(I$2,[98]table_female_hkom2_inj.ill_X3!$A$1:$K$36,34,FALSE),0)</f>
        <v>0</v>
      </c>
      <c r="J3268">
        <f>IFERROR(HLOOKUP(J$2,[98]table_female_hkom2_inj.ill_X3!$A$1:$K$36,34,FALSE),0)</f>
        <v>0</v>
      </c>
      <c r="K3268">
        <f>IFERROR(HLOOKUP(K$2,[98]table_female_hkom2_inj.ill_X3!$A$1:$K$36,34,FALSE),0)</f>
        <v>0</v>
      </c>
      <c r="L3268">
        <f>IFERROR(HLOOKUP(L$2,[98]table_female_hkom2_inj.ill_X3!$A$1:$K$36,34,FALSE),0)</f>
        <v>0</v>
      </c>
      <c r="M3268">
        <f t="shared" si="1011"/>
        <v>0</v>
      </c>
      <c r="S3268" t="s">
        <v>101</v>
      </c>
      <c r="T3268" s="5">
        <f t="shared" si="1012"/>
        <v>0</v>
      </c>
      <c r="U3268" s="5">
        <f t="shared" si="1013"/>
        <v>0</v>
      </c>
      <c r="V3268" s="5">
        <f t="shared" si="1014"/>
        <v>0</v>
      </c>
      <c r="W3268" s="5">
        <f t="shared" si="1015"/>
        <v>0</v>
      </c>
      <c r="X3268" s="5">
        <f t="shared" si="1016"/>
        <v>0</v>
      </c>
      <c r="Y3268" s="5">
        <f t="shared" si="1017"/>
        <v>0</v>
      </c>
      <c r="Z3268" s="5">
        <f t="shared" si="1018"/>
        <v>0</v>
      </c>
      <c r="AA3268" s="5">
        <f t="shared" si="1019"/>
        <v>0</v>
      </c>
      <c r="AB3268" s="5">
        <f t="shared" si="1020"/>
        <v>0</v>
      </c>
    </row>
    <row r="3269" spans="1:29" x14ac:dyDescent="0.25">
      <c r="D3269" t="s">
        <v>102</v>
      </c>
      <c r="E3269" s="14"/>
      <c r="F3269" s="14"/>
      <c r="G3269">
        <f>IFERROR(HLOOKUP(G$2,[98]table_female_hkom2_inj.ill_X3!$A$1:$K$36,35,FALSE),0)</f>
        <v>1</v>
      </c>
      <c r="H3269">
        <f>IFERROR(HLOOKUP(H$2,[98]table_female_hkom2_inj.ill_X3!$A$1:$K$36,35,FALSE),0)</f>
        <v>2</v>
      </c>
      <c r="I3269">
        <f>IFERROR(HLOOKUP(I$2,[98]table_female_hkom2_inj.ill_X3!$A$1:$K$36,35,FALSE),0)</f>
        <v>1</v>
      </c>
      <c r="J3269">
        <f>IFERROR(HLOOKUP(J$2,[98]table_female_hkom2_inj.ill_X3!$A$1:$K$36,35,FALSE),0)</f>
        <v>0</v>
      </c>
      <c r="K3269">
        <f>IFERROR(HLOOKUP(K$2,[98]table_female_hkom2_inj.ill_X3!$A$1:$K$36,35,FALSE),0)</f>
        <v>0</v>
      </c>
      <c r="L3269">
        <f>IFERROR(HLOOKUP(L$2,[98]table_female_hkom2_inj.ill_X3!$A$1:$K$36,35,FALSE),0)</f>
        <v>0</v>
      </c>
      <c r="M3269">
        <f t="shared" si="1011"/>
        <v>4</v>
      </c>
      <c r="N3269">
        <f>SUM(M3236:M3269)</f>
        <v>14</v>
      </c>
      <c r="O3269" s="8">
        <f>SUM([98]table_female_hkom2_inj.ill_X3!$B$2:$L$37)</f>
        <v>14</v>
      </c>
      <c r="S3269" t="s">
        <v>102</v>
      </c>
      <c r="T3269" s="7"/>
      <c r="U3269" s="7"/>
      <c r="V3269" s="7"/>
      <c r="W3269" s="7"/>
      <c r="X3269" s="7"/>
      <c r="Y3269" s="7"/>
      <c r="Z3269" s="7"/>
      <c r="AA3269" s="7"/>
      <c r="AB3269" s="5">
        <f t="shared" si="1020"/>
        <v>0</v>
      </c>
      <c r="AC3269" s="5">
        <f>SUM(AB3236:AB3268)</f>
        <v>14</v>
      </c>
    </row>
    <row r="3270" spans="1:29" x14ac:dyDescent="0.25">
      <c r="A3270" t="s">
        <v>115</v>
      </c>
      <c r="B3270" t="s">
        <v>116</v>
      </c>
      <c r="C3270" t="s">
        <v>126</v>
      </c>
      <c r="D3270" t="s">
        <v>70</v>
      </c>
      <c r="E3270" s="14"/>
      <c r="F3270" s="14"/>
      <c r="G3270">
        <f>IFERROR(HLOOKUP(G$2,[99]table_female_hkom2_inj.ill_X4!$A$1:$K$36,2,FALSE),0)</f>
        <v>0</v>
      </c>
      <c r="H3270">
        <f>IFERROR(HLOOKUP(H$2,[99]table_female_hkom2_inj.ill_X4!$A$1:$K$36,2,FALSE),0)</f>
        <v>0</v>
      </c>
      <c r="I3270">
        <f>IFERROR(HLOOKUP(I$2,[99]table_female_hkom2_inj.ill_X4!$A$1:$K$36,2,FALSE),0)</f>
        <v>0</v>
      </c>
      <c r="J3270">
        <f>IFERROR(HLOOKUP(J$2,[99]table_female_hkom2_inj.ill_X4!$A$1:$K$36,2,FALSE),0)</f>
        <v>0</v>
      </c>
      <c r="K3270">
        <f>IFERROR(HLOOKUP(K$2,[99]table_female_hkom2_inj.ill_X4!$A$1:$K$36,2,FALSE),0)</f>
        <v>0</v>
      </c>
      <c r="L3270">
        <f>IFERROR(HLOOKUP(L$2,[99]table_female_hkom2_inj.ill_X4!$A$1:$K$36,2,FALSE),0)</f>
        <v>0</v>
      </c>
      <c r="M3270">
        <f>SUM(E3270:L3270)</f>
        <v>0</v>
      </c>
      <c r="P3270" t="s">
        <v>115</v>
      </c>
      <c r="Q3270" t="s">
        <v>116</v>
      </c>
      <c r="R3270" t="s">
        <v>126</v>
      </c>
      <c r="S3270" t="s">
        <v>70</v>
      </c>
      <c r="T3270" s="5">
        <f>IF(SUM(E$3270:E$3302)=0,E$3303/33,E3270+IFERROR(E3270/SUM(E$3270:E$3302)*E$3303,0))</f>
        <v>0</v>
      </c>
      <c r="U3270" s="5">
        <f t="shared" ref="U3270:AA3270" si="1021">IF(SUM(F$3270:F$3302)=0,F$3303/33,F3270+IFERROR(F3270/SUM(F$3270:F$3302)*F$3303,0))</f>
        <v>0</v>
      </c>
      <c r="V3270" s="5">
        <f t="shared" si="1021"/>
        <v>0</v>
      </c>
      <c r="W3270" s="5">
        <f t="shared" si="1021"/>
        <v>0</v>
      </c>
      <c r="X3270" s="5">
        <f t="shared" si="1021"/>
        <v>0</v>
      </c>
      <c r="Y3270" s="5">
        <f t="shared" si="1021"/>
        <v>0</v>
      </c>
      <c r="Z3270" s="5">
        <f t="shared" si="1021"/>
        <v>0</v>
      </c>
      <c r="AA3270" s="5">
        <f t="shared" si="1021"/>
        <v>0</v>
      </c>
      <c r="AB3270" s="5">
        <f t="shared" si="1020"/>
        <v>0</v>
      </c>
    </row>
    <row r="3271" spans="1:29" x14ac:dyDescent="0.25">
      <c r="D3271" t="s">
        <v>71</v>
      </c>
      <c r="E3271" s="14"/>
      <c r="F3271" s="14"/>
      <c r="G3271">
        <f>IFERROR(HLOOKUP(G$2,[99]table_female_hkom2_inj.ill_X4!$A$1:$K$36,3,FALSE),0)</f>
        <v>0</v>
      </c>
      <c r="H3271">
        <f>IFERROR(HLOOKUP(H$2,[99]table_female_hkom2_inj.ill_X4!$A$1:$K$36,3,FALSE),0)</f>
        <v>0</v>
      </c>
      <c r="I3271">
        <f>IFERROR(HLOOKUP(I$2,[99]table_female_hkom2_inj.ill_X4!$A$1:$K$36,3,FALSE),0)</f>
        <v>0</v>
      </c>
      <c r="J3271">
        <f>IFERROR(HLOOKUP(J$2,[99]table_female_hkom2_inj.ill_X4!$A$1:$K$36,3,FALSE),0)</f>
        <v>0</v>
      </c>
      <c r="K3271">
        <f>IFERROR(HLOOKUP(K$2,[99]table_female_hkom2_inj.ill_X4!$A$1:$K$36,3,FALSE),0)</f>
        <v>0</v>
      </c>
      <c r="L3271">
        <f>IFERROR(HLOOKUP(L$2,[99]table_female_hkom2_inj.ill_X4!$A$1:$K$36,3,FALSE),0)</f>
        <v>0</v>
      </c>
      <c r="M3271">
        <f t="shared" ref="M3271:M3303" si="1022">SUM(E3271:L3271)</f>
        <v>0</v>
      </c>
      <c r="S3271" t="s">
        <v>71</v>
      </c>
      <c r="T3271" s="5">
        <f t="shared" ref="T3271:T3302" si="1023">IF(SUM(E$3270:E$3302)=0,E$3303/33,E3271+IFERROR(E3271/SUM(E$3270:E$3302)*E$3303,0))</f>
        <v>0</v>
      </c>
      <c r="U3271" s="5">
        <f t="shared" ref="U3271:U3302" si="1024">IF(SUM(F$3270:F$3302)=0,F$3303/33,F3271+IFERROR(F3271/SUM(F$3270:F$3302)*F$3303,0))</f>
        <v>0</v>
      </c>
      <c r="V3271" s="5">
        <f t="shared" ref="V3271:V3302" si="1025">IF(SUM(G$3270:G$3302)=0,G$3303/33,G3271+IFERROR(G3271/SUM(G$3270:G$3302)*G$3303,0))</f>
        <v>0</v>
      </c>
      <c r="W3271" s="5">
        <f t="shared" ref="W3271:W3302" si="1026">IF(SUM(H$3270:H$3302)=0,H$3303/33,H3271+IFERROR(H3271/SUM(H$3270:H$3302)*H$3303,0))</f>
        <v>0</v>
      </c>
      <c r="X3271" s="5">
        <f t="shared" ref="X3271:X3302" si="1027">IF(SUM(I$3270:I$3302)=0,I$3303/33,I3271+IFERROR(I3271/SUM(I$3270:I$3302)*I$3303,0))</f>
        <v>0</v>
      </c>
      <c r="Y3271" s="5">
        <f t="shared" ref="Y3271:Y3302" si="1028">IF(SUM(J$3270:J$3302)=0,J$3303/33,J3271+IFERROR(J3271/SUM(J$3270:J$3302)*J$3303,0))</f>
        <v>0</v>
      </c>
      <c r="Z3271" s="5">
        <f t="shared" ref="Z3271:Z3302" si="1029">IF(SUM(K$3270:K$3302)=0,K$3303/33,K3271+IFERROR(K3271/SUM(K$3270:K$3302)*K$3303,0))</f>
        <v>0</v>
      </c>
      <c r="AA3271" s="5">
        <f t="shared" ref="AA3271:AA3302" si="1030">IF(SUM(L$3270:L$3302)=0,L$3303/33,L3271+IFERROR(L3271/SUM(L$3270:L$3302)*L$3303,0))</f>
        <v>0</v>
      </c>
      <c r="AB3271" s="5">
        <f t="shared" si="1020"/>
        <v>0</v>
      </c>
    </row>
    <row r="3272" spans="1:29" x14ac:dyDescent="0.25">
      <c r="D3272" t="s">
        <v>72</v>
      </c>
      <c r="E3272" s="14"/>
      <c r="F3272" s="14"/>
      <c r="G3272">
        <f>IFERROR(HLOOKUP(G$2,[99]table_female_hkom2_inj.ill_X4!$A$1:$K$36,4,FALSE),0)</f>
        <v>0</v>
      </c>
      <c r="H3272">
        <f>IFERROR(HLOOKUP(H$2,[99]table_female_hkom2_inj.ill_X4!$A$1:$K$36,4,FALSE),0)</f>
        <v>0</v>
      </c>
      <c r="I3272">
        <f>IFERROR(HLOOKUP(I$2,[99]table_female_hkom2_inj.ill_X4!$A$1:$K$36,4,FALSE),0)</f>
        <v>0</v>
      </c>
      <c r="J3272">
        <f>IFERROR(HLOOKUP(J$2,[99]table_female_hkom2_inj.ill_X4!$A$1:$K$36,4,FALSE),0)</f>
        <v>0</v>
      </c>
      <c r="K3272">
        <f>IFERROR(HLOOKUP(K$2,[99]table_female_hkom2_inj.ill_X4!$A$1:$K$36,4,FALSE),0)</f>
        <v>0</v>
      </c>
      <c r="L3272">
        <f>IFERROR(HLOOKUP(L$2,[99]table_female_hkom2_inj.ill_X4!$A$1:$K$36,4,FALSE),0)</f>
        <v>0</v>
      </c>
      <c r="M3272">
        <f t="shared" si="1022"/>
        <v>0</v>
      </c>
      <c r="S3272" t="s">
        <v>72</v>
      </c>
      <c r="T3272" s="5">
        <f t="shared" si="1023"/>
        <v>0</v>
      </c>
      <c r="U3272" s="5">
        <f t="shared" si="1024"/>
        <v>0</v>
      </c>
      <c r="V3272" s="5">
        <f t="shared" si="1025"/>
        <v>0</v>
      </c>
      <c r="W3272" s="5">
        <f t="shared" si="1026"/>
        <v>0</v>
      </c>
      <c r="X3272" s="5">
        <f t="shared" si="1027"/>
        <v>0</v>
      </c>
      <c r="Y3272" s="5">
        <f t="shared" si="1028"/>
        <v>0</v>
      </c>
      <c r="Z3272" s="5">
        <f t="shared" si="1029"/>
        <v>0</v>
      </c>
      <c r="AA3272" s="5">
        <f t="shared" si="1030"/>
        <v>0</v>
      </c>
      <c r="AB3272" s="5">
        <f t="shared" si="1020"/>
        <v>0</v>
      </c>
    </row>
    <row r="3273" spans="1:29" x14ac:dyDescent="0.25">
      <c r="D3273" t="s">
        <v>73</v>
      </c>
      <c r="E3273" s="14"/>
      <c r="F3273" s="14"/>
      <c r="G3273">
        <f>IFERROR(HLOOKUP(G$2,[99]table_female_hkom2_inj.ill_X4!$A$1:$K$36,5,FALSE),0)</f>
        <v>0</v>
      </c>
      <c r="H3273">
        <f>IFERROR(HLOOKUP(H$2,[99]table_female_hkom2_inj.ill_X4!$A$1:$K$36,5,FALSE),0)</f>
        <v>0</v>
      </c>
      <c r="I3273">
        <f>IFERROR(HLOOKUP(I$2,[99]table_female_hkom2_inj.ill_X4!$A$1:$K$36,5,FALSE),0)</f>
        <v>0</v>
      </c>
      <c r="J3273">
        <f>IFERROR(HLOOKUP(J$2,[99]table_female_hkom2_inj.ill_X4!$A$1:$K$36,5,FALSE),0)</f>
        <v>0</v>
      </c>
      <c r="K3273">
        <f>IFERROR(HLOOKUP(K$2,[99]table_female_hkom2_inj.ill_X4!$A$1:$K$36,5,FALSE),0)</f>
        <v>0</v>
      </c>
      <c r="L3273">
        <f>IFERROR(HLOOKUP(L$2,[99]table_female_hkom2_inj.ill_X4!$A$1:$K$36,5,FALSE),0)</f>
        <v>0</v>
      </c>
      <c r="M3273">
        <f t="shared" si="1022"/>
        <v>0</v>
      </c>
      <c r="S3273" t="s">
        <v>73</v>
      </c>
      <c r="T3273" s="5">
        <f t="shared" si="1023"/>
        <v>0</v>
      </c>
      <c r="U3273" s="5">
        <f t="shared" si="1024"/>
        <v>0</v>
      </c>
      <c r="V3273" s="5">
        <f t="shared" si="1025"/>
        <v>0</v>
      </c>
      <c r="W3273" s="5">
        <f t="shared" si="1026"/>
        <v>0</v>
      </c>
      <c r="X3273" s="5">
        <f t="shared" si="1027"/>
        <v>0</v>
      </c>
      <c r="Y3273" s="5">
        <f t="shared" si="1028"/>
        <v>0</v>
      </c>
      <c r="Z3273" s="5">
        <f t="shared" si="1029"/>
        <v>0</v>
      </c>
      <c r="AA3273" s="5">
        <f t="shared" si="1030"/>
        <v>0</v>
      </c>
      <c r="AB3273" s="5">
        <f t="shared" si="1020"/>
        <v>0</v>
      </c>
    </row>
    <row r="3274" spans="1:29" x14ac:dyDescent="0.25">
      <c r="D3274" t="s">
        <v>74</v>
      </c>
      <c r="E3274" s="14"/>
      <c r="F3274" s="14"/>
      <c r="G3274">
        <f>IFERROR(HLOOKUP(G$2,[99]table_female_hkom2_inj.ill_X4!$A$1:$K$36,6,FALSE),0)</f>
        <v>0</v>
      </c>
      <c r="H3274">
        <f>IFERROR(HLOOKUP(H$2,[99]table_female_hkom2_inj.ill_X4!$A$1:$K$36,6,FALSE),0)</f>
        <v>0</v>
      </c>
      <c r="I3274">
        <f>IFERROR(HLOOKUP(I$2,[99]table_female_hkom2_inj.ill_X4!$A$1:$K$36,6,FALSE),0)</f>
        <v>0</v>
      </c>
      <c r="J3274">
        <f>IFERROR(HLOOKUP(J$2,[99]table_female_hkom2_inj.ill_X4!$A$1:$K$36,6,FALSE),0)</f>
        <v>0</v>
      </c>
      <c r="K3274">
        <f>IFERROR(HLOOKUP(K$2,[99]table_female_hkom2_inj.ill_X4!$A$1:$K$36,6,FALSE),0)</f>
        <v>0</v>
      </c>
      <c r="L3274">
        <f>IFERROR(HLOOKUP(L$2,[99]table_female_hkom2_inj.ill_X4!$A$1:$K$36,6,FALSE),0)</f>
        <v>0</v>
      </c>
      <c r="M3274">
        <f t="shared" si="1022"/>
        <v>0</v>
      </c>
      <c r="S3274" t="s">
        <v>74</v>
      </c>
      <c r="T3274" s="5">
        <f t="shared" si="1023"/>
        <v>0</v>
      </c>
      <c r="U3274" s="5">
        <f t="shared" si="1024"/>
        <v>0</v>
      </c>
      <c r="V3274" s="5">
        <f t="shared" si="1025"/>
        <v>0</v>
      </c>
      <c r="W3274" s="5">
        <f t="shared" si="1026"/>
        <v>0</v>
      </c>
      <c r="X3274" s="5">
        <f t="shared" si="1027"/>
        <v>0</v>
      </c>
      <c r="Y3274" s="5">
        <f t="shared" si="1028"/>
        <v>0</v>
      </c>
      <c r="Z3274" s="5">
        <f t="shared" si="1029"/>
        <v>0</v>
      </c>
      <c r="AA3274" s="5">
        <f t="shared" si="1030"/>
        <v>0</v>
      </c>
      <c r="AB3274" s="5">
        <f t="shared" si="1020"/>
        <v>0</v>
      </c>
    </row>
    <row r="3275" spans="1:29" x14ac:dyDescent="0.25">
      <c r="D3275" t="s">
        <v>75</v>
      </c>
      <c r="E3275" s="14"/>
      <c r="F3275" s="14"/>
      <c r="G3275">
        <f>IFERROR(HLOOKUP(G$2,[99]table_female_hkom2_inj.ill_X4!$A$1:$K$36,7,FALSE),0)</f>
        <v>0</v>
      </c>
      <c r="H3275">
        <f>IFERROR(HLOOKUP(H$2,[99]table_female_hkom2_inj.ill_X4!$A$1:$K$36,7,FALSE),0)</f>
        <v>0</v>
      </c>
      <c r="I3275">
        <f>IFERROR(HLOOKUP(I$2,[99]table_female_hkom2_inj.ill_X4!$A$1:$K$36,7,FALSE),0)</f>
        <v>0</v>
      </c>
      <c r="J3275">
        <f>IFERROR(HLOOKUP(J$2,[99]table_female_hkom2_inj.ill_X4!$A$1:$K$36,7,FALSE),0)</f>
        <v>0</v>
      </c>
      <c r="K3275">
        <f>IFERROR(HLOOKUP(K$2,[99]table_female_hkom2_inj.ill_X4!$A$1:$K$36,7,FALSE),0)</f>
        <v>0</v>
      </c>
      <c r="L3275">
        <f>IFERROR(HLOOKUP(L$2,[99]table_female_hkom2_inj.ill_X4!$A$1:$K$36,7,FALSE),0)</f>
        <v>0</v>
      </c>
      <c r="M3275">
        <f t="shared" si="1022"/>
        <v>0</v>
      </c>
      <c r="S3275" t="s">
        <v>75</v>
      </c>
      <c r="T3275" s="5">
        <f t="shared" si="1023"/>
        <v>0</v>
      </c>
      <c r="U3275" s="5">
        <f t="shared" si="1024"/>
        <v>0</v>
      </c>
      <c r="V3275" s="5">
        <f t="shared" si="1025"/>
        <v>0</v>
      </c>
      <c r="W3275" s="5">
        <f t="shared" si="1026"/>
        <v>0</v>
      </c>
      <c r="X3275" s="5">
        <f t="shared" si="1027"/>
        <v>0</v>
      </c>
      <c r="Y3275" s="5">
        <f t="shared" si="1028"/>
        <v>0</v>
      </c>
      <c r="Z3275" s="5">
        <f t="shared" si="1029"/>
        <v>0</v>
      </c>
      <c r="AA3275" s="5">
        <f t="shared" si="1030"/>
        <v>0</v>
      </c>
      <c r="AB3275" s="5">
        <f t="shared" si="1020"/>
        <v>0</v>
      </c>
    </row>
    <row r="3276" spans="1:29" x14ac:dyDescent="0.25">
      <c r="D3276" t="s">
        <v>76</v>
      </c>
      <c r="E3276" s="14"/>
      <c r="F3276" s="14"/>
      <c r="G3276">
        <f>IFERROR(HLOOKUP(G$2,[99]table_female_hkom2_inj.ill_X4!$A$1:$K$36,8,FALSE),0)</f>
        <v>0</v>
      </c>
      <c r="H3276">
        <f>IFERROR(HLOOKUP(H$2,[99]table_female_hkom2_inj.ill_X4!$A$1:$K$36,8,FALSE),0)</f>
        <v>0</v>
      </c>
      <c r="I3276">
        <f>IFERROR(HLOOKUP(I$2,[99]table_female_hkom2_inj.ill_X4!$A$1:$K$36,8,FALSE),0)</f>
        <v>0</v>
      </c>
      <c r="J3276">
        <f>IFERROR(HLOOKUP(J$2,[99]table_female_hkom2_inj.ill_X4!$A$1:$K$36,8,FALSE),0)</f>
        <v>0</v>
      </c>
      <c r="K3276">
        <f>IFERROR(HLOOKUP(K$2,[99]table_female_hkom2_inj.ill_X4!$A$1:$K$36,8,FALSE),0)</f>
        <v>0</v>
      </c>
      <c r="L3276">
        <f>IFERROR(HLOOKUP(L$2,[99]table_female_hkom2_inj.ill_X4!$A$1:$K$36,8,FALSE),0)</f>
        <v>0</v>
      </c>
      <c r="M3276">
        <f t="shared" si="1022"/>
        <v>0</v>
      </c>
      <c r="S3276" t="s">
        <v>76</v>
      </c>
      <c r="T3276" s="5">
        <f t="shared" si="1023"/>
        <v>0</v>
      </c>
      <c r="U3276" s="5">
        <f t="shared" si="1024"/>
        <v>0</v>
      </c>
      <c r="V3276" s="5">
        <f t="shared" si="1025"/>
        <v>0</v>
      </c>
      <c r="W3276" s="5">
        <f t="shared" si="1026"/>
        <v>0</v>
      </c>
      <c r="X3276" s="5">
        <f t="shared" si="1027"/>
        <v>0</v>
      </c>
      <c r="Y3276" s="5">
        <f t="shared" si="1028"/>
        <v>0</v>
      </c>
      <c r="Z3276" s="5">
        <f t="shared" si="1029"/>
        <v>0</v>
      </c>
      <c r="AA3276" s="5">
        <f t="shared" si="1030"/>
        <v>0</v>
      </c>
      <c r="AB3276" s="5">
        <f t="shared" si="1020"/>
        <v>0</v>
      </c>
    </row>
    <row r="3277" spans="1:29" x14ac:dyDescent="0.25">
      <c r="D3277" t="s">
        <v>77</v>
      </c>
      <c r="E3277" s="14"/>
      <c r="F3277" s="14"/>
      <c r="G3277">
        <f>IFERROR(HLOOKUP(G$2,[99]table_female_hkom2_inj.ill_X4!$A$1:$K$36,9,FALSE),0)</f>
        <v>0</v>
      </c>
      <c r="H3277">
        <f>IFERROR(HLOOKUP(H$2,[99]table_female_hkom2_inj.ill_X4!$A$1:$K$36,9,FALSE),0)</f>
        <v>0</v>
      </c>
      <c r="I3277">
        <f>IFERROR(HLOOKUP(I$2,[99]table_female_hkom2_inj.ill_X4!$A$1:$K$36,9,FALSE),0)</f>
        <v>0</v>
      </c>
      <c r="J3277">
        <f>IFERROR(HLOOKUP(J$2,[99]table_female_hkom2_inj.ill_X4!$A$1:$K$36,9,FALSE),0)</f>
        <v>0</v>
      </c>
      <c r="K3277">
        <f>IFERROR(HLOOKUP(K$2,[99]table_female_hkom2_inj.ill_X4!$A$1:$K$36,9,FALSE),0)</f>
        <v>0</v>
      </c>
      <c r="L3277">
        <f>IFERROR(HLOOKUP(L$2,[99]table_female_hkom2_inj.ill_X4!$A$1:$K$36,9,FALSE),0)</f>
        <v>0</v>
      </c>
      <c r="M3277">
        <f t="shared" si="1022"/>
        <v>0</v>
      </c>
      <c r="S3277" t="s">
        <v>77</v>
      </c>
      <c r="T3277" s="5">
        <f t="shared" si="1023"/>
        <v>0</v>
      </c>
      <c r="U3277" s="5">
        <f t="shared" si="1024"/>
        <v>0</v>
      </c>
      <c r="V3277" s="5">
        <f t="shared" si="1025"/>
        <v>0</v>
      </c>
      <c r="W3277" s="5">
        <f t="shared" si="1026"/>
        <v>0</v>
      </c>
      <c r="X3277" s="5">
        <f t="shared" si="1027"/>
        <v>0</v>
      </c>
      <c r="Y3277" s="5">
        <f t="shared" si="1028"/>
        <v>0</v>
      </c>
      <c r="Z3277" s="5">
        <f t="shared" si="1029"/>
        <v>0</v>
      </c>
      <c r="AA3277" s="5">
        <f t="shared" si="1030"/>
        <v>0</v>
      </c>
      <c r="AB3277" s="5">
        <f t="shared" si="1020"/>
        <v>0</v>
      </c>
    </row>
    <row r="3278" spans="1:29" x14ac:dyDescent="0.25">
      <c r="D3278" t="s">
        <v>78</v>
      </c>
      <c r="E3278" s="14"/>
      <c r="F3278" s="14"/>
      <c r="G3278">
        <f>IFERROR(HLOOKUP(G$2,[99]table_female_hkom2_inj.ill_X4!$A$1:$K$36,10,FALSE),0)</f>
        <v>0</v>
      </c>
      <c r="H3278">
        <f>IFERROR(HLOOKUP(H$2,[99]table_female_hkom2_inj.ill_X4!$A$1:$K$36,10,FALSE),0)</f>
        <v>0</v>
      </c>
      <c r="I3278">
        <f>IFERROR(HLOOKUP(I$2,[99]table_female_hkom2_inj.ill_X4!$A$1:$K$36,10,FALSE),0)</f>
        <v>0</v>
      </c>
      <c r="J3278">
        <f>IFERROR(HLOOKUP(J$2,[99]table_female_hkom2_inj.ill_X4!$A$1:$K$36,10,FALSE),0)</f>
        <v>0</v>
      </c>
      <c r="K3278">
        <f>IFERROR(HLOOKUP(K$2,[99]table_female_hkom2_inj.ill_X4!$A$1:$K$36,10,FALSE),0)</f>
        <v>0</v>
      </c>
      <c r="L3278">
        <f>IFERROR(HLOOKUP(L$2,[99]table_female_hkom2_inj.ill_X4!$A$1:$K$36,10,FALSE),0)</f>
        <v>0</v>
      </c>
      <c r="M3278">
        <f t="shared" si="1022"/>
        <v>0</v>
      </c>
      <c r="S3278" t="s">
        <v>78</v>
      </c>
      <c r="T3278" s="5">
        <f t="shared" si="1023"/>
        <v>0</v>
      </c>
      <c r="U3278" s="5">
        <f t="shared" si="1024"/>
        <v>0</v>
      </c>
      <c r="V3278" s="5">
        <f t="shared" si="1025"/>
        <v>0</v>
      </c>
      <c r="W3278" s="5">
        <f t="shared" si="1026"/>
        <v>0</v>
      </c>
      <c r="X3278" s="5">
        <f t="shared" si="1027"/>
        <v>0</v>
      </c>
      <c r="Y3278" s="5">
        <f t="shared" si="1028"/>
        <v>0</v>
      </c>
      <c r="Z3278" s="5">
        <f t="shared" si="1029"/>
        <v>0</v>
      </c>
      <c r="AA3278" s="5">
        <f t="shared" si="1030"/>
        <v>0</v>
      </c>
      <c r="AB3278" s="5">
        <f t="shared" si="1020"/>
        <v>0</v>
      </c>
    </row>
    <row r="3279" spans="1:29" x14ac:dyDescent="0.25">
      <c r="D3279" t="s">
        <v>79</v>
      </c>
      <c r="E3279" s="14"/>
      <c r="F3279" s="14"/>
      <c r="G3279">
        <f>IFERROR(HLOOKUP(G$2,[99]table_female_hkom2_inj.ill_X4!$A$1:$K$36,11,FALSE),0)</f>
        <v>0</v>
      </c>
      <c r="H3279">
        <f>IFERROR(HLOOKUP(H$2,[99]table_female_hkom2_inj.ill_X4!$A$1:$K$36,11,FALSE),0)</f>
        <v>0</v>
      </c>
      <c r="I3279">
        <f>IFERROR(HLOOKUP(I$2,[99]table_female_hkom2_inj.ill_X4!$A$1:$K$36,11,FALSE),0)</f>
        <v>0</v>
      </c>
      <c r="J3279">
        <f>IFERROR(HLOOKUP(J$2,[99]table_female_hkom2_inj.ill_X4!$A$1:$K$36,11,FALSE),0)</f>
        <v>0</v>
      </c>
      <c r="K3279">
        <f>IFERROR(HLOOKUP(K$2,[99]table_female_hkom2_inj.ill_X4!$A$1:$K$36,11,FALSE),0)</f>
        <v>0</v>
      </c>
      <c r="L3279">
        <f>IFERROR(HLOOKUP(L$2,[99]table_female_hkom2_inj.ill_X4!$A$1:$K$36,11,FALSE),0)</f>
        <v>0</v>
      </c>
      <c r="M3279">
        <f t="shared" si="1022"/>
        <v>0</v>
      </c>
      <c r="S3279" t="s">
        <v>79</v>
      </c>
      <c r="T3279" s="5">
        <f t="shared" si="1023"/>
        <v>0</v>
      </c>
      <c r="U3279" s="5">
        <f t="shared" si="1024"/>
        <v>0</v>
      </c>
      <c r="V3279" s="5">
        <f t="shared" si="1025"/>
        <v>0</v>
      </c>
      <c r="W3279" s="5">
        <f t="shared" si="1026"/>
        <v>0</v>
      </c>
      <c r="X3279" s="5">
        <f t="shared" si="1027"/>
        <v>0</v>
      </c>
      <c r="Y3279" s="5">
        <f t="shared" si="1028"/>
        <v>0</v>
      </c>
      <c r="Z3279" s="5">
        <f t="shared" si="1029"/>
        <v>0</v>
      </c>
      <c r="AA3279" s="5">
        <f t="shared" si="1030"/>
        <v>0</v>
      </c>
      <c r="AB3279" s="5">
        <f t="shared" si="1020"/>
        <v>0</v>
      </c>
    </row>
    <row r="3280" spans="1:29" x14ac:dyDescent="0.25">
      <c r="D3280" t="s">
        <v>80</v>
      </c>
      <c r="E3280" s="14"/>
      <c r="F3280" s="14"/>
      <c r="G3280">
        <f>IFERROR(HLOOKUP(G$2,[99]table_female_hkom2_inj.ill_X4!$A$1:$K$36,12,FALSE),0)</f>
        <v>0</v>
      </c>
      <c r="H3280">
        <f>IFERROR(HLOOKUP(H$2,[99]table_female_hkom2_inj.ill_X4!$A$1:$K$36,12,FALSE),0)</f>
        <v>0</v>
      </c>
      <c r="I3280">
        <f>IFERROR(HLOOKUP(I$2,[99]table_female_hkom2_inj.ill_X4!$A$1:$K$36,12,FALSE),0)</f>
        <v>0</v>
      </c>
      <c r="J3280">
        <f>IFERROR(HLOOKUP(J$2,[99]table_female_hkom2_inj.ill_X4!$A$1:$K$36,12,FALSE),0)</f>
        <v>0</v>
      </c>
      <c r="K3280">
        <f>IFERROR(HLOOKUP(K$2,[99]table_female_hkom2_inj.ill_X4!$A$1:$K$36,12,FALSE),0)</f>
        <v>0</v>
      </c>
      <c r="L3280">
        <f>IFERROR(HLOOKUP(L$2,[99]table_female_hkom2_inj.ill_X4!$A$1:$K$36,12,FALSE),0)</f>
        <v>0</v>
      </c>
      <c r="M3280">
        <f t="shared" si="1022"/>
        <v>0</v>
      </c>
      <c r="S3280" t="s">
        <v>80</v>
      </c>
      <c r="T3280" s="5">
        <f t="shared" si="1023"/>
        <v>0</v>
      </c>
      <c r="U3280" s="5">
        <f t="shared" si="1024"/>
        <v>0</v>
      </c>
      <c r="V3280" s="5">
        <f t="shared" si="1025"/>
        <v>0</v>
      </c>
      <c r="W3280" s="5">
        <f t="shared" si="1026"/>
        <v>0</v>
      </c>
      <c r="X3280" s="5">
        <f t="shared" si="1027"/>
        <v>0</v>
      </c>
      <c r="Y3280" s="5">
        <f t="shared" si="1028"/>
        <v>0</v>
      </c>
      <c r="Z3280" s="5">
        <f t="shared" si="1029"/>
        <v>0</v>
      </c>
      <c r="AA3280" s="5">
        <f t="shared" si="1030"/>
        <v>0</v>
      </c>
      <c r="AB3280" s="5">
        <f t="shared" si="1020"/>
        <v>0</v>
      </c>
    </row>
    <row r="3281" spans="4:28" x14ac:dyDescent="0.25">
      <c r="D3281" t="s">
        <v>81</v>
      </c>
      <c r="E3281" s="14"/>
      <c r="F3281" s="14"/>
      <c r="G3281">
        <f>IFERROR(HLOOKUP(G$2,[99]table_female_hkom2_inj.ill_X4!$A$1:$K$36,13,FALSE),0)</f>
        <v>0</v>
      </c>
      <c r="H3281">
        <f>IFERROR(HLOOKUP(H$2,[99]table_female_hkom2_inj.ill_X4!$A$1:$K$36,13,FALSE),0)</f>
        <v>0</v>
      </c>
      <c r="I3281">
        <f>IFERROR(HLOOKUP(I$2,[99]table_female_hkom2_inj.ill_X4!$A$1:$K$36,13,FALSE),0)</f>
        <v>0</v>
      </c>
      <c r="J3281">
        <f>IFERROR(HLOOKUP(J$2,[99]table_female_hkom2_inj.ill_X4!$A$1:$K$36,13,FALSE),0)</f>
        <v>0</v>
      </c>
      <c r="K3281">
        <f>IFERROR(HLOOKUP(K$2,[99]table_female_hkom2_inj.ill_X4!$A$1:$K$36,13,FALSE),0)</f>
        <v>0</v>
      </c>
      <c r="L3281">
        <f>IFERROR(HLOOKUP(L$2,[99]table_female_hkom2_inj.ill_X4!$A$1:$K$36,13,FALSE),0)</f>
        <v>0</v>
      </c>
      <c r="M3281">
        <f t="shared" si="1022"/>
        <v>0</v>
      </c>
      <c r="S3281" t="s">
        <v>81</v>
      </c>
      <c r="T3281" s="5">
        <f t="shared" si="1023"/>
        <v>0</v>
      </c>
      <c r="U3281" s="5">
        <f t="shared" si="1024"/>
        <v>0</v>
      </c>
      <c r="V3281" s="5">
        <f t="shared" si="1025"/>
        <v>0</v>
      </c>
      <c r="W3281" s="5">
        <f t="shared" si="1026"/>
        <v>0</v>
      </c>
      <c r="X3281" s="5">
        <f t="shared" si="1027"/>
        <v>0</v>
      </c>
      <c r="Y3281" s="5">
        <f t="shared" si="1028"/>
        <v>0</v>
      </c>
      <c r="Z3281" s="5">
        <f t="shared" si="1029"/>
        <v>0</v>
      </c>
      <c r="AA3281" s="5">
        <f t="shared" si="1030"/>
        <v>0</v>
      </c>
      <c r="AB3281" s="5">
        <f t="shared" si="1020"/>
        <v>0</v>
      </c>
    </row>
    <row r="3282" spans="4:28" x14ac:dyDescent="0.25">
      <c r="D3282" t="s">
        <v>82</v>
      </c>
      <c r="E3282" s="14"/>
      <c r="F3282" s="14"/>
      <c r="G3282">
        <f>IFERROR(HLOOKUP(G$2,[99]table_female_hkom2_inj.ill_X4!$A$1:$K$36,14,FALSE),0)</f>
        <v>0</v>
      </c>
      <c r="H3282">
        <f>IFERROR(HLOOKUP(H$2,[99]table_female_hkom2_inj.ill_X4!$A$1:$K$36,14,FALSE),0)</f>
        <v>0</v>
      </c>
      <c r="I3282">
        <f>IFERROR(HLOOKUP(I$2,[99]table_female_hkom2_inj.ill_X4!$A$1:$K$36,14,FALSE),0)</f>
        <v>0</v>
      </c>
      <c r="J3282">
        <f>IFERROR(HLOOKUP(J$2,[99]table_female_hkom2_inj.ill_X4!$A$1:$K$36,14,FALSE),0)</f>
        <v>0</v>
      </c>
      <c r="K3282">
        <f>IFERROR(HLOOKUP(K$2,[99]table_female_hkom2_inj.ill_X4!$A$1:$K$36,14,FALSE),0)</f>
        <v>0</v>
      </c>
      <c r="L3282">
        <f>IFERROR(HLOOKUP(L$2,[99]table_female_hkom2_inj.ill_X4!$A$1:$K$36,14,FALSE),0)</f>
        <v>0</v>
      </c>
      <c r="M3282">
        <f t="shared" si="1022"/>
        <v>0</v>
      </c>
      <c r="S3282" t="s">
        <v>82</v>
      </c>
      <c r="T3282" s="5">
        <f t="shared" si="1023"/>
        <v>0</v>
      </c>
      <c r="U3282" s="5">
        <f t="shared" si="1024"/>
        <v>0</v>
      </c>
      <c r="V3282" s="5">
        <f t="shared" si="1025"/>
        <v>0</v>
      </c>
      <c r="W3282" s="5">
        <f t="shared" si="1026"/>
        <v>0</v>
      </c>
      <c r="X3282" s="5">
        <f t="shared" si="1027"/>
        <v>0</v>
      </c>
      <c r="Y3282" s="5">
        <f t="shared" si="1028"/>
        <v>0</v>
      </c>
      <c r="Z3282" s="5">
        <f t="shared" si="1029"/>
        <v>0</v>
      </c>
      <c r="AA3282" s="5">
        <f t="shared" si="1030"/>
        <v>0</v>
      </c>
      <c r="AB3282" s="5">
        <f t="shared" si="1020"/>
        <v>0</v>
      </c>
    </row>
    <row r="3283" spans="4:28" x14ac:dyDescent="0.25">
      <c r="D3283" t="s">
        <v>83</v>
      </c>
      <c r="E3283" s="14"/>
      <c r="F3283" s="14"/>
      <c r="G3283">
        <f>IFERROR(HLOOKUP(G$2,[99]table_female_hkom2_inj.ill_X4!$A$1:$K$36,15,FALSE),0)</f>
        <v>0</v>
      </c>
      <c r="H3283">
        <f>IFERROR(HLOOKUP(H$2,[99]table_female_hkom2_inj.ill_X4!$A$1:$K$36,15,FALSE),0)</f>
        <v>0</v>
      </c>
      <c r="I3283">
        <f>IFERROR(HLOOKUP(I$2,[99]table_female_hkom2_inj.ill_X4!$A$1:$K$36,15,FALSE),0)</f>
        <v>0</v>
      </c>
      <c r="J3283">
        <f>IFERROR(HLOOKUP(J$2,[99]table_female_hkom2_inj.ill_X4!$A$1:$K$36,15,FALSE),0)</f>
        <v>0</v>
      </c>
      <c r="K3283">
        <f>IFERROR(HLOOKUP(K$2,[99]table_female_hkom2_inj.ill_X4!$A$1:$K$36,15,FALSE),0)</f>
        <v>0</v>
      </c>
      <c r="L3283">
        <f>IFERROR(HLOOKUP(L$2,[99]table_female_hkom2_inj.ill_X4!$A$1:$K$36,15,FALSE),0)</f>
        <v>0</v>
      </c>
      <c r="M3283">
        <f t="shared" si="1022"/>
        <v>0</v>
      </c>
      <c r="S3283" t="s">
        <v>83</v>
      </c>
      <c r="T3283" s="5">
        <f t="shared" si="1023"/>
        <v>0</v>
      </c>
      <c r="U3283" s="5">
        <f t="shared" si="1024"/>
        <v>0</v>
      </c>
      <c r="V3283" s="5">
        <f t="shared" si="1025"/>
        <v>0</v>
      </c>
      <c r="W3283" s="5">
        <f t="shared" si="1026"/>
        <v>0</v>
      </c>
      <c r="X3283" s="5">
        <f t="shared" si="1027"/>
        <v>0</v>
      </c>
      <c r="Y3283" s="5">
        <f t="shared" si="1028"/>
        <v>0</v>
      </c>
      <c r="Z3283" s="5">
        <f t="shared" si="1029"/>
        <v>0</v>
      </c>
      <c r="AA3283" s="5">
        <f t="shared" si="1030"/>
        <v>0</v>
      </c>
      <c r="AB3283" s="5">
        <f t="shared" si="1020"/>
        <v>0</v>
      </c>
    </row>
    <row r="3284" spans="4:28" x14ac:dyDescent="0.25">
      <c r="D3284" t="s">
        <v>84</v>
      </c>
      <c r="E3284" s="14"/>
      <c r="F3284" s="14"/>
      <c r="G3284">
        <f>IFERROR(HLOOKUP(G$2,[99]table_female_hkom2_inj.ill_X4!$A$1:$K$36,16,FALSE),0)</f>
        <v>0</v>
      </c>
      <c r="H3284">
        <f>IFERROR(HLOOKUP(H$2,[99]table_female_hkom2_inj.ill_X4!$A$1:$K$36,16,FALSE),0)</f>
        <v>0</v>
      </c>
      <c r="I3284">
        <f>IFERROR(HLOOKUP(I$2,[99]table_female_hkom2_inj.ill_X4!$A$1:$K$36,16,FALSE),0)</f>
        <v>0</v>
      </c>
      <c r="J3284">
        <f>IFERROR(HLOOKUP(J$2,[99]table_female_hkom2_inj.ill_X4!$A$1:$K$36,16,FALSE),0)</f>
        <v>0</v>
      </c>
      <c r="K3284">
        <f>IFERROR(HLOOKUP(K$2,[99]table_female_hkom2_inj.ill_X4!$A$1:$K$36,16,FALSE),0)</f>
        <v>0</v>
      </c>
      <c r="L3284">
        <f>IFERROR(HLOOKUP(L$2,[99]table_female_hkom2_inj.ill_X4!$A$1:$K$36,16,FALSE),0)</f>
        <v>0</v>
      </c>
      <c r="M3284">
        <f t="shared" si="1022"/>
        <v>0</v>
      </c>
      <c r="S3284" t="s">
        <v>84</v>
      </c>
      <c r="T3284" s="5">
        <f t="shared" si="1023"/>
        <v>0</v>
      </c>
      <c r="U3284" s="5">
        <f t="shared" si="1024"/>
        <v>0</v>
      </c>
      <c r="V3284" s="5">
        <f t="shared" si="1025"/>
        <v>0</v>
      </c>
      <c r="W3284" s="5">
        <f t="shared" si="1026"/>
        <v>0</v>
      </c>
      <c r="X3284" s="5">
        <f t="shared" si="1027"/>
        <v>0</v>
      </c>
      <c r="Y3284" s="5">
        <f t="shared" si="1028"/>
        <v>0</v>
      </c>
      <c r="Z3284" s="5">
        <f t="shared" si="1029"/>
        <v>0</v>
      </c>
      <c r="AA3284" s="5">
        <f t="shared" si="1030"/>
        <v>0</v>
      </c>
      <c r="AB3284" s="5">
        <f t="shared" si="1020"/>
        <v>0</v>
      </c>
    </row>
    <row r="3285" spans="4:28" x14ac:dyDescent="0.25">
      <c r="D3285" t="s">
        <v>85</v>
      </c>
      <c r="E3285" s="14"/>
      <c r="F3285" s="14"/>
      <c r="G3285">
        <f>IFERROR(HLOOKUP(G$2,[99]table_female_hkom2_inj.ill_X4!$A$1:$K$36,17,FALSE),0)</f>
        <v>0</v>
      </c>
      <c r="H3285">
        <f>IFERROR(HLOOKUP(H$2,[99]table_female_hkom2_inj.ill_X4!$A$1:$K$36,17,FALSE),0)</f>
        <v>0</v>
      </c>
      <c r="I3285">
        <f>IFERROR(HLOOKUP(I$2,[99]table_female_hkom2_inj.ill_X4!$A$1:$K$36,17,FALSE),0)</f>
        <v>0</v>
      </c>
      <c r="J3285">
        <f>IFERROR(HLOOKUP(J$2,[99]table_female_hkom2_inj.ill_X4!$A$1:$K$36,17,FALSE),0)</f>
        <v>0</v>
      </c>
      <c r="K3285">
        <f>IFERROR(HLOOKUP(K$2,[99]table_female_hkom2_inj.ill_X4!$A$1:$K$36,17,FALSE),0)</f>
        <v>0</v>
      </c>
      <c r="L3285">
        <f>IFERROR(HLOOKUP(L$2,[99]table_female_hkom2_inj.ill_X4!$A$1:$K$36,17,FALSE),0)</f>
        <v>0</v>
      </c>
      <c r="M3285">
        <f t="shared" si="1022"/>
        <v>0</v>
      </c>
      <c r="S3285" t="s">
        <v>85</v>
      </c>
      <c r="T3285" s="5">
        <f t="shared" si="1023"/>
        <v>0</v>
      </c>
      <c r="U3285" s="5">
        <f t="shared" si="1024"/>
        <v>0</v>
      </c>
      <c r="V3285" s="5">
        <f t="shared" si="1025"/>
        <v>0</v>
      </c>
      <c r="W3285" s="5">
        <f t="shared" si="1026"/>
        <v>0</v>
      </c>
      <c r="X3285" s="5">
        <f t="shared" si="1027"/>
        <v>0</v>
      </c>
      <c r="Y3285" s="5">
        <f t="shared" si="1028"/>
        <v>0</v>
      </c>
      <c r="Z3285" s="5">
        <f t="shared" si="1029"/>
        <v>0</v>
      </c>
      <c r="AA3285" s="5">
        <f t="shared" si="1030"/>
        <v>0</v>
      </c>
      <c r="AB3285" s="5">
        <f t="shared" si="1020"/>
        <v>0</v>
      </c>
    </row>
    <row r="3286" spans="4:28" x14ac:dyDescent="0.25">
      <c r="D3286" t="s">
        <v>86</v>
      </c>
      <c r="E3286" s="14"/>
      <c r="F3286" s="14"/>
      <c r="G3286">
        <f>IFERROR(HLOOKUP(G$2,[99]table_female_hkom2_inj.ill_X4!$A$1:$K$36,18,FALSE),0)</f>
        <v>0</v>
      </c>
      <c r="H3286">
        <f>IFERROR(HLOOKUP(H$2,[99]table_female_hkom2_inj.ill_X4!$A$1:$K$36,18,FALSE),0)</f>
        <v>0</v>
      </c>
      <c r="I3286">
        <f>IFERROR(HLOOKUP(I$2,[99]table_female_hkom2_inj.ill_X4!$A$1:$K$36,18,FALSE),0)</f>
        <v>0</v>
      </c>
      <c r="J3286">
        <f>IFERROR(HLOOKUP(J$2,[99]table_female_hkom2_inj.ill_X4!$A$1:$K$36,18,FALSE),0)</f>
        <v>0</v>
      </c>
      <c r="K3286">
        <f>IFERROR(HLOOKUP(K$2,[99]table_female_hkom2_inj.ill_X4!$A$1:$K$36,18,FALSE),0)</f>
        <v>0</v>
      </c>
      <c r="L3286">
        <f>IFERROR(HLOOKUP(L$2,[99]table_female_hkom2_inj.ill_X4!$A$1:$K$36,18,FALSE),0)</f>
        <v>0</v>
      </c>
      <c r="M3286">
        <f t="shared" si="1022"/>
        <v>0</v>
      </c>
      <c r="S3286" t="s">
        <v>86</v>
      </c>
      <c r="T3286" s="5">
        <f t="shared" si="1023"/>
        <v>0</v>
      </c>
      <c r="U3286" s="5">
        <f t="shared" si="1024"/>
        <v>0</v>
      </c>
      <c r="V3286" s="5">
        <f t="shared" si="1025"/>
        <v>0</v>
      </c>
      <c r="W3286" s="5">
        <f t="shared" si="1026"/>
        <v>0</v>
      </c>
      <c r="X3286" s="5">
        <f t="shared" si="1027"/>
        <v>0</v>
      </c>
      <c r="Y3286" s="5">
        <f t="shared" si="1028"/>
        <v>0</v>
      </c>
      <c r="Z3286" s="5">
        <f t="shared" si="1029"/>
        <v>0</v>
      </c>
      <c r="AA3286" s="5">
        <f t="shared" si="1030"/>
        <v>0</v>
      </c>
      <c r="AB3286" s="5">
        <f t="shared" si="1020"/>
        <v>0</v>
      </c>
    </row>
    <row r="3287" spans="4:28" x14ac:dyDescent="0.25">
      <c r="D3287" t="s">
        <v>87</v>
      </c>
      <c r="E3287" s="14"/>
      <c r="F3287" s="14"/>
      <c r="G3287">
        <f>IFERROR(HLOOKUP(G$2,[99]table_female_hkom2_inj.ill_X4!$A$1:$K$36,19,FALSE),0)</f>
        <v>0</v>
      </c>
      <c r="H3287">
        <f>IFERROR(HLOOKUP(H$2,[99]table_female_hkom2_inj.ill_X4!$A$1:$K$36,19,FALSE),0)</f>
        <v>0</v>
      </c>
      <c r="I3287">
        <f>IFERROR(HLOOKUP(I$2,[99]table_female_hkom2_inj.ill_X4!$A$1:$K$36,19,FALSE),0)</f>
        <v>0</v>
      </c>
      <c r="J3287">
        <f>IFERROR(HLOOKUP(J$2,[99]table_female_hkom2_inj.ill_X4!$A$1:$K$36,19,FALSE),0)</f>
        <v>0</v>
      </c>
      <c r="K3287">
        <f>IFERROR(HLOOKUP(K$2,[99]table_female_hkom2_inj.ill_X4!$A$1:$K$36,19,FALSE),0)</f>
        <v>0</v>
      </c>
      <c r="L3287">
        <f>IFERROR(HLOOKUP(L$2,[99]table_female_hkom2_inj.ill_X4!$A$1:$K$36,19,FALSE),0)</f>
        <v>0</v>
      </c>
      <c r="M3287">
        <f t="shared" si="1022"/>
        <v>0</v>
      </c>
      <c r="S3287" t="s">
        <v>87</v>
      </c>
      <c r="T3287" s="5">
        <f t="shared" si="1023"/>
        <v>0</v>
      </c>
      <c r="U3287" s="5">
        <f t="shared" si="1024"/>
        <v>0</v>
      </c>
      <c r="V3287" s="5">
        <f t="shared" si="1025"/>
        <v>0</v>
      </c>
      <c r="W3287" s="5">
        <f t="shared" si="1026"/>
        <v>0</v>
      </c>
      <c r="X3287" s="5">
        <f t="shared" si="1027"/>
        <v>0</v>
      </c>
      <c r="Y3287" s="5">
        <f t="shared" si="1028"/>
        <v>0</v>
      </c>
      <c r="Z3287" s="5">
        <f t="shared" si="1029"/>
        <v>0</v>
      </c>
      <c r="AA3287" s="5">
        <f t="shared" si="1030"/>
        <v>0</v>
      </c>
      <c r="AB3287" s="5">
        <f t="shared" si="1020"/>
        <v>0</v>
      </c>
    </row>
    <row r="3288" spans="4:28" x14ac:dyDescent="0.25">
      <c r="D3288" t="s">
        <v>88</v>
      </c>
      <c r="E3288" s="14"/>
      <c r="F3288" s="14"/>
      <c r="G3288">
        <f>IFERROR(HLOOKUP(G$2,[99]table_female_hkom2_inj.ill_X4!$A$1:$K$36,20,FALSE),0)</f>
        <v>0</v>
      </c>
      <c r="H3288">
        <f>IFERROR(HLOOKUP(H$2,[99]table_female_hkom2_inj.ill_X4!$A$1:$K$36,20,FALSE),0)</f>
        <v>0</v>
      </c>
      <c r="I3288">
        <f>IFERROR(HLOOKUP(I$2,[99]table_female_hkom2_inj.ill_X4!$A$1:$K$36,20,FALSE),0)</f>
        <v>0</v>
      </c>
      <c r="J3288">
        <f>IFERROR(HLOOKUP(J$2,[99]table_female_hkom2_inj.ill_X4!$A$1:$K$36,20,FALSE),0)</f>
        <v>0</v>
      </c>
      <c r="K3288">
        <f>IFERROR(HLOOKUP(K$2,[99]table_female_hkom2_inj.ill_X4!$A$1:$K$36,20,FALSE),0)</f>
        <v>0</v>
      </c>
      <c r="L3288">
        <f>IFERROR(HLOOKUP(L$2,[99]table_female_hkom2_inj.ill_X4!$A$1:$K$36,20,FALSE),0)</f>
        <v>0</v>
      </c>
      <c r="M3288">
        <f t="shared" si="1022"/>
        <v>0</v>
      </c>
      <c r="S3288" t="s">
        <v>88</v>
      </c>
      <c r="T3288" s="5">
        <f t="shared" si="1023"/>
        <v>0</v>
      </c>
      <c r="U3288" s="5">
        <f t="shared" si="1024"/>
        <v>0</v>
      </c>
      <c r="V3288" s="5">
        <f t="shared" si="1025"/>
        <v>0</v>
      </c>
      <c r="W3288" s="5">
        <f t="shared" si="1026"/>
        <v>0</v>
      </c>
      <c r="X3288" s="5">
        <f t="shared" si="1027"/>
        <v>0</v>
      </c>
      <c r="Y3288" s="5">
        <f t="shared" si="1028"/>
        <v>0</v>
      </c>
      <c r="Z3288" s="5">
        <f t="shared" si="1029"/>
        <v>0</v>
      </c>
      <c r="AA3288" s="5">
        <f t="shared" si="1030"/>
        <v>0</v>
      </c>
      <c r="AB3288" s="5">
        <f t="shared" si="1020"/>
        <v>0</v>
      </c>
    </row>
    <row r="3289" spans="4:28" x14ac:dyDescent="0.25">
      <c r="D3289" t="s">
        <v>89</v>
      </c>
      <c r="E3289" s="14"/>
      <c r="F3289" s="14"/>
      <c r="G3289">
        <f>IFERROR(HLOOKUP(G$2,[99]table_female_hkom2_inj.ill_X4!$A$1:$K$36,21,FALSE),0)</f>
        <v>0</v>
      </c>
      <c r="H3289">
        <f>IFERROR(HLOOKUP(H$2,[99]table_female_hkom2_inj.ill_X4!$A$1:$K$36,21,FALSE),0)</f>
        <v>0</v>
      </c>
      <c r="I3289">
        <f>IFERROR(HLOOKUP(I$2,[99]table_female_hkom2_inj.ill_X4!$A$1:$K$36,21,FALSE),0)</f>
        <v>0</v>
      </c>
      <c r="J3289">
        <f>IFERROR(HLOOKUP(J$2,[99]table_female_hkom2_inj.ill_X4!$A$1:$K$36,21,FALSE),0)</f>
        <v>0</v>
      </c>
      <c r="K3289">
        <f>IFERROR(HLOOKUP(K$2,[99]table_female_hkom2_inj.ill_X4!$A$1:$K$36,21,FALSE),0)</f>
        <v>0</v>
      </c>
      <c r="L3289">
        <f>IFERROR(HLOOKUP(L$2,[99]table_female_hkom2_inj.ill_X4!$A$1:$K$36,21,FALSE),0)</f>
        <v>0</v>
      </c>
      <c r="M3289">
        <f t="shared" si="1022"/>
        <v>0</v>
      </c>
      <c r="S3289" t="s">
        <v>89</v>
      </c>
      <c r="T3289" s="5">
        <f t="shared" si="1023"/>
        <v>0</v>
      </c>
      <c r="U3289" s="5">
        <f t="shared" si="1024"/>
        <v>0</v>
      </c>
      <c r="V3289" s="5">
        <f t="shared" si="1025"/>
        <v>0</v>
      </c>
      <c r="W3289" s="5">
        <f t="shared" si="1026"/>
        <v>0</v>
      </c>
      <c r="X3289" s="5">
        <f t="shared" si="1027"/>
        <v>0</v>
      </c>
      <c r="Y3289" s="5">
        <f t="shared" si="1028"/>
        <v>0</v>
      </c>
      <c r="Z3289" s="5">
        <f t="shared" si="1029"/>
        <v>0</v>
      </c>
      <c r="AA3289" s="5">
        <f t="shared" si="1030"/>
        <v>0</v>
      </c>
      <c r="AB3289" s="5">
        <f t="shared" si="1020"/>
        <v>0</v>
      </c>
    </row>
    <row r="3290" spans="4:28" x14ac:dyDescent="0.25">
      <c r="D3290" t="s">
        <v>90</v>
      </c>
      <c r="E3290" s="14"/>
      <c r="F3290" s="14"/>
      <c r="G3290">
        <f>IFERROR(HLOOKUP(G$2,[99]table_female_hkom2_inj.ill_X4!$A$1:$K$36,22,FALSE),0)</f>
        <v>0</v>
      </c>
      <c r="H3290">
        <f>IFERROR(HLOOKUP(H$2,[99]table_female_hkom2_inj.ill_X4!$A$1:$K$36,22,FALSE),0)</f>
        <v>0</v>
      </c>
      <c r="I3290">
        <f>IFERROR(HLOOKUP(I$2,[99]table_female_hkom2_inj.ill_X4!$A$1:$K$36,22,FALSE),0)</f>
        <v>0</v>
      </c>
      <c r="J3290">
        <f>IFERROR(HLOOKUP(J$2,[99]table_female_hkom2_inj.ill_X4!$A$1:$K$36,22,FALSE),0)</f>
        <v>0</v>
      </c>
      <c r="K3290">
        <f>IFERROR(HLOOKUP(K$2,[99]table_female_hkom2_inj.ill_X4!$A$1:$K$36,22,FALSE),0)</f>
        <v>0</v>
      </c>
      <c r="L3290">
        <f>IFERROR(HLOOKUP(L$2,[99]table_female_hkom2_inj.ill_X4!$A$1:$K$36,22,FALSE),0)</f>
        <v>0</v>
      </c>
      <c r="M3290">
        <f t="shared" si="1022"/>
        <v>0</v>
      </c>
      <c r="S3290" t="s">
        <v>90</v>
      </c>
      <c r="T3290" s="5">
        <f t="shared" si="1023"/>
        <v>0</v>
      </c>
      <c r="U3290" s="5">
        <f t="shared" si="1024"/>
        <v>0</v>
      </c>
      <c r="V3290" s="5">
        <f t="shared" si="1025"/>
        <v>0</v>
      </c>
      <c r="W3290" s="5">
        <f t="shared" si="1026"/>
        <v>0</v>
      </c>
      <c r="X3290" s="5">
        <f t="shared" si="1027"/>
        <v>0</v>
      </c>
      <c r="Y3290" s="5">
        <f t="shared" si="1028"/>
        <v>0</v>
      </c>
      <c r="Z3290" s="5">
        <f t="shared" si="1029"/>
        <v>0</v>
      </c>
      <c r="AA3290" s="5">
        <f t="shared" si="1030"/>
        <v>0</v>
      </c>
      <c r="AB3290" s="5">
        <f t="shared" si="1020"/>
        <v>0</v>
      </c>
    </row>
    <row r="3291" spans="4:28" x14ac:dyDescent="0.25">
      <c r="D3291" t="s">
        <v>91</v>
      </c>
      <c r="E3291" s="14"/>
      <c r="F3291" s="14"/>
      <c r="G3291">
        <f>IFERROR(HLOOKUP(G$2,[99]table_female_hkom2_inj.ill_X4!$A$1:$K$36,23,FALSE),0)</f>
        <v>0</v>
      </c>
      <c r="H3291">
        <f>IFERROR(HLOOKUP(H$2,[99]table_female_hkom2_inj.ill_X4!$A$1:$K$36,23,FALSE),0)</f>
        <v>0</v>
      </c>
      <c r="I3291">
        <f>IFERROR(HLOOKUP(I$2,[99]table_female_hkom2_inj.ill_X4!$A$1:$K$36,23,FALSE),0)</f>
        <v>0</v>
      </c>
      <c r="J3291">
        <f>IFERROR(HLOOKUP(J$2,[99]table_female_hkom2_inj.ill_X4!$A$1:$K$36,23,FALSE),0)</f>
        <v>0</v>
      </c>
      <c r="K3291">
        <f>IFERROR(HLOOKUP(K$2,[99]table_female_hkom2_inj.ill_X4!$A$1:$K$36,23,FALSE),0)</f>
        <v>0</v>
      </c>
      <c r="L3291">
        <f>IFERROR(HLOOKUP(L$2,[99]table_female_hkom2_inj.ill_X4!$A$1:$K$36,23,FALSE),0)</f>
        <v>0</v>
      </c>
      <c r="M3291">
        <f t="shared" si="1022"/>
        <v>0</v>
      </c>
      <c r="S3291" t="s">
        <v>91</v>
      </c>
      <c r="T3291" s="5">
        <f t="shared" si="1023"/>
        <v>0</v>
      </c>
      <c r="U3291" s="5">
        <f t="shared" si="1024"/>
        <v>0</v>
      </c>
      <c r="V3291" s="5">
        <f t="shared" si="1025"/>
        <v>0</v>
      </c>
      <c r="W3291" s="5">
        <f t="shared" si="1026"/>
        <v>0</v>
      </c>
      <c r="X3291" s="5">
        <f t="shared" si="1027"/>
        <v>0</v>
      </c>
      <c r="Y3291" s="5">
        <f t="shared" si="1028"/>
        <v>0</v>
      </c>
      <c r="Z3291" s="5">
        <f t="shared" si="1029"/>
        <v>0</v>
      </c>
      <c r="AA3291" s="5">
        <f t="shared" si="1030"/>
        <v>0</v>
      </c>
      <c r="AB3291" s="5">
        <f t="shared" si="1020"/>
        <v>0</v>
      </c>
    </row>
    <row r="3292" spans="4:28" x14ac:dyDescent="0.25">
      <c r="D3292" t="s">
        <v>92</v>
      </c>
      <c r="E3292" s="14"/>
      <c r="F3292" s="14"/>
      <c r="G3292">
        <f>IFERROR(HLOOKUP(G$2,[99]table_female_hkom2_inj.ill_X4!$A$1:$K$36,24,FALSE),0)</f>
        <v>0</v>
      </c>
      <c r="H3292">
        <f>IFERROR(HLOOKUP(H$2,[99]table_female_hkom2_inj.ill_X4!$A$1:$K$36,24,FALSE),0)</f>
        <v>0</v>
      </c>
      <c r="I3292">
        <f>IFERROR(HLOOKUP(I$2,[99]table_female_hkom2_inj.ill_X4!$A$1:$K$36,24,FALSE),0)</f>
        <v>0</v>
      </c>
      <c r="J3292">
        <f>IFERROR(HLOOKUP(J$2,[99]table_female_hkom2_inj.ill_X4!$A$1:$K$36,24,FALSE),0)</f>
        <v>0</v>
      </c>
      <c r="K3292">
        <f>IFERROR(HLOOKUP(K$2,[99]table_female_hkom2_inj.ill_X4!$A$1:$K$36,24,FALSE),0)</f>
        <v>0</v>
      </c>
      <c r="L3292">
        <f>IFERROR(HLOOKUP(L$2,[99]table_female_hkom2_inj.ill_X4!$A$1:$K$36,24,FALSE),0)</f>
        <v>0</v>
      </c>
      <c r="M3292">
        <f t="shared" si="1022"/>
        <v>0</v>
      </c>
      <c r="S3292" t="s">
        <v>92</v>
      </c>
      <c r="T3292" s="5">
        <f t="shared" si="1023"/>
        <v>0</v>
      </c>
      <c r="U3292" s="5">
        <f t="shared" si="1024"/>
        <v>0</v>
      </c>
      <c r="V3292" s="5">
        <f t="shared" si="1025"/>
        <v>0</v>
      </c>
      <c r="W3292" s="5">
        <f t="shared" si="1026"/>
        <v>0</v>
      </c>
      <c r="X3292" s="5">
        <f t="shared" si="1027"/>
        <v>0</v>
      </c>
      <c r="Y3292" s="5">
        <f t="shared" si="1028"/>
        <v>0</v>
      </c>
      <c r="Z3292" s="5">
        <f t="shared" si="1029"/>
        <v>0</v>
      </c>
      <c r="AA3292" s="5">
        <f t="shared" si="1030"/>
        <v>0</v>
      </c>
      <c r="AB3292" s="5">
        <f t="shared" si="1020"/>
        <v>0</v>
      </c>
    </row>
    <row r="3293" spans="4:28" x14ac:dyDescent="0.25">
      <c r="D3293" t="s">
        <v>93</v>
      </c>
      <c r="E3293" s="14"/>
      <c r="F3293" s="14"/>
      <c r="G3293">
        <f>IFERROR(HLOOKUP(G$2,[99]table_female_hkom2_inj.ill_X4!$A$1:$K$36,25,FALSE),0)</f>
        <v>0</v>
      </c>
      <c r="H3293">
        <f>IFERROR(HLOOKUP(H$2,[99]table_female_hkom2_inj.ill_X4!$A$1:$K$36,25,FALSE),0)</f>
        <v>0</v>
      </c>
      <c r="I3293">
        <f>IFERROR(HLOOKUP(I$2,[99]table_female_hkom2_inj.ill_X4!$A$1:$K$36,25,FALSE),0)</f>
        <v>0</v>
      </c>
      <c r="J3293">
        <f>IFERROR(HLOOKUP(J$2,[99]table_female_hkom2_inj.ill_X4!$A$1:$K$36,25,FALSE),0)</f>
        <v>0</v>
      </c>
      <c r="K3293">
        <f>IFERROR(HLOOKUP(K$2,[99]table_female_hkom2_inj.ill_X4!$A$1:$K$36,25,FALSE),0)</f>
        <v>0</v>
      </c>
      <c r="L3293">
        <f>IFERROR(HLOOKUP(L$2,[99]table_female_hkom2_inj.ill_X4!$A$1:$K$36,25,FALSE),0)</f>
        <v>0</v>
      </c>
      <c r="M3293">
        <f t="shared" si="1022"/>
        <v>0</v>
      </c>
      <c r="S3293" t="s">
        <v>93</v>
      </c>
      <c r="T3293" s="5">
        <f t="shared" si="1023"/>
        <v>0</v>
      </c>
      <c r="U3293" s="5">
        <f t="shared" si="1024"/>
        <v>0</v>
      </c>
      <c r="V3293" s="5">
        <f t="shared" si="1025"/>
        <v>0</v>
      </c>
      <c r="W3293" s="5">
        <f t="shared" si="1026"/>
        <v>0</v>
      </c>
      <c r="X3293" s="5">
        <f t="shared" si="1027"/>
        <v>0</v>
      </c>
      <c r="Y3293" s="5">
        <f t="shared" si="1028"/>
        <v>0</v>
      </c>
      <c r="Z3293" s="5">
        <f t="shared" si="1029"/>
        <v>0</v>
      </c>
      <c r="AA3293" s="5">
        <f t="shared" si="1030"/>
        <v>0</v>
      </c>
      <c r="AB3293" s="5">
        <f t="shared" si="1020"/>
        <v>0</v>
      </c>
    </row>
    <row r="3294" spans="4:28" x14ac:dyDescent="0.25">
      <c r="D3294" t="s">
        <v>94</v>
      </c>
      <c r="E3294" s="14"/>
      <c r="F3294" s="14"/>
      <c r="G3294">
        <f>IFERROR(HLOOKUP(G$2,[99]table_female_hkom2_inj.ill_X4!$A$1:$K$36,26,FALSE),0)</f>
        <v>0</v>
      </c>
      <c r="H3294">
        <f>IFERROR(HLOOKUP(H$2,[99]table_female_hkom2_inj.ill_X4!$A$1:$K$36,26,FALSE),0)</f>
        <v>0</v>
      </c>
      <c r="I3294">
        <f>IFERROR(HLOOKUP(I$2,[99]table_female_hkom2_inj.ill_X4!$A$1:$K$36,26,FALSE),0)</f>
        <v>0</v>
      </c>
      <c r="J3294">
        <f>IFERROR(HLOOKUP(J$2,[99]table_female_hkom2_inj.ill_X4!$A$1:$K$36,26,FALSE),0)</f>
        <v>0</v>
      </c>
      <c r="K3294">
        <f>IFERROR(HLOOKUP(K$2,[99]table_female_hkom2_inj.ill_X4!$A$1:$K$36,26,FALSE),0)</f>
        <v>0</v>
      </c>
      <c r="L3294">
        <f>IFERROR(HLOOKUP(L$2,[99]table_female_hkom2_inj.ill_X4!$A$1:$K$36,26,FALSE),0)</f>
        <v>0</v>
      </c>
      <c r="M3294">
        <f t="shared" si="1022"/>
        <v>0</v>
      </c>
      <c r="S3294" t="s">
        <v>94</v>
      </c>
      <c r="T3294" s="5">
        <f t="shared" si="1023"/>
        <v>0</v>
      </c>
      <c r="U3294" s="5">
        <f t="shared" si="1024"/>
        <v>0</v>
      </c>
      <c r="V3294" s="5">
        <f t="shared" si="1025"/>
        <v>0</v>
      </c>
      <c r="W3294" s="5">
        <f t="shared" si="1026"/>
        <v>0</v>
      </c>
      <c r="X3294" s="5">
        <f t="shared" si="1027"/>
        <v>0</v>
      </c>
      <c r="Y3294" s="5">
        <f t="shared" si="1028"/>
        <v>0</v>
      </c>
      <c r="Z3294" s="5">
        <f t="shared" si="1029"/>
        <v>0</v>
      </c>
      <c r="AA3294" s="5">
        <f t="shared" si="1030"/>
        <v>0</v>
      </c>
      <c r="AB3294" s="5">
        <f t="shared" si="1020"/>
        <v>0</v>
      </c>
    </row>
    <row r="3295" spans="4:28" x14ac:dyDescent="0.25">
      <c r="D3295" t="s">
        <v>95</v>
      </c>
      <c r="E3295" s="14"/>
      <c r="F3295" s="14"/>
      <c r="G3295">
        <f>IFERROR(HLOOKUP(G$2,[99]table_female_hkom2_inj.ill_X4!$A$1:$K$36,27,FALSE),0)</f>
        <v>0</v>
      </c>
      <c r="H3295">
        <f>IFERROR(HLOOKUP(H$2,[99]table_female_hkom2_inj.ill_X4!$A$1:$K$36,27,FALSE),0)</f>
        <v>0</v>
      </c>
      <c r="I3295">
        <f>IFERROR(HLOOKUP(I$2,[99]table_female_hkom2_inj.ill_X4!$A$1:$K$36,27,FALSE),0)</f>
        <v>0</v>
      </c>
      <c r="J3295">
        <f>IFERROR(HLOOKUP(J$2,[99]table_female_hkom2_inj.ill_X4!$A$1:$K$36,27,FALSE),0)</f>
        <v>0</v>
      </c>
      <c r="K3295">
        <f>IFERROR(HLOOKUP(K$2,[99]table_female_hkom2_inj.ill_X4!$A$1:$K$36,27,FALSE),0)</f>
        <v>0</v>
      </c>
      <c r="L3295">
        <f>IFERROR(HLOOKUP(L$2,[99]table_female_hkom2_inj.ill_X4!$A$1:$K$36,27,FALSE),0)</f>
        <v>0</v>
      </c>
      <c r="M3295">
        <f t="shared" si="1022"/>
        <v>0</v>
      </c>
      <c r="S3295" t="s">
        <v>95</v>
      </c>
      <c r="T3295" s="5">
        <f t="shared" si="1023"/>
        <v>0</v>
      </c>
      <c r="U3295" s="5">
        <f t="shared" si="1024"/>
        <v>0</v>
      </c>
      <c r="V3295" s="5">
        <f t="shared" si="1025"/>
        <v>0</v>
      </c>
      <c r="W3295" s="5">
        <f t="shared" si="1026"/>
        <v>0</v>
      </c>
      <c r="X3295" s="5">
        <f t="shared" si="1027"/>
        <v>0</v>
      </c>
      <c r="Y3295" s="5">
        <f t="shared" si="1028"/>
        <v>0</v>
      </c>
      <c r="Z3295" s="5">
        <f t="shared" si="1029"/>
        <v>0</v>
      </c>
      <c r="AA3295" s="5">
        <f t="shared" si="1030"/>
        <v>0</v>
      </c>
      <c r="AB3295" s="5">
        <f t="shared" si="1020"/>
        <v>0</v>
      </c>
    </row>
    <row r="3296" spans="4:28" x14ac:dyDescent="0.25">
      <c r="D3296" t="s">
        <v>96</v>
      </c>
      <c r="E3296" s="14"/>
      <c r="F3296" s="14"/>
      <c r="G3296">
        <f>IFERROR(HLOOKUP(G$2,[99]table_female_hkom2_inj.ill_X4!$A$1:$K$36,28,FALSE),0)</f>
        <v>0</v>
      </c>
      <c r="H3296">
        <f>IFERROR(HLOOKUP(H$2,[99]table_female_hkom2_inj.ill_X4!$A$1:$K$36,28,FALSE),0)</f>
        <v>0</v>
      </c>
      <c r="I3296">
        <f>IFERROR(HLOOKUP(I$2,[99]table_female_hkom2_inj.ill_X4!$A$1:$K$36,28,FALSE),0)</f>
        <v>0</v>
      </c>
      <c r="J3296">
        <f>IFERROR(HLOOKUP(J$2,[99]table_female_hkom2_inj.ill_X4!$A$1:$K$36,28,FALSE),0)</f>
        <v>0</v>
      </c>
      <c r="K3296">
        <f>IFERROR(HLOOKUP(K$2,[99]table_female_hkom2_inj.ill_X4!$A$1:$K$36,28,FALSE),0)</f>
        <v>0</v>
      </c>
      <c r="L3296">
        <f>IFERROR(HLOOKUP(L$2,[99]table_female_hkom2_inj.ill_X4!$A$1:$K$36,28,FALSE),0)</f>
        <v>0</v>
      </c>
      <c r="M3296">
        <f t="shared" si="1022"/>
        <v>0</v>
      </c>
      <c r="S3296" t="s">
        <v>96</v>
      </c>
      <c r="T3296" s="5">
        <f t="shared" si="1023"/>
        <v>0</v>
      </c>
      <c r="U3296" s="5">
        <f t="shared" si="1024"/>
        <v>0</v>
      </c>
      <c r="V3296" s="5">
        <f t="shared" si="1025"/>
        <v>0</v>
      </c>
      <c r="W3296" s="5">
        <f t="shared" si="1026"/>
        <v>0</v>
      </c>
      <c r="X3296" s="5">
        <f t="shared" si="1027"/>
        <v>0</v>
      </c>
      <c r="Y3296" s="5">
        <f t="shared" si="1028"/>
        <v>0</v>
      </c>
      <c r="Z3296" s="5">
        <f t="shared" si="1029"/>
        <v>0</v>
      </c>
      <c r="AA3296" s="5">
        <f t="shared" si="1030"/>
        <v>0</v>
      </c>
      <c r="AB3296" s="5">
        <f t="shared" si="1020"/>
        <v>0</v>
      </c>
    </row>
    <row r="3297" spans="1:29" x14ac:dyDescent="0.25">
      <c r="D3297" t="s">
        <v>97</v>
      </c>
      <c r="E3297" s="14"/>
      <c r="F3297" s="14"/>
      <c r="G3297">
        <f>IFERROR(HLOOKUP(G$2,[99]table_female_hkom2_inj.ill_X4!$A$1:$K$36,29,FALSE),0)</f>
        <v>0</v>
      </c>
      <c r="H3297">
        <f>IFERROR(HLOOKUP(H$2,[99]table_female_hkom2_inj.ill_X4!$A$1:$K$36,29,FALSE),0)</f>
        <v>0</v>
      </c>
      <c r="I3297">
        <f>IFERROR(HLOOKUP(I$2,[99]table_female_hkom2_inj.ill_X4!$A$1:$K$36,29,FALSE),0)</f>
        <v>0</v>
      </c>
      <c r="J3297">
        <f>IFERROR(HLOOKUP(J$2,[99]table_female_hkom2_inj.ill_X4!$A$1:$K$36,29,FALSE),0)</f>
        <v>0</v>
      </c>
      <c r="K3297">
        <f>IFERROR(HLOOKUP(K$2,[99]table_female_hkom2_inj.ill_X4!$A$1:$K$36,29,FALSE),0)</f>
        <v>0</v>
      </c>
      <c r="L3297">
        <f>IFERROR(HLOOKUP(L$2,[99]table_female_hkom2_inj.ill_X4!$A$1:$K$36,29,FALSE),0)</f>
        <v>0</v>
      </c>
      <c r="M3297">
        <f t="shared" si="1022"/>
        <v>0</v>
      </c>
      <c r="S3297" t="s">
        <v>97</v>
      </c>
      <c r="T3297" s="5">
        <f t="shared" si="1023"/>
        <v>0</v>
      </c>
      <c r="U3297" s="5">
        <f t="shared" si="1024"/>
        <v>0</v>
      </c>
      <c r="V3297" s="5">
        <f t="shared" si="1025"/>
        <v>0</v>
      </c>
      <c r="W3297" s="5">
        <f t="shared" si="1026"/>
        <v>0</v>
      </c>
      <c r="X3297" s="5">
        <f t="shared" si="1027"/>
        <v>0</v>
      </c>
      <c r="Y3297" s="5">
        <f t="shared" si="1028"/>
        <v>0</v>
      </c>
      <c r="Z3297" s="5">
        <f t="shared" si="1029"/>
        <v>0</v>
      </c>
      <c r="AA3297" s="5">
        <f t="shared" si="1030"/>
        <v>0</v>
      </c>
      <c r="AB3297" s="5">
        <f t="shared" si="1020"/>
        <v>0</v>
      </c>
    </row>
    <row r="3298" spans="1:29" x14ac:dyDescent="0.25">
      <c r="D3298" t="s">
        <v>98</v>
      </c>
      <c r="E3298" s="14"/>
      <c r="F3298" s="14"/>
      <c r="G3298">
        <f>IFERROR(HLOOKUP(G$2,[99]table_female_hkom2_inj.ill_X4!$A$1:$K$36,30,FALSE),0)</f>
        <v>0</v>
      </c>
      <c r="H3298">
        <f>IFERROR(HLOOKUP(H$2,[99]table_female_hkom2_inj.ill_X4!$A$1:$K$36,30,FALSE),0)</f>
        <v>0</v>
      </c>
      <c r="I3298">
        <f>IFERROR(HLOOKUP(I$2,[99]table_female_hkom2_inj.ill_X4!$A$1:$K$36,30,FALSE),0)</f>
        <v>0</v>
      </c>
      <c r="J3298">
        <f>IFERROR(HLOOKUP(J$2,[99]table_female_hkom2_inj.ill_X4!$A$1:$K$36,30,FALSE),0)</f>
        <v>0</v>
      </c>
      <c r="K3298">
        <f>IFERROR(HLOOKUP(K$2,[99]table_female_hkom2_inj.ill_X4!$A$1:$K$36,30,FALSE),0)</f>
        <v>0</v>
      </c>
      <c r="L3298">
        <f>IFERROR(HLOOKUP(L$2,[99]table_female_hkom2_inj.ill_X4!$A$1:$K$36,30,FALSE),0)</f>
        <v>0</v>
      </c>
      <c r="M3298">
        <f t="shared" si="1022"/>
        <v>0</v>
      </c>
      <c r="S3298" t="s">
        <v>98</v>
      </c>
      <c r="T3298" s="5">
        <f t="shared" si="1023"/>
        <v>0</v>
      </c>
      <c r="U3298" s="5">
        <f t="shared" si="1024"/>
        <v>0</v>
      </c>
      <c r="V3298" s="5">
        <f t="shared" si="1025"/>
        <v>0</v>
      </c>
      <c r="W3298" s="5">
        <f t="shared" si="1026"/>
        <v>0</v>
      </c>
      <c r="X3298" s="5">
        <f t="shared" si="1027"/>
        <v>0</v>
      </c>
      <c r="Y3298" s="5">
        <f t="shared" si="1028"/>
        <v>0</v>
      </c>
      <c r="Z3298" s="5">
        <f t="shared" si="1029"/>
        <v>0</v>
      </c>
      <c r="AA3298" s="5">
        <f t="shared" si="1030"/>
        <v>0</v>
      </c>
      <c r="AB3298" s="5">
        <f t="shared" si="1020"/>
        <v>0</v>
      </c>
    </row>
    <row r="3299" spans="1:29" x14ac:dyDescent="0.25">
      <c r="D3299" t="s">
        <v>119</v>
      </c>
      <c r="E3299" s="14"/>
      <c r="F3299" s="14"/>
      <c r="G3299">
        <f>IFERROR(HLOOKUP(G$2,[99]table_female_hkom2_inj.ill_X4!$A$1:$K$36,31,FALSE),0)</f>
        <v>0</v>
      </c>
      <c r="H3299">
        <f>IFERROR(HLOOKUP(H$2,[99]table_female_hkom2_inj.ill_X4!$A$1:$K$36,31,FALSE),0)</f>
        <v>0</v>
      </c>
      <c r="I3299">
        <f>IFERROR(HLOOKUP(I$2,[99]table_female_hkom2_inj.ill_X4!$A$1:$K$36,31,FALSE),0)</f>
        <v>0</v>
      </c>
      <c r="J3299">
        <f>IFERROR(HLOOKUP(J$2,[99]table_female_hkom2_inj.ill_X4!$A$1:$K$36,31,FALSE),0)</f>
        <v>0</v>
      </c>
      <c r="K3299">
        <f>IFERROR(HLOOKUP(K$2,[99]table_female_hkom2_inj.ill_X4!$A$1:$K$36,31,FALSE),0)</f>
        <v>0</v>
      </c>
      <c r="L3299">
        <f>IFERROR(HLOOKUP(L$2,[99]table_female_hkom2_inj.ill_X4!$A$1:$K$36,31,FALSE),0)</f>
        <v>0</v>
      </c>
      <c r="M3299">
        <f t="shared" si="1022"/>
        <v>0</v>
      </c>
      <c r="S3299" t="s">
        <v>119</v>
      </c>
      <c r="T3299" s="5">
        <f t="shared" si="1023"/>
        <v>0</v>
      </c>
      <c r="U3299" s="5">
        <f t="shared" si="1024"/>
        <v>0</v>
      </c>
      <c r="V3299" s="5">
        <f t="shared" si="1025"/>
        <v>0</v>
      </c>
      <c r="W3299" s="5">
        <f t="shared" si="1026"/>
        <v>0</v>
      </c>
      <c r="X3299" s="5">
        <f t="shared" si="1027"/>
        <v>0</v>
      </c>
      <c r="Y3299" s="5">
        <f t="shared" si="1028"/>
        <v>0</v>
      </c>
      <c r="Z3299" s="5">
        <f t="shared" si="1029"/>
        <v>0</v>
      </c>
      <c r="AA3299" s="5">
        <f t="shared" si="1030"/>
        <v>0</v>
      </c>
      <c r="AB3299" s="5">
        <f t="shared" si="1020"/>
        <v>0</v>
      </c>
    </row>
    <row r="3300" spans="1:29" x14ac:dyDescent="0.25">
      <c r="D3300" t="s">
        <v>99</v>
      </c>
      <c r="E3300" s="14"/>
      <c r="F3300" s="14"/>
      <c r="G3300">
        <f>IFERROR(HLOOKUP(G$2,[99]table_female_hkom2_inj.ill_X4!$A$1:$K$36,32,FALSE),0)</f>
        <v>0</v>
      </c>
      <c r="H3300">
        <f>IFERROR(HLOOKUP(H$2,[99]table_female_hkom2_inj.ill_X4!$A$1:$K$36,32,FALSE),0)</f>
        <v>0</v>
      </c>
      <c r="I3300">
        <f>IFERROR(HLOOKUP(I$2,[99]table_female_hkom2_inj.ill_X4!$A$1:$K$36,32,FALSE),0)</f>
        <v>0</v>
      </c>
      <c r="J3300">
        <f>IFERROR(HLOOKUP(J$2,[99]table_female_hkom2_inj.ill_X4!$A$1:$K$36,32,FALSE),0)</f>
        <v>0</v>
      </c>
      <c r="K3300">
        <f>IFERROR(HLOOKUP(K$2,[99]table_female_hkom2_inj.ill_X4!$A$1:$K$36,32,FALSE),0)</f>
        <v>0</v>
      </c>
      <c r="L3300">
        <f>IFERROR(HLOOKUP(L$2,[99]table_female_hkom2_inj.ill_X4!$A$1:$K$36,32,FALSE),0)</f>
        <v>0</v>
      </c>
      <c r="M3300">
        <f t="shared" si="1022"/>
        <v>0</v>
      </c>
      <c r="S3300" t="s">
        <v>99</v>
      </c>
      <c r="T3300" s="5">
        <f t="shared" si="1023"/>
        <v>0</v>
      </c>
      <c r="U3300" s="5">
        <f t="shared" si="1024"/>
        <v>0</v>
      </c>
      <c r="V3300" s="5">
        <f t="shared" si="1025"/>
        <v>0</v>
      </c>
      <c r="W3300" s="5">
        <f t="shared" si="1026"/>
        <v>0</v>
      </c>
      <c r="X3300" s="5">
        <f t="shared" si="1027"/>
        <v>0</v>
      </c>
      <c r="Y3300" s="5">
        <f t="shared" si="1028"/>
        <v>0</v>
      </c>
      <c r="Z3300" s="5">
        <f t="shared" si="1029"/>
        <v>0</v>
      </c>
      <c r="AA3300" s="5">
        <f t="shared" si="1030"/>
        <v>0</v>
      </c>
      <c r="AB3300" s="5">
        <f t="shared" si="1020"/>
        <v>0</v>
      </c>
    </row>
    <row r="3301" spans="1:29" x14ac:dyDescent="0.25">
      <c r="D3301" t="s">
        <v>100</v>
      </c>
      <c r="E3301" s="14"/>
      <c r="F3301" s="14"/>
      <c r="G3301">
        <f>IFERROR(HLOOKUP(G$2,[99]table_female_hkom2_inj.ill_X4!$A$1:$K$36,33,FALSE),0)</f>
        <v>0</v>
      </c>
      <c r="H3301">
        <f>IFERROR(HLOOKUP(H$2,[99]table_female_hkom2_inj.ill_X4!$A$1:$K$36,33,FALSE),0)</f>
        <v>0</v>
      </c>
      <c r="I3301">
        <f>IFERROR(HLOOKUP(I$2,[99]table_female_hkom2_inj.ill_X4!$A$1:$K$36,33,FALSE),0)</f>
        <v>0</v>
      </c>
      <c r="J3301">
        <f>IFERROR(HLOOKUP(J$2,[99]table_female_hkom2_inj.ill_X4!$A$1:$K$36,33,FALSE),0)</f>
        <v>0</v>
      </c>
      <c r="K3301">
        <f>IFERROR(HLOOKUP(K$2,[99]table_female_hkom2_inj.ill_X4!$A$1:$K$36,33,FALSE),0)</f>
        <v>0</v>
      </c>
      <c r="L3301">
        <f>IFERROR(HLOOKUP(L$2,[99]table_female_hkom2_inj.ill_X4!$A$1:$K$36,33,FALSE),0)</f>
        <v>0</v>
      </c>
      <c r="M3301">
        <f t="shared" si="1022"/>
        <v>0</v>
      </c>
      <c r="S3301" t="s">
        <v>100</v>
      </c>
      <c r="T3301" s="5">
        <f t="shared" si="1023"/>
        <v>0</v>
      </c>
      <c r="U3301" s="5">
        <f t="shared" si="1024"/>
        <v>0</v>
      </c>
      <c r="V3301" s="5">
        <f t="shared" si="1025"/>
        <v>0</v>
      </c>
      <c r="W3301" s="5">
        <f t="shared" si="1026"/>
        <v>0</v>
      </c>
      <c r="X3301" s="5">
        <f t="shared" si="1027"/>
        <v>0</v>
      </c>
      <c r="Y3301" s="5">
        <f t="shared" si="1028"/>
        <v>0</v>
      </c>
      <c r="Z3301" s="5">
        <f t="shared" si="1029"/>
        <v>0</v>
      </c>
      <c r="AA3301" s="5">
        <f t="shared" si="1030"/>
        <v>0</v>
      </c>
      <c r="AB3301" s="5">
        <f t="shared" si="1020"/>
        <v>0</v>
      </c>
    </row>
    <row r="3302" spans="1:29" x14ac:dyDescent="0.25">
      <c r="D3302" t="s">
        <v>101</v>
      </c>
      <c r="E3302" s="14"/>
      <c r="F3302" s="14"/>
      <c r="G3302">
        <f>IFERROR(HLOOKUP(G$2,[99]table_female_hkom2_inj.ill_X4!$A$1:$K$36,34,FALSE),0)</f>
        <v>0</v>
      </c>
      <c r="H3302">
        <f>IFERROR(HLOOKUP(H$2,[99]table_female_hkom2_inj.ill_X4!$A$1:$K$36,34,FALSE),0)</f>
        <v>0</v>
      </c>
      <c r="I3302">
        <f>IFERROR(HLOOKUP(I$2,[99]table_female_hkom2_inj.ill_X4!$A$1:$K$36,34,FALSE),0)</f>
        <v>0</v>
      </c>
      <c r="J3302">
        <f>IFERROR(HLOOKUP(J$2,[99]table_female_hkom2_inj.ill_X4!$A$1:$K$36,34,FALSE),0)</f>
        <v>0</v>
      </c>
      <c r="K3302">
        <f>IFERROR(HLOOKUP(K$2,[99]table_female_hkom2_inj.ill_X4!$A$1:$K$36,34,FALSE),0)</f>
        <v>0</v>
      </c>
      <c r="L3302">
        <f>IFERROR(HLOOKUP(L$2,[99]table_female_hkom2_inj.ill_X4!$A$1:$K$36,34,FALSE),0)</f>
        <v>0</v>
      </c>
      <c r="M3302">
        <f t="shared" si="1022"/>
        <v>0</v>
      </c>
      <c r="S3302" t="s">
        <v>101</v>
      </c>
      <c r="T3302" s="5">
        <f t="shared" si="1023"/>
        <v>0</v>
      </c>
      <c r="U3302" s="5">
        <f t="shared" si="1024"/>
        <v>0</v>
      </c>
      <c r="V3302" s="5">
        <f t="shared" si="1025"/>
        <v>0</v>
      </c>
      <c r="W3302" s="5">
        <f t="shared" si="1026"/>
        <v>0</v>
      </c>
      <c r="X3302" s="5">
        <f t="shared" si="1027"/>
        <v>0</v>
      </c>
      <c r="Y3302" s="5">
        <f t="shared" si="1028"/>
        <v>0</v>
      </c>
      <c r="Z3302" s="5">
        <f t="shared" si="1029"/>
        <v>0</v>
      </c>
      <c r="AA3302" s="5">
        <f t="shared" si="1030"/>
        <v>0</v>
      </c>
      <c r="AB3302" s="5">
        <f t="shared" si="1020"/>
        <v>0</v>
      </c>
    </row>
    <row r="3303" spans="1:29" x14ac:dyDescent="0.25">
      <c r="D3303" t="s">
        <v>102</v>
      </c>
      <c r="E3303" s="14"/>
      <c r="F3303" s="14"/>
      <c r="G3303">
        <f>IFERROR(HLOOKUP(G$2,[99]table_female_hkom2_inj.ill_X4!$A$1:$K$36,35,FALSE),0)</f>
        <v>0</v>
      </c>
      <c r="H3303">
        <f>IFERROR(HLOOKUP(H$2,[99]table_female_hkom2_inj.ill_X4!$A$1:$K$36,35,FALSE),0)</f>
        <v>0</v>
      </c>
      <c r="I3303">
        <f>IFERROR(HLOOKUP(I$2,[99]table_female_hkom2_inj.ill_X4!$A$1:$K$36,35,FALSE),0)</f>
        <v>0</v>
      </c>
      <c r="J3303">
        <f>IFERROR(HLOOKUP(J$2,[99]table_female_hkom2_inj.ill_X4!$A$1:$K$36,35,FALSE),0)</f>
        <v>0</v>
      </c>
      <c r="K3303">
        <f>IFERROR(HLOOKUP(K$2,[99]table_female_hkom2_inj.ill_X4!$A$1:$K$36,35,FALSE),0)</f>
        <v>0</v>
      </c>
      <c r="L3303">
        <f>IFERROR(HLOOKUP(L$2,[99]table_female_hkom2_inj.ill_X4!$A$1:$K$36,35,FALSE),0)</f>
        <v>0</v>
      </c>
      <c r="M3303">
        <f t="shared" si="1022"/>
        <v>0</v>
      </c>
      <c r="N3303">
        <f>SUM(M3270:M3303)</f>
        <v>0</v>
      </c>
      <c r="O3303" s="8">
        <f>SUM([99]table_female_hkom2_inj.ill_X4!$B$2:$L$37)</f>
        <v>0</v>
      </c>
      <c r="S3303" t="s">
        <v>102</v>
      </c>
      <c r="T3303" s="7"/>
      <c r="U3303" s="7"/>
      <c r="V3303" s="7"/>
      <c r="W3303" s="7"/>
      <c r="X3303" s="7"/>
      <c r="Y3303" s="7"/>
      <c r="Z3303" s="7"/>
      <c r="AA3303" s="7"/>
      <c r="AB3303" s="5">
        <f t="shared" si="1020"/>
        <v>0</v>
      </c>
      <c r="AC3303" s="5">
        <f>SUM(AB3270:AB3302)</f>
        <v>0</v>
      </c>
    </row>
    <row r="3304" spans="1:29" x14ac:dyDescent="0.25">
      <c r="A3304" t="s">
        <v>115</v>
      </c>
      <c r="B3304" t="s">
        <v>116</v>
      </c>
      <c r="C3304" t="s">
        <v>127</v>
      </c>
      <c r="D3304" t="s">
        <v>70</v>
      </c>
      <c r="E3304" s="14"/>
      <c r="F3304" s="14"/>
      <c r="G3304">
        <f>IFERROR(HLOOKUP(G$2,[100]table_female_hkom2_inj.ill_X5!$A$1:$K$36,2,FALSE),0)</f>
        <v>0</v>
      </c>
      <c r="H3304">
        <f>IFERROR(HLOOKUP(H$2,[100]table_female_hkom2_inj.ill_X5!$A$1:$K$36,2,FALSE),0)</f>
        <v>0</v>
      </c>
      <c r="I3304">
        <f>IFERROR(HLOOKUP(I$2,[100]table_female_hkom2_inj.ill_X5!$A$1:$K$36,2,FALSE),0)</f>
        <v>0</v>
      </c>
      <c r="J3304">
        <f>IFERROR(HLOOKUP(J$2,[100]table_female_hkom2_inj.ill_X5!$A$1:$K$36,2,FALSE),0)</f>
        <v>0</v>
      </c>
      <c r="K3304">
        <f>IFERROR(HLOOKUP(K$2,[100]table_female_hkom2_inj.ill_X5!$A$1:$K$36,2,FALSE),0)</f>
        <v>0</v>
      </c>
      <c r="L3304">
        <f>IFERROR(HLOOKUP(L$2,[100]table_female_hkom2_inj.ill_X5!$A$1:$K$36,2,FALSE),0)</f>
        <v>0</v>
      </c>
      <c r="M3304">
        <f>SUM(E3304:L3304)</f>
        <v>0</v>
      </c>
      <c r="P3304" t="s">
        <v>115</v>
      </c>
      <c r="Q3304" t="s">
        <v>116</v>
      </c>
      <c r="R3304" t="s">
        <v>127</v>
      </c>
      <c r="S3304" t="s">
        <v>70</v>
      </c>
      <c r="T3304" s="5">
        <f>IF(SUM(E$3304:E$3336)=0,E$3337/33,E3304+IFERROR(E3304/SUM(E$3304:E$3336)*E$3337,0))</f>
        <v>0</v>
      </c>
      <c r="U3304" s="5">
        <f t="shared" ref="U3304:AA3304" si="1031">IF(SUM(F$3304:F$3336)=0,F$3337/33,F3304+IFERROR(F3304/SUM(F$3304:F$3336)*F$3337,0))</f>
        <v>0</v>
      </c>
      <c r="V3304" s="5">
        <f t="shared" si="1031"/>
        <v>0</v>
      </c>
      <c r="W3304" s="5">
        <f t="shared" si="1031"/>
        <v>0</v>
      </c>
      <c r="X3304" s="5">
        <f t="shared" si="1031"/>
        <v>0</v>
      </c>
      <c r="Y3304" s="5">
        <f t="shared" si="1031"/>
        <v>0</v>
      </c>
      <c r="Z3304" s="5">
        <f t="shared" si="1031"/>
        <v>0</v>
      </c>
      <c r="AA3304" s="5">
        <f t="shared" si="1031"/>
        <v>0</v>
      </c>
      <c r="AB3304" s="5">
        <f t="shared" si="1020"/>
        <v>0</v>
      </c>
    </row>
    <row r="3305" spans="1:29" x14ac:dyDescent="0.25">
      <c r="D3305" t="s">
        <v>71</v>
      </c>
      <c r="E3305" s="14"/>
      <c r="F3305" s="14"/>
      <c r="G3305">
        <f>IFERROR(HLOOKUP(G$2,[100]table_female_hkom2_inj.ill_X5!$A$1:$K$36,3,FALSE),0)</f>
        <v>0</v>
      </c>
      <c r="H3305">
        <f>IFERROR(HLOOKUP(H$2,[100]table_female_hkom2_inj.ill_X5!$A$1:$K$36,3,FALSE),0)</f>
        <v>0</v>
      </c>
      <c r="I3305">
        <f>IFERROR(HLOOKUP(I$2,[100]table_female_hkom2_inj.ill_X5!$A$1:$K$36,3,FALSE),0)</f>
        <v>0</v>
      </c>
      <c r="J3305">
        <f>IFERROR(HLOOKUP(J$2,[100]table_female_hkom2_inj.ill_X5!$A$1:$K$36,3,FALSE),0)</f>
        <v>0</v>
      </c>
      <c r="K3305">
        <f>IFERROR(HLOOKUP(K$2,[100]table_female_hkom2_inj.ill_X5!$A$1:$K$36,3,FALSE),0)</f>
        <v>0</v>
      </c>
      <c r="L3305">
        <f>IFERROR(HLOOKUP(L$2,[100]table_female_hkom2_inj.ill_X5!$A$1:$K$36,3,FALSE),0)</f>
        <v>0</v>
      </c>
      <c r="M3305">
        <f t="shared" ref="M3305:M3337" si="1032">SUM(E3305:L3305)</f>
        <v>0</v>
      </c>
      <c r="S3305" t="s">
        <v>71</v>
      </c>
      <c r="T3305" s="5">
        <f t="shared" ref="T3305:T3336" si="1033">IF(SUM(E$3304:E$3336)=0,E$3337/33,E3305+IFERROR(E3305/SUM(E$3304:E$3336)*E$3337,0))</f>
        <v>0</v>
      </c>
      <c r="U3305" s="5">
        <f t="shared" ref="U3305:U3336" si="1034">IF(SUM(F$3304:F$3336)=0,F$3337/33,F3305+IFERROR(F3305/SUM(F$3304:F$3336)*F$3337,0))</f>
        <v>0</v>
      </c>
      <c r="V3305" s="5">
        <f t="shared" ref="V3305:V3336" si="1035">IF(SUM(G$3304:G$3336)=0,G$3337/33,G3305+IFERROR(G3305/SUM(G$3304:G$3336)*G$3337,0))</f>
        <v>0</v>
      </c>
      <c r="W3305" s="5">
        <f t="shared" ref="W3305:W3336" si="1036">IF(SUM(H$3304:H$3336)=0,H$3337/33,H3305+IFERROR(H3305/SUM(H$3304:H$3336)*H$3337,0))</f>
        <v>0</v>
      </c>
      <c r="X3305" s="5">
        <f t="shared" ref="X3305:X3336" si="1037">IF(SUM(I$3304:I$3336)=0,I$3337/33,I3305+IFERROR(I3305/SUM(I$3304:I$3336)*I$3337,0))</f>
        <v>0</v>
      </c>
      <c r="Y3305" s="5">
        <f t="shared" ref="Y3305:Y3336" si="1038">IF(SUM(J$3304:J$3336)=0,J$3337/33,J3305+IFERROR(J3305/SUM(J$3304:J$3336)*J$3337,0))</f>
        <v>0</v>
      </c>
      <c r="Z3305" s="5">
        <f t="shared" ref="Z3305:Z3336" si="1039">IF(SUM(K$3304:K$3336)=0,K$3337/33,K3305+IFERROR(K3305/SUM(K$3304:K$3336)*K$3337,0))</f>
        <v>0</v>
      </c>
      <c r="AA3305" s="5">
        <f t="shared" ref="AA3305:AA3336" si="1040">IF(SUM(L$3304:L$3336)=0,L$3337/33,L3305+IFERROR(L3305/SUM(L$3304:L$3336)*L$3337,0))</f>
        <v>0</v>
      </c>
      <c r="AB3305" s="5">
        <f t="shared" si="1020"/>
        <v>0</v>
      </c>
    </row>
    <row r="3306" spans="1:29" x14ac:dyDescent="0.25">
      <c r="D3306" t="s">
        <v>72</v>
      </c>
      <c r="E3306" s="14"/>
      <c r="F3306" s="14"/>
      <c r="G3306">
        <f>IFERROR(HLOOKUP(G$2,[100]table_female_hkom2_inj.ill_X5!$A$1:$K$36,4,FALSE),0)</f>
        <v>0</v>
      </c>
      <c r="H3306">
        <f>IFERROR(HLOOKUP(H$2,[100]table_female_hkom2_inj.ill_X5!$A$1:$K$36,4,FALSE),0)</f>
        <v>0</v>
      </c>
      <c r="I3306">
        <f>IFERROR(HLOOKUP(I$2,[100]table_female_hkom2_inj.ill_X5!$A$1:$K$36,4,FALSE),0)</f>
        <v>0</v>
      </c>
      <c r="J3306">
        <f>IFERROR(HLOOKUP(J$2,[100]table_female_hkom2_inj.ill_X5!$A$1:$K$36,4,FALSE),0)</f>
        <v>0</v>
      </c>
      <c r="K3306">
        <f>IFERROR(HLOOKUP(K$2,[100]table_female_hkom2_inj.ill_X5!$A$1:$K$36,4,FALSE),0)</f>
        <v>0</v>
      </c>
      <c r="L3306">
        <f>IFERROR(HLOOKUP(L$2,[100]table_female_hkom2_inj.ill_X5!$A$1:$K$36,4,FALSE),0)</f>
        <v>0</v>
      </c>
      <c r="M3306">
        <f t="shared" si="1032"/>
        <v>0</v>
      </c>
      <c r="S3306" t="s">
        <v>72</v>
      </c>
      <c r="T3306" s="5">
        <f t="shared" si="1033"/>
        <v>0</v>
      </c>
      <c r="U3306" s="5">
        <f t="shared" si="1034"/>
        <v>0</v>
      </c>
      <c r="V3306" s="5">
        <f t="shared" si="1035"/>
        <v>0</v>
      </c>
      <c r="W3306" s="5">
        <f t="shared" si="1036"/>
        <v>0</v>
      </c>
      <c r="X3306" s="5">
        <f t="shared" si="1037"/>
        <v>0</v>
      </c>
      <c r="Y3306" s="5">
        <f t="shared" si="1038"/>
        <v>0</v>
      </c>
      <c r="Z3306" s="5">
        <f t="shared" si="1039"/>
        <v>0</v>
      </c>
      <c r="AA3306" s="5">
        <f t="shared" si="1040"/>
        <v>0</v>
      </c>
      <c r="AB3306" s="5">
        <f t="shared" si="1020"/>
        <v>0</v>
      </c>
    </row>
    <row r="3307" spans="1:29" x14ac:dyDescent="0.25">
      <c r="D3307" t="s">
        <v>73</v>
      </c>
      <c r="E3307" s="14"/>
      <c r="F3307" s="14"/>
      <c r="G3307">
        <f>IFERROR(HLOOKUP(G$2,[100]table_female_hkom2_inj.ill_X5!$A$1:$K$36,5,FALSE),0)</f>
        <v>0</v>
      </c>
      <c r="H3307">
        <f>IFERROR(HLOOKUP(H$2,[100]table_female_hkom2_inj.ill_X5!$A$1:$K$36,5,FALSE),0)</f>
        <v>0</v>
      </c>
      <c r="I3307">
        <f>IFERROR(HLOOKUP(I$2,[100]table_female_hkom2_inj.ill_X5!$A$1:$K$36,5,FALSE),0)</f>
        <v>0</v>
      </c>
      <c r="J3307">
        <f>IFERROR(HLOOKUP(J$2,[100]table_female_hkom2_inj.ill_X5!$A$1:$K$36,5,FALSE),0)</f>
        <v>0</v>
      </c>
      <c r="K3307">
        <f>IFERROR(HLOOKUP(K$2,[100]table_female_hkom2_inj.ill_X5!$A$1:$K$36,5,FALSE),0)</f>
        <v>0</v>
      </c>
      <c r="L3307">
        <f>IFERROR(HLOOKUP(L$2,[100]table_female_hkom2_inj.ill_X5!$A$1:$K$36,5,FALSE),0)</f>
        <v>0</v>
      </c>
      <c r="M3307">
        <f t="shared" si="1032"/>
        <v>0</v>
      </c>
      <c r="S3307" t="s">
        <v>73</v>
      </c>
      <c r="T3307" s="5">
        <f t="shared" si="1033"/>
        <v>0</v>
      </c>
      <c r="U3307" s="5">
        <f t="shared" si="1034"/>
        <v>0</v>
      </c>
      <c r="V3307" s="5">
        <f t="shared" si="1035"/>
        <v>0</v>
      </c>
      <c r="W3307" s="5">
        <f t="shared" si="1036"/>
        <v>0</v>
      </c>
      <c r="X3307" s="5">
        <f t="shared" si="1037"/>
        <v>0</v>
      </c>
      <c r="Y3307" s="5">
        <f t="shared" si="1038"/>
        <v>0</v>
      </c>
      <c r="Z3307" s="5">
        <f t="shared" si="1039"/>
        <v>0</v>
      </c>
      <c r="AA3307" s="5">
        <f t="shared" si="1040"/>
        <v>0</v>
      </c>
      <c r="AB3307" s="5">
        <f t="shared" ref="AB3307:AB3370" si="1041">SUM(T3307:AA3307)</f>
        <v>0</v>
      </c>
    </row>
    <row r="3308" spans="1:29" x14ac:dyDescent="0.25">
      <c r="D3308" t="s">
        <v>74</v>
      </c>
      <c r="E3308" s="14"/>
      <c r="F3308" s="14"/>
      <c r="G3308">
        <f>IFERROR(HLOOKUP(G$2,[100]table_female_hkom2_inj.ill_X5!$A$1:$K$36,6,FALSE),0)</f>
        <v>0</v>
      </c>
      <c r="H3308">
        <f>IFERROR(HLOOKUP(H$2,[100]table_female_hkom2_inj.ill_X5!$A$1:$K$36,6,FALSE),0)</f>
        <v>0</v>
      </c>
      <c r="I3308">
        <f>IFERROR(HLOOKUP(I$2,[100]table_female_hkom2_inj.ill_X5!$A$1:$K$36,6,FALSE),0)</f>
        <v>0</v>
      </c>
      <c r="J3308">
        <f>IFERROR(HLOOKUP(J$2,[100]table_female_hkom2_inj.ill_X5!$A$1:$K$36,6,FALSE),0)</f>
        <v>0</v>
      </c>
      <c r="K3308">
        <f>IFERROR(HLOOKUP(K$2,[100]table_female_hkom2_inj.ill_X5!$A$1:$K$36,6,FALSE),0)</f>
        <v>0</v>
      </c>
      <c r="L3308">
        <f>IFERROR(HLOOKUP(L$2,[100]table_female_hkom2_inj.ill_X5!$A$1:$K$36,6,FALSE),0)</f>
        <v>0</v>
      </c>
      <c r="M3308">
        <f t="shared" si="1032"/>
        <v>0</v>
      </c>
      <c r="S3308" t="s">
        <v>74</v>
      </c>
      <c r="T3308" s="5">
        <f t="shared" si="1033"/>
        <v>0</v>
      </c>
      <c r="U3308" s="5">
        <f t="shared" si="1034"/>
        <v>0</v>
      </c>
      <c r="V3308" s="5">
        <f t="shared" si="1035"/>
        <v>0</v>
      </c>
      <c r="W3308" s="5">
        <f t="shared" si="1036"/>
        <v>0</v>
      </c>
      <c r="X3308" s="5">
        <f t="shared" si="1037"/>
        <v>0</v>
      </c>
      <c r="Y3308" s="5">
        <f t="shared" si="1038"/>
        <v>0</v>
      </c>
      <c r="Z3308" s="5">
        <f t="shared" si="1039"/>
        <v>0</v>
      </c>
      <c r="AA3308" s="5">
        <f t="shared" si="1040"/>
        <v>0</v>
      </c>
      <c r="AB3308" s="5">
        <f t="shared" si="1041"/>
        <v>0</v>
      </c>
    </row>
    <row r="3309" spans="1:29" x14ac:dyDescent="0.25">
      <c r="D3309" t="s">
        <v>75</v>
      </c>
      <c r="E3309" s="14"/>
      <c r="F3309" s="14"/>
      <c r="G3309">
        <f>IFERROR(HLOOKUP(G$2,[100]table_female_hkom2_inj.ill_X5!$A$1:$K$36,7,FALSE),0)</f>
        <v>0</v>
      </c>
      <c r="H3309">
        <f>IFERROR(HLOOKUP(H$2,[100]table_female_hkom2_inj.ill_X5!$A$1:$K$36,7,FALSE),0)</f>
        <v>0</v>
      </c>
      <c r="I3309">
        <f>IFERROR(HLOOKUP(I$2,[100]table_female_hkom2_inj.ill_X5!$A$1:$K$36,7,FALSE),0)</f>
        <v>0</v>
      </c>
      <c r="J3309">
        <f>IFERROR(HLOOKUP(J$2,[100]table_female_hkom2_inj.ill_X5!$A$1:$K$36,7,FALSE),0)</f>
        <v>0</v>
      </c>
      <c r="K3309">
        <f>IFERROR(HLOOKUP(K$2,[100]table_female_hkom2_inj.ill_X5!$A$1:$K$36,7,FALSE),0)</f>
        <v>0</v>
      </c>
      <c r="L3309">
        <f>IFERROR(HLOOKUP(L$2,[100]table_female_hkom2_inj.ill_X5!$A$1:$K$36,7,FALSE),0)</f>
        <v>0</v>
      </c>
      <c r="M3309">
        <f t="shared" si="1032"/>
        <v>0</v>
      </c>
      <c r="S3309" t="s">
        <v>75</v>
      </c>
      <c r="T3309" s="5">
        <f t="shared" si="1033"/>
        <v>0</v>
      </c>
      <c r="U3309" s="5">
        <f t="shared" si="1034"/>
        <v>0</v>
      </c>
      <c r="V3309" s="5">
        <f t="shared" si="1035"/>
        <v>0</v>
      </c>
      <c r="W3309" s="5">
        <f t="shared" si="1036"/>
        <v>0</v>
      </c>
      <c r="X3309" s="5">
        <f t="shared" si="1037"/>
        <v>0</v>
      </c>
      <c r="Y3309" s="5">
        <f t="shared" si="1038"/>
        <v>0</v>
      </c>
      <c r="Z3309" s="5">
        <f t="shared" si="1039"/>
        <v>0</v>
      </c>
      <c r="AA3309" s="5">
        <f t="shared" si="1040"/>
        <v>0</v>
      </c>
      <c r="AB3309" s="5">
        <f t="shared" si="1041"/>
        <v>0</v>
      </c>
    </row>
    <row r="3310" spans="1:29" x14ac:dyDescent="0.25">
      <c r="D3310" t="s">
        <v>76</v>
      </c>
      <c r="E3310" s="14"/>
      <c r="F3310" s="14"/>
      <c r="G3310">
        <f>IFERROR(HLOOKUP(G$2,[100]table_female_hkom2_inj.ill_X5!$A$1:$K$36,8,FALSE),0)</f>
        <v>0</v>
      </c>
      <c r="H3310">
        <f>IFERROR(HLOOKUP(H$2,[100]table_female_hkom2_inj.ill_X5!$A$1:$K$36,8,FALSE),0)</f>
        <v>0</v>
      </c>
      <c r="I3310">
        <f>IFERROR(HLOOKUP(I$2,[100]table_female_hkom2_inj.ill_X5!$A$1:$K$36,8,FALSE),0)</f>
        <v>0</v>
      </c>
      <c r="J3310">
        <f>IFERROR(HLOOKUP(J$2,[100]table_female_hkom2_inj.ill_X5!$A$1:$K$36,8,FALSE),0)</f>
        <v>0</v>
      </c>
      <c r="K3310">
        <f>IFERROR(HLOOKUP(K$2,[100]table_female_hkom2_inj.ill_X5!$A$1:$K$36,8,FALSE),0)</f>
        <v>0</v>
      </c>
      <c r="L3310">
        <f>IFERROR(HLOOKUP(L$2,[100]table_female_hkom2_inj.ill_X5!$A$1:$K$36,8,FALSE),0)</f>
        <v>0</v>
      </c>
      <c r="M3310">
        <f t="shared" si="1032"/>
        <v>0</v>
      </c>
      <c r="S3310" t="s">
        <v>76</v>
      </c>
      <c r="T3310" s="5">
        <f t="shared" si="1033"/>
        <v>0</v>
      </c>
      <c r="U3310" s="5">
        <f t="shared" si="1034"/>
        <v>0</v>
      </c>
      <c r="V3310" s="5">
        <f t="shared" si="1035"/>
        <v>0</v>
      </c>
      <c r="W3310" s="5">
        <f t="shared" si="1036"/>
        <v>0</v>
      </c>
      <c r="X3310" s="5">
        <f t="shared" si="1037"/>
        <v>0</v>
      </c>
      <c r="Y3310" s="5">
        <f t="shared" si="1038"/>
        <v>0</v>
      </c>
      <c r="Z3310" s="5">
        <f t="shared" si="1039"/>
        <v>0</v>
      </c>
      <c r="AA3310" s="5">
        <f t="shared" si="1040"/>
        <v>0</v>
      </c>
      <c r="AB3310" s="5">
        <f t="shared" si="1041"/>
        <v>0</v>
      </c>
    </row>
    <row r="3311" spans="1:29" x14ac:dyDescent="0.25">
      <c r="D3311" t="s">
        <v>77</v>
      </c>
      <c r="E3311" s="14"/>
      <c r="F3311" s="14"/>
      <c r="G3311">
        <f>IFERROR(HLOOKUP(G$2,[100]table_female_hkom2_inj.ill_X5!$A$1:$K$36,9,FALSE),0)</f>
        <v>0</v>
      </c>
      <c r="H3311">
        <f>IFERROR(HLOOKUP(H$2,[100]table_female_hkom2_inj.ill_X5!$A$1:$K$36,9,FALSE),0)</f>
        <v>0</v>
      </c>
      <c r="I3311">
        <f>IFERROR(HLOOKUP(I$2,[100]table_female_hkom2_inj.ill_X5!$A$1:$K$36,9,FALSE),0)</f>
        <v>0</v>
      </c>
      <c r="J3311">
        <f>IFERROR(HLOOKUP(J$2,[100]table_female_hkom2_inj.ill_X5!$A$1:$K$36,9,FALSE),0)</f>
        <v>0</v>
      </c>
      <c r="K3311">
        <f>IFERROR(HLOOKUP(K$2,[100]table_female_hkom2_inj.ill_X5!$A$1:$K$36,9,FALSE),0)</f>
        <v>0</v>
      </c>
      <c r="L3311">
        <f>IFERROR(HLOOKUP(L$2,[100]table_female_hkom2_inj.ill_X5!$A$1:$K$36,9,FALSE),0)</f>
        <v>0</v>
      </c>
      <c r="M3311">
        <f t="shared" si="1032"/>
        <v>0</v>
      </c>
      <c r="S3311" t="s">
        <v>77</v>
      </c>
      <c r="T3311" s="5">
        <f t="shared" si="1033"/>
        <v>0</v>
      </c>
      <c r="U3311" s="5">
        <f t="shared" si="1034"/>
        <v>0</v>
      </c>
      <c r="V3311" s="5">
        <f t="shared" si="1035"/>
        <v>0</v>
      </c>
      <c r="W3311" s="5">
        <f t="shared" si="1036"/>
        <v>0</v>
      </c>
      <c r="X3311" s="5">
        <f t="shared" si="1037"/>
        <v>0</v>
      </c>
      <c r="Y3311" s="5">
        <f t="shared" si="1038"/>
        <v>0</v>
      </c>
      <c r="Z3311" s="5">
        <f t="shared" si="1039"/>
        <v>0</v>
      </c>
      <c r="AA3311" s="5">
        <f t="shared" si="1040"/>
        <v>0</v>
      </c>
      <c r="AB3311" s="5">
        <f t="shared" si="1041"/>
        <v>0</v>
      </c>
    </row>
    <row r="3312" spans="1:29" x14ac:dyDescent="0.25">
      <c r="D3312" t="s">
        <v>78</v>
      </c>
      <c r="E3312" s="14"/>
      <c r="F3312" s="14"/>
      <c r="G3312">
        <f>IFERROR(HLOOKUP(G$2,[100]table_female_hkom2_inj.ill_X5!$A$1:$K$36,10,FALSE),0)</f>
        <v>0</v>
      </c>
      <c r="H3312">
        <f>IFERROR(HLOOKUP(H$2,[100]table_female_hkom2_inj.ill_X5!$A$1:$K$36,10,FALSE),0)</f>
        <v>0</v>
      </c>
      <c r="I3312">
        <f>IFERROR(HLOOKUP(I$2,[100]table_female_hkom2_inj.ill_X5!$A$1:$K$36,10,FALSE),0)</f>
        <v>0</v>
      </c>
      <c r="J3312">
        <f>IFERROR(HLOOKUP(J$2,[100]table_female_hkom2_inj.ill_X5!$A$1:$K$36,10,FALSE),0)</f>
        <v>0</v>
      </c>
      <c r="K3312">
        <f>IFERROR(HLOOKUP(K$2,[100]table_female_hkom2_inj.ill_X5!$A$1:$K$36,10,FALSE),0)</f>
        <v>0</v>
      </c>
      <c r="L3312">
        <f>IFERROR(HLOOKUP(L$2,[100]table_female_hkom2_inj.ill_X5!$A$1:$K$36,10,FALSE),0)</f>
        <v>0</v>
      </c>
      <c r="M3312">
        <f t="shared" si="1032"/>
        <v>0</v>
      </c>
      <c r="S3312" t="s">
        <v>78</v>
      </c>
      <c r="T3312" s="5">
        <f t="shared" si="1033"/>
        <v>0</v>
      </c>
      <c r="U3312" s="5">
        <f t="shared" si="1034"/>
        <v>0</v>
      </c>
      <c r="V3312" s="5">
        <f t="shared" si="1035"/>
        <v>0</v>
      </c>
      <c r="W3312" s="5">
        <f t="shared" si="1036"/>
        <v>0</v>
      </c>
      <c r="X3312" s="5">
        <f t="shared" si="1037"/>
        <v>0</v>
      </c>
      <c r="Y3312" s="5">
        <f t="shared" si="1038"/>
        <v>0</v>
      </c>
      <c r="Z3312" s="5">
        <f t="shared" si="1039"/>
        <v>0</v>
      </c>
      <c r="AA3312" s="5">
        <f t="shared" si="1040"/>
        <v>0</v>
      </c>
      <c r="AB3312" s="5">
        <f t="shared" si="1041"/>
        <v>0</v>
      </c>
    </row>
    <row r="3313" spans="4:28" x14ac:dyDescent="0.25">
      <c r="D3313" t="s">
        <v>79</v>
      </c>
      <c r="E3313" s="14"/>
      <c r="F3313" s="14"/>
      <c r="G3313">
        <f>IFERROR(HLOOKUP(G$2,[100]table_female_hkom2_inj.ill_X5!$A$1:$K$36,11,FALSE),0)</f>
        <v>0</v>
      </c>
      <c r="H3313">
        <f>IFERROR(HLOOKUP(H$2,[100]table_female_hkom2_inj.ill_X5!$A$1:$K$36,11,FALSE),0)</f>
        <v>0</v>
      </c>
      <c r="I3313">
        <f>IFERROR(HLOOKUP(I$2,[100]table_female_hkom2_inj.ill_X5!$A$1:$K$36,11,FALSE),0)</f>
        <v>0</v>
      </c>
      <c r="J3313">
        <f>IFERROR(HLOOKUP(J$2,[100]table_female_hkom2_inj.ill_X5!$A$1:$K$36,11,FALSE),0)</f>
        <v>0</v>
      </c>
      <c r="K3313">
        <f>IFERROR(HLOOKUP(K$2,[100]table_female_hkom2_inj.ill_X5!$A$1:$K$36,11,FALSE),0)</f>
        <v>0</v>
      </c>
      <c r="L3313">
        <f>IFERROR(HLOOKUP(L$2,[100]table_female_hkom2_inj.ill_X5!$A$1:$K$36,11,FALSE),0)</f>
        <v>0</v>
      </c>
      <c r="M3313">
        <f t="shared" si="1032"/>
        <v>0</v>
      </c>
      <c r="S3313" t="s">
        <v>79</v>
      </c>
      <c r="T3313" s="5">
        <f t="shared" si="1033"/>
        <v>0</v>
      </c>
      <c r="U3313" s="5">
        <f t="shared" si="1034"/>
        <v>0</v>
      </c>
      <c r="V3313" s="5">
        <f t="shared" si="1035"/>
        <v>0</v>
      </c>
      <c r="W3313" s="5">
        <f t="shared" si="1036"/>
        <v>0</v>
      </c>
      <c r="X3313" s="5">
        <f t="shared" si="1037"/>
        <v>0</v>
      </c>
      <c r="Y3313" s="5">
        <f t="shared" si="1038"/>
        <v>0</v>
      </c>
      <c r="Z3313" s="5">
        <f t="shared" si="1039"/>
        <v>0</v>
      </c>
      <c r="AA3313" s="5">
        <f t="shared" si="1040"/>
        <v>0</v>
      </c>
      <c r="AB3313" s="5">
        <f t="shared" si="1041"/>
        <v>0</v>
      </c>
    </row>
    <row r="3314" spans="4:28" x14ac:dyDescent="0.25">
      <c r="D3314" t="s">
        <v>80</v>
      </c>
      <c r="E3314" s="14"/>
      <c r="F3314" s="14"/>
      <c r="G3314">
        <f>IFERROR(HLOOKUP(G$2,[100]table_female_hkom2_inj.ill_X5!$A$1:$K$36,12,FALSE),0)</f>
        <v>0</v>
      </c>
      <c r="H3314">
        <f>IFERROR(HLOOKUP(H$2,[100]table_female_hkom2_inj.ill_X5!$A$1:$K$36,12,FALSE),0)</f>
        <v>0</v>
      </c>
      <c r="I3314">
        <f>IFERROR(HLOOKUP(I$2,[100]table_female_hkom2_inj.ill_X5!$A$1:$K$36,12,FALSE),0)</f>
        <v>0</v>
      </c>
      <c r="J3314">
        <f>IFERROR(HLOOKUP(J$2,[100]table_female_hkom2_inj.ill_X5!$A$1:$K$36,12,FALSE),0)</f>
        <v>0</v>
      </c>
      <c r="K3314">
        <f>IFERROR(HLOOKUP(K$2,[100]table_female_hkom2_inj.ill_X5!$A$1:$K$36,12,FALSE),0)</f>
        <v>0</v>
      </c>
      <c r="L3314">
        <f>IFERROR(HLOOKUP(L$2,[100]table_female_hkom2_inj.ill_X5!$A$1:$K$36,12,FALSE),0)</f>
        <v>0</v>
      </c>
      <c r="M3314">
        <f t="shared" si="1032"/>
        <v>0</v>
      </c>
      <c r="S3314" t="s">
        <v>80</v>
      </c>
      <c r="T3314" s="5">
        <f t="shared" si="1033"/>
        <v>0</v>
      </c>
      <c r="U3314" s="5">
        <f t="shared" si="1034"/>
        <v>0</v>
      </c>
      <c r="V3314" s="5">
        <f t="shared" si="1035"/>
        <v>0</v>
      </c>
      <c r="W3314" s="5">
        <f t="shared" si="1036"/>
        <v>0</v>
      </c>
      <c r="X3314" s="5">
        <f t="shared" si="1037"/>
        <v>0</v>
      </c>
      <c r="Y3314" s="5">
        <f t="shared" si="1038"/>
        <v>0</v>
      </c>
      <c r="Z3314" s="5">
        <f t="shared" si="1039"/>
        <v>0</v>
      </c>
      <c r="AA3314" s="5">
        <f t="shared" si="1040"/>
        <v>0</v>
      </c>
      <c r="AB3314" s="5">
        <f t="shared" si="1041"/>
        <v>0</v>
      </c>
    </row>
    <row r="3315" spans="4:28" x14ac:dyDescent="0.25">
      <c r="D3315" t="s">
        <v>81</v>
      </c>
      <c r="E3315" s="14"/>
      <c r="F3315" s="14"/>
      <c r="G3315">
        <f>IFERROR(HLOOKUP(G$2,[100]table_female_hkom2_inj.ill_X5!$A$1:$K$36,13,FALSE),0)</f>
        <v>0</v>
      </c>
      <c r="H3315">
        <f>IFERROR(HLOOKUP(H$2,[100]table_female_hkom2_inj.ill_X5!$A$1:$K$36,13,FALSE),0)</f>
        <v>0</v>
      </c>
      <c r="I3315">
        <f>IFERROR(HLOOKUP(I$2,[100]table_female_hkom2_inj.ill_X5!$A$1:$K$36,13,FALSE),0)</f>
        <v>0</v>
      </c>
      <c r="J3315">
        <f>IFERROR(HLOOKUP(J$2,[100]table_female_hkom2_inj.ill_X5!$A$1:$K$36,13,FALSE),0)</f>
        <v>0</v>
      </c>
      <c r="K3315">
        <f>IFERROR(HLOOKUP(K$2,[100]table_female_hkom2_inj.ill_X5!$A$1:$K$36,13,FALSE),0)</f>
        <v>0</v>
      </c>
      <c r="L3315">
        <f>IFERROR(HLOOKUP(L$2,[100]table_female_hkom2_inj.ill_X5!$A$1:$K$36,13,FALSE),0)</f>
        <v>0</v>
      </c>
      <c r="M3315">
        <f t="shared" si="1032"/>
        <v>0</v>
      </c>
      <c r="S3315" t="s">
        <v>81</v>
      </c>
      <c r="T3315" s="5">
        <f t="shared" si="1033"/>
        <v>0</v>
      </c>
      <c r="U3315" s="5">
        <f t="shared" si="1034"/>
        <v>0</v>
      </c>
      <c r="V3315" s="5">
        <f t="shared" si="1035"/>
        <v>0</v>
      </c>
      <c r="W3315" s="5">
        <f t="shared" si="1036"/>
        <v>0</v>
      </c>
      <c r="X3315" s="5">
        <f t="shared" si="1037"/>
        <v>0</v>
      </c>
      <c r="Y3315" s="5">
        <f t="shared" si="1038"/>
        <v>0</v>
      </c>
      <c r="Z3315" s="5">
        <f t="shared" si="1039"/>
        <v>0</v>
      </c>
      <c r="AA3315" s="5">
        <f t="shared" si="1040"/>
        <v>0</v>
      </c>
      <c r="AB3315" s="5">
        <f t="shared" si="1041"/>
        <v>0</v>
      </c>
    </row>
    <row r="3316" spans="4:28" x14ac:dyDescent="0.25">
      <c r="D3316" t="s">
        <v>82</v>
      </c>
      <c r="E3316" s="14"/>
      <c r="F3316" s="14"/>
      <c r="G3316">
        <f>IFERROR(HLOOKUP(G$2,[100]table_female_hkom2_inj.ill_X5!$A$1:$K$36,14,FALSE),0)</f>
        <v>0</v>
      </c>
      <c r="H3316">
        <f>IFERROR(HLOOKUP(H$2,[100]table_female_hkom2_inj.ill_X5!$A$1:$K$36,14,FALSE),0)</f>
        <v>0</v>
      </c>
      <c r="I3316">
        <f>IFERROR(HLOOKUP(I$2,[100]table_female_hkom2_inj.ill_X5!$A$1:$K$36,14,FALSE),0)</f>
        <v>0</v>
      </c>
      <c r="J3316">
        <f>IFERROR(HLOOKUP(J$2,[100]table_female_hkom2_inj.ill_X5!$A$1:$K$36,14,FALSE),0)</f>
        <v>0</v>
      </c>
      <c r="K3316">
        <f>IFERROR(HLOOKUP(K$2,[100]table_female_hkom2_inj.ill_X5!$A$1:$K$36,14,FALSE),0)</f>
        <v>0</v>
      </c>
      <c r="L3316">
        <f>IFERROR(HLOOKUP(L$2,[100]table_female_hkom2_inj.ill_X5!$A$1:$K$36,14,FALSE),0)</f>
        <v>0</v>
      </c>
      <c r="M3316">
        <f t="shared" si="1032"/>
        <v>0</v>
      </c>
      <c r="S3316" t="s">
        <v>82</v>
      </c>
      <c r="T3316" s="5">
        <f t="shared" si="1033"/>
        <v>0</v>
      </c>
      <c r="U3316" s="5">
        <f t="shared" si="1034"/>
        <v>0</v>
      </c>
      <c r="V3316" s="5">
        <f t="shared" si="1035"/>
        <v>0</v>
      </c>
      <c r="W3316" s="5">
        <f t="shared" si="1036"/>
        <v>0</v>
      </c>
      <c r="X3316" s="5">
        <f t="shared" si="1037"/>
        <v>0</v>
      </c>
      <c r="Y3316" s="5">
        <f t="shared" si="1038"/>
        <v>0</v>
      </c>
      <c r="Z3316" s="5">
        <f t="shared" si="1039"/>
        <v>0</v>
      </c>
      <c r="AA3316" s="5">
        <f t="shared" si="1040"/>
        <v>0</v>
      </c>
      <c r="AB3316" s="5">
        <f t="shared" si="1041"/>
        <v>0</v>
      </c>
    </row>
    <row r="3317" spans="4:28" x14ac:dyDescent="0.25">
      <c r="D3317" t="s">
        <v>83</v>
      </c>
      <c r="E3317" s="14"/>
      <c r="F3317" s="14"/>
      <c r="G3317">
        <f>IFERROR(HLOOKUP(G$2,[100]table_female_hkom2_inj.ill_X5!$A$1:$K$36,15,FALSE),0)</f>
        <v>0</v>
      </c>
      <c r="H3317">
        <f>IFERROR(HLOOKUP(H$2,[100]table_female_hkom2_inj.ill_X5!$A$1:$K$36,15,FALSE),0)</f>
        <v>0</v>
      </c>
      <c r="I3317">
        <f>IFERROR(HLOOKUP(I$2,[100]table_female_hkom2_inj.ill_X5!$A$1:$K$36,15,FALSE),0)</f>
        <v>0</v>
      </c>
      <c r="J3317">
        <f>IFERROR(HLOOKUP(J$2,[100]table_female_hkom2_inj.ill_X5!$A$1:$K$36,15,FALSE),0)</f>
        <v>0</v>
      </c>
      <c r="K3317">
        <f>IFERROR(HLOOKUP(K$2,[100]table_female_hkom2_inj.ill_X5!$A$1:$K$36,15,FALSE),0)</f>
        <v>0</v>
      </c>
      <c r="L3317">
        <f>IFERROR(HLOOKUP(L$2,[100]table_female_hkom2_inj.ill_X5!$A$1:$K$36,15,FALSE),0)</f>
        <v>0</v>
      </c>
      <c r="M3317">
        <f t="shared" si="1032"/>
        <v>0</v>
      </c>
      <c r="S3317" t="s">
        <v>83</v>
      </c>
      <c r="T3317" s="5">
        <f t="shared" si="1033"/>
        <v>0</v>
      </c>
      <c r="U3317" s="5">
        <f t="shared" si="1034"/>
        <v>0</v>
      </c>
      <c r="V3317" s="5">
        <f t="shared" si="1035"/>
        <v>0</v>
      </c>
      <c r="W3317" s="5">
        <f t="shared" si="1036"/>
        <v>0</v>
      </c>
      <c r="X3317" s="5">
        <f t="shared" si="1037"/>
        <v>0</v>
      </c>
      <c r="Y3317" s="5">
        <f t="shared" si="1038"/>
        <v>0</v>
      </c>
      <c r="Z3317" s="5">
        <f t="shared" si="1039"/>
        <v>0</v>
      </c>
      <c r="AA3317" s="5">
        <f t="shared" si="1040"/>
        <v>0</v>
      </c>
      <c r="AB3317" s="5">
        <f t="shared" si="1041"/>
        <v>0</v>
      </c>
    </row>
    <row r="3318" spans="4:28" x14ac:dyDescent="0.25">
      <c r="D3318" t="s">
        <v>84</v>
      </c>
      <c r="E3318" s="14"/>
      <c r="F3318" s="14"/>
      <c r="G3318">
        <f>IFERROR(HLOOKUP(G$2,[100]table_female_hkom2_inj.ill_X5!$A$1:$K$36,16,FALSE),0)</f>
        <v>0</v>
      </c>
      <c r="H3318">
        <f>IFERROR(HLOOKUP(H$2,[100]table_female_hkom2_inj.ill_X5!$A$1:$K$36,16,FALSE),0)</f>
        <v>0</v>
      </c>
      <c r="I3318">
        <f>IFERROR(HLOOKUP(I$2,[100]table_female_hkom2_inj.ill_X5!$A$1:$K$36,16,FALSE),0)</f>
        <v>0</v>
      </c>
      <c r="J3318">
        <f>IFERROR(HLOOKUP(J$2,[100]table_female_hkom2_inj.ill_X5!$A$1:$K$36,16,FALSE),0)</f>
        <v>0</v>
      </c>
      <c r="K3318">
        <f>IFERROR(HLOOKUP(K$2,[100]table_female_hkom2_inj.ill_X5!$A$1:$K$36,16,FALSE),0)</f>
        <v>0</v>
      </c>
      <c r="L3318">
        <f>IFERROR(HLOOKUP(L$2,[100]table_female_hkom2_inj.ill_X5!$A$1:$K$36,16,FALSE),0)</f>
        <v>0</v>
      </c>
      <c r="M3318">
        <f t="shared" si="1032"/>
        <v>0</v>
      </c>
      <c r="S3318" t="s">
        <v>84</v>
      </c>
      <c r="T3318" s="5">
        <f t="shared" si="1033"/>
        <v>0</v>
      </c>
      <c r="U3318" s="5">
        <f t="shared" si="1034"/>
        <v>0</v>
      </c>
      <c r="V3318" s="5">
        <f t="shared" si="1035"/>
        <v>0</v>
      </c>
      <c r="W3318" s="5">
        <f t="shared" si="1036"/>
        <v>0</v>
      </c>
      <c r="X3318" s="5">
        <f t="shared" si="1037"/>
        <v>0</v>
      </c>
      <c r="Y3318" s="5">
        <f t="shared" si="1038"/>
        <v>0</v>
      </c>
      <c r="Z3318" s="5">
        <f t="shared" si="1039"/>
        <v>0</v>
      </c>
      <c r="AA3318" s="5">
        <f t="shared" si="1040"/>
        <v>0</v>
      </c>
      <c r="AB3318" s="5">
        <f t="shared" si="1041"/>
        <v>0</v>
      </c>
    </row>
    <row r="3319" spans="4:28" x14ac:dyDescent="0.25">
      <c r="D3319" t="s">
        <v>85</v>
      </c>
      <c r="E3319" s="14"/>
      <c r="F3319" s="14"/>
      <c r="G3319">
        <f>IFERROR(HLOOKUP(G$2,[100]table_female_hkom2_inj.ill_X5!$A$1:$K$36,17,FALSE),0)</f>
        <v>0</v>
      </c>
      <c r="H3319">
        <f>IFERROR(HLOOKUP(H$2,[100]table_female_hkom2_inj.ill_X5!$A$1:$K$36,17,FALSE),0)</f>
        <v>0</v>
      </c>
      <c r="I3319">
        <f>IFERROR(HLOOKUP(I$2,[100]table_female_hkom2_inj.ill_X5!$A$1:$K$36,17,FALSE),0)</f>
        <v>0</v>
      </c>
      <c r="J3319">
        <f>IFERROR(HLOOKUP(J$2,[100]table_female_hkom2_inj.ill_X5!$A$1:$K$36,17,FALSE),0)</f>
        <v>0</v>
      </c>
      <c r="K3319">
        <f>IFERROR(HLOOKUP(K$2,[100]table_female_hkom2_inj.ill_X5!$A$1:$K$36,17,FALSE),0)</f>
        <v>0</v>
      </c>
      <c r="L3319">
        <f>IFERROR(HLOOKUP(L$2,[100]table_female_hkom2_inj.ill_X5!$A$1:$K$36,17,FALSE),0)</f>
        <v>0</v>
      </c>
      <c r="M3319">
        <f t="shared" si="1032"/>
        <v>0</v>
      </c>
      <c r="S3319" t="s">
        <v>85</v>
      </c>
      <c r="T3319" s="5">
        <f t="shared" si="1033"/>
        <v>0</v>
      </c>
      <c r="U3319" s="5">
        <f t="shared" si="1034"/>
        <v>0</v>
      </c>
      <c r="V3319" s="5">
        <f t="shared" si="1035"/>
        <v>0</v>
      </c>
      <c r="W3319" s="5">
        <f t="shared" si="1036"/>
        <v>0</v>
      </c>
      <c r="X3319" s="5">
        <f t="shared" si="1037"/>
        <v>0</v>
      </c>
      <c r="Y3319" s="5">
        <f t="shared" si="1038"/>
        <v>0</v>
      </c>
      <c r="Z3319" s="5">
        <f t="shared" si="1039"/>
        <v>0</v>
      </c>
      <c r="AA3319" s="5">
        <f t="shared" si="1040"/>
        <v>0</v>
      </c>
      <c r="AB3319" s="5">
        <f t="shared" si="1041"/>
        <v>0</v>
      </c>
    </row>
    <row r="3320" spans="4:28" x14ac:dyDescent="0.25">
      <c r="D3320" t="s">
        <v>86</v>
      </c>
      <c r="E3320" s="14"/>
      <c r="F3320" s="14"/>
      <c r="G3320">
        <f>IFERROR(HLOOKUP(G$2,[100]table_female_hkom2_inj.ill_X5!$A$1:$K$36,18,FALSE),0)</f>
        <v>0</v>
      </c>
      <c r="H3320">
        <f>IFERROR(HLOOKUP(H$2,[100]table_female_hkom2_inj.ill_X5!$A$1:$K$36,18,FALSE),0)</f>
        <v>0</v>
      </c>
      <c r="I3320">
        <f>IFERROR(HLOOKUP(I$2,[100]table_female_hkom2_inj.ill_X5!$A$1:$K$36,18,FALSE),0)</f>
        <v>0</v>
      </c>
      <c r="J3320">
        <f>IFERROR(HLOOKUP(J$2,[100]table_female_hkom2_inj.ill_X5!$A$1:$K$36,18,FALSE),0)</f>
        <v>0</v>
      </c>
      <c r="K3320">
        <f>IFERROR(HLOOKUP(K$2,[100]table_female_hkom2_inj.ill_X5!$A$1:$K$36,18,FALSE),0)</f>
        <v>0</v>
      </c>
      <c r="L3320">
        <f>IFERROR(HLOOKUP(L$2,[100]table_female_hkom2_inj.ill_X5!$A$1:$K$36,18,FALSE),0)</f>
        <v>0</v>
      </c>
      <c r="M3320">
        <f t="shared" si="1032"/>
        <v>0</v>
      </c>
      <c r="S3320" t="s">
        <v>86</v>
      </c>
      <c r="T3320" s="5">
        <f t="shared" si="1033"/>
        <v>0</v>
      </c>
      <c r="U3320" s="5">
        <f t="shared" si="1034"/>
        <v>0</v>
      </c>
      <c r="V3320" s="5">
        <f t="shared" si="1035"/>
        <v>0</v>
      </c>
      <c r="W3320" s="5">
        <f t="shared" si="1036"/>
        <v>0</v>
      </c>
      <c r="X3320" s="5">
        <f t="shared" si="1037"/>
        <v>0</v>
      </c>
      <c r="Y3320" s="5">
        <f t="shared" si="1038"/>
        <v>0</v>
      </c>
      <c r="Z3320" s="5">
        <f t="shared" si="1039"/>
        <v>0</v>
      </c>
      <c r="AA3320" s="5">
        <f t="shared" si="1040"/>
        <v>0</v>
      </c>
      <c r="AB3320" s="5">
        <f t="shared" si="1041"/>
        <v>0</v>
      </c>
    </row>
    <row r="3321" spans="4:28" x14ac:dyDescent="0.25">
      <c r="D3321" t="s">
        <v>87</v>
      </c>
      <c r="E3321" s="14"/>
      <c r="F3321" s="14"/>
      <c r="G3321">
        <f>IFERROR(HLOOKUP(G$2,[100]table_female_hkom2_inj.ill_X5!$A$1:$K$36,19,FALSE),0)</f>
        <v>0</v>
      </c>
      <c r="H3321">
        <f>IFERROR(HLOOKUP(H$2,[100]table_female_hkom2_inj.ill_X5!$A$1:$K$36,19,FALSE),0)</f>
        <v>0</v>
      </c>
      <c r="I3321">
        <f>IFERROR(HLOOKUP(I$2,[100]table_female_hkom2_inj.ill_X5!$A$1:$K$36,19,FALSE),0)</f>
        <v>0</v>
      </c>
      <c r="J3321">
        <f>IFERROR(HLOOKUP(J$2,[100]table_female_hkom2_inj.ill_X5!$A$1:$K$36,19,FALSE),0)</f>
        <v>0</v>
      </c>
      <c r="K3321">
        <f>IFERROR(HLOOKUP(K$2,[100]table_female_hkom2_inj.ill_X5!$A$1:$K$36,19,FALSE),0)</f>
        <v>0</v>
      </c>
      <c r="L3321">
        <f>IFERROR(HLOOKUP(L$2,[100]table_female_hkom2_inj.ill_X5!$A$1:$K$36,19,FALSE),0)</f>
        <v>0</v>
      </c>
      <c r="M3321">
        <f t="shared" si="1032"/>
        <v>0</v>
      </c>
      <c r="S3321" t="s">
        <v>87</v>
      </c>
      <c r="T3321" s="5">
        <f t="shared" si="1033"/>
        <v>0</v>
      </c>
      <c r="U3321" s="5">
        <f t="shared" si="1034"/>
        <v>0</v>
      </c>
      <c r="V3321" s="5">
        <f t="shared" si="1035"/>
        <v>0</v>
      </c>
      <c r="W3321" s="5">
        <f t="shared" si="1036"/>
        <v>0</v>
      </c>
      <c r="X3321" s="5">
        <f t="shared" si="1037"/>
        <v>0</v>
      </c>
      <c r="Y3321" s="5">
        <f t="shared" si="1038"/>
        <v>0</v>
      </c>
      <c r="Z3321" s="5">
        <f t="shared" si="1039"/>
        <v>0</v>
      </c>
      <c r="AA3321" s="5">
        <f t="shared" si="1040"/>
        <v>0</v>
      </c>
      <c r="AB3321" s="5">
        <f t="shared" si="1041"/>
        <v>0</v>
      </c>
    </row>
    <row r="3322" spans="4:28" x14ac:dyDescent="0.25">
      <c r="D3322" t="s">
        <v>88</v>
      </c>
      <c r="E3322" s="14"/>
      <c r="F3322" s="14"/>
      <c r="G3322">
        <f>IFERROR(HLOOKUP(G$2,[100]table_female_hkom2_inj.ill_X5!$A$1:$K$36,20,FALSE),0)</f>
        <v>0</v>
      </c>
      <c r="H3322">
        <f>IFERROR(HLOOKUP(H$2,[100]table_female_hkom2_inj.ill_X5!$A$1:$K$36,20,FALSE),0)</f>
        <v>0</v>
      </c>
      <c r="I3322">
        <f>IFERROR(HLOOKUP(I$2,[100]table_female_hkom2_inj.ill_X5!$A$1:$K$36,20,FALSE),0)</f>
        <v>0</v>
      </c>
      <c r="J3322">
        <f>IFERROR(HLOOKUP(J$2,[100]table_female_hkom2_inj.ill_X5!$A$1:$K$36,20,FALSE),0)</f>
        <v>0</v>
      </c>
      <c r="K3322">
        <f>IFERROR(HLOOKUP(K$2,[100]table_female_hkom2_inj.ill_X5!$A$1:$K$36,20,FALSE),0)</f>
        <v>0</v>
      </c>
      <c r="L3322">
        <f>IFERROR(HLOOKUP(L$2,[100]table_female_hkom2_inj.ill_X5!$A$1:$K$36,20,FALSE),0)</f>
        <v>0</v>
      </c>
      <c r="M3322">
        <f t="shared" si="1032"/>
        <v>0</v>
      </c>
      <c r="S3322" t="s">
        <v>88</v>
      </c>
      <c r="T3322" s="5">
        <f t="shared" si="1033"/>
        <v>0</v>
      </c>
      <c r="U3322" s="5">
        <f t="shared" si="1034"/>
        <v>0</v>
      </c>
      <c r="V3322" s="5">
        <f t="shared" si="1035"/>
        <v>0</v>
      </c>
      <c r="W3322" s="5">
        <f t="shared" si="1036"/>
        <v>0</v>
      </c>
      <c r="X3322" s="5">
        <f t="shared" si="1037"/>
        <v>0</v>
      </c>
      <c r="Y3322" s="5">
        <f t="shared" si="1038"/>
        <v>0</v>
      </c>
      <c r="Z3322" s="5">
        <f t="shared" si="1039"/>
        <v>0</v>
      </c>
      <c r="AA3322" s="5">
        <f t="shared" si="1040"/>
        <v>0</v>
      </c>
      <c r="AB3322" s="5">
        <f t="shared" si="1041"/>
        <v>0</v>
      </c>
    </row>
    <row r="3323" spans="4:28" x14ac:dyDescent="0.25">
      <c r="D3323" t="s">
        <v>89</v>
      </c>
      <c r="E3323" s="14"/>
      <c r="F3323" s="14"/>
      <c r="G3323">
        <f>IFERROR(HLOOKUP(G$2,[100]table_female_hkom2_inj.ill_X5!$A$1:$K$36,21,FALSE),0)</f>
        <v>0</v>
      </c>
      <c r="H3323">
        <f>IFERROR(HLOOKUP(H$2,[100]table_female_hkom2_inj.ill_X5!$A$1:$K$36,21,FALSE),0)</f>
        <v>0</v>
      </c>
      <c r="I3323">
        <f>IFERROR(HLOOKUP(I$2,[100]table_female_hkom2_inj.ill_X5!$A$1:$K$36,21,FALSE),0)</f>
        <v>0</v>
      </c>
      <c r="J3323">
        <f>IFERROR(HLOOKUP(J$2,[100]table_female_hkom2_inj.ill_X5!$A$1:$K$36,21,FALSE),0)</f>
        <v>0</v>
      </c>
      <c r="K3323">
        <f>IFERROR(HLOOKUP(K$2,[100]table_female_hkom2_inj.ill_X5!$A$1:$K$36,21,FALSE),0)</f>
        <v>0</v>
      </c>
      <c r="L3323">
        <f>IFERROR(HLOOKUP(L$2,[100]table_female_hkom2_inj.ill_X5!$A$1:$K$36,21,FALSE),0)</f>
        <v>0</v>
      </c>
      <c r="M3323">
        <f t="shared" si="1032"/>
        <v>0</v>
      </c>
      <c r="S3323" t="s">
        <v>89</v>
      </c>
      <c r="T3323" s="5">
        <f t="shared" si="1033"/>
        <v>0</v>
      </c>
      <c r="U3323" s="5">
        <f t="shared" si="1034"/>
        <v>0</v>
      </c>
      <c r="V3323" s="5">
        <f t="shared" si="1035"/>
        <v>0</v>
      </c>
      <c r="W3323" s="5">
        <f t="shared" si="1036"/>
        <v>0</v>
      </c>
      <c r="X3323" s="5">
        <f t="shared" si="1037"/>
        <v>0</v>
      </c>
      <c r="Y3323" s="5">
        <f t="shared" si="1038"/>
        <v>0</v>
      </c>
      <c r="Z3323" s="5">
        <f t="shared" si="1039"/>
        <v>0</v>
      </c>
      <c r="AA3323" s="5">
        <f t="shared" si="1040"/>
        <v>0</v>
      </c>
      <c r="AB3323" s="5">
        <f t="shared" si="1041"/>
        <v>0</v>
      </c>
    </row>
    <row r="3324" spans="4:28" x14ac:dyDescent="0.25">
      <c r="D3324" t="s">
        <v>90</v>
      </c>
      <c r="E3324" s="14"/>
      <c r="F3324" s="14"/>
      <c r="G3324">
        <f>IFERROR(HLOOKUP(G$2,[100]table_female_hkom2_inj.ill_X5!$A$1:$K$36,22,FALSE),0)</f>
        <v>0</v>
      </c>
      <c r="H3324">
        <f>IFERROR(HLOOKUP(H$2,[100]table_female_hkom2_inj.ill_X5!$A$1:$K$36,22,FALSE),0)</f>
        <v>0</v>
      </c>
      <c r="I3324">
        <f>IFERROR(HLOOKUP(I$2,[100]table_female_hkom2_inj.ill_X5!$A$1:$K$36,22,FALSE),0)</f>
        <v>0</v>
      </c>
      <c r="J3324">
        <f>IFERROR(HLOOKUP(J$2,[100]table_female_hkom2_inj.ill_X5!$A$1:$K$36,22,FALSE),0)</f>
        <v>0</v>
      </c>
      <c r="K3324">
        <f>IFERROR(HLOOKUP(K$2,[100]table_female_hkom2_inj.ill_X5!$A$1:$K$36,22,FALSE),0)</f>
        <v>0</v>
      </c>
      <c r="L3324">
        <f>IFERROR(HLOOKUP(L$2,[100]table_female_hkom2_inj.ill_X5!$A$1:$K$36,22,FALSE),0)</f>
        <v>0</v>
      </c>
      <c r="M3324">
        <f t="shared" si="1032"/>
        <v>0</v>
      </c>
      <c r="S3324" t="s">
        <v>90</v>
      </c>
      <c r="T3324" s="5">
        <f t="shared" si="1033"/>
        <v>0</v>
      </c>
      <c r="U3324" s="5">
        <f t="shared" si="1034"/>
        <v>0</v>
      </c>
      <c r="V3324" s="5">
        <f t="shared" si="1035"/>
        <v>0</v>
      </c>
      <c r="W3324" s="5">
        <f t="shared" si="1036"/>
        <v>0</v>
      </c>
      <c r="X3324" s="5">
        <f t="shared" si="1037"/>
        <v>0</v>
      </c>
      <c r="Y3324" s="5">
        <f t="shared" si="1038"/>
        <v>0</v>
      </c>
      <c r="Z3324" s="5">
        <f t="shared" si="1039"/>
        <v>0</v>
      </c>
      <c r="AA3324" s="5">
        <f t="shared" si="1040"/>
        <v>0</v>
      </c>
      <c r="AB3324" s="5">
        <f t="shared" si="1041"/>
        <v>0</v>
      </c>
    </row>
    <row r="3325" spans="4:28" x14ac:dyDescent="0.25">
      <c r="D3325" t="s">
        <v>91</v>
      </c>
      <c r="E3325" s="14"/>
      <c r="F3325" s="14"/>
      <c r="G3325">
        <f>IFERROR(HLOOKUP(G$2,[100]table_female_hkom2_inj.ill_X5!$A$1:$K$36,23,FALSE),0)</f>
        <v>0</v>
      </c>
      <c r="H3325">
        <f>IFERROR(HLOOKUP(H$2,[100]table_female_hkom2_inj.ill_X5!$A$1:$K$36,23,FALSE),0)</f>
        <v>0</v>
      </c>
      <c r="I3325">
        <f>IFERROR(HLOOKUP(I$2,[100]table_female_hkom2_inj.ill_X5!$A$1:$K$36,23,FALSE),0)</f>
        <v>0</v>
      </c>
      <c r="J3325">
        <f>IFERROR(HLOOKUP(J$2,[100]table_female_hkom2_inj.ill_X5!$A$1:$K$36,23,FALSE),0)</f>
        <v>0</v>
      </c>
      <c r="K3325">
        <f>IFERROR(HLOOKUP(K$2,[100]table_female_hkom2_inj.ill_X5!$A$1:$K$36,23,FALSE),0)</f>
        <v>0</v>
      </c>
      <c r="L3325">
        <f>IFERROR(HLOOKUP(L$2,[100]table_female_hkom2_inj.ill_X5!$A$1:$K$36,23,FALSE),0)</f>
        <v>0</v>
      </c>
      <c r="M3325">
        <f t="shared" si="1032"/>
        <v>0</v>
      </c>
      <c r="S3325" t="s">
        <v>91</v>
      </c>
      <c r="T3325" s="5">
        <f t="shared" si="1033"/>
        <v>0</v>
      </c>
      <c r="U3325" s="5">
        <f t="shared" si="1034"/>
        <v>0</v>
      </c>
      <c r="V3325" s="5">
        <f t="shared" si="1035"/>
        <v>0</v>
      </c>
      <c r="W3325" s="5">
        <f t="shared" si="1036"/>
        <v>0</v>
      </c>
      <c r="X3325" s="5">
        <f t="shared" si="1037"/>
        <v>0</v>
      </c>
      <c r="Y3325" s="5">
        <f t="shared" si="1038"/>
        <v>0</v>
      </c>
      <c r="Z3325" s="5">
        <f t="shared" si="1039"/>
        <v>0</v>
      </c>
      <c r="AA3325" s="5">
        <f t="shared" si="1040"/>
        <v>0</v>
      </c>
      <c r="AB3325" s="5">
        <f t="shared" si="1041"/>
        <v>0</v>
      </c>
    </row>
    <row r="3326" spans="4:28" x14ac:dyDescent="0.25">
      <c r="D3326" t="s">
        <v>92</v>
      </c>
      <c r="E3326" s="14"/>
      <c r="F3326" s="14"/>
      <c r="G3326">
        <f>IFERROR(HLOOKUP(G$2,[100]table_female_hkom2_inj.ill_X5!$A$1:$K$36,24,FALSE),0)</f>
        <v>0</v>
      </c>
      <c r="H3326">
        <f>IFERROR(HLOOKUP(H$2,[100]table_female_hkom2_inj.ill_X5!$A$1:$K$36,24,FALSE),0)</f>
        <v>0</v>
      </c>
      <c r="I3326">
        <f>IFERROR(HLOOKUP(I$2,[100]table_female_hkom2_inj.ill_X5!$A$1:$K$36,24,FALSE),0)</f>
        <v>0</v>
      </c>
      <c r="J3326">
        <f>IFERROR(HLOOKUP(J$2,[100]table_female_hkom2_inj.ill_X5!$A$1:$K$36,24,FALSE),0)</f>
        <v>0</v>
      </c>
      <c r="K3326">
        <f>IFERROR(HLOOKUP(K$2,[100]table_female_hkom2_inj.ill_X5!$A$1:$K$36,24,FALSE),0)</f>
        <v>0</v>
      </c>
      <c r="L3326">
        <f>IFERROR(HLOOKUP(L$2,[100]table_female_hkom2_inj.ill_X5!$A$1:$K$36,24,FALSE),0)</f>
        <v>0</v>
      </c>
      <c r="M3326">
        <f t="shared" si="1032"/>
        <v>0</v>
      </c>
      <c r="S3326" t="s">
        <v>92</v>
      </c>
      <c r="T3326" s="5">
        <f t="shared" si="1033"/>
        <v>0</v>
      </c>
      <c r="U3326" s="5">
        <f t="shared" si="1034"/>
        <v>0</v>
      </c>
      <c r="V3326" s="5">
        <f t="shared" si="1035"/>
        <v>0</v>
      </c>
      <c r="W3326" s="5">
        <f t="shared" si="1036"/>
        <v>0</v>
      </c>
      <c r="X3326" s="5">
        <f t="shared" si="1037"/>
        <v>0</v>
      </c>
      <c r="Y3326" s="5">
        <f t="shared" si="1038"/>
        <v>0</v>
      </c>
      <c r="Z3326" s="5">
        <f t="shared" si="1039"/>
        <v>0</v>
      </c>
      <c r="AA3326" s="5">
        <f t="shared" si="1040"/>
        <v>0</v>
      </c>
      <c r="AB3326" s="5">
        <f t="shared" si="1041"/>
        <v>0</v>
      </c>
    </row>
    <row r="3327" spans="4:28" x14ac:dyDescent="0.25">
      <c r="D3327" t="s">
        <v>93</v>
      </c>
      <c r="E3327" s="14"/>
      <c r="F3327" s="14"/>
      <c r="G3327">
        <f>IFERROR(HLOOKUP(G$2,[100]table_female_hkom2_inj.ill_X5!$A$1:$K$36,25,FALSE),0)</f>
        <v>0</v>
      </c>
      <c r="H3327">
        <f>IFERROR(HLOOKUP(H$2,[100]table_female_hkom2_inj.ill_X5!$A$1:$K$36,25,FALSE),0)</f>
        <v>0</v>
      </c>
      <c r="I3327">
        <f>IFERROR(HLOOKUP(I$2,[100]table_female_hkom2_inj.ill_X5!$A$1:$K$36,25,FALSE),0)</f>
        <v>0</v>
      </c>
      <c r="J3327">
        <f>IFERROR(HLOOKUP(J$2,[100]table_female_hkom2_inj.ill_X5!$A$1:$K$36,25,FALSE),0)</f>
        <v>0</v>
      </c>
      <c r="K3327">
        <f>IFERROR(HLOOKUP(K$2,[100]table_female_hkom2_inj.ill_X5!$A$1:$K$36,25,FALSE),0)</f>
        <v>0</v>
      </c>
      <c r="L3327">
        <f>IFERROR(HLOOKUP(L$2,[100]table_female_hkom2_inj.ill_X5!$A$1:$K$36,25,FALSE),0)</f>
        <v>0</v>
      </c>
      <c r="M3327">
        <f t="shared" si="1032"/>
        <v>0</v>
      </c>
      <c r="S3327" t="s">
        <v>93</v>
      </c>
      <c r="T3327" s="5">
        <f t="shared" si="1033"/>
        <v>0</v>
      </c>
      <c r="U3327" s="5">
        <f t="shared" si="1034"/>
        <v>0</v>
      </c>
      <c r="V3327" s="5">
        <f t="shared" si="1035"/>
        <v>0</v>
      </c>
      <c r="W3327" s="5">
        <f t="shared" si="1036"/>
        <v>0</v>
      </c>
      <c r="X3327" s="5">
        <f t="shared" si="1037"/>
        <v>0</v>
      </c>
      <c r="Y3327" s="5">
        <f t="shared" si="1038"/>
        <v>0</v>
      </c>
      <c r="Z3327" s="5">
        <f t="shared" si="1039"/>
        <v>0</v>
      </c>
      <c r="AA3327" s="5">
        <f t="shared" si="1040"/>
        <v>0</v>
      </c>
      <c r="AB3327" s="5">
        <f t="shared" si="1041"/>
        <v>0</v>
      </c>
    </row>
    <row r="3328" spans="4:28" x14ac:dyDescent="0.25">
      <c r="D3328" t="s">
        <v>94</v>
      </c>
      <c r="E3328" s="14"/>
      <c r="F3328" s="14"/>
      <c r="G3328">
        <f>IFERROR(HLOOKUP(G$2,[100]table_female_hkom2_inj.ill_X5!$A$1:$K$36,26,FALSE),0)</f>
        <v>0</v>
      </c>
      <c r="H3328">
        <f>IFERROR(HLOOKUP(H$2,[100]table_female_hkom2_inj.ill_X5!$A$1:$K$36,26,FALSE),0)</f>
        <v>0</v>
      </c>
      <c r="I3328">
        <f>IFERROR(HLOOKUP(I$2,[100]table_female_hkom2_inj.ill_X5!$A$1:$K$36,26,FALSE),0)</f>
        <v>0</v>
      </c>
      <c r="J3328">
        <f>IFERROR(HLOOKUP(J$2,[100]table_female_hkom2_inj.ill_X5!$A$1:$K$36,26,FALSE),0)</f>
        <v>0</v>
      </c>
      <c r="K3328">
        <f>IFERROR(HLOOKUP(K$2,[100]table_female_hkom2_inj.ill_X5!$A$1:$K$36,26,FALSE),0)</f>
        <v>0</v>
      </c>
      <c r="L3328">
        <f>IFERROR(HLOOKUP(L$2,[100]table_female_hkom2_inj.ill_X5!$A$1:$K$36,26,FALSE),0)</f>
        <v>0</v>
      </c>
      <c r="M3328">
        <f t="shared" si="1032"/>
        <v>0</v>
      </c>
      <c r="S3328" t="s">
        <v>94</v>
      </c>
      <c r="T3328" s="5">
        <f t="shared" si="1033"/>
        <v>0</v>
      </c>
      <c r="U3328" s="5">
        <f t="shared" si="1034"/>
        <v>0</v>
      </c>
      <c r="V3328" s="5">
        <f t="shared" si="1035"/>
        <v>0</v>
      </c>
      <c r="W3328" s="5">
        <f t="shared" si="1036"/>
        <v>0</v>
      </c>
      <c r="X3328" s="5">
        <f t="shared" si="1037"/>
        <v>0</v>
      </c>
      <c r="Y3328" s="5">
        <f t="shared" si="1038"/>
        <v>0</v>
      </c>
      <c r="Z3328" s="5">
        <f t="shared" si="1039"/>
        <v>0</v>
      </c>
      <c r="AA3328" s="5">
        <f t="shared" si="1040"/>
        <v>0</v>
      </c>
      <c r="AB3328" s="5">
        <f t="shared" si="1041"/>
        <v>0</v>
      </c>
    </row>
    <row r="3329" spans="1:29" x14ac:dyDescent="0.25">
      <c r="D3329" t="s">
        <v>95</v>
      </c>
      <c r="E3329" s="14"/>
      <c r="F3329" s="14"/>
      <c r="G3329">
        <f>IFERROR(HLOOKUP(G$2,[100]table_female_hkom2_inj.ill_X5!$A$1:$K$36,27,FALSE),0)</f>
        <v>0</v>
      </c>
      <c r="H3329">
        <f>IFERROR(HLOOKUP(H$2,[100]table_female_hkom2_inj.ill_X5!$A$1:$K$36,27,FALSE),0)</f>
        <v>0</v>
      </c>
      <c r="I3329">
        <f>IFERROR(HLOOKUP(I$2,[100]table_female_hkom2_inj.ill_X5!$A$1:$K$36,27,FALSE),0)</f>
        <v>0</v>
      </c>
      <c r="J3329">
        <f>IFERROR(HLOOKUP(J$2,[100]table_female_hkom2_inj.ill_X5!$A$1:$K$36,27,FALSE),0)</f>
        <v>0</v>
      </c>
      <c r="K3329">
        <f>IFERROR(HLOOKUP(K$2,[100]table_female_hkom2_inj.ill_X5!$A$1:$K$36,27,FALSE),0)</f>
        <v>0</v>
      </c>
      <c r="L3329">
        <f>IFERROR(HLOOKUP(L$2,[100]table_female_hkom2_inj.ill_X5!$A$1:$K$36,27,FALSE),0)</f>
        <v>0</v>
      </c>
      <c r="M3329">
        <f t="shared" si="1032"/>
        <v>0</v>
      </c>
      <c r="S3329" t="s">
        <v>95</v>
      </c>
      <c r="T3329" s="5">
        <f t="shared" si="1033"/>
        <v>0</v>
      </c>
      <c r="U3329" s="5">
        <f t="shared" si="1034"/>
        <v>0</v>
      </c>
      <c r="V3329" s="5">
        <f t="shared" si="1035"/>
        <v>0</v>
      </c>
      <c r="W3329" s="5">
        <f t="shared" si="1036"/>
        <v>0</v>
      </c>
      <c r="X3329" s="5">
        <f t="shared" si="1037"/>
        <v>0</v>
      </c>
      <c r="Y3329" s="5">
        <f t="shared" si="1038"/>
        <v>0</v>
      </c>
      <c r="Z3329" s="5">
        <f t="shared" si="1039"/>
        <v>0</v>
      </c>
      <c r="AA3329" s="5">
        <f t="shared" si="1040"/>
        <v>0</v>
      </c>
      <c r="AB3329" s="5">
        <f t="shared" si="1041"/>
        <v>0</v>
      </c>
    </row>
    <row r="3330" spans="1:29" x14ac:dyDescent="0.25">
      <c r="D3330" t="s">
        <v>96</v>
      </c>
      <c r="E3330" s="14"/>
      <c r="F3330" s="14"/>
      <c r="G3330">
        <f>IFERROR(HLOOKUP(G$2,[100]table_female_hkom2_inj.ill_X5!$A$1:$K$36,28,FALSE),0)</f>
        <v>0</v>
      </c>
      <c r="H3330">
        <f>IFERROR(HLOOKUP(H$2,[100]table_female_hkom2_inj.ill_X5!$A$1:$K$36,28,FALSE),0)</f>
        <v>0</v>
      </c>
      <c r="I3330">
        <f>IFERROR(HLOOKUP(I$2,[100]table_female_hkom2_inj.ill_X5!$A$1:$K$36,28,FALSE),0)</f>
        <v>0</v>
      </c>
      <c r="J3330">
        <f>IFERROR(HLOOKUP(J$2,[100]table_female_hkom2_inj.ill_X5!$A$1:$K$36,28,FALSE),0)</f>
        <v>0</v>
      </c>
      <c r="K3330">
        <f>IFERROR(HLOOKUP(K$2,[100]table_female_hkom2_inj.ill_X5!$A$1:$K$36,28,FALSE),0)</f>
        <v>0</v>
      </c>
      <c r="L3330">
        <f>IFERROR(HLOOKUP(L$2,[100]table_female_hkom2_inj.ill_X5!$A$1:$K$36,28,FALSE),0)</f>
        <v>0</v>
      </c>
      <c r="M3330">
        <f t="shared" si="1032"/>
        <v>0</v>
      </c>
      <c r="S3330" t="s">
        <v>96</v>
      </c>
      <c r="T3330" s="5">
        <f t="shared" si="1033"/>
        <v>0</v>
      </c>
      <c r="U3330" s="5">
        <f t="shared" si="1034"/>
        <v>0</v>
      </c>
      <c r="V3330" s="5">
        <f t="shared" si="1035"/>
        <v>0</v>
      </c>
      <c r="W3330" s="5">
        <f t="shared" si="1036"/>
        <v>0</v>
      </c>
      <c r="X3330" s="5">
        <f t="shared" si="1037"/>
        <v>0</v>
      </c>
      <c r="Y3330" s="5">
        <f t="shared" si="1038"/>
        <v>0</v>
      </c>
      <c r="Z3330" s="5">
        <f t="shared" si="1039"/>
        <v>0</v>
      </c>
      <c r="AA3330" s="5">
        <f t="shared" si="1040"/>
        <v>0</v>
      </c>
      <c r="AB3330" s="5">
        <f t="shared" si="1041"/>
        <v>0</v>
      </c>
    </row>
    <row r="3331" spans="1:29" x14ac:dyDescent="0.25">
      <c r="D3331" t="s">
        <v>97</v>
      </c>
      <c r="E3331" s="14"/>
      <c r="F3331" s="14"/>
      <c r="G3331">
        <f>IFERROR(HLOOKUP(G$2,[100]table_female_hkom2_inj.ill_X5!$A$1:$K$36,29,FALSE),0)</f>
        <v>0</v>
      </c>
      <c r="H3331">
        <f>IFERROR(HLOOKUP(H$2,[100]table_female_hkom2_inj.ill_X5!$A$1:$K$36,29,FALSE),0)</f>
        <v>0</v>
      </c>
      <c r="I3331">
        <f>IFERROR(HLOOKUP(I$2,[100]table_female_hkom2_inj.ill_X5!$A$1:$K$36,29,FALSE),0)</f>
        <v>0</v>
      </c>
      <c r="J3331">
        <f>IFERROR(HLOOKUP(J$2,[100]table_female_hkom2_inj.ill_X5!$A$1:$K$36,29,FALSE),0)</f>
        <v>0</v>
      </c>
      <c r="K3331">
        <f>IFERROR(HLOOKUP(K$2,[100]table_female_hkom2_inj.ill_X5!$A$1:$K$36,29,FALSE),0)</f>
        <v>0</v>
      </c>
      <c r="L3331">
        <f>IFERROR(HLOOKUP(L$2,[100]table_female_hkom2_inj.ill_X5!$A$1:$K$36,29,FALSE),0)</f>
        <v>0</v>
      </c>
      <c r="M3331">
        <f t="shared" si="1032"/>
        <v>0</v>
      </c>
      <c r="S3331" t="s">
        <v>97</v>
      </c>
      <c r="T3331" s="5">
        <f t="shared" si="1033"/>
        <v>0</v>
      </c>
      <c r="U3331" s="5">
        <f t="shared" si="1034"/>
        <v>0</v>
      </c>
      <c r="V3331" s="5">
        <f t="shared" si="1035"/>
        <v>0</v>
      </c>
      <c r="W3331" s="5">
        <f t="shared" si="1036"/>
        <v>0</v>
      </c>
      <c r="X3331" s="5">
        <f t="shared" si="1037"/>
        <v>0</v>
      </c>
      <c r="Y3331" s="5">
        <f t="shared" si="1038"/>
        <v>0</v>
      </c>
      <c r="Z3331" s="5">
        <f t="shared" si="1039"/>
        <v>0</v>
      </c>
      <c r="AA3331" s="5">
        <f t="shared" si="1040"/>
        <v>0</v>
      </c>
      <c r="AB3331" s="5">
        <f t="shared" si="1041"/>
        <v>0</v>
      </c>
    </row>
    <row r="3332" spans="1:29" x14ac:dyDescent="0.25">
      <c r="D3332" t="s">
        <v>98</v>
      </c>
      <c r="E3332" s="14"/>
      <c r="F3332" s="14"/>
      <c r="G3332">
        <f>IFERROR(HLOOKUP(G$2,[100]table_female_hkom2_inj.ill_X5!$A$1:$K$36,30,FALSE),0)</f>
        <v>0</v>
      </c>
      <c r="H3332">
        <f>IFERROR(HLOOKUP(H$2,[100]table_female_hkom2_inj.ill_X5!$A$1:$K$36,30,FALSE),0)</f>
        <v>0</v>
      </c>
      <c r="I3332">
        <f>IFERROR(HLOOKUP(I$2,[100]table_female_hkom2_inj.ill_X5!$A$1:$K$36,30,FALSE),0)</f>
        <v>0</v>
      </c>
      <c r="J3332">
        <f>IFERROR(HLOOKUP(J$2,[100]table_female_hkom2_inj.ill_X5!$A$1:$K$36,30,FALSE),0)</f>
        <v>0</v>
      </c>
      <c r="K3332">
        <f>IFERROR(HLOOKUP(K$2,[100]table_female_hkom2_inj.ill_X5!$A$1:$K$36,30,FALSE),0)</f>
        <v>0</v>
      </c>
      <c r="L3332">
        <f>IFERROR(HLOOKUP(L$2,[100]table_female_hkom2_inj.ill_X5!$A$1:$K$36,30,FALSE),0)</f>
        <v>0</v>
      </c>
      <c r="M3332">
        <f t="shared" si="1032"/>
        <v>0</v>
      </c>
      <c r="S3332" t="s">
        <v>98</v>
      </c>
      <c r="T3332" s="5">
        <f t="shared" si="1033"/>
        <v>0</v>
      </c>
      <c r="U3332" s="5">
        <f t="shared" si="1034"/>
        <v>0</v>
      </c>
      <c r="V3332" s="5">
        <f t="shared" si="1035"/>
        <v>0</v>
      </c>
      <c r="W3332" s="5">
        <f t="shared" si="1036"/>
        <v>0</v>
      </c>
      <c r="X3332" s="5">
        <f t="shared" si="1037"/>
        <v>0</v>
      </c>
      <c r="Y3332" s="5">
        <f t="shared" si="1038"/>
        <v>0</v>
      </c>
      <c r="Z3332" s="5">
        <f t="shared" si="1039"/>
        <v>0</v>
      </c>
      <c r="AA3332" s="5">
        <f t="shared" si="1040"/>
        <v>0</v>
      </c>
      <c r="AB3332" s="5">
        <f t="shared" si="1041"/>
        <v>0</v>
      </c>
    </row>
    <row r="3333" spans="1:29" x14ac:dyDescent="0.25">
      <c r="D3333" t="s">
        <v>119</v>
      </c>
      <c r="E3333" s="14"/>
      <c r="F3333" s="14"/>
      <c r="G3333">
        <f>IFERROR(HLOOKUP(G$2,[100]table_female_hkom2_inj.ill_X5!$A$1:$K$36,31,FALSE),0)</f>
        <v>0</v>
      </c>
      <c r="H3333">
        <f>IFERROR(HLOOKUP(H$2,[100]table_female_hkom2_inj.ill_X5!$A$1:$K$36,31,FALSE),0)</f>
        <v>0</v>
      </c>
      <c r="I3333">
        <f>IFERROR(HLOOKUP(I$2,[100]table_female_hkom2_inj.ill_X5!$A$1:$K$36,31,FALSE),0)</f>
        <v>0</v>
      </c>
      <c r="J3333">
        <f>IFERROR(HLOOKUP(J$2,[100]table_female_hkom2_inj.ill_X5!$A$1:$K$36,31,FALSE),0)</f>
        <v>0</v>
      </c>
      <c r="K3333">
        <f>IFERROR(HLOOKUP(K$2,[100]table_female_hkom2_inj.ill_X5!$A$1:$K$36,31,FALSE),0)</f>
        <v>0</v>
      </c>
      <c r="L3333">
        <f>IFERROR(HLOOKUP(L$2,[100]table_female_hkom2_inj.ill_X5!$A$1:$K$36,31,FALSE),0)</f>
        <v>0</v>
      </c>
      <c r="M3333">
        <f t="shared" si="1032"/>
        <v>0</v>
      </c>
      <c r="S3333" t="s">
        <v>119</v>
      </c>
      <c r="T3333" s="5">
        <f t="shared" si="1033"/>
        <v>0</v>
      </c>
      <c r="U3333" s="5">
        <f t="shared" si="1034"/>
        <v>0</v>
      </c>
      <c r="V3333" s="5">
        <f t="shared" si="1035"/>
        <v>0</v>
      </c>
      <c r="W3333" s="5">
        <f t="shared" si="1036"/>
        <v>0</v>
      </c>
      <c r="X3333" s="5">
        <f t="shared" si="1037"/>
        <v>0</v>
      </c>
      <c r="Y3333" s="5">
        <f t="shared" si="1038"/>
        <v>0</v>
      </c>
      <c r="Z3333" s="5">
        <f t="shared" si="1039"/>
        <v>0</v>
      </c>
      <c r="AA3333" s="5">
        <f t="shared" si="1040"/>
        <v>0</v>
      </c>
      <c r="AB3333" s="5">
        <f t="shared" si="1041"/>
        <v>0</v>
      </c>
    </row>
    <row r="3334" spans="1:29" x14ac:dyDescent="0.25">
      <c r="D3334" t="s">
        <v>99</v>
      </c>
      <c r="E3334" s="14"/>
      <c r="F3334" s="14"/>
      <c r="G3334">
        <f>IFERROR(HLOOKUP(G$2,[100]table_female_hkom2_inj.ill_X5!$A$1:$K$36,32,FALSE),0)</f>
        <v>0</v>
      </c>
      <c r="H3334">
        <f>IFERROR(HLOOKUP(H$2,[100]table_female_hkom2_inj.ill_X5!$A$1:$K$36,32,FALSE),0)</f>
        <v>0</v>
      </c>
      <c r="I3334">
        <f>IFERROR(HLOOKUP(I$2,[100]table_female_hkom2_inj.ill_X5!$A$1:$K$36,32,FALSE),0)</f>
        <v>0</v>
      </c>
      <c r="J3334">
        <f>IFERROR(HLOOKUP(J$2,[100]table_female_hkom2_inj.ill_X5!$A$1:$K$36,32,FALSE),0)</f>
        <v>0</v>
      </c>
      <c r="K3334">
        <f>IFERROR(HLOOKUP(K$2,[100]table_female_hkom2_inj.ill_X5!$A$1:$K$36,32,FALSE),0)</f>
        <v>0</v>
      </c>
      <c r="L3334">
        <f>IFERROR(HLOOKUP(L$2,[100]table_female_hkom2_inj.ill_X5!$A$1:$K$36,32,FALSE),0)</f>
        <v>0</v>
      </c>
      <c r="M3334">
        <f t="shared" si="1032"/>
        <v>0</v>
      </c>
      <c r="S3334" t="s">
        <v>99</v>
      </c>
      <c r="T3334" s="5">
        <f t="shared" si="1033"/>
        <v>0</v>
      </c>
      <c r="U3334" s="5">
        <f t="shared" si="1034"/>
        <v>0</v>
      </c>
      <c r="V3334" s="5">
        <f t="shared" si="1035"/>
        <v>0</v>
      </c>
      <c r="W3334" s="5">
        <f t="shared" si="1036"/>
        <v>0</v>
      </c>
      <c r="X3334" s="5">
        <f t="shared" si="1037"/>
        <v>0</v>
      </c>
      <c r="Y3334" s="5">
        <f t="shared" si="1038"/>
        <v>0</v>
      </c>
      <c r="Z3334" s="5">
        <f t="shared" si="1039"/>
        <v>0</v>
      </c>
      <c r="AA3334" s="5">
        <f t="shared" si="1040"/>
        <v>0</v>
      </c>
      <c r="AB3334" s="5">
        <f t="shared" si="1041"/>
        <v>0</v>
      </c>
    </row>
    <row r="3335" spans="1:29" x14ac:dyDescent="0.25">
      <c r="D3335" t="s">
        <v>100</v>
      </c>
      <c r="E3335" s="14"/>
      <c r="F3335" s="14"/>
      <c r="G3335">
        <f>IFERROR(HLOOKUP(G$2,[100]table_female_hkom2_inj.ill_X5!$A$1:$K$36,33,FALSE),0)</f>
        <v>0</v>
      </c>
      <c r="H3335">
        <f>IFERROR(HLOOKUP(H$2,[100]table_female_hkom2_inj.ill_X5!$A$1:$K$36,33,FALSE),0)</f>
        <v>0</v>
      </c>
      <c r="I3335">
        <f>IFERROR(HLOOKUP(I$2,[100]table_female_hkom2_inj.ill_X5!$A$1:$K$36,33,FALSE),0)</f>
        <v>0</v>
      </c>
      <c r="J3335">
        <f>IFERROR(HLOOKUP(J$2,[100]table_female_hkom2_inj.ill_X5!$A$1:$K$36,33,FALSE),0)</f>
        <v>0</v>
      </c>
      <c r="K3335">
        <f>IFERROR(HLOOKUP(K$2,[100]table_female_hkom2_inj.ill_X5!$A$1:$K$36,33,FALSE),0)</f>
        <v>0</v>
      </c>
      <c r="L3335">
        <f>IFERROR(HLOOKUP(L$2,[100]table_female_hkom2_inj.ill_X5!$A$1:$K$36,33,FALSE),0)</f>
        <v>0</v>
      </c>
      <c r="M3335">
        <f t="shared" si="1032"/>
        <v>0</v>
      </c>
      <c r="S3335" t="s">
        <v>100</v>
      </c>
      <c r="T3335" s="5">
        <f t="shared" si="1033"/>
        <v>0</v>
      </c>
      <c r="U3335" s="5">
        <f t="shared" si="1034"/>
        <v>0</v>
      </c>
      <c r="V3335" s="5">
        <f t="shared" si="1035"/>
        <v>0</v>
      </c>
      <c r="W3335" s="5">
        <f t="shared" si="1036"/>
        <v>0</v>
      </c>
      <c r="X3335" s="5">
        <f t="shared" si="1037"/>
        <v>0</v>
      </c>
      <c r="Y3335" s="5">
        <f t="shared" si="1038"/>
        <v>0</v>
      </c>
      <c r="Z3335" s="5">
        <f t="shared" si="1039"/>
        <v>0</v>
      </c>
      <c r="AA3335" s="5">
        <f t="shared" si="1040"/>
        <v>0</v>
      </c>
      <c r="AB3335" s="5">
        <f t="shared" si="1041"/>
        <v>0</v>
      </c>
    </row>
    <row r="3336" spans="1:29" x14ac:dyDescent="0.25">
      <c r="D3336" t="s">
        <v>101</v>
      </c>
      <c r="E3336" s="14"/>
      <c r="F3336" s="14"/>
      <c r="G3336">
        <f>IFERROR(HLOOKUP(G$2,[100]table_female_hkom2_inj.ill_X5!$A$1:$K$36,34,FALSE),0)</f>
        <v>0</v>
      </c>
      <c r="H3336">
        <f>IFERROR(HLOOKUP(H$2,[100]table_female_hkom2_inj.ill_X5!$A$1:$K$36,34,FALSE),0)</f>
        <v>0</v>
      </c>
      <c r="I3336">
        <f>IFERROR(HLOOKUP(I$2,[100]table_female_hkom2_inj.ill_X5!$A$1:$K$36,34,FALSE),0)</f>
        <v>0</v>
      </c>
      <c r="J3336">
        <f>IFERROR(HLOOKUP(J$2,[100]table_female_hkom2_inj.ill_X5!$A$1:$K$36,34,FALSE),0)</f>
        <v>0</v>
      </c>
      <c r="K3336">
        <f>IFERROR(HLOOKUP(K$2,[100]table_female_hkom2_inj.ill_X5!$A$1:$K$36,34,FALSE),0)</f>
        <v>0</v>
      </c>
      <c r="L3336">
        <f>IFERROR(HLOOKUP(L$2,[100]table_female_hkom2_inj.ill_X5!$A$1:$K$36,34,FALSE),0)</f>
        <v>0</v>
      </c>
      <c r="M3336">
        <f t="shared" si="1032"/>
        <v>0</v>
      </c>
      <c r="S3336" t="s">
        <v>101</v>
      </c>
      <c r="T3336" s="5">
        <f t="shared" si="1033"/>
        <v>0</v>
      </c>
      <c r="U3336" s="5">
        <f t="shared" si="1034"/>
        <v>0</v>
      </c>
      <c r="V3336" s="5">
        <f t="shared" si="1035"/>
        <v>0</v>
      </c>
      <c r="W3336" s="5">
        <f t="shared" si="1036"/>
        <v>0</v>
      </c>
      <c r="X3336" s="5">
        <f t="shared" si="1037"/>
        <v>0</v>
      </c>
      <c r="Y3336" s="5">
        <f t="shared" si="1038"/>
        <v>0</v>
      </c>
      <c r="Z3336" s="5">
        <f t="shared" si="1039"/>
        <v>0</v>
      </c>
      <c r="AA3336" s="5">
        <f t="shared" si="1040"/>
        <v>0</v>
      </c>
      <c r="AB3336" s="5">
        <f t="shared" si="1041"/>
        <v>0</v>
      </c>
    </row>
    <row r="3337" spans="1:29" x14ac:dyDescent="0.25">
      <c r="D3337" t="s">
        <v>102</v>
      </c>
      <c r="E3337" s="14"/>
      <c r="F3337" s="14"/>
      <c r="G3337">
        <f>IFERROR(HLOOKUP(G$2,[100]table_female_hkom2_inj.ill_X5!$A$1:$K$36,35,FALSE),0)</f>
        <v>0</v>
      </c>
      <c r="H3337">
        <f>IFERROR(HLOOKUP(H$2,[100]table_female_hkom2_inj.ill_X5!$A$1:$K$36,35,FALSE),0)</f>
        <v>0</v>
      </c>
      <c r="I3337">
        <f>IFERROR(HLOOKUP(I$2,[100]table_female_hkom2_inj.ill_X5!$A$1:$K$36,35,FALSE),0)</f>
        <v>0</v>
      </c>
      <c r="J3337">
        <f>IFERROR(HLOOKUP(J$2,[100]table_female_hkom2_inj.ill_X5!$A$1:$K$36,35,FALSE),0)</f>
        <v>0</v>
      </c>
      <c r="K3337">
        <f>IFERROR(HLOOKUP(K$2,[100]table_female_hkom2_inj.ill_X5!$A$1:$K$36,35,FALSE),0)</f>
        <v>0</v>
      </c>
      <c r="L3337">
        <f>IFERROR(HLOOKUP(L$2,[100]table_female_hkom2_inj.ill_X5!$A$1:$K$36,35,FALSE),0)</f>
        <v>0</v>
      </c>
      <c r="M3337">
        <f t="shared" si="1032"/>
        <v>0</v>
      </c>
      <c r="N3337">
        <f>SUM(M3304:M3337)</f>
        <v>0</v>
      </c>
      <c r="O3337" s="8">
        <f>SUM([100]table_female_hkom2_inj.ill_X5!$B$2:$L$37)</f>
        <v>0</v>
      </c>
      <c r="S3337" t="s">
        <v>102</v>
      </c>
      <c r="T3337" s="7"/>
      <c r="U3337" s="7"/>
      <c r="V3337" s="7"/>
      <c r="W3337" s="7"/>
      <c r="X3337" s="7"/>
      <c r="Y3337" s="7"/>
      <c r="Z3337" s="7"/>
      <c r="AA3337" s="7"/>
      <c r="AB3337" s="5">
        <f t="shared" si="1041"/>
        <v>0</v>
      </c>
      <c r="AC3337" s="5">
        <f>SUM(AB3304:AB3336)</f>
        <v>0</v>
      </c>
    </row>
    <row r="3338" spans="1:29" x14ac:dyDescent="0.25">
      <c r="A3338" t="s">
        <v>115</v>
      </c>
      <c r="B3338" t="s">
        <v>116</v>
      </c>
      <c r="C3338" t="s">
        <v>128</v>
      </c>
      <c r="D3338" t="s">
        <v>70</v>
      </c>
      <c r="E3338" s="14"/>
      <c r="F3338" s="14"/>
      <c r="G3338">
        <f>IFERROR(HLOOKUP(G$2,[101]table_female_hkom2_inj.ill_X6!$A$1:$K$36,2,FALSE),0)</f>
        <v>0</v>
      </c>
      <c r="H3338">
        <f>IFERROR(HLOOKUP(H$2,[101]table_female_hkom2_inj.ill_X6!$A$1:$K$36,2,FALSE),0)</f>
        <v>0</v>
      </c>
      <c r="I3338">
        <f>IFERROR(HLOOKUP(I$2,[101]table_female_hkom2_inj.ill_X6!$A$1:$K$36,2,FALSE),0)</f>
        <v>0</v>
      </c>
      <c r="J3338">
        <f>IFERROR(HLOOKUP(J$2,[101]table_female_hkom2_inj.ill_X6!$A$1:$K$36,2,FALSE),0)</f>
        <v>0</v>
      </c>
      <c r="K3338">
        <f>IFERROR(HLOOKUP(K$2,[101]table_female_hkom2_inj.ill_X6!$A$1:$K$36,2,FALSE),0)</f>
        <v>0</v>
      </c>
      <c r="L3338">
        <f>IFERROR(HLOOKUP(L$2,[101]table_female_hkom2_inj.ill_X6!$A$1:$K$36,2,FALSE),0)</f>
        <v>0</v>
      </c>
      <c r="M3338">
        <f>SUM(E3338:L3338)</f>
        <v>0</v>
      </c>
      <c r="P3338" t="s">
        <v>115</v>
      </c>
      <c r="Q3338" t="s">
        <v>116</v>
      </c>
      <c r="R3338" t="s">
        <v>128</v>
      </c>
      <c r="S3338" t="s">
        <v>70</v>
      </c>
      <c r="T3338" s="5">
        <f>IF(SUM(E$3338:E$3370)=0,E$3371/33,E3338+IFERROR(E3338/SUM(E$3338:E$3370)*E$3371,0))</f>
        <v>0</v>
      </c>
      <c r="U3338" s="5">
        <f t="shared" ref="U3338:AA3338" si="1042">IF(SUM(F$3338:F$3370)=0,F$3371/33,F3338+IFERROR(F3338/SUM(F$3338:F$3370)*F$3371,0))</f>
        <v>0</v>
      </c>
      <c r="V3338" s="5">
        <f t="shared" si="1042"/>
        <v>3.0303030303030304E-2</v>
      </c>
      <c r="W3338" s="5">
        <f t="shared" si="1042"/>
        <v>0</v>
      </c>
      <c r="X3338" s="5">
        <f t="shared" si="1042"/>
        <v>0</v>
      </c>
      <c r="Y3338" s="5">
        <f t="shared" si="1042"/>
        <v>0</v>
      </c>
      <c r="Z3338" s="5">
        <f t="shared" si="1042"/>
        <v>0</v>
      </c>
      <c r="AA3338" s="5">
        <f t="shared" si="1042"/>
        <v>0</v>
      </c>
      <c r="AB3338" s="5">
        <f t="shared" si="1041"/>
        <v>3.0303030303030304E-2</v>
      </c>
    </row>
    <row r="3339" spans="1:29" x14ac:dyDescent="0.25">
      <c r="D3339" t="s">
        <v>71</v>
      </c>
      <c r="E3339" s="14"/>
      <c r="F3339" s="14"/>
      <c r="G3339">
        <f>IFERROR(HLOOKUP(G$2,[101]table_female_hkom2_inj.ill_X6!$A$1:$K$36,3,FALSE),0)</f>
        <v>0</v>
      </c>
      <c r="H3339">
        <f>IFERROR(HLOOKUP(H$2,[101]table_female_hkom2_inj.ill_X6!$A$1:$K$36,3,FALSE),0)</f>
        <v>0</v>
      </c>
      <c r="I3339">
        <f>IFERROR(HLOOKUP(I$2,[101]table_female_hkom2_inj.ill_X6!$A$1:$K$36,3,FALSE),0)</f>
        <v>0</v>
      </c>
      <c r="J3339">
        <f>IFERROR(HLOOKUP(J$2,[101]table_female_hkom2_inj.ill_X6!$A$1:$K$36,3,FALSE),0)</f>
        <v>0</v>
      </c>
      <c r="K3339">
        <f>IFERROR(HLOOKUP(K$2,[101]table_female_hkom2_inj.ill_X6!$A$1:$K$36,3,FALSE),0)</f>
        <v>0</v>
      </c>
      <c r="L3339">
        <f>IFERROR(HLOOKUP(L$2,[101]table_female_hkom2_inj.ill_X6!$A$1:$K$36,3,FALSE),0)</f>
        <v>0</v>
      </c>
      <c r="M3339">
        <f t="shared" ref="M3339:M3371" si="1043">SUM(E3339:L3339)</f>
        <v>0</v>
      </c>
      <c r="S3339" t="s">
        <v>71</v>
      </c>
      <c r="T3339" s="5">
        <f t="shared" ref="T3339:T3370" si="1044">IF(SUM(E$3338:E$3370)=0,E$3371/33,E3339+IFERROR(E3339/SUM(E$3338:E$3370)*E$3371,0))</f>
        <v>0</v>
      </c>
      <c r="U3339" s="5">
        <f t="shared" ref="U3339:U3370" si="1045">IF(SUM(F$3338:F$3370)=0,F$3371/33,F3339+IFERROR(F3339/SUM(F$3338:F$3370)*F$3371,0))</f>
        <v>0</v>
      </c>
      <c r="V3339" s="5">
        <f t="shared" ref="V3339:V3370" si="1046">IF(SUM(G$3338:G$3370)=0,G$3371/33,G3339+IFERROR(G3339/SUM(G$3338:G$3370)*G$3371,0))</f>
        <v>3.0303030303030304E-2</v>
      </c>
      <c r="W3339" s="5">
        <f t="shared" ref="W3339:W3370" si="1047">IF(SUM(H$3338:H$3370)=0,H$3371/33,H3339+IFERROR(H3339/SUM(H$3338:H$3370)*H$3371,0))</f>
        <v>0</v>
      </c>
      <c r="X3339" s="5">
        <f t="shared" ref="X3339:X3370" si="1048">IF(SUM(I$3338:I$3370)=0,I$3371/33,I3339+IFERROR(I3339/SUM(I$3338:I$3370)*I$3371,0))</f>
        <v>0</v>
      </c>
      <c r="Y3339" s="5">
        <f t="shared" ref="Y3339:Y3370" si="1049">IF(SUM(J$3338:J$3370)=0,J$3371/33,J3339+IFERROR(J3339/SUM(J$3338:J$3370)*J$3371,0))</f>
        <v>0</v>
      </c>
      <c r="Z3339" s="5">
        <f t="shared" ref="Z3339:Z3370" si="1050">IF(SUM(K$3338:K$3370)=0,K$3371/33,K3339+IFERROR(K3339/SUM(K$3338:K$3370)*K$3371,0))</f>
        <v>0</v>
      </c>
      <c r="AA3339" s="5">
        <f t="shared" ref="AA3339:AA3370" si="1051">IF(SUM(L$3338:L$3370)=0,L$3371/33,L3339+IFERROR(L3339/SUM(L$3338:L$3370)*L$3371,0))</f>
        <v>0</v>
      </c>
      <c r="AB3339" s="5">
        <f t="shared" si="1041"/>
        <v>3.0303030303030304E-2</v>
      </c>
    </row>
    <row r="3340" spans="1:29" x14ac:dyDescent="0.25">
      <c r="D3340" t="s">
        <v>72</v>
      </c>
      <c r="E3340" s="14"/>
      <c r="F3340" s="14"/>
      <c r="G3340">
        <f>IFERROR(HLOOKUP(G$2,[101]table_female_hkom2_inj.ill_X6!$A$1:$K$36,4,FALSE),0)</f>
        <v>0</v>
      </c>
      <c r="H3340">
        <f>IFERROR(HLOOKUP(H$2,[101]table_female_hkom2_inj.ill_X6!$A$1:$K$36,4,FALSE),0)</f>
        <v>0</v>
      </c>
      <c r="I3340">
        <f>IFERROR(HLOOKUP(I$2,[101]table_female_hkom2_inj.ill_X6!$A$1:$K$36,4,FALSE),0)</f>
        <v>0</v>
      </c>
      <c r="J3340">
        <f>IFERROR(HLOOKUP(J$2,[101]table_female_hkom2_inj.ill_X6!$A$1:$K$36,4,FALSE),0)</f>
        <v>0</v>
      </c>
      <c r="K3340">
        <f>IFERROR(HLOOKUP(K$2,[101]table_female_hkom2_inj.ill_X6!$A$1:$K$36,4,FALSE),0)</f>
        <v>0</v>
      </c>
      <c r="L3340">
        <f>IFERROR(HLOOKUP(L$2,[101]table_female_hkom2_inj.ill_X6!$A$1:$K$36,4,FALSE),0)</f>
        <v>0</v>
      </c>
      <c r="M3340">
        <f t="shared" si="1043"/>
        <v>0</v>
      </c>
      <c r="S3340" t="s">
        <v>72</v>
      </c>
      <c r="T3340" s="5">
        <f t="shared" si="1044"/>
        <v>0</v>
      </c>
      <c r="U3340" s="5">
        <f t="shared" si="1045"/>
        <v>0</v>
      </c>
      <c r="V3340" s="5">
        <f t="shared" si="1046"/>
        <v>3.0303030303030304E-2</v>
      </c>
      <c r="W3340" s="5">
        <f t="shared" si="1047"/>
        <v>0</v>
      </c>
      <c r="X3340" s="5">
        <f t="shared" si="1048"/>
        <v>0</v>
      </c>
      <c r="Y3340" s="5">
        <f t="shared" si="1049"/>
        <v>0</v>
      </c>
      <c r="Z3340" s="5">
        <f t="shared" si="1050"/>
        <v>0</v>
      </c>
      <c r="AA3340" s="5">
        <f t="shared" si="1051"/>
        <v>0</v>
      </c>
      <c r="AB3340" s="5">
        <f t="shared" si="1041"/>
        <v>3.0303030303030304E-2</v>
      </c>
    </row>
    <row r="3341" spans="1:29" x14ac:dyDescent="0.25">
      <c r="D3341" t="s">
        <v>73</v>
      </c>
      <c r="E3341" s="14"/>
      <c r="F3341" s="14"/>
      <c r="G3341">
        <f>IFERROR(HLOOKUP(G$2,[101]table_female_hkom2_inj.ill_X6!$A$1:$K$36,5,FALSE),0)</f>
        <v>0</v>
      </c>
      <c r="H3341">
        <f>IFERROR(HLOOKUP(H$2,[101]table_female_hkom2_inj.ill_X6!$A$1:$K$36,5,FALSE),0)</f>
        <v>0</v>
      </c>
      <c r="I3341">
        <f>IFERROR(HLOOKUP(I$2,[101]table_female_hkom2_inj.ill_X6!$A$1:$K$36,5,FALSE),0)</f>
        <v>0</v>
      </c>
      <c r="J3341">
        <f>IFERROR(HLOOKUP(J$2,[101]table_female_hkom2_inj.ill_X6!$A$1:$K$36,5,FALSE),0)</f>
        <v>0</v>
      </c>
      <c r="K3341">
        <f>IFERROR(HLOOKUP(K$2,[101]table_female_hkom2_inj.ill_X6!$A$1:$K$36,5,FALSE),0)</f>
        <v>0</v>
      </c>
      <c r="L3341">
        <f>IFERROR(HLOOKUP(L$2,[101]table_female_hkom2_inj.ill_X6!$A$1:$K$36,5,FALSE),0)</f>
        <v>0</v>
      </c>
      <c r="M3341">
        <f t="shared" si="1043"/>
        <v>0</v>
      </c>
      <c r="S3341" t="s">
        <v>73</v>
      </c>
      <c r="T3341" s="5">
        <f t="shared" si="1044"/>
        <v>0</v>
      </c>
      <c r="U3341" s="5">
        <f t="shared" si="1045"/>
        <v>0</v>
      </c>
      <c r="V3341" s="5">
        <f t="shared" si="1046"/>
        <v>3.0303030303030304E-2</v>
      </c>
      <c r="W3341" s="5">
        <f t="shared" si="1047"/>
        <v>0</v>
      </c>
      <c r="X3341" s="5">
        <f t="shared" si="1048"/>
        <v>0</v>
      </c>
      <c r="Y3341" s="5">
        <f t="shared" si="1049"/>
        <v>0</v>
      </c>
      <c r="Z3341" s="5">
        <f t="shared" si="1050"/>
        <v>0</v>
      </c>
      <c r="AA3341" s="5">
        <f t="shared" si="1051"/>
        <v>0</v>
      </c>
      <c r="AB3341" s="5">
        <f t="shared" si="1041"/>
        <v>3.0303030303030304E-2</v>
      </c>
    </row>
    <row r="3342" spans="1:29" x14ac:dyDescent="0.25">
      <c r="D3342" t="s">
        <v>74</v>
      </c>
      <c r="E3342" s="14"/>
      <c r="F3342" s="14"/>
      <c r="G3342">
        <f>IFERROR(HLOOKUP(G$2,[101]table_female_hkom2_inj.ill_X6!$A$1:$K$36,6,FALSE),0)</f>
        <v>0</v>
      </c>
      <c r="H3342">
        <f>IFERROR(HLOOKUP(H$2,[101]table_female_hkom2_inj.ill_X6!$A$1:$K$36,6,FALSE),0)</f>
        <v>0</v>
      </c>
      <c r="I3342">
        <f>IFERROR(HLOOKUP(I$2,[101]table_female_hkom2_inj.ill_X6!$A$1:$K$36,6,FALSE),0)</f>
        <v>0</v>
      </c>
      <c r="J3342">
        <f>IFERROR(HLOOKUP(J$2,[101]table_female_hkom2_inj.ill_X6!$A$1:$K$36,6,FALSE),0)</f>
        <v>0</v>
      </c>
      <c r="K3342">
        <f>IFERROR(HLOOKUP(K$2,[101]table_female_hkom2_inj.ill_X6!$A$1:$K$36,6,FALSE),0)</f>
        <v>0</v>
      </c>
      <c r="L3342">
        <f>IFERROR(HLOOKUP(L$2,[101]table_female_hkom2_inj.ill_X6!$A$1:$K$36,6,FALSE),0)</f>
        <v>0</v>
      </c>
      <c r="M3342">
        <f t="shared" si="1043"/>
        <v>0</v>
      </c>
      <c r="S3342" t="s">
        <v>74</v>
      </c>
      <c r="T3342" s="5">
        <f t="shared" si="1044"/>
        <v>0</v>
      </c>
      <c r="U3342" s="5">
        <f t="shared" si="1045"/>
        <v>0</v>
      </c>
      <c r="V3342" s="5">
        <f t="shared" si="1046"/>
        <v>3.0303030303030304E-2</v>
      </c>
      <c r="W3342" s="5">
        <f t="shared" si="1047"/>
        <v>0</v>
      </c>
      <c r="X3342" s="5">
        <f t="shared" si="1048"/>
        <v>0</v>
      </c>
      <c r="Y3342" s="5">
        <f t="shared" si="1049"/>
        <v>0</v>
      </c>
      <c r="Z3342" s="5">
        <f t="shared" si="1050"/>
        <v>0</v>
      </c>
      <c r="AA3342" s="5">
        <f t="shared" si="1051"/>
        <v>0</v>
      </c>
      <c r="AB3342" s="5">
        <f t="shared" si="1041"/>
        <v>3.0303030303030304E-2</v>
      </c>
    </row>
    <row r="3343" spans="1:29" x14ac:dyDescent="0.25">
      <c r="D3343" t="s">
        <v>75</v>
      </c>
      <c r="E3343" s="14"/>
      <c r="F3343" s="14"/>
      <c r="G3343">
        <f>IFERROR(HLOOKUP(G$2,[101]table_female_hkom2_inj.ill_X6!$A$1:$K$36,7,FALSE),0)</f>
        <v>0</v>
      </c>
      <c r="H3343">
        <f>IFERROR(HLOOKUP(H$2,[101]table_female_hkom2_inj.ill_X6!$A$1:$K$36,7,FALSE),0)</f>
        <v>0</v>
      </c>
      <c r="I3343">
        <f>IFERROR(HLOOKUP(I$2,[101]table_female_hkom2_inj.ill_X6!$A$1:$K$36,7,FALSE),0)</f>
        <v>0</v>
      </c>
      <c r="J3343">
        <f>IFERROR(HLOOKUP(J$2,[101]table_female_hkom2_inj.ill_X6!$A$1:$K$36,7,FALSE),0)</f>
        <v>0</v>
      </c>
      <c r="K3343">
        <f>IFERROR(HLOOKUP(K$2,[101]table_female_hkom2_inj.ill_X6!$A$1:$K$36,7,FALSE),0)</f>
        <v>0</v>
      </c>
      <c r="L3343">
        <f>IFERROR(HLOOKUP(L$2,[101]table_female_hkom2_inj.ill_X6!$A$1:$K$36,7,FALSE),0)</f>
        <v>0</v>
      </c>
      <c r="M3343">
        <f t="shared" si="1043"/>
        <v>0</v>
      </c>
      <c r="S3343" t="s">
        <v>75</v>
      </c>
      <c r="T3343" s="5">
        <f t="shared" si="1044"/>
        <v>0</v>
      </c>
      <c r="U3343" s="5">
        <f t="shared" si="1045"/>
        <v>0</v>
      </c>
      <c r="V3343" s="5">
        <f t="shared" si="1046"/>
        <v>3.0303030303030304E-2</v>
      </c>
      <c r="W3343" s="5">
        <f t="shared" si="1047"/>
        <v>0</v>
      </c>
      <c r="X3343" s="5">
        <f t="shared" si="1048"/>
        <v>0</v>
      </c>
      <c r="Y3343" s="5">
        <f t="shared" si="1049"/>
        <v>0</v>
      </c>
      <c r="Z3343" s="5">
        <f t="shared" si="1050"/>
        <v>0</v>
      </c>
      <c r="AA3343" s="5">
        <f t="shared" si="1051"/>
        <v>0</v>
      </c>
      <c r="AB3343" s="5">
        <f t="shared" si="1041"/>
        <v>3.0303030303030304E-2</v>
      </c>
    </row>
    <row r="3344" spans="1:29" x14ac:dyDescent="0.25">
      <c r="D3344" t="s">
        <v>76</v>
      </c>
      <c r="E3344" s="14"/>
      <c r="F3344" s="14"/>
      <c r="G3344">
        <f>IFERROR(HLOOKUP(G$2,[101]table_female_hkom2_inj.ill_X6!$A$1:$K$36,8,FALSE),0)</f>
        <v>0</v>
      </c>
      <c r="H3344">
        <f>IFERROR(HLOOKUP(H$2,[101]table_female_hkom2_inj.ill_X6!$A$1:$K$36,8,FALSE),0)</f>
        <v>0</v>
      </c>
      <c r="I3344">
        <f>IFERROR(HLOOKUP(I$2,[101]table_female_hkom2_inj.ill_X6!$A$1:$K$36,8,FALSE),0)</f>
        <v>0</v>
      </c>
      <c r="J3344">
        <f>IFERROR(HLOOKUP(J$2,[101]table_female_hkom2_inj.ill_X6!$A$1:$K$36,8,FALSE),0)</f>
        <v>0</v>
      </c>
      <c r="K3344">
        <f>IFERROR(HLOOKUP(K$2,[101]table_female_hkom2_inj.ill_X6!$A$1:$K$36,8,FALSE),0)</f>
        <v>0</v>
      </c>
      <c r="L3344">
        <f>IFERROR(HLOOKUP(L$2,[101]table_female_hkom2_inj.ill_X6!$A$1:$K$36,8,FALSE),0)</f>
        <v>0</v>
      </c>
      <c r="M3344">
        <f t="shared" si="1043"/>
        <v>0</v>
      </c>
      <c r="S3344" t="s">
        <v>76</v>
      </c>
      <c r="T3344" s="5">
        <f t="shared" si="1044"/>
        <v>0</v>
      </c>
      <c r="U3344" s="5">
        <f t="shared" si="1045"/>
        <v>0</v>
      </c>
      <c r="V3344" s="5">
        <f t="shared" si="1046"/>
        <v>3.0303030303030304E-2</v>
      </c>
      <c r="W3344" s="5">
        <f t="shared" si="1047"/>
        <v>0</v>
      </c>
      <c r="X3344" s="5">
        <f t="shared" si="1048"/>
        <v>0</v>
      </c>
      <c r="Y3344" s="5">
        <f t="shared" si="1049"/>
        <v>0</v>
      </c>
      <c r="Z3344" s="5">
        <f t="shared" si="1050"/>
        <v>0</v>
      </c>
      <c r="AA3344" s="5">
        <f t="shared" si="1051"/>
        <v>0</v>
      </c>
      <c r="AB3344" s="5">
        <f t="shared" si="1041"/>
        <v>3.0303030303030304E-2</v>
      </c>
    </row>
    <row r="3345" spans="4:28" x14ac:dyDescent="0.25">
      <c r="D3345" t="s">
        <v>77</v>
      </c>
      <c r="E3345" s="14"/>
      <c r="F3345" s="14"/>
      <c r="G3345">
        <f>IFERROR(HLOOKUP(G$2,[101]table_female_hkom2_inj.ill_X6!$A$1:$K$36,9,FALSE),0)</f>
        <v>0</v>
      </c>
      <c r="H3345">
        <f>IFERROR(HLOOKUP(H$2,[101]table_female_hkom2_inj.ill_X6!$A$1:$K$36,9,FALSE),0)</f>
        <v>0</v>
      </c>
      <c r="I3345">
        <f>IFERROR(HLOOKUP(I$2,[101]table_female_hkom2_inj.ill_X6!$A$1:$K$36,9,FALSE),0)</f>
        <v>0</v>
      </c>
      <c r="J3345">
        <f>IFERROR(HLOOKUP(J$2,[101]table_female_hkom2_inj.ill_X6!$A$1:$K$36,9,FALSE),0)</f>
        <v>0</v>
      </c>
      <c r="K3345">
        <f>IFERROR(HLOOKUP(K$2,[101]table_female_hkom2_inj.ill_X6!$A$1:$K$36,9,FALSE),0)</f>
        <v>0</v>
      </c>
      <c r="L3345">
        <f>IFERROR(HLOOKUP(L$2,[101]table_female_hkom2_inj.ill_X6!$A$1:$K$36,9,FALSE),0)</f>
        <v>0</v>
      </c>
      <c r="M3345">
        <f t="shared" si="1043"/>
        <v>0</v>
      </c>
      <c r="S3345" t="s">
        <v>77</v>
      </c>
      <c r="T3345" s="5">
        <f t="shared" si="1044"/>
        <v>0</v>
      </c>
      <c r="U3345" s="5">
        <f t="shared" si="1045"/>
        <v>0</v>
      </c>
      <c r="V3345" s="5">
        <f t="shared" si="1046"/>
        <v>3.0303030303030304E-2</v>
      </c>
      <c r="W3345" s="5">
        <f t="shared" si="1047"/>
        <v>0</v>
      </c>
      <c r="X3345" s="5">
        <f t="shared" si="1048"/>
        <v>0</v>
      </c>
      <c r="Y3345" s="5">
        <f t="shared" si="1049"/>
        <v>0</v>
      </c>
      <c r="Z3345" s="5">
        <f t="shared" si="1050"/>
        <v>0</v>
      </c>
      <c r="AA3345" s="5">
        <f t="shared" si="1051"/>
        <v>0</v>
      </c>
      <c r="AB3345" s="5">
        <f t="shared" si="1041"/>
        <v>3.0303030303030304E-2</v>
      </c>
    </row>
    <row r="3346" spans="4:28" x14ac:dyDescent="0.25">
      <c r="D3346" t="s">
        <v>78</v>
      </c>
      <c r="E3346" s="14"/>
      <c r="F3346" s="14"/>
      <c r="G3346">
        <f>IFERROR(HLOOKUP(G$2,[101]table_female_hkom2_inj.ill_X6!$A$1:$K$36,10,FALSE),0)</f>
        <v>0</v>
      </c>
      <c r="H3346">
        <f>IFERROR(HLOOKUP(H$2,[101]table_female_hkom2_inj.ill_X6!$A$1:$K$36,10,FALSE),0)</f>
        <v>0</v>
      </c>
      <c r="I3346">
        <f>IFERROR(HLOOKUP(I$2,[101]table_female_hkom2_inj.ill_X6!$A$1:$K$36,10,FALSE),0)</f>
        <v>0</v>
      </c>
      <c r="J3346">
        <f>IFERROR(HLOOKUP(J$2,[101]table_female_hkom2_inj.ill_X6!$A$1:$K$36,10,FALSE),0)</f>
        <v>0</v>
      </c>
      <c r="K3346">
        <f>IFERROR(HLOOKUP(K$2,[101]table_female_hkom2_inj.ill_X6!$A$1:$K$36,10,FALSE),0)</f>
        <v>0</v>
      </c>
      <c r="L3346">
        <f>IFERROR(HLOOKUP(L$2,[101]table_female_hkom2_inj.ill_X6!$A$1:$K$36,10,FALSE),0)</f>
        <v>0</v>
      </c>
      <c r="M3346">
        <f t="shared" si="1043"/>
        <v>0</v>
      </c>
      <c r="S3346" t="s">
        <v>78</v>
      </c>
      <c r="T3346" s="5">
        <f t="shared" si="1044"/>
        <v>0</v>
      </c>
      <c r="U3346" s="5">
        <f t="shared" si="1045"/>
        <v>0</v>
      </c>
      <c r="V3346" s="5">
        <f t="shared" si="1046"/>
        <v>3.0303030303030304E-2</v>
      </c>
      <c r="W3346" s="5">
        <f t="shared" si="1047"/>
        <v>0</v>
      </c>
      <c r="X3346" s="5">
        <f t="shared" si="1048"/>
        <v>0</v>
      </c>
      <c r="Y3346" s="5">
        <f t="shared" si="1049"/>
        <v>0</v>
      </c>
      <c r="Z3346" s="5">
        <f t="shared" si="1050"/>
        <v>0</v>
      </c>
      <c r="AA3346" s="5">
        <f t="shared" si="1051"/>
        <v>0</v>
      </c>
      <c r="AB3346" s="5">
        <f t="shared" si="1041"/>
        <v>3.0303030303030304E-2</v>
      </c>
    </row>
    <row r="3347" spans="4:28" x14ac:dyDescent="0.25">
      <c r="D3347" t="s">
        <v>79</v>
      </c>
      <c r="E3347" s="14"/>
      <c r="F3347" s="14"/>
      <c r="G3347">
        <f>IFERROR(HLOOKUP(G$2,[101]table_female_hkom2_inj.ill_X6!$A$1:$K$36,11,FALSE),0)</f>
        <v>0</v>
      </c>
      <c r="H3347">
        <f>IFERROR(HLOOKUP(H$2,[101]table_female_hkom2_inj.ill_X6!$A$1:$K$36,11,FALSE),0)</f>
        <v>0</v>
      </c>
      <c r="I3347">
        <f>IFERROR(HLOOKUP(I$2,[101]table_female_hkom2_inj.ill_X6!$A$1:$K$36,11,FALSE),0)</f>
        <v>0</v>
      </c>
      <c r="J3347">
        <f>IFERROR(HLOOKUP(J$2,[101]table_female_hkom2_inj.ill_X6!$A$1:$K$36,11,FALSE),0)</f>
        <v>0</v>
      </c>
      <c r="K3347">
        <f>IFERROR(HLOOKUP(K$2,[101]table_female_hkom2_inj.ill_X6!$A$1:$K$36,11,FALSE),0)</f>
        <v>0</v>
      </c>
      <c r="L3347">
        <f>IFERROR(HLOOKUP(L$2,[101]table_female_hkom2_inj.ill_X6!$A$1:$K$36,11,FALSE),0)</f>
        <v>0</v>
      </c>
      <c r="M3347">
        <f t="shared" si="1043"/>
        <v>0</v>
      </c>
      <c r="S3347" t="s">
        <v>79</v>
      </c>
      <c r="T3347" s="5">
        <f t="shared" si="1044"/>
        <v>0</v>
      </c>
      <c r="U3347" s="5">
        <f t="shared" si="1045"/>
        <v>0</v>
      </c>
      <c r="V3347" s="5">
        <f t="shared" si="1046"/>
        <v>3.0303030303030304E-2</v>
      </c>
      <c r="W3347" s="5">
        <f t="shared" si="1047"/>
        <v>0</v>
      </c>
      <c r="X3347" s="5">
        <f t="shared" si="1048"/>
        <v>0</v>
      </c>
      <c r="Y3347" s="5">
        <f t="shared" si="1049"/>
        <v>0</v>
      </c>
      <c r="Z3347" s="5">
        <f t="shared" si="1050"/>
        <v>0</v>
      </c>
      <c r="AA3347" s="5">
        <f t="shared" si="1051"/>
        <v>0</v>
      </c>
      <c r="AB3347" s="5">
        <f t="shared" si="1041"/>
        <v>3.0303030303030304E-2</v>
      </c>
    </row>
    <row r="3348" spans="4:28" x14ac:dyDescent="0.25">
      <c r="D3348" t="s">
        <v>80</v>
      </c>
      <c r="E3348" s="14"/>
      <c r="F3348" s="14"/>
      <c r="G3348">
        <f>IFERROR(HLOOKUP(G$2,[101]table_female_hkom2_inj.ill_X6!$A$1:$K$36,12,FALSE),0)</f>
        <v>0</v>
      </c>
      <c r="H3348">
        <f>IFERROR(HLOOKUP(H$2,[101]table_female_hkom2_inj.ill_X6!$A$1:$K$36,12,FALSE),0)</f>
        <v>0</v>
      </c>
      <c r="I3348">
        <f>IFERROR(HLOOKUP(I$2,[101]table_female_hkom2_inj.ill_X6!$A$1:$K$36,12,FALSE),0)</f>
        <v>0</v>
      </c>
      <c r="J3348">
        <f>IFERROR(HLOOKUP(J$2,[101]table_female_hkom2_inj.ill_X6!$A$1:$K$36,12,FALSE),0)</f>
        <v>0</v>
      </c>
      <c r="K3348">
        <f>IFERROR(HLOOKUP(K$2,[101]table_female_hkom2_inj.ill_X6!$A$1:$K$36,12,FALSE),0)</f>
        <v>0</v>
      </c>
      <c r="L3348">
        <f>IFERROR(HLOOKUP(L$2,[101]table_female_hkom2_inj.ill_X6!$A$1:$K$36,12,FALSE),0)</f>
        <v>0</v>
      </c>
      <c r="M3348">
        <f t="shared" si="1043"/>
        <v>0</v>
      </c>
      <c r="S3348" t="s">
        <v>80</v>
      </c>
      <c r="T3348" s="5">
        <f t="shared" si="1044"/>
        <v>0</v>
      </c>
      <c r="U3348" s="5">
        <f t="shared" si="1045"/>
        <v>0</v>
      </c>
      <c r="V3348" s="5">
        <f t="shared" si="1046"/>
        <v>3.0303030303030304E-2</v>
      </c>
      <c r="W3348" s="5">
        <f t="shared" si="1047"/>
        <v>0</v>
      </c>
      <c r="X3348" s="5">
        <f t="shared" si="1048"/>
        <v>0</v>
      </c>
      <c r="Y3348" s="5">
        <f t="shared" si="1049"/>
        <v>0</v>
      </c>
      <c r="Z3348" s="5">
        <f t="shared" si="1050"/>
        <v>0</v>
      </c>
      <c r="AA3348" s="5">
        <f t="shared" si="1051"/>
        <v>0</v>
      </c>
      <c r="AB3348" s="5">
        <f t="shared" si="1041"/>
        <v>3.0303030303030304E-2</v>
      </c>
    </row>
    <row r="3349" spans="4:28" x14ac:dyDescent="0.25">
      <c r="D3349" t="s">
        <v>81</v>
      </c>
      <c r="E3349" s="14"/>
      <c r="F3349" s="14"/>
      <c r="G3349">
        <f>IFERROR(HLOOKUP(G$2,[101]table_female_hkom2_inj.ill_X6!$A$1:$K$36,13,FALSE),0)</f>
        <v>0</v>
      </c>
      <c r="H3349">
        <f>IFERROR(HLOOKUP(H$2,[101]table_female_hkom2_inj.ill_X6!$A$1:$K$36,13,FALSE),0)</f>
        <v>0</v>
      </c>
      <c r="I3349">
        <f>IFERROR(HLOOKUP(I$2,[101]table_female_hkom2_inj.ill_X6!$A$1:$K$36,13,FALSE),0)</f>
        <v>0</v>
      </c>
      <c r="J3349">
        <f>IFERROR(HLOOKUP(J$2,[101]table_female_hkom2_inj.ill_X6!$A$1:$K$36,13,FALSE),0)</f>
        <v>0</v>
      </c>
      <c r="K3349">
        <f>IFERROR(HLOOKUP(K$2,[101]table_female_hkom2_inj.ill_X6!$A$1:$K$36,13,FALSE),0)</f>
        <v>0</v>
      </c>
      <c r="L3349">
        <f>IFERROR(HLOOKUP(L$2,[101]table_female_hkom2_inj.ill_X6!$A$1:$K$36,13,FALSE),0)</f>
        <v>0</v>
      </c>
      <c r="M3349">
        <f t="shared" si="1043"/>
        <v>0</v>
      </c>
      <c r="S3349" t="s">
        <v>81</v>
      </c>
      <c r="T3349" s="5">
        <f t="shared" si="1044"/>
        <v>0</v>
      </c>
      <c r="U3349" s="5">
        <f t="shared" si="1045"/>
        <v>0</v>
      </c>
      <c r="V3349" s="5">
        <f t="shared" si="1046"/>
        <v>3.0303030303030304E-2</v>
      </c>
      <c r="W3349" s="5">
        <f t="shared" si="1047"/>
        <v>0</v>
      </c>
      <c r="X3349" s="5">
        <f t="shared" si="1048"/>
        <v>0</v>
      </c>
      <c r="Y3349" s="5">
        <f t="shared" si="1049"/>
        <v>0</v>
      </c>
      <c r="Z3349" s="5">
        <f t="shared" si="1050"/>
        <v>0</v>
      </c>
      <c r="AA3349" s="5">
        <f t="shared" si="1051"/>
        <v>0</v>
      </c>
      <c r="AB3349" s="5">
        <f t="shared" si="1041"/>
        <v>3.0303030303030304E-2</v>
      </c>
    </row>
    <row r="3350" spans="4:28" x14ac:dyDescent="0.25">
      <c r="D3350" t="s">
        <v>82</v>
      </c>
      <c r="E3350" s="14"/>
      <c r="F3350" s="14"/>
      <c r="G3350">
        <f>IFERROR(HLOOKUP(G$2,[101]table_female_hkom2_inj.ill_X6!$A$1:$K$36,14,FALSE),0)</f>
        <v>0</v>
      </c>
      <c r="H3350">
        <f>IFERROR(HLOOKUP(H$2,[101]table_female_hkom2_inj.ill_X6!$A$1:$K$36,14,FALSE),0)</f>
        <v>0</v>
      </c>
      <c r="I3350">
        <f>IFERROR(HLOOKUP(I$2,[101]table_female_hkom2_inj.ill_X6!$A$1:$K$36,14,FALSE),0)</f>
        <v>0</v>
      </c>
      <c r="J3350">
        <f>IFERROR(HLOOKUP(J$2,[101]table_female_hkom2_inj.ill_X6!$A$1:$K$36,14,FALSE),0)</f>
        <v>0</v>
      </c>
      <c r="K3350">
        <f>IFERROR(HLOOKUP(K$2,[101]table_female_hkom2_inj.ill_X6!$A$1:$K$36,14,FALSE),0)</f>
        <v>0</v>
      </c>
      <c r="L3350">
        <f>IFERROR(HLOOKUP(L$2,[101]table_female_hkom2_inj.ill_X6!$A$1:$K$36,14,FALSE),0)</f>
        <v>0</v>
      </c>
      <c r="M3350">
        <f t="shared" si="1043"/>
        <v>0</v>
      </c>
      <c r="S3350" t="s">
        <v>82</v>
      </c>
      <c r="T3350" s="5">
        <f t="shared" si="1044"/>
        <v>0</v>
      </c>
      <c r="U3350" s="5">
        <f t="shared" si="1045"/>
        <v>0</v>
      </c>
      <c r="V3350" s="5">
        <f t="shared" si="1046"/>
        <v>3.0303030303030304E-2</v>
      </c>
      <c r="W3350" s="5">
        <f t="shared" si="1047"/>
        <v>0</v>
      </c>
      <c r="X3350" s="5">
        <f t="shared" si="1048"/>
        <v>0</v>
      </c>
      <c r="Y3350" s="5">
        <f t="shared" si="1049"/>
        <v>0</v>
      </c>
      <c r="Z3350" s="5">
        <f t="shared" si="1050"/>
        <v>0</v>
      </c>
      <c r="AA3350" s="5">
        <f t="shared" si="1051"/>
        <v>0</v>
      </c>
      <c r="AB3350" s="5">
        <f t="shared" si="1041"/>
        <v>3.0303030303030304E-2</v>
      </c>
    </row>
    <row r="3351" spans="4:28" x14ac:dyDescent="0.25">
      <c r="D3351" t="s">
        <v>83</v>
      </c>
      <c r="E3351" s="14"/>
      <c r="F3351" s="14"/>
      <c r="G3351">
        <f>IFERROR(HLOOKUP(G$2,[101]table_female_hkom2_inj.ill_X6!$A$1:$K$36,15,FALSE),0)</f>
        <v>0</v>
      </c>
      <c r="H3351">
        <f>IFERROR(HLOOKUP(H$2,[101]table_female_hkom2_inj.ill_X6!$A$1:$K$36,15,FALSE),0)</f>
        <v>0</v>
      </c>
      <c r="I3351">
        <f>IFERROR(HLOOKUP(I$2,[101]table_female_hkom2_inj.ill_X6!$A$1:$K$36,15,FALSE),0)</f>
        <v>0</v>
      </c>
      <c r="J3351">
        <f>IFERROR(HLOOKUP(J$2,[101]table_female_hkom2_inj.ill_X6!$A$1:$K$36,15,FALSE),0)</f>
        <v>0</v>
      </c>
      <c r="K3351">
        <f>IFERROR(HLOOKUP(K$2,[101]table_female_hkom2_inj.ill_X6!$A$1:$K$36,15,FALSE),0)</f>
        <v>0</v>
      </c>
      <c r="L3351">
        <f>IFERROR(HLOOKUP(L$2,[101]table_female_hkom2_inj.ill_X6!$A$1:$K$36,15,FALSE),0)</f>
        <v>0</v>
      </c>
      <c r="M3351">
        <f t="shared" si="1043"/>
        <v>0</v>
      </c>
      <c r="S3351" t="s">
        <v>83</v>
      </c>
      <c r="T3351" s="5">
        <f t="shared" si="1044"/>
        <v>0</v>
      </c>
      <c r="U3351" s="5">
        <f t="shared" si="1045"/>
        <v>0</v>
      </c>
      <c r="V3351" s="5">
        <f t="shared" si="1046"/>
        <v>3.0303030303030304E-2</v>
      </c>
      <c r="W3351" s="5">
        <f t="shared" si="1047"/>
        <v>0</v>
      </c>
      <c r="X3351" s="5">
        <f t="shared" si="1048"/>
        <v>0</v>
      </c>
      <c r="Y3351" s="5">
        <f t="shared" si="1049"/>
        <v>0</v>
      </c>
      <c r="Z3351" s="5">
        <f t="shared" si="1050"/>
        <v>0</v>
      </c>
      <c r="AA3351" s="5">
        <f t="shared" si="1051"/>
        <v>0</v>
      </c>
      <c r="AB3351" s="5">
        <f t="shared" si="1041"/>
        <v>3.0303030303030304E-2</v>
      </c>
    </row>
    <row r="3352" spans="4:28" x14ac:dyDescent="0.25">
      <c r="D3352" t="s">
        <v>84</v>
      </c>
      <c r="E3352" s="14"/>
      <c r="F3352" s="14"/>
      <c r="G3352">
        <f>IFERROR(HLOOKUP(G$2,[101]table_female_hkom2_inj.ill_X6!$A$1:$K$36,16,FALSE),0)</f>
        <v>0</v>
      </c>
      <c r="H3352">
        <f>IFERROR(HLOOKUP(H$2,[101]table_female_hkom2_inj.ill_X6!$A$1:$K$36,16,FALSE),0)</f>
        <v>0</v>
      </c>
      <c r="I3352">
        <f>IFERROR(HLOOKUP(I$2,[101]table_female_hkom2_inj.ill_X6!$A$1:$K$36,16,FALSE),0)</f>
        <v>0</v>
      </c>
      <c r="J3352">
        <f>IFERROR(HLOOKUP(J$2,[101]table_female_hkom2_inj.ill_X6!$A$1:$K$36,16,FALSE),0)</f>
        <v>0</v>
      </c>
      <c r="K3352">
        <f>IFERROR(HLOOKUP(K$2,[101]table_female_hkom2_inj.ill_X6!$A$1:$K$36,16,FALSE),0)</f>
        <v>0</v>
      </c>
      <c r="L3352">
        <f>IFERROR(HLOOKUP(L$2,[101]table_female_hkom2_inj.ill_X6!$A$1:$K$36,16,FALSE),0)</f>
        <v>0</v>
      </c>
      <c r="M3352">
        <f t="shared" si="1043"/>
        <v>0</v>
      </c>
      <c r="S3352" t="s">
        <v>84</v>
      </c>
      <c r="T3352" s="5">
        <f t="shared" si="1044"/>
        <v>0</v>
      </c>
      <c r="U3352" s="5">
        <f t="shared" si="1045"/>
        <v>0</v>
      </c>
      <c r="V3352" s="5">
        <f t="shared" si="1046"/>
        <v>3.0303030303030304E-2</v>
      </c>
      <c r="W3352" s="5">
        <f t="shared" si="1047"/>
        <v>0</v>
      </c>
      <c r="X3352" s="5">
        <f t="shared" si="1048"/>
        <v>0</v>
      </c>
      <c r="Y3352" s="5">
        <f t="shared" si="1049"/>
        <v>0</v>
      </c>
      <c r="Z3352" s="5">
        <f t="shared" si="1050"/>
        <v>0</v>
      </c>
      <c r="AA3352" s="5">
        <f t="shared" si="1051"/>
        <v>0</v>
      </c>
      <c r="AB3352" s="5">
        <f t="shared" si="1041"/>
        <v>3.0303030303030304E-2</v>
      </c>
    </row>
    <row r="3353" spans="4:28" x14ac:dyDescent="0.25">
      <c r="D3353" t="s">
        <v>85</v>
      </c>
      <c r="E3353" s="14"/>
      <c r="F3353" s="14"/>
      <c r="G3353">
        <f>IFERROR(HLOOKUP(G$2,[101]table_female_hkom2_inj.ill_X6!$A$1:$K$36,17,FALSE),0)</f>
        <v>0</v>
      </c>
      <c r="H3353">
        <f>IFERROR(HLOOKUP(H$2,[101]table_female_hkom2_inj.ill_X6!$A$1:$K$36,17,FALSE),0)</f>
        <v>0</v>
      </c>
      <c r="I3353">
        <f>IFERROR(HLOOKUP(I$2,[101]table_female_hkom2_inj.ill_X6!$A$1:$K$36,17,FALSE),0)</f>
        <v>0</v>
      </c>
      <c r="J3353">
        <f>IFERROR(HLOOKUP(J$2,[101]table_female_hkom2_inj.ill_X6!$A$1:$K$36,17,FALSE),0)</f>
        <v>0</v>
      </c>
      <c r="K3353">
        <f>IFERROR(HLOOKUP(K$2,[101]table_female_hkom2_inj.ill_X6!$A$1:$K$36,17,FALSE),0)</f>
        <v>0</v>
      </c>
      <c r="L3353">
        <f>IFERROR(HLOOKUP(L$2,[101]table_female_hkom2_inj.ill_X6!$A$1:$K$36,17,FALSE),0)</f>
        <v>0</v>
      </c>
      <c r="M3353">
        <f t="shared" si="1043"/>
        <v>0</v>
      </c>
      <c r="S3353" t="s">
        <v>85</v>
      </c>
      <c r="T3353" s="5">
        <f t="shared" si="1044"/>
        <v>0</v>
      </c>
      <c r="U3353" s="5">
        <f t="shared" si="1045"/>
        <v>0</v>
      </c>
      <c r="V3353" s="5">
        <f t="shared" si="1046"/>
        <v>3.0303030303030304E-2</v>
      </c>
      <c r="W3353" s="5">
        <f t="shared" si="1047"/>
        <v>0</v>
      </c>
      <c r="X3353" s="5">
        <f t="shared" si="1048"/>
        <v>0</v>
      </c>
      <c r="Y3353" s="5">
        <f t="shared" si="1049"/>
        <v>0</v>
      </c>
      <c r="Z3353" s="5">
        <f t="shared" si="1050"/>
        <v>0</v>
      </c>
      <c r="AA3353" s="5">
        <f t="shared" si="1051"/>
        <v>0</v>
      </c>
      <c r="AB3353" s="5">
        <f t="shared" si="1041"/>
        <v>3.0303030303030304E-2</v>
      </c>
    </row>
    <row r="3354" spans="4:28" x14ac:dyDescent="0.25">
      <c r="D3354" t="s">
        <v>86</v>
      </c>
      <c r="E3354" s="14"/>
      <c r="F3354" s="14"/>
      <c r="G3354">
        <f>IFERROR(HLOOKUP(G$2,[101]table_female_hkom2_inj.ill_X6!$A$1:$K$36,18,FALSE),0)</f>
        <v>0</v>
      </c>
      <c r="H3354">
        <f>IFERROR(HLOOKUP(H$2,[101]table_female_hkom2_inj.ill_X6!$A$1:$K$36,18,FALSE),0)</f>
        <v>0</v>
      </c>
      <c r="I3354">
        <f>IFERROR(HLOOKUP(I$2,[101]table_female_hkom2_inj.ill_X6!$A$1:$K$36,18,FALSE),0)</f>
        <v>0</v>
      </c>
      <c r="J3354">
        <f>IFERROR(HLOOKUP(J$2,[101]table_female_hkom2_inj.ill_X6!$A$1:$K$36,18,FALSE),0)</f>
        <v>0</v>
      </c>
      <c r="K3354">
        <f>IFERROR(HLOOKUP(K$2,[101]table_female_hkom2_inj.ill_X6!$A$1:$K$36,18,FALSE),0)</f>
        <v>0</v>
      </c>
      <c r="L3354">
        <f>IFERROR(HLOOKUP(L$2,[101]table_female_hkom2_inj.ill_X6!$A$1:$K$36,18,FALSE),0)</f>
        <v>0</v>
      </c>
      <c r="M3354">
        <f t="shared" si="1043"/>
        <v>0</v>
      </c>
      <c r="S3354" t="s">
        <v>86</v>
      </c>
      <c r="T3354" s="5">
        <f t="shared" si="1044"/>
        <v>0</v>
      </c>
      <c r="U3354" s="5">
        <f t="shared" si="1045"/>
        <v>0</v>
      </c>
      <c r="V3354" s="5">
        <f t="shared" si="1046"/>
        <v>3.0303030303030304E-2</v>
      </c>
      <c r="W3354" s="5">
        <f t="shared" si="1047"/>
        <v>0</v>
      </c>
      <c r="X3354" s="5">
        <f t="shared" si="1048"/>
        <v>0</v>
      </c>
      <c r="Y3354" s="5">
        <f t="shared" si="1049"/>
        <v>0</v>
      </c>
      <c r="Z3354" s="5">
        <f t="shared" si="1050"/>
        <v>0</v>
      </c>
      <c r="AA3354" s="5">
        <f t="shared" si="1051"/>
        <v>0</v>
      </c>
      <c r="AB3354" s="5">
        <f t="shared" si="1041"/>
        <v>3.0303030303030304E-2</v>
      </c>
    </row>
    <row r="3355" spans="4:28" x14ac:dyDescent="0.25">
      <c r="D3355" t="s">
        <v>87</v>
      </c>
      <c r="E3355" s="14"/>
      <c r="F3355" s="14"/>
      <c r="G3355">
        <f>IFERROR(HLOOKUP(G$2,[101]table_female_hkom2_inj.ill_X6!$A$1:$K$36,19,FALSE),0)</f>
        <v>0</v>
      </c>
      <c r="H3355">
        <f>IFERROR(HLOOKUP(H$2,[101]table_female_hkom2_inj.ill_X6!$A$1:$K$36,19,FALSE),0)</f>
        <v>0</v>
      </c>
      <c r="I3355">
        <f>IFERROR(HLOOKUP(I$2,[101]table_female_hkom2_inj.ill_X6!$A$1:$K$36,19,FALSE),0)</f>
        <v>0</v>
      </c>
      <c r="J3355">
        <f>IFERROR(HLOOKUP(J$2,[101]table_female_hkom2_inj.ill_X6!$A$1:$K$36,19,FALSE),0)</f>
        <v>0</v>
      </c>
      <c r="K3355">
        <f>IFERROR(HLOOKUP(K$2,[101]table_female_hkom2_inj.ill_X6!$A$1:$K$36,19,FALSE),0)</f>
        <v>0</v>
      </c>
      <c r="L3355">
        <f>IFERROR(HLOOKUP(L$2,[101]table_female_hkom2_inj.ill_X6!$A$1:$K$36,19,FALSE),0)</f>
        <v>0</v>
      </c>
      <c r="M3355">
        <f t="shared" si="1043"/>
        <v>0</v>
      </c>
      <c r="S3355" t="s">
        <v>87</v>
      </c>
      <c r="T3355" s="5">
        <f t="shared" si="1044"/>
        <v>0</v>
      </c>
      <c r="U3355" s="5">
        <f t="shared" si="1045"/>
        <v>0</v>
      </c>
      <c r="V3355" s="5">
        <f t="shared" si="1046"/>
        <v>3.0303030303030304E-2</v>
      </c>
      <c r="W3355" s="5">
        <f t="shared" si="1047"/>
        <v>0</v>
      </c>
      <c r="X3355" s="5">
        <f t="shared" si="1048"/>
        <v>0</v>
      </c>
      <c r="Y3355" s="5">
        <f t="shared" si="1049"/>
        <v>0</v>
      </c>
      <c r="Z3355" s="5">
        <f t="shared" si="1050"/>
        <v>0</v>
      </c>
      <c r="AA3355" s="5">
        <f t="shared" si="1051"/>
        <v>0</v>
      </c>
      <c r="AB3355" s="5">
        <f t="shared" si="1041"/>
        <v>3.0303030303030304E-2</v>
      </c>
    </row>
    <row r="3356" spans="4:28" x14ac:dyDescent="0.25">
      <c r="D3356" t="s">
        <v>88</v>
      </c>
      <c r="E3356" s="14"/>
      <c r="F3356" s="14"/>
      <c r="G3356">
        <f>IFERROR(HLOOKUP(G$2,[101]table_female_hkom2_inj.ill_X6!$A$1:$K$36,20,FALSE),0)</f>
        <v>0</v>
      </c>
      <c r="H3356">
        <f>IFERROR(HLOOKUP(H$2,[101]table_female_hkom2_inj.ill_X6!$A$1:$K$36,20,FALSE),0)</f>
        <v>0</v>
      </c>
      <c r="I3356">
        <f>IFERROR(HLOOKUP(I$2,[101]table_female_hkom2_inj.ill_X6!$A$1:$K$36,20,FALSE),0)</f>
        <v>0</v>
      </c>
      <c r="J3356">
        <f>IFERROR(HLOOKUP(J$2,[101]table_female_hkom2_inj.ill_X6!$A$1:$K$36,20,FALSE),0)</f>
        <v>0</v>
      </c>
      <c r="K3356">
        <f>IFERROR(HLOOKUP(K$2,[101]table_female_hkom2_inj.ill_X6!$A$1:$K$36,20,FALSE),0)</f>
        <v>0</v>
      </c>
      <c r="L3356">
        <f>IFERROR(HLOOKUP(L$2,[101]table_female_hkom2_inj.ill_X6!$A$1:$K$36,20,FALSE),0)</f>
        <v>0</v>
      </c>
      <c r="M3356">
        <f t="shared" si="1043"/>
        <v>0</v>
      </c>
      <c r="S3356" t="s">
        <v>88</v>
      </c>
      <c r="T3356" s="5">
        <f t="shared" si="1044"/>
        <v>0</v>
      </c>
      <c r="U3356" s="5">
        <f t="shared" si="1045"/>
        <v>0</v>
      </c>
      <c r="V3356" s="5">
        <f t="shared" si="1046"/>
        <v>3.0303030303030304E-2</v>
      </c>
      <c r="W3356" s="5">
        <f t="shared" si="1047"/>
        <v>0</v>
      </c>
      <c r="X3356" s="5">
        <f t="shared" si="1048"/>
        <v>0</v>
      </c>
      <c r="Y3356" s="5">
        <f t="shared" si="1049"/>
        <v>0</v>
      </c>
      <c r="Z3356" s="5">
        <f t="shared" si="1050"/>
        <v>0</v>
      </c>
      <c r="AA3356" s="5">
        <f t="shared" si="1051"/>
        <v>0</v>
      </c>
      <c r="AB3356" s="5">
        <f t="shared" si="1041"/>
        <v>3.0303030303030304E-2</v>
      </c>
    </row>
    <row r="3357" spans="4:28" x14ac:dyDescent="0.25">
      <c r="D3357" t="s">
        <v>89</v>
      </c>
      <c r="E3357" s="14"/>
      <c r="F3357" s="14"/>
      <c r="G3357">
        <f>IFERROR(HLOOKUP(G$2,[101]table_female_hkom2_inj.ill_X6!$A$1:$K$36,21,FALSE),0)</f>
        <v>0</v>
      </c>
      <c r="H3357">
        <f>IFERROR(HLOOKUP(H$2,[101]table_female_hkom2_inj.ill_X6!$A$1:$K$36,21,FALSE),0)</f>
        <v>0</v>
      </c>
      <c r="I3357">
        <f>IFERROR(HLOOKUP(I$2,[101]table_female_hkom2_inj.ill_X6!$A$1:$K$36,21,FALSE),0)</f>
        <v>0</v>
      </c>
      <c r="J3357">
        <f>IFERROR(HLOOKUP(J$2,[101]table_female_hkom2_inj.ill_X6!$A$1:$K$36,21,FALSE),0)</f>
        <v>0</v>
      </c>
      <c r="K3357">
        <f>IFERROR(HLOOKUP(K$2,[101]table_female_hkom2_inj.ill_X6!$A$1:$K$36,21,FALSE),0)</f>
        <v>0</v>
      </c>
      <c r="L3357">
        <f>IFERROR(HLOOKUP(L$2,[101]table_female_hkom2_inj.ill_X6!$A$1:$K$36,21,FALSE),0)</f>
        <v>0</v>
      </c>
      <c r="M3357">
        <f t="shared" si="1043"/>
        <v>0</v>
      </c>
      <c r="S3357" t="s">
        <v>89</v>
      </c>
      <c r="T3357" s="5">
        <f t="shared" si="1044"/>
        <v>0</v>
      </c>
      <c r="U3357" s="5">
        <f t="shared" si="1045"/>
        <v>0</v>
      </c>
      <c r="V3357" s="5">
        <f t="shared" si="1046"/>
        <v>3.0303030303030304E-2</v>
      </c>
      <c r="W3357" s="5">
        <f t="shared" si="1047"/>
        <v>0</v>
      </c>
      <c r="X3357" s="5">
        <f t="shared" si="1048"/>
        <v>0</v>
      </c>
      <c r="Y3357" s="5">
        <f t="shared" si="1049"/>
        <v>0</v>
      </c>
      <c r="Z3357" s="5">
        <f t="shared" si="1050"/>
        <v>0</v>
      </c>
      <c r="AA3357" s="5">
        <f t="shared" si="1051"/>
        <v>0</v>
      </c>
      <c r="AB3357" s="5">
        <f t="shared" si="1041"/>
        <v>3.0303030303030304E-2</v>
      </c>
    </row>
    <row r="3358" spans="4:28" x14ac:dyDescent="0.25">
      <c r="D3358" t="s">
        <v>90</v>
      </c>
      <c r="E3358" s="14"/>
      <c r="F3358" s="14"/>
      <c r="G3358">
        <f>IFERROR(HLOOKUP(G$2,[101]table_female_hkom2_inj.ill_X6!$A$1:$K$36,22,FALSE),0)</f>
        <v>0</v>
      </c>
      <c r="H3358">
        <f>IFERROR(HLOOKUP(H$2,[101]table_female_hkom2_inj.ill_X6!$A$1:$K$36,22,FALSE),0)</f>
        <v>0</v>
      </c>
      <c r="I3358">
        <f>IFERROR(HLOOKUP(I$2,[101]table_female_hkom2_inj.ill_X6!$A$1:$K$36,22,FALSE),0)</f>
        <v>0</v>
      </c>
      <c r="J3358">
        <f>IFERROR(HLOOKUP(J$2,[101]table_female_hkom2_inj.ill_X6!$A$1:$K$36,22,FALSE),0)</f>
        <v>0</v>
      </c>
      <c r="K3358">
        <f>IFERROR(HLOOKUP(K$2,[101]table_female_hkom2_inj.ill_X6!$A$1:$K$36,22,FALSE),0)</f>
        <v>0</v>
      </c>
      <c r="L3358">
        <f>IFERROR(HLOOKUP(L$2,[101]table_female_hkom2_inj.ill_X6!$A$1:$K$36,22,FALSE),0)</f>
        <v>0</v>
      </c>
      <c r="M3358">
        <f t="shared" si="1043"/>
        <v>0</v>
      </c>
      <c r="S3358" t="s">
        <v>90</v>
      </c>
      <c r="T3358" s="5">
        <f t="shared" si="1044"/>
        <v>0</v>
      </c>
      <c r="U3358" s="5">
        <f t="shared" si="1045"/>
        <v>0</v>
      </c>
      <c r="V3358" s="5">
        <f t="shared" si="1046"/>
        <v>3.0303030303030304E-2</v>
      </c>
      <c r="W3358" s="5">
        <f t="shared" si="1047"/>
        <v>0</v>
      </c>
      <c r="X3358" s="5">
        <f t="shared" si="1048"/>
        <v>0</v>
      </c>
      <c r="Y3358" s="5">
        <f t="shared" si="1049"/>
        <v>0</v>
      </c>
      <c r="Z3358" s="5">
        <f t="shared" si="1050"/>
        <v>0</v>
      </c>
      <c r="AA3358" s="5">
        <f t="shared" si="1051"/>
        <v>0</v>
      </c>
      <c r="AB3358" s="5">
        <f t="shared" si="1041"/>
        <v>3.0303030303030304E-2</v>
      </c>
    </row>
    <row r="3359" spans="4:28" x14ac:dyDescent="0.25">
      <c r="D3359" t="s">
        <v>91</v>
      </c>
      <c r="E3359" s="14"/>
      <c r="F3359" s="14"/>
      <c r="G3359">
        <f>IFERROR(HLOOKUP(G$2,[101]table_female_hkom2_inj.ill_X6!$A$1:$K$36,23,FALSE),0)</f>
        <v>0</v>
      </c>
      <c r="H3359">
        <f>IFERROR(HLOOKUP(H$2,[101]table_female_hkom2_inj.ill_X6!$A$1:$K$36,23,FALSE),0)</f>
        <v>0</v>
      </c>
      <c r="I3359">
        <f>IFERROR(HLOOKUP(I$2,[101]table_female_hkom2_inj.ill_X6!$A$1:$K$36,23,FALSE),0)</f>
        <v>0</v>
      </c>
      <c r="J3359">
        <f>IFERROR(HLOOKUP(J$2,[101]table_female_hkom2_inj.ill_X6!$A$1:$K$36,23,FALSE),0)</f>
        <v>0</v>
      </c>
      <c r="K3359">
        <f>IFERROR(HLOOKUP(K$2,[101]table_female_hkom2_inj.ill_X6!$A$1:$K$36,23,FALSE),0)</f>
        <v>0</v>
      </c>
      <c r="L3359">
        <f>IFERROR(HLOOKUP(L$2,[101]table_female_hkom2_inj.ill_X6!$A$1:$K$36,23,FALSE),0)</f>
        <v>0</v>
      </c>
      <c r="M3359">
        <f t="shared" si="1043"/>
        <v>0</v>
      </c>
      <c r="S3359" t="s">
        <v>91</v>
      </c>
      <c r="T3359" s="5">
        <f t="shared" si="1044"/>
        <v>0</v>
      </c>
      <c r="U3359" s="5">
        <f t="shared" si="1045"/>
        <v>0</v>
      </c>
      <c r="V3359" s="5">
        <f t="shared" si="1046"/>
        <v>3.0303030303030304E-2</v>
      </c>
      <c r="W3359" s="5">
        <f t="shared" si="1047"/>
        <v>0</v>
      </c>
      <c r="X3359" s="5">
        <f t="shared" si="1048"/>
        <v>0</v>
      </c>
      <c r="Y3359" s="5">
        <f t="shared" si="1049"/>
        <v>0</v>
      </c>
      <c r="Z3359" s="5">
        <f t="shared" si="1050"/>
        <v>0</v>
      </c>
      <c r="AA3359" s="5">
        <f t="shared" si="1051"/>
        <v>0</v>
      </c>
      <c r="AB3359" s="5">
        <f t="shared" si="1041"/>
        <v>3.0303030303030304E-2</v>
      </c>
    </row>
    <row r="3360" spans="4:28" x14ac:dyDescent="0.25">
      <c r="D3360" t="s">
        <v>92</v>
      </c>
      <c r="E3360" s="14"/>
      <c r="F3360" s="14"/>
      <c r="G3360">
        <f>IFERROR(HLOOKUP(G$2,[101]table_female_hkom2_inj.ill_X6!$A$1:$K$36,24,FALSE),0)</f>
        <v>0</v>
      </c>
      <c r="H3360">
        <f>IFERROR(HLOOKUP(H$2,[101]table_female_hkom2_inj.ill_X6!$A$1:$K$36,24,FALSE),0)</f>
        <v>0</v>
      </c>
      <c r="I3360">
        <f>IFERROR(HLOOKUP(I$2,[101]table_female_hkom2_inj.ill_X6!$A$1:$K$36,24,FALSE),0)</f>
        <v>0</v>
      </c>
      <c r="J3360">
        <f>IFERROR(HLOOKUP(J$2,[101]table_female_hkom2_inj.ill_X6!$A$1:$K$36,24,FALSE),0)</f>
        <v>0</v>
      </c>
      <c r="K3360">
        <f>IFERROR(HLOOKUP(K$2,[101]table_female_hkom2_inj.ill_X6!$A$1:$K$36,24,FALSE),0)</f>
        <v>0</v>
      </c>
      <c r="L3360">
        <f>IFERROR(HLOOKUP(L$2,[101]table_female_hkom2_inj.ill_X6!$A$1:$K$36,24,FALSE),0)</f>
        <v>0</v>
      </c>
      <c r="M3360">
        <f t="shared" si="1043"/>
        <v>0</v>
      </c>
      <c r="S3360" t="s">
        <v>92</v>
      </c>
      <c r="T3360" s="5">
        <f t="shared" si="1044"/>
        <v>0</v>
      </c>
      <c r="U3360" s="5">
        <f t="shared" si="1045"/>
        <v>0</v>
      </c>
      <c r="V3360" s="5">
        <f t="shared" si="1046"/>
        <v>3.0303030303030304E-2</v>
      </c>
      <c r="W3360" s="5">
        <f t="shared" si="1047"/>
        <v>0</v>
      </c>
      <c r="X3360" s="5">
        <f t="shared" si="1048"/>
        <v>0</v>
      </c>
      <c r="Y3360" s="5">
        <f t="shared" si="1049"/>
        <v>0</v>
      </c>
      <c r="Z3360" s="5">
        <f t="shared" si="1050"/>
        <v>0</v>
      </c>
      <c r="AA3360" s="5">
        <f t="shared" si="1051"/>
        <v>0</v>
      </c>
      <c r="AB3360" s="5">
        <f t="shared" si="1041"/>
        <v>3.0303030303030304E-2</v>
      </c>
    </row>
    <row r="3361" spans="1:29" x14ac:dyDescent="0.25">
      <c r="D3361" t="s">
        <v>93</v>
      </c>
      <c r="E3361" s="14"/>
      <c r="F3361" s="14"/>
      <c r="G3361">
        <f>IFERROR(HLOOKUP(G$2,[101]table_female_hkom2_inj.ill_X6!$A$1:$K$36,25,FALSE),0)</f>
        <v>0</v>
      </c>
      <c r="H3361">
        <f>IFERROR(HLOOKUP(H$2,[101]table_female_hkom2_inj.ill_X6!$A$1:$K$36,25,FALSE),0)</f>
        <v>0</v>
      </c>
      <c r="I3361">
        <f>IFERROR(HLOOKUP(I$2,[101]table_female_hkom2_inj.ill_X6!$A$1:$K$36,25,FALSE),0)</f>
        <v>0</v>
      </c>
      <c r="J3361">
        <f>IFERROR(HLOOKUP(J$2,[101]table_female_hkom2_inj.ill_X6!$A$1:$K$36,25,FALSE),0)</f>
        <v>0</v>
      </c>
      <c r="K3361">
        <f>IFERROR(HLOOKUP(K$2,[101]table_female_hkom2_inj.ill_X6!$A$1:$K$36,25,FALSE),0)</f>
        <v>0</v>
      </c>
      <c r="L3361">
        <f>IFERROR(HLOOKUP(L$2,[101]table_female_hkom2_inj.ill_X6!$A$1:$K$36,25,FALSE),0)</f>
        <v>0</v>
      </c>
      <c r="M3361">
        <f t="shared" si="1043"/>
        <v>0</v>
      </c>
      <c r="S3361" t="s">
        <v>93</v>
      </c>
      <c r="T3361" s="5">
        <f t="shared" si="1044"/>
        <v>0</v>
      </c>
      <c r="U3361" s="5">
        <f t="shared" si="1045"/>
        <v>0</v>
      </c>
      <c r="V3361" s="5">
        <f t="shared" si="1046"/>
        <v>3.0303030303030304E-2</v>
      </c>
      <c r="W3361" s="5">
        <f t="shared" si="1047"/>
        <v>0</v>
      </c>
      <c r="X3361" s="5">
        <f t="shared" si="1048"/>
        <v>0</v>
      </c>
      <c r="Y3361" s="5">
        <f t="shared" si="1049"/>
        <v>0</v>
      </c>
      <c r="Z3361" s="5">
        <f t="shared" si="1050"/>
        <v>0</v>
      </c>
      <c r="AA3361" s="5">
        <f t="shared" si="1051"/>
        <v>0</v>
      </c>
      <c r="AB3361" s="5">
        <f t="shared" si="1041"/>
        <v>3.0303030303030304E-2</v>
      </c>
    </row>
    <row r="3362" spans="1:29" x14ac:dyDescent="0.25">
      <c r="D3362" t="s">
        <v>94</v>
      </c>
      <c r="E3362" s="14"/>
      <c r="F3362" s="14"/>
      <c r="G3362">
        <f>IFERROR(HLOOKUP(G$2,[101]table_female_hkom2_inj.ill_X6!$A$1:$K$36,26,FALSE),0)</f>
        <v>0</v>
      </c>
      <c r="H3362">
        <f>IFERROR(HLOOKUP(H$2,[101]table_female_hkom2_inj.ill_X6!$A$1:$K$36,26,FALSE),0)</f>
        <v>0</v>
      </c>
      <c r="I3362">
        <f>IFERROR(HLOOKUP(I$2,[101]table_female_hkom2_inj.ill_X6!$A$1:$K$36,26,FALSE),0)</f>
        <v>0</v>
      </c>
      <c r="J3362">
        <f>IFERROR(HLOOKUP(J$2,[101]table_female_hkom2_inj.ill_X6!$A$1:$K$36,26,FALSE),0)</f>
        <v>0</v>
      </c>
      <c r="K3362">
        <f>IFERROR(HLOOKUP(K$2,[101]table_female_hkom2_inj.ill_X6!$A$1:$K$36,26,FALSE),0)</f>
        <v>0</v>
      </c>
      <c r="L3362">
        <f>IFERROR(HLOOKUP(L$2,[101]table_female_hkom2_inj.ill_X6!$A$1:$K$36,26,FALSE),0)</f>
        <v>0</v>
      </c>
      <c r="M3362">
        <f t="shared" si="1043"/>
        <v>0</v>
      </c>
      <c r="S3362" t="s">
        <v>94</v>
      </c>
      <c r="T3362" s="5">
        <f t="shared" si="1044"/>
        <v>0</v>
      </c>
      <c r="U3362" s="5">
        <f t="shared" si="1045"/>
        <v>0</v>
      </c>
      <c r="V3362" s="5">
        <f t="shared" si="1046"/>
        <v>3.0303030303030304E-2</v>
      </c>
      <c r="W3362" s="5">
        <f t="shared" si="1047"/>
        <v>0</v>
      </c>
      <c r="X3362" s="5">
        <f t="shared" si="1048"/>
        <v>0</v>
      </c>
      <c r="Y3362" s="5">
        <f t="shared" si="1049"/>
        <v>0</v>
      </c>
      <c r="Z3362" s="5">
        <f t="shared" si="1050"/>
        <v>0</v>
      </c>
      <c r="AA3362" s="5">
        <f t="shared" si="1051"/>
        <v>0</v>
      </c>
      <c r="AB3362" s="5">
        <f t="shared" si="1041"/>
        <v>3.0303030303030304E-2</v>
      </c>
    </row>
    <row r="3363" spans="1:29" x14ac:dyDescent="0.25">
      <c r="D3363" t="s">
        <v>95</v>
      </c>
      <c r="E3363" s="14"/>
      <c r="F3363" s="14"/>
      <c r="G3363">
        <f>IFERROR(HLOOKUP(G$2,[101]table_female_hkom2_inj.ill_X6!$A$1:$K$36,27,FALSE),0)</f>
        <v>0</v>
      </c>
      <c r="H3363">
        <f>IFERROR(HLOOKUP(H$2,[101]table_female_hkom2_inj.ill_X6!$A$1:$K$36,27,FALSE),0)</f>
        <v>0</v>
      </c>
      <c r="I3363">
        <f>IFERROR(HLOOKUP(I$2,[101]table_female_hkom2_inj.ill_X6!$A$1:$K$36,27,FALSE),0)</f>
        <v>0</v>
      </c>
      <c r="J3363">
        <f>IFERROR(HLOOKUP(J$2,[101]table_female_hkom2_inj.ill_X6!$A$1:$K$36,27,FALSE),0)</f>
        <v>0</v>
      </c>
      <c r="K3363">
        <f>IFERROR(HLOOKUP(K$2,[101]table_female_hkom2_inj.ill_X6!$A$1:$K$36,27,FALSE),0)</f>
        <v>0</v>
      </c>
      <c r="L3363">
        <f>IFERROR(HLOOKUP(L$2,[101]table_female_hkom2_inj.ill_X6!$A$1:$K$36,27,FALSE),0)</f>
        <v>0</v>
      </c>
      <c r="M3363">
        <f t="shared" si="1043"/>
        <v>0</v>
      </c>
      <c r="S3363" t="s">
        <v>95</v>
      </c>
      <c r="T3363" s="5">
        <f t="shared" si="1044"/>
        <v>0</v>
      </c>
      <c r="U3363" s="5">
        <f t="shared" si="1045"/>
        <v>0</v>
      </c>
      <c r="V3363" s="5">
        <f t="shared" si="1046"/>
        <v>3.0303030303030304E-2</v>
      </c>
      <c r="W3363" s="5">
        <f t="shared" si="1047"/>
        <v>0</v>
      </c>
      <c r="X3363" s="5">
        <f t="shared" si="1048"/>
        <v>0</v>
      </c>
      <c r="Y3363" s="5">
        <f t="shared" si="1049"/>
        <v>0</v>
      </c>
      <c r="Z3363" s="5">
        <f t="shared" si="1050"/>
        <v>0</v>
      </c>
      <c r="AA3363" s="5">
        <f t="shared" si="1051"/>
        <v>0</v>
      </c>
      <c r="AB3363" s="5">
        <f t="shared" si="1041"/>
        <v>3.0303030303030304E-2</v>
      </c>
    </row>
    <row r="3364" spans="1:29" x14ac:dyDescent="0.25">
      <c r="D3364" t="s">
        <v>96</v>
      </c>
      <c r="E3364" s="14"/>
      <c r="F3364" s="14"/>
      <c r="G3364">
        <f>IFERROR(HLOOKUP(G$2,[101]table_female_hkom2_inj.ill_X6!$A$1:$K$36,28,FALSE),0)</f>
        <v>0</v>
      </c>
      <c r="H3364">
        <f>IFERROR(HLOOKUP(H$2,[101]table_female_hkom2_inj.ill_X6!$A$1:$K$36,28,FALSE),0)</f>
        <v>0</v>
      </c>
      <c r="I3364">
        <f>IFERROR(HLOOKUP(I$2,[101]table_female_hkom2_inj.ill_X6!$A$1:$K$36,28,FALSE),0)</f>
        <v>0</v>
      </c>
      <c r="J3364">
        <f>IFERROR(HLOOKUP(J$2,[101]table_female_hkom2_inj.ill_X6!$A$1:$K$36,28,FALSE),0)</f>
        <v>0</v>
      </c>
      <c r="K3364">
        <f>IFERROR(HLOOKUP(K$2,[101]table_female_hkom2_inj.ill_X6!$A$1:$K$36,28,FALSE),0)</f>
        <v>0</v>
      </c>
      <c r="L3364">
        <f>IFERROR(HLOOKUP(L$2,[101]table_female_hkom2_inj.ill_X6!$A$1:$K$36,28,FALSE),0)</f>
        <v>0</v>
      </c>
      <c r="M3364">
        <f t="shared" si="1043"/>
        <v>0</v>
      </c>
      <c r="S3364" t="s">
        <v>96</v>
      </c>
      <c r="T3364" s="5">
        <f t="shared" si="1044"/>
        <v>0</v>
      </c>
      <c r="U3364" s="5">
        <f t="shared" si="1045"/>
        <v>0</v>
      </c>
      <c r="V3364" s="5">
        <f t="shared" si="1046"/>
        <v>3.0303030303030304E-2</v>
      </c>
      <c r="W3364" s="5">
        <f t="shared" si="1047"/>
        <v>0</v>
      </c>
      <c r="X3364" s="5">
        <f t="shared" si="1048"/>
        <v>0</v>
      </c>
      <c r="Y3364" s="5">
        <f t="shared" si="1049"/>
        <v>0</v>
      </c>
      <c r="Z3364" s="5">
        <f t="shared" si="1050"/>
        <v>0</v>
      </c>
      <c r="AA3364" s="5">
        <f t="shared" si="1051"/>
        <v>0</v>
      </c>
      <c r="AB3364" s="5">
        <f t="shared" si="1041"/>
        <v>3.0303030303030304E-2</v>
      </c>
    </row>
    <row r="3365" spans="1:29" x14ac:dyDescent="0.25">
      <c r="D3365" t="s">
        <v>97</v>
      </c>
      <c r="E3365" s="14"/>
      <c r="F3365" s="14"/>
      <c r="G3365">
        <f>IFERROR(HLOOKUP(G$2,[101]table_female_hkom2_inj.ill_X6!$A$1:$K$36,29,FALSE),0)</f>
        <v>0</v>
      </c>
      <c r="H3365">
        <f>IFERROR(HLOOKUP(H$2,[101]table_female_hkom2_inj.ill_X6!$A$1:$K$36,29,FALSE),0)</f>
        <v>0</v>
      </c>
      <c r="I3365">
        <f>IFERROR(HLOOKUP(I$2,[101]table_female_hkom2_inj.ill_X6!$A$1:$K$36,29,FALSE),0)</f>
        <v>0</v>
      </c>
      <c r="J3365">
        <f>IFERROR(HLOOKUP(J$2,[101]table_female_hkom2_inj.ill_X6!$A$1:$K$36,29,FALSE),0)</f>
        <v>0</v>
      </c>
      <c r="K3365">
        <f>IFERROR(HLOOKUP(K$2,[101]table_female_hkom2_inj.ill_X6!$A$1:$K$36,29,FALSE),0)</f>
        <v>0</v>
      </c>
      <c r="L3365">
        <f>IFERROR(HLOOKUP(L$2,[101]table_female_hkom2_inj.ill_X6!$A$1:$K$36,29,FALSE),0)</f>
        <v>0</v>
      </c>
      <c r="M3365">
        <f t="shared" si="1043"/>
        <v>0</v>
      </c>
      <c r="S3365" t="s">
        <v>97</v>
      </c>
      <c r="T3365" s="5">
        <f t="shared" si="1044"/>
        <v>0</v>
      </c>
      <c r="U3365" s="5">
        <f t="shared" si="1045"/>
        <v>0</v>
      </c>
      <c r="V3365" s="5">
        <f t="shared" si="1046"/>
        <v>3.0303030303030304E-2</v>
      </c>
      <c r="W3365" s="5">
        <f t="shared" si="1047"/>
        <v>0</v>
      </c>
      <c r="X3365" s="5">
        <f t="shared" si="1048"/>
        <v>0</v>
      </c>
      <c r="Y3365" s="5">
        <f t="shared" si="1049"/>
        <v>0</v>
      </c>
      <c r="Z3365" s="5">
        <f t="shared" si="1050"/>
        <v>0</v>
      </c>
      <c r="AA3365" s="5">
        <f t="shared" si="1051"/>
        <v>0</v>
      </c>
      <c r="AB3365" s="5">
        <f t="shared" si="1041"/>
        <v>3.0303030303030304E-2</v>
      </c>
    </row>
    <row r="3366" spans="1:29" x14ac:dyDescent="0.25">
      <c r="D3366" t="s">
        <v>98</v>
      </c>
      <c r="E3366" s="14"/>
      <c r="F3366" s="14"/>
      <c r="G3366">
        <f>IFERROR(HLOOKUP(G$2,[101]table_female_hkom2_inj.ill_X6!$A$1:$K$36,30,FALSE),0)</f>
        <v>0</v>
      </c>
      <c r="H3366">
        <f>IFERROR(HLOOKUP(H$2,[101]table_female_hkom2_inj.ill_X6!$A$1:$K$36,30,FALSE),0)</f>
        <v>0</v>
      </c>
      <c r="I3366">
        <f>IFERROR(HLOOKUP(I$2,[101]table_female_hkom2_inj.ill_X6!$A$1:$K$36,30,FALSE),0)</f>
        <v>0</v>
      </c>
      <c r="J3366">
        <f>IFERROR(HLOOKUP(J$2,[101]table_female_hkom2_inj.ill_X6!$A$1:$K$36,30,FALSE),0)</f>
        <v>0</v>
      </c>
      <c r="K3366">
        <f>IFERROR(HLOOKUP(K$2,[101]table_female_hkom2_inj.ill_X6!$A$1:$K$36,30,FALSE),0)</f>
        <v>0</v>
      </c>
      <c r="L3366">
        <f>IFERROR(HLOOKUP(L$2,[101]table_female_hkom2_inj.ill_X6!$A$1:$K$36,30,FALSE),0)</f>
        <v>0</v>
      </c>
      <c r="M3366">
        <f t="shared" si="1043"/>
        <v>0</v>
      </c>
      <c r="S3366" t="s">
        <v>98</v>
      </c>
      <c r="T3366" s="5">
        <f t="shared" si="1044"/>
        <v>0</v>
      </c>
      <c r="U3366" s="5">
        <f t="shared" si="1045"/>
        <v>0</v>
      </c>
      <c r="V3366" s="5">
        <f t="shared" si="1046"/>
        <v>3.0303030303030304E-2</v>
      </c>
      <c r="W3366" s="5">
        <f t="shared" si="1047"/>
        <v>0</v>
      </c>
      <c r="X3366" s="5">
        <f t="shared" si="1048"/>
        <v>0</v>
      </c>
      <c r="Y3366" s="5">
        <f t="shared" si="1049"/>
        <v>0</v>
      </c>
      <c r="Z3366" s="5">
        <f t="shared" si="1050"/>
        <v>0</v>
      </c>
      <c r="AA3366" s="5">
        <f t="shared" si="1051"/>
        <v>0</v>
      </c>
      <c r="AB3366" s="5">
        <f t="shared" si="1041"/>
        <v>3.0303030303030304E-2</v>
      </c>
    </row>
    <row r="3367" spans="1:29" x14ac:dyDescent="0.25">
      <c r="D3367" t="s">
        <v>119</v>
      </c>
      <c r="E3367" s="14"/>
      <c r="F3367" s="14"/>
      <c r="G3367">
        <f>IFERROR(HLOOKUP(G$2,[101]table_female_hkom2_inj.ill_X6!$A$1:$K$36,31,FALSE),0)</f>
        <v>0</v>
      </c>
      <c r="H3367">
        <f>IFERROR(HLOOKUP(H$2,[101]table_female_hkom2_inj.ill_X6!$A$1:$K$36,31,FALSE),0)</f>
        <v>0</v>
      </c>
      <c r="I3367">
        <f>IFERROR(HLOOKUP(I$2,[101]table_female_hkom2_inj.ill_X6!$A$1:$K$36,31,FALSE),0)</f>
        <v>0</v>
      </c>
      <c r="J3367">
        <f>IFERROR(HLOOKUP(J$2,[101]table_female_hkom2_inj.ill_X6!$A$1:$K$36,31,FALSE),0)</f>
        <v>0</v>
      </c>
      <c r="K3367">
        <f>IFERROR(HLOOKUP(K$2,[101]table_female_hkom2_inj.ill_X6!$A$1:$K$36,31,FALSE),0)</f>
        <v>0</v>
      </c>
      <c r="L3367">
        <f>IFERROR(HLOOKUP(L$2,[101]table_female_hkom2_inj.ill_X6!$A$1:$K$36,31,FALSE),0)</f>
        <v>0</v>
      </c>
      <c r="M3367">
        <f t="shared" si="1043"/>
        <v>0</v>
      </c>
      <c r="S3367" t="s">
        <v>119</v>
      </c>
      <c r="T3367" s="5">
        <f t="shared" si="1044"/>
        <v>0</v>
      </c>
      <c r="U3367" s="5">
        <f t="shared" si="1045"/>
        <v>0</v>
      </c>
      <c r="V3367" s="5">
        <f t="shared" si="1046"/>
        <v>3.0303030303030304E-2</v>
      </c>
      <c r="W3367" s="5">
        <f t="shared" si="1047"/>
        <v>0</v>
      </c>
      <c r="X3367" s="5">
        <f t="shared" si="1048"/>
        <v>0</v>
      </c>
      <c r="Y3367" s="5">
        <f t="shared" si="1049"/>
        <v>0</v>
      </c>
      <c r="Z3367" s="5">
        <f t="shared" si="1050"/>
        <v>0</v>
      </c>
      <c r="AA3367" s="5">
        <f t="shared" si="1051"/>
        <v>0</v>
      </c>
      <c r="AB3367" s="5">
        <f t="shared" si="1041"/>
        <v>3.0303030303030304E-2</v>
      </c>
    </row>
    <row r="3368" spans="1:29" x14ac:dyDescent="0.25">
      <c r="D3368" t="s">
        <v>99</v>
      </c>
      <c r="E3368" s="14"/>
      <c r="F3368" s="14"/>
      <c r="G3368">
        <f>IFERROR(HLOOKUP(G$2,[101]table_female_hkom2_inj.ill_X6!$A$1:$K$36,32,FALSE),0)</f>
        <v>0</v>
      </c>
      <c r="H3368">
        <f>IFERROR(HLOOKUP(H$2,[101]table_female_hkom2_inj.ill_X6!$A$1:$K$36,32,FALSE),0)</f>
        <v>0</v>
      </c>
      <c r="I3368">
        <f>IFERROR(HLOOKUP(I$2,[101]table_female_hkom2_inj.ill_X6!$A$1:$K$36,32,FALSE),0)</f>
        <v>0</v>
      </c>
      <c r="J3368">
        <f>IFERROR(HLOOKUP(J$2,[101]table_female_hkom2_inj.ill_X6!$A$1:$K$36,32,FALSE),0)</f>
        <v>0</v>
      </c>
      <c r="K3368">
        <f>IFERROR(HLOOKUP(K$2,[101]table_female_hkom2_inj.ill_X6!$A$1:$K$36,32,FALSE),0)</f>
        <v>0</v>
      </c>
      <c r="L3368">
        <f>IFERROR(HLOOKUP(L$2,[101]table_female_hkom2_inj.ill_X6!$A$1:$K$36,32,FALSE),0)</f>
        <v>0</v>
      </c>
      <c r="M3368">
        <f t="shared" si="1043"/>
        <v>0</v>
      </c>
      <c r="S3368" t="s">
        <v>99</v>
      </c>
      <c r="T3368" s="5">
        <f t="shared" si="1044"/>
        <v>0</v>
      </c>
      <c r="U3368" s="5">
        <f t="shared" si="1045"/>
        <v>0</v>
      </c>
      <c r="V3368" s="5">
        <f t="shared" si="1046"/>
        <v>3.0303030303030304E-2</v>
      </c>
      <c r="W3368" s="5">
        <f t="shared" si="1047"/>
        <v>0</v>
      </c>
      <c r="X3368" s="5">
        <f t="shared" si="1048"/>
        <v>0</v>
      </c>
      <c r="Y3368" s="5">
        <f t="shared" si="1049"/>
        <v>0</v>
      </c>
      <c r="Z3368" s="5">
        <f t="shared" si="1050"/>
        <v>0</v>
      </c>
      <c r="AA3368" s="5">
        <f t="shared" si="1051"/>
        <v>0</v>
      </c>
      <c r="AB3368" s="5">
        <f t="shared" si="1041"/>
        <v>3.0303030303030304E-2</v>
      </c>
    </row>
    <row r="3369" spans="1:29" x14ac:dyDescent="0.25">
      <c r="D3369" t="s">
        <v>100</v>
      </c>
      <c r="E3369" s="14"/>
      <c r="F3369" s="14"/>
      <c r="G3369">
        <f>IFERROR(HLOOKUP(G$2,[101]table_female_hkom2_inj.ill_X6!$A$1:$K$36,33,FALSE),0)</f>
        <v>0</v>
      </c>
      <c r="H3369">
        <f>IFERROR(HLOOKUP(H$2,[101]table_female_hkom2_inj.ill_X6!$A$1:$K$36,33,FALSE),0)</f>
        <v>0</v>
      </c>
      <c r="I3369">
        <f>IFERROR(HLOOKUP(I$2,[101]table_female_hkom2_inj.ill_X6!$A$1:$K$36,33,FALSE),0)</f>
        <v>0</v>
      </c>
      <c r="J3369">
        <f>IFERROR(HLOOKUP(J$2,[101]table_female_hkom2_inj.ill_X6!$A$1:$K$36,33,FALSE),0)</f>
        <v>0</v>
      </c>
      <c r="K3369">
        <f>IFERROR(HLOOKUP(K$2,[101]table_female_hkom2_inj.ill_X6!$A$1:$K$36,33,FALSE),0)</f>
        <v>0</v>
      </c>
      <c r="L3369">
        <f>IFERROR(HLOOKUP(L$2,[101]table_female_hkom2_inj.ill_X6!$A$1:$K$36,33,FALSE),0)</f>
        <v>0</v>
      </c>
      <c r="M3369">
        <f t="shared" si="1043"/>
        <v>0</v>
      </c>
      <c r="S3369" t="s">
        <v>100</v>
      </c>
      <c r="T3369" s="5">
        <f t="shared" si="1044"/>
        <v>0</v>
      </c>
      <c r="U3369" s="5">
        <f t="shared" si="1045"/>
        <v>0</v>
      </c>
      <c r="V3369" s="5">
        <f t="shared" si="1046"/>
        <v>3.0303030303030304E-2</v>
      </c>
      <c r="W3369" s="5">
        <f t="shared" si="1047"/>
        <v>0</v>
      </c>
      <c r="X3369" s="5">
        <f t="shared" si="1048"/>
        <v>0</v>
      </c>
      <c r="Y3369" s="5">
        <f t="shared" si="1049"/>
        <v>0</v>
      </c>
      <c r="Z3369" s="5">
        <f t="shared" si="1050"/>
        <v>0</v>
      </c>
      <c r="AA3369" s="5">
        <f t="shared" si="1051"/>
        <v>0</v>
      </c>
      <c r="AB3369" s="5">
        <f t="shared" si="1041"/>
        <v>3.0303030303030304E-2</v>
      </c>
    </row>
    <row r="3370" spans="1:29" x14ac:dyDescent="0.25">
      <c r="D3370" t="s">
        <v>101</v>
      </c>
      <c r="E3370" s="14"/>
      <c r="F3370" s="14"/>
      <c r="G3370">
        <f>IFERROR(HLOOKUP(G$2,[101]table_female_hkom2_inj.ill_X6!$A$1:$K$36,34,FALSE),0)</f>
        <v>0</v>
      </c>
      <c r="H3370">
        <f>IFERROR(HLOOKUP(H$2,[101]table_female_hkom2_inj.ill_X6!$A$1:$K$36,34,FALSE),0)</f>
        <v>0</v>
      </c>
      <c r="I3370">
        <f>IFERROR(HLOOKUP(I$2,[101]table_female_hkom2_inj.ill_X6!$A$1:$K$36,34,FALSE),0)</f>
        <v>0</v>
      </c>
      <c r="J3370">
        <f>IFERROR(HLOOKUP(J$2,[101]table_female_hkom2_inj.ill_X6!$A$1:$K$36,34,FALSE),0)</f>
        <v>0</v>
      </c>
      <c r="K3370">
        <f>IFERROR(HLOOKUP(K$2,[101]table_female_hkom2_inj.ill_X6!$A$1:$K$36,34,FALSE),0)</f>
        <v>0</v>
      </c>
      <c r="L3370">
        <f>IFERROR(HLOOKUP(L$2,[101]table_female_hkom2_inj.ill_X6!$A$1:$K$36,34,FALSE),0)</f>
        <v>0</v>
      </c>
      <c r="M3370">
        <f t="shared" si="1043"/>
        <v>0</v>
      </c>
      <c r="S3370" t="s">
        <v>101</v>
      </c>
      <c r="T3370" s="5">
        <f t="shared" si="1044"/>
        <v>0</v>
      </c>
      <c r="U3370" s="5">
        <f t="shared" si="1045"/>
        <v>0</v>
      </c>
      <c r="V3370" s="5">
        <f t="shared" si="1046"/>
        <v>3.0303030303030304E-2</v>
      </c>
      <c r="W3370" s="5">
        <f t="shared" si="1047"/>
        <v>0</v>
      </c>
      <c r="X3370" s="5">
        <f t="shared" si="1048"/>
        <v>0</v>
      </c>
      <c r="Y3370" s="5">
        <f t="shared" si="1049"/>
        <v>0</v>
      </c>
      <c r="Z3370" s="5">
        <f t="shared" si="1050"/>
        <v>0</v>
      </c>
      <c r="AA3370" s="5">
        <f t="shared" si="1051"/>
        <v>0</v>
      </c>
      <c r="AB3370" s="5">
        <f t="shared" si="1041"/>
        <v>3.0303030303030304E-2</v>
      </c>
    </row>
    <row r="3371" spans="1:29" x14ac:dyDescent="0.25">
      <c r="D3371" t="s">
        <v>102</v>
      </c>
      <c r="E3371" s="14"/>
      <c r="F3371" s="14"/>
      <c r="G3371">
        <f>IFERROR(HLOOKUP(G$2,[101]table_female_hkom2_inj.ill_X6!$A$1:$K$36,35,FALSE),0)</f>
        <v>1</v>
      </c>
      <c r="H3371">
        <f>IFERROR(HLOOKUP(H$2,[101]table_female_hkom2_inj.ill_X6!$A$1:$K$36,35,FALSE),0)</f>
        <v>0</v>
      </c>
      <c r="I3371">
        <f>IFERROR(HLOOKUP(I$2,[101]table_female_hkom2_inj.ill_X6!$A$1:$K$36,35,FALSE),0)</f>
        <v>0</v>
      </c>
      <c r="J3371">
        <f>IFERROR(HLOOKUP(J$2,[101]table_female_hkom2_inj.ill_X6!$A$1:$K$36,35,FALSE),0)</f>
        <v>0</v>
      </c>
      <c r="K3371">
        <f>IFERROR(HLOOKUP(K$2,[101]table_female_hkom2_inj.ill_X6!$A$1:$K$36,35,FALSE),0)</f>
        <v>0</v>
      </c>
      <c r="L3371">
        <f>IFERROR(HLOOKUP(L$2,[101]table_female_hkom2_inj.ill_X6!$A$1:$K$36,35,FALSE),0)</f>
        <v>0</v>
      </c>
      <c r="M3371">
        <f t="shared" si="1043"/>
        <v>1</v>
      </c>
      <c r="N3371">
        <f>SUM(M3338:M3371)</f>
        <v>1</v>
      </c>
      <c r="O3371" s="8">
        <f>SUM([101]table_female_hkom2_inj.ill_X6!$B$2:$L$37)</f>
        <v>1</v>
      </c>
      <c r="S3371" t="s">
        <v>102</v>
      </c>
      <c r="T3371" s="7"/>
      <c r="U3371" s="7"/>
      <c r="V3371" s="7"/>
      <c r="W3371" s="7"/>
      <c r="X3371" s="7"/>
      <c r="Y3371" s="7"/>
      <c r="Z3371" s="7"/>
      <c r="AA3371" s="7"/>
      <c r="AB3371" s="5">
        <f t="shared" ref="AB3371" si="1052">SUM(T3371:AA3371)</f>
        <v>0</v>
      </c>
      <c r="AC3371" s="5">
        <f>SUM(AB3338:AB3370)</f>
        <v>0.99999999999999933</v>
      </c>
    </row>
    <row r="3372" spans="1:29" x14ac:dyDescent="0.25">
      <c r="A3372" t="s">
        <v>115</v>
      </c>
      <c r="B3372" t="s">
        <v>116</v>
      </c>
      <c r="C3372" t="s">
        <v>129</v>
      </c>
      <c r="D3372" t="s">
        <v>70</v>
      </c>
      <c r="E3372" s="14"/>
      <c r="F3372" s="14"/>
      <c r="G3372">
        <f>IFERROR(HLOOKUP(G$2,[102]table_female_hkom2_inj.ill_X7!$A$1:$K$36,2,FALSE),0)</f>
        <v>0</v>
      </c>
      <c r="H3372">
        <f>IFERROR(HLOOKUP(H$2,[102]table_female_hkom2_inj.ill_X7!$A$1:$K$36,2,FALSE),0)</f>
        <v>0</v>
      </c>
      <c r="I3372">
        <f>IFERROR(HLOOKUP(I$2,[102]table_female_hkom2_inj.ill_X7!$A$1:$K$36,2,FALSE),0)</f>
        <v>0</v>
      </c>
      <c r="J3372">
        <f>IFERROR(HLOOKUP(J$2,[102]table_female_hkom2_inj.ill_X7!$A$1:$K$36,2,FALSE),0)</f>
        <v>0</v>
      </c>
      <c r="K3372">
        <f>IFERROR(HLOOKUP(K$2,[102]table_female_hkom2_inj.ill_X7!$A$1:$K$36,2,FALSE),0)</f>
        <v>0</v>
      </c>
      <c r="L3372">
        <f>IFERROR(HLOOKUP(L$2,[102]table_female_hkom2_inj.ill_X7!$A$1:$K$36,2,FALSE),0)</f>
        <v>0</v>
      </c>
      <c r="M3372">
        <f>SUM(E3372:L3372)</f>
        <v>0</v>
      </c>
      <c r="P3372" t="s">
        <v>115</v>
      </c>
      <c r="Q3372" t="s">
        <v>116</v>
      </c>
      <c r="R3372" t="s">
        <v>129</v>
      </c>
      <c r="S3372" t="s">
        <v>70</v>
      </c>
      <c r="T3372" s="5">
        <f>IF(SUM(E$3372:E$3404)=0,E$3405/33,E3372+IFERROR(E3372/SUM(E$3372:E$3404)*E$3405,0))</f>
        <v>0</v>
      </c>
      <c r="U3372" s="5">
        <f t="shared" ref="U3372:AA3372" si="1053">IF(SUM(F$3372:F$3404)=0,F$3405/33,F3372+IFERROR(F3372/SUM(F$3372:F$3404)*F$3405,0))</f>
        <v>0</v>
      </c>
      <c r="V3372" s="5">
        <f t="shared" si="1053"/>
        <v>0</v>
      </c>
      <c r="W3372" s="5">
        <f t="shared" si="1053"/>
        <v>0</v>
      </c>
      <c r="X3372" s="5">
        <f t="shared" si="1053"/>
        <v>0</v>
      </c>
      <c r="Y3372" s="5">
        <f t="shared" si="1053"/>
        <v>0</v>
      </c>
      <c r="Z3372" s="5">
        <f t="shared" si="1053"/>
        <v>0</v>
      </c>
      <c r="AA3372" s="5">
        <f t="shared" si="1053"/>
        <v>0</v>
      </c>
      <c r="AB3372" s="5">
        <f t="shared" ref="AB3372:AB3434" si="1054">SUM(T3372:AA3372)</f>
        <v>0</v>
      </c>
    </row>
    <row r="3373" spans="1:29" x14ac:dyDescent="0.25">
      <c r="D3373" t="s">
        <v>71</v>
      </c>
      <c r="E3373" s="14"/>
      <c r="F3373" s="14"/>
      <c r="G3373">
        <f>IFERROR(HLOOKUP(G$2,[102]table_female_hkom2_inj.ill_X7!$A$1:$K$36,3,FALSE),0)</f>
        <v>0</v>
      </c>
      <c r="H3373">
        <f>IFERROR(HLOOKUP(H$2,[102]table_female_hkom2_inj.ill_X7!$A$1:$K$36,3,FALSE),0)</f>
        <v>0</v>
      </c>
      <c r="I3373">
        <f>IFERROR(HLOOKUP(I$2,[102]table_female_hkom2_inj.ill_X7!$A$1:$K$36,3,FALSE),0)</f>
        <v>0</v>
      </c>
      <c r="J3373">
        <f>IFERROR(HLOOKUP(J$2,[102]table_female_hkom2_inj.ill_X7!$A$1:$K$36,3,FALSE),0)</f>
        <v>0</v>
      </c>
      <c r="K3373">
        <f>IFERROR(HLOOKUP(K$2,[102]table_female_hkom2_inj.ill_X7!$A$1:$K$36,3,FALSE),0)</f>
        <v>0</v>
      </c>
      <c r="L3373">
        <f>IFERROR(HLOOKUP(L$2,[102]table_female_hkom2_inj.ill_X7!$A$1:$K$36,3,FALSE),0)</f>
        <v>0</v>
      </c>
      <c r="M3373">
        <f t="shared" ref="M3373:M3405" si="1055">SUM(E3373:L3373)</f>
        <v>0</v>
      </c>
      <c r="S3373" t="s">
        <v>71</v>
      </c>
      <c r="T3373" s="5">
        <f t="shared" ref="T3373:T3404" si="1056">IF(SUM(E$3372:E$3404)=0,E$3405/33,E3373+IFERROR(E3373/SUM(E$3372:E$3404)*E$3405,0))</f>
        <v>0</v>
      </c>
      <c r="U3373" s="5">
        <f t="shared" ref="U3373:U3404" si="1057">IF(SUM(F$3372:F$3404)=0,F$3405/33,F3373+IFERROR(F3373/SUM(F$3372:F$3404)*F$3405,0))</f>
        <v>0</v>
      </c>
      <c r="V3373" s="5">
        <f t="shared" ref="V3373:V3404" si="1058">IF(SUM(G$3372:G$3404)=0,G$3405/33,G3373+IFERROR(G3373/SUM(G$3372:G$3404)*G$3405,0))</f>
        <v>0</v>
      </c>
      <c r="W3373" s="5">
        <f t="shared" ref="W3373:W3404" si="1059">IF(SUM(H$3372:H$3404)=0,H$3405/33,H3373+IFERROR(H3373/SUM(H$3372:H$3404)*H$3405,0))</f>
        <v>0</v>
      </c>
      <c r="X3373" s="5">
        <f t="shared" ref="X3373:X3404" si="1060">IF(SUM(I$3372:I$3404)=0,I$3405/33,I3373+IFERROR(I3373/SUM(I$3372:I$3404)*I$3405,0))</f>
        <v>0</v>
      </c>
      <c r="Y3373" s="5">
        <f t="shared" ref="Y3373:Y3404" si="1061">IF(SUM(J$3372:J$3404)=0,J$3405/33,J3373+IFERROR(J3373/SUM(J$3372:J$3404)*J$3405,0))</f>
        <v>0</v>
      </c>
      <c r="Z3373" s="5">
        <f t="shared" ref="Z3373:Z3404" si="1062">IF(SUM(K$3372:K$3404)=0,K$3405/33,K3373+IFERROR(K3373/SUM(K$3372:K$3404)*K$3405,0))</f>
        <v>0</v>
      </c>
      <c r="AA3373" s="5">
        <f t="shared" ref="AA3373:AA3404" si="1063">IF(SUM(L$3372:L$3404)=0,L$3405/33,L3373+IFERROR(L3373/SUM(L$3372:L$3404)*L$3405,0))</f>
        <v>0</v>
      </c>
      <c r="AB3373" s="5">
        <f t="shared" si="1054"/>
        <v>0</v>
      </c>
    </row>
    <row r="3374" spans="1:29" x14ac:dyDescent="0.25">
      <c r="D3374" t="s">
        <v>72</v>
      </c>
      <c r="E3374" s="14"/>
      <c r="F3374" s="14"/>
      <c r="G3374">
        <f>IFERROR(HLOOKUP(G$2,[102]table_female_hkom2_inj.ill_X7!$A$1:$K$36,4,FALSE),0)</f>
        <v>0</v>
      </c>
      <c r="H3374">
        <f>IFERROR(HLOOKUP(H$2,[102]table_female_hkom2_inj.ill_X7!$A$1:$K$36,4,FALSE),0)</f>
        <v>0</v>
      </c>
      <c r="I3374">
        <f>IFERROR(HLOOKUP(I$2,[102]table_female_hkom2_inj.ill_X7!$A$1:$K$36,4,FALSE),0)</f>
        <v>0</v>
      </c>
      <c r="J3374">
        <f>IFERROR(HLOOKUP(J$2,[102]table_female_hkom2_inj.ill_X7!$A$1:$K$36,4,FALSE),0)</f>
        <v>0</v>
      </c>
      <c r="K3374">
        <f>IFERROR(HLOOKUP(K$2,[102]table_female_hkom2_inj.ill_X7!$A$1:$K$36,4,FALSE),0)</f>
        <v>0</v>
      </c>
      <c r="L3374">
        <f>IFERROR(HLOOKUP(L$2,[102]table_female_hkom2_inj.ill_X7!$A$1:$K$36,4,FALSE),0)</f>
        <v>0</v>
      </c>
      <c r="M3374">
        <f t="shared" si="1055"/>
        <v>0</v>
      </c>
      <c r="S3374" t="s">
        <v>72</v>
      </c>
      <c r="T3374" s="5">
        <f t="shared" si="1056"/>
        <v>0</v>
      </c>
      <c r="U3374" s="5">
        <f t="shared" si="1057"/>
        <v>0</v>
      </c>
      <c r="V3374" s="5">
        <f t="shared" si="1058"/>
        <v>0</v>
      </c>
      <c r="W3374" s="5">
        <f t="shared" si="1059"/>
        <v>0</v>
      </c>
      <c r="X3374" s="5">
        <f t="shared" si="1060"/>
        <v>0</v>
      </c>
      <c r="Y3374" s="5">
        <f t="shared" si="1061"/>
        <v>0</v>
      </c>
      <c r="Z3374" s="5">
        <f t="shared" si="1062"/>
        <v>0</v>
      </c>
      <c r="AA3374" s="5">
        <f t="shared" si="1063"/>
        <v>0</v>
      </c>
      <c r="AB3374" s="5">
        <f t="shared" si="1054"/>
        <v>0</v>
      </c>
    </row>
    <row r="3375" spans="1:29" x14ac:dyDescent="0.25">
      <c r="D3375" t="s">
        <v>73</v>
      </c>
      <c r="E3375" s="14"/>
      <c r="F3375" s="14"/>
      <c r="G3375">
        <f>IFERROR(HLOOKUP(G$2,[102]table_female_hkom2_inj.ill_X7!$A$1:$K$36,5,FALSE),0)</f>
        <v>0</v>
      </c>
      <c r="H3375">
        <f>IFERROR(HLOOKUP(H$2,[102]table_female_hkom2_inj.ill_X7!$A$1:$K$36,5,FALSE),0)</f>
        <v>0</v>
      </c>
      <c r="I3375">
        <f>IFERROR(HLOOKUP(I$2,[102]table_female_hkom2_inj.ill_X7!$A$1:$K$36,5,FALSE),0)</f>
        <v>0</v>
      </c>
      <c r="J3375">
        <f>IFERROR(HLOOKUP(J$2,[102]table_female_hkom2_inj.ill_X7!$A$1:$K$36,5,FALSE),0)</f>
        <v>0</v>
      </c>
      <c r="K3375">
        <f>IFERROR(HLOOKUP(K$2,[102]table_female_hkom2_inj.ill_X7!$A$1:$K$36,5,FALSE),0)</f>
        <v>0</v>
      </c>
      <c r="L3375">
        <f>IFERROR(HLOOKUP(L$2,[102]table_female_hkom2_inj.ill_X7!$A$1:$K$36,5,FALSE),0)</f>
        <v>0</v>
      </c>
      <c r="M3375">
        <f t="shared" si="1055"/>
        <v>0</v>
      </c>
      <c r="S3375" t="s">
        <v>73</v>
      </c>
      <c r="T3375" s="5">
        <f t="shared" si="1056"/>
        <v>0</v>
      </c>
      <c r="U3375" s="5">
        <f t="shared" si="1057"/>
        <v>0</v>
      </c>
      <c r="V3375" s="5">
        <f t="shared" si="1058"/>
        <v>0</v>
      </c>
      <c r="W3375" s="5">
        <f t="shared" si="1059"/>
        <v>0</v>
      </c>
      <c r="X3375" s="5">
        <f t="shared" si="1060"/>
        <v>0</v>
      </c>
      <c r="Y3375" s="5">
        <f t="shared" si="1061"/>
        <v>0</v>
      </c>
      <c r="Z3375" s="5">
        <f t="shared" si="1062"/>
        <v>0</v>
      </c>
      <c r="AA3375" s="5">
        <f t="shared" si="1063"/>
        <v>0</v>
      </c>
      <c r="AB3375" s="5">
        <f t="shared" si="1054"/>
        <v>0</v>
      </c>
    </row>
    <row r="3376" spans="1:29" x14ac:dyDescent="0.25">
      <c r="D3376" t="s">
        <v>74</v>
      </c>
      <c r="E3376" s="14"/>
      <c r="F3376" s="14"/>
      <c r="G3376">
        <f>IFERROR(HLOOKUP(G$2,[102]table_female_hkom2_inj.ill_X7!$A$1:$K$36,6,FALSE),0)</f>
        <v>0</v>
      </c>
      <c r="H3376">
        <f>IFERROR(HLOOKUP(H$2,[102]table_female_hkom2_inj.ill_X7!$A$1:$K$36,6,FALSE),0)</f>
        <v>0</v>
      </c>
      <c r="I3376">
        <f>IFERROR(HLOOKUP(I$2,[102]table_female_hkom2_inj.ill_X7!$A$1:$K$36,6,FALSE),0)</f>
        <v>0</v>
      </c>
      <c r="J3376">
        <f>IFERROR(HLOOKUP(J$2,[102]table_female_hkom2_inj.ill_X7!$A$1:$K$36,6,FALSE),0)</f>
        <v>0</v>
      </c>
      <c r="K3376">
        <f>IFERROR(HLOOKUP(K$2,[102]table_female_hkom2_inj.ill_X7!$A$1:$K$36,6,FALSE),0)</f>
        <v>0</v>
      </c>
      <c r="L3376">
        <f>IFERROR(HLOOKUP(L$2,[102]table_female_hkom2_inj.ill_X7!$A$1:$K$36,6,FALSE),0)</f>
        <v>0</v>
      </c>
      <c r="M3376">
        <f t="shared" si="1055"/>
        <v>0</v>
      </c>
      <c r="S3376" t="s">
        <v>74</v>
      </c>
      <c r="T3376" s="5">
        <f t="shared" si="1056"/>
        <v>0</v>
      </c>
      <c r="U3376" s="5">
        <f t="shared" si="1057"/>
        <v>0</v>
      </c>
      <c r="V3376" s="5">
        <f t="shared" si="1058"/>
        <v>0</v>
      </c>
      <c r="W3376" s="5">
        <f t="shared" si="1059"/>
        <v>0</v>
      </c>
      <c r="X3376" s="5">
        <f t="shared" si="1060"/>
        <v>0</v>
      </c>
      <c r="Y3376" s="5">
        <f t="shared" si="1061"/>
        <v>0</v>
      </c>
      <c r="Z3376" s="5">
        <f t="shared" si="1062"/>
        <v>0</v>
      </c>
      <c r="AA3376" s="5">
        <f t="shared" si="1063"/>
        <v>0</v>
      </c>
      <c r="AB3376" s="5">
        <f t="shared" si="1054"/>
        <v>0</v>
      </c>
    </row>
    <row r="3377" spans="4:28" x14ac:dyDescent="0.25">
      <c r="D3377" t="s">
        <v>75</v>
      </c>
      <c r="E3377" s="14"/>
      <c r="F3377" s="14"/>
      <c r="G3377">
        <f>IFERROR(HLOOKUP(G$2,[102]table_female_hkom2_inj.ill_X7!$A$1:$K$36,7,FALSE),0)</f>
        <v>0</v>
      </c>
      <c r="H3377">
        <f>IFERROR(HLOOKUP(H$2,[102]table_female_hkom2_inj.ill_X7!$A$1:$K$36,7,FALSE),0)</f>
        <v>0</v>
      </c>
      <c r="I3377">
        <f>IFERROR(HLOOKUP(I$2,[102]table_female_hkom2_inj.ill_X7!$A$1:$K$36,7,FALSE),0)</f>
        <v>0</v>
      </c>
      <c r="J3377">
        <f>IFERROR(HLOOKUP(J$2,[102]table_female_hkom2_inj.ill_X7!$A$1:$K$36,7,FALSE),0)</f>
        <v>0</v>
      </c>
      <c r="K3377">
        <f>IFERROR(HLOOKUP(K$2,[102]table_female_hkom2_inj.ill_X7!$A$1:$K$36,7,FALSE),0)</f>
        <v>0</v>
      </c>
      <c r="L3377">
        <f>IFERROR(HLOOKUP(L$2,[102]table_female_hkom2_inj.ill_X7!$A$1:$K$36,7,FALSE),0)</f>
        <v>0</v>
      </c>
      <c r="M3377">
        <f t="shared" si="1055"/>
        <v>0</v>
      </c>
      <c r="S3377" t="s">
        <v>75</v>
      </c>
      <c r="T3377" s="5">
        <f t="shared" si="1056"/>
        <v>0</v>
      </c>
      <c r="U3377" s="5">
        <f t="shared" si="1057"/>
        <v>0</v>
      </c>
      <c r="V3377" s="5">
        <f t="shared" si="1058"/>
        <v>0</v>
      </c>
      <c r="W3377" s="5">
        <f t="shared" si="1059"/>
        <v>0</v>
      </c>
      <c r="X3377" s="5">
        <f t="shared" si="1060"/>
        <v>0</v>
      </c>
      <c r="Y3377" s="5">
        <f t="shared" si="1061"/>
        <v>0</v>
      </c>
      <c r="Z3377" s="5">
        <f t="shared" si="1062"/>
        <v>0</v>
      </c>
      <c r="AA3377" s="5">
        <f t="shared" si="1063"/>
        <v>0</v>
      </c>
      <c r="AB3377" s="5">
        <f t="shared" si="1054"/>
        <v>0</v>
      </c>
    </row>
    <row r="3378" spans="4:28" x14ac:dyDescent="0.25">
      <c r="D3378" t="s">
        <v>76</v>
      </c>
      <c r="E3378" s="14"/>
      <c r="F3378" s="14"/>
      <c r="G3378">
        <f>IFERROR(HLOOKUP(G$2,[102]table_female_hkom2_inj.ill_X7!$A$1:$K$36,8,FALSE),0)</f>
        <v>0</v>
      </c>
      <c r="H3378">
        <f>IFERROR(HLOOKUP(H$2,[102]table_female_hkom2_inj.ill_X7!$A$1:$K$36,8,FALSE),0)</f>
        <v>0</v>
      </c>
      <c r="I3378">
        <f>IFERROR(HLOOKUP(I$2,[102]table_female_hkom2_inj.ill_X7!$A$1:$K$36,8,FALSE),0)</f>
        <v>0</v>
      </c>
      <c r="J3378">
        <f>IFERROR(HLOOKUP(J$2,[102]table_female_hkom2_inj.ill_X7!$A$1:$K$36,8,FALSE),0)</f>
        <v>0</v>
      </c>
      <c r="K3378">
        <f>IFERROR(HLOOKUP(K$2,[102]table_female_hkom2_inj.ill_X7!$A$1:$K$36,8,FALSE),0)</f>
        <v>0</v>
      </c>
      <c r="L3378">
        <f>IFERROR(HLOOKUP(L$2,[102]table_female_hkom2_inj.ill_X7!$A$1:$K$36,8,FALSE),0)</f>
        <v>0</v>
      </c>
      <c r="M3378">
        <f t="shared" si="1055"/>
        <v>0</v>
      </c>
      <c r="S3378" t="s">
        <v>76</v>
      </c>
      <c r="T3378" s="5">
        <f t="shared" si="1056"/>
        <v>0</v>
      </c>
      <c r="U3378" s="5">
        <f t="shared" si="1057"/>
        <v>0</v>
      </c>
      <c r="V3378" s="5">
        <f t="shared" si="1058"/>
        <v>0</v>
      </c>
      <c r="W3378" s="5">
        <f t="shared" si="1059"/>
        <v>0</v>
      </c>
      <c r="X3378" s="5">
        <f t="shared" si="1060"/>
        <v>0</v>
      </c>
      <c r="Y3378" s="5">
        <f t="shared" si="1061"/>
        <v>0</v>
      </c>
      <c r="Z3378" s="5">
        <f t="shared" si="1062"/>
        <v>0</v>
      </c>
      <c r="AA3378" s="5">
        <f t="shared" si="1063"/>
        <v>0</v>
      </c>
      <c r="AB3378" s="5">
        <f t="shared" si="1054"/>
        <v>0</v>
      </c>
    </row>
    <row r="3379" spans="4:28" x14ac:dyDescent="0.25">
      <c r="D3379" t="s">
        <v>77</v>
      </c>
      <c r="E3379" s="14"/>
      <c r="F3379" s="14"/>
      <c r="G3379">
        <f>IFERROR(HLOOKUP(G$2,[102]table_female_hkom2_inj.ill_X7!$A$1:$K$36,9,FALSE),0)</f>
        <v>0</v>
      </c>
      <c r="H3379">
        <f>IFERROR(HLOOKUP(H$2,[102]table_female_hkom2_inj.ill_X7!$A$1:$K$36,9,FALSE),0)</f>
        <v>0</v>
      </c>
      <c r="I3379">
        <f>IFERROR(HLOOKUP(I$2,[102]table_female_hkom2_inj.ill_X7!$A$1:$K$36,9,FALSE),0)</f>
        <v>0</v>
      </c>
      <c r="J3379">
        <f>IFERROR(HLOOKUP(J$2,[102]table_female_hkom2_inj.ill_X7!$A$1:$K$36,9,FALSE),0)</f>
        <v>0</v>
      </c>
      <c r="K3379">
        <f>IFERROR(HLOOKUP(K$2,[102]table_female_hkom2_inj.ill_X7!$A$1:$K$36,9,FALSE),0)</f>
        <v>0</v>
      </c>
      <c r="L3379">
        <f>IFERROR(HLOOKUP(L$2,[102]table_female_hkom2_inj.ill_X7!$A$1:$K$36,9,FALSE),0)</f>
        <v>0</v>
      </c>
      <c r="M3379">
        <f t="shared" si="1055"/>
        <v>0</v>
      </c>
      <c r="S3379" t="s">
        <v>77</v>
      </c>
      <c r="T3379" s="5">
        <f t="shared" si="1056"/>
        <v>0</v>
      </c>
      <c r="U3379" s="5">
        <f t="shared" si="1057"/>
        <v>0</v>
      </c>
      <c r="V3379" s="5">
        <f t="shared" si="1058"/>
        <v>0</v>
      </c>
      <c r="W3379" s="5">
        <f t="shared" si="1059"/>
        <v>0</v>
      </c>
      <c r="X3379" s="5">
        <f t="shared" si="1060"/>
        <v>0</v>
      </c>
      <c r="Y3379" s="5">
        <f t="shared" si="1061"/>
        <v>0</v>
      </c>
      <c r="Z3379" s="5">
        <f t="shared" si="1062"/>
        <v>0</v>
      </c>
      <c r="AA3379" s="5">
        <f t="shared" si="1063"/>
        <v>0</v>
      </c>
      <c r="AB3379" s="5">
        <f t="shared" si="1054"/>
        <v>0</v>
      </c>
    </row>
    <row r="3380" spans="4:28" x14ac:dyDescent="0.25">
      <c r="D3380" t="s">
        <v>78</v>
      </c>
      <c r="E3380" s="14"/>
      <c r="F3380" s="14"/>
      <c r="G3380">
        <f>IFERROR(HLOOKUP(G$2,[102]table_female_hkom2_inj.ill_X7!$A$1:$K$36,10,FALSE),0)</f>
        <v>0</v>
      </c>
      <c r="H3380">
        <f>IFERROR(HLOOKUP(H$2,[102]table_female_hkom2_inj.ill_X7!$A$1:$K$36,10,FALSE),0)</f>
        <v>0</v>
      </c>
      <c r="I3380">
        <f>IFERROR(HLOOKUP(I$2,[102]table_female_hkom2_inj.ill_X7!$A$1:$K$36,10,FALSE),0)</f>
        <v>0</v>
      </c>
      <c r="J3380">
        <f>IFERROR(HLOOKUP(J$2,[102]table_female_hkom2_inj.ill_X7!$A$1:$K$36,10,FALSE),0)</f>
        <v>0</v>
      </c>
      <c r="K3380">
        <f>IFERROR(HLOOKUP(K$2,[102]table_female_hkom2_inj.ill_X7!$A$1:$K$36,10,FALSE),0)</f>
        <v>0</v>
      </c>
      <c r="L3380">
        <f>IFERROR(HLOOKUP(L$2,[102]table_female_hkom2_inj.ill_X7!$A$1:$K$36,10,FALSE),0)</f>
        <v>0</v>
      </c>
      <c r="M3380">
        <f t="shared" si="1055"/>
        <v>0</v>
      </c>
      <c r="S3380" t="s">
        <v>78</v>
      </c>
      <c r="T3380" s="5">
        <f t="shared" si="1056"/>
        <v>0</v>
      </c>
      <c r="U3380" s="5">
        <f t="shared" si="1057"/>
        <v>0</v>
      </c>
      <c r="V3380" s="5">
        <f t="shared" si="1058"/>
        <v>0</v>
      </c>
      <c r="W3380" s="5">
        <f t="shared" si="1059"/>
        <v>0</v>
      </c>
      <c r="X3380" s="5">
        <f t="shared" si="1060"/>
        <v>0</v>
      </c>
      <c r="Y3380" s="5">
        <f t="shared" si="1061"/>
        <v>0</v>
      </c>
      <c r="Z3380" s="5">
        <f t="shared" si="1062"/>
        <v>0</v>
      </c>
      <c r="AA3380" s="5">
        <f t="shared" si="1063"/>
        <v>0</v>
      </c>
      <c r="AB3380" s="5">
        <f t="shared" si="1054"/>
        <v>0</v>
      </c>
    </row>
    <row r="3381" spans="4:28" x14ac:dyDescent="0.25">
      <c r="D3381" t="s">
        <v>79</v>
      </c>
      <c r="E3381" s="14"/>
      <c r="F3381" s="14"/>
      <c r="G3381">
        <f>IFERROR(HLOOKUP(G$2,[102]table_female_hkom2_inj.ill_X7!$A$1:$K$36,11,FALSE),0)</f>
        <v>0</v>
      </c>
      <c r="H3381">
        <f>IFERROR(HLOOKUP(H$2,[102]table_female_hkom2_inj.ill_X7!$A$1:$K$36,11,FALSE),0)</f>
        <v>0</v>
      </c>
      <c r="I3381">
        <f>IFERROR(HLOOKUP(I$2,[102]table_female_hkom2_inj.ill_X7!$A$1:$K$36,11,FALSE),0)</f>
        <v>0</v>
      </c>
      <c r="J3381">
        <f>IFERROR(HLOOKUP(J$2,[102]table_female_hkom2_inj.ill_X7!$A$1:$K$36,11,FALSE),0)</f>
        <v>0</v>
      </c>
      <c r="K3381">
        <f>IFERROR(HLOOKUP(K$2,[102]table_female_hkom2_inj.ill_X7!$A$1:$K$36,11,FALSE),0)</f>
        <v>0</v>
      </c>
      <c r="L3381">
        <f>IFERROR(HLOOKUP(L$2,[102]table_female_hkom2_inj.ill_X7!$A$1:$K$36,11,FALSE),0)</f>
        <v>0</v>
      </c>
      <c r="M3381">
        <f t="shared" si="1055"/>
        <v>0</v>
      </c>
      <c r="S3381" t="s">
        <v>79</v>
      </c>
      <c r="T3381" s="5">
        <f t="shared" si="1056"/>
        <v>0</v>
      </c>
      <c r="U3381" s="5">
        <f t="shared" si="1057"/>
        <v>0</v>
      </c>
      <c r="V3381" s="5">
        <f t="shared" si="1058"/>
        <v>0</v>
      </c>
      <c r="W3381" s="5">
        <f t="shared" si="1059"/>
        <v>0</v>
      </c>
      <c r="X3381" s="5">
        <f t="shared" si="1060"/>
        <v>0</v>
      </c>
      <c r="Y3381" s="5">
        <f t="shared" si="1061"/>
        <v>0</v>
      </c>
      <c r="Z3381" s="5">
        <f t="shared" si="1062"/>
        <v>0</v>
      </c>
      <c r="AA3381" s="5">
        <f t="shared" si="1063"/>
        <v>0</v>
      </c>
      <c r="AB3381" s="5">
        <f t="shared" si="1054"/>
        <v>0</v>
      </c>
    </row>
    <row r="3382" spans="4:28" x14ac:dyDescent="0.25">
      <c r="D3382" t="s">
        <v>80</v>
      </c>
      <c r="E3382" s="14"/>
      <c r="F3382" s="14"/>
      <c r="G3382">
        <f>IFERROR(HLOOKUP(G$2,[102]table_female_hkom2_inj.ill_X7!$A$1:$K$36,12,FALSE),0)</f>
        <v>0</v>
      </c>
      <c r="H3382">
        <f>IFERROR(HLOOKUP(H$2,[102]table_female_hkom2_inj.ill_X7!$A$1:$K$36,12,FALSE),0)</f>
        <v>0</v>
      </c>
      <c r="I3382">
        <f>IFERROR(HLOOKUP(I$2,[102]table_female_hkom2_inj.ill_X7!$A$1:$K$36,12,FALSE),0)</f>
        <v>0</v>
      </c>
      <c r="J3382">
        <f>IFERROR(HLOOKUP(J$2,[102]table_female_hkom2_inj.ill_X7!$A$1:$K$36,12,FALSE),0)</f>
        <v>0</v>
      </c>
      <c r="K3382">
        <f>IFERROR(HLOOKUP(K$2,[102]table_female_hkom2_inj.ill_X7!$A$1:$K$36,12,FALSE),0)</f>
        <v>0</v>
      </c>
      <c r="L3382">
        <f>IFERROR(HLOOKUP(L$2,[102]table_female_hkom2_inj.ill_X7!$A$1:$K$36,12,FALSE),0)</f>
        <v>0</v>
      </c>
      <c r="M3382">
        <f t="shared" si="1055"/>
        <v>0</v>
      </c>
      <c r="S3382" t="s">
        <v>80</v>
      </c>
      <c r="T3382" s="5">
        <f t="shared" si="1056"/>
        <v>0</v>
      </c>
      <c r="U3382" s="5">
        <f t="shared" si="1057"/>
        <v>0</v>
      </c>
      <c r="V3382" s="5">
        <f t="shared" si="1058"/>
        <v>0</v>
      </c>
      <c r="W3382" s="5">
        <f t="shared" si="1059"/>
        <v>0</v>
      </c>
      <c r="X3382" s="5">
        <f t="shared" si="1060"/>
        <v>0</v>
      </c>
      <c r="Y3382" s="5">
        <f t="shared" si="1061"/>
        <v>0</v>
      </c>
      <c r="Z3382" s="5">
        <f t="shared" si="1062"/>
        <v>0</v>
      </c>
      <c r="AA3382" s="5">
        <f t="shared" si="1063"/>
        <v>0</v>
      </c>
      <c r="AB3382" s="5">
        <f t="shared" si="1054"/>
        <v>0</v>
      </c>
    </row>
    <row r="3383" spans="4:28" x14ac:dyDescent="0.25">
      <c r="D3383" t="s">
        <v>81</v>
      </c>
      <c r="E3383" s="14"/>
      <c r="F3383" s="14"/>
      <c r="G3383">
        <f>IFERROR(HLOOKUP(G$2,[102]table_female_hkom2_inj.ill_X7!$A$1:$K$36,13,FALSE),0)</f>
        <v>0</v>
      </c>
      <c r="H3383">
        <f>IFERROR(HLOOKUP(H$2,[102]table_female_hkom2_inj.ill_X7!$A$1:$K$36,13,FALSE),0)</f>
        <v>0</v>
      </c>
      <c r="I3383">
        <f>IFERROR(HLOOKUP(I$2,[102]table_female_hkom2_inj.ill_X7!$A$1:$K$36,13,FALSE),0)</f>
        <v>0</v>
      </c>
      <c r="J3383">
        <f>IFERROR(HLOOKUP(J$2,[102]table_female_hkom2_inj.ill_X7!$A$1:$K$36,13,FALSE),0)</f>
        <v>0</v>
      </c>
      <c r="K3383">
        <f>IFERROR(HLOOKUP(K$2,[102]table_female_hkom2_inj.ill_X7!$A$1:$K$36,13,FALSE),0)</f>
        <v>0</v>
      </c>
      <c r="L3383">
        <f>IFERROR(HLOOKUP(L$2,[102]table_female_hkom2_inj.ill_X7!$A$1:$K$36,13,FALSE),0)</f>
        <v>0</v>
      </c>
      <c r="M3383">
        <f t="shared" si="1055"/>
        <v>0</v>
      </c>
      <c r="S3383" t="s">
        <v>81</v>
      </c>
      <c r="T3383" s="5">
        <f t="shared" si="1056"/>
        <v>0</v>
      </c>
      <c r="U3383" s="5">
        <f t="shared" si="1057"/>
        <v>0</v>
      </c>
      <c r="V3383" s="5">
        <f t="shared" si="1058"/>
        <v>0</v>
      </c>
      <c r="W3383" s="5">
        <f t="shared" si="1059"/>
        <v>0</v>
      </c>
      <c r="X3383" s="5">
        <f t="shared" si="1060"/>
        <v>0</v>
      </c>
      <c r="Y3383" s="5">
        <f t="shared" si="1061"/>
        <v>0</v>
      </c>
      <c r="Z3383" s="5">
        <f t="shared" si="1062"/>
        <v>0</v>
      </c>
      <c r="AA3383" s="5">
        <f t="shared" si="1063"/>
        <v>0</v>
      </c>
      <c r="AB3383" s="5">
        <f t="shared" si="1054"/>
        <v>0</v>
      </c>
    </row>
    <row r="3384" spans="4:28" x14ac:dyDescent="0.25">
      <c r="D3384" t="s">
        <v>82</v>
      </c>
      <c r="E3384" s="14"/>
      <c r="F3384" s="14"/>
      <c r="G3384">
        <f>IFERROR(HLOOKUP(G$2,[102]table_female_hkom2_inj.ill_X7!$A$1:$K$36,14,FALSE),0)</f>
        <v>0</v>
      </c>
      <c r="H3384">
        <f>IFERROR(HLOOKUP(H$2,[102]table_female_hkom2_inj.ill_X7!$A$1:$K$36,14,FALSE),0)</f>
        <v>0</v>
      </c>
      <c r="I3384">
        <f>IFERROR(HLOOKUP(I$2,[102]table_female_hkom2_inj.ill_X7!$A$1:$K$36,14,FALSE),0)</f>
        <v>0</v>
      </c>
      <c r="J3384">
        <f>IFERROR(HLOOKUP(J$2,[102]table_female_hkom2_inj.ill_X7!$A$1:$K$36,14,FALSE),0)</f>
        <v>0</v>
      </c>
      <c r="K3384">
        <f>IFERROR(HLOOKUP(K$2,[102]table_female_hkom2_inj.ill_X7!$A$1:$K$36,14,FALSE),0)</f>
        <v>0</v>
      </c>
      <c r="L3384">
        <f>IFERROR(HLOOKUP(L$2,[102]table_female_hkom2_inj.ill_X7!$A$1:$K$36,14,FALSE),0)</f>
        <v>0</v>
      </c>
      <c r="M3384">
        <f t="shared" si="1055"/>
        <v>0</v>
      </c>
      <c r="S3384" t="s">
        <v>82</v>
      </c>
      <c r="T3384" s="5">
        <f t="shared" si="1056"/>
        <v>0</v>
      </c>
      <c r="U3384" s="5">
        <f t="shared" si="1057"/>
        <v>0</v>
      </c>
      <c r="V3384" s="5">
        <f t="shared" si="1058"/>
        <v>0</v>
      </c>
      <c r="W3384" s="5">
        <f t="shared" si="1059"/>
        <v>0</v>
      </c>
      <c r="X3384" s="5">
        <f t="shared" si="1060"/>
        <v>0</v>
      </c>
      <c r="Y3384" s="5">
        <f t="shared" si="1061"/>
        <v>0</v>
      </c>
      <c r="Z3384" s="5">
        <f t="shared" si="1062"/>
        <v>0</v>
      </c>
      <c r="AA3384" s="5">
        <f t="shared" si="1063"/>
        <v>0</v>
      </c>
      <c r="AB3384" s="5">
        <f t="shared" si="1054"/>
        <v>0</v>
      </c>
    </row>
    <row r="3385" spans="4:28" x14ac:dyDescent="0.25">
      <c r="D3385" t="s">
        <v>83</v>
      </c>
      <c r="E3385" s="14"/>
      <c r="F3385" s="14"/>
      <c r="G3385">
        <f>IFERROR(HLOOKUP(G$2,[102]table_female_hkom2_inj.ill_X7!$A$1:$K$36,15,FALSE),0)</f>
        <v>0</v>
      </c>
      <c r="H3385">
        <f>IFERROR(HLOOKUP(H$2,[102]table_female_hkom2_inj.ill_X7!$A$1:$K$36,15,FALSE),0)</f>
        <v>0</v>
      </c>
      <c r="I3385">
        <f>IFERROR(HLOOKUP(I$2,[102]table_female_hkom2_inj.ill_X7!$A$1:$K$36,15,FALSE),0)</f>
        <v>0</v>
      </c>
      <c r="J3385">
        <f>IFERROR(HLOOKUP(J$2,[102]table_female_hkom2_inj.ill_X7!$A$1:$K$36,15,FALSE),0)</f>
        <v>0</v>
      </c>
      <c r="K3385">
        <f>IFERROR(HLOOKUP(K$2,[102]table_female_hkom2_inj.ill_X7!$A$1:$K$36,15,FALSE),0)</f>
        <v>0</v>
      </c>
      <c r="L3385">
        <f>IFERROR(HLOOKUP(L$2,[102]table_female_hkom2_inj.ill_X7!$A$1:$K$36,15,FALSE),0)</f>
        <v>0</v>
      </c>
      <c r="M3385">
        <f t="shared" si="1055"/>
        <v>0</v>
      </c>
      <c r="S3385" t="s">
        <v>83</v>
      </c>
      <c r="T3385" s="5">
        <f t="shared" si="1056"/>
        <v>0</v>
      </c>
      <c r="U3385" s="5">
        <f t="shared" si="1057"/>
        <v>0</v>
      </c>
      <c r="V3385" s="5">
        <f t="shared" si="1058"/>
        <v>0</v>
      </c>
      <c r="W3385" s="5">
        <f t="shared" si="1059"/>
        <v>0</v>
      </c>
      <c r="X3385" s="5">
        <f t="shared" si="1060"/>
        <v>0</v>
      </c>
      <c r="Y3385" s="5">
        <f t="shared" si="1061"/>
        <v>0</v>
      </c>
      <c r="Z3385" s="5">
        <f t="shared" si="1062"/>
        <v>0</v>
      </c>
      <c r="AA3385" s="5">
        <f t="shared" si="1063"/>
        <v>0</v>
      </c>
      <c r="AB3385" s="5">
        <f t="shared" si="1054"/>
        <v>0</v>
      </c>
    </row>
    <row r="3386" spans="4:28" x14ac:dyDescent="0.25">
      <c r="D3386" t="s">
        <v>84</v>
      </c>
      <c r="E3386" s="14"/>
      <c r="F3386" s="14"/>
      <c r="G3386">
        <f>IFERROR(HLOOKUP(G$2,[102]table_female_hkom2_inj.ill_X7!$A$1:$K$36,16,FALSE),0)</f>
        <v>0</v>
      </c>
      <c r="H3386">
        <f>IFERROR(HLOOKUP(H$2,[102]table_female_hkom2_inj.ill_X7!$A$1:$K$36,16,FALSE),0)</f>
        <v>0</v>
      </c>
      <c r="I3386">
        <f>IFERROR(HLOOKUP(I$2,[102]table_female_hkom2_inj.ill_X7!$A$1:$K$36,16,FALSE),0)</f>
        <v>0</v>
      </c>
      <c r="J3386">
        <f>IFERROR(HLOOKUP(J$2,[102]table_female_hkom2_inj.ill_X7!$A$1:$K$36,16,FALSE),0)</f>
        <v>0</v>
      </c>
      <c r="K3386">
        <f>IFERROR(HLOOKUP(K$2,[102]table_female_hkom2_inj.ill_X7!$A$1:$K$36,16,FALSE),0)</f>
        <v>0</v>
      </c>
      <c r="L3386">
        <f>IFERROR(HLOOKUP(L$2,[102]table_female_hkom2_inj.ill_X7!$A$1:$K$36,16,FALSE),0)</f>
        <v>0</v>
      </c>
      <c r="M3386">
        <f t="shared" si="1055"/>
        <v>0</v>
      </c>
      <c r="S3386" t="s">
        <v>84</v>
      </c>
      <c r="T3386" s="5">
        <f t="shared" si="1056"/>
        <v>0</v>
      </c>
      <c r="U3386" s="5">
        <f t="shared" si="1057"/>
        <v>0</v>
      </c>
      <c r="V3386" s="5">
        <f t="shared" si="1058"/>
        <v>0</v>
      </c>
      <c r="W3386" s="5">
        <f t="shared" si="1059"/>
        <v>0</v>
      </c>
      <c r="X3386" s="5">
        <f t="shared" si="1060"/>
        <v>0</v>
      </c>
      <c r="Y3386" s="5">
        <f t="shared" si="1061"/>
        <v>0</v>
      </c>
      <c r="Z3386" s="5">
        <f t="shared" si="1062"/>
        <v>0</v>
      </c>
      <c r="AA3386" s="5">
        <f t="shared" si="1063"/>
        <v>0</v>
      </c>
      <c r="AB3386" s="5">
        <f t="shared" si="1054"/>
        <v>0</v>
      </c>
    </row>
    <row r="3387" spans="4:28" x14ac:dyDescent="0.25">
      <c r="D3387" t="s">
        <v>85</v>
      </c>
      <c r="E3387" s="14"/>
      <c r="F3387" s="14"/>
      <c r="G3387">
        <f>IFERROR(HLOOKUP(G$2,[102]table_female_hkom2_inj.ill_X7!$A$1:$K$36,17,FALSE),0)</f>
        <v>0</v>
      </c>
      <c r="H3387">
        <f>IFERROR(HLOOKUP(H$2,[102]table_female_hkom2_inj.ill_X7!$A$1:$K$36,17,FALSE),0)</f>
        <v>0</v>
      </c>
      <c r="I3387">
        <f>IFERROR(HLOOKUP(I$2,[102]table_female_hkom2_inj.ill_X7!$A$1:$K$36,17,FALSE),0)</f>
        <v>0</v>
      </c>
      <c r="J3387">
        <f>IFERROR(HLOOKUP(J$2,[102]table_female_hkom2_inj.ill_X7!$A$1:$K$36,17,FALSE),0)</f>
        <v>0</v>
      </c>
      <c r="K3387">
        <f>IFERROR(HLOOKUP(K$2,[102]table_female_hkom2_inj.ill_X7!$A$1:$K$36,17,FALSE),0)</f>
        <v>0</v>
      </c>
      <c r="L3387">
        <f>IFERROR(HLOOKUP(L$2,[102]table_female_hkom2_inj.ill_X7!$A$1:$K$36,17,FALSE),0)</f>
        <v>0</v>
      </c>
      <c r="M3387">
        <f t="shared" si="1055"/>
        <v>0</v>
      </c>
      <c r="S3387" t="s">
        <v>85</v>
      </c>
      <c r="T3387" s="5">
        <f t="shared" si="1056"/>
        <v>0</v>
      </c>
      <c r="U3387" s="5">
        <f t="shared" si="1057"/>
        <v>0</v>
      </c>
      <c r="V3387" s="5">
        <f t="shared" si="1058"/>
        <v>0</v>
      </c>
      <c r="W3387" s="5">
        <f t="shared" si="1059"/>
        <v>0</v>
      </c>
      <c r="X3387" s="5">
        <f t="shared" si="1060"/>
        <v>0</v>
      </c>
      <c r="Y3387" s="5">
        <f t="shared" si="1061"/>
        <v>0</v>
      </c>
      <c r="Z3387" s="5">
        <f t="shared" si="1062"/>
        <v>0</v>
      </c>
      <c r="AA3387" s="5">
        <f t="shared" si="1063"/>
        <v>0</v>
      </c>
      <c r="AB3387" s="5">
        <f t="shared" si="1054"/>
        <v>0</v>
      </c>
    </row>
    <row r="3388" spans="4:28" x14ac:dyDescent="0.25">
      <c r="D3388" t="s">
        <v>86</v>
      </c>
      <c r="E3388" s="14"/>
      <c r="F3388" s="14"/>
      <c r="G3388">
        <f>IFERROR(HLOOKUP(G$2,[102]table_female_hkom2_inj.ill_X7!$A$1:$K$36,18,FALSE),0)</f>
        <v>0</v>
      </c>
      <c r="H3388">
        <f>IFERROR(HLOOKUP(H$2,[102]table_female_hkom2_inj.ill_X7!$A$1:$K$36,18,FALSE),0)</f>
        <v>0</v>
      </c>
      <c r="I3388">
        <f>IFERROR(HLOOKUP(I$2,[102]table_female_hkom2_inj.ill_X7!$A$1:$K$36,18,FALSE),0)</f>
        <v>0</v>
      </c>
      <c r="J3388">
        <f>IFERROR(HLOOKUP(J$2,[102]table_female_hkom2_inj.ill_X7!$A$1:$K$36,18,FALSE),0)</f>
        <v>0</v>
      </c>
      <c r="K3388">
        <f>IFERROR(HLOOKUP(K$2,[102]table_female_hkom2_inj.ill_X7!$A$1:$K$36,18,FALSE),0)</f>
        <v>0</v>
      </c>
      <c r="L3388">
        <f>IFERROR(HLOOKUP(L$2,[102]table_female_hkom2_inj.ill_X7!$A$1:$K$36,18,FALSE),0)</f>
        <v>0</v>
      </c>
      <c r="M3388">
        <f t="shared" si="1055"/>
        <v>0</v>
      </c>
      <c r="S3388" t="s">
        <v>86</v>
      </c>
      <c r="T3388" s="5">
        <f t="shared" si="1056"/>
        <v>0</v>
      </c>
      <c r="U3388" s="5">
        <f t="shared" si="1057"/>
        <v>0</v>
      </c>
      <c r="V3388" s="5">
        <f t="shared" si="1058"/>
        <v>0</v>
      </c>
      <c r="W3388" s="5">
        <f t="shared" si="1059"/>
        <v>0</v>
      </c>
      <c r="X3388" s="5">
        <f t="shared" si="1060"/>
        <v>0</v>
      </c>
      <c r="Y3388" s="5">
        <f t="shared" si="1061"/>
        <v>0</v>
      </c>
      <c r="Z3388" s="5">
        <f t="shared" si="1062"/>
        <v>0</v>
      </c>
      <c r="AA3388" s="5">
        <f t="shared" si="1063"/>
        <v>0</v>
      </c>
      <c r="AB3388" s="5">
        <f t="shared" si="1054"/>
        <v>0</v>
      </c>
    </row>
    <row r="3389" spans="4:28" x14ac:dyDescent="0.25">
      <c r="D3389" t="s">
        <v>87</v>
      </c>
      <c r="E3389" s="14"/>
      <c r="F3389" s="14"/>
      <c r="G3389">
        <f>IFERROR(HLOOKUP(G$2,[102]table_female_hkom2_inj.ill_X7!$A$1:$K$36,19,FALSE),0)</f>
        <v>0</v>
      </c>
      <c r="H3389">
        <f>IFERROR(HLOOKUP(H$2,[102]table_female_hkom2_inj.ill_X7!$A$1:$K$36,19,FALSE),0)</f>
        <v>0</v>
      </c>
      <c r="I3389">
        <f>IFERROR(HLOOKUP(I$2,[102]table_female_hkom2_inj.ill_X7!$A$1:$K$36,19,FALSE),0)</f>
        <v>0</v>
      </c>
      <c r="J3389">
        <f>IFERROR(HLOOKUP(J$2,[102]table_female_hkom2_inj.ill_X7!$A$1:$K$36,19,FALSE),0)</f>
        <v>0</v>
      </c>
      <c r="K3389">
        <f>IFERROR(HLOOKUP(K$2,[102]table_female_hkom2_inj.ill_X7!$A$1:$K$36,19,FALSE),0)</f>
        <v>0</v>
      </c>
      <c r="L3389">
        <f>IFERROR(HLOOKUP(L$2,[102]table_female_hkom2_inj.ill_X7!$A$1:$K$36,19,FALSE),0)</f>
        <v>0</v>
      </c>
      <c r="M3389">
        <f t="shared" si="1055"/>
        <v>0</v>
      </c>
      <c r="S3389" t="s">
        <v>87</v>
      </c>
      <c r="T3389" s="5">
        <f t="shared" si="1056"/>
        <v>0</v>
      </c>
      <c r="U3389" s="5">
        <f t="shared" si="1057"/>
        <v>0</v>
      </c>
      <c r="V3389" s="5">
        <f t="shared" si="1058"/>
        <v>0</v>
      </c>
      <c r="W3389" s="5">
        <f t="shared" si="1059"/>
        <v>0</v>
      </c>
      <c r="X3389" s="5">
        <f t="shared" si="1060"/>
        <v>0</v>
      </c>
      <c r="Y3389" s="5">
        <f t="shared" si="1061"/>
        <v>0</v>
      </c>
      <c r="Z3389" s="5">
        <f t="shared" si="1062"/>
        <v>0</v>
      </c>
      <c r="AA3389" s="5">
        <f t="shared" si="1063"/>
        <v>0</v>
      </c>
      <c r="AB3389" s="5">
        <f t="shared" si="1054"/>
        <v>0</v>
      </c>
    </row>
    <row r="3390" spans="4:28" x14ac:dyDescent="0.25">
      <c r="D3390" t="s">
        <v>88</v>
      </c>
      <c r="E3390" s="14"/>
      <c r="F3390" s="14"/>
      <c r="G3390">
        <f>IFERROR(HLOOKUP(G$2,[102]table_female_hkom2_inj.ill_X7!$A$1:$K$36,20,FALSE),0)</f>
        <v>0</v>
      </c>
      <c r="H3390">
        <f>IFERROR(HLOOKUP(H$2,[102]table_female_hkom2_inj.ill_X7!$A$1:$K$36,20,FALSE),0)</f>
        <v>0</v>
      </c>
      <c r="I3390">
        <f>IFERROR(HLOOKUP(I$2,[102]table_female_hkom2_inj.ill_X7!$A$1:$K$36,20,FALSE),0)</f>
        <v>1</v>
      </c>
      <c r="J3390">
        <f>IFERROR(HLOOKUP(J$2,[102]table_female_hkom2_inj.ill_X7!$A$1:$K$36,20,FALSE),0)</f>
        <v>0</v>
      </c>
      <c r="K3390">
        <f>IFERROR(HLOOKUP(K$2,[102]table_female_hkom2_inj.ill_X7!$A$1:$K$36,20,FALSE),0)</f>
        <v>0</v>
      </c>
      <c r="L3390">
        <f>IFERROR(HLOOKUP(L$2,[102]table_female_hkom2_inj.ill_X7!$A$1:$K$36,20,FALSE),0)</f>
        <v>0</v>
      </c>
      <c r="M3390">
        <f t="shared" si="1055"/>
        <v>1</v>
      </c>
      <c r="S3390" t="s">
        <v>88</v>
      </c>
      <c r="T3390" s="5">
        <f t="shared" si="1056"/>
        <v>0</v>
      </c>
      <c r="U3390" s="5">
        <f t="shared" si="1057"/>
        <v>0</v>
      </c>
      <c r="V3390" s="5">
        <f t="shared" si="1058"/>
        <v>0</v>
      </c>
      <c r="W3390" s="5">
        <f t="shared" si="1059"/>
        <v>0</v>
      </c>
      <c r="X3390" s="5">
        <f t="shared" si="1060"/>
        <v>1</v>
      </c>
      <c r="Y3390" s="5">
        <f t="shared" si="1061"/>
        <v>0</v>
      </c>
      <c r="Z3390" s="5">
        <f t="shared" si="1062"/>
        <v>0</v>
      </c>
      <c r="AA3390" s="5">
        <f t="shared" si="1063"/>
        <v>0</v>
      </c>
      <c r="AB3390" s="5">
        <f t="shared" si="1054"/>
        <v>1</v>
      </c>
    </row>
    <row r="3391" spans="4:28" x14ac:dyDescent="0.25">
      <c r="D3391" t="s">
        <v>89</v>
      </c>
      <c r="E3391" s="14"/>
      <c r="F3391" s="14"/>
      <c r="G3391">
        <f>IFERROR(HLOOKUP(G$2,[102]table_female_hkom2_inj.ill_X7!$A$1:$K$36,21,FALSE),0)</f>
        <v>0</v>
      </c>
      <c r="H3391">
        <f>IFERROR(HLOOKUP(H$2,[102]table_female_hkom2_inj.ill_X7!$A$1:$K$36,21,FALSE),0)</f>
        <v>0</v>
      </c>
      <c r="I3391">
        <f>IFERROR(HLOOKUP(I$2,[102]table_female_hkom2_inj.ill_X7!$A$1:$K$36,21,FALSE),0)</f>
        <v>0</v>
      </c>
      <c r="J3391">
        <f>IFERROR(HLOOKUP(J$2,[102]table_female_hkom2_inj.ill_X7!$A$1:$K$36,21,FALSE),0)</f>
        <v>0</v>
      </c>
      <c r="K3391">
        <f>IFERROR(HLOOKUP(K$2,[102]table_female_hkom2_inj.ill_X7!$A$1:$K$36,21,FALSE),0)</f>
        <v>0</v>
      </c>
      <c r="L3391">
        <f>IFERROR(HLOOKUP(L$2,[102]table_female_hkom2_inj.ill_X7!$A$1:$K$36,21,FALSE),0)</f>
        <v>0</v>
      </c>
      <c r="M3391">
        <f t="shared" si="1055"/>
        <v>0</v>
      </c>
      <c r="S3391" t="s">
        <v>89</v>
      </c>
      <c r="T3391" s="5">
        <f t="shared" si="1056"/>
        <v>0</v>
      </c>
      <c r="U3391" s="5">
        <f t="shared" si="1057"/>
        <v>0</v>
      </c>
      <c r="V3391" s="5">
        <f t="shared" si="1058"/>
        <v>0</v>
      </c>
      <c r="W3391" s="5">
        <f t="shared" si="1059"/>
        <v>0</v>
      </c>
      <c r="X3391" s="5">
        <f t="shared" si="1060"/>
        <v>0</v>
      </c>
      <c r="Y3391" s="5">
        <f t="shared" si="1061"/>
        <v>0</v>
      </c>
      <c r="Z3391" s="5">
        <f t="shared" si="1062"/>
        <v>0</v>
      </c>
      <c r="AA3391" s="5">
        <f t="shared" si="1063"/>
        <v>0</v>
      </c>
      <c r="AB3391" s="5">
        <f t="shared" si="1054"/>
        <v>0</v>
      </c>
    </row>
    <row r="3392" spans="4:28" x14ac:dyDescent="0.25">
      <c r="D3392" t="s">
        <v>90</v>
      </c>
      <c r="E3392" s="14"/>
      <c r="F3392" s="14"/>
      <c r="G3392">
        <f>IFERROR(HLOOKUP(G$2,[102]table_female_hkom2_inj.ill_X7!$A$1:$K$36,22,FALSE),0)</f>
        <v>0</v>
      </c>
      <c r="H3392">
        <f>IFERROR(HLOOKUP(H$2,[102]table_female_hkom2_inj.ill_X7!$A$1:$K$36,22,FALSE),0)</f>
        <v>0</v>
      </c>
      <c r="I3392">
        <f>IFERROR(HLOOKUP(I$2,[102]table_female_hkom2_inj.ill_X7!$A$1:$K$36,22,FALSE),0)</f>
        <v>0</v>
      </c>
      <c r="J3392">
        <f>IFERROR(HLOOKUP(J$2,[102]table_female_hkom2_inj.ill_X7!$A$1:$K$36,22,FALSE),0)</f>
        <v>0</v>
      </c>
      <c r="K3392">
        <f>IFERROR(HLOOKUP(K$2,[102]table_female_hkom2_inj.ill_X7!$A$1:$K$36,22,FALSE),0)</f>
        <v>0</v>
      </c>
      <c r="L3392">
        <f>IFERROR(HLOOKUP(L$2,[102]table_female_hkom2_inj.ill_X7!$A$1:$K$36,22,FALSE),0)</f>
        <v>0</v>
      </c>
      <c r="M3392">
        <f t="shared" si="1055"/>
        <v>0</v>
      </c>
      <c r="S3392" t="s">
        <v>90</v>
      </c>
      <c r="T3392" s="5">
        <f t="shared" si="1056"/>
        <v>0</v>
      </c>
      <c r="U3392" s="5">
        <f t="shared" si="1057"/>
        <v>0</v>
      </c>
      <c r="V3392" s="5">
        <f t="shared" si="1058"/>
        <v>0</v>
      </c>
      <c r="W3392" s="5">
        <f t="shared" si="1059"/>
        <v>0</v>
      </c>
      <c r="X3392" s="5">
        <f t="shared" si="1060"/>
        <v>0</v>
      </c>
      <c r="Y3392" s="5">
        <f t="shared" si="1061"/>
        <v>0</v>
      </c>
      <c r="Z3392" s="5">
        <f t="shared" si="1062"/>
        <v>0</v>
      </c>
      <c r="AA3392" s="5">
        <f t="shared" si="1063"/>
        <v>0</v>
      </c>
      <c r="AB3392" s="5">
        <f t="shared" si="1054"/>
        <v>0</v>
      </c>
    </row>
    <row r="3393" spans="1:29" x14ac:dyDescent="0.25">
      <c r="D3393" t="s">
        <v>91</v>
      </c>
      <c r="E3393" s="14"/>
      <c r="F3393" s="14"/>
      <c r="G3393">
        <f>IFERROR(HLOOKUP(G$2,[102]table_female_hkom2_inj.ill_X7!$A$1:$K$36,23,FALSE),0)</f>
        <v>0</v>
      </c>
      <c r="H3393">
        <f>IFERROR(HLOOKUP(H$2,[102]table_female_hkom2_inj.ill_X7!$A$1:$K$36,23,FALSE),0)</f>
        <v>0</v>
      </c>
      <c r="I3393">
        <f>IFERROR(HLOOKUP(I$2,[102]table_female_hkom2_inj.ill_X7!$A$1:$K$36,23,FALSE),0)</f>
        <v>0</v>
      </c>
      <c r="J3393">
        <f>IFERROR(HLOOKUP(J$2,[102]table_female_hkom2_inj.ill_X7!$A$1:$K$36,23,FALSE),0)</f>
        <v>0</v>
      </c>
      <c r="K3393">
        <f>IFERROR(HLOOKUP(K$2,[102]table_female_hkom2_inj.ill_X7!$A$1:$K$36,23,FALSE),0)</f>
        <v>0</v>
      </c>
      <c r="L3393">
        <f>IFERROR(HLOOKUP(L$2,[102]table_female_hkom2_inj.ill_X7!$A$1:$K$36,23,FALSE),0)</f>
        <v>0</v>
      </c>
      <c r="M3393">
        <f t="shared" si="1055"/>
        <v>0</v>
      </c>
      <c r="S3393" t="s">
        <v>91</v>
      </c>
      <c r="T3393" s="5">
        <f t="shared" si="1056"/>
        <v>0</v>
      </c>
      <c r="U3393" s="5">
        <f t="shared" si="1057"/>
        <v>0</v>
      </c>
      <c r="V3393" s="5">
        <f t="shared" si="1058"/>
        <v>0</v>
      </c>
      <c r="W3393" s="5">
        <f t="shared" si="1059"/>
        <v>0</v>
      </c>
      <c r="X3393" s="5">
        <f t="shared" si="1060"/>
        <v>0</v>
      </c>
      <c r="Y3393" s="5">
        <f t="shared" si="1061"/>
        <v>0</v>
      </c>
      <c r="Z3393" s="5">
        <f t="shared" si="1062"/>
        <v>0</v>
      </c>
      <c r="AA3393" s="5">
        <f t="shared" si="1063"/>
        <v>0</v>
      </c>
      <c r="AB3393" s="5">
        <f t="shared" si="1054"/>
        <v>0</v>
      </c>
    </row>
    <row r="3394" spans="1:29" x14ac:dyDescent="0.25">
      <c r="D3394" t="s">
        <v>92</v>
      </c>
      <c r="E3394" s="14"/>
      <c r="F3394" s="14"/>
      <c r="G3394">
        <f>IFERROR(HLOOKUP(G$2,[102]table_female_hkom2_inj.ill_X7!$A$1:$K$36,24,FALSE),0)</f>
        <v>0</v>
      </c>
      <c r="H3394">
        <f>IFERROR(HLOOKUP(H$2,[102]table_female_hkom2_inj.ill_X7!$A$1:$K$36,24,FALSE),0)</f>
        <v>0</v>
      </c>
      <c r="I3394">
        <f>IFERROR(HLOOKUP(I$2,[102]table_female_hkom2_inj.ill_X7!$A$1:$K$36,24,FALSE),0)</f>
        <v>0</v>
      </c>
      <c r="J3394">
        <f>IFERROR(HLOOKUP(J$2,[102]table_female_hkom2_inj.ill_X7!$A$1:$K$36,24,FALSE),0)</f>
        <v>0</v>
      </c>
      <c r="K3394">
        <f>IFERROR(HLOOKUP(K$2,[102]table_female_hkom2_inj.ill_X7!$A$1:$K$36,24,FALSE),0)</f>
        <v>0</v>
      </c>
      <c r="L3394">
        <f>IFERROR(HLOOKUP(L$2,[102]table_female_hkom2_inj.ill_X7!$A$1:$K$36,24,FALSE),0)</f>
        <v>0</v>
      </c>
      <c r="M3394">
        <f t="shared" si="1055"/>
        <v>0</v>
      </c>
      <c r="S3394" t="s">
        <v>92</v>
      </c>
      <c r="T3394" s="5">
        <f t="shared" si="1056"/>
        <v>0</v>
      </c>
      <c r="U3394" s="5">
        <f t="shared" si="1057"/>
        <v>0</v>
      </c>
      <c r="V3394" s="5">
        <f t="shared" si="1058"/>
        <v>0</v>
      </c>
      <c r="W3394" s="5">
        <f t="shared" si="1059"/>
        <v>0</v>
      </c>
      <c r="X3394" s="5">
        <f t="shared" si="1060"/>
        <v>0</v>
      </c>
      <c r="Y3394" s="5">
        <f t="shared" si="1061"/>
        <v>0</v>
      </c>
      <c r="Z3394" s="5">
        <f t="shared" si="1062"/>
        <v>0</v>
      </c>
      <c r="AA3394" s="5">
        <f t="shared" si="1063"/>
        <v>0</v>
      </c>
      <c r="AB3394" s="5">
        <f t="shared" si="1054"/>
        <v>0</v>
      </c>
    </row>
    <row r="3395" spans="1:29" x14ac:dyDescent="0.25">
      <c r="D3395" t="s">
        <v>93</v>
      </c>
      <c r="E3395" s="14"/>
      <c r="F3395" s="14"/>
      <c r="G3395">
        <f>IFERROR(HLOOKUP(G$2,[102]table_female_hkom2_inj.ill_X7!$A$1:$K$36,25,FALSE),0)</f>
        <v>0</v>
      </c>
      <c r="H3395">
        <f>IFERROR(HLOOKUP(H$2,[102]table_female_hkom2_inj.ill_X7!$A$1:$K$36,25,FALSE),0)</f>
        <v>0</v>
      </c>
      <c r="I3395">
        <f>IFERROR(HLOOKUP(I$2,[102]table_female_hkom2_inj.ill_X7!$A$1:$K$36,25,FALSE),0)</f>
        <v>0</v>
      </c>
      <c r="J3395">
        <f>IFERROR(HLOOKUP(J$2,[102]table_female_hkom2_inj.ill_X7!$A$1:$K$36,25,FALSE),0)</f>
        <v>0</v>
      </c>
      <c r="K3395">
        <f>IFERROR(HLOOKUP(K$2,[102]table_female_hkom2_inj.ill_X7!$A$1:$K$36,25,FALSE),0)</f>
        <v>0</v>
      </c>
      <c r="L3395">
        <f>IFERROR(HLOOKUP(L$2,[102]table_female_hkom2_inj.ill_X7!$A$1:$K$36,25,FALSE),0)</f>
        <v>0</v>
      </c>
      <c r="M3395">
        <f t="shared" si="1055"/>
        <v>0</v>
      </c>
      <c r="S3395" t="s">
        <v>93</v>
      </c>
      <c r="T3395" s="5">
        <f t="shared" si="1056"/>
        <v>0</v>
      </c>
      <c r="U3395" s="5">
        <f t="shared" si="1057"/>
        <v>0</v>
      </c>
      <c r="V3395" s="5">
        <f t="shared" si="1058"/>
        <v>0</v>
      </c>
      <c r="W3395" s="5">
        <f t="shared" si="1059"/>
        <v>0</v>
      </c>
      <c r="X3395" s="5">
        <f t="shared" si="1060"/>
        <v>0</v>
      </c>
      <c r="Y3395" s="5">
        <f t="shared" si="1061"/>
        <v>0</v>
      </c>
      <c r="Z3395" s="5">
        <f t="shared" si="1062"/>
        <v>0</v>
      </c>
      <c r="AA3395" s="5">
        <f t="shared" si="1063"/>
        <v>0</v>
      </c>
      <c r="AB3395" s="5">
        <f t="shared" si="1054"/>
        <v>0</v>
      </c>
    </row>
    <row r="3396" spans="1:29" x14ac:dyDescent="0.25">
      <c r="D3396" t="s">
        <v>94</v>
      </c>
      <c r="E3396" s="14"/>
      <c r="F3396" s="14"/>
      <c r="G3396">
        <f>IFERROR(HLOOKUP(G$2,[102]table_female_hkom2_inj.ill_X7!$A$1:$K$36,26,FALSE),0)</f>
        <v>0</v>
      </c>
      <c r="H3396">
        <f>IFERROR(HLOOKUP(H$2,[102]table_female_hkom2_inj.ill_X7!$A$1:$K$36,26,FALSE),0)</f>
        <v>0</v>
      </c>
      <c r="I3396">
        <f>IFERROR(HLOOKUP(I$2,[102]table_female_hkom2_inj.ill_X7!$A$1:$K$36,26,FALSE),0)</f>
        <v>0</v>
      </c>
      <c r="J3396">
        <f>IFERROR(HLOOKUP(J$2,[102]table_female_hkom2_inj.ill_X7!$A$1:$K$36,26,FALSE),0)</f>
        <v>0</v>
      </c>
      <c r="K3396">
        <f>IFERROR(HLOOKUP(K$2,[102]table_female_hkom2_inj.ill_X7!$A$1:$K$36,26,FALSE),0)</f>
        <v>0</v>
      </c>
      <c r="L3396">
        <f>IFERROR(HLOOKUP(L$2,[102]table_female_hkom2_inj.ill_X7!$A$1:$K$36,26,FALSE),0)</f>
        <v>0</v>
      </c>
      <c r="M3396">
        <f t="shared" si="1055"/>
        <v>0</v>
      </c>
      <c r="S3396" t="s">
        <v>94</v>
      </c>
      <c r="T3396" s="5">
        <f t="shared" si="1056"/>
        <v>0</v>
      </c>
      <c r="U3396" s="5">
        <f t="shared" si="1057"/>
        <v>0</v>
      </c>
      <c r="V3396" s="5">
        <f t="shared" si="1058"/>
        <v>0</v>
      </c>
      <c r="W3396" s="5">
        <f t="shared" si="1059"/>
        <v>0</v>
      </c>
      <c r="X3396" s="5">
        <f t="shared" si="1060"/>
        <v>0</v>
      </c>
      <c r="Y3396" s="5">
        <f t="shared" si="1061"/>
        <v>0</v>
      </c>
      <c r="Z3396" s="5">
        <f t="shared" si="1062"/>
        <v>0</v>
      </c>
      <c r="AA3396" s="5">
        <f t="shared" si="1063"/>
        <v>0</v>
      </c>
      <c r="AB3396" s="5">
        <f t="shared" si="1054"/>
        <v>0</v>
      </c>
    </row>
    <row r="3397" spans="1:29" x14ac:dyDescent="0.25">
      <c r="D3397" t="s">
        <v>95</v>
      </c>
      <c r="E3397" s="14"/>
      <c r="F3397" s="14"/>
      <c r="G3397">
        <f>IFERROR(HLOOKUP(G$2,[102]table_female_hkom2_inj.ill_X7!$A$1:$K$36,27,FALSE),0)</f>
        <v>0</v>
      </c>
      <c r="H3397">
        <f>IFERROR(HLOOKUP(H$2,[102]table_female_hkom2_inj.ill_X7!$A$1:$K$36,27,FALSE),0)</f>
        <v>0</v>
      </c>
      <c r="I3397">
        <f>IFERROR(HLOOKUP(I$2,[102]table_female_hkom2_inj.ill_X7!$A$1:$K$36,27,FALSE),0)</f>
        <v>0</v>
      </c>
      <c r="J3397">
        <f>IFERROR(HLOOKUP(J$2,[102]table_female_hkom2_inj.ill_X7!$A$1:$K$36,27,FALSE),0)</f>
        <v>0</v>
      </c>
      <c r="K3397">
        <f>IFERROR(HLOOKUP(K$2,[102]table_female_hkom2_inj.ill_X7!$A$1:$K$36,27,FALSE),0)</f>
        <v>0</v>
      </c>
      <c r="L3397">
        <f>IFERROR(HLOOKUP(L$2,[102]table_female_hkom2_inj.ill_X7!$A$1:$K$36,27,FALSE),0)</f>
        <v>0</v>
      </c>
      <c r="M3397">
        <f t="shared" si="1055"/>
        <v>0</v>
      </c>
      <c r="S3397" t="s">
        <v>95</v>
      </c>
      <c r="T3397" s="5">
        <f t="shared" si="1056"/>
        <v>0</v>
      </c>
      <c r="U3397" s="5">
        <f t="shared" si="1057"/>
        <v>0</v>
      </c>
      <c r="V3397" s="5">
        <f t="shared" si="1058"/>
        <v>0</v>
      </c>
      <c r="W3397" s="5">
        <f t="shared" si="1059"/>
        <v>0</v>
      </c>
      <c r="X3397" s="5">
        <f t="shared" si="1060"/>
        <v>0</v>
      </c>
      <c r="Y3397" s="5">
        <f t="shared" si="1061"/>
        <v>0</v>
      </c>
      <c r="Z3397" s="5">
        <f t="shared" si="1062"/>
        <v>0</v>
      </c>
      <c r="AA3397" s="5">
        <f t="shared" si="1063"/>
        <v>0</v>
      </c>
      <c r="AB3397" s="5">
        <f t="shared" si="1054"/>
        <v>0</v>
      </c>
    </row>
    <row r="3398" spans="1:29" x14ac:dyDescent="0.25">
      <c r="D3398" t="s">
        <v>96</v>
      </c>
      <c r="E3398" s="14"/>
      <c r="F3398" s="14"/>
      <c r="G3398">
        <f>IFERROR(HLOOKUP(G$2,[102]table_female_hkom2_inj.ill_X7!$A$1:$K$36,28,FALSE),0)</f>
        <v>0</v>
      </c>
      <c r="H3398">
        <f>IFERROR(HLOOKUP(H$2,[102]table_female_hkom2_inj.ill_X7!$A$1:$K$36,28,FALSE),0)</f>
        <v>0</v>
      </c>
      <c r="I3398">
        <f>IFERROR(HLOOKUP(I$2,[102]table_female_hkom2_inj.ill_X7!$A$1:$K$36,28,FALSE),0)</f>
        <v>0</v>
      </c>
      <c r="J3398">
        <f>IFERROR(HLOOKUP(J$2,[102]table_female_hkom2_inj.ill_X7!$A$1:$K$36,28,FALSE),0)</f>
        <v>0</v>
      </c>
      <c r="K3398">
        <f>IFERROR(HLOOKUP(K$2,[102]table_female_hkom2_inj.ill_X7!$A$1:$K$36,28,FALSE),0)</f>
        <v>0</v>
      </c>
      <c r="L3398">
        <f>IFERROR(HLOOKUP(L$2,[102]table_female_hkom2_inj.ill_X7!$A$1:$K$36,28,FALSE),0)</f>
        <v>0</v>
      </c>
      <c r="M3398">
        <f t="shared" si="1055"/>
        <v>0</v>
      </c>
      <c r="S3398" t="s">
        <v>96</v>
      </c>
      <c r="T3398" s="5">
        <f t="shared" si="1056"/>
        <v>0</v>
      </c>
      <c r="U3398" s="5">
        <f t="shared" si="1057"/>
        <v>0</v>
      </c>
      <c r="V3398" s="5">
        <f t="shared" si="1058"/>
        <v>0</v>
      </c>
      <c r="W3398" s="5">
        <f t="shared" si="1059"/>
        <v>0</v>
      </c>
      <c r="X3398" s="5">
        <f t="shared" si="1060"/>
        <v>0</v>
      </c>
      <c r="Y3398" s="5">
        <f t="shared" si="1061"/>
        <v>0</v>
      </c>
      <c r="Z3398" s="5">
        <f t="shared" si="1062"/>
        <v>0</v>
      </c>
      <c r="AA3398" s="5">
        <f t="shared" si="1063"/>
        <v>0</v>
      </c>
      <c r="AB3398" s="5">
        <f t="shared" si="1054"/>
        <v>0</v>
      </c>
    </row>
    <row r="3399" spans="1:29" x14ac:dyDescent="0.25">
      <c r="D3399" t="s">
        <v>97</v>
      </c>
      <c r="E3399" s="14"/>
      <c r="F3399" s="14"/>
      <c r="G3399">
        <f>IFERROR(HLOOKUP(G$2,[102]table_female_hkom2_inj.ill_X7!$A$1:$K$36,29,FALSE),0)</f>
        <v>0</v>
      </c>
      <c r="H3399">
        <f>IFERROR(HLOOKUP(H$2,[102]table_female_hkom2_inj.ill_X7!$A$1:$K$36,29,FALSE),0)</f>
        <v>0</v>
      </c>
      <c r="I3399">
        <f>IFERROR(HLOOKUP(I$2,[102]table_female_hkom2_inj.ill_X7!$A$1:$K$36,29,FALSE),0)</f>
        <v>0</v>
      </c>
      <c r="J3399">
        <f>IFERROR(HLOOKUP(J$2,[102]table_female_hkom2_inj.ill_X7!$A$1:$K$36,29,FALSE),0)</f>
        <v>0</v>
      </c>
      <c r="K3399">
        <f>IFERROR(HLOOKUP(K$2,[102]table_female_hkom2_inj.ill_X7!$A$1:$K$36,29,FALSE),0)</f>
        <v>0</v>
      </c>
      <c r="L3399">
        <f>IFERROR(HLOOKUP(L$2,[102]table_female_hkom2_inj.ill_X7!$A$1:$K$36,29,FALSE),0)</f>
        <v>0</v>
      </c>
      <c r="M3399">
        <f t="shared" si="1055"/>
        <v>0</v>
      </c>
      <c r="S3399" t="s">
        <v>97</v>
      </c>
      <c r="T3399" s="5">
        <f t="shared" si="1056"/>
        <v>0</v>
      </c>
      <c r="U3399" s="5">
        <f t="shared" si="1057"/>
        <v>0</v>
      </c>
      <c r="V3399" s="5">
        <f t="shared" si="1058"/>
        <v>0</v>
      </c>
      <c r="W3399" s="5">
        <f t="shared" si="1059"/>
        <v>0</v>
      </c>
      <c r="X3399" s="5">
        <f t="shared" si="1060"/>
        <v>0</v>
      </c>
      <c r="Y3399" s="5">
        <f t="shared" si="1061"/>
        <v>0</v>
      </c>
      <c r="Z3399" s="5">
        <f t="shared" si="1062"/>
        <v>0</v>
      </c>
      <c r="AA3399" s="5">
        <f t="shared" si="1063"/>
        <v>0</v>
      </c>
      <c r="AB3399" s="5">
        <f t="shared" si="1054"/>
        <v>0</v>
      </c>
    </row>
    <row r="3400" spans="1:29" x14ac:dyDescent="0.25">
      <c r="D3400" t="s">
        <v>98</v>
      </c>
      <c r="E3400" s="14"/>
      <c r="F3400" s="14"/>
      <c r="G3400">
        <f>IFERROR(HLOOKUP(G$2,[102]table_female_hkom2_inj.ill_X7!$A$1:$K$36,30,FALSE),0)</f>
        <v>0</v>
      </c>
      <c r="H3400">
        <f>IFERROR(HLOOKUP(H$2,[102]table_female_hkom2_inj.ill_X7!$A$1:$K$36,30,FALSE),0)</f>
        <v>0</v>
      </c>
      <c r="I3400">
        <f>IFERROR(HLOOKUP(I$2,[102]table_female_hkom2_inj.ill_X7!$A$1:$K$36,30,FALSE),0)</f>
        <v>0</v>
      </c>
      <c r="J3400">
        <f>IFERROR(HLOOKUP(J$2,[102]table_female_hkom2_inj.ill_X7!$A$1:$K$36,30,FALSE),0)</f>
        <v>0</v>
      </c>
      <c r="K3400">
        <f>IFERROR(HLOOKUP(K$2,[102]table_female_hkom2_inj.ill_X7!$A$1:$K$36,30,FALSE),0)</f>
        <v>0</v>
      </c>
      <c r="L3400">
        <f>IFERROR(HLOOKUP(L$2,[102]table_female_hkom2_inj.ill_X7!$A$1:$K$36,30,FALSE),0)</f>
        <v>0</v>
      </c>
      <c r="M3400">
        <f t="shared" si="1055"/>
        <v>0</v>
      </c>
      <c r="S3400" t="s">
        <v>98</v>
      </c>
      <c r="T3400" s="5">
        <f t="shared" si="1056"/>
        <v>0</v>
      </c>
      <c r="U3400" s="5">
        <f t="shared" si="1057"/>
        <v>0</v>
      </c>
      <c r="V3400" s="5">
        <f t="shared" si="1058"/>
        <v>0</v>
      </c>
      <c r="W3400" s="5">
        <f t="shared" si="1059"/>
        <v>0</v>
      </c>
      <c r="X3400" s="5">
        <f t="shared" si="1060"/>
        <v>0</v>
      </c>
      <c r="Y3400" s="5">
        <f t="shared" si="1061"/>
        <v>0</v>
      </c>
      <c r="Z3400" s="5">
        <f t="shared" si="1062"/>
        <v>0</v>
      </c>
      <c r="AA3400" s="5">
        <f t="shared" si="1063"/>
        <v>0</v>
      </c>
      <c r="AB3400" s="5">
        <f t="shared" si="1054"/>
        <v>0</v>
      </c>
    </row>
    <row r="3401" spans="1:29" x14ac:dyDescent="0.25">
      <c r="D3401" t="s">
        <v>119</v>
      </c>
      <c r="E3401" s="14"/>
      <c r="F3401" s="14"/>
      <c r="G3401">
        <f>IFERROR(HLOOKUP(G$2,[102]table_female_hkom2_inj.ill_X7!$A$1:$K$36,31,FALSE),0)</f>
        <v>0</v>
      </c>
      <c r="H3401">
        <f>IFERROR(HLOOKUP(H$2,[102]table_female_hkom2_inj.ill_X7!$A$1:$K$36,31,FALSE),0)</f>
        <v>0</v>
      </c>
      <c r="I3401">
        <f>IFERROR(HLOOKUP(I$2,[102]table_female_hkom2_inj.ill_X7!$A$1:$K$36,31,FALSE),0)</f>
        <v>0</v>
      </c>
      <c r="J3401">
        <f>IFERROR(HLOOKUP(J$2,[102]table_female_hkom2_inj.ill_X7!$A$1:$K$36,31,FALSE),0)</f>
        <v>0</v>
      </c>
      <c r="K3401">
        <f>IFERROR(HLOOKUP(K$2,[102]table_female_hkom2_inj.ill_X7!$A$1:$K$36,31,FALSE),0)</f>
        <v>0</v>
      </c>
      <c r="L3401">
        <f>IFERROR(HLOOKUP(L$2,[102]table_female_hkom2_inj.ill_X7!$A$1:$K$36,31,FALSE),0)</f>
        <v>0</v>
      </c>
      <c r="M3401">
        <f t="shared" si="1055"/>
        <v>0</v>
      </c>
      <c r="S3401" t="s">
        <v>119</v>
      </c>
      <c r="T3401" s="5">
        <f t="shared" si="1056"/>
        <v>0</v>
      </c>
      <c r="U3401" s="5">
        <f t="shared" si="1057"/>
        <v>0</v>
      </c>
      <c r="V3401" s="5">
        <f t="shared" si="1058"/>
        <v>0</v>
      </c>
      <c r="W3401" s="5">
        <f t="shared" si="1059"/>
        <v>0</v>
      </c>
      <c r="X3401" s="5">
        <f t="shared" si="1060"/>
        <v>0</v>
      </c>
      <c r="Y3401" s="5">
        <f t="shared" si="1061"/>
        <v>0</v>
      </c>
      <c r="Z3401" s="5">
        <f t="shared" si="1062"/>
        <v>0</v>
      </c>
      <c r="AA3401" s="5">
        <f t="shared" si="1063"/>
        <v>0</v>
      </c>
      <c r="AB3401" s="5">
        <f t="shared" si="1054"/>
        <v>0</v>
      </c>
    </row>
    <row r="3402" spans="1:29" x14ac:dyDescent="0.25">
      <c r="D3402" t="s">
        <v>99</v>
      </c>
      <c r="E3402" s="14"/>
      <c r="F3402" s="14"/>
      <c r="G3402">
        <f>IFERROR(HLOOKUP(G$2,[102]table_female_hkom2_inj.ill_X7!$A$1:$K$36,32,FALSE),0)</f>
        <v>0</v>
      </c>
      <c r="H3402">
        <f>IFERROR(HLOOKUP(H$2,[102]table_female_hkom2_inj.ill_X7!$A$1:$K$36,32,FALSE),0)</f>
        <v>0</v>
      </c>
      <c r="I3402">
        <f>IFERROR(HLOOKUP(I$2,[102]table_female_hkom2_inj.ill_X7!$A$1:$K$36,32,FALSE),0)</f>
        <v>0</v>
      </c>
      <c r="J3402">
        <f>IFERROR(HLOOKUP(J$2,[102]table_female_hkom2_inj.ill_X7!$A$1:$K$36,32,FALSE),0)</f>
        <v>0</v>
      </c>
      <c r="K3402">
        <f>IFERROR(HLOOKUP(K$2,[102]table_female_hkom2_inj.ill_X7!$A$1:$K$36,32,FALSE),0)</f>
        <v>0</v>
      </c>
      <c r="L3402">
        <f>IFERROR(HLOOKUP(L$2,[102]table_female_hkom2_inj.ill_X7!$A$1:$K$36,32,FALSE),0)</f>
        <v>0</v>
      </c>
      <c r="M3402">
        <f t="shared" si="1055"/>
        <v>0</v>
      </c>
      <c r="S3402" t="s">
        <v>99</v>
      </c>
      <c r="T3402" s="5">
        <f t="shared" si="1056"/>
        <v>0</v>
      </c>
      <c r="U3402" s="5">
        <f t="shared" si="1057"/>
        <v>0</v>
      </c>
      <c r="V3402" s="5">
        <f t="shared" si="1058"/>
        <v>0</v>
      </c>
      <c r="W3402" s="5">
        <f t="shared" si="1059"/>
        <v>0</v>
      </c>
      <c r="X3402" s="5">
        <f t="shared" si="1060"/>
        <v>0</v>
      </c>
      <c r="Y3402" s="5">
        <f t="shared" si="1061"/>
        <v>0</v>
      </c>
      <c r="Z3402" s="5">
        <f t="shared" si="1062"/>
        <v>0</v>
      </c>
      <c r="AA3402" s="5">
        <f t="shared" si="1063"/>
        <v>0</v>
      </c>
      <c r="AB3402" s="5">
        <f t="shared" si="1054"/>
        <v>0</v>
      </c>
    </row>
    <row r="3403" spans="1:29" x14ac:dyDescent="0.25">
      <c r="D3403" t="s">
        <v>100</v>
      </c>
      <c r="E3403" s="14"/>
      <c r="F3403" s="14"/>
      <c r="G3403">
        <f>IFERROR(HLOOKUP(G$2,[102]table_female_hkom2_inj.ill_X7!$A$1:$K$36,33,FALSE),0)</f>
        <v>0</v>
      </c>
      <c r="H3403">
        <f>IFERROR(HLOOKUP(H$2,[102]table_female_hkom2_inj.ill_X7!$A$1:$K$36,33,FALSE),0)</f>
        <v>0</v>
      </c>
      <c r="I3403">
        <f>IFERROR(HLOOKUP(I$2,[102]table_female_hkom2_inj.ill_X7!$A$1:$K$36,33,FALSE),0)</f>
        <v>0</v>
      </c>
      <c r="J3403">
        <f>IFERROR(HLOOKUP(J$2,[102]table_female_hkom2_inj.ill_X7!$A$1:$K$36,33,FALSE),0)</f>
        <v>0</v>
      </c>
      <c r="K3403">
        <f>IFERROR(HLOOKUP(K$2,[102]table_female_hkom2_inj.ill_X7!$A$1:$K$36,33,FALSE),0)</f>
        <v>0</v>
      </c>
      <c r="L3403">
        <f>IFERROR(HLOOKUP(L$2,[102]table_female_hkom2_inj.ill_X7!$A$1:$K$36,33,FALSE),0)</f>
        <v>0</v>
      </c>
      <c r="M3403">
        <f t="shared" si="1055"/>
        <v>0</v>
      </c>
      <c r="S3403" t="s">
        <v>100</v>
      </c>
      <c r="T3403" s="5">
        <f t="shared" si="1056"/>
        <v>0</v>
      </c>
      <c r="U3403" s="5">
        <f t="shared" si="1057"/>
        <v>0</v>
      </c>
      <c r="V3403" s="5">
        <f t="shared" si="1058"/>
        <v>0</v>
      </c>
      <c r="W3403" s="5">
        <f t="shared" si="1059"/>
        <v>0</v>
      </c>
      <c r="X3403" s="5">
        <f t="shared" si="1060"/>
        <v>0</v>
      </c>
      <c r="Y3403" s="5">
        <f t="shared" si="1061"/>
        <v>0</v>
      </c>
      <c r="Z3403" s="5">
        <f t="shared" si="1062"/>
        <v>0</v>
      </c>
      <c r="AA3403" s="5">
        <f t="shared" si="1063"/>
        <v>0</v>
      </c>
      <c r="AB3403" s="5">
        <f t="shared" si="1054"/>
        <v>0</v>
      </c>
    </row>
    <row r="3404" spans="1:29" x14ac:dyDescent="0.25">
      <c r="D3404" t="s">
        <v>101</v>
      </c>
      <c r="E3404" s="14"/>
      <c r="F3404" s="14"/>
      <c r="G3404">
        <f>IFERROR(HLOOKUP(G$2,[102]table_female_hkom2_inj.ill_X7!$A$1:$K$36,34,FALSE),0)</f>
        <v>0</v>
      </c>
      <c r="H3404">
        <f>IFERROR(HLOOKUP(H$2,[102]table_female_hkom2_inj.ill_X7!$A$1:$K$36,34,FALSE),0)</f>
        <v>0</v>
      </c>
      <c r="I3404">
        <f>IFERROR(HLOOKUP(I$2,[102]table_female_hkom2_inj.ill_X7!$A$1:$K$36,34,FALSE),0)</f>
        <v>0</v>
      </c>
      <c r="J3404">
        <f>IFERROR(HLOOKUP(J$2,[102]table_female_hkom2_inj.ill_X7!$A$1:$K$36,34,FALSE),0)</f>
        <v>0</v>
      </c>
      <c r="K3404">
        <f>IFERROR(HLOOKUP(K$2,[102]table_female_hkom2_inj.ill_X7!$A$1:$K$36,34,FALSE),0)</f>
        <v>0</v>
      </c>
      <c r="L3404">
        <f>IFERROR(HLOOKUP(L$2,[102]table_female_hkom2_inj.ill_X7!$A$1:$K$36,34,FALSE),0)</f>
        <v>0</v>
      </c>
      <c r="M3404">
        <f t="shared" si="1055"/>
        <v>0</v>
      </c>
      <c r="S3404" t="s">
        <v>101</v>
      </c>
      <c r="T3404" s="5">
        <f t="shared" si="1056"/>
        <v>0</v>
      </c>
      <c r="U3404" s="5">
        <f t="shared" si="1057"/>
        <v>0</v>
      </c>
      <c r="V3404" s="5">
        <f t="shared" si="1058"/>
        <v>0</v>
      </c>
      <c r="W3404" s="5">
        <f t="shared" si="1059"/>
        <v>0</v>
      </c>
      <c r="X3404" s="5">
        <f t="shared" si="1060"/>
        <v>0</v>
      </c>
      <c r="Y3404" s="5">
        <f t="shared" si="1061"/>
        <v>0</v>
      </c>
      <c r="Z3404" s="5">
        <f t="shared" si="1062"/>
        <v>0</v>
      </c>
      <c r="AA3404" s="5">
        <f t="shared" si="1063"/>
        <v>0</v>
      </c>
      <c r="AB3404" s="5">
        <f t="shared" si="1054"/>
        <v>0</v>
      </c>
    </row>
    <row r="3405" spans="1:29" x14ac:dyDescent="0.25">
      <c r="D3405" t="s">
        <v>102</v>
      </c>
      <c r="E3405" s="14"/>
      <c r="F3405" s="14"/>
      <c r="G3405">
        <f>IFERROR(HLOOKUP(G$2,[102]table_female_hkom2_inj.ill_X7!$A$1:$K$36,35,FALSE),0)</f>
        <v>0</v>
      </c>
      <c r="H3405">
        <f>IFERROR(HLOOKUP(H$2,[102]table_female_hkom2_inj.ill_X7!$A$1:$K$36,35,FALSE),0)</f>
        <v>0</v>
      </c>
      <c r="I3405">
        <f>IFERROR(HLOOKUP(I$2,[102]table_female_hkom2_inj.ill_X7!$A$1:$K$36,35,FALSE),0)</f>
        <v>0</v>
      </c>
      <c r="J3405">
        <f>IFERROR(HLOOKUP(J$2,[102]table_female_hkom2_inj.ill_X7!$A$1:$K$36,35,FALSE),0)</f>
        <v>0</v>
      </c>
      <c r="K3405">
        <f>IFERROR(HLOOKUP(K$2,[102]table_female_hkom2_inj.ill_X7!$A$1:$K$36,35,FALSE),0)</f>
        <v>0</v>
      </c>
      <c r="L3405">
        <f>IFERROR(HLOOKUP(L$2,[102]table_female_hkom2_inj.ill_X7!$A$1:$K$36,35,FALSE),0)</f>
        <v>0</v>
      </c>
      <c r="M3405">
        <f t="shared" si="1055"/>
        <v>0</v>
      </c>
      <c r="N3405">
        <f>SUM(M3372:M3405)</f>
        <v>1</v>
      </c>
      <c r="O3405" s="8">
        <f>SUM([102]table_female_hkom2_inj.ill_X7!$B$2:$L$37)</f>
        <v>1</v>
      </c>
      <c r="S3405" t="s">
        <v>102</v>
      </c>
      <c r="T3405" s="7"/>
      <c r="U3405" s="7"/>
      <c r="V3405" s="7"/>
      <c r="W3405" s="7"/>
      <c r="X3405" s="7"/>
      <c r="Y3405" s="7"/>
      <c r="Z3405" s="7"/>
      <c r="AA3405" s="7"/>
      <c r="AB3405" s="5">
        <f t="shared" si="1054"/>
        <v>0</v>
      </c>
      <c r="AC3405" s="5">
        <f>SUM(AB3372:AB3404)</f>
        <v>1</v>
      </c>
    </row>
    <row r="3406" spans="1:29" x14ac:dyDescent="0.25">
      <c r="A3406" t="s">
        <v>115</v>
      </c>
      <c r="B3406" t="s">
        <v>116</v>
      </c>
      <c r="C3406" t="s">
        <v>130</v>
      </c>
      <c r="D3406" t="s">
        <v>70</v>
      </c>
      <c r="E3406" s="14"/>
      <c r="F3406" s="14"/>
      <c r="G3406">
        <f>IFERROR(HLOOKUP(G$2,[103]table_female_hkom2_inj.ill_X8!$A$1:$K$36,2,FALSE),0)</f>
        <v>0</v>
      </c>
      <c r="H3406">
        <f>IFERROR(HLOOKUP(H$2,[103]table_female_hkom2_inj.ill_X8!$A$1:$K$36,2,FALSE),0)</f>
        <v>0</v>
      </c>
      <c r="I3406">
        <f>IFERROR(HLOOKUP(I$2,[103]table_female_hkom2_inj.ill_X8!$A$1:$K$36,2,FALSE),0)</f>
        <v>0</v>
      </c>
      <c r="J3406">
        <f>IFERROR(HLOOKUP(J$2,[103]table_female_hkom2_inj.ill_X8!$A$1:$K$36,2,FALSE),0)</f>
        <v>0</v>
      </c>
      <c r="K3406">
        <f>IFERROR(HLOOKUP(K$2,[103]table_female_hkom2_inj.ill_X8!$A$1:$K$36,2,FALSE),0)</f>
        <v>0</v>
      </c>
      <c r="L3406">
        <f>IFERROR(HLOOKUP(L$2,[103]table_female_hkom2_inj.ill_X8!$A$1:$K$36,2,FALSE),0)</f>
        <v>0</v>
      </c>
      <c r="M3406">
        <f>SUM(E3406:L3406)</f>
        <v>0</v>
      </c>
      <c r="P3406" t="s">
        <v>115</v>
      </c>
      <c r="Q3406" t="s">
        <v>116</v>
      </c>
      <c r="R3406" t="s">
        <v>130</v>
      </c>
      <c r="S3406" t="s">
        <v>70</v>
      </c>
      <c r="T3406" s="5">
        <f>IF(SUM(E$3406:E$3438)=0,E$3439/33,E3406+IFERROR(E3406/SUM(E$3406:E$3438)*E$3439,0))</f>
        <v>0</v>
      </c>
      <c r="U3406" s="5">
        <f t="shared" ref="U3406:AA3406" si="1064">IF(SUM(F$3406:F$3438)=0,F$3439/33,F3406+IFERROR(F3406/SUM(F$3406:F$3438)*F$3439,0))</f>
        <v>0</v>
      </c>
      <c r="V3406" s="5">
        <f t="shared" si="1064"/>
        <v>0</v>
      </c>
      <c r="W3406" s="5">
        <f t="shared" si="1064"/>
        <v>0</v>
      </c>
      <c r="X3406" s="5">
        <f t="shared" si="1064"/>
        <v>0</v>
      </c>
      <c r="Y3406" s="5">
        <f t="shared" si="1064"/>
        <v>0</v>
      </c>
      <c r="Z3406" s="5">
        <f t="shared" si="1064"/>
        <v>0</v>
      </c>
      <c r="AA3406" s="5">
        <f t="shared" si="1064"/>
        <v>0</v>
      </c>
      <c r="AB3406" s="5">
        <f t="shared" si="1054"/>
        <v>0</v>
      </c>
    </row>
    <row r="3407" spans="1:29" x14ac:dyDescent="0.25">
      <c r="D3407" t="s">
        <v>71</v>
      </c>
      <c r="E3407" s="14"/>
      <c r="F3407" s="14"/>
      <c r="G3407">
        <f>IFERROR(HLOOKUP(G$2,[103]table_female_hkom2_inj.ill_X8!$A$1:$K$36,3,FALSE),0)</f>
        <v>0</v>
      </c>
      <c r="H3407">
        <f>IFERROR(HLOOKUP(H$2,[103]table_female_hkom2_inj.ill_X8!$A$1:$K$36,3,FALSE),0)</f>
        <v>0</v>
      </c>
      <c r="I3407">
        <f>IFERROR(HLOOKUP(I$2,[103]table_female_hkom2_inj.ill_X8!$A$1:$K$36,3,FALSE),0)</f>
        <v>0</v>
      </c>
      <c r="J3407">
        <f>IFERROR(HLOOKUP(J$2,[103]table_female_hkom2_inj.ill_X8!$A$1:$K$36,3,FALSE),0)</f>
        <v>0</v>
      </c>
      <c r="K3407">
        <f>IFERROR(HLOOKUP(K$2,[103]table_female_hkom2_inj.ill_X8!$A$1:$K$36,3,FALSE),0)</f>
        <v>0</v>
      </c>
      <c r="L3407">
        <f>IFERROR(HLOOKUP(L$2,[103]table_female_hkom2_inj.ill_X8!$A$1:$K$36,3,FALSE),0)</f>
        <v>0</v>
      </c>
      <c r="M3407">
        <f t="shared" ref="M3407:M3439" si="1065">SUM(E3407:L3407)</f>
        <v>0</v>
      </c>
      <c r="S3407" t="s">
        <v>71</v>
      </c>
      <c r="T3407" s="5">
        <f t="shared" ref="T3407:T3438" si="1066">IF(SUM(E$3406:E$3438)=0,E$3439/33,E3407+IFERROR(E3407/SUM(E$3406:E$3438)*E$3439,0))</f>
        <v>0</v>
      </c>
      <c r="U3407" s="5">
        <f t="shared" ref="U3407:U3438" si="1067">IF(SUM(F$3406:F$3438)=0,F$3439/33,F3407+IFERROR(F3407/SUM(F$3406:F$3438)*F$3439,0))</f>
        <v>0</v>
      </c>
      <c r="V3407" s="5">
        <f t="shared" ref="V3407:V3438" si="1068">IF(SUM(G$3406:G$3438)=0,G$3439/33,G3407+IFERROR(G3407/SUM(G$3406:G$3438)*G$3439,0))</f>
        <v>0</v>
      </c>
      <c r="W3407" s="5">
        <f t="shared" ref="W3407:W3438" si="1069">IF(SUM(H$3406:H$3438)=0,H$3439/33,H3407+IFERROR(H3407/SUM(H$3406:H$3438)*H$3439,0))</f>
        <v>0</v>
      </c>
      <c r="X3407" s="5">
        <f t="shared" ref="X3407:X3438" si="1070">IF(SUM(I$3406:I$3438)=0,I$3439/33,I3407+IFERROR(I3407/SUM(I$3406:I$3438)*I$3439,0))</f>
        <v>0</v>
      </c>
      <c r="Y3407" s="5">
        <f t="shared" ref="Y3407:Y3438" si="1071">IF(SUM(J$3406:J$3438)=0,J$3439/33,J3407+IFERROR(J3407/SUM(J$3406:J$3438)*J$3439,0))</f>
        <v>0</v>
      </c>
      <c r="Z3407" s="5">
        <f t="shared" ref="Z3407:Z3438" si="1072">IF(SUM(K$3406:K$3438)=0,K$3439/33,K3407+IFERROR(K3407/SUM(K$3406:K$3438)*K$3439,0))</f>
        <v>0</v>
      </c>
      <c r="AA3407" s="5">
        <f t="shared" ref="AA3407:AA3438" si="1073">IF(SUM(L$3406:L$3438)=0,L$3439/33,L3407+IFERROR(L3407/SUM(L$3406:L$3438)*L$3439,0))</f>
        <v>0</v>
      </c>
      <c r="AB3407" s="5">
        <f t="shared" si="1054"/>
        <v>0</v>
      </c>
    </row>
    <row r="3408" spans="1:29" x14ac:dyDescent="0.25">
      <c r="D3408" t="s">
        <v>72</v>
      </c>
      <c r="E3408" s="14"/>
      <c r="F3408" s="14"/>
      <c r="G3408">
        <f>IFERROR(HLOOKUP(G$2,[103]table_female_hkom2_inj.ill_X8!$A$1:$K$36,4,FALSE),0)</f>
        <v>0</v>
      </c>
      <c r="H3408">
        <f>IFERROR(HLOOKUP(H$2,[103]table_female_hkom2_inj.ill_X8!$A$1:$K$36,4,FALSE),0)</f>
        <v>0</v>
      </c>
      <c r="I3408">
        <f>IFERROR(HLOOKUP(I$2,[103]table_female_hkom2_inj.ill_X8!$A$1:$K$36,4,FALSE),0)</f>
        <v>0</v>
      </c>
      <c r="J3408">
        <f>IFERROR(HLOOKUP(J$2,[103]table_female_hkom2_inj.ill_X8!$A$1:$K$36,4,FALSE),0)</f>
        <v>0</v>
      </c>
      <c r="K3408">
        <f>IFERROR(HLOOKUP(K$2,[103]table_female_hkom2_inj.ill_X8!$A$1:$K$36,4,FALSE),0)</f>
        <v>0</v>
      </c>
      <c r="L3408">
        <f>IFERROR(HLOOKUP(L$2,[103]table_female_hkom2_inj.ill_X8!$A$1:$K$36,4,FALSE),0)</f>
        <v>0</v>
      </c>
      <c r="M3408">
        <f t="shared" si="1065"/>
        <v>0</v>
      </c>
      <c r="S3408" t="s">
        <v>72</v>
      </c>
      <c r="T3408" s="5">
        <f t="shared" si="1066"/>
        <v>0</v>
      </c>
      <c r="U3408" s="5">
        <f t="shared" si="1067"/>
        <v>0</v>
      </c>
      <c r="V3408" s="5">
        <f t="shared" si="1068"/>
        <v>0</v>
      </c>
      <c r="W3408" s="5">
        <f t="shared" si="1069"/>
        <v>0</v>
      </c>
      <c r="X3408" s="5">
        <f t="shared" si="1070"/>
        <v>0</v>
      </c>
      <c r="Y3408" s="5">
        <f t="shared" si="1071"/>
        <v>0</v>
      </c>
      <c r="Z3408" s="5">
        <f t="shared" si="1072"/>
        <v>0</v>
      </c>
      <c r="AA3408" s="5">
        <f t="shared" si="1073"/>
        <v>0</v>
      </c>
      <c r="AB3408" s="5">
        <f t="shared" si="1054"/>
        <v>0</v>
      </c>
    </row>
    <row r="3409" spans="4:28" x14ac:dyDescent="0.25">
      <c r="D3409" t="s">
        <v>73</v>
      </c>
      <c r="E3409" s="14"/>
      <c r="F3409" s="14"/>
      <c r="G3409">
        <f>IFERROR(HLOOKUP(G$2,[103]table_female_hkom2_inj.ill_X8!$A$1:$K$36,5,FALSE),0)</f>
        <v>0</v>
      </c>
      <c r="H3409">
        <f>IFERROR(HLOOKUP(H$2,[103]table_female_hkom2_inj.ill_X8!$A$1:$K$36,5,FALSE),0)</f>
        <v>0</v>
      </c>
      <c r="I3409">
        <f>IFERROR(HLOOKUP(I$2,[103]table_female_hkom2_inj.ill_X8!$A$1:$K$36,5,FALSE),0)</f>
        <v>0</v>
      </c>
      <c r="J3409">
        <f>IFERROR(HLOOKUP(J$2,[103]table_female_hkom2_inj.ill_X8!$A$1:$K$36,5,FALSE),0)</f>
        <v>0</v>
      </c>
      <c r="K3409">
        <f>IFERROR(HLOOKUP(K$2,[103]table_female_hkom2_inj.ill_X8!$A$1:$K$36,5,FALSE),0)</f>
        <v>0</v>
      </c>
      <c r="L3409">
        <f>IFERROR(HLOOKUP(L$2,[103]table_female_hkom2_inj.ill_X8!$A$1:$K$36,5,FALSE),0)</f>
        <v>0</v>
      </c>
      <c r="M3409">
        <f t="shared" si="1065"/>
        <v>0</v>
      </c>
      <c r="S3409" t="s">
        <v>73</v>
      </c>
      <c r="T3409" s="5">
        <f t="shared" si="1066"/>
        <v>0</v>
      </c>
      <c r="U3409" s="5">
        <f t="shared" si="1067"/>
        <v>0</v>
      </c>
      <c r="V3409" s="5">
        <f t="shared" si="1068"/>
        <v>0</v>
      </c>
      <c r="W3409" s="5">
        <f t="shared" si="1069"/>
        <v>0</v>
      </c>
      <c r="X3409" s="5">
        <f t="shared" si="1070"/>
        <v>0</v>
      </c>
      <c r="Y3409" s="5">
        <f t="shared" si="1071"/>
        <v>0</v>
      </c>
      <c r="Z3409" s="5">
        <f t="shared" si="1072"/>
        <v>0</v>
      </c>
      <c r="AA3409" s="5">
        <f t="shared" si="1073"/>
        <v>0</v>
      </c>
      <c r="AB3409" s="5">
        <f t="shared" si="1054"/>
        <v>0</v>
      </c>
    </row>
    <row r="3410" spans="4:28" x14ac:dyDescent="0.25">
      <c r="D3410" t="s">
        <v>74</v>
      </c>
      <c r="E3410" s="14"/>
      <c r="F3410" s="14"/>
      <c r="G3410">
        <f>IFERROR(HLOOKUP(G$2,[103]table_female_hkom2_inj.ill_X8!$A$1:$K$36,6,FALSE),0)</f>
        <v>0</v>
      </c>
      <c r="H3410">
        <f>IFERROR(HLOOKUP(H$2,[103]table_female_hkom2_inj.ill_X8!$A$1:$K$36,6,FALSE),0)</f>
        <v>0</v>
      </c>
      <c r="I3410">
        <f>IFERROR(HLOOKUP(I$2,[103]table_female_hkom2_inj.ill_X8!$A$1:$K$36,6,FALSE),0)</f>
        <v>0</v>
      </c>
      <c r="J3410">
        <f>IFERROR(HLOOKUP(J$2,[103]table_female_hkom2_inj.ill_X8!$A$1:$K$36,6,FALSE),0)</f>
        <v>0</v>
      </c>
      <c r="K3410">
        <f>IFERROR(HLOOKUP(K$2,[103]table_female_hkom2_inj.ill_X8!$A$1:$K$36,6,FALSE),0)</f>
        <v>0</v>
      </c>
      <c r="L3410">
        <f>IFERROR(HLOOKUP(L$2,[103]table_female_hkom2_inj.ill_X8!$A$1:$K$36,6,FALSE),0)</f>
        <v>0</v>
      </c>
      <c r="M3410">
        <f t="shared" si="1065"/>
        <v>0</v>
      </c>
      <c r="S3410" t="s">
        <v>74</v>
      </c>
      <c r="T3410" s="5">
        <f t="shared" si="1066"/>
        <v>0</v>
      </c>
      <c r="U3410" s="5">
        <f t="shared" si="1067"/>
        <v>0</v>
      </c>
      <c r="V3410" s="5">
        <f t="shared" si="1068"/>
        <v>0</v>
      </c>
      <c r="W3410" s="5">
        <f t="shared" si="1069"/>
        <v>0</v>
      </c>
      <c r="X3410" s="5">
        <f t="shared" si="1070"/>
        <v>0</v>
      </c>
      <c r="Y3410" s="5">
        <f t="shared" si="1071"/>
        <v>0</v>
      </c>
      <c r="Z3410" s="5">
        <f t="shared" si="1072"/>
        <v>0</v>
      </c>
      <c r="AA3410" s="5">
        <f t="shared" si="1073"/>
        <v>0</v>
      </c>
      <c r="AB3410" s="5">
        <f t="shared" si="1054"/>
        <v>0</v>
      </c>
    </row>
    <row r="3411" spans="4:28" x14ac:dyDescent="0.25">
      <c r="D3411" t="s">
        <v>75</v>
      </c>
      <c r="E3411" s="14"/>
      <c r="F3411" s="14"/>
      <c r="G3411">
        <f>IFERROR(HLOOKUP(G$2,[103]table_female_hkom2_inj.ill_X8!$A$1:$K$36,7,FALSE),0)</f>
        <v>0</v>
      </c>
      <c r="H3411">
        <f>IFERROR(HLOOKUP(H$2,[103]table_female_hkom2_inj.ill_X8!$A$1:$K$36,7,FALSE),0)</f>
        <v>0</v>
      </c>
      <c r="I3411">
        <f>IFERROR(HLOOKUP(I$2,[103]table_female_hkom2_inj.ill_X8!$A$1:$K$36,7,FALSE),0)</f>
        <v>0</v>
      </c>
      <c r="J3411">
        <f>IFERROR(HLOOKUP(J$2,[103]table_female_hkom2_inj.ill_X8!$A$1:$K$36,7,FALSE),0)</f>
        <v>0</v>
      </c>
      <c r="K3411">
        <f>IFERROR(HLOOKUP(K$2,[103]table_female_hkom2_inj.ill_X8!$A$1:$K$36,7,FALSE),0)</f>
        <v>0</v>
      </c>
      <c r="L3411">
        <f>IFERROR(HLOOKUP(L$2,[103]table_female_hkom2_inj.ill_X8!$A$1:$K$36,7,FALSE),0)</f>
        <v>0</v>
      </c>
      <c r="M3411">
        <f t="shared" si="1065"/>
        <v>0</v>
      </c>
      <c r="S3411" t="s">
        <v>75</v>
      </c>
      <c r="T3411" s="5">
        <f t="shared" si="1066"/>
        <v>0</v>
      </c>
      <c r="U3411" s="5">
        <f t="shared" si="1067"/>
        <v>0</v>
      </c>
      <c r="V3411" s="5">
        <f t="shared" si="1068"/>
        <v>0</v>
      </c>
      <c r="W3411" s="5">
        <f t="shared" si="1069"/>
        <v>0</v>
      </c>
      <c r="X3411" s="5">
        <f t="shared" si="1070"/>
        <v>0</v>
      </c>
      <c r="Y3411" s="5">
        <f t="shared" si="1071"/>
        <v>0</v>
      </c>
      <c r="Z3411" s="5">
        <f t="shared" si="1072"/>
        <v>0</v>
      </c>
      <c r="AA3411" s="5">
        <f t="shared" si="1073"/>
        <v>0</v>
      </c>
      <c r="AB3411" s="5">
        <f t="shared" si="1054"/>
        <v>0</v>
      </c>
    </row>
    <row r="3412" spans="4:28" x14ac:dyDescent="0.25">
      <c r="D3412" t="s">
        <v>76</v>
      </c>
      <c r="E3412" s="14"/>
      <c r="F3412" s="14"/>
      <c r="G3412">
        <f>IFERROR(HLOOKUP(G$2,[103]table_female_hkom2_inj.ill_X8!$A$1:$K$36,8,FALSE),0)</f>
        <v>0</v>
      </c>
      <c r="H3412">
        <f>IFERROR(HLOOKUP(H$2,[103]table_female_hkom2_inj.ill_X8!$A$1:$K$36,8,FALSE),0)</f>
        <v>0</v>
      </c>
      <c r="I3412">
        <f>IFERROR(HLOOKUP(I$2,[103]table_female_hkom2_inj.ill_X8!$A$1:$K$36,8,FALSE),0)</f>
        <v>0</v>
      </c>
      <c r="J3412">
        <f>IFERROR(HLOOKUP(J$2,[103]table_female_hkom2_inj.ill_X8!$A$1:$K$36,8,FALSE),0)</f>
        <v>0</v>
      </c>
      <c r="K3412">
        <f>IFERROR(HLOOKUP(K$2,[103]table_female_hkom2_inj.ill_X8!$A$1:$K$36,8,FALSE),0)</f>
        <v>0</v>
      </c>
      <c r="L3412">
        <f>IFERROR(HLOOKUP(L$2,[103]table_female_hkom2_inj.ill_X8!$A$1:$K$36,8,FALSE),0)</f>
        <v>0</v>
      </c>
      <c r="M3412">
        <f t="shared" si="1065"/>
        <v>0</v>
      </c>
      <c r="S3412" t="s">
        <v>76</v>
      </c>
      <c r="T3412" s="5">
        <f t="shared" si="1066"/>
        <v>0</v>
      </c>
      <c r="U3412" s="5">
        <f t="shared" si="1067"/>
        <v>0</v>
      </c>
      <c r="V3412" s="5">
        <f t="shared" si="1068"/>
        <v>0</v>
      </c>
      <c r="W3412" s="5">
        <f t="shared" si="1069"/>
        <v>0</v>
      </c>
      <c r="X3412" s="5">
        <f t="shared" si="1070"/>
        <v>0</v>
      </c>
      <c r="Y3412" s="5">
        <f t="shared" si="1071"/>
        <v>0</v>
      </c>
      <c r="Z3412" s="5">
        <f t="shared" si="1072"/>
        <v>0</v>
      </c>
      <c r="AA3412" s="5">
        <f t="shared" si="1073"/>
        <v>0</v>
      </c>
      <c r="AB3412" s="5">
        <f t="shared" si="1054"/>
        <v>0</v>
      </c>
    </row>
    <row r="3413" spans="4:28" x14ac:dyDescent="0.25">
      <c r="D3413" t="s">
        <v>77</v>
      </c>
      <c r="E3413" s="14"/>
      <c r="F3413" s="14"/>
      <c r="G3413">
        <f>IFERROR(HLOOKUP(G$2,[103]table_female_hkom2_inj.ill_X8!$A$1:$K$36,9,FALSE),0)</f>
        <v>0</v>
      </c>
      <c r="H3413">
        <f>IFERROR(HLOOKUP(H$2,[103]table_female_hkom2_inj.ill_X8!$A$1:$K$36,9,FALSE),0)</f>
        <v>0</v>
      </c>
      <c r="I3413">
        <f>IFERROR(HLOOKUP(I$2,[103]table_female_hkom2_inj.ill_X8!$A$1:$K$36,9,FALSE),0)</f>
        <v>0</v>
      </c>
      <c r="J3413">
        <f>IFERROR(HLOOKUP(J$2,[103]table_female_hkom2_inj.ill_X8!$A$1:$K$36,9,FALSE),0)</f>
        <v>0</v>
      </c>
      <c r="K3413">
        <f>IFERROR(HLOOKUP(K$2,[103]table_female_hkom2_inj.ill_X8!$A$1:$K$36,9,FALSE),0)</f>
        <v>0</v>
      </c>
      <c r="L3413">
        <f>IFERROR(HLOOKUP(L$2,[103]table_female_hkom2_inj.ill_X8!$A$1:$K$36,9,FALSE),0)</f>
        <v>0</v>
      </c>
      <c r="M3413">
        <f t="shared" si="1065"/>
        <v>0</v>
      </c>
      <c r="S3413" t="s">
        <v>77</v>
      </c>
      <c r="T3413" s="5">
        <f t="shared" si="1066"/>
        <v>0</v>
      </c>
      <c r="U3413" s="5">
        <f t="shared" si="1067"/>
        <v>0</v>
      </c>
      <c r="V3413" s="5">
        <f t="shared" si="1068"/>
        <v>0</v>
      </c>
      <c r="W3413" s="5">
        <f t="shared" si="1069"/>
        <v>0</v>
      </c>
      <c r="X3413" s="5">
        <f t="shared" si="1070"/>
        <v>0</v>
      </c>
      <c r="Y3413" s="5">
        <f t="shared" si="1071"/>
        <v>0</v>
      </c>
      <c r="Z3413" s="5">
        <f t="shared" si="1072"/>
        <v>0</v>
      </c>
      <c r="AA3413" s="5">
        <f t="shared" si="1073"/>
        <v>0</v>
      </c>
      <c r="AB3413" s="5">
        <f t="shared" si="1054"/>
        <v>0</v>
      </c>
    </row>
    <row r="3414" spans="4:28" x14ac:dyDescent="0.25">
      <c r="D3414" t="s">
        <v>78</v>
      </c>
      <c r="E3414" s="14"/>
      <c r="F3414" s="14"/>
      <c r="G3414">
        <f>IFERROR(HLOOKUP(G$2,[103]table_female_hkom2_inj.ill_X8!$A$1:$K$36,10,FALSE),0)</f>
        <v>0</v>
      </c>
      <c r="H3414">
        <f>IFERROR(HLOOKUP(H$2,[103]table_female_hkom2_inj.ill_X8!$A$1:$K$36,10,FALSE),0)</f>
        <v>0</v>
      </c>
      <c r="I3414">
        <f>IFERROR(HLOOKUP(I$2,[103]table_female_hkom2_inj.ill_X8!$A$1:$K$36,10,FALSE),0)</f>
        <v>0</v>
      </c>
      <c r="J3414">
        <f>IFERROR(HLOOKUP(J$2,[103]table_female_hkom2_inj.ill_X8!$A$1:$K$36,10,FALSE),0)</f>
        <v>0</v>
      </c>
      <c r="K3414">
        <f>IFERROR(HLOOKUP(K$2,[103]table_female_hkom2_inj.ill_X8!$A$1:$K$36,10,FALSE),0)</f>
        <v>0</v>
      </c>
      <c r="L3414">
        <f>IFERROR(HLOOKUP(L$2,[103]table_female_hkom2_inj.ill_X8!$A$1:$K$36,10,FALSE),0)</f>
        <v>0</v>
      </c>
      <c r="M3414">
        <f t="shared" si="1065"/>
        <v>0</v>
      </c>
      <c r="S3414" t="s">
        <v>78</v>
      </c>
      <c r="T3414" s="5">
        <f t="shared" si="1066"/>
        <v>0</v>
      </c>
      <c r="U3414" s="5">
        <f t="shared" si="1067"/>
        <v>0</v>
      </c>
      <c r="V3414" s="5">
        <f t="shared" si="1068"/>
        <v>0</v>
      </c>
      <c r="W3414" s="5">
        <f t="shared" si="1069"/>
        <v>0</v>
      </c>
      <c r="X3414" s="5">
        <f t="shared" si="1070"/>
        <v>0</v>
      </c>
      <c r="Y3414" s="5">
        <f t="shared" si="1071"/>
        <v>0</v>
      </c>
      <c r="Z3414" s="5">
        <f t="shared" si="1072"/>
        <v>0</v>
      </c>
      <c r="AA3414" s="5">
        <f t="shared" si="1073"/>
        <v>0</v>
      </c>
      <c r="AB3414" s="5">
        <f t="shared" si="1054"/>
        <v>0</v>
      </c>
    </row>
    <row r="3415" spans="4:28" x14ac:dyDescent="0.25">
      <c r="D3415" t="s">
        <v>79</v>
      </c>
      <c r="E3415" s="14"/>
      <c r="F3415" s="14"/>
      <c r="G3415">
        <f>IFERROR(HLOOKUP(G$2,[103]table_female_hkom2_inj.ill_X8!$A$1:$K$36,11,FALSE),0)</f>
        <v>0</v>
      </c>
      <c r="H3415">
        <f>IFERROR(HLOOKUP(H$2,[103]table_female_hkom2_inj.ill_X8!$A$1:$K$36,11,FALSE),0)</f>
        <v>0</v>
      </c>
      <c r="I3415">
        <f>IFERROR(HLOOKUP(I$2,[103]table_female_hkom2_inj.ill_X8!$A$1:$K$36,11,FALSE),0)</f>
        <v>0</v>
      </c>
      <c r="J3415">
        <f>IFERROR(HLOOKUP(J$2,[103]table_female_hkom2_inj.ill_X8!$A$1:$K$36,11,FALSE),0)</f>
        <v>0</v>
      </c>
      <c r="K3415">
        <f>IFERROR(HLOOKUP(K$2,[103]table_female_hkom2_inj.ill_X8!$A$1:$K$36,11,FALSE),0)</f>
        <v>0</v>
      </c>
      <c r="L3415">
        <f>IFERROR(HLOOKUP(L$2,[103]table_female_hkom2_inj.ill_X8!$A$1:$K$36,11,FALSE),0)</f>
        <v>0</v>
      </c>
      <c r="M3415">
        <f t="shared" si="1065"/>
        <v>0</v>
      </c>
      <c r="S3415" t="s">
        <v>79</v>
      </c>
      <c r="T3415" s="5">
        <f t="shared" si="1066"/>
        <v>0</v>
      </c>
      <c r="U3415" s="5">
        <f t="shared" si="1067"/>
        <v>0</v>
      </c>
      <c r="V3415" s="5">
        <f t="shared" si="1068"/>
        <v>0</v>
      </c>
      <c r="W3415" s="5">
        <f t="shared" si="1069"/>
        <v>0</v>
      </c>
      <c r="X3415" s="5">
        <f t="shared" si="1070"/>
        <v>0</v>
      </c>
      <c r="Y3415" s="5">
        <f t="shared" si="1071"/>
        <v>0</v>
      </c>
      <c r="Z3415" s="5">
        <f t="shared" si="1072"/>
        <v>0</v>
      </c>
      <c r="AA3415" s="5">
        <f t="shared" si="1073"/>
        <v>0</v>
      </c>
      <c r="AB3415" s="5">
        <f t="shared" si="1054"/>
        <v>0</v>
      </c>
    </row>
    <row r="3416" spans="4:28" x14ac:dyDescent="0.25">
      <c r="D3416" t="s">
        <v>80</v>
      </c>
      <c r="E3416" s="14"/>
      <c r="F3416" s="14"/>
      <c r="G3416">
        <f>IFERROR(HLOOKUP(G$2,[103]table_female_hkom2_inj.ill_X8!$A$1:$K$36,12,FALSE),0)</f>
        <v>0</v>
      </c>
      <c r="H3416">
        <f>IFERROR(HLOOKUP(H$2,[103]table_female_hkom2_inj.ill_X8!$A$1:$K$36,12,FALSE),0)</f>
        <v>0</v>
      </c>
      <c r="I3416">
        <f>IFERROR(HLOOKUP(I$2,[103]table_female_hkom2_inj.ill_X8!$A$1:$K$36,12,FALSE),0)</f>
        <v>0</v>
      </c>
      <c r="J3416">
        <f>IFERROR(HLOOKUP(J$2,[103]table_female_hkom2_inj.ill_X8!$A$1:$K$36,12,FALSE),0)</f>
        <v>0</v>
      </c>
      <c r="K3416">
        <f>IFERROR(HLOOKUP(K$2,[103]table_female_hkom2_inj.ill_X8!$A$1:$K$36,12,FALSE),0)</f>
        <v>0</v>
      </c>
      <c r="L3416">
        <f>IFERROR(HLOOKUP(L$2,[103]table_female_hkom2_inj.ill_X8!$A$1:$K$36,12,FALSE),0)</f>
        <v>0</v>
      </c>
      <c r="M3416">
        <f t="shared" si="1065"/>
        <v>0</v>
      </c>
      <c r="S3416" t="s">
        <v>80</v>
      </c>
      <c r="T3416" s="5">
        <f t="shared" si="1066"/>
        <v>0</v>
      </c>
      <c r="U3416" s="5">
        <f t="shared" si="1067"/>
        <v>0</v>
      </c>
      <c r="V3416" s="5">
        <f t="shared" si="1068"/>
        <v>0</v>
      </c>
      <c r="W3416" s="5">
        <f t="shared" si="1069"/>
        <v>0</v>
      </c>
      <c r="X3416" s="5">
        <f t="shared" si="1070"/>
        <v>0</v>
      </c>
      <c r="Y3416" s="5">
        <f t="shared" si="1071"/>
        <v>0</v>
      </c>
      <c r="Z3416" s="5">
        <f t="shared" si="1072"/>
        <v>0</v>
      </c>
      <c r="AA3416" s="5">
        <f t="shared" si="1073"/>
        <v>0</v>
      </c>
      <c r="AB3416" s="5">
        <f t="shared" si="1054"/>
        <v>0</v>
      </c>
    </row>
    <row r="3417" spans="4:28" x14ac:dyDescent="0.25">
      <c r="D3417" t="s">
        <v>81</v>
      </c>
      <c r="E3417" s="14"/>
      <c r="F3417" s="14"/>
      <c r="G3417">
        <f>IFERROR(HLOOKUP(G$2,[103]table_female_hkom2_inj.ill_X8!$A$1:$K$36,13,FALSE),0)</f>
        <v>0</v>
      </c>
      <c r="H3417">
        <f>IFERROR(HLOOKUP(H$2,[103]table_female_hkom2_inj.ill_X8!$A$1:$K$36,13,FALSE),0)</f>
        <v>0</v>
      </c>
      <c r="I3417">
        <f>IFERROR(HLOOKUP(I$2,[103]table_female_hkom2_inj.ill_X8!$A$1:$K$36,13,FALSE),0)</f>
        <v>0</v>
      </c>
      <c r="J3417">
        <f>IFERROR(HLOOKUP(J$2,[103]table_female_hkom2_inj.ill_X8!$A$1:$K$36,13,FALSE),0)</f>
        <v>0</v>
      </c>
      <c r="K3417">
        <f>IFERROR(HLOOKUP(K$2,[103]table_female_hkom2_inj.ill_X8!$A$1:$K$36,13,FALSE),0)</f>
        <v>0</v>
      </c>
      <c r="L3417">
        <f>IFERROR(HLOOKUP(L$2,[103]table_female_hkom2_inj.ill_X8!$A$1:$K$36,13,FALSE),0)</f>
        <v>0</v>
      </c>
      <c r="M3417">
        <f t="shared" si="1065"/>
        <v>0</v>
      </c>
      <c r="S3417" t="s">
        <v>81</v>
      </c>
      <c r="T3417" s="5">
        <f t="shared" si="1066"/>
        <v>0</v>
      </c>
      <c r="U3417" s="5">
        <f t="shared" si="1067"/>
        <v>0</v>
      </c>
      <c r="V3417" s="5">
        <f t="shared" si="1068"/>
        <v>0</v>
      </c>
      <c r="W3417" s="5">
        <f t="shared" si="1069"/>
        <v>0</v>
      </c>
      <c r="X3417" s="5">
        <f t="shared" si="1070"/>
        <v>0</v>
      </c>
      <c r="Y3417" s="5">
        <f t="shared" si="1071"/>
        <v>0</v>
      </c>
      <c r="Z3417" s="5">
        <f t="shared" si="1072"/>
        <v>0</v>
      </c>
      <c r="AA3417" s="5">
        <f t="shared" si="1073"/>
        <v>0</v>
      </c>
      <c r="AB3417" s="5">
        <f t="shared" si="1054"/>
        <v>0</v>
      </c>
    </row>
    <row r="3418" spans="4:28" x14ac:dyDescent="0.25">
      <c r="D3418" t="s">
        <v>82</v>
      </c>
      <c r="E3418" s="14"/>
      <c r="F3418" s="14"/>
      <c r="G3418">
        <f>IFERROR(HLOOKUP(G$2,[103]table_female_hkom2_inj.ill_X8!$A$1:$K$36,14,FALSE),0)</f>
        <v>0</v>
      </c>
      <c r="H3418">
        <f>IFERROR(HLOOKUP(H$2,[103]table_female_hkom2_inj.ill_X8!$A$1:$K$36,14,FALSE),0)</f>
        <v>0</v>
      </c>
      <c r="I3418">
        <f>IFERROR(HLOOKUP(I$2,[103]table_female_hkom2_inj.ill_X8!$A$1:$K$36,14,FALSE),0)</f>
        <v>0</v>
      </c>
      <c r="J3418">
        <f>IFERROR(HLOOKUP(J$2,[103]table_female_hkom2_inj.ill_X8!$A$1:$K$36,14,FALSE),0)</f>
        <v>0</v>
      </c>
      <c r="K3418">
        <f>IFERROR(HLOOKUP(K$2,[103]table_female_hkom2_inj.ill_X8!$A$1:$K$36,14,FALSE),0)</f>
        <v>0</v>
      </c>
      <c r="L3418">
        <f>IFERROR(HLOOKUP(L$2,[103]table_female_hkom2_inj.ill_X8!$A$1:$K$36,14,FALSE),0)</f>
        <v>0</v>
      </c>
      <c r="M3418">
        <f t="shared" si="1065"/>
        <v>0</v>
      </c>
      <c r="S3418" t="s">
        <v>82</v>
      </c>
      <c r="T3418" s="5">
        <f t="shared" si="1066"/>
        <v>0</v>
      </c>
      <c r="U3418" s="5">
        <f t="shared" si="1067"/>
        <v>0</v>
      </c>
      <c r="V3418" s="5">
        <f t="shared" si="1068"/>
        <v>0</v>
      </c>
      <c r="W3418" s="5">
        <f t="shared" si="1069"/>
        <v>0</v>
      </c>
      <c r="X3418" s="5">
        <f t="shared" si="1070"/>
        <v>0</v>
      </c>
      <c r="Y3418" s="5">
        <f t="shared" si="1071"/>
        <v>0</v>
      </c>
      <c r="Z3418" s="5">
        <f t="shared" si="1072"/>
        <v>0</v>
      </c>
      <c r="AA3418" s="5">
        <f t="shared" si="1073"/>
        <v>0</v>
      </c>
      <c r="AB3418" s="5">
        <f t="shared" si="1054"/>
        <v>0</v>
      </c>
    </row>
    <row r="3419" spans="4:28" x14ac:dyDescent="0.25">
      <c r="D3419" t="s">
        <v>83</v>
      </c>
      <c r="E3419" s="14"/>
      <c r="F3419" s="14"/>
      <c r="G3419">
        <f>IFERROR(HLOOKUP(G$2,[103]table_female_hkom2_inj.ill_X8!$A$1:$K$36,15,FALSE),0)</f>
        <v>0</v>
      </c>
      <c r="H3419">
        <f>IFERROR(HLOOKUP(H$2,[103]table_female_hkom2_inj.ill_X8!$A$1:$K$36,15,FALSE),0)</f>
        <v>0</v>
      </c>
      <c r="I3419">
        <f>IFERROR(HLOOKUP(I$2,[103]table_female_hkom2_inj.ill_X8!$A$1:$K$36,15,FALSE),0)</f>
        <v>0</v>
      </c>
      <c r="J3419">
        <f>IFERROR(HLOOKUP(J$2,[103]table_female_hkom2_inj.ill_X8!$A$1:$K$36,15,FALSE),0)</f>
        <v>0</v>
      </c>
      <c r="K3419">
        <f>IFERROR(HLOOKUP(K$2,[103]table_female_hkom2_inj.ill_X8!$A$1:$K$36,15,FALSE),0)</f>
        <v>0</v>
      </c>
      <c r="L3419">
        <f>IFERROR(HLOOKUP(L$2,[103]table_female_hkom2_inj.ill_X8!$A$1:$K$36,15,FALSE),0)</f>
        <v>0</v>
      </c>
      <c r="M3419">
        <f t="shared" si="1065"/>
        <v>0</v>
      </c>
      <c r="S3419" t="s">
        <v>83</v>
      </c>
      <c r="T3419" s="5">
        <f t="shared" si="1066"/>
        <v>0</v>
      </c>
      <c r="U3419" s="5">
        <f t="shared" si="1067"/>
        <v>0</v>
      </c>
      <c r="V3419" s="5">
        <f t="shared" si="1068"/>
        <v>0</v>
      </c>
      <c r="W3419" s="5">
        <f t="shared" si="1069"/>
        <v>0</v>
      </c>
      <c r="X3419" s="5">
        <f t="shared" si="1070"/>
        <v>0</v>
      </c>
      <c r="Y3419" s="5">
        <f t="shared" si="1071"/>
        <v>0</v>
      </c>
      <c r="Z3419" s="5">
        <f t="shared" si="1072"/>
        <v>0</v>
      </c>
      <c r="AA3419" s="5">
        <f t="shared" si="1073"/>
        <v>0</v>
      </c>
      <c r="AB3419" s="5">
        <f t="shared" si="1054"/>
        <v>0</v>
      </c>
    </row>
    <row r="3420" spans="4:28" x14ac:dyDescent="0.25">
      <c r="D3420" t="s">
        <v>84</v>
      </c>
      <c r="E3420" s="14"/>
      <c r="F3420" s="14"/>
      <c r="G3420">
        <f>IFERROR(HLOOKUP(G$2,[103]table_female_hkom2_inj.ill_X8!$A$1:$K$36,16,FALSE),0)</f>
        <v>0</v>
      </c>
      <c r="H3420">
        <f>IFERROR(HLOOKUP(H$2,[103]table_female_hkom2_inj.ill_X8!$A$1:$K$36,16,FALSE),0)</f>
        <v>0</v>
      </c>
      <c r="I3420">
        <f>IFERROR(HLOOKUP(I$2,[103]table_female_hkom2_inj.ill_X8!$A$1:$K$36,16,FALSE),0)</f>
        <v>0</v>
      </c>
      <c r="J3420">
        <f>IFERROR(HLOOKUP(J$2,[103]table_female_hkom2_inj.ill_X8!$A$1:$K$36,16,FALSE),0)</f>
        <v>1</v>
      </c>
      <c r="K3420">
        <f>IFERROR(HLOOKUP(K$2,[103]table_female_hkom2_inj.ill_X8!$A$1:$K$36,16,FALSE),0)</f>
        <v>0</v>
      </c>
      <c r="L3420">
        <f>IFERROR(HLOOKUP(L$2,[103]table_female_hkom2_inj.ill_X8!$A$1:$K$36,16,FALSE),0)</f>
        <v>0</v>
      </c>
      <c r="M3420">
        <f t="shared" si="1065"/>
        <v>1</v>
      </c>
      <c r="S3420" t="s">
        <v>84</v>
      </c>
      <c r="T3420" s="5">
        <f t="shared" si="1066"/>
        <v>0</v>
      </c>
      <c r="U3420" s="5">
        <f t="shared" si="1067"/>
        <v>0</v>
      </c>
      <c r="V3420" s="5">
        <f t="shared" si="1068"/>
        <v>0</v>
      </c>
      <c r="W3420" s="5">
        <f t="shared" si="1069"/>
        <v>0</v>
      </c>
      <c r="X3420" s="5">
        <f t="shared" si="1070"/>
        <v>0</v>
      </c>
      <c r="Y3420" s="5">
        <f t="shared" si="1071"/>
        <v>1</v>
      </c>
      <c r="Z3420" s="5">
        <f t="shared" si="1072"/>
        <v>0</v>
      </c>
      <c r="AA3420" s="5">
        <f t="shared" si="1073"/>
        <v>0</v>
      </c>
      <c r="AB3420" s="5">
        <f t="shared" si="1054"/>
        <v>1</v>
      </c>
    </row>
    <row r="3421" spans="4:28" x14ac:dyDescent="0.25">
      <c r="D3421" t="s">
        <v>85</v>
      </c>
      <c r="E3421" s="14"/>
      <c r="F3421" s="14"/>
      <c r="G3421">
        <f>IFERROR(HLOOKUP(G$2,[103]table_female_hkom2_inj.ill_X8!$A$1:$K$36,17,FALSE),0)</f>
        <v>0</v>
      </c>
      <c r="H3421">
        <f>IFERROR(HLOOKUP(H$2,[103]table_female_hkom2_inj.ill_X8!$A$1:$K$36,17,FALSE),0)</f>
        <v>0</v>
      </c>
      <c r="I3421">
        <f>IFERROR(HLOOKUP(I$2,[103]table_female_hkom2_inj.ill_X8!$A$1:$K$36,17,FALSE),0)</f>
        <v>0</v>
      </c>
      <c r="J3421">
        <f>IFERROR(HLOOKUP(J$2,[103]table_female_hkom2_inj.ill_X8!$A$1:$K$36,17,FALSE),0)</f>
        <v>0</v>
      </c>
      <c r="K3421">
        <f>IFERROR(HLOOKUP(K$2,[103]table_female_hkom2_inj.ill_X8!$A$1:$K$36,17,FALSE),0)</f>
        <v>0</v>
      </c>
      <c r="L3421">
        <f>IFERROR(HLOOKUP(L$2,[103]table_female_hkom2_inj.ill_X8!$A$1:$K$36,17,FALSE),0)</f>
        <v>0</v>
      </c>
      <c r="M3421">
        <f t="shared" si="1065"/>
        <v>0</v>
      </c>
      <c r="S3421" t="s">
        <v>85</v>
      </c>
      <c r="T3421" s="5">
        <f t="shared" si="1066"/>
        <v>0</v>
      </c>
      <c r="U3421" s="5">
        <f t="shared" si="1067"/>
        <v>0</v>
      </c>
      <c r="V3421" s="5">
        <f t="shared" si="1068"/>
        <v>0</v>
      </c>
      <c r="W3421" s="5">
        <f t="shared" si="1069"/>
        <v>0</v>
      </c>
      <c r="X3421" s="5">
        <f t="shared" si="1070"/>
        <v>0</v>
      </c>
      <c r="Y3421" s="5">
        <f t="shared" si="1071"/>
        <v>0</v>
      </c>
      <c r="Z3421" s="5">
        <f t="shared" si="1072"/>
        <v>0</v>
      </c>
      <c r="AA3421" s="5">
        <f t="shared" si="1073"/>
        <v>0</v>
      </c>
      <c r="AB3421" s="5">
        <f t="shared" si="1054"/>
        <v>0</v>
      </c>
    </row>
    <row r="3422" spans="4:28" x14ac:dyDescent="0.25">
      <c r="D3422" t="s">
        <v>86</v>
      </c>
      <c r="E3422" s="14"/>
      <c r="F3422" s="14"/>
      <c r="G3422">
        <f>IFERROR(HLOOKUP(G$2,[103]table_female_hkom2_inj.ill_X8!$A$1:$K$36,18,FALSE),0)</f>
        <v>1</v>
      </c>
      <c r="H3422">
        <f>IFERROR(HLOOKUP(H$2,[103]table_female_hkom2_inj.ill_X8!$A$1:$K$36,18,FALSE),0)</f>
        <v>0</v>
      </c>
      <c r="I3422">
        <f>IFERROR(HLOOKUP(I$2,[103]table_female_hkom2_inj.ill_X8!$A$1:$K$36,18,FALSE),0)</f>
        <v>1</v>
      </c>
      <c r="J3422">
        <f>IFERROR(HLOOKUP(J$2,[103]table_female_hkom2_inj.ill_X8!$A$1:$K$36,18,FALSE),0)</f>
        <v>0</v>
      </c>
      <c r="K3422">
        <f>IFERROR(HLOOKUP(K$2,[103]table_female_hkom2_inj.ill_X8!$A$1:$K$36,18,FALSE),0)</f>
        <v>0</v>
      </c>
      <c r="L3422">
        <f>IFERROR(HLOOKUP(L$2,[103]table_female_hkom2_inj.ill_X8!$A$1:$K$36,18,FALSE),0)</f>
        <v>0</v>
      </c>
      <c r="M3422">
        <f t="shared" si="1065"/>
        <v>2</v>
      </c>
      <c r="S3422" t="s">
        <v>86</v>
      </c>
      <c r="T3422" s="5">
        <f t="shared" si="1066"/>
        <v>0</v>
      </c>
      <c r="U3422" s="5">
        <f t="shared" si="1067"/>
        <v>0</v>
      </c>
      <c r="V3422" s="5">
        <f t="shared" si="1068"/>
        <v>2</v>
      </c>
      <c r="W3422" s="5">
        <f t="shared" si="1069"/>
        <v>0</v>
      </c>
      <c r="X3422" s="5">
        <f t="shared" si="1070"/>
        <v>3</v>
      </c>
      <c r="Y3422" s="5">
        <f t="shared" si="1071"/>
        <v>0</v>
      </c>
      <c r="Z3422" s="5">
        <f t="shared" si="1072"/>
        <v>0</v>
      </c>
      <c r="AA3422" s="5">
        <f t="shared" si="1073"/>
        <v>0</v>
      </c>
      <c r="AB3422" s="5">
        <f t="shared" si="1054"/>
        <v>5</v>
      </c>
    </row>
    <row r="3423" spans="4:28" x14ac:dyDescent="0.25">
      <c r="D3423" t="s">
        <v>87</v>
      </c>
      <c r="E3423" s="14"/>
      <c r="F3423" s="14"/>
      <c r="G3423">
        <f>IFERROR(HLOOKUP(G$2,[103]table_female_hkom2_inj.ill_X8!$A$1:$K$36,19,FALSE),0)</f>
        <v>0</v>
      </c>
      <c r="H3423">
        <f>IFERROR(HLOOKUP(H$2,[103]table_female_hkom2_inj.ill_X8!$A$1:$K$36,19,FALSE),0)</f>
        <v>0</v>
      </c>
      <c r="I3423">
        <f>IFERROR(HLOOKUP(I$2,[103]table_female_hkom2_inj.ill_X8!$A$1:$K$36,19,FALSE),0)</f>
        <v>0</v>
      </c>
      <c r="J3423">
        <f>IFERROR(HLOOKUP(J$2,[103]table_female_hkom2_inj.ill_X8!$A$1:$K$36,19,FALSE),0)</f>
        <v>0</v>
      </c>
      <c r="K3423">
        <f>IFERROR(HLOOKUP(K$2,[103]table_female_hkom2_inj.ill_X8!$A$1:$K$36,19,FALSE),0)</f>
        <v>0</v>
      </c>
      <c r="L3423">
        <f>IFERROR(HLOOKUP(L$2,[103]table_female_hkom2_inj.ill_X8!$A$1:$K$36,19,FALSE),0)</f>
        <v>0</v>
      </c>
      <c r="M3423">
        <f t="shared" si="1065"/>
        <v>0</v>
      </c>
      <c r="S3423" t="s">
        <v>87</v>
      </c>
      <c r="T3423" s="5">
        <f t="shared" si="1066"/>
        <v>0</v>
      </c>
      <c r="U3423" s="5">
        <f t="shared" si="1067"/>
        <v>0</v>
      </c>
      <c r="V3423" s="5">
        <f t="shared" si="1068"/>
        <v>0</v>
      </c>
      <c r="W3423" s="5">
        <f t="shared" si="1069"/>
        <v>0</v>
      </c>
      <c r="X3423" s="5">
        <f t="shared" si="1070"/>
        <v>0</v>
      </c>
      <c r="Y3423" s="5">
        <f t="shared" si="1071"/>
        <v>0</v>
      </c>
      <c r="Z3423" s="5">
        <f t="shared" si="1072"/>
        <v>0</v>
      </c>
      <c r="AA3423" s="5">
        <f t="shared" si="1073"/>
        <v>0</v>
      </c>
      <c r="AB3423" s="5">
        <f t="shared" si="1054"/>
        <v>0</v>
      </c>
    </row>
    <row r="3424" spans="4:28" x14ac:dyDescent="0.25">
      <c r="D3424" t="s">
        <v>88</v>
      </c>
      <c r="E3424" s="14"/>
      <c r="F3424" s="14"/>
      <c r="G3424">
        <f>IFERROR(HLOOKUP(G$2,[103]table_female_hkom2_inj.ill_X8!$A$1:$K$36,20,FALSE),0)</f>
        <v>0</v>
      </c>
      <c r="H3424">
        <f>IFERROR(HLOOKUP(H$2,[103]table_female_hkom2_inj.ill_X8!$A$1:$K$36,20,FALSE),0)</f>
        <v>0</v>
      </c>
      <c r="I3424">
        <f>IFERROR(HLOOKUP(I$2,[103]table_female_hkom2_inj.ill_X8!$A$1:$K$36,20,FALSE),0)</f>
        <v>0</v>
      </c>
      <c r="J3424">
        <f>IFERROR(HLOOKUP(J$2,[103]table_female_hkom2_inj.ill_X8!$A$1:$K$36,20,FALSE),0)</f>
        <v>0</v>
      </c>
      <c r="K3424">
        <f>IFERROR(HLOOKUP(K$2,[103]table_female_hkom2_inj.ill_X8!$A$1:$K$36,20,FALSE),0)</f>
        <v>0</v>
      </c>
      <c r="L3424">
        <f>IFERROR(HLOOKUP(L$2,[103]table_female_hkom2_inj.ill_X8!$A$1:$K$36,20,FALSE),0)</f>
        <v>0</v>
      </c>
      <c r="M3424">
        <f t="shared" si="1065"/>
        <v>0</v>
      </c>
      <c r="S3424" t="s">
        <v>88</v>
      </c>
      <c r="T3424" s="5">
        <f t="shared" si="1066"/>
        <v>0</v>
      </c>
      <c r="U3424" s="5">
        <f t="shared" si="1067"/>
        <v>0</v>
      </c>
      <c r="V3424" s="5">
        <f t="shared" si="1068"/>
        <v>0</v>
      </c>
      <c r="W3424" s="5">
        <f t="shared" si="1069"/>
        <v>0</v>
      </c>
      <c r="X3424" s="5">
        <f t="shared" si="1070"/>
        <v>0</v>
      </c>
      <c r="Y3424" s="5">
        <f t="shared" si="1071"/>
        <v>0</v>
      </c>
      <c r="Z3424" s="5">
        <f t="shared" si="1072"/>
        <v>0</v>
      </c>
      <c r="AA3424" s="5">
        <f t="shared" si="1073"/>
        <v>0</v>
      </c>
      <c r="AB3424" s="5">
        <f t="shared" si="1054"/>
        <v>0</v>
      </c>
    </row>
    <row r="3425" spans="1:29" x14ac:dyDescent="0.25">
      <c r="D3425" t="s">
        <v>89</v>
      </c>
      <c r="E3425" s="14"/>
      <c r="F3425" s="14"/>
      <c r="G3425">
        <f>IFERROR(HLOOKUP(G$2,[103]table_female_hkom2_inj.ill_X8!$A$1:$K$36,21,FALSE),0)</f>
        <v>0</v>
      </c>
      <c r="H3425">
        <f>IFERROR(HLOOKUP(H$2,[103]table_female_hkom2_inj.ill_X8!$A$1:$K$36,21,FALSE),0)</f>
        <v>0</v>
      </c>
      <c r="I3425">
        <f>IFERROR(HLOOKUP(I$2,[103]table_female_hkom2_inj.ill_X8!$A$1:$K$36,21,FALSE),0)</f>
        <v>0</v>
      </c>
      <c r="J3425">
        <f>IFERROR(HLOOKUP(J$2,[103]table_female_hkom2_inj.ill_X8!$A$1:$K$36,21,FALSE),0)</f>
        <v>0</v>
      </c>
      <c r="K3425">
        <f>IFERROR(HLOOKUP(K$2,[103]table_female_hkom2_inj.ill_X8!$A$1:$K$36,21,FALSE),0)</f>
        <v>0</v>
      </c>
      <c r="L3425">
        <f>IFERROR(HLOOKUP(L$2,[103]table_female_hkom2_inj.ill_X8!$A$1:$K$36,21,FALSE),0)</f>
        <v>0</v>
      </c>
      <c r="M3425">
        <f t="shared" si="1065"/>
        <v>0</v>
      </c>
      <c r="S3425" t="s">
        <v>89</v>
      </c>
      <c r="T3425" s="5">
        <f t="shared" si="1066"/>
        <v>0</v>
      </c>
      <c r="U3425" s="5">
        <f t="shared" si="1067"/>
        <v>0</v>
      </c>
      <c r="V3425" s="5">
        <f t="shared" si="1068"/>
        <v>0</v>
      </c>
      <c r="W3425" s="5">
        <f t="shared" si="1069"/>
        <v>0</v>
      </c>
      <c r="X3425" s="5">
        <f t="shared" si="1070"/>
        <v>0</v>
      </c>
      <c r="Y3425" s="5">
        <f t="shared" si="1071"/>
        <v>0</v>
      </c>
      <c r="Z3425" s="5">
        <f t="shared" si="1072"/>
        <v>0</v>
      </c>
      <c r="AA3425" s="5">
        <f t="shared" si="1073"/>
        <v>0</v>
      </c>
      <c r="AB3425" s="5">
        <f t="shared" si="1054"/>
        <v>0</v>
      </c>
    </row>
    <row r="3426" spans="1:29" x14ac:dyDescent="0.25">
      <c r="D3426" t="s">
        <v>90</v>
      </c>
      <c r="E3426" s="14"/>
      <c r="F3426" s="14"/>
      <c r="G3426">
        <f>IFERROR(HLOOKUP(G$2,[103]table_female_hkom2_inj.ill_X8!$A$1:$K$36,22,FALSE),0)</f>
        <v>0</v>
      </c>
      <c r="H3426">
        <f>IFERROR(HLOOKUP(H$2,[103]table_female_hkom2_inj.ill_X8!$A$1:$K$36,22,FALSE),0)</f>
        <v>0</v>
      </c>
      <c r="I3426">
        <f>IFERROR(HLOOKUP(I$2,[103]table_female_hkom2_inj.ill_X8!$A$1:$K$36,22,FALSE),0)</f>
        <v>0</v>
      </c>
      <c r="J3426">
        <f>IFERROR(HLOOKUP(J$2,[103]table_female_hkom2_inj.ill_X8!$A$1:$K$36,22,FALSE),0)</f>
        <v>0</v>
      </c>
      <c r="K3426">
        <f>IFERROR(HLOOKUP(K$2,[103]table_female_hkom2_inj.ill_X8!$A$1:$K$36,22,FALSE),0)</f>
        <v>0</v>
      </c>
      <c r="L3426">
        <f>IFERROR(HLOOKUP(L$2,[103]table_female_hkom2_inj.ill_X8!$A$1:$K$36,22,FALSE),0)</f>
        <v>0</v>
      </c>
      <c r="M3426">
        <f t="shared" si="1065"/>
        <v>0</v>
      </c>
      <c r="S3426" t="s">
        <v>90</v>
      </c>
      <c r="T3426" s="5">
        <f t="shared" si="1066"/>
        <v>0</v>
      </c>
      <c r="U3426" s="5">
        <f t="shared" si="1067"/>
        <v>0</v>
      </c>
      <c r="V3426" s="5">
        <f t="shared" si="1068"/>
        <v>0</v>
      </c>
      <c r="W3426" s="5">
        <f t="shared" si="1069"/>
        <v>0</v>
      </c>
      <c r="X3426" s="5">
        <f t="shared" si="1070"/>
        <v>0</v>
      </c>
      <c r="Y3426" s="5">
        <f t="shared" si="1071"/>
        <v>0</v>
      </c>
      <c r="Z3426" s="5">
        <f t="shared" si="1072"/>
        <v>0</v>
      </c>
      <c r="AA3426" s="5">
        <f t="shared" si="1073"/>
        <v>0</v>
      </c>
      <c r="AB3426" s="5">
        <f t="shared" si="1054"/>
        <v>0</v>
      </c>
    </row>
    <row r="3427" spans="1:29" x14ac:dyDescent="0.25">
      <c r="D3427" t="s">
        <v>91</v>
      </c>
      <c r="E3427" s="14"/>
      <c r="F3427" s="14"/>
      <c r="G3427">
        <f>IFERROR(HLOOKUP(G$2,[103]table_female_hkom2_inj.ill_X8!$A$1:$K$36,23,FALSE),0)</f>
        <v>0</v>
      </c>
      <c r="H3427">
        <f>IFERROR(HLOOKUP(H$2,[103]table_female_hkom2_inj.ill_X8!$A$1:$K$36,23,FALSE),0)</f>
        <v>0</v>
      </c>
      <c r="I3427">
        <f>IFERROR(HLOOKUP(I$2,[103]table_female_hkom2_inj.ill_X8!$A$1:$K$36,23,FALSE),0)</f>
        <v>0</v>
      </c>
      <c r="J3427">
        <f>IFERROR(HLOOKUP(J$2,[103]table_female_hkom2_inj.ill_X8!$A$1:$K$36,23,FALSE),0)</f>
        <v>0</v>
      </c>
      <c r="K3427">
        <f>IFERROR(HLOOKUP(K$2,[103]table_female_hkom2_inj.ill_X8!$A$1:$K$36,23,FALSE),0)</f>
        <v>0</v>
      </c>
      <c r="L3427">
        <f>IFERROR(HLOOKUP(L$2,[103]table_female_hkom2_inj.ill_X8!$A$1:$K$36,23,FALSE),0)</f>
        <v>0</v>
      </c>
      <c r="M3427">
        <f t="shared" si="1065"/>
        <v>0</v>
      </c>
      <c r="S3427" t="s">
        <v>91</v>
      </c>
      <c r="T3427" s="5">
        <f t="shared" si="1066"/>
        <v>0</v>
      </c>
      <c r="U3427" s="5">
        <f t="shared" si="1067"/>
        <v>0</v>
      </c>
      <c r="V3427" s="5">
        <f t="shared" si="1068"/>
        <v>0</v>
      </c>
      <c r="W3427" s="5">
        <f t="shared" si="1069"/>
        <v>0</v>
      </c>
      <c r="X3427" s="5">
        <f t="shared" si="1070"/>
        <v>0</v>
      </c>
      <c r="Y3427" s="5">
        <f t="shared" si="1071"/>
        <v>0</v>
      </c>
      <c r="Z3427" s="5">
        <f t="shared" si="1072"/>
        <v>0</v>
      </c>
      <c r="AA3427" s="5">
        <f t="shared" si="1073"/>
        <v>0</v>
      </c>
      <c r="AB3427" s="5">
        <f t="shared" si="1054"/>
        <v>0</v>
      </c>
    </row>
    <row r="3428" spans="1:29" x14ac:dyDescent="0.25">
      <c r="D3428" t="s">
        <v>92</v>
      </c>
      <c r="E3428" s="14"/>
      <c r="F3428" s="14"/>
      <c r="G3428">
        <f>IFERROR(HLOOKUP(G$2,[103]table_female_hkom2_inj.ill_X8!$A$1:$K$36,24,FALSE),0)</f>
        <v>0</v>
      </c>
      <c r="H3428">
        <f>IFERROR(HLOOKUP(H$2,[103]table_female_hkom2_inj.ill_X8!$A$1:$K$36,24,FALSE),0)</f>
        <v>0</v>
      </c>
      <c r="I3428">
        <f>IFERROR(HLOOKUP(I$2,[103]table_female_hkom2_inj.ill_X8!$A$1:$K$36,24,FALSE),0)</f>
        <v>0</v>
      </c>
      <c r="J3428">
        <f>IFERROR(HLOOKUP(J$2,[103]table_female_hkom2_inj.ill_X8!$A$1:$K$36,24,FALSE),0)</f>
        <v>0</v>
      </c>
      <c r="K3428">
        <f>IFERROR(HLOOKUP(K$2,[103]table_female_hkom2_inj.ill_X8!$A$1:$K$36,24,FALSE),0)</f>
        <v>0</v>
      </c>
      <c r="L3428">
        <f>IFERROR(HLOOKUP(L$2,[103]table_female_hkom2_inj.ill_X8!$A$1:$K$36,24,FALSE),0)</f>
        <v>0</v>
      </c>
      <c r="M3428">
        <f t="shared" si="1065"/>
        <v>0</v>
      </c>
      <c r="S3428" t="s">
        <v>92</v>
      </c>
      <c r="T3428" s="5">
        <f t="shared" si="1066"/>
        <v>0</v>
      </c>
      <c r="U3428" s="5">
        <f t="shared" si="1067"/>
        <v>0</v>
      </c>
      <c r="V3428" s="5">
        <f t="shared" si="1068"/>
        <v>0</v>
      </c>
      <c r="W3428" s="5">
        <f t="shared" si="1069"/>
        <v>0</v>
      </c>
      <c r="X3428" s="5">
        <f t="shared" si="1070"/>
        <v>0</v>
      </c>
      <c r="Y3428" s="5">
        <f t="shared" si="1071"/>
        <v>0</v>
      </c>
      <c r="Z3428" s="5">
        <f t="shared" si="1072"/>
        <v>0</v>
      </c>
      <c r="AA3428" s="5">
        <f t="shared" si="1073"/>
        <v>0</v>
      </c>
      <c r="AB3428" s="5">
        <f t="shared" si="1054"/>
        <v>0</v>
      </c>
    </row>
    <row r="3429" spans="1:29" x14ac:dyDescent="0.25">
      <c r="D3429" t="s">
        <v>93</v>
      </c>
      <c r="E3429" s="14"/>
      <c r="F3429" s="14"/>
      <c r="G3429">
        <f>IFERROR(HLOOKUP(G$2,[103]table_female_hkom2_inj.ill_X8!$A$1:$K$36,25,FALSE),0)</f>
        <v>0</v>
      </c>
      <c r="H3429">
        <f>IFERROR(HLOOKUP(H$2,[103]table_female_hkom2_inj.ill_X8!$A$1:$K$36,25,FALSE),0)</f>
        <v>0</v>
      </c>
      <c r="I3429">
        <f>IFERROR(HLOOKUP(I$2,[103]table_female_hkom2_inj.ill_X8!$A$1:$K$36,25,FALSE),0)</f>
        <v>0</v>
      </c>
      <c r="J3429">
        <f>IFERROR(HLOOKUP(J$2,[103]table_female_hkom2_inj.ill_X8!$A$1:$K$36,25,FALSE),0)</f>
        <v>0</v>
      </c>
      <c r="K3429">
        <f>IFERROR(HLOOKUP(K$2,[103]table_female_hkom2_inj.ill_X8!$A$1:$K$36,25,FALSE),0)</f>
        <v>0</v>
      </c>
      <c r="L3429">
        <f>IFERROR(HLOOKUP(L$2,[103]table_female_hkom2_inj.ill_X8!$A$1:$K$36,25,FALSE),0)</f>
        <v>0</v>
      </c>
      <c r="M3429">
        <f t="shared" si="1065"/>
        <v>0</v>
      </c>
      <c r="S3429" t="s">
        <v>93</v>
      </c>
      <c r="T3429" s="5">
        <f t="shared" si="1066"/>
        <v>0</v>
      </c>
      <c r="U3429" s="5">
        <f t="shared" si="1067"/>
        <v>0</v>
      </c>
      <c r="V3429" s="5">
        <f t="shared" si="1068"/>
        <v>0</v>
      </c>
      <c r="W3429" s="5">
        <f t="shared" si="1069"/>
        <v>0</v>
      </c>
      <c r="X3429" s="5">
        <f t="shared" si="1070"/>
        <v>0</v>
      </c>
      <c r="Y3429" s="5">
        <f t="shared" si="1071"/>
        <v>0</v>
      </c>
      <c r="Z3429" s="5">
        <f t="shared" si="1072"/>
        <v>0</v>
      </c>
      <c r="AA3429" s="5">
        <f t="shared" si="1073"/>
        <v>0</v>
      </c>
      <c r="AB3429" s="5">
        <f t="shared" si="1054"/>
        <v>0</v>
      </c>
    </row>
    <row r="3430" spans="1:29" x14ac:dyDescent="0.25">
      <c r="D3430" t="s">
        <v>94</v>
      </c>
      <c r="E3430" s="14"/>
      <c r="F3430" s="14"/>
      <c r="G3430">
        <f>IFERROR(HLOOKUP(G$2,[103]table_female_hkom2_inj.ill_X8!$A$1:$K$36,26,FALSE),0)</f>
        <v>0</v>
      </c>
      <c r="H3430">
        <f>IFERROR(HLOOKUP(H$2,[103]table_female_hkom2_inj.ill_X8!$A$1:$K$36,26,FALSE),0)</f>
        <v>0</v>
      </c>
      <c r="I3430">
        <f>IFERROR(HLOOKUP(I$2,[103]table_female_hkom2_inj.ill_X8!$A$1:$K$36,26,FALSE),0)</f>
        <v>0</v>
      </c>
      <c r="J3430">
        <f>IFERROR(HLOOKUP(J$2,[103]table_female_hkom2_inj.ill_X8!$A$1:$K$36,26,FALSE),0)</f>
        <v>0</v>
      </c>
      <c r="K3430">
        <f>IFERROR(HLOOKUP(K$2,[103]table_female_hkom2_inj.ill_X8!$A$1:$K$36,26,FALSE),0)</f>
        <v>0</v>
      </c>
      <c r="L3430">
        <f>IFERROR(HLOOKUP(L$2,[103]table_female_hkom2_inj.ill_X8!$A$1:$K$36,26,FALSE),0)</f>
        <v>0</v>
      </c>
      <c r="M3430">
        <f t="shared" si="1065"/>
        <v>0</v>
      </c>
      <c r="S3430" t="s">
        <v>94</v>
      </c>
      <c r="T3430" s="5">
        <f t="shared" si="1066"/>
        <v>0</v>
      </c>
      <c r="U3430" s="5">
        <f t="shared" si="1067"/>
        <v>0</v>
      </c>
      <c r="V3430" s="5">
        <f t="shared" si="1068"/>
        <v>0</v>
      </c>
      <c r="W3430" s="5">
        <f t="shared" si="1069"/>
        <v>0</v>
      </c>
      <c r="X3430" s="5">
        <f t="shared" si="1070"/>
        <v>0</v>
      </c>
      <c r="Y3430" s="5">
        <f t="shared" si="1071"/>
        <v>0</v>
      </c>
      <c r="Z3430" s="5">
        <f t="shared" si="1072"/>
        <v>0</v>
      </c>
      <c r="AA3430" s="5">
        <f t="shared" si="1073"/>
        <v>0</v>
      </c>
      <c r="AB3430" s="5">
        <f t="shared" si="1054"/>
        <v>0</v>
      </c>
    </row>
    <row r="3431" spans="1:29" x14ac:dyDescent="0.25">
      <c r="D3431" t="s">
        <v>95</v>
      </c>
      <c r="E3431" s="14"/>
      <c r="F3431" s="14"/>
      <c r="G3431">
        <f>IFERROR(HLOOKUP(G$2,[103]table_female_hkom2_inj.ill_X8!$A$1:$K$36,27,FALSE),0)</f>
        <v>0</v>
      </c>
      <c r="H3431">
        <f>IFERROR(HLOOKUP(H$2,[103]table_female_hkom2_inj.ill_X8!$A$1:$K$36,27,FALSE),0)</f>
        <v>0</v>
      </c>
      <c r="I3431">
        <f>IFERROR(HLOOKUP(I$2,[103]table_female_hkom2_inj.ill_X8!$A$1:$K$36,27,FALSE),0)</f>
        <v>0</v>
      </c>
      <c r="J3431">
        <f>IFERROR(HLOOKUP(J$2,[103]table_female_hkom2_inj.ill_X8!$A$1:$K$36,27,FALSE),0)</f>
        <v>0</v>
      </c>
      <c r="K3431">
        <f>IFERROR(HLOOKUP(K$2,[103]table_female_hkom2_inj.ill_X8!$A$1:$K$36,27,FALSE),0)</f>
        <v>0</v>
      </c>
      <c r="L3431">
        <f>IFERROR(HLOOKUP(L$2,[103]table_female_hkom2_inj.ill_X8!$A$1:$K$36,27,FALSE),0)</f>
        <v>0</v>
      </c>
      <c r="M3431">
        <f t="shared" si="1065"/>
        <v>0</v>
      </c>
      <c r="S3431" t="s">
        <v>95</v>
      </c>
      <c r="T3431" s="5">
        <f t="shared" si="1066"/>
        <v>0</v>
      </c>
      <c r="U3431" s="5">
        <f t="shared" si="1067"/>
        <v>0</v>
      </c>
      <c r="V3431" s="5">
        <f t="shared" si="1068"/>
        <v>0</v>
      </c>
      <c r="W3431" s="5">
        <f t="shared" si="1069"/>
        <v>0</v>
      </c>
      <c r="X3431" s="5">
        <f t="shared" si="1070"/>
        <v>0</v>
      </c>
      <c r="Y3431" s="5">
        <f t="shared" si="1071"/>
        <v>0</v>
      </c>
      <c r="Z3431" s="5">
        <f t="shared" si="1072"/>
        <v>0</v>
      </c>
      <c r="AA3431" s="5">
        <f t="shared" si="1073"/>
        <v>0</v>
      </c>
      <c r="AB3431" s="5">
        <f t="shared" si="1054"/>
        <v>0</v>
      </c>
    </row>
    <row r="3432" spans="1:29" x14ac:dyDescent="0.25">
      <c r="D3432" t="s">
        <v>96</v>
      </c>
      <c r="E3432" s="14"/>
      <c r="F3432" s="14"/>
      <c r="G3432">
        <f>IFERROR(HLOOKUP(G$2,[103]table_female_hkom2_inj.ill_X8!$A$1:$K$36,28,FALSE),0)</f>
        <v>0</v>
      </c>
      <c r="H3432">
        <f>IFERROR(HLOOKUP(H$2,[103]table_female_hkom2_inj.ill_X8!$A$1:$K$36,28,FALSE),0)</f>
        <v>0</v>
      </c>
      <c r="I3432">
        <f>IFERROR(HLOOKUP(I$2,[103]table_female_hkom2_inj.ill_X8!$A$1:$K$36,28,FALSE),0)</f>
        <v>0</v>
      </c>
      <c r="J3432">
        <f>IFERROR(HLOOKUP(J$2,[103]table_female_hkom2_inj.ill_X8!$A$1:$K$36,28,FALSE),0)</f>
        <v>0</v>
      </c>
      <c r="K3432">
        <f>IFERROR(HLOOKUP(K$2,[103]table_female_hkom2_inj.ill_X8!$A$1:$K$36,28,FALSE),0)</f>
        <v>0</v>
      </c>
      <c r="L3432">
        <f>IFERROR(HLOOKUP(L$2,[103]table_female_hkom2_inj.ill_X8!$A$1:$K$36,28,FALSE),0)</f>
        <v>0</v>
      </c>
      <c r="M3432">
        <f t="shared" si="1065"/>
        <v>0</v>
      </c>
      <c r="S3432" t="s">
        <v>96</v>
      </c>
      <c r="T3432" s="5">
        <f t="shared" si="1066"/>
        <v>0</v>
      </c>
      <c r="U3432" s="5">
        <f t="shared" si="1067"/>
        <v>0</v>
      </c>
      <c r="V3432" s="5">
        <f t="shared" si="1068"/>
        <v>0</v>
      </c>
      <c r="W3432" s="5">
        <f t="shared" si="1069"/>
        <v>0</v>
      </c>
      <c r="X3432" s="5">
        <f t="shared" si="1070"/>
        <v>0</v>
      </c>
      <c r="Y3432" s="5">
        <f t="shared" si="1071"/>
        <v>0</v>
      </c>
      <c r="Z3432" s="5">
        <f t="shared" si="1072"/>
        <v>0</v>
      </c>
      <c r="AA3432" s="5">
        <f t="shared" si="1073"/>
        <v>0</v>
      </c>
      <c r="AB3432" s="5">
        <f t="shared" si="1054"/>
        <v>0</v>
      </c>
    </row>
    <row r="3433" spans="1:29" x14ac:dyDescent="0.25">
      <c r="D3433" t="s">
        <v>97</v>
      </c>
      <c r="E3433" s="14"/>
      <c r="F3433" s="14"/>
      <c r="G3433">
        <f>IFERROR(HLOOKUP(G$2,[103]table_female_hkom2_inj.ill_X8!$A$1:$K$36,29,FALSE),0)</f>
        <v>0</v>
      </c>
      <c r="H3433">
        <f>IFERROR(HLOOKUP(H$2,[103]table_female_hkom2_inj.ill_X8!$A$1:$K$36,29,FALSE),0)</f>
        <v>0</v>
      </c>
      <c r="I3433">
        <f>IFERROR(HLOOKUP(I$2,[103]table_female_hkom2_inj.ill_X8!$A$1:$K$36,29,FALSE),0)</f>
        <v>0</v>
      </c>
      <c r="J3433">
        <f>IFERROR(HLOOKUP(J$2,[103]table_female_hkom2_inj.ill_X8!$A$1:$K$36,29,FALSE),0)</f>
        <v>0</v>
      </c>
      <c r="K3433">
        <f>IFERROR(HLOOKUP(K$2,[103]table_female_hkom2_inj.ill_X8!$A$1:$K$36,29,FALSE),0)</f>
        <v>0</v>
      </c>
      <c r="L3433">
        <f>IFERROR(HLOOKUP(L$2,[103]table_female_hkom2_inj.ill_X8!$A$1:$K$36,29,FALSE),0)</f>
        <v>0</v>
      </c>
      <c r="M3433">
        <f t="shared" si="1065"/>
        <v>0</v>
      </c>
      <c r="S3433" t="s">
        <v>97</v>
      </c>
      <c r="T3433" s="5">
        <f t="shared" si="1066"/>
        <v>0</v>
      </c>
      <c r="U3433" s="5">
        <f t="shared" si="1067"/>
        <v>0</v>
      </c>
      <c r="V3433" s="5">
        <f t="shared" si="1068"/>
        <v>0</v>
      </c>
      <c r="W3433" s="5">
        <f t="shared" si="1069"/>
        <v>0</v>
      </c>
      <c r="X3433" s="5">
        <f t="shared" si="1070"/>
        <v>0</v>
      </c>
      <c r="Y3433" s="5">
        <f t="shared" si="1071"/>
        <v>0</v>
      </c>
      <c r="Z3433" s="5">
        <f t="shared" si="1072"/>
        <v>0</v>
      </c>
      <c r="AA3433" s="5">
        <f t="shared" si="1073"/>
        <v>0</v>
      </c>
      <c r="AB3433" s="5">
        <f t="shared" si="1054"/>
        <v>0</v>
      </c>
    </row>
    <row r="3434" spans="1:29" x14ac:dyDescent="0.25">
      <c r="D3434" t="s">
        <v>98</v>
      </c>
      <c r="E3434" s="14"/>
      <c r="F3434" s="14"/>
      <c r="G3434">
        <f>IFERROR(HLOOKUP(G$2,[103]table_female_hkom2_inj.ill_X8!$A$1:$K$36,30,FALSE),0)</f>
        <v>0</v>
      </c>
      <c r="H3434">
        <f>IFERROR(HLOOKUP(H$2,[103]table_female_hkom2_inj.ill_X8!$A$1:$K$36,30,FALSE),0)</f>
        <v>0</v>
      </c>
      <c r="I3434">
        <f>IFERROR(HLOOKUP(I$2,[103]table_female_hkom2_inj.ill_X8!$A$1:$K$36,30,FALSE),0)</f>
        <v>0</v>
      </c>
      <c r="J3434">
        <f>IFERROR(HLOOKUP(J$2,[103]table_female_hkom2_inj.ill_X8!$A$1:$K$36,30,FALSE),0)</f>
        <v>0</v>
      </c>
      <c r="K3434">
        <f>IFERROR(HLOOKUP(K$2,[103]table_female_hkom2_inj.ill_X8!$A$1:$K$36,30,FALSE),0)</f>
        <v>0</v>
      </c>
      <c r="L3434">
        <f>IFERROR(HLOOKUP(L$2,[103]table_female_hkom2_inj.ill_X8!$A$1:$K$36,30,FALSE),0)</f>
        <v>0</v>
      </c>
      <c r="M3434">
        <f t="shared" si="1065"/>
        <v>0</v>
      </c>
      <c r="S3434" t="s">
        <v>98</v>
      </c>
      <c r="T3434" s="5">
        <f t="shared" si="1066"/>
        <v>0</v>
      </c>
      <c r="U3434" s="5">
        <f t="shared" si="1067"/>
        <v>0</v>
      </c>
      <c r="V3434" s="5">
        <f t="shared" si="1068"/>
        <v>0</v>
      </c>
      <c r="W3434" s="5">
        <f t="shared" si="1069"/>
        <v>0</v>
      </c>
      <c r="X3434" s="5">
        <f t="shared" si="1070"/>
        <v>0</v>
      </c>
      <c r="Y3434" s="5">
        <f t="shared" si="1071"/>
        <v>0</v>
      </c>
      <c r="Z3434" s="5">
        <f t="shared" si="1072"/>
        <v>0</v>
      </c>
      <c r="AA3434" s="5">
        <f t="shared" si="1073"/>
        <v>0</v>
      </c>
      <c r="AB3434" s="5">
        <f t="shared" si="1054"/>
        <v>0</v>
      </c>
    </row>
    <row r="3435" spans="1:29" x14ac:dyDescent="0.25">
      <c r="D3435" t="s">
        <v>119</v>
      </c>
      <c r="E3435" s="14"/>
      <c r="F3435" s="14"/>
      <c r="G3435">
        <f>IFERROR(HLOOKUP(G$2,[103]table_female_hkom2_inj.ill_X8!$A$1:$K$36,31,FALSE),0)</f>
        <v>0</v>
      </c>
      <c r="H3435">
        <f>IFERROR(HLOOKUP(H$2,[103]table_female_hkom2_inj.ill_X8!$A$1:$K$36,31,FALSE),0)</f>
        <v>0</v>
      </c>
      <c r="I3435">
        <f>IFERROR(HLOOKUP(I$2,[103]table_female_hkom2_inj.ill_X8!$A$1:$K$36,31,FALSE),0)</f>
        <v>0</v>
      </c>
      <c r="J3435">
        <f>IFERROR(HLOOKUP(J$2,[103]table_female_hkom2_inj.ill_X8!$A$1:$K$36,31,FALSE),0)</f>
        <v>0</v>
      </c>
      <c r="K3435">
        <f>IFERROR(HLOOKUP(K$2,[103]table_female_hkom2_inj.ill_X8!$A$1:$K$36,31,FALSE),0)</f>
        <v>0</v>
      </c>
      <c r="L3435">
        <f>IFERROR(HLOOKUP(L$2,[103]table_female_hkom2_inj.ill_X8!$A$1:$K$36,31,FALSE),0)</f>
        <v>0</v>
      </c>
      <c r="M3435">
        <f t="shared" si="1065"/>
        <v>0</v>
      </c>
      <c r="S3435" t="s">
        <v>119</v>
      </c>
      <c r="T3435" s="5">
        <f t="shared" si="1066"/>
        <v>0</v>
      </c>
      <c r="U3435" s="5">
        <f t="shared" si="1067"/>
        <v>0</v>
      </c>
      <c r="V3435" s="5">
        <f t="shared" si="1068"/>
        <v>0</v>
      </c>
      <c r="W3435" s="5">
        <f t="shared" si="1069"/>
        <v>0</v>
      </c>
      <c r="X3435" s="5">
        <f t="shared" si="1070"/>
        <v>0</v>
      </c>
      <c r="Y3435" s="5">
        <f t="shared" si="1071"/>
        <v>0</v>
      </c>
      <c r="Z3435" s="5">
        <f t="shared" si="1072"/>
        <v>0</v>
      </c>
      <c r="AA3435" s="5">
        <f t="shared" si="1073"/>
        <v>0</v>
      </c>
      <c r="AB3435" s="5">
        <f t="shared" ref="AB3435:AB3498" si="1074">SUM(T3435:AA3435)</f>
        <v>0</v>
      </c>
    </row>
    <row r="3436" spans="1:29" x14ac:dyDescent="0.25">
      <c r="D3436" t="s">
        <v>99</v>
      </c>
      <c r="E3436" s="14"/>
      <c r="F3436" s="14"/>
      <c r="G3436">
        <f>IFERROR(HLOOKUP(G$2,[103]table_female_hkom2_inj.ill_X8!$A$1:$K$36,32,FALSE),0)</f>
        <v>0</v>
      </c>
      <c r="H3436">
        <f>IFERROR(HLOOKUP(H$2,[103]table_female_hkom2_inj.ill_X8!$A$1:$K$36,32,FALSE),0)</f>
        <v>0</v>
      </c>
      <c r="I3436">
        <f>IFERROR(HLOOKUP(I$2,[103]table_female_hkom2_inj.ill_X8!$A$1:$K$36,32,FALSE),0)</f>
        <v>0</v>
      </c>
      <c r="J3436">
        <f>IFERROR(HLOOKUP(J$2,[103]table_female_hkom2_inj.ill_X8!$A$1:$K$36,32,FALSE),0)</f>
        <v>0</v>
      </c>
      <c r="K3436">
        <f>IFERROR(HLOOKUP(K$2,[103]table_female_hkom2_inj.ill_X8!$A$1:$K$36,32,FALSE),0)</f>
        <v>0</v>
      </c>
      <c r="L3436">
        <f>IFERROR(HLOOKUP(L$2,[103]table_female_hkom2_inj.ill_X8!$A$1:$K$36,32,FALSE),0)</f>
        <v>0</v>
      </c>
      <c r="M3436">
        <f t="shared" si="1065"/>
        <v>0</v>
      </c>
      <c r="S3436" t="s">
        <v>99</v>
      </c>
      <c r="T3436" s="5">
        <f t="shared" si="1066"/>
        <v>0</v>
      </c>
      <c r="U3436" s="5">
        <f t="shared" si="1067"/>
        <v>0</v>
      </c>
      <c r="V3436" s="5">
        <f t="shared" si="1068"/>
        <v>0</v>
      </c>
      <c r="W3436" s="5">
        <f t="shared" si="1069"/>
        <v>0</v>
      </c>
      <c r="X3436" s="5">
        <f t="shared" si="1070"/>
        <v>0</v>
      </c>
      <c r="Y3436" s="5">
        <f t="shared" si="1071"/>
        <v>0</v>
      </c>
      <c r="Z3436" s="5">
        <f t="shared" si="1072"/>
        <v>0</v>
      </c>
      <c r="AA3436" s="5">
        <f t="shared" si="1073"/>
        <v>0</v>
      </c>
      <c r="AB3436" s="5">
        <f t="shared" si="1074"/>
        <v>0</v>
      </c>
    </row>
    <row r="3437" spans="1:29" x14ac:dyDescent="0.25">
      <c r="D3437" t="s">
        <v>100</v>
      </c>
      <c r="E3437" s="14"/>
      <c r="F3437" s="14"/>
      <c r="G3437">
        <f>IFERROR(HLOOKUP(G$2,[103]table_female_hkom2_inj.ill_X8!$A$1:$K$36,33,FALSE),0)</f>
        <v>0</v>
      </c>
      <c r="H3437">
        <f>IFERROR(HLOOKUP(H$2,[103]table_female_hkom2_inj.ill_X8!$A$1:$K$36,33,FALSE),0)</f>
        <v>0</v>
      </c>
      <c r="I3437">
        <f>IFERROR(HLOOKUP(I$2,[103]table_female_hkom2_inj.ill_X8!$A$1:$K$36,33,FALSE),0)</f>
        <v>0</v>
      </c>
      <c r="J3437">
        <f>IFERROR(HLOOKUP(J$2,[103]table_female_hkom2_inj.ill_X8!$A$1:$K$36,33,FALSE),0)</f>
        <v>0</v>
      </c>
      <c r="K3437">
        <f>IFERROR(HLOOKUP(K$2,[103]table_female_hkom2_inj.ill_X8!$A$1:$K$36,33,FALSE),0)</f>
        <v>0</v>
      </c>
      <c r="L3437">
        <f>IFERROR(HLOOKUP(L$2,[103]table_female_hkom2_inj.ill_X8!$A$1:$K$36,33,FALSE),0)</f>
        <v>0</v>
      </c>
      <c r="M3437">
        <f t="shared" si="1065"/>
        <v>0</v>
      </c>
      <c r="S3437" t="s">
        <v>100</v>
      </c>
      <c r="T3437" s="5">
        <f t="shared" si="1066"/>
        <v>0</v>
      </c>
      <c r="U3437" s="5">
        <f t="shared" si="1067"/>
        <v>0</v>
      </c>
      <c r="V3437" s="5">
        <f t="shared" si="1068"/>
        <v>0</v>
      </c>
      <c r="W3437" s="5">
        <f t="shared" si="1069"/>
        <v>0</v>
      </c>
      <c r="X3437" s="5">
        <f t="shared" si="1070"/>
        <v>0</v>
      </c>
      <c r="Y3437" s="5">
        <f t="shared" si="1071"/>
        <v>0</v>
      </c>
      <c r="Z3437" s="5">
        <f t="shared" si="1072"/>
        <v>0</v>
      </c>
      <c r="AA3437" s="5">
        <f t="shared" si="1073"/>
        <v>0</v>
      </c>
      <c r="AB3437" s="5">
        <f t="shared" si="1074"/>
        <v>0</v>
      </c>
    </row>
    <row r="3438" spans="1:29" x14ac:dyDescent="0.25">
      <c r="D3438" t="s">
        <v>101</v>
      </c>
      <c r="E3438" s="14"/>
      <c r="F3438" s="14"/>
      <c r="G3438">
        <f>IFERROR(HLOOKUP(G$2,[103]table_female_hkom2_inj.ill_X8!$A$1:$K$36,34,FALSE),0)</f>
        <v>0</v>
      </c>
      <c r="H3438">
        <f>IFERROR(HLOOKUP(H$2,[103]table_female_hkom2_inj.ill_X8!$A$1:$K$36,34,FALSE),0)</f>
        <v>0</v>
      </c>
      <c r="I3438">
        <f>IFERROR(HLOOKUP(I$2,[103]table_female_hkom2_inj.ill_X8!$A$1:$K$36,34,FALSE),0)</f>
        <v>0</v>
      </c>
      <c r="J3438">
        <f>IFERROR(HLOOKUP(J$2,[103]table_female_hkom2_inj.ill_X8!$A$1:$K$36,34,FALSE),0)</f>
        <v>0</v>
      </c>
      <c r="K3438">
        <f>IFERROR(HLOOKUP(K$2,[103]table_female_hkom2_inj.ill_X8!$A$1:$K$36,34,FALSE),0)</f>
        <v>0</v>
      </c>
      <c r="L3438">
        <f>IFERROR(HLOOKUP(L$2,[103]table_female_hkom2_inj.ill_X8!$A$1:$K$36,34,FALSE),0)</f>
        <v>0</v>
      </c>
      <c r="M3438">
        <f t="shared" si="1065"/>
        <v>0</v>
      </c>
      <c r="S3438" t="s">
        <v>101</v>
      </c>
      <c r="T3438" s="5">
        <f t="shared" si="1066"/>
        <v>0</v>
      </c>
      <c r="U3438" s="5">
        <f t="shared" si="1067"/>
        <v>0</v>
      </c>
      <c r="V3438" s="5">
        <f t="shared" si="1068"/>
        <v>0</v>
      </c>
      <c r="W3438" s="5">
        <f t="shared" si="1069"/>
        <v>0</v>
      </c>
      <c r="X3438" s="5">
        <f t="shared" si="1070"/>
        <v>0</v>
      </c>
      <c r="Y3438" s="5">
        <f t="shared" si="1071"/>
        <v>0</v>
      </c>
      <c r="Z3438" s="5">
        <f t="shared" si="1072"/>
        <v>0</v>
      </c>
      <c r="AA3438" s="5">
        <f t="shared" si="1073"/>
        <v>0</v>
      </c>
      <c r="AB3438" s="5">
        <f t="shared" si="1074"/>
        <v>0</v>
      </c>
    </row>
    <row r="3439" spans="1:29" x14ac:dyDescent="0.25">
      <c r="D3439" t="s">
        <v>102</v>
      </c>
      <c r="E3439" s="14"/>
      <c r="F3439" s="14"/>
      <c r="G3439">
        <f>IFERROR(HLOOKUP(G$2,[103]table_female_hkom2_inj.ill_X8!$A$1:$K$36,35,FALSE),0)</f>
        <v>1</v>
      </c>
      <c r="H3439">
        <f>IFERROR(HLOOKUP(H$2,[103]table_female_hkom2_inj.ill_X8!$A$1:$K$36,35,FALSE),0)</f>
        <v>0</v>
      </c>
      <c r="I3439">
        <f>IFERROR(HLOOKUP(I$2,[103]table_female_hkom2_inj.ill_X8!$A$1:$K$36,35,FALSE),0)</f>
        <v>2</v>
      </c>
      <c r="J3439">
        <f>IFERROR(HLOOKUP(J$2,[103]table_female_hkom2_inj.ill_X8!$A$1:$K$36,35,FALSE),0)</f>
        <v>0</v>
      </c>
      <c r="K3439">
        <f>IFERROR(HLOOKUP(K$2,[103]table_female_hkom2_inj.ill_X8!$A$1:$K$36,35,FALSE),0)</f>
        <v>0</v>
      </c>
      <c r="L3439">
        <f>IFERROR(HLOOKUP(L$2,[103]table_female_hkom2_inj.ill_X8!$A$1:$K$36,35,FALSE),0)</f>
        <v>0</v>
      </c>
      <c r="M3439">
        <f t="shared" si="1065"/>
        <v>3</v>
      </c>
      <c r="N3439">
        <f>SUM(M3406:M3439)</f>
        <v>6</v>
      </c>
      <c r="O3439" s="8">
        <f>SUM([103]table_female_hkom2_inj.ill_X8!$B$2:$L$37)</f>
        <v>6</v>
      </c>
      <c r="S3439" t="s">
        <v>102</v>
      </c>
      <c r="T3439" s="7"/>
      <c r="U3439" s="7"/>
      <c r="V3439" s="7"/>
      <c r="W3439" s="7"/>
      <c r="X3439" s="7"/>
      <c r="Y3439" s="7"/>
      <c r="Z3439" s="7"/>
      <c r="AA3439" s="7"/>
      <c r="AB3439" s="5">
        <f t="shared" si="1074"/>
        <v>0</v>
      </c>
      <c r="AC3439" s="5">
        <f>SUM(AB3406:AB3438)</f>
        <v>6</v>
      </c>
    </row>
    <row r="3440" spans="1:29" x14ac:dyDescent="0.25">
      <c r="A3440" t="s">
        <v>115</v>
      </c>
      <c r="B3440" t="s">
        <v>117</v>
      </c>
      <c r="C3440" t="s">
        <v>124</v>
      </c>
      <c r="D3440" t="s">
        <v>70</v>
      </c>
      <c r="E3440" s="14"/>
      <c r="F3440" s="14"/>
      <c r="G3440">
        <f>IFERROR(HLOOKUP(G$2,[104]table_female_hkom3_inj.ill_X2!$A$1:$K$36,2,FALSE),0)</f>
        <v>0</v>
      </c>
      <c r="H3440">
        <f>IFERROR(HLOOKUP(H$2,[104]table_female_hkom3_inj.ill_X2!$A$1:$K$36,2,FALSE),0)</f>
        <v>0</v>
      </c>
      <c r="I3440">
        <f>IFERROR(HLOOKUP(I$2,[104]table_female_hkom3_inj.ill_X2!$A$1:$K$36,2,FALSE),0)</f>
        <v>0</v>
      </c>
      <c r="J3440">
        <f>IFERROR(HLOOKUP(J$2,[104]table_female_hkom3_inj.ill_X2!$A$1:$K$36,2,FALSE),0)</f>
        <v>0</v>
      </c>
      <c r="K3440">
        <f>IFERROR(HLOOKUP(K$2,[104]table_female_hkom3_inj.ill_X2!$A$1:$K$36,2,FALSE),0)</f>
        <v>0</v>
      </c>
      <c r="L3440">
        <f>IFERROR(HLOOKUP(L$2,[104]table_female_hkom3_inj.ill_X2!$A$1:$K$36,2,FALSE),0)</f>
        <v>0</v>
      </c>
      <c r="M3440">
        <f>SUM(E3440:L3440)</f>
        <v>0</v>
      </c>
      <c r="P3440" t="s">
        <v>115</v>
      </c>
      <c r="Q3440" t="s">
        <v>117</v>
      </c>
      <c r="R3440" t="s">
        <v>124</v>
      </c>
      <c r="S3440" t="s">
        <v>70</v>
      </c>
      <c r="T3440" s="5">
        <f>IF(SUM(E$3440:E$3472)=0,E$3473/33,E3440+IFERROR(E3440/SUM(E$3440:E$3472)*E$3473,0))</f>
        <v>0</v>
      </c>
      <c r="U3440" s="5">
        <f t="shared" ref="U3440:AA3440" si="1075">IF(SUM(F$3440:F$3472)=0,F$3473/33,F3440+IFERROR(F3440/SUM(F$3440:F$3472)*F$3473,0))</f>
        <v>0</v>
      </c>
      <c r="V3440" s="5">
        <f t="shared" si="1075"/>
        <v>0</v>
      </c>
      <c r="W3440" s="5">
        <f t="shared" si="1075"/>
        <v>0</v>
      </c>
      <c r="X3440" s="5">
        <f t="shared" si="1075"/>
        <v>0</v>
      </c>
      <c r="Y3440" s="5">
        <f t="shared" si="1075"/>
        <v>0</v>
      </c>
      <c r="Z3440" s="5">
        <f t="shared" si="1075"/>
        <v>0</v>
      </c>
      <c r="AA3440" s="5">
        <f t="shared" si="1075"/>
        <v>0</v>
      </c>
      <c r="AB3440" s="5">
        <f t="shared" si="1074"/>
        <v>0</v>
      </c>
    </row>
    <row r="3441" spans="4:28" x14ac:dyDescent="0.25">
      <c r="D3441" t="s">
        <v>71</v>
      </c>
      <c r="E3441" s="14"/>
      <c r="F3441" s="14"/>
      <c r="G3441">
        <f>IFERROR(HLOOKUP(G$2,[104]table_female_hkom3_inj.ill_X2!$A$1:$K$36,3,FALSE),0)</f>
        <v>0</v>
      </c>
      <c r="H3441">
        <f>IFERROR(HLOOKUP(H$2,[104]table_female_hkom3_inj.ill_X2!$A$1:$K$36,3,FALSE),0)</f>
        <v>0</v>
      </c>
      <c r="I3441">
        <f>IFERROR(HLOOKUP(I$2,[104]table_female_hkom3_inj.ill_X2!$A$1:$K$36,3,FALSE),0)</f>
        <v>0</v>
      </c>
      <c r="J3441">
        <f>IFERROR(HLOOKUP(J$2,[104]table_female_hkom3_inj.ill_X2!$A$1:$K$36,3,FALSE),0)</f>
        <v>0</v>
      </c>
      <c r="K3441">
        <f>IFERROR(HLOOKUP(K$2,[104]table_female_hkom3_inj.ill_X2!$A$1:$K$36,3,FALSE),0)</f>
        <v>0</v>
      </c>
      <c r="L3441">
        <f>IFERROR(HLOOKUP(L$2,[104]table_female_hkom3_inj.ill_X2!$A$1:$K$36,3,FALSE),0)</f>
        <v>0</v>
      </c>
      <c r="M3441">
        <f t="shared" ref="M3441:M3473" si="1076">SUM(E3441:L3441)</f>
        <v>0</v>
      </c>
      <c r="S3441" t="s">
        <v>71</v>
      </c>
      <c r="T3441" s="5">
        <f t="shared" ref="T3441:T3472" si="1077">IF(SUM(E$3440:E$3472)=0,E$3473/33,E3441+IFERROR(E3441/SUM(E$3440:E$3472)*E$3473,0))</f>
        <v>0</v>
      </c>
      <c r="U3441" s="5">
        <f t="shared" ref="U3441:U3472" si="1078">IF(SUM(F$3440:F$3472)=0,F$3473/33,F3441+IFERROR(F3441/SUM(F$3440:F$3472)*F$3473,0))</f>
        <v>0</v>
      </c>
      <c r="V3441" s="5">
        <f t="shared" ref="V3441:V3472" si="1079">IF(SUM(G$3440:G$3472)=0,G$3473/33,G3441+IFERROR(G3441/SUM(G$3440:G$3472)*G$3473,0))</f>
        <v>0</v>
      </c>
      <c r="W3441" s="5">
        <f t="shared" ref="W3441:W3472" si="1080">IF(SUM(H$3440:H$3472)=0,H$3473/33,H3441+IFERROR(H3441/SUM(H$3440:H$3472)*H$3473,0))</f>
        <v>0</v>
      </c>
      <c r="X3441" s="5">
        <f t="shared" ref="X3441:X3472" si="1081">IF(SUM(I$3440:I$3472)=0,I$3473/33,I3441+IFERROR(I3441/SUM(I$3440:I$3472)*I$3473,0))</f>
        <v>0</v>
      </c>
      <c r="Y3441" s="5">
        <f t="shared" ref="Y3441:Y3472" si="1082">IF(SUM(J$3440:J$3472)=0,J$3473/33,J3441+IFERROR(J3441/SUM(J$3440:J$3472)*J$3473,0))</f>
        <v>0</v>
      </c>
      <c r="Z3441" s="5">
        <f t="shared" ref="Z3441:Z3472" si="1083">IF(SUM(K$3440:K$3472)=0,K$3473/33,K3441+IFERROR(K3441/SUM(K$3440:K$3472)*K$3473,0))</f>
        <v>0</v>
      </c>
      <c r="AA3441" s="5">
        <f t="shared" ref="AA3441:AA3472" si="1084">IF(SUM(L$3440:L$3472)=0,L$3473/33,L3441+IFERROR(L3441/SUM(L$3440:L$3472)*L$3473,0))</f>
        <v>0</v>
      </c>
      <c r="AB3441" s="5">
        <f t="shared" si="1074"/>
        <v>0</v>
      </c>
    </row>
    <row r="3442" spans="4:28" x14ac:dyDescent="0.25">
      <c r="D3442" t="s">
        <v>72</v>
      </c>
      <c r="E3442" s="14"/>
      <c r="F3442" s="14"/>
      <c r="G3442">
        <f>IFERROR(HLOOKUP(G$2,[104]table_female_hkom3_inj.ill_X2!$A$1:$K$36,4,FALSE),0)</f>
        <v>0</v>
      </c>
      <c r="H3442">
        <f>IFERROR(HLOOKUP(H$2,[104]table_female_hkom3_inj.ill_X2!$A$1:$K$36,4,FALSE),0)</f>
        <v>0</v>
      </c>
      <c r="I3442">
        <f>IFERROR(HLOOKUP(I$2,[104]table_female_hkom3_inj.ill_X2!$A$1:$K$36,4,FALSE),0)</f>
        <v>0</v>
      </c>
      <c r="J3442">
        <f>IFERROR(HLOOKUP(J$2,[104]table_female_hkom3_inj.ill_X2!$A$1:$K$36,4,FALSE),0)</f>
        <v>0</v>
      </c>
      <c r="K3442">
        <f>IFERROR(HLOOKUP(K$2,[104]table_female_hkom3_inj.ill_X2!$A$1:$K$36,4,FALSE),0)</f>
        <v>0</v>
      </c>
      <c r="L3442">
        <f>IFERROR(HLOOKUP(L$2,[104]table_female_hkom3_inj.ill_X2!$A$1:$K$36,4,FALSE),0)</f>
        <v>0</v>
      </c>
      <c r="M3442">
        <f t="shared" si="1076"/>
        <v>0</v>
      </c>
      <c r="S3442" t="s">
        <v>72</v>
      </c>
      <c r="T3442" s="5">
        <f t="shared" si="1077"/>
        <v>0</v>
      </c>
      <c r="U3442" s="5">
        <f t="shared" si="1078"/>
        <v>0</v>
      </c>
      <c r="V3442" s="5">
        <f t="shared" si="1079"/>
        <v>0</v>
      </c>
      <c r="W3442" s="5">
        <f t="shared" si="1080"/>
        <v>0</v>
      </c>
      <c r="X3442" s="5">
        <f t="shared" si="1081"/>
        <v>0</v>
      </c>
      <c r="Y3442" s="5">
        <f t="shared" si="1082"/>
        <v>0</v>
      </c>
      <c r="Z3442" s="5">
        <f t="shared" si="1083"/>
        <v>0</v>
      </c>
      <c r="AA3442" s="5">
        <f t="shared" si="1084"/>
        <v>0</v>
      </c>
      <c r="AB3442" s="5">
        <f t="shared" si="1074"/>
        <v>0</v>
      </c>
    </row>
    <row r="3443" spans="4:28" x14ac:dyDescent="0.25">
      <c r="D3443" t="s">
        <v>73</v>
      </c>
      <c r="E3443" s="14"/>
      <c r="F3443" s="14"/>
      <c r="G3443">
        <f>IFERROR(HLOOKUP(G$2,[104]table_female_hkom3_inj.ill_X2!$A$1:$K$36,5,FALSE),0)</f>
        <v>0</v>
      </c>
      <c r="H3443">
        <f>IFERROR(HLOOKUP(H$2,[104]table_female_hkom3_inj.ill_X2!$A$1:$K$36,5,FALSE),0)</f>
        <v>0</v>
      </c>
      <c r="I3443">
        <f>IFERROR(HLOOKUP(I$2,[104]table_female_hkom3_inj.ill_X2!$A$1:$K$36,5,FALSE),0)</f>
        <v>0</v>
      </c>
      <c r="J3443">
        <f>IFERROR(HLOOKUP(J$2,[104]table_female_hkom3_inj.ill_X2!$A$1:$K$36,5,FALSE),0)</f>
        <v>0</v>
      </c>
      <c r="K3443">
        <f>IFERROR(HLOOKUP(K$2,[104]table_female_hkom3_inj.ill_X2!$A$1:$K$36,5,FALSE),0)</f>
        <v>0</v>
      </c>
      <c r="L3443">
        <f>IFERROR(HLOOKUP(L$2,[104]table_female_hkom3_inj.ill_X2!$A$1:$K$36,5,FALSE),0)</f>
        <v>0</v>
      </c>
      <c r="M3443">
        <f t="shared" si="1076"/>
        <v>0</v>
      </c>
      <c r="S3443" t="s">
        <v>73</v>
      </c>
      <c r="T3443" s="5">
        <f t="shared" si="1077"/>
        <v>0</v>
      </c>
      <c r="U3443" s="5">
        <f t="shared" si="1078"/>
        <v>0</v>
      </c>
      <c r="V3443" s="5">
        <f t="shared" si="1079"/>
        <v>0</v>
      </c>
      <c r="W3443" s="5">
        <f t="shared" si="1080"/>
        <v>0</v>
      </c>
      <c r="X3443" s="5">
        <f t="shared" si="1081"/>
        <v>0</v>
      </c>
      <c r="Y3443" s="5">
        <f t="shared" si="1082"/>
        <v>0</v>
      </c>
      <c r="Z3443" s="5">
        <f t="shared" si="1083"/>
        <v>0</v>
      </c>
      <c r="AA3443" s="5">
        <f t="shared" si="1084"/>
        <v>0</v>
      </c>
      <c r="AB3443" s="5">
        <f t="shared" si="1074"/>
        <v>0</v>
      </c>
    </row>
    <row r="3444" spans="4:28" x14ac:dyDescent="0.25">
      <c r="D3444" t="s">
        <v>74</v>
      </c>
      <c r="E3444" s="14"/>
      <c r="F3444" s="14"/>
      <c r="G3444">
        <f>IFERROR(HLOOKUP(G$2,[104]table_female_hkom3_inj.ill_X2!$A$1:$K$36,6,FALSE),0)</f>
        <v>0</v>
      </c>
      <c r="H3444">
        <f>IFERROR(HLOOKUP(H$2,[104]table_female_hkom3_inj.ill_X2!$A$1:$K$36,6,FALSE),0)</f>
        <v>0</v>
      </c>
      <c r="I3444">
        <f>IFERROR(HLOOKUP(I$2,[104]table_female_hkom3_inj.ill_X2!$A$1:$K$36,6,FALSE),0)</f>
        <v>0</v>
      </c>
      <c r="J3444">
        <f>IFERROR(HLOOKUP(J$2,[104]table_female_hkom3_inj.ill_X2!$A$1:$K$36,6,FALSE),0)</f>
        <v>0</v>
      </c>
      <c r="K3444">
        <f>IFERROR(HLOOKUP(K$2,[104]table_female_hkom3_inj.ill_X2!$A$1:$K$36,6,FALSE),0)</f>
        <v>0</v>
      </c>
      <c r="L3444">
        <f>IFERROR(HLOOKUP(L$2,[104]table_female_hkom3_inj.ill_X2!$A$1:$K$36,6,FALSE),0)</f>
        <v>0</v>
      </c>
      <c r="M3444">
        <f t="shared" si="1076"/>
        <v>0</v>
      </c>
      <c r="S3444" t="s">
        <v>74</v>
      </c>
      <c r="T3444" s="5">
        <f t="shared" si="1077"/>
        <v>0</v>
      </c>
      <c r="U3444" s="5">
        <f t="shared" si="1078"/>
        <v>0</v>
      </c>
      <c r="V3444" s="5">
        <f t="shared" si="1079"/>
        <v>0</v>
      </c>
      <c r="W3444" s="5">
        <f t="shared" si="1080"/>
        <v>0</v>
      </c>
      <c r="X3444" s="5">
        <f t="shared" si="1081"/>
        <v>0</v>
      </c>
      <c r="Y3444" s="5">
        <f t="shared" si="1082"/>
        <v>0</v>
      </c>
      <c r="Z3444" s="5">
        <f t="shared" si="1083"/>
        <v>0</v>
      </c>
      <c r="AA3444" s="5">
        <f t="shared" si="1084"/>
        <v>0</v>
      </c>
      <c r="AB3444" s="5">
        <f t="shared" si="1074"/>
        <v>0</v>
      </c>
    </row>
    <row r="3445" spans="4:28" x14ac:dyDescent="0.25">
      <c r="D3445" t="s">
        <v>75</v>
      </c>
      <c r="E3445" s="14"/>
      <c r="F3445" s="14"/>
      <c r="G3445">
        <f>IFERROR(HLOOKUP(G$2,[104]table_female_hkom3_inj.ill_X2!$A$1:$K$36,7,FALSE),0)</f>
        <v>0</v>
      </c>
      <c r="H3445">
        <f>IFERROR(HLOOKUP(H$2,[104]table_female_hkom3_inj.ill_X2!$A$1:$K$36,7,FALSE),0)</f>
        <v>0</v>
      </c>
      <c r="I3445">
        <f>IFERROR(HLOOKUP(I$2,[104]table_female_hkom3_inj.ill_X2!$A$1:$K$36,7,FALSE),0)</f>
        <v>0</v>
      </c>
      <c r="J3445">
        <f>IFERROR(HLOOKUP(J$2,[104]table_female_hkom3_inj.ill_X2!$A$1:$K$36,7,FALSE),0)</f>
        <v>0</v>
      </c>
      <c r="K3445">
        <f>IFERROR(HLOOKUP(K$2,[104]table_female_hkom3_inj.ill_X2!$A$1:$K$36,7,FALSE),0)</f>
        <v>0</v>
      </c>
      <c r="L3445">
        <f>IFERROR(HLOOKUP(L$2,[104]table_female_hkom3_inj.ill_X2!$A$1:$K$36,7,FALSE),0)</f>
        <v>0</v>
      </c>
      <c r="M3445">
        <f t="shared" si="1076"/>
        <v>0</v>
      </c>
      <c r="S3445" t="s">
        <v>75</v>
      </c>
      <c r="T3445" s="5">
        <f t="shared" si="1077"/>
        <v>0</v>
      </c>
      <c r="U3445" s="5">
        <f t="shared" si="1078"/>
        <v>0</v>
      </c>
      <c r="V3445" s="5">
        <f t="shared" si="1079"/>
        <v>0</v>
      </c>
      <c r="W3445" s="5">
        <f t="shared" si="1080"/>
        <v>0</v>
      </c>
      <c r="X3445" s="5">
        <f t="shared" si="1081"/>
        <v>0</v>
      </c>
      <c r="Y3445" s="5">
        <f t="shared" si="1082"/>
        <v>0</v>
      </c>
      <c r="Z3445" s="5">
        <f t="shared" si="1083"/>
        <v>0</v>
      </c>
      <c r="AA3445" s="5">
        <f t="shared" si="1084"/>
        <v>0</v>
      </c>
      <c r="AB3445" s="5">
        <f t="shared" si="1074"/>
        <v>0</v>
      </c>
    </row>
    <row r="3446" spans="4:28" x14ac:dyDescent="0.25">
      <c r="D3446" t="s">
        <v>76</v>
      </c>
      <c r="E3446" s="14"/>
      <c r="F3446" s="14"/>
      <c r="G3446">
        <f>IFERROR(HLOOKUP(G$2,[104]table_female_hkom3_inj.ill_X2!$A$1:$K$36,8,FALSE),0)</f>
        <v>0</v>
      </c>
      <c r="H3446">
        <f>IFERROR(HLOOKUP(H$2,[104]table_female_hkom3_inj.ill_X2!$A$1:$K$36,8,FALSE),0)</f>
        <v>0</v>
      </c>
      <c r="I3446">
        <f>IFERROR(HLOOKUP(I$2,[104]table_female_hkom3_inj.ill_X2!$A$1:$K$36,8,FALSE),0)</f>
        <v>0</v>
      </c>
      <c r="J3446">
        <f>IFERROR(HLOOKUP(J$2,[104]table_female_hkom3_inj.ill_X2!$A$1:$K$36,8,FALSE),0)</f>
        <v>0</v>
      </c>
      <c r="K3446">
        <f>IFERROR(HLOOKUP(K$2,[104]table_female_hkom3_inj.ill_X2!$A$1:$K$36,8,FALSE),0)</f>
        <v>0</v>
      </c>
      <c r="L3446">
        <f>IFERROR(HLOOKUP(L$2,[104]table_female_hkom3_inj.ill_X2!$A$1:$K$36,8,FALSE),0)</f>
        <v>0</v>
      </c>
      <c r="M3446">
        <f t="shared" si="1076"/>
        <v>0</v>
      </c>
      <c r="S3446" t="s">
        <v>76</v>
      </c>
      <c r="T3446" s="5">
        <f t="shared" si="1077"/>
        <v>0</v>
      </c>
      <c r="U3446" s="5">
        <f t="shared" si="1078"/>
        <v>0</v>
      </c>
      <c r="V3446" s="5">
        <f t="shared" si="1079"/>
        <v>0</v>
      </c>
      <c r="W3446" s="5">
        <f t="shared" si="1080"/>
        <v>0</v>
      </c>
      <c r="X3446" s="5">
        <f t="shared" si="1081"/>
        <v>0</v>
      </c>
      <c r="Y3446" s="5">
        <f t="shared" si="1082"/>
        <v>0</v>
      </c>
      <c r="Z3446" s="5">
        <f t="shared" si="1083"/>
        <v>0</v>
      </c>
      <c r="AA3446" s="5">
        <f t="shared" si="1084"/>
        <v>0</v>
      </c>
      <c r="AB3446" s="5">
        <f t="shared" si="1074"/>
        <v>0</v>
      </c>
    </row>
    <row r="3447" spans="4:28" x14ac:dyDescent="0.25">
      <c r="D3447" t="s">
        <v>77</v>
      </c>
      <c r="E3447" s="14"/>
      <c r="F3447" s="14"/>
      <c r="G3447">
        <f>IFERROR(HLOOKUP(G$2,[104]table_female_hkom3_inj.ill_X2!$A$1:$K$36,9,FALSE),0)</f>
        <v>0</v>
      </c>
      <c r="H3447">
        <f>IFERROR(HLOOKUP(H$2,[104]table_female_hkom3_inj.ill_X2!$A$1:$K$36,9,FALSE),0)</f>
        <v>0</v>
      </c>
      <c r="I3447">
        <f>IFERROR(HLOOKUP(I$2,[104]table_female_hkom3_inj.ill_X2!$A$1:$K$36,9,FALSE),0)</f>
        <v>0</v>
      </c>
      <c r="J3447">
        <f>IFERROR(HLOOKUP(J$2,[104]table_female_hkom3_inj.ill_X2!$A$1:$K$36,9,FALSE),0)</f>
        <v>0</v>
      </c>
      <c r="K3447">
        <f>IFERROR(HLOOKUP(K$2,[104]table_female_hkom3_inj.ill_X2!$A$1:$K$36,9,FALSE),0)</f>
        <v>0</v>
      </c>
      <c r="L3447">
        <f>IFERROR(HLOOKUP(L$2,[104]table_female_hkom3_inj.ill_X2!$A$1:$K$36,9,FALSE),0)</f>
        <v>0</v>
      </c>
      <c r="M3447">
        <f t="shared" si="1076"/>
        <v>0</v>
      </c>
      <c r="S3447" t="s">
        <v>77</v>
      </c>
      <c r="T3447" s="5">
        <f t="shared" si="1077"/>
        <v>0</v>
      </c>
      <c r="U3447" s="5">
        <f t="shared" si="1078"/>
        <v>0</v>
      </c>
      <c r="V3447" s="5">
        <f t="shared" si="1079"/>
        <v>0</v>
      </c>
      <c r="W3447" s="5">
        <f t="shared" si="1080"/>
        <v>0</v>
      </c>
      <c r="X3447" s="5">
        <f t="shared" si="1081"/>
        <v>0</v>
      </c>
      <c r="Y3447" s="5">
        <f t="shared" si="1082"/>
        <v>0</v>
      </c>
      <c r="Z3447" s="5">
        <f t="shared" si="1083"/>
        <v>0</v>
      </c>
      <c r="AA3447" s="5">
        <f t="shared" si="1084"/>
        <v>0</v>
      </c>
      <c r="AB3447" s="5">
        <f t="shared" si="1074"/>
        <v>0</v>
      </c>
    </row>
    <row r="3448" spans="4:28" x14ac:dyDescent="0.25">
      <c r="D3448" t="s">
        <v>78</v>
      </c>
      <c r="E3448" s="14"/>
      <c r="F3448" s="14"/>
      <c r="G3448">
        <f>IFERROR(HLOOKUP(G$2,[104]table_female_hkom3_inj.ill_X2!$A$1:$K$36,10,FALSE),0)</f>
        <v>0</v>
      </c>
      <c r="H3448">
        <f>IFERROR(HLOOKUP(H$2,[104]table_female_hkom3_inj.ill_X2!$A$1:$K$36,10,FALSE),0)</f>
        <v>0</v>
      </c>
      <c r="I3448">
        <f>IFERROR(HLOOKUP(I$2,[104]table_female_hkom3_inj.ill_X2!$A$1:$K$36,10,FALSE),0)</f>
        <v>0</v>
      </c>
      <c r="J3448">
        <f>IFERROR(HLOOKUP(J$2,[104]table_female_hkom3_inj.ill_X2!$A$1:$K$36,10,FALSE),0)</f>
        <v>0</v>
      </c>
      <c r="K3448">
        <f>IFERROR(HLOOKUP(K$2,[104]table_female_hkom3_inj.ill_X2!$A$1:$K$36,10,FALSE),0)</f>
        <v>0</v>
      </c>
      <c r="L3448">
        <f>IFERROR(HLOOKUP(L$2,[104]table_female_hkom3_inj.ill_X2!$A$1:$K$36,10,FALSE),0)</f>
        <v>0</v>
      </c>
      <c r="M3448">
        <f t="shared" si="1076"/>
        <v>0</v>
      </c>
      <c r="S3448" t="s">
        <v>78</v>
      </c>
      <c r="T3448" s="5">
        <f t="shared" si="1077"/>
        <v>0</v>
      </c>
      <c r="U3448" s="5">
        <f t="shared" si="1078"/>
        <v>0</v>
      </c>
      <c r="V3448" s="5">
        <f t="shared" si="1079"/>
        <v>0</v>
      </c>
      <c r="W3448" s="5">
        <f t="shared" si="1080"/>
        <v>0</v>
      </c>
      <c r="X3448" s="5">
        <f t="shared" si="1081"/>
        <v>0</v>
      </c>
      <c r="Y3448" s="5">
        <f t="shared" si="1082"/>
        <v>0</v>
      </c>
      <c r="Z3448" s="5">
        <f t="shared" si="1083"/>
        <v>0</v>
      </c>
      <c r="AA3448" s="5">
        <f t="shared" si="1084"/>
        <v>0</v>
      </c>
      <c r="AB3448" s="5">
        <f t="shared" si="1074"/>
        <v>0</v>
      </c>
    </row>
    <row r="3449" spans="4:28" x14ac:dyDescent="0.25">
      <c r="D3449" t="s">
        <v>79</v>
      </c>
      <c r="E3449" s="14"/>
      <c r="F3449" s="14"/>
      <c r="G3449">
        <f>IFERROR(HLOOKUP(G$2,[104]table_female_hkom3_inj.ill_X2!$A$1:$K$36,11,FALSE),0)</f>
        <v>0</v>
      </c>
      <c r="H3449">
        <f>IFERROR(HLOOKUP(H$2,[104]table_female_hkom3_inj.ill_X2!$A$1:$K$36,11,FALSE),0)</f>
        <v>0</v>
      </c>
      <c r="I3449">
        <f>IFERROR(HLOOKUP(I$2,[104]table_female_hkom3_inj.ill_X2!$A$1:$K$36,11,FALSE),0)</f>
        <v>0</v>
      </c>
      <c r="J3449">
        <f>IFERROR(HLOOKUP(J$2,[104]table_female_hkom3_inj.ill_X2!$A$1:$K$36,11,FALSE),0)</f>
        <v>0</v>
      </c>
      <c r="K3449">
        <f>IFERROR(HLOOKUP(K$2,[104]table_female_hkom3_inj.ill_X2!$A$1:$K$36,11,FALSE),0)</f>
        <v>0</v>
      </c>
      <c r="L3449">
        <f>IFERROR(HLOOKUP(L$2,[104]table_female_hkom3_inj.ill_X2!$A$1:$K$36,11,FALSE),0)</f>
        <v>0</v>
      </c>
      <c r="M3449">
        <f t="shared" si="1076"/>
        <v>0</v>
      </c>
      <c r="S3449" t="s">
        <v>79</v>
      </c>
      <c r="T3449" s="5">
        <f t="shared" si="1077"/>
        <v>0</v>
      </c>
      <c r="U3449" s="5">
        <f t="shared" si="1078"/>
        <v>0</v>
      </c>
      <c r="V3449" s="5">
        <f t="shared" si="1079"/>
        <v>0</v>
      </c>
      <c r="W3449" s="5">
        <f t="shared" si="1080"/>
        <v>0</v>
      </c>
      <c r="X3449" s="5">
        <f t="shared" si="1081"/>
        <v>0</v>
      </c>
      <c r="Y3449" s="5">
        <f t="shared" si="1082"/>
        <v>0</v>
      </c>
      <c r="Z3449" s="5">
        <f t="shared" si="1083"/>
        <v>0</v>
      </c>
      <c r="AA3449" s="5">
        <f t="shared" si="1084"/>
        <v>0</v>
      </c>
      <c r="AB3449" s="5">
        <f t="shared" si="1074"/>
        <v>0</v>
      </c>
    </row>
    <row r="3450" spans="4:28" x14ac:dyDescent="0.25">
      <c r="D3450" t="s">
        <v>80</v>
      </c>
      <c r="E3450" s="14"/>
      <c r="F3450" s="14"/>
      <c r="G3450">
        <f>IFERROR(HLOOKUP(G$2,[104]table_female_hkom3_inj.ill_X2!$A$1:$K$36,12,FALSE),0)</f>
        <v>0</v>
      </c>
      <c r="H3450">
        <f>IFERROR(HLOOKUP(H$2,[104]table_female_hkom3_inj.ill_X2!$A$1:$K$36,12,FALSE),0)</f>
        <v>0</v>
      </c>
      <c r="I3450">
        <f>IFERROR(HLOOKUP(I$2,[104]table_female_hkom3_inj.ill_X2!$A$1:$K$36,12,FALSE),0)</f>
        <v>0</v>
      </c>
      <c r="J3450">
        <f>IFERROR(HLOOKUP(J$2,[104]table_female_hkom3_inj.ill_X2!$A$1:$K$36,12,FALSE),0)</f>
        <v>0</v>
      </c>
      <c r="K3450">
        <f>IFERROR(HLOOKUP(K$2,[104]table_female_hkom3_inj.ill_X2!$A$1:$K$36,12,FALSE),0)</f>
        <v>0</v>
      </c>
      <c r="L3450">
        <f>IFERROR(HLOOKUP(L$2,[104]table_female_hkom3_inj.ill_X2!$A$1:$K$36,12,FALSE),0)</f>
        <v>0</v>
      </c>
      <c r="M3450">
        <f t="shared" si="1076"/>
        <v>0</v>
      </c>
      <c r="S3450" t="s">
        <v>80</v>
      </c>
      <c r="T3450" s="5">
        <f t="shared" si="1077"/>
        <v>0</v>
      </c>
      <c r="U3450" s="5">
        <f t="shared" si="1078"/>
        <v>0</v>
      </c>
      <c r="V3450" s="5">
        <f t="shared" si="1079"/>
        <v>0</v>
      </c>
      <c r="W3450" s="5">
        <f t="shared" si="1080"/>
        <v>0</v>
      </c>
      <c r="X3450" s="5">
        <f t="shared" si="1081"/>
        <v>0</v>
      </c>
      <c r="Y3450" s="5">
        <f t="shared" si="1082"/>
        <v>0</v>
      </c>
      <c r="Z3450" s="5">
        <f t="shared" si="1083"/>
        <v>0</v>
      </c>
      <c r="AA3450" s="5">
        <f t="shared" si="1084"/>
        <v>0</v>
      </c>
      <c r="AB3450" s="5">
        <f t="shared" si="1074"/>
        <v>0</v>
      </c>
    </row>
    <row r="3451" spans="4:28" x14ac:dyDescent="0.25">
      <c r="D3451" t="s">
        <v>81</v>
      </c>
      <c r="E3451" s="14"/>
      <c r="F3451" s="14"/>
      <c r="G3451">
        <f>IFERROR(HLOOKUP(G$2,[104]table_female_hkom3_inj.ill_X2!$A$1:$K$36,13,FALSE),0)</f>
        <v>0</v>
      </c>
      <c r="H3451">
        <f>IFERROR(HLOOKUP(H$2,[104]table_female_hkom3_inj.ill_X2!$A$1:$K$36,13,FALSE),0)</f>
        <v>0</v>
      </c>
      <c r="I3451">
        <f>IFERROR(HLOOKUP(I$2,[104]table_female_hkom3_inj.ill_X2!$A$1:$K$36,13,FALSE),0)</f>
        <v>0</v>
      </c>
      <c r="J3451">
        <f>IFERROR(HLOOKUP(J$2,[104]table_female_hkom3_inj.ill_X2!$A$1:$K$36,13,FALSE),0)</f>
        <v>0</v>
      </c>
      <c r="K3451">
        <f>IFERROR(HLOOKUP(K$2,[104]table_female_hkom3_inj.ill_X2!$A$1:$K$36,13,FALSE),0)</f>
        <v>0</v>
      </c>
      <c r="L3451">
        <f>IFERROR(HLOOKUP(L$2,[104]table_female_hkom3_inj.ill_X2!$A$1:$K$36,13,FALSE),0)</f>
        <v>0</v>
      </c>
      <c r="M3451">
        <f t="shared" si="1076"/>
        <v>0</v>
      </c>
      <c r="S3451" t="s">
        <v>81</v>
      </c>
      <c r="T3451" s="5">
        <f t="shared" si="1077"/>
        <v>0</v>
      </c>
      <c r="U3451" s="5">
        <f t="shared" si="1078"/>
        <v>0</v>
      </c>
      <c r="V3451" s="5">
        <f t="shared" si="1079"/>
        <v>0</v>
      </c>
      <c r="W3451" s="5">
        <f t="shared" si="1080"/>
        <v>0</v>
      </c>
      <c r="X3451" s="5">
        <f t="shared" si="1081"/>
        <v>0</v>
      </c>
      <c r="Y3451" s="5">
        <f t="shared" si="1082"/>
        <v>0</v>
      </c>
      <c r="Z3451" s="5">
        <f t="shared" si="1083"/>
        <v>0</v>
      </c>
      <c r="AA3451" s="5">
        <f t="shared" si="1084"/>
        <v>0</v>
      </c>
      <c r="AB3451" s="5">
        <f t="shared" si="1074"/>
        <v>0</v>
      </c>
    </row>
    <row r="3452" spans="4:28" x14ac:dyDescent="0.25">
      <c r="D3452" t="s">
        <v>82</v>
      </c>
      <c r="E3452" s="14"/>
      <c r="F3452" s="14"/>
      <c r="G3452">
        <f>IFERROR(HLOOKUP(G$2,[104]table_female_hkom3_inj.ill_X2!$A$1:$K$36,14,FALSE),0)</f>
        <v>0</v>
      </c>
      <c r="H3452">
        <f>IFERROR(HLOOKUP(H$2,[104]table_female_hkom3_inj.ill_X2!$A$1:$K$36,14,FALSE),0)</f>
        <v>0</v>
      </c>
      <c r="I3452">
        <f>IFERROR(HLOOKUP(I$2,[104]table_female_hkom3_inj.ill_X2!$A$1:$K$36,14,FALSE),0)</f>
        <v>0</v>
      </c>
      <c r="J3452">
        <f>IFERROR(HLOOKUP(J$2,[104]table_female_hkom3_inj.ill_X2!$A$1:$K$36,14,FALSE),0)</f>
        <v>0</v>
      </c>
      <c r="K3452">
        <f>IFERROR(HLOOKUP(K$2,[104]table_female_hkom3_inj.ill_X2!$A$1:$K$36,14,FALSE),0)</f>
        <v>0</v>
      </c>
      <c r="L3452">
        <f>IFERROR(HLOOKUP(L$2,[104]table_female_hkom3_inj.ill_X2!$A$1:$K$36,14,FALSE),0)</f>
        <v>0</v>
      </c>
      <c r="M3452">
        <f t="shared" si="1076"/>
        <v>0</v>
      </c>
      <c r="S3452" t="s">
        <v>82</v>
      </c>
      <c r="T3452" s="5">
        <f t="shared" si="1077"/>
        <v>0</v>
      </c>
      <c r="U3452" s="5">
        <f t="shared" si="1078"/>
        <v>0</v>
      </c>
      <c r="V3452" s="5">
        <f t="shared" si="1079"/>
        <v>0</v>
      </c>
      <c r="W3452" s="5">
        <f t="shared" si="1080"/>
        <v>0</v>
      </c>
      <c r="X3452" s="5">
        <f t="shared" si="1081"/>
        <v>0</v>
      </c>
      <c r="Y3452" s="5">
        <f t="shared" si="1082"/>
        <v>0</v>
      </c>
      <c r="Z3452" s="5">
        <f t="shared" si="1083"/>
        <v>0</v>
      </c>
      <c r="AA3452" s="5">
        <f t="shared" si="1084"/>
        <v>0</v>
      </c>
      <c r="AB3452" s="5">
        <f t="shared" si="1074"/>
        <v>0</v>
      </c>
    </row>
    <row r="3453" spans="4:28" x14ac:dyDescent="0.25">
      <c r="D3453" t="s">
        <v>83</v>
      </c>
      <c r="E3453" s="14"/>
      <c r="F3453" s="14"/>
      <c r="G3453">
        <f>IFERROR(HLOOKUP(G$2,[104]table_female_hkom3_inj.ill_X2!$A$1:$K$36,15,FALSE),0)</f>
        <v>0</v>
      </c>
      <c r="H3453">
        <f>IFERROR(HLOOKUP(H$2,[104]table_female_hkom3_inj.ill_X2!$A$1:$K$36,15,FALSE),0)</f>
        <v>0</v>
      </c>
      <c r="I3453">
        <f>IFERROR(HLOOKUP(I$2,[104]table_female_hkom3_inj.ill_X2!$A$1:$K$36,15,FALSE),0)</f>
        <v>0</v>
      </c>
      <c r="J3453">
        <f>IFERROR(HLOOKUP(J$2,[104]table_female_hkom3_inj.ill_X2!$A$1:$K$36,15,FALSE),0)</f>
        <v>0</v>
      </c>
      <c r="K3453">
        <f>IFERROR(HLOOKUP(K$2,[104]table_female_hkom3_inj.ill_X2!$A$1:$K$36,15,FALSE),0)</f>
        <v>0</v>
      </c>
      <c r="L3453">
        <f>IFERROR(HLOOKUP(L$2,[104]table_female_hkom3_inj.ill_X2!$A$1:$K$36,15,FALSE),0)</f>
        <v>0</v>
      </c>
      <c r="M3453">
        <f t="shared" si="1076"/>
        <v>0</v>
      </c>
      <c r="S3453" t="s">
        <v>83</v>
      </c>
      <c r="T3453" s="5">
        <f t="shared" si="1077"/>
        <v>0</v>
      </c>
      <c r="U3453" s="5">
        <f t="shared" si="1078"/>
        <v>0</v>
      </c>
      <c r="V3453" s="5">
        <f t="shared" si="1079"/>
        <v>0</v>
      </c>
      <c r="W3453" s="5">
        <f t="shared" si="1080"/>
        <v>0</v>
      </c>
      <c r="X3453" s="5">
        <f t="shared" si="1081"/>
        <v>0</v>
      </c>
      <c r="Y3453" s="5">
        <f t="shared" si="1082"/>
        <v>0</v>
      </c>
      <c r="Z3453" s="5">
        <f t="shared" si="1083"/>
        <v>0</v>
      </c>
      <c r="AA3453" s="5">
        <f t="shared" si="1084"/>
        <v>0</v>
      </c>
      <c r="AB3453" s="5">
        <f t="shared" si="1074"/>
        <v>0</v>
      </c>
    </row>
    <row r="3454" spans="4:28" x14ac:dyDescent="0.25">
      <c r="D3454" t="s">
        <v>84</v>
      </c>
      <c r="E3454" s="14"/>
      <c r="F3454" s="14"/>
      <c r="G3454">
        <f>IFERROR(HLOOKUP(G$2,[104]table_female_hkom3_inj.ill_X2!$A$1:$K$36,16,FALSE),0)</f>
        <v>0</v>
      </c>
      <c r="H3454">
        <f>IFERROR(HLOOKUP(H$2,[104]table_female_hkom3_inj.ill_X2!$A$1:$K$36,16,FALSE),0)</f>
        <v>0</v>
      </c>
      <c r="I3454">
        <f>IFERROR(HLOOKUP(I$2,[104]table_female_hkom3_inj.ill_X2!$A$1:$K$36,16,FALSE),0)</f>
        <v>0</v>
      </c>
      <c r="J3454">
        <f>IFERROR(HLOOKUP(J$2,[104]table_female_hkom3_inj.ill_X2!$A$1:$K$36,16,FALSE),0)</f>
        <v>0</v>
      </c>
      <c r="K3454">
        <f>IFERROR(HLOOKUP(K$2,[104]table_female_hkom3_inj.ill_X2!$A$1:$K$36,16,FALSE),0)</f>
        <v>0</v>
      </c>
      <c r="L3454">
        <f>IFERROR(HLOOKUP(L$2,[104]table_female_hkom3_inj.ill_X2!$A$1:$K$36,16,FALSE),0)</f>
        <v>0</v>
      </c>
      <c r="M3454">
        <f t="shared" si="1076"/>
        <v>0</v>
      </c>
      <c r="S3454" t="s">
        <v>84</v>
      </c>
      <c r="T3454" s="5">
        <f t="shared" si="1077"/>
        <v>0</v>
      </c>
      <c r="U3454" s="5">
        <f t="shared" si="1078"/>
        <v>0</v>
      </c>
      <c r="V3454" s="5">
        <f t="shared" si="1079"/>
        <v>0</v>
      </c>
      <c r="W3454" s="5">
        <f t="shared" si="1080"/>
        <v>0</v>
      </c>
      <c r="X3454" s="5">
        <f t="shared" si="1081"/>
        <v>0</v>
      </c>
      <c r="Y3454" s="5">
        <f t="shared" si="1082"/>
        <v>0</v>
      </c>
      <c r="Z3454" s="5">
        <f t="shared" si="1083"/>
        <v>0</v>
      </c>
      <c r="AA3454" s="5">
        <f t="shared" si="1084"/>
        <v>0</v>
      </c>
      <c r="AB3454" s="5">
        <f t="shared" si="1074"/>
        <v>0</v>
      </c>
    </row>
    <row r="3455" spans="4:28" x14ac:dyDescent="0.25">
      <c r="D3455" t="s">
        <v>85</v>
      </c>
      <c r="E3455" s="14"/>
      <c r="F3455" s="14"/>
      <c r="G3455">
        <f>IFERROR(HLOOKUP(G$2,[104]table_female_hkom3_inj.ill_X2!$A$1:$K$36,17,FALSE),0)</f>
        <v>0</v>
      </c>
      <c r="H3455">
        <f>IFERROR(HLOOKUP(H$2,[104]table_female_hkom3_inj.ill_X2!$A$1:$K$36,17,FALSE),0)</f>
        <v>0</v>
      </c>
      <c r="I3455">
        <f>IFERROR(HLOOKUP(I$2,[104]table_female_hkom3_inj.ill_X2!$A$1:$K$36,17,FALSE),0)</f>
        <v>0</v>
      </c>
      <c r="J3455">
        <f>IFERROR(HLOOKUP(J$2,[104]table_female_hkom3_inj.ill_X2!$A$1:$K$36,17,FALSE),0)</f>
        <v>0</v>
      </c>
      <c r="K3455">
        <f>IFERROR(HLOOKUP(K$2,[104]table_female_hkom3_inj.ill_X2!$A$1:$K$36,17,FALSE),0)</f>
        <v>0</v>
      </c>
      <c r="L3455">
        <f>IFERROR(HLOOKUP(L$2,[104]table_female_hkom3_inj.ill_X2!$A$1:$K$36,17,FALSE),0)</f>
        <v>0</v>
      </c>
      <c r="M3455">
        <f t="shared" si="1076"/>
        <v>0</v>
      </c>
      <c r="S3455" t="s">
        <v>85</v>
      </c>
      <c r="T3455" s="5">
        <f t="shared" si="1077"/>
        <v>0</v>
      </c>
      <c r="U3455" s="5">
        <f t="shared" si="1078"/>
        <v>0</v>
      </c>
      <c r="V3455" s="5">
        <f t="shared" si="1079"/>
        <v>0</v>
      </c>
      <c r="W3455" s="5">
        <f t="shared" si="1080"/>
        <v>0</v>
      </c>
      <c r="X3455" s="5">
        <f t="shared" si="1081"/>
        <v>0</v>
      </c>
      <c r="Y3455" s="5">
        <f t="shared" si="1082"/>
        <v>0</v>
      </c>
      <c r="Z3455" s="5">
        <f t="shared" si="1083"/>
        <v>0</v>
      </c>
      <c r="AA3455" s="5">
        <f t="shared" si="1084"/>
        <v>0</v>
      </c>
      <c r="AB3455" s="5">
        <f t="shared" si="1074"/>
        <v>0</v>
      </c>
    </row>
    <row r="3456" spans="4:28" x14ac:dyDescent="0.25">
      <c r="D3456" t="s">
        <v>86</v>
      </c>
      <c r="E3456" s="14"/>
      <c r="F3456" s="14"/>
      <c r="G3456">
        <f>IFERROR(HLOOKUP(G$2,[104]table_female_hkom3_inj.ill_X2!$A$1:$K$36,18,FALSE),0)</f>
        <v>0</v>
      </c>
      <c r="H3456">
        <f>IFERROR(HLOOKUP(H$2,[104]table_female_hkom3_inj.ill_X2!$A$1:$K$36,18,FALSE),0)</f>
        <v>0</v>
      </c>
      <c r="I3456">
        <f>IFERROR(HLOOKUP(I$2,[104]table_female_hkom3_inj.ill_X2!$A$1:$K$36,18,FALSE),0)</f>
        <v>0</v>
      </c>
      <c r="J3456">
        <f>IFERROR(HLOOKUP(J$2,[104]table_female_hkom3_inj.ill_X2!$A$1:$K$36,18,FALSE),0)</f>
        <v>0</v>
      </c>
      <c r="K3456">
        <f>IFERROR(HLOOKUP(K$2,[104]table_female_hkom3_inj.ill_X2!$A$1:$K$36,18,FALSE),0)</f>
        <v>0</v>
      </c>
      <c r="L3456">
        <f>IFERROR(HLOOKUP(L$2,[104]table_female_hkom3_inj.ill_X2!$A$1:$K$36,18,FALSE),0)</f>
        <v>0</v>
      </c>
      <c r="M3456">
        <f t="shared" si="1076"/>
        <v>0</v>
      </c>
      <c r="S3456" t="s">
        <v>86</v>
      </c>
      <c r="T3456" s="5">
        <f t="shared" si="1077"/>
        <v>0</v>
      </c>
      <c r="U3456" s="5">
        <f t="shared" si="1078"/>
        <v>0</v>
      </c>
      <c r="V3456" s="5">
        <f t="shared" si="1079"/>
        <v>0</v>
      </c>
      <c r="W3456" s="5">
        <f t="shared" si="1080"/>
        <v>0</v>
      </c>
      <c r="X3456" s="5">
        <f t="shared" si="1081"/>
        <v>0</v>
      </c>
      <c r="Y3456" s="5">
        <f t="shared" si="1082"/>
        <v>0</v>
      </c>
      <c r="Z3456" s="5">
        <f t="shared" si="1083"/>
        <v>0</v>
      </c>
      <c r="AA3456" s="5">
        <f t="shared" si="1084"/>
        <v>0</v>
      </c>
      <c r="AB3456" s="5">
        <f t="shared" si="1074"/>
        <v>0</v>
      </c>
    </row>
    <row r="3457" spans="4:28" x14ac:dyDescent="0.25">
      <c r="D3457" t="s">
        <v>87</v>
      </c>
      <c r="E3457" s="14"/>
      <c r="F3457" s="14"/>
      <c r="G3457">
        <f>IFERROR(HLOOKUP(G$2,[104]table_female_hkom3_inj.ill_X2!$A$1:$K$36,19,FALSE),0)</f>
        <v>0</v>
      </c>
      <c r="H3457">
        <f>IFERROR(HLOOKUP(H$2,[104]table_female_hkom3_inj.ill_X2!$A$1:$K$36,19,FALSE),0)</f>
        <v>0</v>
      </c>
      <c r="I3457">
        <f>IFERROR(HLOOKUP(I$2,[104]table_female_hkom3_inj.ill_X2!$A$1:$K$36,19,FALSE),0)</f>
        <v>0</v>
      </c>
      <c r="J3457">
        <f>IFERROR(HLOOKUP(J$2,[104]table_female_hkom3_inj.ill_X2!$A$1:$K$36,19,FALSE),0)</f>
        <v>0</v>
      </c>
      <c r="K3457">
        <f>IFERROR(HLOOKUP(K$2,[104]table_female_hkom3_inj.ill_X2!$A$1:$K$36,19,FALSE),0)</f>
        <v>0</v>
      </c>
      <c r="L3457">
        <f>IFERROR(HLOOKUP(L$2,[104]table_female_hkom3_inj.ill_X2!$A$1:$K$36,19,FALSE),0)</f>
        <v>0</v>
      </c>
      <c r="M3457">
        <f t="shared" si="1076"/>
        <v>0</v>
      </c>
      <c r="S3457" t="s">
        <v>87</v>
      </c>
      <c r="T3457" s="5">
        <f t="shared" si="1077"/>
        <v>0</v>
      </c>
      <c r="U3457" s="5">
        <f t="shared" si="1078"/>
        <v>0</v>
      </c>
      <c r="V3457" s="5">
        <f t="shared" si="1079"/>
        <v>0</v>
      </c>
      <c r="W3457" s="5">
        <f t="shared" si="1080"/>
        <v>0</v>
      </c>
      <c r="X3457" s="5">
        <f t="shared" si="1081"/>
        <v>0</v>
      </c>
      <c r="Y3457" s="5">
        <f t="shared" si="1082"/>
        <v>0</v>
      </c>
      <c r="Z3457" s="5">
        <f t="shared" si="1083"/>
        <v>0</v>
      </c>
      <c r="AA3457" s="5">
        <f t="shared" si="1084"/>
        <v>0</v>
      </c>
      <c r="AB3457" s="5">
        <f t="shared" si="1074"/>
        <v>0</v>
      </c>
    </row>
    <row r="3458" spans="4:28" x14ac:dyDescent="0.25">
      <c r="D3458" t="s">
        <v>88</v>
      </c>
      <c r="E3458" s="14"/>
      <c r="F3458" s="14"/>
      <c r="G3458">
        <f>IFERROR(HLOOKUP(G$2,[104]table_female_hkom3_inj.ill_X2!$A$1:$K$36,20,FALSE),0)</f>
        <v>0</v>
      </c>
      <c r="H3458">
        <f>IFERROR(HLOOKUP(H$2,[104]table_female_hkom3_inj.ill_X2!$A$1:$K$36,20,FALSE),0)</f>
        <v>0</v>
      </c>
      <c r="I3458">
        <f>IFERROR(HLOOKUP(I$2,[104]table_female_hkom3_inj.ill_X2!$A$1:$K$36,20,FALSE),0)</f>
        <v>0</v>
      </c>
      <c r="J3458">
        <f>IFERROR(HLOOKUP(J$2,[104]table_female_hkom3_inj.ill_X2!$A$1:$K$36,20,FALSE),0)</f>
        <v>0</v>
      </c>
      <c r="K3458">
        <f>IFERROR(HLOOKUP(K$2,[104]table_female_hkom3_inj.ill_X2!$A$1:$K$36,20,FALSE),0)</f>
        <v>0</v>
      </c>
      <c r="L3458">
        <f>IFERROR(HLOOKUP(L$2,[104]table_female_hkom3_inj.ill_X2!$A$1:$K$36,20,FALSE),0)</f>
        <v>0</v>
      </c>
      <c r="M3458">
        <f t="shared" si="1076"/>
        <v>0</v>
      </c>
      <c r="S3458" t="s">
        <v>88</v>
      </c>
      <c r="T3458" s="5">
        <f t="shared" si="1077"/>
        <v>0</v>
      </c>
      <c r="U3458" s="5">
        <f t="shared" si="1078"/>
        <v>0</v>
      </c>
      <c r="V3458" s="5">
        <f t="shared" si="1079"/>
        <v>0</v>
      </c>
      <c r="W3458" s="5">
        <f t="shared" si="1080"/>
        <v>0</v>
      </c>
      <c r="X3458" s="5">
        <f t="shared" si="1081"/>
        <v>0</v>
      </c>
      <c r="Y3458" s="5">
        <f t="shared" si="1082"/>
        <v>0</v>
      </c>
      <c r="Z3458" s="5">
        <f t="shared" si="1083"/>
        <v>0</v>
      </c>
      <c r="AA3458" s="5">
        <f t="shared" si="1084"/>
        <v>0</v>
      </c>
      <c r="AB3458" s="5">
        <f t="shared" si="1074"/>
        <v>0</v>
      </c>
    </row>
    <row r="3459" spans="4:28" x14ac:dyDescent="0.25">
      <c r="D3459" t="s">
        <v>89</v>
      </c>
      <c r="E3459" s="14"/>
      <c r="F3459" s="14"/>
      <c r="G3459">
        <f>IFERROR(HLOOKUP(G$2,[104]table_female_hkom3_inj.ill_X2!$A$1:$K$36,21,FALSE),0)</f>
        <v>0</v>
      </c>
      <c r="H3459">
        <f>IFERROR(HLOOKUP(H$2,[104]table_female_hkom3_inj.ill_X2!$A$1:$K$36,21,FALSE),0)</f>
        <v>0</v>
      </c>
      <c r="I3459">
        <f>IFERROR(HLOOKUP(I$2,[104]table_female_hkom3_inj.ill_X2!$A$1:$K$36,21,FALSE),0)</f>
        <v>0</v>
      </c>
      <c r="J3459">
        <f>IFERROR(HLOOKUP(J$2,[104]table_female_hkom3_inj.ill_X2!$A$1:$K$36,21,FALSE),0)</f>
        <v>0</v>
      </c>
      <c r="K3459">
        <f>IFERROR(HLOOKUP(K$2,[104]table_female_hkom3_inj.ill_X2!$A$1:$K$36,21,FALSE),0)</f>
        <v>0</v>
      </c>
      <c r="L3459">
        <f>IFERROR(HLOOKUP(L$2,[104]table_female_hkom3_inj.ill_X2!$A$1:$K$36,21,FALSE),0)</f>
        <v>0</v>
      </c>
      <c r="M3459">
        <f t="shared" si="1076"/>
        <v>0</v>
      </c>
      <c r="S3459" t="s">
        <v>89</v>
      </c>
      <c r="T3459" s="5">
        <f t="shared" si="1077"/>
        <v>0</v>
      </c>
      <c r="U3459" s="5">
        <f t="shared" si="1078"/>
        <v>0</v>
      </c>
      <c r="V3459" s="5">
        <f t="shared" si="1079"/>
        <v>0</v>
      </c>
      <c r="W3459" s="5">
        <f t="shared" si="1080"/>
        <v>0</v>
      </c>
      <c r="X3459" s="5">
        <f t="shared" si="1081"/>
        <v>0</v>
      </c>
      <c r="Y3459" s="5">
        <f t="shared" si="1082"/>
        <v>0</v>
      </c>
      <c r="Z3459" s="5">
        <f t="shared" si="1083"/>
        <v>0</v>
      </c>
      <c r="AA3459" s="5">
        <f t="shared" si="1084"/>
        <v>0</v>
      </c>
      <c r="AB3459" s="5">
        <f t="shared" si="1074"/>
        <v>0</v>
      </c>
    </row>
    <row r="3460" spans="4:28" x14ac:dyDescent="0.25">
      <c r="D3460" t="s">
        <v>90</v>
      </c>
      <c r="E3460" s="14"/>
      <c r="F3460" s="14"/>
      <c r="G3460">
        <f>IFERROR(HLOOKUP(G$2,[104]table_female_hkom3_inj.ill_X2!$A$1:$K$36,22,FALSE),0)</f>
        <v>0</v>
      </c>
      <c r="H3460">
        <f>IFERROR(HLOOKUP(H$2,[104]table_female_hkom3_inj.ill_X2!$A$1:$K$36,22,FALSE),0)</f>
        <v>0</v>
      </c>
      <c r="I3460">
        <f>IFERROR(HLOOKUP(I$2,[104]table_female_hkom3_inj.ill_X2!$A$1:$K$36,22,FALSE),0)</f>
        <v>0</v>
      </c>
      <c r="J3460">
        <f>IFERROR(HLOOKUP(J$2,[104]table_female_hkom3_inj.ill_X2!$A$1:$K$36,22,FALSE),0)</f>
        <v>0</v>
      </c>
      <c r="K3460">
        <f>IFERROR(HLOOKUP(K$2,[104]table_female_hkom3_inj.ill_X2!$A$1:$K$36,22,FALSE),0)</f>
        <v>0</v>
      </c>
      <c r="L3460">
        <f>IFERROR(HLOOKUP(L$2,[104]table_female_hkom3_inj.ill_X2!$A$1:$K$36,22,FALSE),0)</f>
        <v>0</v>
      </c>
      <c r="M3460">
        <f t="shared" si="1076"/>
        <v>0</v>
      </c>
      <c r="S3460" t="s">
        <v>90</v>
      </c>
      <c r="T3460" s="5">
        <f t="shared" si="1077"/>
        <v>0</v>
      </c>
      <c r="U3460" s="5">
        <f t="shared" si="1078"/>
        <v>0</v>
      </c>
      <c r="V3460" s="5">
        <f t="shared" si="1079"/>
        <v>0</v>
      </c>
      <c r="W3460" s="5">
        <f t="shared" si="1080"/>
        <v>0</v>
      </c>
      <c r="X3460" s="5">
        <f t="shared" si="1081"/>
        <v>0</v>
      </c>
      <c r="Y3460" s="5">
        <f t="shared" si="1082"/>
        <v>0</v>
      </c>
      <c r="Z3460" s="5">
        <f t="shared" si="1083"/>
        <v>0</v>
      </c>
      <c r="AA3460" s="5">
        <f t="shared" si="1084"/>
        <v>0</v>
      </c>
      <c r="AB3460" s="5">
        <f t="shared" si="1074"/>
        <v>0</v>
      </c>
    </row>
    <row r="3461" spans="4:28" x14ac:dyDescent="0.25">
      <c r="D3461" t="s">
        <v>91</v>
      </c>
      <c r="E3461" s="14"/>
      <c r="F3461" s="14"/>
      <c r="G3461">
        <f>IFERROR(HLOOKUP(G$2,[104]table_female_hkom3_inj.ill_X2!$A$1:$K$36,23,FALSE),0)</f>
        <v>0</v>
      </c>
      <c r="H3461">
        <f>IFERROR(HLOOKUP(H$2,[104]table_female_hkom3_inj.ill_X2!$A$1:$K$36,23,FALSE),0)</f>
        <v>0</v>
      </c>
      <c r="I3461">
        <f>IFERROR(HLOOKUP(I$2,[104]table_female_hkom3_inj.ill_X2!$A$1:$K$36,23,FALSE),0)</f>
        <v>0</v>
      </c>
      <c r="J3461">
        <f>IFERROR(HLOOKUP(J$2,[104]table_female_hkom3_inj.ill_X2!$A$1:$K$36,23,FALSE),0)</f>
        <v>0</v>
      </c>
      <c r="K3461">
        <f>IFERROR(HLOOKUP(K$2,[104]table_female_hkom3_inj.ill_X2!$A$1:$K$36,23,FALSE),0)</f>
        <v>0</v>
      </c>
      <c r="L3461">
        <f>IFERROR(HLOOKUP(L$2,[104]table_female_hkom3_inj.ill_X2!$A$1:$K$36,23,FALSE),0)</f>
        <v>0</v>
      </c>
      <c r="M3461">
        <f t="shared" si="1076"/>
        <v>0</v>
      </c>
      <c r="S3461" t="s">
        <v>91</v>
      </c>
      <c r="T3461" s="5">
        <f t="shared" si="1077"/>
        <v>0</v>
      </c>
      <c r="U3461" s="5">
        <f t="shared" si="1078"/>
        <v>0</v>
      </c>
      <c r="V3461" s="5">
        <f t="shared" si="1079"/>
        <v>0</v>
      </c>
      <c r="W3461" s="5">
        <f t="shared" si="1080"/>
        <v>0</v>
      </c>
      <c r="X3461" s="5">
        <f t="shared" si="1081"/>
        <v>0</v>
      </c>
      <c r="Y3461" s="5">
        <f t="shared" si="1082"/>
        <v>0</v>
      </c>
      <c r="Z3461" s="5">
        <f t="shared" si="1083"/>
        <v>0</v>
      </c>
      <c r="AA3461" s="5">
        <f t="shared" si="1084"/>
        <v>0</v>
      </c>
      <c r="AB3461" s="5">
        <f t="shared" si="1074"/>
        <v>0</v>
      </c>
    </row>
    <row r="3462" spans="4:28" x14ac:dyDescent="0.25">
      <c r="D3462" t="s">
        <v>92</v>
      </c>
      <c r="E3462" s="14"/>
      <c r="F3462" s="14"/>
      <c r="G3462">
        <f>IFERROR(HLOOKUP(G$2,[104]table_female_hkom3_inj.ill_X2!$A$1:$K$36,24,FALSE),0)</f>
        <v>0</v>
      </c>
      <c r="H3462">
        <f>IFERROR(HLOOKUP(H$2,[104]table_female_hkom3_inj.ill_X2!$A$1:$K$36,24,FALSE),0)</f>
        <v>0</v>
      </c>
      <c r="I3462">
        <f>IFERROR(HLOOKUP(I$2,[104]table_female_hkom3_inj.ill_X2!$A$1:$K$36,24,FALSE),0)</f>
        <v>0</v>
      </c>
      <c r="J3462">
        <f>IFERROR(HLOOKUP(J$2,[104]table_female_hkom3_inj.ill_X2!$A$1:$K$36,24,FALSE),0)</f>
        <v>0</v>
      </c>
      <c r="K3462">
        <f>IFERROR(HLOOKUP(K$2,[104]table_female_hkom3_inj.ill_X2!$A$1:$K$36,24,FALSE),0)</f>
        <v>0</v>
      </c>
      <c r="L3462">
        <f>IFERROR(HLOOKUP(L$2,[104]table_female_hkom3_inj.ill_X2!$A$1:$K$36,24,FALSE),0)</f>
        <v>0</v>
      </c>
      <c r="M3462">
        <f t="shared" si="1076"/>
        <v>0</v>
      </c>
      <c r="S3462" t="s">
        <v>92</v>
      </c>
      <c r="T3462" s="5">
        <f t="shared" si="1077"/>
        <v>0</v>
      </c>
      <c r="U3462" s="5">
        <f t="shared" si="1078"/>
        <v>0</v>
      </c>
      <c r="V3462" s="5">
        <f t="shared" si="1079"/>
        <v>0</v>
      </c>
      <c r="W3462" s="5">
        <f t="shared" si="1080"/>
        <v>0</v>
      </c>
      <c r="X3462" s="5">
        <f t="shared" si="1081"/>
        <v>0</v>
      </c>
      <c r="Y3462" s="5">
        <f t="shared" si="1082"/>
        <v>0</v>
      </c>
      <c r="Z3462" s="5">
        <f t="shared" si="1083"/>
        <v>0</v>
      </c>
      <c r="AA3462" s="5">
        <f t="shared" si="1084"/>
        <v>0</v>
      </c>
      <c r="AB3462" s="5">
        <f t="shared" si="1074"/>
        <v>0</v>
      </c>
    </row>
    <row r="3463" spans="4:28" x14ac:dyDescent="0.25">
      <c r="D3463" t="s">
        <v>93</v>
      </c>
      <c r="E3463" s="14"/>
      <c r="F3463" s="14"/>
      <c r="G3463">
        <f>IFERROR(HLOOKUP(G$2,[104]table_female_hkom3_inj.ill_X2!$A$1:$K$36,25,FALSE),0)</f>
        <v>0</v>
      </c>
      <c r="H3463">
        <f>IFERROR(HLOOKUP(H$2,[104]table_female_hkom3_inj.ill_X2!$A$1:$K$36,25,FALSE),0)</f>
        <v>0</v>
      </c>
      <c r="I3463">
        <f>IFERROR(HLOOKUP(I$2,[104]table_female_hkom3_inj.ill_X2!$A$1:$K$36,25,FALSE),0)</f>
        <v>0</v>
      </c>
      <c r="J3463">
        <f>IFERROR(HLOOKUP(J$2,[104]table_female_hkom3_inj.ill_X2!$A$1:$K$36,25,FALSE),0)</f>
        <v>0</v>
      </c>
      <c r="K3463">
        <f>IFERROR(HLOOKUP(K$2,[104]table_female_hkom3_inj.ill_X2!$A$1:$K$36,25,FALSE),0)</f>
        <v>0</v>
      </c>
      <c r="L3463">
        <f>IFERROR(HLOOKUP(L$2,[104]table_female_hkom3_inj.ill_X2!$A$1:$K$36,25,FALSE),0)</f>
        <v>0</v>
      </c>
      <c r="M3463">
        <f t="shared" si="1076"/>
        <v>0</v>
      </c>
      <c r="S3463" t="s">
        <v>93</v>
      </c>
      <c r="T3463" s="5">
        <f t="shared" si="1077"/>
        <v>0</v>
      </c>
      <c r="U3463" s="5">
        <f t="shared" si="1078"/>
        <v>0</v>
      </c>
      <c r="V3463" s="5">
        <f t="shared" si="1079"/>
        <v>0</v>
      </c>
      <c r="W3463" s="5">
        <f t="shared" si="1080"/>
        <v>0</v>
      </c>
      <c r="X3463" s="5">
        <f t="shared" si="1081"/>
        <v>0</v>
      </c>
      <c r="Y3463" s="5">
        <f t="shared" si="1082"/>
        <v>0</v>
      </c>
      <c r="Z3463" s="5">
        <f t="shared" si="1083"/>
        <v>0</v>
      </c>
      <c r="AA3463" s="5">
        <f t="shared" si="1084"/>
        <v>0</v>
      </c>
      <c r="AB3463" s="5">
        <f t="shared" si="1074"/>
        <v>0</v>
      </c>
    </row>
    <row r="3464" spans="4:28" x14ac:dyDescent="0.25">
      <c r="D3464" t="s">
        <v>94</v>
      </c>
      <c r="E3464" s="14"/>
      <c r="F3464" s="14"/>
      <c r="G3464">
        <f>IFERROR(HLOOKUP(G$2,[104]table_female_hkom3_inj.ill_X2!$A$1:$K$36,26,FALSE),0)</f>
        <v>0</v>
      </c>
      <c r="H3464">
        <f>IFERROR(HLOOKUP(H$2,[104]table_female_hkom3_inj.ill_X2!$A$1:$K$36,26,FALSE),0)</f>
        <v>0</v>
      </c>
      <c r="I3464">
        <f>IFERROR(HLOOKUP(I$2,[104]table_female_hkom3_inj.ill_X2!$A$1:$K$36,26,FALSE),0)</f>
        <v>0</v>
      </c>
      <c r="J3464">
        <f>IFERROR(HLOOKUP(J$2,[104]table_female_hkom3_inj.ill_X2!$A$1:$K$36,26,FALSE),0)</f>
        <v>0</v>
      </c>
      <c r="K3464">
        <f>IFERROR(HLOOKUP(K$2,[104]table_female_hkom3_inj.ill_X2!$A$1:$K$36,26,FALSE),0)</f>
        <v>0</v>
      </c>
      <c r="L3464">
        <f>IFERROR(HLOOKUP(L$2,[104]table_female_hkom3_inj.ill_X2!$A$1:$K$36,26,FALSE),0)</f>
        <v>0</v>
      </c>
      <c r="M3464">
        <f t="shared" si="1076"/>
        <v>0</v>
      </c>
      <c r="S3464" t="s">
        <v>94</v>
      </c>
      <c r="T3464" s="5">
        <f t="shared" si="1077"/>
        <v>0</v>
      </c>
      <c r="U3464" s="5">
        <f t="shared" si="1078"/>
        <v>0</v>
      </c>
      <c r="V3464" s="5">
        <f t="shared" si="1079"/>
        <v>0</v>
      </c>
      <c r="W3464" s="5">
        <f t="shared" si="1080"/>
        <v>0</v>
      </c>
      <c r="X3464" s="5">
        <f t="shared" si="1081"/>
        <v>0</v>
      </c>
      <c r="Y3464" s="5">
        <f t="shared" si="1082"/>
        <v>0</v>
      </c>
      <c r="Z3464" s="5">
        <f t="shared" si="1083"/>
        <v>0</v>
      </c>
      <c r="AA3464" s="5">
        <f t="shared" si="1084"/>
        <v>0</v>
      </c>
      <c r="AB3464" s="5">
        <f t="shared" si="1074"/>
        <v>0</v>
      </c>
    </row>
    <row r="3465" spans="4:28" x14ac:dyDescent="0.25">
      <c r="D3465" t="s">
        <v>95</v>
      </c>
      <c r="E3465" s="14"/>
      <c r="F3465" s="14"/>
      <c r="G3465">
        <f>IFERROR(HLOOKUP(G$2,[104]table_female_hkom3_inj.ill_X2!$A$1:$K$36,27,FALSE),0)</f>
        <v>0</v>
      </c>
      <c r="H3465">
        <f>IFERROR(HLOOKUP(H$2,[104]table_female_hkom3_inj.ill_X2!$A$1:$K$36,27,FALSE),0)</f>
        <v>0</v>
      </c>
      <c r="I3465">
        <f>IFERROR(HLOOKUP(I$2,[104]table_female_hkom3_inj.ill_X2!$A$1:$K$36,27,FALSE),0)</f>
        <v>0</v>
      </c>
      <c r="J3465">
        <f>IFERROR(HLOOKUP(J$2,[104]table_female_hkom3_inj.ill_X2!$A$1:$K$36,27,FALSE),0)</f>
        <v>0</v>
      </c>
      <c r="K3465">
        <f>IFERROR(HLOOKUP(K$2,[104]table_female_hkom3_inj.ill_X2!$A$1:$K$36,27,FALSE),0)</f>
        <v>0</v>
      </c>
      <c r="L3465">
        <f>IFERROR(HLOOKUP(L$2,[104]table_female_hkom3_inj.ill_X2!$A$1:$K$36,27,FALSE),0)</f>
        <v>0</v>
      </c>
      <c r="M3465">
        <f t="shared" si="1076"/>
        <v>0</v>
      </c>
      <c r="S3465" t="s">
        <v>95</v>
      </c>
      <c r="T3465" s="5">
        <f t="shared" si="1077"/>
        <v>0</v>
      </c>
      <c r="U3465" s="5">
        <f t="shared" si="1078"/>
        <v>0</v>
      </c>
      <c r="V3465" s="5">
        <f t="shared" si="1079"/>
        <v>0</v>
      </c>
      <c r="W3465" s="5">
        <f t="shared" si="1080"/>
        <v>0</v>
      </c>
      <c r="X3465" s="5">
        <f t="shared" si="1081"/>
        <v>0</v>
      </c>
      <c r="Y3465" s="5">
        <f t="shared" si="1082"/>
        <v>0</v>
      </c>
      <c r="Z3465" s="5">
        <f t="shared" si="1083"/>
        <v>0</v>
      </c>
      <c r="AA3465" s="5">
        <f t="shared" si="1084"/>
        <v>0</v>
      </c>
      <c r="AB3465" s="5">
        <f t="shared" si="1074"/>
        <v>0</v>
      </c>
    </row>
    <row r="3466" spans="4:28" x14ac:dyDescent="0.25">
      <c r="D3466" t="s">
        <v>96</v>
      </c>
      <c r="E3466" s="14"/>
      <c r="F3466" s="14"/>
      <c r="G3466">
        <f>IFERROR(HLOOKUP(G$2,[104]table_female_hkom3_inj.ill_X2!$A$1:$K$36,28,FALSE),0)</f>
        <v>0</v>
      </c>
      <c r="H3466">
        <f>IFERROR(HLOOKUP(H$2,[104]table_female_hkom3_inj.ill_X2!$A$1:$K$36,28,FALSE),0)</f>
        <v>0</v>
      </c>
      <c r="I3466">
        <f>IFERROR(HLOOKUP(I$2,[104]table_female_hkom3_inj.ill_X2!$A$1:$K$36,28,FALSE),0)</f>
        <v>0</v>
      </c>
      <c r="J3466">
        <f>IFERROR(HLOOKUP(J$2,[104]table_female_hkom3_inj.ill_X2!$A$1:$K$36,28,FALSE),0)</f>
        <v>0</v>
      </c>
      <c r="K3466">
        <f>IFERROR(HLOOKUP(K$2,[104]table_female_hkom3_inj.ill_X2!$A$1:$K$36,28,FALSE),0)</f>
        <v>0</v>
      </c>
      <c r="L3466">
        <f>IFERROR(HLOOKUP(L$2,[104]table_female_hkom3_inj.ill_X2!$A$1:$K$36,28,FALSE),0)</f>
        <v>0</v>
      </c>
      <c r="M3466">
        <f t="shared" si="1076"/>
        <v>0</v>
      </c>
      <c r="S3466" t="s">
        <v>96</v>
      </c>
      <c r="T3466" s="5">
        <f t="shared" si="1077"/>
        <v>0</v>
      </c>
      <c r="U3466" s="5">
        <f t="shared" si="1078"/>
        <v>0</v>
      </c>
      <c r="V3466" s="5">
        <f t="shared" si="1079"/>
        <v>0</v>
      </c>
      <c r="W3466" s="5">
        <f t="shared" si="1080"/>
        <v>0</v>
      </c>
      <c r="X3466" s="5">
        <f t="shared" si="1081"/>
        <v>0</v>
      </c>
      <c r="Y3466" s="5">
        <f t="shared" si="1082"/>
        <v>0</v>
      </c>
      <c r="Z3466" s="5">
        <f t="shared" si="1083"/>
        <v>0</v>
      </c>
      <c r="AA3466" s="5">
        <f t="shared" si="1084"/>
        <v>0</v>
      </c>
      <c r="AB3466" s="5">
        <f t="shared" si="1074"/>
        <v>0</v>
      </c>
    </row>
    <row r="3467" spans="4:28" x14ac:dyDescent="0.25">
      <c r="D3467" t="s">
        <v>97</v>
      </c>
      <c r="E3467" s="14"/>
      <c r="F3467" s="14"/>
      <c r="G3467">
        <f>IFERROR(HLOOKUP(G$2,[104]table_female_hkom3_inj.ill_X2!$A$1:$K$36,29,FALSE),0)</f>
        <v>0</v>
      </c>
      <c r="H3467">
        <f>IFERROR(HLOOKUP(H$2,[104]table_female_hkom3_inj.ill_X2!$A$1:$K$36,29,FALSE),0)</f>
        <v>0</v>
      </c>
      <c r="I3467">
        <f>IFERROR(HLOOKUP(I$2,[104]table_female_hkom3_inj.ill_X2!$A$1:$K$36,29,FALSE),0)</f>
        <v>0</v>
      </c>
      <c r="J3467">
        <f>IFERROR(HLOOKUP(J$2,[104]table_female_hkom3_inj.ill_X2!$A$1:$K$36,29,FALSE),0)</f>
        <v>0</v>
      </c>
      <c r="K3467">
        <f>IFERROR(HLOOKUP(K$2,[104]table_female_hkom3_inj.ill_X2!$A$1:$K$36,29,FALSE),0)</f>
        <v>0</v>
      </c>
      <c r="L3467">
        <f>IFERROR(HLOOKUP(L$2,[104]table_female_hkom3_inj.ill_X2!$A$1:$K$36,29,FALSE),0)</f>
        <v>0</v>
      </c>
      <c r="M3467">
        <f t="shared" si="1076"/>
        <v>0</v>
      </c>
      <c r="S3467" t="s">
        <v>97</v>
      </c>
      <c r="T3467" s="5">
        <f t="shared" si="1077"/>
        <v>0</v>
      </c>
      <c r="U3467" s="5">
        <f t="shared" si="1078"/>
        <v>0</v>
      </c>
      <c r="V3467" s="5">
        <f t="shared" si="1079"/>
        <v>0</v>
      </c>
      <c r="W3467" s="5">
        <f t="shared" si="1080"/>
        <v>0</v>
      </c>
      <c r="X3467" s="5">
        <f t="shared" si="1081"/>
        <v>0</v>
      </c>
      <c r="Y3467" s="5">
        <f t="shared" si="1082"/>
        <v>0</v>
      </c>
      <c r="Z3467" s="5">
        <f t="shared" si="1083"/>
        <v>0</v>
      </c>
      <c r="AA3467" s="5">
        <f t="shared" si="1084"/>
        <v>0</v>
      </c>
      <c r="AB3467" s="5">
        <f t="shared" si="1074"/>
        <v>0</v>
      </c>
    </row>
    <row r="3468" spans="4:28" x14ac:dyDescent="0.25">
      <c r="D3468" t="s">
        <v>98</v>
      </c>
      <c r="E3468" s="14"/>
      <c r="F3468" s="14"/>
      <c r="G3468">
        <f>IFERROR(HLOOKUP(G$2,[104]table_female_hkom3_inj.ill_X2!$A$1:$K$36,30,FALSE),0)</f>
        <v>0</v>
      </c>
      <c r="H3468">
        <f>IFERROR(HLOOKUP(H$2,[104]table_female_hkom3_inj.ill_X2!$A$1:$K$36,30,FALSE),0)</f>
        <v>0</v>
      </c>
      <c r="I3468">
        <f>IFERROR(HLOOKUP(I$2,[104]table_female_hkom3_inj.ill_X2!$A$1:$K$36,30,FALSE),0)</f>
        <v>0</v>
      </c>
      <c r="J3468">
        <f>IFERROR(HLOOKUP(J$2,[104]table_female_hkom3_inj.ill_X2!$A$1:$K$36,30,FALSE),0)</f>
        <v>0</v>
      </c>
      <c r="K3468">
        <f>IFERROR(HLOOKUP(K$2,[104]table_female_hkom3_inj.ill_X2!$A$1:$K$36,30,FALSE),0)</f>
        <v>0</v>
      </c>
      <c r="L3468">
        <f>IFERROR(HLOOKUP(L$2,[104]table_female_hkom3_inj.ill_X2!$A$1:$K$36,30,FALSE),0)</f>
        <v>0</v>
      </c>
      <c r="M3468">
        <f t="shared" si="1076"/>
        <v>0</v>
      </c>
      <c r="S3468" t="s">
        <v>98</v>
      </c>
      <c r="T3468" s="5">
        <f t="shared" si="1077"/>
        <v>0</v>
      </c>
      <c r="U3468" s="5">
        <f t="shared" si="1078"/>
        <v>0</v>
      </c>
      <c r="V3468" s="5">
        <f t="shared" si="1079"/>
        <v>0</v>
      </c>
      <c r="W3468" s="5">
        <f t="shared" si="1080"/>
        <v>0</v>
      </c>
      <c r="X3468" s="5">
        <f t="shared" si="1081"/>
        <v>0</v>
      </c>
      <c r="Y3468" s="5">
        <f t="shared" si="1082"/>
        <v>0</v>
      </c>
      <c r="Z3468" s="5">
        <f t="shared" si="1083"/>
        <v>0</v>
      </c>
      <c r="AA3468" s="5">
        <f t="shared" si="1084"/>
        <v>0</v>
      </c>
      <c r="AB3468" s="5">
        <f t="shared" si="1074"/>
        <v>0</v>
      </c>
    </row>
    <row r="3469" spans="4:28" x14ac:dyDescent="0.25">
      <c r="D3469" t="s">
        <v>119</v>
      </c>
      <c r="E3469" s="14"/>
      <c r="F3469" s="14"/>
      <c r="G3469">
        <f>IFERROR(HLOOKUP(G$2,[104]table_female_hkom3_inj.ill_X2!$A$1:$K$36,31,FALSE),0)</f>
        <v>0</v>
      </c>
      <c r="H3469">
        <f>IFERROR(HLOOKUP(H$2,[104]table_female_hkom3_inj.ill_X2!$A$1:$K$36,31,FALSE),0)</f>
        <v>0</v>
      </c>
      <c r="I3469">
        <f>IFERROR(HLOOKUP(I$2,[104]table_female_hkom3_inj.ill_X2!$A$1:$K$36,31,FALSE),0)</f>
        <v>0</v>
      </c>
      <c r="J3469">
        <f>IFERROR(HLOOKUP(J$2,[104]table_female_hkom3_inj.ill_X2!$A$1:$K$36,31,FALSE),0)</f>
        <v>0</v>
      </c>
      <c r="K3469">
        <f>IFERROR(HLOOKUP(K$2,[104]table_female_hkom3_inj.ill_X2!$A$1:$K$36,31,FALSE),0)</f>
        <v>0</v>
      </c>
      <c r="L3469">
        <f>IFERROR(HLOOKUP(L$2,[104]table_female_hkom3_inj.ill_X2!$A$1:$K$36,31,FALSE),0)</f>
        <v>0</v>
      </c>
      <c r="M3469">
        <f t="shared" si="1076"/>
        <v>0</v>
      </c>
      <c r="S3469" t="s">
        <v>119</v>
      </c>
      <c r="T3469" s="5">
        <f t="shared" si="1077"/>
        <v>0</v>
      </c>
      <c r="U3469" s="5">
        <f t="shared" si="1078"/>
        <v>0</v>
      </c>
      <c r="V3469" s="5">
        <f t="shared" si="1079"/>
        <v>0</v>
      </c>
      <c r="W3469" s="5">
        <f t="shared" si="1080"/>
        <v>0</v>
      </c>
      <c r="X3469" s="5">
        <f t="shared" si="1081"/>
        <v>0</v>
      </c>
      <c r="Y3469" s="5">
        <f t="shared" si="1082"/>
        <v>0</v>
      </c>
      <c r="Z3469" s="5">
        <f t="shared" si="1083"/>
        <v>0</v>
      </c>
      <c r="AA3469" s="5">
        <f t="shared" si="1084"/>
        <v>0</v>
      </c>
      <c r="AB3469" s="5">
        <f t="shared" si="1074"/>
        <v>0</v>
      </c>
    </row>
    <row r="3470" spans="4:28" x14ac:dyDescent="0.25">
      <c r="D3470" t="s">
        <v>99</v>
      </c>
      <c r="E3470" s="14"/>
      <c r="F3470" s="14"/>
      <c r="G3470">
        <f>IFERROR(HLOOKUP(G$2,[104]table_female_hkom3_inj.ill_X2!$A$1:$K$36,32,FALSE),0)</f>
        <v>0</v>
      </c>
      <c r="H3470">
        <f>IFERROR(HLOOKUP(H$2,[104]table_female_hkom3_inj.ill_X2!$A$1:$K$36,32,FALSE),0)</f>
        <v>0</v>
      </c>
      <c r="I3470">
        <f>IFERROR(HLOOKUP(I$2,[104]table_female_hkom3_inj.ill_X2!$A$1:$K$36,32,FALSE),0)</f>
        <v>0</v>
      </c>
      <c r="J3470">
        <f>IFERROR(HLOOKUP(J$2,[104]table_female_hkom3_inj.ill_X2!$A$1:$K$36,32,FALSE),0)</f>
        <v>0</v>
      </c>
      <c r="K3470">
        <f>IFERROR(HLOOKUP(K$2,[104]table_female_hkom3_inj.ill_X2!$A$1:$K$36,32,FALSE),0)</f>
        <v>0</v>
      </c>
      <c r="L3470">
        <f>IFERROR(HLOOKUP(L$2,[104]table_female_hkom3_inj.ill_X2!$A$1:$K$36,32,FALSE),0)</f>
        <v>0</v>
      </c>
      <c r="M3470">
        <f t="shared" si="1076"/>
        <v>0</v>
      </c>
      <c r="S3470" t="s">
        <v>99</v>
      </c>
      <c r="T3470" s="5">
        <f t="shared" si="1077"/>
        <v>0</v>
      </c>
      <c r="U3470" s="5">
        <f t="shared" si="1078"/>
        <v>0</v>
      </c>
      <c r="V3470" s="5">
        <f t="shared" si="1079"/>
        <v>0</v>
      </c>
      <c r="W3470" s="5">
        <f t="shared" si="1080"/>
        <v>0</v>
      </c>
      <c r="X3470" s="5">
        <f t="shared" si="1081"/>
        <v>0</v>
      </c>
      <c r="Y3470" s="5">
        <f t="shared" si="1082"/>
        <v>0</v>
      </c>
      <c r="Z3470" s="5">
        <f t="shared" si="1083"/>
        <v>0</v>
      </c>
      <c r="AA3470" s="5">
        <f t="shared" si="1084"/>
        <v>0</v>
      </c>
      <c r="AB3470" s="5">
        <f t="shared" si="1074"/>
        <v>0</v>
      </c>
    </row>
    <row r="3471" spans="4:28" x14ac:dyDescent="0.25">
      <c r="D3471" t="s">
        <v>100</v>
      </c>
      <c r="E3471" s="14"/>
      <c r="F3471" s="14"/>
      <c r="G3471">
        <f>IFERROR(HLOOKUP(G$2,[104]table_female_hkom3_inj.ill_X2!$A$1:$K$36,33,FALSE),0)</f>
        <v>0</v>
      </c>
      <c r="H3471">
        <f>IFERROR(HLOOKUP(H$2,[104]table_female_hkom3_inj.ill_X2!$A$1:$K$36,33,FALSE),0)</f>
        <v>0</v>
      </c>
      <c r="I3471">
        <f>IFERROR(HLOOKUP(I$2,[104]table_female_hkom3_inj.ill_X2!$A$1:$K$36,33,FALSE),0)</f>
        <v>0</v>
      </c>
      <c r="J3471">
        <f>IFERROR(HLOOKUP(J$2,[104]table_female_hkom3_inj.ill_X2!$A$1:$K$36,33,FALSE),0)</f>
        <v>0</v>
      </c>
      <c r="K3471">
        <f>IFERROR(HLOOKUP(K$2,[104]table_female_hkom3_inj.ill_X2!$A$1:$K$36,33,FALSE),0)</f>
        <v>0</v>
      </c>
      <c r="L3471">
        <f>IFERROR(HLOOKUP(L$2,[104]table_female_hkom3_inj.ill_X2!$A$1:$K$36,33,FALSE),0)</f>
        <v>0</v>
      </c>
      <c r="M3471">
        <f t="shared" si="1076"/>
        <v>0</v>
      </c>
      <c r="S3471" t="s">
        <v>100</v>
      </c>
      <c r="T3471" s="5">
        <f t="shared" si="1077"/>
        <v>0</v>
      </c>
      <c r="U3471" s="5">
        <f t="shared" si="1078"/>
        <v>0</v>
      </c>
      <c r="V3471" s="5">
        <f t="shared" si="1079"/>
        <v>0</v>
      </c>
      <c r="W3471" s="5">
        <f t="shared" si="1080"/>
        <v>0</v>
      </c>
      <c r="X3471" s="5">
        <f t="shared" si="1081"/>
        <v>0</v>
      </c>
      <c r="Y3471" s="5">
        <f t="shared" si="1082"/>
        <v>0</v>
      </c>
      <c r="Z3471" s="5">
        <f t="shared" si="1083"/>
        <v>0</v>
      </c>
      <c r="AA3471" s="5">
        <f t="shared" si="1084"/>
        <v>0</v>
      </c>
      <c r="AB3471" s="5">
        <f t="shared" si="1074"/>
        <v>0</v>
      </c>
    </row>
    <row r="3472" spans="4:28" x14ac:dyDescent="0.25">
      <c r="D3472" t="s">
        <v>101</v>
      </c>
      <c r="E3472" s="14"/>
      <c r="F3472" s="14"/>
      <c r="G3472">
        <f>IFERROR(HLOOKUP(G$2,[104]table_female_hkom3_inj.ill_X2!$A$1:$K$36,34,FALSE),0)</f>
        <v>0</v>
      </c>
      <c r="H3472">
        <f>IFERROR(HLOOKUP(H$2,[104]table_female_hkom3_inj.ill_X2!$A$1:$K$36,34,FALSE),0)</f>
        <v>0</v>
      </c>
      <c r="I3472">
        <f>IFERROR(HLOOKUP(I$2,[104]table_female_hkom3_inj.ill_X2!$A$1:$K$36,34,FALSE),0)</f>
        <v>0</v>
      </c>
      <c r="J3472">
        <f>IFERROR(HLOOKUP(J$2,[104]table_female_hkom3_inj.ill_X2!$A$1:$K$36,34,FALSE),0)</f>
        <v>0</v>
      </c>
      <c r="K3472">
        <f>IFERROR(HLOOKUP(K$2,[104]table_female_hkom3_inj.ill_X2!$A$1:$K$36,34,FALSE),0)</f>
        <v>0</v>
      </c>
      <c r="L3472">
        <f>IFERROR(HLOOKUP(L$2,[104]table_female_hkom3_inj.ill_X2!$A$1:$K$36,34,FALSE),0)</f>
        <v>0</v>
      </c>
      <c r="M3472">
        <f t="shared" si="1076"/>
        <v>0</v>
      </c>
      <c r="S3472" t="s">
        <v>101</v>
      </c>
      <c r="T3472" s="5">
        <f t="shared" si="1077"/>
        <v>0</v>
      </c>
      <c r="U3472" s="5">
        <f t="shared" si="1078"/>
        <v>0</v>
      </c>
      <c r="V3472" s="5">
        <f t="shared" si="1079"/>
        <v>0</v>
      </c>
      <c r="W3472" s="5">
        <f t="shared" si="1080"/>
        <v>0</v>
      </c>
      <c r="X3472" s="5">
        <f t="shared" si="1081"/>
        <v>0</v>
      </c>
      <c r="Y3472" s="5">
        <f t="shared" si="1082"/>
        <v>0</v>
      </c>
      <c r="Z3472" s="5">
        <f t="shared" si="1083"/>
        <v>0</v>
      </c>
      <c r="AA3472" s="5">
        <f t="shared" si="1084"/>
        <v>0</v>
      </c>
      <c r="AB3472" s="5">
        <f t="shared" si="1074"/>
        <v>0</v>
      </c>
    </row>
    <row r="3473" spans="1:29" x14ac:dyDescent="0.25">
      <c r="D3473" t="s">
        <v>102</v>
      </c>
      <c r="E3473" s="14"/>
      <c r="F3473" s="14"/>
      <c r="G3473">
        <f>IFERROR(HLOOKUP(G$2,[104]table_female_hkom3_inj.ill_X2!$A$1:$K$36,35,FALSE),0)</f>
        <v>0</v>
      </c>
      <c r="H3473">
        <f>IFERROR(HLOOKUP(H$2,[104]table_female_hkom3_inj.ill_X2!$A$1:$K$36,35,FALSE),0)</f>
        <v>0</v>
      </c>
      <c r="I3473">
        <f>IFERROR(HLOOKUP(I$2,[104]table_female_hkom3_inj.ill_X2!$A$1:$K$36,35,FALSE),0)</f>
        <v>0</v>
      </c>
      <c r="J3473">
        <f>IFERROR(HLOOKUP(J$2,[104]table_female_hkom3_inj.ill_X2!$A$1:$K$36,35,FALSE),0)</f>
        <v>0</v>
      </c>
      <c r="K3473">
        <f>IFERROR(HLOOKUP(K$2,[104]table_female_hkom3_inj.ill_X2!$A$1:$K$36,35,FALSE),0)</f>
        <v>0</v>
      </c>
      <c r="L3473">
        <f>IFERROR(HLOOKUP(L$2,[104]table_female_hkom3_inj.ill_X2!$A$1:$K$36,35,FALSE),0)</f>
        <v>0</v>
      </c>
      <c r="M3473">
        <f t="shared" si="1076"/>
        <v>0</v>
      </c>
      <c r="N3473">
        <f>SUM(M3440:M3473)</f>
        <v>0</v>
      </c>
      <c r="O3473" s="8">
        <f>SUM([104]table_female_hkom3_inj.ill_X2!$B$2:$L$37)</f>
        <v>0</v>
      </c>
      <c r="S3473" t="s">
        <v>102</v>
      </c>
      <c r="T3473" s="7"/>
      <c r="U3473" s="7"/>
      <c r="V3473" s="7"/>
      <c r="W3473" s="7"/>
      <c r="X3473" s="7"/>
      <c r="Y3473" s="7"/>
      <c r="Z3473" s="7"/>
      <c r="AA3473" s="7"/>
      <c r="AB3473" s="5">
        <f t="shared" si="1074"/>
        <v>0</v>
      </c>
      <c r="AC3473" s="5">
        <f>SUM(AB3440:AB3472)</f>
        <v>0</v>
      </c>
    </row>
    <row r="3474" spans="1:29" x14ac:dyDescent="0.25">
      <c r="A3474" t="s">
        <v>115</v>
      </c>
      <c r="B3474" t="s">
        <v>117</v>
      </c>
      <c r="C3474" t="s">
        <v>125</v>
      </c>
      <c r="D3474" t="s">
        <v>70</v>
      </c>
      <c r="E3474" s="14"/>
      <c r="F3474" s="14"/>
      <c r="G3474">
        <f>IFERROR(HLOOKUP(G$2,[105]table_female_hkom3_inj.ill_X3!$A$1:$K$36,2,FALSE),0)</f>
        <v>0</v>
      </c>
      <c r="H3474">
        <f>IFERROR(HLOOKUP(H$2,[105]table_female_hkom3_inj.ill_X3!$A$1:$K$36,2,FALSE),0)</f>
        <v>0</v>
      </c>
      <c r="I3474">
        <f>IFERROR(HLOOKUP(I$2,[105]table_female_hkom3_inj.ill_X3!$A$1:$K$36,2,FALSE),0)</f>
        <v>0</v>
      </c>
      <c r="J3474">
        <f>IFERROR(HLOOKUP(J$2,[105]table_female_hkom3_inj.ill_X3!$A$1:$K$36,2,FALSE),0)</f>
        <v>0</v>
      </c>
      <c r="K3474">
        <f>IFERROR(HLOOKUP(K$2,[105]table_female_hkom3_inj.ill_X3!$A$1:$K$36,2,FALSE),0)</f>
        <v>0</v>
      </c>
      <c r="L3474">
        <f>IFERROR(HLOOKUP(L$2,[105]table_female_hkom3_inj.ill_X3!$A$1:$K$36,2,FALSE),0)</f>
        <v>0</v>
      </c>
      <c r="M3474">
        <f>SUM(E3474:L3474)</f>
        <v>0</v>
      </c>
      <c r="P3474" t="s">
        <v>115</v>
      </c>
      <c r="Q3474" t="s">
        <v>117</v>
      </c>
      <c r="R3474" t="s">
        <v>125</v>
      </c>
      <c r="S3474" t="s">
        <v>70</v>
      </c>
      <c r="T3474" s="5">
        <f>IF(SUM(E$3474:E$3506)=0,E$3507/33,E3474+IFERROR(E3474/SUM(E$3474:E$3506)*E$3507,0))</f>
        <v>0</v>
      </c>
      <c r="U3474" s="5">
        <f t="shared" ref="U3474:AA3474" si="1085">IF(SUM(F$3474:F$3506)=0,F$3507/33,F3474+IFERROR(F3474/SUM(F$3474:F$3506)*F$3507,0))</f>
        <v>0</v>
      </c>
      <c r="V3474" s="5">
        <f t="shared" si="1085"/>
        <v>0</v>
      </c>
      <c r="W3474" s="5">
        <f t="shared" si="1085"/>
        <v>0</v>
      </c>
      <c r="X3474" s="5">
        <f t="shared" si="1085"/>
        <v>0</v>
      </c>
      <c r="Y3474" s="5">
        <f t="shared" si="1085"/>
        <v>0</v>
      </c>
      <c r="Z3474" s="5">
        <f t="shared" si="1085"/>
        <v>0</v>
      </c>
      <c r="AA3474" s="5">
        <f t="shared" si="1085"/>
        <v>0</v>
      </c>
      <c r="AB3474" s="5">
        <f t="shared" si="1074"/>
        <v>0</v>
      </c>
    </row>
    <row r="3475" spans="1:29" x14ac:dyDescent="0.25">
      <c r="D3475" t="s">
        <v>71</v>
      </c>
      <c r="E3475" s="14"/>
      <c r="F3475" s="14"/>
      <c r="G3475">
        <f>IFERROR(HLOOKUP(G$2,[105]table_female_hkom3_inj.ill_X3!$A$1:$K$36,3,FALSE),0)</f>
        <v>0</v>
      </c>
      <c r="H3475">
        <f>IFERROR(HLOOKUP(H$2,[105]table_female_hkom3_inj.ill_X3!$A$1:$K$36,3,FALSE),0)</f>
        <v>0</v>
      </c>
      <c r="I3475">
        <f>IFERROR(HLOOKUP(I$2,[105]table_female_hkom3_inj.ill_X3!$A$1:$K$36,3,FALSE),0)</f>
        <v>0</v>
      </c>
      <c r="J3475">
        <f>IFERROR(HLOOKUP(J$2,[105]table_female_hkom3_inj.ill_X3!$A$1:$K$36,3,FALSE),0)</f>
        <v>0</v>
      </c>
      <c r="K3475">
        <f>IFERROR(HLOOKUP(K$2,[105]table_female_hkom3_inj.ill_X3!$A$1:$K$36,3,FALSE),0)</f>
        <v>0</v>
      </c>
      <c r="L3475">
        <f>IFERROR(HLOOKUP(L$2,[105]table_female_hkom3_inj.ill_X3!$A$1:$K$36,3,FALSE),0)</f>
        <v>0</v>
      </c>
      <c r="M3475">
        <f t="shared" ref="M3475:M3507" si="1086">SUM(E3475:L3475)</f>
        <v>0</v>
      </c>
      <c r="S3475" t="s">
        <v>71</v>
      </c>
      <c r="T3475" s="5">
        <f t="shared" ref="T3475:T3506" si="1087">IF(SUM(E$3474:E$3506)=0,E$3507/33,E3475+IFERROR(E3475/SUM(E$3474:E$3506)*E$3507,0))</f>
        <v>0</v>
      </c>
      <c r="U3475" s="5">
        <f t="shared" ref="U3475:U3506" si="1088">IF(SUM(F$3474:F$3506)=0,F$3507/33,F3475+IFERROR(F3475/SUM(F$3474:F$3506)*F$3507,0))</f>
        <v>0</v>
      </c>
      <c r="V3475" s="5">
        <f t="shared" ref="V3475:V3506" si="1089">IF(SUM(G$3474:G$3506)=0,G$3507/33,G3475+IFERROR(G3475/SUM(G$3474:G$3506)*G$3507,0))</f>
        <v>0</v>
      </c>
      <c r="W3475" s="5">
        <f t="shared" ref="W3475:W3506" si="1090">IF(SUM(H$3474:H$3506)=0,H$3507/33,H3475+IFERROR(H3475/SUM(H$3474:H$3506)*H$3507,0))</f>
        <v>0</v>
      </c>
      <c r="X3475" s="5">
        <f t="shared" ref="X3475:X3506" si="1091">IF(SUM(I$3474:I$3506)=0,I$3507/33,I3475+IFERROR(I3475/SUM(I$3474:I$3506)*I$3507,0))</f>
        <v>0</v>
      </c>
      <c r="Y3475" s="5">
        <f t="shared" ref="Y3475:Y3506" si="1092">IF(SUM(J$3474:J$3506)=0,J$3507/33,J3475+IFERROR(J3475/SUM(J$3474:J$3506)*J$3507,0))</f>
        <v>0</v>
      </c>
      <c r="Z3475" s="5">
        <f t="shared" ref="Z3475:Z3506" si="1093">IF(SUM(K$3474:K$3506)=0,K$3507/33,K3475+IFERROR(K3475/SUM(K$3474:K$3506)*K$3507,0))</f>
        <v>0</v>
      </c>
      <c r="AA3475" s="5">
        <f t="shared" ref="AA3475:AA3506" si="1094">IF(SUM(L$3474:L$3506)=0,L$3507/33,L3475+IFERROR(L3475/SUM(L$3474:L$3506)*L$3507,0))</f>
        <v>0</v>
      </c>
      <c r="AB3475" s="5">
        <f t="shared" si="1074"/>
        <v>0</v>
      </c>
    </row>
    <row r="3476" spans="1:29" x14ac:dyDescent="0.25">
      <c r="D3476" t="s">
        <v>72</v>
      </c>
      <c r="E3476" s="14"/>
      <c r="F3476" s="14"/>
      <c r="G3476">
        <f>IFERROR(HLOOKUP(G$2,[105]table_female_hkom3_inj.ill_X3!$A$1:$K$36,4,FALSE),0)</f>
        <v>0</v>
      </c>
      <c r="H3476">
        <f>IFERROR(HLOOKUP(H$2,[105]table_female_hkom3_inj.ill_X3!$A$1:$K$36,4,FALSE),0)</f>
        <v>0</v>
      </c>
      <c r="I3476">
        <f>IFERROR(HLOOKUP(I$2,[105]table_female_hkom3_inj.ill_X3!$A$1:$K$36,4,FALSE),0)</f>
        <v>0</v>
      </c>
      <c r="J3476">
        <f>IFERROR(HLOOKUP(J$2,[105]table_female_hkom3_inj.ill_X3!$A$1:$K$36,4,FALSE),0)</f>
        <v>0</v>
      </c>
      <c r="K3476">
        <f>IFERROR(HLOOKUP(K$2,[105]table_female_hkom3_inj.ill_X3!$A$1:$K$36,4,FALSE),0)</f>
        <v>0</v>
      </c>
      <c r="L3476">
        <f>IFERROR(HLOOKUP(L$2,[105]table_female_hkom3_inj.ill_X3!$A$1:$K$36,4,FALSE),0)</f>
        <v>0</v>
      </c>
      <c r="M3476">
        <f t="shared" si="1086"/>
        <v>0</v>
      </c>
      <c r="S3476" t="s">
        <v>72</v>
      </c>
      <c r="T3476" s="5">
        <f t="shared" si="1087"/>
        <v>0</v>
      </c>
      <c r="U3476" s="5">
        <f t="shared" si="1088"/>
        <v>0</v>
      </c>
      <c r="V3476" s="5">
        <f t="shared" si="1089"/>
        <v>0</v>
      </c>
      <c r="W3476" s="5">
        <f t="shared" si="1090"/>
        <v>0</v>
      </c>
      <c r="X3476" s="5">
        <f t="shared" si="1091"/>
        <v>0</v>
      </c>
      <c r="Y3476" s="5">
        <f t="shared" si="1092"/>
        <v>0</v>
      </c>
      <c r="Z3476" s="5">
        <f t="shared" si="1093"/>
        <v>0</v>
      </c>
      <c r="AA3476" s="5">
        <f t="shared" si="1094"/>
        <v>0</v>
      </c>
      <c r="AB3476" s="5">
        <f t="shared" si="1074"/>
        <v>0</v>
      </c>
    </row>
    <row r="3477" spans="1:29" x14ac:dyDescent="0.25">
      <c r="D3477" t="s">
        <v>73</v>
      </c>
      <c r="E3477" s="14"/>
      <c r="F3477" s="14"/>
      <c r="G3477">
        <f>IFERROR(HLOOKUP(G$2,[105]table_female_hkom3_inj.ill_X3!$A$1:$K$36,5,FALSE),0)</f>
        <v>0</v>
      </c>
      <c r="H3477">
        <f>IFERROR(HLOOKUP(H$2,[105]table_female_hkom3_inj.ill_X3!$A$1:$K$36,5,FALSE),0)</f>
        <v>0</v>
      </c>
      <c r="I3477">
        <f>IFERROR(HLOOKUP(I$2,[105]table_female_hkom3_inj.ill_X3!$A$1:$K$36,5,FALSE),0)</f>
        <v>0</v>
      </c>
      <c r="J3477">
        <f>IFERROR(HLOOKUP(J$2,[105]table_female_hkom3_inj.ill_X3!$A$1:$K$36,5,FALSE),0)</f>
        <v>0</v>
      </c>
      <c r="K3477">
        <f>IFERROR(HLOOKUP(K$2,[105]table_female_hkom3_inj.ill_X3!$A$1:$K$36,5,FALSE),0)</f>
        <v>0</v>
      </c>
      <c r="L3477">
        <f>IFERROR(HLOOKUP(L$2,[105]table_female_hkom3_inj.ill_X3!$A$1:$K$36,5,FALSE),0)</f>
        <v>0</v>
      </c>
      <c r="M3477">
        <f t="shared" si="1086"/>
        <v>0</v>
      </c>
      <c r="S3477" t="s">
        <v>73</v>
      </c>
      <c r="T3477" s="5">
        <f t="shared" si="1087"/>
        <v>0</v>
      </c>
      <c r="U3477" s="5">
        <f t="shared" si="1088"/>
        <v>0</v>
      </c>
      <c r="V3477" s="5">
        <f t="shared" si="1089"/>
        <v>0</v>
      </c>
      <c r="W3477" s="5">
        <f t="shared" si="1090"/>
        <v>0</v>
      </c>
      <c r="X3477" s="5">
        <f t="shared" si="1091"/>
        <v>0</v>
      </c>
      <c r="Y3477" s="5">
        <f t="shared" si="1092"/>
        <v>0</v>
      </c>
      <c r="Z3477" s="5">
        <f t="shared" si="1093"/>
        <v>0</v>
      </c>
      <c r="AA3477" s="5">
        <f t="shared" si="1094"/>
        <v>0</v>
      </c>
      <c r="AB3477" s="5">
        <f t="shared" si="1074"/>
        <v>0</v>
      </c>
    </row>
    <row r="3478" spans="1:29" x14ac:dyDescent="0.25">
      <c r="D3478" t="s">
        <v>74</v>
      </c>
      <c r="E3478" s="14"/>
      <c r="F3478" s="14"/>
      <c r="G3478">
        <f>IFERROR(HLOOKUP(G$2,[105]table_female_hkom3_inj.ill_X3!$A$1:$K$36,6,FALSE),0)</f>
        <v>0</v>
      </c>
      <c r="H3478">
        <f>IFERROR(HLOOKUP(H$2,[105]table_female_hkom3_inj.ill_X3!$A$1:$K$36,6,FALSE),0)</f>
        <v>0</v>
      </c>
      <c r="I3478">
        <f>IFERROR(HLOOKUP(I$2,[105]table_female_hkom3_inj.ill_X3!$A$1:$K$36,6,FALSE),0)</f>
        <v>0</v>
      </c>
      <c r="J3478">
        <f>IFERROR(HLOOKUP(J$2,[105]table_female_hkom3_inj.ill_X3!$A$1:$K$36,6,FALSE),0)</f>
        <v>0</v>
      </c>
      <c r="K3478">
        <f>IFERROR(HLOOKUP(K$2,[105]table_female_hkom3_inj.ill_X3!$A$1:$K$36,6,FALSE),0)</f>
        <v>0</v>
      </c>
      <c r="L3478">
        <f>IFERROR(HLOOKUP(L$2,[105]table_female_hkom3_inj.ill_X3!$A$1:$K$36,6,FALSE),0)</f>
        <v>0</v>
      </c>
      <c r="M3478">
        <f t="shared" si="1086"/>
        <v>0</v>
      </c>
      <c r="S3478" t="s">
        <v>74</v>
      </c>
      <c r="T3478" s="5">
        <f t="shared" si="1087"/>
        <v>0</v>
      </c>
      <c r="U3478" s="5">
        <f t="shared" si="1088"/>
        <v>0</v>
      </c>
      <c r="V3478" s="5">
        <f t="shared" si="1089"/>
        <v>0</v>
      </c>
      <c r="W3478" s="5">
        <f t="shared" si="1090"/>
        <v>0</v>
      </c>
      <c r="X3478" s="5">
        <f t="shared" si="1091"/>
        <v>0</v>
      </c>
      <c r="Y3478" s="5">
        <f t="shared" si="1092"/>
        <v>0</v>
      </c>
      <c r="Z3478" s="5">
        <f t="shared" si="1093"/>
        <v>0</v>
      </c>
      <c r="AA3478" s="5">
        <f t="shared" si="1094"/>
        <v>0</v>
      </c>
      <c r="AB3478" s="5">
        <f t="shared" si="1074"/>
        <v>0</v>
      </c>
    </row>
    <row r="3479" spans="1:29" x14ac:dyDescent="0.25">
      <c r="D3479" t="s">
        <v>75</v>
      </c>
      <c r="E3479" s="14"/>
      <c r="F3479" s="14"/>
      <c r="G3479">
        <f>IFERROR(HLOOKUP(G$2,[105]table_female_hkom3_inj.ill_X3!$A$1:$K$36,7,FALSE),0)</f>
        <v>0</v>
      </c>
      <c r="H3479">
        <f>IFERROR(HLOOKUP(H$2,[105]table_female_hkom3_inj.ill_X3!$A$1:$K$36,7,FALSE),0)</f>
        <v>0</v>
      </c>
      <c r="I3479">
        <f>IFERROR(HLOOKUP(I$2,[105]table_female_hkom3_inj.ill_X3!$A$1:$K$36,7,FALSE),0)</f>
        <v>0</v>
      </c>
      <c r="J3479">
        <f>IFERROR(HLOOKUP(J$2,[105]table_female_hkom3_inj.ill_X3!$A$1:$K$36,7,FALSE),0)</f>
        <v>0</v>
      </c>
      <c r="K3479">
        <f>IFERROR(HLOOKUP(K$2,[105]table_female_hkom3_inj.ill_X3!$A$1:$K$36,7,FALSE),0)</f>
        <v>0</v>
      </c>
      <c r="L3479">
        <f>IFERROR(HLOOKUP(L$2,[105]table_female_hkom3_inj.ill_X3!$A$1:$K$36,7,FALSE),0)</f>
        <v>0</v>
      </c>
      <c r="M3479">
        <f t="shared" si="1086"/>
        <v>0</v>
      </c>
      <c r="S3479" t="s">
        <v>75</v>
      </c>
      <c r="T3479" s="5">
        <f t="shared" si="1087"/>
        <v>0</v>
      </c>
      <c r="U3479" s="5">
        <f t="shared" si="1088"/>
        <v>0</v>
      </c>
      <c r="V3479" s="5">
        <f t="shared" si="1089"/>
        <v>0</v>
      </c>
      <c r="W3479" s="5">
        <f t="shared" si="1090"/>
        <v>0</v>
      </c>
      <c r="X3479" s="5">
        <f t="shared" si="1091"/>
        <v>0</v>
      </c>
      <c r="Y3479" s="5">
        <f t="shared" si="1092"/>
        <v>0</v>
      </c>
      <c r="Z3479" s="5">
        <f t="shared" si="1093"/>
        <v>0</v>
      </c>
      <c r="AA3479" s="5">
        <f t="shared" si="1094"/>
        <v>0</v>
      </c>
      <c r="AB3479" s="5">
        <f t="shared" si="1074"/>
        <v>0</v>
      </c>
    </row>
    <row r="3480" spans="1:29" x14ac:dyDescent="0.25">
      <c r="D3480" t="s">
        <v>76</v>
      </c>
      <c r="E3480" s="14"/>
      <c r="F3480" s="14"/>
      <c r="G3480">
        <f>IFERROR(HLOOKUP(G$2,[105]table_female_hkom3_inj.ill_X3!$A$1:$K$36,8,FALSE),0)</f>
        <v>0</v>
      </c>
      <c r="H3480">
        <f>IFERROR(HLOOKUP(H$2,[105]table_female_hkom3_inj.ill_X3!$A$1:$K$36,8,FALSE),0)</f>
        <v>0</v>
      </c>
      <c r="I3480">
        <f>IFERROR(HLOOKUP(I$2,[105]table_female_hkom3_inj.ill_X3!$A$1:$K$36,8,FALSE),0)</f>
        <v>0</v>
      </c>
      <c r="J3480">
        <f>IFERROR(HLOOKUP(J$2,[105]table_female_hkom3_inj.ill_X3!$A$1:$K$36,8,FALSE),0)</f>
        <v>0</v>
      </c>
      <c r="K3480">
        <f>IFERROR(HLOOKUP(K$2,[105]table_female_hkom3_inj.ill_X3!$A$1:$K$36,8,FALSE),0)</f>
        <v>0</v>
      </c>
      <c r="L3480">
        <f>IFERROR(HLOOKUP(L$2,[105]table_female_hkom3_inj.ill_X3!$A$1:$K$36,8,FALSE),0)</f>
        <v>0</v>
      </c>
      <c r="M3480">
        <f t="shared" si="1086"/>
        <v>0</v>
      </c>
      <c r="S3480" t="s">
        <v>76</v>
      </c>
      <c r="T3480" s="5">
        <f t="shared" si="1087"/>
        <v>0</v>
      </c>
      <c r="U3480" s="5">
        <f t="shared" si="1088"/>
        <v>0</v>
      </c>
      <c r="V3480" s="5">
        <f t="shared" si="1089"/>
        <v>0</v>
      </c>
      <c r="W3480" s="5">
        <f t="shared" si="1090"/>
        <v>0</v>
      </c>
      <c r="X3480" s="5">
        <f t="shared" si="1091"/>
        <v>0</v>
      </c>
      <c r="Y3480" s="5">
        <f t="shared" si="1092"/>
        <v>0</v>
      </c>
      <c r="Z3480" s="5">
        <f t="shared" si="1093"/>
        <v>0</v>
      </c>
      <c r="AA3480" s="5">
        <f t="shared" si="1094"/>
        <v>0</v>
      </c>
      <c r="AB3480" s="5">
        <f t="shared" si="1074"/>
        <v>0</v>
      </c>
    </row>
    <row r="3481" spans="1:29" x14ac:dyDescent="0.25">
      <c r="D3481" t="s">
        <v>77</v>
      </c>
      <c r="E3481" s="14"/>
      <c r="F3481" s="14"/>
      <c r="G3481">
        <f>IFERROR(HLOOKUP(G$2,[105]table_female_hkom3_inj.ill_X3!$A$1:$K$36,9,FALSE),0)</f>
        <v>0</v>
      </c>
      <c r="H3481">
        <f>IFERROR(HLOOKUP(H$2,[105]table_female_hkom3_inj.ill_X3!$A$1:$K$36,9,FALSE),0)</f>
        <v>0</v>
      </c>
      <c r="I3481">
        <f>IFERROR(HLOOKUP(I$2,[105]table_female_hkom3_inj.ill_X3!$A$1:$K$36,9,FALSE),0)</f>
        <v>0</v>
      </c>
      <c r="J3481">
        <f>IFERROR(HLOOKUP(J$2,[105]table_female_hkom3_inj.ill_X3!$A$1:$K$36,9,FALSE),0)</f>
        <v>0</v>
      </c>
      <c r="K3481">
        <f>IFERROR(HLOOKUP(K$2,[105]table_female_hkom3_inj.ill_X3!$A$1:$K$36,9,FALSE),0)</f>
        <v>0</v>
      </c>
      <c r="L3481">
        <f>IFERROR(HLOOKUP(L$2,[105]table_female_hkom3_inj.ill_X3!$A$1:$K$36,9,FALSE),0)</f>
        <v>0</v>
      </c>
      <c r="M3481">
        <f t="shared" si="1086"/>
        <v>0</v>
      </c>
      <c r="S3481" t="s">
        <v>77</v>
      </c>
      <c r="T3481" s="5">
        <f t="shared" si="1087"/>
        <v>0</v>
      </c>
      <c r="U3481" s="5">
        <f t="shared" si="1088"/>
        <v>0</v>
      </c>
      <c r="V3481" s="5">
        <f t="shared" si="1089"/>
        <v>0</v>
      </c>
      <c r="W3481" s="5">
        <f t="shared" si="1090"/>
        <v>0</v>
      </c>
      <c r="X3481" s="5">
        <f t="shared" si="1091"/>
        <v>0</v>
      </c>
      <c r="Y3481" s="5">
        <f t="shared" si="1092"/>
        <v>0</v>
      </c>
      <c r="Z3481" s="5">
        <f t="shared" si="1093"/>
        <v>0</v>
      </c>
      <c r="AA3481" s="5">
        <f t="shared" si="1094"/>
        <v>0</v>
      </c>
      <c r="AB3481" s="5">
        <f t="shared" si="1074"/>
        <v>0</v>
      </c>
    </row>
    <row r="3482" spans="1:29" x14ac:dyDescent="0.25">
      <c r="D3482" t="s">
        <v>78</v>
      </c>
      <c r="E3482" s="14"/>
      <c r="F3482" s="14"/>
      <c r="G3482">
        <f>IFERROR(HLOOKUP(G$2,[105]table_female_hkom3_inj.ill_X3!$A$1:$K$36,10,FALSE),0)</f>
        <v>0</v>
      </c>
      <c r="H3482">
        <f>IFERROR(HLOOKUP(H$2,[105]table_female_hkom3_inj.ill_X3!$A$1:$K$36,10,FALSE),0)</f>
        <v>0</v>
      </c>
      <c r="I3482">
        <f>IFERROR(HLOOKUP(I$2,[105]table_female_hkom3_inj.ill_X3!$A$1:$K$36,10,FALSE),0)</f>
        <v>0</v>
      </c>
      <c r="J3482">
        <f>IFERROR(HLOOKUP(J$2,[105]table_female_hkom3_inj.ill_X3!$A$1:$K$36,10,FALSE),0)</f>
        <v>0</v>
      </c>
      <c r="K3482">
        <f>IFERROR(HLOOKUP(K$2,[105]table_female_hkom3_inj.ill_X3!$A$1:$K$36,10,FALSE),0)</f>
        <v>0</v>
      </c>
      <c r="L3482">
        <f>IFERROR(HLOOKUP(L$2,[105]table_female_hkom3_inj.ill_X3!$A$1:$K$36,10,FALSE),0)</f>
        <v>0</v>
      </c>
      <c r="M3482">
        <f t="shared" si="1086"/>
        <v>0</v>
      </c>
      <c r="S3482" t="s">
        <v>78</v>
      </c>
      <c r="T3482" s="5">
        <f t="shared" si="1087"/>
        <v>0</v>
      </c>
      <c r="U3482" s="5">
        <f t="shared" si="1088"/>
        <v>0</v>
      </c>
      <c r="V3482" s="5">
        <f t="shared" si="1089"/>
        <v>0</v>
      </c>
      <c r="W3482" s="5">
        <f t="shared" si="1090"/>
        <v>0</v>
      </c>
      <c r="X3482" s="5">
        <f t="shared" si="1091"/>
        <v>0</v>
      </c>
      <c r="Y3482" s="5">
        <f t="shared" si="1092"/>
        <v>0</v>
      </c>
      <c r="Z3482" s="5">
        <f t="shared" si="1093"/>
        <v>0</v>
      </c>
      <c r="AA3482" s="5">
        <f t="shared" si="1094"/>
        <v>0</v>
      </c>
      <c r="AB3482" s="5">
        <f t="shared" si="1074"/>
        <v>0</v>
      </c>
    </row>
    <row r="3483" spans="1:29" x14ac:dyDescent="0.25">
      <c r="D3483" t="s">
        <v>79</v>
      </c>
      <c r="E3483" s="14"/>
      <c r="F3483" s="14"/>
      <c r="G3483">
        <f>IFERROR(HLOOKUP(G$2,[105]table_female_hkom3_inj.ill_X3!$A$1:$K$36,11,FALSE),0)</f>
        <v>0</v>
      </c>
      <c r="H3483">
        <f>IFERROR(HLOOKUP(H$2,[105]table_female_hkom3_inj.ill_X3!$A$1:$K$36,11,FALSE),0)</f>
        <v>0</v>
      </c>
      <c r="I3483">
        <f>IFERROR(HLOOKUP(I$2,[105]table_female_hkom3_inj.ill_X3!$A$1:$K$36,11,FALSE),0)</f>
        <v>0</v>
      </c>
      <c r="J3483">
        <f>IFERROR(HLOOKUP(J$2,[105]table_female_hkom3_inj.ill_X3!$A$1:$K$36,11,FALSE),0)</f>
        <v>0</v>
      </c>
      <c r="K3483">
        <f>IFERROR(HLOOKUP(K$2,[105]table_female_hkom3_inj.ill_X3!$A$1:$K$36,11,FALSE),0)</f>
        <v>0</v>
      </c>
      <c r="L3483">
        <f>IFERROR(HLOOKUP(L$2,[105]table_female_hkom3_inj.ill_X3!$A$1:$K$36,11,FALSE),0)</f>
        <v>0</v>
      </c>
      <c r="M3483">
        <f t="shared" si="1086"/>
        <v>0</v>
      </c>
      <c r="S3483" t="s">
        <v>79</v>
      </c>
      <c r="T3483" s="5">
        <f t="shared" si="1087"/>
        <v>0</v>
      </c>
      <c r="U3483" s="5">
        <f t="shared" si="1088"/>
        <v>0</v>
      </c>
      <c r="V3483" s="5">
        <f t="shared" si="1089"/>
        <v>0</v>
      </c>
      <c r="W3483" s="5">
        <f t="shared" si="1090"/>
        <v>0</v>
      </c>
      <c r="X3483" s="5">
        <f t="shared" si="1091"/>
        <v>0</v>
      </c>
      <c r="Y3483" s="5">
        <f t="shared" si="1092"/>
        <v>0</v>
      </c>
      <c r="Z3483" s="5">
        <f t="shared" si="1093"/>
        <v>0</v>
      </c>
      <c r="AA3483" s="5">
        <f t="shared" si="1094"/>
        <v>0</v>
      </c>
      <c r="AB3483" s="5">
        <f t="shared" si="1074"/>
        <v>0</v>
      </c>
    </row>
    <row r="3484" spans="1:29" x14ac:dyDescent="0.25">
      <c r="D3484" t="s">
        <v>80</v>
      </c>
      <c r="E3484" s="14"/>
      <c r="F3484" s="14"/>
      <c r="G3484">
        <f>IFERROR(HLOOKUP(G$2,[105]table_female_hkom3_inj.ill_X3!$A$1:$K$36,12,FALSE),0)</f>
        <v>0</v>
      </c>
      <c r="H3484">
        <f>IFERROR(HLOOKUP(H$2,[105]table_female_hkom3_inj.ill_X3!$A$1:$K$36,12,FALSE),0)</f>
        <v>0</v>
      </c>
      <c r="I3484">
        <f>IFERROR(HLOOKUP(I$2,[105]table_female_hkom3_inj.ill_X3!$A$1:$K$36,12,FALSE),0)</f>
        <v>0</v>
      </c>
      <c r="J3484">
        <f>IFERROR(HLOOKUP(J$2,[105]table_female_hkom3_inj.ill_X3!$A$1:$K$36,12,FALSE),0)</f>
        <v>0</v>
      </c>
      <c r="K3484">
        <f>IFERROR(HLOOKUP(K$2,[105]table_female_hkom3_inj.ill_X3!$A$1:$K$36,12,FALSE),0)</f>
        <v>0</v>
      </c>
      <c r="L3484">
        <f>IFERROR(HLOOKUP(L$2,[105]table_female_hkom3_inj.ill_X3!$A$1:$K$36,12,FALSE),0)</f>
        <v>0</v>
      </c>
      <c r="M3484">
        <f t="shared" si="1086"/>
        <v>0</v>
      </c>
      <c r="S3484" t="s">
        <v>80</v>
      </c>
      <c r="T3484" s="5">
        <f t="shared" si="1087"/>
        <v>0</v>
      </c>
      <c r="U3484" s="5">
        <f t="shared" si="1088"/>
        <v>0</v>
      </c>
      <c r="V3484" s="5">
        <f t="shared" si="1089"/>
        <v>0</v>
      </c>
      <c r="W3484" s="5">
        <f t="shared" si="1090"/>
        <v>0</v>
      </c>
      <c r="X3484" s="5">
        <f t="shared" si="1091"/>
        <v>0</v>
      </c>
      <c r="Y3484" s="5">
        <f t="shared" si="1092"/>
        <v>0</v>
      </c>
      <c r="Z3484" s="5">
        <f t="shared" si="1093"/>
        <v>0</v>
      </c>
      <c r="AA3484" s="5">
        <f t="shared" si="1094"/>
        <v>0</v>
      </c>
      <c r="AB3484" s="5">
        <f t="shared" si="1074"/>
        <v>0</v>
      </c>
    </row>
    <row r="3485" spans="1:29" x14ac:dyDescent="0.25">
      <c r="D3485" t="s">
        <v>81</v>
      </c>
      <c r="E3485" s="14"/>
      <c r="F3485" s="14"/>
      <c r="G3485">
        <f>IFERROR(HLOOKUP(G$2,[105]table_female_hkom3_inj.ill_X3!$A$1:$K$36,13,FALSE),0)</f>
        <v>0</v>
      </c>
      <c r="H3485">
        <f>IFERROR(HLOOKUP(H$2,[105]table_female_hkom3_inj.ill_X3!$A$1:$K$36,13,FALSE),0)</f>
        <v>0</v>
      </c>
      <c r="I3485">
        <f>IFERROR(HLOOKUP(I$2,[105]table_female_hkom3_inj.ill_X3!$A$1:$K$36,13,FALSE),0)</f>
        <v>0</v>
      </c>
      <c r="J3485">
        <f>IFERROR(HLOOKUP(J$2,[105]table_female_hkom3_inj.ill_X3!$A$1:$K$36,13,FALSE),0)</f>
        <v>0</v>
      </c>
      <c r="K3485">
        <f>IFERROR(HLOOKUP(K$2,[105]table_female_hkom3_inj.ill_X3!$A$1:$K$36,13,FALSE),0)</f>
        <v>0</v>
      </c>
      <c r="L3485">
        <f>IFERROR(HLOOKUP(L$2,[105]table_female_hkom3_inj.ill_X3!$A$1:$K$36,13,FALSE),0)</f>
        <v>0</v>
      </c>
      <c r="M3485">
        <f t="shared" si="1086"/>
        <v>0</v>
      </c>
      <c r="S3485" t="s">
        <v>81</v>
      </c>
      <c r="T3485" s="5">
        <f t="shared" si="1087"/>
        <v>0</v>
      </c>
      <c r="U3485" s="5">
        <f t="shared" si="1088"/>
        <v>0</v>
      </c>
      <c r="V3485" s="5">
        <f t="shared" si="1089"/>
        <v>0</v>
      </c>
      <c r="W3485" s="5">
        <f t="shared" si="1090"/>
        <v>0</v>
      </c>
      <c r="X3485" s="5">
        <f t="shared" si="1091"/>
        <v>0</v>
      </c>
      <c r="Y3485" s="5">
        <f t="shared" si="1092"/>
        <v>0</v>
      </c>
      <c r="Z3485" s="5">
        <f t="shared" si="1093"/>
        <v>0</v>
      </c>
      <c r="AA3485" s="5">
        <f t="shared" si="1094"/>
        <v>0</v>
      </c>
      <c r="AB3485" s="5">
        <f t="shared" si="1074"/>
        <v>0</v>
      </c>
    </row>
    <row r="3486" spans="1:29" x14ac:dyDescent="0.25">
      <c r="D3486" t="s">
        <v>82</v>
      </c>
      <c r="E3486" s="14"/>
      <c r="F3486" s="14"/>
      <c r="G3486">
        <f>IFERROR(HLOOKUP(G$2,[105]table_female_hkom3_inj.ill_X3!$A$1:$K$36,14,FALSE),0)</f>
        <v>0</v>
      </c>
      <c r="H3486">
        <f>IFERROR(HLOOKUP(H$2,[105]table_female_hkom3_inj.ill_X3!$A$1:$K$36,14,FALSE),0)</f>
        <v>0</v>
      </c>
      <c r="I3486">
        <f>IFERROR(HLOOKUP(I$2,[105]table_female_hkom3_inj.ill_X3!$A$1:$K$36,14,FALSE),0)</f>
        <v>0</v>
      </c>
      <c r="J3486">
        <f>IFERROR(HLOOKUP(J$2,[105]table_female_hkom3_inj.ill_X3!$A$1:$K$36,14,FALSE),0)</f>
        <v>0</v>
      </c>
      <c r="K3486">
        <f>IFERROR(HLOOKUP(K$2,[105]table_female_hkom3_inj.ill_X3!$A$1:$K$36,14,FALSE),0)</f>
        <v>0</v>
      </c>
      <c r="L3486">
        <f>IFERROR(HLOOKUP(L$2,[105]table_female_hkom3_inj.ill_X3!$A$1:$K$36,14,FALSE),0)</f>
        <v>0</v>
      </c>
      <c r="M3486">
        <f t="shared" si="1086"/>
        <v>0</v>
      </c>
      <c r="S3486" t="s">
        <v>82</v>
      </c>
      <c r="T3486" s="5">
        <f t="shared" si="1087"/>
        <v>0</v>
      </c>
      <c r="U3486" s="5">
        <f t="shared" si="1088"/>
        <v>0</v>
      </c>
      <c r="V3486" s="5">
        <f t="shared" si="1089"/>
        <v>0</v>
      </c>
      <c r="W3486" s="5">
        <f t="shared" si="1090"/>
        <v>0</v>
      </c>
      <c r="X3486" s="5">
        <f t="shared" si="1091"/>
        <v>0</v>
      </c>
      <c r="Y3486" s="5">
        <f t="shared" si="1092"/>
        <v>0</v>
      </c>
      <c r="Z3486" s="5">
        <f t="shared" si="1093"/>
        <v>0</v>
      </c>
      <c r="AA3486" s="5">
        <f t="shared" si="1094"/>
        <v>0</v>
      </c>
      <c r="AB3486" s="5">
        <f t="shared" si="1074"/>
        <v>0</v>
      </c>
    </row>
    <row r="3487" spans="1:29" x14ac:dyDescent="0.25">
      <c r="D3487" t="s">
        <v>83</v>
      </c>
      <c r="E3487" s="14"/>
      <c r="F3487" s="14"/>
      <c r="G3487">
        <f>IFERROR(HLOOKUP(G$2,[105]table_female_hkom3_inj.ill_X3!$A$1:$K$36,15,FALSE),0)</f>
        <v>0</v>
      </c>
      <c r="H3487">
        <f>IFERROR(HLOOKUP(H$2,[105]table_female_hkom3_inj.ill_X3!$A$1:$K$36,15,FALSE),0)</f>
        <v>0</v>
      </c>
      <c r="I3487">
        <f>IFERROR(HLOOKUP(I$2,[105]table_female_hkom3_inj.ill_X3!$A$1:$K$36,15,FALSE),0)</f>
        <v>0</v>
      </c>
      <c r="J3487">
        <f>IFERROR(HLOOKUP(J$2,[105]table_female_hkom3_inj.ill_X3!$A$1:$K$36,15,FALSE),0)</f>
        <v>0</v>
      </c>
      <c r="K3487">
        <f>IFERROR(HLOOKUP(K$2,[105]table_female_hkom3_inj.ill_X3!$A$1:$K$36,15,FALSE),0)</f>
        <v>0</v>
      </c>
      <c r="L3487">
        <f>IFERROR(HLOOKUP(L$2,[105]table_female_hkom3_inj.ill_X3!$A$1:$K$36,15,FALSE),0)</f>
        <v>0</v>
      </c>
      <c r="M3487">
        <f t="shared" si="1086"/>
        <v>0</v>
      </c>
      <c r="S3487" t="s">
        <v>83</v>
      </c>
      <c r="T3487" s="5">
        <f t="shared" si="1087"/>
        <v>0</v>
      </c>
      <c r="U3487" s="5">
        <f t="shared" si="1088"/>
        <v>0</v>
      </c>
      <c r="V3487" s="5">
        <f t="shared" si="1089"/>
        <v>0</v>
      </c>
      <c r="W3487" s="5">
        <f t="shared" si="1090"/>
        <v>0</v>
      </c>
      <c r="X3487" s="5">
        <f t="shared" si="1091"/>
        <v>0</v>
      </c>
      <c r="Y3487" s="5">
        <f t="shared" si="1092"/>
        <v>0</v>
      </c>
      <c r="Z3487" s="5">
        <f t="shared" si="1093"/>
        <v>0</v>
      </c>
      <c r="AA3487" s="5">
        <f t="shared" si="1094"/>
        <v>0</v>
      </c>
      <c r="AB3487" s="5">
        <f t="shared" si="1074"/>
        <v>0</v>
      </c>
    </row>
    <row r="3488" spans="1:29" x14ac:dyDescent="0.25">
      <c r="D3488" t="s">
        <v>84</v>
      </c>
      <c r="E3488" s="14"/>
      <c r="F3488" s="14"/>
      <c r="G3488">
        <f>IFERROR(HLOOKUP(G$2,[105]table_female_hkom3_inj.ill_X3!$A$1:$K$36,16,FALSE),0)</f>
        <v>0</v>
      </c>
      <c r="H3488">
        <f>IFERROR(HLOOKUP(H$2,[105]table_female_hkom3_inj.ill_X3!$A$1:$K$36,16,FALSE),0)</f>
        <v>0</v>
      </c>
      <c r="I3488">
        <f>IFERROR(HLOOKUP(I$2,[105]table_female_hkom3_inj.ill_X3!$A$1:$K$36,16,FALSE),0)</f>
        <v>0</v>
      </c>
      <c r="J3488">
        <f>IFERROR(HLOOKUP(J$2,[105]table_female_hkom3_inj.ill_X3!$A$1:$K$36,16,FALSE),0)</f>
        <v>0</v>
      </c>
      <c r="K3488">
        <f>IFERROR(HLOOKUP(K$2,[105]table_female_hkom3_inj.ill_X3!$A$1:$K$36,16,FALSE),0)</f>
        <v>0</v>
      </c>
      <c r="L3488">
        <f>IFERROR(HLOOKUP(L$2,[105]table_female_hkom3_inj.ill_X3!$A$1:$K$36,16,FALSE),0)</f>
        <v>0</v>
      </c>
      <c r="M3488">
        <f t="shared" si="1086"/>
        <v>0</v>
      </c>
      <c r="S3488" t="s">
        <v>84</v>
      </c>
      <c r="T3488" s="5">
        <f t="shared" si="1087"/>
        <v>0</v>
      </c>
      <c r="U3488" s="5">
        <f t="shared" si="1088"/>
        <v>0</v>
      </c>
      <c r="V3488" s="5">
        <f t="shared" si="1089"/>
        <v>0</v>
      </c>
      <c r="W3488" s="5">
        <f t="shared" si="1090"/>
        <v>0</v>
      </c>
      <c r="X3488" s="5">
        <f t="shared" si="1091"/>
        <v>0</v>
      </c>
      <c r="Y3488" s="5">
        <f t="shared" si="1092"/>
        <v>0</v>
      </c>
      <c r="Z3488" s="5">
        <f t="shared" si="1093"/>
        <v>0</v>
      </c>
      <c r="AA3488" s="5">
        <f t="shared" si="1094"/>
        <v>0</v>
      </c>
      <c r="AB3488" s="5">
        <f t="shared" si="1074"/>
        <v>0</v>
      </c>
    </row>
    <row r="3489" spans="4:28" x14ac:dyDescent="0.25">
      <c r="D3489" t="s">
        <v>85</v>
      </c>
      <c r="E3489" s="14"/>
      <c r="F3489" s="14"/>
      <c r="G3489">
        <f>IFERROR(HLOOKUP(G$2,[105]table_female_hkom3_inj.ill_X3!$A$1:$K$36,17,FALSE),0)</f>
        <v>0</v>
      </c>
      <c r="H3489">
        <f>IFERROR(HLOOKUP(H$2,[105]table_female_hkom3_inj.ill_X3!$A$1:$K$36,17,FALSE),0)</f>
        <v>0</v>
      </c>
      <c r="I3489">
        <f>IFERROR(HLOOKUP(I$2,[105]table_female_hkom3_inj.ill_X3!$A$1:$K$36,17,FALSE),0)</f>
        <v>0</v>
      </c>
      <c r="J3489">
        <f>IFERROR(HLOOKUP(J$2,[105]table_female_hkom3_inj.ill_X3!$A$1:$K$36,17,FALSE),0)</f>
        <v>0</v>
      </c>
      <c r="K3489">
        <f>IFERROR(HLOOKUP(K$2,[105]table_female_hkom3_inj.ill_X3!$A$1:$K$36,17,FALSE),0)</f>
        <v>0</v>
      </c>
      <c r="L3489">
        <f>IFERROR(HLOOKUP(L$2,[105]table_female_hkom3_inj.ill_X3!$A$1:$K$36,17,FALSE),0)</f>
        <v>0</v>
      </c>
      <c r="M3489">
        <f t="shared" si="1086"/>
        <v>0</v>
      </c>
      <c r="S3489" t="s">
        <v>85</v>
      </c>
      <c r="T3489" s="5">
        <f t="shared" si="1087"/>
        <v>0</v>
      </c>
      <c r="U3489" s="5">
        <f t="shared" si="1088"/>
        <v>0</v>
      </c>
      <c r="V3489" s="5">
        <f t="shared" si="1089"/>
        <v>0</v>
      </c>
      <c r="W3489" s="5">
        <f t="shared" si="1090"/>
        <v>0</v>
      </c>
      <c r="X3489" s="5">
        <f t="shared" si="1091"/>
        <v>0</v>
      </c>
      <c r="Y3489" s="5">
        <f t="shared" si="1092"/>
        <v>0</v>
      </c>
      <c r="Z3489" s="5">
        <f t="shared" si="1093"/>
        <v>0</v>
      </c>
      <c r="AA3489" s="5">
        <f t="shared" si="1094"/>
        <v>0</v>
      </c>
      <c r="AB3489" s="5">
        <f t="shared" si="1074"/>
        <v>0</v>
      </c>
    </row>
    <row r="3490" spans="4:28" x14ac:dyDescent="0.25">
      <c r="D3490" t="s">
        <v>86</v>
      </c>
      <c r="E3490" s="14"/>
      <c r="F3490" s="14"/>
      <c r="G3490">
        <f>IFERROR(HLOOKUP(G$2,[105]table_female_hkom3_inj.ill_X3!$A$1:$K$36,18,FALSE),0)</f>
        <v>0</v>
      </c>
      <c r="H3490">
        <f>IFERROR(HLOOKUP(H$2,[105]table_female_hkom3_inj.ill_X3!$A$1:$K$36,18,FALSE),0)</f>
        <v>0</v>
      </c>
      <c r="I3490">
        <f>IFERROR(HLOOKUP(I$2,[105]table_female_hkom3_inj.ill_X3!$A$1:$K$36,18,FALSE),0)</f>
        <v>0</v>
      </c>
      <c r="J3490">
        <f>IFERROR(HLOOKUP(J$2,[105]table_female_hkom3_inj.ill_X3!$A$1:$K$36,18,FALSE),0)</f>
        <v>0</v>
      </c>
      <c r="K3490">
        <f>IFERROR(HLOOKUP(K$2,[105]table_female_hkom3_inj.ill_X3!$A$1:$K$36,18,FALSE),0)</f>
        <v>0</v>
      </c>
      <c r="L3490">
        <f>IFERROR(HLOOKUP(L$2,[105]table_female_hkom3_inj.ill_X3!$A$1:$K$36,18,FALSE),0)</f>
        <v>0</v>
      </c>
      <c r="M3490">
        <f t="shared" si="1086"/>
        <v>0</v>
      </c>
      <c r="S3490" t="s">
        <v>86</v>
      </c>
      <c r="T3490" s="5">
        <f t="shared" si="1087"/>
        <v>0</v>
      </c>
      <c r="U3490" s="5">
        <f t="shared" si="1088"/>
        <v>0</v>
      </c>
      <c r="V3490" s="5">
        <f t="shared" si="1089"/>
        <v>0</v>
      </c>
      <c r="W3490" s="5">
        <f t="shared" si="1090"/>
        <v>0</v>
      </c>
      <c r="X3490" s="5">
        <f t="shared" si="1091"/>
        <v>0</v>
      </c>
      <c r="Y3490" s="5">
        <f t="shared" si="1092"/>
        <v>0</v>
      </c>
      <c r="Z3490" s="5">
        <f t="shared" si="1093"/>
        <v>0</v>
      </c>
      <c r="AA3490" s="5">
        <f t="shared" si="1094"/>
        <v>0</v>
      </c>
      <c r="AB3490" s="5">
        <f t="shared" si="1074"/>
        <v>0</v>
      </c>
    </row>
    <row r="3491" spans="4:28" x14ac:dyDescent="0.25">
      <c r="D3491" t="s">
        <v>87</v>
      </c>
      <c r="E3491" s="14"/>
      <c r="F3491" s="14"/>
      <c r="G3491">
        <f>IFERROR(HLOOKUP(G$2,[105]table_female_hkom3_inj.ill_X3!$A$1:$K$36,19,FALSE),0)</f>
        <v>0</v>
      </c>
      <c r="H3491">
        <f>IFERROR(HLOOKUP(H$2,[105]table_female_hkom3_inj.ill_X3!$A$1:$K$36,19,FALSE),0)</f>
        <v>0</v>
      </c>
      <c r="I3491">
        <f>IFERROR(HLOOKUP(I$2,[105]table_female_hkom3_inj.ill_X3!$A$1:$K$36,19,FALSE),0)</f>
        <v>0</v>
      </c>
      <c r="J3491">
        <f>IFERROR(HLOOKUP(J$2,[105]table_female_hkom3_inj.ill_X3!$A$1:$K$36,19,FALSE),0)</f>
        <v>0</v>
      </c>
      <c r="K3491">
        <f>IFERROR(HLOOKUP(K$2,[105]table_female_hkom3_inj.ill_X3!$A$1:$K$36,19,FALSE),0)</f>
        <v>0</v>
      </c>
      <c r="L3491">
        <f>IFERROR(HLOOKUP(L$2,[105]table_female_hkom3_inj.ill_X3!$A$1:$K$36,19,FALSE),0)</f>
        <v>0</v>
      </c>
      <c r="M3491">
        <f t="shared" si="1086"/>
        <v>0</v>
      </c>
      <c r="S3491" t="s">
        <v>87</v>
      </c>
      <c r="T3491" s="5">
        <f t="shared" si="1087"/>
        <v>0</v>
      </c>
      <c r="U3491" s="5">
        <f t="shared" si="1088"/>
        <v>0</v>
      </c>
      <c r="V3491" s="5">
        <f t="shared" si="1089"/>
        <v>0</v>
      </c>
      <c r="W3491" s="5">
        <f t="shared" si="1090"/>
        <v>0</v>
      </c>
      <c r="X3491" s="5">
        <f t="shared" si="1091"/>
        <v>0</v>
      </c>
      <c r="Y3491" s="5">
        <f t="shared" si="1092"/>
        <v>0</v>
      </c>
      <c r="Z3491" s="5">
        <f t="shared" si="1093"/>
        <v>0</v>
      </c>
      <c r="AA3491" s="5">
        <f t="shared" si="1094"/>
        <v>0</v>
      </c>
      <c r="AB3491" s="5">
        <f t="shared" si="1074"/>
        <v>0</v>
      </c>
    </row>
    <row r="3492" spans="4:28" x14ac:dyDescent="0.25">
      <c r="D3492" t="s">
        <v>88</v>
      </c>
      <c r="E3492" s="14"/>
      <c r="F3492" s="14"/>
      <c r="G3492">
        <f>IFERROR(HLOOKUP(G$2,[105]table_female_hkom3_inj.ill_X3!$A$1:$K$36,20,FALSE),0)</f>
        <v>0</v>
      </c>
      <c r="H3492">
        <f>IFERROR(HLOOKUP(H$2,[105]table_female_hkom3_inj.ill_X3!$A$1:$K$36,20,FALSE),0)</f>
        <v>0</v>
      </c>
      <c r="I3492">
        <f>IFERROR(HLOOKUP(I$2,[105]table_female_hkom3_inj.ill_X3!$A$1:$K$36,20,FALSE),0)</f>
        <v>0</v>
      </c>
      <c r="J3492">
        <f>IFERROR(HLOOKUP(J$2,[105]table_female_hkom3_inj.ill_X3!$A$1:$K$36,20,FALSE),0)</f>
        <v>0</v>
      </c>
      <c r="K3492">
        <f>IFERROR(HLOOKUP(K$2,[105]table_female_hkom3_inj.ill_X3!$A$1:$K$36,20,FALSE),0)</f>
        <v>0</v>
      </c>
      <c r="L3492">
        <f>IFERROR(HLOOKUP(L$2,[105]table_female_hkom3_inj.ill_X3!$A$1:$K$36,20,FALSE),0)</f>
        <v>0</v>
      </c>
      <c r="M3492">
        <f t="shared" si="1086"/>
        <v>0</v>
      </c>
      <c r="S3492" t="s">
        <v>88</v>
      </c>
      <c r="T3492" s="5">
        <f t="shared" si="1087"/>
        <v>0</v>
      </c>
      <c r="U3492" s="5">
        <f t="shared" si="1088"/>
        <v>0</v>
      </c>
      <c r="V3492" s="5">
        <f t="shared" si="1089"/>
        <v>0</v>
      </c>
      <c r="W3492" s="5">
        <f t="shared" si="1090"/>
        <v>0</v>
      </c>
      <c r="X3492" s="5">
        <f t="shared" si="1091"/>
        <v>0</v>
      </c>
      <c r="Y3492" s="5">
        <f t="shared" si="1092"/>
        <v>0</v>
      </c>
      <c r="Z3492" s="5">
        <f t="shared" si="1093"/>
        <v>0</v>
      </c>
      <c r="AA3492" s="5">
        <f t="shared" si="1094"/>
        <v>0</v>
      </c>
      <c r="AB3492" s="5">
        <f t="shared" si="1074"/>
        <v>0</v>
      </c>
    </row>
    <row r="3493" spans="4:28" x14ac:dyDescent="0.25">
      <c r="D3493" t="s">
        <v>89</v>
      </c>
      <c r="E3493" s="14"/>
      <c r="F3493" s="14"/>
      <c r="G3493">
        <f>IFERROR(HLOOKUP(G$2,[105]table_female_hkom3_inj.ill_X3!$A$1:$K$36,21,FALSE),0)</f>
        <v>0</v>
      </c>
      <c r="H3493">
        <f>IFERROR(HLOOKUP(H$2,[105]table_female_hkom3_inj.ill_X3!$A$1:$K$36,21,FALSE),0)</f>
        <v>0</v>
      </c>
      <c r="I3493">
        <f>IFERROR(HLOOKUP(I$2,[105]table_female_hkom3_inj.ill_X3!$A$1:$K$36,21,FALSE),0)</f>
        <v>0</v>
      </c>
      <c r="J3493">
        <f>IFERROR(HLOOKUP(J$2,[105]table_female_hkom3_inj.ill_X3!$A$1:$K$36,21,FALSE),0)</f>
        <v>0</v>
      </c>
      <c r="K3493">
        <f>IFERROR(HLOOKUP(K$2,[105]table_female_hkom3_inj.ill_X3!$A$1:$K$36,21,FALSE),0)</f>
        <v>0</v>
      </c>
      <c r="L3493">
        <f>IFERROR(HLOOKUP(L$2,[105]table_female_hkom3_inj.ill_X3!$A$1:$K$36,21,FALSE),0)</f>
        <v>0</v>
      </c>
      <c r="M3493">
        <f t="shared" si="1086"/>
        <v>0</v>
      </c>
      <c r="S3493" t="s">
        <v>89</v>
      </c>
      <c r="T3493" s="5">
        <f t="shared" si="1087"/>
        <v>0</v>
      </c>
      <c r="U3493" s="5">
        <f t="shared" si="1088"/>
        <v>0</v>
      </c>
      <c r="V3493" s="5">
        <f t="shared" si="1089"/>
        <v>0</v>
      </c>
      <c r="W3493" s="5">
        <f t="shared" si="1090"/>
        <v>0</v>
      </c>
      <c r="X3493" s="5">
        <f t="shared" si="1091"/>
        <v>0</v>
      </c>
      <c r="Y3493" s="5">
        <f t="shared" si="1092"/>
        <v>0</v>
      </c>
      <c r="Z3493" s="5">
        <f t="shared" si="1093"/>
        <v>0</v>
      </c>
      <c r="AA3493" s="5">
        <f t="shared" si="1094"/>
        <v>0</v>
      </c>
      <c r="AB3493" s="5">
        <f t="shared" si="1074"/>
        <v>0</v>
      </c>
    </row>
    <row r="3494" spans="4:28" x14ac:dyDescent="0.25">
      <c r="D3494" t="s">
        <v>90</v>
      </c>
      <c r="E3494" s="14"/>
      <c r="F3494" s="14"/>
      <c r="G3494">
        <f>IFERROR(HLOOKUP(G$2,[105]table_female_hkom3_inj.ill_X3!$A$1:$K$36,22,FALSE),0)</f>
        <v>0</v>
      </c>
      <c r="H3494">
        <f>IFERROR(HLOOKUP(H$2,[105]table_female_hkom3_inj.ill_X3!$A$1:$K$36,22,FALSE),0)</f>
        <v>0</v>
      </c>
      <c r="I3494">
        <f>IFERROR(HLOOKUP(I$2,[105]table_female_hkom3_inj.ill_X3!$A$1:$K$36,22,FALSE),0)</f>
        <v>0</v>
      </c>
      <c r="J3494">
        <f>IFERROR(HLOOKUP(J$2,[105]table_female_hkom3_inj.ill_X3!$A$1:$K$36,22,FALSE),0)</f>
        <v>0</v>
      </c>
      <c r="K3494">
        <f>IFERROR(HLOOKUP(K$2,[105]table_female_hkom3_inj.ill_X3!$A$1:$K$36,22,FALSE),0)</f>
        <v>0</v>
      </c>
      <c r="L3494">
        <f>IFERROR(HLOOKUP(L$2,[105]table_female_hkom3_inj.ill_X3!$A$1:$K$36,22,FALSE),0)</f>
        <v>0</v>
      </c>
      <c r="M3494">
        <f t="shared" si="1086"/>
        <v>0</v>
      </c>
      <c r="S3494" t="s">
        <v>90</v>
      </c>
      <c r="T3494" s="5">
        <f t="shared" si="1087"/>
        <v>0</v>
      </c>
      <c r="U3494" s="5">
        <f t="shared" si="1088"/>
        <v>0</v>
      </c>
      <c r="V3494" s="5">
        <f t="shared" si="1089"/>
        <v>0</v>
      </c>
      <c r="W3494" s="5">
        <f t="shared" si="1090"/>
        <v>0</v>
      </c>
      <c r="X3494" s="5">
        <f t="shared" si="1091"/>
        <v>0</v>
      </c>
      <c r="Y3494" s="5">
        <f t="shared" si="1092"/>
        <v>0</v>
      </c>
      <c r="Z3494" s="5">
        <f t="shared" si="1093"/>
        <v>0</v>
      </c>
      <c r="AA3494" s="5">
        <f t="shared" si="1094"/>
        <v>0</v>
      </c>
      <c r="AB3494" s="5">
        <f t="shared" si="1074"/>
        <v>0</v>
      </c>
    </row>
    <row r="3495" spans="4:28" x14ac:dyDescent="0.25">
      <c r="D3495" t="s">
        <v>91</v>
      </c>
      <c r="E3495" s="14"/>
      <c r="F3495" s="14"/>
      <c r="G3495">
        <f>IFERROR(HLOOKUP(G$2,[105]table_female_hkom3_inj.ill_X3!$A$1:$K$36,23,FALSE),0)</f>
        <v>0</v>
      </c>
      <c r="H3495">
        <f>IFERROR(HLOOKUP(H$2,[105]table_female_hkom3_inj.ill_X3!$A$1:$K$36,23,FALSE),0)</f>
        <v>0</v>
      </c>
      <c r="I3495">
        <f>IFERROR(HLOOKUP(I$2,[105]table_female_hkom3_inj.ill_X3!$A$1:$K$36,23,FALSE),0)</f>
        <v>0</v>
      </c>
      <c r="J3495">
        <f>IFERROR(HLOOKUP(J$2,[105]table_female_hkom3_inj.ill_X3!$A$1:$K$36,23,FALSE),0)</f>
        <v>0</v>
      </c>
      <c r="K3495">
        <f>IFERROR(HLOOKUP(K$2,[105]table_female_hkom3_inj.ill_X3!$A$1:$K$36,23,FALSE),0)</f>
        <v>0</v>
      </c>
      <c r="L3495">
        <f>IFERROR(HLOOKUP(L$2,[105]table_female_hkom3_inj.ill_X3!$A$1:$K$36,23,FALSE),0)</f>
        <v>0</v>
      </c>
      <c r="M3495">
        <f t="shared" si="1086"/>
        <v>0</v>
      </c>
      <c r="S3495" t="s">
        <v>91</v>
      </c>
      <c r="T3495" s="5">
        <f t="shared" si="1087"/>
        <v>0</v>
      </c>
      <c r="U3495" s="5">
        <f t="shared" si="1088"/>
        <v>0</v>
      </c>
      <c r="V3495" s="5">
        <f t="shared" si="1089"/>
        <v>0</v>
      </c>
      <c r="W3495" s="5">
        <f t="shared" si="1090"/>
        <v>0</v>
      </c>
      <c r="X3495" s="5">
        <f t="shared" si="1091"/>
        <v>0</v>
      </c>
      <c r="Y3495" s="5">
        <f t="shared" si="1092"/>
        <v>0</v>
      </c>
      <c r="Z3495" s="5">
        <f t="shared" si="1093"/>
        <v>0</v>
      </c>
      <c r="AA3495" s="5">
        <f t="shared" si="1094"/>
        <v>0</v>
      </c>
      <c r="AB3495" s="5">
        <f t="shared" si="1074"/>
        <v>0</v>
      </c>
    </row>
    <row r="3496" spans="4:28" x14ac:dyDescent="0.25">
      <c r="D3496" t="s">
        <v>92</v>
      </c>
      <c r="E3496" s="14"/>
      <c r="F3496" s="14"/>
      <c r="G3496">
        <f>IFERROR(HLOOKUP(G$2,[105]table_female_hkom3_inj.ill_X3!$A$1:$K$36,24,FALSE),0)</f>
        <v>0</v>
      </c>
      <c r="H3496">
        <f>IFERROR(HLOOKUP(H$2,[105]table_female_hkom3_inj.ill_X3!$A$1:$K$36,24,FALSE),0)</f>
        <v>0</v>
      </c>
      <c r="I3496">
        <f>IFERROR(HLOOKUP(I$2,[105]table_female_hkom3_inj.ill_X3!$A$1:$K$36,24,FALSE),0)</f>
        <v>0</v>
      </c>
      <c r="J3496">
        <f>IFERROR(HLOOKUP(J$2,[105]table_female_hkom3_inj.ill_X3!$A$1:$K$36,24,FALSE),0)</f>
        <v>0</v>
      </c>
      <c r="K3496">
        <f>IFERROR(HLOOKUP(K$2,[105]table_female_hkom3_inj.ill_X3!$A$1:$K$36,24,FALSE),0)</f>
        <v>0</v>
      </c>
      <c r="L3496">
        <f>IFERROR(HLOOKUP(L$2,[105]table_female_hkom3_inj.ill_X3!$A$1:$K$36,24,FALSE),0)</f>
        <v>0</v>
      </c>
      <c r="M3496">
        <f t="shared" si="1086"/>
        <v>0</v>
      </c>
      <c r="S3496" t="s">
        <v>92</v>
      </c>
      <c r="T3496" s="5">
        <f t="shared" si="1087"/>
        <v>0</v>
      </c>
      <c r="U3496" s="5">
        <f t="shared" si="1088"/>
        <v>0</v>
      </c>
      <c r="V3496" s="5">
        <f t="shared" si="1089"/>
        <v>0</v>
      </c>
      <c r="W3496" s="5">
        <f t="shared" si="1090"/>
        <v>0</v>
      </c>
      <c r="X3496" s="5">
        <f t="shared" si="1091"/>
        <v>0</v>
      </c>
      <c r="Y3496" s="5">
        <f t="shared" si="1092"/>
        <v>0</v>
      </c>
      <c r="Z3496" s="5">
        <f t="shared" si="1093"/>
        <v>0</v>
      </c>
      <c r="AA3496" s="5">
        <f t="shared" si="1094"/>
        <v>0</v>
      </c>
      <c r="AB3496" s="5">
        <f t="shared" si="1074"/>
        <v>0</v>
      </c>
    </row>
    <row r="3497" spans="4:28" x14ac:dyDescent="0.25">
      <c r="D3497" t="s">
        <v>93</v>
      </c>
      <c r="E3497" s="14"/>
      <c r="F3497" s="14"/>
      <c r="G3497">
        <f>IFERROR(HLOOKUP(G$2,[105]table_female_hkom3_inj.ill_X3!$A$1:$K$36,25,FALSE),0)</f>
        <v>0</v>
      </c>
      <c r="H3497">
        <f>IFERROR(HLOOKUP(H$2,[105]table_female_hkom3_inj.ill_X3!$A$1:$K$36,25,FALSE),0)</f>
        <v>0</v>
      </c>
      <c r="I3497">
        <f>IFERROR(HLOOKUP(I$2,[105]table_female_hkom3_inj.ill_X3!$A$1:$K$36,25,FALSE),0)</f>
        <v>0</v>
      </c>
      <c r="J3497">
        <f>IFERROR(HLOOKUP(J$2,[105]table_female_hkom3_inj.ill_X3!$A$1:$K$36,25,FALSE),0)</f>
        <v>0</v>
      </c>
      <c r="K3497">
        <f>IFERROR(HLOOKUP(K$2,[105]table_female_hkom3_inj.ill_X3!$A$1:$K$36,25,FALSE),0)</f>
        <v>0</v>
      </c>
      <c r="L3497">
        <f>IFERROR(HLOOKUP(L$2,[105]table_female_hkom3_inj.ill_X3!$A$1:$K$36,25,FALSE),0)</f>
        <v>0</v>
      </c>
      <c r="M3497">
        <f t="shared" si="1086"/>
        <v>0</v>
      </c>
      <c r="S3497" t="s">
        <v>93</v>
      </c>
      <c r="T3497" s="5">
        <f t="shared" si="1087"/>
        <v>0</v>
      </c>
      <c r="U3497" s="5">
        <f t="shared" si="1088"/>
        <v>0</v>
      </c>
      <c r="V3497" s="5">
        <f t="shared" si="1089"/>
        <v>0</v>
      </c>
      <c r="W3497" s="5">
        <f t="shared" si="1090"/>
        <v>0</v>
      </c>
      <c r="X3497" s="5">
        <f t="shared" si="1091"/>
        <v>0</v>
      </c>
      <c r="Y3497" s="5">
        <f t="shared" si="1092"/>
        <v>0</v>
      </c>
      <c r="Z3497" s="5">
        <f t="shared" si="1093"/>
        <v>0</v>
      </c>
      <c r="AA3497" s="5">
        <f t="shared" si="1094"/>
        <v>0</v>
      </c>
      <c r="AB3497" s="5">
        <f t="shared" si="1074"/>
        <v>0</v>
      </c>
    </row>
    <row r="3498" spans="4:28" x14ac:dyDescent="0.25">
      <c r="D3498" t="s">
        <v>94</v>
      </c>
      <c r="E3498" s="14"/>
      <c r="F3498" s="14"/>
      <c r="G3498">
        <f>IFERROR(HLOOKUP(G$2,[105]table_female_hkom3_inj.ill_X3!$A$1:$K$36,26,FALSE),0)</f>
        <v>0</v>
      </c>
      <c r="H3498">
        <f>IFERROR(HLOOKUP(H$2,[105]table_female_hkom3_inj.ill_X3!$A$1:$K$36,26,FALSE),0)</f>
        <v>0</v>
      </c>
      <c r="I3498">
        <f>IFERROR(HLOOKUP(I$2,[105]table_female_hkom3_inj.ill_X3!$A$1:$K$36,26,FALSE),0)</f>
        <v>0</v>
      </c>
      <c r="J3498">
        <f>IFERROR(HLOOKUP(J$2,[105]table_female_hkom3_inj.ill_X3!$A$1:$K$36,26,FALSE),0)</f>
        <v>0</v>
      </c>
      <c r="K3498">
        <f>IFERROR(HLOOKUP(K$2,[105]table_female_hkom3_inj.ill_X3!$A$1:$K$36,26,FALSE),0)</f>
        <v>0</v>
      </c>
      <c r="L3498">
        <f>IFERROR(HLOOKUP(L$2,[105]table_female_hkom3_inj.ill_X3!$A$1:$K$36,26,FALSE),0)</f>
        <v>0</v>
      </c>
      <c r="M3498">
        <f t="shared" si="1086"/>
        <v>0</v>
      </c>
      <c r="S3498" t="s">
        <v>94</v>
      </c>
      <c r="T3498" s="5">
        <f t="shared" si="1087"/>
        <v>0</v>
      </c>
      <c r="U3498" s="5">
        <f t="shared" si="1088"/>
        <v>0</v>
      </c>
      <c r="V3498" s="5">
        <f t="shared" si="1089"/>
        <v>0</v>
      </c>
      <c r="W3498" s="5">
        <f t="shared" si="1090"/>
        <v>0</v>
      </c>
      <c r="X3498" s="5">
        <f t="shared" si="1091"/>
        <v>0</v>
      </c>
      <c r="Y3498" s="5">
        <f t="shared" si="1092"/>
        <v>0</v>
      </c>
      <c r="Z3498" s="5">
        <f t="shared" si="1093"/>
        <v>0</v>
      </c>
      <c r="AA3498" s="5">
        <f t="shared" si="1094"/>
        <v>0</v>
      </c>
      <c r="AB3498" s="5">
        <f t="shared" si="1074"/>
        <v>0</v>
      </c>
    </row>
    <row r="3499" spans="4:28" x14ac:dyDescent="0.25">
      <c r="D3499" t="s">
        <v>95</v>
      </c>
      <c r="E3499" s="14"/>
      <c r="F3499" s="14"/>
      <c r="G3499">
        <f>IFERROR(HLOOKUP(G$2,[105]table_female_hkom3_inj.ill_X3!$A$1:$K$36,27,FALSE),0)</f>
        <v>0</v>
      </c>
      <c r="H3499">
        <f>IFERROR(HLOOKUP(H$2,[105]table_female_hkom3_inj.ill_X3!$A$1:$K$36,27,FALSE),0)</f>
        <v>0</v>
      </c>
      <c r="I3499">
        <f>IFERROR(HLOOKUP(I$2,[105]table_female_hkom3_inj.ill_X3!$A$1:$K$36,27,FALSE),0)</f>
        <v>0</v>
      </c>
      <c r="J3499">
        <f>IFERROR(HLOOKUP(J$2,[105]table_female_hkom3_inj.ill_X3!$A$1:$K$36,27,FALSE),0)</f>
        <v>0</v>
      </c>
      <c r="K3499">
        <f>IFERROR(HLOOKUP(K$2,[105]table_female_hkom3_inj.ill_X3!$A$1:$K$36,27,FALSE),0)</f>
        <v>0</v>
      </c>
      <c r="L3499">
        <f>IFERROR(HLOOKUP(L$2,[105]table_female_hkom3_inj.ill_X3!$A$1:$K$36,27,FALSE),0)</f>
        <v>0</v>
      </c>
      <c r="M3499">
        <f t="shared" si="1086"/>
        <v>0</v>
      </c>
      <c r="S3499" t="s">
        <v>95</v>
      </c>
      <c r="T3499" s="5">
        <f t="shared" si="1087"/>
        <v>0</v>
      </c>
      <c r="U3499" s="5">
        <f t="shared" si="1088"/>
        <v>0</v>
      </c>
      <c r="V3499" s="5">
        <f t="shared" si="1089"/>
        <v>0</v>
      </c>
      <c r="W3499" s="5">
        <f t="shared" si="1090"/>
        <v>0</v>
      </c>
      <c r="X3499" s="5">
        <f t="shared" si="1091"/>
        <v>0</v>
      </c>
      <c r="Y3499" s="5">
        <f t="shared" si="1092"/>
        <v>0</v>
      </c>
      <c r="Z3499" s="5">
        <f t="shared" si="1093"/>
        <v>0</v>
      </c>
      <c r="AA3499" s="5">
        <f t="shared" si="1094"/>
        <v>0</v>
      </c>
      <c r="AB3499" s="5">
        <f t="shared" ref="AB3499:AB3562" si="1095">SUM(T3499:AA3499)</f>
        <v>0</v>
      </c>
    </row>
    <row r="3500" spans="4:28" x14ac:dyDescent="0.25">
      <c r="D3500" t="s">
        <v>96</v>
      </c>
      <c r="E3500" s="14"/>
      <c r="F3500" s="14"/>
      <c r="G3500">
        <f>IFERROR(HLOOKUP(G$2,[105]table_female_hkom3_inj.ill_X3!$A$1:$K$36,28,FALSE),0)</f>
        <v>0</v>
      </c>
      <c r="H3500">
        <f>IFERROR(HLOOKUP(H$2,[105]table_female_hkom3_inj.ill_X3!$A$1:$K$36,28,FALSE),0)</f>
        <v>0</v>
      </c>
      <c r="I3500">
        <f>IFERROR(HLOOKUP(I$2,[105]table_female_hkom3_inj.ill_X3!$A$1:$K$36,28,FALSE),0)</f>
        <v>0</v>
      </c>
      <c r="J3500">
        <f>IFERROR(HLOOKUP(J$2,[105]table_female_hkom3_inj.ill_X3!$A$1:$K$36,28,FALSE),0)</f>
        <v>0</v>
      </c>
      <c r="K3500">
        <f>IFERROR(HLOOKUP(K$2,[105]table_female_hkom3_inj.ill_X3!$A$1:$K$36,28,FALSE),0)</f>
        <v>0</v>
      </c>
      <c r="L3500">
        <f>IFERROR(HLOOKUP(L$2,[105]table_female_hkom3_inj.ill_X3!$A$1:$K$36,28,FALSE),0)</f>
        <v>0</v>
      </c>
      <c r="M3500">
        <f t="shared" si="1086"/>
        <v>0</v>
      </c>
      <c r="S3500" t="s">
        <v>96</v>
      </c>
      <c r="T3500" s="5">
        <f t="shared" si="1087"/>
        <v>0</v>
      </c>
      <c r="U3500" s="5">
        <f t="shared" si="1088"/>
        <v>0</v>
      </c>
      <c r="V3500" s="5">
        <f t="shared" si="1089"/>
        <v>0</v>
      </c>
      <c r="W3500" s="5">
        <f t="shared" si="1090"/>
        <v>0</v>
      </c>
      <c r="X3500" s="5">
        <f t="shared" si="1091"/>
        <v>0</v>
      </c>
      <c r="Y3500" s="5">
        <f t="shared" si="1092"/>
        <v>0</v>
      </c>
      <c r="Z3500" s="5">
        <f t="shared" si="1093"/>
        <v>0</v>
      </c>
      <c r="AA3500" s="5">
        <f t="shared" si="1094"/>
        <v>0</v>
      </c>
      <c r="AB3500" s="5">
        <f t="shared" si="1095"/>
        <v>0</v>
      </c>
    </row>
    <row r="3501" spans="4:28" x14ac:dyDescent="0.25">
      <c r="D3501" t="s">
        <v>97</v>
      </c>
      <c r="E3501" s="14"/>
      <c r="F3501" s="14"/>
      <c r="G3501">
        <f>IFERROR(HLOOKUP(G$2,[105]table_female_hkom3_inj.ill_X3!$A$1:$K$36,29,FALSE),0)</f>
        <v>0</v>
      </c>
      <c r="H3501">
        <f>IFERROR(HLOOKUP(H$2,[105]table_female_hkom3_inj.ill_X3!$A$1:$K$36,29,FALSE),0)</f>
        <v>1</v>
      </c>
      <c r="I3501">
        <f>IFERROR(HLOOKUP(I$2,[105]table_female_hkom3_inj.ill_X3!$A$1:$K$36,29,FALSE),0)</f>
        <v>0</v>
      </c>
      <c r="J3501">
        <f>IFERROR(HLOOKUP(J$2,[105]table_female_hkom3_inj.ill_X3!$A$1:$K$36,29,FALSE),0)</f>
        <v>0</v>
      </c>
      <c r="K3501">
        <f>IFERROR(HLOOKUP(K$2,[105]table_female_hkom3_inj.ill_X3!$A$1:$K$36,29,FALSE),0)</f>
        <v>0</v>
      </c>
      <c r="L3501">
        <f>IFERROR(HLOOKUP(L$2,[105]table_female_hkom3_inj.ill_X3!$A$1:$K$36,29,FALSE),0)</f>
        <v>0</v>
      </c>
      <c r="M3501">
        <f t="shared" si="1086"/>
        <v>1</v>
      </c>
      <c r="S3501" t="s">
        <v>97</v>
      </c>
      <c r="T3501" s="5">
        <f t="shared" si="1087"/>
        <v>0</v>
      </c>
      <c r="U3501" s="5">
        <f t="shared" si="1088"/>
        <v>0</v>
      </c>
      <c r="V3501" s="5">
        <f t="shared" si="1089"/>
        <v>0</v>
      </c>
      <c r="W3501" s="5">
        <f t="shared" si="1090"/>
        <v>1.5833333333333333</v>
      </c>
      <c r="X3501" s="5">
        <f t="shared" si="1091"/>
        <v>0</v>
      </c>
      <c r="Y3501" s="5">
        <f t="shared" si="1092"/>
        <v>0</v>
      </c>
      <c r="Z3501" s="5">
        <f t="shared" si="1093"/>
        <v>0</v>
      </c>
      <c r="AA3501" s="5">
        <f t="shared" si="1094"/>
        <v>0</v>
      </c>
      <c r="AB3501" s="5">
        <f t="shared" si="1095"/>
        <v>1.5833333333333333</v>
      </c>
    </row>
    <row r="3502" spans="4:28" x14ac:dyDescent="0.25">
      <c r="D3502" t="s">
        <v>98</v>
      </c>
      <c r="E3502" s="14"/>
      <c r="F3502" s="14"/>
      <c r="G3502">
        <f>IFERROR(HLOOKUP(G$2,[105]table_female_hkom3_inj.ill_X3!$A$1:$K$36,30,FALSE),0)</f>
        <v>0</v>
      </c>
      <c r="H3502">
        <f>IFERROR(HLOOKUP(H$2,[105]table_female_hkom3_inj.ill_X3!$A$1:$K$36,30,FALSE),0)</f>
        <v>0</v>
      </c>
      <c r="I3502">
        <f>IFERROR(HLOOKUP(I$2,[105]table_female_hkom3_inj.ill_X3!$A$1:$K$36,30,FALSE),0)</f>
        <v>0</v>
      </c>
      <c r="J3502">
        <f>IFERROR(HLOOKUP(J$2,[105]table_female_hkom3_inj.ill_X3!$A$1:$K$36,30,FALSE),0)</f>
        <v>0</v>
      </c>
      <c r="K3502">
        <f>IFERROR(HLOOKUP(K$2,[105]table_female_hkom3_inj.ill_X3!$A$1:$K$36,30,FALSE),0)</f>
        <v>0</v>
      </c>
      <c r="L3502">
        <f>IFERROR(HLOOKUP(L$2,[105]table_female_hkom3_inj.ill_X3!$A$1:$K$36,30,FALSE),0)</f>
        <v>0</v>
      </c>
      <c r="M3502">
        <f t="shared" si="1086"/>
        <v>0</v>
      </c>
      <c r="S3502" t="s">
        <v>98</v>
      </c>
      <c r="T3502" s="5">
        <f t="shared" si="1087"/>
        <v>0</v>
      </c>
      <c r="U3502" s="5">
        <f t="shared" si="1088"/>
        <v>0</v>
      </c>
      <c r="V3502" s="5">
        <f t="shared" si="1089"/>
        <v>0</v>
      </c>
      <c r="W3502" s="5">
        <f t="shared" si="1090"/>
        <v>0</v>
      </c>
      <c r="X3502" s="5">
        <f t="shared" si="1091"/>
        <v>0</v>
      </c>
      <c r="Y3502" s="5">
        <f t="shared" si="1092"/>
        <v>0</v>
      </c>
      <c r="Z3502" s="5">
        <f t="shared" si="1093"/>
        <v>0</v>
      </c>
      <c r="AA3502" s="5">
        <f t="shared" si="1094"/>
        <v>0</v>
      </c>
      <c r="AB3502" s="5">
        <f t="shared" si="1095"/>
        <v>0</v>
      </c>
    </row>
    <row r="3503" spans="4:28" x14ac:dyDescent="0.25">
      <c r="D3503" t="s">
        <v>119</v>
      </c>
      <c r="E3503" s="14"/>
      <c r="F3503" s="14"/>
      <c r="G3503">
        <f>IFERROR(HLOOKUP(G$2,[105]table_female_hkom3_inj.ill_X3!$A$1:$K$36,31,FALSE),0)</f>
        <v>0</v>
      </c>
      <c r="H3503">
        <f>IFERROR(HLOOKUP(H$2,[105]table_female_hkom3_inj.ill_X3!$A$1:$K$36,31,FALSE),0)</f>
        <v>0</v>
      </c>
      <c r="I3503">
        <f>IFERROR(HLOOKUP(I$2,[105]table_female_hkom3_inj.ill_X3!$A$1:$K$36,31,FALSE),0)</f>
        <v>0</v>
      </c>
      <c r="J3503">
        <f>IFERROR(HLOOKUP(J$2,[105]table_female_hkom3_inj.ill_X3!$A$1:$K$36,31,FALSE),0)</f>
        <v>0</v>
      </c>
      <c r="K3503">
        <f>IFERROR(HLOOKUP(K$2,[105]table_female_hkom3_inj.ill_X3!$A$1:$K$36,31,FALSE),0)</f>
        <v>0</v>
      </c>
      <c r="L3503">
        <f>IFERROR(HLOOKUP(L$2,[105]table_female_hkom3_inj.ill_X3!$A$1:$K$36,31,FALSE),0)</f>
        <v>0</v>
      </c>
      <c r="M3503">
        <f t="shared" si="1086"/>
        <v>0</v>
      </c>
      <c r="S3503" t="s">
        <v>119</v>
      </c>
      <c r="T3503" s="5">
        <f t="shared" si="1087"/>
        <v>0</v>
      </c>
      <c r="U3503" s="5">
        <f t="shared" si="1088"/>
        <v>0</v>
      </c>
      <c r="V3503" s="5">
        <f t="shared" si="1089"/>
        <v>0</v>
      </c>
      <c r="W3503" s="5">
        <f t="shared" si="1090"/>
        <v>0</v>
      </c>
      <c r="X3503" s="5">
        <f t="shared" si="1091"/>
        <v>0</v>
      </c>
      <c r="Y3503" s="5">
        <f t="shared" si="1092"/>
        <v>0</v>
      </c>
      <c r="Z3503" s="5">
        <f t="shared" si="1093"/>
        <v>0</v>
      </c>
      <c r="AA3503" s="5">
        <f t="shared" si="1094"/>
        <v>0</v>
      </c>
      <c r="AB3503" s="5">
        <f t="shared" si="1095"/>
        <v>0</v>
      </c>
    </row>
    <row r="3504" spans="4:28" x14ac:dyDescent="0.25">
      <c r="D3504" t="s">
        <v>99</v>
      </c>
      <c r="E3504" s="14"/>
      <c r="F3504" s="14"/>
      <c r="G3504">
        <f>IFERROR(HLOOKUP(G$2,[105]table_female_hkom3_inj.ill_X3!$A$1:$K$36,32,FALSE),0)</f>
        <v>0</v>
      </c>
      <c r="H3504">
        <f>IFERROR(HLOOKUP(H$2,[105]table_female_hkom3_inj.ill_X3!$A$1:$K$36,32,FALSE),0)</f>
        <v>0</v>
      </c>
      <c r="I3504">
        <f>IFERROR(HLOOKUP(I$2,[105]table_female_hkom3_inj.ill_X3!$A$1:$K$36,32,FALSE),0)</f>
        <v>0</v>
      </c>
      <c r="J3504">
        <f>IFERROR(HLOOKUP(J$2,[105]table_female_hkom3_inj.ill_X3!$A$1:$K$36,32,FALSE),0)</f>
        <v>0</v>
      </c>
      <c r="K3504">
        <f>IFERROR(HLOOKUP(K$2,[105]table_female_hkom3_inj.ill_X3!$A$1:$K$36,32,FALSE),0)</f>
        <v>0</v>
      </c>
      <c r="L3504">
        <f>IFERROR(HLOOKUP(L$2,[105]table_female_hkom3_inj.ill_X3!$A$1:$K$36,32,FALSE),0)</f>
        <v>0</v>
      </c>
      <c r="M3504">
        <f t="shared" si="1086"/>
        <v>0</v>
      </c>
      <c r="S3504" t="s">
        <v>99</v>
      </c>
      <c r="T3504" s="5">
        <f t="shared" si="1087"/>
        <v>0</v>
      </c>
      <c r="U3504" s="5">
        <f t="shared" si="1088"/>
        <v>0</v>
      </c>
      <c r="V3504" s="5">
        <f t="shared" si="1089"/>
        <v>0</v>
      </c>
      <c r="W3504" s="5">
        <f t="shared" si="1090"/>
        <v>0</v>
      </c>
      <c r="X3504" s="5">
        <f t="shared" si="1091"/>
        <v>0</v>
      </c>
      <c r="Y3504" s="5">
        <f t="shared" si="1092"/>
        <v>0</v>
      </c>
      <c r="Z3504" s="5">
        <f t="shared" si="1093"/>
        <v>0</v>
      </c>
      <c r="AA3504" s="5">
        <f t="shared" si="1094"/>
        <v>0</v>
      </c>
      <c r="AB3504" s="5">
        <f t="shared" si="1095"/>
        <v>0</v>
      </c>
    </row>
    <row r="3505" spans="1:29" x14ac:dyDescent="0.25">
      <c r="D3505" t="s">
        <v>100</v>
      </c>
      <c r="E3505" s="14"/>
      <c r="F3505" s="14"/>
      <c r="G3505">
        <f>IFERROR(HLOOKUP(G$2,[105]table_female_hkom3_inj.ill_X3!$A$1:$K$36,33,FALSE),0)</f>
        <v>20</v>
      </c>
      <c r="H3505">
        <f>IFERROR(HLOOKUP(H$2,[105]table_female_hkom3_inj.ill_X3!$A$1:$K$36,33,FALSE),0)</f>
        <v>35</v>
      </c>
      <c r="I3505">
        <f>IFERROR(HLOOKUP(I$2,[105]table_female_hkom3_inj.ill_X3!$A$1:$K$36,33,FALSE),0)</f>
        <v>20</v>
      </c>
      <c r="J3505">
        <f>IFERROR(HLOOKUP(J$2,[105]table_female_hkom3_inj.ill_X3!$A$1:$K$36,33,FALSE),0)</f>
        <v>4</v>
      </c>
      <c r="K3505">
        <f>IFERROR(HLOOKUP(K$2,[105]table_female_hkom3_inj.ill_X3!$A$1:$K$36,33,FALSE),0)</f>
        <v>2</v>
      </c>
      <c r="L3505">
        <f>IFERROR(HLOOKUP(L$2,[105]table_female_hkom3_inj.ill_X3!$A$1:$K$36,33,FALSE),0)</f>
        <v>0</v>
      </c>
      <c r="M3505">
        <f t="shared" si="1086"/>
        <v>81</v>
      </c>
      <c r="S3505" t="s">
        <v>100</v>
      </c>
      <c r="T3505" s="5">
        <f t="shared" si="1087"/>
        <v>0</v>
      </c>
      <c r="U3505" s="5">
        <f t="shared" si="1088"/>
        <v>0</v>
      </c>
      <c r="V3505" s="5">
        <f t="shared" si="1089"/>
        <v>46</v>
      </c>
      <c r="W3505" s="5">
        <f t="shared" si="1090"/>
        <v>55.416666666666671</v>
      </c>
      <c r="X3505" s="5">
        <f t="shared" si="1091"/>
        <v>38</v>
      </c>
      <c r="Y3505" s="5">
        <f t="shared" si="1092"/>
        <v>5</v>
      </c>
      <c r="Z3505" s="5">
        <f t="shared" si="1093"/>
        <v>2</v>
      </c>
      <c r="AA3505" s="5">
        <f t="shared" si="1094"/>
        <v>0</v>
      </c>
      <c r="AB3505" s="5">
        <f t="shared" si="1095"/>
        <v>146.41666666666669</v>
      </c>
    </row>
    <row r="3506" spans="1:29" x14ac:dyDescent="0.25">
      <c r="D3506" t="s">
        <v>101</v>
      </c>
      <c r="E3506" s="14"/>
      <c r="F3506" s="14"/>
      <c r="G3506">
        <f>IFERROR(HLOOKUP(G$2,[105]table_female_hkom3_inj.ill_X3!$A$1:$K$36,34,FALSE),0)</f>
        <v>0</v>
      </c>
      <c r="H3506">
        <f>IFERROR(HLOOKUP(H$2,[105]table_female_hkom3_inj.ill_X3!$A$1:$K$36,34,FALSE),0)</f>
        <v>0</v>
      </c>
      <c r="I3506">
        <f>IFERROR(HLOOKUP(I$2,[105]table_female_hkom3_inj.ill_X3!$A$1:$K$36,34,FALSE),0)</f>
        <v>0</v>
      </c>
      <c r="J3506">
        <f>IFERROR(HLOOKUP(J$2,[105]table_female_hkom3_inj.ill_X3!$A$1:$K$36,34,FALSE),0)</f>
        <v>0</v>
      </c>
      <c r="K3506">
        <f>IFERROR(HLOOKUP(K$2,[105]table_female_hkom3_inj.ill_X3!$A$1:$K$36,34,FALSE),0)</f>
        <v>0</v>
      </c>
      <c r="L3506">
        <f>IFERROR(HLOOKUP(L$2,[105]table_female_hkom3_inj.ill_X3!$A$1:$K$36,34,FALSE),0)</f>
        <v>0</v>
      </c>
      <c r="M3506">
        <f t="shared" si="1086"/>
        <v>0</v>
      </c>
      <c r="S3506" t="s">
        <v>101</v>
      </c>
      <c r="T3506" s="5">
        <f t="shared" si="1087"/>
        <v>0</v>
      </c>
      <c r="U3506" s="5">
        <f t="shared" si="1088"/>
        <v>0</v>
      </c>
      <c r="V3506" s="5">
        <f t="shared" si="1089"/>
        <v>0</v>
      </c>
      <c r="W3506" s="5">
        <f t="shared" si="1090"/>
        <v>0</v>
      </c>
      <c r="X3506" s="5">
        <f t="shared" si="1091"/>
        <v>0</v>
      </c>
      <c r="Y3506" s="5">
        <f t="shared" si="1092"/>
        <v>0</v>
      </c>
      <c r="Z3506" s="5">
        <f t="shared" si="1093"/>
        <v>0</v>
      </c>
      <c r="AA3506" s="5">
        <f t="shared" si="1094"/>
        <v>0</v>
      </c>
      <c r="AB3506" s="5">
        <f t="shared" si="1095"/>
        <v>0</v>
      </c>
    </row>
    <row r="3507" spans="1:29" x14ac:dyDescent="0.25">
      <c r="D3507" t="s">
        <v>102</v>
      </c>
      <c r="E3507" s="14"/>
      <c r="F3507" s="14"/>
      <c r="G3507">
        <f>IFERROR(HLOOKUP(G$2,[105]table_female_hkom3_inj.ill_X3!$A$1:$K$36,35,FALSE),0)</f>
        <v>26</v>
      </c>
      <c r="H3507">
        <f>IFERROR(HLOOKUP(H$2,[105]table_female_hkom3_inj.ill_X3!$A$1:$K$36,35,FALSE),0)</f>
        <v>21</v>
      </c>
      <c r="I3507">
        <f>IFERROR(HLOOKUP(I$2,[105]table_female_hkom3_inj.ill_X3!$A$1:$K$36,35,FALSE),0)</f>
        <v>18</v>
      </c>
      <c r="J3507">
        <f>IFERROR(HLOOKUP(J$2,[105]table_female_hkom3_inj.ill_X3!$A$1:$K$36,35,FALSE),0)</f>
        <v>1</v>
      </c>
      <c r="K3507">
        <f>IFERROR(HLOOKUP(K$2,[105]table_female_hkom3_inj.ill_X3!$A$1:$K$36,35,FALSE),0)</f>
        <v>0</v>
      </c>
      <c r="L3507">
        <f>IFERROR(HLOOKUP(L$2,[105]table_female_hkom3_inj.ill_X3!$A$1:$K$36,35,FALSE),0)</f>
        <v>0</v>
      </c>
      <c r="M3507">
        <f t="shared" si="1086"/>
        <v>66</v>
      </c>
      <c r="N3507">
        <f>SUM(M3474:M3507)</f>
        <v>148</v>
      </c>
      <c r="O3507" s="8">
        <f>SUM([105]table_female_hkom3_inj.ill_X3!$B$2:$L$37)</f>
        <v>148</v>
      </c>
      <c r="S3507" t="s">
        <v>102</v>
      </c>
      <c r="T3507" s="7"/>
      <c r="U3507" s="7"/>
      <c r="V3507" s="7"/>
      <c r="W3507" s="7"/>
      <c r="X3507" s="7"/>
      <c r="Y3507" s="7"/>
      <c r="Z3507" s="7"/>
      <c r="AA3507" s="7"/>
      <c r="AB3507" s="5">
        <f t="shared" si="1095"/>
        <v>0</v>
      </c>
      <c r="AC3507" s="5">
        <f>SUM(AB3474:AB3506)</f>
        <v>148.00000000000003</v>
      </c>
    </row>
    <row r="3508" spans="1:29" x14ac:dyDescent="0.25">
      <c r="A3508" t="s">
        <v>115</v>
      </c>
      <c r="B3508" t="s">
        <v>117</v>
      </c>
      <c r="C3508" t="s">
        <v>126</v>
      </c>
      <c r="D3508" t="s">
        <v>70</v>
      </c>
      <c r="E3508" s="14"/>
      <c r="F3508" s="14"/>
      <c r="G3508">
        <f>IFERROR(HLOOKUP(G$2,[106]table_female_hkom3_inj.ill_X4!$A$1:$K$36,2,FALSE),0)</f>
        <v>0</v>
      </c>
      <c r="H3508">
        <f>IFERROR(HLOOKUP(H$2,[106]table_female_hkom3_inj.ill_X4!$A$1:$K$36,2,FALSE),0)</f>
        <v>0</v>
      </c>
      <c r="I3508">
        <f>IFERROR(HLOOKUP(I$2,[106]table_female_hkom3_inj.ill_X4!$A$1:$K$36,2,FALSE),0)</f>
        <v>0</v>
      </c>
      <c r="J3508">
        <f>IFERROR(HLOOKUP(J$2,[106]table_female_hkom3_inj.ill_X4!$A$1:$K$36,2,FALSE),0)</f>
        <v>0</v>
      </c>
      <c r="K3508">
        <f>IFERROR(HLOOKUP(K$2,[106]table_female_hkom3_inj.ill_X4!$A$1:$K$36,2,FALSE),0)</f>
        <v>0</v>
      </c>
      <c r="L3508">
        <f>IFERROR(HLOOKUP(L$2,[106]table_female_hkom3_inj.ill_X4!$A$1:$K$36,2,FALSE),0)</f>
        <v>0</v>
      </c>
      <c r="M3508">
        <f>SUM(E3508:L3508)</f>
        <v>0</v>
      </c>
      <c r="P3508" t="s">
        <v>115</v>
      </c>
      <c r="Q3508" t="s">
        <v>117</v>
      </c>
      <c r="R3508" t="s">
        <v>126</v>
      </c>
      <c r="S3508" t="s">
        <v>70</v>
      </c>
      <c r="T3508" s="5">
        <f>IF(SUM(E$3508:E$3540)=0,E$3541/33,E3508+IFERROR(E3508/SUM(E$3508:E$3540)*E$3541,0))</f>
        <v>0</v>
      </c>
      <c r="U3508" s="5">
        <f t="shared" ref="U3508:AA3508" si="1096">IF(SUM(F$3508:F$3540)=0,F$3541/33,F3508+IFERROR(F3508/SUM(F$3508:F$3540)*F$3541,0))</f>
        <v>0</v>
      </c>
      <c r="V3508" s="5">
        <f t="shared" si="1096"/>
        <v>0</v>
      </c>
      <c r="W3508" s="5">
        <f t="shared" si="1096"/>
        <v>0</v>
      </c>
      <c r="X3508" s="5">
        <f t="shared" si="1096"/>
        <v>0</v>
      </c>
      <c r="Y3508" s="5">
        <f t="shared" si="1096"/>
        <v>0</v>
      </c>
      <c r="Z3508" s="5">
        <f t="shared" si="1096"/>
        <v>0</v>
      </c>
      <c r="AA3508" s="5">
        <f t="shared" si="1096"/>
        <v>0</v>
      </c>
      <c r="AB3508" s="5">
        <f t="shared" si="1095"/>
        <v>0</v>
      </c>
    </row>
    <row r="3509" spans="1:29" x14ac:dyDescent="0.25">
      <c r="D3509" t="s">
        <v>71</v>
      </c>
      <c r="E3509" s="14"/>
      <c r="F3509" s="14"/>
      <c r="G3509">
        <f>IFERROR(HLOOKUP(G$2,[106]table_female_hkom3_inj.ill_X4!$A$1:$K$36,3,FALSE),0)</f>
        <v>0</v>
      </c>
      <c r="H3509">
        <f>IFERROR(HLOOKUP(H$2,[106]table_female_hkom3_inj.ill_X4!$A$1:$K$36,3,FALSE),0)</f>
        <v>0</v>
      </c>
      <c r="I3509">
        <f>IFERROR(HLOOKUP(I$2,[106]table_female_hkom3_inj.ill_X4!$A$1:$K$36,3,FALSE),0)</f>
        <v>0</v>
      </c>
      <c r="J3509">
        <f>IFERROR(HLOOKUP(J$2,[106]table_female_hkom3_inj.ill_X4!$A$1:$K$36,3,FALSE),0)</f>
        <v>0</v>
      </c>
      <c r="K3509">
        <f>IFERROR(HLOOKUP(K$2,[106]table_female_hkom3_inj.ill_X4!$A$1:$K$36,3,FALSE),0)</f>
        <v>0</v>
      </c>
      <c r="L3509">
        <f>IFERROR(HLOOKUP(L$2,[106]table_female_hkom3_inj.ill_X4!$A$1:$K$36,3,FALSE),0)</f>
        <v>0</v>
      </c>
      <c r="M3509">
        <f t="shared" ref="M3509:M3541" si="1097">SUM(E3509:L3509)</f>
        <v>0</v>
      </c>
      <c r="S3509" t="s">
        <v>71</v>
      </c>
      <c r="T3509" s="5">
        <f t="shared" ref="T3509:T3540" si="1098">IF(SUM(E$3508:E$3540)=0,E$3541/33,E3509+IFERROR(E3509/SUM(E$3508:E$3540)*E$3541,0))</f>
        <v>0</v>
      </c>
      <c r="U3509" s="5">
        <f t="shared" ref="U3509:U3540" si="1099">IF(SUM(F$3508:F$3540)=0,F$3541/33,F3509+IFERROR(F3509/SUM(F$3508:F$3540)*F$3541,0))</f>
        <v>0</v>
      </c>
      <c r="V3509" s="5">
        <f t="shared" ref="V3509:V3540" si="1100">IF(SUM(G$3508:G$3540)=0,G$3541/33,G3509+IFERROR(G3509/SUM(G$3508:G$3540)*G$3541,0))</f>
        <v>0</v>
      </c>
      <c r="W3509" s="5">
        <f t="shared" ref="W3509:W3540" si="1101">IF(SUM(H$3508:H$3540)=0,H$3541/33,H3509+IFERROR(H3509/SUM(H$3508:H$3540)*H$3541,0))</f>
        <v>0</v>
      </c>
      <c r="X3509" s="5">
        <f t="shared" ref="X3509:X3540" si="1102">IF(SUM(I$3508:I$3540)=0,I$3541/33,I3509+IFERROR(I3509/SUM(I$3508:I$3540)*I$3541,0))</f>
        <v>0</v>
      </c>
      <c r="Y3509" s="5">
        <f t="shared" ref="Y3509:Y3540" si="1103">IF(SUM(J$3508:J$3540)=0,J$3541/33,J3509+IFERROR(J3509/SUM(J$3508:J$3540)*J$3541,0))</f>
        <v>0</v>
      </c>
      <c r="Z3509" s="5">
        <f t="shared" ref="Z3509:Z3540" si="1104">IF(SUM(K$3508:K$3540)=0,K$3541/33,K3509+IFERROR(K3509/SUM(K$3508:K$3540)*K$3541,0))</f>
        <v>0</v>
      </c>
      <c r="AA3509" s="5">
        <f t="shared" ref="AA3509:AA3540" si="1105">IF(SUM(L$3508:L$3540)=0,L$3541/33,L3509+IFERROR(L3509/SUM(L$3508:L$3540)*L$3541,0))</f>
        <v>0</v>
      </c>
      <c r="AB3509" s="5">
        <f t="shared" si="1095"/>
        <v>0</v>
      </c>
    </row>
    <row r="3510" spans="1:29" x14ac:dyDescent="0.25">
      <c r="D3510" t="s">
        <v>72</v>
      </c>
      <c r="E3510" s="14"/>
      <c r="F3510" s="14"/>
      <c r="G3510">
        <f>IFERROR(HLOOKUP(G$2,[106]table_female_hkom3_inj.ill_X4!$A$1:$K$36,4,FALSE),0)</f>
        <v>0</v>
      </c>
      <c r="H3510">
        <f>IFERROR(HLOOKUP(H$2,[106]table_female_hkom3_inj.ill_X4!$A$1:$K$36,4,FALSE),0)</f>
        <v>0</v>
      </c>
      <c r="I3510">
        <f>IFERROR(HLOOKUP(I$2,[106]table_female_hkom3_inj.ill_X4!$A$1:$K$36,4,FALSE),0)</f>
        <v>0</v>
      </c>
      <c r="J3510">
        <f>IFERROR(HLOOKUP(J$2,[106]table_female_hkom3_inj.ill_X4!$A$1:$K$36,4,FALSE),0)</f>
        <v>0</v>
      </c>
      <c r="K3510">
        <f>IFERROR(HLOOKUP(K$2,[106]table_female_hkom3_inj.ill_X4!$A$1:$K$36,4,FALSE),0)</f>
        <v>0</v>
      </c>
      <c r="L3510">
        <f>IFERROR(HLOOKUP(L$2,[106]table_female_hkom3_inj.ill_X4!$A$1:$K$36,4,FALSE),0)</f>
        <v>0</v>
      </c>
      <c r="M3510">
        <f t="shared" si="1097"/>
        <v>0</v>
      </c>
      <c r="S3510" t="s">
        <v>72</v>
      </c>
      <c r="T3510" s="5">
        <f t="shared" si="1098"/>
        <v>0</v>
      </c>
      <c r="U3510" s="5">
        <f t="shared" si="1099"/>
        <v>0</v>
      </c>
      <c r="V3510" s="5">
        <f t="shared" si="1100"/>
        <v>0</v>
      </c>
      <c r="W3510" s="5">
        <f t="shared" si="1101"/>
        <v>0</v>
      </c>
      <c r="X3510" s="5">
        <f t="shared" si="1102"/>
        <v>0</v>
      </c>
      <c r="Y3510" s="5">
        <f t="shared" si="1103"/>
        <v>0</v>
      </c>
      <c r="Z3510" s="5">
        <f t="shared" si="1104"/>
        <v>0</v>
      </c>
      <c r="AA3510" s="5">
        <f t="shared" si="1105"/>
        <v>0</v>
      </c>
      <c r="AB3510" s="5">
        <f t="shared" si="1095"/>
        <v>0</v>
      </c>
    </row>
    <row r="3511" spans="1:29" x14ac:dyDescent="0.25">
      <c r="D3511" t="s">
        <v>73</v>
      </c>
      <c r="E3511" s="14"/>
      <c r="F3511" s="14"/>
      <c r="G3511">
        <f>IFERROR(HLOOKUP(G$2,[106]table_female_hkom3_inj.ill_X4!$A$1:$K$36,5,FALSE),0)</f>
        <v>0</v>
      </c>
      <c r="H3511">
        <f>IFERROR(HLOOKUP(H$2,[106]table_female_hkom3_inj.ill_X4!$A$1:$K$36,5,FALSE),0)</f>
        <v>0</v>
      </c>
      <c r="I3511">
        <f>IFERROR(HLOOKUP(I$2,[106]table_female_hkom3_inj.ill_X4!$A$1:$K$36,5,FALSE),0)</f>
        <v>0</v>
      </c>
      <c r="J3511">
        <f>IFERROR(HLOOKUP(J$2,[106]table_female_hkom3_inj.ill_X4!$A$1:$K$36,5,FALSE),0)</f>
        <v>0</v>
      </c>
      <c r="K3511">
        <f>IFERROR(HLOOKUP(K$2,[106]table_female_hkom3_inj.ill_X4!$A$1:$K$36,5,FALSE),0)</f>
        <v>0</v>
      </c>
      <c r="L3511">
        <f>IFERROR(HLOOKUP(L$2,[106]table_female_hkom3_inj.ill_X4!$A$1:$K$36,5,FALSE),0)</f>
        <v>0</v>
      </c>
      <c r="M3511">
        <f t="shared" si="1097"/>
        <v>0</v>
      </c>
      <c r="S3511" t="s">
        <v>73</v>
      </c>
      <c r="T3511" s="5">
        <f t="shared" si="1098"/>
        <v>0</v>
      </c>
      <c r="U3511" s="5">
        <f t="shared" si="1099"/>
        <v>0</v>
      </c>
      <c r="V3511" s="5">
        <f t="shared" si="1100"/>
        <v>0</v>
      </c>
      <c r="W3511" s="5">
        <f t="shared" si="1101"/>
        <v>0</v>
      </c>
      <c r="X3511" s="5">
        <f t="shared" si="1102"/>
        <v>0</v>
      </c>
      <c r="Y3511" s="5">
        <f t="shared" si="1103"/>
        <v>0</v>
      </c>
      <c r="Z3511" s="5">
        <f t="shared" si="1104"/>
        <v>0</v>
      </c>
      <c r="AA3511" s="5">
        <f t="shared" si="1105"/>
        <v>0</v>
      </c>
      <c r="AB3511" s="5">
        <f t="shared" si="1095"/>
        <v>0</v>
      </c>
    </row>
    <row r="3512" spans="1:29" x14ac:dyDescent="0.25">
      <c r="D3512" t="s">
        <v>74</v>
      </c>
      <c r="E3512" s="14"/>
      <c r="F3512" s="14"/>
      <c r="G3512">
        <f>IFERROR(HLOOKUP(G$2,[106]table_female_hkom3_inj.ill_X4!$A$1:$K$36,6,FALSE),0)</f>
        <v>0</v>
      </c>
      <c r="H3512">
        <f>IFERROR(HLOOKUP(H$2,[106]table_female_hkom3_inj.ill_X4!$A$1:$K$36,6,FALSE),0)</f>
        <v>0</v>
      </c>
      <c r="I3512">
        <f>IFERROR(HLOOKUP(I$2,[106]table_female_hkom3_inj.ill_X4!$A$1:$K$36,6,FALSE),0)</f>
        <v>0</v>
      </c>
      <c r="J3512">
        <f>IFERROR(HLOOKUP(J$2,[106]table_female_hkom3_inj.ill_X4!$A$1:$K$36,6,FALSE),0)</f>
        <v>0</v>
      </c>
      <c r="K3512">
        <f>IFERROR(HLOOKUP(K$2,[106]table_female_hkom3_inj.ill_X4!$A$1:$K$36,6,FALSE),0)</f>
        <v>0</v>
      </c>
      <c r="L3512">
        <f>IFERROR(HLOOKUP(L$2,[106]table_female_hkom3_inj.ill_X4!$A$1:$K$36,6,FALSE),0)</f>
        <v>0</v>
      </c>
      <c r="M3512">
        <f t="shared" si="1097"/>
        <v>0</v>
      </c>
      <c r="S3512" t="s">
        <v>74</v>
      </c>
      <c r="T3512" s="5">
        <f t="shared" si="1098"/>
        <v>0</v>
      </c>
      <c r="U3512" s="5">
        <f t="shared" si="1099"/>
        <v>0</v>
      </c>
      <c r="V3512" s="5">
        <f t="shared" si="1100"/>
        <v>0</v>
      </c>
      <c r="W3512" s="5">
        <f t="shared" si="1101"/>
        <v>0</v>
      </c>
      <c r="X3512" s="5">
        <f t="shared" si="1102"/>
        <v>0</v>
      </c>
      <c r="Y3512" s="5">
        <f t="shared" si="1103"/>
        <v>0</v>
      </c>
      <c r="Z3512" s="5">
        <f t="shared" si="1104"/>
        <v>0</v>
      </c>
      <c r="AA3512" s="5">
        <f t="shared" si="1105"/>
        <v>0</v>
      </c>
      <c r="AB3512" s="5">
        <f t="shared" si="1095"/>
        <v>0</v>
      </c>
    </row>
    <row r="3513" spans="1:29" x14ac:dyDescent="0.25">
      <c r="D3513" t="s">
        <v>75</v>
      </c>
      <c r="E3513" s="14"/>
      <c r="F3513" s="14"/>
      <c r="G3513">
        <f>IFERROR(HLOOKUP(G$2,[106]table_female_hkom3_inj.ill_X4!$A$1:$K$36,7,FALSE),0)</f>
        <v>0</v>
      </c>
      <c r="H3513">
        <f>IFERROR(HLOOKUP(H$2,[106]table_female_hkom3_inj.ill_X4!$A$1:$K$36,7,FALSE),0)</f>
        <v>0</v>
      </c>
      <c r="I3513">
        <f>IFERROR(HLOOKUP(I$2,[106]table_female_hkom3_inj.ill_X4!$A$1:$K$36,7,FALSE),0)</f>
        <v>0</v>
      </c>
      <c r="J3513">
        <f>IFERROR(HLOOKUP(J$2,[106]table_female_hkom3_inj.ill_X4!$A$1:$K$36,7,FALSE),0)</f>
        <v>0</v>
      </c>
      <c r="K3513">
        <f>IFERROR(HLOOKUP(K$2,[106]table_female_hkom3_inj.ill_X4!$A$1:$K$36,7,FALSE),0)</f>
        <v>0</v>
      </c>
      <c r="L3513">
        <f>IFERROR(HLOOKUP(L$2,[106]table_female_hkom3_inj.ill_X4!$A$1:$K$36,7,FALSE),0)</f>
        <v>0</v>
      </c>
      <c r="M3513">
        <f t="shared" si="1097"/>
        <v>0</v>
      </c>
      <c r="S3513" t="s">
        <v>75</v>
      </c>
      <c r="T3513" s="5">
        <f t="shared" si="1098"/>
        <v>0</v>
      </c>
      <c r="U3513" s="5">
        <f t="shared" si="1099"/>
        <v>0</v>
      </c>
      <c r="V3513" s="5">
        <f t="shared" si="1100"/>
        <v>0</v>
      </c>
      <c r="W3513" s="5">
        <f t="shared" si="1101"/>
        <v>0</v>
      </c>
      <c r="X3513" s="5">
        <f t="shared" si="1102"/>
        <v>0</v>
      </c>
      <c r="Y3513" s="5">
        <f t="shared" si="1103"/>
        <v>0</v>
      </c>
      <c r="Z3513" s="5">
        <f t="shared" si="1104"/>
        <v>0</v>
      </c>
      <c r="AA3513" s="5">
        <f t="shared" si="1105"/>
        <v>0</v>
      </c>
      <c r="AB3513" s="5">
        <f t="shared" si="1095"/>
        <v>0</v>
      </c>
    </row>
    <row r="3514" spans="1:29" x14ac:dyDescent="0.25">
      <c r="D3514" t="s">
        <v>76</v>
      </c>
      <c r="E3514" s="14"/>
      <c r="F3514" s="14"/>
      <c r="G3514">
        <f>IFERROR(HLOOKUP(G$2,[106]table_female_hkom3_inj.ill_X4!$A$1:$K$36,8,FALSE),0)</f>
        <v>0</v>
      </c>
      <c r="H3514">
        <f>IFERROR(HLOOKUP(H$2,[106]table_female_hkom3_inj.ill_X4!$A$1:$K$36,8,FALSE),0)</f>
        <v>0</v>
      </c>
      <c r="I3514">
        <f>IFERROR(HLOOKUP(I$2,[106]table_female_hkom3_inj.ill_X4!$A$1:$K$36,8,FALSE),0)</f>
        <v>0</v>
      </c>
      <c r="J3514">
        <f>IFERROR(HLOOKUP(J$2,[106]table_female_hkom3_inj.ill_X4!$A$1:$K$36,8,FALSE),0)</f>
        <v>0</v>
      </c>
      <c r="K3514">
        <f>IFERROR(HLOOKUP(K$2,[106]table_female_hkom3_inj.ill_X4!$A$1:$K$36,8,FALSE),0)</f>
        <v>0</v>
      </c>
      <c r="L3514">
        <f>IFERROR(HLOOKUP(L$2,[106]table_female_hkom3_inj.ill_X4!$A$1:$K$36,8,FALSE),0)</f>
        <v>0</v>
      </c>
      <c r="M3514">
        <f t="shared" si="1097"/>
        <v>0</v>
      </c>
      <c r="S3514" t="s">
        <v>76</v>
      </c>
      <c r="T3514" s="5">
        <f t="shared" si="1098"/>
        <v>0</v>
      </c>
      <c r="U3514" s="5">
        <f t="shared" si="1099"/>
        <v>0</v>
      </c>
      <c r="V3514" s="5">
        <f t="shared" si="1100"/>
        <v>0</v>
      </c>
      <c r="W3514" s="5">
        <f t="shared" si="1101"/>
        <v>0</v>
      </c>
      <c r="X3514" s="5">
        <f t="shared" si="1102"/>
        <v>0</v>
      </c>
      <c r="Y3514" s="5">
        <f t="shared" si="1103"/>
        <v>0</v>
      </c>
      <c r="Z3514" s="5">
        <f t="shared" si="1104"/>
        <v>0</v>
      </c>
      <c r="AA3514" s="5">
        <f t="shared" si="1105"/>
        <v>0</v>
      </c>
      <c r="AB3514" s="5">
        <f t="shared" si="1095"/>
        <v>0</v>
      </c>
    </row>
    <row r="3515" spans="1:29" x14ac:dyDescent="0.25">
      <c r="D3515" t="s">
        <v>77</v>
      </c>
      <c r="E3515" s="14"/>
      <c r="F3515" s="14"/>
      <c r="G3515">
        <f>IFERROR(HLOOKUP(G$2,[106]table_female_hkom3_inj.ill_X4!$A$1:$K$36,9,FALSE),0)</f>
        <v>0</v>
      </c>
      <c r="H3515">
        <f>IFERROR(HLOOKUP(H$2,[106]table_female_hkom3_inj.ill_X4!$A$1:$K$36,9,FALSE),0)</f>
        <v>0</v>
      </c>
      <c r="I3515">
        <f>IFERROR(HLOOKUP(I$2,[106]table_female_hkom3_inj.ill_X4!$A$1:$K$36,9,FALSE),0)</f>
        <v>0</v>
      </c>
      <c r="J3515">
        <f>IFERROR(HLOOKUP(J$2,[106]table_female_hkom3_inj.ill_X4!$A$1:$K$36,9,FALSE),0)</f>
        <v>0</v>
      </c>
      <c r="K3515">
        <f>IFERROR(HLOOKUP(K$2,[106]table_female_hkom3_inj.ill_X4!$A$1:$K$36,9,FALSE),0)</f>
        <v>0</v>
      </c>
      <c r="L3515">
        <f>IFERROR(HLOOKUP(L$2,[106]table_female_hkom3_inj.ill_X4!$A$1:$K$36,9,FALSE),0)</f>
        <v>0</v>
      </c>
      <c r="M3515">
        <f t="shared" si="1097"/>
        <v>0</v>
      </c>
      <c r="S3515" t="s">
        <v>77</v>
      </c>
      <c r="T3515" s="5">
        <f t="shared" si="1098"/>
        <v>0</v>
      </c>
      <c r="U3515" s="5">
        <f t="shared" si="1099"/>
        <v>0</v>
      </c>
      <c r="V3515" s="5">
        <f t="shared" si="1100"/>
        <v>0</v>
      </c>
      <c r="W3515" s="5">
        <f t="shared" si="1101"/>
        <v>0</v>
      </c>
      <c r="X3515" s="5">
        <f t="shared" si="1102"/>
        <v>0</v>
      </c>
      <c r="Y3515" s="5">
        <f t="shared" si="1103"/>
        <v>0</v>
      </c>
      <c r="Z3515" s="5">
        <f t="shared" si="1104"/>
        <v>0</v>
      </c>
      <c r="AA3515" s="5">
        <f t="shared" si="1105"/>
        <v>0</v>
      </c>
      <c r="AB3515" s="5">
        <f t="shared" si="1095"/>
        <v>0</v>
      </c>
    </row>
    <row r="3516" spans="1:29" x14ac:dyDescent="0.25">
      <c r="D3516" t="s">
        <v>78</v>
      </c>
      <c r="E3516" s="14"/>
      <c r="F3516" s="14"/>
      <c r="G3516">
        <f>IFERROR(HLOOKUP(G$2,[106]table_female_hkom3_inj.ill_X4!$A$1:$K$36,10,FALSE),0)</f>
        <v>0</v>
      </c>
      <c r="H3516">
        <f>IFERROR(HLOOKUP(H$2,[106]table_female_hkom3_inj.ill_X4!$A$1:$K$36,10,FALSE),0)</f>
        <v>0</v>
      </c>
      <c r="I3516">
        <f>IFERROR(HLOOKUP(I$2,[106]table_female_hkom3_inj.ill_X4!$A$1:$K$36,10,FALSE),0)</f>
        <v>0</v>
      </c>
      <c r="J3516">
        <f>IFERROR(HLOOKUP(J$2,[106]table_female_hkom3_inj.ill_X4!$A$1:$K$36,10,FALSE),0)</f>
        <v>0</v>
      </c>
      <c r="K3516">
        <f>IFERROR(HLOOKUP(K$2,[106]table_female_hkom3_inj.ill_X4!$A$1:$K$36,10,FALSE),0)</f>
        <v>0</v>
      </c>
      <c r="L3516">
        <f>IFERROR(HLOOKUP(L$2,[106]table_female_hkom3_inj.ill_X4!$A$1:$K$36,10,FALSE),0)</f>
        <v>0</v>
      </c>
      <c r="M3516">
        <f t="shared" si="1097"/>
        <v>0</v>
      </c>
      <c r="S3516" t="s">
        <v>78</v>
      </c>
      <c r="T3516" s="5">
        <f t="shared" si="1098"/>
        <v>0</v>
      </c>
      <c r="U3516" s="5">
        <f t="shared" si="1099"/>
        <v>0</v>
      </c>
      <c r="V3516" s="5">
        <f t="shared" si="1100"/>
        <v>0</v>
      </c>
      <c r="W3516" s="5">
        <f t="shared" si="1101"/>
        <v>0</v>
      </c>
      <c r="X3516" s="5">
        <f t="shared" si="1102"/>
        <v>0</v>
      </c>
      <c r="Y3516" s="5">
        <f t="shared" si="1103"/>
        <v>0</v>
      </c>
      <c r="Z3516" s="5">
        <f t="shared" si="1104"/>
        <v>0</v>
      </c>
      <c r="AA3516" s="5">
        <f t="shared" si="1105"/>
        <v>0</v>
      </c>
      <c r="AB3516" s="5">
        <f t="shared" si="1095"/>
        <v>0</v>
      </c>
    </row>
    <row r="3517" spans="1:29" x14ac:dyDescent="0.25">
      <c r="D3517" t="s">
        <v>79</v>
      </c>
      <c r="E3517" s="14"/>
      <c r="F3517" s="14"/>
      <c r="G3517">
        <f>IFERROR(HLOOKUP(G$2,[106]table_female_hkom3_inj.ill_X4!$A$1:$K$36,11,FALSE),0)</f>
        <v>0</v>
      </c>
      <c r="H3517">
        <f>IFERROR(HLOOKUP(H$2,[106]table_female_hkom3_inj.ill_X4!$A$1:$K$36,11,FALSE),0)</f>
        <v>0</v>
      </c>
      <c r="I3517">
        <f>IFERROR(HLOOKUP(I$2,[106]table_female_hkom3_inj.ill_X4!$A$1:$K$36,11,FALSE),0)</f>
        <v>0</v>
      </c>
      <c r="J3517">
        <f>IFERROR(HLOOKUP(J$2,[106]table_female_hkom3_inj.ill_X4!$A$1:$K$36,11,FALSE),0)</f>
        <v>0</v>
      </c>
      <c r="K3517">
        <f>IFERROR(HLOOKUP(K$2,[106]table_female_hkom3_inj.ill_X4!$A$1:$K$36,11,FALSE),0)</f>
        <v>0</v>
      </c>
      <c r="L3517">
        <f>IFERROR(HLOOKUP(L$2,[106]table_female_hkom3_inj.ill_X4!$A$1:$K$36,11,FALSE),0)</f>
        <v>0</v>
      </c>
      <c r="M3517">
        <f t="shared" si="1097"/>
        <v>0</v>
      </c>
      <c r="S3517" t="s">
        <v>79</v>
      </c>
      <c r="T3517" s="5">
        <f t="shared" si="1098"/>
        <v>0</v>
      </c>
      <c r="U3517" s="5">
        <f t="shared" si="1099"/>
        <v>0</v>
      </c>
      <c r="V3517" s="5">
        <f t="shared" si="1100"/>
        <v>0</v>
      </c>
      <c r="W3517" s="5">
        <f t="shared" si="1101"/>
        <v>0</v>
      </c>
      <c r="X3517" s="5">
        <f t="shared" si="1102"/>
        <v>0</v>
      </c>
      <c r="Y3517" s="5">
        <f t="shared" si="1103"/>
        <v>0</v>
      </c>
      <c r="Z3517" s="5">
        <f t="shared" si="1104"/>
        <v>0</v>
      </c>
      <c r="AA3517" s="5">
        <f t="shared" si="1105"/>
        <v>0</v>
      </c>
      <c r="AB3517" s="5">
        <f t="shared" si="1095"/>
        <v>0</v>
      </c>
    </row>
    <row r="3518" spans="1:29" x14ac:dyDescent="0.25">
      <c r="D3518" t="s">
        <v>80</v>
      </c>
      <c r="E3518" s="14"/>
      <c r="F3518" s="14"/>
      <c r="G3518">
        <f>IFERROR(HLOOKUP(G$2,[106]table_female_hkom3_inj.ill_X4!$A$1:$K$36,12,FALSE),0)</f>
        <v>0</v>
      </c>
      <c r="H3518">
        <f>IFERROR(HLOOKUP(H$2,[106]table_female_hkom3_inj.ill_X4!$A$1:$K$36,12,FALSE),0)</f>
        <v>0</v>
      </c>
      <c r="I3518">
        <f>IFERROR(HLOOKUP(I$2,[106]table_female_hkom3_inj.ill_X4!$A$1:$K$36,12,FALSE),0)</f>
        <v>0</v>
      </c>
      <c r="J3518">
        <f>IFERROR(HLOOKUP(J$2,[106]table_female_hkom3_inj.ill_X4!$A$1:$K$36,12,FALSE),0)</f>
        <v>0</v>
      </c>
      <c r="K3518">
        <f>IFERROR(HLOOKUP(K$2,[106]table_female_hkom3_inj.ill_X4!$A$1:$K$36,12,FALSE),0)</f>
        <v>0</v>
      </c>
      <c r="L3518">
        <f>IFERROR(HLOOKUP(L$2,[106]table_female_hkom3_inj.ill_X4!$A$1:$K$36,12,FALSE),0)</f>
        <v>0</v>
      </c>
      <c r="M3518">
        <f t="shared" si="1097"/>
        <v>0</v>
      </c>
      <c r="S3518" t="s">
        <v>80</v>
      </c>
      <c r="T3518" s="5">
        <f t="shared" si="1098"/>
        <v>0</v>
      </c>
      <c r="U3518" s="5">
        <f t="shared" si="1099"/>
        <v>0</v>
      </c>
      <c r="V3518" s="5">
        <f t="shared" si="1100"/>
        <v>0</v>
      </c>
      <c r="W3518" s="5">
        <f t="shared" si="1101"/>
        <v>0</v>
      </c>
      <c r="X3518" s="5">
        <f t="shared" si="1102"/>
        <v>0</v>
      </c>
      <c r="Y3518" s="5">
        <f t="shared" si="1103"/>
        <v>0</v>
      </c>
      <c r="Z3518" s="5">
        <f t="shared" si="1104"/>
        <v>0</v>
      </c>
      <c r="AA3518" s="5">
        <f t="shared" si="1105"/>
        <v>0</v>
      </c>
      <c r="AB3518" s="5">
        <f t="shared" si="1095"/>
        <v>0</v>
      </c>
    </row>
    <row r="3519" spans="1:29" x14ac:dyDescent="0.25">
      <c r="D3519" t="s">
        <v>81</v>
      </c>
      <c r="E3519" s="14"/>
      <c r="F3519" s="14"/>
      <c r="G3519">
        <f>IFERROR(HLOOKUP(G$2,[106]table_female_hkom3_inj.ill_X4!$A$1:$K$36,13,FALSE),0)</f>
        <v>0</v>
      </c>
      <c r="H3519">
        <f>IFERROR(HLOOKUP(H$2,[106]table_female_hkom3_inj.ill_X4!$A$1:$K$36,13,FALSE),0)</f>
        <v>0</v>
      </c>
      <c r="I3519">
        <f>IFERROR(HLOOKUP(I$2,[106]table_female_hkom3_inj.ill_X4!$A$1:$K$36,13,FALSE),0)</f>
        <v>0</v>
      </c>
      <c r="J3519">
        <f>IFERROR(HLOOKUP(J$2,[106]table_female_hkom3_inj.ill_X4!$A$1:$K$36,13,FALSE),0)</f>
        <v>0</v>
      </c>
      <c r="K3519">
        <f>IFERROR(HLOOKUP(K$2,[106]table_female_hkom3_inj.ill_X4!$A$1:$K$36,13,FALSE),0)</f>
        <v>0</v>
      </c>
      <c r="L3519">
        <f>IFERROR(HLOOKUP(L$2,[106]table_female_hkom3_inj.ill_X4!$A$1:$K$36,13,FALSE),0)</f>
        <v>0</v>
      </c>
      <c r="M3519">
        <f t="shared" si="1097"/>
        <v>0</v>
      </c>
      <c r="S3519" t="s">
        <v>81</v>
      </c>
      <c r="T3519" s="5">
        <f t="shared" si="1098"/>
        <v>0</v>
      </c>
      <c r="U3519" s="5">
        <f t="shared" si="1099"/>
        <v>0</v>
      </c>
      <c r="V3519" s="5">
        <f t="shared" si="1100"/>
        <v>0</v>
      </c>
      <c r="W3519" s="5">
        <f t="shared" si="1101"/>
        <v>0</v>
      </c>
      <c r="X3519" s="5">
        <f t="shared" si="1102"/>
        <v>0</v>
      </c>
      <c r="Y3519" s="5">
        <f t="shared" si="1103"/>
        <v>0</v>
      </c>
      <c r="Z3519" s="5">
        <f t="shared" si="1104"/>
        <v>0</v>
      </c>
      <c r="AA3519" s="5">
        <f t="shared" si="1105"/>
        <v>0</v>
      </c>
      <c r="AB3519" s="5">
        <f t="shared" si="1095"/>
        <v>0</v>
      </c>
    </row>
    <row r="3520" spans="1:29" x14ac:dyDescent="0.25">
      <c r="D3520" t="s">
        <v>82</v>
      </c>
      <c r="E3520" s="14"/>
      <c r="F3520" s="14"/>
      <c r="G3520">
        <f>IFERROR(HLOOKUP(G$2,[106]table_female_hkom3_inj.ill_X4!$A$1:$K$36,14,FALSE),0)</f>
        <v>0</v>
      </c>
      <c r="H3520">
        <f>IFERROR(HLOOKUP(H$2,[106]table_female_hkom3_inj.ill_X4!$A$1:$K$36,14,FALSE),0)</f>
        <v>0</v>
      </c>
      <c r="I3520">
        <f>IFERROR(HLOOKUP(I$2,[106]table_female_hkom3_inj.ill_X4!$A$1:$K$36,14,FALSE),0)</f>
        <v>0</v>
      </c>
      <c r="J3520">
        <f>IFERROR(HLOOKUP(J$2,[106]table_female_hkom3_inj.ill_X4!$A$1:$K$36,14,FALSE),0)</f>
        <v>0</v>
      </c>
      <c r="K3520">
        <f>IFERROR(HLOOKUP(K$2,[106]table_female_hkom3_inj.ill_X4!$A$1:$K$36,14,FALSE),0)</f>
        <v>0</v>
      </c>
      <c r="L3520">
        <f>IFERROR(HLOOKUP(L$2,[106]table_female_hkom3_inj.ill_X4!$A$1:$K$36,14,FALSE),0)</f>
        <v>0</v>
      </c>
      <c r="M3520">
        <f t="shared" si="1097"/>
        <v>0</v>
      </c>
      <c r="S3520" t="s">
        <v>82</v>
      </c>
      <c r="T3520" s="5">
        <f t="shared" si="1098"/>
        <v>0</v>
      </c>
      <c r="U3520" s="5">
        <f t="shared" si="1099"/>
        <v>0</v>
      </c>
      <c r="V3520" s="5">
        <f t="shared" si="1100"/>
        <v>0</v>
      </c>
      <c r="W3520" s="5">
        <f t="shared" si="1101"/>
        <v>0</v>
      </c>
      <c r="X3520" s="5">
        <f t="shared" si="1102"/>
        <v>0</v>
      </c>
      <c r="Y3520" s="5">
        <f t="shared" si="1103"/>
        <v>0</v>
      </c>
      <c r="Z3520" s="5">
        <f t="shared" si="1104"/>
        <v>0</v>
      </c>
      <c r="AA3520" s="5">
        <f t="shared" si="1105"/>
        <v>0</v>
      </c>
      <c r="AB3520" s="5">
        <f t="shared" si="1095"/>
        <v>0</v>
      </c>
    </row>
    <row r="3521" spans="4:28" x14ac:dyDescent="0.25">
      <c r="D3521" t="s">
        <v>83</v>
      </c>
      <c r="E3521" s="14"/>
      <c r="F3521" s="14"/>
      <c r="G3521">
        <f>IFERROR(HLOOKUP(G$2,[106]table_female_hkom3_inj.ill_X4!$A$1:$K$36,15,FALSE),0)</f>
        <v>0</v>
      </c>
      <c r="H3521">
        <f>IFERROR(HLOOKUP(H$2,[106]table_female_hkom3_inj.ill_X4!$A$1:$K$36,15,FALSE),0)</f>
        <v>0</v>
      </c>
      <c r="I3521">
        <f>IFERROR(HLOOKUP(I$2,[106]table_female_hkom3_inj.ill_X4!$A$1:$K$36,15,FALSE),0)</f>
        <v>0</v>
      </c>
      <c r="J3521">
        <f>IFERROR(HLOOKUP(J$2,[106]table_female_hkom3_inj.ill_X4!$A$1:$K$36,15,FALSE),0)</f>
        <v>0</v>
      </c>
      <c r="K3521">
        <f>IFERROR(HLOOKUP(K$2,[106]table_female_hkom3_inj.ill_X4!$A$1:$K$36,15,FALSE),0)</f>
        <v>0</v>
      </c>
      <c r="L3521">
        <f>IFERROR(HLOOKUP(L$2,[106]table_female_hkom3_inj.ill_X4!$A$1:$K$36,15,FALSE),0)</f>
        <v>0</v>
      </c>
      <c r="M3521">
        <f t="shared" si="1097"/>
        <v>0</v>
      </c>
      <c r="S3521" t="s">
        <v>83</v>
      </c>
      <c r="T3521" s="5">
        <f t="shared" si="1098"/>
        <v>0</v>
      </c>
      <c r="U3521" s="5">
        <f t="shared" si="1099"/>
        <v>0</v>
      </c>
      <c r="V3521" s="5">
        <f t="shared" si="1100"/>
        <v>0</v>
      </c>
      <c r="W3521" s="5">
        <f t="shared" si="1101"/>
        <v>0</v>
      </c>
      <c r="X3521" s="5">
        <f t="shared" si="1102"/>
        <v>0</v>
      </c>
      <c r="Y3521" s="5">
        <f t="shared" si="1103"/>
        <v>0</v>
      </c>
      <c r="Z3521" s="5">
        <f t="shared" si="1104"/>
        <v>0</v>
      </c>
      <c r="AA3521" s="5">
        <f t="shared" si="1105"/>
        <v>0</v>
      </c>
      <c r="AB3521" s="5">
        <f t="shared" si="1095"/>
        <v>0</v>
      </c>
    </row>
    <row r="3522" spans="4:28" x14ac:dyDescent="0.25">
      <c r="D3522" t="s">
        <v>84</v>
      </c>
      <c r="E3522" s="14"/>
      <c r="F3522" s="14"/>
      <c r="G3522">
        <f>IFERROR(HLOOKUP(G$2,[106]table_female_hkom3_inj.ill_X4!$A$1:$K$36,16,FALSE),0)</f>
        <v>0</v>
      </c>
      <c r="H3522">
        <f>IFERROR(HLOOKUP(H$2,[106]table_female_hkom3_inj.ill_X4!$A$1:$K$36,16,FALSE),0)</f>
        <v>0</v>
      </c>
      <c r="I3522">
        <f>IFERROR(HLOOKUP(I$2,[106]table_female_hkom3_inj.ill_X4!$A$1:$K$36,16,FALSE),0)</f>
        <v>0</v>
      </c>
      <c r="J3522">
        <f>IFERROR(HLOOKUP(J$2,[106]table_female_hkom3_inj.ill_X4!$A$1:$K$36,16,FALSE),0)</f>
        <v>0</v>
      </c>
      <c r="K3522">
        <f>IFERROR(HLOOKUP(K$2,[106]table_female_hkom3_inj.ill_X4!$A$1:$K$36,16,FALSE),0)</f>
        <v>0</v>
      </c>
      <c r="L3522">
        <f>IFERROR(HLOOKUP(L$2,[106]table_female_hkom3_inj.ill_X4!$A$1:$K$36,16,FALSE),0)</f>
        <v>0</v>
      </c>
      <c r="M3522">
        <f t="shared" si="1097"/>
        <v>0</v>
      </c>
      <c r="S3522" t="s">
        <v>84</v>
      </c>
      <c r="T3522" s="5">
        <f t="shared" si="1098"/>
        <v>0</v>
      </c>
      <c r="U3522" s="5">
        <f t="shared" si="1099"/>
        <v>0</v>
      </c>
      <c r="V3522" s="5">
        <f t="shared" si="1100"/>
        <v>0</v>
      </c>
      <c r="W3522" s="5">
        <f t="shared" si="1101"/>
        <v>0</v>
      </c>
      <c r="X3522" s="5">
        <f t="shared" si="1102"/>
        <v>0</v>
      </c>
      <c r="Y3522" s="5">
        <f t="shared" si="1103"/>
        <v>0</v>
      </c>
      <c r="Z3522" s="5">
        <f t="shared" si="1104"/>
        <v>0</v>
      </c>
      <c r="AA3522" s="5">
        <f t="shared" si="1105"/>
        <v>0</v>
      </c>
      <c r="AB3522" s="5">
        <f t="shared" si="1095"/>
        <v>0</v>
      </c>
    </row>
    <row r="3523" spans="4:28" x14ac:dyDescent="0.25">
      <c r="D3523" t="s">
        <v>85</v>
      </c>
      <c r="E3523" s="14"/>
      <c r="F3523" s="14"/>
      <c r="G3523">
        <f>IFERROR(HLOOKUP(G$2,[106]table_female_hkom3_inj.ill_X4!$A$1:$K$36,17,FALSE),0)</f>
        <v>0</v>
      </c>
      <c r="H3523">
        <f>IFERROR(HLOOKUP(H$2,[106]table_female_hkom3_inj.ill_X4!$A$1:$K$36,17,FALSE),0)</f>
        <v>0</v>
      </c>
      <c r="I3523">
        <f>IFERROR(HLOOKUP(I$2,[106]table_female_hkom3_inj.ill_X4!$A$1:$K$36,17,FALSE),0)</f>
        <v>0</v>
      </c>
      <c r="J3523">
        <f>IFERROR(HLOOKUP(J$2,[106]table_female_hkom3_inj.ill_X4!$A$1:$K$36,17,FALSE),0)</f>
        <v>0</v>
      </c>
      <c r="K3523">
        <f>IFERROR(HLOOKUP(K$2,[106]table_female_hkom3_inj.ill_X4!$A$1:$K$36,17,FALSE),0)</f>
        <v>0</v>
      </c>
      <c r="L3523">
        <f>IFERROR(HLOOKUP(L$2,[106]table_female_hkom3_inj.ill_X4!$A$1:$K$36,17,FALSE),0)</f>
        <v>0</v>
      </c>
      <c r="M3523">
        <f t="shared" si="1097"/>
        <v>0</v>
      </c>
      <c r="S3523" t="s">
        <v>85</v>
      </c>
      <c r="T3523" s="5">
        <f t="shared" si="1098"/>
        <v>0</v>
      </c>
      <c r="U3523" s="5">
        <f t="shared" si="1099"/>
        <v>0</v>
      </c>
      <c r="V3523" s="5">
        <f t="shared" si="1100"/>
        <v>0</v>
      </c>
      <c r="W3523" s="5">
        <f t="shared" si="1101"/>
        <v>0</v>
      </c>
      <c r="X3523" s="5">
        <f t="shared" si="1102"/>
        <v>0</v>
      </c>
      <c r="Y3523" s="5">
        <f t="shared" si="1103"/>
        <v>0</v>
      </c>
      <c r="Z3523" s="5">
        <f t="shared" si="1104"/>
        <v>0</v>
      </c>
      <c r="AA3523" s="5">
        <f t="shared" si="1105"/>
        <v>0</v>
      </c>
      <c r="AB3523" s="5">
        <f t="shared" si="1095"/>
        <v>0</v>
      </c>
    </row>
    <row r="3524" spans="4:28" x14ac:dyDescent="0.25">
      <c r="D3524" t="s">
        <v>86</v>
      </c>
      <c r="E3524" s="14"/>
      <c r="F3524" s="14"/>
      <c r="G3524">
        <f>IFERROR(HLOOKUP(G$2,[106]table_female_hkom3_inj.ill_X4!$A$1:$K$36,18,FALSE),0)</f>
        <v>0</v>
      </c>
      <c r="H3524">
        <f>IFERROR(HLOOKUP(H$2,[106]table_female_hkom3_inj.ill_X4!$A$1:$K$36,18,FALSE),0)</f>
        <v>0</v>
      </c>
      <c r="I3524">
        <f>IFERROR(HLOOKUP(I$2,[106]table_female_hkom3_inj.ill_X4!$A$1:$K$36,18,FALSE),0)</f>
        <v>0</v>
      </c>
      <c r="J3524">
        <f>IFERROR(HLOOKUP(J$2,[106]table_female_hkom3_inj.ill_X4!$A$1:$K$36,18,FALSE),0)</f>
        <v>0</v>
      </c>
      <c r="K3524">
        <f>IFERROR(HLOOKUP(K$2,[106]table_female_hkom3_inj.ill_X4!$A$1:$K$36,18,FALSE),0)</f>
        <v>0</v>
      </c>
      <c r="L3524">
        <f>IFERROR(HLOOKUP(L$2,[106]table_female_hkom3_inj.ill_X4!$A$1:$K$36,18,FALSE),0)</f>
        <v>0</v>
      </c>
      <c r="M3524">
        <f t="shared" si="1097"/>
        <v>0</v>
      </c>
      <c r="S3524" t="s">
        <v>86</v>
      </c>
      <c r="T3524" s="5">
        <f t="shared" si="1098"/>
        <v>0</v>
      </c>
      <c r="U3524" s="5">
        <f t="shared" si="1099"/>
        <v>0</v>
      </c>
      <c r="V3524" s="5">
        <f t="shared" si="1100"/>
        <v>0</v>
      </c>
      <c r="W3524" s="5">
        <f t="shared" si="1101"/>
        <v>0</v>
      </c>
      <c r="X3524" s="5">
        <f t="shared" si="1102"/>
        <v>0</v>
      </c>
      <c r="Y3524" s="5">
        <f t="shared" si="1103"/>
        <v>0</v>
      </c>
      <c r="Z3524" s="5">
        <f t="shared" si="1104"/>
        <v>0</v>
      </c>
      <c r="AA3524" s="5">
        <f t="shared" si="1105"/>
        <v>0</v>
      </c>
      <c r="AB3524" s="5">
        <f t="shared" si="1095"/>
        <v>0</v>
      </c>
    </row>
    <row r="3525" spans="4:28" x14ac:dyDescent="0.25">
      <c r="D3525" t="s">
        <v>87</v>
      </c>
      <c r="E3525" s="14"/>
      <c r="F3525" s="14"/>
      <c r="G3525">
        <f>IFERROR(HLOOKUP(G$2,[106]table_female_hkom3_inj.ill_X4!$A$1:$K$36,19,FALSE),0)</f>
        <v>0</v>
      </c>
      <c r="H3525">
        <f>IFERROR(HLOOKUP(H$2,[106]table_female_hkom3_inj.ill_X4!$A$1:$K$36,19,FALSE),0)</f>
        <v>0</v>
      </c>
      <c r="I3525">
        <f>IFERROR(HLOOKUP(I$2,[106]table_female_hkom3_inj.ill_X4!$A$1:$K$36,19,FALSE),0)</f>
        <v>0</v>
      </c>
      <c r="J3525">
        <f>IFERROR(HLOOKUP(J$2,[106]table_female_hkom3_inj.ill_X4!$A$1:$K$36,19,FALSE),0)</f>
        <v>0</v>
      </c>
      <c r="K3525">
        <f>IFERROR(HLOOKUP(K$2,[106]table_female_hkom3_inj.ill_X4!$A$1:$K$36,19,FALSE),0)</f>
        <v>0</v>
      </c>
      <c r="L3525">
        <f>IFERROR(HLOOKUP(L$2,[106]table_female_hkom3_inj.ill_X4!$A$1:$K$36,19,FALSE),0)</f>
        <v>0</v>
      </c>
      <c r="M3525">
        <f t="shared" si="1097"/>
        <v>0</v>
      </c>
      <c r="S3525" t="s">
        <v>87</v>
      </c>
      <c r="T3525" s="5">
        <f t="shared" si="1098"/>
        <v>0</v>
      </c>
      <c r="U3525" s="5">
        <f t="shared" si="1099"/>
        <v>0</v>
      </c>
      <c r="V3525" s="5">
        <f t="shared" si="1100"/>
        <v>0</v>
      </c>
      <c r="W3525" s="5">
        <f t="shared" si="1101"/>
        <v>0</v>
      </c>
      <c r="X3525" s="5">
        <f t="shared" si="1102"/>
        <v>0</v>
      </c>
      <c r="Y3525" s="5">
        <f t="shared" si="1103"/>
        <v>0</v>
      </c>
      <c r="Z3525" s="5">
        <f t="shared" si="1104"/>
        <v>0</v>
      </c>
      <c r="AA3525" s="5">
        <f t="shared" si="1105"/>
        <v>0</v>
      </c>
      <c r="AB3525" s="5">
        <f t="shared" si="1095"/>
        <v>0</v>
      </c>
    </row>
    <row r="3526" spans="4:28" x14ac:dyDescent="0.25">
      <c r="D3526" t="s">
        <v>88</v>
      </c>
      <c r="E3526" s="14"/>
      <c r="F3526" s="14"/>
      <c r="G3526">
        <f>IFERROR(HLOOKUP(G$2,[106]table_female_hkom3_inj.ill_X4!$A$1:$K$36,20,FALSE),0)</f>
        <v>0</v>
      </c>
      <c r="H3526">
        <f>IFERROR(HLOOKUP(H$2,[106]table_female_hkom3_inj.ill_X4!$A$1:$K$36,20,FALSE),0)</f>
        <v>0</v>
      </c>
      <c r="I3526">
        <f>IFERROR(HLOOKUP(I$2,[106]table_female_hkom3_inj.ill_X4!$A$1:$K$36,20,FALSE),0)</f>
        <v>0</v>
      </c>
      <c r="J3526">
        <f>IFERROR(HLOOKUP(J$2,[106]table_female_hkom3_inj.ill_X4!$A$1:$K$36,20,FALSE),0)</f>
        <v>0</v>
      </c>
      <c r="K3526">
        <f>IFERROR(HLOOKUP(K$2,[106]table_female_hkom3_inj.ill_X4!$A$1:$K$36,20,FALSE),0)</f>
        <v>0</v>
      </c>
      <c r="L3526">
        <f>IFERROR(HLOOKUP(L$2,[106]table_female_hkom3_inj.ill_X4!$A$1:$K$36,20,FALSE),0)</f>
        <v>0</v>
      </c>
      <c r="M3526">
        <f t="shared" si="1097"/>
        <v>0</v>
      </c>
      <c r="S3526" t="s">
        <v>88</v>
      </c>
      <c r="T3526" s="5">
        <f t="shared" si="1098"/>
        <v>0</v>
      </c>
      <c r="U3526" s="5">
        <f t="shared" si="1099"/>
        <v>0</v>
      </c>
      <c r="V3526" s="5">
        <f t="shared" si="1100"/>
        <v>0</v>
      </c>
      <c r="W3526" s="5">
        <f t="shared" si="1101"/>
        <v>0</v>
      </c>
      <c r="X3526" s="5">
        <f t="shared" si="1102"/>
        <v>0</v>
      </c>
      <c r="Y3526" s="5">
        <f t="shared" si="1103"/>
        <v>0</v>
      </c>
      <c r="Z3526" s="5">
        <f t="shared" si="1104"/>
        <v>0</v>
      </c>
      <c r="AA3526" s="5">
        <f t="shared" si="1105"/>
        <v>0</v>
      </c>
      <c r="AB3526" s="5">
        <f t="shared" si="1095"/>
        <v>0</v>
      </c>
    </row>
    <row r="3527" spans="4:28" x14ac:dyDescent="0.25">
      <c r="D3527" t="s">
        <v>89</v>
      </c>
      <c r="E3527" s="14"/>
      <c r="F3527" s="14"/>
      <c r="G3527">
        <f>IFERROR(HLOOKUP(G$2,[106]table_female_hkom3_inj.ill_X4!$A$1:$K$36,21,FALSE),0)</f>
        <v>0</v>
      </c>
      <c r="H3527">
        <f>IFERROR(HLOOKUP(H$2,[106]table_female_hkom3_inj.ill_X4!$A$1:$K$36,21,FALSE),0)</f>
        <v>0</v>
      </c>
      <c r="I3527">
        <f>IFERROR(HLOOKUP(I$2,[106]table_female_hkom3_inj.ill_X4!$A$1:$K$36,21,FALSE),0)</f>
        <v>0</v>
      </c>
      <c r="J3527">
        <f>IFERROR(HLOOKUP(J$2,[106]table_female_hkom3_inj.ill_X4!$A$1:$K$36,21,FALSE),0)</f>
        <v>0</v>
      </c>
      <c r="K3527">
        <f>IFERROR(HLOOKUP(K$2,[106]table_female_hkom3_inj.ill_X4!$A$1:$K$36,21,FALSE),0)</f>
        <v>0</v>
      </c>
      <c r="L3527">
        <f>IFERROR(HLOOKUP(L$2,[106]table_female_hkom3_inj.ill_X4!$A$1:$K$36,21,FALSE),0)</f>
        <v>0</v>
      </c>
      <c r="M3527">
        <f t="shared" si="1097"/>
        <v>0</v>
      </c>
      <c r="S3527" t="s">
        <v>89</v>
      </c>
      <c r="T3527" s="5">
        <f t="shared" si="1098"/>
        <v>0</v>
      </c>
      <c r="U3527" s="5">
        <f t="shared" si="1099"/>
        <v>0</v>
      </c>
      <c r="V3527" s="5">
        <f t="shared" si="1100"/>
        <v>0</v>
      </c>
      <c r="W3527" s="5">
        <f t="shared" si="1101"/>
        <v>0</v>
      </c>
      <c r="X3527" s="5">
        <f t="shared" si="1102"/>
        <v>0</v>
      </c>
      <c r="Y3527" s="5">
        <f t="shared" si="1103"/>
        <v>0</v>
      </c>
      <c r="Z3527" s="5">
        <f t="shared" si="1104"/>
        <v>0</v>
      </c>
      <c r="AA3527" s="5">
        <f t="shared" si="1105"/>
        <v>0</v>
      </c>
      <c r="AB3527" s="5">
        <f t="shared" si="1095"/>
        <v>0</v>
      </c>
    </row>
    <row r="3528" spans="4:28" x14ac:dyDescent="0.25">
      <c r="D3528" t="s">
        <v>90</v>
      </c>
      <c r="E3528" s="14"/>
      <c r="F3528" s="14"/>
      <c r="G3528">
        <f>IFERROR(HLOOKUP(G$2,[106]table_female_hkom3_inj.ill_X4!$A$1:$K$36,22,FALSE),0)</f>
        <v>0</v>
      </c>
      <c r="H3528">
        <f>IFERROR(HLOOKUP(H$2,[106]table_female_hkom3_inj.ill_X4!$A$1:$K$36,22,FALSE),0)</f>
        <v>0</v>
      </c>
      <c r="I3528">
        <f>IFERROR(HLOOKUP(I$2,[106]table_female_hkom3_inj.ill_X4!$A$1:$K$36,22,FALSE),0)</f>
        <v>0</v>
      </c>
      <c r="J3528">
        <f>IFERROR(HLOOKUP(J$2,[106]table_female_hkom3_inj.ill_X4!$A$1:$K$36,22,FALSE),0)</f>
        <v>0</v>
      </c>
      <c r="K3528">
        <f>IFERROR(HLOOKUP(K$2,[106]table_female_hkom3_inj.ill_X4!$A$1:$K$36,22,FALSE),0)</f>
        <v>0</v>
      </c>
      <c r="L3528">
        <f>IFERROR(HLOOKUP(L$2,[106]table_female_hkom3_inj.ill_X4!$A$1:$K$36,22,FALSE),0)</f>
        <v>0</v>
      </c>
      <c r="M3528">
        <f t="shared" si="1097"/>
        <v>0</v>
      </c>
      <c r="S3528" t="s">
        <v>90</v>
      </c>
      <c r="T3528" s="5">
        <f t="shared" si="1098"/>
        <v>0</v>
      </c>
      <c r="U3528" s="5">
        <f t="shared" si="1099"/>
        <v>0</v>
      </c>
      <c r="V3528" s="5">
        <f t="shared" si="1100"/>
        <v>0</v>
      </c>
      <c r="W3528" s="5">
        <f t="shared" si="1101"/>
        <v>0</v>
      </c>
      <c r="X3528" s="5">
        <f t="shared" si="1102"/>
        <v>0</v>
      </c>
      <c r="Y3528" s="5">
        <f t="shared" si="1103"/>
        <v>0</v>
      </c>
      <c r="Z3528" s="5">
        <f t="shared" si="1104"/>
        <v>0</v>
      </c>
      <c r="AA3528" s="5">
        <f t="shared" si="1105"/>
        <v>0</v>
      </c>
      <c r="AB3528" s="5">
        <f t="shared" si="1095"/>
        <v>0</v>
      </c>
    </row>
    <row r="3529" spans="4:28" x14ac:dyDescent="0.25">
      <c r="D3529" t="s">
        <v>91</v>
      </c>
      <c r="E3529" s="14"/>
      <c r="F3529" s="14"/>
      <c r="G3529">
        <f>IFERROR(HLOOKUP(G$2,[106]table_female_hkom3_inj.ill_X4!$A$1:$K$36,23,FALSE),0)</f>
        <v>0</v>
      </c>
      <c r="H3529">
        <f>IFERROR(HLOOKUP(H$2,[106]table_female_hkom3_inj.ill_X4!$A$1:$K$36,23,FALSE),0)</f>
        <v>0</v>
      </c>
      <c r="I3529">
        <f>IFERROR(HLOOKUP(I$2,[106]table_female_hkom3_inj.ill_X4!$A$1:$K$36,23,FALSE),0)</f>
        <v>0</v>
      </c>
      <c r="J3529">
        <f>IFERROR(HLOOKUP(J$2,[106]table_female_hkom3_inj.ill_X4!$A$1:$K$36,23,FALSE),0)</f>
        <v>0</v>
      </c>
      <c r="K3529">
        <f>IFERROR(HLOOKUP(K$2,[106]table_female_hkom3_inj.ill_X4!$A$1:$K$36,23,FALSE),0)</f>
        <v>0</v>
      </c>
      <c r="L3529">
        <f>IFERROR(HLOOKUP(L$2,[106]table_female_hkom3_inj.ill_X4!$A$1:$K$36,23,FALSE),0)</f>
        <v>0</v>
      </c>
      <c r="M3529">
        <f t="shared" si="1097"/>
        <v>0</v>
      </c>
      <c r="S3529" t="s">
        <v>91</v>
      </c>
      <c r="T3529" s="5">
        <f t="shared" si="1098"/>
        <v>0</v>
      </c>
      <c r="U3529" s="5">
        <f t="shared" si="1099"/>
        <v>0</v>
      </c>
      <c r="V3529" s="5">
        <f t="shared" si="1100"/>
        <v>0</v>
      </c>
      <c r="W3529" s="5">
        <f t="shared" si="1101"/>
        <v>0</v>
      </c>
      <c r="X3529" s="5">
        <f t="shared" si="1102"/>
        <v>0</v>
      </c>
      <c r="Y3529" s="5">
        <f t="shared" si="1103"/>
        <v>0</v>
      </c>
      <c r="Z3529" s="5">
        <f t="shared" si="1104"/>
        <v>0</v>
      </c>
      <c r="AA3529" s="5">
        <f t="shared" si="1105"/>
        <v>0</v>
      </c>
      <c r="AB3529" s="5">
        <f t="shared" si="1095"/>
        <v>0</v>
      </c>
    </row>
    <row r="3530" spans="4:28" x14ac:dyDescent="0.25">
      <c r="D3530" t="s">
        <v>92</v>
      </c>
      <c r="E3530" s="14"/>
      <c r="F3530" s="14"/>
      <c r="G3530">
        <f>IFERROR(HLOOKUP(G$2,[106]table_female_hkom3_inj.ill_X4!$A$1:$K$36,24,FALSE),0)</f>
        <v>0</v>
      </c>
      <c r="H3530">
        <f>IFERROR(HLOOKUP(H$2,[106]table_female_hkom3_inj.ill_X4!$A$1:$K$36,24,FALSE),0)</f>
        <v>0</v>
      </c>
      <c r="I3530">
        <f>IFERROR(HLOOKUP(I$2,[106]table_female_hkom3_inj.ill_X4!$A$1:$K$36,24,FALSE),0)</f>
        <v>0</v>
      </c>
      <c r="J3530">
        <f>IFERROR(HLOOKUP(J$2,[106]table_female_hkom3_inj.ill_X4!$A$1:$K$36,24,FALSE),0)</f>
        <v>0</v>
      </c>
      <c r="K3530">
        <f>IFERROR(HLOOKUP(K$2,[106]table_female_hkom3_inj.ill_X4!$A$1:$K$36,24,FALSE),0)</f>
        <v>0</v>
      </c>
      <c r="L3530">
        <f>IFERROR(HLOOKUP(L$2,[106]table_female_hkom3_inj.ill_X4!$A$1:$K$36,24,FALSE),0)</f>
        <v>0</v>
      </c>
      <c r="M3530">
        <f t="shared" si="1097"/>
        <v>0</v>
      </c>
      <c r="S3530" t="s">
        <v>92</v>
      </c>
      <c r="T3530" s="5">
        <f t="shared" si="1098"/>
        <v>0</v>
      </c>
      <c r="U3530" s="5">
        <f t="shared" si="1099"/>
        <v>0</v>
      </c>
      <c r="V3530" s="5">
        <f t="shared" si="1100"/>
        <v>0</v>
      </c>
      <c r="W3530" s="5">
        <f t="shared" si="1101"/>
        <v>0</v>
      </c>
      <c r="X3530" s="5">
        <f t="shared" si="1102"/>
        <v>0</v>
      </c>
      <c r="Y3530" s="5">
        <f t="shared" si="1103"/>
        <v>0</v>
      </c>
      <c r="Z3530" s="5">
        <f t="shared" si="1104"/>
        <v>0</v>
      </c>
      <c r="AA3530" s="5">
        <f t="shared" si="1105"/>
        <v>0</v>
      </c>
      <c r="AB3530" s="5">
        <f t="shared" si="1095"/>
        <v>0</v>
      </c>
    </row>
    <row r="3531" spans="4:28" x14ac:dyDescent="0.25">
      <c r="D3531" t="s">
        <v>93</v>
      </c>
      <c r="E3531" s="14"/>
      <c r="F3531" s="14"/>
      <c r="G3531">
        <f>IFERROR(HLOOKUP(G$2,[106]table_female_hkom3_inj.ill_X4!$A$1:$K$36,25,FALSE),0)</f>
        <v>0</v>
      </c>
      <c r="H3531">
        <f>IFERROR(HLOOKUP(H$2,[106]table_female_hkom3_inj.ill_X4!$A$1:$K$36,25,FALSE),0)</f>
        <v>0</v>
      </c>
      <c r="I3531">
        <f>IFERROR(HLOOKUP(I$2,[106]table_female_hkom3_inj.ill_X4!$A$1:$K$36,25,FALSE),0)</f>
        <v>0</v>
      </c>
      <c r="J3531">
        <f>IFERROR(HLOOKUP(J$2,[106]table_female_hkom3_inj.ill_X4!$A$1:$K$36,25,FALSE),0)</f>
        <v>0</v>
      </c>
      <c r="K3531">
        <f>IFERROR(HLOOKUP(K$2,[106]table_female_hkom3_inj.ill_X4!$A$1:$K$36,25,FALSE),0)</f>
        <v>0</v>
      </c>
      <c r="L3531">
        <f>IFERROR(HLOOKUP(L$2,[106]table_female_hkom3_inj.ill_X4!$A$1:$K$36,25,FALSE),0)</f>
        <v>0</v>
      </c>
      <c r="M3531">
        <f t="shared" si="1097"/>
        <v>0</v>
      </c>
      <c r="S3531" t="s">
        <v>93</v>
      </c>
      <c r="T3531" s="5">
        <f t="shared" si="1098"/>
        <v>0</v>
      </c>
      <c r="U3531" s="5">
        <f t="shared" si="1099"/>
        <v>0</v>
      </c>
      <c r="V3531" s="5">
        <f t="shared" si="1100"/>
        <v>0</v>
      </c>
      <c r="W3531" s="5">
        <f t="shared" si="1101"/>
        <v>0</v>
      </c>
      <c r="X3531" s="5">
        <f t="shared" si="1102"/>
        <v>0</v>
      </c>
      <c r="Y3531" s="5">
        <f t="shared" si="1103"/>
        <v>0</v>
      </c>
      <c r="Z3531" s="5">
        <f t="shared" si="1104"/>
        <v>0</v>
      </c>
      <c r="AA3531" s="5">
        <f t="shared" si="1105"/>
        <v>0</v>
      </c>
      <c r="AB3531" s="5">
        <f t="shared" si="1095"/>
        <v>0</v>
      </c>
    </row>
    <row r="3532" spans="4:28" x14ac:dyDescent="0.25">
      <c r="D3532" t="s">
        <v>94</v>
      </c>
      <c r="E3532" s="14"/>
      <c r="F3532" s="14"/>
      <c r="G3532">
        <f>IFERROR(HLOOKUP(G$2,[106]table_female_hkom3_inj.ill_X4!$A$1:$K$36,26,FALSE),0)</f>
        <v>0</v>
      </c>
      <c r="H3532">
        <f>IFERROR(HLOOKUP(H$2,[106]table_female_hkom3_inj.ill_X4!$A$1:$K$36,26,FALSE),0)</f>
        <v>0</v>
      </c>
      <c r="I3532">
        <f>IFERROR(HLOOKUP(I$2,[106]table_female_hkom3_inj.ill_X4!$A$1:$K$36,26,FALSE),0)</f>
        <v>0</v>
      </c>
      <c r="J3532">
        <f>IFERROR(HLOOKUP(J$2,[106]table_female_hkom3_inj.ill_X4!$A$1:$K$36,26,FALSE),0)</f>
        <v>0</v>
      </c>
      <c r="K3532">
        <f>IFERROR(HLOOKUP(K$2,[106]table_female_hkom3_inj.ill_X4!$A$1:$K$36,26,FALSE),0)</f>
        <v>0</v>
      </c>
      <c r="L3532">
        <f>IFERROR(HLOOKUP(L$2,[106]table_female_hkom3_inj.ill_X4!$A$1:$K$36,26,FALSE),0)</f>
        <v>0</v>
      </c>
      <c r="M3532">
        <f t="shared" si="1097"/>
        <v>0</v>
      </c>
      <c r="S3532" t="s">
        <v>94</v>
      </c>
      <c r="T3532" s="5">
        <f t="shared" si="1098"/>
        <v>0</v>
      </c>
      <c r="U3532" s="5">
        <f t="shared" si="1099"/>
        <v>0</v>
      </c>
      <c r="V3532" s="5">
        <f t="shared" si="1100"/>
        <v>0</v>
      </c>
      <c r="W3532" s="5">
        <f t="shared" si="1101"/>
        <v>0</v>
      </c>
      <c r="X3532" s="5">
        <f t="shared" si="1102"/>
        <v>0</v>
      </c>
      <c r="Y3532" s="5">
        <f t="shared" si="1103"/>
        <v>0</v>
      </c>
      <c r="Z3532" s="5">
        <f t="shared" si="1104"/>
        <v>0</v>
      </c>
      <c r="AA3532" s="5">
        <f t="shared" si="1105"/>
        <v>0</v>
      </c>
      <c r="AB3532" s="5">
        <f t="shared" si="1095"/>
        <v>0</v>
      </c>
    </row>
    <row r="3533" spans="4:28" x14ac:dyDescent="0.25">
      <c r="D3533" t="s">
        <v>95</v>
      </c>
      <c r="E3533" s="14"/>
      <c r="F3533" s="14"/>
      <c r="G3533">
        <f>IFERROR(HLOOKUP(G$2,[106]table_female_hkom3_inj.ill_X4!$A$1:$K$36,27,FALSE),0)</f>
        <v>0</v>
      </c>
      <c r="H3533">
        <f>IFERROR(HLOOKUP(H$2,[106]table_female_hkom3_inj.ill_X4!$A$1:$K$36,27,FALSE),0)</f>
        <v>0</v>
      </c>
      <c r="I3533">
        <f>IFERROR(HLOOKUP(I$2,[106]table_female_hkom3_inj.ill_X4!$A$1:$K$36,27,FALSE),0)</f>
        <v>0</v>
      </c>
      <c r="J3533">
        <f>IFERROR(HLOOKUP(J$2,[106]table_female_hkom3_inj.ill_X4!$A$1:$K$36,27,FALSE),0)</f>
        <v>0</v>
      </c>
      <c r="K3533">
        <f>IFERROR(HLOOKUP(K$2,[106]table_female_hkom3_inj.ill_X4!$A$1:$K$36,27,FALSE),0)</f>
        <v>0</v>
      </c>
      <c r="L3533">
        <f>IFERROR(HLOOKUP(L$2,[106]table_female_hkom3_inj.ill_X4!$A$1:$K$36,27,FALSE),0)</f>
        <v>0</v>
      </c>
      <c r="M3533">
        <f t="shared" si="1097"/>
        <v>0</v>
      </c>
      <c r="S3533" t="s">
        <v>95</v>
      </c>
      <c r="T3533" s="5">
        <f t="shared" si="1098"/>
        <v>0</v>
      </c>
      <c r="U3533" s="5">
        <f t="shared" si="1099"/>
        <v>0</v>
      </c>
      <c r="V3533" s="5">
        <f t="shared" si="1100"/>
        <v>0</v>
      </c>
      <c r="W3533" s="5">
        <f t="shared" si="1101"/>
        <v>0</v>
      </c>
      <c r="X3533" s="5">
        <f t="shared" si="1102"/>
        <v>0</v>
      </c>
      <c r="Y3533" s="5">
        <f t="shared" si="1103"/>
        <v>0</v>
      </c>
      <c r="Z3533" s="5">
        <f t="shared" si="1104"/>
        <v>0</v>
      </c>
      <c r="AA3533" s="5">
        <f t="shared" si="1105"/>
        <v>0</v>
      </c>
      <c r="AB3533" s="5">
        <f t="shared" si="1095"/>
        <v>0</v>
      </c>
    </row>
    <row r="3534" spans="4:28" x14ac:dyDescent="0.25">
      <c r="D3534" t="s">
        <v>96</v>
      </c>
      <c r="E3534" s="14"/>
      <c r="F3534" s="14"/>
      <c r="G3534">
        <f>IFERROR(HLOOKUP(G$2,[106]table_female_hkom3_inj.ill_X4!$A$1:$K$36,28,FALSE),0)</f>
        <v>0</v>
      </c>
      <c r="H3534">
        <f>IFERROR(HLOOKUP(H$2,[106]table_female_hkom3_inj.ill_X4!$A$1:$K$36,28,FALSE),0)</f>
        <v>0</v>
      </c>
      <c r="I3534">
        <f>IFERROR(HLOOKUP(I$2,[106]table_female_hkom3_inj.ill_X4!$A$1:$K$36,28,FALSE),0)</f>
        <v>0</v>
      </c>
      <c r="J3534">
        <f>IFERROR(HLOOKUP(J$2,[106]table_female_hkom3_inj.ill_X4!$A$1:$K$36,28,FALSE),0)</f>
        <v>0</v>
      </c>
      <c r="K3534">
        <f>IFERROR(HLOOKUP(K$2,[106]table_female_hkom3_inj.ill_X4!$A$1:$K$36,28,FALSE),0)</f>
        <v>0</v>
      </c>
      <c r="L3534">
        <f>IFERROR(HLOOKUP(L$2,[106]table_female_hkom3_inj.ill_X4!$A$1:$K$36,28,FALSE),0)</f>
        <v>0</v>
      </c>
      <c r="M3534">
        <f t="shared" si="1097"/>
        <v>0</v>
      </c>
      <c r="S3534" t="s">
        <v>96</v>
      </c>
      <c r="T3534" s="5">
        <f t="shared" si="1098"/>
        <v>0</v>
      </c>
      <c r="U3534" s="5">
        <f t="shared" si="1099"/>
        <v>0</v>
      </c>
      <c r="V3534" s="5">
        <f t="shared" si="1100"/>
        <v>0</v>
      </c>
      <c r="W3534" s="5">
        <f t="shared" si="1101"/>
        <v>0</v>
      </c>
      <c r="X3534" s="5">
        <f t="shared" si="1102"/>
        <v>0</v>
      </c>
      <c r="Y3534" s="5">
        <f t="shared" si="1103"/>
        <v>0</v>
      </c>
      <c r="Z3534" s="5">
        <f t="shared" si="1104"/>
        <v>0</v>
      </c>
      <c r="AA3534" s="5">
        <f t="shared" si="1105"/>
        <v>0</v>
      </c>
      <c r="AB3534" s="5">
        <f t="shared" si="1095"/>
        <v>0</v>
      </c>
    </row>
    <row r="3535" spans="4:28" x14ac:dyDescent="0.25">
      <c r="D3535" t="s">
        <v>97</v>
      </c>
      <c r="E3535" s="14"/>
      <c r="F3535" s="14"/>
      <c r="G3535">
        <f>IFERROR(HLOOKUP(G$2,[106]table_female_hkom3_inj.ill_X4!$A$1:$K$36,29,FALSE),0)</f>
        <v>0</v>
      </c>
      <c r="H3535">
        <f>IFERROR(HLOOKUP(H$2,[106]table_female_hkom3_inj.ill_X4!$A$1:$K$36,29,FALSE),0)</f>
        <v>0</v>
      </c>
      <c r="I3535">
        <f>IFERROR(HLOOKUP(I$2,[106]table_female_hkom3_inj.ill_X4!$A$1:$K$36,29,FALSE),0)</f>
        <v>0</v>
      </c>
      <c r="J3535">
        <f>IFERROR(HLOOKUP(J$2,[106]table_female_hkom3_inj.ill_X4!$A$1:$K$36,29,FALSE),0)</f>
        <v>0</v>
      </c>
      <c r="K3535">
        <f>IFERROR(HLOOKUP(K$2,[106]table_female_hkom3_inj.ill_X4!$A$1:$K$36,29,FALSE),0)</f>
        <v>0</v>
      </c>
      <c r="L3535">
        <f>IFERROR(HLOOKUP(L$2,[106]table_female_hkom3_inj.ill_X4!$A$1:$K$36,29,FALSE),0)</f>
        <v>0</v>
      </c>
      <c r="M3535">
        <f t="shared" si="1097"/>
        <v>0</v>
      </c>
      <c r="S3535" t="s">
        <v>97</v>
      </c>
      <c r="T3535" s="5">
        <f t="shared" si="1098"/>
        <v>0</v>
      </c>
      <c r="U3535" s="5">
        <f t="shared" si="1099"/>
        <v>0</v>
      </c>
      <c r="V3535" s="5">
        <f t="shared" si="1100"/>
        <v>0</v>
      </c>
      <c r="W3535" s="5">
        <f t="shared" si="1101"/>
        <v>0</v>
      </c>
      <c r="X3535" s="5">
        <f t="shared" si="1102"/>
        <v>0</v>
      </c>
      <c r="Y3535" s="5">
        <f t="shared" si="1103"/>
        <v>0</v>
      </c>
      <c r="Z3535" s="5">
        <f t="shared" si="1104"/>
        <v>0</v>
      </c>
      <c r="AA3535" s="5">
        <f t="shared" si="1105"/>
        <v>0</v>
      </c>
      <c r="AB3535" s="5">
        <f t="shared" si="1095"/>
        <v>0</v>
      </c>
    </row>
    <row r="3536" spans="4:28" x14ac:dyDescent="0.25">
      <c r="D3536" t="s">
        <v>98</v>
      </c>
      <c r="E3536" s="14"/>
      <c r="F3536" s="14"/>
      <c r="G3536">
        <f>IFERROR(HLOOKUP(G$2,[106]table_female_hkom3_inj.ill_X4!$A$1:$K$36,30,FALSE),0)</f>
        <v>0</v>
      </c>
      <c r="H3536">
        <f>IFERROR(HLOOKUP(H$2,[106]table_female_hkom3_inj.ill_X4!$A$1:$K$36,30,FALSE),0)</f>
        <v>0</v>
      </c>
      <c r="I3536">
        <f>IFERROR(HLOOKUP(I$2,[106]table_female_hkom3_inj.ill_X4!$A$1:$K$36,30,FALSE),0)</f>
        <v>0</v>
      </c>
      <c r="J3536">
        <f>IFERROR(HLOOKUP(J$2,[106]table_female_hkom3_inj.ill_X4!$A$1:$K$36,30,FALSE),0)</f>
        <v>0</v>
      </c>
      <c r="K3536">
        <f>IFERROR(HLOOKUP(K$2,[106]table_female_hkom3_inj.ill_X4!$A$1:$K$36,30,FALSE),0)</f>
        <v>0</v>
      </c>
      <c r="L3536">
        <f>IFERROR(HLOOKUP(L$2,[106]table_female_hkom3_inj.ill_X4!$A$1:$K$36,30,FALSE),0)</f>
        <v>0</v>
      </c>
      <c r="M3536">
        <f t="shared" si="1097"/>
        <v>0</v>
      </c>
      <c r="S3536" t="s">
        <v>98</v>
      </c>
      <c r="T3536" s="5">
        <f t="shared" si="1098"/>
        <v>0</v>
      </c>
      <c r="U3536" s="5">
        <f t="shared" si="1099"/>
        <v>0</v>
      </c>
      <c r="V3536" s="5">
        <f t="shared" si="1100"/>
        <v>0</v>
      </c>
      <c r="W3536" s="5">
        <f t="shared" si="1101"/>
        <v>0</v>
      </c>
      <c r="X3536" s="5">
        <f t="shared" si="1102"/>
        <v>0</v>
      </c>
      <c r="Y3536" s="5">
        <f t="shared" si="1103"/>
        <v>0</v>
      </c>
      <c r="Z3536" s="5">
        <f t="shared" si="1104"/>
        <v>0</v>
      </c>
      <c r="AA3536" s="5">
        <f t="shared" si="1105"/>
        <v>0</v>
      </c>
      <c r="AB3536" s="5">
        <f t="shared" si="1095"/>
        <v>0</v>
      </c>
    </row>
    <row r="3537" spans="1:29" x14ac:dyDescent="0.25">
      <c r="D3537" t="s">
        <v>119</v>
      </c>
      <c r="E3537" s="14"/>
      <c r="F3537" s="14"/>
      <c r="G3537">
        <f>IFERROR(HLOOKUP(G$2,[106]table_female_hkom3_inj.ill_X4!$A$1:$K$36,31,FALSE),0)</f>
        <v>0</v>
      </c>
      <c r="H3537">
        <f>IFERROR(HLOOKUP(H$2,[106]table_female_hkom3_inj.ill_X4!$A$1:$K$36,31,FALSE),0)</f>
        <v>0</v>
      </c>
      <c r="I3537">
        <f>IFERROR(HLOOKUP(I$2,[106]table_female_hkom3_inj.ill_X4!$A$1:$K$36,31,FALSE),0)</f>
        <v>0</v>
      </c>
      <c r="J3537">
        <f>IFERROR(HLOOKUP(J$2,[106]table_female_hkom3_inj.ill_X4!$A$1:$K$36,31,FALSE),0)</f>
        <v>0</v>
      </c>
      <c r="K3537">
        <f>IFERROR(HLOOKUP(K$2,[106]table_female_hkom3_inj.ill_X4!$A$1:$K$36,31,FALSE),0)</f>
        <v>0</v>
      </c>
      <c r="L3537">
        <f>IFERROR(HLOOKUP(L$2,[106]table_female_hkom3_inj.ill_X4!$A$1:$K$36,31,FALSE),0)</f>
        <v>0</v>
      </c>
      <c r="M3537">
        <f t="shared" si="1097"/>
        <v>0</v>
      </c>
      <c r="S3537" t="s">
        <v>119</v>
      </c>
      <c r="T3537" s="5">
        <f t="shared" si="1098"/>
        <v>0</v>
      </c>
      <c r="U3537" s="5">
        <f t="shared" si="1099"/>
        <v>0</v>
      </c>
      <c r="V3537" s="5">
        <f t="shared" si="1100"/>
        <v>0</v>
      </c>
      <c r="W3537" s="5">
        <f t="shared" si="1101"/>
        <v>0</v>
      </c>
      <c r="X3537" s="5">
        <f t="shared" si="1102"/>
        <v>0</v>
      </c>
      <c r="Y3537" s="5">
        <f t="shared" si="1103"/>
        <v>0</v>
      </c>
      <c r="Z3537" s="5">
        <f t="shared" si="1104"/>
        <v>0</v>
      </c>
      <c r="AA3537" s="5">
        <f t="shared" si="1105"/>
        <v>0</v>
      </c>
      <c r="AB3537" s="5">
        <f t="shared" si="1095"/>
        <v>0</v>
      </c>
    </row>
    <row r="3538" spans="1:29" x14ac:dyDescent="0.25">
      <c r="D3538" t="s">
        <v>99</v>
      </c>
      <c r="E3538" s="14"/>
      <c r="F3538" s="14"/>
      <c r="G3538">
        <f>IFERROR(HLOOKUP(G$2,[106]table_female_hkom3_inj.ill_X4!$A$1:$K$36,32,FALSE),0)</f>
        <v>0</v>
      </c>
      <c r="H3538">
        <f>IFERROR(HLOOKUP(H$2,[106]table_female_hkom3_inj.ill_X4!$A$1:$K$36,32,FALSE),0)</f>
        <v>0</v>
      </c>
      <c r="I3538">
        <f>IFERROR(HLOOKUP(I$2,[106]table_female_hkom3_inj.ill_X4!$A$1:$K$36,32,FALSE),0)</f>
        <v>0</v>
      </c>
      <c r="J3538">
        <f>IFERROR(HLOOKUP(J$2,[106]table_female_hkom3_inj.ill_X4!$A$1:$K$36,32,FALSE),0)</f>
        <v>0</v>
      </c>
      <c r="K3538">
        <f>IFERROR(HLOOKUP(K$2,[106]table_female_hkom3_inj.ill_X4!$A$1:$K$36,32,FALSE),0)</f>
        <v>0</v>
      </c>
      <c r="L3538">
        <f>IFERROR(HLOOKUP(L$2,[106]table_female_hkom3_inj.ill_X4!$A$1:$K$36,32,FALSE),0)</f>
        <v>0</v>
      </c>
      <c r="M3538">
        <f t="shared" si="1097"/>
        <v>0</v>
      </c>
      <c r="S3538" t="s">
        <v>99</v>
      </c>
      <c r="T3538" s="5">
        <f t="shared" si="1098"/>
        <v>0</v>
      </c>
      <c r="U3538" s="5">
        <f t="shared" si="1099"/>
        <v>0</v>
      </c>
      <c r="V3538" s="5">
        <f t="shared" si="1100"/>
        <v>0</v>
      </c>
      <c r="W3538" s="5">
        <f t="shared" si="1101"/>
        <v>0</v>
      </c>
      <c r="X3538" s="5">
        <f t="shared" si="1102"/>
        <v>0</v>
      </c>
      <c r="Y3538" s="5">
        <f t="shared" si="1103"/>
        <v>0</v>
      </c>
      <c r="Z3538" s="5">
        <f t="shared" si="1104"/>
        <v>0</v>
      </c>
      <c r="AA3538" s="5">
        <f t="shared" si="1105"/>
        <v>0</v>
      </c>
      <c r="AB3538" s="5">
        <f t="shared" si="1095"/>
        <v>0</v>
      </c>
    </row>
    <row r="3539" spans="1:29" x14ac:dyDescent="0.25">
      <c r="D3539" t="s">
        <v>100</v>
      </c>
      <c r="E3539" s="14"/>
      <c r="F3539" s="14"/>
      <c r="G3539">
        <f>IFERROR(HLOOKUP(G$2,[106]table_female_hkom3_inj.ill_X4!$A$1:$K$36,33,FALSE),0)</f>
        <v>0</v>
      </c>
      <c r="H3539">
        <f>IFERROR(HLOOKUP(H$2,[106]table_female_hkom3_inj.ill_X4!$A$1:$K$36,33,FALSE),0)</f>
        <v>0</v>
      </c>
      <c r="I3539">
        <f>IFERROR(HLOOKUP(I$2,[106]table_female_hkom3_inj.ill_X4!$A$1:$K$36,33,FALSE),0)</f>
        <v>0</v>
      </c>
      <c r="J3539">
        <f>IFERROR(HLOOKUP(J$2,[106]table_female_hkom3_inj.ill_X4!$A$1:$K$36,33,FALSE),0)</f>
        <v>0</v>
      </c>
      <c r="K3539">
        <f>IFERROR(HLOOKUP(K$2,[106]table_female_hkom3_inj.ill_X4!$A$1:$K$36,33,FALSE),0)</f>
        <v>0</v>
      </c>
      <c r="L3539">
        <f>IFERROR(HLOOKUP(L$2,[106]table_female_hkom3_inj.ill_X4!$A$1:$K$36,33,FALSE),0)</f>
        <v>0</v>
      </c>
      <c r="M3539">
        <f t="shared" si="1097"/>
        <v>0</v>
      </c>
      <c r="S3539" t="s">
        <v>100</v>
      </c>
      <c r="T3539" s="5">
        <f t="shared" si="1098"/>
        <v>0</v>
      </c>
      <c r="U3539" s="5">
        <f t="shared" si="1099"/>
        <v>0</v>
      </c>
      <c r="V3539" s="5">
        <f t="shared" si="1100"/>
        <v>0</v>
      </c>
      <c r="W3539" s="5">
        <f t="shared" si="1101"/>
        <v>0</v>
      </c>
      <c r="X3539" s="5">
        <f t="shared" si="1102"/>
        <v>0</v>
      </c>
      <c r="Y3539" s="5">
        <f t="shared" si="1103"/>
        <v>0</v>
      </c>
      <c r="Z3539" s="5">
        <f t="shared" si="1104"/>
        <v>0</v>
      </c>
      <c r="AA3539" s="5">
        <f t="shared" si="1105"/>
        <v>0</v>
      </c>
      <c r="AB3539" s="5">
        <f t="shared" si="1095"/>
        <v>0</v>
      </c>
    </row>
    <row r="3540" spans="1:29" x14ac:dyDescent="0.25">
      <c r="D3540" t="s">
        <v>101</v>
      </c>
      <c r="E3540" s="14"/>
      <c r="F3540" s="14"/>
      <c r="G3540">
        <f>IFERROR(HLOOKUP(G$2,[106]table_female_hkom3_inj.ill_X4!$A$1:$K$36,34,FALSE),0)</f>
        <v>0</v>
      </c>
      <c r="H3540">
        <f>IFERROR(HLOOKUP(H$2,[106]table_female_hkom3_inj.ill_X4!$A$1:$K$36,34,FALSE),0)</f>
        <v>0</v>
      </c>
      <c r="I3540">
        <f>IFERROR(HLOOKUP(I$2,[106]table_female_hkom3_inj.ill_X4!$A$1:$K$36,34,FALSE),0)</f>
        <v>0</v>
      </c>
      <c r="J3540">
        <f>IFERROR(HLOOKUP(J$2,[106]table_female_hkom3_inj.ill_X4!$A$1:$K$36,34,FALSE),0)</f>
        <v>0</v>
      </c>
      <c r="K3540">
        <f>IFERROR(HLOOKUP(K$2,[106]table_female_hkom3_inj.ill_X4!$A$1:$K$36,34,FALSE),0)</f>
        <v>0</v>
      </c>
      <c r="L3540">
        <f>IFERROR(HLOOKUP(L$2,[106]table_female_hkom3_inj.ill_X4!$A$1:$K$36,34,FALSE),0)</f>
        <v>0</v>
      </c>
      <c r="M3540">
        <f t="shared" si="1097"/>
        <v>0</v>
      </c>
      <c r="S3540" t="s">
        <v>101</v>
      </c>
      <c r="T3540" s="5">
        <f t="shared" si="1098"/>
        <v>0</v>
      </c>
      <c r="U3540" s="5">
        <f t="shared" si="1099"/>
        <v>0</v>
      </c>
      <c r="V3540" s="5">
        <f t="shared" si="1100"/>
        <v>0</v>
      </c>
      <c r="W3540" s="5">
        <f t="shared" si="1101"/>
        <v>0</v>
      </c>
      <c r="X3540" s="5">
        <f t="shared" si="1102"/>
        <v>0</v>
      </c>
      <c r="Y3540" s="5">
        <f t="shared" si="1103"/>
        <v>0</v>
      </c>
      <c r="Z3540" s="5">
        <f t="shared" si="1104"/>
        <v>0</v>
      </c>
      <c r="AA3540" s="5">
        <f t="shared" si="1105"/>
        <v>0</v>
      </c>
      <c r="AB3540" s="5">
        <f t="shared" si="1095"/>
        <v>0</v>
      </c>
    </row>
    <row r="3541" spans="1:29" x14ac:dyDescent="0.25">
      <c r="D3541" t="s">
        <v>102</v>
      </c>
      <c r="E3541" s="14"/>
      <c r="F3541" s="14"/>
      <c r="G3541">
        <f>IFERROR(HLOOKUP(G$2,[106]table_female_hkom3_inj.ill_X4!$A$1:$K$36,35,FALSE),0)</f>
        <v>0</v>
      </c>
      <c r="H3541">
        <f>IFERROR(HLOOKUP(H$2,[106]table_female_hkom3_inj.ill_X4!$A$1:$K$36,35,FALSE),0)</f>
        <v>0</v>
      </c>
      <c r="I3541">
        <f>IFERROR(HLOOKUP(I$2,[106]table_female_hkom3_inj.ill_X4!$A$1:$K$36,35,FALSE),0)</f>
        <v>0</v>
      </c>
      <c r="J3541">
        <f>IFERROR(HLOOKUP(J$2,[106]table_female_hkom3_inj.ill_X4!$A$1:$K$36,35,FALSE),0)</f>
        <v>0</v>
      </c>
      <c r="K3541">
        <f>IFERROR(HLOOKUP(K$2,[106]table_female_hkom3_inj.ill_X4!$A$1:$K$36,35,FALSE),0)</f>
        <v>0</v>
      </c>
      <c r="L3541">
        <f>IFERROR(HLOOKUP(L$2,[106]table_female_hkom3_inj.ill_X4!$A$1:$K$36,35,FALSE),0)</f>
        <v>0</v>
      </c>
      <c r="M3541">
        <f t="shared" si="1097"/>
        <v>0</v>
      </c>
      <c r="N3541">
        <f>SUM(M3508:M3541)</f>
        <v>0</v>
      </c>
      <c r="O3541" s="8">
        <f>SUM([106]table_female_hkom3_inj.ill_X4!$B$2:$L$37)</f>
        <v>0</v>
      </c>
      <c r="S3541" t="s">
        <v>102</v>
      </c>
      <c r="T3541" s="7"/>
      <c r="U3541" s="7"/>
      <c r="V3541" s="7"/>
      <c r="W3541" s="7"/>
      <c r="X3541" s="7"/>
      <c r="Y3541" s="7"/>
      <c r="Z3541" s="7"/>
      <c r="AA3541" s="7"/>
      <c r="AB3541" s="5">
        <f t="shared" si="1095"/>
        <v>0</v>
      </c>
      <c r="AC3541" s="5">
        <f>SUM(AB3508:AB3540)</f>
        <v>0</v>
      </c>
    </row>
    <row r="3542" spans="1:29" x14ac:dyDescent="0.25">
      <c r="A3542" t="s">
        <v>115</v>
      </c>
      <c r="B3542" t="s">
        <v>117</v>
      </c>
      <c r="C3542" t="s">
        <v>127</v>
      </c>
      <c r="D3542" t="s">
        <v>70</v>
      </c>
      <c r="E3542" s="14"/>
      <c r="F3542" s="14"/>
      <c r="G3542">
        <f>IFERROR(HLOOKUP(G$2,[107]table_female_hkom3_inj.ill_X5!$A$1:$K$36,2,FALSE),0)</f>
        <v>0</v>
      </c>
      <c r="H3542">
        <f>IFERROR(HLOOKUP(H$2,[107]table_female_hkom3_inj.ill_X5!$A$1:$K$36,2,FALSE),0)</f>
        <v>0</v>
      </c>
      <c r="I3542">
        <f>IFERROR(HLOOKUP(I$2,[107]table_female_hkom3_inj.ill_X5!$A$1:$K$36,2,FALSE),0)</f>
        <v>0</v>
      </c>
      <c r="J3542">
        <f>IFERROR(HLOOKUP(J$2,[107]table_female_hkom3_inj.ill_X5!$A$1:$K$36,2,FALSE),0)</f>
        <v>0</v>
      </c>
      <c r="K3542">
        <f>IFERROR(HLOOKUP(K$2,[107]table_female_hkom3_inj.ill_X5!$A$1:$K$36,2,FALSE),0)</f>
        <v>0</v>
      </c>
      <c r="L3542">
        <f>IFERROR(HLOOKUP(L$2,[107]table_female_hkom3_inj.ill_X5!$A$1:$K$36,2,FALSE),0)</f>
        <v>0</v>
      </c>
      <c r="M3542">
        <f>SUM(E3542:L3542)</f>
        <v>0</v>
      </c>
      <c r="P3542" t="s">
        <v>115</v>
      </c>
      <c r="Q3542" t="s">
        <v>117</v>
      </c>
      <c r="R3542" t="s">
        <v>127</v>
      </c>
      <c r="S3542" t="s">
        <v>70</v>
      </c>
      <c r="T3542" s="5">
        <f>IF(SUM(E$3542:E$3574)=0,E$3575/33,E3542+IFERROR(E3542/SUM(E$3542:E$3574)*E$3575,0))</f>
        <v>0</v>
      </c>
      <c r="U3542" s="5">
        <f t="shared" ref="U3542:AA3542" si="1106">IF(SUM(F$3542:F$3574)=0,F$3575/33,F3542+IFERROR(F3542/SUM(F$3542:F$3574)*F$3575,0))</f>
        <v>0</v>
      </c>
      <c r="V3542" s="5">
        <f t="shared" si="1106"/>
        <v>0</v>
      </c>
      <c r="W3542" s="5">
        <f t="shared" si="1106"/>
        <v>0</v>
      </c>
      <c r="X3542" s="5">
        <f t="shared" si="1106"/>
        <v>0</v>
      </c>
      <c r="Y3542" s="5">
        <f t="shared" si="1106"/>
        <v>0</v>
      </c>
      <c r="Z3542" s="5">
        <f t="shared" si="1106"/>
        <v>0</v>
      </c>
      <c r="AA3542" s="5">
        <f t="shared" si="1106"/>
        <v>0</v>
      </c>
      <c r="AB3542" s="5">
        <f t="shared" si="1095"/>
        <v>0</v>
      </c>
    </row>
    <row r="3543" spans="1:29" x14ac:dyDescent="0.25">
      <c r="D3543" t="s">
        <v>71</v>
      </c>
      <c r="E3543" s="14"/>
      <c r="F3543" s="14"/>
      <c r="G3543">
        <f>IFERROR(HLOOKUP(G$2,[107]table_female_hkom3_inj.ill_X5!$A$1:$K$36,3,FALSE),0)</f>
        <v>0</v>
      </c>
      <c r="H3543">
        <f>IFERROR(HLOOKUP(H$2,[107]table_female_hkom3_inj.ill_X5!$A$1:$K$36,3,FALSE),0)</f>
        <v>0</v>
      </c>
      <c r="I3543">
        <f>IFERROR(HLOOKUP(I$2,[107]table_female_hkom3_inj.ill_X5!$A$1:$K$36,3,FALSE),0)</f>
        <v>0</v>
      </c>
      <c r="J3543">
        <f>IFERROR(HLOOKUP(J$2,[107]table_female_hkom3_inj.ill_X5!$A$1:$K$36,3,FALSE),0)</f>
        <v>0</v>
      </c>
      <c r="K3543">
        <f>IFERROR(HLOOKUP(K$2,[107]table_female_hkom3_inj.ill_X5!$A$1:$K$36,3,FALSE),0)</f>
        <v>0</v>
      </c>
      <c r="L3543">
        <f>IFERROR(HLOOKUP(L$2,[107]table_female_hkom3_inj.ill_X5!$A$1:$K$36,3,FALSE),0)</f>
        <v>0</v>
      </c>
      <c r="M3543">
        <f t="shared" ref="M3543:M3575" si="1107">SUM(E3543:L3543)</f>
        <v>0</v>
      </c>
      <c r="S3543" t="s">
        <v>71</v>
      </c>
      <c r="T3543" s="5">
        <f t="shared" ref="T3543:T3574" si="1108">IF(SUM(E$3542:E$3574)=0,E$3575/33,E3543+IFERROR(E3543/SUM(E$3542:E$3574)*E$3575,0))</f>
        <v>0</v>
      </c>
      <c r="U3543" s="5">
        <f t="shared" ref="U3543:U3574" si="1109">IF(SUM(F$3542:F$3574)=0,F$3575/33,F3543+IFERROR(F3543/SUM(F$3542:F$3574)*F$3575,0))</f>
        <v>0</v>
      </c>
      <c r="V3543" s="5">
        <f t="shared" ref="V3543:V3574" si="1110">IF(SUM(G$3542:G$3574)=0,G$3575/33,G3543+IFERROR(G3543/SUM(G$3542:G$3574)*G$3575,0))</f>
        <v>0</v>
      </c>
      <c r="W3543" s="5">
        <f t="shared" ref="W3543:W3574" si="1111">IF(SUM(H$3542:H$3574)=0,H$3575/33,H3543+IFERROR(H3543/SUM(H$3542:H$3574)*H$3575,0))</f>
        <v>0</v>
      </c>
      <c r="X3543" s="5">
        <f t="shared" ref="X3543:X3574" si="1112">IF(SUM(I$3542:I$3574)=0,I$3575/33,I3543+IFERROR(I3543/SUM(I$3542:I$3574)*I$3575,0))</f>
        <v>0</v>
      </c>
      <c r="Y3543" s="5">
        <f t="shared" ref="Y3543:Y3574" si="1113">IF(SUM(J$3542:J$3574)=0,J$3575/33,J3543+IFERROR(J3543/SUM(J$3542:J$3574)*J$3575,0))</f>
        <v>0</v>
      </c>
      <c r="Z3543" s="5">
        <f t="shared" ref="Z3543:Z3574" si="1114">IF(SUM(K$3542:K$3574)=0,K$3575/33,K3543+IFERROR(K3543/SUM(K$3542:K$3574)*K$3575,0))</f>
        <v>0</v>
      </c>
      <c r="AA3543" s="5">
        <f t="shared" ref="AA3543:AA3574" si="1115">IF(SUM(L$3542:L$3574)=0,L$3575/33,L3543+IFERROR(L3543/SUM(L$3542:L$3574)*L$3575,0))</f>
        <v>0</v>
      </c>
      <c r="AB3543" s="5">
        <f t="shared" si="1095"/>
        <v>0</v>
      </c>
    </row>
    <row r="3544" spans="1:29" x14ac:dyDescent="0.25">
      <c r="D3544" t="s">
        <v>72</v>
      </c>
      <c r="E3544" s="14"/>
      <c r="F3544" s="14"/>
      <c r="G3544">
        <f>IFERROR(HLOOKUP(G$2,[107]table_female_hkom3_inj.ill_X5!$A$1:$K$36,4,FALSE),0)</f>
        <v>0</v>
      </c>
      <c r="H3544">
        <f>IFERROR(HLOOKUP(H$2,[107]table_female_hkom3_inj.ill_X5!$A$1:$K$36,4,FALSE),0)</f>
        <v>0</v>
      </c>
      <c r="I3544">
        <f>IFERROR(HLOOKUP(I$2,[107]table_female_hkom3_inj.ill_X5!$A$1:$K$36,4,FALSE),0)</f>
        <v>0</v>
      </c>
      <c r="J3544">
        <f>IFERROR(HLOOKUP(J$2,[107]table_female_hkom3_inj.ill_X5!$A$1:$K$36,4,FALSE),0)</f>
        <v>0</v>
      </c>
      <c r="K3544">
        <f>IFERROR(HLOOKUP(K$2,[107]table_female_hkom3_inj.ill_X5!$A$1:$K$36,4,FALSE),0)</f>
        <v>0</v>
      </c>
      <c r="L3544">
        <f>IFERROR(HLOOKUP(L$2,[107]table_female_hkom3_inj.ill_X5!$A$1:$K$36,4,FALSE),0)</f>
        <v>0</v>
      </c>
      <c r="M3544">
        <f t="shared" si="1107"/>
        <v>0</v>
      </c>
      <c r="S3544" t="s">
        <v>72</v>
      </c>
      <c r="T3544" s="5">
        <f t="shared" si="1108"/>
        <v>0</v>
      </c>
      <c r="U3544" s="5">
        <f t="shared" si="1109"/>
        <v>0</v>
      </c>
      <c r="V3544" s="5">
        <f t="shared" si="1110"/>
        <v>0</v>
      </c>
      <c r="W3544" s="5">
        <f t="shared" si="1111"/>
        <v>0</v>
      </c>
      <c r="X3544" s="5">
        <f t="shared" si="1112"/>
        <v>0</v>
      </c>
      <c r="Y3544" s="5">
        <f t="shared" si="1113"/>
        <v>0</v>
      </c>
      <c r="Z3544" s="5">
        <f t="shared" si="1114"/>
        <v>0</v>
      </c>
      <c r="AA3544" s="5">
        <f t="shared" si="1115"/>
        <v>0</v>
      </c>
      <c r="AB3544" s="5">
        <f t="shared" si="1095"/>
        <v>0</v>
      </c>
    </row>
    <row r="3545" spans="1:29" x14ac:dyDescent="0.25">
      <c r="D3545" t="s">
        <v>73</v>
      </c>
      <c r="E3545" s="14"/>
      <c r="F3545" s="14"/>
      <c r="G3545">
        <f>IFERROR(HLOOKUP(G$2,[107]table_female_hkom3_inj.ill_X5!$A$1:$K$36,5,FALSE),0)</f>
        <v>0</v>
      </c>
      <c r="H3545">
        <f>IFERROR(HLOOKUP(H$2,[107]table_female_hkom3_inj.ill_X5!$A$1:$K$36,5,FALSE),0)</f>
        <v>0</v>
      </c>
      <c r="I3545">
        <f>IFERROR(HLOOKUP(I$2,[107]table_female_hkom3_inj.ill_X5!$A$1:$K$36,5,FALSE),0)</f>
        <v>0</v>
      </c>
      <c r="J3545">
        <f>IFERROR(HLOOKUP(J$2,[107]table_female_hkom3_inj.ill_X5!$A$1:$K$36,5,FALSE),0)</f>
        <v>0</v>
      </c>
      <c r="K3545">
        <f>IFERROR(HLOOKUP(K$2,[107]table_female_hkom3_inj.ill_X5!$A$1:$K$36,5,FALSE),0)</f>
        <v>0</v>
      </c>
      <c r="L3545">
        <f>IFERROR(HLOOKUP(L$2,[107]table_female_hkom3_inj.ill_X5!$A$1:$K$36,5,FALSE),0)</f>
        <v>0</v>
      </c>
      <c r="M3545">
        <f t="shared" si="1107"/>
        <v>0</v>
      </c>
      <c r="S3545" t="s">
        <v>73</v>
      </c>
      <c r="T3545" s="5">
        <f t="shared" si="1108"/>
        <v>0</v>
      </c>
      <c r="U3545" s="5">
        <f t="shared" si="1109"/>
        <v>0</v>
      </c>
      <c r="V3545" s="5">
        <f t="shared" si="1110"/>
        <v>0</v>
      </c>
      <c r="W3545" s="5">
        <f t="shared" si="1111"/>
        <v>0</v>
      </c>
      <c r="X3545" s="5">
        <f t="shared" si="1112"/>
        <v>0</v>
      </c>
      <c r="Y3545" s="5">
        <f t="shared" si="1113"/>
        <v>0</v>
      </c>
      <c r="Z3545" s="5">
        <f t="shared" si="1114"/>
        <v>0</v>
      </c>
      <c r="AA3545" s="5">
        <f t="shared" si="1115"/>
        <v>0</v>
      </c>
      <c r="AB3545" s="5">
        <f t="shared" si="1095"/>
        <v>0</v>
      </c>
    </row>
    <row r="3546" spans="1:29" x14ac:dyDescent="0.25">
      <c r="D3546" t="s">
        <v>74</v>
      </c>
      <c r="E3546" s="14"/>
      <c r="F3546" s="14"/>
      <c r="G3546">
        <f>IFERROR(HLOOKUP(G$2,[107]table_female_hkom3_inj.ill_X5!$A$1:$K$36,6,FALSE),0)</f>
        <v>0</v>
      </c>
      <c r="H3546">
        <f>IFERROR(HLOOKUP(H$2,[107]table_female_hkom3_inj.ill_X5!$A$1:$K$36,6,FALSE),0)</f>
        <v>0</v>
      </c>
      <c r="I3546">
        <f>IFERROR(HLOOKUP(I$2,[107]table_female_hkom3_inj.ill_X5!$A$1:$K$36,6,FALSE),0)</f>
        <v>0</v>
      </c>
      <c r="J3546">
        <f>IFERROR(HLOOKUP(J$2,[107]table_female_hkom3_inj.ill_X5!$A$1:$K$36,6,FALSE),0)</f>
        <v>0</v>
      </c>
      <c r="K3546">
        <f>IFERROR(HLOOKUP(K$2,[107]table_female_hkom3_inj.ill_X5!$A$1:$K$36,6,FALSE),0)</f>
        <v>0</v>
      </c>
      <c r="L3546">
        <f>IFERROR(HLOOKUP(L$2,[107]table_female_hkom3_inj.ill_X5!$A$1:$K$36,6,FALSE),0)</f>
        <v>0</v>
      </c>
      <c r="M3546">
        <f t="shared" si="1107"/>
        <v>0</v>
      </c>
      <c r="S3546" t="s">
        <v>74</v>
      </c>
      <c r="T3546" s="5">
        <f t="shared" si="1108"/>
        <v>0</v>
      </c>
      <c r="U3546" s="5">
        <f t="shared" si="1109"/>
        <v>0</v>
      </c>
      <c r="V3546" s="5">
        <f t="shared" si="1110"/>
        <v>0</v>
      </c>
      <c r="W3546" s="5">
        <f t="shared" si="1111"/>
        <v>0</v>
      </c>
      <c r="X3546" s="5">
        <f t="shared" si="1112"/>
        <v>0</v>
      </c>
      <c r="Y3546" s="5">
        <f t="shared" si="1113"/>
        <v>0</v>
      </c>
      <c r="Z3546" s="5">
        <f t="shared" si="1114"/>
        <v>0</v>
      </c>
      <c r="AA3546" s="5">
        <f t="shared" si="1115"/>
        <v>0</v>
      </c>
      <c r="AB3546" s="5">
        <f t="shared" si="1095"/>
        <v>0</v>
      </c>
    </row>
    <row r="3547" spans="1:29" x14ac:dyDescent="0.25">
      <c r="D3547" t="s">
        <v>75</v>
      </c>
      <c r="E3547" s="14"/>
      <c r="F3547" s="14"/>
      <c r="G3547">
        <f>IFERROR(HLOOKUP(G$2,[107]table_female_hkom3_inj.ill_X5!$A$1:$K$36,7,FALSE),0)</f>
        <v>0</v>
      </c>
      <c r="H3547">
        <f>IFERROR(HLOOKUP(H$2,[107]table_female_hkom3_inj.ill_X5!$A$1:$K$36,7,FALSE),0)</f>
        <v>0</v>
      </c>
      <c r="I3547">
        <f>IFERROR(HLOOKUP(I$2,[107]table_female_hkom3_inj.ill_X5!$A$1:$K$36,7,FALSE),0)</f>
        <v>0</v>
      </c>
      <c r="J3547">
        <f>IFERROR(HLOOKUP(J$2,[107]table_female_hkom3_inj.ill_X5!$A$1:$K$36,7,FALSE),0)</f>
        <v>0</v>
      </c>
      <c r="K3547">
        <f>IFERROR(HLOOKUP(K$2,[107]table_female_hkom3_inj.ill_X5!$A$1:$K$36,7,FALSE),0)</f>
        <v>0</v>
      </c>
      <c r="L3547">
        <f>IFERROR(HLOOKUP(L$2,[107]table_female_hkom3_inj.ill_X5!$A$1:$K$36,7,FALSE),0)</f>
        <v>0</v>
      </c>
      <c r="M3547">
        <f t="shared" si="1107"/>
        <v>0</v>
      </c>
      <c r="S3547" t="s">
        <v>75</v>
      </c>
      <c r="T3547" s="5">
        <f t="shared" si="1108"/>
        <v>0</v>
      </c>
      <c r="U3547" s="5">
        <f t="shared" si="1109"/>
        <v>0</v>
      </c>
      <c r="V3547" s="5">
        <f t="shared" si="1110"/>
        <v>0</v>
      </c>
      <c r="W3547" s="5">
        <f t="shared" si="1111"/>
        <v>0</v>
      </c>
      <c r="X3547" s="5">
        <f t="shared" si="1112"/>
        <v>0</v>
      </c>
      <c r="Y3547" s="5">
        <f t="shared" si="1113"/>
        <v>0</v>
      </c>
      <c r="Z3547" s="5">
        <f t="shared" si="1114"/>
        <v>0</v>
      </c>
      <c r="AA3547" s="5">
        <f t="shared" si="1115"/>
        <v>0</v>
      </c>
      <c r="AB3547" s="5">
        <f t="shared" si="1095"/>
        <v>0</v>
      </c>
    </row>
    <row r="3548" spans="1:29" x14ac:dyDescent="0.25">
      <c r="D3548" t="s">
        <v>76</v>
      </c>
      <c r="E3548" s="14"/>
      <c r="F3548" s="14"/>
      <c r="G3548">
        <f>IFERROR(HLOOKUP(G$2,[107]table_female_hkom3_inj.ill_X5!$A$1:$K$36,8,FALSE),0)</f>
        <v>0</v>
      </c>
      <c r="H3548">
        <f>IFERROR(HLOOKUP(H$2,[107]table_female_hkom3_inj.ill_X5!$A$1:$K$36,8,FALSE),0)</f>
        <v>0</v>
      </c>
      <c r="I3548">
        <f>IFERROR(HLOOKUP(I$2,[107]table_female_hkom3_inj.ill_X5!$A$1:$K$36,8,FALSE),0)</f>
        <v>0</v>
      </c>
      <c r="J3548">
        <f>IFERROR(HLOOKUP(J$2,[107]table_female_hkom3_inj.ill_X5!$A$1:$K$36,8,FALSE),0)</f>
        <v>0</v>
      </c>
      <c r="K3548">
        <f>IFERROR(HLOOKUP(K$2,[107]table_female_hkom3_inj.ill_X5!$A$1:$K$36,8,FALSE),0)</f>
        <v>0</v>
      </c>
      <c r="L3548">
        <f>IFERROR(HLOOKUP(L$2,[107]table_female_hkom3_inj.ill_X5!$A$1:$K$36,8,FALSE),0)</f>
        <v>0</v>
      </c>
      <c r="M3548">
        <f t="shared" si="1107"/>
        <v>0</v>
      </c>
      <c r="S3548" t="s">
        <v>76</v>
      </c>
      <c r="T3548" s="5">
        <f t="shared" si="1108"/>
        <v>0</v>
      </c>
      <c r="U3548" s="5">
        <f t="shared" si="1109"/>
        <v>0</v>
      </c>
      <c r="V3548" s="5">
        <f t="shared" si="1110"/>
        <v>0</v>
      </c>
      <c r="W3548" s="5">
        <f t="shared" si="1111"/>
        <v>0</v>
      </c>
      <c r="X3548" s="5">
        <f t="shared" si="1112"/>
        <v>0</v>
      </c>
      <c r="Y3548" s="5">
        <f t="shared" si="1113"/>
        <v>0</v>
      </c>
      <c r="Z3548" s="5">
        <f t="shared" si="1114"/>
        <v>0</v>
      </c>
      <c r="AA3548" s="5">
        <f t="shared" si="1115"/>
        <v>0</v>
      </c>
      <c r="AB3548" s="5">
        <f t="shared" si="1095"/>
        <v>0</v>
      </c>
    </row>
    <row r="3549" spans="1:29" x14ac:dyDescent="0.25">
      <c r="D3549" t="s">
        <v>77</v>
      </c>
      <c r="E3549" s="14"/>
      <c r="F3549" s="14"/>
      <c r="G3549">
        <f>IFERROR(HLOOKUP(G$2,[107]table_female_hkom3_inj.ill_X5!$A$1:$K$36,9,FALSE),0)</f>
        <v>0</v>
      </c>
      <c r="H3549">
        <f>IFERROR(HLOOKUP(H$2,[107]table_female_hkom3_inj.ill_X5!$A$1:$K$36,9,FALSE),0)</f>
        <v>0</v>
      </c>
      <c r="I3549">
        <f>IFERROR(HLOOKUP(I$2,[107]table_female_hkom3_inj.ill_X5!$A$1:$K$36,9,FALSE),0)</f>
        <v>0</v>
      </c>
      <c r="J3549">
        <f>IFERROR(HLOOKUP(J$2,[107]table_female_hkom3_inj.ill_X5!$A$1:$K$36,9,FALSE),0)</f>
        <v>0</v>
      </c>
      <c r="K3549">
        <f>IFERROR(HLOOKUP(K$2,[107]table_female_hkom3_inj.ill_X5!$A$1:$K$36,9,FALSE),0)</f>
        <v>0</v>
      </c>
      <c r="L3549">
        <f>IFERROR(HLOOKUP(L$2,[107]table_female_hkom3_inj.ill_X5!$A$1:$K$36,9,FALSE),0)</f>
        <v>0</v>
      </c>
      <c r="M3549">
        <f t="shared" si="1107"/>
        <v>0</v>
      </c>
      <c r="S3549" t="s">
        <v>77</v>
      </c>
      <c r="T3549" s="5">
        <f t="shared" si="1108"/>
        <v>0</v>
      </c>
      <c r="U3549" s="5">
        <f t="shared" si="1109"/>
        <v>0</v>
      </c>
      <c r="V3549" s="5">
        <f t="shared" si="1110"/>
        <v>0</v>
      </c>
      <c r="W3549" s="5">
        <f t="shared" si="1111"/>
        <v>0</v>
      </c>
      <c r="X3549" s="5">
        <f t="shared" si="1112"/>
        <v>0</v>
      </c>
      <c r="Y3549" s="5">
        <f t="shared" si="1113"/>
        <v>0</v>
      </c>
      <c r="Z3549" s="5">
        <f t="shared" si="1114"/>
        <v>0</v>
      </c>
      <c r="AA3549" s="5">
        <f t="shared" si="1115"/>
        <v>0</v>
      </c>
      <c r="AB3549" s="5">
        <f t="shared" si="1095"/>
        <v>0</v>
      </c>
    </row>
    <row r="3550" spans="1:29" x14ac:dyDescent="0.25">
      <c r="D3550" t="s">
        <v>78</v>
      </c>
      <c r="E3550" s="14"/>
      <c r="F3550" s="14"/>
      <c r="G3550">
        <f>IFERROR(HLOOKUP(G$2,[107]table_female_hkom3_inj.ill_X5!$A$1:$K$36,10,FALSE),0)</f>
        <v>0</v>
      </c>
      <c r="H3550">
        <f>IFERROR(HLOOKUP(H$2,[107]table_female_hkom3_inj.ill_X5!$A$1:$K$36,10,FALSE),0)</f>
        <v>0</v>
      </c>
      <c r="I3550">
        <f>IFERROR(HLOOKUP(I$2,[107]table_female_hkom3_inj.ill_X5!$A$1:$K$36,10,FALSE),0)</f>
        <v>0</v>
      </c>
      <c r="J3550">
        <f>IFERROR(HLOOKUP(J$2,[107]table_female_hkom3_inj.ill_X5!$A$1:$K$36,10,FALSE),0)</f>
        <v>0</v>
      </c>
      <c r="K3550">
        <f>IFERROR(HLOOKUP(K$2,[107]table_female_hkom3_inj.ill_X5!$A$1:$K$36,10,FALSE),0)</f>
        <v>0</v>
      </c>
      <c r="L3550">
        <f>IFERROR(HLOOKUP(L$2,[107]table_female_hkom3_inj.ill_X5!$A$1:$K$36,10,FALSE),0)</f>
        <v>0</v>
      </c>
      <c r="M3550">
        <f t="shared" si="1107"/>
        <v>0</v>
      </c>
      <c r="S3550" t="s">
        <v>78</v>
      </c>
      <c r="T3550" s="5">
        <f t="shared" si="1108"/>
        <v>0</v>
      </c>
      <c r="U3550" s="5">
        <f t="shared" si="1109"/>
        <v>0</v>
      </c>
      <c r="V3550" s="5">
        <f t="shared" si="1110"/>
        <v>0</v>
      </c>
      <c r="W3550" s="5">
        <f t="shared" si="1111"/>
        <v>0</v>
      </c>
      <c r="X3550" s="5">
        <f t="shared" si="1112"/>
        <v>0</v>
      </c>
      <c r="Y3550" s="5">
        <f t="shared" si="1113"/>
        <v>0</v>
      </c>
      <c r="Z3550" s="5">
        <f t="shared" si="1114"/>
        <v>0</v>
      </c>
      <c r="AA3550" s="5">
        <f t="shared" si="1115"/>
        <v>0</v>
      </c>
      <c r="AB3550" s="5">
        <f t="shared" si="1095"/>
        <v>0</v>
      </c>
    </row>
    <row r="3551" spans="1:29" x14ac:dyDescent="0.25">
      <c r="D3551" t="s">
        <v>79</v>
      </c>
      <c r="E3551" s="14"/>
      <c r="F3551" s="14"/>
      <c r="G3551">
        <f>IFERROR(HLOOKUP(G$2,[107]table_female_hkom3_inj.ill_X5!$A$1:$K$36,11,FALSE),0)</f>
        <v>0</v>
      </c>
      <c r="H3551">
        <f>IFERROR(HLOOKUP(H$2,[107]table_female_hkom3_inj.ill_X5!$A$1:$K$36,11,FALSE),0)</f>
        <v>0</v>
      </c>
      <c r="I3551">
        <f>IFERROR(HLOOKUP(I$2,[107]table_female_hkom3_inj.ill_X5!$A$1:$K$36,11,FALSE),0)</f>
        <v>0</v>
      </c>
      <c r="J3551">
        <f>IFERROR(HLOOKUP(J$2,[107]table_female_hkom3_inj.ill_X5!$A$1:$K$36,11,FALSE),0)</f>
        <v>0</v>
      </c>
      <c r="K3551">
        <f>IFERROR(HLOOKUP(K$2,[107]table_female_hkom3_inj.ill_X5!$A$1:$K$36,11,FALSE),0)</f>
        <v>0</v>
      </c>
      <c r="L3551">
        <f>IFERROR(HLOOKUP(L$2,[107]table_female_hkom3_inj.ill_X5!$A$1:$K$36,11,FALSE),0)</f>
        <v>0</v>
      </c>
      <c r="M3551">
        <f t="shared" si="1107"/>
        <v>0</v>
      </c>
      <c r="S3551" t="s">
        <v>79</v>
      </c>
      <c r="T3551" s="5">
        <f t="shared" si="1108"/>
        <v>0</v>
      </c>
      <c r="U3551" s="5">
        <f t="shared" si="1109"/>
        <v>0</v>
      </c>
      <c r="V3551" s="5">
        <f t="shared" si="1110"/>
        <v>0</v>
      </c>
      <c r="W3551" s="5">
        <f t="shared" si="1111"/>
        <v>0</v>
      </c>
      <c r="X3551" s="5">
        <f t="shared" si="1112"/>
        <v>0</v>
      </c>
      <c r="Y3551" s="5">
        <f t="shared" si="1113"/>
        <v>0</v>
      </c>
      <c r="Z3551" s="5">
        <f t="shared" si="1114"/>
        <v>0</v>
      </c>
      <c r="AA3551" s="5">
        <f t="shared" si="1115"/>
        <v>0</v>
      </c>
      <c r="AB3551" s="5">
        <f t="shared" si="1095"/>
        <v>0</v>
      </c>
    </row>
    <row r="3552" spans="1:29" x14ac:dyDescent="0.25">
      <c r="D3552" t="s">
        <v>80</v>
      </c>
      <c r="E3552" s="14"/>
      <c r="F3552" s="14"/>
      <c r="G3552">
        <f>IFERROR(HLOOKUP(G$2,[107]table_female_hkom3_inj.ill_X5!$A$1:$K$36,12,FALSE),0)</f>
        <v>0</v>
      </c>
      <c r="H3552">
        <f>IFERROR(HLOOKUP(H$2,[107]table_female_hkom3_inj.ill_X5!$A$1:$K$36,12,FALSE),0)</f>
        <v>0</v>
      </c>
      <c r="I3552">
        <f>IFERROR(HLOOKUP(I$2,[107]table_female_hkom3_inj.ill_X5!$A$1:$K$36,12,FALSE),0)</f>
        <v>0</v>
      </c>
      <c r="J3552">
        <f>IFERROR(HLOOKUP(J$2,[107]table_female_hkom3_inj.ill_X5!$A$1:$K$36,12,FALSE),0)</f>
        <v>0</v>
      </c>
      <c r="K3552">
        <f>IFERROR(HLOOKUP(K$2,[107]table_female_hkom3_inj.ill_X5!$A$1:$K$36,12,FALSE),0)</f>
        <v>0</v>
      </c>
      <c r="L3552">
        <f>IFERROR(HLOOKUP(L$2,[107]table_female_hkom3_inj.ill_X5!$A$1:$K$36,12,FALSE),0)</f>
        <v>0</v>
      </c>
      <c r="M3552">
        <f t="shared" si="1107"/>
        <v>0</v>
      </c>
      <c r="S3552" t="s">
        <v>80</v>
      </c>
      <c r="T3552" s="5">
        <f t="shared" si="1108"/>
        <v>0</v>
      </c>
      <c r="U3552" s="5">
        <f t="shared" si="1109"/>
        <v>0</v>
      </c>
      <c r="V3552" s="5">
        <f t="shared" si="1110"/>
        <v>0</v>
      </c>
      <c r="W3552" s="5">
        <f t="shared" si="1111"/>
        <v>0</v>
      </c>
      <c r="X3552" s="5">
        <f t="shared" si="1112"/>
        <v>0</v>
      </c>
      <c r="Y3552" s="5">
        <f t="shared" si="1113"/>
        <v>0</v>
      </c>
      <c r="Z3552" s="5">
        <f t="shared" si="1114"/>
        <v>0</v>
      </c>
      <c r="AA3552" s="5">
        <f t="shared" si="1115"/>
        <v>0</v>
      </c>
      <c r="AB3552" s="5">
        <f t="shared" si="1095"/>
        <v>0</v>
      </c>
    </row>
    <row r="3553" spans="4:28" x14ac:dyDescent="0.25">
      <c r="D3553" t="s">
        <v>81</v>
      </c>
      <c r="E3553" s="14"/>
      <c r="F3553" s="14"/>
      <c r="G3553">
        <f>IFERROR(HLOOKUP(G$2,[107]table_female_hkom3_inj.ill_X5!$A$1:$K$36,13,FALSE),0)</f>
        <v>0</v>
      </c>
      <c r="H3553">
        <f>IFERROR(HLOOKUP(H$2,[107]table_female_hkom3_inj.ill_X5!$A$1:$K$36,13,FALSE),0)</f>
        <v>0</v>
      </c>
      <c r="I3553">
        <f>IFERROR(HLOOKUP(I$2,[107]table_female_hkom3_inj.ill_X5!$A$1:$K$36,13,FALSE),0)</f>
        <v>0</v>
      </c>
      <c r="J3553">
        <f>IFERROR(HLOOKUP(J$2,[107]table_female_hkom3_inj.ill_X5!$A$1:$K$36,13,FALSE),0)</f>
        <v>0</v>
      </c>
      <c r="K3553">
        <f>IFERROR(HLOOKUP(K$2,[107]table_female_hkom3_inj.ill_X5!$A$1:$K$36,13,FALSE),0)</f>
        <v>0</v>
      </c>
      <c r="L3553">
        <f>IFERROR(HLOOKUP(L$2,[107]table_female_hkom3_inj.ill_X5!$A$1:$K$36,13,FALSE),0)</f>
        <v>0</v>
      </c>
      <c r="M3553">
        <f t="shared" si="1107"/>
        <v>0</v>
      </c>
      <c r="S3553" t="s">
        <v>81</v>
      </c>
      <c r="T3553" s="5">
        <f t="shared" si="1108"/>
        <v>0</v>
      </c>
      <c r="U3553" s="5">
        <f t="shared" si="1109"/>
        <v>0</v>
      </c>
      <c r="V3553" s="5">
        <f t="shared" si="1110"/>
        <v>0</v>
      </c>
      <c r="W3553" s="5">
        <f t="shared" si="1111"/>
        <v>0</v>
      </c>
      <c r="X3553" s="5">
        <f t="shared" si="1112"/>
        <v>0</v>
      </c>
      <c r="Y3553" s="5">
        <f t="shared" si="1113"/>
        <v>0</v>
      </c>
      <c r="Z3553" s="5">
        <f t="shared" si="1114"/>
        <v>0</v>
      </c>
      <c r="AA3553" s="5">
        <f t="shared" si="1115"/>
        <v>0</v>
      </c>
      <c r="AB3553" s="5">
        <f t="shared" si="1095"/>
        <v>0</v>
      </c>
    </row>
    <row r="3554" spans="4:28" x14ac:dyDescent="0.25">
      <c r="D3554" t="s">
        <v>82</v>
      </c>
      <c r="E3554" s="14"/>
      <c r="F3554" s="14"/>
      <c r="G3554">
        <f>IFERROR(HLOOKUP(G$2,[107]table_female_hkom3_inj.ill_X5!$A$1:$K$36,14,FALSE),0)</f>
        <v>0</v>
      </c>
      <c r="H3554">
        <f>IFERROR(HLOOKUP(H$2,[107]table_female_hkom3_inj.ill_X5!$A$1:$K$36,14,FALSE),0)</f>
        <v>0</v>
      </c>
      <c r="I3554">
        <f>IFERROR(HLOOKUP(I$2,[107]table_female_hkom3_inj.ill_X5!$A$1:$K$36,14,FALSE),0)</f>
        <v>0</v>
      </c>
      <c r="J3554">
        <f>IFERROR(HLOOKUP(J$2,[107]table_female_hkom3_inj.ill_X5!$A$1:$K$36,14,FALSE),0)</f>
        <v>0</v>
      </c>
      <c r="K3554">
        <f>IFERROR(HLOOKUP(K$2,[107]table_female_hkom3_inj.ill_X5!$A$1:$K$36,14,FALSE),0)</f>
        <v>0</v>
      </c>
      <c r="L3554">
        <f>IFERROR(HLOOKUP(L$2,[107]table_female_hkom3_inj.ill_X5!$A$1:$K$36,14,FALSE),0)</f>
        <v>0</v>
      </c>
      <c r="M3554">
        <f t="shared" si="1107"/>
        <v>0</v>
      </c>
      <c r="S3554" t="s">
        <v>82</v>
      </c>
      <c r="T3554" s="5">
        <f t="shared" si="1108"/>
        <v>0</v>
      </c>
      <c r="U3554" s="5">
        <f t="shared" si="1109"/>
        <v>0</v>
      </c>
      <c r="V3554" s="5">
        <f t="shared" si="1110"/>
        <v>0</v>
      </c>
      <c r="W3554" s="5">
        <f t="shared" si="1111"/>
        <v>0</v>
      </c>
      <c r="X3554" s="5">
        <f t="shared" si="1112"/>
        <v>0</v>
      </c>
      <c r="Y3554" s="5">
        <f t="shared" si="1113"/>
        <v>0</v>
      </c>
      <c r="Z3554" s="5">
        <f t="shared" si="1114"/>
        <v>0</v>
      </c>
      <c r="AA3554" s="5">
        <f t="shared" si="1115"/>
        <v>0</v>
      </c>
      <c r="AB3554" s="5">
        <f t="shared" si="1095"/>
        <v>0</v>
      </c>
    </row>
    <row r="3555" spans="4:28" x14ac:dyDescent="0.25">
      <c r="D3555" t="s">
        <v>83</v>
      </c>
      <c r="E3555" s="14"/>
      <c r="F3555" s="14"/>
      <c r="G3555">
        <f>IFERROR(HLOOKUP(G$2,[107]table_female_hkom3_inj.ill_X5!$A$1:$K$36,15,FALSE),0)</f>
        <v>0</v>
      </c>
      <c r="H3555">
        <f>IFERROR(HLOOKUP(H$2,[107]table_female_hkom3_inj.ill_X5!$A$1:$K$36,15,FALSE),0)</f>
        <v>0</v>
      </c>
      <c r="I3555">
        <f>IFERROR(HLOOKUP(I$2,[107]table_female_hkom3_inj.ill_X5!$A$1:$K$36,15,FALSE),0)</f>
        <v>0</v>
      </c>
      <c r="J3555">
        <f>IFERROR(HLOOKUP(J$2,[107]table_female_hkom3_inj.ill_X5!$A$1:$K$36,15,FALSE),0)</f>
        <v>0</v>
      </c>
      <c r="K3555">
        <f>IFERROR(HLOOKUP(K$2,[107]table_female_hkom3_inj.ill_X5!$A$1:$K$36,15,FALSE),0)</f>
        <v>0</v>
      </c>
      <c r="L3555">
        <f>IFERROR(HLOOKUP(L$2,[107]table_female_hkom3_inj.ill_X5!$A$1:$K$36,15,FALSE),0)</f>
        <v>0</v>
      </c>
      <c r="M3555">
        <f t="shared" si="1107"/>
        <v>0</v>
      </c>
      <c r="S3555" t="s">
        <v>83</v>
      </c>
      <c r="T3555" s="5">
        <f t="shared" si="1108"/>
        <v>0</v>
      </c>
      <c r="U3555" s="5">
        <f t="shared" si="1109"/>
        <v>0</v>
      </c>
      <c r="V3555" s="5">
        <f t="shared" si="1110"/>
        <v>0</v>
      </c>
      <c r="W3555" s="5">
        <f t="shared" si="1111"/>
        <v>0</v>
      </c>
      <c r="X3555" s="5">
        <f t="shared" si="1112"/>
        <v>0</v>
      </c>
      <c r="Y3555" s="5">
        <f t="shared" si="1113"/>
        <v>0</v>
      </c>
      <c r="Z3555" s="5">
        <f t="shared" si="1114"/>
        <v>0</v>
      </c>
      <c r="AA3555" s="5">
        <f t="shared" si="1115"/>
        <v>0</v>
      </c>
      <c r="AB3555" s="5">
        <f t="shared" si="1095"/>
        <v>0</v>
      </c>
    </row>
    <row r="3556" spans="4:28" x14ac:dyDescent="0.25">
      <c r="D3556" t="s">
        <v>84</v>
      </c>
      <c r="E3556" s="14"/>
      <c r="F3556" s="14"/>
      <c r="G3556">
        <f>IFERROR(HLOOKUP(G$2,[107]table_female_hkom3_inj.ill_X5!$A$1:$K$36,16,FALSE),0)</f>
        <v>0</v>
      </c>
      <c r="H3556">
        <f>IFERROR(HLOOKUP(H$2,[107]table_female_hkom3_inj.ill_X5!$A$1:$K$36,16,FALSE),0)</f>
        <v>0</v>
      </c>
      <c r="I3556">
        <f>IFERROR(HLOOKUP(I$2,[107]table_female_hkom3_inj.ill_X5!$A$1:$K$36,16,FALSE),0)</f>
        <v>0</v>
      </c>
      <c r="J3556">
        <f>IFERROR(HLOOKUP(J$2,[107]table_female_hkom3_inj.ill_X5!$A$1:$K$36,16,FALSE),0)</f>
        <v>0</v>
      </c>
      <c r="K3556">
        <f>IFERROR(HLOOKUP(K$2,[107]table_female_hkom3_inj.ill_X5!$A$1:$K$36,16,FALSE),0)</f>
        <v>0</v>
      </c>
      <c r="L3556">
        <f>IFERROR(HLOOKUP(L$2,[107]table_female_hkom3_inj.ill_X5!$A$1:$K$36,16,FALSE),0)</f>
        <v>0</v>
      </c>
      <c r="M3556">
        <f t="shared" si="1107"/>
        <v>0</v>
      </c>
      <c r="S3556" t="s">
        <v>84</v>
      </c>
      <c r="T3556" s="5">
        <f t="shared" si="1108"/>
        <v>0</v>
      </c>
      <c r="U3556" s="5">
        <f t="shared" si="1109"/>
        <v>0</v>
      </c>
      <c r="V3556" s="5">
        <f t="shared" si="1110"/>
        <v>0</v>
      </c>
      <c r="W3556" s="5">
        <f t="shared" si="1111"/>
        <v>0</v>
      </c>
      <c r="X3556" s="5">
        <f t="shared" si="1112"/>
        <v>0</v>
      </c>
      <c r="Y3556" s="5">
        <f t="shared" si="1113"/>
        <v>0</v>
      </c>
      <c r="Z3556" s="5">
        <f t="shared" si="1114"/>
        <v>0</v>
      </c>
      <c r="AA3556" s="5">
        <f t="shared" si="1115"/>
        <v>0</v>
      </c>
      <c r="AB3556" s="5">
        <f t="shared" si="1095"/>
        <v>0</v>
      </c>
    </row>
    <row r="3557" spans="4:28" x14ac:dyDescent="0.25">
      <c r="D3557" t="s">
        <v>85</v>
      </c>
      <c r="E3557" s="14"/>
      <c r="F3557" s="14"/>
      <c r="G3557">
        <f>IFERROR(HLOOKUP(G$2,[107]table_female_hkom3_inj.ill_X5!$A$1:$K$36,17,FALSE),0)</f>
        <v>0</v>
      </c>
      <c r="H3557">
        <f>IFERROR(HLOOKUP(H$2,[107]table_female_hkom3_inj.ill_X5!$A$1:$K$36,17,FALSE),0)</f>
        <v>0</v>
      </c>
      <c r="I3557">
        <f>IFERROR(HLOOKUP(I$2,[107]table_female_hkom3_inj.ill_X5!$A$1:$K$36,17,FALSE),0)</f>
        <v>0</v>
      </c>
      <c r="J3557">
        <f>IFERROR(HLOOKUP(J$2,[107]table_female_hkom3_inj.ill_X5!$A$1:$K$36,17,FALSE),0)</f>
        <v>0</v>
      </c>
      <c r="K3557">
        <f>IFERROR(HLOOKUP(K$2,[107]table_female_hkom3_inj.ill_X5!$A$1:$K$36,17,FALSE),0)</f>
        <v>0</v>
      </c>
      <c r="L3557">
        <f>IFERROR(HLOOKUP(L$2,[107]table_female_hkom3_inj.ill_X5!$A$1:$K$36,17,FALSE),0)</f>
        <v>0</v>
      </c>
      <c r="M3557">
        <f t="shared" si="1107"/>
        <v>0</v>
      </c>
      <c r="S3557" t="s">
        <v>85</v>
      </c>
      <c r="T3557" s="5">
        <f t="shared" si="1108"/>
        <v>0</v>
      </c>
      <c r="U3557" s="5">
        <f t="shared" si="1109"/>
        <v>0</v>
      </c>
      <c r="V3557" s="5">
        <f t="shared" si="1110"/>
        <v>0</v>
      </c>
      <c r="W3557" s="5">
        <f t="shared" si="1111"/>
        <v>0</v>
      </c>
      <c r="X3557" s="5">
        <f t="shared" si="1112"/>
        <v>0</v>
      </c>
      <c r="Y3557" s="5">
        <f t="shared" si="1113"/>
        <v>0</v>
      </c>
      <c r="Z3557" s="5">
        <f t="shared" si="1114"/>
        <v>0</v>
      </c>
      <c r="AA3557" s="5">
        <f t="shared" si="1115"/>
        <v>0</v>
      </c>
      <c r="AB3557" s="5">
        <f t="shared" si="1095"/>
        <v>0</v>
      </c>
    </row>
    <row r="3558" spans="4:28" x14ac:dyDescent="0.25">
      <c r="D3558" t="s">
        <v>86</v>
      </c>
      <c r="E3558" s="14"/>
      <c r="F3558" s="14"/>
      <c r="G3558">
        <f>IFERROR(HLOOKUP(G$2,[107]table_female_hkom3_inj.ill_X5!$A$1:$K$36,18,FALSE),0)</f>
        <v>0</v>
      </c>
      <c r="H3558">
        <f>IFERROR(HLOOKUP(H$2,[107]table_female_hkom3_inj.ill_X5!$A$1:$K$36,18,FALSE),0)</f>
        <v>0</v>
      </c>
      <c r="I3558">
        <f>IFERROR(HLOOKUP(I$2,[107]table_female_hkom3_inj.ill_X5!$A$1:$K$36,18,FALSE),0)</f>
        <v>0</v>
      </c>
      <c r="J3558">
        <f>IFERROR(HLOOKUP(J$2,[107]table_female_hkom3_inj.ill_X5!$A$1:$K$36,18,FALSE),0)</f>
        <v>0</v>
      </c>
      <c r="K3558">
        <f>IFERROR(HLOOKUP(K$2,[107]table_female_hkom3_inj.ill_X5!$A$1:$K$36,18,FALSE),0)</f>
        <v>0</v>
      </c>
      <c r="L3558">
        <f>IFERROR(HLOOKUP(L$2,[107]table_female_hkom3_inj.ill_X5!$A$1:$K$36,18,FALSE),0)</f>
        <v>0</v>
      </c>
      <c r="M3558">
        <f t="shared" si="1107"/>
        <v>0</v>
      </c>
      <c r="S3558" t="s">
        <v>86</v>
      </c>
      <c r="T3558" s="5">
        <f t="shared" si="1108"/>
        <v>0</v>
      </c>
      <c r="U3558" s="5">
        <f t="shared" si="1109"/>
        <v>0</v>
      </c>
      <c r="V3558" s="5">
        <f t="shared" si="1110"/>
        <v>0</v>
      </c>
      <c r="W3558" s="5">
        <f t="shared" si="1111"/>
        <v>0</v>
      </c>
      <c r="X3558" s="5">
        <f t="shared" si="1112"/>
        <v>0</v>
      </c>
      <c r="Y3558" s="5">
        <f t="shared" si="1113"/>
        <v>0</v>
      </c>
      <c r="Z3558" s="5">
        <f t="shared" si="1114"/>
        <v>0</v>
      </c>
      <c r="AA3558" s="5">
        <f t="shared" si="1115"/>
        <v>0</v>
      </c>
      <c r="AB3558" s="5">
        <f t="shared" si="1095"/>
        <v>0</v>
      </c>
    </row>
    <row r="3559" spans="4:28" x14ac:dyDescent="0.25">
      <c r="D3559" t="s">
        <v>87</v>
      </c>
      <c r="E3559" s="14"/>
      <c r="F3559" s="14"/>
      <c r="G3559">
        <f>IFERROR(HLOOKUP(G$2,[107]table_female_hkom3_inj.ill_X5!$A$1:$K$36,19,FALSE),0)</f>
        <v>0</v>
      </c>
      <c r="H3559">
        <f>IFERROR(HLOOKUP(H$2,[107]table_female_hkom3_inj.ill_X5!$A$1:$K$36,19,FALSE),0)</f>
        <v>0</v>
      </c>
      <c r="I3559">
        <f>IFERROR(HLOOKUP(I$2,[107]table_female_hkom3_inj.ill_X5!$A$1:$K$36,19,FALSE),0)</f>
        <v>0</v>
      </c>
      <c r="J3559">
        <f>IFERROR(HLOOKUP(J$2,[107]table_female_hkom3_inj.ill_X5!$A$1:$K$36,19,FALSE),0)</f>
        <v>0</v>
      </c>
      <c r="K3559">
        <f>IFERROR(HLOOKUP(K$2,[107]table_female_hkom3_inj.ill_X5!$A$1:$K$36,19,FALSE),0)</f>
        <v>0</v>
      </c>
      <c r="L3559">
        <f>IFERROR(HLOOKUP(L$2,[107]table_female_hkom3_inj.ill_X5!$A$1:$K$36,19,FALSE),0)</f>
        <v>0</v>
      </c>
      <c r="M3559">
        <f t="shared" si="1107"/>
        <v>0</v>
      </c>
      <c r="S3559" t="s">
        <v>87</v>
      </c>
      <c r="T3559" s="5">
        <f t="shared" si="1108"/>
        <v>0</v>
      </c>
      <c r="U3559" s="5">
        <f t="shared" si="1109"/>
        <v>0</v>
      </c>
      <c r="V3559" s="5">
        <f t="shared" si="1110"/>
        <v>0</v>
      </c>
      <c r="W3559" s="5">
        <f t="shared" si="1111"/>
        <v>0</v>
      </c>
      <c r="X3559" s="5">
        <f t="shared" si="1112"/>
        <v>0</v>
      </c>
      <c r="Y3559" s="5">
        <f t="shared" si="1113"/>
        <v>0</v>
      </c>
      <c r="Z3559" s="5">
        <f t="shared" si="1114"/>
        <v>0</v>
      </c>
      <c r="AA3559" s="5">
        <f t="shared" si="1115"/>
        <v>0</v>
      </c>
      <c r="AB3559" s="5">
        <f t="shared" si="1095"/>
        <v>0</v>
      </c>
    </row>
    <row r="3560" spans="4:28" x14ac:dyDescent="0.25">
      <c r="D3560" t="s">
        <v>88</v>
      </c>
      <c r="E3560" s="14"/>
      <c r="F3560" s="14"/>
      <c r="G3560">
        <f>IFERROR(HLOOKUP(G$2,[107]table_female_hkom3_inj.ill_X5!$A$1:$K$36,20,FALSE),0)</f>
        <v>0</v>
      </c>
      <c r="H3560">
        <f>IFERROR(HLOOKUP(H$2,[107]table_female_hkom3_inj.ill_X5!$A$1:$K$36,20,FALSE),0)</f>
        <v>0</v>
      </c>
      <c r="I3560">
        <f>IFERROR(HLOOKUP(I$2,[107]table_female_hkom3_inj.ill_X5!$A$1:$K$36,20,FALSE),0)</f>
        <v>0</v>
      </c>
      <c r="J3560">
        <f>IFERROR(HLOOKUP(J$2,[107]table_female_hkom3_inj.ill_X5!$A$1:$K$36,20,FALSE),0)</f>
        <v>0</v>
      </c>
      <c r="K3560">
        <f>IFERROR(HLOOKUP(K$2,[107]table_female_hkom3_inj.ill_X5!$A$1:$K$36,20,FALSE),0)</f>
        <v>0</v>
      </c>
      <c r="L3560">
        <f>IFERROR(HLOOKUP(L$2,[107]table_female_hkom3_inj.ill_X5!$A$1:$K$36,20,FALSE),0)</f>
        <v>0</v>
      </c>
      <c r="M3560">
        <f t="shared" si="1107"/>
        <v>0</v>
      </c>
      <c r="S3560" t="s">
        <v>88</v>
      </c>
      <c r="T3560" s="5">
        <f t="shared" si="1108"/>
        <v>0</v>
      </c>
      <c r="U3560" s="5">
        <f t="shared" si="1109"/>
        <v>0</v>
      </c>
      <c r="V3560" s="5">
        <f t="shared" si="1110"/>
        <v>0</v>
      </c>
      <c r="W3560" s="5">
        <f t="shared" si="1111"/>
        <v>0</v>
      </c>
      <c r="X3560" s="5">
        <f t="shared" si="1112"/>
        <v>0</v>
      </c>
      <c r="Y3560" s="5">
        <f t="shared" si="1113"/>
        <v>0</v>
      </c>
      <c r="Z3560" s="5">
        <f t="shared" si="1114"/>
        <v>0</v>
      </c>
      <c r="AA3560" s="5">
        <f t="shared" si="1115"/>
        <v>0</v>
      </c>
      <c r="AB3560" s="5">
        <f t="shared" si="1095"/>
        <v>0</v>
      </c>
    </row>
    <row r="3561" spans="4:28" x14ac:dyDescent="0.25">
      <c r="D3561" t="s">
        <v>89</v>
      </c>
      <c r="E3561" s="14"/>
      <c r="F3561" s="14"/>
      <c r="G3561">
        <f>IFERROR(HLOOKUP(G$2,[107]table_female_hkom3_inj.ill_X5!$A$1:$K$36,21,FALSE),0)</f>
        <v>0</v>
      </c>
      <c r="H3561">
        <f>IFERROR(HLOOKUP(H$2,[107]table_female_hkom3_inj.ill_X5!$A$1:$K$36,21,FALSE),0)</f>
        <v>0</v>
      </c>
      <c r="I3561">
        <f>IFERROR(HLOOKUP(I$2,[107]table_female_hkom3_inj.ill_X5!$A$1:$K$36,21,FALSE),0)</f>
        <v>0</v>
      </c>
      <c r="J3561">
        <f>IFERROR(HLOOKUP(J$2,[107]table_female_hkom3_inj.ill_X5!$A$1:$K$36,21,FALSE),0)</f>
        <v>0</v>
      </c>
      <c r="K3561">
        <f>IFERROR(HLOOKUP(K$2,[107]table_female_hkom3_inj.ill_X5!$A$1:$K$36,21,FALSE),0)</f>
        <v>0</v>
      </c>
      <c r="L3561">
        <f>IFERROR(HLOOKUP(L$2,[107]table_female_hkom3_inj.ill_X5!$A$1:$K$36,21,FALSE),0)</f>
        <v>0</v>
      </c>
      <c r="M3561">
        <f t="shared" si="1107"/>
        <v>0</v>
      </c>
      <c r="S3561" t="s">
        <v>89</v>
      </c>
      <c r="T3561" s="5">
        <f t="shared" si="1108"/>
        <v>0</v>
      </c>
      <c r="U3561" s="5">
        <f t="shared" si="1109"/>
        <v>0</v>
      </c>
      <c r="V3561" s="5">
        <f t="shared" si="1110"/>
        <v>0</v>
      </c>
      <c r="W3561" s="5">
        <f t="shared" si="1111"/>
        <v>0</v>
      </c>
      <c r="X3561" s="5">
        <f t="shared" si="1112"/>
        <v>0</v>
      </c>
      <c r="Y3561" s="5">
        <f t="shared" si="1113"/>
        <v>0</v>
      </c>
      <c r="Z3561" s="5">
        <f t="shared" si="1114"/>
        <v>0</v>
      </c>
      <c r="AA3561" s="5">
        <f t="shared" si="1115"/>
        <v>0</v>
      </c>
      <c r="AB3561" s="5">
        <f t="shared" si="1095"/>
        <v>0</v>
      </c>
    </row>
    <row r="3562" spans="4:28" x14ac:dyDescent="0.25">
      <c r="D3562" t="s">
        <v>90</v>
      </c>
      <c r="E3562" s="14"/>
      <c r="F3562" s="14"/>
      <c r="G3562">
        <f>IFERROR(HLOOKUP(G$2,[107]table_female_hkom3_inj.ill_X5!$A$1:$K$36,22,FALSE),0)</f>
        <v>0</v>
      </c>
      <c r="H3562">
        <f>IFERROR(HLOOKUP(H$2,[107]table_female_hkom3_inj.ill_X5!$A$1:$K$36,22,FALSE),0)</f>
        <v>0</v>
      </c>
      <c r="I3562">
        <f>IFERROR(HLOOKUP(I$2,[107]table_female_hkom3_inj.ill_X5!$A$1:$K$36,22,FALSE),0)</f>
        <v>0</v>
      </c>
      <c r="J3562">
        <f>IFERROR(HLOOKUP(J$2,[107]table_female_hkom3_inj.ill_X5!$A$1:$K$36,22,FALSE),0)</f>
        <v>0</v>
      </c>
      <c r="K3562">
        <f>IFERROR(HLOOKUP(K$2,[107]table_female_hkom3_inj.ill_X5!$A$1:$K$36,22,FALSE),0)</f>
        <v>0</v>
      </c>
      <c r="L3562">
        <f>IFERROR(HLOOKUP(L$2,[107]table_female_hkom3_inj.ill_X5!$A$1:$K$36,22,FALSE),0)</f>
        <v>0</v>
      </c>
      <c r="M3562">
        <f t="shared" si="1107"/>
        <v>0</v>
      </c>
      <c r="S3562" t="s">
        <v>90</v>
      </c>
      <c r="T3562" s="5">
        <f t="shared" si="1108"/>
        <v>0</v>
      </c>
      <c r="U3562" s="5">
        <f t="shared" si="1109"/>
        <v>0</v>
      </c>
      <c r="V3562" s="5">
        <f t="shared" si="1110"/>
        <v>0</v>
      </c>
      <c r="W3562" s="5">
        <f t="shared" si="1111"/>
        <v>0</v>
      </c>
      <c r="X3562" s="5">
        <f t="shared" si="1112"/>
        <v>0</v>
      </c>
      <c r="Y3562" s="5">
        <f t="shared" si="1113"/>
        <v>0</v>
      </c>
      <c r="Z3562" s="5">
        <f t="shared" si="1114"/>
        <v>0</v>
      </c>
      <c r="AA3562" s="5">
        <f t="shared" si="1115"/>
        <v>0</v>
      </c>
      <c r="AB3562" s="5">
        <f t="shared" si="1095"/>
        <v>0</v>
      </c>
    </row>
    <row r="3563" spans="4:28" x14ac:dyDescent="0.25">
      <c r="D3563" t="s">
        <v>91</v>
      </c>
      <c r="E3563" s="14"/>
      <c r="F3563" s="14"/>
      <c r="G3563">
        <f>IFERROR(HLOOKUP(G$2,[107]table_female_hkom3_inj.ill_X5!$A$1:$K$36,23,FALSE),0)</f>
        <v>0</v>
      </c>
      <c r="H3563">
        <f>IFERROR(HLOOKUP(H$2,[107]table_female_hkom3_inj.ill_X5!$A$1:$K$36,23,FALSE),0)</f>
        <v>0</v>
      </c>
      <c r="I3563">
        <f>IFERROR(HLOOKUP(I$2,[107]table_female_hkom3_inj.ill_X5!$A$1:$K$36,23,FALSE),0)</f>
        <v>0</v>
      </c>
      <c r="J3563">
        <f>IFERROR(HLOOKUP(J$2,[107]table_female_hkom3_inj.ill_X5!$A$1:$K$36,23,FALSE),0)</f>
        <v>0</v>
      </c>
      <c r="K3563">
        <f>IFERROR(HLOOKUP(K$2,[107]table_female_hkom3_inj.ill_X5!$A$1:$K$36,23,FALSE),0)</f>
        <v>0</v>
      </c>
      <c r="L3563">
        <f>IFERROR(HLOOKUP(L$2,[107]table_female_hkom3_inj.ill_X5!$A$1:$K$36,23,FALSE),0)</f>
        <v>0</v>
      </c>
      <c r="M3563">
        <f t="shared" si="1107"/>
        <v>0</v>
      </c>
      <c r="S3563" t="s">
        <v>91</v>
      </c>
      <c r="T3563" s="5">
        <f t="shared" si="1108"/>
        <v>0</v>
      </c>
      <c r="U3563" s="5">
        <f t="shared" si="1109"/>
        <v>0</v>
      </c>
      <c r="V3563" s="5">
        <f t="shared" si="1110"/>
        <v>0</v>
      </c>
      <c r="W3563" s="5">
        <f t="shared" si="1111"/>
        <v>0</v>
      </c>
      <c r="X3563" s="5">
        <f t="shared" si="1112"/>
        <v>0</v>
      </c>
      <c r="Y3563" s="5">
        <f t="shared" si="1113"/>
        <v>0</v>
      </c>
      <c r="Z3563" s="5">
        <f t="shared" si="1114"/>
        <v>0</v>
      </c>
      <c r="AA3563" s="5">
        <f t="shared" si="1115"/>
        <v>0</v>
      </c>
      <c r="AB3563" s="5">
        <f t="shared" ref="AB3563:AB3626" si="1116">SUM(T3563:AA3563)</f>
        <v>0</v>
      </c>
    </row>
    <row r="3564" spans="4:28" x14ac:dyDescent="0.25">
      <c r="D3564" t="s">
        <v>92</v>
      </c>
      <c r="E3564" s="14"/>
      <c r="F3564" s="14"/>
      <c r="G3564">
        <f>IFERROR(HLOOKUP(G$2,[107]table_female_hkom3_inj.ill_X5!$A$1:$K$36,24,FALSE),0)</f>
        <v>0</v>
      </c>
      <c r="H3564">
        <f>IFERROR(HLOOKUP(H$2,[107]table_female_hkom3_inj.ill_X5!$A$1:$K$36,24,FALSE),0)</f>
        <v>0</v>
      </c>
      <c r="I3564">
        <f>IFERROR(HLOOKUP(I$2,[107]table_female_hkom3_inj.ill_X5!$A$1:$K$36,24,FALSE),0)</f>
        <v>0</v>
      </c>
      <c r="J3564">
        <f>IFERROR(HLOOKUP(J$2,[107]table_female_hkom3_inj.ill_X5!$A$1:$K$36,24,FALSE),0)</f>
        <v>0</v>
      </c>
      <c r="K3564">
        <f>IFERROR(HLOOKUP(K$2,[107]table_female_hkom3_inj.ill_X5!$A$1:$K$36,24,FALSE),0)</f>
        <v>0</v>
      </c>
      <c r="L3564">
        <f>IFERROR(HLOOKUP(L$2,[107]table_female_hkom3_inj.ill_X5!$A$1:$K$36,24,FALSE),0)</f>
        <v>0</v>
      </c>
      <c r="M3564">
        <f t="shared" si="1107"/>
        <v>0</v>
      </c>
      <c r="S3564" t="s">
        <v>92</v>
      </c>
      <c r="T3564" s="5">
        <f t="shared" si="1108"/>
        <v>0</v>
      </c>
      <c r="U3564" s="5">
        <f t="shared" si="1109"/>
        <v>0</v>
      </c>
      <c r="V3564" s="5">
        <f t="shared" si="1110"/>
        <v>0</v>
      </c>
      <c r="W3564" s="5">
        <f t="shared" si="1111"/>
        <v>0</v>
      </c>
      <c r="X3564" s="5">
        <f t="shared" si="1112"/>
        <v>0</v>
      </c>
      <c r="Y3564" s="5">
        <f t="shared" si="1113"/>
        <v>0</v>
      </c>
      <c r="Z3564" s="5">
        <f t="shared" si="1114"/>
        <v>0</v>
      </c>
      <c r="AA3564" s="5">
        <f t="shared" si="1115"/>
        <v>0</v>
      </c>
      <c r="AB3564" s="5">
        <f t="shared" si="1116"/>
        <v>0</v>
      </c>
    </row>
    <row r="3565" spans="4:28" x14ac:dyDescent="0.25">
      <c r="D3565" t="s">
        <v>93</v>
      </c>
      <c r="E3565" s="14"/>
      <c r="F3565" s="14"/>
      <c r="G3565">
        <f>IFERROR(HLOOKUP(G$2,[107]table_female_hkom3_inj.ill_X5!$A$1:$K$36,25,FALSE),0)</f>
        <v>0</v>
      </c>
      <c r="H3565">
        <f>IFERROR(HLOOKUP(H$2,[107]table_female_hkom3_inj.ill_X5!$A$1:$K$36,25,FALSE),0)</f>
        <v>0</v>
      </c>
      <c r="I3565">
        <f>IFERROR(HLOOKUP(I$2,[107]table_female_hkom3_inj.ill_X5!$A$1:$K$36,25,FALSE),0)</f>
        <v>0</v>
      </c>
      <c r="J3565">
        <f>IFERROR(HLOOKUP(J$2,[107]table_female_hkom3_inj.ill_X5!$A$1:$K$36,25,FALSE),0)</f>
        <v>0</v>
      </c>
      <c r="K3565">
        <f>IFERROR(HLOOKUP(K$2,[107]table_female_hkom3_inj.ill_X5!$A$1:$K$36,25,FALSE),0)</f>
        <v>0</v>
      </c>
      <c r="L3565">
        <f>IFERROR(HLOOKUP(L$2,[107]table_female_hkom3_inj.ill_X5!$A$1:$K$36,25,FALSE),0)</f>
        <v>0</v>
      </c>
      <c r="M3565">
        <f t="shared" si="1107"/>
        <v>0</v>
      </c>
      <c r="S3565" t="s">
        <v>93</v>
      </c>
      <c r="T3565" s="5">
        <f t="shared" si="1108"/>
        <v>0</v>
      </c>
      <c r="U3565" s="5">
        <f t="shared" si="1109"/>
        <v>0</v>
      </c>
      <c r="V3565" s="5">
        <f t="shared" si="1110"/>
        <v>0</v>
      </c>
      <c r="W3565" s="5">
        <f t="shared" si="1111"/>
        <v>0</v>
      </c>
      <c r="X3565" s="5">
        <f t="shared" si="1112"/>
        <v>0</v>
      </c>
      <c r="Y3565" s="5">
        <f t="shared" si="1113"/>
        <v>0</v>
      </c>
      <c r="Z3565" s="5">
        <f t="shared" si="1114"/>
        <v>0</v>
      </c>
      <c r="AA3565" s="5">
        <f t="shared" si="1115"/>
        <v>0</v>
      </c>
      <c r="AB3565" s="5">
        <f t="shared" si="1116"/>
        <v>0</v>
      </c>
    </row>
    <row r="3566" spans="4:28" x14ac:dyDescent="0.25">
      <c r="D3566" t="s">
        <v>94</v>
      </c>
      <c r="E3566" s="14"/>
      <c r="F3566" s="14"/>
      <c r="G3566">
        <f>IFERROR(HLOOKUP(G$2,[107]table_female_hkom3_inj.ill_X5!$A$1:$K$36,26,FALSE),0)</f>
        <v>0</v>
      </c>
      <c r="H3566">
        <f>IFERROR(HLOOKUP(H$2,[107]table_female_hkom3_inj.ill_X5!$A$1:$K$36,26,FALSE),0)</f>
        <v>0</v>
      </c>
      <c r="I3566">
        <f>IFERROR(HLOOKUP(I$2,[107]table_female_hkom3_inj.ill_X5!$A$1:$K$36,26,FALSE),0)</f>
        <v>0</v>
      </c>
      <c r="J3566">
        <f>IFERROR(HLOOKUP(J$2,[107]table_female_hkom3_inj.ill_X5!$A$1:$K$36,26,FALSE),0)</f>
        <v>0</v>
      </c>
      <c r="K3566">
        <f>IFERROR(HLOOKUP(K$2,[107]table_female_hkom3_inj.ill_X5!$A$1:$K$36,26,FALSE),0)</f>
        <v>0</v>
      </c>
      <c r="L3566">
        <f>IFERROR(HLOOKUP(L$2,[107]table_female_hkom3_inj.ill_X5!$A$1:$K$36,26,FALSE),0)</f>
        <v>0</v>
      </c>
      <c r="M3566">
        <f t="shared" si="1107"/>
        <v>0</v>
      </c>
      <c r="S3566" t="s">
        <v>94</v>
      </c>
      <c r="T3566" s="5">
        <f t="shared" si="1108"/>
        <v>0</v>
      </c>
      <c r="U3566" s="5">
        <f t="shared" si="1109"/>
        <v>0</v>
      </c>
      <c r="V3566" s="5">
        <f t="shared" si="1110"/>
        <v>0</v>
      </c>
      <c r="W3566" s="5">
        <f t="shared" si="1111"/>
        <v>0</v>
      </c>
      <c r="X3566" s="5">
        <f t="shared" si="1112"/>
        <v>0</v>
      </c>
      <c r="Y3566" s="5">
        <f t="shared" si="1113"/>
        <v>0</v>
      </c>
      <c r="Z3566" s="5">
        <f t="shared" si="1114"/>
        <v>0</v>
      </c>
      <c r="AA3566" s="5">
        <f t="shared" si="1115"/>
        <v>0</v>
      </c>
      <c r="AB3566" s="5">
        <f t="shared" si="1116"/>
        <v>0</v>
      </c>
    </row>
    <row r="3567" spans="4:28" x14ac:dyDescent="0.25">
      <c r="D3567" t="s">
        <v>95</v>
      </c>
      <c r="E3567" s="14"/>
      <c r="F3567" s="14"/>
      <c r="G3567">
        <f>IFERROR(HLOOKUP(G$2,[107]table_female_hkom3_inj.ill_X5!$A$1:$K$36,27,FALSE),0)</f>
        <v>0</v>
      </c>
      <c r="H3567">
        <f>IFERROR(HLOOKUP(H$2,[107]table_female_hkom3_inj.ill_X5!$A$1:$K$36,27,FALSE),0)</f>
        <v>0</v>
      </c>
      <c r="I3567">
        <f>IFERROR(HLOOKUP(I$2,[107]table_female_hkom3_inj.ill_X5!$A$1:$K$36,27,FALSE),0)</f>
        <v>0</v>
      </c>
      <c r="J3567">
        <f>IFERROR(HLOOKUP(J$2,[107]table_female_hkom3_inj.ill_X5!$A$1:$K$36,27,FALSE),0)</f>
        <v>0</v>
      </c>
      <c r="K3567">
        <f>IFERROR(HLOOKUP(K$2,[107]table_female_hkom3_inj.ill_X5!$A$1:$K$36,27,FALSE),0)</f>
        <v>0</v>
      </c>
      <c r="L3567">
        <f>IFERROR(HLOOKUP(L$2,[107]table_female_hkom3_inj.ill_X5!$A$1:$K$36,27,FALSE),0)</f>
        <v>0</v>
      </c>
      <c r="M3567">
        <f t="shared" si="1107"/>
        <v>0</v>
      </c>
      <c r="S3567" t="s">
        <v>95</v>
      </c>
      <c r="T3567" s="5">
        <f t="shared" si="1108"/>
        <v>0</v>
      </c>
      <c r="U3567" s="5">
        <f t="shared" si="1109"/>
        <v>0</v>
      </c>
      <c r="V3567" s="5">
        <f t="shared" si="1110"/>
        <v>0</v>
      </c>
      <c r="W3567" s="5">
        <f t="shared" si="1111"/>
        <v>0</v>
      </c>
      <c r="X3567" s="5">
        <f t="shared" si="1112"/>
        <v>0</v>
      </c>
      <c r="Y3567" s="5">
        <f t="shared" si="1113"/>
        <v>0</v>
      </c>
      <c r="Z3567" s="5">
        <f t="shared" si="1114"/>
        <v>0</v>
      </c>
      <c r="AA3567" s="5">
        <f t="shared" si="1115"/>
        <v>0</v>
      </c>
      <c r="AB3567" s="5">
        <f t="shared" si="1116"/>
        <v>0</v>
      </c>
    </row>
    <row r="3568" spans="4:28" x14ac:dyDescent="0.25">
      <c r="D3568" t="s">
        <v>96</v>
      </c>
      <c r="E3568" s="14"/>
      <c r="F3568" s="14"/>
      <c r="G3568">
        <f>IFERROR(HLOOKUP(G$2,[107]table_female_hkom3_inj.ill_X5!$A$1:$K$36,28,FALSE),0)</f>
        <v>0</v>
      </c>
      <c r="H3568">
        <f>IFERROR(HLOOKUP(H$2,[107]table_female_hkom3_inj.ill_X5!$A$1:$K$36,28,FALSE),0)</f>
        <v>0</v>
      </c>
      <c r="I3568">
        <f>IFERROR(HLOOKUP(I$2,[107]table_female_hkom3_inj.ill_X5!$A$1:$K$36,28,FALSE),0)</f>
        <v>0</v>
      </c>
      <c r="J3568">
        <f>IFERROR(HLOOKUP(J$2,[107]table_female_hkom3_inj.ill_X5!$A$1:$K$36,28,FALSE),0)</f>
        <v>0</v>
      </c>
      <c r="K3568">
        <f>IFERROR(HLOOKUP(K$2,[107]table_female_hkom3_inj.ill_X5!$A$1:$K$36,28,FALSE),0)</f>
        <v>0</v>
      </c>
      <c r="L3568">
        <f>IFERROR(HLOOKUP(L$2,[107]table_female_hkom3_inj.ill_X5!$A$1:$K$36,28,FALSE),0)</f>
        <v>0</v>
      </c>
      <c r="M3568">
        <f t="shared" si="1107"/>
        <v>0</v>
      </c>
      <c r="S3568" t="s">
        <v>96</v>
      </c>
      <c r="T3568" s="5">
        <f t="shared" si="1108"/>
        <v>0</v>
      </c>
      <c r="U3568" s="5">
        <f t="shared" si="1109"/>
        <v>0</v>
      </c>
      <c r="V3568" s="5">
        <f t="shared" si="1110"/>
        <v>0</v>
      </c>
      <c r="W3568" s="5">
        <f t="shared" si="1111"/>
        <v>0</v>
      </c>
      <c r="X3568" s="5">
        <f t="shared" si="1112"/>
        <v>0</v>
      </c>
      <c r="Y3568" s="5">
        <f t="shared" si="1113"/>
        <v>0</v>
      </c>
      <c r="Z3568" s="5">
        <f t="shared" si="1114"/>
        <v>0</v>
      </c>
      <c r="AA3568" s="5">
        <f t="shared" si="1115"/>
        <v>0</v>
      </c>
      <c r="AB3568" s="5">
        <f t="shared" si="1116"/>
        <v>0</v>
      </c>
    </row>
    <row r="3569" spans="1:29" x14ac:dyDescent="0.25">
      <c r="D3569" t="s">
        <v>97</v>
      </c>
      <c r="E3569" s="14"/>
      <c r="F3569" s="14"/>
      <c r="G3569">
        <f>IFERROR(HLOOKUP(G$2,[107]table_female_hkom3_inj.ill_X5!$A$1:$K$36,29,FALSE),0)</f>
        <v>0</v>
      </c>
      <c r="H3569">
        <f>IFERROR(HLOOKUP(H$2,[107]table_female_hkom3_inj.ill_X5!$A$1:$K$36,29,FALSE),0)</f>
        <v>0</v>
      </c>
      <c r="I3569">
        <f>IFERROR(HLOOKUP(I$2,[107]table_female_hkom3_inj.ill_X5!$A$1:$K$36,29,FALSE),0)</f>
        <v>0</v>
      </c>
      <c r="J3569">
        <f>IFERROR(HLOOKUP(J$2,[107]table_female_hkom3_inj.ill_X5!$A$1:$K$36,29,FALSE),0)</f>
        <v>0</v>
      </c>
      <c r="K3569">
        <f>IFERROR(HLOOKUP(K$2,[107]table_female_hkom3_inj.ill_X5!$A$1:$K$36,29,FALSE),0)</f>
        <v>0</v>
      </c>
      <c r="L3569">
        <f>IFERROR(HLOOKUP(L$2,[107]table_female_hkom3_inj.ill_X5!$A$1:$K$36,29,FALSE),0)</f>
        <v>0</v>
      </c>
      <c r="M3569">
        <f t="shared" si="1107"/>
        <v>0</v>
      </c>
      <c r="S3569" t="s">
        <v>97</v>
      </c>
      <c r="T3569" s="5">
        <f t="shared" si="1108"/>
        <v>0</v>
      </c>
      <c r="U3569" s="5">
        <f t="shared" si="1109"/>
        <v>0</v>
      </c>
      <c r="V3569" s="5">
        <f t="shared" si="1110"/>
        <v>0</v>
      </c>
      <c r="W3569" s="5">
        <f t="shared" si="1111"/>
        <v>0</v>
      </c>
      <c r="X3569" s="5">
        <f t="shared" si="1112"/>
        <v>0</v>
      </c>
      <c r="Y3569" s="5">
        <f t="shared" si="1113"/>
        <v>0</v>
      </c>
      <c r="Z3569" s="5">
        <f t="shared" si="1114"/>
        <v>0</v>
      </c>
      <c r="AA3569" s="5">
        <f t="shared" si="1115"/>
        <v>0</v>
      </c>
      <c r="AB3569" s="5">
        <f t="shared" si="1116"/>
        <v>0</v>
      </c>
    </row>
    <row r="3570" spans="1:29" x14ac:dyDescent="0.25">
      <c r="D3570" t="s">
        <v>98</v>
      </c>
      <c r="E3570" s="14"/>
      <c r="F3570" s="14"/>
      <c r="G3570">
        <f>IFERROR(HLOOKUP(G$2,[107]table_female_hkom3_inj.ill_X5!$A$1:$K$36,30,FALSE),0)</f>
        <v>0</v>
      </c>
      <c r="H3570">
        <f>IFERROR(HLOOKUP(H$2,[107]table_female_hkom3_inj.ill_X5!$A$1:$K$36,30,FALSE),0)</f>
        <v>0</v>
      </c>
      <c r="I3570">
        <f>IFERROR(HLOOKUP(I$2,[107]table_female_hkom3_inj.ill_X5!$A$1:$K$36,30,FALSE),0)</f>
        <v>0</v>
      </c>
      <c r="J3570">
        <f>IFERROR(HLOOKUP(J$2,[107]table_female_hkom3_inj.ill_X5!$A$1:$K$36,30,FALSE),0)</f>
        <v>0</v>
      </c>
      <c r="K3570">
        <f>IFERROR(HLOOKUP(K$2,[107]table_female_hkom3_inj.ill_X5!$A$1:$K$36,30,FALSE),0)</f>
        <v>0</v>
      </c>
      <c r="L3570">
        <f>IFERROR(HLOOKUP(L$2,[107]table_female_hkom3_inj.ill_X5!$A$1:$K$36,30,FALSE),0)</f>
        <v>0</v>
      </c>
      <c r="M3570">
        <f t="shared" si="1107"/>
        <v>0</v>
      </c>
      <c r="S3570" t="s">
        <v>98</v>
      </c>
      <c r="T3570" s="5">
        <f t="shared" si="1108"/>
        <v>0</v>
      </c>
      <c r="U3570" s="5">
        <f t="shared" si="1109"/>
        <v>0</v>
      </c>
      <c r="V3570" s="5">
        <f t="shared" si="1110"/>
        <v>0</v>
      </c>
      <c r="W3570" s="5">
        <f t="shared" si="1111"/>
        <v>0</v>
      </c>
      <c r="X3570" s="5">
        <f t="shared" si="1112"/>
        <v>0</v>
      </c>
      <c r="Y3570" s="5">
        <f t="shared" si="1113"/>
        <v>0</v>
      </c>
      <c r="Z3570" s="5">
        <f t="shared" si="1114"/>
        <v>0</v>
      </c>
      <c r="AA3570" s="5">
        <f t="shared" si="1115"/>
        <v>0</v>
      </c>
      <c r="AB3570" s="5">
        <f t="shared" si="1116"/>
        <v>0</v>
      </c>
    </row>
    <row r="3571" spans="1:29" x14ac:dyDescent="0.25">
      <c r="D3571" t="s">
        <v>119</v>
      </c>
      <c r="E3571" s="14"/>
      <c r="F3571" s="14"/>
      <c r="G3571">
        <f>IFERROR(HLOOKUP(G$2,[107]table_female_hkom3_inj.ill_X5!$A$1:$K$36,31,FALSE),0)</f>
        <v>0</v>
      </c>
      <c r="H3571">
        <f>IFERROR(HLOOKUP(H$2,[107]table_female_hkom3_inj.ill_X5!$A$1:$K$36,31,FALSE),0)</f>
        <v>0</v>
      </c>
      <c r="I3571">
        <f>IFERROR(HLOOKUP(I$2,[107]table_female_hkom3_inj.ill_X5!$A$1:$K$36,31,FALSE),0)</f>
        <v>0</v>
      </c>
      <c r="J3571">
        <f>IFERROR(HLOOKUP(J$2,[107]table_female_hkom3_inj.ill_X5!$A$1:$K$36,31,FALSE),0)</f>
        <v>0</v>
      </c>
      <c r="K3571">
        <f>IFERROR(HLOOKUP(K$2,[107]table_female_hkom3_inj.ill_X5!$A$1:$K$36,31,FALSE),0)</f>
        <v>0</v>
      </c>
      <c r="L3571">
        <f>IFERROR(HLOOKUP(L$2,[107]table_female_hkom3_inj.ill_X5!$A$1:$K$36,31,FALSE),0)</f>
        <v>0</v>
      </c>
      <c r="M3571">
        <f t="shared" si="1107"/>
        <v>0</v>
      </c>
      <c r="S3571" t="s">
        <v>119</v>
      </c>
      <c r="T3571" s="5">
        <f t="shared" si="1108"/>
        <v>0</v>
      </c>
      <c r="U3571" s="5">
        <f t="shared" si="1109"/>
        <v>0</v>
      </c>
      <c r="V3571" s="5">
        <f t="shared" si="1110"/>
        <v>0</v>
      </c>
      <c r="W3571" s="5">
        <f t="shared" si="1111"/>
        <v>0</v>
      </c>
      <c r="X3571" s="5">
        <f t="shared" si="1112"/>
        <v>0</v>
      </c>
      <c r="Y3571" s="5">
        <f t="shared" si="1113"/>
        <v>0</v>
      </c>
      <c r="Z3571" s="5">
        <f t="shared" si="1114"/>
        <v>0</v>
      </c>
      <c r="AA3571" s="5">
        <f t="shared" si="1115"/>
        <v>0</v>
      </c>
      <c r="AB3571" s="5">
        <f t="shared" si="1116"/>
        <v>0</v>
      </c>
    </row>
    <row r="3572" spans="1:29" x14ac:dyDescent="0.25">
      <c r="D3572" t="s">
        <v>99</v>
      </c>
      <c r="E3572" s="14"/>
      <c r="F3572" s="14"/>
      <c r="G3572">
        <f>IFERROR(HLOOKUP(G$2,[107]table_female_hkom3_inj.ill_X5!$A$1:$K$36,32,FALSE),0)</f>
        <v>0</v>
      </c>
      <c r="H3572">
        <f>IFERROR(HLOOKUP(H$2,[107]table_female_hkom3_inj.ill_X5!$A$1:$K$36,32,FALSE),0)</f>
        <v>0</v>
      </c>
      <c r="I3572">
        <f>IFERROR(HLOOKUP(I$2,[107]table_female_hkom3_inj.ill_X5!$A$1:$K$36,32,FALSE),0)</f>
        <v>0</v>
      </c>
      <c r="J3572">
        <f>IFERROR(HLOOKUP(J$2,[107]table_female_hkom3_inj.ill_X5!$A$1:$K$36,32,FALSE),0)</f>
        <v>0</v>
      </c>
      <c r="K3572">
        <f>IFERROR(HLOOKUP(K$2,[107]table_female_hkom3_inj.ill_X5!$A$1:$K$36,32,FALSE),0)</f>
        <v>0</v>
      </c>
      <c r="L3572">
        <f>IFERROR(HLOOKUP(L$2,[107]table_female_hkom3_inj.ill_X5!$A$1:$K$36,32,FALSE),0)</f>
        <v>0</v>
      </c>
      <c r="M3572">
        <f t="shared" si="1107"/>
        <v>0</v>
      </c>
      <c r="S3572" t="s">
        <v>99</v>
      </c>
      <c r="T3572" s="5">
        <f t="shared" si="1108"/>
        <v>0</v>
      </c>
      <c r="U3572" s="5">
        <f t="shared" si="1109"/>
        <v>0</v>
      </c>
      <c r="V3572" s="5">
        <f t="shared" si="1110"/>
        <v>0</v>
      </c>
      <c r="W3572" s="5">
        <f t="shared" si="1111"/>
        <v>0</v>
      </c>
      <c r="X3572" s="5">
        <f t="shared" si="1112"/>
        <v>0</v>
      </c>
      <c r="Y3572" s="5">
        <f t="shared" si="1113"/>
        <v>0</v>
      </c>
      <c r="Z3572" s="5">
        <f t="shared" si="1114"/>
        <v>0</v>
      </c>
      <c r="AA3572" s="5">
        <f t="shared" si="1115"/>
        <v>0</v>
      </c>
      <c r="AB3572" s="5">
        <f t="shared" si="1116"/>
        <v>0</v>
      </c>
    </row>
    <row r="3573" spans="1:29" x14ac:dyDescent="0.25">
      <c r="D3573" t="s">
        <v>100</v>
      </c>
      <c r="E3573" s="14"/>
      <c r="F3573" s="14"/>
      <c r="G3573">
        <f>IFERROR(HLOOKUP(G$2,[107]table_female_hkom3_inj.ill_X5!$A$1:$K$36,33,FALSE),0)</f>
        <v>0</v>
      </c>
      <c r="H3573">
        <f>IFERROR(HLOOKUP(H$2,[107]table_female_hkom3_inj.ill_X5!$A$1:$K$36,33,FALSE),0)</f>
        <v>0</v>
      </c>
      <c r="I3573">
        <f>IFERROR(HLOOKUP(I$2,[107]table_female_hkom3_inj.ill_X5!$A$1:$K$36,33,FALSE),0)</f>
        <v>0</v>
      </c>
      <c r="J3573">
        <f>IFERROR(HLOOKUP(J$2,[107]table_female_hkom3_inj.ill_X5!$A$1:$K$36,33,FALSE),0)</f>
        <v>0</v>
      </c>
      <c r="K3573">
        <f>IFERROR(HLOOKUP(K$2,[107]table_female_hkom3_inj.ill_X5!$A$1:$K$36,33,FALSE),0)</f>
        <v>0</v>
      </c>
      <c r="L3573">
        <f>IFERROR(HLOOKUP(L$2,[107]table_female_hkom3_inj.ill_X5!$A$1:$K$36,33,FALSE),0)</f>
        <v>0</v>
      </c>
      <c r="M3573">
        <f t="shared" si="1107"/>
        <v>0</v>
      </c>
      <c r="S3573" t="s">
        <v>100</v>
      </c>
      <c r="T3573" s="5">
        <f t="shared" si="1108"/>
        <v>0</v>
      </c>
      <c r="U3573" s="5">
        <f t="shared" si="1109"/>
        <v>0</v>
      </c>
      <c r="V3573" s="5">
        <f t="shared" si="1110"/>
        <v>0</v>
      </c>
      <c r="W3573" s="5">
        <f t="shared" si="1111"/>
        <v>0</v>
      </c>
      <c r="X3573" s="5">
        <f t="shared" si="1112"/>
        <v>0</v>
      </c>
      <c r="Y3573" s="5">
        <f t="shared" si="1113"/>
        <v>0</v>
      </c>
      <c r="Z3573" s="5">
        <f t="shared" si="1114"/>
        <v>0</v>
      </c>
      <c r="AA3573" s="5">
        <f t="shared" si="1115"/>
        <v>0</v>
      </c>
      <c r="AB3573" s="5">
        <f t="shared" si="1116"/>
        <v>0</v>
      </c>
    </row>
    <row r="3574" spans="1:29" x14ac:dyDescent="0.25">
      <c r="D3574" t="s">
        <v>101</v>
      </c>
      <c r="E3574" s="14"/>
      <c r="F3574" s="14"/>
      <c r="G3574">
        <f>IFERROR(HLOOKUP(G$2,[107]table_female_hkom3_inj.ill_X5!$A$1:$K$36,34,FALSE),0)</f>
        <v>0</v>
      </c>
      <c r="H3574">
        <f>IFERROR(HLOOKUP(H$2,[107]table_female_hkom3_inj.ill_X5!$A$1:$K$36,34,FALSE),0)</f>
        <v>0</v>
      </c>
      <c r="I3574">
        <f>IFERROR(HLOOKUP(I$2,[107]table_female_hkom3_inj.ill_X5!$A$1:$K$36,34,FALSE),0)</f>
        <v>0</v>
      </c>
      <c r="J3574">
        <f>IFERROR(HLOOKUP(J$2,[107]table_female_hkom3_inj.ill_X5!$A$1:$K$36,34,FALSE),0)</f>
        <v>0</v>
      </c>
      <c r="K3574">
        <f>IFERROR(HLOOKUP(K$2,[107]table_female_hkom3_inj.ill_X5!$A$1:$K$36,34,FALSE),0)</f>
        <v>0</v>
      </c>
      <c r="L3574">
        <f>IFERROR(HLOOKUP(L$2,[107]table_female_hkom3_inj.ill_X5!$A$1:$K$36,34,FALSE),0)</f>
        <v>0</v>
      </c>
      <c r="M3574">
        <f t="shared" si="1107"/>
        <v>0</v>
      </c>
      <c r="S3574" t="s">
        <v>101</v>
      </c>
      <c r="T3574" s="5">
        <f t="shared" si="1108"/>
        <v>0</v>
      </c>
      <c r="U3574" s="5">
        <f t="shared" si="1109"/>
        <v>0</v>
      </c>
      <c r="V3574" s="5">
        <f t="shared" si="1110"/>
        <v>0</v>
      </c>
      <c r="W3574" s="5">
        <f t="shared" si="1111"/>
        <v>0</v>
      </c>
      <c r="X3574" s="5">
        <f t="shared" si="1112"/>
        <v>0</v>
      </c>
      <c r="Y3574" s="5">
        <f t="shared" si="1113"/>
        <v>0</v>
      </c>
      <c r="Z3574" s="5">
        <f t="shared" si="1114"/>
        <v>0</v>
      </c>
      <c r="AA3574" s="5">
        <f t="shared" si="1115"/>
        <v>0</v>
      </c>
      <c r="AB3574" s="5">
        <f t="shared" si="1116"/>
        <v>0</v>
      </c>
    </row>
    <row r="3575" spans="1:29" x14ac:dyDescent="0.25">
      <c r="D3575" t="s">
        <v>102</v>
      </c>
      <c r="E3575" s="14"/>
      <c r="F3575" s="14"/>
      <c r="G3575">
        <f>IFERROR(HLOOKUP(G$2,[107]table_female_hkom3_inj.ill_X5!$A$1:$K$36,35,FALSE),0)</f>
        <v>0</v>
      </c>
      <c r="H3575">
        <f>IFERROR(HLOOKUP(H$2,[107]table_female_hkom3_inj.ill_X5!$A$1:$K$36,35,FALSE),0)</f>
        <v>0</v>
      </c>
      <c r="I3575">
        <f>IFERROR(HLOOKUP(I$2,[107]table_female_hkom3_inj.ill_X5!$A$1:$K$36,35,FALSE),0)</f>
        <v>0</v>
      </c>
      <c r="J3575">
        <f>IFERROR(HLOOKUP(J$2,[107]table_female_hkom3_inj.ill_X5!$A$1:$K$36,35,FALSE),0)</f>
        <v>0</v>
      </c>
      <c r="K3575">
        <f>IFERROR(HLOOKUP(K$2,[107]table_female_hkom3_inj.ill_X5!$A$1:$K$36,35,FALSE),0)</f>
        <v>0</v>
      </c>
      <c r="L3575">
        <f>IFERROR(HLOOKUP(L$2,[107]table_female_hkom3_inj.ill_X5!$A$1:$K$36,35,FALSE),0)</f>
        <v>0</v>
      </c>
      <c r="M3575">
        <f t="shared" si="1107"/>
        <v>0</v>
      </c>
      <c r="N3575">
        <f>SUM(M3542:M3575)</f>
        <v>0</v>
      </c>
      <c r="O3575" s="8">
        <f>SUM([107]table_female_hkom3_inj.ill_X5!$B$2:$L$37)</f>
        <v>0</v>
      </c>
      <c r="S3575" t="s">
        <v>102</v>
      </c>
      <c r="T3575" s="7"/>
      <c r="U3575" s="7"/>
      <c r="V3575" s="7"/>
      <c r="W3575" s="7"/>
      <c r="X3575" s="7"/>
      <c r="Y3575" s="7"/>
      <c r="Z3575" s="7"/>
      <c r="AA3575" s="7"/>
      <c r="AB3575" s="5">
        <f t="shared" si="1116"/>
        <v>0</v>
      </c>
      <c r="AC3575" s="5">
        <f>SUM(AB3542:AB3574)</f>
        <v>0</v>
      </c>
    </row>
    <row r="3576" spans="1:29" x14ac:dyDescent="0.25">
      <c r="A3576" t="s">
        <v>115</v>
      </c>
      <c r="B3576" t="s">
        <v>117</v>
      </c>
      <c r="C3576" t="s">
        <v>128</v>
      </c>
      <c r="D3576" t="s">
        <v>70</v>
      </c>
      <c r="E3576" s="14"/>
      <c r="F3576" s="14"/>
      <c r="G3576">
        <f>IFERROR(HLOOKUP(G$2,[108]table_female_hkom3_inj.ill_X6!$A$1:$K$36,2,FALSE),0)</f>
        <v>0</v>
      </c>
      <c r="H3576">
        <f>IFERROR(HLOOKUP(H$2,[108]table_female_hkom3_inj.ill_X6!$A$1:$K$36,2,FALSE),0)</f>
        <v>0</v>
      </c>
      <c r="I3576">
        <f>IFERROR(HLOOKUP(I$2,[108]table_female_hkom3_inj.ill_X6!$A$1:$K$36,2,FALSE),0)</f>
        <v>0</v>
      </c>
      <c r="J3576">
        <f>IFERROR(HLOOKUP(J$2,[108]table_female_hkom3_inj.ill_X6!$A$1:$K$36,2,FALSE),0)</f>
        <v>0</v>
      </c>
      <c r="K3576">
        <f>IFERROR(HLOOKUP(K$2,[108]table_female_hkom3_inj.ill_X6!$A$1:$K$36,2,FALSE),0)</f>
        <v>0</v>
      </c>
      <c r="L3576">
        <f>IFERROR(HLOOKUP(L$2,[108]table_female_hkom3_inj.ill_X6!$A$1:$K$36,2,FALSE),0)</f>
        <v>0</v>
      </c>
      <c r="M3576">
        <f>SUM(E3576:L3576)</f>
        <v>0</v>
      </c>
      <c r="P3576" t="s">
        <v>115</v>
      </c>
      <c r="Q3576" t="s">
        <v>117</v>
      </c>
      <c r="R3576" t="s">
        <v>128</v>
      </c>
      <c r="S3576" t="s">
        <v>70</v>
      </c>
      <c r="T3576" s="5">
        <f>IF(SUM(E$3576:E$3608)=0,E$3609/33,E3576+IFERROR(E3576/SUM(E$3576:E$3608)*E$3609,0))</f>
        <v>0</v>
      </c>
      <c r="U3576" s="5">
        <f t="shared" ref="U3576:AA3576" si="1117">IF(SUM(F$3576:F$3608)=0,F$3609/33,F3576+IFERROR(F3576/SUM(F$3576:F$3608)*F$3609,0))</f>
        <v>0</v>
      </c>
      <c r="V3576" s="5">
        <f t="shared" si="1117"/>
        <v>3.0303030303030304E-2</v>
      </c>
      <c r="W3576" s="5">
        <f t="shared" si="1117"/>
        <v>0</v>
      </c>
      <c r="X3576" s="5">
        <f t="shared" si="1117"/>
        <v>0</v>
      </c>
      <c r="Y3576" s="5">
        <f t="shared" si="1117"/>
        <v>0</v>
      </c>
      <c r="Z3576" s="5">
        <f t="shared" si="1117"/>
        <v>0</v>
      </c>
      <c r="AA3576" s="5">
        <f t="shared" si="1117"/>
        <v>0</v>
      </c>
      <c r="AB3576" s="5">
        <f t="shared" si="1116"/>
        <v>3.0303030303030304E-2</v>
      </c>
    </row>
    <row r="3577" spans="1:29" x14ac:dyDescent="0.25">
      <c r="D3577" t="s">
        <v>71</v>
      </c>
      <c r="E3577" s="14"/>
      <c r="F3577" s="14"/>
      <c r="G3577">
        <f>IFERROR(HLOOKUP(G$2,[108]table_female_hkom3_inj.ill_X6!$A$1:$K$36,3,FALSE),0)</f>
        <v>0</v>
      </c>
      <c r="H3577">
        <f>IFERROR(HLOOKUP(H$2,[108]table_female_hkom3_inj.ill_X6!$A$1:$K$36,3,FALSE),0)</f>
        <v>0</v>
      </c>
      <c r="I3577">
        <f>IFERROR(HLOOKUP(I$2,[108]table_female_hkom3_inj.ill_X6!$A$1:$K$36,3,FALSE),0)</f>
        <v>0</v>
      </c>
      <c r="J3577">
        <f>IFERROR(HLOOKUP(J$2,[108]table_female_hkom3_inj.ill_X6!$A$1:$K$36,3,FALSE),0)</f>
        <v>0</v>
      </c>
      <c r="K3577">
        <f>IFERROR(HLOOKUP(K$2,[108]table_female_hkom3_inj.ill_X6!$A$1:$K$36,3,FALSE),0)</f>
        <v>0</v>
      </c>
      <c r="L3577">
        <f>IFERROR(HLOOKUP(L$2,[108]table_female_hkom3_inj.ill_X6!$A$1:$K$36,3,FALSE),0)</f>
        <v>0</v>
      </c>
      <c r="M3577">
        <f t="shared" ref="M3577:M3609" si="1118">SUM(E3577:L3577)</f>
        <v>0</v>
      </c>
      <c r="S3577" t="s">
        <v>71</v>
      </c>
      <c r="T3577" s="5">
        <f t="shared" ref="T3577:T3608" si="1119">IF(SUM(E$3576:E$3608)=0,E$3609/33,E3577+IFERROR(E3577/SUM(E$3576:E$3608)*E$3609,0))</f>
        <v>0</v>
      </c>
      <c r="U3577" s="5">
        <f t="shared" ref="U3577:U3608" si="1120">IF(SUM(F$3576:F$3608)=0,F$3609/33,F3577+IFERROR(F3577/SUM(F$3576:F$3608)*F$3609,0))</f>
        <v>0</v>
      </c>
      <c r="V3577" s="5">
        <f t="shared" ref="V3577:V3608" si="1121">IF(SUM(G$3576:G$3608)=0,G$3609/33,G3577+IFERROR(G3577/SUM(G$3576:G$3608)*G$3609,0))</f>
        <v>3.0303030303030304E-2</v>
      </c>
      <c r="W3577" s="5">
        <f t="shared" ref="W3577:W3608" si="1122">IF(SUM(H$3576:H$3608)=0,H$3609/33,H3577+IFERROR(H3577/SUM(H$3576:H$3608)*H$3609,0))</f>
        <v>0</v>
      </c>
      <c r="X3577" s="5">
        <f t="shared" ref="X3577:X3608" si="1123">IF(SUM(I$3576:I$3608)=0,I$3609/33,I3577+IFERROR(I3577/SUM(I$3576:I$3608)*I$3609,0))</f>
        <v>0</v>
      </c>
      <c r="Y3577" s="5">
        <f t="shared" ref="Y3577:Y3608" si="1124">IF(SUM(J$3576:J$3608)=0,J$3609/33,J3577+IFERROR(J3577/SUM(J$3576:J$3608)*J$3609,0))</f>
        <v>0</v>
      </c>
      <c r="Z3577" s="5">
        <f t="shared" ref="Z3577:Z3608" si="1125">IF(SUM(K$3576:K$3608)=0,K$3609/33,K3577+IFERROR(K3577/SUM(K$3576:K$3608)*K$3609,0))</f>
        <v>0</v>
      </c>
      <c r="AA3577" s="5">
        <f t="shared" ref="AA3577:AA3608" si="1126">IF(SUM(L$3576:L$3608)=0,L$3609/33,L3577+IFERROR(L3577/SUM(L$3576:L$3608)*L$3609,0))</f>
        <v>0</v>
      </c>
      <c r="AB3577" s="5">
        <f t="shared" si="1116"/>
        <v>3.0303030303030304E-2</v>
      </c>
    </row>
    <row r="3578" spans="1:29" x14ac:dyDescent="0.25">
      <c r="D3578" t="s">
        <v>72</v>
      </c>
      <c r="E3578" s="14"/>
      <c r="F3578" s="14"/>
      <c r="G3578">
        <f>IFERROR(HLOOKUP(G$2,[108]table_female_hkom3_inj.ill_X6!$A$1:$K$36,4,FALSE),0)</f>
        <v>0</v>
      </c>
      <c r="H3578">
        <f>IFERROR(HLOOKUP(H$2,[108]table_female_hkom3_inj.ill_X6!$A$1:$K$36,4,FALSE),0)</f>
        <v>0</v>
      </c>
      <c r="I3578">
        <f>IFERROR(HLOOKUP(I$2,[108]table_female_hkom3_inj.ill_X6!$A$1:$K$36,4,FALSE),0)</f>
        <v>0</v>
      </c>
      <c r="J3578">
        <f>IFERROR(HLOOKUP(J$2,[108]table_female_hkom3_inj.ill_X6!$A$1:$K$36,4,FALSE),0)</f>
        <v>0</v>
      </c>
      <c r="K3578">
        <f>IFERROR(HLOOKUP(K$2,[108]table_female_hkom3_inj.ill_X6!$A$1:$K$36,4,FALSE),0)</f>
        <v>0</v>
      </c>
      <c r="L3578">
        <f>IFERROR(HLOOKUP(L$2,[108]table_female_hkom3_inj.ill_X6!$A$1:$K$36,4,FALSE),0)</f>
        <v>0</v>
      </c>
      <c r="M3578">
        <f t="shared" si="1118"/>
        <v>0</v>
      </c>
      <c r="S3578" t="s">
        <v>72</v>
      </c>
      <c r="T3578" s="5">
        <f t="shared" si="1119"/>
        <v>0</v>
      </c>
      <c r="U3578" s="5">
        <f t="shared" si="1120"/>
        <v>0</v>
      </c>
      <c r="V3578" s="5">
        <f t="shared" si="1121"/>
        <v>3.0303030303030304E-2</v>
      </c>
      <c r="W3578" s="5">
        <f t="shared" si="1122"/>
        <v>0</v>
      </c>
      <c r="X3578" s="5">
        <f t="shared" si="1123"/>
        <v>0</v>
      </c>
      <c r="Y3578" s="5">
        <f t="shared" si="1124"/>
        <v>0</v>
      </c>
      <c r="Z3578" s="5">
        <f t="shared" si="1125"/>
        <v>0</v>
      </c>
      <c r="AA3578" s="5">
        <f t="shared" si="1126"/>
        <v>0</v>
      </c>
      <c r="AB3578" s="5">
        <f t="shared" si="1116"/>
        <v>3.0303030303030304E-2</v>
      </c>
    </row>
    <row r="3579" spans="1:29" x14ac:dyDescent="0.25">
      <c r="D3579" t="s">
        <v>73</v>
      </c>
      <c r="E3579" s="14"/>
      <c r="F3579" s="14"/>
      <c r="G3579">
        <f>IFERROR(HLOOKUP(G$2,[108]table_female_hkom3_inj.ill_X6!$A$1:$K$36,5,FALSE),0)</f>
        <v>0</v>
      </c>
      <c r="H3579">
        <f>IFERROR(HLOOKUP(H$2,[108]table_female_hkom3_inj.ill_X6!$A$1:$K$36,5,FALSE),0)</f>
        <v>0</v>
      </c>
      <c r="I3579">
        <f>IFERROR(HLOOKUP(I$2,[108]table_female_hkom3_inj.ill_X6!$A$1:$K$36,5,FALSE),0)</f>
        <v>0</v>
      </c>
      <c r="J3579">
        <f>IFERROR(HLOOKUP(J$2,[108]table_female_hkom3_inj.ill_X6!$A$1:$K$36,5,FALSE),0)</f>
        <v>0</v>
      </c>
      <c r="K3579">
        <f>IFERROR(HLOOKUP(K$2,[108]table_female_hkom3_inj.ill_X6!$A$1:$K$36,5,FALSE),0)</f>
        <v>0</v>
      </c>
      <c r="L3579">
        <f>IFERROR(HLOOKUP(L$2,[108]table_female_hkom3_inj.ill_X6!$A$1:$K$36,5,FALSE),0)</f>
        <v>0</v>
      </c>
      <c r="M3579">
        <f t="shared" si="1118"/>
        <v>0</v>
      </c>
      <c r="S3579" t="s">
        <v>73</v>
      </c>
      <c r="T3579" s="5">
        <f t="shared" si="1119"/>
        <v>0</v>
      </c>
      <c r="U3579" s="5">
        <f t="shared" si="1120"/>
        <v>0</v>
      </c>
      <c r="V3579" s="5">
        <f t="shared" si="1121"/>
        <v>3.0303030303030304E-2</v>
      </c>
      <c r="W3579" s="5">
        <f t="shared" si="1122"/>
        <v>0</v>
      </c>
      <c r="X3579" s="5">
        <f t="shared" si="1123"/>
        <v>0</v>
      </c>
      <c r="Y3579" s="5">
        <f t="shared" si="1124"/>
        <v>0</v>
      </c>
      <c r="Z3579" s="5">
        <f t="shared" si="1125"/>
        <v>0</v>
      </c>
      <c r="AA3579" s="5">
        <f t="shared" si="1126"/>
        <v>0</v>
      </c>
      <c r="AB3579" s="5">
        <f t="shared" si="1116"/>
        <v>3.0303030303030304E-2</v>
      </c>
    </row>
    <row r="3580" spans="1:29" x14ac:dyDescent="0.25">
      <c r="D3580" t="s">
        <v>74</v>
      </c>
      <c r="E3580" s="14"/>
      <c r="F3580" s="14"/>
      <c r="G3580">
        <f>IFERROR(HLOOKUP(G$2,[108]table_female_hkom3_inj.ill_X6!$A$1:$K$36,6,FALSE),0)</f>
        <v>0</v>
      </c>
      <c r="H3580">
        <f>IFERROR(HLOOKUP(H$2,[108]table_female_hkom3_inj.ill_X6!$A$1:$K$36,6,FALSE),0)</f>
        <v>0</v>
      </c>
      <c r="I3580">
        <f>IFERROR(HLOOKUP(I$2,[108]table_female_hkom3_inj.ill_X6!$A$1:$K$36,6,FALSE),0)</f>
        <v>0</v>
      </c>
      <c r="J3580">
        <f>IFERROR(HLOOKUP(J$2,[108]table_female_hkom3_inj.ill_X6!$A$1:$K$36,6,FALSE),0)</f>
        <v>0</v>
      </c>
      <c r="K3580">
        <f>IFERROR(HLOOKUP(K$2,[108]table_female_hkom3_inj.ill_X6!$A$1:$K$36,6,FALSE),0)</f>
        <v>0</v>
      </c>
      <c r="L3580">
        <f>IFERROR(HLOOKUP(L$2,[108]table_female_hkom3_inj.ill_X6!$A$1:$K$36,6,FALSE),0)</f>
        <v>0</v>
      </c>
      <c r="M3580">
        <f t="shared" si="1118"/>
        <v>0</v>
      </c>
      <c r="S3580" t="s">
        <v>74</v>
      </c>
      <c r="T3580" s="5">
        <f t="shared" si="1119"/>
        <v>0</v>
      </c>
      <c r="U3580" s="5">
        <f t="shared" si="1120"/>
        <v>0</v>
      </c>
      <c r="V3580" s="5">
        <f t="shared" si="1121"/>
        <v>3.0303030303030304E-2</v>
      </c>
      <c r="W3580" s="5">
        <f t="shared" si="1122"/>
        <v>0</v>
      </c>
      <c r="X3580" s="5">
        <f t="shared" si="1123"/>
        <v>0</v>
      </c>
      <c r="Y3580" s="5">
        <f t="shared" si="1124"/>
        <v>0</v>
      </c>
      <c r="Z3580" s="5">
        <f t="shared" si="1125"/>
        <v>0</v>
      </c>
      <c r="AA3580" s="5">
        <f t="shared" si="1126"/>
        <v>0</v>
      </c>
      <c r="AB3580" s="5">
        <f t="shared" si="1116"/>
        <v>3.0303030303030304E-2</v>
      </c>
    </row>
    <row r="3581" spans="1:29" x14ac:dyDescent="0.25">
      <c r="D3581" t="s">
        <v>75</v>
      </c>
      <c r="E3581" s="14"/>
      <c r="F3581" s="14"/>
      <c r="G3581">
        <f>IFERROR(HLOOKUP(G$2,[108]table_female_hkom3_inj.ill_X6!$A$1:$K$36,7,FALSE),0)</f>
        <v>0</v>
      </c>
      <c r="H3581">
        <f>IFERROR(HLOOKUP(H$2,[108]table_female_hkom3_inj.ill_X6!$A$1:$K$36,7,FALSE),0)</f>
        <v>0</v>
      </c>
      <c r="I3581">
        <f>IFERROR(HLOOKUP(I$2,[108]table_female_hkom3_inj.ill_X6!$A$1:$K$36,7,FALSE),0)</f>
        <v>0</v>
      </c>
      <c r="J3581">
        <f>IFERROR(HLOOKUP(J$2,[108]table_female_hkom3_inj.ill_X6!$A$1:$K$36,7,FALSE),0)</f>
        <v>0</v>
      </c>
      <c r="K3581">
        <f>IFERROR(HLOOKUP(K$2,[108]table_female_hkom3_inj.ill_X6!$A$1:$K$36,7,FALSE),0)</f>
        <v>0</v>
      </c>
      <c r="L3581">
        <f>IFERROR(HLOOKUP(L$2,[108]table_female_hkom3_inj.ill_X6!$A$1:$K$36,7,FALSE),0)</f>
        <v>0</v>
      </c>
      <c r="M3581">
        <f t="shared" si="1118"/>
        <v>0</v>
      </c>
      <c r="S3581" t="s">
        <v>75</v>
      </c>
      <c r="T3581" s="5">
        <f t="shared" si="1119"/>
        <v>0</v>
      </c>
      <c r="U3581" s="5">
        <f t="shared" si="1120"/>
        <v>0</v>
      </c>
      <c r="V3581" s="5">
        <f t="shared" si="1121"/>
        <v>3.0303030303030304E-2</v>
      </c>
      <c r="W3581" s="5">
        <f t="shared" si="1122"/>
        <v>0</v>
      </c>
      <c r="X3581" s="5">
        <f t="shared" si="1123"/>
        <v>0</v>
      </c>
      <c r="Y3581" s="5">
        <f t="shared" si="1124"/>
        <v>0</v>
      </c>
      <c r="Z3581" s="5">
        <f t="shared" si="1125"/>
        <v>0</v>
      </c>
      <c r="AA3581" s="5">
        <f t="shared" si="1126"/>
        <v>0</v>
      </c>
      <c r="AB3581" s="5">
        <f t="shared" si="1116"/>
        <v>3.0303030303030304E-2</v>
      </c>
    </row>
    <row r="3582" spans="1:29" x14ac:dyDescent="0.25">
      <c r="D3582" t="s">
        <v>76</v>
      </c>
      <c r="E3582" s="14"/>
      <c r="F3582" s="14"/>
      <c r="G3582">
        <f>IFERROR(HLOOKUP(G$2,[108]table_female_hkom3_inj.ill_X6!$A$1:$K$36,8,FALSE),0)</f>
        <v>0</v>
      </c>
      <c r="H3582">
        <f>IFERROR(HLOOKUP(H$2,[108]table_female_hkom3_inj.ill_X6!$A$1:$K$36,8,FALSE),0)</f>
        <v>0</v>
      </c>
      <c r="I3582">
        <f>IFERROR(HLOOKUP(I$2,[108]table_female_hkom3_inj.ill_X6!$A$1:$K$36,8,FALSE),0)</f>
        <v>0</v>
      </c>
      <c r="J3582">
        <f>IFERROR(HLOOKUP(J$2,[108]table_female_hkom3_inj.ill_X6!$A$1:$K$36,8,FALSE),0)</f>
        <v>0</v>
      </c>
      <c r="K3582">
        <f>IFERROR(HLOOKUP(K$2,[108]table_female_hkom3_inj.ill_X6!$A$1:$K$36,8,FALSE),0)</f>
        <v>0</v>
      </c>
      <c r="L3582">
        <f>IFERROR(HLOOKUP(L$2,[108]table_female_hkom3_inj.ill_X6!$A$1:$K$36,8,FALSE),0)</f>
        <v>0</v>
      </c>
      <c r="M3582">
        <f t="shared" si="1118"/>
        <v>0</v>
      </c>
      <c r="S3582" t="s">
        <v>76</v>
      </c>
      <c r="T3582" s="5">
        <f t="shared" si="1119"/>
        <v>0</v>
      </c>
      <c r="U3582" s="5">
        <f t="shared" si="1120"/>
        <v>0</v>
      </c>
      <c r="V3582" s="5">
        <f t="shared" si="1121"/>
        <v>3.0303030303030304E-2</v>
      </c>
      <c r="W3582" s="5">
        <f t="shared" si="1122"/>
        <v>0</v>
      </c>
      <c r="X3582" s="5">
        <f t="shared" si="1123"/>
        <v>0</v>
      </c>
      <c r="Y3582" s="5">
        <f t="shared" si="1124"/>
        <v>0</v>
      </c>
      <c r="Z3582" s="5">
        <f t="shared" si="1125"/>
        <v>0</v>
      </c>
      <c r="AA3582" s="5">
        <f t="shared" si="1126"/>
        <v>0</v>
      </c>
      <c r="AB3582" s="5">
        <f t="shared" si="1116"/>
        <v>3.0303030303030304E-2</v>
      </c>
    </row>
    <row r="3583" spans="1:29" x14ac:dyDescent="0.25">
      <c r="D3583" t="s">
        <v>77</v>
      </c>
      <c r="E3583" s="14"/>
      <c r="F3583" s="14"/>
      <c r="G3583">
        <f>IFERROR(HLOOKUP(G$2,[108]table_female_hkom3_inj.ill_X6!$A$1:$K$36,9,FALSE),0)</f>
        <v>0</v>
      </c>
      <c r="H3583">
        <f>IFERROR(HLOOKUP(H$2,[108]table_female_hkom3_inj.ill_X6!$A$1:$K$36,9,FALSE),0)</f>
        <v>0</v>
      </c>
      <c r="I3583">
        <f>IFERROR(HLOOKUP(I$2,[108]table_female_hkom3_inj.ill_X6!$A$1:$K$36,9,FALSE),0)</f>
        <v>0</v>
      </c>
      <c r="J3583">
        <f>IFERROR(HLOOKUP(J$2,[108]table_female_hkom3_inj.ill_X6!$A$1:$K$36,9,FALSE),0)</f>
        <v>0</v>
      </c>
      <c r="K3583">
        <f>IFERROR(HLOOKUP(K$2,[108]table_female_hkom3_inj.ill_X6!$A$1:$K$36,9,FALSE),0)</f>
        <v>0</v>
      </c>
      <c r="L3583">
        <f>IFERROR(HLOOKUP(L$2,[108]table_female_hkom3_inj.ill_X6!$A$1:$K$36,9,FALSE),0)</f>
        <v>0</v>
      </c>
      <c r="M3583">
        <f t="shared" si="1118"/>
        <v>0</v>
      </c>
      <c r="S3583" t="s">
        <v>77</v>
      </c>
      <c r="T3583" s="5">
        <f t="shared" si="1119"/>
        <v>0</v>
      </c>
      <c r="U3583" s="5">
        <f t="shared" si="1120"/>
        <v>0</v>
      </c>
      <c r="V3583" s="5">
        <f t="shared" si="1121"/>
        <v>3.0303030303030304E-2</v>
      </c>
      <c r="W3583" s="5">
        <f t="shared" si="1122"/>
        <v>0</v>
      </c>
      <c r="X3583" s="5">
        <f t="shared" si="1123"/>
        <v>0</v>
      </c>
      <c r="Y3583" s="5">
        <f t="shared" si="1124"/>
        <v>0</v>
      </c>
      <c r="Z3583" s="5">
        <f t="shared" si="1125"/>
        <v>0</v>
      </c>
      <c r="AA3583" s="5">
        <f t="shared" si="1126"/>
        <v>0</v>
      </c>
      <c r="AB3583" s="5">
        <f t="shared" si="1116"/>
        <v>3.0303030303030304E-2</v>
      </c>
    </row>
    <row r="3584" spans="1:29" x14ac:dyDescent="0.25">
      <c r="D3584" t="s">
        <v>78</v>
      </c>
      <c r="E3584" s="14"/>
      <c r="F3584" s="14"/>
      <c r="G3584">
        <f>IFERROR(HLOOKUP(G$2,[108]table_female_hkom3_inj.ill_X6!$A$1:$K$36,10,FALSE),0)</f>
        <v>0</v>
      </c>
      <c r="H3584">
        <f>IFERROR(HLOOKUP(H$2,[108]table_female_hkom3_inj.ill_X6!$A$1:$K$36,10,FALSE),0)</f>
        <v>0</v>
      </c>
      <c r="I3584">
        <f>IFERROR(HLOOKUP(I$2,[108]table_female_hkom3_inj.ill_X6!$A$1:$K$36,10,FALSE),0)</f>
        <v>0</v>
      </c>
      <c r="J3584">
        <f>IFERROR(HLOOKUP(J$2,[108]table_female_hkom3_inj.ill_X6!$A$1:$K$36,10,FALSE),0)</f>
        <v>0</v>
      </c>
      <c r="K3584">
        <f>IFERROR(HLOOKUP(K$2,[108]table_female_hkom3_inj.ill_X6!$A$1:$K$36,10,FALSE),0)</f>
        <v>0</v>
      </c>
      <c r="L3584">
        <f>IFERROR(HLOOKUP(L$2,[108]table_female_hkom3_inj.ill_X6!$A$1:$K$36,10,FALSE),0)</f>
        <v>0</v>
      </c>
      <c r="M3584">
        <f t="shared" si="1118"/>
        <v>0</v>
      </c>
      <c r="S3584" t="s">
        <v>78</v>
      </c>
      <c r="T3584" s="5">
        <f t="shared" si="1119"/>
        <v>0</v>
      </c>
      <c r="U3584" s="5">
        <f t="shared" si="1120"/>
        <v>0</v>
      </c>
      <c r="V3584" s="5">
        <f t="shared" si="1121"/>
        <v>3.0303030303030304E-2</v>
      </c>
      <c r="W3584" s="5">
        <f t="shared" si="1122"/>
        <v>0</v>
      </c>
      <c r="X3584" s="5">
        <f t="shared" si="1123"/>
        <v>0</v>
      </c>
      <c r="Y3584" s="5">
        <f t="shared" si="1124"/>
        <v>0</v>
      </c>
      <c r="Z3584" s="5">
        <f t="shared" si="1125"/>
        <v>0</v>
      </c>
      <c r="AA3584" s="5">
        <f t="shared" si="1126"/>
        <v>0</v>
      </c>
      <c r="AB3584" s="5">
        <f t="shared" si="1116"/>
        <v>3.0303030303030304E-2</v>
      </c>
    </row>
    <row r="3585" spans="4:28" x14ac:dyDescent="0.25">
      <c r="D3585" t="s">
        <v>79</v>
      </c>
      <c r="E3585" s="14"/>
      <c r="F3585" s="14"/>
      <c r="G3585">
        <f>IFERROR(HLOOKUP(G$2,[108]table_female_hkom3_inj.ill_X6!$A$1:$K$36,11,FALSE),0)</f>
        <v>0</v>
      </c>
      <c r="H3585">
        <f>IFERROR(HLOOKUP(H$2,[108]table_female_hkom3_inj.ill_X6!$A$1:$K$36,11,FALSE),0)</f>
        <v>0</v>
      </c>
      <c r="I3585">
        <f>IFERROR(HLOOKUP(I$2,[108]table_female_hkom3_inj.ill_X6!$A$1:$K$36,11,FALSE),0)</f>
        <v>0</v>
      </c>
      <c r="J3585">
        <f>IFERROR(HLOOKUP(J$2,[108]table_female_hkom3_inj.ill_X6!$A$1:$K$36,11,FALSE),0)</f>
        <v>0</v>
      </c>
      <c r="K3585">
        <f>IFERROR(HLOOKUP(K$2,[108]table_female_hkom3_inj.ill_X6!$A$1:$K$36,11,FALSE),0)</f>
        <v>0</v>
      </c>
      <c r="L3585">
        <f>IFERROR(HLOOKUP(L$2,[108]table_female_hkom3_inj.ill_X6!$A$1:$K$36,11,FALSE),0)</f>
        <v>0</v>
      </c>
      <c r="M3585">
        <f t="shared" si="1118"/>
        <v>0</v>
      </c>
      <c r="S3585" t="s">
        <v>79</v>
      </c>
      <c r="T3585" s="5">
        <f t="shared" si="1119"/>
        <v>0</v>
      </c>
      <c r="U3585" s="5">
        <f t="shared" si="1120"/>
        <v>0</v>
      </c>
      <c r="V3585" s="5">
        <f t="shared" si="1121"/>
        <v>3.0303030303030304E-2</v>
      </c>
      <c r="W3585" s="5">
        <f t="shared" si="1122"/>
        <v>0</v>
      </c>
      <c r="X3585" s="5">
        <f t="shared" si="1123"/>
        <v>0</v>
      </c>
      <c r="Y3585" s="5">
        <f t="shared" si="1124"/>
        <v>0</v>
      </c>
      <c r="Z3585" s="5">
        <f t="shared" si="1125"/>
        <v>0</v>
      </c>
      <c r="AA3585" s="5">
        <f t="shared" si="1126"/>
        <v>0</v>
      </c>
      <c r="AB3585" s="5">
        <f t="shared" si="1116"/>
        <v>3.0303030303030304E-2</v>
      </c>
    </row>
    <row r="3586" spans="4:28" x14ac:dyDescent="0.25">
      <c r="D3586" t="s">
        <v>80</v>
      </c>
      <c r="E3586" s="14"/>
      <c r="F3586" s="14"/>
      <c r="G3586">
        <f>IFERROR(HLOOKUP(G$2,[108]table_female_hkom3_inj.ill_X6!$A$1:$K$36,12,FALSE),0)</f>
        <v>0</v>
      </c>
      <c r="H3586">
        <f>IFERROR(HLOOKUP(H$2,[108]table_female_hkom3_inj.ill_X6!$A$1:$K$36,12,FALSE),0)</f>
        <v>0</v>
      </c>
      <c r="I3586">
        <f>IFERROR(HLOOKUP(I$2,[108]table_female_hkom3_inj.ill_X6!$A$1:$K$36,12,FALSE),0)</f>
        <v>0</v>
      </c>
      <c r="J3586">
        <f>IFERROR(HLOOKUP(J$2,[108]table_female_hkom3_inj.ill_X6!$A$1:$K$36,12,FALSE),0)</f>
        <v>0</v>
      </c>
      <c r="K3586">
        <f>IFERROR(HLOOKUP(K$2,[108]table_female_hkom3_inj.ill_X6!$A$1:$K$36,12,FALSE),0)</f>
        <v>0</v>
      </c>
      <c r="L3586">
        <f>IFERROR(HLOOKUP(L$2,[108]table_female_hkom3_inj.ill_X6!$A$1:$K$36,12,FALSE),0)</f>
        <v>0</v>
      </c>
      <c r="M3586">
        <f t="shared" si="1118"/>
        <v>0</v>
      </c>
      <c r="S3586" t="s">
        <v>80</v>
      </c>
      <c r="T3586" s="5">
        <f t="shared" si="1119"/>
        <v>0</v>
      </c>
      <c r="U3586" s="5">
        <f t="shared" si="1120"/>
        <v>0</v>
      </c>
      <c r="V3586" s="5">
        <f t="shared" si="1121"/>
        <v>3.0303030303030304E-2</v>
      </c>
      <c r="W3586" s="5">
        <f t="shared" si="1122"/>
        <v>0</v>
      </c>
      <c r="X3586" s="5">
        <f t="shared" si="1123"/>
        <v>0</v>
      </c>
      <c r="Y3586" s="5">
        <f t="shared" si="1124"/>
        <v>0</v>
      </c>
      <c r="Z3586" s="5">
        <f t="shared" si="1125"/>
        <v>0</v>
      </c>
      <c r="AA3586" s="5">
        <f t="shared" si="1126"/>
        <v>0</v>
      </c>
      <c r="AB3586" s="5">
        <f t="shared" si="1116"/>
        <v>3.0303030303030304E-2</v>
      </c>
    </row>
    <row r="3587" spans="4:28" x14ac:dyDescent="0.25">
      <c r="D3587" t="s">
        <v>81</v>
      </c>
      <c r="E3587" s="14"/>
      <c r="F3587" s="14"/>
      <c r="G3587">
        <f>IFERROR(HLOOKUP(G$2,[108]table_female_hkom3_inj.ill_X6!$A$1:$K$36,13,FALSE),0)</f>
        <v>0</v>
      </c>
      <c r="H3587">
        <f>IFERROR(HLOOKUP(H$2,[108]table_female_hkom3_inj.ill_X6!$A$1:$K$36,13,FALSE),0)</f>
        <v>0</v>
      </c>
      <c r="I3587">
        <f>IFERROR(HLOOKUP(I$2,[108]table_female_hkom3_inj.ill_X6!$A$1:$K$36,13,FALSE),0)</f>
        <v>0</v>
      </c>
      <c r="J3587">
        <f>IFERROR(HLOOKUP(J$2,[108]table_female_hkom3_inj.ill_X6!$A$1:$K$36,13,FALSE),0)</f>
        <v>0</v>
      </c>
      <c r="K3587">
        <f>IFERROR(HLOOKUP(K$2,[108]table_female_hkom3_inj.ill_X6!$A$1:$K$36,13,FALSE),0)</f>
        <v>0</v>
      </c>
      <c r="L3587">
        <f>IFERROR(HLOOKUP(L$2,[108]table_female_hkom3_inj.ill_X6!$A$1:$K$36,13,FALSE),0)</f>
        <v>0</v>
      </c>
      <c r="M3587">
        <f t="shared" si="1118"/>
        <v>0</v>
      </c>
      <c r="S3587" t="s">
        <v>81</v>
      </c>
      <c r="T3587" s="5">
        <f t="shared" si="1119"/>
        <v>0</v>
      </c>
      <c r="U3587" s="5">
        <f t="shared" si="1120"/>
        <v>0</v>
      </c>
      <c r="V3587" s="5">
        <f t="shared" si="1121"/>
        <v>3.0303030303030304E-2</v>
      </c>
      <c r="W3587" s="5">
        <f t="shared" si="1122"/>
        <v>0</v>
      </c>
      <c r="X3587" s="5">
        <f t="shared" si="1123"/>
        <v>0</v>
      </c>
      <c r="Y3587" s="5">
        <f t="shared" si="1124"/>
        <v>0</v>
      </c>
      <c r="Z3587" s="5">
        <f t="shared" si="1125"/>
        <v>0</v>
      </c>
      <c r="AA3587" s="5">
        <f t="shared" si="1126"/>
        <v>0</v>
      </c>
      <c r="AB3587" s="5">
        <f t="shared" si="1116"/>
        <v>3.0303030303030304E-2</v>
      </c>
    </row>
    <row r="3588" spans="4:28" x14ac:dyDescent="0.25">
      <c r="D3588" t="s">
        <v>82</v>
      </c>
      <c r="E3588" s="14"/>
      <c r="F3588" s="14"/>
      <c r="G3588">
        <f>IFERROR(HLOOKUP(G$2,[108]table_female_hkom3_inj.ill_X6!$A$1:$K$36,14,FALSE),0)</f>
        <v>0</v>
      </c>
      <c r="H3588">
        <f>IFERROR(HLOOKUP(H$2,[108]table_female_hkom3_inj.ill_X6!$A$1:$K$36,14,FALSE),0)</f>
        <v>0</v>
      </c>
      <c r="I3588">
        <f>IFERROR(HLOOKUP(I$2,[108]table_female_hkom3_inj.ill_X6!$A$1:$K$36,14,FALSE),0)</f>
        <v>0</v>
      </c>
      <c r="J3588">
        <f>IFERROR(HLOOKUP(J$2,[108]table_female_hkom3_inj.ill_X6!$A$1:$K$36,14,FALSE),0)</f>
        <v>0</v>
      </c>
      <c r="K3588">
        <f>IFERROR(HLOOKUP(K$2,[108]table_female_hkom3_inj.ill_X6!$A$1:$K$36,14,FALSE),0)</f>
        <v>0</v>
      </c>
      <c r="L3588">
        <f>IFERROR(HLOOKUP(L$2,[108]table_female_hkom3_inj.ill_X6!$A$1:$K$36,14,FALSE),0)</f>
        <v>0</v>
      </c>
      <c r="M3588">
        <f t="shared" si="1118"/>
        <v>0</v>
      </c>
      <c r="S3588" t="s">
        <v>82</v>
      </c>
      <c r="T3588" s="5">
        <f t="shared" si="1119"/>
        <v>0</v>
      </c>
      <c r="U3588" s="5">
        <f t="shared" si="1120"/>
        <v>0</v>
      </c>
      <c r="V3588" s="5">
        <f t="shared" si="1121"/>
        <v>3.0303030303030304E-2</v>
      </c>
      <c r="W3588" s="5">
        <f t="shared" si="1122"/>
        <v>0</v>
      </c>
      <c r="X3588" s="5">
        <f t="shared" si="1123"/>
        <v>0</v>
      </c>
      <c r="Y3588" s="5">
        <f t="shared" si="1124"/>
        <v>0</v>
      </c>
      <c r="Z3588" s="5">
        <f t="shared" si="1125"/>
        <v>0</v>
      </c>
      <c r="AA3588" s="5">
        <f t="shared" si="1126"/>
        <v>0</v>
      </c>
      <c r="AB3588" s="5">
        <f t="shared" si="1116"/>
        <v>3.0303030303030304E-2</v>
      </c>
    </row>
    <row r="3589" spans="4:28" x14ac:dyDescent="0.25">
      <c r="D3589" t="s">
        <v>83</v>
      </c>
      <c r="E3589" s="14"/>
      <c r="F3589" s="14"/>
      <c r="G3589">
        <f>IFERROR(HLOOKUP(G$2,[108]table_female_hkom3_inj.ill_X6!$A$1:$K$36,15,FALSE),0)</f>
        <v>0</v>
      </c>
      <c r="H3589">
        <f>IFERROR(HLOOKUP(H$2,[108]table_female_hkom3_inj.ill_X6!$A$1:$K$36,15,FALSE),0)</f>
        <v>0</v>
      </c>
      <c r="I3589">
        <f>IFERROR(HLOOKUP(I$2,[108]table_female_hkom3_inj.ill_X6!$A$1:$K$36,15,FALSE),0)</f>
        <v>0</v>
      </c>
      <c r="J3589">
        <f>IFERROR(HLOOKUP(J$2,[108]table_female_hkom3_inj.ill_X6!$A$1:$K$36,15,FALSE),0)</f>
        <v>0</v>
      </c>
      <c r="K3589">
        <f>IFERROR(HLOOKUP(K$2,[108]table_female_hkom3_inj.ill_X6!$A$1:$K$36,15,FALSE),0)</f>
        <v>0</v>
      </c>
      <c r="L3589">
        <f>IFERROR(HLOOKUP(L$2,[108]table_female_hkom3_inj.ill_X6!$A$1:$K$36,15,FALSE),0)</f>
        <v>0</v>
      </c>
      <c r="M3589">
        <f t="shared" si="1118"/>
        <v>0</v>
      </c>
      <c r="S3589" t="s">
        <v>83</v>
      </c>
      <c r="T3589" s="5">
        <f t="shared" si="1119"/>
        <v>0</v>
      </c>
      <c r="U3589" s="5">
        <f t="shared" si="1120"/>
        <v>0</v>
      </c>
      <c r="V3589" s="5">
        <f t="shared" si="1121"/>
        <v>3.0303030303030304E-2</v>
      </c>
      <c r="W3589" s="5">
        <f t="shared" si="1122"/>
        <v>0</v>
      </c>
      <c r="X3589" s="5">
        <f t="shared" si="1123"/>
        <v>0</v>
      </c>
      <c r="Y3589" s="5">
        <f t="shared" si="1124"/>
        <v>0</v>
      </c>
      <c r="Z3589" s="5">
        <f t="shared" si="1125"/>
        <v>0</v>
      </c>
      <c r="AA3589" s="5">
        <f t="shared" si="1126"/>
        <v>0</v>
      </c>
      <c r="AB3589" s="5">
        <f t="shared" si="1116"/>
        <v>3.0303030303030304E-2</v>
      </c>
    </row>
    <row r="3590" spans="4:28" x14ac:dyDescent="0.25">
      <c r="D3590" t="s">
        <v>84</v>
      </c>
      <c r="E3590" s="14"/>
      <c r="F3590" s="14"/>
      <c r="G3590">
        <f>IFERROR(HLOOKUP(G$2,[108]table_female_hkom3_inj.ill_X6!$A$1:$K$36,16,FALSE),0)</f>
        <v>0</v>
      </c>
      <c r="H3590">
        <f>IFERROR(HLOOKUP(H$2,[108]table_female_hkom3_inj.ill_X6!$A$1:$K$36,16,FALSE),0)</f>
        <v>0</v>
      </c>
      <c r="I3590">
        <f>IFERROR(HLOOKUP(I$2,[108]table_female_hkom3_inj.ill_X6!$A$1:$K$36,16,FALSE),0)</f>
        <v>0</v>
      </c>
      <c r="J3590">
        <f>IFERROR(HLOOKUP(J$2,[108]table_female_hkom3_inj.ill_X6!$A$1:$K$36,16,FALSE),0)</f>
        <v>0</v>
      </c>
      <c r="K3590">
        <f>IFERROR(HLOOKUP(K$2,[108]table_female_hkom3_inj.ill_X6!$A$1:$K$36,16,FALSE),0)</f>
        <v>0</v>
      </c>
      <c r="L3590">
        <f>IFERROR(HLOOKUP(L$2,[108]table_female_hkom3_inj.ill_X6!$A$1:$K$36,16,FALSE),0)</f>
        <v>0</v>
      </c>
      <c r="M3590">
        <f t="shared" si="1118"/>
        <v>0</v>
      </c>
      <c r="S3590" t="s">
        <v>84</v>
      </c>
      <c r="T3590" s="5">
        <f t="shared" si="1119"/>
        <v>0</v>
      </c>
      <c r="U3590" s="5">
        <f t="shared" si="1120"/>
        <v>0</v>
      </c>
      <c r="V3590" s="5">
        <f t="shared" si="1121"/>
        <v>3.0303030303030304E-2</v>
      </c>
      <c r="W3590" s="5">
        <f t="shared" si="1122"/>
        <v>0</v>
      </c>
      <c r="X3590" s="5">
        <f t="shared" si="1123"/>
        <v>0</v>
      </c>
      <c r="Y3590" s="5">
        <f t="shared" si="1124"/>
        <v>0</v>
      </c>
      <c r="Z3590" s="5">
        <f t="shared" si="1125"/>
        <v>0</v>
      </c>
      <c r="AA3590" s="5">
        <f t="shared" si="1126"/>
        <v>0</v>
      </c>
      <c r="AB3590" s="5">
        <f t="shared" si="1116"/>
        <v>3.0303030303030304E-2</v>
      </c>
    </row>
    <row r="3591" spans="4:28" x14ac:dyDescent="0.25">
      <c r="D3591" t="s">
        <v>85</v>
      </c>
      <c r="E3591" s="14"/>
      <c r="F3591" s="14"/>
      <c r="G3591">
        <f>IFERROR(HLOOKUP(G$2,[108]table_female_hkom3_inj.ill_X6!$A$1:$K$36,17,FALSE),0)</f>
        <v>0</v>
      </c>
      <c r="H3591">
        <f>IFERROR(HLOOKUP(H$2,[108]table_female_hkom3_inj.ill_X6!$A$1:$K$36,17,FALSE),0)</f>
        <v>0</v>
      </c>
      <c r="I3591">
        <f>IFERROR(HLOOKUP(I$2,[108]table_female_hkom3_inj.ill_X6!$A$1:$K$36,17,FALSE),0)</f>
        <v>0</v>
      </c>
      <c r="J3591">
        <f>IFERROR(HLOOKUP(J$2,[108]table_female_hkom3_inj.ill_X6!$A$1:$K$36,17,FALSE),0)</f>
        <v>0</v>
      </c>
      <c r="K3591">
        <f>IFERROR(HLOOKUP(K$2,[108]table_female_hkom3_inj.ill_X6!$A$1:$K$36,17,FALSE),0)</f>
        <v>0</v>
      </c>
      <c r="L3591">
        <f>IFERROR(HLOOKUP(L$2,[108]table_female_hkom3_inj.ill_X6!$A$1:$K$36,17,FALSE),0)</f>
        <v>0</v>
      </c>
      <c r="M3591">
        <f t="shared" si="1118"/>
        <v>0</v>
      </c>
      <c r="S3591" t="s">
        <v>85</v>
      </c>
      <c r="T3591" s="5">
        <f t="shared" si="1119"/>
        <v>0</v>
      </c>
      <c r="U3591" s="5">
        <f t="shared" si="1120"/>
        <v>0</v>
      </c>
      <c r="V3591" s="5">
        <f t="shared" si="1121"/>
        <v>3.0303030303030304E-2</v>
      </c>
      <c r="W3591" s="5">
        <f t="shared" si="1122"/>
        <v>0</v>
      </c>
      <c r="X3591" s="5">
        <f t="shared" si="1123"/>
        <v>0</v>
      </c>
      <c r="Y3591" s="5">
        <f t="shared" si="1124"/>
        <v>0</v>
      </c>
      <c r="Z3591" s="5">
        <f t="shared" si="1125"/>
        <v>0</v>
      </c>
      <c r="AA3591" s="5">
        <f t="shared" si="1126"/>
        <v>0</v>
      </c>
      <c r="AB3591" s="5">
        <f t="shared" si="1116"/>
        <v>3.0303030303030304E-2</v>
      </c>
    </row>
    <row r="3592" spans="4:28" x14ac:dyDescent="0.25">
      <c r="D3592" t="s">
        <v>86</v>
      </c>
      <c r="E3592" s="14"/>
      <c r="F3592" s="14"/>
      <c r="G3592">
        <f>IFERROR(HLOOKUP(G$2,[108]table_female_hkom3_inj.ill_X6!$A$1:$K$36,18,FALSE),0)</f>
        <v>0</v>
      </c>
      <c r="H3592">
        <f>IFERROR(HLOOKUP(H$2,[108]table_female_hkom3_inj.ill_X6!$A$1:$K$36,18,FALSE),0)</f>
        <v>0</v>
      </c>
      <c r="I3592">
        <f>IFERROR(HLOOKUP(I$2,[108]table_female_hkom3_inj.ill_X6!$A$1:$K$36,18,FALSE),0)</f>
        <v>0</v>
      </c>
      <c r="J3592">
        <f>IFERROR(HLOOKUP(J$2,[108]table_female_hkom3_inj.ill_X6!$A$1:$K$36,18,FALSE),0)</f>
        <v>0</v>
      </c>
      <c r="K3592">
        <f>IFERROR(HLOOKUP(K$2,[108]table_female_hkom3_inj.ill_X6!$A$1:$K$36,18,FALSE),0)</f>
        <v>0</v>
      </c>
      <c r="L3592">
        <f>IFERROR(HLOOKUP(L$2,[108]table_female_hkom3_inj.ill_X6!$A$1:$K$36,18,FALSE),0)</f>
        <v>0</v>
      </c>
      <c r="M3592">
        <f t="shared" si="1118"/>
        <v>0</v>
      </c>
      <c r="S3592" t="s">
        <v>86</v>
      </c>
      <c r="T3592" s="5">
        <f t="shared" si="1119"/>
        <v>0</v>
      </c>
      <c r="U3592" s="5">
        <f t="shared" si="1120"/>
        <v>0</v>
      </c>
      <c r="V3592" s="5">
        <f t="shared" si="1121"/>
        <v>3.0303030303030304E-2</v>
      </c>
      <c r="W3592" s="5">
        <f t="shared" si="1122"/>
        <v>0</v>
      </c>
      <c r="X3592" s="5">
        <f t="shared" si="1123"/>
        <v>0</v>
      </c>
      <c r="Y3592" s="5">
        <f t="shared" si="1124"/>
        <v>0</v>
      </c>
      <c r="Z3592" s="5">
        <f t="shared" si="1125"/>
        <v>0</v>
      </c>
      <c r="AA3592" s="5">
        <f t="shared" si="1126"/>
        <v>0</v>
      </c>
      <c r="AB3592" s="5">
        <f t="shared" si="1116"/>
        <v>3.0303030303030304E-2</v>
      </c>
    </row>
    <row r="3593" spans="4:28" x14ac:dyDescent="0.25">
      <c r="D3593" t="s">
        <v>87</v>
      </c>
      <c r="E3593" s="14"/>
      <c r="F3593" s="14"/>
      <c r="G3593">
        <f>IFERROR(HLOOKUP(G$2,[108]table_female_hkom3_inj.ill_X6!$A$1:$K$36,19,FALSE),0)</f>
        <v>0</v>
      </c>
      <c r="H3593">
        <f>IFERROR(HLOOKUP(H$2,[108]table_female_hkom3_inj.ill_X6!$A$1:$K$36,19,FALSE),0)</f>
        <v>0</v>
      </c>
      <c r="I3593">
        <f>IFERROR(HLOOKUP(I$2,[108]table_female_hkom3_inj.ill_X6!$A$1:$K$36,19,FALSE),0)</f>
        <v>0</v>
      </c>
      <c r="J3593">
        <f>IFERROR(HLOOKUP(J$2,[108]table_female_hkom3_inj.ill_X6!$A$1:$K$36,19,FALSE),0)</f>
        <v>0</v>
      </c>
      <c r="K3593">
        <f>IFERROR(HLOOKUP(K$2,[108]table_female_hkom3_inj.ill_X6!$A$1:$K$36,19,FALSE),0)</f>
        <v>0</v>
      </c>
      <c r="L3593">
        <f>IFERROR(HLOOKUP(L$2,[108]table_female_hkom3_inj.ill_X6!$A$1:$K$36,19,FALSE),0)</f>
        <v>0</v>
      </c>
      <c r="M3593">
        <f t="shared" si="1118"/>
        <v>0</v>
      </c>
      <c r="S3593" t="s">
        <v>87</v>
      </c>
      <c r="T3593" s="5">
        <f t="shared" si="1119"/>
        <v>0</v>
      </c>
      <c r="U3593" s="5">
        <f t="shared" si="1120"/>
        <v>0</v>
      </c>
      <c r="V3593" s="5">
        <f t="shared" si="1121"/>
        <v>3.0303030303030304E-2</v>
      </c>
      <c r="W3593" s="5">
        <f t="shared" si="1122"/>
        <v>0</v>
      </c>
      <c r="X3593" s="5">
        <f t="shared" si="1123"/>
        <v>0</v>
      </c>
      <c r="Y3593" s="5">
        <f t="shared" si="1124"/>
        <v>0</v>
      </c>
      <c r="Z3593" s="5">
        <f t="shared" si="1125"/>
        <v>0</v>
      </c>
      <c r="AA3593" s="5">
        <f t="shared" si="1126"/>
        <v>0</v>
      </c>
      <c r="AB3593" s="5">
        <f t="shared" si="1116"/>
        <v>3.0303030303030304E-2</v>
      </c>
    </row>
    <row r="3594" spans="4:28" x14ac:dyDescent="0.25">
      <c r="D3594" t="s">
        <v>88</v>
      </c>
      <c r="E3594" s="14"/>
      <c r="F3594" s="14"/>
      <c r="G3594">
        <f>IFERROR(HLOOKUP(G$2,[108]table_female_hkom3_inj.ill_X6!$A$1:$K$36,20,FALSE),0)</f>
        <v>0</v>
      </c>
      <c r="H3594">
        <f>IFERROR(HLOOKUP(H$2,[108]table_female_hkom3_inj.ill_X6!$A$1:$K$36,20,FALSE),0)</f>
        <v>0</v>
      </c>
      <c r="I3594">
        <f>IFERROR(HLOOKUP(I$2,[108]table_female_hkom3_inj.ill_X6!$A$1:$K$36,20,FALSE),0)</f>
        <v>0</v>
      </c>
      <c r="J3594">
        <f>IFERROR(HLOOKUP(J$2,[108]table_female_hkom3_inj.ill_X6!$A$1:$K$36,20,FALSE),0)</f>
        <v>0</v>
      </c>
      <c r="K3594">
        <f>IFERROR(HLOOKUP(K$2,[108]table_female_hkom3_inj.ill_X6!$A$1:$K$36,20,FALSE),0)</f>
        <v>0</v>
      </c>
      <c r="L3594">
        <f>IFERROR(HLOOKUP(L$2,[108]table_female_hkom3_inj.ill_X6!$A$1:$K$36,20,FALSE),0)</f>
        <v>0</v>
      </c>
      <c r="M3594">
        <f t="shared" si="1118"/>
        <v>0</v>
      </c>
      <c r="S3594" t="s">
        <v>88</v>
      </c>
      <c r="T3594" s="5">
        <f t="shared" si="1119"/>
        <v>0</v>
      </c>
      <c r="U3594" s="5">
        <f t="shared" si="1120"/>
        <v>0</v>
      </c>
      <c r="V3594" s="5">
        <f t="shared" si="1121"/>
        <v>3.0303030303030304E-2</v>
      </c>
      <c r="W3594" s="5">
        <f t="shared" si="1122"/>
        <v>0</v>
      </c>
      <c r="X3594" s="5">
        <f t="shared" si="1123"/>
        <v>0</v>
      </c>
      <c r="Y3594" s="5">
        <f t="shared" si="1124"/>
        <v>0</v>
      </c>
      <c r="Z3594" s="5">
        <f t="shared" si="1125"/>
        <v>0</v>
      </c>
      <c r="AA3594" s="5">
        <f t="shared" si="1126"/>
        <v>0</v>
      </c>
      <c r="AB3594" s="5">
        <f t="shared" si="1116"/>
        <v>3.0303030303030304E-2</v>
      </c>
    </row>
    <row r="3595" spans="4:28" x14ac:dyDescent="0.25">
      <c r="D3595" t="s">
        <v>89</v>
      </c>
      <c r="E3595" s="14"/>
      <c r="F3595" s="14"/>
      <c r="G3595">
        <f>IFERROR(HLOOKUP(G$2,[108]table_female_hkom3_inj.ill_X6!$A$1:$K$36,21,FALSE),0)</f>
        <v>0</v>
      </c>
      <c r="H3595">
        <f>IFERROR(HLOOKUP(H$2,[108]table_female_hkom3_inj.ill_X6!$A$1:$K$36,21,FALSE),0)</f>
        <v>0</v>
      </c>
      <c r="I3595">
        <f>IFERROR(HLOOKUP(I$2,[108]table_female_hkom3_inj.ill_X6!$A$1:$K$36,21,FALSE),0)</f>
        <v>0</v>
      </c>
      <c r="J3595">
        <f>IFERROR(HLOOKUP(J$2,[108]table_female_hkom3_inj.ill_X6!$A$1:$K$36,21,FALSE),0)</f>
        <v>0</v>
      </c>
      <c r="K3595">
        <f>IFERROR(HLOOKUP(K$2,[108]table_female_hkom3_inj.ill_X6!$A$1:$K$36,21,FALSE),0)</f>
        <v>0</v>
      </c>
      <c r="L3595">
        <f>IFERROR(HLOOKUP(L$2,[108]table_female_hkom3_inj.ill_X6!$A$1:$K$36,21,FALSE),0)</f>
        <v>0</v>
      </c>
      <c r="M3595">
        <f t="shared" si="1118"/>
        <v>0</v>
      </c>
      <c r="S3595" t="s">
        <v>89</v>
      </c>
      <c r="T3595" s="5">
        <f t="shared" si="1119"/>
        <v>0</v>
      </c>
      <c r="U3595" s="5">
        <f t="shared" si="1120"/>
        <v>0</v>
      </c>
      <c r="V3595" s="5">
        <f t="shared" si="1121"/>
        <v>3.0303030303030304E-2</v>
      </c>
      <c r="W3595" s="5">
        <f t="shared" si="1122"/>
        <v>0</v>
      </c>
      <c r="X3595" s="5">
        <f t="shared" si="1123"/>
        <v>0</v>
      </c>
      <c r="Y3595" s="5">
        <f t="shared" si="1124"/>
        <v>0</v>
      </c>
      <c r="Z3595" s="5">
        <f t="shared" si="1125"/>
        <v>0</v>
      </c>
      <c r="AA3595" s="5">
        <f t="shared" si="1126"/>
        <v>0</v>
      </c>
      <c r="AB3595" s="5">
        <f t="shared" si="1116"/>
        <v>3.0303030303030304E-2</v>
      </c>
    </row>
    <row r="3596" spans="4:28" x14ac:dyDescent="0.25">
      <c r="D3596" t="s">
        <v>90</v>
      </c>
      <c r="E3596" s="14"/>
      <c r="F3596" s="14"/>
      <c r="G3596">
        <f>IFERROR(HLOOKUP(G$2,[108]table_female_hkom3_inj.ill_X6!$A$1:$K$36,22,FALSE),0)</f>
        <v>0</v>
      </c>
      <c r="H3596">
        <f>IFERROR(HLOOKUP(H$2,[108]table_female_hkom3_inj.ill_X6!$A$1:$K$36,22,FALSE),0)</f>
        <v>0</v>
      </c>
      <c r="I3596">
        <f>IFERROR(HLOOKUP(I$2,[108]table_female_hkom3_inj.ill_X6!$A$1:$K$36,22,FALSE),0)</f>
        <v>0</v>
      </c>
      <c r="J3596">
        <f>IFERROR(HLOOKUP(J$2,[108]table_female_hkom3_inj.ill_X6!$A$1:$K$36,22,FALSE),0)</f>
        <v>0</v>
      </c>
      <c r="K3596">
        <f>IFERROR(HLOOKUP(K$2,[108]table_female_hkom3_inj.ill_X6!$A$1:$K$36,22,FALSE),0)</f>
        <v>0</v>
      </c>
      <c r="L3596">
        <f>IFERROR(HLOOKUP(L$2,[108]table_female_hkom3_inj.ill_X6!$A$1:$K$36,22,FALSE),0)</f>
        <v>0</v>
      </c>
      <c r="M3596">
        <f t="shared" si="1118"/>
        <v>0</v>
      </c>
      <c r="S3596" t="s">
        <v>90</v>
      </c>
      <c r="T3596" s="5">
        <f t="shared" si="1119"/>
        <v>0</v>
      </c>
      <c r="U3596" s="5">
        <f t="shared" si="1120"/>
        <v>0</v>
      </c>
      <c r="V3596" s="5">
        <f t="shared" si="1121"/>
        <v>3.0303030303030304E-2</v>
      </c>
      <c r="W3596" s="5">
        <f t="shared" si="1122"/>
        <v>0</v>
      </c>
      <c r="X3596" s="5">
        <f t="shared" si="1123"/>
        <v>0</v>
      </c>
      <c r="Y3596" s="5">
        <f t="shared" si="1124"/>
        <v>0</v>
      </c>
      <c r="Z3596" s="5">
        <f t="shared" si="1125"/>
        <v>0</v>
      </c>
      <c r="AA3596" s="5">
        <f t="shared" si="1126"/>
        <v>0</v>
      </c>
      <c r="AB3596" s="5">
        <f t="shared" si="1116"/>
        <v>3.0303030303030304E-2</v>
      </c>
    </row>
    <row r="3597" spans="4:28" x14ac:dyDescent="0.25">
      <c r="D3597" t="s">
        <v>91</v>
      </c>
      <c r="E3597" s="14"/>
      <c r="F3597" s="14"/>
      <c r="G3597">
        <f>IFERROR(HLOOKUP(G$2,[108]table_female_hkom3_inj.ill_X6!$A$1:$K$36,23,FALSE),0)</f>
        <v>0</v>
      </c>
      <c r="H3597">
        <f>IFERROR(HLOOKUP(H$2,[108]table_female_hkom3_inj.ill_X6!$A$1:$K$36,23,FALSE),0)</f>
        <v>0</v>
      </c>
      <c r="I3597">
        <f>IFERROR(HLOOKUP(I$2,[108]table_female_hkom3_inj.ill_X6!$A$1:$K$36,23,FALSE),0)</f>
        <v>0</v>
      </c>
      <c r="J3597">
        <f>IFERROR(HLOOKUP(J$2,[108]table_female_hkom3_inj.ill_X6!$A$1:$K$36,23,FALSE),0)</f>
        <v>0</v>
      </c>
      <c r="K3597">
        <f>IFERROR(HLOOKUP(K$2,[108]table_female_hkom3_inj.ill_X6!$A$1:$K$36,23,FALSE),0)</f>
        <v>0</v>
      </c>
      <c r="L3597">
        <f>IFERROR(HLOOKUP(L$2,[108]table_female_hkom3_inj.ill_X6!$A$1:$K$36,23,FALSE),0)</f>
        <v>0</v>
      </c>
      <c r="M3597">
        <f t="shared" si="1118"/>
        <v>0</v>
      </c>
      <c r="S3597" t="s">
        <v>91</v>
      </c>
      <c r="T3597" s="5">
        <f t="shared" si="1119"/>
        <v>0</v>
      </c>
      <c r="U3597" s="5">
        <f t="shared" si="1120"/>
        <v>0</v>
      </c>
      <c r="V3597" s="5">
        <f t="shared" si="1121"/>
        <v>3.0303030303030304E-2</v>
      </c>
      <c r="W3597" s="5">
        <f t="shared" si="1122"/>
        <v>0</v>
      </c>
      <c r="X3597" s="5">
        <f t="shared" si="1123"/>
        <v>0</v>
      </c>
      <c r="Y3597" s="5">
        <f t="shared" si="1124"/>
        <v>0</v>
      </c>
      <c r="Z3597" s="5">
        <f t="shared" si="1125"/>
        <v>0</v>
      </c>
      <c r="AA3597" s="5">
        <f t="shared" si="1126"/>
        <v>0</v>
      </c>
      <c r="AB3597" s="5">
        <f t="shared" si="1116"/>
        <v>3.0303030303030304E-2</v>
      </c>
    </row>
    <row r="3598" spans="4:28" x14ac:dyDescent="0.25">
      <c r="D3598" t="s">
        <v>92</v>
      </c>
      <c r="E3598" s="14"/>
      <c r="F3598" s="14"/>
      <c r="G3598">
        <f>IFERROR(HLOOKUP(G$2,[108]table_female_hkom3_inj.ill_X6!$A$1:$K$36,24,FALSE),0)</f>
        <v>0</v>
      </c>
      <c r="H3598">
        <f>IFERROR(HLOOKUP(H$2,[108]table_female_hkom3_inj.ill_X6!$A$1:$K$36,24,FALSE),0)</f>
        <v>0</v>
      </c>
      <c r="I3598">
        <f>IFERROR(HLOOKUP(I$2,[108]table_female_hkom3_inj.ill_X6!$A$1:$K$36,24,FALSE),0)</f>
        <v>0</v>
      </c>
      <c r="J3598">
        <f>IFERROR(HLOOKUP(J$2,[108]table_female_hkom3_inj.ill_X6!$A$1:$K$36,24,FALSE),0)</f>
        <v>0</v>
      </c>
      <c r="K3598">
        <f>IFERROR(HLOOKUP(K$2,[108]table_female_hkom3_inj.ill_X6!$A$1:$K$36,24,FALSE),0)</f>
        <v>0</v>
      </c>
      <c r="L3598">
        <f>IFERROR(HLOOKUP(L$2,[108]table_female_hkom3_inj.ill_X6!$A$1:$K$36,24,FALSE),0)</f>
        <v>0</v>
      </c>
      <c r="M3598">
        <f t="shared" si="1118"/>
        <v>0</v>
      </c>
      <c r="S3598" t="s">
        <v>92</v>
      </c>
      <c r="T3598" s="5">
        <f t="shared" si="1119"/>
        <v>0</v>
      </c>
      <c r="U3598" s="5">
        <f t="shared" si="1120"/>
        <v>0</v>
      </c>
      <c r="V3598" s="5">
        <f t="shared" si="1121"/>
        <v>3.0303030303030304E-2</v>
      </c>
      <c r="W3598" s="5">
        <f t="shared" si="1122"/>
        <v>0</v>
      </c>
      <c r="X3598" s="5">
        <f t="shared" si="1123"/>
        <v>0</v>
      </c>
      <c r="Y3598" s="5">
        <f t="shared" si="1124"/>
        <v>0</v>
      </c>
      <c r="Z3598" s="5">
        <f t="shared" si="1125"/>
        <v>0</v>
      </c>
      <c r="AA3598" s="5">
        <f t="shared" si="1126"/>
        <v>0</v>
      </c>
      <c r="AB3598" s="5">
        <f t="shared" si="1116"/>
        <v>3.0303030303030304E-2</v>
      </c>
    </row>
    <row r="3599" spans="4:28" x14ac:dyDescent="0.25">
      <c r="D3599" t="s">
        <v>93</v>
      </c>
      <c r="E3599" s="14"/>
      <c r="F3599" s="14"/>
      <c r="G3599">
        <f>IFERROR(HLOOKUP(G$2,[108]table_female_hkom3_inj.ill_X6!$A$1:$K$36,25,FALSE),0)</f>
        <v>0</v>
      </c>
      <c r="H3599">
        <f>IFERROR(HLOOKUP(H$2,[108]table_female_hkom3_inj.ill_X6!$A$1:$K$36,25,FALSE),0)</f>
        <v>0</v>
      </c>
      <c r="I3599">
        <f>IFERROR(HLOOKUP(I$2,[108]table_female_hkom3_inj.ill_X6!$A$1:$K$36,25,FALSE),0)</f>
        <v>0</v>
      </c>
      <c r="J3599">
        <f>IFERROR(HLOOKUP(J$2,[108]table_female_hkom3_inj.ill_X6!$A$1:$K$36,25,FALSE),0)</f>
        <v>0</v>
      </c>
      <c r="K3599">
        <f>IFERROR(HLOOKUP(K$2,[108]table_female_hkom3_inj.ill_X6!$A$1:$K$36,25,FALSE),0)</f>
        <v>0</v>
      </c>
      <c r="L3599">
        <f>IFERROR(HLOOKUP(L$2,[108]table_female_hkom3_inj.ill_X6!$A$1:$K$36,25,FALSE),0)</f>
        <v>0</v>
      </c>
      <c r="M3599">
        <f t="shared" si="1118"/>
        <v>0</v>
      </c>
      <c r="S3599" t="s">
        <v>93</v>
      </c>
      <c r="T3599" s="5">
        <f t="shared" si="1119"/>
        <v>0</v>
      </c>
      <c r="U3599" s="5">
        <f t="shared" si="1120"/>
        <v>0</v>
      </c>
      <c r="V3599" s="5">
        <f t="shared" si="1121"/>
        <v>3.0303030303030304E-2</v>
      </c>
      <c r="W3599" s="5">
        <f t="shared" si="1122"/>
        <v>0</v>
      </c>
      <c r="X3599" s="5">
        <f t="shared" si="1123"/>
        <v>0</v>
      </c>
      <c r="Y3599" s="5">
        <f t="shared" si="1124"/>
        <v>0</v>
      </c>
      <c r="Z3599" s="5">
        <f t="shared" si="1125"/>
        <v>0</v>
      </c>
      <c r="AA3599" s="5">
        <f t="shared" si="1126"/>
        <v>0</v>
      </c>
      <c r="AB3599" s="5">
        <f t="shared" si="1116"/>
        <v>3.0303030303030304E-2</v>
      </c>
    </row>
    <row r="3600" spans="4:28" x14ac:dyDescent="0.25">
      <c r="D3600" t="s">
        <v>94</v>
      </c>
      <c r="E3600" s="14"/>
      <c r="F3600" s="14"/>
      <c r="G3600">
        <f>IFERROR(HLOOKUP(G$2,[108]table_female_hkom3_inj.ill_X6!$A$1:$K$36,26,FALSE),0)</f>
        <v>0</v>
      </c>
      <c r="H3600">
        <f>IFERROR(HLOOKUP(H$2,[108]table_female_hkom3_inj.ill_X6!$A$1:$K$36,26,FALSE),0)</f>
        <v>0</v>
      </c>
      <c r="I3600">
        <f>IFERROR(HLOOKUP(I$2,[108]table_female_hkom3_inj.ill_X6!$A$1:$K$36,26,FALSE),0)</f>
        <v>0</v>
      </c>
      <c r="J3600">
        <f>IFERROR(HLOOKUP(J$2,[108]table_female_hkom3_inj.ill_X6!$A$1:$K$36,26,FALSE),0)</f>
        <v>0</v>
      </c>
      <c r="K3600">
        <f>IFERROR(HLOOKUP(K$2,[108]table_female_hkom3_inj.ill_X6!$A$1:$K$36,26,FALSE),0)</f>
        <v>0</v>
      </c>
      <c r="L3600">
        <f>IFERROR(HLOOKUP(L$2,[108]table_female_hkom3_inj.ill_X6!$A$1:$K$36,26,FALSE),0)</f>
        <v>0</v>
      </c>
      <c r="M3600">
        <f t="shared" si="1118"/>
        <v>0</v>
      </c>
      <c r="S3600" t="s">
        <v>94</v>
      </c>
      <c r="T3600" s="5">
        <f t="shared" si="1119"/>
        <v>0</v>
      </c>
      <c r="U3600" s="5">
        <f t="shared" si="1120"/>
        <v>0</v>
      </c>
      <c r="V3600" s="5">
        <f t="shared" si="1121"/>
        <v>3.0303030303030304E-2</v>
      </c>
      <c r="W3600" s="5">
        <f t="shared" si="1122"/>
        <v>0</v>
      </c>
      <c r="X3600" s="5">
        <f t="shared" si="1123"/>
        <v>0</v>
      </c>
      <c r="Y3600" s="5">
        <f t="shared" si="1124"/>
        <v>0</v>
      </c>
      <c r="Z3600" s="5">
        <f t="shared" si="1125"/>
        <v>0</v>
      </c>
      <c r="AA3600" s="5">
        <f t="shared" si="1126"/>
        <v>0</v>
      </c>
      <c r="AB3600" s="5">
        <f t="shared" si="1116"/>
        <v>3.0303030303030304E-2</v>
      </c>
    </row>
    <row r="3601" spans="1:29" x14ac:dyDescent="0.25">
      <c r="D3601" t="s">
        <v>95</v>
      </c>
      <c r="E3601" s="14"/>
      <c r="F3601" s="14"/>
      <c r="G3601">
        <f>IFERROR(HLOOKUP(G$2,[108]table_female_hkom3_inj.ill_X6!$A$1:$K$36,27,FALSE),0)</f>
        <v>0</v>
      </c>
      <c r="H3601">
        <f>IFERROR(HLOOKUP(H$2,[108]table_female_hkom3_inj.ill_X6!$A$1:$K$36,27,FALSE),0)</f>
        <v>0</v>
      </c>
      <c r="I3601">
        <f>IFERROR(HLOOKUP(I$2,[108]table_female_hkom3_inj.ill_X6!$A$1:$K$36,27,FALSE),0)</f>
        <v>0</v>
      </c>
      <c r="J3601">
        <f>IFERROR(HLOOKUP(J$2,[108]table_female_hkom3_inj.ill_X6!$A$1:$K$36,27,FALSE),0)</f>
        <v>0</v>
      </c>
      <c r="K3601">
        <f>IFERROR(HLOOKUP(K$2,[108]table_female_hkom3_inj.ill_X6!$A$1:$K$36,27,FALSE),0)</f>
        <v>0</v>
      </c>
      <c r="L3601">
        <f>IFERROR(HLOOKUP(L$2,[108]table_female_hkom3_inj.ill_X6!$A$1:$K$36,27,FALSE),0)</f>
        <v>0</v>
      </c>
      <c r="M3601">
        <f t="shared" si="1118"/>
        <v>0</v>
      </c>
      <c r="S3601" t="s">
        <v>95</v>
      </c>
      <c r="T3601" s="5">
        <f t="shared" si="1119"/>
        <v>0</v>
      </c>
      <c r="U3601" s="5">
        <f t="shared" si="1120"/>
        <v>0</v>
      </c>
      <c r="V3601" s="5">
        <f t="shared" si="1121"/>
        <v>3.0303030303030304E-2</v>
      </c>
      <c r="W3601" s="5">
        <f t="shared" si="1122"/>
        <v>0</v>
      </c>
      <c r="X3601" s="5">
        <f t="shared" si="1123"/>
        <v>0</v>
      </c>
      <c r="Y3601" s="5">
        <f t="shared" si="1124"/>
        <v>0</v>
      </c>
      <c r="Z3601" s="5">
        <f t="shared" si="1125"/>
        <v>0</v>
      </c>
      <c r="AA3601" s="5">
        <f t="shared" si="1126"/>
        <v>0</v>
      </c>
      <c r="AB3601" s="5">
        <f t="shared" si="1116"/>
        <v>3.0303030303030304E-2</v>
      </c>
    </row>
    <row r="3602" spans="1:29" x14ac:dyDescent="0.25">
      <c r="D3602" t="s">
        <v>96</v>
      </c>
      <c r="E3602" s="14"/>
      <c r="F3602" s="14"/>
      <c r="G3602">
        <f>IFERROR(HLOOKUP(G$2,[108]table_female_hkom3_inj.ill_X6!$A$1:$K$36,28,FALSE),0)</f>
        <v>0</v>
      </c>
      <c r="H3602">
        <f>IFERROR(HLOOKUP(H$2,[108]table_female_hkom3_inj.ill_X6!$A$1:$K$36,28,FALSE),0)</f>
        <v>0</v>
      </c>
      <c r="I3602">
        <f>IFERROR(HLOOKUP(I$2,[108]table_female_hkom3_inj.ill_X6!$A$1:$K$36,28,FALSE),0)</f>
        <v>0</v>
      </c>
      <c r="J3602">
        <f>IFERROR(HLOOKUP(J$2,[108]table_female_hkom3_inj.ill_X6!$A$1:$K$36,28,FALSE),0)</f>
        <v>0</v>
      </c>
      <c r="K3602">
        <f>IFERROR(HLOOKUP(K$2,[108]table_female_hkom3_inj.ill_X6!$A$1:$K$36,28,FALSE),0)</f>
        <v>0</v>
      </c>
      <c r="L3602">
        <f>IFERROR(HLOOKUP(L$2,[108]table_female_hkom3_inj.ill_X6!$A$1:$K$36,28,FALSE),0)</f>
        <v>0</v>
      </c>
      <c r="M3602">
        <f t="shared" si="1118"/>
        <v>0</v>
      </c>
      <c r="S3602" t="s">
        <v>96</v>
      </c>
      <c r="T3602" s="5">
        <f t="shared" si="1119"/>
        <v>0</v>
      </c>
      <c r="U3602" s="5">
        <f t="shared" si="1120"/>
        <v>0</v>
      </c>
      <c r="V3602" s="5">
        <f t="shared" si="1121"/>
        <v>3.0303030303030304E-2</v>
      </c>
      <c r="W3602" s="5">
        <f t="shared" si="1122"/>
        <v>0</v>
      </c>
      <c r="X3602" s="5">
        <f t="shared" si="1123"/>
        <v>0</v>
      </c>
      <c r="Y3602" s="5">
        <f t="shared" si="1124"/>
        <v>0</v>
      </c>
      <c r="Z3602" s="5">
        <f t="shared" si="1125"/>
        <v>0</v>
      </c>
      <c r="AA3602" s="5">
        <f t="shared" si="1126"/>
        <v>0</v>
      </c>
      <c r="AB3602" s="5">
        <f t="shared" si="1116"/>
        <v>3.0303030303030304E-2</v>
      </c>
    </row>
    <row r="3603" spans="1:29" x14ac:dyDescent="0.25">
      <c r="D3603" t="s">
        <v>97</v>
      </c>
      <c r="E3603" s="14"/>
      <c r="F3603" s="14"/>
      <c r="G3603">
        <f>IFERROR(HLOOKUP(G$2,[108]table_female_hkom3_inj.ill_X6!$A$1:$K$36,29,FALSE),0)</f>
        <v>0</v>
      </c>
      <c r="H3603">
        <f>IFERROR(HLOOKUP(H$2,[108]table_female_hkom3_inj.ill_X6!$A$1:$K$36,29,FALSE),0)</f>
        <v>0</v>
      </c>
      <c r="I3603">
        <f>IFERROR(HLOOKUP(I$2,[108]table_female_hkom3_inj.ill_X6!$A$1:$K$36,29,FALSE),0)</f>
        <v>0</v>
      </c>
      <c r="J3603">
        <f>IFERROR(HLOOKUP(J$2,[108]table_female_hkom3_inj.ill_X6!$A$1:$K$36,29,FALSE),0)</f>
        <v>0</v>
      </c>
      <c r="K3603">
        <f>IFERROR(HLOOKUP(K$2,[108]table_female_hkom3_inj.ill_X6!$A$1:$K$36,29,FALSE),0)</f>
        <v>0</v>
      </c>
      <c r="L3603">
        <f>IFERROR(HLOOKUP(L$2,[108]table_female_hkom3_inj.ill_X6!$A$1:$K$36,29,FALSE),0)</f>
        <v>0</v>
      </c>
      <c r="M3603">
        <f t="shared" si="1118"/>
        <v>0</v>
      </c>
      <c r="S3603" t="s">
        <v>97</v>
      </c>
      <c r="T3603" s="5">
        <f t="shared" si="1119"/>
        <v>0</v>
      </c>
      <c r="U3603" s="5">
        <f t="shared" si="1120"/>
        <v>0</v>
      </c>
      <c r="V3603" s="5">
        <f t="shared" si="1121"/>
        <v>3.0303030303030304E-2</v>
      </c>
      <c r="W3603" s="5">
        <f t="shared" si="1122"/>
        <v>0</v>
      </c>
      <c r="X3603" s="5">
        <f t="shared" si="1123"/>
        <v>0</v>
      </c>
      <c r="Y3603" s="5">
        <f t="shared" si="1124"/>
        <v>0</v>
      </c>
      <c r="Z3603" s="5">
        <f t="shared" si="1125"/>
        <v>0</v>
      </c>
      <c r="AA3603" s="5">
        <f t="shared" si="1126"/>
        <v>0</v>
      </c>
      <c r="AB3603" s="5">
        <f t="shared" si="1116"/>
        <v>3.0303030303030304E-2</v>
      </c>
    </row>
    <row r="3604" spans="1:29" x14ac:dyDescent="0.25">
      <c r="D3604" t="s">
        <v>98</v>
      </c>
      <c r="E3604" s="14"/>
      <c r="F3604" s="14"/>
      <c r="G3604">
        <f>IFERROR(HLOOKUP(G$2,[108]table_female_hkom3_inj.ill_X6!$A$1:$K$36,30,FALSE),0)</f>
        <v>0</v>
      </c>
      <c r="H3604">
        <f>IFERROR(HLOOKUP(H$2,[108]table_female_hkom3_inj.ill_X6!$A$1:$K$36,30,FALSE),0)</f>
        <v>0</v>
      </c>
      <c r="I3604">
        <f>IFERROR(HLOOKUP(I$2,[108]table_female_hkom3_inj.ill_X6!$A$1:$K$36,30,FALSE),0)</f>
        <v>0</v>
      </c>
      <c r="J3604">
        <f>IFERROR(HLOOKUP(J$2,[108]table_female_hkom3_inj.ill_X6!$A$1:$K$36,30,FALSE),0)</f>
        <v>0</v>
      </c>
      <c r="K3604">
        <f>IFERROR(HLOOKUP(K$2,[108]table_female_hkom3_inj.ill_X6!$A$1:$K$36,30,FALSE),0)</f>
        <v>0</v>
      </c>
      <c r="L3604">
        <f>IFERROR(HLOOKUP(L$2,[108]table_female_hkom3_inj.ill_X6!$A$1:$K$36,30,FALSE),0)</f>
        <v>0</v>
      </c>
      <c r="M3604">
        <f t="shared" si="1118"/>
        <v>0</v>
      </c>
      <c r="S3604" t="s">
        <v>98</v>
      </c>
      <c r="T3604" s="5">
        <f t="shared" si="1119"/>
        <v>0</v>
      </c>
      <c r="U3604" s="5">
        <f t="shared" si="1120"/>
        <v>0</v>
      </c>
      <c r="V3604" s="5">
        <f t="shared" si="1121"/>
        <v>3.0303030303030304E-2</v>
      </c>
      <c r="W3604" s="5">
        <f t="shared" si="1122"/>
        <v>0</v>
      </c>
      <c r="X3604" s="5">
        <f t="shared" si="1123"/>
        <v>0</v>
      </c>
      <c r="Y3604" s="5">
        <f t="shared" si="1124"/>
        <v>0</v>
      </c>
      <c r="Z3604" s="5">
        <f t="shared" si="1125"/>
        <v>0</v>
      </c>
      <c r="AA3604" s="5">
        <f t="shared" si="1126"/>
        <v>0</v>
      </c>
      <c r="AB3604" s="5">
        <f t="shared" si="1116"/>
        <v>3.0303030303030304E-2</v>
      </c>
    </row>
    <row r="3605" spans="1:29" x14ac:dyDescent="0.25">
      <c r="D3605" t="s">
        <v>119</v>
      </c>
      <c r="E3605" s="14"/>
      <c r="F3605" s="14"/>
      <c r="G3605">
        <f>IFERROR(HLOOKUP(G$2,[108]table_female_hkom3_inj.ill_X6!$A$1:$K$36,31,FALSE),0)</f>
        <v>0</v>
      </c>
      <c r="H3605">
        <f>IFERROR(HLOOKUP(H$2,[108]table_female_hkom3_inj.ill_X6!$A$1:$K$36,31,FALSE),0)</f>
        <v>0</v>
      </c>
      <c r="I3605">
        <f>IFERROR(HLOOKUP(I$2,[108]table_female_hkom3_inj.ill_X6!$A$1:$K$36,31,FALSE),0)</f>
        <v>0</v>
      </c>
      <c r="J3605">
        <f>IFERROR(HLOOKUP(J$2,[108]table_female_hkom3_inj.ill_X6!$A$1:$K$36,31,FALSE),0)</f>
        <v>0</v>
      </c>
      <c r="K3605">
        <f>IFERROR(HLOOKUP(K$2,[108]table_female_hkom3_inj.ill_X6!$A$1:$K$36,31,FALSE),0)</f>
        <v>0</v>
      </c>
      <c r="L3605">
        <f>IFERROR(HLOOKUP(L$2,[108]table_female_hkom3_inj.ill_X6!$A$1:$K$36,31,FALSE),0)</f>
        <v>0</v>
      </c>
      <c r="M3605">
        <f t="shared" si="1118"/>
        <v>0</v>
      </c>
      <c r="S3605" t="s">
        <v>119</v>
      </c>
      <c r="T3605" s="5">
        <f t="shared" si="1119"/>
        <v>0</v>
      </c>
      <c r="U3605" s="5">
        <f t="shared" si="1120"/>
        <v>0</v>
      </c>
      <c r="V3605" s="5">
        <f t="shared" si="1121"/>
        <v>3.0303030303030304E-2</v>
      </c>
      <c r="W3605" s="5">
        <f t="shared" si="1122"/>
        <v>0</v>
      </c>
      <c r="X3605" s="5">
        <f t="shared" si="1123"/>
        <v>0</v>
      </c>
      <c r="Y3605" s="5">
        <f t="shared" si="1124"/>
        <v>0</v>
      </c>
      <c r="Z3605" s="5">
        <f t="shared" si="1125"/>
        <v>0</v>
      </c>
      <c r="AA3605" s="5">
        <f t="shared" si="1126"/>
        <v>0</v>
      </c>
      <c r="AB3605" s="5">
        <f t="shared" si="1116"/>
        <v>3.0303030303030304E-2</v>
      </c>
    </row>
    <row r="3606" spans="1:29" x14ac:dyDescent="0.25">
      <c r="D3606" t="s">
        <v>99</v>
      </c>
      <c r="E3606" s="14"/>
      <c r="F3606" s="14"/>
      <c r="G3606">
        <f>IFERROR(HLOOKUP(G$2,[108]table_female_hkom3_inj.ill_X6!$A$1:$K$36,32,FALSE),0)</f>
        <v>0</v>
      </c>
      <c r="H3606">
        <f>IFERROR(HLOOKUP(H$2,[108]table_female_hkom3_inj.ill_X6!$A$1:$K$36,32,FALSE),0)</f>
        <v>0</v>
      </c>
      <c r="I3606">
        <f>IFERROR(HLOOKUP(I$2,[108]table_female_hkom3_inj.ill_X6!$A$1:$K$36,32,FALSE),0)</f>
        <v>0</v>
      </c>
      <c r="J3606">
        <f>IFERROR(HLOOKUP(J$2,[108]table_female_hkom3_inj.ill_X6!$A$1:$K$36,32,FALSE),0)</f>
        <v>0</v>
      </c>
      <c r="K3606">
        <f>IFERROR(HLOOKUP(K$2,[108]table_female_hkom3_inj.ill_X6!$A$1:$K$36,32,FALSE),0)</f>
        <v>0</v>
      </c>
      <c r="L3606">
        <f>IFERROR(HLOOKUP(L$2,[108]table_female_hkom3_inj.ill_X6!$A$1:$K$36,32,FALSE),0)</f>
        <v>0</v>
      </c>
      <c r="M3606">
        <f t="shared" si="1118"/>
        <v>0</v>
      </c>
      <c r="S3606" t="s">
        <v>99</v>
      </c>
      <c r="T3606" s="5">
        <f t="shared" si="1119"/>
        <v>0</v>
      </c>
      <c r="U3606" s="5">
        <f t="shared" si="1120"/>
        <v>0</v>
      </c>
      <c r="V3606" s="5">
        <f t="shared" si="1121"/>
        <v>3.0303030303030304E-2</v>
      </c>
      <c r="W3606" s="5">
        <f t="shared" si="1122"/>
        <v>0</v>
      </c>
      <c r="X3606" s="5">
        <f t="shared" si="1123"/>
        <v>0</v>
      </c>
      <c r="Y3606" s="5">
        <f t="shared" si="1124"/>
        <v>0</v>
      </c>
      <c r="Z3606" s="5">
        <f t="shared" si="1125"/>
        <v>0</v>
      </c>
      <c r="AA3606" s="5">
        <f t="shared" si="1126"/>
        <v>0</v>
      </c>
      <c r="AB3606" s="5">
        <f t="shared" si="1116"/>
        <v>3.0303030303030304E-2</v>
      </c>
    </row>
    <row r="3607" spans="1:29" x14ac:dyDescent="0.25">
      <c r="D3607" t="s">
        <v>100</v>
      </c>
      <c r="E3607" s="14"/>
      <c r="F3607" s="14"/>
      <c r="G3607">
        <f>IFERROR(HLOOKUP(G$2,[108]table_female_hkom3_inj.ill_X6!$A$1:$K$36,33,FALSE),0)</f>
        <v>0</v>
      </c>
      <c r="H3607">
        <f>IFERROR(HLOOKUP(H$2,[108]table_female_hkom3_inj.ill_X6!$A$1:$K$36,33,FALSE),0)</f>
        <v>0</v>
      </c>
      <c r="I3607">
        <f>IFERROR(HLOOKUP(I$2,[108]table_female_hkom3_inj.ill_X6!$A$1:$K$36,33,FALSE),0)</f>
        <v>0</v>
      </c>
      <c r="J3607">
        <f>IFERROR(HLOOKUP(J$2,[108]table_female_hkom3_inj.ill_X6!$A$1:$K$36,33,FALSE),0)</f>
        <v>0</v>
      </c>
      <c r="K3607">
        <f>IFERROR(HLOOKUP(K$2,[108]table_female_hkom3_inj.ill_X6!$A$1:$K$36,33,FALSE),0)</f>
        <v>0</v>
      </c>
      <c r="L3607">
        <f>IFERROR(HLOOKUP(L$2,[108]table_female_hkom3_inj.ill_X6!$A$1:$K$36,33,FALSE),0)</f>
        <v>0</v>
      </c>
      <c r="M3607">
        <f t="shared" si="1118"/>
        <v>0</v>
      </c>
      <c r="S3607" t="s">
        <v>100</v>
      </c>
      <c r="T3607" s="5">
        <f t="shared" si="1119"/>
        <v>0</v>
      </c>
      <c r="U3607" s="5">
        <f t="shared" si="1120"/>
        <v>0</v>
      </c>
      <c r="V3607" s="5">
        <f t="shared" si="1121"/>
        <v>3.0303030303030304E-2</v>
      </c>
      <c r="W3607" s="5">
        <f t="shared" si="1122"/>
        <v>0</v>
      </c>
      <c r="X3607" s="5">
        <f t="shared" si="1123"/>
        <v>0</v>
      </c>
      <c r="Y3607" s="5">
        <f t="shared" si="1124"/>
        <v>0</v>
      </c>
      <c r="Z3607" s="5">
        <f t="shared" si="1125"/>
        <v>0</v>
      </c>
      <c r="AA3607" s="5">
        <f t="shared" si="1126"/>
        <v>0</v>
      </c>
      <c r="AB3607" s="5">
        <f t="shared" si="1116"/>
        <v>3.0303030303030304E-2</v>
      </c>
    </row>
    <row r="3608" spans="1:29" x14ac:dyDescent="0.25">
      <c r="D3608" t="s">
        <v>101</v>
      </c>
      <c r="E3608" s="14"/>
      <c r="F3608" s="14"/>
      <c r="G3608">
        <f>IFERROR(HLOOKUP(G$2,[108]table_female_hkom3_inj.ill_X6!$A$1:$K$36,34,FALSE),0)</f>
        <v>0</v>
      </c>
      <c r="H3608">
        <f>IFERROR(HLOOKUP(H$2,[108]table_female_hkom3_inj.ill_X6!$A$1:$K$36,34,FALSE),0)</f>
        <v>0</v>
      </c>
      <c r="I3608">
        <f>IFERROR(HLOOKUP(I$2,[108]table_female_hkom3_inj.ill_X6!$A$1:$K$36,34,FALSE),0)</f>
        <v>0</v>
      </c>
      <c r="J3608">
        <f>IFERROR(HLOOKUP(J$2,[108]table_female_hkom3_inj.ill_X6!$A$1:$K$36,34,FALSE),0)</f>
        <v>0</v>
      </c>
      <c r="K3608">
        <f>IFERROR(HLOOKUP(K$2,[108]table_female_hkom3_inj.ill_X6!$A$1:$K$36,34,FALSE),0)</f>
        <v>0</v>
      </c>
      <c r="L3608">
        <f>IFERROR(HLOOKUP(L$2,[108]table_female_hkom3_inj.ill_X6!$A$1:$K$36,34,FALSE),0)</f>
        <v>0</v>
      </c>
      <c r="M3608">
        <f t="shared" si="1118"/>
        <v>0</v>
      </c>
      <c r="S3608" t="s">
        <v>101</v>
      </c>
      <c r="T3608" s="5">
        <f t="shared" si="1119"/>
        <v>0</v>
      </c>
      <c r="U3608" s="5">
        <f t="shared" si="1120"/>
        <v>0</v>
      </c>
      <c r="V3608" s="5">
        <f t="shared" si="1121"/>
        <v>3.0303030303030304E-2</v>
      </c>
      <c r="W3608" s="5">
        <f t="shared" si="1122"/>
        <v>0</v>
      </c>
      <c r="X3608" s="5">
        <f t="shared" si="1123"/>
        <v>0</v>
      </c>
      <c r="Y3608" s="5">
        <f t="shared" si="1124"/>
        <v>0</v>
      </c>
      <c r="Z3608" s="5">
        <f t="shared" si="1125"/>
        <v>0</v>
      </c>
      <c r="AA3608" s="5">
        <f t="shared" si="1126"/>
        <v>0</v>
      </c>
      <c r="AB3608" s="5">
        <f t="shared" si="1116"/>
        <v>3.0303030303030304E-2</v>
      </c>
    </row>
    <row r="3609" spans="1:29" x14ac:dyDescent="0.25">
      <c r="D3609" t="s">
        <v>102</v>
      </c>
      <c r="E3609" s="14"/>
      <c r="F3609" s="14"/>
      <c r="G3609">
        <f>IFERROR(HLOOKUP(G$2,[108]table_female_hkom3_inj.ill_X6!$A$1:$K$36,35,FALSE),0)</f>
        <v>1</v>
      </c>
      <c r="H3609">
        <f>IFERROR(HLOOKUP(H$2,[108]table_female_hkom3_inj.ill_X6!$A$1:$K$36,35,FALSE),0)</f>
        <v>0</v>
      </c>
      <c r="I3609">
        <f>IFERROR(HLOOKUP(I$2,[108]table_female_hkom3_inj.ill_X6!$A$1:$K$36,35,FALSE),0)</f>
        <v>0</v>
      </c>
      <c r="J3609">
        <f>IFERROR(HLOOKUP(J$2,[108]table_female_hkom3_inj.ill_X6!$A$1:$K$36,35,FALSE),0)</f>
        <v>0</v>
      </c>
      <c r="K3609">
        <f>IFERROR(HLOOKUP(K$2,[108]table_female_hkom3_inj.ill_X6!$A$1:$K$36,35,FALSE),0)</f>
        <v>0</v>
      </c>
      <c r="L3609">
        <f>IFERROR(HLOOKUP(L$2,[108]table_female_hkom3_inj.ill_X6!$A$1:$K$36,35,FALSE),0)</f>
        <v>0</v>
      </c>
      <c r="M3609">
        <f t="shared" si="1118"/>
        <v>1</v>
      </c>
      <c r="N3609">
        <f>SUM(M3576:M3609)</f>
        <v>1</v>
      </c>
      <c r="O3609" s="8">
        <f>SUM([108]table_female_hkom3_inj.ill_X6!$B$2:$L$37)</f>
        <v>1</v>
      </c>
      <c r="S3609" t="s">
        <v>102</v>
      </c>
      <c r="T3609" s="7"/>
      <c r="U3609" s="7"/>
      <c r="V3609" s="7"/>
      <c r="W3609" s="7"/>
      <c r="X3609" s="7"/>
      <c r="Y3609" s="7"/>
      <c r="Z3609" s="7"/>
      <c r="AA3609" s="7"/>
      <c r="AB3609" s="5">
        <f t="shared" si="1116"/>
        <v>0</v>
      </c>
      <c r="AC3609" s="5">
        <f>SUM(AB3576:AB3608)</f>
        <v>0.99999999999999933</v>
      </c>
    </row>
    <row r="3610" spans="1:29" x14ac:dyDescent="0.25">
      <c r="A3610" t="s">
        <v>115</v>
      </c>
      <c r="B3610" t="s">
        <v>117</v>
      </c>
      <c r="C3610" t="s">
        <v>129</v>
      </c>
      <c r="D3610" t="s">
        <v>70</v>
      </c>
      <c r="E3610" s="14"/>
      <c r="F3610" s="14"/>
      <c r="G3610">
        <f>IFERROR(HLOOKUP(G$2,[109]table_female_hkom3_inj.ill_X7!$A$1:$K$36,2,FALSE),0)</f>
        <v>0</v>
      </c>
      <c r="H3610">
        <f>IFERROR(HLOOKUP(H$2,[109]table_female_hkom3_inj.ill_X7!$A$1:$K$36,2,FALSE),0)</f>
        <v>0</v>
      </c>
      <c r="I3610">
        <f>IFERROR(HLOOKUP(I$2,[109]table_female_hkom3_inj.ill_X7!$A$1:$K$36,2,FALSE),0)</f>
        <v>0</v>
      </c>
      <c r="J3610">
        <f>IFERROR(HLOOKUP(J$2,[109]table_female_hkom3_inj.ill_X7!$A$1:$K$36,2,FALSE),0)</f>
        <v>0</v>
      </c>
      <c r="K3610">
        <f>IFERROR(HLOOKUP(K$2,[109]table_female_hkom3_inj.ill_X7!$A$1:$K$36,2,FALSE),0)</f>
        <v>0</v>
      </c>
      <c r="L3610">
        <f>IFERROR(HLOOKUP(L$2,[109]table_female_hkom3_inj.ill_X7!$A$1:$K$36,2,FALSE),0)</f>
        <v>0</v>
      </c>
      <c r="M3610">
        <f>SUM(E3610:L3610)</f>
        <v>0</v>
      </c>
      <c r="P3610" t="s">
        <v>115</v>
      </c>
      <c r="Q3610" t="s">
        <v>117</v>
      </c>
      <c r="R3610" t="s">
        <v>129</v>
      </c>
      <c r="S3610" t="s">
        <v>70</v>
      </c>
      <c r="T3610" s="5">
        <f>IF(SUM(E$3610:E$3642)=0,E$3643/33,E3610+IFERROR(E3610/SUM(E$3610:E$3642)*E$3643,0))</f>
        <v>0</v>
      </c>
      <c r="U3610" s="5">
        <f t="shared" ref="U3610:AA3610" si="1127">IF(SUM(F$3610:F$3642)=0,F$3643/33,F3610+IFERROR(F3610/SUM(F$3610:F$3642)*F$3643,0))</f>
        <v>0</v>
      </c>
      <c r="V3610" s="5">
        <f t="shared" si="1127"/>
        <v>0</v>
      </c>
      <c r="W3610" s="5">
        <f t="shared" si="1127"/>
        <v>0</v>
      </c>
      <c r="X3610" s="5">
        <f t="shared" si="1127"/>
        <v>0</v>
      </c>
      <c r="Y3610" s="5">
        <f t="shared" si="1127"/>
        <v>0</v>
      </c>
      <c r="Z3610" s="5">
        <f t="shared" si="1127"/>
        <v>0</v>
      </c>
      <c r="AA3610" s="5">
        <f t="shared" si="1127"/>
        <v>0</v>
      </c>
      <c r="AB3610" s="5">
        <f t="shared" si="1116"/>
        <v>0</v>
      </c>
    </row>
    <row r="3611" spans="1:29" x14ac:dyDescent="0.25">
      <c r="D3611" t="s">
        <v>71</v>
      </c>
      <c r="E3611" s="14"/>
      <c r="F3611" s="14"/>
      <c r="G3611">
        <f>IFERROR(HLOOKUP(G$2,[109]table_female_hkom3_inj.ill_X7!$A$1:$K$36,3,FALSE),0)</f>
        <v>0</v>
      </c>
      <c r="H3611">
        <f>IFERROR(HLOOKUP(H$2,[109]table_female_hkom3_inj.ill_X7!$A$1:$K$36,3,FALSE),0)</f>
        <v>0</v>
      </c>
      <c r="I3611">
        <f>IFERROR(HLOOKUP(I$2,[109]table_female_hkom3_inj.ill_X7!$A$1:$K$36,3,FALSE),0)</f>
        <v>0</v>
      </c>
      <c r="J3611">
        <f>IFERROR(HLOOKUP(J$2,[109]table_female_hkom3_inj.ill_X7!$A$1:$K$36,3,FALSE),0)</f>
        <v>0</v>
      </c>
      <c r="K3611">
        <f>IFERROR(HLOOKUP(K$2,[109]table_female_hkom3_inj.ill_X7!$A$1:$K$36,3,FALSE),0)</f>
        <v>0</v>
      </c>
      <c r="L3611">
        <f>IFERROR(HLOOKUP(L$2,[109]table_female_hkom3_inj.ill_X7!$A$1:$K$36,3,FALSE),0)</f>
        <v>0</v>
      </c>
      <c r="M3611">
        <f t="shared" ref="M3611:M3643" si="1128">SUM(E3611:L3611)</f>
        <v>0</v>
      </c>
      <c r="S3611" t="s">
        <v>71</v>
      </c>
      <c r="T3611" s="5">
        <f t="shared" ref="T3611:T3642" si="1129">IF(SUM(E$3610:E$3642)=0,E$3643/33,E3611+IFERROR(E3611/SUM(E$3610:E$3642)*E$3643,0))</f>
        <v>0</v>
      </c>
      <c r="U3611" s="5">
        <f t="shared" ref="U3611:U3642" si="1130">IF(SUM(F$3610:F$3642)=0,F$3643/33,F3611+IFERROR(F3611/SUM(F$3610:F$3642)*F$3643,0))</f>
        <v>0</v>
      </c>
      <c r="V3611" s="5">
        <f t="shared" ref="V3611:V3642" si="1131">IF(SUM(G$3610:G$3642)=0,G$3643/33,G3611+IFERROR(G3611/SUM(G$3610:G$3642)*G$3643,0))</f>
        <v>0</v>
      </c>
      <c r="W3611" s="5">
        <f t="shared" ref="W3611:W3642" si="1132">IF(SUM(H$3610:H$3642)=0,H$3643/33,H3611+IFERROR(H3611/SUM(H$3610:H$3642)*H$3643,0))</f>
        <v>0</v>
      </c>
      <c r="X3611" s="5">
        <f t="shared" ref="X3611:X3642" si="1133">IF(SUM(I$3610:I$3642)=0,I$3643/33,I3611+IFERROR(I3611/SUM(I$3610:I$3642)*I$3643,0))</f>
        <v>0</v>
      </c>
      <c r="Y3611" s="5">
        <f t="shared" ref="Y3611:Y3642" si="1134">IF(SUM(J$3610:J$3642)=0,J$3643/33,J3611+IFERROR(J3611/SUM(J$3610:J$3642)*J$3643,0))</f>
        <v>0</v>
      </c>
      <c r="Z3611" s="5">
        <f t="shared" ref="Z3611:Z3642" si="1135">IF(SUM(K$3610:K$3642)=0,K$3643/33,K3611+IFERROR(K3611/SUM(K$3610:K$3642)*K$3643,0))</f>
        <v>0</v>
      </c>
      <c r="AA3611" s="5">
        <f t="shared" ref="AA3611:AA3642" si="1136">IF(SUM(L$3610:L$3642)=0,L$3643/33,L3611+IFERROR(L3611/SUM(L$3610:L$3642)*L$3643,0))</f>
        <v>0</v>
      </c>
      <c r="AB3611" s="5">
        <f t="shared" si="1116"/>
        <v>0</v>
      </c>
    </row>
    <row r="3612" spans="1:29" x14ac:dyDescent="0.25">
      <c r="D3612" t="s">
        <v>72</v>
      </c>
      <c r="E3612" s="14"/>
      <c r="F3612" s="14"/>
      <c r="G3612">
        <f>IFERROR(HLOOKUP(G$2,[109]table_female_hkom3_inj.ill_X7!$A$1:$K$36,4,FALSE),0)</f>
        <v>0</v>
      </c>
      <c r="H3612">
        <f>IFERROR(HLOOKUP(H$2,[109]table_female_hkom3_inj.ill_X7!$A$1:$K$36,4,FALSE),0)</f>
        <v>0</v>
      </c>
      <c r="I3612">
        <f>IFERROR(HLOOKUP(I$2,[109]table_female_hkom3_inj.ill_X7!$A$1:$K$36,4,FALSE),0)</f>
        <v>0</v>
      </c>
      <c r="J3612">
        <f>IFERROR(HLOOKUP(J$2,[109]table_female_hkom3_inj.ill_X7!$A$1:$K$36,4,FALSE),0)</f>
        <v>0</v>
      </c>
      <c r="K3612">
        <f>IFERROR(HLOOKUP(K$2,[109]table_female_hkom3_inj.ill_X7!$A$1:$K$36,4,FALSE),0)</f>
        <v>0</v>
      </c>
      <c r="L3612">
        <f>IFERROR(HLOOKUP(L$2,[109]table_female_hkom3_inj.ill_X7!$A$1:$K$36,4,FALSE),0)</f>
        <v>0</v>
      </c>
      <c r="M3612">
        <f t="shared" si="1128"/>
        <v>0</v>
      </c>
      <c r="S3612" t="s">
        <v>72</v>
      </c>
      <c r="T3612" s="5">
        <f t="shared" si="1129"/>
        <v>0</v>
      </c>
      <c r="U3612" s="5">
        <f t="shared" si="1130"/>
        <v>0</v>
      </c>
      <c r="V3612" s="5">
        <f t="shared" si="1131"/>
        <v>0</v>
      </c>
      <c r="W3612" s="5">
        <f t="shared" si="1132"/>
        <v>0</v>
      </c>
      <c r="X3612" s="5">
        <f t="shared" si="1133"/>
        <v>0</v>
      </c>
      <c r="Y3612" s="5">
        <f t="shared" si="1134"/>
        <v>0</v>
      </c>
      <c r="Z3612" s="5">
        <f t="shared" si="1135"/>
        <v>0</v>
      </c>
      <c r="AA3612" s="5">
        <f t="shared" si="1136"/>
        <v>0</v>
      </c>
      <c r="AB3612" s="5">
        <f t="shared" si="1116"/>
        <v>0</v>
      </c>
    </row>
    <row r="3613" spans="1:29" x14ac:dyDescent="0.25">
      <c r="D3613" t="s">
        <v>73</v>
      </c>
      <c r="E3613" s="14"/>
      <c r="F3613" s="14"/>
      <c r="G3613">
        <f>IFERROR(HLOOKUP(G$2,[109]table_female_hkom3_inj.ill_X7!$A$1:$K$36,5,FALSE),0)</f>
        <v>0</v>
      </c>
      <c r="H3613">
        <f>IFERROR(HLOOKUP(H$2,[109]table_female_hkom3_inj.ill_X7!$A$1:$K$36,5,FALSE),0)</f>
        <v>0</v>
      </c>
      <c r="I3613">
        <f>IFERROR(HLOOKUP(I$2,[109]table_female_hkom3_inj.ill_X7!$A$1:$K$36,5,FALSE),0)</f>
        <v>0</v>
      </c>
      <c r="J3613">
        <f>IFERROR(HLOOKUP(J$2,[109]table_female_hkom3_inj.ill_X7!$A$1:$K$36,5,FALSE),0)</f>
        <v>0</v>
      </c>
      <c r="K3613">
        <f>IFERROR(HLOOKUP(K$2,[109]table_female_hkom3_inj.ill_X7!$A$1:$K$36,5,FALSE),0)</f>
        <v>0</v>
      </c>
      <c r="L3613">
        <f>IFERROR(HLOOKUP(L$2,[109]table_female_hkom3_inj.ill_X7!$A$1:$K$36,5,FALSE),0)</f>
        <v>0</v>
      </c>
      <c r="M3613">
        <f t="shared" si="1128"/>
        <v>0</v>
      </c>
      <c r="S3613" t="s">
        <v>73</v>
      </c>
      <c r="T3613" s="5">
        <f t="shared" si="1129"/>
        <v>0</v>
      </c>
      <c r="U3613" s="5">
        <f t="shared" si="1130"/>
        <v>0</v>
      </c>
      <c r="V3613" s="5">
        <f t="shared" si="1131"/>
        <v>0</v>
      </c>
      <c r="W3613" s="5">
        <f t="shared" si="1132"/>
        <v>0</v>
      </c>
      <c r="X3613" s="5">
        <f t="shared" si="1133"/>
        <v>0</v>
      </c>
      <c r="Y3613" s="5">
        <f t="shared" si="1134"/>
        <v>0</v>
      </c>
      <c r="Z3613" s="5">
        <f t="shared" si="1135"/>
        <v>0</v>
      </c>
      <c r="AA3613" s="5">
        <f t="shared" si="1136"/>
        <v>0</v>
      </c>
      <c r="AB3613" s="5">
        <f t="shared" si="1116"/>
        <v>0</v>
      </c>
    </row>
    <row r="3614" spans="1:29" x14ac:dyDescent="0.25">
      <c r="D3614" t="s">
        <v>74</v>
      </c>
      <c r="E3614" s="14"/>
      <c r="F3614" s="14"/>
      <c r="G3614">
        <f>IFERROR(HLOOKUP(G$2,[109]table_female_hkom3_inj.ill_X7!$A$1:$K$36,6,FALSE),0)</f>
        <v>0</v>
      </c>
      <c r="H3614">
        <f>IFERROR(HLOOKUP(H$2,[109]table_female_hkom3_inj.ill_X7!$A$1:$K$36,6,FALSE),0)</f>
        <v>0</v>
      </c>
      <c r="I3614">
        <f>IFERROR(HLOOKUP(I$2,[109]table_female_hkom3_inj.ill_X7!$A$1:$K$36,6,FALSE),0)</f>
        <v>0</v>
      </c>
      <c r="J3614">
        <f>IFERROR(HLOOKUP(J$2,[109]table_female_hkom3_inj.ill_X7!$A$1:$K$36,6,FALSE),0)</f>
        <v>0</v>
      </c>
      <c r="K3614">
        <f>IFERROR(HLOOKUP(K$2,[109]table_female_hkom3_inj.ill_X7!$A$1:$K$36,6,FALSE),0)</f>
        <v>0</v>
      </c>
      <c r="L3614">
        <f>IFERROR(HLOOKUP(L$2,[109]table_female_hkom3_inj.ill_X7!$A$1:$K$36,6,FALSE),0)</f>
        <v>0</v>
      </c>
      <c r="M3614">
        <f t="shared" si="1128"/>
        <v>0</v>
      </c>
      <c r="S3614" t="s">
        <v>74</v>
      </c>
      <c r="T3614" s="5">
        <f t="shared" si="1129"/>
        <v>0</v>
      </c>
      <c r="U3614" s="5">
        <f t="shared" si="1130"/>
        <v>0</v>
      </c>
      <c r="V3614" s="5">
        <f t="shared" si="1131"/>
        <v>0</v>
      </c>
      <c r="W3614" s="5">
        <f t="shared" si="1132"/>
        <v>0</v>
      </c>
      <c r="X3614" s="5">
        <f t="shared" si="1133"/>
        <v>0</v>
      </c>
      <c r="Y3614" s="5">
        <f t="shared" si="1134"/>
        <v>0</v>
      </c>
      <c r="Z3614" s="5">
        <f t="shared" si="1135"/>
        <v>0</v>
      </c>
      <c r="AA3614" s="5">
        <f t="shared" si="1136"/>
        <v>0</v>
      </c>
      <c r="AB3614" s="5">
        <f t="shared" si="1116"/>
        <v>0</v>
      </c>
    </row>
    <row r="3615" spans="1:29" x14ac:dyDescent="0.25">
      <c r="D3615" t="s">
        <v>75</v>
      </c>
      <c r="E3615" s="14"/>
      <c r="F3615" s="14"/>
      <c r="G3615">
        <f>IFERROR(HLOOKUP(G$2,[109]table_female_hkom3_inj.ill_X7!$A$1:$K$36,7,FALSE),0)</f>
        <v>0</v>
      </c>
      <c r="H3615">
        <f>IFERROR(HLOOKUP(H$2,[109]table_female_hkom3_inj.ill_X7!$A$1:$K$36,7,FALSE),0)</f>
        <v>0</v>
      </c>
      <c r="I3615">
        <f>IFERROR(HLOOKUP(I$2,[109]table_female_hkom3_inj.ill_X7!$A$1:$K$36,7,FALSE),0)</f>
        <v>0</v>
      </c>
      <c r="J3615">
        <f>IFERROR(HLOOKUP(J$2,[109]table_female_hkom3_inj.ill_X7!$A$1:$K$36,7,FALSE),0)</f>
        <v>0</v>
      </c>
      <c r="K3615">
        <f>IFERROR(HLOOKUP(K$2,[109]table_female_hkom3_inj.ill_X7!$A$1:$K$36,7,FALSE),0)</f>
        <v>0</v>
      </c>
      <c r="L3615">
        <f>IFERROR(HLOOKUP(L$2,[109]table_female_hkom3_inj.ill_X7!$A$1:$K$36,7,FALSE),0)</f>
        <v>0</v>
      </c>
      <c r="M3615">
        <f t="shared" si="1128"/>
        <v>0</v>
      </c>
      <c r="S3615" t="s">
        <v>75</v>
      </c>
      <c r="T3615" s="5">
        <f t="shared" si="1129"/>
        <v>0</v>
      </c>
      <c r="U3615" s="5">
        <f t="shared" si="1130"/>
        <v>0</v>
      </c>
      <c r="V3615" s="5">
        <f t="shared" si="1131"/>
        <v>0</v>
      </c>
      <c r="W3615" s="5">
        <f t="shared" si="1132"/>
        <v>0</v>
      </c>
      <c r="X3615" s="5">
        <f t="shared" si="1133"/>
        <v>0</v>
      </c>
      <c r="Y3615" s="5">
        <f t="shared" si="1134"/>
        <v>0</v>
      </c>
      <c r="Z3615" s="5">
        <f t="shared" si="1135"/>
        <v>0</v>
      </c>
      <c r="AA3615" s="5">
        <f t="shared" si="1136"/>
        <v>0</v>
      </c>
      <c r="AB3615" s="5">
        <f t="shared" si="1116"/>
        <v>0</v>
      </c>
    </row>
    <row r="3616" spans="1:29" x14ac:dyDescent="0.25">
      <c r="D3616" t="s">
        <v>76</v>
      </c>
      <c r="E3616" s="14"/>
      <c r="F3616" s="14"/>
      <c r="G3616">
        <f>IFERROR(HLOOKUP(G$2,[109]table_female_hkom3_inj.ill_X7!$A$1:$K$36,8,FALSE),0)</f>
        <v>0</v>
      </c>
      <c r="H3616">
        <f>IFERROR(HLOOKUP(H$2,[109]table_female_hkom3_inj.ill_X7!$A$1:$K$36,8,FALSE),0)</f>
        <v>0</v>
      </c>
      <c r="I3616">
        <f>IFERROR(HLOOKUP(I$2,[109]table_female_hkom3_inj.ill_X7!$A$1:$K$36,8,FALSE),0)</f>
        <v>0</v>
      </c>
      <c r="J3616">
        <f>IFERROR(HLOOKUP(J$2,[109]table_female_hkom3_inj.ill_X7!$A$1:$K$36,8,FALSE),0)</f>
        <v>0</v>
      </c>
      <c r="K3616">
        <f>IFERROR(HLOOKUP(K$2,[109]table_female_hkom3_inj.ill_X7!$A$1:$K$36,8,FALSE),0)</f>
        <v>0</v>
      </c>
      <c r="L3616">
        <f>IFERROR(HLOOKUP(L$2,[109]table_female_hkom3_inj.ill_X7!$A$1:$K$36,8,FALSE),0)</f>
        <v>0</v>
      </c>
      <c r="M3616">
        <f t="shared" si="1128"/>
        <v>0</v>
      </c>
      <c r="S3616" t="s">
        <v>76</v>
      </c>
      <c r="T3616" s="5">
        <f t="shared" si="1129"/>
        <v>0</v>
      </c>
      <c r="U3616" s="5">
        <f t="shared" si="1130"/>
        <v>0</v>
      </c>
      <c r="V3616" s="5">
        <f t="shared" si="1131"/>
        <v>0</v>
      </c>
      <c r="W3616" s="5">
        <f t="shared" si="1132"/>
        <v>0</v>
      </c>
      <c r="X3616" s="5">
        <f t="shared" si="1133"/>
        <v>0</v>
      </c>
      <c r="Y3616" s="5">
        <f t="shared" si="1134"/>
        <v>0</v>
      </c>
      <c r="Z3616" s="5">
        <f t="shared" si="1135"/>
        <v>0</v>
      </c>
      <c r="AA3616" s="5">
        <f t="shared" si="1136"/>
        <v>0</v>
      </c>
      <c r="AB3616" s="5">
        <f t="shared" si="1116"/>
        <v>0</v>
      </c>
    </row>
    <row r="3617" spans="4:28" x14ac:dyDescent="0.25">
      <c r="D3617" t="s">
        <v>77</v>
      </c>
      <c r="E3617" s="14"/>
      <c r="F3617" s="14"/>
      <c r="G3617">
        <f>IFERROR(HLOOKUP(G$2,[109]table_female_hkom3_inj.ill_X7!$A$1:$K$36,9,FALSE),0)</f>
        <v>0</v>
      </c>
      <c r="H3617">
        <f>IFERROR(HLOOKUP(H$2,[109]table_female_hkom3_inj.ill_X7!$A$1:$K$36,9,FALSE),0)</f>
        <v>0</v>
      </c>
      <c r="I3617">
        <f>IFERROR(HLOOKUP(I$2,[109]table_female_hkom3_inj.ill_X7!$A$1:$K$36,9,FALSE),0)</f>
        <v>0</v>
      </c>
      <c r="J3617">
        <f>IFERROR(HLOOKUP(J$2,[109]table_female_hkom3_inj.ill_X7!$A$1:$K$36,9,FALSE),0)</f>
        <v>0</v>
      </c>
      <c r="K3617">
        <f>IFERROR(HLOOKUP(K$2,[109]table_female_hkom3_inj.ill_X7!$A$1:$K$36,9,FALSE),0)</f>
        <v>0</v>
      </c>
      <c r="L3617">
        <f>IFERROR(HLOOKUP(L$2,[109]table_female_hkom3_inj.ill_X7!$A$1:$K$36,9,FALSE),0)</f>
        <v>0</v>
      </c>
      <c r="M3617">
        <f t="shared" si="1128"/>
        <v>0</v>
      </c>
      <c r="S3617" t="s">
        <v>77</v>
      </c>
      <c r="T3617" s="5">
        <f t="shared" si="1129"/>
        <v>0</v>
      </c>
      <c r="U3617" s="5">
        <f t="shared" si="1130"/>
        <v>0</v>
      </c>
      <c r="V3617" s="5">
        <f t="shared" si="1131"/>
        <v>0</v>
      </c>
      <c r="W3617" s="5">
        <f t="shared" si="1132"/>
        <v>0</v>
      </c>
      <c r="X3617" s="5">
        <f t="shared" si="1133"/>
        <v>0</v>
      </c>
      <c r="Y3617" s="5">
        <f t="shared" si="1134"/>
        <v>0</v>
      </c>
      <c r="Z3617" s="5">
        <f t="shared" si="1135"/>
        <v>0</v>
      </c>
      <c r="AA3617" s="5">
        <f t="shared" si="1136"/>
        <v>0</v>
      </c>
      <c r="AB3617" s="5">
        <f t="shared" si="1116"/>
        <v>0</v>
      </c>
    </row>
    <row r="3618" spans="4:28" x14ac:dyDescent="0.25">
      <c r="D3618" t="s">
        <v>78</v>
      </c>
      <c r="E3618" s="14"/>
      <c r="F3618" s="14"/>
      <c r="G3618">
        <f>IFERROR(HLOOKUP(G$2,[109]table_female_hkom3_inj.ill_X7!$A$1:$K$36,10,FALSE),0)</f>
        <v>0</v>
      </c>
      <c r="H3618">
        <f>IFERROR(HLOOKUP(H$2,[109]table_female_hkom3_inj.ill_X7!$A$1:$K$36,10,FALSE),0)</f>
        <v>0</v>
      </c>
      <c r="I3618">
        <f>IFERROR(HLOOKUP(I$2,[109]table_female_hkom3_inj.ill_X7!$A$1:$K$36,10,FALSE),0)</f>
        <v>0</v>
      </c>
      <c r="J3618">
        <f>IFERROR(HLOOKUP(J$2,[109]table_female_hkom3_inj.ill_X7!$A$1:$K$36,10,FALSE),0)</f>
        <v>0</v>
      </c>
      <c r="K3618">
        <f>IFERROR(HLOOKUP(K$2,[109]table_female_hkom3_inj.ill_X7!$A$1:$K$36,10,FALSE),0)</f>
        <v>0</v>
      </c>
      <c r="L3618">
        <f>IFERROR(HLOOKUP(L$2,[109]table_female_hkom3_inj.ill_X7!$A$1:$K$36,10,FALSE),0)</f>
        <v>0</v>
      </c>
      <c r="M3618">
        <f t="shared" si="1128"/>
        <v>0</v>
      </c>
      <c r="S3618" t="s">
        <v>78</v>
      </c>
      <c r="T3618" s="5">
        <f t="shared" si="1129"/>
        <v>0</v>
      </c>
      <c r="U3618" s="5">
        <f t="shared" si="1130"/>
        <v>0</v>
      </c>
      <c r="V3618" s="5">
        <f t="shared" si="1131"/>
        <v>0</v>
      </c>
      <c r="W3618" s="5">
        <f t="shared" si="1132"/>
        <v>0</v>
      </c>
      <c r="X3618" s="5">
        <f t="shared" si="1133"/>
        <v>0</v>
      </c>
      <c r="Y3618" s="5">
        <f t="shared" si="1134"/>
        <v>0</v>
      </c>
      <c r="Z3618" s="5">
        <f t="shared" si="1135"/>
        <v>0</v>
      </c>
      <c r="AA3618" s="5">
        <f t="shared" si="1136"/>
        <v>0</v>
      </c>
      <c r="AB3618" s="5">
        <f t="shared" si="1116"/>
        <v>0</v>
      </c>
    </row>
    <row r="3619" spans="4:28" x14ac:dyDescent="0.25">
      <c r="D3619" t="s">
        <v>79</v>
      </c>
      <c r="E3619" s="14"/>
      <c r="F3619" s="14"/>
      <c r="G3619">
        <f>IFERROR(HLOOKUP(G$2,[109]table_female_hkom3_inj.ill_X7!$A$1:$K$36,11,FALSE),0)</f>
        <v>0</v>
      </c>
      <c r="H3619">
        <f>IFERROR(HLOOKUP(H$2,[109]table_female_hkom3_inj.ill_X7!$A$1:$K$36,11,FALSE),0)</f>
        <v>0</v>
      </c>
      <c r="I3619">
        <f>IFERROR(HLOOKUP(I$2,[109]table_female_hkom3_inj.ill_X7!$A$1:$K$36,11,FALSE),0)</f>
        <v>0</v>
      </c>
      <c r="J3619">
        <f>IFERROR(HLOOKUP(J$2,[109]table_female_hkom3_inj.ill_X7!$A$1:$K$36,11,FALSE),0)</f>
        <v>0</v>
      </c>
      <c r="K3619">
        <f>IFERROR(HLOOKUP(K$2,[109]table_female_hkom3_inj.ill_X7!$A$1:$K$36,11,FALSE),0)</f>
        <v>0</v>
      </c>
      <c r="L3619">
        <f>IFERROR(HLOOKUP(L$2,[109]table_female_hkom3_inj.ill_X7!$A$1:$K$36,11,FALSE),0)</f>
        <v>0</v>
      </c>
      <c r="M3619">
        <f t="shared" si="1128"/>
        <v>0</v>
      </c>
      <c r="S3619" t="s">
        <v>79</v>
      </c>
      <c r="T3619" s="5">
        <f t="shared" si="1129"/>
        <v>0</v>
      </c>
      <c r="U3619" s="5">
        <f t="shared" si="1130"/>
        <v>0</v>
      </c>
      <c r="V3619" s="5">
        <f t="shared" si="1131"/>
        <v>0</v>
      </c>
      <c r="W3619" s="5">
        <f t="shared" si="1132"/>
        <v>0</v>
      </c>
      <c r="X3619" s="5">
        <f t="shared" si="1133"/>
        <v>0</v>
      </c>
      <c r="Y3619" s="5">
        <f t="shared" si="1134"/>
        <v>0</v>
      </c>
      <c r="Z3619" s="5">
        <f t="shared" si="1135"/>
        <v>0</v>
      </c>
      <c r="AA3619" s="5">
        <f t="shared" si="1136"/>
        <v>0</v>
      </c>
      <c r="AB3619" s="5">
        <f t="shared" si="1116"/>
        <v>0</v>
      </c>
    </row>
    <row r="3620" spans="4:28" x14ac:dyDescent="0.25">
      <c r="D3620" t="s">
        <v>80</v>
      </c>
      <c r="E3620" s="14"/>
      <c r="F3620" s="14"/>
      <c r="G3620">
        <f>IFERROR(HLOOKUP(G$2,[109]table_female_hkom3_inj.ill_X7!$A$1:$K$36,12,FALSE),0)</f>
        <v>0</v>
      </c>
      <c r="H3620">
        <f>IFERROR(HLOOKUP(H$2,[109]table_female_hkom3_inj.ill_X7!$A$1:$K$36,12,FALSE),0)</f>
        <v>0</v>
      </c>
      <c r="I3620">
        <f>IFERROR(HLOOKUP(I$2,[109]table_female_hkom3_inj.ill_X7!$A$1:$K$36,12,FALSE),0)</f>
        <v>0</v>
      </c>
      <c r="J3620">
        <f>IFERROR(HLOOKUP(J$2,[109]table_female_hkom3_inj.ill_X7!$A$1:$K$36,12,FALSE),0)</f>
        <v>0</v>
      </c>
      <c r="K3620">
        <f>IFERROR(HLOOKUP(K$2,[109]table_female_hkom3_inj.ill_X7!$A$1:$K$36,12,FALSE),0)</f>
        <v>0</v>
      </c>
      <c r="L3620">
        <f>IFERROR(HLOOKUP(L$2,[109]table_female_hkom3_inj.ill_X7!$A$1:$K$36,12,FALSE),0)</f>
        <v>0</v>
      </c>
      <c r="M3620">
        <f t="shared" si="1128"/>
        <v>0</v>
      </c>
      <c r="S3620" t="s">
        <v>80</v>
      </c>
      <c r="T3620" s="5">
        <f t="shared" si="1129"/>
        <v>0</v>
      </c>
      <c r="U3620" s="5">
        <f t="shared" si="1130"/>
        <v>0</v>
      </c>
      <c r="V3620" s="5">
        <f t="shared" si="1131"/>
        <v>0</v>
      </c>
      <c r="W3620" s="5">
        <f t="shared" si="1132"/>
        <v>0</v>
      </c>
      <c r="X3620" s="5">
        <f t="shared" si="1133"/>
        <v>0</v>
      </c>
      <c r="Y3620" s="5">
        <f t="shared" si="1134"/>
        <v>0</v>
      </c>
      <c r="Z3620" s="5">
        <f t="shared" si="1135"/>
        <v>0</v>
      </c>
      <c r="AA3620" s="5">
        <f t="shared" si="1136"/>
        <v>0</v>
      </c>
      <c r="AB3620" s="5">
        <f t="shared" si="1116"/>
        <v>0</v>
      </c>
    </row>
    <row r="3621" spans="4:28" x14ac:dyDescent="0.25">
      <c r="D3621" t="s">
        <v>81</v>
      </c>
      <c r="E3621" s="14"/>
      <c r="F3621" s="14"/>
      <c r="G3621">
        <f>IFERROR(HLOOKUP(G$2,[109]table_female_hkom3_inj.ill_X7!$A$1:$K$36,13,FALSE),0)</f>
        <v>0</v>
      </c>
      <c r="H3621">
        <f>IFERROR(HLOOKUP(H$2,[109]table_female_hkom3_inj.ill_X7!$A$1:$K$36,13,FALSE),0)</f>
        <v>0</v>
      </c>
      <c r="I3621">
        <f>IFERROR(HLOOKUP(I$2,[109]table_female_hkom3_inj.ill_X7!$A$1:$K$36,13,FALSE),0)</f>
        <v>0</v>
      </c>
      <c r="J3621">
        <f>IFERROR(HLOOKUP(J$2,[109]table_female_hkom3_inj.ill_X7!$A$1:$K$36,13,FALSE),0)</f>
        <v>0</v>
      </c>
      <c r="K3621">
        <f>IFERROR(HLOOKUP(K$2,[109]table_female_hkom3_inj.ill_X7!$A$1:$K$36,13,FALSE),0)</f>
        <v>0</v>
      </c>
      <c r="L3621">
        <f>IFERROR(HLOOKUP(L$2,[109]table_female_hkom3_inj.ill_X7!$A$1:$K$36,13,FALSE),0)</f>
        <v>0</v>
      </c>
      <c r="M3621">
        <f t="shared" si="1128"/>
        <v>0</v>
      </c>
      <c r="S3621" t="s">
        <v>81</v>
      </c>
      <c r="T3621" s="5">
        <f t="shared" si="1129"/>
        <v>0</v>
      </c>
      <c r="U3621" s="5">
        <f t="shared" si="1130"/>
        <v>0</v>
      </c>
      <c r="V3621" s="5">
        <f t="shared" si="1131"/>
        <v>0</v>
      </c>
      <c r="W3621" s="5">
        <f t="shared" si="1132"/>
        <v>0</v>
      </c>
      <c r="X3621" s="5">
        <f t="shared" si="1133"/>
        <v>0</v>
      </c>
      <c r="Y3621" s="5">
        <f t="shared" si="1134"/>
        <v>0</v>
      </c>
      <c r="Z3621" s="5">
        <f t="shared" si="1135"/>
        <v>0</v>
      </c>
      <c r="AA3621" s="5">
        <f t="shared" si="1136"/>
        <v>0</v>
      </c>
      <c r="AB3621" s="5">
        <f t="shared" si="1116"/>
        <v>0</v>
      </c>
    </row>
    <row r="3622" spans="4:28" x14ac:dyDescent="0.25">
      <c r="D3622" t="s">
        <v>82</v>
      </c>
      <c r="E3622" s="14"/>
      <c r="F3622" s="14"/>
      <c r="G3622">
        <f>IFERROR(HLOOKUP(G$2,[109]table_female_hkom3_inj.ill_X7!$A$1:$K$36,14,FALSE),0)</f>
        <v>0</v>
      </c>
      <c r="H3622">
        <f>IFERROR(HLOOKUP(H$2,[109]table_female_hkom3_inj.ill_X7!$A$1:$K$36,14,FALSE),0)</f>
        <v>0</v>
      </c>
      <c r="I3622">
        <f>IFERROR(HLOOKUP(I$2,[109]table_female_hkom3_inj.ill_X7!$A$1:$K$36,14,FALSE),0)</f>
        <v>0</v>
      </c>
      <c r="J3622">
        <f>IFERROR(HLOOKUP(J$2,[109]table_female_hkom3_inj.ill_X7!$A$1:$K$36,14,FALSE),0)</f>
        <v>0</v>
      </c>
      <c r="K3622">
        <f>IFERROR(HLOOKUP(K$2,[109]table_female_hkom3_inj.ill_X7!$A$1:$K$36,14,FALSE),0)</f>
        <v>0</v>
      </c>
      <c r="L3622">
        <f>IFERROR(HLOOKUP(L$2,[109]table_female_hkom3_inj.ill_X7!$A$1:$K$36,14,FALSE),0)</f>
        <v>0</v>
      </c>
      <c r="M3622">
        <f t="shared" si="1128"/>
        <v>0</v>
      </c>
      <c r="S3622" t="s">
        <v>82</v>
      </c>
      <c r="T3622" s="5">
        <f t="shared" si="1129"/>
        <v>0</v>
      </c>
      <c r="U3622" s="5">
        <f t="shared" si="1130"/>
        <v>0</v>
      </c>
      <c r="V3622" s="5">
        <f t="shared" si="1131"/>
        <v>0</v>
      </c>
      <c r="W3622" s="5">
        <f t="shared" si="1132"/>
        <v>0</v>
      </c>
      <c r="X3622" s="5">
        <f t="shared" si="1133"/>
        <v>0</v>
      </c>
      <c r="Y3622" s="5">
        <f t="shared" si="1134"/>
        <v>0</v>
      </c>
      <c r="Z3622" s="5">
        <f t="shared" si="1135"/>
        <v>0</v>
      </c>
      <c r="AA3622" s="5">
        <f t="shared" si="1136"/>
        <v>0</v>
      </c>
      <c r="AB3622" s="5">
        <f t="shared" si="1116"/>
        <v>0</v>
      </c>
    </row>
    <row r="3623" spans="4:28" x14ac:dyDescent="0.25">
      <c r="D3623" t="s">
        <v>83</v>
      </c>
      <c r="E3623" s="14"/>
      <c r="F3623" s="14"/>
      <c r="G3623">
        <f>IFERROR(HLOOKUP(G$2,[109]table_female_hkom3_inj.ill_X7!$A$1:$K$36,15,FALSE),0)</f>
        <v>0</v>
      </c>
      <c r="H3623">
        <f>IFERROR(HLOOKUP(H$2,[109]table_female_hkom3_inj.ill_X7!$A$1:$K$36,15,FALSE),0)</f>
        <v>0</v>
      </c>
      <c r="I3623">
        <f>IFERROR(HLOOKUP(I$2,[109]table_female_hkom3_inj.ill_X7!$A$1:$K$36,15,FALSE),0)</f>
        <v>0</v>
      </c>
      <c r="J3623">
        <f>IFERROR(HLOOKUP(J$2,[109]table_female_hkom3_inj.ill_X7!$A$1:$K$36,15,FALSE),0)</f>
        <v>0</v>
      </c>
      <c r="K3623">
        <f>IFERROR(HLOOKUP(K$2,[109]table_female_hkom3_inj.ill_X7!$A$1:$K$36,15,FALSE),0)</f>
        <v>0</v>
      </c>
      <c r="L3623">
        <f>IFERROR(HLOOKUP(L$2,[109]table_female_hkom3_inj.ill_X7!$A$1:$K$36,15,FALSE),0)</f>
        <v>0</v>
      </c>
      <c r="M3623">
        <f t="shared" si="1128"/>
        <v>0</v>
      </c>
      <c r="S3623" t="s">
        <v>83</v>
      </c>
      <c r="T3623" s="5">
        <f t="shared" si="1129"/>
        <v>0</v>
      </c>
      <c r="U3623" s="5">
        <f t="shared" si="1130"/>
        <v>0</v>
      </c>
      <c r="V3623" s="5">
        <f t="shared" si="1131"/>
        <v>0</v>
      </c>
      <c r="W3623" s="5">
        <f t="shared" si="1132"/>
        <v>0</v>
      </c>
      <c r="X3623" s="5">
        <f t="shared" si="1133"/>
        <v>0</v>
      </c>
      <c r="Y3623" s="5">
        <f t="shared" si="1134"/>
        <v>0</v>
      </c>
      <c r="Z3623" s="5">
        <f t="shared" si="1135"/>
        <v>0</v>
      </c>
      <c r="AA3623" s="5">
        <f t="shared" si="1136"/>
        <v>0</v>
      </c>
      <c r="AB3623" s="5">
        <f t="shared" si="1116"/>
        <v>0</v>
      </c>
    </row>
    <row r="3624" spans="4:28" x14ac:dyDescent="0.25">
      <c r="D3624" t="s">
        <v>84</v>
      </c>
      <c r="E3624" s="14"/>
      <c r="F3624" s="14"/>
      <c r="G3624">
        <f>IFERROR(HLOOKUP(G$2,[109]table_female_hkom3_inj.ill_X7!$A$1:$K$36,16,FALSE),0)</f>
        <v>0</v>
      </c>
      <c r="H3624">
        <f>IFERROR(HLOOKUP(H$2,[109]table_female_hkom3_inj.ill_X7!$A$1:$K$36,16,FALSE),0)</f>
        <v>0</v>
      </c>
      <c r="I3624">
        <f>IFERROR(HLOOKUP(I$2,[109]table_female_hkom3_inj.ill_X7!$A$1:$K$36,16,FALSE),0)</f>
        <v>0</v>
      </c>
      <c r="J3624">
        <f>IFERROR(HLOOKUP(J$2,[109]table_female_hkom3_inj.ill_X7!$A$1:$K$36,16,FALSE),0)</f>
        <v>0</v>
      </c>
      <c r="K3624">
        <f>IFERROR(HLOOKUP(K$2,[109]table_female_hkom3_inj.ill_X7!$A$1:$K$36,16,FALSE),0)</f>
        <v>0</v>
      </c>
      <c r="L3624">
        <f>IFERROR(HLOOKUP(L$2,[109]table_female_hkom3_inj.ill_X7!$A$1:$K$36,16,FALSE),0)</f>
        <v>0</v>
      </c>
      <c r="M3624">
        <f t="shared" si="1128"/>
        <v>0</v>
      </c>
      <c r="S3624" t="s">
        <v>84</v>
      </c>
      <c r="T3624" s="5">
        <f t="shared" si="1129"/>
        <v>0</v>
      </c>
      <c r="U3624" s="5">
        <f t="shared" si="1130"/>
        <v>0</v>
      </c>
      <c r="V3624" s="5">
        <f t="shared" si="1131"/>
        <v>0</v>
      </c>
      <c r="W3624" s="5">
        <f t="shared" si="1132"/>
        <v>0</v>
      </c>
      <c r="X3624" s="5">
        <f t="shared" si="1133"/>
        <v>0</v>
      </c>
      <c r="Y3624" s="5">
        <f t="shared" si="1134"/>
        <v>0</v>
      </c>
      <c r="Z3624" s="5">
        <f t="shared" si="1135"/>
        <v>0</v>
      </c>
      <c r="AA3624" s="5">
        <f t="shared" si="1136"/>
        <v>0</v>
      </c>
      <c r="AB3624" s="5">
        <f t="shared" si="1116"/>
        <v>0</v>
      </c>
    </row>
    <row r="3625" spans="4:28" x14ac:dyDescent="0.25">
      <c r="D3625" t="s">
        <v>85</v>
      </c>
      <c r="E3625" s="14"/>
      <c r="F3625" s="14"/>
      <c r="G3625">
        <f>IFERROR(HLOOKUP(G$2,[109]table_female_hkom3_inj.ill_X7!$A$1:$K$36,17,FALSE),0)</f>
        <v>0</v>
      </c>
      <c r="H3625">
        <f>IFERROR(HLOOKUP(H$2,[109]table_female_hkom3_inj.ill_X7!$A$1:$K$36,17,FALSE),0)</f>
        <v>0</v>
      </c>
      <c r="I3625">
        <f>IFERROR(HLOOKUP(I$2,[109]table_female_hkom3_inj.ill_X7!$A$1:$K$36,17,FALSE),0)</f>
        <v>0</v>
      </c>
      <c r="J3625">
        <f>IFERROR(HLOOKUP(J$2,[109]table_female_hkom3_inj.ill_X7!$A$1:$K$36,17,FALSE),0)</f>
        <v>0</v>
      </c>
      <c r="K3625">
        <f>IFERROR(HLOOKUP(K$2,[109]table_female_hkom3_inj.ill_X7!$A$1:$K$36,17,FALSE),0)</f>
        <v>0</v>
      </c>
      <c r="L3625">
        <f>IFERROR(HLOOKUP(L$2,[109]table_female_hkom3_inj.ill_X7!$A$1:$K$36,17,FALSE),0)</f>
        <v>0</v>
      </c>
      <c r="M3625">
        <f t="shared" si="1128"/>
        <v>0</v>
      </c>
      <c r="S3625" t="s">
        <v>85</v>
      </c>
      <c r="T3625" s="5">
        <f t="shared" si="1129"/>
        <v>0</v>
      </c>
      <c r="U3625" s="5">
        <f t="shared" si="1130"/>
        <v>0</v>
      </c>
      <c r="V3625" s="5">
        <f t="shared" si="1131"/>
        <v>0</v>
      </c>
      <c r="W3625" s="5">
        <f t="shared" si="1132"/>
        <v>0</v>
      </c>
      <c r="X3625" s="5">
        <f t="shared" si="1133"/>
        <v>0</v>
      </c>
      <c r="Y3625" s="5">
        <f t="shared" si="1134"/>
        <v>0</v>
      </c>
      <c r="Z3625" s="5">
        <f t="shared" si="1135"/>
        <v>0</v>
      </c>
      <c r="AA3625" s="5">
        <f t="shared" si="1136"/>
        <v>0</v>
      </c>
      <c r="AB3625" s="5">
        <f t="shared" si="1116"/>
        <v>0</v>
      </c>
    </row>
    <row r="3626" spans="4:28" x14ac:dyDescent="0.25">
      <c r="D3626" t="s">
        <v>86</v>
      </c>
      <c r="E3626" s="14"/>
      <c r="F3626" s="14"/>
      <c r="G3626">
        <f>IFERROR(HLOOKUP(G$2,[109]table_female_hkom3_inj.ill_X7!$A$1:$K$36,18,FALSE),0)</f>
        <v>0</v>
      </c>
      <c r="H3626">
        <f>IFERROR(HLOOKUP(H$2,[109]table_female_hkom3_inj.ill_X7!$A$1:$K$36,18,FALSE),0)</f>
        <v>0</v>
      </c>
      <c r="I3626">
        <f>IFERROR(HLOOKUP(I$2,[109]table_female_hkom3_inj.ill_X7!$A$1:$K$36,18,FALSE),0)</f>
        <v>1</v>
      </c>
      <c r="J3626">
        <f>IFERROR(HLOOKUP(J$2,[109]table_female_hkom3_inj.ill_X7!$A$1:$K$36,18,FALSE),0)</f>
        <v>0</v>
      </c>
      <c r="K3626">
        <f>IFERROR(HLOOKUP(K$2,[109]table_female_hkom3_inj.ill_X7!$A$1:$K$36,18,FALSE),0)</f>
        <v>0</v>
      </c>
      <c r="L3626">
        <f>IFERROR(HLOOKUP(L$2,[109]table_female_hkom3_inj.ill_X7!$A$1:$K$36,18,FALSE),0)</f>
        <v>0</v>
      </c>
      <c r="M3626">
        <f t="shared" si="1128"/>
        <v>1</v>
      </c>
      <c r="S3626" t="s">
        <v>86</v>
      </c>
      <c r="T3626" s="5">
        <f t="shared" si="1129"/>
        <v>0</v>
      </c>
      <c r="U3626" s="5">
        <f t="shared" si="1130"/>
        <v>0</v>
      </c>
      <c r="V3626" s="5">
        <f t="shared" si="1131"/>
        <v>0</v>
      </c>
      <c r="W3626" s="5">
        <f t="shared" si="1132"/>
        <v>0</v>
      </c>
      <c r="X3626" s="5">
        <f t="shared" si="1133"/>
        <v>3</v>
      </c>
      <c r="Y3626" s="5">
        <f t="shared" si="1134"/>
        <v>0</v>
      </c>
      <c r="Z3626" s="5">
        <f t="shared" si="1135"/>
        <v>0</v>
      </c>
      <c r="AA3626" s="5">
        <f t="shared" si="1136"/>
        <v>0</v>
      </c>
      <c r="AB3626" s="5">
        <f t="shared" si="1116"/>
        <v>3</v>
      </c>
    </row>
    <row r="3627" spans="4:28" x14ac:dyDescent="0.25">
      <c r="D3627" t="s">
        <v>87</v>
      </c>
      <c r="E3627" s="14"/>
      <c r="F3627" s="14"/>
      <c r="G3627">
        <f>IFERROR(HLOOKUP(G$2,[109]table_female_hkom3_inj.ill_X7!$A$1:$K$36,19,FALSE),0)</f>
        <v>0</v>
      </c>
      <c r="H3627">
        <f>IFERROR(HLOOKUP(H$2,[109]table_female_hkom3_inj.ill_X7!$A$1:$K$36,19,FALSE),0)</f>
        <v>0</v>
      </c>
      <c r="I3627">
        <f>IFERROR(HLOOKUP(I$2,[109]table_female_hkom3_inj.ill_X7!$A$1:$K$36,19,FALSE),0)</f>
        <v>0</v>
      </c>
      <c r="J3627">
        <f>IFERROR(HLOOKUP(J$2,[109]table_female_hkom3_inj.ill_X7!$A$1:$K$36,19,FALSE),0)</f>
        <v>0</v>
      </c>
      <c r="K3627">
        <f>IFERROR(HLOOKUP(K$2,[109]table_female_hkom3_inj.ill_X7!$A$1:$K$36,19,FALSE),0)</f>
        <v>0</v>
      </c>
      <c r="L3627">
        <f>IFERROR(HLOOKUP(L$2,[109]table_female_hkom3_inj.ill_X7!$A$1:$K$36,19,FALSE),0)</f>
        <v>0</v>
      </c>
      <c r="M3627">
        <f t="shared" si="1128"/>
        <v>0</v>
      </c>
      <c r="S3627" t="s">
        <v>87</v>
      </c>
      <c r="T3627" s="5">
        <f t="shared" si="1129"/>
        <v>0</v>
      </c>
      <c r="U3627" s="5">
        <f t="shared" si="1130"/>
        <v>0</v>
      </c>
      <c r="V3627" s="5">
        <f t="shared" si="1131"/>
        <v>0</v>
      </c>
      <c r="W3627" s="5">
        <f t="shared" si="1132"/>
        <v>0</v>
      </c>
      <c r="X3627" s="5">
        <f t="shared" si="1133"/>
        <v>0</v>
      </c>
      <c r="Y3627" s="5">
        <f t="shared" si="1134"/>
        <v>0</v>
      </c>
      <c r="Z3627" s="5">
        <f t="shared" si="1135"/>
        <v>0</v>
      </c>
      <c r="AA3627" s="5">
        <f t="shared" si="1136"/>
        <v>0</v>
      </c>
      <c r="AB3627" s="5">
        <f t="shared" ref="AB3627:AB3677" si="1137">SUM(T3627:AA3627)</f>
        <v>0</v>
      </c>
    </row>
    <row r="3628" spans="4:28" x14ac:dyDescent="0.25">
      <c r="D3628" t="s">
        <v>88</v>
      </c>
      <c r="E3628" s="14"/>
      <c r="F3628" s="14"/>
      <c r="G3628">
        <f>IFERROR(HLOOKUP(G$2,[109]table_female_hkom3_inj.ill_X7!$A$1:$K$36,20,FALSE),0)</f>
        <v>1</v>
      </c>
      <c r="H3628">
        <f>IFERROR(HLOOKUP(H$2,[109]table_female_hkom3_inj.ill_X7!$A$1:$K$36,20,FALSE),0)</f>
        <v>0</v>
      </c>
      <c r="I3628">
        <f>IFERROR(HLOOKUP(I$2,[109]table_female_hkom3_inj.ill_X7!$A$1:$K$36,20,FALSE),0)</f>
        <v>0</v>
      </c>
      <c r="J3628">
        <f>IFERROR(HLOOKUP(J$2,[109]table_female_hkom3_inj.ill_X7!$A$1:$K$36,20,FALSE),0)</f>
        <v>1</v>
      </c>
      <c r="K3628">
        <f>IFERROR(HLOOKUP(K$2,[109]table_female_hkom3_inj.ill_X7!$A$1:$K$36,20,FALSE),0)</f>
        <v>0</v>
      </c>
      <c r="L3628">
        <f>IFERROR(HLOOKUP(L$2,[109]table_female_hkom3_inj.ill_X7!$A$1:$K$36,20,FALSE),0)</f>
        <v>0</v>
      </c>
      <c r="M3628">
        <f t="shared" si="1128"/>
        <v>2</v>
      </c>
      <c r="S3628" t="s">
        <v>88</v>
      </c>
      <c r="T3628" s="5">
        <f t="shared" si="1129"/>
        <v>0</v>
      </c>
      <c r="U3628" s="5">
        <f t="shared" si="1130"/>
        <v>0</v>
      </c>
      <c r="V3628" s="5">
        <f t="shared" si="1131"/>
        <v>1.5</v>
      </c>
      <c r="W3628" s="5">
        <f t="shared" si="1132"/>
        <v>0</v>
      </c>
      <c r="X3628" s="5">
        <f t="shared" si="1133"/>
        <v>0</v>
      </c>
      <c r="Y3628" s="5">
        <f t="shared" si="1134"/>
        <v>1</v>
      </c>
      <c r="Z3628" s="5">
        <f t="shared" si="1135"/>
        <v>0</v>
      </c>
      <c r="AA3628" s="5">
        <f t="shared" si="1136"/>
        <v>0</v>
      </c>
      <c r="AB3628" s="5">
        <f t="shared" si="1137"/>
        <v>2.5</v>
      </c>
    </row>
    <row r="3629" spans="4:28" x14ac:dyDescent="0.25">
      <c r="D3629" t="s">
        <v>89</v>
      </c>
      <c r="E3629" s="14"/>
      <c r="F3629" s="14"/>
      <c r="G3629">
        <f>IFERROR(HLOOKUP(G$2,[109]table_female_hkom3_inj.ill_X7!$A$1:$K$36,21,FALSE),0)</f>
        <v>1</v>
      </c>
      <c r="H3629">
        <f>IFERROR(HLOOKUP(H$2,[109]table_female_hkom3_inj.ill_X7!$A$1:$K$36,21,FALSE),0)</f>
        <v>0</v>
      </c>
      <c r="I3629">
        <f>IFERROR(HLOOKUP(I$2,[109]table_female_hkom3_inj.ill_X7!$A$1:$K$36,21,FALSE),0)</f>
        <v>0</v>
      </c>
      <c r="J3629">
        <f>IFERROR(HLOOKUP(J$2,[109]table_female_hkom3_inj.ill_X7!$A$1:$K$36,21,FALSE),0)</f>
        <v>0</v>
      </c>
      <c r="K3629">
        <f>IFERROR(HLOOKUP(K$2,[109]table_female_hkom3_inj.ill_X7!$A$1:$K$36,21,FALSE),0)</f>
        <v>0</v>
      </c>
      <c r="L3629">
        <f>IFERROR(HLOOKUP(L$2,[109]table_female_hkom3_inj.ill_X7!$A$1:$K$36,21,FALSE),0)</f>
        <v>0</v>
      </c>
      <c r="M3629">
        <f t="shared" si="1128"/>
        <v>1</v>
      </c>
      <c r="S3629" t="s">
        <v>89</v>
      </c>
      <c r="T3629" s="5">
        <f t="shared" si="1129"/>
        <v>0</v>
      </c>
      <c r="U3629" s="5">
        <f t="shared" si="1130"/>
        <v>0</v>
      </c>
      <c r="V3629" s="5">
        <f t="shared" si="1131"/>
        <v>1.5</v>
      </c>
      <c r="W3629" s="5">
        <f t="shared" si="1132"/>
        <v>0</v>
      </c>
      <c r="X3629" s="5">
        <f t="shared" si="1133"/>
        <v>0</v>
      </c>
      <c r="Y3629" s="5">
        <f t="shared" si="1134"/>
        <v>0</v>
      </c>
      <c r="Z3629" s="5">
        <f t="shared" si="1135"/>
        <v>0</v>
      </c>
      <c r="AA3629" s="5">
        <f t="shared" si="1136"/>
        <v>0</v>
      </c>
      <c r="AB3629" s="5">
        <f t="shared" si="1137"/>
        <v>1.5</v>
      </c>
    </row>
    <row r="3630" spans="4:28" x14ac:dyDescent="0.25">
      <c r="D3630" t="s">
        <v>90</v>
      </c>
      <c r="E3630" s="14"/>
      <c r="F3630" s="14"/>
      <c r="G3630">
        <f>IFERROR(HLOOKUP(G$2,[109]table_female_hkom3_inj.ill_X7!$A$1:$K$36,22,FALSE),0)</f>
        <v>0</v>
      </c>
      <c r="H3630">
        <f>IFERROR(HLOOKUP(H$2,[109]table_female_hkom3_inj.ill_X7!$A$1:$K$36,22,FALSE),0)</f>
        <v>0</v>
      </c>
      <c r="I3630">
        <f>IFERROR(HLOOKUP(I$2,[109]table_female_hkom3_inj.ill_X7!$A$1:$K$36,22,FALSE),0)</f>
        <v>0</v>
      </c>
      <c r="J3630">
        <f>IFERROR(HLOOKUP(J$2,[109]table_female_hkom3_inj.ill_X7!$A$1:$K$36,22,FALSE),0)</f>
        <v>0</v>
      </c>
      <c r="K3630">
        <f>IFERROR(HLOOKUP(K$2,[109]table_female_hkom3_inj.ill_X7!$A$1:$K$36,22,FALSE),0)</f>
        <v>0</v>
      </c>
      <c r="L3630">
        <f>IFERROR(HLOOKUP(L$2,[109]table_female_hkom3_inj.ill_X7!$A$1:$K$36,22,FALSE),0)</f>
        <v>0</v>
      </c>
      <c r="M3630">
        <f t="shared" si="1128"/>
        <v>0</v>
      </c>
      <c r="S3630" t="s">
        <v>90</v>
      </c>
      <c r="T3630" s="5">
        <f t="shared" si="1129"/>
        <v>0</v>
      </c>
      <c r="U3630" s="5">
        <f t="shared" si="1130"/>
        <v>0</v>
      </c>
      <c r="V3630" s="5">
        <f t="shared" si="1131"/>
        <v>0</v>
      </c>
      <c r="W3630" s="5">
        <f t="shared" si="1132"/>
        <v>0</v>
      </c>
      <c r="X3630" s="5">
        <f t="shared" si="1133"/>
        <v>0</v>
      </c>
      <c r="Y3630" s="5">
        <f t="shared" si="1134"/>
        <v>0</v>
      </c>
      <c r="Z3630" s="5">
        <f t="shared" si="1135"/>
        <v>0</v>
      </c>
      <c r="AA3630" s="5">
        <f t="shared" si="1136"/>
        <v>0</v>
      </c>
      <c r="AB3630" s="5">
        <f t="shared" si="1137"/>
        <v>0</v>
      </c>
    </row>
    <row r="3631" spans="4:28" x14ac:dyDescent="0.25">
      <c r="D3631" t="s">
        <v>91</v>
      </c>
      <c r="E3631" s="14"/>
      <c r="F3631" s="14"/>
      <c r="G3631">
        <f>IFERROR(HLOOKUP(G$2,[109]table_female_hkom3_inj.ill_X7!$A$1:$K$36,23,FALSE),0)</f>
        <v>0</v>
      </c>
      <c r="H3631">
        <f>IFERROR(HLOOKUP(H$2,[109]table_female_hkom3_inj.ill_X7!$A$1:$K$36,23,FALSE),0)</f>
        <v>0</v>
      </c>
      <c r="I3631">
        <f>IFERROR(HLOOKUP(I$2,[109]table_female_hkom3_inj.ill_X7!$A$1:$K$36,23,FALSE),0)</f>
        <v>0</v>
      </c>
      <c r="J3631">
        <f>IFERROR(HLOOKUP(J$2,[109]table_female_hkom3_inj.ill_X7!$A$1:$K$36,23,FALSE),0)</f>
        <v>0</v>
      </c>
      <c r="K3631">
        <f>IFERROR(HLOOKUP(K$2,[109]table_female_hkom3_inj.ill_X7!$A$1:$K$36,23,FALSE),0)</f>
        <v>0</v>
      </c>
      <c r="L3631">
        <f>IFERROR(HLOOKUP(L$2,[109]table_female_hkom3_inj.ill_X7!$A$1:$K$36,23,FALSE),0)</f>
        <v>0</v>
      </c>
      <c r="M3631">
        <f t="shared" si="1128"/>
        <v>0</v>
      </c>
      <c r="S3631" t="s">
        <v>91</v>
      </c>
      <c r="T3631" s="5">
        <f t="shared" si="1129"/>
        <v>0</v>
      </c>
      <c r="U3631" s="5">
        <f t="shared" si="1130"/>
        <v>0</v>
      </c>
      <c r="V3631" s="5">
        <f t="shared" si="1131"/>
        <v>0</v>
      </c>
      <c r="W3631" s="5">
        <f t="shared" si="1132"/>
        <v>0</v>
      </c>
      <c r="X3631" s="5">
        <f t="shared" si="1133"/>
        <v>0</v>
      </c>
      <c r="Y3631" s="5">
        <f t="shared" si="1134"/>
        <v>0</v>
      </c>
      <c r="Z3631" s="5">
        <f t="shared" si="1135"/>
        <v>0</v>
      </c>
      <c r="AA3631" s="5">
        <f t="shared" si="1136"/>
        <v>0</v>
      </c>
      <c r="AB3631" s="5">
        <f t="shared" si="1137"/>
        <v>0</v>
      </c>
    </row>
    <row r="3632" spans="4:28" x14ac:dyDescent="0.25">
      <c r="D3632" t="s">
        <v>92</v>
      </c>
      <c r="E3632" s="14"/>
      <c r="F3632" s="14"/>
      <c r="G3632">
        <f>IFERROR(HLOOKUP(G$2,[109]table_female_hkom3_inj.ill_X7!$A$1:$K$36,24,FALSE),0)</f>
        <v>0</v>
      </c>
      <c r="H3632">
        <f>IFERROR(HLOOKUP(H$2,[109]table_female_hkom3_inj.ill_X7!$A$1:$K$36,24,FALSE),0)</f>
        <v>0</v>
      </c>
      <c r="I3632">
        <f>IFERROR(HLOOKUP(I$2,[109]table_female_hkom3_inj.ill_X7!$A$1:$K$36,24,FALSE),0)</f>
        <v>0</v>
      </c>
      <c r="J3632">
        <f>IFERROR(HLOOKUP(J$2,[109]table_female_hkom3_inj.ill_X7!$A$1:$K$36,24,FALSE),0)</f>
        <v>0</v>
      </c>
      <c r="K3632">
        <f>IFERROR(HLOOKUP(K$2,[109]table_female_hkom3_inj.ill_X7!$A$1:$K$36,24,FALSE),0)</f>
        <v>0</v>
      </c>
      <c r="L3632">
        <f>IFERROR(HLOOKUP(L$2,[109]table_female_hkom3_inj.ill_X7!$A$1:$K$36,24,FALSE),0)</f>
        <v>0</v>
      </c>
      <c r="M3632">
        <f t="shared" si="1128"/>
        <v>0</v>
      </c>
      <c r="S3632" t="s">
        <v>92</v>
      </c>
      <c r="T3632" s="5">
        <f t="shared" si="1129"/>
        <v>0</v>
      </c>
      <c r="U3632" s="5">
        <f t="shared" si="1130"/>
        <v>0</v>
      </c>
      <c r="V3632" s="5">
        <f t="shared" si="1131"/>
        <v>0</v>
      </c>
      <c r="W3632" s="5">
        <f t="shared" si="1132"/>
        <v>0</v>
      </c>
      <c r="X3632" s="5">
        <f t="shared" si="1133"/>
        <v>0</v>
      </c>
      <c r="Y3632" s="5">
        <f t="shared" si="1134"/>
        <v>0</v>
      </c>
      <c r="Z3632" s="5">
        <f t="shared" si="1135"/>
        <v>0</v>
      </c>
      <c r="AA3632" s="5">
        <f t="shared" si="1136"/>
        <v>0</v>
      </c>
      <c r="AB3632" s="5">
        <f t="shared" si="1137"/>
        <v>0</v>
      </c>
    </row>
    <row r="3633" spans="1:29" x14ac:dyDescent="0.25">
      <c r="D3633" t="s">
        <v>93</v>
      </c>
      <c r="E3633" s="14"/>
      <c r="F3633" s="14"/>
      <c r="G3633">
        <f>IFERROR(HLOOKUP(G$2,[109]table_female_hkom3_inj.ill_X7!$A$1:$K$36,25,FALSE),0)</f>
        <v>0</v>
      </c>
      <c r="H3633">
        <f>IFERROR(HLOOKUP(H$2,[109]table_female_hkom3_inj.ill_X7!$A$1:$K$36,25,FALSE),0)</f>
        <v>0</v>
      </c>
      <c r="I3633">
        <f>IFERROR(HLOOKUP(I$2,[109]table_female_hkom3_inj.ill_X7!$A$1:$K$36,25,FALSE),0)</f>
        <v>0</v>
      </c>
      <c r="J3633">
        <f>IFERROR(HLOOKUP(J$2,[109]table_female_hkom3_inj.ill_X7!$A$1:$K$36,25,FALSE),0)</f>
        <v>0</v>
      </c>
      <c r="K3633">
        <f>IFERROR(HLOOKUP(K$2,[109]table_female_hkom3_inj.ill_X7!$A$1:$K$36,25,FALSE),0)</f>
        <v>0</v>
      </c>
      <c r="L3633">
        <f>IFERROR(HLOOKUP(L$2,[109]table_female_hkom3_inj.ill_X7!$A$1:$K$36,25,FALSE),0)</f>
        <v>0</v>
      </c>
      <c r="M3633">
        <f t="shared" si="1128"/>
        <v>0</v>
      </c>
      <c r="S3633" t="s">
        <v>93</v>
      </c>
      <c r="T3633" s="5">
        <f t="shared" si="1129"/>
        <v>0</v>
      </c>
      <c r="U3633" s="5">
        <f t="shared" si="1130"/>
        <v>0</v>
      </c>
      <c r="V3633" s="5">
        <f t="shared" si="1131"/>
        <v>0</v>
      </c>
      <c r="W3633" s="5">
        <f t="shared" si="1132"/>
        <v>0</v>
      </c>
      <c r="X3633" s="5">
        <f t="shared" si="1133"/>
        <v>0</v>
      </c>
      <c r="Y3633" s="5">
        <f t="shared" si="1134"/>
        <v>0</v>
      </c>
      <c r="Z3633" s="5">
        <f t="shared" si="1135"/>
        <v>0</v>
      </c>
      <c r="AA3633" s="5">
        <f t="shared" si="1136"/>
        <v>0</v>
      </c>
      <c r="AB3633" s="5">
        <f t="shared" si="1137"/>
        <v>0</v>
      </c>
    </row>
    <row r="3634" spans="1:29" x14ac:dyDescent="0.25">
      <c r="D3634" t="s">
        <v>94</v>
      </c>
      <c r="E3634" s="14"/>
      <c r="F3634" s="14"/>
      <c r="G3634">
        <f>IFERROR(HLOOKUP(G$2,[109]table_female_hkom3_inj.ill_X7!$A$1:$K$36,26,FALSE),0)</f>
        <v>0</v>
      </c>
      <c r="H3634">
        <f>IFERROR(HLOOKUP(H$2,[109]table_female_hkom3_inj.ill_X7!$A$1:$K$36,26,FALSE),0)</f>
        <v>0</v>
      </c>
      <c r="I3634">
        <f>IFERROR(HLOOKUP(I$2,[109]table_female_hkom3_inj.ill_X7!$A$1:$K$36,26,FALSE),0)</f>
        <v>0</v>
      </c>
      <c r="J3634">
        <f>IFERROR(HLOOKUP(J$2,[109]table_female_hkom3_inj.ill_X7!$A$1:$K$36,26,FALSE),0)</f>
        <v>0</v>
      </c>
      <c r="K3634">
        <f>IFERROR(HLOOKUP(K$2,[109]table_female_hkom3_inj.ill_X7!$A$1:$K$36,26,FALSE),0)</f>
        <v>0</v>
      </c>
      <c r="L3634">
        <f>IFERROR(HLOOKUP(L$2,[109]table_female_hkom3_inj.ill_X7!$A$1:$K$36,26,FALSE),0)</f>
        <v>0</v>
      </c>
      <c r="M3634">
        <f t="shared" si="1128"/>
        <v>0</v>
      </c>
      <c r="S3634" t="s">
        <v>94</v>
      </c>
      <c r="T3634" s="5">
        <f t="shared" si="1129"/>
        <v>0</v>
      </c>
      <c r="U3634" s="5">
        <f t="shared" si="1130"/>
        <v>0</v>
      </c>
      <c r="V3634" s="5">
        <f t="shared" si="1131"/>
        <v>0</v>
      </c>
      <c r="W3634" s="5">
        <f t="shared" si="1132"/>
        <v>0</v>
      </c>
      <c r="X3634" s="5">
        <f t="shared" si="1133"/>
        <v>0</v>
      </c>
      <c r="Y3634" s="5">
        <f t="shared" si="1134"/>
        <v>0</v>
      </c>
      <c r="Z3634" s="5">
        <f t="shared" si="1135"/>
        <v>0</v>
      </c>
      <c r="AA3634" s="5">
        <f t="shared" si="1136"/>
        <v>0</v>
      </c>
      <c r="AB3634" s="5">
        <f t="shared" si="1137"/>
        <v>0</v>
      </c>
    </row>
    <row r="3635" spans="1:29" x14ac:dyDescent="0.25">
      <c r="D3635" t="s">
        <v>95</v>
      </c>
      <c r="E3635" s="14"/>
      <c r="F3635" s="14"/>
      <c r="G3635">
        <f>IFERROR(HLOOKUP(G$2,[109]table_female_hkom3_inj.ill_X7!$A$1:$K$36,27,FALSE),0)</f>
        <v>0</v>
      </c>
      <c r="H3635">
        <f>IFERROR(HLOOKUP(H$2,[109]table_female_hkom3_inj.ill_X7!$A$1:$K$36,27,FALSE),0)</f>
        <v>0</v>
      </c>
      <c r="I3635">
        <f>IFERROR(HLOOKUP(I$2,[109]table_female_hkom3_inj.ill_X7!$A$1:$K$36,27,FALSE),0)</f>
        <v>0</v>
      </c>
      <c r="J3635">
        <f>IFERROR(HLOOKUP(J$2,[109]table_female_hkom3_inj.ill_X7!$A$1:$K$36,27,FALSE),0)</f>
        <v>0</v>
      </c>
      <c r="K3635">
        <f>IFERROR(HLOOKUP(K$2,[109]table_female_hkom3_inj.ill_X7!$A$1:$K$36,27,FALSE),0)</f>
        <v>0</v>
      </c>
      <c r="L3635">
        <f>IFERROR(HLOOKUP(L$2,[109]table_female_hkom3_inj.ill_X7!$A$1:$K$36,27,FALSE),0)</f>
        <v>0</v>
      </c>
      <c r="M3635">
        <f t="shared" si="1128"/>
        <v>0</v>
      </c>
      <c r="S3635" t="s">
        <v>95</v>
      </c>
      <c r="T3635" s="5">
        <f t="shared" si="1129"/>
        <v>0</v>
      </c>
      <c r="U3635" s="5">
        <f t="shared" si="1130"/>
        <v>0</v>
      </c>
      <c r="V3635" s="5">
        <f t="shared" si="1131"/>
        <v>0</v>
      </c>
      <c r="W3635" s="5">
        <f t="shared" si="1132"/>
        <v>0</v>
      </c>
      <c r="X3635" s="5">
        <f t="shared" si="1133"/>
        <v>0</v>
      </c>
      <c r="Y3635" s="5">
        <f t="shared" si="1134"/>
        <v>0</v>
      </c>
      <c r="Z3635" s="5">
        <f t="shared" si="1135"/>
        <v>0</v>
      </c>
      <c r="AA3635" s="5">
        <f t="shared" si="1136"/>
        <v>0</v>
      </c>
      <c r="AB3635" s="5">
        <f t="shared" si="1137"/>
        <v>0</v>
      </c>
    </row>
    <row r="3636" spans="1:29" x14ac:dyDescent="0.25">
      <c r="D3636" t="s">
        <v>96</v>
      </c>
      <c r="E3636" s="14"/>
      <c r="F3636" s="14"/>
      <c r="G3636">
        <f>IFERROR(HLOOKUP(G$2,[109]table_female_hkom3_inj.ill_X7!$A$1:$K$36,28,FALSE),0)</f>
        <v>0</v>
      </c>
      <c r="H3636">
        <f>IFERROR(HLOOKUP(H$2,[109]table_female_hkom3_inj.ill_X7!$A$1:$K$36,28,FALSE),0)</f>
        <v>0</v>
      </c>
      <c r="I3636">
        <f>IFERROR(HLOOKUP(I$2,[109]table_female_hkom3_inj.ill_X7!$A$1:$K$36,28,FALSE),0)</f>
        <v>0</v>
      </c>
      <c r="J3636">
        <f>IFERROR(HLOOKUP(J$2,[109]table_female_hkom3_inj.ill_X7!$A$1:$K$36,28,FALSE),0)</f>
        <v>0</v>
      </c>
      <c r="K3636">
        <f>IFERROR(HLOOKUP(K$2,[109]table_female_hkom3_inj.ill_X7!$A$1:$K$36,28,FALSE),0)</f>
        <v>0</v>
      </c>
      <c r="L3636">
        <f>IFERROR(HLOOKUP(L$2,[109]table_female_hkom3_inj.ill_X7!$A$1:$K$36,28,FALSE),0)</f>
        <v>0</v>
      </c>
      <c r="M3636">
        <f t="shared" si="1128"/>
        <v>0</v>
      </c>
      <c r="S3636" t="s">
        <v>96</v>
      </c>
      <c r="T3636" s="5">
        <f t="shared" si="1129"/>
        <v>0</v>
      </c>
      <c r="U3636" s="5">
        <f t="shared" si="1130"/>
        <v>0</v>
      </c>
      <c r="V3636" s="5">
        <f t="shared" si="1131"/>
        <v>0</v>
      </c>
      <c r="W3636" s="5">
        <f t="shared" si="1132"/>
        <v>0</v>
      </c>
      <c r="X3636" s="5">
        <f t="shared" si="1133"/>
        <v>0</v>
      </c>
      <c r="Y3636" s="5">
        <f t="shared" si="1134"/>
        <v>0</v>
      </c>
      <c r="Z3636" s="5">
        <f t="shared" si="1135"/>
        <v>0</v>
      </c>
      <c r="AA3636" s="5">
        <f t="shared" si="1136"/>
        <v>0</v>
      </c>
      <c r="AB3636" s="5">
        <f t="shared" si="1137"/>
        <v>0</v>
      </c>
    </row>
    <row r="3637" spans="1:29" x14ac:dyDescent="0.25">
      <c r="D3637" t="s">
        <v>97</v>
      </c>
      <c r="E3637" s="14"/>
      <c r="F3637" s="14"/>
      <c r="G3637">
        <f>IFERROR(HLOOKUP(G$2,[109]table_female_hkom3_inj.ill_X7!$A$1:$K$36,29,FALSE),0)</f>
        <v>0</v>
      </c>
      <c r="H3637">
        <f>IFERROR(HLOOKUP(H$2,[109]table_female_hkom3_inj.ill_X7!$A$1:$K$36,29,FALSE),0)</f>
        <v>0</v>
      </c>
      <c r="I3637">
        <f>IFERROR(HLOOKUP(I$2,[109]table_female_hkom3_inj.ill_X7!$A$1:$K$36,29,FALSE),0)</f>
        <v>0</v>
      </c>
      <c r="J3637">
        <f>IFERROR(HLOOKUP(J$2,[109]table_female_hkom3_inj.ill_X7!$A$1:$K$36,29,FALSE),0)</f>
        <v>0</v>
      </c>
      <c r="K3637">
        <f>IFERROR(HLOOKUP(K$2,[109]table_female_hkom3_inj.ill_X7!$A$1:$K$36,29,FALSE),0)</f>
        <v>0</v>
      </c>
      <c r="L3637">
        <f>IFERROR(HLOOKUP(L$2,[109]table_female_hkom3_inj.ill_X7!$A$1:$K$36,29,FALSE),0)</f>
        <v>0</v>
      </c>
      <c r="M3637">
        <f t="shared" si="1128"/>
        <v>0</v>
      </c>
      <c r="S3637" t="s">
        <v>97</v>
      </c>
      <c r="T3637" s="5">
        <f t="shared" si="1129"/>
        <v>0</v>
      </c>
      <c r="U3637" s="5">
        <f t="shared" si="1130"/>
        <v>0</v>
      </c>
      <c r="V3637" s="5">
        <f t="shared" si="1131"/>
        <v>0</v>
      </c>
      <c r="W3637" s="5">
        <f t="shared" si="1132"/>
        <v>0</v>
      </c>
      <c r="X3637" s="5">
        <f t="shared" si="1133"/>
        <v>0</v>
      </c>
      <c r="Y3637" s="5">
        <f t="shared" si="1134"/>
        <v>0</v>
      </c>
      <c r="Z3637" s="5">
        <f t="shared" si="1135"/>
        <v>0</v>
      </c>
      <c r="AA3637" s="5">
        <f t="shared" si="1136"/>
        <v>0</v>
      </c>
      <c r="AB3637" s="5">
        <f t="shared" si="1137"/>
        <v>0</v>
      </c>
    </row>
    <row r="3638" spans="1:29" x14ac:dyDescent="0.25">
      <c r="D3638" t="s">
        <v>98</v>
      </c>
      <c r="E3638" s="14"/>
      <c r="F3638" s="14"/>
      <c r="G3638">
        <f>IFERROR(HLOOKUP(G$2,[109]table_female_hkom3_inj.ill_X7!$A$1:$K$36,30,FALSE),0)</f>
        <v>0</v>
      </c>
      <c r="H3638">
        <f>IFERROR(HLOOKUP(H$2,[109]table_female_hkom3_inj.ill_X7!$A$1:$K$36,30,FALSE),0)</f>
        <v>0</v>
      </c>
      <c r="I3638">
        <f>IFERROR(HLOOKUP(I$2,[109]table_female_hkom3_inj.ill_X7!$A$1:$K$36,30,FALSE),0)</f>
        <v>0</v>
      </c>
      <c r="J3638">
        <f>IFERROR(HLOOKUP(J$2,[109]table_female_hkom3_inj.ill_X7!$A$1:$K$36,30,FALSE),0)</f>
        <v>0</v>
      </c>
      <c r="K3638">
        <f>IFERROR(HLOOKUP(K$2,[109]table_female_hkom3_inj.ill_X7!$A$1:$K$36,30,FALSE),0)</f>
        <v>0</v>
      </c>
      <c r="L3638">
        <f>IFERROR(HLOOKUP(L$2,[109]table_female_hkom3_inj.ill_X7!$A$1:$K$36,30,FALSE),0)</f>
        <v>0</v>
      </c>
      <c r="M3638">
        <f t="shared" si="1128"/>
        <v>0</v>
      </c>
      <c r="S3638" t="s">
        <v>98</v>
      </c>
      <c r="T3638" s="5">
        <f t="shared" si="1129"/>
        <v>0</v>
      </c>
      <c r="U3638" s="5">
        <f t="shared" si="1130"/>
        <v>0</v>
      </c>
      <c r="V3638" s="5">
        <f t="shared" si="1131"/>
        <v>0</v>
      </c>
      <c r="W3638" s="5">
        <f t="shared" si="1132"/>
        <v>0</v>
      </c>
      <c r="X3638" s="5">
        <f t="shared" si="1133"/>
        <v>0</v>
      </c>
      <c r="Y3638" s="5">
        <f t="shared" si="1134"/>
        <v>0</v>
      </c>
      <c r="Z3638" s="5">
        <f t="shared" si="1135"/>
        <v>0</v>
      </c>
      <c r="AA3638" s="5">
        <f t="shared" si="1136"/>
        <v>0</v>
      </c>
      <c r="AB3638" s="5">
        <f t="shared" si="1137"/>
        <v>0</v>
      </c>
    </row>
    <row r="3639" spans="1:29" x14ac:dyDescent="0.25">
      <c r="D3639" t="s">
        <v>119</v>
      </c>
      <c r="E3639" s="14"/>
      <c r="F3639" s="14"/>
      <c r="G3639">
        <f>IFERROR(HLOOKUP(G$2,[109]table_female_hkom3_inj.ill_X7!$A$1:$K$36,31,FALSE),0)</f>
        <v>0</v>
      </c>
      <c r="H3639">
        <f>IFERROR(HLOOKUP(H$2,[109]table_female_hkom3_inj.ill_X7!$A$1:$K$36,31,FALSE),0)</f>
        <v>0</v>
      </c>
      <c r="I3639">
        <f>IFERROR(HLOOKUP(I$2,[109]table_female_hkom3_inj.ill_X7!$A$1:$K$36,31,FALSE),0)</f>
        <v>0</v>
      </c>
      <c r="J3639">
        <f>IFERROR(HLOOKUP(J$2,[109]table_female_hkom3_inj.ill_X7!$A$1:$K$36,31,FALSE),0)</f>
        <v>0</v>
      </c>
      <c r="K3639">
        <f>IFERROR(HLOOKUP(K$2,[109]table_female_hkom3_inj.ill_X7!$A$1:$K$36,31,FALSE),0)</f>
        <v>0</v>
      </c>
      <c r="L3639">
        <f>IFERROR(HLOOKUP(L$2,[109]table_female_hkom3_inj.ill_X7!$A$1:$K$36,31,FALSE),0)</f>
        <v>0</v>
      </c>
      <c r="M3639">
        <f t="shared" si="1128"/>
        <v>0</v>
      </c>
      <c r="S3639" t="s">
        <v>119</v>
      </c>
      <c r="T3639" s="5">
        <f t="shared" si="1129"/>
        <v>0</v>
      </c>
      <c r="U3639" s="5">
        <f t="shared" si="1130"/>
        <v>0</v>
      </c>
      <c r="V3639" s="5">
        <f t="shared" si="1131"/>
        <v>0</v>
      </c>
      <c r="W3639" s="5">
        <f t="shared" si="1132"/>
        <v>0</v>
      </c>
      <c r="X3639" s="5">
        <f t="shared" si="1133"/>
        <v>0</v>
      </c>
      <c r="Y3639" s="5">
        <f t="shared" si="1134"/>
        <v>0</v>
      </c>
      <c r="Z3639" s="5">
        <f t="shared" si="1135"/>
        <v>0</v>
      </c>
      <c r="AA3639" s="5">
        <f t="shared" si="1136"/>
        <v>0</v>
      </c>
      <c r="AB3639" s="5">
        <f t="shared" si="1137"/>
        <v>0</v>
      </c>
    </row>
    <row r="3640" spans="1:29" x14ac:dyDescent="0.25">
      <c r="D3640" t="s">
        <v>99</v>
      </c>
      <c r="E3640" s="14"/>
      <c r="F3640" s="14"/>
      <c r="G3640">
        <f>IFERROR(HLOOKUP(G$2,[109]table_female_hkom3_inj.ill_X7!$A$1:$K$36,32,FALSE),0)</f>
        <v>0</v>
      </c>
      <c r="H3640">
        <f>IFERROR(HLOOKUP(H$2,[109]table_female_hkom3_inj.ill_X7!$A$1:$K$36,32,FALSE),0)</f>
        <v>0</v>
      </c>
      <c r="I3640">
        <f>IFERROR(HLOOKUP(I$2,[109]table_female_hkom3_inj.ill_X7!$A$1:$K$36,32,FALSE),0)</f>
        <v>0</v>
      </c>
      <c r="J3640">
        <f>IFERROR(HLOOKUP(J$2,[109]table_female_hkom3_inj.ill_X7!$A$1:$K$36,32,FALSE),0)</f>
        <v>0</v>
      </c>
      <c r="K3640">
        <f>IFERROR(HLOOKUP(K$2,[109]table_female_hkom3_inj.ill_X7!$A$1:$K$36,32,FALSE),0)</f>
        <v>0</v>
      </c>
      <c r="L3640">
        <f>IFERROR(HLOOKUP(L$2,[109]table_female_hkom3_inj.ill_X7!$A$1:$K$36,32,FALSE),0)</f>
        <v>0</v>
      </c>
      <c r="M3640">
        <f t="shared" si="1128"/>
        <v>0</v>
      </c>
      <c r="S3640" t="s">
        <v>99</v>
      </c>
      <c r="T3640" s="5">
        <f t="shared" si="1129"/>
        <v>0</v>
      </c>
      <c r="U3640" s="5">
        <f t="shared" si="1130"/>
        <v>0</v>
      </c>
      <c r="V3640" s="5">
        <f t="shared" si="1131"/>
        <v>0</v>
      </c>
      <c r="W3640" s="5">
        <f t="shared" si="1132"/>
        <v>0</v>
      </c>
      <c r="X3640" s="5">
        <f t="shared" si="1133"/>
        <v>0</v>
      </c>
      <c r="Y3640" s="5">
        <f t="shared" si="1134"/>
        <v>0</v>
      </c>
      <c r="Z3640" s="5">
        <f t="shared" si="1135"/>
        <v>0</v>
      </c>
      <c r="AA3640" s="5">
        <f t="shared" si="1136"/>
        <v>0</v>
      </c>
      <c r="AB3640" s="5">
        <f t="shared" si="1137"/>
        <v>0</v>
      </c>
    </row>
    <row r="3641" spans="1:29" x14ac:dyDescent="0.25">
      <c r="D3641" t="s">
        <v>100</v>
      </c>
      <c r="E3641" s="14"/>
      <c r="F3641" s="14"/>
      <c r="G3641">
        <f>IFERROR(HLOOKUP(G$2,[109]table_female_hkom3_inj.ill_X7!$A$1:$K$36,33,FALSE),0)</f>
        <v>0</v>
      </c>
      <c r="H3641">
        <f>IFERROR(HLOOKUP(H$2,[109]table_female_hkom3_inj.ill_X7!$A$1:$K$36,33,FALSE),0)</f>
        <v>0</v>
      </c>
      <c r="I3641">
        <f>IFERROR(HLOOKUP(I$2,[109]table_female_hkom3_inj.ill_X7!$A$1:$K$36,33,FALSE),0)</f>
        <v>0</v>
      </c>
      <c r="J3641">
        <f>IFERROR(HLOOKUP(J$2,[109]table_female_hkom3_inj.ill_X7!$A$1:$K$36,33,FALSE),0)</f>
        <v>0</v>
      </c>
      <c r="K3641">
        <f>IFERROR(HLOOKUP(K$2,[109]table_female_hkom3_inj.ill_X7!$A$1:$K$36,33,FALSE),0)</f>
        <v>0</v>
      </c>
      <c r="L3641">
        <f>IFERROR(HLOOKUP(L$2,[109]table_female_hkom3_inj.ill_X7!$A$1:$K$36,33,FALSE),0)</f>
        <v>0</v>
      </c>
      <c r="M3641">
        <f t="shared" si="1128"/>
        <v>0</v>
      </c>
      <c r="S3641" t="s">
        <v>100</v>
      </c>
      <c r="T3641" s="5">
        <f t="shared" si="1129"/>
        <v>0</v>
      </c>
      <c r="U3641" s="5">
        <f t="shared" si="1130"/>
        <v>0</v>
      </c>
      <c r="V3641" s="5">
        <f t="shared" si="1131"/>
        <v>0</v>
      </c>
      <c r="W3641" s="5">
        <f t="shared" si="1132"/>
        <v>0</v>
      </c>
      <c r="X3641" s="5">
        <f t="shared" si="1133"/>
        <v>0</v>
      </c>
      <c r="Y3641" s="5">
        <f t="shared" si="1134"/>
        <v>0</v>
      </c>
      <c r="Z3641" s="5">
        <f t="shared" si="1135"/>
        <v>0</v>
      </c>
      <c r="AA3641" s="5">
        <f t="shared" si="1136"/>
        <v>0</v>
      </c>
      <c r="AB3641" s="5">
        <f t="shared" si="1137"/>
        <v>0</v>
      </c>
    </row>
    <row r="3642" spans="1:29" x14ac:dyDescent="0.25">
      <c r="D3642" t="s">
        <v>101</v>
      </c>
      <c r="E3642" s="14"/>
      <c r="F3642" s="14"/>
      <c r="G3642">
        <f>IFERROR(HLOOKUP(G$2,[109]table_female_hkom3_inj.ill_X7!$A$1:$K$36,34,FALSE),0)</f>
        <v>0</v>
      </c>
      <c r="H3642">
        <f>IFERROR(HLOOKUP(H$2,[109]table_female_hkom3_inj.ill_X7!$A$1:$K$36,34,FALSE),0)</f>
        <v>0</v>
      </c>
      <c r="I3642">
        <f>IFERROR(HLOOKUP(I$2,[109]table_female_hkom3_inj.ill_X7!$A$1:$K$36,34,FALSE),0)</f>
        <v>0</v>
      </c>
      <c r="J3642">
        <f>IFERROR(HLOOKUP(J$2,[109]table_female_hkom3_inj.ill_X7!$A$1:$K$36,34,FALSE),0)</f>
        <v>0</v>
      </c>
      <c r="K3642">
        <f>IFERROR(HLOOKUP(K$2,[109]table_female_hkom3_inj.ill_X7!$A$1:$K$36,34,FALSE),0)</f>
        <v>0</v>
      </c>
      <c r="L3642">
        <f>IFERROR(HLOOKUP(L$2,[109]table_female_hkom3_inj.ill_X7!$A$1:$K$36,34,FALSE),0)</f>
        <v>0</v>
      </c>
      <c r="M3642">
        <f t="shared" si="1128"/>
        <v>0</v>
      </c>
      <c r="S3642" t="s">
        <v>101</v>
      </c>
      <c r="T3642" s="5">
        <f t="shared" si="1129"/>
        <v>0</v>
      </c>
      <c r="U3642" s="5">
        <f t="shared" si="1130"/>
        <v>0</v>
      </c>
      <c r="V3642" s="5">
        <f t="shared" si="1131"/>
        <v>0</v>
      </c>
      <c r="W3642" s="5">
        <f t="shared" si="1132"/>
        <v>0</v>
      </c>
      <c r="X3642" s="5">
        <f t="shared" si="1133"/>
        <v>0</v>
      </c>
      <c r="Y3642" s="5">
        <f t="shared" si="1134"/>
        <v>0</v>
      </c>
      <c r="Z3642" s="5">
        <f t="shared" si="1135"/>
        <v>0</v>
      </c>
      <c r="AA3642" s="5">
        <f t="shared" si="1136"/>
        <v>0</v>
      </c>
      <c r="AB3642" s="5">
        <f t="shared" si="1137"/>
        <v>0</v>
      </c>
    </row>
    <row r="3643" spans="1:29" x14ac:dyDescent="0.25">
      <c r="D3643" t="s">
        <v>102</v>
      </c>
      <c r="E3643" s="14"/>
      <c r="F3643" s="14"/>
      <c r="G3643">
        <f>IFERROR(HLOOKUP(G$2,[109]table_female_hkom3_inj.ill_X7!$A$1:$K$36,35,FALSE),0)</f>
        <v>1</v>
      </c>
      <c r="H3643">
        <f>IFERROR(HLOOKUP(H$2,[109]table_female_hkom3_inj.ill_X7!$A$1:$K$36,35,FALSE),0)</f>
        <v>0</v>
      </c>
      <c r="I3643">
        <f>IFERROR(HLOOKUP(I$2,[109]table_female_hkom3_inj.ill_X7!$A$1:$K$36,35,FALSE),0)</f>
        <v>2</v>
      </c>
      <c r="J3643">
        <f>IFERROR(HLOOKUP(J$2,[109]table_female_hkom3_inj.ill_X7!$A$1:$K$36,35,FALSE),0)</f>
        <v>0</v>
      </c>
      <c r="K3643">
        <f>IFERROR(HLOOKUP(K$2,[109]table_female_hkom3_inj.ill_X7!$A$1:$K$36,35,FALSE),0)</f>
        <v>0</v>
      </c>
      <c r="L3643">
        <f>IFERROR(HLOOKUP(L$2,[109]table_female_hkom3_inj.ill_X7!$A$1:$K$36,35,FALSE),0)</f>
        <v>0</v>
      </c>
      <c r="M3643">
        <f t="shared" si="1128"/>
        <v>3</v>
      </c>
      <c r="N3643">
        <f>SUM(M3610:M3643)</f>
        <v>7</v>
      </c>
      <c r="O3643" s="8">
        <f>SUM([109]table_female_hkom3_inj.ill_X7!$B$2:$L$37)</f>
        <v>7</v>
      </c>
      <c r="S3643" t="s">
        <v>102</v>
      </c>
      <c r="T3643" s="7"/>
      <c r="U3643" s="7"/>
      <c r="V3643" s="7"/>
      <c r="W3643" s="7"/>
      <c r="X3643" s="7"/>
      <c r="Y3643" s="7"/>
      <c r="Z3643" s="7"/>
      <c r="AA3643" s="7"/>
      <c r="AB3643" s="5">
        <f t="shared" si="1137"/>
        <v>0</v>
      </c>
      <c r="AC3643" s="5">
        <f>SUM(AB3610:AB3642)</f>
        <v>7</v>
      </c>
    </row>
    <row r="3644" spans="1:29" x14ac:dyDescent="0.25">
      <c r="A3644" t="s">
        <v>115</v>
      </c>
      <c r="B3644" t="s">
        <v>117</v>
      </c>
      <c r="C3644" t="s">
        <v>130</v>
      </c>
      <c r="D3644" t="s">
        <v>70</v>
      </c>
      <c r="E3644" s="14"/>
      <c r="F3644" s="14"/>
      <c r="G3644">
        <f>IFERROR(HLOOKUP(G$2,[110]table_female_hkom3_inj.ill_X8!$A$1:$K$36,2,FALSE),0)</f>
        <v>0</v>
      </c>
      <c r="H3644">
        <f>IFERROR(HLOOKUP(H$2,[110]table_female_hkom3_inj.ill_X8!$A$1:$K$36,2,FALSE),0)</f>
        <v>0</v>
      </c>
      <c r="I3644">
        <f>IFERROR(HLOOKUP(I$2,[110]table_female_hkom3_inj.ill_X8!$A$1:$K$36,2,FALSE),0)</f>
        <v>0</v>
      </c>
      <c r="J3644">
        <f>IFERROR(HLOOKUP(J$2,[110]table_female_hkom3_inj.ill_X8!$A$1:$K$36,2,FALSE),0)</f>
        <v>0</v>
      </c>
      <c r="K3644">
        <f>IFERROR(HLOOKUP(K$2,[110]table_female_hkom3_inj.ill_X8!$A$1:$K$36,2,FALSE),0)</f>
        <v>0</v>
      </c>
      <c r="L3644">
        <f>IFERROR(HLOOKUP(L$2,[110]table_female_hkom3_inj.ill_X8!$A$1:$K$36,2,FALSE),0)</f>
        <v>0</v>
      </c>
      <c r="M3644">
        <f>SUM(E3644:L3644)</f>
        <v>0</v>
      </c>
      <c r="P3644" t="s">
        <v>115</v>
      </c>
      <c r="Q3644" t="s">
        <v>117</v>
      </c>
      <c r="R3644" t="s">
        <v>130</v>
      </c>
      <c r="S3644" t="s">
        <v>70</v>
      </c>
      <c r="T3644" s="5">
        <f>IF(SUM(E$3644:E$3676)=0,E$3677/33,E3644+IFERROR(E3644/SUM(E$3644:E$3676)*E$3677,0))</f>
        <v>0</v>
      </c>
      <c r="U3644" s="5">
        <f t="shared" ref="U3644:AA3644" si="1138">IF(SUM(F$3644:F$3676)=0,F$3677/33,F3644+IFERROR(F3644/SUM(F$3644:F$3676)*F$3677,0))</f>
        <v>0</v>
      </c>
      <c r="V3644" s="5">
        <f t="shared" si="1138"/>
        <v>0</v>
      </c>
      <c r="W3644" s="5">
        <f t="shared" si="1138"/>
        <v>0</v>
      </c>
      <c r="X3644" s="5">
        <f t="shared" si="1138"/>
        <v>0</v>
      </c>
      <c r="Y3644" s="5">
        <f t="shared" si="1138"/>
        <v>0</v>
      </c>
      <c r="Z3644" s="5">
        <f t="shared" si="1138"/>
        <v>0</v>
      </c>
      <c r="AA3644" s="5">
        <f t="shared" si="1138"/>
        <v>0</v>
      </c>
      <c r="AB3644" s="5">
        <f t="shared" si="1137"/>
        <v>0</v>
      </c>
    </row>
    <row r="3645" spans="1:29" x14ac:dyDescent="0.25">
      <c r="D3645" t="s">
        <v>71</v>
      </c>
      <c r="E3645" s="14"/>
      <c r="F3645" s="14"/>
      <c r="G3645">
        <f>IFERROR(HLOOKUP(G$2,[110]table_female_hkom3_inj.ill_X8!$A$1:$K$36,3,FALSE),0)</f>
        <v>1</v>
      </c>
      <c r="H3645">
        <f>IFERROR(HLOOKUP(H$2,[110]table_female_hkom3_inj.ill_X8!$A$1:$K$36,3,FALSE),0)</f>
        <v>0</v>
      </c>
      <c r="I3645">
        <f>IFERROR(HLOOKUP(I$2,[110]table_female_hkom3_inj.ill_X8!$A$1:$K$36,3,FALSE),0)</f>
        <v>1</v>
      </c>
      <c r="J3645">
        <f>IFERROR(HLOOKUP(J$2,[110]table_female_hkom3_inj.ill_X8!$A$1:$K$36,3,FALSE),0)</f>
        <v>0</v>
      </c>
      <c r="K3645">
        <f>IFERROR(HLOOKUP(K$2,[110]table_female_hkom3_inj.ill_X8!$A$1:$K$36,3,FALSE),0)</f>
        <v>0</v>
      </c>
      <c r="L3645">
        <f>IFERROR(HLOOKUP(L$2,[110]table_female_hkom3_inj.ill_X8!$A$1:$K$36,3,FALSE),0)</f>
        <v>0</v>
      </c>
      <c r="M3645">
        <f t="shared" ref="M3645:M3677" si="1139">SUM(E3645:L3645)</f>
        <v>2</v>
      </c>
      <c r="S3645" t="s">
        <v>71</v>
      </c>
      <c r="T3645" s="5">
        <f t="shared" ref="T3645:T3676" si="1140">IF(SUM(E$3644:E$3676)=0,E$3677/33,E3645+IFERROR(E3645/SUM(E$3644:E$3676)*E$3677,0))</f>
        <v>0</v>
      </c>
      <c r="U3645" s="5">
        <f t="shared" ref="U3645:U3676" si="1141">IF(SUM(F$3644:F$3676)=0,F$3677/33,F3645+IFERROR(F3645/SUM(F$3644:F$3676)*F$3677,0))</f>
        <v>0</v>
      </c>
      <c r="V3645" s="5">
        <f t="shared" ref="V3645:V3676" si="1142">IF(SUM(G$3644:G$3676)=0,G$3677/33,G3645+IFERROR(G3645/SUM(G$3644:G$3676)*G$3677,0))</f>
        <v>2.25</v>
      </c>
      <c r="W3645" s="5">
        <f t="shared" ref="W3645:W3676" si="1143">IF(SUM(H$3644:H$3676)=0,H$3677/33,H3645+IFERROR(H3645/SUM(H$3644:H$3676)*H$3677,0))</f>
        <v>0</v>
      </c>
      <c r="X3645" s="5">
        <f t="shared" ref="X3645:X3676" si="1144">IF(SUM(I$3644:I$3676)=0,I$3677/33,I3645+IFERROR(I3645/SUM(I$3644:I$3676)*I$3677,0))</f>
        <v>1.5</v>
      </c>
      <c r="Y3645" s="5">
        <f t="shared" ref="Y3645:Y3676" si="1145">IF(SUM(J$3644:J$3676)=0,J$3677/33,J3645+IFERROR(J3645/SUM(J$3644:J$3676)*J$3677,0))</f>
        <v>0</v>
      </c>
      <c r="Z3645" s="5">
        <f t="shared" ref="Z3645:Z3676" si="1146">IF(SUM(K$3644:K$3676)=0,K$3677/33,K3645+IFERROR(K3645/SUM(K$3644:K$3676)*K$3677,0))</f>
        <v>0</v>
      </c>
      <c r="AA3645" s="5">
        <f t="shared" ref="AA3645:AA3676" si="1147">IF(SUM(L$3644:L$3676)=0,L$3677/33,L3645+IFERROR(L3645/SUM(L$3644:L$3676)*L$3677,0))</f>
        <v>0</v>
      </c>
      <c r="AB3645" s="5">
        <f t="shared" si="1137"/>
        <v>3.75</v>
      </c>
    </row>
    <row r="3646" spans="1:29" x14ac:dyDescent="0.25">
      <c r="D3646" t="s">
        <v>72</v>
      </c>
      <c r="E3646" s="14"/>
      <c r="F3646" s="14"/>
      <c r="G3646">
        <f>IFERROR(HLOOKUP(G$2,[110]table_female_hkom3_inj.ill_X8!$A$1:$K$36,4,FALSE),0)</f>
        <v>0</v>
      </c>
      <c r="H3646">
        <f>IFERROR(HLOOKUP(H$2,[110]table_female_hkom3_inj.ill_X8!$A$1:$K$36,4,FALSE),0)</f>
        <v>1</v>
      </c>
      <c r="I3646">
        <f>IFERROR(HLOOKUP(I$2,[110]table_female_hkom3_inj.ill_X8!$A$1:$K$36,4,FALSE),0)</f>
        <v>0</v>
      </c>
      <c r="J3646">
        <f>IFERROR(HLOOKUP(J$2,[110]table_female_hkom3_inj.ill_X8!$A$1:$K$36,4,FALSE),0)</f>
        <v>0</v>
      </c>
      <c r="K3646">
        <f>IFERROR(HLOOKUP(K$2,[110]table_female_hkom3_inj.ill_X8!$A$1:$K$36,4,FALSE),0)</f>
        <v>0</v>
      </c>
      <c r="L3646">
        <f>IFERROR(HLOOKUP(L$2,[110]table_female_hkom3_inj.ill_X8!$A$1:$K$36,4,FALSE),0)</f>
        <v>0</v>
      </c>
      <c r="M3646">
        <f t="shared" si="1139"/>
        <v>1</v>
      </c>
      <c r="S3646" t="s">
        <v>72</v>
      </c>
      <c r="T3646" s="5">
        <f t="shared" si="1140"/>
        <v>0</v>
      </c>
      <c r="U3646" s="5">
        <f t="shared" si="1141"/>
        <v>0</v>
      </c>
      <c r="V3646" s="5">
        <f t="shared" si="1142"/>
        <v>0</v>
      </c>
      <c r="W3646" s="5">
        <f t="shared" si="1143"/>
        <v>2.1428571428571428</v>
      </c>
      <c r="X3646" s="5">
        <f t="shared" si="1144"/>
        <v>0</v>
      </c>
      <c r="Y3646" s="5">
        <f t="shared" si="1145"/>
        <v>0</v>
      </c>
      <c r="Z3646" s="5">
        <f t="shared" si="1146"/>
        <v>0</v>
      </c>
      <c r="AA3646" s="5">
        <f t="shared" si="1147"/>
        <v>0</v>
      </c>
      <c r="AB3646" s="5">
        <f t="shared" si="1137"/>
        <v>2.1428571428571428</v>
      </c>
    </row>
    <row r="3647" spans="1:29" x14ac:dyDescent="0.25">
      <c r="D3647" t="s">
        <v>73</v>
      </c>
      <c r="E3647" s="14"/>
      <c r="F3647" s="14"/>
      <c r="G3647">
        <f>IFERROR(HLOOKUP(G$2,[110]table_female_hkom3_inj.ill_X8!$A$1:$K$36,5,FALSE),0)</f>
        <v>0</v>
      </c>
      <c r="H3647">
        <f>IFERROR(HLOOKUP(H$2,[110]table_female_hkom3_inj.ill_X8!$A$1:$K$36,5,FALSE),0)</f>
        <v>0</v>
      </c>
      <c r="I3647">
        <f>IFERROR(HLOOKUP(I$2,[110]table_female_hkom3_inj.ill_X8!$A$1:$K$36,5,FALSE),0)</f>
        <v>0</v>
      </c>
      <c r="J3647">
        <f>IFERROR(HLOOKUP(J$2,[110]table_female_hkom3_inj.ill_X8!$A$1:$K$36,5,FALSE),0)</f>
        <v>0</v>
      </c>
      <c r="K3647">
        <f>IFERROR(HLOOKUP(K$2,[110]table_female_hkom3_inj.ill_X8!$A$1:$K$36,5,FALSE),0)</f>
        <v>0</v>
      </c>
      <c r="L3647">
        <f>IFERROR(HLOOKUP(L$2,[110]table_female_hkom3_inj.ill_X8!$A$1:$K$36,5,FALSE),0)</f>
        <v>0</v>
      </c>
      <c r="M3647">
        <f t="shared" si="1139"/>
        <v>0</v>
      </c>
      <c r="S3647" t="s">
        <v>73</v>
      </c>
      <c r="T3647" s="5">
        <f t="shared" si="1140"/>
        <v>0</v>
      </c>
      <c r="U3647" s="5">
        <f t="shared" si="1141"/>
        <v>0</v>
      </c>
      <c r="V3647" s="5">
        <f t="shared" si="1142"/>
        <v>0</v>
      </c>
      <c r="W3647" s="5">
        <f t="shared" si="1143"/>
        <v>0</v>
      </c>
      <c r="X3647" s="5">
        <f t="shared" si="1144"/>
        <v>0</v>
      </c>
      <c r="Y3647" s="5">
        <f t="shared" si="1145"/>
        <v>0</v>
      </c>
      <c r="Z3647" s="5">
        <f t="shared" si="1146"/>
        <v>0</v>
      </c>
      <c r="AA3647" s="5">
        <f t="shared" si="1147"/>
        <v>0</v>
      </c>
      <c r="AB3647" s="5">
        <f t="shared" si="1137"/>
        <v>0</v>
      </c>
    </row>
    <row r="3648" spans="1:29" x14ac:dyDescent="0.25">
      <c r="D3648" t="s">
        <v>74</v>
      </c>
      <c r="E3648" s="14"/>
      <c r="F3648" s="14"/>
      <c r="G3648">
        <f>IFERROR(HLOOKUP(G$2,[110]table_female_hkom3_inj.ill_X8!$A$1:$K$36,6,FALSE),0)</f>
        <v>0</v>
      </c>
      <c r="H3648">
        <f>IFERROR(HLOOKUP(H$2,[110]table_female_hkom3_inj.ill_X8!$A$1:$K$36,6,FALSE),0)</f>
        <v>0</v>
      </c>
      <c r="I3648">
        <f>IFERROR(HLOOKUP(I$2,[110]table_female_hkom3_inj.ill_X8!$A$1:$K$36,6,FALSE),0)</f>
        <v>0</v>
      </c>
      <c r="J3648">
        <f>IFERROR(HLOOKUP(J$2,[110]table_female_hkom3_inj.ill_X8!$A$1:$K$36,6,FALSE),0)</f>
        <v>0</v>
      </c>
      <c r="K3648">
        <f>IFERROR(HLOOKUP(K$2,[110]table_female_hkom3_inj.ill_X8!$A$1:$K$36,6,FALSE),0)</f>
        <v>0</v>
      </c>
      <c r="L3648">
        <f>IFERROR(HLOOKUP(L$2,[110]table_female_hkom3_inj.ill_X8!$A$1:$K$36,6,FALSE),0)</f>
        <v>0</v>
      </c>
      <c r="M3648">
        <f t="shared" si="1139"/>
        <v>0</v>
      </c>
      <c r="S3648" t="s">
        <v>74</v>
      </c>
      <c r="T3648" s="5">
        <f t="shared" si="1140"/>
        <v>0</v>
      </c>
      <c r="U3648" s="5">
        <f t="shared" si="1141"/>
        <v>0</v>
      </c>
      <c r="V3648" s="5">
        <f t="shared" si="1142"/>
        <v>0</v>
      </c>
      <c r="W3648" s="5">
        <f t="shared" si="1143"/>
        <v>0</v>
      </c>
      <c r="X3648" s="5">
        <f t="shared" si="1144"/>
        <v>0</v>
      </c>
      <c r="Y3648" s="5">
        <f t="shared" si="1145"/>
        <v>0</v>
      </c>
      <c r="Z3648" s="5">
        <f t="shared" si="1146"/>
        <v>0</v>
      </c>
      <c r="AA3648" s="5">
        <f t="shared" si="1147"/>
        <v>0</v>
      </c>
      <c r="AB3648" s="5">
        <f t="shared" si="1137"/>
        <v>0</v>
      </c>
    </row>
    <row r="3649" spans="4:28" x14ac:dyDescent="0.25">
      <c r="D3649" t="s">
        <v>75</v>
      </c>
      <c r="E3649" s="14"/>
      <c r="F3649" s="14"/>
      <c r="G3649">
        <f>IFERROR(HLOOKUP(G$2,[110]table_female_hkom3_inj.ill_X8!$A$1:$K$36,7,FALSE),0)</f>
        <v>0</v>
      </c>
      <c r="H3649">
        <f>IFERROR(HLOOKUP(H$2,[110]table_female_hkom3_inj.ill_X8!$A$1:$K$36,7,FALSE),0)</f>
        <v>0</v>
      </c>
      <c r="I3649">
        <f>IFERROR(HLOOKUP(I$2,[110]table_female_hkom3_inj.ill_X8!$A$1:$K$36,7,FALSE),0)</f>
        <v>0</v>
      </c>
      <c r="J3649">
        <f>IFERROR(HLOOKUP(J$2,[110]table_female_hkom3_inj.ill_X8!$A$1:$K$36,7,FALSE),0)</f>
        <v>0</v>
      </c>
      <c r="K3649">
        <f>IFERROR(HLOOKUP(K$2,[110]table_female_hkom3_inj.ill_X8!$A$1:$K$36,7,FALSE),0)</f>
        <v>0</v>
      </c>
      <c r="L3649">
        <f>IFERROR(HLOOKUP(L$2,[110]table_female_hkom3_inj.ill_X8!$A$1:$K$36,7,FALSE),0)</f>
        <v>0</v>
      </c>
      <c r="M3649">
        <f t="shared" si="1139"/>
        <v>0</v>
      </c>
      <c r="S3649" t="s">
        <v>75</v>
      </c>
      <c r="T3649" s="5">
        <f t="shared" si="1140"/>
        <v>0</v>
      </c>
      <c r="U3649" s="5">
        <f t="shared" si="1141"/>
        <v>0</v>
      </c>
      <c r="V3649" s="5">
        <f t="shared" si="1142"/>
        <v>0</v>
      </c>
      <c r="W3649" s="5">
        <f t="shared" si="1143"/>
        <v>0</v>
      </c>
      <c r="X3649" s="5">
        <f t="shared" si="1144"/>
        <v>0</v>
      </c>
      <c r="Y3649" s="5">
        <f t="shared" si="1145"/>
        <v>0</v>
      </c>
      <c r="Z3649" s="5">
        <f t="shared" si="1146"/>
        <v>0</v>
      </c>
      <c r="AA3649" s="5">
        <f t="shared" si="1147"/>
        <v>0</v>
      </c>
      <c r="AB3649" s="5">
        <f t="shared" si="1137"/>
        <v>0</v>
      </c>
    </row>
    <row r="3650" spans="4:28" x14ac:dyDescent="0.25">
      <c r="D3650" t="s">
        <v>76</v>
      </c>
      <c r="E3650" s="14"/>
      <c r="F3650" s="14"/>
      <c r="G3650">
        <f>IFERROR(HLOOKUP(G$2,[110]table_female_hkom3_inj.ill_X8!$A$1:$K$36,8,FALSE),0)</f>
        <v>0</v>
      </c>
      <c r="H3650">
        <f>IFERROR(HLOOKUP(H$2,[110]table_female_hkom3_inj.ill_X8!$A$1:$K$36,8,FALSE),0)</f>
        <v>0</v>
      </c>
      <c r="I3650">
        <f>IFERROR(HLOOKUP(I$2,[110]table_female_hkom3_inj.ill_X8!$A$1:$K$36,8,FALSE),0)</f>
        <v>0</v>
      </c>
      <c r="J3650">
        <f>IFERROR(HLOOKUP(J$2,[110]table_female_hkom3_inj.ill_X8!$A$1:$K$36,8,FALSE),0)</f>
        <v>0</v>
      </c>
      <c r="K3650">
        <f>IFERROR(HLOOKUP(K$2,[110]table_female_hkom3_inj.ill_X8!$A$1:$K$36,8,FALSE),0)</f>
        <v>0</v>
      </c>
      <c r="L3650">
        <f>IFERROR(HLOOKUP(L$2,[110]table_female_hkom3_inj.ill_X8!$A$1:$K$36,8,FALSE),0)</f>
        <v>0</v>
      </c>
      <c r="M3650">
        <f t="shared" si="1139"/>
        <v>0</v>
      </c>
      <c r="S3650" t="s">
        <v>76</v>
      </c>
      <c r="T3650" s="5">
        <f t="shared" si="1140"/>
        <v>0</v>
      </c>
      <c r="U3650" s="5">
        <f t="shared" si="1141"/>
        <v>0</v>
      </c>
      <c r="V3650" s="5">
        <f t="shared" si="1142"/>
        <v>0</v>
      </c>
      <c r="W3650" s="5">
        <f t="shared" si="1143"/>
        <v>0</v>
      </c>
      <c r="X3650" s="5">
        <f t="shared" si="1144"/>
        <v>0</v>
      </c>
      <c r="Y3650" s="5">
        <f t="shared" si="1145"/>
        <v>0</v>
      </c>
      <c r="Z3650" s="5">
        <f t="shared" si="1146"/>
        <v>0</v>
      </c>
      <c r="AA3650" s="5">
        <f t="shared" si="1147"/>
        <v>0</v>
      </c>
      <c r="AB3650" s="5">
        <f t="shared" si="1137"/>
        <v>0</v>
      </c>
    </row>
    <row r="3651" spans="4:28" x14ac:dyDescent="0.25">
      <c r="D3651" t="s">
        <v>77</v>
      </c>
      <c r="E3651" s="14"/>
      <c r="F3651" s="14"/>
      <c r="G3651">
        <f>IFERROR(HLOOKUP(G$2,[110]table_female_hkom3_inj.ill_X8!$A$1:$K$36,9,FALSE),0)</f>
        <v>0</v>
      </c>
      <c r="H3651">
        <f>IFERROR(HLOOKUP(H$2,[110]table_female_hkom3_inj.ill_X8!$A$1:$K$36,9,FALSE),0)</f>
        <v>0</v>
      </c>
      <c r="I3651">
        <f>IFERROR(HLOOKUP(I$2,[110]table_female_hkom3_inj.ill_X8!$A$1:$K$36,9,FALSE),0)</f>
        <v>0</v>
      </c>
      <c r="J3651">
        <f>IFERROR(HLOOKUP(J$2,[110]table_female_hkom3_inj.ill_X8!$A$1:$K$36,9,FALSE),0)</f>
        <v>0</v>
      </c>
      <c r="K3651">
        <f>IFERROR(HLOOKUP(K$2,[110]table_female_hkom3_inj.ill_X8!$A$1:$K$36,9,FALSE),0)</f>
        <v>0</v>
      </c>
      <c r="L3651">
        <f>IFERROR(HLOOKUP(L$2,[110]table_female_hkom3_inj.ill_X8!$A$1:$K$36,9,FALSE),0)</f>
        <v>0</v>
      </c>
      <c r="M3651">
        <f t="shared" si="1139"/>
        <v>0</v>
      </c>
      <c r="S3651" t="s">
        <v>77</v>
      </c>
      <c r="T3651" s="5">
        <f t="shared" si="1140"/>
        <v>0</v>
      </c>
      <c r="U3651" s="5">
        <f t="shared" si="1141"/>
        <v>0</v>
      </c>
      <c r="V3651" s="5">
        <f t="shared" si="1142"/>
        <v>0</v>
      </c>
      <c r="W3651" s="5">
        <f t="shared" si="1143"/>
        <v>0</v>
      </c>
      <c r="X3651" s="5">
        <f t="shared" si="1144"/>
        <v>0</v>
      </c>
      <c r="Y3651" s="5">
        <f t="shared" si="1145"/>
        <v>0</v>
      </c>
      <c r="Z3651" s="5">
        <f t="shared" si="1146"/>
        <v>0</v>
      </c>
      <c r="AA3651" s="5">
        <f t="shared" si="1147"/>
        <v>0</v>
      </c>
      <c r="AB3651" s="5">
        <f t="shared" si="1137"/>
        <v>0</v>
      </c>
    </row>
    <row r="3652" spans="4:28" x14ac:dyDescent="0.25">
      <c r="D3652" t="s">
        <v>78</v>
      </c>
      <c r="E3652" s="14"/>
      <c r="F3652" s="14"/>
      <c r="G3652">
        <f>IFERROR(HLOOKUP(G$2,[110]table_female_hkom3_inj.ill_X8!$A$1:$K$36,10,FALSE),0)</f>
        <v>0</v>
      </c>
      <c r="H3652">
        <f>IFERROR(HLOOKUP(H$2,[110]table_female_hkom3_inj.ill_X8!$A$1:$K$36,10,FALSE),0)</f>
        <v>0</v>
      </c>
      <c r="I3652">
        <f>IFERROR(HLOOKUP(I$2,[110]table_female_hkom3_inj.ill_X8!$A$1:$K$36,10,FALSE),0)</f>
        <v>1</v>
      </c>
      <c r="J3652">
        <f>IFERROR(HLOOKUP(J$2,[110]table_female_hkom3_inj.ill_X8!$A$1:$K$36,10,FALSE),0)</f>
        <v>0</v>
      </c>
      <c r="K3652">
        <f>IFERROR(HLOOKUP(K$2,[110]table_female_hkom3_inj.ill_X8!$A$1:$K$36,10,FALSE),0)</f>
        <v>0</v>
      </c>
      <c r="L3652">
        <f>IFERROR(HLOOKUP(L$2,[110]table_female_hkom3_inj.ill_X8!$A$1:$K$36,10,FALSE),0)</f>
        <v>0</v>
      </c>
      <c r="M3652">
        <f t="shared" si="1139"/>
        <v>1</v>
      </c>
      <c r="S3652" t="s">
        <v>78</v>
      </c>
      <c r="T3652" s="5">
        <f t="shared" si="1140"/>
        <v>0</v>
      </c>
      <c r="U3652" s="5">
        <f t="shared" si="1141"/>
        <v>0</v>
      </c>
      <c r="V3652" s="5">
        <f t="shared" si="1142"/>
        <v>0</v>
      </c>
      <c r="W3652" s="5">
        <f t="shared" si="1143"/>
        <v>0</v>
      </c>
      <c r="X3652" s="5">
        <f t="shared" si="1144"/>
        <v>1.5</v>
      </c>
      <c r="Y3652" s="5">
        <f t="shared" si="1145"/>
        <v>0</v>
      </c>
      <c r="Z3652" s="5">
        <f t="shared" si="1146"/>
        <v>0</v>
      </c>
      <c r="AA3652" s="5">
        <f t="shared" si="1147"/>
        <v>0</v>
      </c>
      <c r="AB3652" s="5">
        <f t="shared" si="1137"/>
        <v>1.5</v>
      </c>
    </row>
    <row r="3653" spans="4:28" x14ac:dyDescent="0.25">
      <c r="D3653" t="s">
        <v>79</v>
      </c>
      <c r="E3653" s="14"/>
      <c r="F3653" s="14"/>
      <c r="G3653">
        <f>IFERROR(HLOOKUP(G$2,[110]table_female_hkom3_inj.ill_X8!$A$1:$K$36,11,FALSE),0)</f>
        <v>0</v>
      </c>
      <c r="H3653">
        <f>IFERROR(HLOOKUP(H$2,[110]table_female_hkom3_inj.ill_X8!$A$1:$K$36,11,FALSE),0)</f>
        <v>0</v>
      </c>
      <c r="I3653">
        <f>IFERROR(HLOOKUP(I$2,[110]table_female_hkom3_inj.ill_X8!$A$1:$K$36,11,FALSE),0)</f>
        <v>0</v>
      </c>
      <c r="J3653">
        <f>IFERROR(HLOOKUP(J$2,[110]table_female_hkom3_inj.ill_X8!$A$1:$K$36,11,FALSE),0)</f>
        <v>0</v>
      </c>
      <c r="K3653">
        <f>IFERROR(HLOOKUP(K$2,[110]table_female_hkom3_inj.ill_X8!$A$1:$K$36,11,FALSE),0)</f>
        <v>0</v>
      </c>
      <c r="L3653">
        <f>IFERROR(HLOOKUP(L$2,[110]table_female_hkom3_inj.ill_X8!$A$1:$K$36,11,FALSE),0)</f>
        <v>0</v>
      </c>
      <c r="M3653">
        <f t="shared" si="1139"/>
        <v>0</v>
      </c>
      <c r="S3653" t="s">
        <v>79</v>
      </c>
      <c r="T3653" s="5">
        <f t="shared" si="1140"/>
        <v>0</v>
      </c>
      <c r="U3653" s="5">
        <f t="shared" si="1141"/>
        <v>0</v>
      </c>
      <c r="V3653" s="5">
        <f t="shared" si="1142"/>
        <v>0</v>
      </c>
      <c r="W3653" s="5">
        <f t="shared" si="1143"/>
        <v>0</v>
      </c>
      <c r="X3653" s="5">
        <f t="shared" si="1144"/>
        <v>0</v>
      </c>
      <c r="Y3653" s="5">
        <f t="shared" si="1145"/>
        <v>0</v>
      </c>
      <c r="Z3653" s="5">
        <f t="shared" si="1146"/>
        <v>0</v>
      </c>
      <c r="AA3653" s="5">
        <f t="shared" si="1147"/>
        <v>0</v>
      </c>
      <c r="AB3653" s="5">
        <f t="shared" si="1137"/>
        <v>0</v>
      </c>
    </row>
    <row r="3654" spans="4:28" x14ac:dyDescent="0.25">
      <c r="D3654" t="s">
        <v>80</v>
      </c>
      <c r="E3654" s="14"/>
      <c r="F3654" s="14"/>
      <c r="G3654">
        <f>IFERROR(HLOOKUP(G$2,[110]table_female_hkom3_inj.ill_X8!$A$1:$K$36,12,FALSE),0)</f>
        <v>0</v>
      </c>
      <c r="H3654">
        <f>IFERROR(HLOOKUP(H$2,[110]table_female_hkom3_inj.ill_X8!$A$1:$K$36,12,FALSE),0)</f>
        <v>1</v>
      </c>
      <c r="I3654">
        <f>IFERROR(HLOOKUP(I$2,[110]table_female_hkom3_inj.ill_X8!$A$1:$K$36,12,FALSE),0)</f>
        <v>0</v>
      </c>
      <c r="J3654">
        <f>IFERROR(HLOOKUP(J$2,[110]table_female_hkom3_inj.ill_X8!$A$1:$K$36,12,FALSE),0)</f>
        <v>0</v>
      </c>
      <c r="K3654">
        <f>IFERROR(HLOOKUP(K$2,[110]table_female_hkom3_inj.ill_X8!$A$1:$K$36,12,FALSE),0)</f>
        <v>0</v>
      </c>
      <c r="L3654">
        <f>IFERROR(HLOOKUP(L$2,[110]table_female_hkom3_inj.ill_X8!$A$1:$K$36,12,FALSE),0)</f>
        <v>0</v>
      </c>
      <c r="M3654">
        <f t="shared" si="1139"/>
        <v>1</v>
      </c>
      <c r="S3654" t="s">
        <v>80</v>
      </c>
      <c r="T3654" s="5">
        <f t="shared" si="1140"/>
        <v>0</v>
      </c>
      <c r="U3654" s="5">
        <f t="shared" si="1141"/>
        <v>0</v>
      </c>
      <c r="V3654" s="5">
        <f t="shared" si="1142"/>
        <v>0</v>
      </c>
      <c r="W3654" s="5">
        <f t="shared" si="1143"/>
        <v>2.1428571428571428</v>
      </c>
      <c r="X3654" s="5">
        <f t="shared" si="1144"/>
        <v>0</v>
      </c>
      <c r="Y3654" s="5">
        <f t="shared" si="1145"/>
        <v>0</v>
      </c>
      <c r="Z3654" s="5">
        <f t="shared" si="1146"/>
        <v>0</v>
      </c>
      <c r="AA3654" s="5">
        <f t="shared" si="1147"/>
        <v>0</v>
      </c>
      <c r="AB3654" s="5">
        <f t="shared" si="1137"/>
        <v>2.1428571428571428</v>
      </c>
    </row>
    <row r="3655" spans="4:28" x14ac:dyDescent="0.25">
      <c r="D3655" t="s">
        <v>81</v>
      </c>
      <c r="E3655" s="14"/>
      <c r="F3655" s="14"/>
      <c r="G3655">
        <f>IFERROR(HLOOKUP(G$2,[110]table_female_hkom3_inj.ill_X8!$A$1:$K$36,13,FALSE),0)</f>
        <v>0</v>
      </c>
      <c r="H3655">
        <f>IFERROR(HLOOKUP(H$2,[110]table_female_hkom3_inj.ill_X8!$A$1:$K$36,13,FALSE),0)</f>
        <v>0</v>
      </c>
      <c r="I3655">
        <f>IFERROR(HLOOKUP(I$2,[110]table_female_hkom3_inj.ill_X8!$A$1:$K$36,13,FALSE),0)</f>
        <v>0</v>
      </c>
      <c r="J3655">
        <f>IFERROR(HLOOKUP(J$2,[110]table_female_hkom3_inj.ill_X8!$A$1:$K$36,13,FALSE),0)</f>
        <v>0</v>
      </c>
      <c r="K3655">
        <f>IFERROR(HLOOKUP(K$2,[110]table_female_hkom3_inj.ill_X8!$A$1:$K$36,13,FALSE),0)</f>
        <v>0</v>
      </c>
      <c r="L3655">
        <f>IFERROR(HLOOKUP(L$2,[110]table_female_hkom3_inj.ill_X8!$A$1:$K$36,13,FALSE),0)</f>
        <v>0</v>
      </c>
      <c r="M3655">
        <f t="shared" si="1139"/>
        <v>0</v>
      </c>
      <c r="S3655" t="s">
        <v>81</v>
      </c>
      <c r="T3655" s="5">
        <f t="shared" si="1140"/>
        <v>0</v>
      </c>
      <c r="U3655" s="5">
        <f t="shared" si="1141"/>
        <v>0</v>
      </c>
      <c r="V3655" s="5">
        <f t="shared" si="1142"/>
        <v>0</v>
      </c>
      <c r="W3655" s="5">
        <f t="shared" si="1143"/>
        <v>0</v>
      </c>
      <c r="X3655" s="5">
        <f t="shared" si="1144"/>
        <v>0</v>
      </c>
      <c r="Y3655" s="5">
        <f t="shared" si="1145"/>
        <v>0</v>
      </c>
      <c r="Z3655" s="5">
        <f t="shared" si="1146"/>
        <v>0</v>
      </c>
      <c r="AA3655" s="5">
        <f t="shared" si="1147"/>
        <v>0</v>
      </c>
      <c r="AB3655" s="5">
        <f t="shared" si="1137"/>
        <v>0</v>
      </c>
    </row>
    <row r="3656" spans="4:28" x14ac:dyDescent="0.25">
      <c r="D3656" t="s">
        <v>82</v>
      </c>
      <c r="E3656" s="14"/>
      <c r="F3656" s="14"/>
      <c r="G3656">
        <f>IFERROR(HLOOKUP(G$2,[110]table_female_hkom3_inj.ill_X8!$A$1:$K$36,14,FALSE),0)</f>
        <v>0</v>
      </c>
      <c r="H3656">
        <f>IFERROR(HLOOKUP(H$2,[110]table_female_hkom3_inj.ill_X8!$A$1:$K$36,14,FALSE),0)</f>
        <v>0</v>
      </c>
      <c r="I3656">
        <f>IFERROR(HLOOKUP(I$2,[110]table_female_hkom3_inj.ill_X8!$A$1:$K$36,14,FALSE),0)</f>
        <v>0</v>
      </c>
      <c r="J3656">
        <f>IFERROR(HLOOKUP(J$2,[110]table_female_hkom3_inj.ill_X8!$A$1:$K$36,14,FALSE),0)</f>
        <v>0</v>
      </c>
      <c r="K3656">
        <f>IFERROR(HLOOKUP(K$2,[110]table_female_hkom3_inj.ill_X8!$A$1:$K$36,14,FALSE),0)</f>
        <v>0</v>
      </c>
      <c r="L3656">
        <f>IFERROR(HLOOKUP(L$2,[110]table_female_hkom3_inj.ill_X8!$A$1:$K$36,14,FALSE),0)</f>
        <v>0</v>
      </c>
      <c r="M3656">
        <f t="shared" si="1139"/>
        <v>0</v>
      </c>
      <c r="S3656" t="s">
        <v>82</v>
      </c>
      <c r="T3656" s="5">
        <f t="shared" si="1140"/>
        <v>0</v>
      </c>
      <c r="U3656" s="5">
        <f t="shared" si="1141"/>
        <v>0</v>
      </c>
      <c r="V3656" s="5">
        <f t="shared" si="1142"/>
        <v>0</v>
      </c>
      <c r="W3656" s="5">
        <f t="shared" si="1143"/>
        <v>0</v>
      </c>
      <c r="X3656" s="5">
        <f t="shared" si="1144"/>
        <v>0</v>
      </c>
      <c r="Y3656" s="5">
        <f t="shared" si="1145"/>
        <v>0</v>
      </c>
      <c r="Z3656" s="5">
        <f t="shared" si="1146"/>
        <v>0</v>
      </c>
      <c r="AA3656" s="5">
        <f t="shared" si="1147"/>
        <v>0</v>
      </c>
      <c r="AB3656" s="5">
        <f t="shared" si="1137"/>
        <v>0</v>
      </c>
    </row>
    <row r="3657" spans="4:28" x14ac:dyDescent="0.25">
      <c r="D3657" t="s">
        <v>83</v>
      </c>
      <c r="E3657" s="14"/>
      <c r="F3657" s="14"/>
      <c r="G3657">
        <f>IFERROR(HLOOKUP(G$2,[110]table_female_hkom3_inj.ill_X8!$A$1:$K$36,15,FALSE),0)</f>
        <v>0</v>
      </c>
      <c r="H3657">
        <f>IFERROR(HLOOKUP(H$2,[110]table_female_hkom3_inj.ill_X8!$A$1:$K$36,15,FALSE),0)</f>
        <v>0</v>
      </c>
      <c r="I3657">
        <f>IFERROR(HLOOKUP(I$2,[110]table_female_hkom3_inj.ill_X8!$A$1:$K$36,15,FALSE),0)</f>
        <v>0</v>
      </c>
      <c r="J3657">
        <f>IFERROR(HLOOKUP(J$2,[110]table_female_hkom3_inj.ill_X8!$A$1:$K$36,15,FALSE),0)</f>
        <v>0</v>
      </c>
      <c r="K3657">
        <f>IFERROR(HLOOKUP(K$2,[110]table_female_hkom3_inj.ill_X8!$A$1:$K$36,15,FALSE),0)</f>
        <v>1</v>
      </c>
      <c r="L3657">
        <f>IFERROR(HLOOKUP(L$2,[110]table_female_hkom3_inj.ill_X8!$A$1:$K$36,15,FALSE),0)</f>
        <v>0</v>
      </c>
      <c r="M3657">
        <f t="shared" si="1139"/>
        <v>1</v>
      </c>
      <c r="S3657" t="s">
        <v>83</v>
      </c>
      <c r="T3657" s="5">
        <f t="shared" si="1140"/>
        <v>0</v>
      </c>
      <c r="U3657" s="5">
        <f t="shared" si="1141"/>
        <v>0</v>
      </c>
      <c r="V3657" s="5">
        <f t="shared" si="1142"/>
        <v>0</v>
      </c>
      <c r="W3657" s="5">
        <f t="shared" si="1143"/>
        <v>0</v>
      </c>
      <c r="X3657" s="5">
        <f t="shared" si="1144"/>
        <v>0</v>
      </c>
      <c r="Y3657" s="5">
        <f t="shared" si="1145"/>
        <v>0</v>
      </c>
      <c r="Z3657" s="5">
        <f t="shared" si="1146"/>
        <v>1</v>
      </c>
      <c r="AA3657" s="5">
        <f t="shared" si="1147"/>
        <v>0</v>
      </c>
      <c r="AB3657" s="5">
        <f t="shared" si="1137"/>
        <v>1</v>
      </c>
    </row>
    <row r="3658" spans="4:28" x14ac:dyDescent="0.25">
      <c r="D3658" t="s">
        <v>84</v>
      </c>
      <c r="E3658" s="14"/>
      <c r="F3658" s="14"/>
      <c r="G3658">
        <f>IFERROR(HLOOKUP(G$2,[110]table_female_hkom3_inj.ill_X8!$A$1:$K$36,16,FALSE),0)</f>
        <v>0</v>
      </c>
      <c r="H3658">
        <f>IFERROR(HLOOKUP(H$2,[110]table_female_hkom3_inj.ill_X8!$A$1:$K$36,16,FALSE),0)</f>
        <v>0</v>
      </c>
      <c r="I3658">
        <f>IFERROR(HLOOKUP(I$2,[110]table_female_hkom3_inj.ill_X8!$A$1:$K$36,16,FALSE),0)</f>
        <v>0</v>
      </c>
      <c r="J3658">
        <f>IFERROR(HLOOKUP(J$2,[110]table_female_hkom3_inj.ill_X8!$A$1:$K$36,16,FALSE),0)</f>
        <v>0</v>
      </c>
      <c r="K3658">
        <f>IFERROR(HLOOKUP(K$2,[110]table_female_hkom3_inj.ill_X8!$A$1:$K$36,16,FALSE),0)</f>
        <v>0</v>
      </c>
      <c r="L3658">
        <f>IFERROR(HLOOKUP(L$2,[110]table_female_hkom3_inj.ill_X8!$A$1:$K$36,16,FALSE),0)</f>
        <v>0</v>
      </c>
      <c r="M3658">
        <f t="shared" si="1139"/>
        <v>0</v>
      </c>
      <c r="S3658" t="s">
        <v>84</v>
      </c>
      <c r="T3658" s="5">
        <f t="shared" si="1140"/>
        <v>0</v>
      </c>
      <c r="U3658" s="5">
        <f t="shared" si="1141"/>
        <v>0</v>
      </c>
      <c r="V3658" s="5">
        <f t="shared" si="1142"/>
        <v>0</v>
      </c>
      <c r="W3658" s="5">
        <f t="shared" si="1143"/>
        <v>0</v>
      </c>
      <c r="X3658" s="5">
        <f t="shared" si="1144"/>
        <v>0</v>
      </c>
      <c r="Y3658" s="5">
        <f t="shared" si="1145"/>
        <v>0</v>
      </c>
      <c r="Z3658" s="5">
        <f t="shared" si="1146"/>
        <v>0</v>
      </c>
      <c r="AA3658" s="5">
        <f t="shared" si="1147"/>
        <v>0</v>
      </c>
      <c r="AB3658" s="5">
        <f t="shared" si="1137"/>
        <v>0</v>
      </c>
    </row>
    <row r="3659" spans="4:28" x14ac:dyDescent="0.25">
      <c r="D3659" t="s">
        <v>85</v>
      </c>
      <c r="E3659" s="14"/>
      <c r="F3659" s="14"/>
      <c r="G3659">
        <f>IFERROR(HLOOKUP(G$2,[110]table_female_hkom3_inj.ill_X8!$A$1:$K$36,17,FALSE),0)</f>
        <v>0</v>
      </c>
      <c r="H3659">
        <f>IFERROR(HLOOKUP(H$2,[110]table_female_hkom3_inj.ill_X8!$A$1:$K$36,17,FALSE),0)</f>
        <v>1</v>
      </c>
      <c r="I3659">
        <f>IFERROR(HLOOKUP(I$2,[110]table_female_hkom3_inj.ill_X8!$A$1:$K$36,17,FALSE),0)</f>
        <v>0</v>
      </c>
      <c r="J3659">
        <f>IFERROR(HLOOKUP(J$2,[110]table_female_hkom3_inj.ill_X8!$A$1:$K$36,17,FALSE),0)</f>
        <v>0</v>
      </c>
      <c r="K3659">
        <f>IFERROR(HLOOKUP(K$2,[110]table_female_hkom3_inj.ill_X8!$A$1:$K$36,17,FALSE),0)</f>
        <v>0</v>
      </c>
      <c r="L3659">
        <f>IFERROR(HLOOKUP(L$2,[110]table_female_hkom3_inj.ill_X8!$A$1:$K$36,17,FALSE),0)</f>
        <v>0</v>
      </c>
      <c r="M3659">
        <f t="shared" si="1139"/>
        <v>1</v>
      </c>
      <c r="S3659" t="s">
        <v>85</v>
      </c>
      <c r="T3659" s="5">
        <f t="shared" si="1140"/>
        <v>0</v>
      </c>
      <c r="U3659" s="5">
        <f t="shared" si="1141"/>
        <v>0</v>
      </c>
      <c r="V3659" s="5">
        <f t="shared" si="1142"/>
        <v>0</v>
      </c>
      <c r="W3659" s="5">
        <f t="shared" si="1143"/>
        <v>2.1428571428571428</v>
      </c>
      <c r="X3659" s="5">
        <f t="shared" si="1144"/>
        <v>0</v>
      </c>
      <c r="Y3659" s="5">
        <f t="shared" si="1145"/>
        <v>0</v>
      </c>
      <c r="Z3659" s="5">
        <f t="shared" si="1146"/>
        <v>0</v>
      </c>
      <c r="AA3659" s="5">
        <f t="shared" si="1147"/>
        <v>0</v>
      </c>
      <c r="AB3659" s="5">
        <f t="shared" si="1137"/>
        <v>2.1428571428571428</v>
      </c>
    </row>
    <row r="3660" spans="4:28" x14ac:dyDescent="0.25">
      <c r="D3660" t="s">
        <v>86</v>
      </c>
      <c r="E3660" s="14"/>
      <c r="F3660" s="14"/>
      <c r="G3660">
        <f>IFERROR(HLOOKUP(G$2,[110]table_female_hkom3_inj.ill_X8!$A$1:$K$36,18,FALSE),0)</f>
        <v>0</v>
      </c>
      <c r="H3660">
        <f>IFERROR(HLOOKUP(H$2,[110]table_female_hkom3_inj.ill_X8!$A$1:$K$36,18,FALSE),0)</f>
        <v>0</v>
      </c>
      <c r="I3660">
        <f>IFERROR(HLOOKUP(I$2,[110]table_female_hkom3_inj.ill_X8!$A$1:$K$36,18,FALSE),0)</f>
        <v>0</v>
      </c>
      <c r="J3660">
        <f>IFERROR(HLOOKUP(J$2,[110]table_female_hkom3_inj.ill_X8!$A$1:$K$36,18,FALSE),0)</f>
        <v>0</v>
      </c>
      <c r="K3660">
        <f>IFERROR(HLOOKUP(K$2,[110]table_female_hkom3_inj.ill_X8!$A$1:$K$36,18,FALSE),0)</f>
        <v>0</v>
      </c>
      <c r="L3660">
        <f>IFERROR(HLOOKUP(L$2,[110]table_female_hkom3_inj.ill_X8!$A$1:$K$36,18,FALSE),0)</f>
        <v>0</v>
      </c>
      <c r="M3660">
        <f t="shared" si="1139"/>
        <v>0</v>
      </c>
      <c r="S3660" t="s">
        <v>86</v>
      </c>
      <c r="T3660" s="5">
        <f t="shared" si="1140"/>
        <v>0</v>
      </c>
      <c r="U3660" s="5">
        <f t="shared" si="1141"/>
        <v>0</v>
      </c>
      <c r="V3660" s="5">
        <f t="shared" si="1142"/>
        <v>0</v>
      </c>
      <c r="W3660" s="5">
        <f t="shared" si="1143"/>
        <v>0</v>
      </c>
      <c r="X3660" s="5">
        <f t="shared" si="1144"/>
        <v>0</v>
      </c>
      <c r="Y3660" s="5">
        <f t="shared" si="1145"/>
        <v>0</v>
      </c>
      <c r="Z3660" s="5">
        <f t="shared" si="1146"/>
        <v>0</v>
      </c>
      <c r="AA3660" s="5">
        <f t="shared" si="1147"/>
        <v>0</v>
      </c>
      <c r="AB3660" s="5">
        <f t="shared" si="1137"/>
        <v>0</v>
      </c>
    </row>
    <row r="3661" spans="4:28" x14ac:dyDescent="0.25">
      <c r="D3661" t="s">
        <v>87</v>
      </c>
      <c r="E3661" s="14"/>
      <c r="F3661" s="14"/>
      <c r="G3661">
        <f>IFERROR(HLOOKUP(G$2,[110]table_female_hkom3_inj.ill_X8!$A$1:$K$36,19,FALSE),0)</f>
        <v>0</v>
      </c>
      <c r="H3661">
        <f>IFERROR(HLOOKUP(H$2,[110]table_female_hkom3_inj.ill_X8!$A$1:$K$36,19,FALSE),0)</f>
        <v>2</v>
      </c>
      <c r="I3661">
        <f>IFERROR(HLOOKUP(I$2,[110]table_female_hkom3_inj.ill_X8!$A$1:$K$36,19,FALSE),0)</f>
        <v>0</v>
      </c>
      <c r="J3661">
        <f>IFERROR(HLOOKUP(J$2,[110]table_female_hkom3_inj.ill_X8!$A$1:$K$36,19,FALSE),0)</f>
        <v>0</v>
      </c>
      <c r="K3661">
        <f>IFERROR(HLOOKUP(K$2,[110]table_female_hkom3_inj.ill_X8!$A$1:$K$36,19,FALSE),0)</f>
        <v>0</v>
      </c>
      <c r="L3661">
        <f>IFERROR(HLOOKUP(L$2,[110]table_female_hkom3_inj.ill_X8!$A$1:$K$36,19,FALSE),0)</f>
        <v>0</v>
      </c>
      <c r="M3661">
        <f t="shared" si="1139"/>
        <v>2</v>
      </c>
      <c r="S3661" t="s">
        <v>87</v>
      </c>
      <c r="T3661" s="5">
        <f t="shared" si="1140"/>
        <v>0</v>
      </c>
      <c r="U3661" s="5">
        <f t="shared" si="1141"/>
        <v>0</v>
      </c>
      <c r="V3661" s="5">
        <f t="shared" si="1142"/>
        <v>0</v>
      </c>
      <c r="W3661" s="5">
        <f t="shared" si="1143"/>
        <v>4.2857142857142856</v>
      </c>
      <c r="X3661" s="5">
        <f t="shared" si="1144"/>
        <v>0</v>
      </c>
      <c r="Y3661" s="5">
        <f t="shared" si="1145"/>
        <v>0</v>
      </c>
      <c r="Z3661" s="5">
        <f t="shared" si="1146"/>
        <v>0</v>
      </c>
      <c r="AA3661" s="5">
        <f t="shared" si="1147"/>
        <v>0</v>
      </c>
      <c r="AB3661" s="5">
        <f t="shared" si="1137"/>
        <v>4.2857142857142856</v>
      </c>
    </row>
    <row r="3662" spans="4:28" x14ac:dyDescent="0.25">
      <c r="D3662" t="s">
        <v>88</v>
      </c>
      <c r="E3662" s="14"/>
      <c r="F3662" s="14"/>
      <c r="G3662">
        <f>IFERROR(HLOOKUP(G$2,[110]table_female_hkom3_inj.ill_X8!$A$1:$K$36,20,FALSE),0)</f>
        <v>2</v>
      </c>
      <c r="H3662">
        <f>IFERROR(HLOOKUP(H$2,[110]table_female_hkom3_inj.ill_X8!$A$1:$K$36,20,FALSE),0)</f>
        <v>0</v>
      </c>
      <c r="I3662">
        <f>IFERROR(HLOOKUP(I$2,[110]table_female_hkom3_inj.ill_X8!$A$1:$K$36,20,FALSE),0)</f>
        <v>0</v>
      </c>
      <c r="J3662">
        <f>IFERROR(HLOOKUP(J$2,[110]table_female_hkom3_inj.ill_X8!$A$1:$K$36,20,FALSE),0)</f>
        <v>0</v>
      </c>
      <c r="K3662">
        <f>IFERROR(HLOOKUP(K$2,[110]table_female_hkom3_inj.ill_X8!$A$1:$K$36,20,FALSE),0)</f>
        <v>0</v>
      </c>
      <c r="L3662">
        <f>IFERROR(HLOOKUP(L$2,[110]table_female_hkom3_inj.ill_X8!$A$1:$K$36,20,FALSE),0)</f>
        <v>0</v>
      </c>
      <c r="M3662">
        <f t="shared" si="1139"/>
        <v>2</v>
      </c>
      <c r="S3662" t="s">
        <v>88</v>
      </c>
      <c r="T3662" s="5">
        <f t="shared" si="1140"/>
        <v>0</v>
      </c>
      <c r="U3662" s="5">
        <f t="shared" si="1141"/>
        <v>0</v>
      </c>
      <c r="V3662" s="5">
        <f t="shared" si="1142"/>
        <v>4.5</v>
      </c>
      <c r="W3662" s="5">
        <f t="shared" si="1143"/>
        <v>0</v>
      </c>
      <c r="X3662" s="5">
        <f t="shared" si="1144"/>
        <v>0</v>
      </c>
      <c r="Y3662" s="5">
        <f t="shared" si="1145"/>
        <v>0</v>
      </c>
      <c r="Z3662" s="5">
        <f t="shared" si="1146"/>
        <v>0</v>
      </c>
      <c r="AA3662" s="5">
        <f t="shared" si="1147"/>
        <v>0</v>
      </c>
      <c r="AB3662" s="5">
        <f t="shared" si="1137"/>
        <v>4.5</v>
      </c>
    </row>
    <row r="3663" spans="4:28" x14ac:dyDescent="0.25">
      <c r="D3663" t="s">
        <v>89</v>
      </c>
      <c r="E3663" s="14"/>
      <c r="F3663" s="14"/>
      <c r="G3663">
        <f>IFERROR(HLOOKUP(G$2,[110]table_female_hkom3_inj.ill_X8!$A$1:$K$36,21,FALSE),0)</f>
        <v>0</v>
      </c>
      <c r="H3663">
        <f>IFERROR(HLOOKUP(H$2,[110]table_female_hkom3_inj.ill_X8!$A$1:$K$36,21,FALSE),0)</f>
        <v>0</v>
      </c>
      <c r="I3663">
        <f>IFERROR(HLOOKUP(I$2,[110]table_female_hkom3_inj.ill_X8!$A$1:$K$36,21,FALSE),0)</f>
        <v>0</v>
      </c>
      <c r="J3663">
        <f>IFERROR(HLOOKUP(J$2,[110]table_female_hkom3_inj.ill_X8!$A$1:$K$36,21,FALSE),0)</f>
        <v>0</v>
      </c>
      <c r="K3663">
        <f>IFERROR(HLOOKUP(K$2,[110]table_female_hkom3_inj.ill_X8!$A$1:$K$36,21,FALSE),0)</f>
        <v>0</v>
      </c>
      <c r="L3663">
        <f>IFERROR(HLOOKUP(L$2,[110]table_female_hkom3_inj.ill_X8!$A$1:$K$36,21,FALSE),0)</f>
        <v>0</v>
      </c>
      <c r="M3663">
        <f t="shared" si="1139"/>
        <v>0</v>
      </c>
      <c r="S3663" t="s">
        <v>89</v>
      </c>
      <c r="T3663" s="5">
        <f t="shared" si="1140"/>
        <v>0</v>
      </c>
      <c r="U3663" s="5">
        <f t="shared" si="1141"/>
        <v>0</v>
      </c>
      <c r="V3663" s="5">
        <f t="shared" si="1142"/>
        <v>0</v>
      </c>
      <c r="W3663" s="5">
        <f t="shared" si="1143"/>
        <v>0</v>
      </c>
      <c r="X3663" s="5">
        <f t="shared" si="1144"/>
        <v>0</v>
      </c>
      <c r="Y3663" s="5">
        <f t="shared" si="1145"/>
        <v>0</v>
      </c>
      <c r="Z3663" s="5">
        <f t="shared" si="1146"/>
        <v>0</v>
      </c>
      <c r="AA3663" s="5">
        <f t="shared" si="1147"/>
        <v>0</v>
      </c>
      <c r="AB3663" s="5">
        <f t="shared" si="1137"/>
        <v>0</v>
      </c>
    </row>
    <row r="3664" spans="4:28" x14ac:dyDescent="0.25">
      <c r="D3664" t="s">
        <v>90</v>
      </c>
      <c r="E3664" s="14"/>
      <c r="F3664" s="14"/>
      <c r="G3664">
        <f>IFERROR(HLOOKUP(G$2,[110]table_female_hkom3_inj.ill_X8!$A$1:$K$36,22,FALSE),0)</f>
        <v>0</v>
      </c>
      <c r="H3664">
        <f>IFERROR(HLOOKUP(H$2,[110]table_female_hkom3_inj.ill_X8!$A$1:$K$36,22,FALSE),0)</f>
        <v>0</v>
      </c>
      <c r="I3664">
        <f>IFERROR(HLOOKUP(I$2,[110]table_female_hkom3_inj.ill_X8!$A$1:$K$36,22,FALSE),0)</f>
        <v>0</v>
      </c>
      <c r="J3664">
        <f>IFERROR(HLOOKUP(J$2,[110]table_female_hkom3_inj.ill_X8!$A$1:$K$36,22,FALSE),0)</f>
        <v>0</v>
      </c>
      <c r="K3664">
        <f>IFERROR(HLOOKUP(K$2,[110]table_female_hkom3_inj.ill_X8!$A$1:$K$36,22,FALSE),0)</f>
        <v>0</v>
      </c>
      <c r="L3664">
        <f>IFERROR(HLOOKUP(L$2,[110]table_female_hkom3_inj.ill_X8!$A$1:$K$36,22,FALSE),0)</f>
        <v>0</v>
      </c>
      <c r="M3664">
        <f t="shared" si="1139"/>
        <v>0</v>
      </c>
      <c r="S3664" t="s">
        <v>90</v>
      </c>
      <c r="T3664" s="5">
        <f t="shared" si="1140"/>
        <v>0</v>
      </c>
      <c r="U3664" s="5">
        <f t="shared" si="1141"/>
        <v>0</v>
      </c>
      <c r="V3664" s="5">
        <f t="shared" si="1142"/>
        <v>0</v>
      </c>
      <c r="W3664" s="5">
        <f t="shared" si="1143"/>
        <v>0</v>
      </c>
      <c r="X3664" s="5">
        <f t="shared" si="1144"/>
        <v>0</v>
      </c>
      <c r="Y3664" s="5">
        <f t="shared" si="1145"/>
        <v>0</v>
      </c>
      <c r="Z3664" s="5">
        <f t="shared" si="1146"/>
        <v>0</v>
      </c>
      <c r="AA3664" s="5">
        <f t="shared" si="1147"/>
        <v>0</v>
      </c>
      <c r="AB3664" s="5">
        <f t="shared" si="1137"/>
        <v>0</v>
      </c>
    </row>
    <row r="3665" spans="1:29" x14ac:dyDescent="0.25">
      <c r="D3665" t="s">
        <v>91</v>
      </c>
      <c r="E3665" s="14"/>
      <c r="F3665" s="14"/>
      <c r="G3665">
        <f>IFERROR(HLOOKUP(G$2,[110]table_female_hkom3_inj.ill_X8!$A$1:$K$36,23,FALSE),0)</f>
        <v>0</v>
      </c>
      <c r="H3665">
        <f>IFERROR(HLOOKUP(H$2,[110]table_female_hkom3_inj.ill_X8!$A$1:$K$36,23,FALSE),0)</f>
        <v>0</v>
      </c>
      <c r="I3665">
        <f>IFERROR(HLOOKUP(I$2,[110]table_female_hkom3_inj.ill_X8!$A$1:$K$36,23,FALSE),0)</f>
        <v>0</v>
      </c>
      <c r="J3665">
        <f>IFERROR(HLOOKUP(J$2,[110]table_female_hkom3_inj.ill_X8!$A$1:$K$36,23,FALSE),0)</f>
        <v>0</v>
      </c>
      <c r="K3665">
        <f>IFERROR(HLOOKUP(K$2,[110]table_female_hkom3_inj.ill_X8!$A$1:$K$36,23,FALSE),0)</f>
        <v>1</v>
      </c>
      <c r="L3665">
        <f>IFERROR(HLOOKUP(L$2,[110]table_female_hkom3_inj.ill_X8!$A$1:$K$36,23,FALSE),0)</f>
        <v>0</v>
      </c>
      <c r="M3665">
        <f t="shared" si="1139"/>
        <v>1</v>
      </c>
      <c r="S3665" t="s">
        <v>91</v>
      </c>
      <c r="T3665" s="5">
        <f t="shared" si="1140"/>
        <v>0</v>
      </c>
      <c r="U3665" s="5">
        <f t="shared" si="1141"/>
        <v>0</v>
      </c>
      <c r="V3665" s="5">
        <f t="shared" si="1142"/>
        <v>0</v>
      </c>
      <c r="W3665" s="5">
        <f t="shared" si="1143"/>
        <v>0</v>
      </c>
      <c r="X3665" s="5">
        <f t="shared" si="1144"/>
        <v>0</v>
      </c>
      <c r="Y3665" s="5">
        <f t="shared" si="1145"/>
        <v>0</v>
      </c>
      <c r="Z3665" s="5">
        <f t="shared" si="1146"/>
        <v>1</v>
      </c>
      <c r="AA3665" s="5">
        <f t="shared" si="1147"/>
        <v>0</v>
      </c>
      <c r="AB3665" s="5">
        <f t="shared" si="1137"/>
        <v>1</v>
      </c>
    </row>
    <row r="3666" spans="1:29" x14ac:dyDescent="0.25">
      <c r="D3666" t="s">
        <v>92</v>
      </c>
      <c r="E3666" s="14"/>
      <c r="F3666" s="14"/>
      <c r="G3666">
        <f>IFERROR(HLOOKUP(G$2,[110]table_female_hkom3_inj.ill_X8!$A$1:$K$36,24,FALSE),0)</f>
        <v>0</v>
      </c>
      <c r="H3666">
        <f>IFERROR(HLOOKUP(H$2,[110]table_female_hkom3_inj.ill_X8!$A$1:$K$36,24,FALSE),0)</f>
        <v>0</v>
      </c>
      <c r="I3666">
        <f>IFERROR(HLOOKUP(I$2,[110]table_female_hkom3_inj.ill_X8!$A$1:$K$36,24,FALSE),0)</f>
        <v>0</v>
      </c>
      <c r="J3666">
        <f>IFERROR(HLOOKUP(J$2,[110]table_female_hkom3_inj.ill_X8!$A$1:$K$36,24,FALSE),0)</f>
        <v>0</v>
      </c>
      <c r="K3666">
        <f>IFERROR(HLOOKUP(K$2,[110]table_female_hkom3_inj.ill_X8!$A$1:$K$36,24,FALSE),0)</f>
        <v>0</v>
      </c>
      <c r="L3666">
        <f>IFERROR(HLOOKUP(L$2,[110]table_female_hkom3_inj.ill_X8!$A$1:$K$36,24,FALSE),0)</f>
        <v>0</v>
      </c>
      <c r="M3666">
        <f t="shared" si="1139"/>
        <v>0</v>
      </c>
      <c r="S3666" t="s">
        <v>92</v>
      </c>
      <c r="T3666" s="5">
        <f t="shared" si="1140"/>
        <v>0</v>
      </c>
      <c r="U3666" s="5">
        <f t="shared" si="1141"/>
        <v>0</v>
      </c>
      <c r="V3666" s="5">
        <f t="shared" si="1142"/>
        <v>0</v>
      </c>
      <c r="W3666" s="5">
        <f t="shared" si="1143"/>
        <v>0</v>
      </c>
      <c r="X3666" s="5">
        <f t="shared" si="1144"/>
        <v>0</v>
      </c>
      <c r="Y3666" s="5">
        <f t="shared" si="1145"/>
        <v>0</v>
      </c>
      <c r="Z3666" s="5">
        <f t="shared" si="1146"/>
        <v>0</v>
      </c>
      <c r="AA3666" s="5">
        <f t="shared" si="1147"/>
        <v>0</v>
      </c>
      <c r="AB3666" s="5">
        <f t="shared" si="1137"/>
        <v>0</v>
      </c>
    </row>
    <row r="3667" spans="1:29" x14ac:dyDescent="0.25">
      <c r="D3667" t="s">
        <v>93</v>
      </c>
      <c r="E3667" s="14"/>
      <c r="F3667" s="14"/>
      <c r="G3667">
        <f>IFERROR(HLOOKUP(G$2,[110]table_female_hkom3_inj.ill_X8!$A$1:$K$36,25,FALSE),0)</f>
        <v>0</v>
      </c>
      <c r="H3667">
        <f>IFERROR(HLOOKUP(H$2,[110]table_female_hkom3_inj.ill_X8!$A$1:$K$36,25,FALSE),0)</f>
        <v>0</v>
      </c>
      <c r="I3667">
        <f>IFERROR(HLOOKUP(I$2,[110]table_female_hkom3_inj.ill_X8!$A$1:$K$36,25,FALSE),0)</f>
        <v>0</v>
      </c>
      <c r="J3667">
        <f>IFERROR(HLOOKUP(J$2,[110]table_female_hkom3_inj.ill_X8!$A$1:$K$36,25,FALSE),0)</f>
        <v>0</v>
      </c>
      <c r="K3667">
        <f>IFERROR(HLOOKUP(K$2,[110]table_female_hkom3_inj.ill_X8!$A$1:$K$36,25,FALSE),0)</f>
        <v>0</v>
      </c>
      <c r="L3667">
        <f>IFERROR(HLOOKUP(L$2,[110]table_female_hkom3_inj.ill_X8!$A$1:$K$36,25,FALSE),0)</f>
        <v>0</v>
      </c>
      <c r="M3667">
        <f t="shared" si="1139"/>
        <v>0</v>
      </c>
      <c r="S3667" t="s">
        <v>93</v>
      </c>
      <c r="T3667" s="5">
        <f t="shared" si="1140"/>
        <v>0</v>
      </c>
      <c r="U3667" s="5">
        <f t="shared" si="1141"/>
        <v>0</v>
      </c>
      <c r="V3667" s="5">
        <f t="shared" si="1142"/>
        <v>0</v>
      </c>
      <c r="W3667" s="5">
        <f t="shared" si="1143"/>
        <v>0</v>
      </c>
      <c r="X3667" s="5">
        <f t="shared" si="1144"/>
        <v>0</v>
      </c>
      <c r="Y3667" s="5">
        <f t="shared" si="1145"/>
        <v>0</v>
      </c>
      <c r="Z3667" s="5">
        <f t="shared" si="1146"/>
        <v>0</v>
      </c>
      <c r="AA3667" s="5">
        <f t="shared" si="1147"/>
        <v>0</v>
      </c>
      <c r="AB3667" s="5">
        <f t="shared" si="1137"/>
        <v>0</v>
      </c>
    </row>
    <row r="3668" spans="1:29" x14ac:dyDescent="0.25">
      <c r="D3668" t="s">
        <v>94</v>
      </c>
      <c r="E3668" s="14"/>
      <c r="F3668" s="14"/>
      <c r="G3668">
        <f>IFERROR(HLOOKUP(G$2,[110]table_female_hkom3_inj.ill_X8!$A$1:$K$36,26,FALSE),0)</f>
        <v>0</v>
      </c>
      <c r="H3668">
        <f>IFERROR(HLOOKUP(H$2,[110]table_female_hkom3_inj.ill_X8!$A$1:$K$36,26,FALSE),0)</f>
        <v>0</v>
      </c>
      <c r="I3668">
        <f>IFERROR(HLOOKUP(I$2,[110]table_female_hkom3_inj.ill_X8!$A$1:$K$36,26,FALSE),0)</f>
        <v>0</v>
      </c>
      <c r="J3668">
        <f>IFERROR(HLOOKUP(J$2,[110]table_female_hkom3_inj.ill_X8!$A$1:$K$36,26,FALSE),0)</f>
        <v>0</v>
      </c>
      <c r="K3668">
        <f>IFERROR(HLOOKUP(K$2,[110]table_female_hkom3_inj.ill_X8!$A$1:$K$36,26,FALSE),0)</f>
        <v>0</v>
      </c>
      <c r="L3668">
        <f>IFERROR(HLOOKUP(L$2,[110]table_female_hkom3_inj.ill_X8!$A$1:$K$36,26,FALSE),0)</f>
        <v>0</v>
      </c>
      <c r="M3668">
        <f t="shared" si="1139"/>
        <v>0</v>
      </c>
      <c r="S3668" t="s">
        <v>94</v>
      </c>
      <c r="T3668" s="5">
        <f t="shared" si="1140"/>
        <v>0</v>
      </c>
      <c r="U3668" s="5">
        <f t="shared" si="1141"/>
        <v>0</v>
      </c>
      <c r="V3668" s="5">
        <f t="shared" si="1142"/>
        <v>0</v>
      </c>
      <c r="W3668" s="5">
        <f t="shared" si="1143"/>
        <v>0</v>
      </c>
      <c r="X3668" s="5">
        <f t="shared" si="1144"/>
        <v>0</v>
      </c>
      <c r="Y3668" s="5">
        <f t="shared" si="1145"/>
        <v>0</v>
      </c>
      <c r="Z3668" s="5">
        <f t="shared" si="1146"/>
        <v>0</v>
      </c>
      <c r="AA3668" s="5">
        <f t="shared" si="1147"/>
        <v>0</v>
      </c>
      <c r="AB3668" s="5">
        <f t="shared" si="1137"/>
        <v>0</v>
      </c>
    </row>
    <row r="3669" spans="1:29" x14ac:dyDescent="0.25">
      <c r="D3669" t="s">
        <v>95</v>
      </c>
      <c r="E3669" s="14"/>
      <c r="F3669" s="14"/>
      <c r="G3669">
        <f>IFERROR(HLOOKUP(G$2,[110]table_female_hkom3_inj.ill_X8!$A$1:$K$36,27,FALSE),0)</f>
        <v>0</v>
      </c>
      <c r="H3669">
        <f>IFERROR(HLOOKUP(H$2,[110]table_female_hkom3_inj.ill_X8!$A$1:$K$36,27,FALSE),0)</f>
        <v>0</v>
      </c>
      <c r="I3669">
        <f>IFERROR(HLOOKUP(I$2,[110]table_female_hkom3_inj.ill_X8!$A$1:$K$36,27,FALSE),0)</f>
        <v>0</v>
      </c>
      <c r="J3669">
        <f>IFERROR(HLOOKUP(J$2,[110]table_female_hkom3_inj.ill_X8!$A$1:$K$36,27,FALSE),0)</f>
        <v>0</v>
      </c>
      <c r="K3669">
        <f>IFERROR(HLOOKUP(K$2,[110]table_female_hkom3_inj.ill_X8!$A$1:$K$36,27,FALSE),0)</f>
        <v>0</v>
      </c>
      <c r="L3669">
        <f>IFERROR(HLOOKUP(L$2,[110]table_female_hkom3_inj.ill_X8!$A$1:$K$36,27,FALSE),0)</f>
        <v>0</v>
      </c>
      <c r="M3669">
        <f t="shared" si="1139"/>
        <v>0</v>
      </c>
      <c r="S3669" t="s">
        <v>95</v>
      </c>
      <c r="T3669" s="5">
        <f t="shared" si="1140"/>
        <v>0</v>
      </c>
      <c r="U3669" s="5">
        <f t="shared" si="1141"/>
        <v>0</v>
      </c>
      <c r="V3669" s="5">
        <f t="shared" si="1142"/>
        <v>0</v>
      </c>
      <c r="W3669" s="5">
        <f t="shared" si="1143"/>
        <v>0</v>
      </c>
      <c r="X3669" s="5">
        <f t="shared" si="1144"/>
        <v>0</v>
      </c>
      <c r="Y3669" s="5">
        <f t="shared" si="1145"/>
        <v>0</v>
      </c>
      <c r="Z3669" s="5">
        <f t="shared" si="1146"/>
        <v>0</v>
      </c>
      <c r="AA3669" s="5">
        <f t="shared" si="1147"/>
        <v>0</v>
      </c>
      <c r="AB3669" s="5">
        <f t="shared" si="1137"/>
        <v>0</v>
      </c>
    </row>
    <row r="3670" spans="1:29" x14ac:dyDescent="0.25">
      <c r="D3670" t="s">
        <v>96</v>
      </c>
      <c r="E3670" s="14"/>
      <c r="F3670" s="14"/>
      <c r="G3670">
        <f>IFERROR(HLOOKUP(G$2,[110]table_female_hkom3_inj.ill_X8!$A$1:$K$36,28,FALSE),0)</f>
        <v>0</v>
      </c>
      <c r="H3670">
        <f>IFERROR(HLOOKUP(H$2,[110]table_female_hkom3_inj.ill_X8!$A$1:$K$36,28,FALSE),0)</f>
        <v>0</v>
      </c>
      <c r="I3670">
        <f>IFERROR(HLOOKUP(I$2,[110]table_female_hkom3_inj.ill_X8!$A$1:$K$36,28,FALSE),0)</f>
        <v>0</v>
      </c>
      <c r="J3670">
        <f>IFERROR(HLOOKUP(J$2,[110]table_female_hkom3_inj.ill_X8!$A$1:$K$36,28,FALSE),0)</f>
        <v>0</v>
      </c>
      <c r="K3670">
        <f>IFERROR(HLOOKUP(K$2,[110]table_female_hkom3_inj.ill_X8!$A$1:$K$36,28,FALSE),0)</f>
        <v>0</v>
      </c>
      <c r="L3670">
        <f>IFERROR(HLOOKUP(L$2,[110]table_female_hkom3_inj.ill_X8!$A$1:$K$36,28,FALSE),0)</f>
        <v>0</v>
      </c>
      <c r="M3670">
        <f t="shared" si="1139"/>
        <v>0</v>
      </c>
      <c r="S3670" t="s">
        <v>96</v>
      </c>
      <c r="T3670" s="5">
        <f t="shared" si="1140"/>
        <v>0</v>
      </c>
      <c r="U3670" s="5">
        <f t="shared" si="1141"/>
        <v>0</v>
      </c>
      <c r="V3670" s="5">
        <f t="shared" si="1142"/>
        <v>0</v>
      </c>
      <c r="W3670" s="5">
        <f t="shared" si="1143"/>
        <v>0</v>
      </c>
      <c r="X3670" s="5">
        <f t="shared" si="1144"/>
        <v>0</v>
      </c>
      <c r="Y3670" s="5">
        <f t="shared" si="1145"/>
        <v>0</v>
      </c>
      <c r="Z3670" s="5">
        <f t="shared" si="1146"/>
        <v>0</v>
      </c>
      <c r="AA3670" s="5">
        <f t="shared" si="1147"/>
        <v>0</v>
      </c>
      <c r="AB3670" s="5">
        <f t="shared" si="1137"/>
        <v>0</v>
      </c>
    </row>
    <row r="3671" spans="1:29" x14ac:dyDescent="0.25">
      <c r="D3671" t="s">
        <v>97</v>
      </c>
      <c r="E3671" s="14"/>
      <c r="F3671" s="14"/>
      <c r="G3671">
        <f>IFERROR(HLOOKUP(G$2,[110]table_female_hkom3_inj.ill_X8!$A$1:$K$36,29,FALSE),0)</f>
        <v>0</v>
      </c>
      <c r="H3671">
        <f>IFERROR(HLOOKUP(H$2,[110]table_female_hkom3_inj.ill_X8!$A$1:$K$36,29,FALSE),0)</f>
        <v>1</v>
      </c>
      <c r="I3671">
        <f>IFERROR(HLOOKUP(I$2,[110]table_female_hkom3_inj.ill_X8!$A$1:$K$36,29,FALSE),0)</f>
        <v>0</v>
      </c>
      <c r="J3671">
        <f>IFERROR(HLOOKUP(J$2,[110]table_female_hkom3_inj.ill_X8!$A$1:$K$36,29,FALSE),0)</f>
        <v>0</v>
      </c>
      <c r="K3671">
        <f>IFERROR(HLOOKUP(K$2,[110]table_female_hkom3_inj.ill_X8!$A$1:$K$36,29,FALSE),0)</f>
        <v>0</v>
      </c>
      <c r="L3671">
        <f>IFERROR(HLOOKUP(L$2,[110]table_female_hkom3_inj.ill_X8!$A$1:$K$36,29,FALSE),0)</f>
        <v>0</v>
      </c>
      <c r="M3671">
        <f t="shared" si="1139"/>
        <v>1</v>
      </c>
      <c r="S3671" t="s">
        <v>97</v>
      </c>
      <c r="T3671" s="5">
        <f t="shared" si="1140"/>
        <v>0</v>
      </c>
      <c r="U3671" s="5">
        <f t="shared" si="1141"/>
        <v>0</v>
      </c>
      <c r="V3671" s="5">
        <f t="shared" si="1142"/>
        <v>0</v>
      </c>
      <c r="W3671" s="5">
        <f t="shared" si="1143"/>
        <v>2.1428571428571428</v>
      </c>
      <c r="X3671" s="5">
        <f t="shared" si="1144"/>
        <v>0</v>
      </c>
      <c r="Y3671" s="5">
        <f t="shared" si="1145"/>
        <v>0</v>
      </c>
      <c r="Z3671" s="5">
        <f t="shared" si="1146"/>
        <v>0</v>
      </c>
      <c r="AA3671" s="5">
        <f t="shared" si="1147"/>
        <v>0</v>
      </c>
      <c r="AB3671" s="5">
        <f t="shared" si="1137"/>
        <v>2.1428571428571428</v>
      </c>
    </row>
    <row r="3672" spans="1:29" x14ac:dyDescent="0.25">
      <c r="D3672" t="s">
        <v>98</v>
      </c>
      <c r="E3672" s="14"/>
      <c r="F3672" s="14"/>
      <c r="G3672">
        <f>IFERROR(HLOOKUP(G$2,[110]table_female_hkom3_inj.ill_X8!$A$1:$K$36,30,FALSE),0)</f>
        <v>0</v>
      </c>
      <c r="H3672">
        <f>IFERROR(HLOOKUP(H$2,[110]table_female_hkom3_inj.ill_X8!$A$1:$K$36,30,FALSE),0)</f>
        <v>1</v>
      </c>
      <c r="I3672">
        <f>IFERROR(HLOOKUP(I$2,[110]table_female_hkom3_inj.ill_X8!$A$1:$K$36,30,FALSE),0)</f>
        <v>0</v>
      </c>
      <c r="J3672">
        <f>IFERROR(HLOOKUP(J$2,[110]table_female_hkom3_inj.ill_X8!$A$1:$K$36,30,FALSE),0)</f>
        <v>0</v>
      </c>
      <c r="K3672">
        <f>IFERROR(HLOOKUP(K$2,[110]table_female_hkom3_inj.ill_X8!$A$1:$K$36,30,FALSE),0)</f>
        <v>0</v>
      </c>
      <c r="L3672">
        <f>IFERROR(HLOOKUP(L$2,[110]table_female_hkom3_inj.ill_X8!$A$1:$K$36,30,FALSE),0)</f>
        <v>0</v>
      </c>
      <c r="M3672">
        <f t="shared" si="1139"/>
        <v>1</v>
      </c>
      <c r="S3672" t="s">
        <v>98</v>
      </c>
      <c r="T3672" s="5">
        <f t="shared" si="1140"/>
        <v>0</v>
      </c>
      <c r="U3672" s="5">
        <f t="shared" si="1141"/>
        <v>0</v>
      </c>
      <c r="V3672" s="5">
        <f t="shared" si="1142"/>
        <v>0</v>
      </c>
      <c r="W3672" s="5">
        <f t="shared" si="1143"/>
        <v>2.1428571428571428</v>
      </c>
      <c r="X3672" s="5">
        <f t="shared" si="1144"/>
        <v>0</v>
      </c>
      <c r="Y3672" s="5">
        <f t="shared" si="1145"/>
        <v>0</v>
      </c>
      <c r="Z3672" s="5">
        <f t="shared" si="1146"/>
        <v>0</v>
      </c>
      <c r="AA3672" s="5">
        <f t="shared" si="1147"/>
        <v>0</v>
      </c>
      <c r="AB3672" s="5">
        <f t="shared" si="1137"/>
        <v>2.1428571428571428</v>
      </c>
    </row>
    <row r="3673" spans="1:29" x14ac:dyDescent="0.25">
      <c r="D3673" t="s">
        <v>119</v>
      </c>
      <c r="E3673" s="14"/>
      <c r="F3673" s="14"/>
      <c r="G3673">
        <f>IFERROR(HLOOKUP(G$2,[110]table_female_hkom3_inj.ill_X8!$A$1:$K$36,31,FALSE),0)</f>
        <v>0</v>
      </c>
      <c r="H3673">
        <f>IFERROR(HLOOKUP(H$2,[110]table_female_hkom3_inj.ill_X8!$A$1:$K$36,31,FALSE),0)</f>
        <v>0</v>
      </c>
      <c r="I3673">
        <f>IFERROR(HLOOKUP(I$2,[110]table_female_hkom3_inj.ill_X8!$A$1:$K$36,31,FALSE),0)</f>
        <v>0</v>
      </c>
      <c r="J3673">
        <f>IFERROR(HLOOKUP(J$2,[110]table_female_hkom3_inj.ill_X8!$A$1:$K$36,31,FALSE),0)</f>
        <v>0</v>
      </c>
      <c r="K3673">
        <f>IFERROR(HLOOKUP(K$2,[110]table_female_hkom3_inj.ill_X8!$A$1:$K$36,31,FALSE),0)</f>
        <v>0</v>
      </c>
      <c r="L3673">
        <f>IFERROR(HLOOKUP(L$2,[110]table_female_hkom3_inj.ill_X8!$A$1:$K$36,31,FALSE),0)</f>
        <v>0</v>
      </c>
      <c r="M3673">
        <f t="shared" si="1139"/>
        <v>0</v>
      </c>
      <c r="S3673" t="s">
        <v>119</v>
      </c>
      <c r="T3673" s="5">
        <f t="shared" si="1140"/>
        <v>0</v>
      </c>
      <c r="U3673" s="5">
        <f t="shared" si="1141"/>
        <v>0</v>
      </c>
      <c r="V3673" s="5">
        <f t="shared" si="1142"/>
        <v>0</v>
      </c>
      <c r="W3673" s="5">
        <f t="shared" si="1143"/>
        <v>0</v>
      </c>
      <c r="X3673" s="5">
        <f t="shared" si="1144"/>
        <v>0</v>
      </c>
      <c r="Y3673" s="5">
        <f t="shared" si="1145"/>
        <v>0</v>
      </c>
      <c r="Z3673" s="5">
        <f t="shared" si="1146"/>
        <v>0</v>
      </c>
      <c r="AA3673" s="5">
        <f t="shared" si="1147"/>
        <v>0</v>
      </c>
      <c r="AB3673" s="5">
        <f t="shared" si="1137"/>
        <v>0</v>
      </c>
    </row>
    <row r="3674" spans="1:29" x14ac:dyDescent="0.25">
      <c r="D3674" t="s">
        <v>99</v>
      </c>
      <c r="E3674" s="14"/>
      <c r="F3674" s="14"/>
      <c r="G3674">
        <f>IFERROR(HLOOKUP(G$2,[110]table_female_hkom3_inj.ill_X8!$A$1:$K$36,32,FALSE),0)</f>
        <v>0</v>
      </c>
      <c r="H3674">
        <f>IFERROR(HLOOKUP(H$2,[110]table_female_hkom3_inj.ill_X8!$A$1:$K$36,32,FALSE),0)</f>
        <v>0</v>
      </c>
      <c r="I3674">
        <f>IFERROR(HLOOKUP(I$2,[110]table_female_hkom3_inj.ill_X8!$A$1:$K$36,32,FALSE),0)</f>
        <v>0</v>
      </c>
      <c r="J3674">
        <f>IFERROR(HLOOKUP(J$2,[110]table_female_hkom3_inj.ill_X8!$A$1:$K$36,32,FALSE),0)</f>
        <v>0</v>
      </c>
      <c r="K3674">
        <f>IFERROR(HLOOKUP(K$2,[110]table_female_hkom3_inj.ill_X8!$A$1:$K$36,32,FALSE),0)</f>
        <v>0</v>
      </c>
      <c r="L3674">
        <f>IFERROR(HLOOKUP(L$2,[110]table_female_hkom3_inj.ill_X8!$A$1:$K$36,32,FALSE),0)</f>
        <v>0</v>
      </c>
      <c r="M3674">
        <f t="shared" si="1139"/>
        <v>0</v>
      </c>
      <c r="S3674" t="s">
        <v>99</v>
      </c>
      <c r="T3674" s="5">
        <f t="shared" si="1140"/>
        <v>0</v>
      </c>
      <c r="U3674" s="5">
        <f t="shared" si="1141"/>
        <v>0</v>
      </c>
      <c r="V3674" s="5">
        <f t="shared" si="1142"/>
        <v>0</v>
      </c>
      <c r="W3674" s="5">
        <f t="shared" si="1143"/>
        <v>0</v>
      </c>
      <c r="X3674" s="5">
        <f t="shared" si="1144"/>
        <v>0</v>
      </c>
      <c r="Y3674" s="5">
        <f t="shared" si="1145"/>
        <v>0</v>
      </c>
      <c r="Z3674" s="5">
        <f t="shared" si="1146"/>
        <v>0</v>
      </c>
      <c r="AA3674" s="5">
        <f t="shared" si="1147"/>
        <v>0</v>
      </c>
      <c r="AB3674" s="5">
        <f t="shared" si="1137"/>
        <v>0</v>
      </c>
    </row>
    <row r="3675" spans="1:29" x14ac:dyDescent="0.25">
      <c r="D3675" t="s">
        <v>100</v>
      </c>
      <c r="E3675" s="14"/>
      <c r="F3675" s="14"/>
      <c r="G3675">
        <f>IFERROR(HLOOKUP(G$2,[110]table_female_hkom3_inj.ill_X8!$A$1:$K$36,33,FALSE),0)</f>
        <v>1</v>
      </c>
      <c r="H3675">
        <f>IFERROR(HLOOKUP(H$2,[110]table_female_hkom3_inj.ill_X8!$A$1:$K$36,33,FALSE),0)</f>
        <v>0</v>
      </c>
      <c r="I3675">
        <f>IFERROR(HLOOKUP(I$2,[110]table_female_hkom3_inj.ill_X8!$A$1:$K$36,33,FALSE),0)</f>
        <v>0</v>
      </c>
      <c r="J3675">
        <f>IFERROR(HLOOKUP(J$2,[110]table_female_hkom3_inj.ill_X8!$A$1:$K$36,33,FALSE),0)</f>
        <v>0</v>
      </c>
      <c r="K3675">
        <f>IFERROR(HLOOKUP(K$2,[110]table_female_hkom3_inj.ill_X8!$A$1:$K$36,33,FALSE),0)</f>
        <v>0</v>
      </c>
      <c r="L3675">
        <f>IFERROR(HLOOKUP(L$2,[110]table_female_hkom3_inj.ill_X8!$A$1:$K$36,33,FALSE),0)</f>
        <v>0</v>
      </c>
      <c r="M3675">
        <f t="shared" si="1139"/>
        <v>1</v>
      </c>
      <c r="S3675" t="s">
        <v>100</v>
      </c>
      <c r="T3675" s="5">
        <f t="shared" si="1140"/>
        <v>0</v>
      </c>
      <c r="U3675" s="5">
        <f t="shared" si="1141"/>
        <v>0</v>
      </c>
      <c r="V3675" s="5">
        <f t="shared" si="1142"/>
        <v>2.25</v>
      </c>
      <c r="W3675" s="5">
        <f t="shared" si="1143"/>
        <v>0</v>
      </c>
      <c r="X3675" s="5">
        <f t="shared" si="1144"/>
        <v>0</v>
      </c>
      <c r="Y3675" s="5">
        <f t="shared" si="1145"/>
        <v>0</v>
      </c>
      <c r="Z3675" s="5">
        <f t="shared" si="1146"/>
        <v>0</v>
      </c>
      <c r="AA3675" s="5">
        <f t="shared" si="1147"/>
        <v>0</v>
      </c>
      <c r="AB3675" s="5">
        <f t="shared" si="1137"/>
        <v>2.25</v>
      </c>
    </row>
    <row r="3676" spans="1:29" x14ac:dyDescent="0.25">
      <c r="D3676" t="s">
        <v>101</v>
      </c>
      <c r="E3676" s="14"/>
      <c r="F3676" s="14"/>
      <c r="G3676">
        <f>IFERROR(HLOOKUP(G$2,[110]table_female_hkom3_inj.ill_X8!$A$1:$K$36,34,FALSE),0)</f>
        <v>0</v>
      </c>
      <c r="H3676">
        <f>IFERROR(HLOOKUP(H$2,[110]table_female_hkom3_inj.ill_X8!$A$1:$K$36,34,FALSE),0)</f>
        <v>0</v>
      </c>
      <c r="I3676">
        <f>IFERROR(HLOOKUP(I$2,[110]table_female_hkom3_inj.ill_X8!$A$1:$K$36,34,FALSE),0)</f>
        <v>0</v>
      </c>
      <c r="J3676">
        <f>IFERROR(HLOOKUP(J$2,[110]table_female_hkom3_inj.ill_X8!$A$1:$K$36,34,FALSE),0)</f>
        <v>0</v>
      </c>
      <c r="K3676">
        <f>IFERROR(HLOOKUP(K$2,[110]table_female_hkom3_inj.ill_X8!$A$1:$K$36,34,FALSE),0)</f>
        <v>0</v>
      </c>
      <c r="L3676">
        <f>IFERROR(HLOOKUP(L$2,[110]table_female_hkom3_inj.ill_X8!$A$1:$K$36,34,FALSE),0)</f>
        <v>0</v>
      </c>
      <c r="M3676">
        <f t="shared" si="1139"/>
        <v>0</v>
      </c>
      <c r="S3676" t="s">
        <v>101</v>
      </c>
      <c r="T3676" s="5">
        <f t="shared" si="1140"/>
        <v>0</v>
      </c>
      <c r="U3676" s="5">
        <f t="shared" si="1141"/>
        <v>0</v>
      </c>
      <c r="V3676" s="5">
        <f t="shared" si="1142"/>
        <v>0</v>
      </c>
      <c r="W3676" s="5">
        <f t="shared" si="1143"/>
        <v>0</v>
      </c>
      <c r="X3676" s="5">
        <f t="shared" si="1144"/>
        <v>0</v>
      </c>
      <c r="Y3676" s="5">
        <f t="shared" si="1145"/>
        <v>0</v>
      </c>
      <c r="Z3676" s="5">
        <f t="shared" si="1146"/>
        <v>0</v>
      </c>
      <c r="AA3676" s="5">
        <f t="shared" si="1147"/>
        <v>0</v>
      </c>
      <c r="AB3676" s="5">
        <f t="shared" si="1137"/>
        <v>0</v>
      </c>
    </row>
    <row r="3677" spans="1:29" x14ac:dyDescent="0.25">
      <c r="D3677" t="s">
        <v>102</v>
      </c>
      <c r="E3677" s="14"/>
      <c r="F3677" s="14"/>
      <c r="G3677">
        <f>IFERROR(HLOOKUP(G$2,[110]table_female_hkom3_inj.ill_X8!$A$1:$K$36,35,FALSE),0)</f>
        <v>5</v>
      </c>
      <c r="H3677">
        <f>IFERROR(HLOOKUP(H$2,[110]table_female_hkom3_inj.ill_X8!$A$1:$K$36,35,FALSE),0)</f>
        <v>8</v>
      </c>
      <c r="I3677">
        <f>IFERROR(HLOOKUP(I$2,[110]table_female_hkom3_inj.ill_X8!$A$1:$K$36,35,FALSE),0)</f>
        <v>1</v>
      </c>
      <c r="J3677">
        <f>IFERROR(HLOOKUP(J$2,[110]table_female_hkom3_inj.ill_X8!$A$1:$K$36,35,FALSE),0)</f>
        <v>0</v>
      </c>
      <c r="K3677">
        <f>IFERROR(HLOOKUP(K$2,[110]table_female_hkom3_inj.ill_X8!$A$1:$K$36,35,FALSE),0)</f>
        <v>0</v>
      </c>
      <c r="L3677">
        <f>IFERROR(HLOOKUP(L$2,[110]table_female_hkom3_inj.ill_X8!$A$1:$K$36,35,FALSE),0)</f>
        <v>0</v>
      </c>
      <c r="M3677">
        <f t="shared" si="1139"/>
        <v>14</v>
      </c>
      <c r="N3677">
        <f>SUM(M3644:M3677)</f>
        <v>29</v>
      </c>
      <c r="O3677" s="8">
        <f>SUM([110]table_female_hkom3_inj.ill_X8!$B$2:$L$37)</f>
        <v>29</v>
      </c>
      <c r="S3677" t="s">
        <v>102</v>
      </c>
      <c r="T3677" s="7"/>
      <c r="U3677" s="7"/>
      <c r="V3677" s="7"/>
      <c r="W3677" s="7"/>
      <c r="X3677" s="7"/>
      <c r="Y3677" s="7"/>
      <c r="Z3677" s="7"/>
      <c r="AA3677" s="7"/>
      <c r="AB3677" s="5">
        <f t="shared" si="1137"/>
        <v>0</v>
      </c>
      <c r="AC3677" s="5">
        <f>SUM(AB3644:AB3676)</f>
        <v>28.999999999999996</v>
      </c>
    </row>
    <row r="3678" spans="1:29" s="14" customFormat="1" x14ac:dyDescent="0.25">
      <c r="A3678" s="14" t="s">
        <v>104</v>
      </c>
      <c r="B3678" s="14" t="s">
        <v>103</v>
      </c>
      <c r="C3678" s="14" t="s">
        <v>243</v>
      </c>
      <c r="D3678" s="14" t="s">
        <v>70</v>
      </c>
      <c r="G3678">
        <f>IFERROR(HLOOKUP(G$2,[111]table_male_hkom1_inj.ill_X1!$A$1:$K$36,2,FALSE),0)</f>
        <v>0</v>
      </c>
      <c r="H3678">
        <f>IFERROR(HLOOKUP(H$2,[111]table_male_hkom1_inj.ill_X1!$A$1:$K$36,2,FALSE),0)</f>
        <v>0</v>
      </c>
      <c r="I3678">
        <f>IFERROR(HLOOKUP(I$2,[111]table_male_hkom1_inj.ill_X1!$A$1:$K$36,2,FALSE),0)</f>
        <v>1</v>
      </c>
      <c r="J3678">
        <f>IFERROR(HLOOKUP(J$2,[111]table_male_hkom1_inj.ill_X1!$A$1:$K$36,2,FALSE),0)</f>
        <v>0</v>
      </c>
      <c r="K3678">
        <f>IFERROR(HLOOKUP(K$2,[111]table_male_hkom1_inj.ill_X1!$A$1:$K$36,2,FALSE),0)</f>
        <v>0</v>
      </c>
      <c r="L3678">
        <f>IFERROR(HLOOKUP(L$2,[111]table_male_hkom1_inj.ill_X1!$A$1:$K$36,2,FALSE),0)</f>
        <v>0</v>
      </c>
      <c r="M3678">
        <f>SUM(E3678:L3678)</f>
        <v>1</v>
      </c>
      <c r="N3678"/>
      <c r="O3678"/>
      <c r="P3678" s="14" t="s">
        <v>104</v>
      </c>
      <c r="Q3678" s="14" t="s">
        <v>103</v>
      </c>
      <c r="R3678" s="14" t="s">
        <v>243</v>
      </c>
      <c r="S3678" s="14" t="s">
        <v>70</v>
      </c>
      <c r="T3678" s="65">
        <f>IF(SUM(E$3678:E$3710)=0,E$3711/33,E3678+IFERROR(E3678/SUM(E$3678:E$3710)*E$3711,0))</f>
        <v>0</v>
      </c>
      <c r="U3678" s="65">
        <f t="shared" ref="U3678:AA3693" si="1148">IF(SUM(F$3678:F$3710)=0,F$3711/33,F3678+IFERROR(F3678/SUM(F$3678:F$3710)*F$3711,0))</f>
        <v>0</v>
      </c>
      <c r="V3678" s="65">
        <f t="shared" si="1148"/>
        <v>0</v>
      </c>
      <c r="W3678" s="65">
        <f t="shared" si="1148"/>
        <v>0</v>
      </c>
      <c r="X3678" s="65">
        <f t="shared" si="1148"/>
        <v>3.1666666666666665</v>
      </c>
      <c r="Y3678" s="65">
        <f t="shared" si="1148"/>
        <v>0</v>
      </c>
      <c r="Z3678" s="65">
        <f t="shared" si="1148"/>
        <v>3.0303030303030304E-2</v>
      </c>
      <c r="AA3678" s="65">
        <f t="shared" si="1148"/>
        <v>3.0303030303030304E-2</v>
      </c>
      <c r="AB3678" s="65">
        <f t="shared" ref="AB3678:AB3741" si="1149">SUM(T3678:AA3678)</f>
        <v>3.2272727272727271</v>
      </c>
    </row>
    <row r="3679" spans="1:29" s="14" customFormat="1" x14ac:dyDescent="0.25">
      <c r="D3679" s="14" t="s">
        <v>71</v>
      </c>
      <c r="G3679">
        <f>IFERROR(HLOOKUP(G$2,[111]table_male_hkom1_inj.ill_X1!$A$1:$K$36,3,FALSE),0)</f>
        <v>3</v>
      </c>
      <c r="H3679">
        <f>IFERROR(HLOOKUP(H$2,[111]table_male_hkom1_inj.ill_X1!$A$1:$K$36,3,FALSE),0)</f>
        <v>4</v>
      </c>
      <c r="I3679">
        <f>IFERROR(HLOOKUP(I$2,[111]table_male_hkom1_inj.ill_X1!$A$1:$K$36,3,FALSE),0)</f>
        <v>1</v>
      </c>
      <c r="J3679">
        <f>IFERROR(HLOOKUP(J$2,[111]table_male_hkom1_inj.ill_X1!$A$1:$K$36,3,FALSE),0)</f>
        <v>0</v>
      </c>
      <c r="K3679">
        <f>IFERROR(HLOOKUP(K$2,[111]table_male_hkom1_inj.ill_X1!$A$1:$K$36,3,FALSE),0)</f>
        <v>0</v>
      </c>
      <c r="L3679">
        <f>IFERROR(HLOOKUP(L$2,[111]table_male_hkom1_inj.ill_X1!$A$1:$K$36,3,FALSE),0)</f>
        <v>0</v>
      </c>
      <c r="M3679">
        <f t="shared" ref="M3679:M3711" si="1150">SUM(E3679:L3679)</f>
        <v>8</v>
      </c>
      <c r="N3679"/>
      <c r="O3679"/>
      <c r="S3679" s="14" t="s">
        <v>71</v>
      </c>
      <c r="T3679" s="65">
        <f t="shared" ref="T3679:T3710" si="1151">IF(SUM(E$3678:E$3710)=0,E$3711/33,E3679+IFERROR(E3679/SUM(E$3678:E$3710)*E$3711,0))</f>
        <v>0</v>
      </c>
      <c r="U3679" s="65">
        <f t="shared" si="1148"/>
        <v>0</v>
      </c>
      <c r="V3679" s="65">
        <f t="shared" si="1148"/>
        <v>7.161290322580645</v>
      </c>
      <c r="W3679" s="65">
        <f t="shared" si="1148"/>
        <v>9.125</v>
      </c>
      <c r="X3679" s="65">
        <f t="shared" si="1148"/>
        <v>3.1666666666666665</v>
      </c>
      <c r="Y3679" s="65">
        <f t="shared" si="1148"/>
        <v>0</v>
      </c>
      <c r="Z3679" s="65">
        <f t="shared" si="1148"/>
        <v>3.0303030303030304E-2</v>
      </c>
      <c r="AA3679" s="65">
        <f t="shared" si="1148"/>
        <v>3.0303030303030304E-2</v>
      </c>
      <c r="AB3679" s="65">
        <f t="shared" si="1149"/>
        <v>19.513563049853374</v>
      </c>
    </row>
    <row r="3680" spans="1:29" s="14" customFormat="1" x14ac:dyDescent="0.25">
      <c r="D3680" s="14" t="s">
        <v>72</v>
      </c>
      <c r="G3680">
        <f>IFERROR(HLOOKUP(G$2,[111]table_male_hkom1_inj.ill_X1!$A$1:$K$36,4,FALSE),0)</f>
        <v>0</v>
      </c>
      <c r="H3680">
        <f>IFERROR(HLOOKUP(H$2,[111]table_male_hkom1_inj.ill_X1!$A$1:$K$36,4,FALSE),0)</f>
        <v>3</v>
      </c>
      <c r="I3680">
        <f>IFERROR(HLOOKUP(I$2,[111]table_male_hkom1_inj.ill_X1!$A$1:$K$36,4,FALSE),0)</f>
        <v>0</v>
      </c>
      <c r="J3680">
        <f>IFERROR(HLOOKUP(J$2,[111]table_male_hkom1_inj.ill_X1!$A$1:$K$36,4,FALSE),0)</f>
        <v>0</v>
      </c>
      <c r="K3680">
        <f>IFERROR(HLOOKUP(K$2,[111]table_male_hkom1_inj.ill_X1!$A$1:$K$36,4,FALSE),0)</f>
        <v>0</v>
      </c>
      <c r="L3680">
        <f>IFERROR(HLOOKUP(L$2,[111]table_male_hkom1_inj.ill_X1!$A$1:$K$36,4,FALSE),0)</f>
        <v>0</v>
      </c>
      <c r="M3680">
        <f t="shared" si="1150"/>
        <v>3</v>
      </c>
      <c r="N3680"/>
      <c r="O3680"/>
      <c r="S3680" s="14" t="s">
        <v>72</v>
      </c>
      <c r="T3680" s="65">
        <f t="shared" si="1151"/>
        <v>0</v>
      </c>
      <c r="U3680" s="65">
        <f t="shared" si="1148"/>
        <v>0</v>
      </c>
      <c r="V3680" s="65">
        <f t="shared" si="1148"/>
        <v>0</v>
      </c>
      <c r="W3680" s="65">
        <f t="shared" si="1148"/>
        <v>6.84375</v>
      </c>
      <c r="X3680" s="65">
        <f t="shared" si="1148"/>
        <v>0</v>
      </c>
      <c r="Y3680" s="65">
        <f t="shared" si="1148"/>
        <v>0</v>
      </c>
      <c r="Z3680" s="65">
        <f t="shared" si="1148"/>
        <v>3.0303030303030304E-2</v>
      </c>
      <c r="AA3680" s="65">
        <f t="shared" si="1148"/>
        <v>3.0303030303030304E-2</v>
      </c>
      <c r="AB3680" s="65">
        <f t="shared" si="1149"/>
        <v>6.9043560606060606</v>
      </c>
    </row>
    <row r="3681" spans="4:28" s="14" customFormat="1" x14ac:dyDescent="0.25">
      <c r="D3681" s="14" t="s">
        <v>73</v>
      </c>
      <c r="G3681">
        <f>IFERROR(HLOOKUP(G$2,[111]table_male_hkom1_inj.ill_X1!$A$1:$K$36,5,FALSE),0)</f>
        <v>3</v>
      </c>
      <c r="H3681">
        <f>IFERROR(HLOOKUP(H$2,[111]table_male_hkom1_inj.ill_X1!$A$1:$K$36,5,FALSE),0)</f>
        <v>3</v>
      </c>
      <c r="I3681">
        <f>IFERROR(HLOOKUP(I$2,[111]table_male_hkom1_inj.ill_X1!$A$1:$K$36,5,FALSE),0)</f>
        <v>3</v>
      </c>
      <c r="J3681">
        <f>IFERROR(HLOOKUP(J$2,[111]table_male_hkom1_inj.ill_X1!$A$1:$K$36,5,FALSE),0)</f>
        <v>0</v>
      </c>
      <c r="K3681">
        <f>IFERROR(HLOOKUP(K$2,[111]table_male_hkom1_inj.ill_X1!$A$1:$K$36,5,FALSE),0)</f>
        <v>0</v>
      </c>
      <c r="L3681">
        <f>IFERROR(HLOOKUP(L$2,[111]table_male_hkom1_inj.ill_X1!$A$1:$K$36,5,FALSE),0)</f>
        <v>0</v>
      </c>
      <c r="M3681">
        <f t="shared" si="1150"/>
        <v>9</v>
      </c>
      <c r="N3681"/>
      <c r="O3681"/>
      <c r="S3681" s="14" t="s">
        <v>73</v>
      </c>
      <c r="T3681" s="65">
        <f t="shared" si="1151"/>
        <v>0</v>
      </c>
      <c r="U3681" s="65">
        <f t="shared" si="1148"/>
        <v>0</v>
      </c>
      <c r="V3681" s="65">
        <f t="shared" si="1148"/>
        <v>7.161290322580645</v>
      </c>
      <c r="W3681" s="65">
        <f t="shared" si="1148"/>
        <v>6.84375</v>
      </c>
      <c r="X3681" s="65">
        <f t="shared" si="1148"/>
        <v>9.5</v>
      </c>
      <c r="Y3681" s="65">
        <f t="shared" si="1148"/>
        <v>0</v>
      </c>
      <c r="Z3681" s="65">
        <f t="shared" si="1148"/>
        <v>3.0303030303030304E-2</v>
      </c>
      <c r="AA3681" s="65">
        <f t="shared" si="1148"/>
        <v>3.0303030303030304E-2</v>
      </c>
      <c r="AB3681" s="65">
        <f t="shared" si="1149"/>
        <v>23.565646383186706</v>
      </c>
    </row>
    <row r="3682" spans="4:28" s="14" customFormat="1" x14ac:dyDescent="0.25">
      <c r="D3682" s="14" t="s">
        <v>74</v>
      </c>
      <c r="G3682">
        <f>IFERROR(HLOOKUP(G$2,[111]table_male_hkom1_inj.ill_X1!$A$1:$K$36,6,FALSE),0)</f>
        <v>0</v>
      </c>
      <c r="H3682">
        <f>IFERROR(HLOOKUP(H$2,[111]table_male_hkom1_inj.ill_X1!$A$1:$K$36,6,FALSE),0)</f>
        <v>4</v>
      </c>
      <c r="I3682">
        <f>IFERROR(HLOOKUP(I$2,[111]table_male_hkom1_inj.ill_X1!$A$1:$K$36,6,FALSE),0)</f>
        <v>0</v>
      </c>
      <c r="J3682">
        <f>IFERROR(HLOOKUP(J$2,[111]table_male_hkom1_inj.ill_X1!$A$1:$K$36,6,FALSE),0)</f>
        <v>0</v>
      </c>
      <c r="K3682">
        <f>IFERROR(HLOOKUP(K$2,[111]table_male_hkom1_inj.ill_X1!$A$1:$K$36,6,FALSE),0)</f>
        <v>0</v>
      </c>
      <c r="L3682">
        <f>IFERROR(HLOOKUP(L$2,[111]table_male_hkom1_inj.ill_X1!$A$1:$K$36,6,FALSE),0)</f>
        <v>0</v>
      </c>
      <c r="M3682">
        <f t="shared" si="1150"/>
        <v>4</v>
      </c>
      <c r="N3682"/>
      <c r="O3682"/>
      <c r="S3682" s="14" t="s">
        <v>74</v>
      </c>
      <c r="T3682" s="65">
        <f t="shared" si="1151"/>
        <v>0</v>
      </c>
      <c r="U3682" s="65">
        <f t="shared" si="1148"/>
        <v>0</v>
      </c>
      <c r="V3682" s="65">
        <f t="shared" si="1148"/>
        <v>0</v>
      </c>
      <c r="W3682" s="65">
        <f t="shared" si="1148"/>
        <v>9.125</v>
      </c>
      <c r="X3682" s="65">
        <f t="shared" si="1148"/>
        <v>0</v>
      </c>
      <c r="Y3682" s="65">
        <f t="shared" si="1148"/>
        <v>0</v>
      </c>
      <c r="Z3682" s="65">
        <f t="shared" si="1148"/>
        <v>3.0303030303030304E-2</v>
      </c>
      <c r="AA3682" s="65">
        <f t="shared" si="1148"/>
        <v>3.0303030303030304E-2</v>
      </c>
      <c r="AB3682" s="65">
        <f t="shared" si="1149"/>
        <v>9.1856060606060623</v>
      </c>
    </row>
    <row r="3683" spans="4:28" s="14" customFormat="1" x14ac:dyDescent="0.25">
      <c r="D3683" s="14" t="s">
        <v>75</v>
      </c>
      <c r="G3683">
        <f>IFERROR(HLOOKUP(G$2,[111]table_male_hkom1_inj.ill_X1!$A$1:$K$36,7,FALSE),0)</f>
        <v>1</v>
      </c>
      <c r="H3683">
        <f>IFERROR(HLOOKUP(H$2,[111]table_male_hkom1_inj.ill_X1!$A$1:$K$36,7,FALSE),0)</f>
        <v>0</v>
      </c>
      <c r="I3683">
        <f>IFERROR(HLOOKUP(I$2,[111]table_male_hkom1_inj.ill_X1!$A$1:$K$36,7,FALSE),0)</f>
        <v>0</v>
      </c>
      <c r="J3683">
        <f>IFERROR(HLOOKUP(J$2,[111]table_male_hkom1_inj.ill_X1!$A$1:$K$36,7,FALSE),0)</f>
        <v>0</v>
      </c>
      <c r="K3683">
        <f>IFERROR(HLOOKUP(K$2,[111]table_male_hkom1_inj.ill_X1!$A$1:$K$36,7,FALSE),0)</f>
        <v>0</v>
      </c>
      <c r="L3683">
        <f>IFERROR(HLOOKUP(L$2,[111]table_male_hkom1_inj.ill_X1!$A$1:$K$36,7,FALSE),0)</f>
        <v>0</v>
      </c>
      <c r="M3683">
        <f t="shared" si="1150"/>
        <v>1</v>
      </c>
      <c r="N3683"/>
      <c r="O3683"/>
      <c r="S3683" s="14" t="s">
        <v>75</v>
      </c>
      <c r="T3683" s="65">
        <f t="shared" si="1151"/>
        <v>0</v>
      </c>
      <c r="U3683" s="65">
        <f t="shared" si="1148"/>
        <v>0</v>
      </c>
      <c r="V3683" s="65">
        <f t="shared" si="1148"/>
        <v>2.387096774193548</v>
      </c>
      <c r="W3683" s="65">
        <f t="shared" si="1148"/>
        <v>0</v>
      </c>
      <c r="X3683" s="65">
        <f t="shared" si="1148"/>
        <v>0</v>
      </c>
      <c r="Y3683" s="65">
        <f t="shared" si="1148"/>
        <v>0</v>
      </c>
      <c r="Z3683" s="65">
        <f t="shared" si="1148"/>
        <v>3.0303030303030304E-2</v>
      </c>
      <c r="AA3683" s="65">
        <f t="shared" si="1148"/>
        <v>3.0303030303030304E-2</v>
      </c>
      <c r="AB3683" s="65">
        <f t="shared" si="1149"/>
        <v>2.4477028347996086</v>
      </c>
    </row>
    <row r="3684" spans="4:28" s="14" customFormat="1" x14ac:dyDescent="0.25">
      <c r="D3684" s="14" t="s">
        <v>76</v>
      </c>
      <c r="G3684">
        <f>IFERROR(HLOOKUP(G$2,[111]table_male_hkom1_inj.ill_X1!$A$1:$K$36,8,FALSE),0)</f>
        <v>4</v>
      </c>
      <c r="H3684">
        <f>IFERROR(HLOOKUP(H$2,[111]table_male_hkom1_inj.ill_X1!$A$1:$K$36,8,FALSE),0)</f>
        <v>1</v>
      </c>
      <c r="I3684">
        <f>IFERROR(HLOOKUP(I$2,[111]table_male_hkom1_inj.ill_X1!$A$1:$K$36,8,FALSE),0)</f>
        <v>2</v>
      </c>
      <c r="J3684">
        <f>IFERROR(HLOOKUP(J$2,[111]table_male_hkom1_inj.ill_X1!$A$1:$K$36,8,FALSE),0)</f>
        <v>0</v>
      </c>
      <c r="K3684">
        <f>IFERROR(HLOOKUP(K$2,[111]table_male_hkom1_inj.ill_X1!$A$1:$K$36,8,FALSE),0)</f>
        <v>0</v>
      </c>
      <c r="L3684">
        <f>IFERROR(HLOOKUP(L$2,[111]table_male_hkom1_inj.ill_X1!$A$1:$K$36,8,FALSE),0)</f>
        <v>0</v>
      </c>
      <c r="M3684">
        <f t="shared" si="1150"/>
        <v>7</v>
      </c>
      <c r="N3684"/>
      <c r="O3684"/>
      <c r="S3684" s="14" t="s">
        <v>76</v>
      </c>
      <c r="T3684" s="65">
        <f t="shared" si="1151"/>
        <v>0</v>
      </c>
      <c r="U3684" s="65">
        <f t="shared" si="1148"/>
        <v>0</v>
      </c>
      <c r="V3684" s="65">
        <f t="shared" si="1148"/>
        <v>9.5483870967741922</v>
      </c>
      <c r="W3684" s="65">
        <f t="shared" si="1148"/>
        <v>2.28125</v>
      </c>
      <c r="X3684" s="65">
        <f t="shared" si="1148"/>
        <v>6.333333333333333</v>
      </c>
      <c r="Y3684" s="65">
        <f t="shared" si="1148"/>
        <v>0</v>
      </c>
      <c r="Z3684" s="65">
        <f t="shared" si="1148"/>
        <v>3.0303030303030304E-2</v>
      </c>
      <c r="AA3684" s="65">
        <f t="shared" si="1148"/>
        <v>3.0303030303030304E-2</v>
      </c>
      <c r="AB3684" s="65">
        <f t="shared" si="1149"/>
        <v>18.223576490713587</v>
      </c>
    </row>
    <row r="3685" spans="4:28" s="14" customFormat="1" x14ac:dyDescent="0.25">
      <c r="D3685" s="14" t="s">
        <v>77</v>
      </c>
      <c r="G3685">
        <f>IFERROR(HLOOKUP(G$2,[111]table_male_hkom1_inj.ill_X1!$A$1:$K$36,9,FALSE),0)</f>
        <v>1</v>
      </c>
      <c r="H3685">
        <f>IFERROR(HLOOKUP(H$2,[111]table_male_hkom1_inj.ill_X1!$A$1:$K$36,9,FALSE),0)</f>
        <v>1</v>
      </c>
      <c r="I3685">
        <f>IFERROR(HLOOKUP(I$2,[111]table_male_hkom1_inj.ill_X1!$A$1:$K$36,9,FALSE),0)</f>
        <v>0</v>
      </c>
      <c r="J3685">
        <f>IFERROR(HLOOKUP(J$2,[111]table_male_hkom1_inj.ill_X1!$A$1:$K$36,9,FALSE),0)</f>
        <v>0</v>
      </c>
      <c r="K3685">
        <f>IFERROR(HLOOKUP(K$2,[111]table_male_hkom1_inj.ill_X1!$A$1:$K$36,9,FALSE),0)</f>
        <v>0</v>
      </c>
      <c r="L3685">
        <f>IFERROR(HLOOKUP(L$2,[111]table_male_hkom1_inj.ill_X1!$A$1:$K$36,9,FALSE),0)</f>
        <v>0</v>
      </c>
      <c r="M3685">
        <f t="shared" si="1150"/>
        <v>2</v>
      </c>
      <c r="N3685"/>
      <c r="O3685"/>
      <c r="S3685" s="14" t="s">
        <v>77</v>
      </c>
      <c r="T3685" s="65">
        <f t="shared" si="1151"/>
        <v>0</v>
      </c>
      <c r="U3685" s="65">
        <f t="shared" si="1148"/>
        <v>0</v>
      </c>
      <c r="V3685" s="65">
        <f t="shared" si="1148"/>
        <v>2.387096774193548</v>
      </c>
      <c r="W3685" s="65">
        <f t="shared" si="1148"/>
        <v>2.28125</v>
      </c>
      <c r="X3685" s="65">
        <f t="shared" si="1148"/>
        <v>0</v>
      </c>
      <c r="Y3685" s="65">
        <f t="shared" si="1148"/>
        <v>0</v>
      </c>
      <c r="Z3685" s="65">
        <f t="shared" si="1148"/>
        <v>3.0303030303030304E-2</v>
      </c>
      <c r="AA3685" s="65">
        <f t="shared" si="1148"/>
        <v>3.0303030303030304E-2</v>
      </c>
      <c r="AB3685" s="65">
        <f t="shared" si="1149"/>
        <v>4.7289528347996086</v>
      </c>
    </row>
    <row r="3686" spans="4:28" s="14" customFormat="1" x14ac:dyDescent="0.25">
      <c r="D3686" s="14" t="s">
        <v>78</v>
      </c>
      <c r="G3686">
        <f>IFERROR(HLOOKUP(G$2,[111]table_male_hkom1_inj.ill_X1!$A$1:$K$36,10,FALSE),0)</f>
        <v>0</v>
      </c>
      <c r="H3686">
        <f>IFERROR(HLOOKUP(H$2,[111]table_male_hkom1_inj.ill_X1!$A$1:$K$36,10,FALSE),0)</f>
        <v>1</v>
      </c>
      <c r="I3686">
        <f>IFERROR(HLOOKUP(I$2,[111]table_male_hkom1_inj.ill_X1!$A$1:$K$36,10,FALSE),0)</f>
        <v>0</v>
      </c>
      <c r="J3686">
        <f>IFERROR(HLOOKUP(J$2,[111]table_male_hkom1_inj.ill_X1!$A$1:$K$36,10,FALSE),0)</f>
        <v>0</v>
      </c>
      <c r="K3686">
        <f>IFERROR(HLOOKUP(K$2,[111]table_male_hkom1_inj.ill_X1!$A$1:$K$36,10,FALSE),0)</f>
        <v>0</v>
      </c>
      <c r="L3686">
        <f>IFERROR(HLOOKUP(L$2,[111]table_male_hkom1_inj.ill_X1!$A$1:$K$36,10,FALSE),0)</f>
        <v>0</v>
      </c>
      <c r="M3686">
        <f t="shared" si="1150"/>
        <v>1</v>
      </c>
      <c r="N3686"/>
      <c r="O3686"/>
      <c r="S3686" s="14" t="s">
        <v>78</v>
      </c>
      <c r="T3686" s="65">
        <f t="shared" si="1151"/>
        <v>0</v>
      </c>
      <c r="U3686" s="65">
        <f t="shared" si="1148"/>
        <v>0</v>
      </c>
      <c r="V3686" s="65">
        <f t="shared" si="1148"/>
        <v>0</v>
      </c>
      <c r="W3686" s="65">
        <f t="shared" si="1148"/>
        <v>2.28125</v>
      </c>
      <c r="X3686" s="65">
        <f t="shared" si="1148"/>
        <v>0</v>
      </c>
      <c r="Y3686" s="65">
        <f t="shared" si="1148"/>
        <v>0</v>
      </c>
      <c r="Z3686" s="65">
        <f t="shared" si="1148"/>
        <v>3.0303030303030304E-2</v>
      </c>
      <c r="AA3686" s="65">
        <f t="shared" si="1148"/>
        <v>3.0303030303030304E-2</v>
      </c>
      <c r="AB3686" s="65">
        <f t="shared" si="1149"/>
        <v>2.3418560606060606</v>
      </c>
    </row>
    <row r="3687" spans="4:28" s="14" customFormat="1" x14ac:dyDescent="0.25">
      <c r="D3687" s="14" t="s">
        <v>79</v>
      </c>
      <c r="G3687">
        <f>IFERROR(HLOOKUP(G$2,[111]table_male_hkom1_inj.ill_X1!$A$1:$K$36,11,FALSE),0)</f>
        <v>0</v>
      </c>
      <c r="H3687">
        <f>IFERROR(HLOOKUP(H$2,[111]table_male_hkom1_inj.ill_X1!$A$1:$K$36,11,FALSE),0)</f>
        <v>4</v>
      </c>
      <c r="I3687">
        <f>IFERROR(HLOOKUP(I$2,[111]table_male_hkom1_inj.ill_X1!$A$1:$K$36,11,FALSE),0)</f>
        <v>1</v>
      </c>
      <c r="J3687">
        <f>IFERROR(HLOOKUP(J$2,[111]table_male_hkom1_inj.ill_X1!$A$1:$K$36,11,FALSE),0)</f>
        <v>1</v>
      </c>
      <c r="K3687">
        <f>IFERROR(HLOOKUP(K$2,[111]table_male_hkom1_inj.ill_X1!$A$1:$K$36,11,FALSE),0)</f>
        <v>0</v>
      </c>
      <c r="L3687">
        <f>IFERROR(HLOOKUP(L$2,[111]table_male_hkom1_inj.ill_X1!$A$1:$K$36,11,FALSE),0)</f>
        <v>0</v>
      </c>
      <c r="M3687">
        <f t="shared" si="1150"/>
        <v>6</v>
      </c>
      <c r="N3687"/>
      <c r="O3687"/>
      <c r="S3687" s="14" t="s">
        <v>79</v>
      </c>
      <c r="T3687" s="65">
        <f t="shared" si="1151"/>
        <v>0</v>
      </c>
      <c r="U3687" s="65">
        <f t="shared" si="1148"/>
        <v>0</v>
      </c>
      <c r="V3687" s="65">
        <f t="shared" si="1148"/>
        <v>0</v>
      </c>
      <c r="W3687" s="65">
        <f t="shared" si="1148"/>
        <v>9.125</v>
      </c>
      <c r="X3687" s="65">
        <f t="shared" si="1148"/>
        <v>3.1666666666666665</v>
      </c>
      <c r="Y3687" s="65">
        <f t="shared" si="1148"/>
        <v>4</v>
      </c>
      <c r="Z3687" s="65">
        <f t="shared" si="1148"/>
        <v>3.0303030303030304E-2</v>
      </c>
      <c r="AA3687" s="65">
        <f t="shared" si="1148"/>
        <v>3.0303030303030304E-2</v>
      </c>
      <c r="AB3687" s="65">
        <f t="shared" si="1149"/>
        <v>16.352272727272727</v>
      </c>
    </row>
    <row r="3688" spans="4:28" s="14" customFormat="1" x14ac:dyDescent="0.25">
      <c r="D3688" s="14" t="s">
        <v>80</v>
      </c>
      <c r="G3688">
        <f>IFERROR(HLOOKUP(G$2,[111]table_male_hkom1_inj.ill_X1!$A$1:$K$36,12,FALSE),0)</f>
        <v>0</v>
      </c>
      <c r="H3688">
        <f>IFERROR(HLOOKUP(H$2,[111]table_male_hkom1_inj.ill_X1!$A$1:$K$36,12,FALSE),0)</f>
        <v>2</v>
      </c>
      <c r="I3688">
        <f>IFERROR(HLOOKUP(I$2,[111]table_male_hkom1_inj.ill_X1!$A$1:$K$36,12,FALSE),0)</f>
        <v>1</v>
      </c>
      <c r="J3688">
        <f>IFERROR(HLOOKUP(J$2,[111]table_male_hkom1_inj.ill_X1!$A$1:$K$36,12,FALSE),0)</f>
        <v>0</v>
      </c>
      <c r="K3688">
        <f>IFERROR(HLOOKUP(K$2,[111]table_male_hkom1_inj.ill_X1!$A$1:$K$36,12,FALSE),0)</f>
        <v>0</v>
      </c>
      <c r="L3688">
        <f>IFERROR(HLOOKUP(L$2,[111]table_male_hkom1_inj.ill_X1!$A$1:$K$36,12,FALSE),0)</f>
        <v>0</v>
      </c>
      <c r="M3688">
        <f t="shared" si="1150"/>
        <v>3</v>
      </c>
      <c r="N3688"/>
      <c r="O3688"/>
      <c r="S3688" s="14" t="s">
        <v>80</v>
      </c>
      <c r="T3688" s="65">
        <f t="shared" si="1151"/>
        <v>0</v>
      </c>
      <c r="U3688" s="65">
        <f t="shared" si="1148"/>
        <v>0</v>
      </c>
      <c r="V3688" s="65">
        <f t="shared" si="1148"/>
        <v>0</v>
      </c>
      <c r="W3688" s="65">
        <f t="shared" si="1148"/>
        <v>4.5625</v>
      </c>
      <c r="X3688" s="65">
        <f t="shared" si="1148"/>
        <v>3.1666666666666665</v>
      </c>
      <c r="Y3688" s="65">
        <f t="shared" si="1148"/>
        <v>0</v>
      </c>
      <c r="Z3688" s="65">
        <f t="shared" si="1148"/>
        <v>3.0303030303030304E-2</v>
      </c>
      <c r="AA3688" s="65">
        <f t="shared" si="1148"/>
        <v>3.0303030303030304E-2</v>
      </c>
      <c r="AB3688" s="65">
        <f t="shared" si="1149"/>
        <v>7.7897727272727266</v>
      </c>
    </row>
    <row r="3689" spans="4:28" s="14" customFormat="1" x14ac:dyDescent="0.25">
      <c r="D3689" s="14" t="s">
        <v>81</v>
      </c>
      <c r="G3689">
        <f>IFERROR(HLOOKUP(G$2,[111]table_male_hkom1_inj.ill_X1!$A$1:$K$36,13,FALSE),0)</f>
        <v>0</v>
      </c>
      <c r="H3689">
        <f>IFERROR(HLOOKUP(H$2,[111]table_male_hkom1_inj.ill_X1!$A$1:$K$36,13,FALSE),0)</f>
        <v>1</v>
      </c>
      <c r="I3689">
        <f>IFERROR(HLOOKUP(I$2,[111]table_male_hkom1_inj.ill_X1!$A$1:$K$36,13,FALSE),0)</f>
        <v>0</v>
      </c>
      <c r="J3689">
        <f>IFERROR(HLOOKUP(J$2,[111]table_male_hkom1_inj.ill_X1!$A$1:$K$36,13,FALSE),0)</f>
        <v>0</v>
      </c>
      <c r="K3689">
        <f>IFERROR(HLOOKUP(K$2,[111]table_male_hkom1_inj.ill_X1!$A$1:$K$36,13,FALSE),0)</f>
        <v>0</v>
      </c>
      <c r="L3689">
        <f>IFERROR(HLOOKUP(L$2,[111]table_male_hkom1_inj.ill_X1!$A$1:$K$36,13,FALSE),0)</f>
        <v>0</v>
      </c>
      <c r="M3689">
        <f t="shared" si="1150"/>
        <v>1</v>
      </c>
      <c r="N3689"/>
      <c r="O3689"/>
      <c r="S3689" s="14" t="s">
        <v>81</v>
      </c>
      <c r="T3689" s="65">
        <f t="shared" si="1151"/>
        <v>0</v>
      </c>
      <c r="U3689" s="65">
        <f t="shared" si="1148"/>
        <v>0</v>
      </c>
      <c r="V3689" s="65">
        <f t="shared" si="1148"/>
        <v>0</v>
      </c>
      <c r="W3689" s="65">
        <f t="shared" si="1148"/>
        <v>2.28125</v>
      </c>
      <c r="X3689" s="65">
        <f t="shared" si="1148"/>
        <v>0</v>
      </c>
      <c r="Y3689" s="65">
        <f t="shared" si="1148"/>
        <v>0</v>
      </c>
      <c r="Z3689" s="65">
        <f t="shared" si="1148"/>
        <v>3.0303030303030304E-2</v>
      </c>
      <c r="AA3689" s="65">
        <f t="shared" si="1148"/>
        <v>3.0303030303030304E-2</v>
      </c>
      <c r="AB3689" s="65">
        <f t="shared" si="1149"/>
        <v>2.3418560606060606</v>
      </c>
    </row>
    <row r="3690" spans="4:28" s="14" customFormat="1" x14ac:dyDescent="0.25">
      <c r="D3690" s="14" t="s">
        <v>82</v>
      </c>
      <c r="G3690">
        <f>IFERROR(HLOOKUP(G$2,[111]table_male_hkom1_inj.ill_X1!$A$1:$K$36,14,FALSE),0)</f>
        <v>0</v>
      </c>
      <c r="H3690">
        <f>IFERROR(HLOOKUP(H$2,[111]table_male_hkom1_inj.ill_X1!$A$1:$K$36,14,FALSE),0)</f>
        <v>3</v>
      </c>
      <c r="I3690">
        <f>IFERROR(HLOOKUP(I$2,[111]table_male_hkom1_inj.ill_X1!$A$1:$K$36,14,FALSE),0)</f>
        <v>0</v>
      </c>
      <c r="J3690">
        <f>IFERROR(HLOOKUP(J$2,[111]table_male_hkom1_inj.ill_X1!$A$1:$K$36,14,FALSE),0)</f>
        <v>0</v>
      </c>
      <c r="K3690">
        <f>IFERROR(HLOOKUP(K$2,[111]table_male_hkom1_inj.ill_X1!$A$1:$K$36,14,FALSE),0)</f>
        <v>0</v>
      </c>
      <c r="L3690">
        <f>IFERROR(HLOOKUP(L$2,[111]table_male_hkom1_inj.ill_X1!$A$1:$K$36,14,FALSE),0)</f>
        <v>0</v>
      </c>
      <c r="M3690">
        <f t="shared" si="1150"/>
        <v>3</v>
      </c>
      <c r="N3690"/>
      <c r="O3690"/>
      <c r="S3690" s="14" t="s">
        <v>82</v>
      </c>
      <c r="T3690" s="65">
        <f t="shared" si="1151"/>
        <v>0</v>
      </c>
      <c r="U3690" s="65">
        <f t="shared" si="1148"/>
        <v>0</v>
      </c>
      <c r="V3690" s="65">
        <f t="shared" si="1148"/>
        <v>0</v>
      </c>
      <c r="W3690" s="65">
        <f t="shared" si="1148"/>
        <v>6.84375</v>
      </c>
      <c r="X3690" s="65">
        <f t="shared" si="1148"/>
        <v>0</v>
      </c>
      <c r="Y3690" s="65">
        <f t="shared" si="1148"/>
        <v>0</v>
      </c>
      <c r="Z3690" s="65">
        <f t="shared" si="1148"/>
        <v>3.0303030303030304E-2</v>
      </c>
      <c r="AA3690" s="65">
        <f t="shared" si="1148"/>
        <v>3.0303030303030304E-2</v>
      </c>
      <c r="AB3690" s="65">
        <f t="shared" si="1149"/>
        <v>6.9043560606060606</v>
      </c>
    </row>
    <row r="3691" spans="4:28" s="14" customFormat="1" x14ac:dyDescent="0.25">
      <c r="D3691" s="14" t="s">
        <v>83</v>
      </c>
      <c r="G3691">
        <f>IFERROR(HLOOKUP(G$2,[111]table_male_hkom1_inj.ill_X1!$A$1:$K$36,15,FALSE),0)</f>
        <v>1</v>
      </c>
      <c r="H3691">
        <f>IFERROR(HLOOKUP(H$2,[111]table_male_hkom1_inj.ill_X1!$A$1:$K$36,15,FALSE),0)</f>
        <v>1</v>
      </c>
      <c r="I3691">
        <f>IFERROR(HLOOKUP(I$2,[111]table_male_hkom1_inj.ill_X1!$A$1:$K$36,15,FALSE),0)</f>
        <v>0</v>
      </c>
      <c r="J3691">
        <f>IFERROR(HLOOKUP(J$2,[111]table_male_hkom1_inj.ill_X1!$A$1:$K$36,15,FALSE),0)</f>
        <v>0</v>
      </c>
      <c r="K3691">
        <f>IFERROR(HLOOKUP(K$2,[111]table_male_hkom1_inj.ill_X1!$A$1:$K$36,15,FALSE),0)</f>
        <v>0</v>
      </c>
      <c r="L3691">
        <f>IFERROR(HLOOKUP(L$2,[111]table_male_hkom1_inj.ill_X1!$A$1:$K$36,15,FALSE),0)</f>
        <v>0</v>
      </c>
      <c r="M3691">
        <f t="shared" si="1150"/>
        <v>2</v>
      </c>
      <c r="N3691"/>
      <c r="O3691"/>
      <c r="S3691" s="14" t="s">
        <v>83</v>
      </c>
      <c r="T3691" s="65">
        <f t="shared" si="1151"/>
        <v>0</v>
      </c>
      <c r="U3691" s="65">
        <f t="shared" si="1148"/>
        <v>0</v>
      </c>
      <c r="V3691" s="65">
        <f t="shared" si="1148"/>
        <v>2.387096774193548</v>
      </c>
      <c r="W3691" s="65">
        <f t="shared" si="1148"/>
        <v>2.28125</v>
      </c>
      <c r="X3691" s="65">
        <f t="shared" si="1148"/>
        <v>0</v>
      </c>
      <c r="Y3691" s="65">
        <f t="shared" si="1148"/>
        <v>0</v>
      </c>
      <c r="Z3691" s="65">
        <f t="shared" si="1148"/>
        <v>3.0303030303030304E-2</v>
      </c>
      <c r="AA3691" s="65">
        <f t="shared" si="1148"/>
        <v>3.0303030303030304E-2</v>
      </c>
      <c r="AB3691" s="65">
        <f t="shared" si="1149"/>
        <v>4.7289528347996086</v>
      </c>
    </row>
    <row r="3692" spans="4:28" s="14" customFormat="1" x14ac:dyDescent="0.25">
      <c r="D3692" s="14" t="s">
        <v>84</v>
      </c>
      <c r="G3692">
        <f>IFERROR(HLOOKUP(G$2,[111]table_male_hkom1_inj.ill_X1!$A$1:$K$36,16,FALSE),0)</f>
        <v>0</v>
      </c>
      <c r="H3692">
        <f>IFERROR(HLOOKUP(H$2,[111]table_male_hkom1_inj.ill_X1!$A$1:$K$36,16,FALSE),0)</f>
        <v>0</v>
      </c>
      <c r="I3692">
        <f>IFERROR(HLOOKUP(I$2,[111]table_male_hkom1_inj.ill_X1!$A$1:$K$36,16,FALSE),0)</f>
        <v>0</v>
      </c>
      <c r="J3692">
        <f>IFERROR(HLOOKUP(J$2,[111]table_male_hkom1_inj.ill_X1!$A$1:$K$36,16,FALSE),0)</f>
        <v>0</v>
      </c>
      <c r="K3692">
        <f>IFERROR(HLOOKUP(K$2,[111]table_male_hkom1_inj.ill_X1!$A$1:$K$36,16,FALSE),0)</f>
        <v>0</v>
      </c>
      <c r="L3692">
        <f>IFERROR(HLOOKUP(L$2,[111]table_male_hkom1_inj.ill_X1!$A$1:$K$36,16,FALSE),0)</f>
        <v>0</v>
      </c>
      <c r="M3692">
        <f t="shared" si="1150"/>
        <v>0</v>
      </c>
      <c r="N3692"/>
      <c r="O3692"/>
      <c r="S3692" s="14" t="s">
        <v>84</v>
      </c>
      <c r="T3692" s="65">
        <f t="shared" si="1151"/>
        <v>0</v>
      </c>
      <c r="U3692" s="65">
        <f t="shared" si="1148"/>
        <v>0</v>
      </c>
      <c r="V3692" s="65">
        <f t="shared" si="1148"/>
        <v>0</v>
      </c>
      <c r="W3692" s="65">
        <f t="shared" si="1148"/>
        <v>0</v>
      </c>
      <c r="X3692" s="65">
        <f t="shared" si="1148"/>
        <v>0</v>
      </c>
      <c r="Y3692" s="65">
        <f t="shared" si="1148"/>
        <v>0</v>
      </c>
      <c r="Z3692" s="65">
        <f t="shared" si="1148"/>
        <v>3.0303030303030304E-2</v>
      </c>
      <c r="AA3692" s="65">
        <f t="shared" si="1148"/>
        <v>3.0303030303030304E-2</v>
      </c>
      <c r="AB3692" s="65">
        <f t="shared" si="1149"/>
        <v>6.0606060606060608E-2</v>
      </c>
    </row>
    <row r="3693" spans="4:28" s="14" customFormat="1" x14ac:dyDescent="0.25">
      <c r="D3693" s="14" t="s">
        <v>85</v>
      </c>
      <c r="G3693">
        <f>IFERROR(HLOOKUP(G$2,[111]table_male_hkom1_inj.ill_X1!$A$1:$K$36,17,FALSE),0)</f>
        <v>1</v>
      </c>
      <c r="H3693">
        <f>IFERROR(HLOOKUP(H$2,[111]table_male_hkom1_inj.ill_X1!$A$1:$K$36,17,FALSE),0)</f>
        <v>2</v>
      </c>
      <c r="I3693">
        <f>IFERROR(HLOOKUP(I$2,[111]table_male_hkom1_inj.ill_X1!$A$1:$K$36,17,FALSE),0)</f>
        <v>0</v>
      </c>
      <c r="J3693">
        <f>IFERROR(HLOOKUP(J$2,[111]table_male_hkom1_inj.ill_X1!$A$1:$K$36,17,FALSE),0)</f>
        <v>0</v>
      </c>
      <c r="K3693">
        <f>IFERROR(HLOOKUP(K$2,[111]table_male_hkom1_inj.ill_X1!$A$1:$K$36,17,FALSE),0)</f>
        <v>0</v>
      </c>
      <c r="L3693">
        <f>IFERROR(HLOOKUP(L$2,[111]table_male_hkom1_inj.ill_X1!$A$1:$K$36,17,FALSE),0)</f>
        <v>0</v>
      </c>
      <c r="M3693">
        <f t="shared" si="1150"/>
        <v>3</v>
      </c>
      <c r="N3693"/>
      <c r="O3693"/>
      <c r="S3693" s="14" t="s">
        <v>85</v>
      </c>
      <c r="T3693" s="65">
        <f t="shared" si="1151"/>
        <v>0</v>
      </c>
      <c r="U3693" s="65">
        <f t="shared" si="1148"/>
        <v>0</v>
      </c>
      <c r="V3693" s="65">
        <f t="shared" si="1148"/>
        <v>2.387096774193548</v>
      </c>
      <c r="W3693" s="65">
        <f t="shared" si="1148"/>
        <v>4.5625</v>
      </c>
      <c r="X3693" s="65">
        <f t="shared" si="1148"/>
        <v>0</v>
      </c>
      <c r="Y3693" s="65">
        <f t="shared" si="1148"/>
        <v>0</v>
      </c>
      <c r="Z3693" s="65">
        <f t="shared" si="1148"/>
        <v>3.0303030303030304E-2</v>
      </c>
      <c r="AA3693" s="65">
        <f t="shared" si="1148"/>
        <v>3.0303030303030304E-2</v>
      </c>
      <c r="AB3693" s="65">
        <f t="shared" si="1149"/>
        <v>7.0102028347996086</v>
      </c>
    </row>
    <row r="3694" spans="4:28" s="14" customFormat="1" x14ac:dyDescent="0.25">
      <c r="D3694" s="14" t="s">
        <v>86</v>
      </c>
      <c r="G3694">
        <f>IFERROR(HLOOKUP(G$2,[111]table_male_hkom1_inj.ill_X1!$A$1:$K$36,18,FALSE),0)</f>
        <v>6</v>
      </c>
      <c r="H3694">
        <f>IFERROR(HLOOKUP(H$2,[111]table_male_hkom1_inj.ill_X1!$A$1:$K$36,18,FALSE),0)</f>
        <v>14</v>
      </c>
      <c r="I3694">
        <f>IFERROR(HLOOKUP(I$2,[111]table_male_hkom1_inj.ill_X1!$A$1:$K$36,18,FALSE),0)</f>
        <v>12</v>
      </c>
      <c r="J3694">
        <f>IFERROR(HLOOKUP(J$2,[111]table_male_hkom1_inj.ill_X1!$A$1:$K$36,18,FALSE),0)</f>
        <v>0</v>
      </c>
      <c r="K3694">
        <f>IFERROR(HLOOKUP(K$2,[111]table_male_hkom1_inj.ill_X1!$A$1:$K$36,18,FALSE),0)</f>
        <v>0</v>
      </c>
      <c r="L3694">
        <f>IFERROR(HLOOKUP(L$2,[111]table_male_hkom1_inj.ill_X1!$A$1:$K$36,18,FALSE),0)</f>
        <v>0</v>
      </c>
      <c r="M3694">
        <f t="shared" si="1150"/>
        <v>32</v>
      </c>
      <c r="N3694"/>
      <c r="O3694"/>
      <c r="S3694" s="14" t="s">
        <v>86</v>
      </c>
      <c r="T3694" s="65">
        <f t="shared" si="1151"/>
        <v>0</v>
      </c>
      <c r="U3694" s="65">
        <f t="shared" ref="U3694:AA3710" si="1152">IF(SUM(F$3678:F$3710)=0,F$3711/33,F3694+IFERROR(F3694/SUM(F$3678:F$3710)*F$3711,0))</f>
        <v>0</v>
      </c>
      <c r="V3694" s="65">
        <f t="shared" si="1152"/>
        <v>14.32258064516129</v>
      </c>
      <c r="W3694" s="65">
        <f t="shared" si="1152"/>
        <v>31.9375</v>
      </c>
      <c r="X3694" s="65">
        <f t="shared" si="1152"/>
        <v>38</v>
      </c>
      <c r="Y3694" s="65">
        <f t="shared" si="1152"/>
        <v>0</v>
      </c>
      <c r="Z3694" s="65">
        <f t="shared" si="1152"/>
        <v>3.0303030303030304E-2</v>
      </c>
      <c r="AA3694" s="65">
        <f t="shared" si="1152"/>
        <v>3.0303030303030304E-2</v>
      </c>
      <c r="AB3694" s="65">
        <f t="shared" si="1149"/>
        <v>84.320686705767343</v>
      </c>
    </row>
    <row r="3695" spans="4:28" s="14" customFormat="1" x14ac:dyDescent="0.25">
      <c r="D3695" s="14" t="s">
        <v>87</v>
      </c>
      <c r="G3695">
        <f>IFERROR(HLOOKUP(G$2,[111]table_male_hkom1_inj.ill_X1!$A$1:$K$36,19,FALSE),0)</f>
        <v>1</v>
      </c>
      <c r="H3695">
        <f>IFERROR(HLOOKUP(H$2,[111]table_male_hkom1_inj.ill_X1!$A$1:$K$36,19,FALSE),0)</f>
        <v>2</v>
      </c>
      <c r="I3695">
        <f>IFERROR(HLOOKUP(I$2,[111]table_male_hkom1_inj.ill_X1!$A$1:$K$36,19,FALSE),0)</f>
        <v>1</v>
      </c>
      <c r="J3695">
        <f>IFERROR(HLOOKUP(J$2,[111]table_male_hkom1_inj.ill_X1!$A$1:$K$36,19,FALSE),0)</f>
        <v>0</v>
      </c>
      <c r="K3695">
        <f>IFERROR(HLOOKUP(K$2,[111]table_male_hkom1_inj.ill_X1!$A$1:$K$36,19,FALSE),0)</f>
        <v>0</v>
      </c>
      <c r="L3695">
        <f>IFERROR(HLOOKUP(L$2,[111]table_male_hkom1_inj.ill_X1!$A$1:$K$36,19,FALSE),0)</f>
        <v>0</v>
      </c>
      <c r="M3695">
        <f t="shared" si="1150"/>
        <v>4</v>
      </c>
      <c r="N3695"/>
      <c r="O3695"/>
      <c r="S3695" s="14" t="s">
        <v>87</v>
      </c>
      <c r="T3695" s="65">
        <f t="shared" si="1151"/>
        <v>0</v>
      </c>
      <c r="U3695" s="65">
        <f t="shared" si="1152"/>
        <v>0</v>
      </c>
      <c r="V3695" s="65">
        <f t="shared" si="1152"/>
        <v>2.387096774193548</v>
      </c>
      <c r="W3695" s="65">
        <f t="shared" si="1152"/>
        <v>4.5625</v>
      </c>
      <c r="X3695" s="65">
        <f t="shared" si="1152"/>
        <v>3.1666666666666665</v>
      </c>
      <c r="Y3695" s="65">
        <f t="shared" si="1152"/>
        <v>0</v>
      </c>
      <c r="Z3695" s="65">
        <f t="shared" si="1152"/>
        <v>3.0303030303030304E-2</v>
      </c>
      <c r="AA3695" s="65">
        <f t="shared" si="1152"/>
        <v>3.0303030303030304E-2</v>
      </c>
      <c r="AB3695" s="65">
        <f t="shared" si="1149"/>
        <v>10.176869501466276</v>
      </c>
    </row>
    <row r="3696" spans="4:28" s="14" customFormat="1" x14ac:dyDescent="0.25">
      <c r="D3696" s="14" t="s">
        <v>88</v>
      </c>
      <c r="G3696">
        <f>IFERROR(HLOOKUP(G$2,[111]table_male_hkom1_inj.ill_X1!$A$1:$K$36,20,FALSE),0)</f>
        <v>6</v>
      </c>
      <c r="H3696">
        <f>IFERROR(HLOOKUP(H$2,[111]table_male_hkom1_inj.ill_X1!$A$1:$K$36,20,FALSE),0)</f>
        <v>13</v>
      </c>
      <c r="I3696">
        <f>IFERROR(HLOOKUP(I$2,[111]table_male_hkom1_inj.ill_X1!$A$1:$K$36,20,FALSE),0)</f>
        <v>6</v>
      </c>
      <c r="J3696">
        <f>IFERROR(HLOOKUP(J$2,[111]table_male_hkom1_inj.ill_X1!$A$1:$K$36,20,FALSE),0)</f>
        <v>2</v>
      </c>
      <c r="K3696">
        <f>IFERROR(HLOOKUP(K$2,[111]table_male_hkom1_inj.ill_X1!$A$1:$K$36,20,FALSE),0)</f>
        <v>0</v>
      </c>
      <c r="L3696">
        <f>IFERROR(HLOOKUP(L$2,[111]table_male_hkom1_inj.ill_X1!$A$1:$K$36,20,FALSE),0)</f>
        <v>0</v>
      </c>
      <c r="M3696">
        <f t="shared" si="1150"/>
        <v>27</v>
      </c>
      <c r="N3696"/>
      <c r="O3696"/>
      <c r="S3696" s="14" t="s">
        <v>88</v>
      </c>
      <c r="T3696" s="65">
        <f t="shared" si="1151"/>
        <v>0</v>
      </c>
      <c r="U3696" s="65">
        <f t="shared" si="1152"/>
        <v>0</v>
      </c>
      <c r="V3696" s="65">
        <f t="shared" si="1152"/>
        <v>14.32258064516129</v>
      </c>
      <c r="W3696" s="65">
        <f t="shared" si="1152"/>
        <v>29.65625</v>
      </c>
      <c r="X3696" s="65">
        <f t="shared" si="1152"/>
        <v>19</v>
      </c>
      <c r="Y3696" s="65">
        <f t="shared" si="1152"/>
        <v>8</v>
      </c>
      <c r="Z3696" s="65">
        <f t="shared" si="1152"/>
        <v>3.0303030303030304E-2</v>
      </c>
      <c r="AA3696" s="65">
        <f t="shared" si="1152"/>
        <v>3.0303030303030304E-2</v>
      </c>
      <c r="AB3696" s="65">
        <f t="shared" si="1149"/>
        <v>71.039436705767343</v>
      </c>
    </row>
    <row r="3697" spans="1:29" s="14" customFormat="1" x14ac:dyDescent="0.25">
      <c r="D3697" s="14" t="s">
        <v>89</v>
      </c>
      <c r="G3697">
        <f>IFERROR(HLOOKUP(G$2,[111]table_male_hkom1_inj.ill_X1!$A$1:$K$36,21,FALSE),0)</f>
        <v>0</v>
      </c>
      <c r="H3697">
        <f>IFERROR(HLOOKUP(H$2,[111]table_male_hkom1_inj.ill_X1!$A$1:$K$36,21,FALSE),0)</f>
        <v>0</v>
      </c>
      <c r="I3697">
        <f>IFERROR(HLOOKUP(I$2,[111]table_male_hkom1_inj.ill_X1!$A$1:$K$36,21,FALSE),0)</f>
        <v>0</v>
      </c>
      <c r="J3697">
        <f>IFERROR(HLOOKUP(J$2,[111]table_male_hkom1_inj.ill_X1!$A$1:$K$36,21,FALSE),0)</f>
        <v>0</v>
      </c>
      <c r="K3697">
        <f>IFERROR(HLOOKUP(K$2,[111]table_male_hkom1_inj.ill_X1!$A$1:$K$36,21,FALSE),0)</f>
        <v>0</v>
      </c>
      <c r="L3697">
        <f>IFERROR(HLOOKUP(L$2,[111]table_male_hkom1_inj.ill_X1!$A$1:$K$36,21,FALSE),0)</f>
        <v>0</v>
      </c>
      <c r="M3697">
        <f t="shared" si="1150"/>
        <v>0</v>
      </c>
      <c r="N3697"/>
      <c r="O3697"/>
      <c r="S3697" s="14" t="s">
        <v>89</v>
      </c>
      <c r="T3697" s="65">
        <f t="shared" si="1151"/>
        <v>0</v>
      </c>
      <c r="U3697" s="65">
        <f t="shared" si="1152"/>
        <v>0</v>
      </c>
      <c r="V3697" s="65">
        <f t="shared" si="1152"/>
        <v>0</v>
      </c>
      <c r="W3697" s="65">
        <f t="shared" si="1152"/>
        <v>0</v>
      </c>
      <c r="X3697" s="65">
        <f t="shared" si="1152"/>
        <v>0</v>
      </c>
      <c r="Y3697" s="65">
        <f t="shared" si="1152"/>
        <v>0</v>
      </c>
      <c r="Z3697" s="65">
        <f t="shared" si="1152"/>
        <v>3.0303030303030304E-2</v>
      </c>
      <c r="AA3697" s="65">
        <f t="shared" si="1152"/>
        <v>3.0303030303030304E-2</v>
      </c>
      <c r="AB3697" s="65">
        <f t="shared" si="1149"/>
        <v>6.0606060606060608E-2</v>
      </c>
    </row>
    <row r="3698" spans="1:29" s="14" customFormat="1" x14ac:dyDescent="0.25">
      <c r="D3698" s="14" t="s">
        <v>90</v>
      </c>
      <c r="G3698">
        <f>IFERROR(HLOOKUP(G$2,[111]table_male_hkom1_inj.ill_X1!$A$1:$K$36,22,FALSE),0)</f>
        <v>0</v>
      </c>
      <c r="H3698">
        <f>IFERROR(HLOOKUP(H$2,[111]table_male_hkom1_inj.ill_X1!$A$1:$K$36,22,FALSE),0)</f>
        <v>0</v>
      </c>
      <c r="I3698">
        <f>IFERROR(HLOOKUP(I$2,[111]table_male_hkom1_inj.ill_X1!$A$1:$K$36,22,FALSE),0)</f>
        <v>0</v>
      </c>
      <c r="J3698">
        <f>IFERROR(HLOOKUP(J$2,[111]table_male_hkom1_inj.ill_X1!$A$1:$K$36,22,FALSE),0)</f>
        <v>0</v>
      </c>
      <c r="K3698">
        <f>IFERROR(HLOOKUP(K$2,[111]table_male_hkom1_inj.ill_X1!$A$1:$K$36,22,FALSE),0)</f>
        <v>0</v>
      </c>
      <c r="L3698">
        <f>IFERROR(HLOOKUP(L$2,[111]table_male_hkom1_inj.ill_X1!$A$1:$K$36,22,FALSE),0)</f>
        <v>0</v>
      </c>
      <c r="M3698">
        <f t="shared" si="1150"/>
        <v>0</v>
      </c>
      <c r="N3698"/>
      <c r="O3698"/>
      <c r="S3698" s="14" t="s">
        <v>90</v>
      </c>
      <c r="T3698" s="65">
        <f t="shared" si="1151"/>
        <v>0</v>
      </c>
      <c r="U3698" s="65">
        <f t="shared" si="1152"/>
        <v>0</v>
      </c>
      <c r="V3698" s="65">
        <f t="shared" si="1152"/>
        <v>0</v>
      </c>
      <c r="W3698" s="65">
        <f t="shared" si="1152"/>
        <v>0</v>
      </c>
      <c r="X3698" s="65">
        <f t="shared" si="1152"/>
        <v>0</v>
      </c>
      <c r="Y3698" s="65">
        <f t="shared" si="1152"/>
        <v>0</v>
      </c>
      <c r="Z3698" s="65">
        <f t="shared" si="1152"/>
        <v>3.0303030303030304E-2</v>
      </c>
      <c r="AA3698" s="65">
        <f t="shared" si="1152"/>
        <v>3.0303030303030304E-2</v>
      </c>
      <c r="AB3698" s="65">
        <f t="shared" si="1149"/>
        <v>6.0606060606060608E-2</v>
      </c>
    </row>
    <row r="3699" spans="1:29" s="14" customFormat="1" x14ac:dyDescent="0.25">
      <c r="D3699" s="14" t="s">
        <v>91</v>
      </c>
      <c r="G3699">
        <f>IFERROR(HLOOKUP(G$2,[111]table_male_hkom1_inj.ill_X1!$A$1:$K$36,23,FALSE),0)</f>
        <v>0</v>
      </c>
      <c r="H3699">
        <f>IFERROR(HLOOKUP(H$2,[111]table_male_hkom1_inj.ill_X1!$A$1:$K$36,23,FALSE),0)</f>
        <v>1</v>
      </c>
      <c r="I3699">
        <f>IFERROR(HLOOKUP(I$2,[111]table_male_hkom1_inj.ill_X1!$A$1:$K$36,23,FALSE),0)</f>
        <v>0</v>
      </c>
      <c r="J3699">
        <f>IFERROR(HLOOKUP(J$2,[111]table_male_hkom1_inj.ill_X1!$A$1:$K$36,23,FALSE),0)</f>
        <v>0</v>
      </c>
      <c r="K3699">
        <f>IFERROR(HLOOKUP(K$2,[111]table_male_hkom1_inj.ill_X1!$A$1:$K$36,23,FALSE),0)</f>
        <v>0</v>
      </c>
      <c r="L3699">
        <f>IFERROR(HLOOKUP(L$2,[111]table_male_hkom1_inj.ill_X1!$A$1:$K$36,23,FALSE),0)</f>
        <v>0</v>
      </c>
      <c r="M3699">
        <f t="shared" si="1150"/>
        <v>1</v>
      </c>
      <c r="N3699"/>
      <c r="O3699"/>
      <c r="S3699" s="14" t="s">
        <v>91</v>
      </c>
      <c r="T3699" s="65">
        <f t="shared" si="1151"/>
        <v>0</v>
      </c>
      <c r="U3699" s="65">
        <f t="shared" si="1152"/>
        <v>0</v>
      </c>
      <c r="V3699" s="65">
        <f t="shared" si="1152"/>
        <v>0</v>
      </c>
      <c r="W3699" s="65">
        <f t="shared" si="1152"/>
        <v>2.28125</v>
      </c>
      <c r="X3699" s="65">
        <f t="shared" si="1152"/>
        <v>0</v>
      </c>
      <c r="Y3699" s="65">
        <f t="shared" si="1152"/>
        <v>0</v>
      </c>
      <c r="Z3699" s="65">
        <f t="shared" si="1152"/>
        <v>3.0303030303030304E-2</v>
      </c>
      <c r="AA3699" s="65">
        <f t="shared" si="1152"/>
        <v>3.0303030303030304E-2</v>
      </c>
      <c r="AB3699" s="65">
        <f t="shared" si="1149"/>
        <v>2.3418560606060606</v>
      </c>
    </row>
    <row r="3700" spans="1:29" s="14" customFormat="1" x14ac:dyDescent="0.25">
      <c r="D3700" s="14" t="s">
        <v>92</v>
      </c>
      <c r="G3700">
        <f>IFERROR(HLOOKUP(G$2,[111]table_male_hkom1_inj.ill_X1!$A$1:$K$36,24,FALSE),0)</f>
        <v>0</v>
      </c>
      <c r="H3700">
        <f>IFERROR(HLOOKUP(H$2,[111]table_male_hkom1_inj.ill_X1!$A$1:$K$36,24,FALSE),0)</f>
        <v>0</v>
      </c>
      <c r="I3700">
        <f>IFERROR(HLOOKUP(I$2,[111]table_male_hkom1_inj.ill_X1!$A$1:$K$36,24,FALSE),0)</f>
        <v>0</v>
      </c>
      <c r="J3700">
        <f>IFERROR(HLOOKUP(J$2,[111]table_male_hkom1_inj.ill_X1!$A$1:$K$36,24,FALSE),0)</f>
        <v>0</v>
      </c>
      <c r="K3700">
        <f>IFERROR(HLOOKUP(K$2,[111]table_male_hkom1_inj.ill_X1!$A$1:$K$36,24,FALSE),0)</f>
        <v>0</v>
      </c>
      <c r="L3700">
        <f>IFERROR(HLOOKUP(L$2,[111]table_male_hkom1_inj.ill_X1!$A$1:$K$36,24,FALSE),0)</f>
        <v>0</v>
      </c>
      <c r="M3700">
        <f t="shared" si="1150"/>
        <v>0</v>
      </c>
      <c r="N3700"/>
      <c r="O3700"/>
      <c r="S3700" s="14" t="s">
        <v>92</v>
      </c>
      <c r="T3700" s="65">
        <f t="shared" si="1151"/>
        <v>0</v>
      </c>
      <c r="U3700" s="65">
        <f t="shared" si="1152"/>
        <v>0</v>
      </c>
      <c r="V3700" s="65">
        <f t="shared" si="1152"/>
        <v>0</v>
      </c>
      <c r="W3700" s="65">
        <f t="shared" si="1152"/>
        <v>0</v>
      </c>
      <c r="X3700" s="65">
        <f t="shared" si="1152"/>
        <v>0</v>
      </c>
      <c r="Y3700" s="65">
        <f t="shared" si="1152"/>
        <v>0</v>
      </c>
      <c r="Z3700" s="65">
        <f t="shared" si="1152"/>
        <v>3.0303030303030304E-2</v>
      </c>
      <c r="AA3700" s="65">
        <f t="shared" si="1152"/>
        <v>3.0303030303030304E-2</v>
      </c>
      <c r="AB3700" s="65">
        <f t="shared" si="1149"/>
        <v>6.0606060606060608E-2</v>
      </c>
    </row>
    <row r="3701" spans="1:29" s="14" customFormat="1" x14ac:dyDescent="0.25">
      <c r="D3701" s="14" t="s">
        <v>93</v>
      </c>
      <c r="G3701">
        <f>IFERROR(HLOOKUP(G$2,[111]table_male_hkom1_inj.ill_X1!$A$1:$K$36,25,FALSE),0)</f>
        <v>0</v>
      </c>
      <c r="H3701">
        <f>IFERROR(HLOOKUP(H$2,[111]table_male_hkom1_inj.ill_X1!$A$1:$K$36,25,FALSE),0)</f>
        <v>0</v>
      </c>
      <c r="I3701">
        <f>IFERROR(HLOOKUP(I$2,[111]table_male_hkom1_inj.ill_X1!$A$1:$K$36,25,FALSE),0)</f>
        <v>0</v>
      </c>
      <c r="J3701">
        <f>IFERROR(HLOOKUP(J$2,[111]table_male_hkom1_inj.ill_X1!$A$1:$K$36,25,FALSE),0)</f>
        <v>0</v>
      </c>
      <c r="K3701">
        <f>IFERROR(HLOOKUP(K$2,[111]table_male_hkom1_inj.ill_X1!$A$1:$K$36,25,FALSE),0)</f>
        <v>0</v>
      </c>
      <c r="L3701">
        <f>IFERROR(HLOOKUP(L$2,[111]table_male_hkom1_inj.ill_X1!$A$1:$K$36,25,FALSE),0)</f>
        <v>0</v>
      </c>
      <c r="M3701">
        <f t="shared" si="1150"/>
        <v>0</v>
      </c>
      <c r="N3701"/>
      <c r="O3701"/>
      <c r="S3701" s="14" t="s">
        <v>93</v>
      </c>
      <c r="T3701" s="65">
        <f t="shared" si="1151"/>
        <v>0</v>
      </c>
      <c r="U3701" s="65">
        <f t="shared" si="1152"/>
        <v>0</v>
      </c>
      <c r="V3701" s="65">
        <f t="shared" si="1152"/>
        <v>0</v>
      </c>
      <c r="W3701" s="65">
        <f t="shared" si="1152"/>
        <v>0</v>
      </c>
      <c r="X3701" s="65">
        <f t="shared" si="1152"/>
        <v>0</v>
      </c>
      <c r="Y3701" s="65">
        <f t="shared" si="1152"/>
        <v>0</v>
      </c>
      <c r="Z3701" s="65">
        <f t="shared" si="1152"/>
        <v>3.0303030303030304E-2</v>
      </c>
      <c r="AA3701" s="65">
        <f t="shared" si="1152"/>
        <v>3.0303030303030304E-2</v>
      </c>
      <c r="AB3701" s="65">
        <f t="shared" si="1149"/>
        <v>6.0606060606060608E-2</v>
      </c>
    </row>
    <row r="3702" spans="1:29" s="14" customFormat="1" x14ac:dyDescent="0.25">
      <c r="D3702" s="14" t="s">
        <v>94</v>
      </c>
      <c r="G3702">
        <f>IFERROR(HLOOKUP(G$2,[111]table_male_hkom1_inj.ill_X1!$A$1:$K$36,26,FALSE),0)</f>
        <v>0</v>
      </c>
      <c r="H3702">
        <f>IFERROR(HLOOKUP(H$2,[111]table_male_hkom1_inj.ill_X1!$A$1:$K$36,26,FALSE),0)</f>
        <v>0</v>
      </c>
      <c r="I3702">
        <f>IFERROR(HLOOKUP(I$2,[111]table_male_hkom1_inj.ill_X1!$A$1:$K$36,26,FALSE),0)</f>
        <v>0</v>
      </c>
      <c r="J3702">
        <f>IFERROR(HLOOKUP(J$2,[111]table_male_hkom1_inj.ill_X1!$A$1:$K$36,26,FALSE),0)</f>
        <v>0</v>
      </c>
      <c r="K3702">
        <f>IFERROR(HLOOKUP(K$2,[111]table_male_hkom1_inj.ill_X1!$A$1:$K$36,26,FALSE),0)</f>
        <v>0</v>
      </c>
      <c r="L3702">
        <f>IFERROR(HLOOKUP(L$2,[111]table_male_hkom1_inj.ill_X1!$A$1:$K$36,26,FALSE),0)</f>
        <v>0</v>
      </c>
      <c r="M3702">
        <f t="shared" si="1150"/>
        <v>0</v>
      </c>
      <c r="N3702"/>
      <c r="O3702"/>
      <c r="S3702" s="14" t="s">
        <v>94</v>
      </c>
      <c r="T3702" s="65">
        <f t="shared" si="1151"/>
        <v>0</v>
      </c>
      <c r="U3702" s="65">
        <f t="shared" si="1152"/>
        <v>0</v>
      </c>
      <c r="V3702" s="65">
        <f t="shared" si="1152"/>
        <v>0</v>
      </c>
      <c r="W3702" s="65">
        <f t="shared" si="1152"/>
        <v>0</v>
      </c>
      <c r="X3702" s="65">
        <f t="shared" si="1152"/>
        <v>0</v>
      </c>
      <c r="Y3702" s="65">
        <f t="shared" si="1152"/>
        <v>0</v>
      </c>
      <c r="Z3702" s="65">
        <f t="shared" si="1152"/>
        <v>3.0303030303030304E-2</v>
      </c>
      <c r="AA3702" s="65">
        <f t="shared" si="1152"/>
        <v>3.0303030303030304E-2</v>
      </c>
      <c r="AB3702" s="65">
        <f t="shared" si="1149"/>
        <v>6.0606060606060608E-2</v>
      </c>
    </row>
    <row r="3703" spans="1:29" s="14" customFormat="1" x14ac:dyDescent="0.25">
      <c r="D3703" s="14" t="s">
        <v>95</v>
      </c>
      <c r="G3703">
        <f>IFERROR(HLOOKUP(G$2,[111]table_male_hkom1_inj.ill_X1!$A$1:$K$36,27,FALSE),0)</f>
        <v>0</v>
      </c>
      <c r="H3703">
        <f>IFERROR(HLOOKUP(H$2,[111]table_male_hkom1_inj.ill_X1!$A$1:$K$36,27,FALSE),0)</f>
        <v>0</v>
      </c>
      <c r="I3703">
        <f>IFERROR(HLOOKUP(I$2,[111]table_male_hkom1_inj.ill_X1!$A$1:$K$36,27,FALSE),0)</f>
        <v>0</v>
      </c>
      <c r="J3703">
        <f>IFERROR(HLOOKUP(J$2,[111]table_male_hkom1_inj.ill_X1!$A$1:$K$36,27,FALSE),0)</f>
        <v>0</v>
      </c>
      <c r="K3703">
        <f>IFERROR(HLOOKUP(K$2,[111]table_male_hkom1_inj.ill_X1!$A$1:$K$36,27,FALSE),0)</f>
        <v>0</v>
      </c>
      <c r="L3703">
        <f>IFERROR(HLOOKUP(L$2,[111]table_male_hkom1_inj.ill_X1!$A$1:$K$36,27,FALSE),0)</f>
        <v>0</v>
      </c>
      <c r="M3703">
        <f t="shared" si="1150"/>
        <v>0</v>
      </c>
      <c r="N3703"/>
      <c r="O3703"/>
      <c r="S3703" s="14" t="s">
        <v>95</v>
      </c>
      <c r="T3703" s="65">
        <f t="shared" si="1151"/>
        <v>0</v>
      </c>
      <c r="U3703" s="65">
        <f t="shared" si="1152"/>
        <v>0</v>
      </c>
      <c r="V3703" s="65">
        <f t="shared" si="1152"/>
        <v>0</v>
      </c>
      <c r="W3703" s="65">
        <f t="shared" si="1152"/>
        <v>0</v>
      </c>
      <c r="X3703" s="65">
        <f t="shared" si="1152"/>
        <v>0</v>
      </c>
      <c r="Y3703" s="65">
        <f t="shared" si="1152"/>
        <v>0</v>
      </c>
      <c r="Z3703" s="65">
        <f t="shared" si="1152"/>
        <v>3.0303030303030304E-2</v>
      </c>
      <c r="AA3703" s="65">
        <f t="shared" si="1152"/>
        <v>3.0303030303030304E-2</v>
      </c>
      <c r="AB3703" s="65">
        <f t="shared" si="1149"/>
        <v>6.0606060606060608E-2</v>
      </c>
    </row>
    <row r="3704" spans="1:29" s="14" customFormat="1" x14ac:dyDescent="0.25">
      <c r="D3704" s="14" t="s">
        <v>96</v>
      </c>
      <c r="G3704">
        <f>IFERROR(HLOOKUP(G$2,[111]table_male_hkom1_inj.ill_X1!$A$1:$K$36,28,FALSE),0)</f>
        <v>0</v>
      </c>
      <c r="H3704">
        <f>IFERROR(HLOOKUP(H$2,[111]table_male_hkom1_inj.ill_X1!$A$1:$K$36,28,FALSE),0)</f>
        <v>0</v>
      </c>
      <c r="I3704">
        <f>IFERROR(HLOOKUP(I$2,[111]table_male_hkom1_inj.ill_X1!$A$1:$K$36,28,FALSE),0)</f>
        <v>0</v>
      </c>
      <c r="J3704">
        <f>IFERROR(HLOOKUP(J$2,[111]table_male_hkom1_inj.ill_X1!$A$1:$K$36,28,FALSE),0)</f>
        <v>0</v>
      </c>
      <c r="K3704">
        <f>IFERROR(HLOOKUP(K$2,[111]table_male_hkom1_inj.ill_X1!$A$1:$K$36,28,FALSE),0)</f>
        <v>0</v>
      </c>
      <c r="L3704">
        <f>IFERROR(HLOOKUP(L$2,[111]table_male_hkom1_inj.ill_X1!$A$1:$K$36,28,FALSE),0)</f>
        <v>0</v>
      </c>
      <c r="M3704">
        <f t="shared" si="1150"/>
        <v>0</v>
      </c>
      <c r="N3704"/>
      <c r="O3704"/>
      <c r="S3704" s="14" t="s">
        <v>96</v>
      </c>
      <c r="T3704" s="65">
        <f t="shared" si="1151"/>
        <v>0</v>
      </c>
      <c r="U3704" s="65">
        <f t="shared" si="1152"/>
        <v>0</v>
      </c>
      <c r="V3704" s="65">
        <f t="shared" si="1152"/>
        <v>0</v>
      </c>
      <c r="W3704" s="65">
        <f t="shared" si="1152"/>
        <v>0</v>
      </c>
      <c r="X3704" s="65">
        <f t="shared" si="1152"/>
        <v>0</v>
      </c>
      <c r="Y3704" s="65">
        <f t="shared" si="1152"/>
        <v>0</v>
      </c>
      <c r="Z3704" s="65">
        <f t="shared" si="1152"/>
        <v>3.0303030303030304E-2</v>
      </c>
      <c r="AA3704" s="65">
        <f t="shared" si="1152"/>
        <v>3.0303030303030304E-2</v>
      </c>
      <c r="AB3704" s="65">
        <f t="shared" si="1149"/>
        <v>6.0606060606060608E-2</v>
      </c>
    </row>
    <row r="3705" spans="1:29" s="14" customFormat="1" x14ac:dyDescent="0.25">
      <c r="D3705" s="14" t="s">
        <v>97</v>
      </c>
      <c r="G3705">
        <f>IFERROR(HLOOKUP(G$2,[111]table_male_hkom1_inj.ill_X1!$A$1:$K$36,29,FALSE),0)</f>
        <v>0</v>
      </c>
      <c r="H3705">
        <f>IFERROR(HLOOKUP(H$2,[111]table_male_hkom1_inj.ill_X1!$A$1:$K$36,29,FALSE),0)</f>
        <v>0</v>
      </c>
      <c r="I3705">
        <f>IFERROR(HLOOKUP(I$2,[111]table_male_hkom1_inj.ill_X1!$A$1:$K$36,29,FALSE),0)</f>
        <v>0</v>
      </c>
      <c r="J3705">
        <f>IFERROR(HLOOKUP(J$2,[111]table_male_hkom1_inj.ill_X1!$A$1:$K$36,29,FALSE),0)</f>
        <v>0</v>
      </c>
      <c r="K3705">
        <f>IFERROR(HLOOKUP(K$2,[111]table_male_hkom1_inj.ill_X1!$A$1:$K$36,29,FALSE),0)</f>
        <v>0</v>
      </c>
      <c r="L3705">
        <f>IFERROR(HLOOKUP(L$2,[111]table_male_hkom1_inj.ill_X1!$A$1:$K$36,29,FALSE),0)</f>
        <v>0</v>
      </c>
      <c r="M3705">
        <f t="shared" si="1150"/>
        <v>0</v>
      </c>
      <c r="N3705"/>
      <c r="O3705"/>
      <c r="S3705" s="14" t="s">
        <v>97</v>
      </c>
      <c r="T3705" s="65">
        <f t="shared" si="1151"/>
        <v>0</v>
      </c>
      <c r="U3705" s="65">
        <f t="shared" si="1152"/>
        <v>0</v>
      </c>
      <c r="V3705" s="65">
        <f t="shared" si="1152"/>
        <v>0</v>
      </c>
      <c r="W3705" s="65">
        <f t="shared" si="1152"/>
        <v>0</v>
      </c>
      <c r="X3705" s="65">
        <f t="shared" si="1152"/>
        <v>0</v>
      </c>
      <c r="Y3705" s="65">
        <f t="shared" si="1152"/>
        <v>0</v>
      </c>
      <c r="Z3705" s="65">
        <f t="shared" si="1152"/>
        <v>3.0303030303030304E-2</v>
      </c>
      <c r="AA3705" s="65">
        <f t="shared" si="1152"/>
        <v>3.0303030303030304E-2</v>
      </c>
      <c r="AB3705" s="65">
        <f t="shared" si="1149"/>
        <v>6.0606060606060608E-2</v>
      </c>
    </row>
    <row r="3706" spans="1:29" s="14" customFormat="1" x14ac:dyDescent="0.25">
      <c r="D3706" s="14" t="s">
        <v>98</v>
      </c>
      <c r="G3706">
        <f>IFERROR(HLOOKUP(G$2,[111]table_male_hkom1_inj.ill_X1!$A$1:$K$36,30,FALSE),0)</f>
        <v>0</v>
      </c>
      <c r="H3706">
        <f>IFERROR(HLOOKUP(H$2,[111]table_male_hkom1_inj.ill_X1!$A$1:$K$36,30,FALSE),0)</f>
        <v>0</v>
      </c>
      <c r="I3706">
        <f>IFERROR(HLOOKUP(I$2,[111]table_male_hkom1_inj.ill_X1!$A$1:$K$36,30,FALSE),0)</f>
        <v>1</v>
      </c>
      <c r="J3706">
        <f>IFERROR(HLOOKUP(J$2,[111]table_male_hkom1_inj.ill_X1!$A$1:$K$36,30,FALSE),0)</f>
        <v>0</v>
      </c>
      <c r="K3706">
        <f>IFERROR(HLOOKUP(K$2,[111]table_male_hkom1_inj.ill_X1!$A$1:$K$36,30,FALSE),0)</f>
        <v>0</v>
      </c>
      <c r="L3706">
        <f>IFERROR(HLOOKUP(L$2,[111]table_male_hkom1_inj.ill_X1!$A$1:$K$36,30,FALSE),0)</f>
        <v>0</v>
      </c>
      <c r="M3706">
        <f t="shared" si="1150"/>
        <v>1</v>
      </c>
      <c r="N3706"/>
      <c r="O3706"/>
      <c r="S3706" s="14" t="s">
        <v>98</v>
      </c>
      <c r="T3706" s="65">
        <f t="shared" si="1151"/>
        <v>0</v>
      </c>
      <c r="U3706" s="65">
        <f t="shared" si="1152"/>
        <v>0</v>
      </c>
      <c r="V3706" s="65">
        <f t="shared" si="1152"/>
        <v>0</v>
      </c>
      <c r="W3706" s="65">
        <f t="shared" si="1152"/>
        <v>0</v>
      </c>
      <c r="X3706" s="65">
        <f t="shared" si="1152"/>
        <v>3.1666666666666665</v>
      </c>
      <c r="Y3706" s="65">
        <f t="shared" si="1152"/>
        <v>0</v>
      </c>
      <c r="Z3706" s="65">
        <f t="shared" si="1152"/>
        <v>3.0303030303030304E-2</v>
      </c>
      <c r="AA3706" s="65">
        <f t="shared" si="1152"/>
        <v>3.0303030303030304E-2</v>
      </c>
      <c r="AB3706" s="65">
        <f t="shared" si="1149"/>
        <v>3.2272727272727271</v>
      </c>
    </row>
    <row r="3707" spans="1:29" s="14" customFormat="1" x14ac:dyDescent="0.25">
      <c r="D3707" s="14" t="s">
        <v>119</v>
      </c>
      <c r="G3707">
        <f>IFERROR(HLOOKUP(G$2,[111]table_male_hkom1_inj.ill_X1!$A$1:$K$36,31,FALSE),0)</f>
        <v>0</v>
      </c>
      <c r="H3707">
        <f>IFERROR(HLOOKUP(H$2,[111]table_male_hkom1_inj.ill_X1!$A$1:$K$36,31,FALSE),0)</f>
        <v>0</v>
      </c>
      <c r="I3707">
        <f>IFERROR(HLOOKUP(I$2,[111]table_male_hkom1_inj.ill_X1!$A$1:$K$36,31,FALSE),0)</f>
        <v>0</v>
      </c>
      <c r="J3707">
        <f>IFERROR(HLOOKUP(J$2,[111]table_male_hkom1_inj.ill_X1!$A$1:$K$36,31,FALSE),0)</f>
        <v>0</v>
      </c>
      <c r="K3707">
        <f>IFERROR(HLOOKUP(K$2,[111]table_male_hkom1_inj.ill_X1!$A$1:$K$36,31,FALSE),0)</f>
        <v>0</v>
      </c>
      <c r="L3707">
        <f>IFERROR(HLOOKUP(L$2,[111]table_male_hkom1_inj.ill_X1!$A$1:$K$36,31,FALSE),0)</f>
        <v>0</v>
      </c>
      <c r="M3707">
        <f t="shared" si="1150"/>
        <v>0</v>
      </c>
      <c r="N3707"/>
      <c r="O3707"/>
      <c r="S3707" s="14" t="s">
        <v>119</v>
      </c>
      <c r="T3707" s="65">
        <f t="shared" si="1151"/>
        <v>0</v>
      </c>
      <c r="U3707" s="65">
        <f t="shared" si="1152"/>
        <v>0</v>
      </c>
      <c r="V3707" s="65">
        <f t="shared" si="1152"/>
        <v>0</v>
      </c>
      <c r="W3707" s="65">
        <f t="shared" si="1152"/>
        <v>0</v>
      </c>
      <c r="X3707" s="65">
        <f t="shared" si="1152"/>
        <v>0</v>
      </c>
      <c r="Y3707" s="65">
        <f t="shared" si="1152"/>
        <v>0</v>
      </c>
      <c r="Z3707" s="65">
        <f t="shared" si="1152"/>
        <v>3.0303030303030304E-2</v>
      </c>
      <c r="AA3707" s="65">
        <f t="shared" si="1152"/>
        <v>3.0303030303030304E-2</v>
      </c>
      <c r="AB3707" s="65">
        <f t="shared" si="1149"/>
        <v>6.0606060606060608E-2</v>
      </c>
    </row>
    <row r="3708" spans="1:29" s="14" customFormat="1" x14ac:dyDescent="0.25">
      <c r="D3708" s="14" t="s">
        <v>99</v>
      </c>
      <c r="G3708">
        <f>IFERROR(HLOOKUP(G$2,[111]table_male_hkom1_inj.ill_X1!$A$1:$K$36,32,FALSE),0)</f>
        <v>0</v>
      </c>
      <c r="H3708">
        <f>IFERROR(HLOOKUP(H$2,[111]table_male_hkom1_inj.ill_X1!$A$1:$K$36,32,FALSE),0)</f>
        <v>2</v>
      </c>
      <c r="I3708">
        <f>IFERROR(HLOOKUP(I$2,[111]table_male_hkom1_inj.ill_X1!$A$1:$K$36,32,FALSE),0)</f>
        <v>0</v>
      </c>
      <c r="J3708">
        <f>IFERROR(HLOOKUP(J$2,[111]table_male_hkom1_inj.ill_X1!$A$1:$K$36,32,FALSE),0)</f>
        <v>0</v>
      </c>
      <c r="K3708">
        <f>IFERROR(HLOOKUP(K$2,[111]table_male_hkom1_inj.ill_X1!$A$1:$K$36,32,FALSE),0)</f>
        <v>0</v>
      </c>
      <c r="L3708">
        <f>IFERROR(HLOOKUP(L$2,[111]table_male_hkom1_inj.ill_X1!$A$1:$K$36,32,FALSE),0)</f>
        <v>0</v>
      </c>
      <c r="M3708">
        <f t="shared" si="1150"/>
        <v>2</v>
      </c>
      <c r="N3708"/>
      <c r="O3708"/>
      <c r="S3708" s="14" t="s">
        <v>99</v>
      </c>
      <c r="T3708" s="65">
        <f t="shared" si="1151"/>
        <v>0</v>
      </c>
      <c r="U3708" s="65">
        <f t="shared" si="1152"/>
        <v>0</v>
      </c>
      <c r="V3708" s="65">
        <f t="shared" si="1152"/>
        <v>0</v>
      </c>
      <c r="W3708" s="65">
        <f t="shared" si="1152"/>
        <v>4.5625</v>
      </c>
      <c r="X3708" s="65">
        <f t="shared" si="1152"/>
        <v>0</v>
      </c>
      <c r="Y3708" s="65">
        <f t="shared" si="1152"/>
        <v>0</v>
      </c>
      <c r="Z3708" s="65">
        <f t="shared" si="1152"/>
        <v>3.0303030303030304E-2</v>
      </c>
      <c r="AA3708" s="65">
        <f t="shared" si="1152"/>
        <v>3.0303030303030304E-2</v>
      </c>
      <c r="AB3708" s="65">
        <f t="shared" si="1149"/>
        <v>4.6231060606060606</v>
      </c>
    </row>
    <row r="3709" spans="1:29" s="14" customFormat="1" x14ac:dyDescent="0.25">
      <c r="D3709" s="14" t="s">
        <v>100</v>
      </c>
      <c r="G3709">
        <f>IFERROR(HLOOKUP(G$2,[111]table_male_hkom1_inj.ill_X1!$A$1:$K$36,33,FALSE),0)</f>
        <v>3</v>
      </c>
      <c r="H3709">
        <f>IFERROR(HLOOKUP(H$2,[111]table_male_hkom1_inj.ill_X1!$A$1:$K$36,33,FALSE),0)</f>
        <v>1</v>
      </c>
      <c r="I3709">
        <f>IFERROR(HLOOKUP(I$2,[111]table_male_hkom1_inj.ill_X1!$A$1:$K$36,33,FALSE),0)</f>
        <v>0</v>
      </c>
      <c r="J3709">
        <f>IFERROR(HLOOKUP(J$2,[111]table_male_hkom1_inj.ill_X1!$A$1:$K$36,33,FALSE),0)</f>
        <v>0</v>
      </c>
      <c r="K3709">
        <f>IFERROR(HLOOKUP(K$2,[111]table_male_hkom1_inj.ill_X1!$A$1:$K$36,33,FALSE),0)</f>
        <v>0</v>
      </c>
      <c r="L3709">
        <f>IFERROR(HLOOKUP(L$2,[111]table_male_hkom1_inj.ill_X1!$A$1:$K$36,33,FALSE),0)</f>
        <v>0</v>
      </c>
      <c r="M3709">
        <f t="shared" si="1150"/>
        <v>4</v>
      </c>
      <c r="N3709"/>
      <c r="O3709"/>
      <c r="S3709" s="14" t="s">
        <v>100</v>
      </c>
      <c r="T3709" s="65">
        <f t="shared" si="1151"/>
        <v>0</v>
      </c>
      <c r="U3709" s="65">
        <f t="shared" si="1152"/>
        <v>0</v>
      </c>
      <c r="V3709" s="65">
        <f t="shared" si="1152"/>
        <v>7.161290322580645</v>
      </c>
      <c r="W3709" s="65">
        <f t="shared" si="1152"/>
        <v>2.28125</v>
      </c>
      <c r="X3709" s="65">
        <f t="shared" si="1152"/>
        <v>0</v>
      </c>
      <c r="Y3709" s="65">
        <f t="shared" si="1152"/>
        <v>0</v>
      </c>
      <c r="Z3709" s="65">
        <f t="shared" si="1152"/>
        <v>3.0303030303030304E-2</v>
      </c>
      <c r="AA3709" s="65">
        <f t="shared" si="1152"/>
        <v>3.0303030303030304E-2</v>
      </c>
      <c r="AB3709" s="65">
        <f t="shared" si="1149"/>
        <v>9.5031463831867065</v>
      </c>
    </row>
    <row r="3710" spans="1:29" s="14" customFormat="1" x14ac:dyDescent="0.25">
      <c r="D3710" s="14" t="s">
        <v>101</v>
      </c>
      <c r="G3710">
        <f>IFERROR(HLOOKUP(G$2,[111]table_male_hkom1_inj.ill_X1!$A$1:$K$36,34,FALSE),0)</f>
        <v>1</v>
      </c>
      <c r="H3710">
        <f>IFERROR(HLOOKUP(H$2,[111]table_male_hkom1_inj.ill_X1!$A$1:$K$36,34,FALSE),0)</f>
        <v>1</v>
      </c>
      <c r="I3710">
        <f>IFERROR(HLOOKUP(I$2,[111]table_male_hkom1_inj.ill_X1!$A$1:$K$36,34,FALSE),0)</f>
        <v>1</v>
      </c>
      <c r="J3710">
        <f>IFERROR(HLOOKUP(J$2,[111]table_male_hkom1_inj.ill_X1!$A$1:$K$36,34,FALSE),0)</f>
        <v>0</v>
      </c>
      <c r="K3710">
        <f>IFERROR(HLOOKUP(K$2,[111]table_male_hkom1_inj.ill_X1!$A$1:$K$36,34,FALSE),0)</f>
        <v>0</v>
      </c>
      <c r="L3710">
        <f>IFERROR(HLOOKUP(L$2,[111]table_male_hkom1_inj.ill_X1!$A$1:$K$36,34,FALSE),0)</f>
        <v>0</v>
      </c>
      <c r="M3710">
        <f t="shared" si="1150"/>
        <v>3</v>
      </c>
      <c r="N3710"/>
      <c r="O3710"/>
      <c r="S3710" s="14" t="s">
        <v>101</v>
      </c>
      <c r="T3710" s="65">
        <f t="shared" si="1151"/>
        <v>0</v>
      </c>
      <c r="U3710" s="65">
        <f t="shared" si="1152"/>
        <v>0</v>
      </c>
      <c r="V3710" s="65">
        <f t="shared" si="1152"/>
        <v>2.387096774193548</v>
      </c>
      <c r="W3710" s="65">
        <f t="shared" si="1152"/>
        <v>2.28125</v>
      </c>
      <c r="X3710" s="65">
        <f t="shared" si="1152"/>
        <v>3.1666666666666665</v>
      </c>
      <c r="Y3710" s="65">
        <f t="shared" si="1152"/>
        <v>0</v>
      </c>
      <c r="Z3710" s="65">
        <f t="shared" si="1152"/>
        <v>3.0303030303030304E-2</v>
      </c>
      <c r="AA3710" s="65">
        <f t="shared" si="1152"/>
        <v>3.0303030303030304E-2</v>
      </c>
      <c r="AB3710" s="65">
        <f t="shared" si="1149"/>
        <v>7.8956195014662747</v>
      </c>
    </row>
    <row r="3711" spans="1:29" s="14" customFormat="1" x14ac:dyDescent="0.25">
      <c r="D3711" s="14" t="s">
        <v>102</v>
      </c>
      <c r="G3711">
        <f>IFERROR(HLOOKUP(G$2,[111]table_male_hkom1_inj.ill_X1!$A$1:$K$36,35,FALSE),0)</f>
        <v>43</v>
      </c>
      <c r="H3711">
        <f>IFERROR(HLOOKUP(H$2,[111]table_male_hkom1_inj.ill_X1!$A$1:$K$36,35,FALSE),0)</f>
        <v>82</v>
      </c>
      <c r="I3711">
        <f>IFERROR(HLOOKUP(I$2,[111]table_male_hkom1_inj.ill_X1!$A$1:$K$36,35,FALSE),0)</f>
        <v>65</v>
      </c>
      <c r="J3711">
        <f>IFERROR(HLOOKUP(J$2,[111]table_male_hkom1_inj.ill_X1!$A$1:$K$36,35,FALSE),0)</f>
        <v>9</v>
      </c>
      <c r="K3711">
        <f>IFERROR(HLOOKUP(K$2,[111]table_male_hkom1_inj.ill_X1!$A$1:$K$36,35,FALSE),0)</f>
        <v>1</v>
      </c>
      <c r="L3711">
        <f>IFERROR(HLOOKUP(L$2,[111]table_male_hkom1_inj.ill_X1!$A$1:$K$36,35,FALSE),0)</f>
        <v>1</v>
      </c>
      <c r="M3711">
        <f t="shared" si="1150"/>
        <v>201</v>
      </c>
      <c r="N3711">
        <f>SUM(M3678:M3711)</f>
        <v>329</v>
      </c>
      <c r="O3711" s="8">
        <f>SUM([111]table_male_hkom1_inj.ill_X1!$B$2:$L$37)</f>
        <v>329</v>
      </c>
      <c r="S3711" s="14" t="s">
        <v>102</v>
      </c>
      <c r="T3711" s="66"/>
      <c r="U3711" s="66"/>
      <c r="V3711" s="66"/>
      <c r="W3711" s="66"/>
      <c r="X3711" s="66"/>
      <c r="Y3711" s="66"/>
      <c r="Z3711" s="66"/>
      <c r="AA3711" s="66"/>
      <c r="AB3711" s="65">
        <f t="shared" si="1149"/>
        <v>0</v>
      </c>
      <c r="AC3711" s="65">
        <f>SUM(AB3678:AB3710)</f>
        <v>329.00000000000006</v>
      </c>
    </row>
    <row r="3712" spans="1:29" s="14" customFormat="1" x14ac:dyDescent="0.25">
      <c r="A3712" s="14" t="s">
        <v>104</v>
      </c>
      <c r="B3712" s="14" t="s">
        <v>116</v>
      </c>
      <c r="C3712" s="14" t="s">
        <v>243</v>
      </c>
      <c r="D3712" s="14" t="s">
        <v>70</v>
      </c>
      <c r="G3712">
        <f>IFERROR(HLOOKUP(G$2,[112]table_male_hkom2_inj.ill_X1!$A$1:$K$36,2,FALSE),0)</f>
        <v>0</v>
      </c>
      <c r="H3712">
        <f>IFERROR(HLOOKUP(H$2,[112]table_male_hkom2_inj.ill_X1!$A$1:$K$36,2,FALSE),0)</f>
        <v>0</v>
      </c>
      <c r="I3712">
        <f>IFERROR(HLOOKUP(I$2,[112]table_male_hkom2_inj.ill_X1!$A$1:$K$36,2,FALSE),0)</f>
        <v>0</v>
      </c>
      <c r="J3712">
        <f>IFERROR(HLOOKUP(J$2,[112]table_male_hkom2_inj.ill_X1!$A$1:$K$36,2,FALSE),0)</f>
        <v>0</v>
      </c>
      <c r="K3712">
        <f>IFERROR(HLOOKUP(K$2,[112]table_male_hkom2_inj.ill_X1!$A$1:$K$36,2,FALSE),0)</f>
        <v>0</v>
      </c>
      <c r="L3712">
        <f>IFERROR(HLOOKUP(L$2,[112]table_male_hkom2_inj.ill_X1!$A$1:$K$36,2,FALSE),0)</f>
        <v>0</v>
      </c>
      <c r="M3712">
        <f>SUM(E3712:L3712)</f>
        <v>0</v>
      </c>
      <c r="N3712"/>
      <c r="O3712"/>
      <c r="P3712" s="14" t="s">
        <v>104</v>
      </c>
      <c r="Q3712" s="14" t="s">
        <v>116</v>
      </c>
      <c r="R3712" s="14" t="s">
        <v>243</v>
      </c>
      <c r="S3712" s="14" t="s">
        <v>70</v>
      </c>
      <c r="T3712" s="65">
        <f>IF(SUM(E$3712:E$3744)=0,E$3745/33,E3712+IFERROR(E3712/SUM(E$3712:E$3744)*E$3745,0))</f>
        <v>0</v>
      </c>
      <c r="U3712" s="65">
        <f t="shared" ref="U3712:AA3727" si="1153">IF(SUM(F$3712:F$3744)=0,F$3745/33,F3712+IFERROR(F3712/SUM(F$3712:F$3744)*F$3745,0))</f>
        <v>0</v>
      </c>
      <c r="V3712" s="65">
        <f t="shared" si="1153"/>
        <v>0</v>
      </c>
      <c r="W3712" s="65">
        <f t="shared" si="1153"/>
        <v>0</v>
      </c>
      <c r="X3712" s="65">
        <f t="shared" si="1153"/>
        <v>0</v>
      </c>
      <c r="Y3712" s="65">
        <f t="shared" si="1153"/>
        <v>9.0909090909090912E-2</v>
      </c>
      <c r="Z3712" s="65">
        <f t="shared" si="1153"/>
        <v>0</v>
      </c>
      <c r="AA3712" s="65">
        <f t="shared" si="1153"/>
        <v>0</v>
      </c>
      <c r="AB3712" s="65">
        <f t="shared" si="1149"/>
        <v>9.0909090909090912E-2</v>
      </c>
    </row>
    <row r="3713" spans="4:28" s="14" customFormat="1" x14ac:dyDescent="0.25">
      <c r="D3713" s="14" t="s">
        <v>71</v>
      </c>
      <c r="G3713">
        <f>IFERROR(HLOOKUP(G$2,[112]table_male_hkom2_inj.ill_X1!$A$1:$K$36,3,FALSE),0)</f>
        <v>0</v>
      </c>
      <c r="H3713">
        <f>IFERROR(HLOOKUP(H$2,[112]table_male_hkom2_inj.ill_X1!$A$1:$K$36,3,FALSE),0)</f>
        <v>0</v>
      </c>
      <c r="I3713">
        <f>IFERROR(HLOOKUP(I$2,[112]table_male_hkom2_inj.ill_X1!$A$1:$K$36,3,FALSE),0)</f>
        <v>0</v>
      </c>
      <c r="J3713">
        <f>IFERROR(HLOOKUP(J$2,[112]table_male_hkom2_inj.ill_X1!$A$1:$K$36,3,FALSE),0)</f>
        <v>0</v>
      </c>
      <c r="K3713">
        <f>IFERROR(HLOOKUP(K$2,[112]table_male_hkom2_inj.ill_X1!$A$1:$K$36,3,FALSE),0)</f>
        <v>0</v>
      </c>
      <c r="L3713">
        <f>IFERROR(HLOOKUP(L$2,[112]table_male_hkom2_inj.ill_X1!$A$1:$K$36,3,FALSE),0)</f>
        <v>0</v>
      </c>
      <c r="M3713">
        <f t="shared" ref="M3713:M3745" si="1154">SUM(E3713:L3713)</f>
        <v>0</v>
      </c>
      <c r="N3713"/>
      <c r="O3713"/>
      <c r="S3713" s="14" t="s">
        <v>71</v>
      </c>
      <c r="T3713" s="65">
        <f t="shared" ref="T3713:T3744" si="1155">IF(SUM(E$3712:E$3744)=0,E$3745/33,E3713+IFERROR(E3713/SUM(E$3712:E$3744)*E$3745,0))</f>
        <v>0</v>
      </c>
      <c r="U3713" s="65">
        <f t="shared" si="1153"/>
        <v>0</v>
      </c>
      <c r="V3713" s="65">
        <f t="shared" si="1153"/>
        <v>0</v>
      </c>
      <c r="W3713" s="65">
        <f t="shared" si="1153"/>
        <v>0</v>
      </c>
      <c r="X3713" s="65">
        <f t="shared" si="1153"/>
        <v>0</v>
      </c>
      <c r="Y3713" s="65">
        <f t="shared" si="1153"/>
        <v>9.0909090909090912E-2</v>
      </c>
      <c r="Z3713" s="65">
        <f t="shared" si="1153"/>
        <v>0</v>
      </c>
      <c r="AA3713" s="65">
        <f t="shared" si="1153"/>
        <v>0</v>
      </c>
      <c r="AB3713" s="65">
        <f t="shared" si="1149"/>
        <v>9.0909090909090912E-2</v>
      </c>
    </row>
    <row r="3714" spans="4:28" s="14" customFormat="1" x14ac:dyDescent="0.25">
      <c r="D3714" s="14" t="s">
        <v>72</v>
      </c>
      <c r="G3714">
        <f>IFERROR(HLOOKUP(G$2,[112]table_male_hkom2_inj.ill_X1!$A$1:$K$36,4,FALSE),0)</f>
        <v>0</v>
      </c>
      <c r="H3714">
        <f>IFERROR(HLOOKUP(H$2,[112]table_male_hkom2_inj.ill_X1!$A$1:$K$36,4,FALSE),0)</f>
        <v>0</v>
      </c>
      <c r="I3714">
        <f>IFERROR(HLOOKUP(I$2,[112]table_male_hkom2_inj.ill_X1!$A$1:$K$36,4,FALSE),0)</f>
        <v>0</v>
      </c>
      <c r="J3714">
        <f>IFERROR(HLOOKUP(J$2,[112]table_male_hkom2_inj.ill_X1!$A$1:$K$36,4,FALSE),0)</f>
        <v>0</v>
      </c>
      <c r="K3714">
        <f>IFERROR(HLOOKUP(K$2,[112]table_male_hkom2_inj.ill_X1!$A$1:$K$36,4,FALSE),0)</f>
        <v>0</v>
      </c>
      <c r="L3714">
        <f>IFERROR(HLOOKUP(L$2,[112]table_male_hkom2_inj.ill_X1!$A$1:$K$36,4,FALSE),0)</f>
        <v>0</v>
      </c>
      <c r="M3714">
        <f t="shared" si="1154"/>
        <v>0</v>
      </c>
      <c r="N3714"/>
      <c r="O3714"/>
      <c r="S3714" s="14" t="s">
        <v>72</v>
      </c>
      <c r="T3714" s="65">
        <f t="shared" si="1155"/>
        <v>0</v>
      </c>
      <c r="U3714" s="65">
        <f t="shared" si="1153"/>
        <v>0</v>
      </c>
      <c r="V3714" s="65">
        <f t="shared" si="1153"/>
        <v>0</v>
      </c>
      <c r="W3714" s="65">
        <f t="shared" si="1153"/>
        <v>0</v>
      </c>
      <c r="X3714" s="65">
        <f t="shared" si="1153"/>
        <v>0</v>
      </c>
      <c r="Y3714" s="65">
        <f t="shared" si="1153"/>
        <v>9.0909090909090912E-2</v>
      </c>
      <c r="Z3714" s="65">
        <f t="shared" si="1153"/>
        <v>0</v>
      </c>
      <c r="AA3714" s="65">
        <f t="shared" si="1153"/>
        <v>0</v>
      </c>
      <c r="AB3714" s="65">
        <f t="shared" si="1149"/>
        <v>9.0909090909090912E-2</v>
      </c>
    </row>
    <row r="3715" spans="4:28" s="14" customFormat="1" x14ac:dyDescent="0.25">
      <c r="D3715" s="14" t="s">
        <v>73</v>
      </c>
      <c r="G3715">
        <f>IFERROR(HLOOKUP(G$2,[112]table_male_hkom2_inj.ill_X1!$A$1:$K$36,5,FALSE),0)</f>
        <v>0</v>
      </c>
      <c r="H3715">
        <f>IFERROR(HLOOKUP(H$2,[112]table_male_hkom2_inj.ill_X1!$A$1:$K$36,5,FALSE),0)</f>
        <v>0</v>
      </c>
      <c r="I3715">
        <f>IFERROR(HLOOKUP(I$2,[112]table_male_hkom2_inj.ill_X1!$A$1:$K$36,5,FALSE),0)</f>
        <v>0</v>
      </c>
      <c r="J3715">
        <f>IFERROR(HLOOKUP(J$2,[112]table_male_hkom2_inj.ill_X1!$A$1:$K$36,5,FALSE),0)</f>
        <v>0</v>
      </c>
      <c r="K3715">
        <f>IFERROR(HLOOKUP(K$2,[112]table_male_hkom2_inj.ill_X1!$A$1:$K$36,5,FALSE),0)</f>
        <v>0</v>
      </c>
      <c r="L3715">
        <f>IFERROR(HLOOKUP(L$2,[112]table_male_hkom2_inj.ill_X1!$A$1:$K$36,5,FALSE),0)</f>
        <v>0</v>
      </c>
      <c r="M3715">
        <f t="shared" si="1154"/>
        <v>0</v>
      </c>
      <c r="N3715"/>
      <c r="O3715"/>
      <c r="S3715" s="14" t="s">
        <v>73</v>
      </c>
      <c r="T3715" s="65">
        <f t="shared" si="1155"/>
        <v>0</v>
      </c>
      <c r="U3715" s="65">
        <f t="shared" si="1153"/>
        <v>0</v>
      </c>
      <c r="V3715" s="65">
        <f t="shared" si="1153"/>
        <v>0</v>
      </c>
      <c r="W3715" s="65">
        <f t="shared" si="1153"/>
        <v>0</v>
      </c>
      <c r="X3715" s="65">
        <f t="shared" si="1153"/>
        <v>0</v>
      </c>
      <c r="Y3715" s="65">
        <f t="shared" si="1153"/>
        <v>9.0909090909090912E-2</v>
      </c>
      <c r="Z3715" s="65">
        <f t="shared" si="1153"/>
        <v>0</v>
      </c>
      <c r="AA3715" s="65">
        <f t="shared" si="1153"/>
        <v>0</v>
      </c>
      <c r="AB3715" s="65">
        <f t="shared" si="1149"/>
        <v>9.0909090909090912E-2</v>
      </c>
    </row>
    <row r="3716" spans="4:28" s="14" customFormat="1" x14ac:dyDescent="0.25">
      <c r="D3716" s="14" t="s">
        <v>74</v>
      </c>
      <c r="G3716">
        <f>IFERROR(HLOOKUP(G$2,[112]table_male_hkom2_inj.ill_X1!$A$1:$K$36,6,FALSE),0)</f>
        <v>0</v>
      </c>
      <c r="H3716">
        <f>IFERROR(HLOOKUP(H$2,[112]table_male_hkom2_inj.ill_X1!$A$1:$K$36,6,FALSE),0)</f>
        <v>0</v>
      </c>
      <c r="I3716">
        <f>IFERROR(HLOOKUP(I$2,[112]table_male_hkom2_inj.ill_X1!$A$1:$K$36,6,FALSE),0)</f>
        <v>0</v>
      </c>
      <c r="J3716">
        <f>IFERROR(HLOOKUP(J$2,[112]table_male_hkom2_inj.ill_X1!$A$1:$K$36,6,FALSE),0)</f>
        <v>0</v>
      </c>
      <c r="K3716">
        <f>IFERROR(HLOOKUP(K$2,[112]table_male_hkom2_inj.ill_X1!$A$1:$K$36,6,FALSE),0)</f>
        <v>0</v>
      </c>
      <c r="L3716">
        <f>IFERROR(HLOOKUP(L$2,[112]table_male_hkom2_inj.ill_X1!$A$1:$K$36,6,FALSE),0)</f>
        <v>0</v>
      </c>
      <c r="M3716">
        <f t="shared" si="1154"/>
        <v>0</v>
      </c>
      <c r="N3716"/>
      <c r="O3716"/>
      <c r="S3716" s="14" t="s">
        <v>74</v>
      </c>
      <c r="T3716" s="65">
        <f t="shared" si="1155"/>
        <v>0</v>
      </c>
      <c r="U3716" s="65">
        <f t="shared" si="1153"/>
        <v>0</v>
      </c>
      <c r="V3716" s="65">
        <f t="shared" si="1153"/>
        <v>0</v>
      </c>
      <c r="W3716" s="65">
        <f t="shared" si="1153"/>
        <v>0</v>
      </c>
      <c r="X3716" s="65">
        <f t="shared" si="1153"/>
        <v>0</v>
      </c>
      <c r="Y3716" s="65">
        <f t="shared" si="1153"/>
        <v>9.0909090909090912E-2</v>
      </c>
      <c r="Z3716" s="65">
        <f t="shared" si="1153"/>
        <v>0</v>
      </c>
      <c r="AA3716" s="65">
        <f t="shared" si="1153"/>
        <v>0</v>
      </c>
      <c r="AB3716" s="65">
        <f t="shared" si="1149"/>
        <v>9.0909090909090912E-2</v>
      </c>
    </row>
    <row r="3717" spans="4:28" s="14" customFormat="1" x14ac:dyDescent="0.25">
      <c r="D3717" s="14" t="s">
        <v>75</v>
      </c>
      <c r="G3717">
        <f>IFERROR(HLOOKUP(G$2,[112]table_male_hkom2_inj.ill_X1!$A$1:$K$36,7,FALSE),0)</f>
        <v>0</v>
      </c>
      <c r="H3717">
        <f>IFERROR(HLOOKUP(H$2,[112]table_male_hkom2_inj.ill_X1!$A$1:$K$36,7,FALSE),0)</f>
        <v>0</v>
      </c>
      <c r="I3717">
        <f>IFERROR(HLOOKUP(I$2,[112]table_male_hkom2_inj.ill_X1!$A$1:$K$36,7,FALSE),0)</f>
        <v>0</v>
      </c>
      <c r="J3717">
        <f>IFERROR(HLOOKUP(J$2,[112]table_male_hkom2_inj.ill_X1!$A$1:$K$36,7,FALSE),0)</f>
        <v>0</v>
      </c>
      <c r="K3717">
        <f>IFERROR(HLOOKUP(K$2,[112]table_male_hkom2_inj.ill_X1!$A$1:$K$36,7,FALSE),0)</f>
        <v>0</v>
      </c>
      <c r="L3717">
        <f>IFERROR(HLOOKUP(L$2,[112]table_male_hkom2_inj.ill_X1!$A$1:$K$36,7,FALSE),0)</f>
        <v>0</v>
      </c>
      <c r="M3717">
        <f t="shared" si="1154"/>
        <v>0</v>
      </c>
      <c r="N3717"/>
      <c r="O3717"/>
      <c r="S3717" s="14" t="s">
        <v>75</v>
      </c>
      <c r="T3717" s="65">
        <f t="shared" si="1155"/>
        <v>0</v>
      </c>
      <c r="U3717" s="65">
        <f t="shared" si="1153"/>
        <v>0</v>
      </c>
      <c r="V3717" s="65">
        <f t="shared" si="1153"/>
        <v>0</v>
      </c>
      <c r="W3717" s="65">
        <f t="shared" si="1153"/>
        <v>0</v>
      </c>
      <c r="X3717" s="65">
        <f t="shared" si="1153"/>
        <v>0</v>
      </c>
      <c r="Y3717" s="65">
        <f t="shared" si="1153"/>
        <v>9.0909090909090912E-2</v>
      </c>
      <c r="Z3717" s="65">
        <f t="shared" si="1153"/>
        <v>0</v>
      </c>
      <c r="AA3717" s="65">
        <f t="shared" si="1153"/>
        <v>0</v>
      </c>
      <c r="AB3717" s="65">
        <f t="shared" si="1149"/>
        <v>9.0909090909090912E-2</v>
      </c>
    </row>
    <row r="3718" spans="4:28" s="14" customFormat="1" x14ac:dyDescent="0.25">
      <c r="D3718" s="14" t="s">
        <v>76</v>
      </c>
      <c r="G3718">
        <f>IFERROR(HLOOKUP(G$2,[112]table_male_hkom2_inj.ill_X1!$A$1:$K$36,8,FALSE),0)</f>
        <v>0</v>
      </c>
      <c r="H3718">
        <f>IFERROR(HLOOKUP(H$2,[112]table_male_hkom2_inj.ill_X1!$A$1:$K$36,8,FALSE),0)</f>
        <v>0</v>
      </c>
      <c r="I3718">
        <f>IFERROR(HLOOKUP(I$2,[112]table_male_hkom2_inj.ill_X1!$A$1:$K$36,8,FALSE),0)</f>
        <v>0</v>
      </c>
      <c r="J3718">
        <f>IFERROR(HLOOKUP(J$2,[112]table_male_hkom2_inj.ill_X1!$A$1:$K$36,8,FALSE),0)</f>
        <v>0</v>
      </c>
      <c r="K3718">
        <f>IFERROR(HLOOKUP(K$2,[112]table_male_hkom2_inj.ill_X1!$A$1:$K$36,8,FALSE),0)</f>
        <v>0</v>
      </c>
      <c r="L3718">
        <f>IFERROR(HLOOKUP(L$2,[112]table_male_hkom2_inj.ill_X1!$A$1:$K$36,8,FALSE),0)</f>
        <v>0</v>
      </c>
      <c r="M3718">
        <f t="shared" si="1154"/>
        <v>0</v>
      </c>
      <c r="N3718"/>
      <c r="O3718"/>
      <c r="S3718" s="14" t="s">
        <v>76</v>
      </c>
      <c r="T3718" s="65">
        <f t="shared" si="1155"/>
        <v>0</v>
      </c>
      <c r="U3718" s="65">
        <f t="shared" si="1153"/>
        <v>0</v>
      </c>
      <c r="V3718" s="65">
        <f t="shared" si="1153"/>
        <v>0</v>
      </c>
      <c r="W3718" s="65">
        <f t="shared" si="1153"/>
        <v>0</v>
      </c>
      <c r="X3718" s="65">
        <f t="shared" si="1153"/>
        <v>0</v>
      </c>
      <c r="Y3718" s="65">
        <f t="shared" si="1153"/>
        <v>9.0909090909090912E-2</v>
      </c>
      <c r="Z3718" s="65">
        <f t="shared" si="1153"/>
        <v>0</v>
      </c>
      <c r="AA3718" s="65">
        <f t="shared" si="1153"/>
        <v>0</v>
      </c>
      <c r="AB3718" s="65">
        <f t="shared" si="1149"/>
        <v>9.0909090909090912E-2</v>
      </c>
    </row>
    <row r="3719" spans="4:28" s="14" customFormat="1" x14ac:dyDescent="0.25">
      <c r="D3719" s="14" t="s">
        <v>77</v>
      </c>
      <c r="G3719">
        <f>IFERROR(HLOOKUP(G$2,[112]table_male_hkom2_inj.ill_X1!$A$1:$K$36,9,FALSE),0)</f>
        <v>0</v>
      </c>
      <c r="H3719">
        <f>IFERROR(HLOOKUP(H$2,[112]table_male_hkom2_inj.ill_X1!$A$1:$K$36,9,FALSE),0)</f>
        <v>0</v>
      </c>
      <c r="I3719">
        <f>IFERROR(HLOOKUP(I$2,[112]table_male_hkom2_inj.ill_X1!$A$1:$K$36,9,FALSE),0)</f>
        <v>1</v>
      </c>
      <c r="J3719">
        <f>IFERROR(HLOOKUP(J$2,[112]table_male_hkom2_inj.ill_X1!$A$1:$K$36,9,FALSE),0)</f>
        <v>0</v>
      </c>
      <c r="K3719">
        <f>IFERROR(HLOOKUP(K$2,[112]table_male_hkom2_inj.ill_X1!$A$1:$K$36,9,FALSE),0)</f>
        <v>0</v>
      </c>
      <c r="L3719">
        <f>IFERROR(HLOOKUP(L$2,[112]table_male_hkom2_inj.ill_X1!$A$1:$K$36,9,FALSE),0)</f>
        <v>0</v>
      </c>
      <c r="M3719">
        <f t="shared" si="1154"/>
        <v>1</v>
      </c>
      <c r="N3719"/>
      <c r="O3719"/>
      <c r="S3719" s="14" t="s">
        <v>77</v>
      </c>
      <c r="T3719" s="65">
        <f t="shared" si="1155"/>
        <v>0</v>
      </c>
      <c r="U3719" s="65">
        <f t="shared" si="1153"/>
        <v>0</v>
      </c>
      <c r="V3719" s="65">
        <f t="shared" si="1153"/>
        <v>0</v>
      </c>
      <c r="W3719" s="65">
        <f t="shared" si="1153"/>
        <v>0</v>
      </c>
      <c r="X3719" s="65">
        <f t="shared" si="1153"/>
        <v>3.6666666666666665</v>
      </c>
      <c r="Y3719" s="65">
        <f t="shared" si="1153"/>
        <v>9.0909090909090912E-2</v>
      </c>
      <c r="Z3719" s="65">
        <f t="shared" si="1153"/>
        <v>0</v>
      </c>
      <c r="AA3719" s="65">
        <f t="shared" si="1153"/>
        <v>0</v>
      </c>
      <c r="AB3719" s="65">
        <f t="shared" si="1149"/>
        <v>3.7575757575757573</v>
      </c>
    </row>
    <row r="3720" spans="4:28" s="14" customFormat="1" x14ac:dyDescent="0.25">
      <c r="D3720" s="14" t="s">
        <v>78</v>
      </c>
      <c r="G3720">
        <f>IFERROR(HLOOKUP(G$2,[112]table_male_hkom2_inj.ill_X1!$A$1:$K$36,10,FALSE),0)</f>
        <v>0</v>
      </c>
      <c r="H3720">
        <f>IFERROR(HLOOKUP(H$2,[112]table_male_hkom2_inj.ill_X1!$A$1:$K$36,10,FALSE),0)</f>
        <v>0</v>
      </c>
      <c r="I3720">
        <f>IFERROR(HLOOKUP(I$2,[112]table_male_hkom2_inj.ill_X1!$A$1:$K$36,10,FALSE),0)</f>
        <v>0</v>
      </c>
      <c r="J3720">
        <f>IFERROR(HLOOKUP(J$2,[112]table_male_hkom2_inj.ill_X1!$A$1:$K$36,10,FALSE),0)</f>
        <v>0</v>
      </c>
      <c r="K3720">
        <f>IFERROR(HLOOKUP(K$2,[112]table_male_hkom2_inj.ill_X1!$A$1:$K$36,10,FALSE),0)</f>
        <v>0</v>
      </c>
      <c r="L3720">
        <f>IFERROR(HLOOKUP(L$2,[112]table_male_hkom2_inj.ill_X1!$A$1:$K$36,10,FALSE),0)</f>
        <v>0</v>
      </c>
      <c r="M3720">
        <f t="shared" si="1154"/>
        <v>0</v>
      </c>
      <c r="N3720"/>
      <c r="O3720"/>
      <c r="S3720" s="14" t="s">
        <v>78</v>
      </c>
      <c r="T3720" s="65">
        <f t="shared" si="1155"/>
        <v>0</v>
      </c>
      <c r="U3720" s="65">
        <f t="shared" si="1153"/>
        <v>0</v>
      </c>
      <c r="V3720" s="65">
        <f t="shared" si="1153"/>
        <v>0</v>
      </c>
      <c r="W3720" s="65">
        <f t="shared" si="1153"/>
        <v>0</v>
      </c>
      <c r="X3720" s="65">
        <f t="shared" si="1153"/>
        <v>0</v>
      </c>
      <c r="Y3720" s="65">
        <f t="shared" si="1153"/>
        <v>9.0909090909090912E-2</v>
      </c>
      <c r="Z3720" s="65">
        <f t="shared" si="1153"/>
        <v>0</v>
      </c>
      <c r="AA3720" s="65">
        <f t="shared" si="1153"/>
        <v>0</v>
      </c>
      <c r="AB3720" s="65">
        <f t="shared" si="1149"/>
        <v>9.0909090909090912E-2</v>
      </c>
    </row>
    <row r="3721" spans="4:28" s="14" customFormat="1" x14ac:dyDescent="0.25">
      <c r="D3721" s="14" t="s">
        <v>79</v>
      </c>
      <c r="G3721">
        <f>IFERROR(HLOOKUP(G$2,[112]table_male_hkom2_inj.ill_X1!$A$1:$K$36,11,FALSE),0)</f>
        <v>0</v>
      </c>
      <c r="H3721">
        <f>IFERROR(HLOOKUP(H$2,[112]table_male_hkom2_inj.ill_X1!$A$1:$K$36,11,FALSE),0)</f>
        <v>0</v>
      </c>
      <c r="I3721">
        <f>IFERROR(HLOOKUP(I$2,[112]table_male_hkom2_inj.ill_X1!$A$1:$K$36,11,FALSE),0)</f>
        <v>0</v>
      </c>
      <c r="J3721">
        <f>IFERROR(HLOOKUP(J$2,[112]table_male_hkom2_inj.ill_X1!$A$1:$K$36,11,FALSE),0)</f>
        <v>0</v>
      </c>
      <c r="K3721">
        <f>IFERROR(HLOOKUP(K$2,[112]table_male_hkom2_inj.ill_X1!$A$1:$K$36,11,FALSE),0)</f>
        <v>0</v>
      </c>
      <c r="L3721">
        <f>IFERROR(HLOOKUP(L$2,[112]table_male_hkom2_inj.ill_X1!$A$1:$K$36,11,FALSE),0)</f>
        <v>0</v>
      </c>
      <c r="M3721">
        <f t="shared" si="1154"/>
        <v>0</v>
      </c>
      <c r="N3721"/>
      <c r="O3721"/>
      <c r="S3721" s="14" t="s">
        <v>79</v>
      </c>
      <c r="T3721" s="65">
        <f t="shared" si="1155"/>
        <v>0</v>
      </c>
      <c r="U3721" s="65">
        <f t="shared" si="1153"/>
        <v>0</v>
      </c>
      <c r="V3721" s="65">
        <f t="shared" si="1153"/>
        <v>0</v>
      </c>
      <c r="W3721" s="65">
        <f t="shared" si="1153"/>
        <v>0</v>
      </c>
      <c r="X3721" s="65">
        <f t="shared" si="1153"/>
        <v>0</v>
      </c>
      <c r="Y3721" s="65">
        <f t="shared" si="1153"/>
        <v>9.0909090909090912E-2</v>
      </c>
      <c r="Z3721" s="65">
        <f t="shared" si="1153"/>
        <v>0</v>
      </c>
      <c r="AA3721" s="65">
        <f t="shared" si="1153"/>
        <v>0</v>
      </c>
      <c r="AB3721" s="65">
        <f t="shared" si="1149"/>
        <v>9.0909090909090912E-2</v>
      </c>
    </row>
    <row r="3722" spans="4:28" s="14" customFormat="1" x14ac:dyDescent="0.25">
      <c r="D3722" s="14" t="s">
        <v>80</v>
      </c>
      <c r="G3722">
        <f>IFERROR(HLOOKUP(G$2,[112]table_male_hkom2_inj.ill_X1!$A$1:$K$36,12,FALSE),0)</f>
        <v>0</v>
      </c>
      <c r="H3722">
        <f>IFERROR(HLOOKUP(H$2,[112]table_male_hkom2_inj.ill_X1!$A$1:$K$36,12,FALSE),0)</f>
        <v>0</v>
      </c>
      <c r="I3722">
        <f>IFERROR(HLOOKUP(I$2,[112]table_male_hkom2_inj.ill_X1!$A$1:$K$36,12,FALSE),0)</f>
        <v>0</v>
      </c>
      <c r="J3722">
        <f>IFERROR(HLOOKUP(J$2,[112]table_male_hkom2_inj.ill_X1!$A$1:$K$36,12,FALSE),0)</f>
        <v>0</v>
      </c>
      <c r="K3722">
        <f>IFERROR(HLOOKUP(K$2,[112]table_male_hkom2_inj.ill_X1!$A$1:$K$36,12,FALSE),0)</f>
        <v>0</v>
      </c>
      <c r="L3722">
        <f>IFERROR(HLOOKUP(L$2,[112]table_male_hkom2_inj.ill_X1!$A$1:$K$36,12,FALSE),0)</f>
        <v>0</v>
      </c>
      <c r="M3722">
        <f t="shared" si="1154"/>
        <v>0</v>
      </c>
      <c r="N3722"/>
      <c r="O3722"/>
      <c r="S3722" s="14" t="s">
        <v>80</v>
      </c>
      <c r="T3722" s="65">
        <f t="shared" si="1155"/>
        <v>0</v>
      </c>
      <c r="U3722" s="65">
        <f t="shared" si="1153"/>
        <v>0</v>
      </c>
      <c r="V3722" s="65">
        <f t="shared" si="1153"/>
        <v>0</v>
      </c>
      <c r="W3722" s="65">
        <f t="shared" si="1153"/>
        <v>0</v>
      </c>
      <c r="X3722" s="65">
        <f t="shared" si="1153"/>
        <v>0</v>
      </c>
      <c r="Y3722" s="65">
        <f t="shared" si="1153"/>
        <v>9.0909090909090912E-2</v>
      </c>
      <c r="Z3722" s="65">
        <f t="shared" si="1153"/>
        <v>0</v>
      </c>
      <c r="AA3722" s="65">
        <f t="shared" si="1153"/>
        <v>0</v>
      </c>
      <c r="AB3722" s="65">
        <f t="shared" si="1149"/>
        <v>9.0909090909090912E-2</v>
      </c>
    </row>
    <row r="3723" spans="4:28" s="14" customFormat="1" x14ac:dyDescent="0.25">
      <c r="D3723" s="14" t="s">
        <v>81</v>
      </c>
      <c r="G3723">
        <f>IFERROR(HLOOKUP(G$2,[112]table_male_hkom2_inj.ill_X1!$A$1:$K$36,13,FALSE),0)</f>
        <v>0</v>
      </c>
      <c r="H3723">
        <f>IFERROR(HLOOKUP(H$2,[112]table_male_hkom2_inj.ill_X1!$A$1:$K$36,13,FALSE),0)</f>
        <v>0</v>
      </c>
      <c r="I3723">
        <f>IFERROR(HLOOKUP(I$2,[112]table_male_hkom2_inj.ill_X1!$A$1:$K$36,13,FALSE),0)</f>
        <v>0</v>
      </c>
      <c r="J3723">
        <f>IFERROR(HLOOKUP(J$2,[112]table_male_hkom2_inj.ill_X1!$A$1:$K$36,13,FALSE),0)</f>
        <v>0</v>
      </c>
      <c r="K3723">
        <f>IFERROR(HLOOKUP(K$2,[112]table_male_hkom2_inj.ill_X1!$A$1:$K$36,13,FALSE),0)</f>
        <v>0</v>
      </c>
      <c r="L3723">
        <f>IFERROR(HLOOKUP(L$2,[112]table_male_hkom2_inj.ill_X1!$A$1:$K$36,13,FALSE),0)</f>
        <v>0</v>
      </c>
      <c r="M3723">
        <f t="shared" si="1154"/>
        <v>0</v>
      </c>
      <c r="N3723"/>
      <c r="O3723"/>
      <c r="S3723" s="14" t="s">
        <v>81</v>
      </c>
      <c r="T3723" s="65">
        <f t="shared" si="1155"/>
        <v>0</v>
      </c>
      <c r="U3723" s="65">
        <f t="shared" si="1153"/>
        <v>0</v>
      </c>
      <c r="V3723" s="65">
        <f t="shared" si="1153"/>
        <v>0</v>
      </c>
      <c r="W3723" s="65">
        <f t="shared" si="1153"/>
        <v>0</v>
      </c>
      <c r="X3723" s="65">
        <f t="shared" si="1153"/>
        <v>0</v>
      </c>
      <c r="Y3723" s="65">
        <f t="shared" si="1153"/>
        <v>9.0909090909090912E-2</v>
      </c>
      <c r="Z3723" s="65">
        <f t="shared" si="1153"/>
        <v>0</v>
      </c>
      <c r="AA3723" s="65">
        <f t="shared" si="1153"/>
        <v>0</v>
      </c>
      <c r="AB3723" s="65">
        <f t="shared" si="1149"/>
        <v>9.0909090909090912E-2</v>
      </c>
    </row>
    <row r="3724" spans="4:28" s="14" customFormat="1" x14ac:dyDescent="0.25">
      <c r="D3724" s="14" t="s">
        <v>82</v>
      </c>
      <c r="G3724">
        <f>IFERROR(HLOOKUP(G$2,[112]table_male_hkom2_inj.ill_X1!$A$1:$K$36,14,FALSE),0)</f>
        <v>0</v>
      </c>
      <c r="H3724">
        <f>IFERROR(HLOOKUP(H$2,[112]table_male_hkom2_inj.ill_X1!$A$1:$K$36,14,FALSE),0)</f>
        <v>0</v>
      </c>
      <c r="I3724">
        <f>IFERROR(HLOOKUP(I$2,[112]table_male_hkom2_inj.ill_X1!$A$1:$K$36,14,FALSE),0)</f>
        <v>0</v>
      </c>
      <c r="J3724">
        <f>IFERROR(HLOOKUP(J$2,[112]table_male_hkom2_inj.ill_X1!$A$1:$K$36,14,FALSE),0)</f>
        <v>0</v>
      </c>
      <c r="K3724">
        <f>IFERROR(HLOOKUP(K$2,[112]table_male_hkom2_inj.ill_X1!$A$1:$K$36,14,FALSE),0)</f>
        <v>0</v>
      </c>
      <c r="L3724">
        <f>IFERROR(HLOOKUP(L$2,[112]table_male_hkom2_inj.ill_X1!$A$1:$K$36,14,FALSE),0)</f>
        <v>0</v>
      </c>
      <c r="M3724">
        <f t="shared" si="1154"/>
        <v>0</v>
      </c>
      <c r="N3724"/>
      <c r="O3724"/>
      <c r="S3724" s="14" t="s">
        <v>82</v>
      </c>
      <c r="T3724" s="65">
        <f t="shared" si="1155"/>
        <v>0</v>
      </c>
      <c r="U3724" s="65">
        <f t="shared" si="1153"/>
        <v>0</v>
      </c>
      <c r="V3724" s="65">
        <f t="shared" si="1153"/>
        <v>0</v>
      </c>
      <c r="W3724" s="65">
        <f t="shared" si="1153"/>
        <v>0</v>
      </c>
      <c r="X3724" s="65">
        <f t="shared" si="1153"/>
        <v>0</v>
      </c>
      <c r="Y3724" s="65">
        <f t="shared" si="1153"/>
        <v>9.0909090909090912E-2</v>
      </c>
      <c r="Z3724" s="65">
        <f t="shared" si="1153"/>
        <v>0</v>
      </c>
      <c r="AA3724" s="65">
        <f t="shared" si="1153"/>
        <v>0</v>
      </c>
      <c r="AB3724" s="65">
        <f t="shared" si="1149"/>
        <v>9.0909090909090912E-2</v>
      </c>
    </row>
    <row r="3725" spans="4:28" s="14" customFormat="1" x14ac:dyDescent="0.25">
      <c r="D3725" s="14" t="s">
        <v>83</v>
      </c>
      <c r="G3725">
        <f>IFERROR(HLOOKUP(G$2,[112]table_male_hkom2_inj.ill_X1!$A$1:$K$36,15,FALSE),0)</f>
        <v>0</v>
      </c>
      <c r="H3725">
        <f>IFERROR(HLOOKUP(H$2,[112]table_male_hkom2_inj.ill_X1!$A$1:$K$36,15,FALSE),0)</f>
        <v>1</v>
      </c>
      <c r="I3725">
        <f>IFERROR(HLOOKUP(I$2,[112]table_male_hkom2_inj.ill_X1!$A$1:$K$36,15,FALSE),0)</f>
        <v>0</v>
      </c>
      <c r="J3725">
        <f>IFERROR(HLOOKUP(J$2,[112]table_male_hkom2_inj.ill_X1!$A$1:$K$36,15,FALSE),0)</f>
        <v>0</v>
      </c>
      <c r="K3725">
        <f>IFERROR(HLOOKUP(K$2,[112]table_male_hkom2_inj.ill_X1!$A$1:$K$36,15,FALSE),0)</f>
        <v>0</v>
      </c>
      <c r="L3725">
        <f>IFERROR(HLOOKUP(L$2,[112]table_male_hkom2_inj.ill_X1!$A$1:$K$36,15,FALSE),0)</f>
        <v>0</v>
      </c>
      <c r="M3725">
        <f t="shared" si="1154"/>
        <v>1</v>
      </c>
      <c r="N3725"/>
      <c r="O3725"/>
      <c r="S3725" s="14" t="s">
        <v>83</v>
      </c>
      <c r="T3725" s="65">
        <f t="shared" si="1155"/>
        <v>0</v>
      </c>
      <c r="U3725" s="65">
        <f t="shared" si="1153"/>
        <v>0</v>
      </c>
      <c r="V3725" s="65">
        <f t="shared" si="1153"/>
        <v>0</v>
      </c>
      <c r="W3725" s="65">
        <f t="shared" si="1153"/>
        <v>1.8571428571428572</v>
      </c>
      <c r="X3725" s="65">
        <f t="shared" si="1153"/>
        <v>0</v>
      </c>
      <c r="Y3725" s="65">
        <f t="shared" si="1153"/>
        <v>9.0909090909090912E-2</v>
      </c>
      <c r="Z3725" s="65">
        <f t="shared" si="1153"/>
        <v>0</v>
      </c>
      <c r="AA3725" s="65">
        <f t="shared" si="1153"/>
        <v>0</v>
      </c>
      <c r="AB3725" s="65">
        <f t="shared" si="1149"/>
        <v>1.948051948051948</v>
      </c>
    </row>
    <row r="3726" spans="4:28" s="14" customFormat="1" x14ac:dyDescent="0.25">
      <c r="D3726" s="14" t="s">
        <v>84</v>
      </c>
      <c r="G3726">
        <f>IFERROR(HLOOKUP(G$2,[112]table_male_hkom2_inj.ill_X1!$A$1:$K$36,16,FALSE),0)</f>
        <v>0</v>
      </c>
      <c r="H3726">
        <f>IFERROR(HLOOKUP(H$2,[112]table_male_hkom2_inj.ill_X1!$A$1:$K$36,16,FALSE),0)</f>
        <v>0</v>
      </c>
      <c r="I3726">
        <f>IFERROR(HLOOKUP(I$2,[112]table_male_hkom2_inj.ill_X1!$A$1:$K$36,16,FALSE),0)</f>
        <v>0</v>
      </c>
      <c r="J3726">
        <f>IFERROR(HLOOKUP(J$2,[112]table_male_hkom2_inj.ill_X1!$A$1:$K$36,16,FALSE),0)</f>
        <v>0</v>
      </c>
      <c r="K3726">
        <f>IFERROR(HLOOKUP(K$2,[112]table_male_hkom2_inj.ill_X1!$A$1:$K$36,16,FALSE),0)</f>
        <v>0</v>
      </c>
      <c r="L3726">
        <f>IFERROR(HLOOKUP(L$2,[112]table_male_hkom2_inj.ill_X1!$A$1:$K$36,16,FALSE),0)</f>
        <v>0</v>
      </c>
      <c r="M3726">
        <f t="shared" si="1154"/>
        <v>0</v>
      </c>
      <c r="N3726"/>
      <c r="O3726"/>
      <c r="S3726" s="14" t="s">
        <v>84</v>
      </c>
      <c r="T3726" s="65">
        <f t="shared" si="1155"/>
        <v>0</v>
      </c>
      <c r="U3726" s="65">
        <f t="shared" si="1153"/>
        <v>0</v>
      </c>
      <c r="V3726" s="65">
        <f t="shared" si="1153"/>
        <v>0</v>
      </c>
      <c r="W3726" s="65">
        <f t="shared" si="1153"/>
        <v>0</v>
      </c>
      <c r="X3726" s="65">
        <f t="shared" si="1153"/>
        <v>0</v>
      </c>
      <c r="Y3726" s="65">
        <f t="shared" si="1153"/>
        <v>9.0909090909090912E-2</v>
      </c>
      <c r="Z3726" s="65">
        <f t="shared" si="1153"/>
        <v>0</v>
      </c>
      <c r="AA3726" s="65">
        <f t="shared" si="1153"/>
        <v>0</v>
      </c>
      <c r="AB3726" s="65">
        <f t="shared" si="1149"/>
        <v>9.0909090909090912E-2</v>
      </c>
    </row>
    <row r="3727" spans="4:28" s="14" customFormat="1" x14ac:dyDescent="0.25">
      <c r="D3727" s="14" t="s">
        <v>85</v>
      </c>
      <c r="G3727">
        <f>IFERROR(HLOOKUP(G$2,[112]table_male_hkom2_inj.ill_X1!$A$1:$K$36,17,FALSE),0)</f>
        <v>0</v>
      </c>
      <c r="H3727">
        <f>IFERROR(HLOOKUP(H$2,[112]table_male_hkom2_inj.ill_X1!$A$1:$K$36,17,FALSE),0)</f>
        <v>0</v>
      </c>
      <c r="I3727">
        <f>IFERROR(HLOOKUP(I$2,[112]table_male_hkom2_inj.ill_X1!$A$1:$K$36,17,FALSE),0)</f>
        <v>0</v>
      </c>
      <c r="J3727">
        <f>IFERROR(HLOOKUP(J$2,[112]table_male_hkom2_inj.ill_X1!$A$1:$K$36,17,FALSE),0)</f>
        <v>0</v>
      </c>
      <c r="K3727">
        <f>IFERROR(HLOOKUP(K$2,[112]table_male_hkom2_inj.ill_X1!$A$1:$K$36,17,FALSE),0)</f>
        <v>0</v>
      </c>
      <c r="L3727">
        <f>IFERROR(HLOOKUP(L$2,[112]table_male_hkom2_inj.ill_X1!$A$1:$K$36,17,FALSE),0)</f>
        <v>0</v>
      </c>
      <c r="M3727">
        <f t="shared" si="1154"/>
        <v>0</v>
      </c>
      <c r="N3727"/>
      <c r="O3727"/>
      <c r="S3727" s="14" t="s">
        <v>85</v>
      </c>
      <c r="T3727" s="65">
        <f t="shared" si="1155"/>
        <v>0</v>
      </c>
      <c r="U3727" s="65">
        <f t="shared" si="1153"/>
        <v>0</v>
      </c>
      <c r="V3727" s="65">
        <f t="shared" si="1153"/>
        <v>0</v>
      </c>
      <c r="W3727" s="65">
        <f t="shared" si="1153"/>
        <v>0</v>
      </c>
      <c r="X3727" s="65">
        <f t="shared" si="1153"/>
        <v>0</v>
      </c>
      <c r="Y3727" s="65">
        <f t="shared" si="1153"/>
        <v>9.0909090909090912E-2</v>
      </c>
      <c r="Z3727" s="65">
        <f t="shared" si="1153"/>
        <v>0</v>
      </c>
      <c r="AA3727" s="65">
        <f t="shared" si="1153"/>
        <v>0</v>
      </c>
      <c r="AB3727" s="65">
        <f t="shared" si="1149"/>
        <v>9.0909090909090912E-2</v>
      </c>
    </row>
    <row r="3728" spans="4:28" s="14" customFormat="1" x14ac:dyDescent="0.25">
      <c r="D3728" s="14" t="s">
        <v>86</v>
      </c>
      <c r="G3728">
        <f>IFERROR(HLOOKUP(G$2,[112]table_male_hkom2_inj.ill_X1!$A$1:$K$36,18,FALSE),0)</f>
        <v>1</v>
      </c>
      <c r="H3728">
        <f>IFERROR(HLOOKUP(H$2,[112]table_male_hkom2_inj.ill_X1!$A$1:$K$36,18,FALSE),0)</f>
        <v>2</v>
      </c>
      <c r="I3728">
        <f>IFERROR(HLOOKUP(I$2,[112]table_male_hkom2_inj.ill_X1!$A$1:$K$36,18,FALSE),0)</f>
        <v>0</v>
      </c>
      <c r="J3728">
        <f>IFERROR(HLOOKUP(J$2,[112]table_male_hkom2_inj.ill_X1!$A$1:$K$36,18,FALSE),0)</f>
        <v>0</v>
      </c>
      <c r="K3728">
        <f>IFERROR(HLOOKUP(K$2,[112]table_male_hkom2_inj.ill_X1!$A$1:$K$36,18,FALSE),0)</f>
        <v>0</v>
      </c>
      <c r="L3728">
        <f>IFERROR(HLOOKUP(L$2,[112]table_male_hkom2_inj.ill_X1!$A$1:$K$36,18,FALSE),0)</f>
        <v>0</v>
      </c>
      <c r="M3728">
        <f t="shared" si="1154"/>
        <v>3</v>
      </c>
      <c r="N3728"/>
      <c r="O3728"/>
      <c r="S3728" s="14" t="s">
        <v>86</v>
      </c>
      <c r="T3728" s="65">
        <f t="shared" si="1155"/>
        <v>0</v>
      </c>
      <c r="U3728" s="65">
        <f t="shared" ref="U3728:AA3744" si="1156">IF(SUM(F$3712:F$3744)=0,F$3745/33,F3728+IFERROR(F3728/SUM(F$3712:F$3744)*F$3745,0))</f>
        <v>0</v>
      </c>
      <c r="V3728" s="65">
        <f t="shared" si="1156"/>
        <v>3</v>
      </c>
      <c r="W3728" s="65">
        <f t="shared" si="1156"/>
        <v>3.7142857142857144</v>
      </c>
      <c r="X3728" s="65">
        <f t="shared" si="1156"/>
        <v>0</v>
      </c>
      <c r="Y3728" s="65">
        <f t="shared" si="1156"/>
        <v>9.0909090909090912E-2</v>
      </c>
      <c r="Z3728" s="65">
        <f t="shared" si="1156"/>
        <v>0</v>
      </c>
      <c r="AA3728" s="65">
        <f t="shared" si="1156"/>
        <v>0</v>
      </c>
      <c r="AB3728" s="65">
        <f t="shared" si="1149"/>
        <v>6.8051948051948052</v>
      </c>
    </row>
    <row r="3729" spans="4:28" s="14" customFormat="1" x14ac:dyDescent="0.25">
      <c r="D3729" s="14" t="s">
        <v>87</v>
      </c>
      <c r="G3729">
        <f>IFERROR(HLOOKUP(G$2,[112]table_male_hkom2_inj.ill_X1!$A$1:$K$36,19,FALSE),0)</f>
        <v>0</v>
      </c>
      <c r="H3729">
        <f>IFERROR(HLOOKUP(H$2,[112]table_male_hkom2_inj.ill_X1!$A$1:$K$36,19,FALSE),0)</f>
        <v>2</v>
      </c>
      <c r="I3729">
        <f>IFERROR(HLOOKUP(I$2,[112]table_male_hkom2_inj.ill_X1!$A$1:$K$36,19,FALSE),0)</f>
        <v>0</v>
      </c>
      <c r="J3729">
        <f>IFERROR(HLOOKUP(J$2,[112]table_male_hkom2_inj.ill_X1!$A$1:$K$36,19,FALSE),0)</f>
        <v>0</v>
      </c>
      <c r="K3729">
        <f>IFERROR(HLOOKUP(K$2,[112]table_male_hkom2_inj.ill_X1!$A$1:$K$36,19,FALSE),0)</f>
        <v>0</v>
      </c>
      <c r="L3729">
        <f>IFERROR(HLOOKUP(L$2,[112]table_male_hkom2_inj.ill_X1!$A$1:$K$36,19,FALSE),0)</f>
        <v>0</v>
      </c>
      <c r="M3729">
        <f t="shared" si="1154"/>
        <v>2</v>
      </c>
      <c r="N3729"/>
      <c r="O3729"/>
      <c r="S3729" s="14" t="s">
        <v>87</v>
      </c>
      <c r="T3729" s="65">
        <f t="shared" si="1155"/>
        <v>0</v>
      </c>
      <c r="U3729" s="65">
        <f t="shared" si="1156"/>
        <v>0</v>
      </c>
      <c r="V3729" s="65">
        <f t="shared" si="1156"/>
        <v>0</v>
      </c>
      <c r="W3729" s="65">
        <f t="shared" si="1156"/>
        <v>3.7142857142857144</v>
      </c>
      <c r="X3729" s="65">
        <f t="shared" si="1156"/>
        <v>0</v>
      </c>
      <c r="Y3729" s="65">
        <f t="shared" si="1156"/>
        <v>9.0909090909090912E-2</v>
      </c>
      <c r="Z3729" s="65">
        <f t="shared" si="1156"/>
        <v>0</v>
      </c>
      <c r="AA3729" s="65">
        <f t="shared" si="1156"/>
        <v>0</v>
      </c>
      <c r="AB3729" s="65">
        <f t="shared" si="1149"/>
        <v>3.8051948051948052</v>
      </c>
    </row>
    <row r="3730" spans="4:28" s="14" customFormat="1" x14ac:dyDescent="0.25">
      <c r="D3730" s="14" t="s">
        <v>88</v>
      </c>
      <c r="G3730">
        <f>IFERROR(HLOOKUP(G$2,[112]table_male_hkom2_inj.ill_X1!$A$1:$K$36,20,FALSE),0)</f>
        <v>0</v>
      </c>
      <c r="H3730">
        <f>IFERROR(HLOOKUP(H$2,[112]table_male_hkom2_inj.ill_X1!$A$1:$K$36,20,FALSE),0)</f>
        <v>2</v>
      </c>
      <c r="I3730">
        <f>IFERROR(HLOOKUP(I$2,[112]table_male_hkom2_inj.ill_X1!$A$1:$K$36,20,FALSE),0)</f>
        <v>1</v>
      </c>
      <c r="J3730">
        <f>IFERROR(HLOOKUP(J$2,[112]table_male_hkom2_inj.ill_X1!$A$1:$K$36,20,FALSE),0)</f>
        <v>0</v>
      </c>
      <c r="K3730">
        <f>IFERROR(HLOOKUP(K$2,[112]table_male_hkom2_inj.ill_X1!$A$1:$K$36,20,FALSE),0)</f>
        <v>0</v>
      </c>
      <c r="L3730">
        <f>IFERROR(HLOOKUP(L$2,[112]table_male_hkom2_inj.ill_X1!$A$1:$K$36,20,FALSE),0)</f>
        <v>0</v>
      </c>
      <c r="M3730">
        <f t="shared" si="1154"/>
        <v>3</v>
      </c>
      <c r="N3730"/>
      <c r="O3730"/>
      <c r="S3730" s="14" t="s">
        <v>88</v>
      </c>
      <c r="T3730" s="65">
        <f t="shared" si="1155"/>
        <v>0</v>
      </c>
      <c r="U3730" s="65">
        <f t="shared" si="1156"/>
        <v>0</v>
      </c>
      <c r="V3730" s="65">
        <f t="shared" si="1156"/>
        <v>0</v>
      </c>
      <c r="W3730" s="65">
        <f t="shared" si="1156"/>
        <v>3.7142857142857144</v>
      </c>
      <c r="X3730" s="65">
        <f t="shared" si="1156"/>
        <v>3.6666666666666665</v>
      </c>
      <c r="Y3730" s="65">
        <f t="shared" si="1156"/>
        <v>9.0909090909090912E-2</v>
      </c>
      <c r="Z3730" s="65">
        <f t="shared" si="1156"/>
        <v>0</v>
      </c>
      <c r="AA3730" s="65">
        <f t="shared" si="1156"/>
        <v>0</v>
      </c>
      <c r="AB3730" s="65">
        <f t="shared" si="1149"/>
        <v>7.4718614718614722</v>
      </c>
    </row>
    <row r="3731" spans="4:28" s="14" customFormat="1" x14ac:dyDescent="0.25">
      <c r="D3731" s="14" t="s">
        <v>89</v>
      </c>
      <c r="G3731">
        <f>IFERROR(HLOOKUP(G$2,[112]table_male_hkom2_inj.ill_X1!$A$1:$K$36,21,FALSE),0)</f>
        <v>0</v>
      </c>
      <c r="H3731">
        <f>IFERROR(HLOOKUP(H$2,[112]table_male_hkom2_inj.ill_X1!$A$1:$K$36,21,FALSE),0)</f>
        <v>0</v>
      </c>
      <c r="I3731">
        <f>IFERROR(HLOOKUP(I$2,[112]table_male_hkom2_inj.ill_X1!$A$1:$K$36,21,FALSE),0)</f>
        <v>0</v>
      </c>
      <c r="J3731">
        <f>IFERROR(HLOOKUP(J$2,[112]table_male_hkom2_inj.ill_X1!$A$1:$K$36,21,FALSE),0)</f>
        <v>0</v>
      </c>
      <c r="K3731">
        <f>IFERROR(HLOOKUP(K$2,[112]table_male_hkom2_inj.ill_X1!$A$1:$K$36,21,FALSE),0)</f>
        <v>0</v>
      </c>
      <c r="L3731">
        <f>IFERROR(HLOOKUP(L$2,[112]table_male_hkom2_inj.ill_X1!$A$1:$K$36,21,FALSE),0)</f>
        <v>0</v>
      </c>
      <c r="M3731">
        <f t="shared" si="1154"/>
        <v>0</v>
      </c>
      <c r="N3731"/>
      <c r="O3731"/>
      <c r="S3731" s="14" t="s">
        <v>89</v>
      </c>
      <c r="T3731" s="65">
        <f t="shared" si="1155"/>
        <v>0</v>
      </c>
      <c r="U3731" s="65">
        <f t="shared" si="1156"/>
        <v>0</v>
      </c>
      <c r="V3731" s="65">
        <f t="shared" si="1156"/>
        <v>0</v>
      </c>
      <c r="W3731" s="65">
        <f t="shared" si="1156"/>
        <v>0</v>
      </c>
      <c r="X3731" s="65">
        <f t="shared" si="1156"/>
        <v>0</v>
      </c>
      <c r="Y3731" s="65">
        <f t="shared" si="1156"/>
        <v>9.0909090909090912E-2</v>
      </c>
      <c r="Z3731" s="65">
        <f t="shared" si="1156"/>
        <v>0</v>
      </c>
      <c r="AA3731" s="65">
        <f t="shared" si="1156"/>
        <v>0</v>
      </c>
      <c r="AB3731" s="65">
        <f t="shared" si="1149"/>
        <v>9.0909090909090912E-2</v>
      </c>
    </row>
    <row r="3732" spans="4:28" s="14" customFormat="1" x14ac:dyDescent="0.25">
      <c r="D3732" s="14" t="s">
        <v>90</v>
      </c>
      <c r="G3732">
        <f>IFERROR(HLOOKUP(G$2,[112]table_male_hkom2_inj.ill_X1!$A$1:$K$36,22,FALSE),0)</f>
        <v>0</v>
      </c>
      <c r="H3732">
        <f>IFERROR(HLOOKUP(H$2,[112]table_male_hkom2_inj.ill_X1!$A$1:$K$36,22,FALSE),0)</f>
        <v>0</v>
      </c>
      <c r="I3732">
        <f>IFERROR(HLOOKUP(I$2,[112]table_male_hkom2_inj.ill_X1!$A$1:$K$36,22,FALSE),0)</f>
        <v>0</v>
      </c>
      <c r="J3732">
        <f>IFERROR(HLOOKUP(J$2,[112]table_male_hkom2_inj.ill_X1!$A$1:$K$36,22,FALSE),0)</f>
        <v>0</v>
      </c>
      <c r="K3732">
        <f>IFERROR(HLOOKUP(K$2,[112]table_male_hkom2_inj.ill_X1!$A$1:$K$36,22,FALSE),0)</f>
        <v>0</v>
      </c>
      <c r="L3732">
        <f>IFERROR(HLOOKUP(L$2,[112]table_male_hkom2_inj.ill_X1!$A$1:$K$36,22,FALSE),0)</f>
        <v>0</v>
      </c>
      <c r="M3732">
        <f t="shared" si="1154"/>
        <v>0</v>
      </c>
      <c r="N3732"/>
      <c r="O3732"/>
      <c r="S3732" s="14" t="s">
        <v>90</v>
      </c>
      <c r="T3732" s="65">
        <f t="shared" si="1155"/>
        <v>0</v>
      </c>
      <c r="U3732" s="65">
        <f t="shared" si="1156"/>
        <v>0</v>
      </c>
      <c r="V3732" s="65">
        <f t="shared" si="1156"/>
        <v>0</v>
      </c>
      <c r="W3732" s="65">
        <f t="shared" si="1156"/>
        <v>0</v>
      </c>
      <c r="X3732" s="65">
        <f t="shared" si="1156"/>
        <v>0</v>
      </c>
      <c r="Y3732" s="65">
        <f t="shared" si="1156"/>
        <v>9.0909090909090912E-2</v>
      </c>
      <c r="Z3732" s="65">
        <f t="shared" si="1156"/>
        <v>0</v>
      </c>
      <c r="AA3732" s="65">
        <f t="shared" si="1156"/>
        <v>0</v>
      </c>
      <c r="AB3732" s="65">
        <f t="shared" si="1149"/>
        <v>9.0909090909090912E-2</v>
      </c>
    </row>
    <row r="3733" spans="4:28" s="14" customFormat="1" x14ac:dyDescent="0.25">
      <c r="D3733" s="14" t="s">
        <v>91</v>
      </c>
      <c r="G3733">
        <f>IFERROR(HLOOKUP(G$2,[112]table_male_hkom2_inj.ill_X1!$A$1:$K$36,23,FALSE),0)</f>
        <v>0</v>
      </c>
      <c r="H3733">
        <f>IFERROR(HLOOKUP(H$2,[112]table_male_hkom2_inj.ill_X1!$A$1:$K$36,23,FALSE),0)</f>
        <v>0</v>
      </c>
      <c r="I3733">
        <f>IFERROR(HLOOKUP(I$2,[112]table_male_hkom2_inj.ill_X1!$A$1:$K$36,23,FALSE),0)</f>
        <v>0</v>
      </c>
      <c r="J3733">
        <f>IFERROR(HLOOKUP(J$2,[112]table_male_hkom2_inj.ill_X1!$A$1:$K$36,23,FALSE),0)</f>
        <v>0</v>
      </c>
      <c r="K3733">
        <f>IFERROR(HLOOKUP(K$2,[112]table_male_hkom2_inj.ill_X1!$A$1:$K$36,23,FALSE),0)</f>
        <v>0</v>
      </c>
      <c r="L3733">
        <f>IFERROR(HLOOKUP(L$2,[112]table_male_hkom2_inj.ill_X1!$A$1:$K$36,23,FALSE),0)</f>
        <v>0</v>
      </c>
      <c r="M3733">
        <f t="shared" si="1154"/>
        <v>0</v>
      </c>
      <c r="N3733"/>
      <c r="O3733"/>
      <c r="S3733" s="14" t="s">
        <v>91</v>
      </c>
      <c r="T3733" s="65">
        <f t="shared" si="1155"/>
        <v>0</v>
      </c>
      <c r="U3733" s="65">
        <f t="shared" si="1156"/>
        <v>0</v>
      </c>
      <c r="V3733" s="65">
        <f t="shared" si="1156"/>
        <v>0</v>
      </c>
      <c r="W3733" s="65">
        <f t="shared" si="1156"/>
        <v>0</v>
      </c>
      <c r="X3733" s="65">
        <f t="shared" si="1156"/>
        <v>0</v>
      </c>
      <c r="Y3733" s="65">
        <f t="shared" si="1156"/>
        <v>9.0909090909090912E-2</v>
      </c>
      <c r="Z3733" s="65">
        <f t="shared" si="1156"/>
        <v>0</v>
      </c>
      <c r="AA3733" s="65">
        <f t="shared" si="1156"/>
        <v>0</v>
      </c>
      <c r="AB3733" s="65">
        <f t="shared" si="1149"/>
        <v>9.0909090909090912E-2</v>
      </c>
    </row>
    <row r="3734" spans="4:28" s="14" customFormat="1" x14ac:dyDescent="0.25">
      <c r="D3734" s="14" t="s">
        <v>92</v>
      </c>
      <c r="G3734">
        <f>IFERROR(HLOOKUP(G$2,[112]table_male_hkom2_inj.ill_X1!$A$1:$K$36,24,FALSE),0)</f>
        <v>0</v>
      </c>
      <c r="H3734">
        <f>IFERROR(HLOOKUP(H$2,[112]table_male_hkom2_inj.ill_X1!$A$1:$K$36,24,FALSE),0)</f>
        <v>0</v>
      </c>
      <c r="I3734">
        <f>IFERROR(HLOOKUP(I$2,[112]table_male_hkom2_inj.ill_X1!$A$1:$K$36,24,FALSE),0)</f>
        <v>0</v>
      </c>
      <c r="J3734">
        <f>IFERROR(HLOOKUP(J$2,[112]table_male_hkom2_inj.ill_X1!$A$1:$K$36,24,FALSE),0)</f>
        <v>0</v>
      </c>
      <c r="K3734">
        <f>IFERROR(HLOOKUP(K$2,[112]table_male_hkom2_inj.ill_X1!$A$1:$K$36,24,FALSE),0)</f>
        <v>0</v>
      </c>
      <c r="L3734">
        <f>IFERROR(HLOOKUP(L$2,[112]table_male_hkom2_inj.ill_X1!$A$1:$K$36,24,FALSE),0)</f>
        <v>0</v>
      </c>
      <c r="M3734">
        <f t="shared" si="1154"/>
        <v>0</v>
      </c>
      <c r="N3734"/>
      <c r="O3734"/>
      <c r="S3734" s="14" t="s">
        <v>92</v>
      </c>
      <c r="T3734" s="65">
        <f t="shared" si="1155"/>
        <v>0</v>
      </c>
      <c r="U3734" s="65">
        <f t="shared" si="1156"/>
        <v>0</v>
      </c>
      <c r="V3734" s="65">
        <f t="shared" si="1156"/>
        <v>0</v>
      </c>
      <c r="W3734" s="65">
        <f t="shared" si="1156"/>
        <v>0</v>
      </c>
      <c r="X3734" s="65">
        <f t="shared" si="1156"/>
        <v>0</v>
      </c>
      <c r="Y3734" s="65">
        <f t="shared" si="1156"/>
        <v>9.0909090909090912E-2</v>
      </c>
      <c r="Z3734" s="65">
        <f t="shared" si="1156"/>
        <v>0</v>
      </c>
      <c r="AA3734" s="65">
        <f t="shared" si="1156"/>
        <v>0</v>
      </c>
      <c r="AB3734" s="65">
        <f t="shared" si="1149"/>
        <v>9.0909090909090912E-2</v>
      </c>
    </row>
    <row r="3735" spans="4:28" s="14" customFormat="1" x14ac:dyDescent="0.25">
      <c r="D3735" s="14" t="s">
        <v>93</v>
      </c>
      <c r="G3735">
        <f>IFERROR(HLOOKUP(G$2,[112]table_male_hkom2_inj.ill_X1!$A$1:$K$36,25,FALSE),0)</f>
        <v>0</v>
      </c>
      <c r="H3735">
        <f>IFERROR(HLOOKUP(H$2,[112]table_male_hkom2_inj.ill_X1!$A$1:$K$36,25,FALSE),0)</f>
        <v>0</v>
      </c>
      <c r="I3735">
        <f>IFERROR(HLOOKUP(I$2,[112]table_male_hkom2_inj.ill_X1!$A$1:$K$36,25,FALSE),0)</f>
        <v>0</v>
      </c>
      <c r="J3735">
        <f>IFERROR(HLOOKUP(J$2,[112]table_male_hkom2_inj.ill_X1!$A$1:$K$36,25,FALSE),0)</f>
        <v>0</v>
      </c>
      <c r="K3735">
        <f>IFERROR(HLOOKUP(K$2,[112]table_male_hkom2_inj.ill_X1!$A$1:$K$36,25,FALSE),0)</f>
        <v>0</v>
      </c>
      <c r="L3735">
        <f>IFERROR(HLOOKUP(L$2,[112]table_male_hkom2_inj.ill_X1!$A$1:$K$36,25,FALSE),0)</f>
        <v>0</v>
      </c>
      <c r="M3735">
        <f t="shared" si="1154"/>
        <v>0</v>
      </c>
      <c r="N3735"/>
      <c r="O3735"/>
      <c r="S3735" s="14" t="s">
        <v>93</v>
      </c>
      <c r="T3735" s="65">
        <f t="shared" si="1155"/>
        <v>0</v>
      </c>
      <c r="U3735" s="65">
        <f t="shared" si="1156"/>
        <v>0</v>
      </c>
      <c r="V3735" s="65">
        <f t="shared" si="1156"/>
        <v>0</v>
      </c>
      <c r="W3735" s="65">
        <f t="shared" si="1156"/>
        <v>0</v>
      </c>
      <c r="X3735" s="65">
        <f t="shared" si="1156"/>
        <v>0</v>
      </c>
      <c r="Y3735" s="65">
        <f t="shared" si="1156"/>
        <v>9.0909090909090912E-2</v>
      </c>
      <c r="Z3735" s="65">
        <f t="shared" si="1156"/>
        <v>0</v>
      </c>
      <c r="AA3735" s="65">
        <f t="shared" si="1156"/>
        <v>0</v>
      </c>
      <c r="AB3735" s="65">
        <f t="shared" si="1149"/>
        <v>9.0909090909090912E-2</v>
      </c>
    </row>
    <row r="3736" spans="4:28" s="14" customFormat="1" x14ac:dyDescent="0.25">
      <c r="D3736" s="14" t="s">
        <v>94</v>
      </c>
      <c r="G3736">
        <f>IFERROR(HLOOKUP(G$2,[112]table_male_hkom2_inj.ill_X1!$A$1:$K$36,26,FALSE),0)</f>
        <v>0</v>
      </c>
      <c r="H3736">
        <f>IFERROR(HLOOKUP(H$2,[112]table_male_hkom2_inj.ill_X1!$A$1:$K$36,26,FALSE),0)</f>
        <v>0</v>
      </c>
      <c r="I3736">
        <f>IFERROR(HLOOKUP(I$2,[112]table_male_hkom2_inj.ill_X1!$A$1:$K$36,26,FALSE),0)</f>
        <v>0</v>
      </c>
      <c r="J3736">
        <f>IFERROR(HLOOKUP(J$2,[112]table_male_hkom2_inj.ill_X1!$A$1:$K$36,26,FALSE),0)</f>
        <v>0</v>
      </c>
      <c r="K3736">
        <f>IFERROR(HLOOKUP(K$2,[112]table_male_hkom2_inj.ill_X1!$A$1:$K$36,26,FALSE),0)</f>
        <v>0</v>
      </c>
      <c r="L3736">
        <f>IFERROR(HLOOKUP(L$2,[112]table_male_hkom2_inj.ill_X1!$A$1:$K$36,26,FALSE),0)</f>
        <v>0</v>
      </c>
      <c r="M3736">
        <f t="shared" si="1154"/>
        <v>0</v>
      </c>
      <c r="N3736"/>
      <c r="O3736"/>
      <c r="S3736" s="14" t="s">
        <v>94</v>
      </c>
      <c r="T3736" s="65">
        <f t="shared" si="1155"/>
        <v>0</v>
      </c>
      <c r="U3736" s="65">
        <f t="shared" si="1156"/>
        <v>0</v>
      </c>
      <c r="V3736" s="65">
        <f t="shared" si="1156"/>
        <v>0</v>
      </c>
      <c r="W3736" s="65">
        <f t="shared" si="1156"/>
        <v>0</v>
      </c>
      <c r="X3736" s="65">
        <f t="shared" si="1156"/>
        <v>0</v>
      </c>
      <c r="Y3736" s="65">
        <f t="shared" si="1156"/>
        <v>9.0909090909090912E-2</v>
      </c>
      <c r="Z3736" s="65">
        <f t="shared" si="1156"/>
        <v>0</v>
      </c>
      <c r="AA3736" s="65">
        <f t="shared" si="1156"/>
        <v>0</v>
      </c>
      <c r="AB3736" s="65">
        <f t="shared" si="1149"/>
        <v>9.0909090909090912E-2</v>
      </c>
    </row>
    <row r="3737" spans="4:28" s="14" customFormat="1" x14ac:dyDescent="0.25">
      <c r="D3737" s="14" t="s">
        <v>95</v>
      </c>
      <c r="G3737">
        <f>IFERROR(HLOOKUP(G$2,[112]table_male_hkom2_inj.ill_X1!$A$1:$K$36,27,FALSE),0)</f>
        <v>0</v>
      </c>
      <c r="H3737">
        <f>IFERROR(HLOOKUP(H$2,[112]table_male_hkom2_inj.ill_X1!$A$1:$K$36,27,FALSE),0)</f>
        <v>0</v>
      </c>
      <c r="I3737">
        <f>IFERROR(HLOOKUP(I$2,[112]table_male_hkom2_inj.ill_X1!$A$1:$K$36,27,FALSE),0)</f>
        <v>0</v>
      </c>
      <c r="J3737">
        <f>IFERROR(HLOOKUP(J$2,[112]table_male_hkom2_inj.ill_X1!$A$1:$K$36,27,FALSE),0)</f>
        <v>0</v>
      </c>
      <c r="K3737">
        <f>IFERROR(HLOOKUP(K$2,[112]table_male_hkom2_inj.ill_X1!$A$1:$K$36,27,FALSE),0)</f>
        <v>0</v>
      </c>
      <c r="L3737">
        <f>IFERROR(HLOOKUP(L$2,[112]table_male_hkom2_inj.ill_X1!$A$1:$K$36,27,FALSE),0)</f>
        <v>0</v>
      </c>
      <c r="M3737">
        <f t="shared" si="1154"/>
        <v>0</v>
      </c>
      <c r="N3737"/>
      <c r="O3737"/>
      <c r="S3737" s="14" t="s">
        <v>95</v>
      </c>
      <c r="T3737" s="65">
        <f t="shared" si="1155"/>
        <v>0</v>
      </c>
      <c r="U3737" s="65">
        <f t="shared" si="1156"/>
        <v>0</v>
      </c>
      <c r="V3737" s="65">
        <f t="shared" si="1156"/>
        <v>0</v>
      </c>
      <c r="W3737" s="65">
        <f t="shared" si="1156"/>
        <v>0</v>
      </c>
      <c r="X3737" s="65">
        <f t="shared" si="1156"/>
        <v>0</v>
      </c>
      <c r="Y3737" s="65">
        <f t="shared" si="1156"/>
        <v>9.0909090909090912E-2</v>
      </c>
      <c r="Z3737" s="65">
        <f t="shared" si="1156"/>
        <v>0</v>
      </c>
      <c r="AA3737" s="65">
        <f t="shared" si="1156"/>
        <v>0</v>
      </c>
      <c r="AB3737" s="65">
        <f t="shared" si="1149"/>
        <v>9.0909090909090912E-2</v>
      </c>
    </row>
    <row r="3738" spans="4:28" s="14" customFormat="1" x14ac:dyDescent="0.25">
      <c r="D3738" s="14" t="s">
        <v>96</v>
      </c>
      <c r="G3738">
        <f>IFERROR(HLOOKUP(G$2,[112]table_male_hkom2_inj.ill_X1!$A$1:$K$36,28,FALSE),0)</f>
        <v>0</v>
      </c>
      <c r="H3738">
        <f>IFERROR(HLOOKUP(H$2,[112]table_male_hkom2_inj.ill_X1!$A$1:$K$36,28,FALSE),0)</f>
        <v>0</v>
      </c>
      <c r="I3738">
        <f>IFERROR(HLOOKUP(I$2,[112]table_male_hkom2_inj.ill_X1!$A$1:$K$36,28,FALSE),0)</f>
        <v>0</v>
      </c>
      <c r="J3738">
        <f>IFERROR(HLOOKUP(J$2,[112]table_male_hkom2_inj.ill_X1!$A$1:$K$36,28,FALSE),0)</f>
        <v>0</v>
      </c>
      <c r="K3738">
        <f>IFERROR(HLOOKUP(K$2,[112]table_male_hkom2_inj.ill_X1!$A$1:$K$36,28,FALSE),0)</f>
        <v>0</v>
      </c>
      <c r="L3738">
        <f>IFERROR(HLOOKUP(L$2,[112]table_male_hkom2_inj.ill_X1!$A$1:$K$36,28,FALSE),0)</f>
        <v>0</v>
      </c>
      <c r="M3738">
        <f t="shared" si="1154"/>
        <v>0</v>
      </c>
      <c r="N3738"/>
      <c r="O3738"/>
      <c r="S3738" s="14" t="s">
        <v>96</v>
      </c>
      <c r="T3738" s="65">
        <f t="shared" si="1155"/>
        <v>0</v>
      </c>
      <c r="U3738" s="65">
        <f t="shared" si="1156"/>
        <v>0</v>
      </c>
      <c r="V3738" s="65">
        <f t="shared" si="1156"/>
        <v>0</v>
      </c>
      <c r="W3738" s="65">
        <f t="shared" si="1156"/>
        <v>0</v>
      </c>
      <c r="X3738" s="65">
        <f t="shared" si="1156"/>
        <v>0</v>
      </c>
      <c r="Y3738" s="65">
        <f t="shared" si="1156"/>
        <v>9.0909090909090912E-2</v>
      </c>
      <c r="Z3738" s="65">
        <f t="shared" si="1156"/>
        <v>0</v>
      </c>
      <c r="AA3738" s="65">
        <f t="shared" si="1156"/>
        <v>0</v>
      </c>
      <c r="AB3738" s="65">
        <f t="shared" si="1149"/>
        <v>9.0909090909090912E-2</v>
      </c>
    </row>
    <row r="3739" spans="4:28" s="14" customFormat="1" x14ac:dyDescent="0.25">
      <c r="D3739" s="14" t="s">
        <v>97</v>
      </c>
      <c r="G3739">
        <f>IFERROR(HLOOKUP(G$2,[112]table_male_hkom2_inj.ill_X1!$A$1:$K$36,29,FALSE),0)</f>
        <v>0</v>
      </c>
      <c r="H3739">
        <f>IFERROR(HLOOKUP(H$2,[112]table_male_hkom2_inj.ill_X1!$A$1:$K$36,29,FALSE),0)</f>
        <v>0</v>
      </c>
      <c r="I3739">
        <f>IFERROR(HLOOKUP(I$2,[112]table_male_hkom2_inj.ill_X1!$A$1:$K$36,29,FALSE),0)</f>
        <v>0</v>
      </c>
      <c r="J3739">
        <f>IFERROR(HLOOKUP(J$2,[112]table_male_hkom2_inj.ill_X1!$A$1:$K$36,29,FALSE),0)</f>
        <v>0</v>
      </c>
      <c r="K3739">
        <f>IFERROR(HLOOKUP(K$2,[112]table_male_hkom2_inj.ill_X1!$A$1:$K$36,29,FALSE),0)</f>
        <v>0</v>
      </c>
      <c r="L3739">
        <f>IFERROR(HLOOKUP(L$2,[112]table_male_hkom2_inj.ill_X1!$A$1:$K$36,29,FALSE),0)</f>
        <v>0</v>
      </c>
      <c r="M3739">
        <f t="shared" si="1154"/>
        <v>0</v>
      </c>
      <c r="N3739"/>
      <c r="O3739"/>
      <c r="S3739" s="14" t="s">
        <v>97</v>
      </c>
      <c r="T3739" s="65">
        <f t="shared" si="1155"/>
        <v>0</v>
      </c>
      <c r="U3739" s="65">
        <f t="shared" si="1156"/>
        <v>0</v>
      </c>
      <c r="V3739" s="65">
        <f t="shared" si="1156"/>
        <v>0</v>
      </c>
      <c r="W3739" s="65">
        <f t="shared" si="1156"/>
        <v>0</v>
      </c>
      <c r="X3739" s="65">
        <f t="shared" si="1156"/>
        <v>0</v>
      </c>
      <c r="Y3739" s="65">
        <f t="shared" si="1156"/>
        <v>9.0909090909090912E-2</v>
      </c>
      <c r="Z3739" s="65">
        <f t="shared" si="1156"/>
        <v>0</v>
      </c>
      <c r="AA3739" s="65">
        <f t="shared" si="1156"/>
        <v>0</v>
      </c>
      <c r="AB3739" s="65">
        <f t="shared" si="1149"/>
        <v>9.0909090909090912E-2</v>
      </c>
    </row>
    <row r="3740" spans="4:28" s="14" customFormat="1" x14ac:dyDescent="0.25">
      <c r="D3740" s="14" t="s">
        <v>98</v>
      </c>
      <c r="G3740">
        <f>IFERROR(HLOOKUP(G$2,[112]table_male_hkom2_inj.ill_X1!$A$1:$K$36,30,FALSE),0)</f>
        <v>0</v>
      </c>
      <c r="H3740">
        <f>IFERROR(HLOOKUP(H$2,[112]table_male_hkom2_inj.ill_X1!$A$1:$K$36,30,FALSE),0)</f>
        <v>0</v>
      </c>
      <c r="I3740">
        <f>IFERROR(HLOOKUP(I$2,[112]table_male_hkom2_inj.ill_X1!$A$1:$K$36,30,FALSE),0)</f>
        <v>0</v>
      </c>
      <c r="J3740">
        <f>IFERROR(HLOOKUP(J$2,[112]table_male_hkom2_inj.ill_X1!$A$1:$K$36,30,FALSE),0)</f>
        <v>0</v>
      </c>
      <c r="K3740">
        <f>IFERROR(HLOOKUP(K$2,[112]table_male_hkom2_inj.ill_X1!$A$1:$K$36,30,FALSE),0)</f>
        <v>0</v>
      </c>
      <c r="L3740">
        <f>IFERROR(HLOOKUP(L$2,[112]table_male_hkom2_inj.ill_X1!$A$1:$K$36,30,FALSE),0)</f>
        <v>0</v>
      </c>
      <c r="M3740">
        <f t="shared" si="1154"/>
        <v>0</v>
      </c>
      <c r="N3740"/>
      <c r="O3740"/>
      <c r="S3740" s="14" t="s">
        <v>98</v>
      </c>
      <c r="T3740" s="65">
        <f t="shared" si="1155"/>
        <v>0</v>
      </c>
      <c r="U3740" s="65">
        <f t="shared" si="1156"/>
        <v>0</v>
      </c>
      <c r="V3740" s="65">
        <f t="shared" si="1156"/>
        <v>0</v>
      </c>
      <c r="W3740" s="65">
        <f t="shared" si="1156"/>
        <v>0</v>
      </c>
      <c r="X3740" s="65">
        <f t="shared" si="1156"/>
        <v>0</v>
      </c>
      <c r="Y3740" s="65">
        <f t="shared" si="1156"/>
        <v>9.0909090909090912E-2</v>
      </c>
      <c r="Z3740" s="65">
        <f t="shared" si="1156"/>
        <v>0</v>
      </c>
      <c r="AA3740" s="65">
        <f t="shared" si="1156"/>
        <v>0</v>
      </c>
      <c r="AB3740" s="65">
        <f t="shared" si="1149"/>
        <v>9.0909090909090912E-2</v>
      </c>
    </row>
    <row r="3741" spans="4:28" s="14" customFormat="1" x14ac:dyDescent="0.25">
      <c r="D3741" s="14" t="s">
        <v>119</v>
      </c>
      <c r="G3741">
        <f>IFERROR(HLOOKUP(G$2,[112]table_male_hkom2_inj.ill_X1!$A$1:$K$36,31,FALSE),0)</f>
        <v>0</v>
      </c>
      <c r="H3741">
        <f>IFERROR(HLOOKUP(H$2,[112]table_male_hkom2_inj.ill_X1!$A$1:$K$36,31,FALSE),0)</f>
        <v>0</v>
      </c>
      <c r="I3741">
        <f>IFERROR(HLOOKUP(I$2,[112]table_male_hkom2_inj.ill_X1!$A$1:$K$36,31,FALSE),0)</f>
        <v>0</v>
      </c>
      <c r="J3741">
        <f>IFERROR(HLOOKUP(J$2,[112]table_male_hkom2_inj.ill_X1!$A$1:$K$36,31,FALSE),0)</f>
        <v>0</v>
      </c>
      <c r="K3741">
        <f>IFERROR(HLOOKUP(K$2,[112]table_male_hkom2_inj.ill_X1!$A$1:$K$36,31,FALSE),0)</f>
        <v>0</v>
      </c>
      <c r="L3741">
        <f>IFERROR(HLOOKUP(L$2,[112]table_male_hkom2_inj.ill_X1!$A$1:$K$36,31,FALSE),0)</f>
        <v>0</v>
      </c>
      <c r="M3741">
        <f t="shared" si="1154"/>
        <v>0</v>
      </c>
      <c r="N3741"/>
      <c r="O3741"/>
      <c r="S3741" s="14" t="s">
        <v>119</v>
      </c>
      <c r="T3741" s="65">
        <f t="shared" si="1155"/>
        <v>0</v>
      </c>
      <c r="U3741" s="65">
        <f t="shared" si="1156"/>
        <v>0</v>
      </c>
      <c r="V3741" s="65">
        <f t="shared" si="1156"/>
        <v>0</v>
      </c>
      <c r="W3741" s="65">
        <f t="shared" si="1156"/>
        <v>0</v>
      </c>
      <c r="X3741" s="65">
        <f t="shared" si="1156"/>
        <v>0</v>
      </c>
      <c r="Y3741" s="65">
        <f t="shared" si="1156"/>
        <v>9.0909090909090912E-2</v>
      </c>
      <c r="Z3741" s="65">
        <f t="shared" si="1156"/>
        <v>0</v>
      </c>
      <c r="AA3741" s="65">
        <f t="shared" si="1156"/>
        <v>0</v>
      </c>
      <c r="AB3741" s="65">
        <f t="shared" si="1149"/>
        <v>9.0909090909090912E-2</v>
      </c>
    </row>
    <row r="3742" spans="4:28" s="14" customFormat="1" x14ac:dyDescent="0.25">
      <c r="D3742" s="14" t="s">
        <v>99</v>
      </c>
      <c r="G3742">
        <f>IFERROR(HLOOKUP(G$2,[112]table_male_hkom2_inj.ill_X1!$A$1:$K$36,32,FALSE),0)</f>
        <v>1</v>
      </c>
      <c r="H3742">
        <f>IFERROR(HLOOKUP(H$2,[112]table_male_hkom2_inj.ill_X1!$A$1:$K$36,32,FALSE),0)</f>
        <v>0</v>
      </c>
      <c r="I3742">
        <f>IFERROR(HLOOKUP(I$2,[112]table_male_hkom2_inj.ill_X1!$A$1:$K$36,32,FALSE),0)</f>
        <v>0</v>
      </c>
      <c r="J3742">
        <f>IFERROR(HLOOKUP(J$2,[112]table_male_hkom2_inj.ill_X1!$A$1:$K$36,32,FALSE),0)</f>
        <v>0</v>
      </c>
      <c r="K3742">
        <f>IFERROR(HLOOKUP(K$2,[112]table_male_hkom2_inj.ill_X1!$A$1:$K$36,32,FALSE),0)</f>
        <v>0</v>
      </c>
      <c r="L3742">
        <f>IFERROR(HLOOKUP(L$2,[112]table_male_hkom2_inj.ill_X1!$A$1:$K$36,32,FALSE),0)</f>
        <v>0</v>
      </c>
      <c r="M3742">
        <f t="shared" si="1154"/>
        <v>1</v>
      </c>
      <c r="N3742"/>
      <c r="O3742"/>
      <c r="S3742" s="14" t="s">
        <v>99</v>
      </c>
      <c r="T3742" s="65">
        <f t="shared" si="1155"/>
        <v>0</v>
      </c>
      <c r="U3742" s="65">
        <f t="shared" si="1156"/>
        <v>0</v>
      </c>
      <c r="V3742" s="65">
        <f t="shared" si="1156"/>
        <v>3</v>
      </c>
      <c r="W3742" s="65">
        <f t="shared" si="1156"/>
        <v>0</v>
      </c>
      <c r="X3742" s="65">
        <f t="shared" si="1156"/>
        <v>0</v>
      </c>
      <c r="Y3742" s="65">
        <f t="shared" si="1156"/>
        <v>9.0909090909090912E-2</v>
      </c>
      <c r="Z3742" s="65">
        <f t="shared" si="1156"/>
        <v>0</v>
      </c>
      <c r="AA3742" s="65">
        <f t="shared" si="1156"/>
        <v>0</v>
      </c>
      <c r="AB3742" s="65">
        <f t="shared" ref="AB3742:AB3805" si="1157">SUM(T3742:AA3742)</f>
        <v>3.0909090909090908</v>
      </c>
    </row>
    <row r="3743" spans="4:28" s="14" customFormat="1" x14ac:dyDescent="0.25">
      <c r="D3743" s="14" t="s">
        <v>100</v>
      </c>
      <c r="G3743">
        <f>IFERROR(HLOOKUP(G$2,[112]table_male_hkom2_inj.ill_X1!$A$1:$K$36,33,FALSE),0)</f>
        <v>0</v>
      </c>
      <c r="H3743">
        <f>IFERROR(HLOOKUP(H$2,[112]table_male_hkom2_inj.ill_X1!$A$1:$K$36,33,FALSE),0)</f>
        <v>0</v>
      </c>
      <c r="I3743">
        <f>IFERROR(HLOOKUP(I$2,[112]table_male_hkom2_inj.ill_X1!$A$1:$K$36,33,FALSE),0)</f>
        <v>0</v>
      </c>
      <c r="J3743">
        <f>IFERROR(HLOOKUP(J$2,[112]table_male_hkom2_inj.ill_X1!$A$1:$K$36,33,FALSE),0)</f>
        <v>0</v>
      </c>
      <c r="K3743">
        <f>IFERROR(HLOOKUP(K$2,[112]table_male_hkom2_inj.ill_X1!$A$1:$K$36,33,FALSE),0)</f>
        <v>0</v>
      </c>
      <c r="L3743">
        <f>IFERROR(HLOOKUP(L$2,[112]table_male_hkom2_inj.ill_X1!$A$1:$K$36,33,FALSE),0)</f>
        <v>0</v>
      </c>
      <c r="M3743">
        <f t="shared" si="1154"/>
        <v>0</v>
      </c>
      <c r="N3743"/>
      <c r="O3743"/>
      <c r="S3743" s="14" t="s">
        <v>100</v>
      </c>
      <c r="T3743" s="65">
        <f t="shared" si="1155"/>
        <v>0</v>
      </c>
      <c r="U3743" s="65">
        <f t="shared" si="1156"/>
        <v>0</v>
      </c>
      <c r="V3743" s="65">
        <f t="shared" si="1156"/>
        <v>0</v>
      </c>
      <c r="W3743" s="65">
        <f t="shared" si="1156"/>
        <v>0</v>
      </c>
      <c r="X3743" s="65">
        <f t="shared" si="1156"/>
        <v>0</v>
      </c>
      <c r="Y3743" s="65">
        <f t="shared" si="1156"/>
        <v>9.0909090909090912E-2</v>
      </c>
      <c r="Z3743" s="65">
        <f t="shared" si="1156"/>
        <v>0</v>
      </c>
      <c r="AA3743" s="65">
        <f t="shared" si="1156"/>
        <v>0</v>
      </c>
      <c r="AB3743" s="65">
        <f t="shared" si="1157"/>
        <v>9.0909090909090912E-2</v>
      </c>
    </row>
    <row r="3744" spans="4:28" s="14" customFormat="1" x14ac:dyDescent="0.25">
      <c r="D3744" s="14" t="s">
        <v>101</v>
      </c>
      <c r="G3744">
        <f>IFERROR(HLOOKUP(G$2,[112]table_male_hkom2_inj.ill_X1!$A$1:$K$36,34,FALSE),0)</f>
        <v>0</v>
      </c>
      <c r="H3744">
        <f>IFERROR(HLOOKUP(H$2,[112]table_male_hkom2_inj.ill_X1!$A$1:$K$36,34,FALSE),0)</f>
        <v>0</v>
      </c>
      <c r="I3744">
        <f>IFERROR(HLOOKUP(I$2,[112]table_male_hkom2_inj.ill_X1!$A$1:$K$36,34,FALSE),0)</f>
        <v>1</v>
      </c>
      <c r="J3744">
        <f>IFERROR(HLOOKUP(J$2,[112]table_male_hkom2_inj.ill_X1!$A$1:$K$36,34,FALSE),0)</f>
        <v>0</v>
      </c>
      <c r="K3744">
        <f>IFERROR(HLOOKUP(K$2,[112]table_male_hkom2_inj.ill_X1!$A$1:$K$36,34,FALSE),0)</f>
        <v>0</v>
      </c>
      <c r="L3744">
        <f>IFERROR(HLOOKUP(L$2,[112]table_male_hkom2_inj.ill_X1!$A$1:$K$36,34,FALSE),0)</f>
        <v>0</v>
      </c>
      <c r="M3744">
        <f t="shared" si="1154"/>
        <v>1</v>
      </c>
      <c r="N3744"/>
      <c r="O3744"/>
      <c r="S3744" s="14" t="s">
        <v>101</v>
      </c>
      <c r="T3744" s="65">
        <f t="shared" si="1155"/>
        <v>0</v>
      </c>
      <c r="U3744" s="65">
        <f t="shared" si="1156"/>
        <v>0</v>
      </c>
      <c r="V3744" s="65">
        <f t="shared" si="1156"/>
        <v>0</v>
      </c>
      <c r="W3744" s="65">
        <f t="shared" si="1156"/>
        <v>0</v>
      </c>
      <c r="X3744" s="65">
        <f t="shared" si="1156"/>
        <v>3.6666666666666665</v>
      </c>
      <c r="Y3744" s="65">
        <f t="shared" si="1156"/>
        <v>9.0909090909090912E-2</v>
      </c>
      <c r="Z3744" s="65">
        <f t="shared" si="1156"/>
        <v>0</v>
      </c>
      <c r="AA3744" s="65">
        <f t="shared" si="1156"/>
        <v>0</v>
      </c>
      <c r="AB3744" s="65">
        <f t="shared" si="1157"/>
        <v>3.7575757575757573</v>
      </c>
    </row>
    <row r="3745" spans="1:29" s="14" customFormat="1" x14ac:dyDescent="0.25">
      <c r="D3745" s="14" t="s">
        <v>102</v>
      </c>
      <c r="G3745">
        <f>IFERROR(HLOOKUP(G$2,[112]table_male_hkom2_inj.ill_X1!$A$1:$K$36,35,FALSE),0)</f>
        <v>4</v>
      </c>
      <c r="H3745">
        <f>IFERROR(HLOOKUP(H$2,[112]table_male_hkom2_inj.ill_X1!$A$1:$K$36,35,FALSE),0)</f>
        <v>6</v>
      </c>
      <c r="I3745">
        <f>IFERROR(HLOOKUP(I$2,[112]table_male_hkom2_inj.ill_X1!$A$1:$K$36,35,FALSE),0)</f>
        <v>8</v>
      </c>
      <c r="J3745">
        <f>IFERROR(HLOOKUP(J$2,[112]table_male_hkom2_inj.ill_X1!$A$1:$K$36,35,FALSE),0)</f>
        <v>3</v>
      </c>
      <c r="K3745">
        <f>IFERROR(HLOOKUP(K$2,[112]table_male_hkom2_inj.ill_X1!$A$1:$K$36,35,FALSE),0)</f>
        <v>0</v>
      </c>
      <c r="L3745">
        <f>IFERROR(HLOOKUP(L$2,[112]table_male_hkom2_inj.ill_X1!$A$1:$K$36,35,FALSE),0)</f>
        <v>0</v>
      </c>
      <c r="M3745">
        <f t="shared" si="1154"/>
        <v>21</v>
      </c>
      <c r="N3745">
        <f>SUM(M3712:M3745)</f>
        <v>33</v>
      </c>
      <c r="O3745" s="8">
        <f>SUM([112]table_male_hkom2_inj.ill_X1!$B$2:$L$37)</f>
        <v>33</v>
      </c>
      <c r="S3745" s="14" t="s">
        <v>102</v>
      </c>
      <c r="T3745" s="66"/>
      <c r="U3745" s="66"/>
      <c r="V3745" s="66"/>
      <c r="W3745" s="66"/>
      <c r="X3745" s="66"/>
      <c r="Y3745" s="66"/>
      <c r="Z3745" s="66"/>
      <c r="AA3745" s="66"/>
      <c r="AB3745" s="65">
        <f t="shared" si="1157"/>
        <v>0</v>
      </c>
      <c r="AC3745" s="65">
        <f>SUM(AB3712:AB3744)</f>
        <v>32.999999999999986</v>
      </c>
    </row>
    <row r="3746" spans="1:29" s="14" customFormat="1" x14ac:dyDescent="0.25">
      <c r="A3746" s="14" t="s">
        <v>104</v>
      </c>
      <c r="B3746" s="14" t="s">
        <v>117</v>
      </c>
      <c r="C3746" s="14" t="s">
        <v>243</v>
      </c>
      <c r="D3746" s="14" t="s">
        <v>70</v>
      </c>
      <c r="G3746">
        <f>IFERROR(HLOOKUP(G$2,[113]table_male_hkom3_inj.ill_X1!$A$1:$K$36,2,FALSE),0)</f>
        <v>0</v>
      </c>
      <c r="H3746">
        <f>IFERROR(HLOOKUP(H$2,[113]table_male_hkom3_inj.ill_X1!$A$1:$K$36,2,FALSE),0)</f>
        <v>1</v>
      </c>
      <c r="I3746">
        <f>IFERROR(HLOOKUP(I$2,[113]table_male_hkom3_inj.ill_X1!$A$1:$K$36,2,FALSE),0)</f>
        <v>1</v>
      </c>
      <c r="J3746">
        <f>IFERROR(HLOOKUP(J$2,[113]table_male_hkom3_inj.ill_X1!$A$1:$K$36,2,FALSE),0)</f>
        <v>0</v>
      </c>
      <c r="K3746">
        <f>IFERROR(HLOOKUP(K$2,[113]table_male_hkom3_inj.ill_X1!$A$1:$K$36,2,FALSE),0)</f>
        <v>0</v>
      </c>
      <c r="L3746">
        <f>IFERROR(HLOOKUP(L$2,[113]table_male_hkom3_inj.ill_X1!$A$1:$K$36,2,FALSE),0)</f>
        <v>0</v>
      </c>
      <c r="M3746">
        <f>SUM(E3746:L3746)</f>
        <v>2</v>
      </c>
      <c r="N3746"/>
      <c r="O3746"/>
      <c r="P3746" s="14" t="s">
        <v>104</v>
      </c>
      <c r="Q3746" s="14" t="s">
        <v>117</v>
      </c>
      <c r="R3746" s="14" t="s">
        <v>243</v>
      </c>
      <c r="S3746" s="14" t="s">
        <v>70</v>
      </c>
      <c r="T3746" s="65">
        <f>IF(SUM(E$3746:E$3778)=0,E$3779/33,E3746+IFERROR(E3746/SUM(E$3746:E$3778)*E$3779,0))</f>
        <v>0</v>
      </c>
      <c r="U3746" s="65">
        <f t="shared" ref="U3746:AA3761" si="1158">IF(SUM(F$3746:F$3778)=0,F$3779/33,F3746+IFERROR(F3746/SUM(F$3746:F$3778)*F$3779,0))</f>
        <v>0</v>
      </c>
      <c r="V3746" s="65">
        <f t="shared" si="1158"/>
        <v>0</v>
      </c>
      <c r="W3746" s="65">
        <f t="shared" si="1158"/>
        <v>2.145833333333333</v>
      </c>
      <c r="X3746" s="65">
        <f t="shared" si="1158"/>
        <v>2.6551724137931032</v>
      </c>
      <c r="Y3746" s="65">
        <f t="shared" si="1158"/>
        <v>0</v>
      </c>
      <c r="Z3746" s="65">
        <f t="shared" si="1158"/>
        <v>0</v>
      </c>
      <c r="AA3746" s="65">
        <f t="shared" si="1158"/>
        <v>0</v>
      </c>
      <c r="AB3746" s="65">
        <f t="shared" si="1157"/>
        <v>4.8010057471264362</v>
      </c>
    </row>
    <row r="3747" spans="1:29" s="14" customFormat="1" x14ac:dyDescent="0.25">
      <c r="D3747" s="14" t="s">
        <v>71</v>
      </c>
      <c r="G3747">
        <f>IFERROR(HLOOKUP(G$2,[113]table_male_hkom3_inj.ill_X1!$A$1:$K$36,3,FALSE),0)</f>
        <v>1</v>
      </c>
      <c r="H3747">
        <f>IFERROR(HLOOKUP(H$2,[113]table_male_hkom3_inj.ill_X1!$A$1:$K$36,3,FALSE),0)</f>
        <v>0</v>
      </c>
      <c r="I3747">
        <f>IFERROR(HLOOKUP(I$2,[113]table_male_hkom3_inj.ill_X1!$A$1:$K$36,3,FALSE),0)</f>
        <v>1</v>
      </c>
      <c r="J3747">
        <f>IFERROR(HLOOKUP(J$2,[113]table_male_hkom3_inj.ill_X1!$A$1:$K$36,3,FALSE),0)</f>
        <v>0</v>
      </c>
      <c r="K3747">
        <f>IFERROR(HLOOKUP(K$2,[113]table_male_hkom3_inj.ill_X1!$A$1:$K$36,3,FALSE),0)</f>
        <v>0</v>
      </c>
      <c r="L3747">
        <f>IFERROR(HLOOKUP(L$2,[113]table_male_hkom3_inj.ill_X1!$A$1:$K$36,3,FALSE),0)</f>
        <v>0</v>
      </c>
      <c r="M3747">
        <f t="shared" ref="M3747:M3779" si="1159">SUM(E3747:L3747)</f>
        <v>2</v>
      </c>
      <c r="N3747"/>
      <c r="O3747"/>
      <c r="S3747" s="14" t="s">
        <v>71</v>
      </c>
      <c r="T3747" s="65">
        <f t="shared" ref="T3747:T3778" si="1160">IF(SUM(E$3746:E$3778)=0,E$3779/33,E3747+IFERROR(E3747/SUM(E$3746:E$3778)*E$3779,0))</f>
        <v>0</v>
      </c>
      <c r="U3747" s="65">
        <f t="shared" si="1158"/>
        <v>0</v>
      </c>
      <c r="V3747" s="65">
        <f t="shared" si="1158"/>
        <v>1.2608695652173914</v>
      </c>
      <c r="W3747" s="65">
        <f t="shared" si="1158"/>
        <v>0</v>
      </c>
      <c r="X3747" s="65">
        <f t="shared" si="1158"/>
        <v>2.6551724137931032</v>
      </c>
      <c r="Y3747" s="65">
        <f t="shared" si="1158"/>
        <v>0</v>
      </c>
      <c r="Z3747" s="65">
        <f t="shared" si="1158"/>
        <v>0</v>
      </c>
      <c r="AA3747" s="65">
        <f t="shared" si="1158"/>
        <v>0</v>
      </c>
      <c r="AB3747" s="65">
        <f t="shared" si="1157"/>
        <v>3.9160419790104948</v>
      </c>
    </row>
    <row r="3748" spans="1:29" s="14" customFormat="1" x14ac:dyDescent="0.25">
      <c r="D3748" s="14" t="s">
        <v>72</v>
      </c>
      <c r="G3748">
        <f>IFERROR(HLOOKUP(G$2,[113]table_male_hkom3_inj.ill_X1!$A$1:$K$36,4,FALSE),0)</f>
        <v>1</v>
      </c>
      <c r="H3748">
        <f>IFERROR(HLOOKUP(H$2,[113]table_male_hkom3_inj.ill_X1!$A$1:$K$36,4,FALSE),0)</f>
        <v>4</v>
      </c>
      <c r="I3748">
        <f>IFERROR(HLOOKUP(I$2,[113]table_male_hkom3_inj.ill_X1!$A$1:$K$36,4,FALSE),0)</f>
        <v>1</v>
      </c>
      <c r="J3748">
        <f>IFERROR(HLOOKUP(J$2,[113]table_male_hkom3_inj.ill_X1!$A$1:$K$36,4,FALSE),0)</f>
        <v>0</v>
      </c>
      <c r="K3748">
        <f>IFERROR(HLOOKUP(K$2,[113]table_male_hkom3_inj.ill_X1!$A$1:$K$36,4,FALSE),0)</f>
        <v>0</v>
      </c>
      <c r="L3748">
        <f>IFERROR(HLOOKUP(L$2,[113]table_male_hkom3_inj.ill_X1!$A$1:$K$36,4,FALSE),0)</f>
        <v>0</v>
      </c>
      <c r="M3748">
        <f t="shared" si="1159"/>
        <v>6</v>
      </c>
      <c r="N3748"/>
      <c r="O3748"/>
      <c r="S3748" s="14" t="s">
        <v>72</v>
      </c>
      <c r="T3748" s="65">
        <f t="shared" si="1160"/>
        <v>0</v>
      </c>
      <c r="U3748" s="65">
        <f t="shared" si="1158"/>
        <v>0</v>
      </c>
      <c r="V3748" s="65">
        <f t="shared" si="1158"/>
        <v>1.2608695652173914</v>
      </c>
      <c r="W3748" s="65">
        <f t="shared" si="1158"/>
        <v>8.5833333333333321</v>
      </c>
      <c r="X3748" s="65">
        <f t="shared" si="1158"/>
        <v>2.6551724137931032</v>
      </c>
      <c r="Y3748" s="65">
        <f t="shared" si="1158"/>
        <v>0</v>
      </c>
      <c r="Z3748" s="65">
        <f t="shared" si="1158"/>
        <v>0</v>
      </c>
      <c r="AA3748" s="65">
        <f t="shared" si="1158"/>
        <v>0</v>
      </c>
      <c r="AB3748" s="65">
        <f t="shared" si="1157"/>
        <v>12.499375312343826</v>
      </c>
    </row>
    <row r="3749" spans="1:29" s="14" customFormat="1" x14ac:dyDescent="0.25">
      <c r="D3749" s="14" t="s">
        <v>73</v>
      </c>
      <c r="G3749">
        <f>IFERROR(HLOOKUP(G$2,[113]table_male_hkom3_inj.ill_X1!$A$1:$K$36,5,FALSE),0)</f>
        <v>0</v>
      </c>
      <c r="H3749">
        <f>IFERROR(HLOOKUP(H$2,[113]table_male_hkom3_inj.ill_X1!$A$1:$K$36,5,FALSE),0)</f>
        <v>0</v>
      </c>
      <c r="I3749">
        <f>IFERROR(HLOOKUP(I$2,[113]table_male_hkom3_inj.ill_X1!$A$1:$K$36,5,FALSE),0)</f>
        <v>0</v>
      </c>
      <c r="J3749">
        <f>IFERROR(HLOOKUP(J$2,[113]table_male_hkom3_inj.ill_X1!$A$1:$K$36,5,FALSE),0)</f>
        <v>0</v>
      </c>
      <c r="K3749">
        <f>IFERROR(HLOOKUP(K$2,[113]table_male_hkom3_inj.ill_X1!$A$1:$K$36,5,FALSE),0)</f>
        <v>0</v>
      </c>
      <c r="L3749">
        <f>IFERROR(HLOOKUP(L$2,[113]table_male_hkom3_inj.ill_X1!$A$1:$K$36,5,FALSE),0)</f>
        <v>0</v>
      </c>
      <c r="M3749">
        <f t="shared" si="1159"/>
        <v>0</v>
      </c>
      <c r="N3749"/>
      <c r="O3749"/>
      <c r="S3749" s="14" t="s">
        <v>73</v>
      </c>
      <c r="T3749" s="65">
        <f t="shared" si="1160"/>
        <v>0</v>
      </c>
      <c r="U3749" s="65">
        <f t="shared" si="1158"/>
        <v>0</v>
      </c>
      <c r="V3749" s="65">
        <f t="shared" si="1158"/>
        <v>0</v>
      </c>
      <c r="W3749" s="65">
        <f t="shared" si="1158"/>
        <v>0</v>
      </c>
      <c r="X3749" s="65">
        <f t="shared" si="1158"/>
        <v>0</v>
      </c>
      <c r="Y3749" s="65">
        <f t="shared" si="1158"/>
        <v>0</v>
      </c>
      <c r="Z3749" s="65">
        <f t="shared" si="1158"/>
        <v>0</v>
      </c>
      <c r="AA3749" s="65">
        <f t="shared" si="1158"/>
        <v>0</v>
      </c>
      <c r="AB3749" s="65">
        <f t="shared" si="1157"/>
        <v>0</v>
      </c>
    </row>
    <row r="3750" spans="1:29" s="14" customFormat="1" x14ac:dyDescent="0.25">
      <c r="D3750" s="14" t="s">
        <v>74</v>
      </c>
      <c r="G3750">
        <f>IFERROR(HLOOKUP(G$2,[113]table_male_hkom3_inj.ill_X1!$A$1:$K$36,6,FALSE),0)</f>
        <v>1</v>
      </c>
      <c r="H3750">
        <f>IFERROR(HLOOKUP(H$2,[113]table_male_hkom3_inj.ill_X1!$A$1:$K$36,6,FALSE),0)</f>
        <v>1</v>
      </c>
      <c r="I3750">
        <f>IFERROR(HLOOKUP(I$2,[113]table_male_hkom3_inj.ill_X1!$A$1:$K$36,6,FALSE),0)</f>
        <v>2</v>
      </c>
      <c r="J3750">
        <f>IFERROR(HLOOKUP(J$2,[113]table_male_hkom3_inj.ill_X1!$A$1:$K$36,6,FALSE),0)</f>
        <v>0</v>
      </c>
      <c r="K3750">
        <f>IFERROR(HLOOKUP(K$2,[113]table_male_hkom3_inj.ill_X1!$A$1:$K$36,6,FALSE),0)</f>
        <v>0</v>
      </c>
      <c r="L3750">
        <f>IFERROR(HLOOKUP(L$2,[113]table_male_hkom3_inj.ill_X1!$A$1:$K$36,6,FALSE),0)</f>
        <v>0</v>
      </c>
      <c r="M3750">
        <f t="shared" si="1159"/>
        <v>4</v>
      </c>
      <c r="N3750"/>
      <c r="O3750"/>
      <c r="S3750" s="14" t="s">
        <v>74</v>
      </c>
      <c r="T3750" s="65">
        <f t="shared" si="1160"/>
        <v>0</v>
      </c>
      <c r="U3750" s="65">
        <f t="shared" si="1158"/>
        <v>0</v>
      </c>
      <c r="V3750" s="65">
        <f t="shared" si="1158"/>
        <v>1.2608695652173914</v>
      </c>
      <c r="W3750" s="65">
        <f t="shared" si="1158"/>
        <v>2.145833333333333</v>
      </c>
      <c r="X3750" s="65">
        <f t="shared" si="1158"/>
        <v>5.3103448275862064</v>
      </c>
      <c r="Y3750" s="65">
        <f t="shared" si="1158"/>
        <v>0</v>
      </c>
      <c r="Z3750" s="65">
        <f t="shared" si="1158"/>
        <v>0</v>
      </c>
      <c r="AA3750" s="65">
        <f t="shared" si="1158"/>
        <v>0</v>
      </c>
      <c r="AB3750" s="65">
        <f t="shared" si="1157"/>
        <v>8.717047726136931</v>
      </c>
    </row>
    <row r="3751" spans="1:29" s="14" customFormat="1" x14ac:dyDescent="0.25">
      <c r="D3751" s="14" t="s">
        <v>75</v>
      </c>
      <c r="G3751">
        <f>IFERROR(HLOOKUP(G$2,[113]table_male_hkom3_inj.ill_X1!$A$1:$K$36,7,FALSE),0)</f>
        <v>0</v>
      </c>
      <c r="H3751">
        <f>IFERROR(HLOOKUP(H$2,[113]table_male_hkom3_inj.ill_X1!$A$1:$K$36,7,FALSE),0)</f>
        <v>0</v>
      </c>
      <c r="I3751">
        <f>IFERROR(HLOOKUP(I$2,[113]table_male_hkom3_inj.ill_X1!$A$1:$K$36,7,FALSE),0)</f>
        <v>0</v>
      </c>
      <c r="J3751">
        <f>IFERROR(HLOOKUP(J$2,[113]table_male_hkom3_inj.ill_X1!$A$1:$K$36,7,FALSE),0)</f>
        <v>0</v>
      </c>
      <c r="K3751">
        <f>IFERROR(HLOOKUP(K$2,[113]table_male_hkom3_inj.ill_X1!$A$1:$K$36,7,FALSE),0)</f>
        <v>0</v>
      </c>
      <c r="L3751">
        <f>IFERROR(HLOOKUP(L$2,[113]table_male_hkom3_inj.ill_X1!$A$1:$K$36,7,FALSE),0)</f>
        <v>0</v>
      </c>
      <c r="M3751">
        <f t="shared" si="1159"/>
        <v>0</v>
      </c>
      <c r="N3751"/>
      <c r="O3751"/>
      <c r="S3751" s="14" t="s">
        <v>75</v>
      </c>
      <c r="T3751" s="65">
        <f t="shared" si="1160"/>
        <v>0</v>
      </c>
      <c r="U3751" s="65">
        <f t="shared" si="1158"/>
        <v>0</v>
      </c>
      <c r="V3751" s="65">
        <f t="shared" si="1158"/>
        <v>0</v>
      </c>
      <c r="W3751" s="65">
        <f t="shared" si="1158"/>
        <v>0</v>
      </c>
      <c r="X3751" s="65">
        <f t="shared" si="1158"/>
        <v>0</v>
      </c>
      <c r="Y3751" s="65">
        <f t="shared" si="1158"/>
        <v>0</v>
      </c>
      <c r="Z3751" s="65">
        <f t="shared" si="1158"/>
        <v>0</v>
      </c>
      <c r="AA3751" s="65">
        <f t="shared" si="1158"/>
        <v>0</v>
      </c>
      <c r="AB3751" s="65">
        <f t="shared" si="1157"/>
        <v>0</v>
      </c>
    </row>
    <row r="3752" spans="1:29" s="14" customFormat="1" x14ac:dyDescent="0.25">
      <c r="D3752" s="14" t="s">
        <v>76</v>
      </c>
      <c r="G3752">
        <f>IFERROR(HLOOKUP(G$2,[113]table_male_hkom3_inj.ill_X1!$A$1:$K$36,8,FALSE),0)</f>
        <v>1</v>
      </c>
      <c r="H3752">
        <f>IFERROR(HLOOKUP(H$2,[113]table_male_hkom3_inj.ill_X1!$A$1:$K$36,8,FALSE),0)</f>
        <v>0</v>
      </c>
      <c r="I3752">
        <f>IFERROR(HLOOKUP(I$2,[113]table_male_hkom3_inj.ill_X1!$A$1:$K$36,8,FALSE),0)</f>
        <v>1</v>
      </c>
      <c r="J3752">
        <f>IFERROR(HLOOKUP(J$2,[113]table_male_hkom3_inj.ill_X1!$A$1:$K$36,8,FALSE),0)</f>
        <v>0</v>
      </c>
      <c r="K3752">
        <f>IFERROR(HLOOKUP(K$2,[113]table_male_hkom3_inj.ill_X1!$A$1:$K$36,8,FALSE),0)</f>
        <v>0</v>
      </c>
      <c r="L3752">
        <f>IFERROR(HLOOKUP(L$2,[113]table_male_hkom3_inj.ill_X1!$A$1:$K$36,8,FALSE),0)</f>
        <v>0</v>
      </c>
      <c r="M3752">
        <f t="shared" si="1159"/>
        <v>2</v>
      </c>
      <c r="N3752"/>
      <c r="O3752"/>
      <c r="S3752" s="14" t="s">
        <v>76</v>
      </c>
      <c r="T3752" s="65">
        <f t="shared" si="1160"/>
        <v>0</v>
      </c>
      <c r="U3752" s="65">
        <f t="shared" si="1158"/>
        <v>0</v>
      </c>
      <c r="V3752" s="65">
        <f t="shared" si="1158"/>
        <v>1.2608695652173914</v>
      </c>
      <c r="W3752" s="65">
        <f t="shared" si="1158"/>
        <v>0</v>
      </c>
      <c r="X3752" s="65">
        <f t="shared" si="1158"/>
        <v>2.6551724137931032</v>
      </c>
      <c r="Y3752" s="65">
        <f t="shared" si="1158"/>
        <v>0</v>
      </c>
      <c r="Z3752" s="65">
        <f t="shared" si="1158"/>
        <v>0</v>
      </c>
      <c r="AA3752" s="65">
        <f t="shared" si="1158"/>
        <v>0</v>
      </c>
      <c r="AB3752" s="65">
        <f t="shared" si="1157"/>
        <v>3.9160419790104948</v>
      </c>
    </row>
    <row r="3753" spans="1:29" s="14" customFormat="1" x14ac:dyDescent="0.25">
      <c r="D3753" s="14" t="s">
        <v>77</v>
      </c>
      <c r="G3753">
        <f>IFERROR(HLOOKUP(G$2,[113]table_male_hkom3_inj.ill_X1!$A$1:$K$36,9,FALSE),0)</f>
        <v>0</v>
      </c>
      <c r="H3753">
        <f>IFERROR(HLOOKUP(H$2,[113]table_male_hkom3_inj.ill_X1!$A$1:$K$36,9,FALSE),0)</f>
        <v>1</v>
      </c>
      <c r="I3753">
        <f>IFERROR(HLOOKUP(I$2,[113]table_male_hkom3_inj.ill_X1!$A$1:$K$36,9,FALSE),0)</f>
        <v>0</v>
      </c>
      <c r="J3753">
        <f>IFERROR(HLOOKUP(J$2,[113]table_male_hkom3_inj.ill_X1!$A$1:$K$36,9,FALSE),0)</f>
        <v>0</v>
      </c>
      <c r="K3753">
        <f>IFERROR(HLOOKUP(K$2,[113]table_male_hkom3_inj.ill_X1!$A$1:$K$36,9,FALSE),0)</f>
        <v>1</v>
      </c>
      <c r="L3753">
        <f>IFERROR(HLOOKUP(L$2,[113]table_male_hkom3_inj.ill_X1!$A$1:$K$36,9,FALSE),0)</f>
        <v>0</v>
      </c>
      <c r="M3753">
        <f t="shared" si="1159"/>
        <v>2</v>
      </c>
      <c r="N3753"/>
      <c r="O3753"/>
      <c r="S3753" s="14" t="s">
        <v>77</v>
      </c>
      <c r="T3753" s="65">
        <f t="shared" si="1160"/>
        <v>0</v>
      </c>
      <c r="U3753" s="65">
        <f t="shared" si="1158"/>
        <v>0</v>
      </c>
      <c r="V3753" s="65">
        <f t="shared" si="1158"/>
        <v>0</v>
      </c>
      <c r="W3753" s="65">
        <f t="shared" si="1158"/>
        <v>2.145833333333333</v>
      </c>
      <c r="X3753" s="65">
        <f t="shared" si="1158"/>
        <v>0</v>
      </c>
      <c r="Y3753" s="65">
        <f t="shared" si="1158"/>
        <v>0</v>
      </c>
      <c r="Z3753" s="65">
        <f t="shared" si="1158"/>
        <v>2</v>
      </c>
      <c r="AA3753" s="65">
        <f t="shared" si="1158"/>
        <v>0</v>
      </c>
      <c r="AB3753" s="65">
        <f t="shared" si="1157"/>
        <v>4.145833333333333</v>
      </c>
    </row>
    <row r="3754" spans="1:29" s="14" customFormat="1" x14ac:dyDescent="0.25">
      <c r="D3754" s="14" t="s">
        <v>78</v>
      </c>
      <c r="G3754">
        <f>IFERROR(HLOOKUP(G$2,[113]table_male_hkom3_inj.ill_X1!$A$1:$K$36,10,FALSE),0)</f>
        <v>1</v>
      </c>
      <c r="H3754">
        <f>IFERROR(HLOOKUP(H$2,[113]table_male_hkom3_inj.ill_X1!$A$1:$K$36,10,FALSE),0)</f>
        <v>2</v>
      </c>
      <c r="I3754">
        <f>IFERROR(HLOOKUP(I$2,[113]table_male_hkom3_inj.ill_X1!$A$1:$K$36,10,FALSE),0)</f>
        <v>1</v>
      </c>
      <c r="J3754">
        <f>IFERROR(HLOOKUP(J$2,[113]table_male_hkom3_inj.ill_X1!$A$1:$K$36,10,FALSE),0)</f>
        <v>0</v>
      </c>
      <c r="K3754">
        <f>IFERROR(HLOOKUP(K$2,[113]table_male_hkom3_inj.ill_X1!$A$1:$K$36,10,FALSE),0)</f>
        <v>0</v>
      </c>
      <c r="L3754">
        <f>IFERROR(HLOOKUP(L$2,[113]table_male_hkom3_inj.ill_X1!$A$1:$K$36,10,FALSE),0)</f>
        <v>0</v>
      </c>
      <c r="M3754">
        <f t="shared" si="1159"/>
        <v>4</v>
      </c>
      <c r="N3754"/>
      <c r="O3754"/>
      <c r="S3754" s="14" t="s">
        <v>78</v>
      </c>
      <c r="T3754" s="65">
        <f t="shared" si="1160"/>
        <v>0</v>
      </c>
      <c r="U3754" s="65">
        <f t="shared" si="1158"/>
        <v>0</v>
      </c>
      <c r="V3754" s="65">
        <f t="shared" si="1158"/>
        <v>1.2608695652173914</v>
      </c>
      <c r="W3754" s="65">
        <f t="shared" si="1158"/>
        <v>4.2916666666666661</v>
      </c>
      <c r="X3754" s="65">
        <f t="shared" si="1158"/>
        <v>2.6551724137931032</v>
      </c>
      <c r="Y3754" s="65">
        <f t="shared" si="1158"/>
        <v>0</v>
      </c>
      <c r="Z3754" s="65">
        <f t="shared" si="1158"/>
        <v>0</v>
      </c>
      <c r="AA3754" s="65">
        <f t="shared" si="1158"/>
        <v>0</v>
      </c>
      <c r="AB3754" s="65">
        <f t="shared" si="1157"/>
        <v>8.2077086456771617</v>
      </c>
    </row>
    <row r="3755" spans="1:29" s="14" customFormat="1" x14ac:dyDescent="0.25">
      <c r="D3755" s="14" t="s">
        <v>79</v>
      </c>
      <c r="G3755">
        <f>IFERROR(HLOOKUP(G$2,[113]table_male_hkom3_inj.ill_X1!$A$1:$K$36,11,FALSE),0)</f>
        <v>1</v>
      </c>
      <c r="H3755">
        <f>IFERROR(HLOOKUP(H$2,[113]table_male_hkom3_inj.ill_X1!$A$1:$K$36,11,FALSE),0)</f>
        <v>0</v>
      </c>
      <c r="I3755">
        <f>IFERROR(HLOOKUP(I$2,[113]table_male_hkom3_inj.ill_X1!$A$1:$K$36,11,FALSE),0)</f>
        <v>0</v>
      </c>
      <c r="J3755">
        <f>IFERROR(HLOOKUP(J$2,[113]table_male_hkom3_inj.ill_X1!$A$1:$K$36,11,FALSE),0)</f>
        <v>0</v>
      </c>
      <c r="K3755">
        <f>IFERROR(HLOOKUP(K$2,[113]table_male_hkom3_inj.ill_X1!$A$1:$K$36,11,FALSE),0)</f>
        <v>0</v>
      </c>
      <c r="L3755">
        <f>IFERROR(HLOOKUP(L$2,[113]table_male_hkom3_inj.ill_X1!$A$1:$K$36,11,FALSE),0)</f>
        <v>0</v>
      </c>
      <c r="M3755">
        <f t="shared" si="1159"/>
        <v>1</v>
      </c>
      <c r="N3755"/>
      <c r="O3755"/>
      <c r="S3755" s="14" t="s">
        <v>79</v>
      </c>
      <c r="T3755" s="65">
        <f t="shared" si="1160"/>
        <v>0</v>
      </c>
      <c r="U3755" s="65">
        <f t="shared" si="1158"/>
        <v>0</v>
      </c>
      <c r="V3755" s="65">
        <f t="shared" si="1158"/>
        <v>1.2608695652173914</v>
      </c>
      <c r="W3755" s="65">
        <f t="shared" si="1158"/>
        <v>0</v>
      </c>
      <c r="X3755" s="65">
        <f t="shared" si="1158"/>
        <v>0</v>
      </c>
      <c r="Y3755" s="65">
        <f t="shared" si="1158"/>
        <v>0</v>
      </c>
      <c r="Z3755" s="65">
        <f t="shared" si="1158"/>
        <v>0</v>
      </c>
      <c r="AA3755" s="65">
        <f t="shared" si="1158"/>
        <v>0</v>
      </c>
      <c r="AB3755" s="65">
        <f t="shared" si="1157"/>
        <v>1.2608695652173914</v>
      </c>
    </row>
    <row r="3756" spans="1:29" s="14" customFormat="1" x14ac:dyDescent="0.25">
      <c r="D3756" s="14" t="s">
        <v>80</v>
      </c>
      <c r="G3756">
        <f>IFERROR(HLOOKUP(G$2,[113]table_male_hkom3_inj.ill_X1!$A$1:$K$36,12,FALSE),0)</f>
        <v>3</v>
      </c>
      <c r="H3756">
        <f>IFERROR(HLOOKUP(H$2,[113]table_male_hkom3_inj.ill_X1!$A$1:$K$36,12,FALSE),0)</f>
        <v>2</v>
      </c>
      <c r="I3756">
        <f>IFERROR(HLOOKUP(I$2,[113]table_male_hkom3_inj.ill_X1!$A$1:$K$36,12,FALSE),0)</f>
        <v>0</v>
      </c>
      <c r="J3756">
        <f>IFERROR(HLOOKUP(J$2,[113]table_male_hkom3_inj.ill_X1!$A$1:$K$36,12,FALSE),0)</f>
        <v>0</v>
      </c>
      <c r="K3756">
        <f>IFERROR(HLOOKUP(K$2,[113]table_male_hkom3_inj.ill_X1!$A$1:$K$36,12,FALSE),0)</f>
        <v>0</v>
      </c>
      <c r="L3756">
        <f>IFERROR(HLOOKUP(L$2,[113]table_male_hkom3_inj.ill_X1!$A$1:$K$36,12,FALSE),0)</f>
        <v>0</v>
      </c>
      <c r="M3756">
        <f t="shared" si="1159"/>
        <v>5</v>
      </c>
      <c r="N3756"/>
      <c r="O3756"/>
      <c r="S3756" s="14" t="s">
        <v>80</v>
      </c>
      <c r="T3756" s="65">
        <f t="shared" si="1160"/>
        <v>0</v>
      </c>
      <c r="U3756" s="65">
        <f t="shared" si="1158"/>
        <v>0</v>
      </c>
      <c r="V3756" s="65">
        <f t="shared" si="1158"/>
        <v>3.7826086956521738</v>
      </c>
      <c r="W3756" s="65">
        <f t="shared" si="1158"/>
        <v>4.2916666666666661</v>
      </c>
      <c r="X3756" s="65">
        <f t="shared" si="1158"/>
        <v>0</v>
      </c>
      <c r="Y3756" s="65">
        <f t="shared" si="1158"/>
        <v>0</v>
      </c>
      <c r="Z3756" s="65">
        <f t="shared" si="1158"/>
        <v>0</v>
      </c>
      <c r="AA3756" s="65">
        <f t="shared" si="1158"/>
        <v>0</v>
      </c>
      <c r="AB3756" s="65">
        <f t="shared" si="1157"/>
        <v>8.0742753623188399</v>
      </c>
    </row>
    <row r="3757" spans="1:29" s="14" customFormat="1" x14ac:dyDescent="0.25">
      <c r="D3757" s="14" t="s">
        <v>81</v>
      </c>
      <c r="G3757">
        <f>IFERROR(HLOOKUP(G$2,[113]table_male_hkom3_inj.ill_X1!$A$1:$K$36,13,FALSE),0)</f>
        <v>1</v>
      </c>
      <c r="H3757">
        <f>IFERROR(HLOOKUP(H$2,[113]table_male_hkom3_inj.ill_X1!$A$1:$K$36,13,FALSE),0)</f>
        <v>0</v>
      </c>
      <c r="I3757">
        <f>IFERROR(HLOOKUP(I$2,[113]table_male_hkom3_inj.ill_X1!$A$1:$K$36,13,FALSE),0)</f>
        <v>0</v>
      </c>
      <c r="J3757">
        <f>IFERROR(HLOOKUP(J$2,[113]table_male_hkom3_inj.ill_X1!$A$1:$K$36,13,FALSE),0)</f>
        <v>0</v>
      </c>
      <c r="K3757">
        <f>IFERROR(HLOOKUP(K$2,[113]table_male_hkom3_inj.ill_X1!$A$1:$K$36,13,FALSE),0)</f>
        <v>0</v>
      </c>
      <c r="L3757">
        <f>IFERROR(HLOOKUP(L$2,[113]table_male_hkom3_inj.ill_X1!$A$1:$K$36,13,FALSE),0)</f>
        <v>0</v>
      </c>
      <c r="M3757">
        <f t="shared" si="1159"/>
        <v>1</v>
      </c>
      <c r="N3757"/>
      <c r="O3757"/>
      <c r="S3757" s="14" t="s">
        <v>81</v>
      </c>
      <c r="T3757" s="65">
        <f t="shared" si="1160"/>
        <v>0</v>
      </c>
      <c r="U3757" s="65">
        <f t="shared" si="1158"/>
        <v>0</v>
      </c>
      <c r="V3757" s="65">
        <f t="shared" si="1158"/>
        <v>1.2608695652173914</v>
      </c>
      <c r="W3757" s="65">
        <f t="shared" si="1158"/>
        <v>0</v>
      </c>
      <c r="X3757" s="65">
        <f t="shared" si="1158"/>
        <v>0</v>
      </c>
      <c r="Y3757" s="65">
        <f t="shared" si="1158"/>
        <v>0</v>
      </c>
      <c r="Z3757" s="65">
        <f t="shared" si="1158"/>
        <v>0</v>
      </c>
      <c r="AA3757" s="65">
        <f t="shared" si="1158"/>
        <v>0</v>
      </c>
      <c r="AB3757" s="65">
        <f t="shared" si="1157"/>
        <v>1.2608695652173914</v>
      </c>
    </row>
    <row r="3758" spans="1:29" s="14" customFormat="1" x14ac:dyDescent="0.25">
      <c r="D3758" s="14" t="s">
        <v>82</v>
      </c>
      <c r="G3758">
        <f>IFERROR(HLOOKUP(G$2,[113]table_male_hkom3_inj.ill_X1!$A$1:$K$36,14,FALSE),0)</f>
        <v>0</v>
      </c>
      <c r="H3758">
        <f>IFERROR(HLOOKUP(H$2,[113]table_male_hkom3_inj.ill_X1!$A$1:$K$36,14,FALSE),0)</f>
        <v>1</v>
      </c>
      <c r="I3758">
        <f>IFERROR(HLOOKUP(I$2,[113]table_male_hkom3_inj.ill_X1!$A$1:$K$36,14,FALSE),0)</f>
        <v>0</v>
      </c>
      <c r="J3758">
        <f>IFERROR(HLOOKUP(J$2,[113]table_male_hkom3_inj.ill_X1!$A$1:$K$36,14,FALSE),0)</f>
        <v>1</v>
      </c>
      <c r="K3758">
        <f>IFERROR(HLOOKUP(K$2,[113]table_male_hkom3_inj.ill_X1!$A$1:$K$36,14,FALSE),0)</f>
        <v>0</v>
      </c>
      <c r="L3758">
        <f>IFERROR(HLOOKUP(L$2,[113]table_male_hkom3_inj.ill_X1!$A$1:$K$36,14,FALSE),0)</f>
        <v>0</v>
      </c>
      <c r="M3758">
        <f t="shared" si="1159"/>
        <v>2</v>
      </c>
      <c r="N3758"/>
      <c r="O3758"/>
      <c r="S3758" s="14" t="s">
        <v>82</v>
      </c>
      <c r="T3758" s="65">
        <f t="shared" si="1160"/>
        <v>0</v>
      </c>
      <c r="U3758" s="65">
        <f t="shared" si="1158"/>
        <v>0</v>
      </c>
      <c r="V3758" s="65">
        <f t="shared" si="1158"/>
        <v>0</v>
      </c>
      <c r="W3758" s="65">
        <f t="shared" si="1158"/>
        <v>2.145833333333333</v>
      </c>
      <c r="X3758" s="65">
        <f t="shared" si="1158"/>
        <v>0</v>
      </c>
      <c r="Y3758" s="65">
        <f t="shared" si="1158"/>
        <v>3.333333333333333</v>
      </c>
      <c r="Z3758" s="65">
        <f t="shared" si="1158"/>
        <v>0</v>
      </c>
      <c r="AA3758" s="65">
        <f t="shared" si="1158"/>
        <v>0</v>
      </c>
      <c r="AB3758" s="65">
        <f t="shared" si="1157"/>
        <v>5.4791666666666661</v>
      </c>
    </row>
    <row r="3759" spans="1:29" s="14" customFormat="1" x14ac:dyDescent="0.25">
      <c r="D3759" s="14" t="s">
        <v>83</v>
      </c>
      <c r="G3759">
        <f>IFERROR(HLOOKUP(G$2,[113]table_male_hkom3_inj.ill_X1!$A$1:$K$36,15,FALSE),0)</f>
        <v>2</v>
      </c>
      <c r="H3759">
        <f>IFERROR(HLOOKUP(H$2,[113]table_male_hkom3_inj.ill_X1!$A$1:$K$36,15,FALSE),0)</f>
        <v>2</v>
      </c>
      <c r="I3759">
        <f>IFERROR(HLOOKUP(I$2,[113]table_male_hkom3_inj.ill_X1!$A$1:$K$36,15,FALSE),0)</f>
        <v>1</v>
      </c>
      <c r="J3759">
        <f>IFERROR(HLOOKUP(J$2,[113]table_male_hkom3_inj.ill_X1!$A$1:$K$36,15,FALSE),0)</f>
        <v>0</v>
      </c>
      <c r="K3759">
        <f>IFERROR(HLOOKUP(K$2,[113]table_male_hkom3_inj.ill_X1!$A$1:$K$36,15,FALSE),0)</f>
        <v>0</v>
      </c>
      <c r="L3759">
        <f>IFERROR(HLOOKUP(L$2,[113]table_male_hkom3_inj.ill_X1!$A$1:$K$36,15,FALSE),0)</f>
        <v>0</v>
      </c>
      <c r="M3759">
        <f t="shared" si="1159"/>
        <v>5</v>
      </c>
      <c r="N3759"/>
      <c r="O3759"/>
      <c r="S3759" s="14" t="s">
        <v>83</v>
      </c>
      <c r="T3759" s="65">
        <f t="shared" si="1160"/>
        <v>0</v>
      </c>
      <c r="U3759" s="65">
        <f t="shared" si="1158"/>
        <v>0</v>
      </c>
      <c r="V3759" s="65">
        <f t="shared" si="1158"/>
        <v>2.5217391304347827</v>
      </c>
      <c r="W3759" s="65">
        <f t="shared" si="1158"/>
        <v>4.2916666666666661</v>
      </c>
      <c r="X3759" s="65">
        <f t="shared" si="1158"/>
        <v>2.6551724137931032</v>
      </c>
      <c r="Y3759" s="65">
        <f t="shared" si="1158"/>
        <v>0</v>
      </c>
      <c r="Z3759" s="65">
        <f t="shared" si="1158"/>
        <v>0</v>
      </c>
      <c r="AA3759" s="65">
        <f t="shared" si="1158"/>
        <v>0</v>
      </c>
      <c r="AB3759" s="65">
        <f t="shared" si="1157"/>
        <v>9.4685782108945524</v>
      </c>
    </row>
    <row r="3760" spans="1:29" s="14" customFormat="1" x14ac:dyDescent="0.25">
      <c r="D3760" s="14" t="s">
        <v>84</v>
      </c>
      <c r="G3760">
        <f>IFERROR(HLOOKUP(G$2,[113]table_male_hkom3_inj.ill_X1!$A$1:$K$36,16,FALSE),0)</f>
        <v>3</v>
      </c>
      <c r="H3760">
        <f>IFERROR(HLOOKUP(H$2,[113]table_male_hkom3_inj.ill_X1!$A$1:$K$36,16,FALSE),0)</f>
        <v>1</v>
      </c>
      <c r="I3760">
        <f>IFERROR(HLOOKUP(I$2,[113]table_male_hkom3_inj.ill_X1!$A$1:$K$36,16,FALSE),0)</f>
        <v>1</v>
      </c>
      <c r="J3760">
        <f>IFERROR(HLOOKUP(J$2,[113]table_male_hkom3_inj.ill_X1!$A$1:$K$36,16,FALSE),0)</f>
        <v>0</v>
      </c>
      <c r="K3760">
        <f>IFERROR(HLOOKUP(K$2,[113]table_male_hkom3_inj.ill_X1!$A$1:$K$36,16,FALSE),0)</f>
        <v>0</v>
      </c>
      <c r="L3760">
        <f>IFERROR(HLOOKUP(L$2,[113]table_male_hkom3_inj.ill_X1!$A$1:$K$36,16,FALSE),0)</f>
        <v>0</v>
      </c>
      <c r="M3760">
        <f t="shared" si="1159"/>
        <v>5</v>
      </c>
      <c r="N3760"/>
      <c r="O3760"/>
      <c r="S3760" s="14" t="s">
        <v>84</v>
      </c>
      <c r="T3760" s="65">
        <f t="shared" si="1160"/>
        <v>0</v>
      </c>
      <c r="U3760" s="65">
        <f t="shared" si="1158"/>
        <v>0</v>
      </c>
      <c r="V3760" s="65">
        <f t="shared" si="1158"/>
        <v>3.7826086956521738</v>
      </c>
      <c r="W3760" s="65">
        <f t="shared" si="1158"/>
        <v>2.145833333333333</v>
      </c>
      <c r="X3760" s="65">
        <f t="shared" si="1158"/>
        <v>2.6551724137931032</v>
      </c>
      <c r="Y3760" s="65">
        <f t="shared" si="1158"/>
        <v>0</v>
      </c>
      <c r="Z3760" s="65">
        <f t="shared" si="1158"/>
        <v>0</v>
      </c>
      <c r="AA3760" s="65">
        <f t="shared" si="1158"/>
        <v>0</v>
      </c>
      <c r="AB3760" s="65">
        <f t="shared" si="1157"/>
        <v>8.583614442778611</v>
      </c>
    </row>
    <row r="3761" spans="4:28" s="14" customFormat="1" x14ac:dyDescent="0.25">
      <c r="D3761" s="14" t="s">
        <v>85</v>
      </c>
      <c r="G3761">
        <f>IFERROR(HLOOKUP(G$2,[113]table_male_hkom3_inj.ill_X1!$A$1:$K$36,17,FALSE),0)</f>
        <v>3</v>
      </c>
      <c r="H3761">
        <f>IFERROR(HLOOKUP(H$2,[113]table_male_hkom3_inj.ill_X1!$A$1:$K$36,17,FALSE),0)</f>
        <v>5</v>
      </c>
      <c r="I3761">
        <f>IFERROR(HLOOKUP(I$2,[113]table_male_hkom3_inj.ill_X1!$A$1:$K$36,17,FALSE),0)</f>
        <v>2</v>
      </c>
      <c r="J3761">
        <f>IFERROR(HLOOKUP(J$2,[113]table_male_hkom3_inj.ill_X1!$A$1:$K$36,17,FALSE),0)</f>
        <v>0</v>
      </c>
      <c r="K3761">
        <f>IFERROR(HLOOKUP(K$2,[113]table_male_hkom3_inj.ill_X1!$A$1:$K$36,17,FALSE),0)</f>
        <v>0</v>
      </c>
      <c r="L3761">
        <f>IFERROR(HLOOKUP(L$2,[113]table_male_hkom3_inj.ill_X1!$A$1:$K$36,17,FALSE),0)</f>
        <v>0</v>
      </c>
      <c r="M3761">
        <f t="shared" si="1159"/>
        <v>10</v>
      </c>
      <c r="N3761"/>
      <c r="O3761"/>
      <c r="S3761" s="14" t="s">
        <v>85</v>
      </c>
      <c r="T3761" s="65">
        <f t="shared" si="1160"/>
        <v>0</v>
      </c>
      <c r="U3761" s="65">
        <f t="shared" si="1158"/>
        <v>0</v>
      </c>
      <c r="V3761" s="65">
        <f t="shared" si="1158"/>
        <v>3.7826086956521738</v>
      </c>
      <c r="W3761" s="65">
        <f t="shared" si="1158"/>
        <v>10.729166666666668</v>
      </c>
      <c r="X3761" s="65">
        <f t="shared" si="1158"/>
        <v>5.3103448275862064</v>
      </c>
      <c r="Y3761" s="65">
        <f t="shared" si="1158"/>
        <v>0</v>
      </c>
      <c r="Z3761" s="65">
        <f t="shared" si="1158"/>
        <v>0</v>
      </c>
      <c r="AA3761" s="65">
        <f t="shared" si="1158"/>
        <v>0</v>
      </c>
      <c r="AB3761" s="65">
        <f t="shared" si="1157"/>
        <v>19.82212018990505</v>
      </c>
    </row>
    <row r="3762" spans="4:28" s="14" customFormat="1" x14ac:dyDescent="0.25">
      <c r="D3762" s="14" t="s">
        <v>86</v>
      </c>
      <c r="G3762">
        <f>IFERROR(HLOOKUP(G$2,[113]table_male_hkom3_inj.ill_X1!$A$1:$K$36,18,FALSE),0)</f>
        <v>1</v>
      </c>
      <c r="H3762">
        <f>IFERROR(HLOOKUP(H$2,[113]table_male_hkom3_inj.ill_X1!$A$1:$K$36,18,FALSE),0)</f>
        <v>9</v>
      </c>
      <c r="I3762">
        <f>IFERROR(HLOOKUP(I$2,[113]table_male_hkom3_inj.ill_X1!$A$1:$K$36,18,FALSE),0)</f>
        <v>7</v>
      </c>
      <c r="J3762">
        <f>IFERROR(HLOOKUP(J$2,[113]table_male_hkom3_inj.ill_X1!$A$1:$K$36,18,FALSE),0)</f>
        <v>2</v>
      </c>
      <c r="K3762">
        <f>IFERROR(HLOOKUP(K$2,[113]table_male_hkom3_inj.ill_X1!$A$1:$K$36,18,FALSE),0)</f>
        <v>0</v>
      </c>
      <c r="L3762">
        <f>IFERROR(HLOOKUP(L$2,[113]table_male_hkom3_inj.ill_X1!$A$1:$K$36,18,FALSE),0)</f>
        <v>0</v>
      </c>
      <c r="M3762">
        <f t="shared" si="1159"/>
        <v>19</v>
      </c>
      <c r="N3762"/>
      <c r="O3762"/>
      <c r="S3762" s="14" t="s">
        <v>86</v>
      </c>
      <c r="T3762" s="65">
        <f t="shared" si="1160"/>
        <v>0</v>
      </c>
      <c r="U3762" s="65">
        <f t="shared" ref="U3762:AA3778" si="1161">IF(SUM(F$3746:F$3778)=0,F$3779/33,F3762+IFERROR(F3762/SUM(F$3746:F$3778)*F$3779,0))</f>
        <v>0</v>
      </c>
      <c r="V3762" s="65">
        <f t="shared" si="1161"/>
        <v>1.2608695652173914</v>
      </c>
      <c r="W3762" s="65">
        <f t="shared" si="1161"/>
        <v>19.3125</v>
      </c>
      <c r="X3762" s="65">
        <f t="shared" si="1161"/>
        <v>18.586206896551722</v>
      </c>
      <c r="Y3762" s="65">
        <f t="shared" si="1161"/>
        <v>6.6666666666666661</v>
      </c>
      <c r="Z3762" s="65">
        <f t="shared" si="1161"/>
        <v>0</v>
      </c>
      <c r="AA3762" s="65">
        <f t="shared" si="1161"/>
        <v>0</v>
      </c>
      <c r="AB3762" s="65">
        <f t="shared" si="1157"/>
        <v>45.826243128435777</v>
      </c>
    </row>
    <row r="3763" spans="4:28" s="14" customFormat="1" x14ac:dyDescent="0.25">
      <c r="D3763" s="14" t="s">
        <v>87</v>
      </c>
      <c r="G3763">
        <f>IFERROR(HLOOKUP(G$2,[113]table_male_hkom3_inj.ill_X1!$A$1:$K$36,19,FALSE),0)</f>
        <v>0</v>
      </c>
      <c r="H3763">
        <f>IFERROR(HLOOKUP(H$2,[113]table_male_hkom3_inj.ill_X1!$A$1:$K$36,19,FALSE),0)</f>
        <v>1</v>
      </c>
      <c r="I3763">
        <f>IFERROR(HLOOKUP(I$2,[113]table_male_hkom3_inj.ill_X1!$A$1:$K$36,19,FALSE),0)</f>
        <v>2</v>
      </c>
      <c r="J3763">
        <f>IFERROR(HLOOKUP(J$2,[113]table_male_hkom3_inj.ill_X1!$A$1:$K$36,19,FALSE),0)</f>
        <v>0</v>
      </c>
      <c r="K3763">
        <f>IFERROR(HLOOKUP(K$2,[113]table_male_hkom3_inj.ill_X1!$A$1:$K$36,19,FALSE),0)</f>
        <v>0</v>
      </c>
      <c r="L3763">
        <f>IFERROR(HLOOKUP(L$2,[113]table_male_hkom3_inj.ill_X1!$A$1:$K$36,19,FALSE),0)</f>
        <v>0</v>
      </c>
      <c r="M3763">
        <f t="shared" si="1159"/>
        <v>3</v>
      </c>
      <c r="N3763"/>
      <c r="O3763"/>
      <c r="S3763" s="14" t="s">
        <v>87</v>
      </c>
      <c r="T3763" s="65">
        <f t="shared" si="1160"/>
        <v>0</v>
      </c>
      <c r="U3763" s="65">
        <f t="shared" si="1161"/>
        <v>0</v>
      </c>
      <c r="V3763" s="65">
        <f t="shared" si="1161"/>
        <v>0</v>
      </c>
      <c r="W3763" s="65">
        <f t="shared" si="1161"/>
        <v>2.145833333333333</v>
      </c>
      <c r="X3763" s="65">
        <f t="shared" si="1161"/>
        <v>5.3103448275862064</v>
      </c>
      <c r="Y3763" s="65">
        <f t="shared" si="1161"/>
        <v>0</v>
      </c>
      <c r="Z3763" s="65">
        <f t="shared" si="1161"/>
        <v>0</v>
      </c>
      <c r="AA3763" s="65">
        <f t="shared" si="1161"/>
        <v>0</v>
      </c>
      <c r="AB3763" s="65">
        <f t="shared" si="1157"/>
        <v>7.4561781609195394</v>
      </c>
    </row>
    <row r="3764" spans="4:28" s="14" customFormat="1" x14ac:dyDescent="0.25">
      <c r="D3764" s="14" t="s">
        <v>88</v>
      </c>
      <c r="G3764">
        <f>IFERROR(HLOOKUP(G$2,[113]table_male_hkom3_inj.ill_X1!$A$1:$K$36,20,FALSE),0)</f>
        <v>3</v>
      </c>
      <c r="H3764">
        <f>IFERROR(HLOOKUP(H$2,[113]table_male_hkom3_inj.ill_X1!$A$1:$K$36,20,FALSE),0)</f>
        <v>13</v>
      </c>
      <c r="I3764">
        <f>IFERROR(HLOOKUP(I$2,[113]table_male_hkom3_inj.ill_X1!$A$1:$K$36,20,FALSE),0)</f>
        <v>5</v>
      </c>
      <c r="J3764">
        <f>IFERROR(HLOOKUP(J$2,[113]table_male_hkom3_inj.ill_X1!$A$1:$K$36,20,FALSE),0)</f>
        <v>0</v>
      </c>
      <c r="K3764">
        <f>IFERROR(HLOOKUP(K$2,[113]table_male_hkom3_inj.ill_X1!$A$1:$K$36,20,FALSE),0)</f>
        <v>1</v>
      </c>
      <c r="L3764">
        <f>IFERROR(HLOOKUP(L$2,[113]table_male_hkom3_inj.ill_X1!$A$1:$K$36,20,FALSE),0)</f>
        <v>0</v>
      </c>
      <c r="M3764">
        <f t="shared" si="1159"/>
        <v>22</v>
      </c>
      <c r="N3764"/>
      <c r="O3764"/>
      <c r="S3764" s="14" t="s">
        <v>88</v>
      </c>
      <c r="T3764" s="65">
        <f t="shared" si="1160"/>
        <v>0</v>
      </c>
      <c r="U3764" s="65">
        <f t="shared" si="1161"/>
        <v>0</v>
      </c>
      <c r="V3764" s="65">
        <f t="shared" si="1161"/>
        <v>3.7826086956521738</v>
      </c>
      <c r="W3764" s="65">
        <f t="shared" si="1161"/>
        <v>27.895833333333332</v>
      </c>
      <c r="X3764" s="65">
        <f t="shared" si="1161"/>
        <v>13.275862068965518</v>
      </c>
      <c r="Y3764" s="65">
        <f t="shared" si="1161"/>
        <v>0</v>
      </c>
      <c r="Z3764" s="65">
        <f t="shared" si="1161"/>
        <v>2</v>
      </c>
      <c r="AA3764" s="65">
        <f t="shared" si="1161"/>
        <v>0</v>
      </c>
      <c r="AB3764" s="65">
        <f t="shared" si="1157"/>
        <v>46.954304097951024</v>
      </c>
    </row>
    <row r="3765" spans="4:28" s="14" customFormat="1" x14ac:dyDescent="0.25">
      <c r="D3765" s="14" t="s">
        <v>89</v>
      </c>
      <c r="G3765">
        <f>IFERROR(HLOOKUP(G$2,[113]table_male_hkom3_inj.ill_X1!$A$1:$K$36,21,FALSE),0)</f>
        <v>0</v>
      </c>
      <c r="H3765">
        <f>IFERROR(HLOOKUP(H$2,[113]table_male_hkom3_inj.ill_X1!$A$1:$K$36,21,FALSE),0)</f>
        <v>0</v>
      </c>
      <c r="I3765">
        <f>IFERROR(HLOOKUP(I$2,[113]table_male_hkom3_inj.ill_X1!$A$1:$K$36,21,FALSE),0)</f>
        <v>0</v>
      </c>
      <c r="J3765">
        <f>IFERROR(HLOOKUP(J$2,[113]table_male_hkom3_inj.ill_X1!$A$1:$K$36,21,FALSE),0)</f>
        <v>0</v>
      </c>
      <c r="K3765">
        <f>IFERROR(HLOOKUP(K$2,[113]table_male_hkom3_inj.ill_X1!$A$1:$K$36,21,FALSE),0)</f>
        <v>0</v>
      </c>
      <c r="L3765">
        <f>IFERROR(HLOOKUP(L$2,[113]table_male_hkom3_inj.ill_X1!$A$1:$K$36,21,FALSE),0)</f>
        <v>0</v>
      </c>
      <c r="M3765">
        <f t="shared" si="1159"/>
        <v>0</v>
      </c>
      <c r="N3765"/>
      <c r="O3765"/>
      <c r="S3765" s="14" t="s">
        <v>89</v>
      </c>
      <c r="T3765" s="65">
        <f t="shared" si="1160"/>
        <v>0</v>
      </c>
      <c r="U3765" s="65">
        <f t="shared" si="1161"/>
        <v>0</v>
      </c>
      <c r="V3765" s="65">
        <f t="shared" si="1161"/>
        <v>0</v>
      </c>
      <c r="W3765" s="65">
        <f t="shared" si="1161"/>
        <v>0</v>
      </c>
      <c r="X3765" s="65">
        <f t="shared" si="1161"/>
        <v>0</v>
      </c>
      <c r="Y3765" s="65">
        <f t="shared" si="1161"/>
        <v>0</v>
      </c>
      <c r="Z3765" s="65">
        <f t="shared" si="1161"/>
        <v>0</v>
      </c>
      <c r="AA3765" s="65">
        <f t="shared" si="1161"/>
        <v>0</v>
      </c>
      <c r="AB3765" s="65">
        <f t="shared" si="1157"/>
        <v>0</v>
      </c>
    </row>
    <row r="3766" spans="4:28" s="14" customFormat="1" x14ac:dyDescent="0.25">
      <c r="D3766" s="14" t="s">
        <v>90</v>
      </c>
      <c r="G3766">
        <f>IFERROR(HLOOKUP(G$2,[113]table_male_hkom3_inj.ill_X1!$A$1:$K$36,22,FALSE),0)</f>
        <v>0</v>
      </c>
      <c r="H3766">
        <f>IFERROR(HLOOKUP(H$2,[113]table_male_hkom3_inj.ill_X1!$A$1:$K$36,22,FALSE),0)</f>
        <v>0</v>
      </c>
      <c r="I3766">
        <f>IFERROR(HLOOKUP(I$2,[113]table_male_hkom3_inj.ill_X1!$A$1:$K$36,22,FALSE),0)</f>
        <v>0</v>
      </c>
      <c r="J3766">
        <f>IFERROR(HLOOKUP(J$2,[113]table_male_hkom3_inj.ill_X1!$A$1:$K$36,22,FALSE),0)</f>
        <v>0</v>
      </c>
      <c r="K3766">
        <f>IFERROR(HLOOKUP(K$2,[113]table_male_hkom3_inj.ill_X1!$A$1:$K$36,22,FALSE),0)</f>
        <v>0</v>
      </c>
      <c r="L3766">
        <f>IFERROR(HLOOKUP(L$2,[113]table_male_hkom3_inj.ill_X1!$A$1:$K$36,22,FALSE),0)</f>
        <v>0</v>
      </c>
      <c r="M3766">
        <f t="shared" si="1159"/>
        <v>0</v>
      </c>
      <c r="N3766"/>
      <c r="O3766"/>
      <c r="S3766" s="14" t="s">
        <v>90</v>
      </c>
      <c r="T3766" s="65">
        <f t="shared" si="1160"/>
        <v>0</v>
      </c>
      <c r="U3766" s="65">
        <f t="shared" si="1161"/>
        <v>0</v>
      </c>
      <c r="V3766" s="65">
        <f t="shared" si="1161"/>
        <v>0</v>
      </c>
      <c r="W3766" s="65">
        <f t="shared" si="1161"/>
        <v>0</v>
      </c>
      <c r="X3766" s="65">
        <f t="shared" si="1161"/>
        <v>0</v>
      </c>
      <c r="Y3766" s="65">
        <f t="shared" si="1161"/>
        <v>0</v>
      </c>
      <c r="Z3766" s="65">
        <f t="shared" si="1161"/>
        <v>0</v>
      </c>
      <c r="AA3766" s="65">
        <f t="shared" si="1161"/>
        <v>0</v>
      </c>
      <c r="AB3766" s="65">
        <f t="shared" si="1157"/>
        <v>0</v>
      </c>
    </row>
    <row r="3767" spans="4:28" s="14" customFormat="1" x14ac:dyDescent="0.25">
      <c r="D3767" s="14" t="s">
        <v>91</v>
      </c>
      <c r="G3767">
        <f>IFERROR(HLOOKUP(G$2,[113]table_male_hkom3_inj.ill_X1!$A$1:$K$36,23,FALSE),0)</f>
        <v>0</v>
      </c>
      <c r="H3767">
        <f>IFERROR(HLOOKUP(H$2,[113]table_male_hkom3_inj.ill_X1!$A$1:$K$36,23,FALSE),0)</f>
        <v>0</v>
      </c>
      <c r="I3767">
        <f>IFERROR(HLOOKUP(I$2,[113]table_male_hkom3_inj.ill_X1!$A$1:$K$36,23,FALSE),0)</f>
        <v>0</v>
      </c>
      <c r="J3767">
        <f>IFERROR(HLOOKUP(J$2,[113]table_male_hkom3_inj.ill_X1!$A$1:$K$36,23,FALSE),0)</f>
        <v>0</v>
      </c>
      <c r="K3767">
        <f>IFERROR(HLOOKUP(K$2,[113]table_male_hkom3_inj.ill_X1!$A$1:$K$36,23,FALSE),0)</f>
        <v>0</v>
      </c>
      <c r="L3767">
        <f>IFERROR(HLOOKUP(L$2,[113]table_male_hkom3_inj.ill_X1!$A$1:$K$36,23,FALSE),0)</f>
        <v>0</v>
      </c>
      <c r="M3767">
        <f t="shared" si="1159"/>
        <v>0</v>
      </c>
      <c r="N3767"/>
      <c r="O3767"/>
      <c r="S3767" s="14" t="s">
        <v>91</v>
      </c>
      <c r="T3767" s="65">
        <f t="shared" si="1160"/>
        <v>0</v>
      </c>
      <c r="U3767" s="65">
        <f t="shared" si="1161"/>
        <v>0</v>
      </c>
      <c r="V3767" s="65">
        <f t="shared" si="1161"/>
        <v>0</v>
      </c>
      <c r="W3767" s="65">
        <f t="shared" si="1161"/>
        <v>0</v>
      </c>
      <c r="X3767" s="65">
        <f t="shared" si="1161"/>
        <v>0</v>
      </c>
      <c r="Y3767" s="65">
        <f t="shared" si="1161"/>
        <v>0</v>
      </c>
      <c r="Z3767" s="65">
        <f t="shared" si="1161"/>
        <v>0</v>
      </c>
      <c r="AA3767" s="65">
        <f t="shared" si="1161"/>
        <v>0</v>
      </c>
      <c r="AB3767" s="65">
        <f t="shared" si="1157"/>
        <v>0</v>
      </c>
    </row>
    <row r="3768" spans="4:28" s="14" customFormat="1" x14ac:dyDescent="0.25">
      <c r="D3768" s="14" t="s">
        <v>92</v>
      </c>
      <c r="G3768">
        <f>IFERROR(HLOOKUP(G$2,[113]table_male_hkom3_inj.ill_X1!$A$1:$K$36,24,FALSE),0)</f>
        <v>0</v>
      </c>
      <c r="H3768">
        <f>IFERROR(HLOOKUP(H$2,[113]table_male_hkom3_inj.ill_X1!$A$1:$K$36,24,FALSE),0)</f>
        <v>0</v>
      </c>
      <c r="I3768">
        <f>IFERROR(HLOOKUP(I$2,[113]table_male_hkom3_inj.ill_X1!$A$1:$K$36,24,FALSE),0)</f>
        <v>0</v>
      </c>
      <c r="J3768">
        <f>IFERROR(HLOOKUP(J$2,[113]table_male_hkom3_inj.ill_X1!$A$1:$K$36,24,FALSE),0)</f>
        <v>0</v>
      </c>
      <c r="K3768">
        <f>IFERROR(HLOOKUP(K$2,[113]table_male_hkom3_inj.ill_X1!$A$1:$K$36,24,FALSE),0)</f>
        <v>0</v>
      </c>
      <c r="L3768">
        <f>IFERROR(HLOOKUP(L$2,[113]table_male_hkom3_inj.ill_X1!$A$1:$K$36,24,FALSE),0)</f>
        <v>0</v>
      </c>
      <c r="M3768">
        <f t="shared" si="1159"/>
        <v>0</v>
      </c>
      <c r="N3768"/>
      <c r="O3768"/>
      <c r="S3768" s="14" t="s">
        <v>92</v>
      </c>
      <c r="T3768" s="65">
        <f t="shared" si="1160"/>
        <v>0</v>
      </c>
      <c r="U3768" s="65">
        <f t="shared" si="1161"/>
        <v>0</v>
      </c>
      <c r="V3768" s="65">
        <f t="shared" si="1161"/>
        <v>0</v>
      </c>
      <c r="W3768" s="65">
        <f t="shared" si="1161"/>
        <v>0</v>
      </c>
      <c r="X3768" s="65">
        <f t="shared" si="1161"/>
        <v>0</v>
      </c>
      <c r="Y3768" s="65">
        <f t="shared" si="1161"/>
        <v>0</v>
      </c>
      <c r="Z3768" s="65">
        <f t="shared" si="1161"/>
        <v>0</v>
      </c>
      <c r="AA3768" s="65">
        <f t="shared" si="1161"/>
        <v>0</v>
      </c>
      <c r="AB3768" s="65">
        <f t="shared" si="1157"/>
        <v>0</v>
      </c>
    </row>
    <row r="3769" spans="4:28" s="14" customFormat="1" x14ac:dyDescent="0.25">
      <c r="D3769" s="14" t="s">
        <v>93</v>
      </c>
      <c r="G3769">
        <f>IFERROR(HLOOKUP(G$2,[113]table_male_hkom3_inj.ill_X1!$A$1:$K$36,25,FALSE),0)</f>
        <v>0</v>
      </c>
      <c r="H3769">
        <f>IFERROR(HLOOKUP(H$2,[113]table_male_hkom3_inj.ill_X1!$A$1:$K$36,25,FALSE),0)</f>
        <v>0</v>
      </c>
      <c r="I3769">
        <f>IFERROR(HLOOKUP(I$2,[113]table_male_hkom3_inj.ill_X1!$A$1:$K$36,25,FALSE),0)</f>
        <v>0</v>
      </c>
      <c r="J3769">
        <f>IFERROR(HLOOKUP(J$2,[113]table_male_hkom3_inj.ill_X1!$A$1:$K$36,25,FALSE),0)</f>
        <v>0</v>
      </c>
      <c r="K3769">
        <f>IFERROR(HLOOKUP(K$2,[113]table_male_hkom3_inj.ill_X1!$A$1:$K$36,25,FALSE),0)</f>
        <v>0</v>
      </c>
      <c r="L3769">
        <f>IFERROR(HLOOKUP(L$2,[113]table_male_hkom3_inj.ill_X1!$A$1:$K$36,25,FALSE),0)</f>
        <v>0</v>
      </c>
      <c r="M3769">
        <f t="shared" si="1159"/>
        <v>0</v>
      </c>
      <c r="N3769"/>
      <c r="O3769"/>
      <c r="S3769" s="14" t="s">
        <v>93</v>
      </c>
      <c r="T3769" s="65">
        <f t="shared" si="1160"/>
        <v>0</v>
      </c>
      <c r="U3769" s="65">
        <f t="shared" si="1161"/>
        <v>0</v>
      </c>
      <c r="V3769" s="65">
        <f t="shared" si="1161"/>
        <v>0</v>
      </c>
      <c r="W3769" s="65">
        <f t="shared" si="1161"/>
        <v>0</v>
      </c>
      <c r="X3769" s="65">
        <f t="shared" si="1161"/>
        <v>0</v>
      </c>
      <c r="Y3769" s="65">
        <f t="shared" si="1161"/>
        <v>0</v>
      </c>
      <c r="Z3769" s="65">
        <f t="shared" si="1161"/>
        <v>0</v>
      </c>
      <c r="AA3769" s="65">
        <f t="shared" si="1161"/>
        <v>0</v>
      </c>
      <c r="AB3769" s="65">
        <f t="shared" si="1157"/>
        <v>0</v>
      </c>
    </row>
    <row r="3770" spans="4:28" s="14" customFormat="1" x14ac:dyDescent="0.25">
      <c r="D3770" s="14" t="s">
        <v>94</v>
      </c>
      <c r="G3770">
        <f>IFERROR(HLOOKUP(G$2,[113]table_male_hkom3_inj.ill_X1!$A$1:$K$36,26,FALSE),0)</f>
        <v>0</v>
      </c>
      <c r="H3770">
        <f>IFERROR(HLOOKUP(H$2,[113]table_male_hkom3_inj.ill_X1!$A$1:$K$36,26,FALSE),0)</f>
        <v>0</v>
      </c>
      <c r="I3770">
        <f>IFERROR(HLOOKUP(I$2,[113]table_male_hkom3_inj.ill_X1!$A$1:$K$36,26,FALSE),0)</f>
        <v>0</v>
      </c>
      <c r="J3770">
        <f>IFERROR(HLOOKUP(J$2,[113]table_male_hkom3_inj.ill_X1!$A$1:$K$36,26,FALSE),0)</f>
        <v>0</v>
      </c>
      <c r="K3770">
        <f>IFERROR(HLOOKUP(K$2,[113]table_male_hkom3_inj.ill_X1!$A$1:$K$36,26,FALSE),0)</f>
        <v>0</v>
      </c>
      <c r="L3770">
        <f>IFERROR(HLOOKUP(L$2,[113]table_male_hkom3_inj.ill_X1!$A$1:$K$36,26,FALSE),0)</f>
        <v>0</v>
      </c>
      <c r="M3770">
        <f t="shared" si="1159"/>
        <v>0</v>
      </c>
      <c r="N3770"/>
      <c r="O3770"/>
      <c r="S3770" s="14" t="s">
        <v>94</v>
      </c>
      <c r="T3770" s="65">
        <f t="shared" si="1160"/>
        <v>0</v>
      </c>
      <c r="U3770" s="65">
        <f t="shared" si="1161"/>
        <v>0</v>
      </c>
      <c r="V3770" s="65">
        <f t="shared" si="1161"/>
        <v>0</v>
      </c>
      <c r="W3770" s="65">
        <f t="shared" si="1161"/>
        <v>0</v>
      </c>
      <c r="X3770" s="65">
        <f t="shared" si="1161"/>
        <v>0</v>
      </c>
      <c r="Y3770" s="65">
        <f t="shared" si="1161"/>
        <v>0</v>
      </c>
      <c r="Z3770" s="65">
        <f t="shared" si="1161"/>
        <v>0</v>
      </c>
      <c r="AA3770" s="65">
        <f t="shared" si="1161"/>
        <v>0</v>
      </c>
      <c r="AB3770" s="65">
        <f t="shared" si="1157"/>
        <v>0</v>
      </c>
    </row>
    <row r="3771" spans="4:28" s="14" customFormat="1" x14ac:dyDescent="0.25">
      <c r="D3771" s="14" t="s">
        <v>95</v>
      </c>
      <c r="G3771">
        <f>IFERROR(HLOOKUP(G$2,[113]table_male_hkom3_inj.ill_X1!$A$1:$K$36,27,FALSE),0)</f>
        <v>0</v>
      </c>
      <c r="H3771">
        <f>IFERROR(HLOOKUP(H$2,[113]table_male_hkom3_inj.ill_X1!$A$1:$K$36,27,FALSE),0)</f>
        <v>0</v>
      </c>
      <c r="I3771">
        <f>IFERROR(HLOOKUP(I$2,[113]table_male_hkom3_inj.ill_X1!$A$1:$K$36,27,FALSE),0)</f>
        <v>0</v>
      </c>
      <c r="J3771">
        <f>IFERROR(HLOOKUP(J$2,[113]table_male_hkom3_inj.ill_X1!$A$1:$K$36,27,FALSE),0)</f>
        <v>0</v>
      </c>
      <c r="K3771">
        <f>IFERROR(HLOOKUP(K$2,[113]table_male_hkom3_inj.ill_X1!$A$1:$K$36,27,FALSE),0)</f>
        <v>0</v>
      </c>
      <c r="L3771">
        <f>IFERROR(HLOOKUP(L$2,[113]table_male_hkom3_inj.ill_X1!$A$1:$K$36,27,FALSE),0)</f>
        <v>0</v>
      </c>
      <c r="M3771">
        <f t="shared" si="1159"/>
        <v>0</v>
      </c>
      <c r="N3771"/>
      <c r="O3771"/>
      <c r="S3771" s="14" t="s">
        <v>95</v>
      </c>
      <c r="T3771" s="65">
        <f t="shared" si="1160"/>
        <v>0</v>
      </c>
      <c r="U3771" s="65">
        <f t="shared" si="1161"/>
        <v>0</v>
      </c>
      <c r="V3771" s="65">
        <f t="shared" si="1161"/>
        <v>0</v>
      </c>
      <c r="W3771" s="65">
        <f t="shared" si="1161"/>
        <v>0</v>
      </c>
      <c r="X3771" s="65">
        <f t="shared" si="1161"/>
        <v>0</v>
      </c>
      <c r="Y3771" s="65">
        <f t="shared" si="1161"/>
        <v>0</v>
      </c>
      <c r="Z3771" s="65">
        <f t="shared" si="1161"/>
        <v>0</v>
      </c>
      <c r="AA3771" s="65">
        <f t="shared" si="1161"/>
        <v>0</v>
      </c>
      <c r="AB3771" s="65">
        <f t="shared" si="1157"/>
        <v>0</v>
      </c>
    </row>
    <row r="3772" spans="4:28" s="14" customFormat="1" x14ac:dyDescent="0.25">
      <c r="D3772" s="14" t="s">
        <v>96</v>
      </c>
      <c r="G3772">
        <f>IFERROR(HLOOKUP(G$2,[113]table_male_hkom3_inj.ill_X1!$A$1:$K$36,28,FALSE),0)</f>
        <v>0</v>
      </c>
      <c r="H3772">
        <f>IFERROR(HLOOKUP(H$2,[113]table_male_hkom3_inj.ill_X1!$A$1:$K$36,28,FALSE),0)</f>
        <v>0</v>
      </c>
      <c r="I3772">
        <f>IFERROR(HLOOKUP(I$2,[113]table_male_hkom3_inj.ill_X1!$A$1:$K$36,28,FALSE),0)</f>
        <v>0</v>
      </c>
      <c r="J3772">
        <f>IFERROR(HLOOKUP(J$2,[113]table_male_hkom3_inj.ill_X1!$A$1:$K$36,28,FALSE),0)</f>
        <v>0</v>
      </c>
      <c r="K3772">
        <f>IFERROR(HLOOKUP(K$2,[113]table_male_hkom3_inj.ill_X1!$A$1:$K$36,28,FALSE),0)</f>
        <v>0</v>
      </c>
      <c r="L3772">
        <f>IFERROR(HLOOKUP(L$2,[113]table_male_hkom3_inj.ill_X1!$A$1:$K$36,28,FALSE),0)</f>
        <v>0</v>
      </c>
      <c r="M3772">
        <f t="shared" si="1159"/>
        <v>0</v>
      </c>
      <c r="N3772"/>
      <c r="O3772"/>
      <c r="S3772" s="14" t="s">
        <v>96</v>
      </c>
      <c r="T3772" s="65">
        <f t="shared" si="1160"/>
        <v>0</v>
      </c>
      <c r="U3772" s="65">
        <f t="shared" si="1161"/>
        <v>0</v>
      </c>
      <c r="V3772" s="65">
        <f t="shared" si="1161"/>
        <v>0</v>
      </c>
      <c r="W3772" s="65">
        <f t="shared" si="1161"/>
        <v>0</v>
      </c>
      <c r="X3772" s="65">
        <f t="shared" si="1161"/>
        <v>0</v>
      </c>
      <c r="Y3772" s="65">
        <f t="shared" si="1161"/>
        <v>0</v>
      </c>
      <c r="Z3772" s="65">
        <f t="shared" si="1161"/>
        <v>0</v>
      </c>
      <c r="AA3772" s="65">
        <f t="shared" si="1161"/>
        <v>0</v>
      </c>
      <c r="AB3772" s="65">
        <f t="shared" si="1157"/>
        <v>0</v>
      </c>
    </row>
    <row r="3773" spans="4:28" s="14" customFormat="1" x14ac:dyDescent="0.25">
      <c r="D3773" s="14" t="s">
        <v>97</v>
      </c>
      <c r="G3773">
        <f>IFERROR(HLOOKUP(G$2,[113]table_male_hkom3_inj.ill_X1!$A$1:$K$36,29,FALSE),0)</f>
        <v>0</v>
      </c>
      <c r="H3773">
        <f>IFERROR(HLOOKUP(H$2,[113]table_male_hkom3_inj.ill_X1!$A$1:$K$36,29,FALSE),0)</f>
        <v>0</v>
      </c>
      <c r="I3773">
        <f>IFERROR(HLOOKUP(I$2,[113]table_male_hkom3_inj.ill_X1!$A$1:$K$36,29,FALSE),0)</f>
        <v>0</v>
      </c>
      <c r="J3773">
        <f>IFERROR(HLOOKUP(J$2,[113]table_male_hkom3_inj.ill_X1!$A$1:$K$36,29,FALSE),0)</f>
        <v>0</v>
      </c>
      <c r="K3773">
        <f>IFERROR(HLOOKUP(K$2,[113]table_male_hkom3_inj.ill_X1!$A$1:$K$36,29,FALSE),0)</f>
        <v>0</v>
      </c>
      <c r="L3773">
        <f>IFERROR(HLOOKUP(L$2,[113]table_male_hkom3_inj.ill_X1!$A$1:$K$36,29,FALSE),0)</f>
        <v>0</v>
      </c>
      <c r="M3773">
        <f t="shared" si="1159"/>
        <v>0</v>
      </c>
      <c r="N3773"/>
      <c r="O3773"/>
      <c r="S3773" s="14" t="s">
        <v>97</v>
      </c>
      <c r="T3773" s="65">
        <f t="shared" si="1160"/>
        <v>0</v>
      </c>
      <c r="U3773" s="65">
        <f t="shared" si="1161"/>
        <v>0</v>
      </c>
      <c r="V3773" s="65">
        <f t="shared" si="1161"/>
        <v>0</v>
      </c>
      <c r="W3773" s="65">
        <f t="shared" si="1161"/>
        <v>0</v>
      </c>
      <c r="X3773" s="65">
        <f t="shared" si="1161"/>
        <v>0</v>
      </c>
      <c r="Y3773" s="65">
        <f t="shared" si="1161"/>
        <v>0</v>
      </c>
      <c r="Z3773" s="65">
        <f t="shared" si="1161"/>
        <v>0</v>
      </c>
      <c r="AA3773" s="65">
        <f t="shared" si="1161"/>
        <v>0</v>
      </c>
      <c r="AB3773" s="65">
        <f t="shared" si="1157"/>
        <v>0</v>
      </c>
    </row>
    <row r="3774" spans="4:28" s="14" customFormat="1" x14ac:dyDescent="0.25">
      <c r="D3774" s="14" t="s">
        <v>98</v>
      </c>
      <c r="G3774">
        <f>IFERROR(HLOOKUP(G$2,[113]table_male_hkom3_inj.ill_X1!$A$1:$K$36,30,FALSE),0)</f>
        <v>0</v>
      </c>
      <c r="H3774">
        <f>IFERROR(HLOOKUP(H$2,[113]table_male_hkom3_inj.ill_X1!$A$1:$K$36,30,FALSE),0)</f>
        <v>0</v>
      </c>
      <c r="I3774">
        <f>IFERROR(HLOOKUP(I$2,[113]table_male_hkom3_inj.ill_X1!$A$1:$K$36,30,FALSE),0)</f>
        <v>1</v>
      </c>
      <c r="J3774">
        <f>IFERROR(HLOOKUP(J$2,[113]table_male_hkom3_inj.ill_X1!$A$1:$K$36,30,FALSE),0)</f>
        <v>0</v>
      </c>
      <c r="K3774">
        <f>IFERROR(HLOOKUP(K$2,[113]table_male_hkom3_inj.ill_X1!$A$1:$K$36,30,FALSE),0)</f>
        <v>0</v>
      </c>
      <c r="L3774">
        <f>IFERROR(HLOOKUP(L$2,[113]table_male_hkom3_inj.ill_X1!$A$1:$K$36,30,FALSE),0)</f>
        <v>1</v>
      </c>
      <c r="M3774">
        <f t="shared" si="1159"/>
        <v>2</v>
      </c>
      <c r="N3774"/>
      <c r="O3774"/>
      <c r="S3774" s="14" t="s">
        <v>98</v>
      </c>
      <c r="T3774" s="65">
        <f t="shared" si="1160"/>
        <v>0</v>
      </c>
      <c r="U3774" s="65">
        <f t="shared" si="1161"/>
        <v>0</v>
      </c>
      <c r="V3774" s="65">
        <f t="shared" si="1161"/>
        <v>0</v>
      </c>
      <c r="W3774" s="65">
        <f t="shared" si="1161"/>
        <v>0</v>
      </c>
      <c r="X3774" s="65">
        <f t="shared" si="1161"/>
        <v>2.6551724137931032</v>
      </c>
      <c r="Y3774" s="65">
        <f t="shared" si="1161"/>
        <v>0</v>
      </c>
      <c r="Z3774" s="65">
        <f t="shared" si="1161"/>
        <v>0</v>
      </c>
      <c r="AA3774" s="65">
        <f t="shared" si="1161"/>
        <v>2</v>
      </c>
      <c r="AB3774" s="65">
        <f t="shared" si="1157"/>
        <v>4.6551724137931032</v>
      </c>
    </row>
    <row r="3775" spans="4:28" s="14" customFormat="1" x14ac:dyDescent="0.25">
      <c r="D3775" s="14" t="s">
        <v>119</v>
      </c>
      <c r="G3775">
        <f>IFERROR(HLOOKUP(G$2,[113]table_male_hkom3_inj.ill_X1!$A$1:$K$36,31,FALSE),0)</f>
        <v>0</v>
      </c>
      <c r="H3775">
        <f>IFERROR(HLOOKUP(H$2,[113]table_male_hkom3_inj.ill_X1!$A$1:$K$36,31,FALSE),0)</f>
        <v>0</v>
      </c>
      <c r="I3775">
        <f>IFERROR(HLOOKUP(I$2,[113]table_male_hkom3_inj.ill_X1!$A$1:$K$36,31,FALSE),0)</f>
        <v>0</v>
      </c>
      <c r="J3775">
        <f>IFERROR(HLOOKUP(J$2,[113]table_male_hkom3_inj.ill_X1!$A$1:$K$36,31,FALSE),0)</f>
        <v>0</v>
      </c>
      <c r="K3775">
        <f>IFERROR(HLOOKUP(K$2,[113]table_male_hkom3_inj.ill_X1!$A$1:$K$36,31,FALSE),0)</f>
        <v>0</v>
      </c>
      <c r="L3775">
        <f>IFERROR(HLOOKUP(L$2,[113]table_male_hkom3_inj.ill_X1!$A$1:$K$36,31,FALSE),0)</f>
        <v>0</v>
      </c>
      <c r="M3775">
        <f t="shared" si="1159"/>
        <v>0</v>
      </c>
      <c r="N3775"/>
      <c r="O3775"/>
      <c r="S3775" s="14" t="s">
        <v>119</v>
      </c>
      <c r="T3775" s="65">
        <f t="shared" si="1160"/>
        <v>0</v>
      </c>
      <c r="U3775" s="65">
        <f t="shared" si="1161"/>
        <v>0</v>
      </c>
      <c r="V3775" s="65">
        <f t="shared" si="1161"/>
        <v>0</v>
      </c>
      <c r="W3775" s="65">
        <f t="shared" si="1161"/>
        <v>0</v>
      </c>
      <c r="X3775" s="65">
        <f t="shared" si="1161"/>
        <v>0</v>
      </c>
      <c r="Y3775" s="65">
        <f t="shared" si="1161"/>
        <v>0</v>
      </c>
      <c r="Z3775" s="65">
        <f t="shared" si="1161"/>
        <v>0</v>
      </c>
      <c r="AA3775" s="65">
        <f t="shared" si="1161"/>
        <v>0</v>
      </c>
      <c r="AB3775" s="65">
        <f t="shared" si="1157"/>
        <v>0</v>
      </c>
    </row>
    <row r="3776" spans="4:28" s="14" customFormat="1" x14ac:dyDescent="0.25">
      <c r="D3776" s="14" t="s">
        <v>99</v>
      </c>
      <c r="G3776">
        <f>IFERROR(HLOOKUP(G$2,[113]table_male_hkom3_inj.ill_X1!$A$1:$K$36,32,FALSE),0)</f>
        <v>1</v>
      </c>
      <c r="H3776">
        <f>IFERROR(HLOOKUP(H$2,[113]table_male_hkom3_inj.ill_X1!$A$1:$K$36,32,FALSE),0)</f>
        <v>0</v>
      </c>
      <c r="I3776">
        <f>IFERROR(HLOOKUP(I$2,[113]table_male_hkom3_inj.ill_X1!$A$1:$K$36,32,FALSE),0)</f>
        <v>1</v>
      </c>
      <c r="J3776">
        <f>IFERROR(HLOOKUP(J$2,[113]table_male_hkom3_inj.ill_X1!$A$1:$K$36,32,FALSE),0)</f>
        <v>0</v>
      </c>
      <c r="K3776">
        <f>IFERROR(HLOOKUP(K$2,[113]table_male_hkom3_inj.ill_X1!$A$1:$K$36,32,FALSE),0)</f>
        <v>0</v>
      </c>
      <c r="L3776">
        <f>IFERROR(HLOOKUP(L$2,[113]table_male_hkom3_inj.ill_X1!$A$1:$K$36,32,FALSE),0)</f>
        <v>0</v>
      </c>
      <c r="M3776">
        <f t="shared" si="1159"/>
        <v>2</v>
      </c>
      <c r="N3776"/>
      <c r="O3776"/>
      <c r="S3776" s="14" t="s">
        <v>99</v>
      </c>
      <c r="T3776" s="65">
        <f t="shared" si="1160"/>
        <v>0</v>
      </c>
      <c r="U3776" s="65">
        <f t="shared" si="1161"/>
        <v>0</v>
      </c>
      <c r="V3776" s="65">
        <f t="shared" si="1161"/>
        <v>1.2608695652173914</v>
      </c>
      <c r="W3776" s="65">
        <f t="shared" si="1161"/>
        <v>0</v>
      </c>
      <c r="X3776" s="65">
        <f t="shared" si="1161"/>
        <v>2.6551724137931032</v>
      </c>
      <c r="Y3776" s="65">
        <f t="shared" si="1161"/>
        <v>0</v>
      </c>
      <c r="Z3776" s="65">
        <f t="shared" si="1161"/>
        <v>0</v>
      </c>
      <c r="AA3776" s="65">
        <f t="shared" si="1161"/>
        <v>0</v>
      </c>
      <c r="AB3776" s="65">
        <f t="shared" si="1157"/>
        <v>3.9160419790104948</v>
      </c>
    </row>
    <row r="3777" spans="1:29" s="14" customFormat="1" x14ac:dyDescent="0.25">
      <c r="D3777" s="14" t="s">
        <v>100</v>
      </c>
      <c r="G3777">
        <f>IFERROR(HLOOKUP(G$2,[113]table_male_hkom3_inj.ill_X1!$A$1:$K$36,33,FALSE),0)</f>
        <v>0</v>
      </c>
      <c r="H3777">
        <f>IFERROR(HLOOKUP(H$2,[113]table_male_hkom3_inj.ill_X1!$A$1:$K$36,33,FALSE),0)</f>
        <v>4</v>
      </c>
      <c r="I3777">
        <f>IFERROR(HLOOKUP(I$2,[113]table_male_hkom3_inj.ill_X1!$A$1:$K$36,33,FALSE),0)</f>
        <v>2</v>
      </c>
      <c r="J3777">
        <f>IFERROR(HLOOKUP(J$2,[113]table_male_hkom3_inj.ill_X1!$A$1:$K$36,33,FALSE),0)</f>
        <v>0</v>
      </c>
      <c r="K3777">
        <f>IFERROR(HLOOKUP(K$2,[113]table_male_hkom3_inj.ill_X1!$A$1:$K$36,33,FALSE),0)</f>
        <v>0</v>
      </c>
      <c r="L3777">
        <f>IFERROR(HLOOKUP(L$2,[113]table_male_hkom3_inj.ill_X1!$A$1:$K$36,33,FALSE),0)</f>
        <v>0</v>
      </c>
      <c r="M3777">
        <f t="shared" si="1159"/>
        <v>6</v>
      </c>
      <c r="N3777"/>
      <c r="O3777"/>
      <c r="S3777" s="14" t="s">
        <v>100</v>
      </c>
      <c r="T3777" s="65">
        <f t="shared" si="1160"/>
        <v>0</v>
      </c>
      <c r="U3777" s="65">
        <f t="shared" si="1161"/>
        <v>0</v>
      </c>
      <c r="V3777" s="65">
        <f t="shared" si="1161"/>
        <v>0</v>
      </c>
      <c r="W3777" s="65">
        <f t="shared" si="1161"/>
        <v>8.5833333333333321</v>
      </c>
      <c r="X3777" s="65">
        <f t="shared" si="1161"/>
        <v>5.3103448275862064</v>
      </c>
      <c r="Y3777" s="65">
        <f t="shared" si="1161"/>
        <v>0</v>
      </c>
      <c r="Z3777" s="65">
        <f t="shared" si="1161"/>
        <v>0</v>
      </c>
      <c r="AA3777" s="65">
        <f t="shared" si="1161"/>
        <v>0</v>
      </c>
      <c r="AB3777" s="65">
        <f t="shared" si="1157"/>
        <v>13.893678160919539</v>
      </c>
    </row>
    <row r="3778" spans="1:29" s="14" customFormat="1" x14ac:dyDescent="0.25">
      <c r="D3778" s="14" t="s">
        <v>101</v>
      </c>
      <c r="G3778">
        <f>IFERROR(HLOOKUP(G$2,[113]table_male_hkom3_inj.ill_X1!$A$1:$K$36,34,FALSE),0)</f>
        <v>0</v>
      </c>
      <c r="H3778">
        <f>IFERROR(HLOOKUP(H$2,[113]table_male_hkom3_inj.ill_X1!$A$1:$K$36,34,FALSE),0)</f>
        <v>1</v>
      </c>
      <c r="I3778">
        <f>IFERROR(HLOOKUP(I$2,[113]table_male_hkom3_inj.ill_X1!$A$1:$K$36,34,FALSE),0)</f>
        <v>0</v>
      </c>
      <c r="J3778">
        <f>IFERROR(HLOOKUP(J$2,[113]table_male_hkom3_inj.ill_X1!$A$1:$K$36,34,FALSE),0)</f>
        <v>0</v>
      </c>
      <c r="K3778">
        <f>IFERROR(HLOOKUP(K$2,[113]table_male_hkom3_inj.ill_X1!$A$1:$K$36,34,FALSE),0)</f>
        <v>0</v>
      </c>
      <c r="L3778">
        <f>IFERROR(HLOOKUP(L$2,[113]table_male_hkom3_inj.ill_X1!$A$1:$K$36,34,FALSE),0)</f>
        <v>0</v>
      </c>
      <c r="M3778">
        <f t="shared" si="1159"/>
        <v>1</v>
      </c>
      <c r="N3778"/>
      <c r="O3778"/>
      <c r="S3778" s="14" t="s">
        <v>101</v>
      </c>
      <c r="T3778" s="65">
        <f t="shared" si="1160"/>
        <v>0</v>
      </c>
      <c r="U3778" s="65">
        <f t="shared" si="1161"/>
        <v>0</v>
      </c>
      <c r="V3778" s="65">
        <f t="shared" si="1161"/>
        <v>0</v>
      </c>
      <c r="W3778" s="65">
        <f t="shared" si="1161"/>
        <v>2.145833333333333</v>
      </c>
      <c r="X3778" s="65">
        <f t="shared" si="1161"/>
        <v>0</v>
      </c>
      <c r="Y3778" s="65">
        <f t="shared" si="1161"/>
        <v>0</v>
      </c>
      <c r="Z3778" s="65">
        <f t="shared" si="1161"/>
        <v>0</v>
      </c>
      <c r="AA3778" s="65">
        <f t="shared" si="1161"/>
        <v>0</v>
      </c>
      <c r="AB3778" s="65">
        <f t="shared" si="1157"/>
        <v>2.145833333333333</v>
      </c>
    </row>
    <row r="3779" spans="1:29" s="14" customFormat="1" x14ac:dyDescent="0.25">
      <c r="D3779" s="14" t="s">
        <v>102</v>
      </c>
      <c r="G3779">
        <f>IFERROR(HLOOKUP(G$2,[113]table_male_hkom3_inj.ill_X1!$A$1:$K$36,35,FALSE),0)</f>
        <v>6</v>
      </c>
      <c r="H3779">
        <f>IFERROR(HLOOKUP(H$2,[113]table_male_hkom3_inj.ill_X1!$A$1:$K$36,35,FALSE),0)</f>
        <v>55</v>
      </c>
      <c r="I3779">
        <f>IFERROR(HLOOKUP(I$2,[113]table_male_hkom3_inj.ill_X1!$A$1:$K$36,35,FALSE),0)</f>
        <v>48</v>
      </c>
      <c r="J3779">
        <f>IFERROR(HLOOKUP(J$2,[113]table_male_hkom3_inj.ill_X1!$A$1:$K$36,35,FALSE),0)</f>
        <v>7</v>
      </c>
      <c r="K3779">
        <f>IFERROR(HLOOKUP(K$2,[113]table_male_hkom3_inj.ill_X1!$A$1:$K$36,35,FALSE),0)</f>
        <v>2</v>
      </c>
      <c r="L3779">
        <f>IFERROR(HLOOKUP(L$2,[113]table_male_hkom3_inj.ill_X1!$A$1:$K$36,35,FALSE),0)</f>
        <v>1</v>
      </c>
      <c r="M3779">
        <f t="shared" si="1159"/>
        <v>119</v>
      </c>
      <c r="N3779">
        <f>SUM(M3746:M3779)</f>
        <v>225</v>
      </c>
      <c r="O3779" s="8">
        <f>SUM([113]table_male_hkom3_inj.ill_X1!$B$2:$L$37)</f>
        <v>225</v>
      </c>
      <c r="S3779" s="14" t="s">
        <v>102</v>
      </c>
      <c r="T3779" s="66"/>
      <c r="U3779" s="66"/>
      <c r="V3779" s="66"/>
      <c r="W3779" s="66"/>
      <c r="X3779" s="66"/>
      <c r="Y3779" s="66"/>
      <c r="Z3779" s="66"/>
      <c r="AA3779" s="66"/>
      <c r="AB3779" s="65">
        <f t="shared" si="1157"/>
        <v>0</v>
      </c>
      <c r="AC3779" s="65">
        <f>SUM(AB3746:AB3778)</f>
        <v>225</v>
      </c>
    </row>
    <row r="3780" spans="1:29" s="14" customFormat="1" x14ac:dyDescent="0.25">
      <c r="A3780" s="14" t="s">
        <v>115</v>
      </c>
      <c r="B3780" s="14" t="s">
        <v>103</v>
      </c>
      <c r="C3780" s="14" t="s">
        <v>243</v>
      </c>
      <c r="D3780" s="14" t="s">
        <v>70</v>
      </c>
      <c r="G3780">
        <f>IFERROR(HLOOKUP(G$2,[114]table_female_hkom1_inj.ill_X1!$A$1:$K$36,2,FALSE),0)</f>
        <v>0</v>
      </c>
      <c r="H3780">
        <f>IFERROR(HLOOKUP(H$2,[114]table_female_hkom1_inj.ill_X1!$A$1:$K$36,2,FALSE),0)</f>
        <v>0</v>
      </c>
      <c r="I3780">
        <f>IFERROR(HLOOKUP(I$2,[114]table_female_hkom1_inj.ill_X1!$A$1:$K$36,2,FALSE),0)</f>
        <v>0</v>
      </c>
      <c r="J3780">
        <f>IFERROR(HLOOKUP(J$2,[114]table_female_hkom1_inj.ill_X1!$A$1:$K$36,2,FALSE),0)</f>
        <v>0</v>
      </c>
      <c r="K3780">
        <f>IFERROR(HLOOKUP(K$2,[114]table_female_hkom1_inj.ill_X1!$A$1:$K$36,2,FALSE),0)</f>
        <v>0</v>
      </c>
      <c r="L3780">
        <f>IFERROR(HLOOKUP(L$2,[114]table_female_hkom1_inj.ill_X1!$A$1:$K$36,2,FALSE),0)</f>
        <v>0</v>
      </c>
      <c r="M3780">
        <f>SUM(E3780:L3780)</f>
        <v>0</v>
      </c>
      <c r="N3780"/>
      <c r="O3780"/>
      <c r="P3780" s="14" t="s">
        <v>115</v>
      </c>
      <c r="Q3780" s="14" t="s">
        <v>103</v>
      </c>
      <c r="R3780" s="14" t="s">
        <v>243</v>
      </c>
      <c r="S3780" s="14" t="s">
        <v>70</v>
      </c>
      <c r="T3780" s="65">
        <f>IF(SUM(E$3780:E$3812)=0,E$3813/33,E3780+IFERROR(E3780/SUM(E$3780:E$3812)*E$3813,0))</f>
        <v>0</v>
      </c>
      <c r="U3780" s="65">
        <f t="shared" ref="U3780:AA3795" si="1162">IF(SUM(F$3780:F$3812)=0,F$3813/33,F3780+IFERROR(F3780/SUM(F$3780:F$3812)*F$3813,0))</f>
        <v>0</v>
      </c>
      <c r="V3780" s="65">
        <f t="shared" si="1162"/>
        <v>0</v>
      </c>
      <c r="W3780" s="65">
        <f t="shared" si="1162"/>
        <v>0</v>
      </c>
      <c r="X3780" s="65">
        <f t="shared" si="1162"/>
        <v>0</v>
      </c>
      <c r="Y3780" s="65">
        <f t="shared" si="1162"/>
        <v>0</v>
      </c>
      <c r="Z3780" s="65">
        <f t="shared" si="1162"/>
        <v>0</v>
      </c>
      <c r="AA3780" s="65">
        <f t="shared" si="1162"/>
        <v>0</v>
      </c>
      <c r="AB3780" s="65">
        <f t="shared" si="1157"/>
        <v>0</v>
      </c>
    </row>
    <row r="3781" spans="1:29" s="14" customFormat="1" x14ac:dyDescent="0.25">
      <c r="D3781" s="14" t="s">
        <v>71</v>
      </c>
      <c r="G3781">
        <f>IFERROR(HLOOKUP(G$2,[114]table_female_hkom1_inj.ill_X1!$A$1:$K$36,3,FALSE),0)</f>
        <v>1</v>
      </c>
      <c r="H3781">
        <f>IFERROR(HLOOKUP(H$2,[114]table_female_hkom1_inj.ill_X1!$A$1:$K$36,3,FALSE),0)</f>
        <v>0</v>
      </c>
      <c r="I3781">
        <f>IFERROR(HLOOKUP(I$2,[114]table_female_hkom1_inj.ill_X1!$A$1:$K$36,3,FALSE),0)</f>
        <v>0</v>
      </c>
      <c r="J3781">
        <f>IFERROR(HLOOKUP(J$2,[114]table_female_hkom1_inj.ill_X1!$A$1:$K$36,3,FALSE),0)</f>
        <v>0</v>
      </c>
      <c r="K3781">
        <f>IFERROR(HLOOKUP(K$2,[114]table_female_hkom1_inj.ill_X1!$A$1:$K$36,3,FALSE),0)</f>
        <v>0</v>
      </c>
      <c r="L3781">
        <f>IFERROR(HLOOKUP(L$2,[114]table_female_hkom1_inj.ill_X1!$A$1:$K$36,3,FALSE),0)</f>
        <v>0</v>
      </c>
      <c r="M3781">
        <f t="shared" ref="M3781:M3813" si="1163">SUM(E3781:L3781)</f>
        <v>1</v>
      </c>
      <c r="N3781"/>
      <c r="O3781"/>
      <c r="S3781" s="14" t="s">
        <v>71</v>
      </c>
      <c r="T3781" s="65">
        <f t="shared" ref="T3781:T3812" si="1164">IF(SUM(E$3780:E$3812)=0,E$3813/33,E3781+IFERROR(E3781/SUM(E$3780:E$3812)*E$3813,0))</f>
        <v>0</v>
      </c>
      <c r="U3781" s="65">
        <f t="shared" si="1162"/>
        <v>0</v>
      </c>
      <c r="V3781" s="65">
        <f t="shared" si="1162"/>
        <v>5</v>
      </c>
      <c r="W3781" s="65">
        <f t="shared" si="1162"/>
        <v>0</v>
      </c>
      <c r="X3781" s="65">
        <f t="shared" si="1162"/>
        <v>0</v>
      </c>
      <c r="Y3781" s="65">
        <f t="shared" si="1162"/>
        <v>0</v>
      </c>
      <c r="Z3781" s="65">
        <f t="shared" si="1162"/>
        <v>0</v>
      </c>
      <c r="AA3781" s="65">
        <f t="shared" si="1162"/>
        <v>0</v>
      </c>
      <c r="AB3781" s="65">
        <f t="shared" si="1157"/>
        <v>5</v>
      </c>
    </row>
    <row r="3782" spans="1:29" s="14" customFormat="1" x14ac:dyDescent="0.25">
      <c r="D3782" s="14" t="s">
        <v>72</v>
      </c>
      <c r="G3782">
        <f>IFERROR(HLOOKUP(G$2,[114]table_female_hkom1_inj.ill_X1!$A$1:$K$36,4,FALSE),0)</f>
        <v>0</v>
      </c>
      <c r="H3782">
        <f>IFERROR(HLOOKUP(H$2,[114]table_female_hkom1_inj.ill_X1!$A$1:$K$36,4,FALSE),0)</f>
        <v>0</v>
      </c>
      <c r="I3782">
        <f>IFERROR(HLOOKUP(I$2,[114]table_female_hkom1_inj.ill_X1!$A$1:$K$36,4,FALSE),0)</f>
        <v>2</v>
      </c>
      <c r="J3782">
        <f>IFERROR(HLOOKUP(J$2,[114]table_female_hkom1_inj.ill_X1!$A$1:$K$36,4,FALSE),0)</f>
        <v>2</v>
      </c>
      <c r="K3782">
        <f>IFERROR(HLOOKUP(K$2,[114]table_female_hkom1_inj.ill_X1!$A$1:$K$36,4,FALSE),0)</f>
        <v>0</v>
      </c>
      <c r="L3782">
        <f>IFERROR(HLOOKUP(L$2,[114]table_female_hkom1_inj.ill_X1!$A$1:$K$36,4,FALSE),0)</f>
        <v>0</v>
      </c>
      <c r="M3782">
        <f t="shared" si="1163"/>
        <v>4</v>
      </c>
      <c r="N3782"/>
      <c r="O3782"/>
      <c r="S3782" s="14" t="s">
        <v>72</v>
      </c>
      <c r="T3782" s="65">
        <f t="shared" si="1164"/>
        <v>0</v>
      </c>
      <c r="U3782" s="65">
        <f t="shared" si="1162"/>
        <v>0</v>
      </c>
      <c r="V3782" s="65">
        <f t="shared" si="1162"/>
        <v>0</v>
      </c>
      <c r="W3782" s="65">
        <f t="shared" si="1162"/>
        <v>0</v>
      </c>
      <c r="X3782" s="65">
        <f t="shared" si="1162"/>
        <v>6.875</v>
      </c>
      <c r="Y3782" s="65">
        <f t="shared" si="1162"/>
        <v>3.5</v>
      </c>
      <c r="Z3782" s="65">
        <f t="shared" si="1162"/>
        <v>0</v>
      </c>
      <c r="AA3782" s="65">
        <f t="shared" si="1162"/>
        <v>0</v>
      </c>
      <c r="AB3782" s="65">
        <f t="shared" si="1157"/>
        <v>10.375</v>
      </c>
    </row>
    <row r="3783" spans="1:29" s="14" customFormat="1" x14ac:dyDescent="0.25">
      <c r="D3783" s="14" t="s">
        <v>73</v>
      </c>
      <c r="G3783">
        <f>IFERROR(HLOOKUP(G$2,[114]table_female_hkom1_inj.ill_X1!$A$1:$K$36,5,FALSE),0)</f>
        <v>1</v>
      </c>
      <c r="H3783">
        <f>IFERROR(HLOOKUP(H$2,[114]table_female_hkom1_inj.ill_X1!$A$1:$K$36,5,FALSE),0)</f>
        <v>2</v>
      </c>
      <c r="I3783">
        <f>IFERROR(HLOOKUP(I$2,[114]table_female_hkom1_inj.ill_X1!$A$1:$K$36,5,FALSE),0)</f>
        <v>1</v>
      </c>
      <c r="J3783">
        <f>IFERROR(HLOOKUP(J$2,[114]table_female_hkom1_inj.ill_X1!$A$1:$K$36,5,FALSE),0)</f>
        <v>0</v>
      </c>
      <c r="K3783">
        <f>IFERROR(HLOOKUP(K$2,[114]table_female_hkom1_inj.ill_X1!$A$1:$K$36,5,FALSE),0)</f>
        <v>0</v>
      </c>
      <c r="L3783">
        <f>IFERROR(HLOOKUP(L$2,[114]table_female_hkom1_inj.ill_X1!$A$1:$K$36,5,FALSE),0)</f>
        <v>0</v>
      </c>
      <c r="M3783">
        <f t="shared" si="1163"/>
        <v>4</v>
      </c>
      <c r="N3783"/>
      <c r="O3783"/>
      <c r="S3783" s="14" t="s">
        <v>73</v>
      </c>
      <c r="T3783" s="65">
        <f t="shared" si="1164"/>
        <v>0</v>
      </c>
      <c r="U3783" s="65">
        <f t="shared" si="1162"/>
        <v>0</v>
      </c>
      <c r="V3783" s="65">
        <f t="shared" si="1162"/>
        <v>5</v>
      </c>
      <c r="W3783" s="65">
        <f t="shared" si="1162"/>
        <v>11.444444444444445</v>
      </c>
      <c r="X3783" s="65">
        <f t="shared" si="1162"/>
        <v>3.4375</v>
      </c>
      <c r="Y3783" s="65">
        <f t="shared" si="1162"/>
        <v>0</v>
      </c>
      <c r="Z3783" s="65">
        <f t="shared" si="1162"/>
        <v>0</v>
      </c>
      <c r="AA3783" s="65">
        <f t="shared" si="1162"/>
        <v>0</v>
      </c>
      <c r="AB3783" s="65">
        <f t="shared" si="1157"/>
        <v>19.881944444444443</v>
      </c>
    </row>
    <row r="3784" spans="1:29" s="14" customFormat="1" x14ac:dyDescent="0.25">
      <c r="D3784" s="14" t="s">
        <v>74</v>
      </c>
      <c r="G3784">
        <f>IFERROR(HLOOKUP(G$2,[114]table_female_hkom1_inj.ill_X1!$A$1:$K$36,6,FALSE),0)</f>
        <v>0</v>
      </c>
      <c r="H3784">
        <f>IFERROR(HLOOKUP(H$2,[114]table_female_hkom1_inj.ill_X1!$A$1:$K$36,6,FALSE),0)</f>
        <v>1</v>
      </c>
      <c r="I3784">
        <f>IFERROR(HLOOKUP(I$2,[114]table_female_hkom1_inj.ill_X1!$A$1:$K$36,6,FALSE),0)</f>
        <v>0</v>
      </c>
      <c r="J3784">
        <f>IFERROR(HLOOKUP(J$2,[114]table_female_hkom1_inj.ill_X1!$A$1:$K$36,6,FALSE),0)</f>
        <v>0</v>
      </c>
      <c r="K3784">
        <f>IFERROR(HLOOKUP(K$2,[114]table_female_hkom1_inj.ill_X1!$A$1:$K$36,6,FALSE),0)</f>
        <v>0</v>
      </c>
      <c r="L3784">
        <f>IFERROR(HLOOKUP(L$2,[114]table_female_hkom1_inj.ill_X1!$A$1:$K$36,6,FALSE),0)</f>
        <v>0</v>
      </c>
      <c r="M3784">
        <f t="shared" si="1163"/>
        <v>1</v>
      </c>
      <c r="N3784"/>
      <c r="O3784"/>
      <c r="S3784" s="14" t="s">
        <v>74</v>
      </c>
      <c r="T3784" s="65">
        <f t="shared" si="1164"/>
        <v>0</v>
      </c>
      <c r="U3784" s="65">
        <f t="shared" si="1162"/>
        <v>0</v>
      </c>
      <c r="V3784" s="65">
        <f t="shared" si="1162"/>
        <v>0</v>
      </c>
      <c r="W3784" s="65">
        <f t="shared" si="1162"/>
        <v>5.7222222222222223</v>
      </c>
      <c r="X3784" s="65">
        <f t="shared" si="1162"/>
        <v>0</v>
      </c>
      <c r="Y3784" s="65">
        <f t="shared" si="1162"/>
        <v>0</v>
      </c>
      <c r="Z3784" s="65">
        <f t="shared" si="1162"/>
        <v>0</v>
      </c>
      <c r="AA3784" s="65">
        <f t="shared" si="1162"/>
        <v>0</v>
      </c>
      <c r="AB3784" s="65">
        <f t="shared" si="1157"/>
        <v>5.7222222222222223</v>
      </c>
    </row>
    <row r="3785" spans="1:29" s="14" customFormat="1" x14ac:dyDescent="0.25">
      <c r="D3785" s="14" t="s">
        <v>75</v>
      </c>
      <c r="G3785">
        <f>IFERROR(HLOOKUP(G$2,[114]table_female_hkom1_inj.ill_X1!$A$1:$K$36,7,FALSE),0)</f>
        <v>0</v>
      </c>
      <c r="H3785">
        <f>IFERROR(HLOOKUP(H$2,[114]table_female_hkom1_inj.ill_X1!$A$1:$K$36,7,FALSE),0)</f>
        <v>0</v>
      </c>
      <c r="I3785">
        <f>IFERROR(HLOOKUP(I$2,[114]table_female_hkom1_inj.ill_X1!$A$1:$K$36,7,FALSE),0)</f>
        <v>0</v>
      </c>
      <c r="J3785">
        <f>IFERROR(HLOOKUP(J$2,[114]table_female_hkom1_inj.ill_X1!$A$1:$K$36,7,FALSE),0)</f>
        <v>0</v>
      </c>
      <c r="K3785">
        <f>IFERROR(HLOOKUP(K$2,[114]table_female_hkom1_inj.ill_X1!$A$1:$K$36,7,FALSE),0)</f>
        <v>0</v>
      </c>
      <c r="L3785">
        <f>IFERROR(HLOOKUP(L$2,[114]table_female_hkom1_inj.ill_X1!$A$1:$K$36,7,FALSE),0)</f>
        <v>0</v>
      </c>
      <c r="M3785">
        <f t="shared" si="1163"/>
        <v>0</v>
      </c>
      <c r="N3785"/>
      <c r="O3785"/>
      <c r="S3785" s="14" t="s">
        <v>75</v>
      </c>
      <c r="T3785" s="65">
        <f t="shared" si="1164"/>
        <v>0</v>
      </c>
      <c r="U3785" s="65">
        <f t="shared" si="1162"/>
        <v>0</v>
      </c>
      <c r="V3785" s="65">
        <f t="shared" si="1162"/>
        <v>0</v>
      </c>
      <c r="W3785" s="65">
        <f t="shared" si="1162"/>
        <v>0</v>
      </c>
      <c r="X3785" s="65">
        <f t="shared" si="1162"/>
        <v>0</v>
      </c>
      <c r="Y3785" s="65">
        <f t="shared" si="1162"/>
        <v>0</v>
      </c>
      <c r="Z3785" s="65">
        <f t="shared" si="1162"/>
        <v>0</v>
      </c>
      <c r="AA3785" s="65">
        <f t="shared" si="1162"/>
        <v>0</v>
      </c>
      <c r="AB3785" s="65">
        <f t="shared" si="1157"/>
        <v>0</v>
      </c>
    </row>
    <row r="3786" spans="1:29" s="14" customFormat="1" x14ac:dyDescent="0.25">
      <c r="D3786" s="14" t="s">
        <v>76</v>
      </c>
      <c r="G3786">
        <f>IFERROR(HLOOKUP(G$2,[114]table_female_hkom1_inj.ill_X1!$A$1:$K$36,8,FALSE),0)</f>
        <v>0</v>
      </c>
      <c r="H3786">
        <f>IFERROR(HLOOKUP(H$2,[114]table_female_hkom1_inj.ill_X1!$A$1:$K$36,8,FALSE),0)</f>
        <v>0</v>
      </c>
      <c r="I3786">
        <f>IFERROR(HLOOKUP(I$2,[114]table_female_hkom1_inj.ill_X1!$A$1:$K$36,8,FALSE),0)</f>
        <v>2</v>
      </c>
      <c r="J3786">
        <f>IFERROR(HLOOKUP(J$2,[114]table_female_hkom1_inj.ill_X1!$A$1:$K$36,8,FALSE),0)</f>
        <v>1</v>
      </c>
      <c r="K3786">
        <f>IFERROR(HLOOKUP(K$2,[114]table_female_hkom1_inj.ill_X1!$A$1:$K$36,8,FALSE),0)</f>
        <v>0</v>
      </c>
      <c r="L3786">
        <f>IFERROR(HLOOKUP(L$2,[114]table_female_hkom1_inj.ill_X1!$A$1:$K$36,8,FALSE),0)</f>
        <v>0</v>
      </c>
      <c r="M3786">
        <f t="shared" si="1163"/>
        <v>3</v>
      </c>
      <c r="N3786"/>
      <c r="O3786"/>
      <c r="S3786" s="14" t="s">
        <v>76</v>
      </c>
      <c r="T3786" s="65">
        <f t="shared" si="1164"/>
        <v>0</v>
      </c>
      <c r="U3786" s="65">
        <f t="shared" si="1162"/>
        <v>0</v>
      </c>
      <c r="V3786" s="65">
        <f t="shared" si="1162"/>
        <v>0</v>
      </c>
      <c r="W3786" s="65">
        <f t="shared" si="1162"/>
        <v>0</v>
      </c>
      <c r="X3786" s="65">
        <f t="shared" si="1162"/>
        <v>6.875</v>
      </c>
      <c r="Y3786" s="65">
        <f t="shared" si="1162"/>
        <v>1.75</v>
      </c>
      <c r="Z3786" s="65">
        <f t="shared" si="1162"/>
        <v>0</v>
      </c>
      <c r="AA3786" s="65">
        <f t="shared" si="1162"/>
        <v>0</v>
      </c>
      <c r="AB3786" s="65">
        <f t="shared" si="1157"/>
        <v>8.625</v>
      </c>
    </row>
    <row r="3787" spans="1:29" s="14" customFormat="1" x14ac:dyDescent="0.25">
      <c r="D3787" s="14" t="s">
        <v>77</v>
      </c>
      <c r="G3787">
        <f>IFERROR(HLOOKUP(G$2,[114]table_female_hkom1_inj.ill_X1!$A$1:$K$36,9,FALSE),0)</f>
        <v>0</v>
      </c>
      <c r="H3787">
        <f>IFERROR(HLOOKUP(H$2,[114]table_female_hkom1_inj.ill_X1!$A$1:$K$36,9,FALSE),0)</f>
        <v>0</v>
      </c>
      <c r="I3787">
        <f>IFERROR(HLOOKUP(I$2,[114]table_female_hkom1_inj.ill_X1!$A$1:$K$36,9,FALSE),0)</f>
        <v>0</v>
      </c>
      <c r="J3787">
        <f>IFERROR(HLOOKUP(J$2,[114]table_female_hkom1_inj.ill_X1!$A$1:$K$36,9,FALSE),0)</f>
        <v>0</v>
      </c>
      <c r="K3787">
        <f>IFERROR(HLOOKUP(K$2,[114]table_female_hkom1_inj.ill_X1!$A$1:$K$36,9,FALSE),0)</f>
        <v>0</v>
      </c>
      <c r="L3787">
        <f>IFERROR(HLOOKUP(L$2,[114]table_female_hkom1_inj.ill_X1!$A$1:$K$36,9,FALSE),0)</f>
        <v>0</v>
      </c>
      <c r="M3787">
        <f t="shared" si="1163"/>
        <v>0</v>
      </c>
      <c r="N3787"/>
      <c r="O3787"/>
      <c r="S3787" s="14" t="s">
        <v>77</v>
      </c>
      <c r="T3787" s="65">
        <f t="shared" si="1164"/>
        <v>0</v>
      </c>
      <c r="U3787" s="65">
        <f t="shared" si="1162"/>
        <v>0</v>
      </c>
      <c r="V3787" s="65">
        <f t="shared" si="1162"/>
        <v>0</v>
      </c>
      <c r="W3787" s="65">
        <f t="shared" si="1162"/>
        <v>0</v>
      </c>
      <c r="X3787" s="65">
        <f t="shared" si="1162"/>
        <v>0</v>
      </c>
      <c r="Y3787" s="65">
        <f t="shared" si="1162"/>
        <v>0</v>
      </c>
      <c r="Z3787" s="65">
        <f t="shared" si="1162"/>
        <v>0</v>
      </c>
      <c r="AA3787" s="65">
        <f t="shared" si="1162"/>
        <v>0</v>
      </c>
      <c r="AB3787" s="65">
        <f t="shared" si="1157"/>
        <v>0</v>
      </c>
    </row>
    <row r="3788" spans="1:29" s="14" customFormat="1" x14ac:dyDescent="0.25">
      <c r="D3788" s="14" t="s">
        <v>78</v>
      </c>
      <c r="G3788">
        <f>IFERROR(HLOOKUP(G$2,[114]table_female_hkom1_inj.ill_X1!$A$1:$K$36,10,FALSE),0)</f>
        <v>0</v>
      </c>
      <c r="H3788">
        <f>IFERROR(HLOOKUP(H$2,[114]table_female_hkom1_inj.ill_X1!$A$1:$K$36,10,FALSE),0)</f>
        <v>1</v>
      </c>
      <c r="I3788">
        <f>IFERROR(HLOOKUP(I$2,[114]table_female_hkom1_inj.ill_X1!$A$1:$K$36,10,FALSE),0)</f>
        <v>0</v>
      </c>
      <c r="J3788">
        <f>IFERROR(HLOOKUP(J$2,[114]table_female_hkom1_inj.ill_X1!$A$1:$K$36,10,FALSE),0)</f>
        <v>0</v>
      </c>
      <c r="K3788">
        <f>IFERROR(HLOOKUP(K$2,[114]table_female_hkom1_inj.ill_X1!$A$1:$K$36,10,FALSE),0)</f>
        <v>0</v>
      </c>
      <c r="L3788">
        <f>IFERROR(HLOOKUP(L$2,[114]table_female_hkom1_inj.ill_X1!$A$1:$K$36,10,FALSE),0)</f>
        <v>0</v>
      </c>
      <c r="M3788">
        <f t="shared" si="1163"/>
        <v>1</v>
      </c>
      <c r="N3788"/>
      <c r="O3788"/>
      <c r="S3788" s="14" t="s">
        <v>78</v>
      </c>
      <c r="T3788" s="65">
        <f t="shared" si="1164"/>
        <v>0</v>
      </c>
      <c r="U3788" s="65">
        <f t="shared" si="1162"/>
        <v>0</v>
      </c>
      <c r="V3788" s="65">
        <f t="shared" si="1162"/>
        <v>0</v>
      </c>
      <c r="W3788" s="65">
        <f t="shared" si="1162"/>
        <v>5.7222222222222223</v>
      </c>
      <c r="X3788" s="65">
        <f t="shared" si="1162"/>
        <v>0</v>
      </c>
      <c r="Y3788" s="65">
        <f t="shared" si="1162"/>
        <v>0</v>
      </c>
      <c r="Z3788" s="65">
        <f t="shared" si="1162"/>
        <v>0</v>
      </c>
      <c r="AA3788" s="65">
        <f t="shared" si="1162"/>
        <v>0</v>
      </c>
      <c r="AB3788" s="65">
        <f t="shared" si="1157"/>
        <v>5.7222222222222223</v>
      </c>
    </row>
    <row r="3789" spans="1:29" s="14" customFormat="1" x14ac:dyDescent="0.25">
      <c r="D3789" s="14" t="s">
        <v>79</v>
      </c>
      <c r="G3789">
        <f>IFERROR(HLOOKUP(G$2,[114]table_female_hkom1_inj.ill_X1!$A$1:$K$36,11,FALSE),0)</f>
        <v>0</v>
      </c>
      <c r="H3789">
        <f>IFERROR(HLOOKUP(H$2,[114]table_female_hkom1_inj.ill_X1!$A$1:$K$36,11,FALSE),0)</f>
        <v>1</v>
      </c>
      <c r="I3789">
        <f>IFERROR(HLOOKUP(I$2,[114]table_female_hkom1_inj.ill_X1!$A$1:$K$36,11,FALSE),0)</f>
        <v>3</v>
      </c>
      <c r="J3789">
        <f>IFERROR(HLOOKUP(J$2,[114]table_female_hkom1_inj.ill_X1!$A$1:$K$36,11,FALSE),0)</f>
        <v>0</v>
      </c>
      <c r="K3789">
        <f>IFERROR(HLOOKUP(K$2,[114]table_female_hkom1_inj.ill_X1!$A$1:$K$36,11,FALSE),0)</f>
        <v>0</v>
      </c>
      <c r="L3789">
        <f>IFERROR(HLOOKUP(L$2,[114]table_female_hkom1_inj.ill_X1!$A$1:$K$36,11,FALSE),0)</f>
        <v>0</v>
      </c>
      <c r="M3789">
        <f t="shared" si="1163"/>
        <v>4</v>
      </c>
      <c r="N3789"/>
      <c r="O3789"/>
      <c r="S3789" s="14" t="s">
        <v>79</v>
      </c>
      <c r="T3789" s="65">
        <f t="shared" si="1164"/>
        <v>0</v>
      </c>
      <c r="U3789" s="65">
        <f t="shared" si="1162"/>
        <v>0</v>
      </c>
      <c r="V3789" s="65">
        <f t="shared" si="1162"/>
        <v>0</v>
      </c>
      <c r="W3789" s="65">
        <f t="shared" si="1162"/>
        <v>5.7222222222222223</v>
      </c>
      <c r="X3789" s="65">
        <f t="shared" si="1162"/>
        <v>10.3125</v>
      </c>
      <c r="Y3789" s="65">
        <f t="shared" si="1162"/>
        <v>0</v>
      </c>
      <c r="Z3789" s="65">
        <f t="shared" si="1162"/>
        <v>0</v>
      </c>
      <c r="AA3789" s="65">
        <f t="shared" si="1162"/>
        <v>0</v>
      </c>
      <c r="AB3789" s="65">
        <f t="shared" si="1157"/>
        <v>16.034722222222221</v>
      </c>
    </row>
    <row r="3790" spans="1:29" s="14" customFormat="1" x14ac:dyDescent="0.25">
      <c r="D3790" s="14" t="s">
        <v>80</v>
      </c>
      <c r="G3790">
        <f>IFERROR(HLOOKUP(G$2,[114]table_female_hkom1_inj.ill_X1!$A$1:$K$36,12,FALSE),0)</f>
        <v>0</v>
      </c>
      <c r="H3790">
        <f>IFERROR(HLOOKUP(H$2,[114]table_female_hkom1_inj.ill_X1!$A$1:$K$36,12,FALSE),0)</f>
        <v>1</v>
      </c>
      <c r="I3790">
        <f>IFERROR(HLOOKUP(I$2,[114]table_female_hkom1_inj.ill_X1!$A$1:$K$36,12,FALSE),0)</f>
        <v>1</v>
      </c>
      <c r="J3790">
        <f>IFERROR(HLOOKUP(J$2,[114]table_female_hkom1_inj.ill_X1!$A$1:$K$36,12,FALSE),0)</f>
        <v>0</v>
      </c>
      <c r="K3790">
        <f>IFERROR(HLOOKUP(K$2,[114]table_female_hkom1_inj.ill_X1!$A$1:$K$36,12,FALSE),0)</f>
        <v>0</v>
      </c>
      <c r="L3790">
        <f>IFERROR(HLOOKUP(L$2,[114]table_female_hkom1_inj.ill_X1!$A$1:$K$36,12,FALSE),0)</f>
        <v>0</v>
      </c>
      <c r="M3790">
        <f t="shared" si="1163"/>
        <v>2</v>
      </c>
      <c r="N3790"/>
      <c r="O3790"/>
      <c r="S3790" s="14" t="s">
        <v>80</v>
      </c>
      <c r="T3790" s="65">
        <f t="shared" si="1164"/>
        <v>0</v>
      </c>
      <c r="U3790" s="65">
        <f t="shared" si="1162"/>
        <v>0</v>
      </c>
      <c r="V3790" s="65">
        <f t="shared" si="1162"/>
        <v>0</v>
      </c>
      <c r="W3790" s="65">
        <f t="shared" si="1162"/>
        <v>5.7222222222222223</v>
      </c>
      <c r="X3790" s="65">
        <f t="shared" si="1162"/>
        <v>3.4375</v>
      </c>
      <c r="Y3790" s="65">
        <f t="shared" si="1162"/>
        <v>0</v>
      </c>
      <c r="Z3790" s="65">
        <f t="shared" si="1162"/>
        <v>0</v>
      </c>
      <c r="AA3790" s="65">
        <f t="shared" si="1162"/>
        <v>0</v>
      </c>
      <c r="AB3790" s="65">
        <f t="shared" si="1157"/>
        <v>9.1597222222222214</v>
      </c>
    </row>
    <row r="3791" spans="1:29" s="14" customFormat="1" x14ac:dyDescent="0.25">
      <c r="D3791" s="14" t="s">
        <v>81</v>
      </c>
      <c r="G3791">
        <f>IFERROR(HLOOKUP(G$2,[114]table_female_hkom1_inj.ill_X1!$A$1:$K$36,13,FALSE),0)</f>
        <v>0</v>
      </c>
      <c r="H3791">
        <f>IFERROR(HLOOKUP(H$2,[114]table_female_hkom1_inj.ill_X1!$A$1:$K$36,13,FALSE),0)</f>
        <v>0</v>
      </c>
      <c r="I3791">
        <f>IFERROR(HLOOKUP(I$2,[114]table_female_hkom1_inj.ill_X1!$A$1:$K$36,13,FALSE),0)</f>
        <v>0</v>
      </c>
      <c r="J3791">
        <f>IFERROR(HLOOKUP(J$2,[114]table_female_hkom1_inj.ill_X1!$A$1:$K$36,13,FALSE),0)</f>
        <v>0</v>
      </c>
      <c r="K3791">
        <f>IFERROR(HLOOKUP(K$2,[114]table_female_hkom1_inj.ill_X1!$A$1:$K$36,13,FALSE),0)</f>
        <v>0</v>
      </c>
      <c r="L3791">
        <f>IFERROR(HLOOKUP(L$2,[114]table_female_hkom1_inj.ill_X1!$A$1:$K$36,13,FALSE),0)</f>
        <v>0</v>
      </c>
      <c r="M3791">
        <f t="shared" si="1163"/>
        <v>0</v>
      </c>
      <c r="N3791"/>
      <c r="O3791"/>
      <c r="S3791" s="14" t="s">
        <v>81</v>
      </c>
      <c r="T3791" s="65">
        <f t="shared" si="1164"/>
        <v>0</v>
      </c>
      <c r="U3791" s="65">
        <f t="shared" si="1162"/>
        <v>0</v>
      </c>
      <c r="V3791" s="65">
        <f t="shared" si="1162"/>
        <v>0</v>
      </c>
      <c r="W3791" s="65">
        <f t="shared" si="1162"/>
        <v>0</v>
      </c>
      <c r="X3791" s="65">
        <f t="shared" si="1162"/>
        <v>0</v>
      </c>
      <c r="Y3791" s="65">
        <f t="shared" si="1162"/>
        <v>0</v>
      </c>
      <c r="Z3791" s="65">
        <f t="shared" si="1162"/>
        <v>0</v>
      </c>
      <c r="AA3791" s="65">
        <f t="shared" si="1162"/>
        <v>0</v>
      </c>
      <c r="AB3791" s="65">
        <f t="shared" si="1157"/>
        <v>0</v>
      </c>
    </row>
    <row r="3792" spans="1:29" s="14" customFormat="1" x14ac:dyDescent="0.25">
      <c r="D3792" s="14" t="s">
        <v>82</v>
      </c>
      <c r="G3792">
        <f>IFERROR(HLOOKUP(G$2,[114]table_female_hkom1_inj.ill_X1!$A$1:$K$36,14,FALSE),0)</f>
        <v>0</v>
      </c>
      <c r="H3792">
        <f>IFERROR(HLOOKUP(H$2,[114]table_female_hkom1_inj.ill_X1!$A$1:$K$36,14,FALSE),0)</f>
        <v>0</v>
      </c>
      <c r="I3792">
        <f>IFERROR(HLOOKUP(I$2,[114]table_female_hkom1_inj.ill_X1!$A$1:$K$36,14,FALSE),0)</f>
        <v>0</v>
      </c>
      <c r="J3792">
        <f>IFERROR(HLOOKUP(J$2,[114]table_female_hkom1_inj.ill_X1!$A$1:$K$36,14,FALSE),0)</f>
        <v>0</v>
      </c>
      <c r="K3792">
        <f>IFERROR(HLOOKUP(K$2,[114]table_female_hkom1_inj.ill_X1!$A$1:$K$36,14,FALSE),0)</f>
        <v>0</v>
      </c>
      <c r="L3792">
        <f>IFERROR(HLOOKUP(L$2,[114]table_female_hkom1_inj.ill_X1!$A$1:$K$36,14,FALSE),0)</f>
        <v>0</v>
      </c>
      <c r="M3792">
        <f t="shared" si="1163"/>
        <v>0</v>
      </c>
      <c r="N3792"/>
      <c r="O3792"/>
      <c r="S3792" s="14" t="s">
        <v>82</v>
      </c>
      <c r="T3792" s="65">
        <f t="shared" si="1164"/>
        <v>0</v>
      </c>
      <c r="U3792" s="65">
        <f t="shared" si="1162"/>
        <v>0</v>
      </c>
      <c r="V3792" s="65">
        <f t="shared" si="1162"/>
        <v>0</v>
      </c>
      <c r="W3792" s="65">
        <f t="shared" si="1162"/>
        <v>0</v>
      </c>
      <c r="X3792" s="65">
        <f t="shared" si="1162"/>
        <v>0</v>
      </c>
      <c r="Y3792" s="65">
        <f t="shared" si="1162"/>
        <v>0</v>
      </c>
      <c r="Z3792" s="65">
        <f t="shared" si="1162"/>
        <v>0</v>
      </c>
      <c r="AA3792" s="65">
        <f t="shared" si="1162"/>
        <v>0</v>
      </c>
      <c r="AB3792" s="65">
        <f t="shared" si="1157"/>
        <v>0</v>
      </c>
    </row>
    <row r="3793" spans="4:28" s="14" customFormat="1" x14ac:dyDescent="0.25">
      <c r="D3793" s="14" t="s">
        <v>83</v>
      </c>
      <c r="G3793">
        <f>IFERROR(HLOOKUP(G$2,[114]table_female_hkom1_inj.ill_X1!$A$1:$K$36,15,FALSE),0)</f>
        <v>1</v>
      </c>
      <c r="H3793">
        <f>IFERROR(HLOOKUP(H$2,[114]table_female_hkom1_inj.ill_X1!$A$1:$K$36,15,FALSE),0)</f>
        <v>1</v>
      </c>
      <c r="I3793">
        <f>IFERROR(HLOOKUP(I$2,[114]table_female_hkom1_inj.ill_X1!$A$1:$K$36,15,FALSE),0)</f>
        <v>0</v>
      </c>
      <c r="J3793">
        <f>IFERROR(HLOOKUP(J$2,[114]table_female_hkom1_inj.ill_X1!$A$1:$K$36,15,FALSE),0)</f>
        <v>0</v>
      </c>
      <c r="K3793">
        <f>IFERROR(HLOOKUP(K$2,[114]table_female_hkom1_inj.ill_X1!$A$1:$K$36,15,FALSE),0)</f>
        <v>0</v>
      </c>
      <c r="L3793">
        <f>IFERROR(HLOOKUP(L$2,[114]table_female_hkom1_inj.ill_X1!$A$1:$K$36,15,FALSE),0)</f>
        <v>0</v>
      </c>
      <c r="M3793">
        <f t="shared" si="1163"/>
        <v>2</v>
      </c>
      <c r="N3793"/>
      <c r="O3793"/>
      <c r="S3793" s="14" t="s">
        <v>83</v>
      </c>
      <c r="T3793" s="65">
        <f t="shared" si="1164"/>
        <v>0</v>
      </c>
      <c r="U3793" s="65">
        <f t="shared" si="1162"/>
        <v>0</v>
      </c>
      <c r="V3793" s="65">
        <f t="shared" si="1162"/>
        <v>5</v>
      </c>
      <c r="W3793" s="65">
        <f t="shared" si="1162"/>
        <v>5.7222222222222223</v>
      </c>
      <c r="X3793" s="65">
        <f t="shared" si="1162"/>
        <v>0</v>
      </c>
      <c r="Y3793" s="65">
        <f t="shared" si="1162"/>
        <v>0</v>
      </c>
      <c r="Z3793" s="65">
        <f t="shared" si="1162"/>
        <v>0</v>
      </c>
      <c r="AA3793" s="65">
        <f t="shared" si="1162"/>
        <v>0</v>
      </c>
      <c r="AB3793" s="65">
        <f t="shared" si="1157"/>
        <v>10.722222222222221</v>
      </c>
    </row>
    <row r="3794" spans="4:28" s="14" customFormat="1" x14ac:dyDescent="0.25">
      <c r="D3794" s="14" t="s">
        <v>84</v>
      </c>
      <c r="G3794">
        <f>IFERROR(HLOOKUP(G$2,[114]table_female_hkom1_inj.ill_X1!$A$1:$K$36,16,FALSE),0)</f>
        <v>2</v>
      </c>
      <c r="H3794">
        <f>IFERROR(HLOOKUP(H$2,[114]table_female_hkom1_inj.ill_X1!$A$1:$K$36,16,FALSE),0)</f>
        <v>0</v>
      </c>
      <c r="I3794">
        <f>IFERROR(HLOOKUP(I$2,[114]table_female_hkom1_inj.ill_X1!$A$1:$K$36,16,FALSE),0)</f>
        <v>0</v>
      </c>
      <c r="J3794">
        <f>IFERROR(HLOOKUP(J$2,[114]table_female_hkom1_inj.ill_X1!$A$1:$K$36,16,FALSE),0)</f>
        <v>0</v>
      </c>
      <c r="K3794">
        <f>IFERROR(HLOOKUP(K$2,[114]table_female_hkom1_inj.ill_X1!$A$1:$K$36,16,FALSE),0)</f>
        <v>0</v>
      </c>
      <c r="L3794">
        <f>IFERROR(HLOOKUP(L$2,[114]table_female_hkom1_inj.ill_X1!$A$1:$K$36,16,FALSE),0)</f>
        <v>0</v>
      </c>
      <c r="M3794">
        <f t="shared" si="1163"/>
        <v>2</v>
      </c>
      <c r="N3794"/>
      <c r="O3794"/>
      <c r="S3794" s="14" t="s">
        <v>84</v>
      </c>
      <c r="T3794" s="65">
        <f t="shared" si="1164"/>
        <v>0</v>
      </c>
      <c r="U3794" s="65">
        <f t="shared" si="1162"/>
        <v>0</v>
      </c>
      <c r="V3794" s="65">
        <f t="shared" si="1162"/>
        <v>10</v>
      </c>
      <c r="W3794" s="65">
        <f t="shared" si="1162"/>
        <v>0</v>
      </c>
      <c r="X3794" s="65">
        <f t="shared" si="1162"/>
        <v>0</v>
      </c>
      <c r="Y3794" s="65">
        <f t="shared" si="1162"/>
        <v>0</v>
      </c>
      <c r="Z3794" s="65">
        <f t="shared" si="1162"/>
        <v>0</v>
      </c>
      <c r="AA3794" s="65">
        <f t="shared" si="1162"/>
        <v>0</v>
      </c>
      <c r="AB3794" s="65">
        <f t="shared" si="1157"/>
        <v>10</v>
      </c>
    </row>
    <row r="3795" spans="4:28" s="14" customFormat="1" x14ac:dyDescent="0.25">
      <c r="D3795" s="14" t="s">
        <v>85</v>
      </c>
      <c r="G3795">
        <f>IFERROR(HLOOKUP(G$2,[114]table_female_hkom1_inj.ill_X1!$A$1:$K$36,17,FALSE),0)</f>
        <v>0</v>
      </c>
      <c r="H3795">
        <f>IFERROR(HLOOKUP(H$2,[114]table_female_hkom1_inj.ill_X1!$A$1:$K$36,17,FALSE),0)</f>
        <v>2</v>
      </c>
      <c r="I3795">
        <f>IFERROR(HLOOKUP(I$2,[114]table_female_hkom1_inj.ill_X1!$A$1:$K$36,17,FALSE),0)</f>
        <v>2</v>
      </c>
      <c r="J3795">
        <f>IFERROR(HLOOKUP(J$2,[114]table_female_hkom1_inj.ill_X1!$A$1:$K$36,17,FALSE),0)</f>
        <v>0</v>
      </c>
      <c r="K3795">
        <f>IFERROR(HLOOKUP(K$2,[114]table_female_hkom1_inj.ill_X1!$A$1:$K$36,17,FALSE),0)</f>
        <v>0</v>
      </c>
      <c r="L3795">
        <f>IFERROR(HLOOKUP(L$2,[114]table_female_hkom1_inj.ill_X1!$A$1:$K$36,17,FALSE),0)</f>
        <v>0</v>
      </c>
      <c r="M3795">
        <f t="shared" si="1163"/>
        <v>4</v>
      </c>
      <c r="N3795"/>
      <c r="O3795"/>
      <c r="S3795" s="14" t="s">
        <v>85</v>
      </c>
      <c r="T3795" s="65">
        <f t="shared" si="1164"/>
        <v>0</v>
      </c>
      <c r="U3795" s="65">
        <f t="shared" si="1162"/>
        <v>0</v>
      </c>
      <c r="V3795" s="65">
        <f t="shared" si="1162"/>
        <v>0</v>
      </c>
      <c r="W3795" s="65">
        <f t="shared" si="1162"/>
        <v>11.444444444444445</v>
      </c>
      <c r="X3795" s="65">
        <f t="shared" si="1162"/>
        <v>6.875</v>
      </c>
      <c r="Y3795" s="65">
        <f t="shared" si="1162"/>
        <v>0</v>
      </c>
      <c r="Z3795" s="65">
        <f t="shared" si="1162"/>
        <v>0</v>
      </c>
      <c r="AA3795" s="65">
        <f t="shared" si="1162"/>
        <v>0</v>
      </c>
      <c r="AB3795" s="65">
        <f t="shared" si="1157"/>
        <v>18.319444444444443</v>
      </c>
    </row>
    <row r="3796" spans="4:28" s="14" customFormat="1" x14ac:dyDescent="0.25">
      <c r="D3796" s="14" t="s">
        <v>86</v>
      </c>
      <c r="G3796">
        <f>IFERROR(HLOOKUP(G$2,[114]table_female_hkom1_inj.ill_X1!$A$1:$K$36,18,FALSE),0)</f>
        <v>0</v>
      </c>
      <c r="H3796">
        <f>IFERROR(HLOOKUP(H$2,[114]table_female_hkom1_inj.ill_X1!$A$1:$K$36,18,FALSE),0)</f>
        <v>1</v>
      </c>
      <c r="I3796">
        <f>IFERROR(HLOOKUP(I$2,[114]table_female_hkom1_inj.ill_X1!$A$1:$K$36,18,FALSE),0)</f>
        <v>3</v>
      </c>
      <c r="J3796">
        <f>IFERROR(HLOOKUP(J$2,[114]table_female_hkom1_inj.ill_X1!$A$1:$K$36,18,FALSE),0)</f>
        <v>1</v>
      </c>
      <c r="K3796">
        <f>IFERROR(HLOOKUP(K$2,[114]table_female_hkom1_inj.ill_X1!$A$1:$K$36,18,FALSE),0)</f>
        <v>0</v>
      </c>
      <c r="L3796">
        <f>IFERROR(HLOOKUP(L$2,[114]table_female_hkom1_inj.ill_X1!$A$1:$K$36,18,FALSE),0)</f>
        <v>0</v>
      </c>
      <c r="M3796">
        <f t="shared" si="1163"/>
        <v>5</v>
      </c>
      <c r="N3796"/>
      <c r="O3796"/>
      <c r="S3796" s="14" t="s">
        <v>86</v>
      </c>
      <c r="T3796" s="65">
        <f t="shared" si="1164"/>
        <v>0</v>
      </c>
      <c r="U3796" s="65">
        <f t="shared" ref="U3796:AA3812" si="1165">IF(SUM(F$3780:F$3812)=0,F$3813/33,F3796+IFERROR(F3796/SUM(F$3780:F$3812)*F$3813,0))</f>
        <v>0</v>
      </c>
      <c r="V3796" s="65">
        <f t="shared" si="1165"/>
        <v>0</v>
      </c>
      <c r="W3796" s="65">
        <f t="shared" si="1165"/>
        <v>5.7222222222222223</v>
      </c>
      <c r="X3796" s="65">
        <f t="shared" si="1165"/>
        <v>10.3125</v>
      </c>
      <c r="Y3796" s="65">
        <f t="shared" si="1165"/>
        <v>1.75</v>
      </c>
      <c r="Z3796" s="65">
        <f t="shared" si="1165"/>
        <v>0</v>
      </c>
      <c r="AA3796" s="65">
        <f t="shared" si="1165"/>
        <v>0</v>
      </c>
      <c r="AB3796" s="65">
        <f t="shared" si="1157"/>
        <v>17.784722222222221</v>
      </c>
    </row>
    <row r="3797" spans="4:28" s="14" customFormat="1" x14ac:dyDescent="0.25">
      <c r="D3797" s="14" t="s">
        <v>87</v>
      </c>
      <c r="G3797">
        <f>IFERROR(HLOOKUP(G$2,[114]table_female_hkom1_inj.ill_X1!$A$1:$K$36,19,FALSE),0)</f>
        <v>0</v>
      </c>
      <c r="H3797">
        <f>IFERROR(HLOOKUP(H$2,[114]table_female_hkom1_inj.ill_X1!$A$1:$K$36,19,FALSE),0)</f>
        <v>1</v>
      </c>
      <c r="I3797">
        <f>IFERROR(HLOOKUP(I$2,[114]table_female_hkom1_inj.ill_X1!$A$1:$K$36,19,FALSE),0)</f>
        <v>1</v>
      </c>
      <c r="J3797">
        <f>IFERROR(HLOOKUP(J$2,[114]table_female_hkom1_inj.ill_X1!$A$1:$K$36,19,FALSE),0)</f>
        <v>0</v>
      </c>
      <c r="K3797">
        <f>IFERROR(HLOOKUP(K$2,[114]table_female_hkom1_inj.ill_X1!$A$1:$K$36,19,FALSE),0)</f>
        <v>0</v>
      </c>
      <c r="L3797">
        <f>IFERROR(HLOOKUP(L$2,[114]table_female_hkom1_inj.ill_X1!$A$1:$K$36,19,FALSE),0)</f>
        <v>0</v>
      </c>
      <c r="M3797">
        <f t="shared" si="1163"/>
        <v>2</v>
      </c>
      <c r="N3797"/>
      <c r="O3797"/>
      <c r="S3797" s="14" t="s">
        <v>87</v>
      </c>
      <c r="T3797" s="65">
        <f t="shared" si="1164"/>
        <v>0</v>
      </c>
      <c r="U3797" s="65">
        <f t="shared" si="1165"/>
        <v>0</v>
      </c>
      <c r="V3797" s="65">
        <f t="shared" si="1165"/>
        <v>0</v>
      </c>
      <c r="W3797" s="65">
        <f t="shared" si="1165"/>
        <v>5.7222222222222223</v>
      </c>
      <c r="X3797" s="65">
        <f t="shared" si="1165"/>
        <v>3.4375</v>
      </c>
      <c r="Y3797" s="65">
        <f t="shared" si="1165"/>
        <v>0</v>
      </c>
      <c r="Z3797" s="65">
        <f t="shared" si="1165"/>
        <v>0</v>
      </c>
      <c r="AA3797" s="65">
        <f t="shared" si="1165"/>
        <v>0</v>
      </c>
      <c r="AB3797" s="65">
        <f t="shared" si="1157"/>
        <v>9.1597222222222214</v>
      </c>
    </row>
    <row r="3798" spans="4:28" s="14" customFormat="1" x14ac:dyDescent="0.25">
      <c r="D3798" s="14" t="s">
        <v>88</v>
      </c>
      <c r="G3798">
        <f>IFERROR(HLOOKUP(G$2,[114]table_female_hkom1_inj.ill_X1!$A$1:$K$36,20,FALSE),0)</f>
        <v>0</v>
      </c>
      <c r="H3798">
        <f>IFERROR(HLOOKUP(H$2,[114]table_female_hkom1_inj.ill_X1!$A$1:$K$36,20,FALSE),0)</f>
        <v>5</v>
      </c>
      <c r="I3798">
        <f>IFERROR(HLOOKUP(I$2,[114]table_female_hkom1_inj.ill_X1!$A$1:$K$36,20,FALSE),0)</f>
        <v>1</v>
      </c>
      <c r="J3798">
        <f>IFERROR(HLOOKUP(J$2,[114]table_female_hkom1_inj.ill_X1!$A$1:$K$36,20,FALSE),0)</f>
        <v>0</v>
      </c>
      <c r="K3798">
        <f>IFERROR(HLOOKUP(K$2,[114]table_female_hkom1_inj.ill_X1!$A$1:$K$36,20,FALSE),0)</f>
        <v>0</v>
      </c>
      <c r="L3798">
        <f>IFERROR(HLOOKUP(L$2,[114]table_female_hkom1_inj.ill_X1!$A$1:$K$36,20,FALSE),0)</f>
        <v>0</v>
      </c>
      <c r="M3798">
        <f t="shared" si="1163"/>
        <v>6</v>
      </c>
      <c r="N3798"/>
      <c r="O3798"/>
      <c r="S3798" s="14" t="s">
        <v>88</v>
      </c>
      <c r="T3798" s="65">
        <f t="shared" si="1164"/>
        <v>0</v>
      </c>
      <c r="U3798" s="65">
        <f t="shared" si="1165"/>
        <v>0</v>
      </c>
      <c r="V3798" s="65">
        <f t="shared" si="1165"/>
        <v>0</v>
      </c>
      <c r="W3798" s="65">
        <f t="shared" si="1165"/>
        <v>28.611111111111111</v>
      </c>
      <c r="X3798" s="65">
        <f t="shared" si="1165"/>
        <v>3.4375</v>
      </c>
      <c r="Y3798" s="65">
        <f t="shared" si="1165"/>
        <v>0</v>
      </c>
      <c r="Z3798" s="65">
        <f t="shared" si="1165"/>
        <v>0</v>
      </c>
      <c r="AA3798" s="65">
        <f t="shared" si="1165"/>
        <v>0</v>
      </c>
      <c r="AB3798" s="65">
        <f t="shared" si="1157"/>
        <v>32.048611111111114</v>
      </c>
    </row>
    <row r="3799" spans="4:28" s="14" customFormat="1" x14ac:dyDescent="0.25">
      <c r="D3799" s="14" t="s">
        <v>89</v>
      </c>
      <c r="G3799">
        <f>IFERROR(HLOOKUP(G$2,[114]table_female_hkom1_inj.ill_X1!$A$1:$K$36,21,FALSE),0)</f>
        <v>2</v>
      </c>
      <c r="H3799">
        <f>IFERROR(HLOOKUP(H$2,[114]table_female_hkom1_inj.ill_X1!$A$1:$K$36,21,FALSE),0)</f>
        <v>0</v>
      </c>
      <c r="I3799">
        <f>IFERROR(HLOOKUP(I$2,[114]table_female_hkom1_inj.ill_X1!$A$1:$K$36,21,FALSE),0)</f>
        <v>0</v>
      </c>
      <c r="J3799">
        <f>IFERROR(HLOOKUP(J$2,[114]table_female_hkom1_inj.ill_X1!$A$1:$K$36,21,FALSE),0)</f>
        <v>0</v>
      </c>
      <c r="K3799">
        <f>IFERROR(HLOOKUP(K$2,[114]table_female_hkom1_inj.ill_X1!$A$1:$K$36,21,FALSE),0)</f>
        <v>0</v>
      </c>
      <c r="L3799">
        <f>IFERROR(HLOOKUP(L$2,[114]table_female_hkom1_inj.ill_X1!$A$1:$K$36,21,FALSE),0)</f>
        <v>0</v>
      </c>
      <c r="M3799">
        <f t="shared" si="1163"/>
        <v>2</v>
      </c>
      <c r="N3799"/>
      <c r="O3799"/>
      <c r="S3799" s="14" t="s">
        <v>89</v>
      </c>
      <c r="T3799" s="65">
        <f t="shared" si="1164"/>
        <v>0</v>
      </c>
      <c r="U3799" s="65">
        <f t="shared" si="1165"/>
        <v>0</v>
      </c>
      <c r="V3799" s="65">
        <f t="shared" si="1165"/>
        <v>10</v>
      </c>
      <c r="W3799" s="65">
        <f t="shared" si="1165"/>
        <v>0</v>
      </c>
      <c r="X3799" s="65">
        <f t="shared" si="1165"/>
        <v>0</v>
      </c>
      <c r="Y3799" s="65">
        <f t="shared" si="1165"/>
        <v>0</v>
      </c>
      <c r="Z3799" s="65">
        <f t="shared" si="1165"/>
        <v>0</v>
      </c>
      <c r="AA3799" s="65">
        <f t="shared" si="1165"/>
        <v>0</v>
      </c>
      <c r="AB3799" s="65">
        <f t="shared" si="1157"/>
        <v>10</v>
      </c>
    </row>
    <row r="3800" spans="4:28" s="14" customFormat="1" x14ac:dyDescent="0.25">
      <c r="D3800" s="14" t="s">
        <v>90</v>
      </c>
      <c r="G3800">
        <f>IFERROR(HLOOKUP(G$2,[114]table_female_hkom1_inj.ill_X1!$A$1:$K$36,22,FALSE),0)</f>
        <v>0</v>
      </c>
      <c r="H3800">
        <f>IFERROR(HLOOKUP(H$2,[114]table_female_hkom1_inj.ill_X1!$A$1:$K$36,22,FALSE),0)</f>
        <v>0</v>
      </c>
      <c r="I3800">
        <f>IFERROR(HLOOKUP(I$2,[114]table_female_hkom1_inj.ill_X1!$A$1:$K$36,22,FALSE),0)</f>
        <v>0</v>
      </c>
      <c r="J3800">
        <f>IFERROR(HLOOKUP(J$2,[114]table_female_hkom1_inj.ill_X1!$A$1:$K$36,22,FALSE),0)</f>
        <v>0</v>
      </c>
      <c r="K3800">
        <f>IFERROR(HLOOKUP(K$2,[114]table_female_hkom1_inj.ill_X1!$A$1:$K$36,22,FALSE),0)</f>
        <v>0</v>
      </c>
      <c r="L3800">
        <f>IFERROR(HLOOKUP(L$2,[114]table_female_hkom1_inj.ill_X1!$A$1:$K$36,22,FALSE),0)</f>
        <v>0</v>
      </c>
      <c r="M3800">
        <f t="shared" si="1163"/>
        <v>0</v>
      </c>
      <c r="N3800"/>
      <c r="O3800"/>
      <c r="S3800" s="14" t="s">
        <v>90</v>
      </c>
      <c r="T3800" s="65">
        <f t="shared" si="1164"/>
        <v>0</v>
      </c>
      <c r="U3800" s="65">
        <f t="shared" si="1165"/>
        <v>0</v>
      </c>
      <c r="V3800" s="65">
        <f t="shared" si="1165"/>
        <v>0</v>
      </c>
      <c r="W3800" s="65">
        <f t="shared" si="1165"/>
        <v>0</v>
      </c>
      <c r="X3800" s="65">
        <f t="shared" si="1165"/>
        <v>0</v>
      </c>
      <c r="Y3800" s="65">
        <f t="shared" si="1165"/>
        <v>0</v>
      </c>
      <c r="Z3800" s="65">
        <f t="shared" si="1165"/>
        <v>0</v>
      </c>
      <c r="AA3800" s="65">
        <f t="shared" si="1165"/>
        <v>0</v>
      </c>
      <c r="AB3800" s="65">
        <f t="shared" si="1157"/>
        <v>0</v>
      </c>
    </row>
    <row r="3801" spans="4:28" s="14" customFormat="1" x14ac:dyDescent="0.25">
      <c r="D3801" s="14" t="s">
        <v>91</v>
      </c>
      <c r="G3801">
        <f>IFERROR(HLOOKUP(G$2,[114]table_female_hkom1_inj.ill_X1!$A$1:$K$36,23,FALSE),0)</f>
        <v>0</v>
      </c>
      <c r="H3801">
        <f>IFERROR(HLOOKUP(H$2,[114]table_female_hkom1_inj.ill_X1!$A$1:$K$36,23,FALSE),0)</f>
        <v>0</v>
      </c>
      <c r="I3801">
        <f>IFERROR(HLOOKUP(I$2,[114]table_female_hkom1_inj.ill_X1!$A$1:$K$36,23,FALSE),0)</f>
        <v>0</v>
      </c>
      <c r="J3801">
        <f>IFERROR(HLOOKUP(J$2,[114]table_female_hkom1_inj.ill_X1!$A$1:$K$36,23,FALSE),0)</f>
        <v>0</v>
      </c>
      <c r="K3801">
        <f>IFERROR(HLOOKUP(K$2,[114]table_female_hkom1_inj.ill_X1!$A$1:$K$36,23,FALSE),0)</f>
        <v>0</v>
      </c>
      <c r="L3801">
        <f>IFERROR(HLOOKUP(L$2,[114]table_female_hkom1_inj.ill_X1!$A$1:$K$36,23,FALSE),0)</f>
        <v>0</v>
      </c>
      <c r="M3801">
        <f t="shared" si="1163"/>
        <v>0</v>
      </c>
      <c r="N3801"/>
      <c r="O3801"/>
      <c r="S3801" s="14" t="s">
        <v>91</v>
      </c>
      <c r="T3801" s="65">
        <f t="shared" si="1164"/>
        <v>0</v>
      </c>
      <c r="U3801" s="65">
        <f t="shared" si="1165"/>
        <v>0</v>
      </c>
      <c r="V3801" s="65">
        <f t="shared" si="1165"/>
        <v>0</v>
      </c>
      <c r="W3801" s="65">
        <f t="shared" si="1165"/>
        <v>0</v>
      </c>
      <c r="X3801" s="65">
        <f t="shared" si="1165"/>
        <v>0</v>
      </c>
      <c r="Y3801" s="65">
        <f t="shared" si="1165"/>
        <v>0</v>
      </c>
      <c r="Z3801" s="65">
        <f t="shared" si="1165"/>
        <v>0</v>
      </c>
      <c r="AA3801" s="65">
        <f t="shared" si="1165"/>
        <v>0</v>
      </c>
      <c r="AB3801" s="65">
        <f t="shared" si="1157"/>
        <v>0</v>
      </c>
    </row>
    <row r="3802" spans="4:28" s="14" customFormat="1" x14ac:dyDescent="0.25">
      <c r="D3802" s="14" t="s">
        <v>92</v>
      </c>
      <c r="G3802">
        <f>IFERROR(HLOOKUP(G$2,[114]table_female_hkom1_inj.ill_X1!$A$1:$K$36,24,FALSE),0)</f>
        <v>0</v>
      </c>
      <c r="H3802">
        <f>IFERROR(HLOOKUP(H$2,[114]table_female_hkom1_inj.ill_X1!$A$1:$K$36,24,FALSE),0)</f>
        <v>0</v>
      </c>
      <c r="I3802">
        <f>IFERROR(HLOOKUP(I$2,[114]table_female_hkom1_inj.ill_X1!$A$1:$K$36,24,FALSE),0)</f>
        <v>0</v>
      </c>
      <c r="J3802">
        <f>IFERROR(HLOOKUP(J$2,[114]table_female_hkom1_inj.ill_X1!$A$1:$K$36,24,FALSE),0)</f>
        <v>0</v>
      </c>
      <c r="K3802">
        <f>IFERROR(HLOOKUP(K$2,[114]table_female_hkom1_inj.ill_X1!$A$1:$K$36,24,FALSE),0)</f>
        <v>0</v>
      </c>
      <c r="L3802">
        <f>IFERROR(HLOOKUP(L$2,[114]table_female_hkom1_inj.ill_X1!$A$1:$K$36,24,FALSE),0)</f>
        <v>0</v>
      </c>
      <c r="M3802">
        <f t="shared" si="1163"/>
        <v>0</v>
      </c>
      <c r="N3802"/>
      <c r="O3802"/>
      <c r="S3802" s="14" t="s">
        <v>92</v>
      </c>
      <c r="T3802" s="65">
        <f t="shared" si="1164"/>
        <v>0</v>
      </c>
      <c r="U3802" s="65">
        <f t="shared" si="1165"/>
        <v>0</v>
      </c>
      <c r="V3802" s="65">
        <f t="shared" si="1165"/>
        <v>0</v>
      </c>
      <c r="W3802" s="65">
        <f t="shared" si="1165"/>
        <v>0</v>
      </c>
      <c r="X3802" s="65">
        <f t="shared" si="1165"/>
        <v>0</v>
      </c>
      <c r="Y3802" s="65">
        <f t="shared" si="1165"/>
        <v>0</v>
      </c>
      <c r="Z3802" s="65">
        <f t="shared" si="1165"/>
        <v>0</v>
      </c>
      <c r="AA3802" s="65">
        <f t="shared" si="1165"/>
        <v>0</v>
      </c>
      <c r="AB3802" s="65">
        <f t="shared" si="1157"/>
        <v>0</v>
      </c>
    </row>
    <row r="3803" spans="4:28" s="14" customFormat="1" x14ac:dyDescent="0.25">
      <c r="D3803" s="14" t="s">
        <v>93</v>
      </c>
      <c r="G3803">
        <f>IFERROR(HLOOKUP(G$2,[114]table_female_hkom1_inj.ill_X1!$A$1:$K$36,25,FALSE),0)</f>
        <v>0</v>
      </c>
      <c r="H3803">
        <f>IFERROR(HLOOKUP(H$2,[114]table_female_hkom1_inj.ill_X1!$A$1:$K$36,25,FALSE),0)</f>
        <v>0</v>
      </c>
      <c r="I3803">
        <f>IFERROR(HLOOKUP(I$2,[114]table_female_hkom1_inj.ill_X1!$A$1:$K$36,25,FALSE),0)</f>
        <v>0</v>
      </c>
      <c r="J3803">
        <f>IFERROR(HLOOKUP(J$2,[114]table_female_hkom1_inj.ill_X1!$A$1:$K$36,25,FALSE),0)</f>
        <v>0</v>
      </c>
      <c r="K3803">
        <f>IFERROR(HLOOKUP(K$2,[114]table_female_hkom1_inj.ill_X1!$A$1:$K$36,25,FALSE),0)</f>
        <v>0</v>
      </c>
      <c r="L3803">
        <f>IFERROR(HLOOKUP(L$2,[114]table_female_hkom1_inj.ill_X1!$A$1:$K$36,25,FALSE),0)</f>
        <v>0</v>
      </c>
      <c r="M3803">
        <f t="shared" si="1163"/>
        <v>0</v>
      </c>
      <c r="N3803"/>
      <c r="O3803"/>
      <c r="S3803" s="14" t="s">
        <v>93</v>
      </c>
      <c r="T3803" s="65">
        <f t="shared" si="1164"/>
        <v>0</v>
      </c>
      <c r="U3803" s="65">
        <f t="shared" si="1165"/>
        <v>0</v>
      </c>
      <c r="V3803" s="65">
        <f t="shared" si="1165"/>
        <v>0</v>
      </c>
      <c r="W3803" s="65">
        <f t="shared" si="1165"/>
        <v>0</v>
      </c>
      <c r="X3803" s="65">
        <f t="shared" si="1165"/>
        <v>0</v>
      </c>
      <c r="Y3803" s="65">
        <f t="shared" si="1165"/>
        <v>0</v>
      </c>
      <c r="Z3803" s="65">
        <f t="shared" si="1165"/>
        <v>0</v>
      </c>
      <c r="AA3803" s="65">
        <f t="shared" si="1165"/>
        <v>0</v>
      </c>
      <c r="AB3803" s="65">
        <f t="shared" si="1157"/>
        <v>0</v>
      </c>
    </row>
    <row r="3804" spans="4:28" s="14" customFormat="1" x14ac:dyDescent="0.25">
      <c r="D3804" s="14" t="s">
        <v>94</v>
      </c>
      <c r="G3804">
        <f>IFERROR(HLOOKUP(G$2,[114]table_female_hkom1_inj.ill_X1!$A$1:$K$36,26,FALSE),0)</f>
        <v>0</v>
      </c>
      <c r="H3804">
        <f>IFERROR(HLOOKUP(H$2,[114]table_female_hkom1_inj.ill_X1!$A$1:$K$36,26,FALSE),0)</f>
        <v>0</v>
      </c>
      <c r="I3804">
        <f>IFERROR(HLOOKUP(I$2,[114]table_female_hkom1_inj.ill_X1!$A$1:$K$36,26,FALSE),0)</f>
        <v>0</v>
      </c>
      <c r="J3804">
        <f>IFERROR(HLOOKUP(J$2,[114]table_female_hkom1_inj.ill_X1!$A$1:$K$36,26,FALSE),0)</f>
        <v>0</v>
      </c>
      <c r="K3804">
        <f>IFERROR(HLOOKUP(K$2,[114]table_female_hkom1_inj.ill_X1!$A$1:$K$36,26,FALSE),0)</f>
        <v>0</v>
      </c>
      <c r="L3804">
        <f>IFERROR(HLOOKUP(L$2,[114]table_female_hkom1_inj.ill_X1!$A$1:$K$36,26,FALSE),0)</f>
        <v>0</v>
      </c>
      <c r="M3804">
        <f t="shared" si="1163"/>
        <v>0</v>
      </c>
      <c r="N3804"/>
      <c r="O3804"/>
      <c r="S3804" s="14" t="s">
        <v>94</v>
      </c>
      <c r="T3804" s="65">
        <f t="shared" si="1164"/>
        <v>0</v>
      </c>
      <c r="U3804" s="65">
        <f t="shared" si="1165"/>
        <v>0</v>
      </c>
      <c r="V3804" s="65">
        <f t="shared" si="1165"/>
        <v>0</v>
      </c>
      <c r="W3804" s="65">
        <f t="shared" si="1165"/>
        <v>0</v>
      </c>
      <c r="X3804" s="65">
        <f t="shared" si="1165"/>
        <v>0</v>
      </c>
      <c r="Y3804" s="65">
        <f t="shared" si="1165"/>
        <v>0</v>
      </c>
      <c r="Z3804" s="65">
        <f t="shared" si="1165"/>
        <v>0</v>
      </c>
      <c r="AA3804" s="65">
        <f t="shared" si="1165"/>
        <v>0</v>
      </c>
      <c r="AB3804" s="65">
        <f t="shared" si="1157"/>
        <v>0</v>
      </c>
    </row>
    <row r="3805" spans="4:28" s="14" customFormat="1" x14ac:dyDescent="0.25">
      <c r="D3805" s="14" t="s">
        <v>95</v>
      </c>
      <c r="G3805">
        <f>IFERROR(HLOOKUP(G$2,[114]table_female_hkom1_inj.ill_X1!$A$1:$K$36,27,FALSE),0)</f>
        <v>0</v>
      </c>
      <c r="H3805">
        <f>IFERROR(HLOOKUP(H$2,[114]table_female_hkom1_inj.ill_X1!$A$1:$K$36,27,FALSE),0)</f>
        <v>0</v>
      </c>
      <c r="I3805">
        <f>IFERROR(HLOOKUP(I$2,[114]table_female_hkom1_inj.ill_X1!$A$1:$K$36,27,FALSE),0)</f>
        <v>0</v>
      </c>
      <c r="J3805">
        <f>IFERROR(HLOOKUP(J$2,[114]table_female_hkom1_inj.ill_X1!$A$1:$K$36,27,FALSE),0)</f>
        <v>0</v>
      </c>
      <c r="K3805">
        <f>IFERROR(HLOOKUP(K$2,[114]table_female_hkom1_inj.ill_X1!$A$1:$K$36,27,FALSE),0)</f>
        <v>0</v>
      </c>
      <c r="L3805">
        <f>IFERROR(HLOOKUP(L$2,[114]table_female_hkom1_inj.ill_X1!$A$1:$K$36,27,FALSE),0)</f>
        <v>0</v>
      </c>
      <c r="M3805">
        <f t="shared" si="1163"/>
        <v>0</v>
      </c>
      <c r="N3805"/>
      <c r="O3805"/>
      <c r="S3805" s="14" t="s">
        <v>95</v>
      </c>
      <c r="T3805" s="65">
        <f t="shared" si="1164"/>
        <v>0</v>
      </c>
      <c r="U3805" s="65">
        <f t="shared" si="1165"/>
        <v>0</v>
      </c>
      <c r="V3805" s="65">
        <f t="shared" si="1165"/>
        <v>0</v>
      </c>
      <c r="W3805" s="65">
        <f t="shared" si="1165"/>
        <v>0</v>
      </c>
      <c r="X3805" s="65">
        <f t="shared" si="1165"/>
        <v>0</v>
      </c>
      <c r="Y3805" s="65">
        <f t="shared" si="1165"/>
        <v>0</v>
      </c>
      <c r="Z3805" s="65">
        <f t="shared" si="1165"/>
        <v>0</v>
      </c>
      <c r="AA3805" s="65">
        <f t="shared" si="1165"/>
        <v>0</v>
      </c>
      <c r="AB3805" s="65">
        <f t="shared" si="1157"/>
        <v>0</v>
      </c>
    </row>
    <row r="3806" spans="4:28" s="14" customFormat="1" x14ac:dyDescent="0.25">
      <c r="D3806" s="14" t="s">
        <v>96</v>
      </c>
      <c r="G3806">
        <f>IFERROR(HLOOKUP(G$2,[114]table_female_hkom1_inj.ill_X1!$A$1:$K$36,28,FALSE),0)</f>
        <v>0</v>
      </c>
      <c r="H3806">
        <f>IFERROR(HLOOKUP(H$2,[114]table_female_hkom1_inj.ill_X1!$A$1:$K$36,28,FALSE),0)</f>
        <v>0</v>
      </c>
      <c r="I3806">
        <f>IFERROR(HLOOKUP(I$2,[114]table_female_hkom1_inj.ill_X1!$A$1:$K$36,28,FALSE),0)</f>
        <v>0</v>
      </c>
      <c r="J3806">
        <f>IFERROR(HLOOKUP(J$2,[114]table_female_hkom1_inj.ill_X1!$A$1:$K$36,28,FALSE),0)</f>
        <v>0</v>
      </c>
      <c r="K3806">
        <f>IFERROR(HLOOKUP(K$2,[114]table_female_hkom1_inj.ill_X1!$A$1:$K$36,28,FALSE),0)</f>
        <v>0</v>
      </c>
      <c r="L3806">
        <f>IFERROR(HLOOKUP(L$2,[114]table_female_hkom1_inj.ill_X1!$A$1:$K$36,28,FALSE),0)</f>
        <v>0</v>
      </c>
      <c r="M3806">
        <f t="shared" si="1163"/>
        <v>0</v>
      </c>
      <c r="N3806"/>
      <c r="O3806"/>
      <c r="S3806" s="14" t="s">
        <v>96</v>
      </c>
      <c r="T3806" s="65">
        <f t="shared" si="1164"/>
        <v>0</v>
      </c>
      <c r="U3806" s="65">
        <f t="shared" si="1165"/>
        <v>0</v>
      </c>
      <c r="V3806" s="65">
        <f t="shared" si="1165"/>
        <v>0</v>
      </c>
      <c r="W3806" s="65">
        <f t="shared" si="1165"/>
        <v>0</v>
      </c>
      <c r="X3806" s="65">
        <f t="shared" si="1165"/>
        <v>0</v>
      </c>
      <c r="Y3806" s="65">
        <f t="shared" si="1165"/>
        <v>0</v>
      </c>
      <c r="Z3806" s="65">
        <f t="shared" si="1165"/>
        <v>0</v>
      </c>
      <c r="AA3806" s="65">
        <f t="shared" si="1165"/>
        <v>0</v>
      </c>
      <c r="AB3806" s="65">
        <f t="shared" ref="AB3806:AB3809" si="1166">SUM(T3806:AA3806)</f>
        <v>0</v>
      </c>
    </row>
    <row r="3807" spans="4:28" s="14" customFormat="1" x14ac:dyDescent="0.25">
      <c r="D3807" s="14" t="s">
        <v>97</v>
      </c>
      <c r="G3807">
        <f>IFERROR(HLOOKUP(G$2,[114]table_female_hkom1_inj.ill_X1!$A$1:$K$36,29,FALSE),0)</f>
        <v>0</v>
      </c>
      <c r="H3807">
        <f>IFERROR(HLOOKUP(H$2,[114]table_female_hkom1_inj.ill_X1!$A$1:$K$36,29,FALSE),0)</f>
        <v>0</v>
      </c>
      <c r="I3807">
        <f>IFERROR(HLOOKUP(I$2,[114]table_female_hkom1_inj.ill_X1!$A$1:$K$36,29,FALSE),0)</f>
        <v>0</v>
      </c>
      <c r="J3807">
        <f>IFERROR(HLOOKUP(J$2,[114]table_female_hkom1_inj.ill_X1!$A$1:$K$36,29,FALSE),0)</f>
        <v>0</v>
      </c>
      <c r="K3807">
        <f>IFERROR(HLOOKUP(K$2,[114]table_female_hkom1_inj.ill_X1!$A$1:$K$36,29,FALSE),0)</f>
        <v>0</v>
      </c>
      <c r="L3807">
        <f>IFERROR(HLOOKUP(L$2,[114]table_female_hkom1_inj.ill_X1!$A$1:$K$36,29,FALSE),0)</f>
        <v>0</v>
      </c>
      <c r="M3807">
        <f t="shared" si="1163"/>
        <v>0</v>
      </c>
      <c r="N3807"/>
      <c r="O3807"/>
      <c r="S3807" s="14" t="s">
        <v>97</v>
      </c>
      <c r="T3807" s="65">
        <f t="shared" si="1164"/>
        <v>0</v>
      </c>
      <c r="U3807" s="65">
        <f t="shared" si="1165"/>
        <v>0</v>
      </c>
      <c r="V3807" s="65">
        <f t="shared" si="1165"/>
        <v>0</v>
      </c>
      <c r="W3807" s="65">
        <f t="shared" si="1165"/>
        <v>0</v>
      </c>
      <c r="X3807" s="65">
        <f t="shared" si="1165"/>
        <v>0</v>
      </c>
      <c r="Y3807" s="65">
        <f t="shared" si="1165"/>
        <v>0</v>
      </c>
      <c r="Z3807" s="65">
        <f t="shared" si="1165"/>
        <v>0</v>
      </c>
      <c r="AA3807" s="65">
        <f t="shared" si="1165"/>
        <v>0</v>
      </c>
      <c r="AB3807" s="65">
        <f t="shared" si="1166"/>
        <v>0</v>
      </c>
    </row>
    <row r="3808" spans="4:28" s="14" customFormat="1" x14ac:dyDescent="0.25">
      <c r="D3808" s="14" t="s">
        <v>98</v>
      </c>
      <c r="G3808">
        <f>IFERROR(HLOOKUP(G$2,[114]table_female_hkom1_inj.ill_X1!$A$1:$K$36,30,FALSE),0)</f>
        <v>1</v>
      </c>
      <c r="H3808">
        <f>IFERROR(HLOOKUP(H$2,[114]table_female_hkom1_inj.ill_X1!$A$1:$K$36,30,FALSE),0)</f>
        <v>0</v>
      </c>
      <c r="I3808">
        <f>IFERROR(HLOOKUP(I$2,[114]table_female_hkom1_inj.ill_X1!$A$1:$K$36,30,FALSE),0)</f>
        <v>0</v>
      </c>
      <c r="J3808">
        <f>IFERROR(HLOOKUP(J$2,[114]table_female_hkom1_inj.ill_X1!$A$1:$K$36,30,FALSE),0)</f>
        <v>0</v>
      </c>
      <c r="K3808">
        <f>IFERROR(HLOOKUP(K$2,[114]table_female_hkom1_inj.ill_X1!$A$1:$K$36,30,FALSE),0)</f>
        <v>0</v>
      </c>
      <c r="L3808">
        <f>IFERROR(HLOOKUP(L$2,[114]table_female_hkom1_inj.ill_X1!$A$1:$K$36,30,FALSE),0)</f>
        <v>0</v>
      </c>
      <c r="M3808">
        <f t="shared" si="1163"/>
        <v>1</v>
      </c>
      <c r="N3808"/>
      <c r="O3808"/>
      <c r="S3808" s="14" t="s">
        <v>98</v>
      </c>
      <c r="T3808" s="65">
        <f t="shared" si="1164"/>
        <v>0</v>
      </c>
      <c r="U3808" s="65">
        <f t="shared" si="1165"/>
        <v>0</v>
      </c>
      <c r="V3808" s="65">
        <f t="shared" si="1165"/>
        <v>5</v>
      </c>
      <c r="W3808" s="65">
        <f t="shared" si="1165"/>
        <v>0</v>
      </c>
      <c r="X3808" s="65">
        <f t="shared" si="1165"/>
        <v>0</v>
      </c>
      <c r="Y3808" s="65">
        <f t="shared" si="1165"/>
        <v>0</v>
      </c>
      <c r="Z3808" s="65">
        <f t="shared" si="1165"/>
        <v>0</v>
      </c>
      <c r="AA3808" s="65">
        <f t="shared" si="1165"/>
        <v>0</v>
      </c>
      <c r="AB3808" s="65">
        <f t="shared" si="1166"/>
        <v>5</v>
      </c>
    </row>
    <row r="3809" spans="1:29" s="14" customFormat="1" x14ac:dyDescent="0.25">
      <c r="D3809" s="14" t="s">
        <v>119</v>
      </c>
      <c r="G3809">
        <f>IFERROR(HLOOKUP(G$2,[114]table_female_hkom1_inj.ill_X1!$A$1:$K$36,31,FALSE),0)</f>
        <v>0</v>
      </c>
      <c r="H3809">
        <f>IFERROR(HLOOKUP(H$2,[114]table_female_hkom1_inj.ill_X1!$A$1:$K$36,31,FALSE),0)</f>
        <v>0</v>
      </c>
      <c r="I3809">
        <f>IFERROR(HLOOKUP(I$2,[114]table_female_hkom1_inj.ill_X1!$A$1:$K$36,31,FALSE),0)</f>
        <v>0</v>
      </c>
      <c r="J3809">
        <f>IFERROR(HLOOKUP(J$2,[114]table_female_hkom1_inj.ill_X1!$A$1:$K$36,31,FALSE),0)</f>
        <v>0</v>
      </c>
      <c r="K3809">
        <f>IFERROR(HLOOKUP(K$2,[114]table_female_hkom1_inj.ill_X1!$A$1:$K$36,31,FALSE),0)</f>
        <v>0</v>
      </c>
      <c r="L3809">
        <f>IFERROR(HLOOKUP(L$2,[114]table_female_hkom1_inj.ill_X1!$A$1:$K$36,31,FALSE),0)</f>
        <v>0</v>
      </c>
      <c r="M3809">
        <f t="shared" si="1163"/>
        <v>0</v>
      </c>
      <c r="N3809"/>
      <c r="O3809"/>
      <c r="S3809" s="14" t="s">
        <v>119</v>
      </c>
      <c r="T3809" s="65">
        <f t="shared" si="1164"/>
        <v>0</v>
      </c>
      <c r="U3809" s="65">
        <f t="shared" si="1165"/>
        <v>0</v>
      </c>
      <c r="V3809" s="65">
        <f t="shared" si="1165"/>
        <v>0</v>
      </c>
      <c r="W3809" s="65">
        <f t="shared" si="1165"/>
        <v>0</v>
      </c>
      <c r="X3809" s="65">
        <f t="shared" si="1165"/>
        <v>0</v>
      </c>
      <c r="Y3809" s="65">
        <f t="shared" si="1165"/>
        <v>0</v>
      </c>
      <c r="Z3809" s="65">
        <f t="shared" si="1165"/>
        <v>0</v>
      </c>
      <c r="AA3809" s="65">
        <f t="shared" si="1165"/>
        <v>0</v>
      </c>
      <c r="AB3809" s="65">
        <f t="shared" si="1166"/>
        <v>0</v>
      </c>
    </row>
    <row r="3810" spans="1:29" s="14" customFormat="1" x14ac:dyDescent="0.25">
      <c r="D3810" s="14" t="s">
        <v>99</v>
      </c>
      <c r="G3810">
        <f>IFERROR(HLOOKUP(G$2,[114]table_female_hkom1_inj.ill_X1!$A$1:$K$36,32,FALSE),0)</f>
        <v>0</v>
      </c>
      <c r="H3810">
        <f>IFERROR(HLOOKUP(H$2,[114]table_female_hkom1_inj.ill_X1!$A$1:$K$36,32,FALSE),0)</f>
        <v>0</v>
      </c>
      <c r="I3810">
        <f>IFERROR(HLOOKUP(I$2,[114]table_female_hkom1_inj.ill_X1!$A$1:$K$36,32,FALSE),0)</f>
        <v>0</v>
      </c>
      <c r="J3810">
        <f>IFERROR(HLOOKUP(J$2,[114]table_female_hkom1_inj.ill_X1!$A$1:$K$36,32,FALSE),0)</f>
        <v>0</v>
      </c>
      <c r="K3810">
        <f>IFERROR(HLOOKUP(K$2,[114]table_female_hkom1_inj.ill_X1!$A$1:$K$36,32,FALSE),0)</f>
        <v>0</v>
      </c>
      <c r="L3810">
        <f>IFERROR(HLOOKUP(L$2,[114]table_female_hkom1_inj.ill_X1!$A$1:$K$36,32,FALSE),0)</f>
        <v>0</v>
      </c>
      <c r="M3810">
        <f t="shared" si="1163"/>
        <v>0</v>
      </c>
      <c r="N3810"/>
      <c r="O3810"/>
      <c r="S3810" s="14" t="s">
        <v>99</v>
      </c>
      <c r="T3810" s="65">
        <f t="shared" si="1164"/>
        <v>0</v>
      </c>
      <c r="U3810" s="65">
        <f t="shared" si="1165"/>
        <v>0</v>
      </c>
      <c r="V3810" s="65">
        <f t="shared" si="1165"/>
        <v>0</v>
      </c>
      <c r="W3810" s="65">
        <f t="shared" si="1165"/>
        <v>0</v>
      </c>
      <c r="X3810" s="65">
        <f t="shared" si="1165"/>
        <v>0</v>
      </c>
      <c r="Y3810" s="65">
        <f t="shared" si="1165"/>
        <v>0</v>
      </c>
      <c r="Z3810" s="65">
        <f t="shared" si="1165"/>
        <v>0</v>
      </c>
      <c r="AA3810" s="65">
        <f t="shared" si="1165"/>
        <v>0</v>
      </c>
      <c r="AB3810" s="65">
        <f t="shared" ref="AB3810:AB3873" si="1167">SUM(T3810:AA3810)</f>
        <v>0</v>
      </c>
    </row>
    <row r="3811" spans="1:29" s="14" customFormat="1" x14ac:dyDescent="0.25">
      <c r="D3811" s="14" t="s">
        <v>100</v>
      </c>
      <c r="G3811">
        <f>IFERROR(HLOOKUP(G$2,[114]table_female_hkom1_inj.ill_X1!$A$1:$K$36,33,FALSE),0)</f>
        <v>2</v>
      </c>
      <c r="H3811">
        <f>IFERROR(HLOOKUP(H$2,[114]table_female_hkom1_inj.ill_X1!$A$1:$K$36,33,FALSE),0)</f>
        <v>1</v>
      </c>
      <c r="I3811">
        <f>IFERROR(HLOOKUP(I$2,[114]table_female_hkom1_inj.ill_X1!$A$1:$K$36,33,FALSE),0)</f>
        <v>0</v>
      </c>
      <c r="J3811">
        <f>IFERROR(HLOOKUP(J$2,[114]table_female_hkom1_inj.ill_X1!$A$1:$K$36,33,FALSE),0)</f>
        <v>0</v>
      </c>
      <c r="K3811">
        <f>IFERROR(HLOOKUP(K$2,[114]table_female_hkom1_inj.ill_X1!$A$1:$K$36,33,FALSE),0)</f>
        <v>0</v>
      </c>
      <c r="L3811">
        <f>IFERROR(HLOOKUP(L$2,[114]table_female_hkom1_inj.ill_X1!$A$1:$K$36,33,FALSE),0)</f>
        <v>0</v>
      </c>
      <c r="M3811">
        <f t="shared" si="1163"/>
        <v>3</v>
      </c>
      <c r="N3811"/>
      <c r="O3811"/>
      <c r="S3811" s="14" t="s">
        <v>100</v>
      </c>
      <c r="T3811" s="65">
        <f t="shared" si="1164"/>
        <v>0</v>
      </c>
      <c r="U3811" s="65">
        <f t="shared" si="1165"/>
        <v>0</v>
      </c>
      <c r="V3811" s="65">
        <f t="shared" si="1165"/>
        <v>10</v>
      </c>
      <c r="W3811" s="65">
        <f t="shared" si="1165"/>
        <v>5.7222222222222223</v>
      </c>
      <c r="X3811" s="65">
        <f t="shared" si="1165"/>
        <v>0</v>
      </c>
      <c r="Y3811" s="65">
        <f t="shared" si="1165"/>
        <v>0</v>
      </c>
      <c r="Z3811" s="65">
        <f t="shared" si="1165"/>
        <v>0</v>
      </c>
      <c r="AA3811" s="65">
        <f t="shared" si="1165"/>
        <v>0</v>
      </c>
      <c r="AB3811" s="65">
        <f t="shared" si="1167"/>
        <v>15.722222222222221</v>
      </c>
    </row>
    <row r="3812" spans="1:29" s="14" customFormat="1" x14ac:dyDescent="0.25">
      <c r="D3812" s="14" t="s">
        <v>101</v>
      </c>
      <c r="G3812">
        <f>IFERROR(HLOOKUP(G$2,[114]table_female_hkom1_inj.ill_X1!$A$1:$K$36,34,FALSE),0)</f>
        <v>1</v>
      </c>
      <c r="H3812">
        <f>IFERROR(HLOOKUP(H$2,[114]table_female_hkom1_inj.ill_X1!$A$1:$K$36,34,FALSE),0)</f>
        <v>1</v>
      </c>
      <c r="I3812">
        <f>IFERROR(HLOOKUP(I$2,[114]table_female_hkom1_inj.ill_X1!$A$1:$K$36,34,FALSE),0)</f>
        <v>0</v>
      </c>
      <c r="J3812">
        <f>IFERROR(HLOOKUP(J$2,[114]table_female_hkom1_inj.ill_X1!$A$1:$K$36,34,FALSE),0)</f>
        <v>0</v>
      </c>
      <c r="K3812">
        <f>IFERROR(HLOOKUP(K$2,[114]table_female_hkom1_inj.ill_X1!$A$1:$K$36,34,FALSE),0)</f>
        <v>0</v>
      </c>
      <c r="L3812">
        <f>IFERROR(HLOOKUP(L$2,[114]table_female_hkom1_inj.ill_X1!$A$1:$K$36,34,FALSE),0)</f>
        <v>0</v>
      </c>
      <c r="M3812">
        <f t="shared" si="1163"/>
        <v>2</v>
      </c>
      <c r="N3812"/>
      <c r="O3812"/>
      <c r="S3812" s="14" t="s">
        <v>101</v>
      </c>
      <c r="T3812" s="65">
        <f t="shared" si="1164"/>
        <v>0</v>
      </c>
      <c r="U3812" s="65">
        <f t="shared" si="1165"/>
        <v>0</v>
      </c>
      <c r="V3812" s="65">
        <f t="shared" si="1165"/>
        <v>5</v>
      </c>
      <c r="W3812" s="65">
        <f t="shared" si="1165"/>
        <v>5.7222222222222223</v>
      </c>
      <c r="X3812" s="65">
        <f t="shared" si="1165"/>
        <v>0</v>
      </c>
      <c r="Y3812" s="65">
        <f t="shared" si="1165"/>
        <v>0</v>
      </c>
      <c r="Z3812" s="65">
        <f t="shared" si="1165"/>
        <v>0</v>
      </c>
      <c r="AA3812" s="65">
        <f t="shared" si="1165"/>
        <v>0</v>
      </c>
      <c r="AB3812" s="65">
        <f t="shared" si="1167"/>
        <v>10.722222222222221</v>
      </c>
    </row>
    <row r="3813" spans="1:29" s="14" customFormat="1" x14ac:dyDescent="0.25">
      <c r="D3813" s="14" t="s">
        <v>102</v>
      </c>
      <c r="G3813">
        <f>IFERROR(HLOOKUP(G$2,[114]table_female_hkom1_inj.ill_X1!$A$1:$K$36,35,FALSE),0)</f>
        <v>44</v>
      </c>
      <c r="H3813">
        <f>IFERROR(HLOOKUP(H$2,[114]table_female_hkom1_inj.ill_X1!$A$1:$K$36,35,FALSE),0)</f>
        <v>85</v>
      </c>
      <c r="I3813">
        <f>IFERROR(HLOOKUP(I$2,[114]table_female_hkom1_inj.ill_X1!$A$1:$K$36,35,FALSE),0)</f>
        <v>39</v>
      </c>
      <c r="J3813">
        <f>IFERROR(HLOOKUP(J$2,[114]table_female_hkom1_inj.ill_X1!$A$1:$K$36,35,FALSE),0)</f>
        <v>3</v>
      </c>
      <c r="K3813">
        <f>IFERROR(HLOOKUP(K$2,[114]table_female_hkom1_inj.ill_X1!$A$1:$K$36,35,FALSE),0)</f>
        <v>0</v>
      </c>
      <c r="L3813">
        <f>IFERROR(HLOOKUP(L$2,[114]table_female_hkom1_inj.ill_X1!$A$1:$K$36,35,FALSE),0)</f>
        <v>0</v>
      </c>
      <c r="M3813">
        <f t="shared" si="1163"/>
        <v>171</v>
      </c>
      <c r="N3813">
        <f>SUM(M3780:M3813)</f>
        <v>220</v>
      </c>
      <c r="O3813" s="8">
        <f>SUM([114]table_female_hkom1_inj.ill_X1!$B$2:$L$37)</f>
        <v>220</v>
      </c>
      <c r="S3813" s="14" t="s">
        <v>102</v>
      </c>
      <c r="T3813" s="66"/>
      <c r="U3813" s="66"/>
      <c r="V3813" s="66"/>
      <c r="W3813" s="66"/>
      <c r="X3813" s="66"/>
      <c r="Y3813" s="66"/>
      <c r="Z3813" s="66"/>
      <c r="AA3813" s="66"/>
      <c r="AB3813" s="65">
        <f t="shared" si="1167"/>
        <v>0</v>
      </c>
      <c r="AC3813" s="65">
        <f>SUM(AB3780:AB3812)</f>
        <v>220.00000000000003</v>
      </c>
    </row>
    <row r="3814" spans="1:29" s="14" customFormat="1" x14ac:dyDescent="0.25">
      <c r="A3814" s="14" t="s">
        <v>115</v>
      </c>
      <c r="B3814" s="14" t="s">
        <v>116</v>
      </c>
      <c r="C3814" s="14" t="s">
        <v>243</v>
      </c>
      <c r="D3814" s="14" t="s">
        <v>70</v>
      </c>
      <c r="G3814">
        <f>IFERROR(HLOOKUP(G$2,[115]table_female_hkom2_inj.ill_X1!$A$1:$K$36,2,FALSE),0)</f>
        <v>0</v>
      </c>
      <c r="H3814">
        <f>IFERROR(HLOOKUP(H$2,[115]table_female_hkom2_inj.ill_X1!$A$1:$K$36,2,FALSE),0)</f>
        <v>0</v>
      </c>
      <c r="I3814">
        <f>IFERROR(HLOOKUP(I$2,[115]table_female_hkom2_inj.ill_X1!$A$1:$K$36,2,FALSE),0)</f>
        <v>0</v>
      </c>
      <c r="J3814">
        <f>IFERROR(HLOOKUP(J$2,[115]table_female_hkom2_inj.ill_X1!$A$1:$K$36,2,FALSE),0)</f>
        <v>0</v>
      </c>
      <c r="K3814">
        <f>IFERROR(HLOOKUP(K$2,[115]table_female_hkom2_inj.ill_X1!$A$1:$K$36,2,FALSE),0)</f>
        <v>0</v>
      </c>
      <c r="L3814">
        <f>IFERROR(HLOOKUP(L$2,[115]table_female_hkom2_inj.ill_X1!$A$1:$K$36,2,FALSE),0)</f>
        <v>0</v>
      </c>
      <c r="M3814">
        <f>SUM(E3814:L3814)</f>
        <v>0</v>
      </c>
      <c r="N3814"/>
      <c r="O3814"/>
      <c r="P3814" s="14" t="s">
        <v>115</v>
      </c>
      <c r="Q3814" s="14" t="s">
        <v>116</v>
      </c>
      <c r="R3814" s="14" t="s">
        <v>243</v>
      </c>
      <c r="S3814" s="14" t="s">
        <v>70</v>
      </c>
      <c r="T3814" s="65">
        <f>IF(SUM(E$3814:E$3846)=0,E$3847/33,E3814+IFERROR(E3814/SUM(E$3814:E$3846)*E$3847,0))</f>
        <v>0</v>
      </c>
      <c r="U3814" s="65">
        <f t="shared" ref="U3814:AA3829" si="1168">IF(SUM(F$3814:F$3846)=0,F$3847/33,F3814+IFERROR(F3814/SUM(F$3814:F$3846)*F$3847,0))</f>
        <v>0</v>
      </c>
      <c r="V3814" s="65">
        <f t="shared" si="1168"/>
        <v>0</v>
      </c>
      <c r="W3814" s="65">
        <f t="shared" si="1168"/>
        <v>0</v>
      </c>
      <c r="X3814" s="65">
        <f t="shared" si="1168"/>
        <v>0</v>
      </c>
      <c r="Y3814" s="65">
        <f t="shared" si="1168"/>
        <v>0</v>
      </c>
      <c r="Z3814" s="65">
        <f t="shared" si="1168"/>
        <v>0</v>
      </c>
      <c r="AA3814" s="65">
        <f t="shared" si="1168"/>
        <v>0</v>
      </c>
      <c r="AB3814" s="65">
        <f t="shared" si="1167"/>
        <v>0</v>
      </c>
    </row>
    <row r="3815" spans="1:29" s="14" customFormat="1" x14ac:dyDescent="0.25">
      <c r="D3815" s="14" t="s">
        <v>71</v>
      </c>
      <c r="G3815">
        <f>IFERROR(HLOOKUP(G$2,[115]table_female_hkom2_inj.ill_X1!$A$1:$K$36,3,FALSE),0)</f>
        <v>0</v>
      </c>
      <c r="H3815">
        <f>IFERROR(HLOOKUP(H$2,[115]table_female_hkom2_inj.ill_X1!$A$1:$K$36,3,FALSE),0)</f>
        <v>0</v>
      </c>
      <c r="I3815">
        <f>IFERROR(HLOOKUP(I$2,[115]table_female_hkom2_inj.ill_X1!$A$1:$K$36,3,FALSE),0)</f>
        <v>0</v>
      </c>
      <c r="J3815">
        <f>IFERROR(HLOOKUP(J$2,[115]table_female_hkom2_inj.ill_X1!$A$1:$K$36,3,FALSE),0)</f>
        <v>0</v>
      </c>
      <c r="K3815">
        <f>IFERROR(HLOOKUP(K$2,[115]table_female_hkom2_inj.ill_X1!$A$1:$K$36,3,FALSE),0)</f>
        <v>0</v>
      </c>
      <c r="L3815">
        <f>IFERROR(HLOOKUP(L$2,[115]table_female_hkom2_inj.ill_X1!$A$1:$K$36,3,FALSE),0)</f>
        <v>0</v>
      </c>
      <c r="M3815">
        <f t="shared" ref="M3815:M3847" si="1169">SUM(E3815:L3815)</f>
        <v>0</v>
      </c>
      <c r="N3815"/>
      <c r="O3815"/>
      <c r="S3815" s="14" t="s">
        <v>71</v>
      </c>
      <c r="T3815" s="65">
        <f t="shared" ref="T3815:T3846" si="1170">IF(SUM(E$3814:E$3846)=0,E$3847/33,E3815+IFERROR(E3815/SUM(E$3814:E$3846)*E$3847,0))</f>
        <v>0</v>
      </c>
      <c r="U3815" s="65">
        <f t="shared" si="1168"/>
        <v>0</v>
      </c>
      <c r="V3815" s="65">
        <f t="shared" si="1168"/>
        <v>0</v>
      </c>
      <c r="W3815" s="65">
        <f t="shared" si="1168"/>
        <v>0</v>
      </c>
      <c r="X3815" s="65">
        <f t="shared" si="1168"/>
        <v>0</v>
      </c>
      <c r="Y3815" s="65">
        <f t="shared" si="1168"/>
        <v>0</v>
      </c>
      <c r="Z3815" s="65">
        <f t="shared" si="1168"/>
        <v>0</v>
      </c>
      <c r="AA3815" s="65">
        <f t="shared" si="1168"/>
        <v>0</v>
      </c>
      <c r="AB3815" s="65">
        <f t="shared" si="1167"/>
        <v>0</v>
      </c>
    </row>
    <row r="3816" spans="1:29" s="14" customFormat="1" x14ac:dyDescent="0.25">
      <c r="D3816" s="14" t="s">
        <v>72</v>
      </c>
      <c r="G3816">
        <f>IFERROR(HLOOKUP(G$2,[115]table_female_hkom2_inj.ill_X1!$A$1:$K$36,4,FALSE),0)</f>
        <v>0</v>
      </c>
      <c r="H3816">
        <f>IFERROR(HLOOKUP(H$2,[115]table_female_hkom2_inj.ill_X1!$A$1:$K$36,4,FALSE),0)</f>
        <v>0</v>
      </c>
      <c r="I3816">
        <f>IFERROR(HLOOKUP(I$2,[115]table_female_hkom2_inj.ill_X1!$A$1:$K$36,4,FALSE),0)</f>
        <v>0</v>
      </c>
      <c r="J3816">
        <f>IFERROR(HLOOKUP(J$2,[115]table_female_hkom2_inj.ill_X1!$A$1:$K$36,4,FALSE),0)</f>
        <v>0</v>
      </c>
      <c r="K3816">
        <f>IFERROR(HLOOKUP(K$2,[115]table_female_hkom2_inj.ill_X1!$A$1:$K$36,4,FALSE),0)</f>
        <v>0</v>
      </c>
      <c r="L3816">
        <f>IFERROR(HLOOKUP(L$2,[115]table_female_hkom2_inj.ill_X1!$A$1:$K$36,4,FALSE),0)</f>
        <v>0</v>
      </c>
      <c r="M3816">
        <f t="shared" si="1169"/>
        <v>0</v>
      </c>
      <c r="N3816"/>
      <c r="O3816"/>
      <c r="S3816" s="14" t="s">
        <v>72</v>
      </c>
      <c r="T3816" s="65">
        <f t="shared" si="1170"/>
        <v>0</v>
      </c>
      <c r="U3816" s="65">
        <f t="shared" si="1168"/>
        <v>0</v>
      </c>
      <c r="V3816" s="65">
        <f t="shared" si="1168"/>
        <v>0</v>
      </c>
      <c r="W3816" s="65">
        <f t="shared" si="1168"/>
        <v>0</v>
      </c>
      <c r="X3816" s="65">
        <f t="shared" si="1168"/>
        <v>0</v>
      </c>
      <c r="Y3816" s="65">
        <f t="shared" si="1168"/>
        <v>0</v>
      </c>
      <c r="Z3816" s="65">
        <f t="shared" si="1168"/>
        <v>0</v>
      </c>
      <c r="AA3816" s="65">
        <f t="shared" si="1168"/>
        <v>0</v>
      </c>
      <c r="AB3816" s="65">
        <f t="shared" si="1167"/>
        <v>0</v>
      </c>
    </row>
    <row r="3817" spans="1:29" s="14" customFormat="1" x14ac:dyDescent="0.25">
      <c r="D3817" s="14" t="s">
        <v>73</v>
      </c>
      <c r="G3817">
        <f>IFERROR(HLOOKUP(G$2,[115]table_female_hkom2_inj.ill_X1!$A$1:$K$36,5,FALSE),0)</f>
        <v>0</v>
      </c>
      <c r="H3817">
        <f>IFERROR(HLOOKUP(H$2,[115]table_female_hkom2_inj.ill_X1!$A$1:$K$36,5,FALSE),0)</f>
        <v>0</v>
      </c>
      <c r="I3817">
        <f>IFERROR(HLOOKUP(I$2,[115]table_female_hkom2_inj.ill_X1!$A$1:$K$36,5,FALSE),0)</f>
        <v>0</v>
      </c>
      <c r="J3817">
        <f>IFERROR(HLOOKUP(J$2,[115]table_female_hkom2_inj.ill_X1!$A$1:$K$36,5,FALSE),0)</f>
        <v>0</v>
      </c>
      <c r="K3817">
        <f>IFERROR(HLOOKUP(K$2,[115]table_female_hkom2_inj.ill_X1!$A$1:$K$36,5,FALSE),0)</f>
        <v>0</v>
      </c>
      <c r="L3817">
        <f>IFERROR(HLOOKUP(L$2,[115]table_female_hkom2_inj.ill_X1!$A$1:$K$36,5,FALSE),0)</f>
        <v>0</v>
      </c>
      <c r="M3817">
        <f t="shared" si="1169"/>
        <v>0</v>
      </c>
      <c r="N3817"/>
      <c r="O3817"/>
      <c r="S3817" s="14" t="s">
        <v>73</v>
      </c>
      <c r="T3817" s="65">
        <f t="shared" si="1170"/>
        <v>0</v>
      </c>
      <c r="U3817" s="65">
        <f t="shared" si="1168"/>
        <v>0</v>
      </c>
      <c r="V3817" s="65">
        <f t="shared" si="1168"/>
        <v>0</v>
      </c>
      <c r="W3817" s="65">
        <f t="shared" si="1168"/>
        <v>0</v>
      </c>
      <c r="X3817" s="65">
        <f t="shared" si="1168"/>
        <v>0</v>
      </c>
      <c r="Y3817" s="65">
        <f t="shared" si="1168"/>
        <v>0</v>
      </c>
      <c r="Z3817" s="65">
        <f t="shared" si="1168"/>
        <v>0</v>
      </c>
      <c r="AA3817" s="65">
        <f t="shared" si="1168"/>
        <v>0</v>
      </c>
      <c r="AB3817" s="65">
        <f t="shared" si="1167"/>
        <v>0</v>
      </c>
    </row>
    <row r="3818" spans="1:29" s="14" customFormat="1" x14ac:dyDescent="0.25">
      <c r="D3818" s="14" t="s">
        <v>74</v>
      </c>
      <c r="G3818">
        <f>IFERROR(HLOOKUP(G$2,[115]table_female_hkom2_inj.ill_X1!$A$1:$K$36,6,FALSE),0)</f>
        <v>0</v>
      </c>
      <c r="H3818">
        <f>IFERROR(HLOOKUP(H$2,[115]table_female_hkom2_inj.ill_X1!$A$1:$K$36,6,FALSE),0)</f>
        <v>0</v>
      </c>
      <c r="I3818">
        <f>IFERROR(HLOOKUP(I$2,[115]table_female_hkom2_inj.ill_X1!$A$1:$K$36,6,FALSE),0)</f>
        <v>0</v>
      </c>
      <c r="J3818">
        <f>IFERROR(HLOOKUP(J$2,[115]table_female_hkom2_inj.ill_X1!$A$1:$K$36,6,FALSE),0)</f>
        <v>0</v>
      </c>
      <c r="K3818">
        <f>IFERROR(HLOOKUP(K$2,[115]table_female_hkom2_inj.ill_X1!$A$1:$K$36,6,FALSE),0)</f>
        <v>0</v>
      </c>
      <c r="L3818">
        <f>IFERROR(HLOOKUP(L$2,[115]table_female_hkom2_inj.ill_X1!$A$1:$K$36,6,FALSE),0)</f>
        <v>0</v>
      </c>
      <c r="M3818">
        <f t="shared" si="1169"/>
        <v>0</v>
      </c>
      <c r="N3818"/>
      <c r="O3818"/>
      <c r="S3818" s="14" t="s">
        <v>74</v>
      </c>
      <c r="T3818" s="65">
        <f t="shared" si="1170"/>
        <v>0</v>
      </c>
      <c r="U3818" s="65">
        <f t="shared" si="1168"/>
        <v>0</v>
      </c>
      <c r="V3818" s="65">
        <f t="shared" si="1168"/>
        <v>0</v>
      </c>
      <c r="W3818" s="65">
        <f t="shared" si="1168"/>
        <v>0</v>
      </c>
      <c r="X3818" s="65">
        <f t="shared" si="1168"/>
        <v>0</v>
      </c>
      <c r="Y3818" s="65">
        <f t="shared" si="1168"/>
        <v>0</v>
      </c>
      <c r="Z3818" s="65">
        <f t="shared" si="1168"/>
        <v>0</v>
      </c>
      <c r="AA3818" s="65">
        <f t="shared" si="1168"/>
        <v>0</v>
      </c>
      <c r="AB3818" s="65">
        <f t="shared" si="1167"/>
        <v>0</v>
      </c>
    </row>
    <row r="3819" spans="1:29" s="14" customFormat="1" x14ac:dyDescent="0.25">
      <c r="D3819" s="14" t="s">
        <v>75</v>
      </c>
      <c r="G3819">
        <f>IFERROR(HLOOKUP(G$2,[115]table_female_hkom2_inj.ill_X1!$A$1:$K$36,7,FALSE),0)</f>
        <v>0</v>
      </c>
      <c r="H3819">
        <f>IFERROR(HLOOKUP(H$2,[115]table_female_hkom2_inj.ill_X1!$A$1:$K$36,7,FALSE),0)</f>
        <v>1</v>
      </c>
      <c r="I3819">
        <f>IFERROR(HLOOKUP(I$2,[115]table_female_hkom2_inj.ill_X1!$A$1:$K$36,7,FALSE),0)</f>
        <v>0</v>
      </c>
      <c r="J3819">
        <f>IFERROR(HLOOKUP(J$2,[115]table_female_hkom2_inj.ill_X1!$A$1:$K$36,7,FALSE),0)</f>
        <v>0</v>
      </c>
      <c r="K3819">
        <f>IFERROR(HLOOKUP(K$2,[115]table_female_hkom2_inj.ill_X1!$A$1:$K$36,7,FALSE),0)</f>
        <v>0</v>
      </c>
      <c r="L3819">
        <f>IFERROR(HLOOKUP(L$2,[115]table_female_hkom2_inj.ill_X1!$A$1:$K$36,7,FALSE),0)</f>
        <v>0</v>
      </c>
      <c r="M3819">
        <f t="shared" si="1169"/>
        <v>1</v>
      </c>
      <c r="N3819"/>
      <c r="O3819"/>
      <c r="S3819" s="14" t="s">
        <v>75</v>
      </c>
      <c r="T3819" s="65">
        <f t="shared" si="1170"/>
        <v>0</v>
      </c>
      <c r="U3819" s="65">
        <f t="shared" si="1168"/>
        <v>0</v>
      </c>
      <c r="V3819" s="65">
        <f t="shared" si="1168"/>
        <v>0</v>
      </c>
      <c r="W3819" s="65">
        <f t="shared" si="1168"/>
        <v>6</v>
      </c>
      <c r="X3819" s="65">
        <f t="shared" si="1168"/>
        <v>0</v>
      </c>
      <c r="Y3819" s="65">
        <f t="shared" si="1168"/>
        <v>0</v>
      </c>
      <c r="Z3819" s="65">
        <f t="shared" si="1168"/>
        <v>0</v>
      </c>
      <c r="AA3819" s="65">
        <f t="shared" si="1168"/>
        <v>0</v>
      </c>
      <c r="AB3819" s="65">
        <f t="shared" si="1167"/>
        <v>6</v>
      </c>
    </row>
    <row r="3820" spans="1:29" s="14" customFormat="1" x14ac:dyDescent="0.25">
      <c r="D3820" s="14" t="s">
        <v>76</v>
      </c>
      <c r="G3820">
        <f>IFERROR(HLOOKUP(G$2,[115]table_female_hkom2_inj.ill_X1!$A$1:$K$36,8,FALSE),0)</f>
        <v>0</v>
      </c>
      <c r="H3820">
        <f>IFERROR(HLOOKUP(H$2,[115]table_female_hkom2_inj.ill_X1!$A$1:$K$36,8,FALSE),0)</f>
        <v>0</v>
      </c>
      <c r="I3820">
        <f>IFERROR(HLOOKUP(I$2,[115]table_female_hkom2_inj.ill_X1!$A$1:$K$36,8,FALSE),0)</f>
        <v>0</v>
      </c>
      <c r="J3820">
        <f>IFERROR(HLOOKUP(J$2,[115]table_female_hkom2_inj.ill_X1!$A$1:$K$36,8,FALSE),0)</f>
        <v>0</v>
      </c>
      <c r="K3820">
        <f>IFERROR(HLOOKUP(K$2,[115]table_female_hkom2_inj.ill_X1!$A$1:$K$36,8,FALSE),0)</f>
        <v>0</v>
      </c>
      <c r="L3820">
        <f>IFERROR(HLOOKUP(L$2,[115]table_female_hkom2_inj.ill_X1!$A$1:$K$36,8,FALSE),0)</f>
        <v>0</v>
      </c>
      <c r="M3820">
        <f t="shared" si="1169"/>
        <v>0</v>
      </c>
      <c r="N3820"/>
      <c r="O3820"/>
      <c r="S3820" s="14" t="s">
        <v>76</v>
      </c>
      <c r="T3820" s="65">
        <f t="shared" si="1170"/>
        <v>0</v>
      </c>
      <c r="U3820" s="65">
        <f t="shared" si="1168"/>
        <v>0</v>
      </c>
      <c r="V3820" s="65">
        <f t="shared" si="1168"/>
        <v>0</v>
      </c>
      <c r="W3820" s="65">
        <f t="shared" si="1168"/>
        <v>0</v>
      </c>
      <c r="X3820" s="65">
        <f t="shared" si="1168"/>
        <v>0</v>
      </c>
      <c r="Y3820" s="65">
        <f t="shared" si="1168"/>
        <v>0</v>
      </c>
      <c r="Z3820" s="65">
        <f t="shared" si="1168"/>
        <v>0</v>
      </c>
      <c r="AA3820" s="65">
        <f t="shared" si="1168"/>
        <v>0</v>
      </c>
      <c r="AB3820" s="65">
        <f t="shared" si="1167"/>
        <v>0</v>
      </c>
    </row>
    <row r="3821" spans="1:29" s="14" customFormat="1" x14ac:dyDescent="0.25">
      <c r="D3821" s="14" t="s">
        <v>77</v>
      </c>
      <c r="G3821">
        <f>IFERROR(HLOOKUP(G$2,[115]table_female_hkom2_inj.ill_X1!$A$1:$K$36,9,FALSE),0)</f>
        <v>0</v>
      </c>
      <c r="H3821">
        <f>IFERROR(HLOOKUP(H$2,[115]table_female_hkom2_inj.ill_X1!$A$1:$K$36,9,FALSE),0)</f>
        <v>0</v>
      </c>
      <c r="I3821">
        <f>IFERROR(HLOOKUP(I$2,[115]table_female_hkom2_inj.ill_X1!$A$1:$K$36,9,FALSE),0)</f>
        <v>0</v>
      </c>
      <c r="J3821">
        <f>IFERROR(HLOOKUP(J$2,[115]table_female_hkom2_inj.ill_X1!$A$1:$K$36,9,FALSE),0)</f>
        <v>0</v>
      </c>
      <c r="K3821">
        <f>IFERROR(HLOOKUP(K$2,[115]table_female_hkom2_inj.ill_X1!$A$1:$K$36,9,FALSE),0)</f>
        <v>0</v>
      </c>
      <c r="L3821">
        <f>IFERROR(HLOOKUP(L$2,[115]table_female_hkom2_inj.ill_X1!$A$1:$K$36,9,FALSE),0)</f>
        <v>0</v>
      </c>
      <c r="M3821">
        <f t="shared" si="1169"/>
        <v>0</v>
      </c>
      <c r="N3821"/>
      <c r="O3821"/>
      <c r="S3821" s="14" t="s">
        <v>77</v>
      </c>
      <c r="T3821" s="65">
        <f t="shared" si="1170"/>
        <v>0</v>
      </c>
      <c r="U3821" s="65">
        <f t="shared" si="1168"/>
        <v>0</v>
      </c>
      <c r="V3821" s="65">
        <f t="shared" si="1168"/>
        <v>0</v>
      </c>
      <c r="W3821" s="65">
        <f t="shared" si="1168"/>
        <v>0</v>
      </c>
      <c r="X3821" s="65">
        <f t="shared" si="1168"/>
        <v>0</v>
      </c>
      <c r="Y3821" s="65">
        <f t="shared" si="1168"/>
        <v>0</v>
      </c>
      <c r="Z3821" s="65">
        <f t="shared" si="1168"/>
        <v>0</v>
      </c>
      <c r="AA3821" s="65">
        <f t="shared" si="1168"/>
        <v>0</v>
      </c>
      <c r="AB3821" s="65">
        <f t="shared" si="1167"/>
        <v>0</v>
      </c>
    </row>
    <row r="3822" spans="1:29" s="14" customFormat="1" x14ac:dyDescent="0.25">
      <c r="D3822" s="14" t="s">
        <v>78</v>
      </c>
      <c r="G3822">
        <f>IFERROR(HLOOKUP(G$2,[115]table_female_hkom2_inj.ill_X1!$A$1:$K$36,10,FALSE),0)</f>
        <v>0</v>
      </c>
      <c r="H3822">
        <f>IFERROR(HLOOKUP(H$2,[115]table_female_hkom2_inj.ill_X1!$A$1:$K$36,10,FALSE),0)</f>
        <v>0</v>
      </c>
      <c r="I3822">
        <f>IFERROR(HLOOKUP(I$2,[115]table_female_hkom2_inj.ill_X1!$A$1:$K$36,10,FALSE),0)</f>
        <v>0</v>
      </c>
      <c r="J3822">
        <f>IFERROR(HLOOKUP(J$2,[115]table_female_hkom2_inj.ill_X1!$A$1:$K$36,10,FALSE),0)</f>
        <v>0</v>
      </c>
      <c r="K3822">
        <f>IFERROR(HLOOKUP(K$2,[115]table_female_hkom2_inj.ill_X1!$A$1:$K$36,10,FALSE),0)</f>
        <v>0</v>
      </c>
      <c r="L3822">
        <f>IFERROR(HLOOKUP(L$2,[115]table_female_hkom2_inj.ill_X1!$A$1:$K$36,10,FALSE),0)</f>
        <v>0</v>
      </c>
      <c r="M3822">
        <f t="shared" si="1169"/>
        <v>0</v>
      </c>
      <c r="N3822"/>
      <c r="O3822"/>
      <c r="S3822" s="14" t="s">
        <v>78</v>
      </c>
      <c r="T3822" s="65">
        <f t="shared" si="1170"/>
        <v>0</v>
      </c>
      <c r="U3822" s="65">
        <f t="shared" si="1168"/>
        <v>0</v>
      </c>
      <c r="V3822" s="65">
        <f t="shared" si="1168"/>
        <v>0</v>
      </c>
      <c r="W3822" s="65">
        <f t="shared" si="1168"/>
        <v>0</v>
      </c>
      <c r="X3822" s="65">
        <f t="shared" si="1168"/>
        <v>0</v>
      </c>
      <c r="Y3822" s="65">
        <f t="shared" si="1168"/>
        <v>0</v>
      </c>
      <c r="Z3822" s="65">
        <f t="shared" si="1168"/>
        <v>0</v>
      </c>
      <c r="AA3822" s="65">
        <f t="shared" si="1168"/>
        <v>0</v>
      </c>
      <c r="AB3822" s="65">
        <f t="shared" si="1167"/>
        <v>0</v>
      </c>
    </row>
    <row r="3823" spans="1:29" s="14" customFormat="1" x14ac:dyDescent="0.25">
      <c r="D3823" s="14" t="s">
        <v>79</v>
      </c>
      <c r="G3823">
        <f>IFERROR(HLOOKUP(G$2,[115]table_female_hkom2_inj.ill_X1!$A$1:$K$36,11,FALSE),0)</f>
        <v>0</v>
      </c>
      <c r="H3823">
        <f>IFERROR(HLOOKUP(H$2,[115]table_female_hkom2_inj.ill_X1!$A$1:$K$36,11,FALSE),0)</f>
        <v>0</v>
      </c>
      <c r="I3823">
        <f>IFERROR(HLOOKUP(I$2,[115]table_female_hkom2_inj.ill_X1!$A$1:$K$36,11,FALSE),0)</f>
        <v>0</v>
      </c>
      <c r="J3823">
        <f>IFERROR(HLOOKUP(J$2,[115]table_female_hkom2_inj.ill_X1!$A$1:$K$36,11,FALSE),0)</f>
        <v>0</v>
      </c>
      <c r="K3823">
        <f>IFERROR(HLOOKUP(K$2,[115]table_female_hkom2_inj.ill_X1!$A$1:$K$36,11,FALSE),0)</f>
        <v>0</v>
      </c>
      <c r="L3823">
        <f>IFERROR(HLOOKUP(L$2,[115]table_female_hkom2_inj.ill_X1!$A$1:$K$36,11,FALSE),0)</f>
        <v>0</v>
      </c>
      <c r="M3823">
        <f t="shared" si="1169"/>
        <v>0</v>
      </c>
      <c r="N3823"/>
      <c r="O3823"/>
      <c r="S3823" s="14" t="s">
        <v>79</v>
      </c>
      <c r="T3823" s="65">
        <f t="shared" si="1170"/>
        <v>0</v>
      </c>
      <c r="U3823" s="65">
        <f t="shared" si="1168"/>
        <v>0</v>
      </c>
      <c r="V3823" s="65">
        <f t="shared" si="1168"/>
        <v>0</v>
      </c>
      <c r="W3823" s="65">
        <f t="shared" si="1168"/>
        <v>0</v>
      </c>
      <c r="X3823" s="65">
        <f t="shared" si="1168"/>
        <v>0</v>
      </c>
      <c r="Y3823" s="65">
        <f t="shared" si="1168"/>
        <v>0</v>
      </c>
      <c r="Z3823" s="65">
        <f t="shared" si="1168"/>
        <v>0</v>
      </c>
      <c r="AA3823" s="65">
        <f t="shared" si="1168"/>
        <v>0</v>
      </c>
      <c r="AB3823" s="65">
        <f t="shared" si="1167"/>
        <v>0</v>
      </c>
    </row>
    <row r="3824" spans="1:29" s="14" customFormat="1" x14ac:dyDescent="0.25">
      <c r="D3824" s="14" t="s">
        <v>80</v>
      </c>
      <c r="G3824">
        <f>IFERROR(HLOOKUP(G$2,[115]table_female_hkom2_inj.ill_X1!$A$1:$K$36,12,FALSE),0)</f>
        <v>0</v>
      </c>
      <c r="H3824">
        <f>IFERROR(HLOOKUP(H$2,[115]table_female_hkom2_inj.ill_X1!$A$1:$K$36,12,FALSE),0)</f>
        <v>0</v>
      </c>
      <c r="I3824">
        <f>IFERROR(HLOOKUP(I$2,[115]table_female_hkom2_inj.ill_X1!$A$1:$K$36,12,FALSE),0)</f>
        <v>0</v>
      </c>
      <c r="J3824">
        <f>IFERROR(HLOOKUP(J$2,[115]table_female_hkom2_inj.ill_X1!$A$1:$K$36,12,FALSE),0)</f>
        <v>0</v>
      </c>
      <c r="K3824">
        <f>IFERROR(HLOOKUP(K$2,[115]table_female_hkom2_inj.ill_X1!$A$1:$K$36,12,FALSE),0)</f>
        <v>0</v>
      </c>
      <c r="L3824">
        <f>IFERROR(HLOOKUP(L$2,[115]table_female_hkom2_inj.ill_X1!$A$1:$K$36,12,FALSE),0)</f>
        <v>0</v>
      </c>
      <c r="M3824">
        <f t="shared" si="1169"/>
        <v>0</v>
      </c>
      <c r="N3824"/>
      <c r="O3824"/>
      <c r="S3824" s="14" t="s">
        <v>80</v>
      </c>
      <c r="T3824" s="65">
        <f t="shared" si="1170"/>
        <v>0</v>
      </c>
      <c r="U3824" s="65">
        <f t="shared" si="1168"/>
        <v>0</v>
      </c>
      <c r="V3824" s="65">
        <f t="shared" si="1168"/>
        <v>0</v>
      </c>
      <c r="W3824" s="65">
        <f t="shared" si="1168"/>
        <v>0</v>
      </c>
      <c r="X3824" s="65">
        <f t="shared" si="1168"/>
        <v>0</v>
      </c>
      <c r="Y3824" s="65">
        <f t="shared" si="1168"/>
        <v>0</v>
      </c>
      <c r="Z3824" s="65">
        <f t="shared" si="1168"/>
        <v>0</v>
      </c>
      <c r="AA3824" s="65">
        <f t="shared" si="1168"/>
        <v>0</v>
      </c>
      <c r="AB3824" s="65">
        <f t="shared" si="1167"/>
        <v>0</v>
      </c>
    </row>
    <row r="3825" spans="4:28" s="14" customFormat="1" x14ac:dyDescent="0.25">
      <c r="D3825" s="14" t="s">
        <v>81</v>
      </c>
      <c r="G3825">
        <f>IFERROR(HLOOKUP(G$2,[115]table_female_hkom2_inj.ill_X1!$A$1:$K$36,13,FALSE),0)</f>
        <v>0</v>
      </c>
      <c r="H3825">
        <f>IFERROR(HLOOKUP(H$2,[115]table_female_hkom2_inj.ill_X1!$A$1:$K$36,13,FALSE),0)</f>
        <v>0</v>
      </c>
      <c r="I3825">
        <f>IFERROR(HLOOKUP(I$2,[115]table_female_hkom2_inj.ill_X1!$A$1:$K$36,13,FALSE),0)</f>
        <v>0</v>
      </c>
      <c r="J3825">
        <f>IFERROR(HLOOKUP(J$2,[115]table_female_hkom2_inj.ill_X1!$A$1:$K$36,13,FALSE),0)</f>
        <v>0</v>
      </c>
      <c r="K3825">
        <f>IFERROR(HLOOKUP(K$2,[115]table_female_hkom2_inj.ill_X1!$A$1:$K$36,13,FALSE),0)</f>
        <v>0</v>
      </c>
      <c r="L3825">
        <f>IFERROR(HLOOKUP(L$2,[115]table_female_hkom2_inj.ill_X1!$A$1:$K$36,13,FALSE),0)</f>
        <v>0</v>
      </c>
      <c r="M3825">
        <f t="shared" si="1169"/>
        <v>0</v>
      </c>
      <c r="N3825"/>
      <c r="O3825"/>
      <c r="S3825" s="14" t="s">
        <v>81</v>
      </c>
      <c r="T3825" s="65">
        <f t="shared" si="1170"/>
        <v>0</v>
      </c>
      <c r="U3825" s="65">
        <f t="shared" si="1168"/>
        <v>0</v>
      </c>
      <c r="V3825" s="65">
        <f t="shared" si="1168"/>
        <v>0</v>
      </c>
      <c r="W3825" s="65">
        <f t="shared" si="1168"/>
        <v>0</v>
      </c>
      <c r="X3825" s="65">
        <f t="shared" si="1168"/>
        <v>0</v>
      </c>
      <c r="Y3825" s="65">
        <f t="shared" si="1168"/>
        <v>0</v>
      </c>
      <c r="Z3825" s="65">
        <f t="shared" si="1168"/>
        <v>0</v>
      </c>
      <c r="AA3825" s="65">
        <f t="shared" si="1168"/>
        <v>0</v>
      </c>
      <c r="AB3825" s="65">
        <f t="shared" si="1167"/>
        <v>0</v>
      </c>
    </row>
    <row r="3826" spans="4:28" s="14" customFormat="1" x14ac:dyDescent="0.25">
      <c r="D3826" s="14" t="s">
        <v>82</v>
      </c>
      <c r="G3826">
        <f>IFERROR(HLOOKUP(G$2,[115]table_female_hkom2_inj.ill_X1!$A$1:$K$36,14,FALSE),0)</f>
        <v>0</v>
      </c>
      <c r="H3826">
        <f>IFERROR(HLOOKUP(H$2,[115]table_female_hkom2_inj.ill_X1!$A$1:$K$36,14,FALSE),0)</f>
        <v>0</v>
      </c>
      <c r="I3826">
        <f>IFERROR(HLOOKUP(I$2,[115]table_female_hkom2_inj.ill_X1!$A$1:$K$36,14,FALSE),0)</f>
        <v>0</v>
      </c>
      <c r="J3826">
        <f>IFERROR(HLOOKUP(J$2,[115]table_female_hkom2_inj.ill_X1!$A$1:$K$36,14,FALSE),0)</f>
        <v>0</v>
      </c>
      <c r="K3826">
        <f>IFERROR(HLOOKUP(K$2,[115]table_female_hkom2_inj.ill_X1!$A$1:$K$36,14,FALSE),0)</f>
        <v>0</v>
      </c>
      <c r="L3826">
        <f>IFERROR(HLOOKUP(L$2,[115]table_female_hkom2_inj.ill_X1!$A$1:$K$36,14,FALSE),0)</f>
        <v>0</v>
      </c>
      <c r="M3826">
        <f t="shared" si="1169"/>
        <v>0</v>
      </c>
      <c r="N3826"/>
      <c r="O3826"/>
      <c r="S3826" s="14" t="s">
        <v>82</v>
      </c>
      <c r="T3826" s="65">
        <f t="shared" si="1170"/>
        <v>0</v>
      </c>
      <c r="U3826" s="65">
        <f t="shared" si="1168"/>
        <v>0</v>
      </c>
      <c r="V3826" s="65">
        <f t="shared" si="1168"/>
        <v>0</v>
      </c>
      <c r="W3826" s="65">
        <f t="shared" si="1168"/>
        <v>0</v>
      </c>
      <c r="X3826" s="65">
        <f t="shared" si="1168"/>
        <v>0</v>
      </c>
      <c r="Y3826" s="65">
        <f t="shared" si="1168"/>
        <v>0</v>
      </c>
      <c r="Z3826" s="65">
        <f t="shared" si="1168"/>
        <v>0</v>
      </c>
      <c r="AA3826" s="65">
        <f t="shared" si="1168"/>
        <v>0</v>
      </c>
      <c r="AB3826" s="65">
        <f t="shared" si="1167"/>
        <v>0</v>
      </c>
    </row>
    <row r="3827" spans="4:28" s="14" customFormat="1" x14ac:dyDescent="0.25">
      <c r="D3827" s="14" t="s">
        <v>83</v>
      </c>
      <c r="G3827">
        <f>IFERROR(HLOOKUP(G$2,[115]table_female_hkom2_inj.ill_X1!$A$1:$K$36,15,FALSE),0)</f>
        <v>0</v>
      </c>
      <c r="H3827">
        <f>IFERROR(HLOOKUP(H$2,[115]table_female_hkom2_inj.ill_X1!$A$1:$K$36,15,FALSE),0)</f>
        <v>1</v>
      </c>
      <c r="I3827">
        <f>IFERROR(HLOOKUP(I$2,[115]table_female_hkom2_inj.ill_X1!$A$1:$K$36,15,FALSE),0)</f>
        <v>0</v>
      </c>
      <c r="J3827">
        <f>IFERROR(HLOOKUP(J$2,[115]table_female_hkom2_inj.ill_X1!$A$1:$K$36,15,FALSE),0)</f>
        <v>0</v>
      </c>
      <c r="K3827">
        <f>IFERROR(HLOOKUP(K$2,[115]table_female_hkom2_inj.ill_X1!$A$1:$K$36,15,FALSE),0)</f>
        <v>0</v>
      </c>
      <c r="L3827">
        <f>IFERROR(HLOOKUP(L$2,[115]table_female_hkom2_inj.ill_X1!$A$1:$K$36,15,FALSE),0)</f>
        <v>0</v>
      </c>
      <c r="M3827">
        <f t="shared" si="1169"/>
        <v>1</v>
      </c>
      <c r="N3827"/>
      <c r="O3827"/>
      <c r="S3827" s="14" t="s">
        <v>83</v>
      </c>
      <c r="T3827" s="65">
        <f t="shared" si="1170"/>
        <v>0</v>
      </c>
      <c r="U3827" s="65">
        <f t="shared" si="1168"/>
        <v>0</v>
      </c>
      <c r="V3827" s="65">
        <f t="shared" si="1168"/>
        <v>0</v>
      </c>
      <c r="W3827" s="65">
        <f t="shared" si="1168"/>
        <v>6</v>
      </c>
      <c r="X3827" s="65">
        <f t="shared" si="1168"/>
        <v>0</v>
      </c>
      <c r="Y3827" s="65">
        <f t="shared" si="1168"/>
        <v>0</v>
      </c>
      <c r="Z3827" s="65">
        <f t="shared" si="1168"/>
        <v>0</v>
      </c>
      <c r="AA3827" s="65">
        <f t="shared" si="1168"/>
        <v>0</v>
      </c>
      <c r="AB3827" s="65">
        <f t="shared" si="1167"/>
        <v>6</v>
      </c>
    </row>
    <row r="3828" spans="4:28" s="14" customFormat="1" x14ac:dyDescent="0.25">
      <c r="D3828" s="14" t="s">
        <v>84</v>
      </c>
      <c r="G3828">
        <f>IFERROR(HLOOKUP(G$2,[115]table_female_hkom2_inj.ill_X1!$A$1:$K$36,16,FALSE),0)</f>
        <v>0</v>
      </c>
      <c r="H3828">
        <f>IFERROR(HLOOKUP(H$2,[115]table_female_hkom2_inj.ill_X1!$A$1:$K$36,16,FALSE),0)</f>
        <v>0</v>
      </c>
      <c r="I3828">
        <f>IFERROR(HLOOKUP(I$2,[115]table_female_hkom2_inj.ill_X1!$A$1:$K$36,16,FALSE),0)</f>
        <v>0</v>
      </c>
      <c r="J3828">
        <f>IFERROR(HLOOKUP(J$2,[115]table_female_hkom2_inj.ill_X1!$A$1:$K$36,16,FALSE),0)</f>
        <v>2</v>
      </c>
      <c r="K3828">
        <f>IFERROR(HLOOKUP(K$2,[115]table_female_hkom2_inj.ill_X1!$A$1:$K$36,16,FALSE),0)</f>
        <v>0</v>
      </c>
      <c r="L3828">
        <f>IFERROR(HLOOKUP(L$2,[115]table_female_hkom2_inj.ill_X1!$A$1:$K$36,16,FALSE),0)</f>
        <v>0</v>
      </c>
      <c r="M3828">
        <f t="shared" si="1169"/>
        <v>2</v>
      </c>
      <c r="N3828"/>
      <c r="O3828"/>
      <c r="S3828" s="14" t="s">
        <v>84</v>
      </c>
      <c r="T3828" s="65">
        <f t="shared" si="1170"/>
        <v>0</v>
      </c>
      <c r="U3828" s="65">
        <f t="shared" si="1168"/>
        <v>0</v>
      </c>
      <c r="V3828" s="65">
        <f t="shared" si="1168"/>
        <v>0</v>
      </c>
      <c r="W3828" s="65">
        <f t="shared" si="1168"/>
        <v>0</v>
      </c>
      <c r="X3828" s="65">
        <f t="shared" si="1168"/>
        <v>0</v>
      </c>
      <c r="Y3828" s="65">
        <f t="shared" si="1168"/>
        <v>2</v>
      </c>
      <c r="Z3828" s="65">
        <f t="shared" si="1168"/>
        <v>0</v>
      </c>
      <c r="AA3828" s="65">
        <f t="shared" si="1168"/>
        <v>0</v>
      </c>
      <c r="AB3828" s="65">
        <f t="shared" si="1167"/>
        <v>2</v>
      </c>
    </row>
    <row r="3829" spans="4:28" s="14" customFormat="1" x14ac:dyDescent="0.25">
      <c r="D3829" s="14" t="s">
        <v>85</v>
      </c>
      <c r="G3829">
        <f>IFERROR(HLOOKUP(G$2,[115]table_female_hkom2_inj.ill_X1!$A$1:$K$36,17,FALSE),0)</f>
        <v>0</v>
      </c>
      <c r="H3829">
        <f>IFERROR(HLOOKUP(H$2,[115]table_female_hkom2_inj.ill_X1!$A$1:$K$36,17,FALSE),0)</f>
        <v>0</v>
      </c>
      <c r="I3829">
        <f>IFERROR(HLOOKUP(I$2,[115]table_female_hkom2_inj.ill_X1!$A$1:$K$36,17,FALSE),0)</f>
        <v>1</v>
      </c>
      <c r="J3829">
        <f>IFERROR(HLOOKUP(J$2,[115]table_female_hkom2_inj.ill_X1!$A$1:$K$36,17,FALSE),0)</f>
        <v>0</v>
      </c>
      <c r="K3829">
        <f>IFERROR(HLOOKUP(K$2,[115]table_female_hkom2_inj.ill_X1!$A$1:$K$36,17,FALSE),0)</f>
        <v>0</v>
      </c>
      <c r="L3829">
        <f>IFERROR(HLOOKUP(L$2,[115]table_female_hkom2_inj.ill_X1!$A$1:$K$36,17,FALSE),0)</f>
        <v>0</v>
      </c>
      <c r="M3829">
        <f t="shared" si="1169"/>
        <v>1</v>
      </c>
      <c r="N3829"/>
      <c r="O3829"/>
      <c r="S3829" s="14" t="s">
        <v>85</v>
      </c>
      <c r="T3829" s="65">
        <f t="shared" si="1170"/>
        <v>0</v>
      </c>
      <c r="U3829" s="65">
        <f t="shared" si="1168"/>
        <v>0</v>
      </c>
      <c r="V3829" s="65">
        <f t="shared" si="1168"/>
        <v>0</v>
      </c>
      <c r="W3829" s="65">
        <f t="shared" si="1168"/>
        <v>0</v>
      </c>
      <c r="X3829" s="65">
        <f t="shared" si="1168"/>
        <v>3</v>
      </c>
      <c r="Y3829" s="65">
        <f t="shared" si="1168"/>
        <v>0</v>
      </c>
      <c r="Z3829" s="65">
        <f t="shared" si="1168"/>
        <v>0</v>
      </c>
      <c r="AA3829" s="65">
        <f t="shared" si="1168"/>
        <v>0</v>
      </c>
      <c r="AB3829" s="65">
        <f t="shared" si="1167"/>
        <v>3</v>
      </c>
    </row>
    <row r="3830" spans="4:28" s="14" customFormat="1" x14ac:dyDescent="0.25">
      <c r="D3830" s="14" t="s">
        <v>86</v>
      </c>
      <c r="G3830">
        <f>IFERROR(HLOOKUP(G$2,[115]table_female_hkom2_inj.ill_X1!$A$1:$K$36,18,FALSE),0)</f>
        <v>0</v>
      </c>
      <c r="H3830">
        <f>IFERROR(HLOOKUP(H$2,[115]table_female_hkom2_inj.ill_X1!$A$1:$K$36,18,FALSE),0)</f>
        <v>0</v>
      </c>
      <c r="I3830">
        <f>IFERROR(HLOOKUP(I$2,[115]table_female_hkom2_inj.ill_X1!$A$1:$K$36,18,FALSE),0)</f>
        <v>0</v>
      </c>
      <c r="J3830">
        <f>IFERROR(HLOOKUP(J$2,[115]table_female_hkom2_inj.ill_X1!$A$1:$K$36,18,FALSE),0)</f>
        <v>0</v>
      </c>
      <c r="K3830">
        <f>IFERROR(HLOOKUP(K$2,[115]table_female_hkom2_inj.ill_X1!$A$1:$K$36,18,FALSE),0)</f>
        <v>0</v>
      </c>
      <c r="L3830">
        <f>IFERROR(HLOOKUP(L$2,[115]table_female_hkom2_inj.ill_X1!$A$1:$K$36,18,FALSE),0)</f>
        <v>0</v>
      </c>
      <c r="M3830">
        <f t="shared" si="1169"/>
        <v>0</v>
      </c>
      <c r="N3830"/>
      <c r="O3830"/>
      <c r="S3830" s="14" t="s">
        <v>86</v>
      </c>
      <c r="T3830" s="65">
        <f t="shared" si="1170"/>
        <v>0</v>
      </c>
      <c r="U3830" s="65">
        <f t="shared" ref="U3830:AA3846" si="1171">IF(SUM(F$3814:F$3846)=0,F$3847/33,F3830+IFERROR(F3830/SUM(F$3814:F$3846)*F$3847,0))</f>
        <v>0</v>
      </c>
      <c r="V3830" s="65">
        <f t="shared" si="1171"/>
        <v>0</v>
      </c>
      <c r="W3830" s="65">
        <f t="shared" si="1171"/>
        <v>0</v>
      </c>
      <c r="X3830" s="65">
        <f t="shared" si="1171"/>
        <v>0</v>
      </c>
      <c r="Y3830" s="65">
        <f t="shared" si="1171"/>
        <v>0</v>
      </c>
      <c r="Z3830" s="65">
        <f t="shared" si="1171"/>
        <v>0</v>
      </c>
      <c r="AA3830" s="65">
        <f t="shared" si="1171"/>
        <v>0</v>
      </c>
      <c r="AB3830" s="65">
        <f t="shared" si="1167"/>
        <v>0</v>
      </c>
    </row>
    <row r="3831" spans="4:28" s="14" customFormat="1" x14ac:dyDescent="0.25">
      <c r="D3831" s="14" t="s">
        <v>87</v>
      </c>
      <c r="G3831">
        <f>IFERROR(HLOOKUP(G$2,[115]table_female_hkom2_inj.ill_X1!$A$1:$K$36,19,FALSE),0)</f>
        <v>0</v>
      </c>
      <c r="H3831">
        <f>IFERROR(HLOOKUP(H$2,[115]table_female_hkom2_inj.ill_X1!$A$1:$K$36,19,FALSE),0)</f>
        <v>0</v>
      </c>
      <c r="I3831">
        <f>IFERROR(HLOOKUP(I$2,[115]table_female_hkom2_inj.ill_X1!$A$1:$K$36,19,FALSE),0)</f>
        <v>1</v>
      </c>
      <c r="J3831">
        <f>IFERROR(HLOOKUP(J$2,[115]table_female_hkom2_inj.ill_X1!$A$1:$K$36,19,FALSE),0)</f>
        <v>0</v>
      </c>
      <c r="K3831">
        <f>IFERROR(HLOOKUP(K$2,[115]table_female_hkom2_inj.ill_X1!$A$1:$K$36,19,FALSE),0)</f>
        <v>0</v>
      </c>
      <c r="L3831">
        <f>IFERROR(HLOOKUP(L$2,[115]table_female_hkom2_inj.ill_X1!$A$1:$K$36,19,FALSE),0)</f>
        <v>0</v>
      </c>
      <c r="M3831">
        <f t="shared" si="1169"/>
        <v>1</v>
      </c>
      <c r="N3831"/>
      <c r="O3831"/>
      <c r="S3831" s="14" t="s">
        <v>87</v>
      </c>
      <c r="T3831" s="65">
        <f t="shared" si="1170"/>
        <v>0</v>
      </c>
      <c r="U3831" s="65">
        <f t="shared" si="1171"/>
        <v>0</v>
      </c>
      <c r="V3831" s="65">
        <f t="shared" si="1171"/>
        <v>0</v>
      </c>
      <c r="W3831" s="65">
        <f t="shared" si="1171"/>
        <v>0</v>
      </c>
      <c r="X3831" s="65">
        <f t="shared" si="1171"/>
        <v>3</v>
      </c>
      <c r="Y3831" s="65">
        <f t="shared" si="1171"/>
        <v>0</v>
      </c>
      <c r="Z3831" s="65">
        <f t="shared" si="1171"/>
        <v>0</v>
      </c>
      <c r="AA3831" s="65">
        <f t="shared" si="1171"/>
        <v>0</v>
      </c>
      <c r="AB3831" s="65">
        <f t="shared" si="1167"/>
        <v>3</v>
      </c>
    </row>
    <row r="3832" spans="4:28" s="14" customFormat="1" x14ac:dyDescent="0.25">
      <c r="D3832" s="14" t="s">
        <v>88</v>
      </c>
      <c r="G3832">
        <f>IFERROR(HLOOKUP(G$2,[115]table_female_hkom2_inj.ill_X1!$A$1:$K$36,20,FALSE),0)</f>
        <v>0</v>
      </c>
      <c r="H3832">
        <f>IFERROR(HLOOKUP(H$2,[115]table_female_hkom2_inj.ill_X1!$A$1:$K$36,20,FALSE),0)</f>
        <v>0</v>
      </c>
      <c r="I3832">
        <f>IFERROR(HLOOKUP(I$2,[115]table_female_hkom2_inj.ill_X1!$A$1:$K$36,20,FALSE),0)</f>
        <v>0</v>
      </c>
      <c r="J3832">
        <f>IFERROR(HLOOKUP(J$2,[115]table_female_hkom2_inj.ill_X1!$A$1:$K$36,20,FALSE),0)</f>
        <v>0</v>
      </c>
      <c r="K3832">
        <f>IFERROR(HLOOKUP(K$2,[115]table_female_hkom2_inj.ill_X1!$A$1:$K$36,20,FALSE),0)</f>
        <v>0</v>
      </c>
      <c r="L3832">
        <f>IFERROR(HLOOKUP(L$2,[115]table_female_hkom2_inj.ill_X1!$A$1:$K$36,20,FALSE),0)</f>
        <v>0</v>
      </c>
      <c r="M3832">
        <f t="shared" si="1169"/>
        <v>0</v>
      </c>
      <c r="N3832"/>
      <c r="O3832"/>
      <c r="S3832" s="14" t="s">
        <v>88</v>
      </c>
      <c r="T3832" s="65">
        <f t="shared" si="1170"/>
        <v>0</v>
      </c>
      <c r="U3832" s="65">
        <f t="shared" si="1171"/>
        <v>0</v>
      </c>
      <c r="V3832" s="65">
        <f t="shared" si="1171"/>
        <v>0</v>
      </c>
      <c r="W3832" s="65">
        <f t="shared" si="1171"/>
        <v>0</v>
      </c>
      <c r="X3832" s="65">
        <f t="shared" si="1171"/>
        <v>0</v>
      </c>
      <c r="Y3832" s="65">
        <f t="shared" si="1171"/>
        <v>0</v>
      </c>
      <c r="Z3832" s="65">
        <f t="shared" si="1171"/>
        <v>0</v>
      </c>
      <c r="AA3832" s="65">
        <f t="shared" si="1171"/>
        <v>0</v>
      </c>
      <c r="AB3832" s="65">
        <f t="shared" si="1167"/>
        <v>0</v>
      </c>
    </row>
    <row r="3833" spans="4:28" s="14" customFormat="1" x14ac:dyDescent="0.25">
      <c r="D3833" s="14" t="s">
        <v>89</v>
      </c>
      <c r="G3833">
        <f>IFERROR(HLOOKUP(G$2,[115]table_female_hkom2_inj.ill_X1!$A$1:$K$36,21,FALSE),0)</f>
        <v>0</v>
      </c>
      <c r="H3833">
        <f>IFERROR(HLOOKUP(H$2,[115]table_female_hkom2_inj.ill_X1!$A$1:$K$36,21,FALSE),0)</f>
        <v>0</v>
      </c>
      <c r="I3833">
        <f>IFERROR(HLOOKUP(I$2,[115]table_female_hkom2_inj.ill_X1!$A$1:$K$36,21,FALSE),0)</f>
        <v>0</v>
      </c>
      <c r="J3833">
        <f>IFERROR(HLOOKUP(J$2,[115]table_female_hkom2_inj.ill_X1!$A$1:$K$36,21,FALSE),0)</f>
        <v>0</v>
      </c>
      <c r="K3833">
        <f>IFERROR(HLOOKUP(K$2,[115]table_female_hkom2_inj.ill_X1!$A$1:$K$36,21,FALSE),0)</f>
        <v>0</v>
      </c>
      <c r="L3833">
        <f>IFERROR(HLOOKUP(L$2,[115]table_female_hkom2_inj.ill_X1!$A$1:$K$36,21,FALSE),0)</f>
        <v>0</v>
      </c>
      <c r="M3833">
        <f t="shared" si="1169"/>
        <v>0</v>
      </c>
      <c r="N3833"/>
      <c r="O3833"/>
      <c r="S3833" s="14" t="s">
        <v>89</v>
      </c>
      <c r="T3833" s="65">
        <f t="shared" si="1170"/>
        <v>0</v>
      </c>
      <c r="U3833" s="65">
        <f t="shared" si="1171"/>
        <v>0</v>
      </c>
      <c r="V3833" s="65">
        <f t="shared" si="1171"/>
        <v>0</v>
      </c>
      <c r="W3833" s="65">
        <f t="shared" si="1171"/>
        <v>0</v>
      </c>
      <c r="X3833" s="65">
        <f t="shared" si="1171"/>
        <v>0</v>
      </c>
      <c r="Y3833" s="65">
        <f t="shared" si="1171"/>
        <v>0</v>
      </c>
      <c r="Z3833" s="65">
        <f t="shared" si="1171"/>
        <v>0</v>
      </c>
      <c r="AA3833" s="65">
        <f t="shared" si="1171"/>
        <v>0</v>
      </c>
      <c r="AB3833" s="65">
        <f t="shared" si="1167"/>
        <v>0</v>
      </c>
    </row>
    <row r="3834" spans="4:28" s="14" customFormat="1" x14ac:dyDescent="0.25">
      <c r="D3834" s="14" t="s">
        <v>90</v>
      </c>
      <c r="G3834">
        <f>IFERROR(HLOOKUP(G$2,[115]table_female_hkom2_inj.ill_X1!$A$1:$K$36,22,FALSE),0)</f>
        <v>0</v>
      </c>
      <c r="H3834">
        <f>IFERROR(HLOOKUP(H$2,[115]table_female_hkom2_inj.ill_X1!$A$1:$K$36,22,FALSE),0)</f>
        <v>0</v>
      </c>
      <c r="I3834">
        <f>IFERROR(HLOOKUP(I$2,[115]table_female_hkom2_inj.ill_X1!$A$1:$K$36,22,FALSE),0)</f>
        <v>0</v>
      </c>
      <c r="J3834">
        <f>IFERROR(HLOOKUP(J$2,[115]table_female_hkom2_inj.ill_X1!$A$1:$K$36,22,FALSE),0)</f>
        <v>0</v>
      </c>
      <c r="K3834">
        <f>IFERROR(HLOOKUP(K$2,[115]table_female_hkom2_inj.ill_X1!$A$1:$K$36,22,FALSE),0)</f>
        <v>0</v>
      </c>
      <c r="L3834">
        <f>IFERROR(HLOOKUP(L$2,[115]table_female_hkom2_inj.ill_X1!$A$1:$K$36,22,FALSE),0)</f>
        <v>0</v>
      </c>
      <c r="M3834">
        <f t="shared" si="1169"/>
        <v>0</v>
      </c>
      <c r="N3834"/>
      <c r="O3834"/>
      <c r="S3834" s="14" t="s">
        <v>90</v>
      </c>
      <c r="T3834" s="65">
        <f t="shared" si="1170"/>
        <v>0</v>
      </c>
      <c r="U3834" s="65">
        <f t="shared" si="1171"/>
        <v>0</v>
      </c>
      <c r="V3834" s="65">
        <f t="shared" si="1171"/>
        <v>0</v>
      </c>
      <c r="W3834" s="65">
        <f t="shared" si="1171"/>
        <v>0</v>
      </c>
      <c r="X3834" s="65">
        <f t="shared" si="1171"/>
        <v>0</v>
      </c>
      <c r="Y3834" s="65">
        <f t="shared" si="1171"/>
        <v>0</v>
      </c>
      <c r="Z3834" s="65">
        <f t="shared" si="1171"/>
        <v>0</v>
      </c>
      <c r="AA3834" s="65">
        <f t="shared" si="1171"/>
        <v>0</v>
      </c>
      <c r="AB3834" s="65">
        <f t="shared" si="1167"/>
        <v>0</v>
      </c>
    </row>
    <row r="3835" spans="4:28" s="14" customFormat="1" x14ac:dyDescent="0.25">
      <c r="D3835" s="14" t="s">
        <v>91</v>
      </c>
      <c r="G3835">
        <f>IFERROR(HLOOKUP(G$2,[115]table_female_hkom2_inj.ill_X1!$A$1:$K$36,23,FALSE),0)</f>
        <v>0</v>
      </c>
      <c r="H3835">
        <f>IFERROR(HLOOKUP(H$2,[115]table_female_hkom2_inj.ill_X1!$A$1:$K$36,23,FALSE),0)</f>
        <v>0</v>
      </c>
      <c r="I3835">
        <f>IFERROR(HLOOKUP(I$2,[115]table_female_hkom2_inj.ill_X1!$A$1:$K$36,23,FALSE),0)</f>
        <v>0</v>
      </c>
      <c r="J3835">
        <f>IFERROR(HLOOKUP(J$2,[115]table_female_hkom2_inj.ill_X1!$A$1:$K$36,23,FALSE),0)</f>
        <v>0</v>
      </c>
      <c r="K3835">
        <f>IFERROR(HLOOKUP(K$2,[115]table_female_hkom2_inj.ill_X1!$A$1:$K$36,23,FALSE),0)</f>
        <v>0</v>
      </c>
      <c r="L3835">
        <f>IFERROR(HLOOKUP(L$2,[115]table_female_hkom2_inj.ill_X1!$A$1:$K$36,23,FALSE),0)</f>
        <v>0</v>
      </c>
      <c r="M3835">
        <f t="shared" si="1169"/>
        <v>0</v>
      </c>
      <c r="N3835"/>
      <c r="O3835"/>
      <c r="S3835" s="14" t="s">
        <v>91</v>
      </c>
      <c r="T3835" s="65">
        <f t="shared" si="1170"/>
        <v>0</v>
      </c>
      <c r="U3835" s="65">
        <f t="shared" si="1171"/>
        <v>0</v>
      </c>
      <c r="V3835" s="65">
        <f t="shared" si="1171"/>
        <v>0</v>
      </c>
      <c r="W3835" s="65">
        <f t="shared" si="1171"/>
        <v>0</v>
      </c>
      <c r="X3835" s="65">
        <f t="shared" si="1171"/>
        <v>0</v>
      </c>
      <c r="Y3835" s="65">
        <f t="shared" si="1171"/>
        <v>0</v>
      </c>
      <c r="Z3835" s="65">
        <f t="shared" si="1171"/>
        <v>0</v>
      </c>
      <c r="AA3835" s="65">
        <f t="shared" si="1171"/>
        <v>0</v>
      </c>
      <c r="AB3835" s="65">
        <f t="shared" si="1167"/>
        <v>0</v>
      </c>
    </row>
    <row r="3836" spans="4:28" s="14" customFormat="1" x14ac:dyDescent="0.25">
      <c r="D3836" s="14" t="s">
        <v>92</v>
      </c>
      <c r="G3836">
        <f>IFERROR(HLOOKUP(G$2,[115]table_female_hkom2_inj.ill_X1!$A$1:$K$36,24,FALSE),0)</f>
        <v>0</v>
      </c>
      <c r="H3836">
        <f>IFERROR(HLOOKUP(H$2,[115]table_female_hkom2_inj.ill_X1!$A$1:$K$36,24,FALSE),0)</f>
        <v>0</v>
      </c>
      <c r="I3836">
        <f>IFERROR(HLOOKUP(I$2,[115]table_female_hkom2_inj.ill_X1!$A$1:$K$36,24,FALSE),0)</f>
        <v>0</v>
      </c>
      <c r="J3836">
        <f>IFERROR(HLOOKUP(J$2,[115]table_female_hkom2_inj.ill_X1!$A$1:$K$36,24,FALSE),0)</f>
        <v>0</v>
      </c>
      <c r="K3836">
        <f>IFERROR(HLOOKUP(K$2,[115]table_female_hkom2_inj.ill_X1!$A$1:$K$36,24,FALSE),0)</f>
        <v>0</v>
      </c>
      <c r="L3836">
        <f>IFERROR(HLOOKUP(L$2,[115]table_female_hkom2_inj.ill_X1!$A$1:$K$36,24,FALSE),0)</f>
        <v>0</v>
      </c>
      <c r="M3836">
        <f t="shared" si="1169"/>
        <v>0</v>
      </c>
      <c r="N3836"/>
      <c r="O3836"/>
      <c r="S3836" s="14" t="s">
        <v>92</v>
      </c>
      <c r="T3836" s="65">
        <f t="shared" si="1170"/>
        <v>0</v>
      </c>
      <c r="U3836" s="65">
        <f t="shared" si="1171"/>
        <v>0</v>
      </c>
      <c r="V3836" s="65">
        <f t="shared" si="1171"/>
        <v>0</v>
      </c>
      <c r="W3836" s="65">
        <f t="shared" si="1171"/>
        <v>0</v>
      </c>
      <c r="X3836" s="65">
        <f t="shared" si="1171"/>
        <v>0</v>
      </c>
      <c r="Y3836" s="65">
        <f t="shared" si="1171"/>
        <v>0</v>
      </c>
      <c r="Z3836" s="65">
        <f t="shared" si="1171"/>
        <v>0</v>
      </c>
      <c r="AA3836" s="65">
        <f t="shared" si="1171"/>
        <v>0</v>
      </c>
      <c r="AB3836" s="65">
        <f t="shared" si="1167"/>
        <v>0</v>
      </c>
    </row>
    <row r="3837" spans="4:28" s="14" customFormat="1" x14ac:dyDescent="0.25">
      <c r="D3837" s="14" t="s">
        <v>93</v>
      </c>
      <c r="G3837">
        <f>IFERROR(HLOOKUP(G$2,[115]table_female_hkom2_inj.ill_X1!$A$1:$K$36,25,FALSE),0)</f>
        <v>0</v>
      </c>
      <c r="H3837">
        <f>IFERROR(HLOOKUP(H$2,[115]table_female_hkom2_inj.ill_X1!$A$1:$K$36,25,FALSE),0)</f>
        <v>0</v>
      </c>
      <c r="I3837">
        <f>IFERROR(HLOOKUP(I$2,[115]table_female_hkom2_inj.ill_X1!$A$1:$K$36,25,FALSE),0)</f>
        <v>0</v>
      </c>
      <c r="J3837">
        <f>IFERROR(HLOOKUP(J$2,[115]table_female_hkom2_inj.ill_X1!$A$1:$K$36,25,FALSE),0)</f>
        <v>0</v>
      </c>
      <c r="K3837">
        <f>IFERROR(HLOOKUP(K$2,[115]table_female_hkom2_inj.ill_X1!$A$1:$K$36,25,FALSE),0)</f>
        <v>0</v>
      </c>
      <c r="L3837">
        <f>IFERROR(HLOOKUP(L$2,[115]table_female_hkom2_inj.ill_X1!$A$1:$K$36,25,FALSE),0)</f>
        <v>0</v>
      </c>
      <c r="M3837">
        <f t="shared" si="1169"/>
        <v>0</v>
      </c>
      <c r="N3837"/>
      <c r="O3837"/>
      <c r="S3837" s="14" t="s">
        <v>93</v>
      </c>
      <c r="T3837" s="65">
        <f t="shared" si="1170"/>
        <v>0</v>
      </c>
      <c r="U3837" s="65">
        <f t="shared" si="1171"/>
        <v>0</v>
      </c>
      <c r="V3837" s="65">
        <f t="shared" si="1171"/>
        <v>0</v>
      </c>
      <c r="W3837" s="65">
        <f t="shared" si="1171"/>
        <v>0</v>
      </c>
      <c r="X3837" s="65">
        <f t="shared" si="1171"/>
        <v>0</v>
      </c>
      <c r="Y3837" s="65">
        <f t="shared" si="1171"/>
        <v>0</v>
      </c>
      <c r="Z3837" s="65">
        <f t="shared" si="1171"/>
        <v>0</v>
      </c>
      <c r="AA3837" s="65">
        <f t="shared" si="1171"/>
        <v>0</v>
      </c>
      <c r="AB3837" s="65">
        <f t="shared" si="1167"/>
        <v>0</v>
      </c>
    </row>
    <row r="3838" spans="4:28" s="14" customFormat="1" x14ac:dyDescent="0.25">
      <c r="D3838" s="14" t="s">
        <v>94</v>
      </c>
      <c r="G3838">
        <f>IFERROR(HLOOKUP(G$2,[115]table_female_hkom2_inj.ill_X1!$A$1:$K$36,26,FALSE),0)</f>
        <v>0</v>
      </c>
      <c r="H3838">
        <f>IFERROR(HLOOKUP(H$2,[115]table_female_hkom2_inj.ill_X1!$A$1:$K$36,26,FALSE),0)</f>
        <v>0</v>
      </c>
      <c r="I3838">
        <f>IFERROR(HLOOKUP(I$2,[115]table_female_hkom2_inj.ill_X1!$A$1:$K$36,26,FALSE),0)</f>
        <v>0</v>
      </c>
      <c r="J3838">
        <f>IFERROR(HLOOKUP(J$2,[115]table_female_hkom2_inj.ill_X1!$A$1:$K$36,26,FALSE),0)</f>
        <v>0</v>
      </c>
      <c r="K3838">
        <f>IFERROR(HLOOKUP(K$2,[115]table_female_hkom2_inj.ill_X1!$A$1:$K$36,26,FALSE),0)</f>
        <v>0</v>
      </c>
      <c r="L3838">
        <f>IFERROR(HLOOKUP(L$2,[115]table_female_hkom2_inj.ill_X1!$A$1:$K$36,26,FALSE),0)</f>
        <v>0</v>
      </c>
      <c r="M3838">
        <f t="shared" si="1169"/>
        <v>0</v>
      </c>
      <c r="N3838"/>
      <c r="O3838"/>
      <c r="S3838" s="14" t="s">
        <v>94</v>
      </c>
      <c r="T3838" s="65">
        <f t="shared" si="1170"/>
        <v>0</v>
      </c>
      <c r="U3838" s="65">
        <f t="shared" si="1171"/>
        <v>0</v>
      </c>
      <c r="V3838" s="65">
        <f t="shared" si="1171"/>
        <v>0</v>
      </c>
      <c r="W3838" s="65">
        <f t="shared" si="1171"/>
        <v>0</v>
      </c>
      <c r="X3838" s="65">
        <f t="shared" si="1171"/>
        <v>0</v>
      </c>
      <c r="Y3838" s="65">
        <f t="shared" si="1171"/>
        <v>0</v>
      </c>
      <c r="Z3838" s="65">
        <f t="shared" si="1171"/>
        <v>0</v>
      </c>
      <c r="AA3838" s="65">
        <f t="shared" si="1171"/>
        <v>0</v>
      </c>
      <c r="AB3838" s="65">
        <f t="shared" si="1167"/>
        <v>0</v>
      </c>
    </row>
    <row r="3839" spans="4:28" s="14" customFormat="1" x14ac:dyDescent="0.25">
      <c r="D3839" s="14" t="s">
        <v>95</v>
      </c>
      <c r="G3839">
        <f>IFERROR(HLOOKUP(G$2,[115]table_female_hkom2_inj.ill_X1!$A$1:$K$36,27,FALSE),0)</f>
        <v>0</v>
      </c>
      <c r="H3839">
        <f>IFERROR(HLOOKUP(H$2,[115]table_female_hkom2_inj.ill_X1!$A$1:$K$36,27,FALSE),0)</f>
        <v>0</v>
      </c>
      <c r="I3839">
        <f>IFERROR(HLOOKUP(I$2,[115]table_female_hkom2_inj.ill_X1!$A$1:$K$36,27,FALSE),0)</f>
        <v>0</v>
      </c>
      <c r="J3839">
        <f>IFERROR(HLOOKUP(J$2,[115]table_female_hkom2_inj.ill_X1!$A$1:$K$36,27,FALSE),0)</f>
        <v>0</v>
      </c>
      <c r="K3839">
        <f>IFERROR(HLOOKUP(K$2,[115]table_female_hkom2_inj.ill_X1!$A$1:$K$36,27,FALSE),0)</f>
        <v>0</v>
      </c>
      <c r="L3839">
        <f>IFERROR(HLOOKUP(L$2,[115]table_female_hkom2_inj.ill_X1!$A$1:$K$36,27,FALSE),0)</f>
        <v>0</v>
      </c>
      <c r="M3839">
        <f t="shared" si="1169"/>
        <v>0</v>
      </c>
      <c r="N3839"/>
      <c r="O3839"/>
      <c r="S3839" s="14" t="s">
        <v>95</v>
      </c>
      <c r="T3839" s="65">
        <f t="shared" si="1170"/>
        <v>0</v>
      </c>
      <c r="U3839" s="65">
        <f t="shared" si="1171"/>
        <v>0</v>
      </c>
      <c r="V3839" s="65">
        <f t="shared" si="1171"/>
        <v>0</v>
      </c>
      <c r="W3839" s="65">
        <f t="shared" si="1171"/>
        <v>0</v>
      </c>
      <c r="X3839" s="65">
        <f t="shared" si="1171"/>
        <v>0</v>
      </c>
      <c r="Y3839" s="65">
        <f t="shared" si="1171"/>
        <v>0</v>
      </c>
      <c r="Z3839" s="65">
        <f t="shared" si="1171"/>
        <v>0</v>
      </c>
      <c r="AA3839" s="65">
        <f t="shared" si="1171"/>
        <v>0</v>
      </c>
      <c r="AB3839" s="65">
        <f t="shared" si="1167"/>
        <v>0</v>
      </c>
    </row>
    <row r="3840" spans="4:28" s="14" customFormat="1" x14ac:dyDescent="0.25">
      <c r="D3840" s="14" t="s">
        <v>96</v>
      </c>
      <c r="G3840">
        <f>IFERROR(HLOOKUP(G$2,[115]table_female_hkom2_inj.ill_X1!$A$1:$K$36,28,FALSE),0)</f>
        <v>0</v>
      </c>
      <c r="H3840">
        <f>IFERROR(HLOOKUP(H$2,[115]table_female_hkom2_inj.ill_X1!$A$1:$K$36,28,FALSE),0)</f>
        <v>0</v>
      </c>
      <c r="I3840">
        <f>IFERROR(HLOOKUP(I$2,[115]table_female_hkom2_inj.ill_X1!$A$1:$K$36,28,FALSE),0)</f>
        <v>0</v>
      </c>
      <c r="J3840">
        <f>IFERROR(HLOOKUP(J$2,[115]table_female_hkom2_inj.ill_X1!$A$1:$K$36,28,FALSE),0)</f>
        <v>0</v>
      </c>
      <c r="K3840">
        <f>IFERROR(HLOOKUP(K$2,[115]table_female_hkom2_inj.ill_X1!$A$1:$K$36,28,FALSE),0)</f>
        <v>0</v>
      </c>
      <c r="L3840">
        <f>IFERROR(HLOOKUP(L$2,[115]table_female_hkom2_inj.ill_X1!$A$1:$K$36,28,FALSE),0)</f>
        <v>0</v>
      </c>
      <c r="M3840">
        <f t="shared" si="1169"/>
        <v>0</v>
      </c>
      <c r="N3840"/>
      <c r="O3840"/>
      <c r="S3840" s="14" t="s">
        <v>96</v>
      </c>
      <c r="T3840" s="65">
        <f t="shared" si="1170"/>
        <v>0</v>
      </c>
      <c r="U3840" s="65">
        <f t="shared" si="1171"/>
        <v>0</v>
      </c>
      <c r="V3840" s="65">
        <f t="shared" si="1171"/>
        <v>0</v>
      </c>
      <c r="W3840" s="65">
        <f t="shared" si="1171"/>
        <v>0</v>
      </c>
      <c r="X3840" s="65">
        <f t="shared" si="1171"/>
        <v>0</v>
      </c>
      <c r="Y3840" s="65">
        <f t="shared" si="1171"/>
        <v>0</v>
      </c>
      <c r="Z3840" s="65">
        <f t="shared" si="1171"/>
        <v>0</v>
      </c>
      <c r="AA3840" s="65">
        <f t="shared" si="1171"/>
        <v>0</v>
      </c>
      <c r="AB3840" s="65">
        <f t="shared" si="1167"/>
        <v>0</v>
      </c>
    </row>
    <row r="3841" spans="1:29" s="14" customFormat="1" x14ac:dyDescent="0.25">
      <c r="D3841" s="14" t="s">
        <v>97</v>
      </c>
      <c r="G3841">
        <f>IFERROR(HLOOKUP(G$2,[115]table_female_hkom2_inj.ill_X1!$A$1:$K$36,29,FALSE),0)</f>
        <v>0</v>
      </c>
      <c r="H3841">
        <f>IFERROR(HLOOKUP(H$2,[115]table_female_hkom2_inj.ill_X1!$A$1:$K$36,29,FALSE),0)</f>
        <v>0</v>
      </c>
      <c r="I3841">
        <f>IFERROR(HLOOKUP(I$2,[115]table_female_hkom2_inj.ill_X1!$A$1:$K$36,29,FALSE),0)</f>
        <v>0</v>
      </c>
      <c r="J3841">
        <f>IFERROR(HLOOKUP(J$2,[115]table_female_hkom2_inj.ill_X1!$A$1:$K$36,29,FALSE),0)</f>
        <v>0</v>
      </c>
      <c r="K3841">
        <f>IFERROR(HLOOKUP(K$2,[115]table_female_hkom2_inj.ill_X1!$A$1:$K$36,29,FALSE),0)</f>
        <v>0</v>
      </c>
      <c r="L3841">
        <f>IFERROR(HLOOKUP(L$2,[115]table_female_hkom2_inj.ill_X1!$A$1:$K$36,29,FALSE),0)</f>
        <v>0</v>
      </c>
      <c r="M3841">
        <f t="shared" si="1169"/>
        <v>0</v>
      </c>
      <c r="N3841"/>
      <c r="O3841"/>
      <c r="S3841" s="14" t="s">
        <v>97</v>
      </c>
      <c r="T3841" s="65">
        <f t="shared" si="1170"/>
        <v>0</v>
      </c>
      <c r="U3841" s="65">
        <f t="shared" si="1171"/>
        <v>0</v>
      </c>
      <c r="V3841" s="65">
        <f t="shared" si="1171"/>
        <v>0</v>
      </c>
      <c r="W3841" s="65">
        <f t="shared" si="1171"/>
        <v>0</v>
      </c>
      <c r="X3841" s="65">
        <f t="shared" si="1171"/>
        <v>0</v>
      </c>
      <c r="Y3841" s="65">
        <f t="shared" si="1171"/>
        <v>0</v>
      </c>
      <c r="Z3841" s="65">
        <f t="shared" si="1171"/>
        <v>0</v>
      </c>
      <c r="AA3841" s="65">
        <f t="shared" si="1171"/>
        <v>0</v>
      </c>
      <c r="AB3841" s="65">
        <f t="shared" si="1167"/>
        <v>0</v>
      </c>
    </row>
    <row r="3842" spans="1:29" s="14" customFormat="1" x14ac:dyDescent="0.25">
      <c r="D3842" s="14" t="s">
        <v>98</v>
      </c>
      <c r="G3842">
        <f>IFERROR(HLOOKUP(G$2,[115]table_female_hkom2_inj.ill_X1!$A$1:$K$36,30,FALSE),0)</f>
        <v>0</v>
      </c>
      <c r="H3842">
        <f>IFERROR(HLOOKUP(H$2,[115]table_female_hkom2_inj.ill_X1!$A$1:$K$36,30,FALSE),0)</f>
        <v>0</v>
      </c>
      <c r="I3842">
        <f>IFERROR(HLOOKUP(I$2,[115]table_female_hkom2_inj.ill_X1!$A$1:$K$36,30,FALSE),0)</f>
        <v>0</v>
      </c>
      <c r="J3842">
        <f>IFERROR(HLOOKUP(J$2,[115]table_female_hkom2_inj.ill_X1!$A$1:$K$36,30,FALSE),0)</f>
        <v>0</v>
      </c>
      <c r="K3842">
        <f>IFERROR(HLOOKUP(K$2,[115]table_female_hkom2_inj.ill_X1!$A$1:$K$36,30,FALSE),0)</f>
        <v>0</v>
      </c>
      <c r="L3842">
        <f>IFERROR(HLOOKUP(L$2,[115]table_female_hkom2_inj.ill_X1!$A$1:$K$36,30,FALSE),0)</f>
        <v>0</v>
      </c>
      <c r="M3842">
        <f t="shared" si="1169"/>
        <v>0</v>
      </c>
      <c r="N3842"/>
      <c r="O3842"/>
      <c r="S3842" s="14" t="s">
        <v>98</v>
      </c>
      <c r="T3842" s="65">
        <f t="shared" si="1170"/>
        <v>0</v>
      </c>
      <c r="U3842" s="65">
        <f t="shared" si="1171"/>
        <v>0</v>
      </c>
      <c r="V3842" s="65">
        <f t="shared" si="1171"/>
        <v>0</v>
      </c>
      <c r="W3842" s="65">
        <f t="shared" si="1171"/>
        <v>0</v>
      </c>
      <c r="X3842" s="65">
        <f t="shared" si="1171"/>
        <v>0</v>
      </c>
      <c r="Y3842" s="65">
        <f t="shared" si="1171"/>
        <v>0</v>
      </c>
      <c r="Z3842" s="65">
        <f t="shared" si="1171"/>
        <v>0</v>
      </c>
      <c r="AA3842" s="65">
        <f t="shared" si="1171"/>
        <v>0</v>
      </c>
      <c r="AB3842" s="65">
        <f t="shared" si="1167"/>
        <v>0</v>
      </c>
    </row>
    <row r="3843" spans="1:29" s="14" customFormat="1" x14ac:dyDescent="0.25">
      <c r="D3843" s="14" t="s">
        <v>119</v>
      </c>
      <c r="G3843">
        <f>IFERROR(HLOOKUP(G$2,[115]table_female_hkom2_inj.ill_X1!$A$1:$K$36,31,FALSE),0)</f>
        <v>0</v>
      </c>
      <c r="H3843">
        <f>IFERROR(HLOOKUP(H$2,[115]table_female_hkom2_inj.ill_X1!$A$1:$K$36,31,FALSE),0)</f>
        <v>0</v>
      </c>
      <c r="I3843">
        <f>IFERROR(HLOOKUP(I$2,[115]table_female_hkom2_inj.ill_X1!$A$1:$K$36,31,FALSE),0)</f>
        <v>0</v>
      </c>
      <c r="J3843">
        <f>IFERROR(HLOOKUP(J$2,[115]table_female_hkom2_inj.ill_X1!$A$1:$K$36,31,FALSE),0)</f>
        <v>0</v>
      </c>
      <c r="K3843">
        <f>IFERROR(HLOOKUP(K$2,[115]table_female_hkom2_inj.ill_X1!$A$1:$K$36,31,FALSE),0)</f>
        <v>0</v>
      </c>
      <c r="L3843">
        <f>IFERROR(HLOOKUP(L$2,[115]table_female_hkom2_inj.ill_X1!$A$1:$K$36,31,FALSE),0)</f>
        <v>0</v>
      </c>
      <c r="M3843">
        <f t="shared" si="1169"/>
        <v>0</v>
      </c>
      <c r="N3843"/>
      <c r="O3843"/>
      <c r="S3843" s="14" t="s">
        <v>119</v>
      </c>
      <c r="T3843" s="65">
        <f t="shared" si="1170"/>
        <v>0</v>
      </c>
      <c r="U3843" s="65">
        <f t="shared" si="1171"/>
        <v>0</v>
      </c>
      <c r="V3843" s="65">
        <f t="shared" si="1171"/>
        <v>0</v>
      </c>
      <c r="W3843" s="65">
        <f t="shared" si="1171"/>
        <v>0</v>
      </c>
      <c r="X3843" s="65">
        <f t="shared" si="1171"/>
        <v>0</v>
      </c>
      <c r="Y3843" s="65">
        <f t="shared" si="1171"/>
        <v>0</v>
      </c>
      <c r="Z3843" s="65">
        <f t="shared" si="1171"/>
        <v>0</v>
      </c>
      <c r="AA3843" s="65">
        <f t="shared" si="1171"/>
        <v>0</v>
      </c>
      <c r="AB3843" s="65">
        <f t="shared" si="1167"/>
        <v>0</v>
      </c>
    </row>
    <row r="3844" spans="1:29" s="14" customFormat="1" x14ac:dyDescent="0.25">
      <c r="D3844" s="14" t="s">
        <v>99</v>
      </c>
      <c r="G3844">
        <f>IFERROR(HLOOKUP(G$2,[115]table_female_hkom2_inj.ill_X1!$A$1:$K$36,32,FALSE),0)</f>
        <v>0</v>
      </c>
      <c r="H3844">
        <f>IFERROR(HLOOKUP(H$2,[115]table_female_hkom2_inj.ill_X1!$A$1:$K$36,32,FALSE),0)</f>
        <v>0</v>
      </c>
      <c r="I3844">
        <f>IFERROR(HLOOKUP(I$2,[115]table_female_hkom2_inj.ill_X1!$A$1:$K$36,32,FALSE),0)</f>
        <v>0</v>
      </c>
      <c r="J3844">
        <f>IFERROR(HLOOKUP(J$2,[115]table_female_hkom2_inj.ill_X1!$A$1:$K$36,32,FALSE),0)</f>
        <v>0</v>
      </c>
      <c r="K3844">
        <f>IFERROR(HLOOKUP(K$2,[115]table_female_hkom2_inj.ill_X1!$A$1:$K$36,32,FALSE),0)</f>
        <v>0</v>
      </c>
      <c r="L3844">
        <f>IFERROR(HLOOKUP(L$2,[115]table_female_hkom2_inj.ill_X1!$A$1:$K$36,32,FALSE),0)</f>
        <v>0</v>
      </c>
      <c r="M3844">
        <f t="shared" si="1169"/>
        <v>0</v>
      </c>
      <c r="N3844"/>
      <c r="O3844"/>
      <c r="S3844" s="14" t="s">
        <v>99</v>
      </c>
      <c r="T3844" s="65">
        <f t="shared" si="1170"/>
        <v>0</v>
      </c>
      <c r="U3844" s="65">
        <f t="shared" si="1171"/>
        <v>0</v>
      </c>
      <c r="V3844" s="65">
        <f t="shared" si="1171"/>
        <v>0</v>
      </c>
      <c r="W3844" s="65">
        <f t="shared" si="1171"/>
        <v>0</v>
      </c>
      <c r="X3844" s="65">
        <f t="shared" si="1171"/>
        <v>0</v>
      </c>
      <c r="Y3844" s="65">
        <f t="shared" si="1171"/>
        <v>0</v>
      </c>
      <c r="Z3844" s="65">
        <f t="shared" si="1171"/>
        <v>0</v>
      </c>
      <c r="AA3844" s="65">
        <f t="shared" si="1171"/>
        <v>0</v>
      </c>
      <c r="AB3844" s="65">
        <f t="shared" si="1167"/>
        <v>0</v>
      </c>
    </row>
    <row r="3845" spans="1:29" s="14" customFormat="1" x14ac:dyDescent="0.25">
      <c r="D3845" s="14" t="s">
        <v>100</v>
      </c>
      <c r="G3845">
        <f>IFERROR(HLOOKUP(G$2,[115]table_female_hkom2_inj.ill_X1!$A$1:$K$36,33,FALSE),0)</f>
        <v>0</v>
      </c>
      <c r="H3845">
        <f>IFERROR(HLOOKUP(H$2,[115]table_female_hkom2_inj.ill_X1!$A$1:$K$36,33,FALSE),0)</f>
        <v>0</v>
      </c>
      <c r="I3845">
        <f>IFERROR(HLOOKUP(I$2,[115]table_female_hkom2_inj.ill_X1!$A$1:$K$36,33,FALSE),0)</f>
        <v>0</v>
      </c>
      <c r="J3845">
        <f>IFERROR(HLOOKUP(J$2,[115]table_female_hkom2_inj.ill_X1!$A$1:$K$36,33,FALSE),0)</f>
        <v>0</v>
      </c>
      <c r="K3845">
        <f>IFERROR(HLOOKUP(K$2,[115]table_female_hkom2_inj.ill_X1!$A$1:$K$36,33,FALSE),0)</f>
        <v>0</v>
      </c>
      <c r="L3845">
        <f>IFERROR(HLOOKUP(L$2,[115]table_female_hkom2_inj.ill_X1!$A$1:$K$36,33,FALSE),0)</f>
        <v>0</v>
      </c>
      <c r="M3845">
        <f t="shared" si="1169"/>
        <v>0</v>
      </c>
      <c r="N3845"/>
      <c r="O3845"/>
      <c r="S3845" s="14" t="s">
        <v>100</v>
      </c>
      <c r="T3845" s="65">
        <f t="shared" si="1170"/>
        <v>0</v>
      </c>
      <c r="U3845" s="65">
        <f t="shared" si="1171"/>
        <v>0</v>
      </c>
      <c r="V3845" s="65">
        <f t="shared" si="1171"/>
        <v>0</v>
      </c>
      <c r="W3845" s="65">
        <f t="shared" si="1171"/>
        <v>0</v>
      </c>
      <c r="X3845" s="65">
        <f t="shared" si="1171"/>
        <v>0</v>
      </c>
      <c r="Y3845" s="65">
        <f t="shared" si="1171"/>
        <v>0</v>
      </c>
      <c r="Z3845" s="65">
        <f t="shared" si="1171"/>
        <v>0</v>
      </c>
      <c r="AA3845" s="65">
        <f t="shared" si="1171"/>
        <v>0</v>
      </c>
      <c r="AB3845" s="65">
        <f t="shared" si="1167"/>
        <v>0</v>
      </c>
    </row>
    <row r="3846" spans="1:29" s="14" customFormat="1" x14ac:dyDescent="0.25">
      <c r="D3846" s="14" t="s">
        <v>101</v>
      </c>
      <c r="G3846">
        <f>IFERROR(HLOOKUP(G$2,[115]table_female_hkom2_inj.ill_X1!$A$1:$K$36,34,FALSE),0)</f>
        <v>0</v>
      </c>
      <c r="H3846">
        <f>IFERROR(HLOOKUP(H$2,[115]table_female_hkom2_inj.ill_X1!$A$1:$K$36,34,FALSE),0)</f>
        <v>0</v>
      </c>
      <c r="I3846">
        <f>IFERROR(HLOOKUP(I$2,[115]table_female_hkom2_inj.ill_X1!$A$1:$K$36,34,FALSE),0)</f>
        <v>0</v>
      </c>
      <c r="J3846">
        <f>IFERROR(HLOOKUP(J$2,[115]table_female_hkom2_inj.ill_X1!$A$1:$K$36,34,FALSE),0)</f>
        <v>0</v>
      </c>
      <c r="K3846">
        <f>IFERROR(HLOOKUP(K$2,[115]table_female_hkom2_inj.ill_X1!$A$1:$K$36,34,FALSE),0)</f>
        <v>0</v>
      </c>
      <c r="L3846">
        <f>IFERROR(HLOOKUP(L$2,[115]table_female_hkom2_inj.ill_X1!$A$1:$K$36,34,FALSE),0)</f>
        <v>0</v>
      </c>
      <c r="M3846">
        <f t="shared" si="1169"/>
        <v>0</v>
      </c>
      <c r="N3846"/>
      <c r="O3846"/>
      <c r="S3846" s="14" t="s">
        <v>101</v>
      </c>
      <c r="T3846" s="65">
        <f t="shared" si="1170"/>
        <v>0</v>
      </c>
      <c r="U3846" s="65">
        <f t="shared" si="1171"/>
        <v>0</v>
      </c>
      <c r="V3846" s="65">
        <f t="shared" si="1171"/>
        <v>0</v>
      </c>
      <c r="W3846" s="65">
        <f t="shared" si="1171"/>
        <v>0</v>
      </c>
      <c r="X3846" s="65">
        <f t="shared" si="1171"/>
        <v>0</v>
      </c>
      <c r="Y3846" s="65">
        <f t="shared" si="1171"/>
        <v>0</v>
      </c>
      <c r="Z3846" s="65">
        <f t="shared" si="1171"/>
        <v>0</v>
      </c>
      <c r="AA3846" s="65">
        <f t="shared" si="1171"/>
        <v>0</v>
      </c>
      <c r="AB3846" s="65">
        <f t="shared" si="1167"/>
        <v>0</v>
      </c>
    </row>
    <row r="3847" spans="1:29" s="14" customFormat="1" x14ac:dyDescent="0.25">
      <c r="D3847" s="14" t="s">
        <v>102</v>
      </c>
      <c r="G3847">
        <f>IFERROR(HLOOKUP(G$2,[115]table_female_hkom2_inj.ill_X1!$A$1:$K$36,35,FALSE),0)</f>
        <v>0</v>
      </c>
      <c r="H3847">
        <f>IFERROR(HLOOKUP(H$2,[115]table_female_hkom2_inj.ill_X1!$A$1:$K$36,35,FALSE),0)</f>
        <v>10</v>
      </c>
      <c r="I3847">
        <f>IFERROR(HLOOKUP(I$2,[115]table_female_hkom2_inj.ill_X1!$A$1:$K$36,35,FALSE),0)</f>
        <v>4</v>
      </c>
      <c r="J3847">
        <f>IFERROR(HLOOKUP(J$2,[115]table_female_hkom2_inj.ill_X1!$A$1:$K$36,35,FALSE),0)</f>
        <v>0</v>
      </c>
      <c r="K3847">
        <f>IFERROR(HLOOKUP(K$2,[115]table_female_hkom2_inj.ill_X1!$A$1:$K$36,35,FALSE),0)</f>
        <v>0</v>
      </c>
      <c r="L3847">
        <f>IFERROR(HLOOKUP(L$2,[115]table_female_hkom2_inj.ill_X1!$A$1:$K$36,35,FALSE),0)</f>
        <v>0</v>
      </c>
      <c r="M3847">
        <f t="shared" si="1169"/>
        <v>14</v>
      </c>
      <c r="N3847">
        <f>SUM(M3814:M3847)</f>
        <v>20</v>
      </c>
      <c r="O3847" s="8">
        <f>SUM([115]table_female_hkom2_inj.ill_X1!$B$2:$L$37)</f>
        <v>20</v>
      </c>
      <c r="S3847" s="14" t="s">
        <v>102</v>
      </c>
      <c r="T3847" s="66"/>
      <c r="U3847" s="66"/>
      <c r="V3847" s="66"/>
      <c r="W3847" s="66"/>
      <c r="X3847" s="66"/>
      <c r="Y3847" s="66"/>
      <c r="Z3847" s="66"/>
      <c r="AA3847" s="66"/>
      <c r="AB3847" s="65">
        <f t="shared" si="1167"/>
        <v>0</v>
      </c>
      <c r="AC3847" s="65">
        <f>SUM(AB3814:AB3846)</f>
        <v>20</v>
      </c>
    </row>
    <row r="3848" spans="1:29" s="14" customFormat="1" x14ac:dyDescent="0.25">
      <c r="A3848" s="14" t="s">
        <v>115</v>
      </c>
      <c r="B3848" s="14" t="s">
        <v>117</v>
      </c>
      <c r="C3848" s="14" t="s">
        <v>243</v>
      </c>
      <c r="D3848" s="14" t="s">
        <v>70</v>
      </c>
      <c r="G3848">
        <f>IFERROR(HLOOKUP(G$2,[116]table_female_hkom3_inj.ill_X1!$A$1:$K$36,2,FALSE),0)</f>
        <v>0</v>
      </c>
      <c r="H3848">
        <f>IFERROR(HLOOKUP(H$2,[116]table_female_hkom3_inj.ill_X1!$A$1:$K$36,2,FALSE),0)</f>
        <v>0</v>
      </c>
      <c r="I3848">
        <f>IFERROR(HLOOKUP(I$2,[116]table_female_hkom3_inj.ill_X1!$A$1:$K$36,2,FALSE),0)</f>
        <v>0</v>
      </c>
      <c r="J3848">
        <f>IFERROR(HLOOKUP(J$2,[116]table_female_hkom3_inj.ill_X1!$A$1:$K$36,2,FALSE),0)</f>
        <v>0</v>
      </c>
      <c r="K3848">
        <f>IFERROR(HLOOKUP(K$2,[116]table_female_hkom3_inj.ill_X1!$A$1:$K$36,2,FALSE),0)</f>
        <v>0</v>
      </c>
      <c r="L3848">
        <f>IFERROR(HLOOKUP(L$2,[116]table_female_hkom3_inj.ill_X1!$A$1:$K$36,2,FALSE),0)</f>
        <v>0</v>
      </c>
      <c r="M3848">
        <f>SUM(E3848:L3848)</f>
        <v>0</v>
      </c>
      <c r="N3848"/>
      <c r="O3848"/>
      <c r="P3848" s="14" t="s">
        <v>115</v>
      </c>
      <c r="Q3848" s="14" t="s">
        <v>117</v>
      </c>
      <c r="R3848" s="14" t="s">
        <v>243</v>
      </c>
      <c r="S3848" s="14" t="s">
        <v>70</v>
      </c>
      <c r="T3848" s="65">
        <f>IF(SUM(E$3848:E$3880)=0,E$3881/33,E3848+IFERROR(E3848/SUM(E$3848:E$3880)*E$3881,0))</f>
        <v>0</v>
      </c>
      <c r="U3848" s="65">
        <f t="shared" ref="U3848:AA3863" si="1172">IF(SUM(F$3848:F$3880)=0,F$3881/33,F3848+IFERROR(F3848/SUM(F$3848:F$3880)*F$3881,0))</f>
        <v>0</v>
      </c>
      <c r="V3848" s="65">
        <f t="shared" si="1172"/>
        <v>0</v>
      </c>
      <c r="W3848" s="65">
        <f t="shared" si="1172"/>
        <v>0</v>
      </c>
      <c r="X3848" s="65">
        <f t="shared" si="1172"/>
        <v>0</v>
      </c>
      <c r="Y3848" s="65">
        <f t="shared" si="1172"/>
        <v>0</v>
      </c>
      <c r="Z3848" s="65">
        <f t="shared" si="1172"/>
        <v>0</v>
      </c>
      <c r="AA3848" s="65">
        <f t="shared" si="1172"/>
        <v>0</v>
      </c>
      <c r="AB3848" s="65">
        <f t="shared" si="1167"/>
        <v>0</v>
      </c>
    </row>
    <row r="3849" spans="1:29" s="14" customFormat="1" x14ac:dyDescent="0.25">
      <c r="D3849" s="14" t="s">
        <v>71</v>
      </c>
      <c r="G3849">
        <f>IFERROR(HLOOKUP(G$2,[116]table_female_hkom3_inj.ill_X1!$A$1:$K$36,3,FALSE),0)</f>
        <v>0</v>
      </c>
      <c r="H3849">
        <f>IFERROR(HLOOKUP(H$2,[116]table_female_hkom3_inj.ill_X1!$A$1:$K$36,3,FALSE),0)</f>
        <v>0</v>
      </c>
      <c r="I3849">
        <f>IFERROR(HLOOKUP(I$2,[116]table_female_hkom3_inj.ill_X1!$A$1:$K$36,3,FALSE),0)</f>
        <v>1</v>
      </c>
      <c r="J3849">
        <f>IFERROR(HLOOKUP(J$2,[116]table_female_hkom3_inj.ill_X1!$A$1:$K$36,3,FALSE),0)</f>
        <v>0</v>
      </c>
      <c r="K3849">
        <f>IFERROR(HLOOKUP(K$2,[116]table_female_hkom3_inj.ill_X1!$A$1:$K$36,3,FALSE),0)</f>
        <v>0</v>
      </c>
      <c r="L3849">
        <f>IFERROR(HLOOKUP(L$2,[116]table_female_hkom3_inj.ill_X1!$A$1:$K$36,3,FALSE),0)</f>
        <v>0</v>
      </c>
      <c r="M3849">
        <f t="shared" ref="M3849:M3881" si="1173">SUM(E3849:L3849)</f>
        <v>1</v>
      </c>
      <c r="N3849"/>
      <c r="O3849"/>
      <c r="S3849" s="14" t="s">
        <v>71</v>
      </c>
      <c r="T3849" s="65">
        <f t="shared" ref="T3849:T3880" si="1174">IF(SUM(E$3848:E$3880)=0,E$3881/33,E3849+IFERROR(E3849/SUM(E$3848:E$3880)*E$3881,0))</f>
        <v>0</v>
      </c>
      <c r="U3849" s="65">
        <f t="shared" si="1172"/>
        <v>0</v>
      </c>
      <c r="V3849" s="65">
        <f t="shared" si="1172"/>
        <v>0</v>
      </c>
      <c r="W3849" s="65">
        <f t="shared" si="1172"/>
        <v>0</v>
      </c>
      <c r="X3849" s="65">
        <f t="shared" si="1172"/>
        <v>3.3529411764705883</v>
      </c>
      <c r="Y3849" s="65">
        <f t="shared" si="1172"/>
        <v>0</v>
      </c>
      <c r="Z3849" s="65">
        <f t="shared" si="1172"/>
        <v>0</v>
      </c>
      <c r="AA3849" s="65">
        <f t="shared" si="1172"/>
        <v>0</v>
      </c>
      <c r="AB3849" s="65">
        <f t="shared" si="1167"/>
        <v>3.3529411764705883</v>
      </c>
    </row>
    <row r="3850" spans="1:29" s="14" customFormat="1" x14ac:dyDescent="0.25">
      <c r="D3850" s="14" t="s">
        <v>72</v>
      </c>
      <c r="G3850">
        <f>IFERROR(HLOOKUP(G$2,[116]table_female_hkom3_inj.ill_X1!$A$1:$K$36,4,FALSE),0)</f>
        <v>0</v>
      </c>
      <c r="H3850">
        <f>IFERROR(HLOOKUP(H$2,[116]table_female_hkom3_inj.ill_X1!$A$1:$K$36,4,FALSE),0)</f>
        <v>1</v>
      </c>
      <c r="I3850">
        <f>IFERROR(HLOOKUP(I$2,[116]table_female_hkom3_inj.ill_X1!$A$1:$K$36,4,FALSE),0)</f>
        <v>1</v>
      </c>
      <c r="J3850">
        <f>IFERROR(HLOOKUP(J$2,[116]table_female_hkom3_inj.ill_X1!$A$1:$K$36,4,FALSE),0)</f>
        <v>2</v>
      </c>
      <c r="K3850">
        <f>IFERROR(HLOOKUP(K$2,[116]table_female_hkom3_inj.ill_X1!$A$1:$K$36,4,FALSE),0)</f>
        <v>0</v>
      </c>
      <c r="L3850">
        <f>IFERROR(HLOOKUP(L$2,[116]table_female_hkom3_inj.ill_X1!$A$1:$K$36,4,FALSE),0)</f>
        <v>0</v>
      </c>
      <c r="M3850">
        <f t="shared" si="1173"/>
        <v>4</v>
      </c>
      <c r="N3850"/>
      <c r="O3850"/>
      <c r="S3850" s="14" t="s">
        <v>72</v>
      </c>
      <c r="T3850" s="65">
        <f t="shared" si="1174"/>
        <v>0</v>
      </c>
      <c r="U3850" s="65">
        <f t="shared" si="1172"/>
        <v>0</v>
      </c>
      <c r="V3850" s="65">
        <f t="shared" si="1172"/>
        <v>0</v>
      </c>
      <c r="W3850" s="65">
        <f t="shared" si="1172"/>
        <v>3.75</v>
      </c>
      <c r="X3850" s="65">
        <f t="shared" si="1172"/>
        <v>3.3529411764705883</v>
      </c>
      <c r="Y3850" s="65">
        <f t="shared" si="1172"/>
        <v>6.6666666666666661</v>
      </c>
      <c r="Z3850" s="65">
        <f t="shared" si="1172"/>
        <v>0</v>
      </c>
      <c r="AA3850" s="65">
        <f t="shared" si="1172"/>
        <v>0</v>
      </c>
      <c r="AB3850" s="65">
        <f t="shared" si="1167"/>
        <v>13.769607843137255</v>
      </c>
    </row>
    <row r="3851" spans="1:29" s="14" customFormat="1" x14ac:dyDescent="0.25">
      <c r="D3851" s="14" t="s">
        <v>73</v>
      </c>
      <c r="G3851">
        <f>IFERROR(HLOOKUP(G$2,[116]table_female_hkom3_inj.ill_X1!$A$1:$K$36,5,FALSE),0)</f>
        <v>0</v>
      </c>
      <c r="H3851">
        <f>IFERROR(HLOOKUP(H$2,[116]table_female_hkom3_inj.ill_X1!$A$1:$K$36,5,FALSE),0)</f>
        <v>0</v>
      </c>
      <c r="I3851">
        <f>IFERROR(HLOOKUP(I$2,[116]table_female_hkom3_inj.ill_X1!$A$1:$K$36,5,FALSE),0)</f>
        <v>0</v>
      </c>
      <c r="J3851">
        <f>IFERROR(HLOOKUP(J$2,[116]table_female_hkom3_inj.ill_X1!$A$1:$K$36,5,FALSE),0)</f>
        <v>0</v>
      </c>
      <c r="K3851">
        <f>IFERROR(HLOOKUP(K$2,[116]table_female_hkom3_inj.ill_X1!$A$1:$K$36,5,FALSE),0)</f>
        <v>0</v>
      </c>
      <c r="L3851">
        <f>IFERROR(HLOOKUP(L$2,[116]table_female_hkom3_inj.ill_X1!$A$1:$K$36,5,FALSE),0)</f>
        <v>0</v>
      </c>
      <c r="M3851">
        <f t="shared" si="1173"/>
        <v>0</v>
      </c>
      <c r="N3851"/>
      <c r="O3851"/>
      <c r="S3851" s="14" t="s">
        <v>73</v>
      </c>
      <c r="T3851" s="65">
        <f t="shared" si="1174"/>
        <v>0</v>
      </c>
      <c r="U3851" s="65">
        <f t="shared" si="1172"/>
        <v>0</v>
      </c>
      <c r="V3851" s="65">
        <f t="shared" si="1172"/>
        <v>0</v>
      </c>
      <c r="W3851" s="65">
        <f t="shared" si="1172"/>
        <v>0</v>
      </c>
      <c r="X3851" s="65">
        <f t="shared" si="1172"/>
        <v>0</v>
      </c>
      <c r="Y3851" s="65">
        <f t="shared" si="1172"/>
        <v>0</v>
      </c>
      <c r="Z3851" s="65">
        <f t="shared" si="1172"/>
        <v>0</v>
      </c>
      <c r="AA3851" s="65">
        <f t="shared" si="1172"/>
        <v>0</v>
      </c>
      <c r="AB3851" s="65">
        <f t="shared" si="1167"/>
        <v>0</v>
      </c>
    </row>
    <row r="3852" spans="1:29" s="14" customFormat="1" x14ac:dyDescent="0.25">
      <c r="D3852" s="14" t="s">
        <v>74</v>
      </c>
      <c r="G3852">
        <f>IFERROR(HLOOKUP(G$2,[116]table_female_hkom3_inj.ill_X1!$A$1:$K$36,6,FALSE),0)</f>
        <v>1</v>
      </c>
      <c r="H3852">
        <f>IFERROR(HLOOKUP(H$2,[116]table_female_hkom3_inj.ill_X1!$A$1:$K$36,6,FALSE),0)</f>
        <v>0</v>
      </c>
      <c r="I3852">
        <f>IFERROR(HLOOKUP(I$2,[116]table_female_hkom3_inj.ill_X1!$A$1:$K$36,6,FALSE),0)</f>
        <v>0</v>
      </c>
      <c r="J3852">
        <f>IFERROR(HLOOKUP(J$2,[116]table_female_hkom3_inj.ill_X1!$A$1:$K$36,6,FALSE),0)</f>
        <v>0</v>
      </c>
      <c r="K3852">
        <f>IFERROR(HLOOKUP(K$2,[116]table_female_hkom3_inj.ill_X1!$A$1:$K$36,6,FALSE),0)</f>
        <v>0</v>
      </c>
      <c r="L3852">
        <f>IFERROR(HLOOKUP(L$2,[116]table_female_hkom3_inj.ill_X1!$A$1:$K$36,6,FALSE),0)</f>
        <v>0</v>
      </c>
      <c r="M3852">
        <f t="shared" si="1173"/>
        <v>1</v>
      </c>
      <c r="N3852"/>
      <c r="O3852"/>
      <c r="S3852" s="14" t="s">
        <v>74</v>
      </c>
      <c r="T3852" s="65">
        <f t="shared" si="1174"/>
        <v>0</v>
      </c>
      <c r="U3852" s="65">
        <f t="shared" si="1172"/>
        <v>0</v>
      </c>
      <c r="V3852" s="65">
        <f t="shared" si="1172"/>
        <v>6.333333333333333</v>
      </c>
      <c r="W3852" s="65">
        <f t="shared" si="1172"/>
        <v>0</v>
      </c>
      <c r="X3852" s="65">
        <f t="shared" si="1172"/>
        <v>0</v>
      </c>
      <c r="Y3852" s="65">
        <f t="shared" si="1172"/>
        <v>0</v>
      </c>
      <c r="Z3852" s="65">
        <f t="shared" si="1172"/>
        <v>0</v>
      </c>
      <c r="AA3852" s="65">
        <f t="shared" si="1172"/>
        <v>0</v>
      </c>
      <c r="AB3852" s="65">
        <f t="shared" si="1167"/>
        <v>6.333333333333333</v>
      </c>
    </row>
    <row r="3853" spans="1:29" s="14" customFormat="1" x14ac:dyDescent="0.25">
      <c r="D3853" s="14" t="s">
        <v>75</v>
      </c>
      <c r="G3853">
        <f>IFERROR(HLOOKUP(G$2,[116]table_female_hkom3_inj.ill_X1!$A$1:$K$36,7,FALSE),0)</f>
        <v>0</v>
      </c>
      <c r="H3853">
        <f>IFERROR(HLOOKUP(H$2,[116]table_female_hkom3_inj.ill_X1!$A$1:$K$36,7,FALSE),0)</f>
        <v>0</v>
      </c>
      <c r="I3853">
        <f>IFERROR(HLOOKUP(I$2,[116]table_female_hkom3_inj.ill_X1!$A$1:$K$36,7,FALSE),0)</f>
        <v>0</v>
      </c>
      <c r="J3853">
        <f>IFERROR(HLOOKUP(J$2,[116]table_female_hkom3_inj.ill_X1!$A$1:$K$36,7,FALSE),0)</f>
        <v>0</v>
      </c>
      <c r="K3853">
        <f>IFERROR(HLOOKUP(K$2,[116]table_female_hkom3_inj.ill_X1!$A$1:$K$36,7,FALSE),0)</f>
        <v>0</v>
      </c>
      <c r="L3853">
        <f>IFERROR(HLOOKUP(L$2,[116]table_female_hkom3_inj.ill_X1!$A$1:$K$36,7,FALSE),0)</f>
        <v>0</v>
      </c>
      <c r="M3853">
        <f t="shared" si="1173"/>
        <v>0</v>
      </c>
      <c r="N3853"/>
      <c r="O3853"/>
      <c r="S3853" s="14" t="s">
        <v>75</v>
      </c>
      <c r="T3853" s="65">
        <f t="shared" si="1174"/>
        <v>0</v>
      </c>
      <c r="U3853" s="65">
        <f t="shared" si="1172"/>
        <v>0</v>
      </c>
      <c r="V3853" s="65">
        <f t="shared" si="1172"/>
        <v>0</v>
      </c>
      <c r="W3853" s="65">
        <f t="shared" si="1172"/>
        <v>0</v>
      </c>
      <c r="X3853" s="65">
        <f t="shared" si="1172"/>
        <v>0</v>
      </c>
      <c r="Y3853" s="65">
        <f t="shared" si="1172"/>
        <v>0</v>
      </c>
      <c r="Z3853" s="65">
        <f t="shared" si="1172"/>
        <v>0</v>
      </c>
      <c r="AA3853" s="65">
        <f t="shared" si="1172"/>
        <v>0</v>
      </c>
      <c r="AB3853" s="65">
        <f t="shared" si="1167"/>
        <v>0</v>
      </c>
    </row>
    <row r="3854" spans="1:29" s="14" customFormat="1" x14ac:dyDescent="0.25">
      <c r="D3854" s="14" t="s">
        <v>76</v>
      </c>
      <c r="G3854">
        <f>IFERROR(HLOOKUP(G$2,[116]table_female_hkom3_inj.ill_X1!$A$1:$K$36,8,FALSE),0)</f>
        <v>0</v>
      </c>
      <c r="H3854">
        <f>IFERROR(HLOOKUP(H$2,[116]table_female_hkom3_inj.ill_X1!$A$1:$K$36,8,FALSE),0)</f>
        <v>0</v>
      </c>
      <c r="I3854">
        <f>IFERROR(HLOOKUP(I$2,[116]table_female_hkom3_inj.ill_X1!$A$1:$K$36,8,FALSE),0)</f>
        <v>0</v>
      </c>
      <c r="J3854">
        <f>IFERROR(HLOOKUP(J$2,[116]table_female_hkom3_inj.ill_X1!$A$1:$K$36,8,FALSE),0)</f>
        <v>0</v>
      </c>
      <c r="K3854">
        <f>IFERROR(HLOOKUP(K$2,[116]table_female_hkom3_inj.ill_X1!$A$1:$K$36,8,FALSE),0)</f>
        <v>0</v>
      </c>
      <c r="L3854">
        <f>IFERROR(HLOOKUP(L$2,[116]table_female_hkom3_inj.ill_X1!$A$1:$K$36,8,FALSE),0)</f>
        <v>0</v>
      </c>
      <c r="M3854">
        <f t="shared" si="1173"/>
        <v>0</v>
      </c>
      <c r="N3854"/>
      <c r="O3854"/>
      <c r="S3854" s="14" t="s">
        <v>76</v>
      </c>
      <c r="T3854" s="65">
        <f t="shared" si="1174"/>
        <v>0</v>
      </c>
      <c r="U3854" s="65">
        <f t="shared" si="1172"/>
        <v>0</v>
      </c>
      <c r="V3854" s="65">
        <f t="shared" si="1172"/>
        <v>0</v>
      </c>
      <c r="W3854" s="65">
        <f t="shared" si="1172"/>
        <v>0</v>
      </c>
      <c r="X3854" s="65">
        <f t="shared" si="1172"/>
        <v>0</v>
      </c>
      <c r="Y3854" s="65">
        <f t="shared" si="1172"/>
        <v>0</v>
      </c>
      <c r="Z3854" s="65">
        <f t="shared" si="1172"/>
        <v>0</v>
      </c>
      <c r="AA3854" s="65">
        <f t="shared" si="1172"/>
        <v>0</v>
      </c>
      <c r="AB3854" s="65">
        <f t="shared" si="1167"/>
        <v>0</v>
      </c>
    </row>
    <row r="3855" spans="1:29" s="14" customFormat="1" x14ac:dyDescent="0.25">
      <c r="D3855" s="14" t="s">
        <v>77</v>
      </c>
      <c r="G3855">
        <f>IFERROR(HLOOKUP(G$2,[116]table_female_hkom3_inj.ill_X1!$A$1:$K$36,9,FALSE),0)</f>
        <v>0</v>
      </c>
      <c r="H3855">
        <f>IFERROR(HLOOKUP(H$2,[116]table_female_hkom3_inj.ill_X1!$A$1:$K$36,9,FALSE),0)</f>
        <v>0</v>
      </c>
      <c r="I3855">
        <f>IFERROR(HLOOKUP(I$2,[116]table_female_hkom3_inj.ill_X1!$A$1:$K$36,9,FALSE),0)</f>
        <v>2</v>
      </c>
      <c r="J3855">
        <f>IFERROR(HLOOKUP(J$2,[116]table_female_hkom3_inj.ill_X1!$A$1:$K$36,9,FALSE),0)</f>
        <v>0</v>
      </c>
      <c r="K3855">
        <f>IFERROR(HLOOKUP(K$2,[116]table_female_hkom3_inj.ill_X1!$A$1:$K$36,9,FALSE),0)</f>
        <v>0</v>
      </c>
      <c r="L3855">
        <f>IFERROR(HLOOKUP(L$2,[116]table_female_hkom3_inj.ill_X1!$A$1:$K$36,9,FALSE),0)</f>
        <v>0</v>
      </c>
      <c r="M3855">
        <f t="shared" si="1173"/>
        <v>2</v>
      </c>
      <c r="N3855"/>
      <c r="O3855"/>
      <c r="S3855" s="14" t="s">
        <v>77</v>
      </c>
      <c r="T3855" s="65">
        <f t="shared" si="1174"/>
        <v>0</v>
      </c>
      <c r="U3855" s="65">
        <f t="shared" si="1172"/>
        <v>0</v>
      </c>
      <c r="V3855" s="65">
        <f t="shared" si="1172"/>
        <v>0</v>
      </c>
      <c r="W3855" s="65">
        <f t="shared" si="1172"/>
        <v>0</v>
      </c>
      <c r="X3855" s="65">
        <f t="shared" si="1172"/>
        <v>6.7058823529411766</v>
      </c>
      <c r="Y3855" s="65">
        <f t="shared" si="1172"/>
        <v>0</v>
      </c>
      <c r="Z3855" s="65">
        <f t="shared" si="1172"/>
        <v>0</v>
      </c>
      <c r="AA3855" s="65">
        <f t="shared" si="1172"/>
        <v>0</v>
      </c>
      <c r="AB3855" s="65">
        <f t="shared" si="1167"/>
        <v>6.7058823529411766</v>
      </c>
    </row>
    <row r="3856" spans="1:29" s="14" customFormat="1" x14ac:dyDescent="0.25">
      <c r="D3856" s="14" t="s">
        <v>78</v>
      </c>
      <c r="G3856">
        <f>IFERROR(HLOOKUP(G$2,[116]table_female_hkom3_inj.ill_X1!$A$1:$K$36,10,FALSE),0)</f>
        <v>0</v>
      </c>
      <c r="H3856">
        <f>IFERROR(HLOOKUP(H$2,[116]table_female_hkom3_inj.ill_X1!$A$1:$K$36,10,FALSE),0)</f>
        <v>0</v>
      </c>
      <c r="I3856">
        <f>IFERROR(HLOOKUP(I$2,[116]table_female_hkom3_inj.ill_X1!$A$1:$K$36,10,FALSE),0)</f>
        <v>1</v>
      </c>
      <c r="J3856">
        <f>IFERROR(HLOOKUP(J$2,[116]table_female_hkom3_inj.ill_X1!$A$1:$K$36,10,FALSE),0)</f>
        <v>0</v>
      </c>
      <c r="K3856">
        <f>IFERROR(HLOOKUP(K$2,[116]table_female_hkom3_inj.ill_X1!$A$1:$K$36,10,FALSE),0)</f>
        <v>0</v>
      </c>
      <c r="L3856">
        <f>IFERROR(HLOOKUP(L$2,[116]table_female_hkom3_inj.ill_X1!$A$1:$K$36,10,FALSE),0)</f>
        <v>0</v>
      </c>
      <c r="M3856">
        <f t="shared" si="1173"/>
        <v>1</v>
      </c>
      <c r="N3856"/>
      <c r="O3856"/>
      <c r="S3856" s="14" t="s">
        <v>78</v>
      </c>
      <c r="T3856" s="65">
        <f t="shared" si="1174"/>
        <v>0</v>
      </c>
      <c r="U3856" s="65">
        <f t="shared" si="1172"/>
        <v>0</v>
      </c>
      <c r="V3856" s="65">
        <f t="shared" si="1172"/>
        <v>0</v>
      </c>
      <c r="W3856" s="65">
        <f t="shared" si="1172"/>
        <v>0</v>
      </c>
      <c r="X3856" s="65">
        <f t="shared" si="1172"/>
        <v>3.3529411764705883</v>
      </c>
      <c r="Y3856" s="65">
        <f t="shared" si="1172"/>
        <v>0</v>
      </c>
      <c r="Z3856" s="65">
        <f t="shared" si="1172"/>
        <v>0</v>
      </c>
      <c r="AA3856" s="65">
        <f t="shared" si="1172"/>
        <v>0</v>
      </c>
      <c r="AB3856" s="65">
        <f t="shared" si="1167"/>
        <v>3.3529411764705883</v>
      </c>
    </row>
    <row r="3857" spans="4:28" s="14" customFormat="1" x14ac:dyDescent="0.25">
      <c r="D3857" s="14" t="s">
        <v>79</v>
      </c>
      <c r="G3857">
        <f>IFERROR(HLOOKUP(G$2,[116]table_female_hkom3_inj.ill_X1!$A$1:$K$36,11,FALSE),0)</f>
        <v>0</v>
      </c>
      <c r="H3857">
        <f>IFERROR(HLOOKUP(H$2,[116]table_female_hkom3_inj.ill_X1!$A$1:$K$36,11,FALSE),0)</f>
        <v>0</v>
      </c>
      <c r="I3857">
        <f>IFERROR(HLOOKUP(I$2,[116]table_female_hkom3_inj.ill_X1!$A$1:$K$36,11,FALSE),0)</f>
        <v>1</v>
      </c>
      <c r="J3857">
        <f>IFERROR(HLOOKUP(J$2,[116]table_female_hkom3_inj.ill_X1!$A$1:$K$36,11,FALSE),0)</f>
        <v>0</v>
      </c>
      <c r="K3857">
        <f>IFERROR(HLOOKUP(K$2,[116]table_female_hkom3_inj.ill_X1!$A$1:$K$36,11,FALSE),0)</f>
        <v>0</v>
      </c>
      <c r="L3857">
        <f>IFERROR(HLOOKUP(L$2,[116]table_female_hkom3_inj.ill_X1!$A$1:$K$36,11,FALSE),0)</f>
        <v>0</v>
      </c>
      <c r="M3857">
        <f t="shared" si="1173"/>
        <v>1</v>
      </c>
      <c r="N3857"/>
      <c r="O3857"/>
      <c r="S3857" s="14" t="s">
        <v>79</v>
      </c>
      <c r="T3857" s="65">
        <f t="shared" si="1174"/>
        <v>0</v>
      </c>
      <c r="U3857" s="65">
        <f t="shared" si="1172"/>
        <v>0</v>
      </c>
      <c r="V3857" s="65">
        <f t="shared" si="1172"/>
        <v>0</v>
      </c>
      <c r="W3857" s="65">
        <f t="shared" si="1172"/>
        <v>0</v>
      </c>
      <c r="X3857" s="65">
        <f t="shared" si="1172"/>
        <v>3.3529411764705883</v>
      </c>
      <c r="Y3857" s="65">
        <f t="shared" si="1172"/>
        <v>0</v>
      </c>
      <c r="Z3857" s="65">
        <f t="shared" si="1172"/>
        <v>0</v>
      </c>
      <c r="AA3857" s="65">
        <f t="shared" si="1172"/>
        <v>0</v>
      </c>
      <c r="AB3857" s="65">
        <f t="shared" si="1167"/>
        <v>3.3529411764705883</v>
      </c>
    </row>
    <row r="3858" spans="4:28" s="14" customFormat="1" x14ac:dyDescent="0.25">
      <c r="D3858" s="14" t="s">
        <v>80</v>
      </c>
      <c r="G3858">
        <f>IFERROR(HLOOKUP(G$2,[116]table_female_hkom3_inj.ill_X1!$A$1:$K$36,12,FALSE),0)</f>
        <v>0</v>
      </c>
      <c r="H3858">
        <f>IFERROR(HLOOKUP(H$2,[116]table_female_hkom3_inj.ill_X1!$A$1:$K$36,12,FALSE),0)</f>
        <v>0</v>
      </c>
      <c r="I3858">
        <f>IFERROR(HLOOKUP(I$2,[116]table_female_hkom3_inj.ill_X1!$A$1:$K$36,12,FALSE),0)</f>
        <v>0</v>
      </c>
      <c r="J3858">
        <f>IFERROR(HLOOKUP(J$2,[116]table_female_hkom3_inj.ill_X1!$A$1:$K$36,12,FALSE),0)</f>
        <v>0</v>
      </c>
      <c r="K3858">
        <f>IFERROR(HLOOKUP(K$2,[116]table_female_hkom3_inj.ill_X1!$A$1:$K$36,12,FALSE),0)</f>
        <v>0</v>
      </c>
      <c r="L3858">
        <f>IFERROR(HLOOKUP(L$2,[116]table_female_hkom3_inj.ill_X1!$A$1:$K$36,12,FALSE),0)</f>
        <v>0</v>
      </c>
      <c r="M3858">
        <f t="shared" si="1173"/>
        <v>0</v>
      </c>
      <c r="N3858"/>
      <c r="O3858"/>
      <c r="S3858" s="14" t="s">
        <v>80</v>
      </c>
      <c r="T3858" s="65">
        <f t="shared" si="1174"/>
        <v>0</v>
      </c>
      <c r="U3858" s="65">
        <f t="shared" si="1172"/>
        <v>0</v>
      </c>
      <c r="V3858" s="65">
        <f t="shared" si="1172"/>
        <v>0</v>
      </c>
      <c r="W3858" s="65">
        <f t="shared" si="1172"/>
        <v>0</v>
      </c>
      <c r="X3858" s="65">
        <f t="shared" si="1172"/>
        <v>0</v>
      </c>
      <c r="Y3858" s="65">
        <f t="shared" si="1172"/>
        <v>0</v>
      </c>
      <c r="Z3858" s="65">
        <f t="shared" si="1172"/>
        <v>0</v>
      </c>
      <c r="AA3858" s="65">
        <f t="shared" si="1172"/>
        <v>0</v>
      </c>
      <c r="AB3858" s="65">
        <f t="shared" si="1167"/>
        <v>0</v>
      </c>
    </row>
    <row r="3859" spans="4:28" s="14" customFormat="1" x14ac:dyDescent="0.25">
      <c r="D3859" s="14" t="s">
        <v>81</v>
      </c>
      <c r="G3859">
        <f>IFERROR(HLOOKUP(G$2,[116]table_female_hkom3_inj.ill_X1!$A$1:$K$36,13,FALSE),0)</f>
        <v>0</v>
      </c>
      <c r="H3859">
        <f>IFERROR(HLOOKUP(H$2,[116]table_female_hkom3_inj.ill_X1!$A$1:$K$36,13,FALSE),0)</f>
        <v>0</v>
      </c>
      <c r="I3859">
        <f>IFERROR(HLOOKUP(I$2,[116]table_female_hkom3_inj.ill_X1!$A$1:$K$36,13,FALSE),0)</f>
        <v>1</v>
      </c>
      <c r="J3859">
        <f>IFERROR(HLOOKUP(J$2,[116]table_female_hkom3_inj.ill_X1!$A$1:$K$36,13,FALSE),0)</f>
        <v>0</v>
      </c>
      <c r="K3859">
        <f>IFERROR(HLOOKUP(K$2,[116]table_female_hkom3_inj.ill_X1!$A$1:$K$36,13,FALSE),0)</f>
        <v>0</v>
      </c>
      <c r="L3859">
        <f>IFERROR(HLOOKUP(L$2,[116]table_female_hkom3_inj.ill_X1!$A$1:$K$36,13,FALSE),0)</f>
        <v>0</v>
      </c>
      <c r="M3859">
        <f t="shared" si="1173"/>
        <v>1</v>
      </c>
      <c r="N3859"/>
      <c r="O3859"/>
      <c r="S3859" s="14" t="s">
        <v>81</v>
      </c>
      <c r="T3859" s="65">
        <f t="shared" si="1174"/>
        <v>0</v>
      </c>
      <c r="U3859" s="65">
        <f t="shared" si="1172"/>
        <v>0</v>
      </c>
      <c r="V3859" s="65">
        <f t="shared" si="1172"/>
        <v>0</v>
      </c>
      <c r="W3859" s="65">
        <f t="shared" si="1172"/>
        <v>0</v>
      </c>
      <c r="X3859" s="65">
        <f t="shared" si="1172"/>
        <v>3.3529411764705883</v>
      </c>
      <c r="Y3859" s="65">
        <f t="shared" si="1172"/>
        <v>0</v>
      </c>
      <c r="Z3859" s="65">
        <f t="shared" si="1172"/>
        <v>0</v>
      </c>
      <c r="AA3859" s="65">
        <f t="shared" si="1172"/>
        <v>0</v>
      </c>
      <c r="AB3859" s="65">
        <f t="shared" si="1167"/>
        <v>3.3529411764705883</v>
      </c>
    </row>
    <row r="3860" spans="4:28" s="14" customFormat="1" x14ac:dyDescent="0.25">
      <c r="D3860" s="14" t="s">
        <v>82</v>
      </c>
      <c r="G3860">
        <f>IFERROR(HLOOKUP(G$2,[116]table_female_hkom3_inj.ill_X1!$A$1:$K$36,14,FALSE),0)</f>
        <v>0</v>
      </c>
      <c r="H3860">
        <f>IFERROR(HLOOKUP(H$2,[116]table_female_hkom3_inj.ill_X1!$A$1:$K$36,14,FALSE),0)</f>
        <v>0</v>
      </c>
      <c r="I3860">
        <f>IFERROR(HLOOKUP(I$2,[116]table_female_hkom3_inj.ill_X1!$A$1:$K$36,14,FALSE),0)</f>
        <v>1</v>
      </c>
      <c r="J3860">
        <f>IFERROR(HLOOKUP(J$2,[116]table_female_hkom3_inj.ill_X1!$A$1:$K$36,14,FALSE),0)</f>
        <v>0</v>
      </c>
      <c r="K3860">
        <f>IFERROR(HLOOKUP(K$2,[116]table_female_hkom3_inj.ill_X1!$A$1:$K$36,14,FALSE),0)</f>
        <v>0</v>
      </c>
      <c r="L3860">
        <f>IFERROR(HLOOKUP(L$2,[116]table_female_hkom3_inj.ill_X1!$A$1:$K$36,14,FALSE),0)</f>
        <v>0</v>
      </c>
      <c r="M3860">
        <f t="shared" si="1173"/>
        <v>1</v>
      </c>
      <c r="N3860"/>
      <c r="O3860"/>
      <c r="S3860" s="14" t="s">
        <v>82</v>
      </c>
      <c r="T3860" s="65">
        <f t="shared" si="1174"/>
        <v>0</v>
      </c>
      <c r="U3860" s="65">
        <f t="shared" si="1172"/>
        <v>0</v>
      </c>
      <c r="V3860" s="65">
        <f t="shared" si="1172"/>
        <v>0</v>
      </c>
      <c r="W3860" s="65">
        <f t="shared" si="1172"/>
        <v>0</v>
      </c>
      <c r="X3860" s="65">
        <f t="shared" si="1172"/>
        <v>3.3529411764705883</v>
      </c>
      <c r="Y3860" s="65">
        <f t="shared" si="1172"/>
        <v>0</v>
      </c>
      <c r="Z3860" s="65">
        <f t="shared" si="1172"/>
        <v>0</v>
      </c>
      <c r="AA3860" s="65">
        <f t="shared" si="1172"/>
        <v>0</v>
      </c>
      <c r="AB3860" s="65">
        <f t="shared" si="1167"/>
        <v>3.3529411764705883</v>
      </c>
    </row>
    <row r="3861" spans="4:28" s="14" customFormat="1" x14ac:dyDescent="0.25">
      <c r="D3861" s="14" t="s">
        <v>83</v>
      </c>
      <c r="G3861">
        <f>IFERROR(HLOOKUP(G$2,[116]table_female_hkom3_inj.ill_X1!$A$1:$K$36,15,FALSE),0)</f>
        <v>1</v>
      </c>
      <c r="H3861">
        <f>IFERROR(HLOOKUP(H$2,[116]table_female_hkom3_inj.ill_X1!$A$1:$K$36,15,FALSE),0)</f>
        <v>1</v>
      </c>
      <c r="I3861">
        <f>IFERROR(HLOOKUP(I$2,[116]table_female_hkom3_inj.ill_X1!$A$1:$K$36,15,FALSE),0)</f>
        <v>0</v>
      </c>
      <c r="J3861">
        <f>IFERROR(HLOOKUP(J$2,[116]table_female_hkom3_inj.ill_X1!$A$1:$K$36,15,FALSE),0)</f>
        <v>0</v>
      </c>
      <c r="K3861">
        <f>IFERROR(HLOOKUP(K$2,[116]table_female_hkom3_inj.ill_X1!$A$1:$K$36,15,FALSE),0)</f>
        <v>0</v>
      </c>
      <c r="L3861">
        <f>IFERROR(HLOOKUP(L$2,[116]table_female_hkom3_inj.ill_X1!$A$1:$K$36,15,FALSE),0)</f>
        <v>0</v>
      </c>
      <c r="M3861">
        <f t="shared" si="1173"/>
        <v>2</v>
      </c>
      <c r="N3861"/>
      <c r="O3861"/>
      <c r="S3861" s="14" t="s">
        <v>83</v>
      </c>
      <c r="T3861" s="65">
        <f t="shared" si="1174"/>
        <v>0</v>
      </c>
      <c r="U3861" s="65">
        <f t="shared" si="1172"/>
        <v>0</v>
      </c>
      <c r="V3861" s="65">
        <f t="shared" si="1172"/>
        <v>6.333333333333333</v>
      </c>
      <c r="W3861" s="65">
        <f t="shared" si="1172"/>
        <v>3.75</v>
      </c>
      <c r="X3861" s="65">
        <f t="shared" si="1172"/>
        <v>0</v>
      </c>
      <c r="Y3861" s="65">
        <f t="shared" si="1172"/>
        <v>0</v>
      </c>
      <c r="Z3861" s="65">
        <f t="shared" si="1172"/>
        <v>0</v>
      </c>
      <c r="AA3861" s="65">
        <f t="shared" si="1172"/>
        <v>0</v>
      </c>
      <c r="AB3861" s="65">
        <f t="shared" si="1167"/>
        <v>10.083333333333332</v>
      </c>
    </row>
    <row r="3862" spans="4:28" s="14" customFormat="1" x14ac:dyDescent="0.25">
      <c r="D3862" s="14" t="s">
        <v>84</v>
      </c>
      <c r="G3862">
        <f>IFERROR(HLOOKUP(G$2,[116]table_female_hkom3_inj.ill_X1!$A$1:$K$36,16,FALSE),0)</f>
        <v>0</v>
      </c>
      <c r="H3862">
        <f>IFERROR(HLOOKUP(H$2,[116]table_female_hkom3_inj.ill_X1!$A$1:$K$36,16,FALSE),0)</f>
        <v>0</v>
      </c>
      <c r="I3862">
        <f>IFERROR(HLOOKUP(I$2,[116]table_female_hkom3_inj.ill_X1!$A$1:$K$36,16,FALSE),0)</f>
        <v>2</v>
      </c>
      <c r="J3862">
        <f>IFERROR(HLOOKUP(J$2,[116]table_female_hkom3_inj.ill_X1!$A$1:$K$36,16,FALSE),0)</f>
        <v>0</v>
      </c>
      <c r="K3862">
        <f>IFERROR(HLOOKUP(K$2,[116]table_female_hkom3_inj.ill_X1!$A$1:$K$36,16,FALSE),0)</f>
        <v>0</v>
      </c>
      <c r="L3862">
        <f>IFERROR(HLOOKUP(L$2,[116]table_female_hkom3_inj.ill_X1!$A$1:$K$36,16,FALSE),0)</f>
        <v>0</v>
      </c>
      <c r="M3862">
        <f t="shared" si="1173"/>
        <v>2</v>
      </c>
      <c r="N3862"/>
      <c r="O3862"/>
      <c r="S3862" s="14" t="s">
        <v>84</v>
      </c>
      <c r="T3862" s="65">
        <f t="shared" si="1174"/>
        <v>0</v>
      </c>
      <c r="U3862" s="65">
        <f t="shared" si="1172"/>
        <v>0</v>
      </c>
      <c r="V3862" s="65">
        <f t="shared" si="1172"/>
        <v>0</v>
      </c>
      <c r="W3862" s="65">
        <f t="shared" si="1172"/>
        <v>0</v>
      </c>
      <c r="X3862" s="65">
        <f t="shared" si="1172"/>
        <v>6.7058823529411766</v>
      </c>
      <c r="Y3862" s="65">
        <f t="shared" si="1172"/>
        <v>0</v>
      </c>
      <c r="Z3862" s="65">
        <f t="shared" si="1172"/>
        <v>0</v>
      </c>
      <c r="AA3862" s="65">
        <f t="shared" si="1172"/>
        <v>0</v>
      </c>
      <c r="AB3862" s="65">
        <f t="shared" si="1167"/>
        <v>6.7058823529411766</v>
      </c>
    </row>
    <row r="3863" spans="4:28" s="14" customFormat="1" x14ac:dyDescent="0.25">
      <c r="D3863" s="14" t="s">
        <v>85</v>
      </c>
      <c r="G3863">
        <f>IFERROR(HLOOKUP(G$2,[116]table_female_hkom3_inj.ill_X1!$A$1:$K$36,17,FALSE),0)</f>
        <v>2</v>
      </c>
      <c r="H3863">
        <f>IFERROR(HLOOKUP(H$2,[116]table_female_hkom3_inj.ill_X1!$A$1:$K$36,17,FALSE),0)</f>
        <v>2</v>
      </c>
      <c r="I3863">
        <f>IFERROR(HLOOKUP(I$2,[116]table_female_hkom3_inj.ill_X1!$A$1:$K$36,17,FALSE),0)</f>
        <v>1</v>
      </c>
      <c r="J3863">
        <f>IFERROR(HLOOKUP(J$2,[116]table_female_hkom3_inj.ill_X1!$A$1:$K$36,17,FALSE),0)</f>
        <v>0</v>
      </c>
      <c r="K3863">
        <f>IFERROR(HLOOKUP(K$2,[116]table_female_hkom3_inj.ill_X1!$A$1:$K$36,17,FALSE),0)</f>
        <v>0</v>
      </c>
      <c r="L3863">
        <f>IFERROR(HLOOKUP(L$2,[116]table_female_hkom3_inj.ill_X1!$A$1:$K$36,17,FALSE),0)</f>
        <v>0</v>
      </c>
      <c r="M3863">
        <f t="shared" si="1173"/>
        <v>5</v>
      </c>
      <c r="N3863"/>
      <c r="O3863"/>
      <c r="S3863" s="14" t="s">
        <v>85</v>
      </c>
      <c r="T3863" s="65">
        <f t="shared" si="1174"/>
        <v>0</v>
      </c>
      <c r="U3863" s="65">
        <f t="shared" si="1172"/>
        <v>0</v>
      </c>
      <c r="V3863" s="65">
        <f t="shared" si="1172"/>
        <v>12.666666666666666</v>
      </c>
      <c r="W3863" s="65">
        <f t="shared" si="1172"/>
        <v>7.5</v>
      </c>
      <c r="X3863" s="65">
        <f t="shared" si="1172"/>
        <v>3.3529411764705883</v>
      </c>
      <c r="Y3863" s="65">
        <f t="shared" si="1172"/>
        <v>0</v>
      </c>
      <c r="Z3863" s="65">
        <f t="shared" si="1172"/>
        <v>0</v>
      </c>
      <c r="AA3863" s="65">
        <f t="shared" si="1172"/>
        <v>0</v>
      </c>
      <c r="AB3863" s="65">
        <f t="shared" si="1167"/>
        <v>23.519607843137251</v>
      </c>
    </row>
    <row r="3864" spans="4:28" s="14" customFormat="1" x14ac:dyDescent="0.25">
      <c r="D3864" s="14" t="s">
        <v>86</v>
      </c>
      <c r="G3864">
        <f>IFERROR(HLOOKUP(G$2,[116]table_female_hkom3_inj.ill_X1!$A$1:$K$36,18,FALSE),0)</f>
        <v>1</v>
      </c>
      <c r="H3864">
        <f>IFERROR(HLOOKUP(H$2,[116]table_female_hkom3_inj.ill_X1!$A$1:$K$36,18,FALSE),0)</f>
        <v>2</v>
      </c>
      <c r="I3864">
        <f>IFERROR(HLOOKUP(I$2,[116]table_female_hkom3_inj.ill_X1!$A$1:$K$36,18,FALSE),0)</f>
        <v>1</v>
      </c>
      <c r="J3864">
        <f>IFERROR(HLOOKUP(J$2,[116]table_female_hkom3_inj.ill_X1!$A$1:$K$36,18,FALSE),0)</f>
        <v>1</v>
      </c>
      <c r="K3864">
        <f>IFERROR(HLOOKUP(K$2,[116]table_female_hkom3_inj.ill_X1!$A$1:$K$36,18,FALSE),0)</f>
        <v>0</v>
      </c>
      <c r="L3864">
        <f>IFERROR(HLOOKUP(L$2,[116]table_female_hkom3_inj.ill_X1!$A$1:$K$36,18,FALSE),0)</f>
        <v>0</v>
      </c>
      <c r="M3864">
        <f t="shared" si="1173"/>
        <v>5</v>
      </c>
      <c r="N3864"/>
      <c r="O3864"/>
      <c r="S3864" s="14" t="s">
        <v>86</v>
      </c>
      <c r="T3864" s="65">
        <f t="shared" si="1174"/>
        <v>0</v>
      </c>
      <c r="U3864" s="65">
        <f t="shared" ref="U3864:AA3880" si="1175">IF(SUM(F$3848:F$3880)=0,F$3881/33,F3864+IFERROR(F3864/SUM(F$3848:F$3880)*F$3881,0))</f>
        <v>0</v>
      </c>
      <c r="V3864" s="65">
        <f t="shared" si="1175"/>
        <v>6.333333333333333</v>
      </c>
      <c r="W3864" s="65">
        <f t="shared" si="1175"/>
        <v>7.5</v>
      </c>
      <c r="X3864" s="65">
        <f t="shared" si="1175"/>
        <v>3.3529411764705883</v>
      </c>
      <c r="Y3864" s="65">
        <f t="shared" si="1175"/>
        <v>3.333333333333333</v>
      </c>
      <c r="Z3864" s="65">
        <f t="shared" si="1175"/>
        <v>0</v>
      </c>
      <c r="AA3864" s="65">
        <f t="shared" si="1175"/>
        <v>0</v>
      </c>
      <c r="AB3864" s="65">
        <f t="shared" si="1167"/>
        <v>20.519607843137251</v>
      </c>
    </row>
    <row r="3865" spans="4:28" s="14" customFormat="1" x14ac:dyDescent="0.25">
      <c r="D3865" s="14" t="s">
        <v>87</v>
      </c>
      <c r="G3865">
        <f>IFERROR(HLOOKUP(G$2,[116]table_female_hkom3_inj.ill_X1!$A$1:$K$36,19,FALSE),0)</f>
        <v>0</v>
      </c>
      <c r="H3865">
        <f>IFERROR(HLOOKUP(H$2,[116]table_female_hkom3_inj.ill_X1!$A$1:$K$36,19,FALSE),0)</f>
        <v>1</v>
      </c>
      <c r="I3865">
        <f>IFERROR(HLOOKUP(I$2,[116]table_female_hkom3_inj.ill_X1!$A$1:$K$36,19,FALSE),0)</f>
        <v>0</v>
      </c>
      <c r="J3865">
        <f>IFERROR(HLOOKUP(J$2,[116]table_female_hkom3_inj.ill_X1!$A$1:$K$36,19,FALSE),0)</f>
        <v>0</v>
      </c>
      <c r="K3865">
        <f>IFERROR(HLOOKUP(K$2,[116]table_female_hkom3_inj.ill_X1!$A$1:$K$36,19,FALSE),0)</f>
        <v>0</v>
      </c>
      <c r="L3865">
        <f>IFERROR(HLOOKUP(L$2,[116]table_female_hkom3_inj.ill_X1!$A$1:$K$36,19,FALSE),0)</f>
        <v>0</v>
      </c>
      <c r="M3865">
        <f t="shared" si="1173"/>
        <v>1</v>
      </c>
      <c r="N3865"/>
      <c r="O3865"/>
      <c r="S3865" s="14" t="s">
        <v>87</v>
      </c>
      <c r="T3865" s="65">
        <f t="shared" si="1174"/>
        <v>0</v>
      </c>
      <c r="U3865" s="65">
        <f t="shared" si="1175"/>
        <v>0</v>
      </c>
      <c r="V3865" s="65">
        <f t="shared" si="1175"/>
        <v>0</v>
      </c>
      <c r="W3865" s="65">
        <f t="shared" si="1175"/>
        <v>3.75</v>
      </c>
      <c r="X3865" s="65">
        <f t="shared" si="1175"/>
        <v>0</v>
      </c>
      <c r="Y3865" s="65">
        <f t="shared" si="1175"/>
        <v>0</v>
      </c>
      <c r="Z3865" s="65">
        <f t="shared" si="1175"/>
        <v>0</v>
      </c>
      <c r="AA3865" s="65">
        <f t="shared" si="1175"/>
        <v>0</v>
      </c>
      <c r="AB3865" s="65">
        <f t="shared" si="1167"/>
        <v>3.75</v>
      </c>
    </row>
    <row r="3866" spans="4:28" s="14" customFormat="1" x14ac:dyDescent="0.25">
      <c r="D3866" s="14" t="s">
        <v>88</v>
      </c>
      <c r="G3866">
        <f>IFERROR(HLOOKUP(G$2,[116]table_female_hkom3_inj.ill_X1!$A$1:$K$36,20,FALSE),0)</f>
        <v>1</v>
      </c>
      <c r="H3866">
        <f>IFERROR(HLOOKUP(H$2,[116]table_female_hkom3_inj.ill_X1!$A$1:$K$36,20,FALSE),0)</f>
        <v>6</v>
      </c>
      <c r="I3866">
        <f>IFERROR(HLOOKUP(I$2,[116]table_female_hkom3_inj.ill_X1!$A$1:$K$36,20,FALSE),0)</f>
        <v>2</v>
      </c>
      <c r="J3866">
        <f>IFERROR(HLOOKUP(J$2,[116]table_female_hkom3_inj.ill_X1!$A$1:$K$36,20,FALSE),0)</f>
        <v>0</v>
      </c>
      <c r="K3866">
        <f>IFERROR(HLOOKUP(K$2,[116]table_female_hkom3_inj.ill_X1!$A$1:$K$36,20,FALSE),0)</f>
        <v>0</v>
      </c>
      <c r="L3866">
        <f>IFERROR(HLOOKUP(L$2,[116]table_female_hkom3_inj.ill_X1!$A$1:$K$36,20,FALSE),0)</f>
        <v>0</v>
      </c>
      <c r="M3866">
        <f t="shared" si="1173"/>
        <v>9</v>
      </c>
      <c r="N3866"/>
      <c r="O3866"/>
      <c r="S3866" s="14" t="s">
        <v>88</v>
      </c>
      <c r="T3866" s="65">
        <f t="shared" si="1174"/>
        <v>0</v>
      </c>
      <c r="U3866" s="65">
        <f t="shared" si="1175"/>
        <v>0</v>
      </c>
      <c r="V3866" s="65">
        <f t="shared" si="1175"/>
        <v>6.333333333333333</v>
      </c>
      <c r="W3866" s="65">
        <f t="shared" si="1175"/>
        <v>22.5</v>
      </c>
      <c r="X3866" s="65">
        <f t="shared" si="1175"/>
        <v>6.7058823529411766</v>
      </c>
      <c r="Y3866" s="65">
        <f t="shared" si="1175"/>
        <v>0</v>
      </c>
      <c r="Z3866" s="65">
        <f t="shared" si="1175"/>
        <v>0</v>
      </c>
      <c r="AA3866" s="65">
        <f t="shared" si="1175"/>
        <v>0</v>
      </c>
      <c r="AB3866" s="65">
        <f t="shared" si="1167"/>
        <v>35.53921568627451</v>
      </c>
    </row>
    <row r="3867" spans="4:28" s="14" customFormat="1" x14ac:dyDescent="0.25">
      <c r="D3867" s="14" t="s">
        <v>89</v>
      </c>
      <c r="G3867">
        <f>IFERROR(HLOOKUP(G$2,[116]table_female_hkom3_inj.ill_X1!$A$1:$K$36,21,FALSE),0)</f>
        <v>0</v>
      </c>
      <c r="H3867">
        <f>IFERROR(HLOOKUP(H$2,[116]table_female_hkom3_inj.ill_X1!$A$1:$K$36,21,FALSE),0)</f>
        <v>1</v>
      </c>
      <c r="I3867">
        <f>IFERROR(HLOOKUP(I$2,[116]table_female_hkom3_inj.ill_X1!$A$1:$K$36,21,FALSE),0)</f>
        <v>1</v>
      </c>
      <c r="J3867">
        <f>IFERROR(HLOOKUP(J$2,[116]table_female_hkom3_inj.ill_X1!$A$1:$K$36,21,FALSE),0)</f>
        <v>0</v>
      </c>
      <c r="K3867">
        <f>IFERROR(HLOOKUP(K$2,[116]table_female_hkom3_inj.ill_X1!$A$1:$K$36,21,FALSE),0)</f>
        <v>0</v>
      </c>
      <c r="L3867">
        <f>IFERROR(HLOOKUP(L$2,[116]table_female_hkom3_inj.ill_X1!$A$1:$K$36,21,FALSE),0)</f>
        <v>0</v>
      </c>
      <c r="M3867">
        <f t="shared" si="1173"/>
        <v>2</v>
      </c>
      <c r="N3867"/>
      <c r="O3867"/>
      <c r="S3867" s="14" t="s">
        <v>89</v>
      </c>
      <c r="T3867" s="65">
        <f t="shared" si="1174"/>
        <v>0</v>
      </c>
      <c r="U3867" s="65">
        <f t="shared" si="1175"/>
        <v>0</v>
      </c>
      <c r="V3867" s="65">
        <f t="shared" si="1175"/>
        <v>0</v>
      </c>
      <c r="W3867" s="65">
        <f t="shared" si="1175"/>
        <v>3.75</v>
      </c>
      <c r="X3867" s="65">
        <f t="shared" si="1175"/>
        <v>3.3529411764705883</v>
      </c>
      <c r="Y3867" s="65">
        <f t="shared" si="1175"/>
        <v>0</v>
      </c>
      <c r="Z3867" s="65">
        <f t="shared" si="1175"/>
        <v>0</v>
      </c>
      <c r="AA3867" s="65">
        <f t="shared" si="1175"/>
        <v>0</v>
      </c>
      <c r="AB3867" s="65">
        <f t="shared" si="1167"/>
        <v>7.1029411764705888</v>
      </c>
    </row>
    <row r="3868" spans="4:28" s="14" customFormat="1" x14ac:dyDescent="0.25">
      <c r="D3868" s="14" t="s">
        <v>90</v>
      </c>
      <c r="G3868">
        <f>IFERROR(HLOOKUP(G$2,[116]table_female_hkom3_inj.ill_X1!$A$1:$K$36,22,FALSE),0)</f>
        <v>0</v>
      </c>
      <c r="H3868">
        <f>IFERROR(HLOOKUP(H$2,[116]table_female_hkom3_inj.ill_X1!$A$1:$K$36,22,FALSE),0)</f>
        <v>0</v>
      </c>
      <c r="I3868">
        <f>IFERROR(HLOOKUP(I$2,[116]table_female_hkom3_inj.ill_X1!$A$1:$K$36,22,FALSE),0)</f>
        <v>0</v>
      </c>
      <c r="J3868">
        <f>IFERROR(HLOOKUP(J$2,[116]table_female_hkom3_inj.ill_X1!$A$1:$K$36,22,FALSE),0)</f>
        <v>0</v>
      </c>
      <c r="K3868">
        <f>IFERROR(HLOOKUP(K$2,[116]table_female_hkom3_inj.ill_X1!$A$1:$K$36,22,FALSE),0)</f>
        <v>0</v>
      </c>
      <c r="L3868">
        <f>IFERROR(HLOOKUP(L$2,[116]table_female_hkom3_inj.ill_X1!$A$1:$K$36,22,FALSE),0)</f>
        <v>0</v>
      </c>
      <c r="M3868">
        <f t="shared" si="1173"/>
        <v>0</v>
      </c>
      <c r="N3868"/>
      <c r="O3868"/>
      <c r="S3868" s="14" t="s">
        <v>90</v>
      </c>
      <c r="T3868" s="65">
        <f t="shared" si="1174"/>
        <v>0</v>
      </c>
      <c r="U3868" s="65">
        <f t="shared" si="1175"/>
        <v>0</v>
      </c>
      <c r="V3868" s="65">
        <f t="shared" si="1175"/>
        <v>0</v>
      </c>
      <c r="W3868" s="65">
        <f t="shared" si="1175"/>
        <v>0</v>
      </c>
      <c r="X3868" s="65">
        <f t="shared" si="1175"/>
        <v>0</v>
      </c>
      <c r="Y3868" s="65">
        <f t="shared" si="1175"/>
        <v>0</v>
      </c>
      <c r="Z3868" s="65">
        <f t="shared" si="1175"/>
        <v>0</v>
      </c>
      <c r="AA3868" s="65">
        <f t="shared" si="1175"/>
        <v>0</v>
      </c>
      <c r="AB3868" s="65">
        <f t="shared" si="1167"/>
        <v>0</v>
      </c>
    </row>
    <row r="3869" spans="4:28" s="14" customFormat="1" x14ac:dyDescent="0.25">
      <c r="D3869" s="14" t="s">
        <v>91</v>
      </c>
      <c r="G3869">
        <f>IFERROR(HLOOKUP(G$2,[116]table_female_hkom3_inj.ill_X1!$A$1:$K$36,23,FALSE),0)</f>
        <v>0</v>
      </c>
      <c r="H3869">
        <f>IFERROR(HLOOKUP(H$2,[116]table_female_hkom3_inj.ill_X1!$A$1:$K$36,23,FALSE),0)</f>
        <v>0</v>
      </c>
      <c r="I3869">
        <f>IFERROR(HLOOKUP(I$2,[116]table_female_hkom3_inj.ill_X1!$A$1:$K$36,23,FALSE),0)</f>
        <v>0</v>
      </c>
      <c r="J3869">
        <f>IFERROR(HLOOKUP(J$2,[116]table_female_hkom3_inj.ill_X1!$A$1:$K$36,23,FALSE),0)</f>
        <v>0</v>
      </c>
      <c r="K3869">
        <f>IFERROR(HLOOKUP(K$2,[116]table_female_hkom3_inj.ill_X1!$A$1:$K$36,23,FALSE),0)</f>
        <v>0</v>
      </c>
      <c r="L3869">
        <f>IFERROR(HLOOKUP(L$2,[116]table_female_hkom3_inj.ill_X1!$A$1:$K$36,23,FALSE),0)</f>
        <v>0</v>
      </c>
      <c r="M3869">
        <f t="shared" si="1173"/>
        <v>0</v>
      </c>
      <c r="N3869"/>
      <c r="O3869"/>
      <c r="S3869" s="14" t="s">
        <v>91</v>
      </c>
      <c r="T3869" s="65">
        <f t="shared" si="1174"/>
        <v>0</v>
      </c>
      <c r="U3869" s="65">
        <f t="shared" si="1175"/>
        <v>0</v>
      </c>
      <c r="V3869" s="65">
        <f t="shared" si="1175"/>
        <v>0</v>
      </c>
      <c r="W3869" s="65">
        <f t="shared" si="1175"/>
        <v>0</v>
      </c>
      <c r="X3869" s="65">
        <f t="shared" si="1175"/>
        <v>0</v>
      </c>
      <c r="Y3869" s="65">
        <f t="shared" si="1175"/>
        <v>0</v>
      </c>
      <c r="Z3869" s="65">
        <f t="shared" si="1175"/>
        <v>0</v>
      </c>
      <c r="AA3869" s="65">
        <f t="shared" si="1175"/>
        <v>0</v>
      </c>
      <c r="AB3869" s="65">
        <f t="shared" si="1167"/>
        <v>0</v>
      </c>
    </row>
    <row r="3870" spans="4:28" s="14" customFormat="1" x14ac:dyDescent="0.25">
      <c r="D3870" s="14" t="s">
        <v>92</v>
      </c>
      <c r="G3870">
        <f>IFERROR(HLOOKUP(G$2,[116]table_female_hkom3_inj.ill_X1!$A$1:$K$36,24,FALSE),0)</f>
        <v>0</v>
      </c>
      <c r="H3870">
        <f>IFERROR(HLOOKUP(H$2,[116]table_female_hkom3_inj.ill_X1!$A$1:$K$36,24,FALSE),0)</f>
        <v>0</v>
      </c>
      <c r="I3870">
        <f>IFERROR(HLOOKUP(I$2,[116]table_female_hkom3_inj.ill_X1!$A$1:$K$36,24,FALSE),0)</f>
        <v>0</v>
      </c>
      <c r="J3870">
        <f>IFERROR(HLOOKUP(J$2,[116]table_female_hkom3_inj.ill_X1!$A$1:$K$36,24,FALSE),0)</f>
        <v>0</v>
      </c>
      <c r="K3870">
        <f>IFERROR(HLOOKUP(K$2,[116]table_female_hkom3_inj.ill_X1!$A$1:$K$36,24,FALSE),0)</f>
        <v>0</v>
      </c>
      <c r="L3870">
        <f>IFERROR(HLOOKUP(L$2,[116]table_female_hkom3_inj.ill_X1!$A$1:$K$36,24,FALSE),0)</f>
        <v>0</v>
      </c>
      <c r="M3870">
        <f t="shared" si="1173"/>
        <v>0</v>
      </c>
      <c r="N3870"/>
      <c r="O3870"/>
      <c r="S3870" s="14" t="s">
        <v>92</v>
      </c>
      <c r="T3870" s="65">
        <f t="shared" si="1174"/>
        <v>0</v>
      </c>
      <c r="U3870" s="65">
        <f t="shared" si="1175"/>
        <v>0</v>
      </c>
      <c r="V3870" s="65">
        <f t="shared" si="1175"/>
        <v>0</v>
      </c>
      <c r="W3870" s="65">
        <f t="shared" si="1175"/>
        <v>0</v>
      </c>
      <c r="X3870" s="65">
        <f t="shared" si="1175"/>
        <v>0</v>
      </c>
      <c r="Y3870" s="65">
        <f t="shared" si="1175"/>
        <v>0</v>
      </c>
      <c r="Z3870" s="65">
        <f t="shared" si="1175"/>
        <v>0</v>
      </c>
      <c r="AA3870" s="65">
        <f t="shared" si="1175"/>
        <v>0</v>
      </c>
      <c r="AB3870" s="65">
        <f t="shared" si="1167"/>
        <v>0</v>
      </c>
    </row>
    <row r="3871" spans="4:28" s="14" customFormat="1" x14ac:dyDescent="0.25">
      <c r="D3871" s="14" t="s">
        <v>93</v>
      </c>
      <c r="G3871">
        <f>IFERROR(HLOOKUP(G$2,[116]table_female_hkom3_inj.ill_X1!$A$1:$K$36,25,FALSE),0)</f>
        <v>0</v>
      </c>
      <c r="H3871">
        <f>IFERROR(HLOOKUP(H$2,[116]table_female_hkom3_inj.ill_X1!$A$1:$K$36,25,FALSE),0)</f>
        <v>0</v>
      </c>
      <c r="I3871">
        <f>IFERROR(HLOOKUP(I$2,[116]table_female_hkom3_inj.ill_X1!$A$1:$K$36,25,FALSE),0)</f>
        <v>0</v>
      </c>
      <c r="J3871">
        <f>IFERROR(HLOOKUP(J$2,[116]table_female_hkom3_inj.ill_X1!$A$1:$K$36,25,FALSE),0)</f>
        <v>0</v>
      </c>
      <c r="K3871">
        <f>IFERROR(HLOOKUP(K$2,[116]table_female_hkom3_inj.ill_X1!$A$1:$K$36,25,FALSE),0)</f>
        <v>0</v>
      </c>
      <c r="L3871">
        <f>IFERROR(HLOOKUP(L$2,[116]table_female_hkom3_inj.ill_X1!$A$1:$K$36,25,FALSE),0)</f>
        <v>0</v>
      </c>
      <c r="M3871">
        <f t="shared" si="1173"/>
        <v>0</v>
      </c>
      <c r="N3871"/>
      <c r="O3871"/>
      <c r="S3871" s="14" t="s">
        <v>93</v>
      </c>
      <c r="T3871" s="65">
        <f t="shared" si="1174"/>
        <v>0</v>
      </c>
      <c r="U3871" s="65">
        <f t="shared" si="1175"/>
        <v>0</v>
      </c>
      <c r="V3871" s="65">
        <f t="shared" si="1175"/>
        <v>0</v>
      </c>
      <c r="W3871" s="65">
        <f t="shared" si="1175"/>
        <v>0</v>
      </c>
      <c r="X3871" s="65">
        <f t="shared" si="1175"/>
        <v>0</v>
      </c>
      <c r="Y3871" s="65">
        <f t="shared" si="1175"/>
        <v>0</v>
      </c>
      <c r="Z3871" s="65">
        <f t="shared" si="1175"/>
        <v>0</v>
      </c>
      <c r="AA3871" s="65">
        <f t="shared" si="1175"/>
        <v>0</v>
      </c>
      <c r="AB3871" s="65">
        <f t="shared" si="1167"/>
        <v>0</v>
      </c>
    </row>
    <row r="3872" spans="4:28" s="14" customFormat="1" x14ac:dyDescent="0.25">
      <c r="D3872" s="14" t="s">
        <v>94</v>
      </c>
      <c r="G3872">
        <f>IFERROR(HLOOKUP(G$2,[116]table_female_hkom3_inj.ill_X1!$A$1:$K$36,26,FALSE),0)</f>
        <v>0</v>
      </c>
      <c r="H3872">
        <f>IFERROR(HLOOKUP(H$2,[116]table_female_hkom3_inj.ill_X1!$A$1:$K$36,26,FALSE),0)</f>
        <v>0</v>
      </c>
      <c r="I3872">
        <f>IFERROR(HLOOKUP(I$2,[116]table_female_hkom3_inj.ill_X1!$A$1:$K$36,26,FALSE),0)</f>
        <v>0</v>
      </c>
      <c r="J3872">
        <f>IFERROR(HLOOKUP(J$2,[116]table_female_hkom3_inj.ill_X1!$A$1:$K$36,26,FALSE),0)</f>
        <v>0</v>
      </c>
      <c r="K3872">
        <f>IFERROR(HLOOKUP(K$2,[116]table_female_hkom3_inj.ill_X1!$A$1:$K$36,26,FALSE),0)</f>
        <v>0</v>
      </c>
      <c r="L3872">
        <f>IFERROR(HLOOKUP(L$2,[116]table_female_hkom3_inj.ill_X1!$A$1:$K$36,26,FALSE),0)</f>
        <v>0</v>
      </c>
      <c r="M3872">
        <f t="shared" si="1173"/>
        <v>0</v>
      </c>
      <c r="N3872"/>
      <c r="O3872"/>
      <c r="S3872" s="14" t="s">
        <v>94</v>
      </c>
      <c r="T3872" s="65">
        <f t="shared" si="1174"/>
        <v>0</v>
      </c>
      <c r="U3872" s="65">
        <f t="shared" si="1175"/>
        <v>0</v>
      </c>
      <c r="V3872" s="65">
        <f t="shared" si="1175"/>
        <v>0</v>
      </c>
      <c r="W3872" s="65">
        <f t="shared" si="1175"/>
        <v>0</v>
      </c>
      <c r="X3872" s="65">
        <f t="shared" si="1175"/>
        <v>0</v>
      </c>
      <c r="Y3872" s="65">
        <f t="shared" si="1175"/>
        <v>0</v>
      </c>
      <c r="Z3872" s="65">
        <f t="shared" si="1175"/>
        <v>0</v>
      </c>
      <c r="AA3872" s="65">
        <f t="shared" si="1175"/>
        <v>0</v>
      </c>
      <c r="AB3872" s="65">
        <f t="shared" si="1167"/>
        <v>0</v>
      </c>
    </row>
    <row r="3873" spans="4:29" s="14" customFormat="1" x14ac:dyDescent="0.25">
      <c r="D3873" s="14" t="s">
        <v>95</v>
      </c>
      <c r="G3873">
        <f>IFERROR(HLOOKUP(G$2,[116]table_female_hkom3_inj.ill_X1!$A$1:$K$36,27,FALSE),0)</f>
        <v>0</v>
      </c>
      <c r="H3873">
        <f>IFERROR(HLOOKUP(H$2,[116]table_female_hkom3_inj.ill_X1!$A$1:$K$36,27,FALSE),0)</f>
        <v>0</v>
      </c>
      <c r="I3873">
        <f>IFERROR(HLOOKUP(I$2,[116]table_female_hkom3_inj.ill_X1!$A$1:$K$36,27,FALSE),0)</f>
        <v>0</v>
      </c>
      <c r="J3873">
        <f>IFERROR(HLOOKUP(J$2,[116]table_female_hkom3_inj.ill_X1!$A$1:$K$36,27,FALSE),0)</f>
        <v>0</v>
      </c>
      <c r="K3873">
        <f>IFERROR(HLOOKUP(K$2,[116]table_female_hkom3_inj.ill_X1!$A$1:$K$36,27,FALSE),0)</f>
        <v>0</v>
      </c>
      <c r="L3873">
        <f>IFERROR(HLOOKUP(L$2,[116]table_female_hkom3_inj.ill_X1!$A$1:$K$36,27,FALSE),0)</f>
        <v>0</v>
      </c>
      <c r="M3873">
        <f t="shared" si="1173"/>
        <v>0</v>
      </c>
      <c r="N3873"/>
      <c r="O3873"/>
      <c r="S3873" s="14" t="s">
        <v>95</v>
      </c>
      <c r="T3873" s="65">
        <f t="shared" si="1174"/>
        <v>0</v>
      </c>
      <c r="U3873" s="65">
        <f t="shared" si="1175"/>
        <v>0</v>
      </c>
      <c r="V3873" s="65">
        <f t="shared" si="1175"/>
        <v>0</v>
      </c>
      <c r="W3873" s="65">
        <f t="shared" si="1175"/>
        <v>0</v>
      </c>
      <c r="X3873" s="65">
        <f t="shared" si="1175"/>
        <v>0</v>
      </c>
      <c r="Y3873" s="65">
        <f t="shared" si="1175"/>
        <v>0</v>
      </c>
      <c r="Z3873" s="65">
        <f t="shared" si="1175"/>
        <v>0</v>
      </c>
      <c r="AA3873" s="65">
        <f t="shared" si="1175"/>
        <v>0</v>
      </c>
      <c r="AB3873" s="65">
        <f t="shared" si="1167"/>
        <v>0</v>
      </c>
    </row>
    <row r="3874" spans="4:29" s="14" customFormat="1" x14ac:dyDescent="0.25">
      <c r="D3874" s="14" t="s">
        <v>96</v>
      </c>
      <c r="G3874">
        <f>IFERROR(HLOOKUP(G$2,[116]table_female_hkom3_inj.ill_X1!$A$1:$K$36,28,FALSE),0)</f>
        <v>0</v>
      </c>
      <c r="H3874">
        <f>IFERROR(HLOOKUP(H$2,[116]table_female_hkom3_inj.ill_X1!$A$1:$K$36,28,FALSE),0)</f>
        <v>0</v>
      </c>
      <c r="I3874">
        <f>IFERROR(HLOOKUP(I$2,[116]table_female_hkom3_inj.ill_X1!$A$1:$K$36,28,FALSE),0)</f>
        <v>0</v>
      </c>
      <c r="J3874">
        <f>IFERROR(HLOOKUP(J$2,[116]table_female_hkom3_inj.ill_X1!$A$1:$K$36,28,FALSE),0)</f>
        <v>0</v>
      </c>
      <c r="K3874">
        <f>IFERROR(HLOOKUP(K$2,[116]table_female_hkom3_inj.ill_X1!$A$1:$K$36,28,FALSE),0)</f>
        <v>0</v>
      </c>
      <c r="L3874">
        <f>IFERROR(HLOOKUP(L$2,[116]table_female_hkom3_inj.ill_X1!$A$1:$K$36,28,FALSE),0)</f>
        <v>0</v>
      </c>
      <c r="M3874">
        <f t="shared" si="1173"/>
        <v>0</v>
      </c>
      <c r="N3874"/>
      <c r="O3874"/>
      <c r="S3874" s="14" t="s">
        <v>96</v>
      </c>
      <c r="T3874" s="65">
        <f t="shared" si="1174"/>
        <v>0</v>
      </c>
      <c r="U3874" s="65">
        <f t="shared" si="1175"/>
        <v>0</v>
      </c>
      <c r="V3874" s="65">
        <f t="shared" si="1175"/>
        <v>0</v>
      </c>
      <c r="W3874" s="65">
        <f t="shared" si="1175"/>
        <v>0</v>
      </c>
      <c r="X3874" s="65">
        <f t="shared" si="1175"/>
        <v>0</v>
      </c>
      <c r="Y3874" s="65">
        <f t="shared" si="1175"/>
        <v>0</v>
      </c>
      <c r="Z3874" s="65">
        <f t="shared" si="1175"/>
        <v>0</v>
      </c>
      <c r="AA3874" s="65">
        <f t="shared" si="1175"/>
        <v>0</v>
      </c>
      <c r="AB3874" s="65">
        <f t="shared" ref="AB3874:AB3881" si="1176">SUM(T3874:AA3874)</f>
        <v>0</v>
      </c>
    </row>
    <row r="3875" spans="4:29" s="14" customFormat="1" x14ac:dyDescent="0.25">
      <c r="D3875" s="14" t="s">
        <v>97</v>
      </c>
      <c r="G3875">
        <f>IFERROR(HLOOKUP(G$2,[116]table_female_hkom3_inj.ill_X1!$A$1:$K$36,29,FALSE),0)</f>
        <v>0</v>
      </c>
      <c r="H3875">
        <f>IFERROR(HLOOKUP(H$2,[116]table_female_hkom3_inj.ill_X1!$A$1:$K$36,29,FALSE),0)</f>
        <v>0</v>
      </c>
      <c r="I3875">
        <f>IFERROR(HLOOKUP(I$2,[116]table_female_hkom3_inj.ill_X1!$A$1:$K$36,29,FALSE),0)</f>
        <v>0</v>
      </c>
      <c r="J3875">
        <f>IFERROR(HLOOKUP(J$2,[116]table_female_hkom3_inj.ill_X1!$A$1:$K$36,29,FALSE),0)</f>
        <v>0</v>
      </c>
      <c r="K3875">
        <f>IFERROR(HLOOKUP(K$2,[116]table_female_hkom3_inj.ill_X1!$A$1:$K$36,29,FALSE),0)</f>
        <v>0</v>
      </c>
      <c r="L3875">
        <f>IFERROR(HLOOKUP(L$2,[116]table_female_hkom3_inj.ill_X1!$A$1:$K$36,29,FALSE),0)</f>
        <v>0</v>
      </c>
      <c r="M3875">
        <f t="shared" si="1173"/>
        <v>0</v>
      </c>
      <c r="N3875"/>
      <c r="O3875"/>
      <c r="S3875" s="14" t="s">
        <v>97</v>
      </c>
      <c r="T3875" s="65">
        <f t="shared" si="1174"/>
        <v>0</v>
      </c>
      <c r="U3875" s="65">
        <f t="shared" si="1175"/>
        <v>0</v>
      </c>
      <c r="V3875" s="65">
        <f t="shared" si="1175"/>
        <v>0</v>
      </c>
      <c r="W3875" s="65">
        <f t="shared" si="1175"/>
        <v>0</v>
      </c>
      <c r="X3875" s="65">
        <f t="shared" si="1175"/>
        <v>0</v>
      </c>
      <c r="Y3875" s="65">
        <f t="shared" si="1175"/>
        <v>0</v>
      </c>
      <c r="Z3875" s="65">
        <f t="shared" si="1175"/>
        <v>0</v>
      </c>
      <c r="AA3875" s="65">
        <f t="shared" si="1175"/>
        <v>0</v>
      </c>
      <c r="AB3875" s="65">
        <f t="shared" si="1176"/>
        <v>0</v>
      </c>
    </row>
    <row r="3876" spans="4:29" s="14" customFormat="1" x14ac:dyDescent="0.25">
      <c r="D3876" s="14" t="s">
        <v>98</v>
      </c>
      <c r="G3876">
        <f>IFERROR(HLOOKUP(G$2,[116]table_female_hkom3_inj.ill_X1!$A$1:$K$36,30,FALSE),0)</f>
        <v>0</v>
      </c>
      <c r="H3876">
        <f>IFERROR(HLOOKUP(H$2,[116]table_female_hkom3_inj.ill_X1!$A$1:$K$36,30,FALSE),0)</f>
        <v>0</v>
      </c>
      <c r="I3876">
        <f>IFERROR(HLOOKUP(I$2,[116]table_female_hkom3_inj.ill_X1!$A$1:$K$36,30,FALSE),0)</f>
        <v>0</v>
      </c>
      <c r="J3876">
        <f>IFERROR(HLOOKUP(J$2,[116]table_female_hkom3_inj.ill_X1!$A$1:$K$36,30,FALSE),0)</f>
        <v>0</v>
      </c>
      <c r="K3876">
        <f>IFERROR(HLOOKUP(K$2,[116]table_female_hkom3_inj.ill_X1!$A$1:$K$36,30,FALSE),0)</f>
        <v>0</v>
      </c>
      <c r="L3876">
        <f>IFERROR(HLOOKUP(L$2,[116]table_female_hkom3_inj.ill_X1!$A$1:$K$36,30,FALSE),0)</f>
        <v>0</v>
      </c>
      <c r="M3876">
        <f t="shared" si="1173"/>
        <v>0</v>
      </c>
      <c r="N3876"/>
      <c r="O3876"/>
      <c r="S3876" s="14" t="s">
        <v>98</v>
      </c>
      <c r="T3876" s="65">
        <f t="shared" si="1174"/>
        <v>0</v>
      </c>
      <c r="U3876" s="65">
        <f t="shared" si="1175"/>
        <v>0</v>
      </c>
      <c r="V3876" s="65">
        <f t="shared" si="1175"/>
        <v>0</v>
      </c>
      <c r="W3876" s="65">
        <f t="shared" si="1175"/>
        <v>0</v>
      </c>
      <c r="X3876" s="65">
        <f t="shared" si="1175"/>
        <v>0</v>
      </c>
      <c r="Y3876" s="65">
        <f t="shared" si="1175"/>
        <v>0</v>
      </c>
      <c r="Z3876" s="65">
        <f t="shared" si="1175"/>
        <v>0</v>
      </c>
      <c r="AA3876" s="65">
        <f t="shared" si="1175"/>
        <v>0</v>
      </c>
      <c r="AB3876" s="65">
        <f t="shared" si="1176"/>
        <v>0</v>
      </c>
    </row>
    <row r="3877" spans="4:29" s="14" customFormat="1" x14ac:dyDescent="0.25">
      <c r="D3877" s="14" t="s">
        <v>119</v>
      </c>
      <c r="G3877">
        <f>IFERROR(HLOOKUP(G$2,[116]table_female_hkom3_inj.ill_X1!$A$1:$K$36,31,FALSE),0)</f>
        <v>0</v>
      </c>
      <c r="H3877">
        <f>IFERROR(HLOOKUP(H$2,[116]table_female_hkom3_inj.ill_X1!$A$1:$K$36,31,FALSE),0)</f>
        <v>0</v>
      </c>
      <c r="I3877">
        <f>IFERROR(HLOOKUP(I$2,[116]table_female_hkom3_inj.ill_X1!$A$1:$K$36,31,FALSE),0)</f>
        <v>0</v>
      </c>
      <c r="J3877">
        <f>IFERROR(HLOOKUP(J$2,[116]table_female_hkom3_inj.ill_X1!$A$1:$K$36,31,FALSE),0)</f>
        <v>0</v>
      </c>
      <c r="K3877">
        <f>IFERROR(HLOOKUP(K$2,[116]table_female_hkom3_inj.ill_X1!$A$1:$K$36,31,FALSE),0)</f>
        <v>0</v>
      </c>
      <c r="L3877">
        <f>IFERROR(HLOOKUP(L$2,[116]table_female_hkom3_inj.ill_X1!$A$1:$K$36,31,FALSE),0)</f>
        <v>0</v>
      </c>
      <c r="M3877">
        <f t="shared" si="1173"/>
        <v>0</v>
      </c>
      <c r="N3877"/>
      <c r="O3877"/>
      <c r="S3877" s="14" t="s">
        <v>119</v>
      </c>
      <c r="T3877" s="65">
        <f t="shared" si="1174"/>
        <v>0</v>
      </c>
      <c r="U3877" s="65">
        <f t="shared" si="1175"/>
        <v>0</v>
      </c>
      <c r="V3877" s="65">
        <f t="shared" si="1175"/>
        <v>0</v>
      </c>
      <c r="W3877" s="65">
        <f t="shared" si="1175"/>
        <v>0</v>
      </c>
      <c r="X3877" s="65">
        <f t="shared" si="1175"/>
        <v>0</v>
      </c>
      <c r="Y3877" s="65">
        <f t="shared" si="1175"/>
        <v>0</v>
      </c>
      <c r="Z3877" s="65">
        <f t="shared" si="1175"/>
        <v>0</v>
      </c>
      <c r="AA3877" s="65">
        <f t="shared" si="1175"/>
        <v>0</v>
      </c>
      <c r="AB3877" s="65">
        <f t="shared" si="1176"/>
        <v>0</v>
      </c>
    </row>
    <row r="3878" spans="4:29" s="14" customFormat="1" x14ac:dyDescent="0.25">
      <c r="D3878" s="14" t="s">
        <v>99</v>
      </c>
      <c r="G3878">
        <f>IFERROR(HLOOKUP(G$2,[116]table_female_hkom3_inj.ill_X1!$A$1:$K$36,32,FALSE),0)</f>
        <v>0</v>
      </c>
      <c r="H3878">
        <f>IFERROR(HLOOKUP(H$2,[116]table_female_hkom3_inj.ill_X1!$A$1:$K$36,32,FALSE),0)</f>
        <v>3</v>
      </c>
      <c r="I3878">
        <f>IFERROR(HLOOKUP(I$2,[116]table_female_hkom3_inj.ill_X1!$A$1:$K$36,32,FALSE),0)</f>
        <v>0</v>
      </c>
      <c r="J3878">
        <f>IFERROR(HLOOKUP(J$2,[116]table_female_hkom3_inj.ill_X1!$A$1:$K$36,32,FALSE),0)</f>
        <v>0</v>
      </c>
      <c r="K3878">
        <f>IFERROR(HLOOKUP(K$2,[116]table_female_hkom3_inj.ill_X1!$A$1:$K$36,32,FALSE),0)</f>
        <v>0</v>
      </c>
      <c r="L3878">
        <f>IFERROR(HLOOKUP(L$2,[116]table_female_hkom3_inj.ill_X1!$A$1:$K$36,32,FALSE),0)</f>
        <v>0</v>
      </c>
      <c r="M3878">
        <f t="shared" si="1173"/>
        <v>3</v>
      </c>
      <c r="N3878"/>
      <c r="O3878"/>
      <c r="S3878" s="14" t="s">
        <v>99</v>
      </c>
      <c r="T3878" s="65">
        <f t="shared" si="1174"/>
        <v>0</v>
      </c>
      <c r="U3878" s="65">
        <f t="shared" si="1175"/>
        <v>0</v>
      </c>
      <c r="V3878" s="65">
        <f t="shared" si="1175"/>
        <v>0</v>
      </c>
      <c r="W3878" s="65">
        <f t="shared" si="1175"/>
        <v>11.25</v>
      </c>
      <c r="X3878" s="65">
        <f t="shared" si="1175"/>
        <v>0</v>
      </c>
      <c r="Y3878" s="65">
        <f t="shared" si="1175"/>
        <v>0</v>
      </c>
      <c r="Z3878" s="65">
        <f t="shared" si="1175"/>
        <v>0</v>
      </c>
      <c r="AA3878" s="65">
        <f t="shared" si="1175"/>
        <v>0</v>
      </c>
      <c r="AB3878" s="65">
        <f t="shared" si="1176"/>
        <v>11.25</v>
      </c>
    </row>
    <row r="3879" spans="4:29" s="14" customFormat="1" x14ac:dyDescent="0.25">
      <c r="D3879" s="14" t="s">
        <v>100</v>
      </c>
      <c r="G3879">
        <f>IFERROR(HLOOKUP(G$2,[116]table_female_hkom3_inj.ill_X1!$A$1:$K$36,33,FALSE),0)</f>
        <v>0</v>
      </c>
      <c r="H3879">
        <f>IFERROR(HLOOKUP(H$2,[116]table_female_hkom3_inj.ill_X1!$A$1:$K$36,33,FALSE),0)</f>
        <v>2</v>
      </c>
      <c r="I3879">
        <f>IFERROR(HLOOKUP(I$2,[116]table_female_hkom3_inj.ill_X1!$A$1:$K$36,33,FALSE),0)</f>
        <v>1</v>
      </c>
      <c r="J3879">
        <f>IFERROR(HLOOKUP(J$2,[116]table_female_hkom3_inj.ill_X1!$A$1:$K$36,33,FALSE),0)</f>
        <v>0</v>
      </c>
      <c r="K3879">
        <f>IFERROR(HLOOKUP(K$2,[116]table_female_hkom3_inj.ill_X1!$A$1:$K$36,33,FALSE),0)</f>
        <v>0</v>
      </c>
      <c r="L3879">
        <f>IFERROR(HLOOKUP(L$2,[116]table_female_hkom3_inj.ill_X1!$A$1:$K$36,33,FALSE),0)</f>
        <v>0</v>
      </c>
      <c r="M3879">
        <f t="shared" si="1173"/>
        <v>3</v>
      </c>
      <c r="N3879"/>
      <c r="O3879"/>
      <c r="S3879" s="14" t="s">
        <v>100</v>
      </c>
      <c r="T3879" s="65">
        <f t="shared" si="1174"/>
        <v>0</v>
      </c>
      <c r="U3879" s="65">
        <f t="shared" si="1175"/>
        <v>0</v>
      </c>
      <c r="V3879" s="65">
        <f t="shared" si="1175"/>
        <v>0</v>
      </c>
      <c r="W3879" s="65">
        <f t="shared" si="1175"/>
        <v>7.5</v>
      </c>
      <c r="X3879" s="65">
        <f t="shared" si="1175"/>
        <v>3.3529411764705883</v>
      </c>
      <c r="Y3879" s="65">
        <f t="shared" si="1175"/>
        <v>0</v>
      </c>
      <c r="Z3879" s="65">
        <f t="shared" si="1175"/>
        <v>0</v>
      </c>
      <c r="AA3879" s="65">
        <f t="shared" si="1175"/>
        <v>0</v>
      </c>
      <c r="AB3879" s="65">
        <f t="shared" si="1176"/>
        <v>10.852941176470589</v>
      </c>
    </row>
    <row r="3880" spans="4:29" s="14" customFormat="1" x14ac:dyDescent="0.25">
      <c r="D3880" s="14" t="s">
        <v>101</v>
      </c>
      <c r="G3880">
        <f>IFERROR(HLOOKUP(G$2,[116]table_female_hkom3_inj.ill_X1!$A$1:$K$36,34,FALSE),0)</f>
        <v>0</v>
      </c>
      <c r="H3880">
        <f>IFERROR(HLOOKUP(H$2,[116]table_female_hkom3_inj.ill_X1!$A$1:$K$36,34,FALSE),0)</f>
        <v>1</v>
      </c>
      <c r="I3880">
        <f>IFERROR(HLOOKUP(I$2,[116]table_female_hkom3_inj.ill_X1!$A$1:$K$36,34,FALSE),0)</f>
        <v>1</v>
      </c>
      <c r="J3880">
        <f>IFERROR(HLOOKUP(J$2,[116]table_female_hkom3_inj.ill_X1!$A$1:$K$36,34,FALSE),0)</f>
        <v>0</v>
      </c>
      <c r="K3880">
        <f>IFERROR(HLOOKUP(K$2,[116]table_female_hkom3_inj.ill_X1!$A$1:$K$36,34,FALSE),0)</f>
        <v>0</v>
      </c>
      <c r="L3880">
        <f>IFERROR(HLOOKUP(L$2,[116]table_female_hkom3_inj.ill_X1!$A$1:$K$36,34,FALSE),0)</f>
        <v>0</v>
      </c>
      <c r="M3880">
        <f t="shared" si="1173"/>
        <v>2</v>
      </c>
      <c r="N3880"/>
      <c r="O3880"/>
      <c r="S3880" s="14" t="s">
        <v>101</v>
      </c>
      <c r="T3880" s="65">
        <f t="shared" si="1174"/>
        <v>0</v>
      </c>
      <c r="U3880" s="65">
        <f t="shared" si="1175"/>
        <v>0</v>
      </c>
      <c r="V3880" s="65">
        <f t="shared" si="1175"/>
        <v>0</v>
      </c>
      <c r="W3880" s="65">
        <f t="shared" si="1175"/>
        <v>3.75</v>
      </c>
      <c r="X3880" s="65">
        <f t="shared" si="1175"/>
        <v>3.3529411764705883</v>
      </c>
      <c r="Y3880" s="65">
        <f t="shared" si="1175"/>
        <v>0</v>
      </c>
      <c r="Z3880" s="65">
        <f t="shared" si="1175"/>
        <v>0</v>
      </c>
      <c r="AA3880" s="65">
        <f t="shared" si="1175"/>
        <v>0</v>
      </c>
      <c r="AB3880" s="65">
        <f t="shared" si="1176"/>
        <v>7.1029411764705888</v>
      </c>
    </row>
    <row r="3881" spans="4:29" s="14" customFormat="1" x14ac:dyDescent="0.25">
      <c r="D3881" s="14" t="s">
        <v>102</v>
      </c>
      <c r="G3881">
        <f>IFERROR(HLOOKUP(G$2,[116]table_female_hkom3_inj.ill_X1!$A$1:$K$36,35,FALSE),0)</f>
        <v>32</v>
      </c>
      <c r="H3881">
        <f>IFERROR(HLOOKUP(H$2,[116]table_female_hkom3_inj.ill_X1!$A$1:$K$36,35,FALSE),0)</f>
        <v>55</v>
      </c>
      <c r="I3881">
        <f>IFERROR(HLOOKUP(I$2,[116]table_female_hkom3_inj.ill_X1!$A$1:$K$36,35,FALSE),0)</f>
        <v>40</v>
      </c>
      <c r="J3881">
        <f>IFERROR(HLOOKUP(J$2,[116]table_female_hkom3_inj.ill_X1!$A$1:$K$36,35,FALSE),0)</f>
        <v>7</v>
      </c>
      <c r="K3881">
        <f>IFERROR(HLOOKUP(K$2,[116]table_female_hkom3_inj.ill_X1!$A$1:$K$36,35,FALSE),0)</f>
        <v>0</v>
      </c>
      <c r="L3881">
        <f>IFERROR(HLOOKUP(L$2,[116]table_female_hkom3_inj.ill_X1!$A$1:$K$36,35,FALSE),0)</f>
        <v>0</v>
      </c>
      <c r="M3881">
        <f t="shared" si="1173"/>
        <v>134</v>
      </c>
      <c r="N3881">
        <f>SUM(M3848:M3881)</f>
        <v>180</v>
      </c>
      <c r="O3881" s="8">
        <f>SUM([116]table_female_hkom3_inj.ill_X1!$B$2:$L$37)</f>
        <v>180</v>
      </c>
      <c r="S3881" s="14" t="s">
        <v>102</v>
      </c>
      <c r="T3881" s="66"/>
      <c r="U3881" s="66"/>
      <c r="V3881" s="66"/>
      <c r="W3881" s="66"/>
      <c r="X3881" s="66"/>
      <c r="Y3881" s="66"/>
      <c r="Z3881" s="66"/>
      <c r="AA3881" s="66"/>
      <c r="AB3881" s="65">
        <f t="shared" si="1176"/>
        <v>0</v>
      </c>
      <c r="AC3881" s="65">
        <f>SUM(AB3848:AB3880)</f>
        <v>179.99999999999997</v>
      </c>
    </row>
    <row r="3882" spans="4:29" s="14" customFormat="1" x14ac:dyDescent="0.25"/>
    <row r="3883" spans="4:29" s="14" customFormat="1" x14ac:dyDescent="0.25">
      <c r="T3883" s="14">
        <f t="shared" ref="T3883:AB3883" si="1177">SUM(T2:T3880)</f>
        <v>0</v>
      </c>
      <c r="U3883" s="14">
        <f t="shared" si="1177"/>
        <v>0</v>
      </c>
      <c r="V3883" s="14">
        <f t="shared" si="1177"/>
        <v>27731.000000000196</v>
      </c>
      <c r="W3883" s="14">
        <f t="shared" si="1177"/>
        <v>40800.000000000058</v>
      </c>
      <c r="X3883" s="14">
        <f t="shared" si="1177"/>
        <v>21082.999999999989</v>
      </c>
      <c r="Y3883" s="14">
        <f t="shared" si="1177"/>
        <v>2912.9999999999945</v>
      </c>
      <c r="Z3883" s="14">
        <f t="shared" si="1177"/>
        <v>418.9999999999971</v>
      </c>
      <c r="AA3883" s="14">
        <f t="shared" si="1177"/>
        <v>53.000000000000114</v>
      </c>
      <c r="AB3883" s="14">
        <f t="shared" si="1177"/>
        <v>92999.000000000524</v>
      </c>
    </row>
    <row r="3884" spans="4:29" s="14" customFormat="1" x14ac:dyDescent="0.25">
      <c r="D3884" s="14" t="s">
        <v>131</v>
      </c>
      <c r="E3884" s="14">
        <f>SUM(E3:E3881)</f>
        <v>0</v>
      </c>
      <c r="F3884" s="14">
        <f t="shared" ref="F3884:O3884" si="1178">SUM(F3:F3881)</f>
        <v>0</v>
      </c>
      <c r="G3884" s="14">
        <f t="shared" si="1178"/>
        <v>27731</v>
      </c>
      <c r="H3884" s="14">
        <f t="shared" si="1178"/>
        <v>40800</v>
      </c>
      <c r="I3884" s="14">
        <f t="shared" si="1178"/>
        <v>21083</v>
      </c>
      <c r="J3884" s="14">
        <f t="shared" si="1178"/>
        <v>2913</v>
      </c>
      <c r="K3884" s="14">
        <f t="shared" si="1178"/>
        <v>419</v>
      </c>
      <c r="L3884" s="14">
        <f t="shared" si="1178"/>
        <v>53</v>
      </c>
      <c r="M3884" s="14">
        <f t="shared" si="1178"/>
        <v>92999</v>
      </c>
      <c r="N3884" s="14">
        <f t="shared" si="1178"/>
        <v>92999</v>
      </c>
      <c r="O3884" s="14">
        <f t="shared" si="1178"/>
        <v>92999</v>
      </c>
    </row>
    <row r="3885" spans="4:29" s="14" customFormat="1" x14ac:dyDescent="0.25">
      <c r="M3885" s="14">
        <v>521867</v>
      </c>
    </row>
    <row r="3886" spans="4:29" s="14" customFormat="1" x14ac:dyDescent="0.25"/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topLeftCell="B1" workbookViewId="0">
      <selection activeCell="F26" sqref="F26"/>
    </sheetView>
  </sheetViews>
  <sheetFormatPr defaultRowHeight="15" x14ac:dyDescent="0.25"/>
  <cols>
    <col min="6" max="6" width="129.140625" customWidth="1"/>
  </cols>
  <sheetData>
    <row r="1" spans="1:6" x14ac:dyDescent="0.25">
      <c r="A1" s="41" t="s">
        <v>156</v>
      </c>
      <c r="B1" s="41"/>
      <c r="C1" s="41"/>
      <c r="D1" s="41"/>
      <c r="E1" s="41"/>
      <c r="F1" s="41"/>
    </row>
    <row r="2" spans="1:6" x14ac:dyDescent="0.25">
      <c r="A2" s="42" t="s">
        <v>157</v>
      </c>
      <c r="B2" s="42"/>
      <c r="C2" s="42"/>
      <c r="D2" s="42"/>
      <c r="E2" s="42"/>
      <c r="F2" s="43" t="s">
        <v>158</v>
      </c>
    </row>
    <row r="3" spans="1:6" x14ac:dyDescent="0.25">
      <c r="A3" s="44">
        <v>1</v>
      </c>
      <c r="B3" s="45" t="s">
        <v>159</v>
      </c>
      <c r="C3" s="45"/>
      <c r="D3" s="45"/>
      <c r="E3" s="45"/>
      <c r="F3" s="46" t="s">
        <v>160</v>
      </c>
    </row>
    <row r="4" spans="1:6" x14ac:dyDescent="0.25">
      <c r="A4" s="44">
        <v>2</v>
      </c>
      <c r="B4" s="47" t="s">
        <v>161</v>
      </c>
      <c r="C4" s="45"/>
      <c r="D4" s="45"/>
      <c r="E4" s="45"/>
      <c r="F4" s="48" t="s">
        <v>162</v>
      </c>
    </row>
    <row r="5" spans="1:6" x14ac:dyDescent="0.25">
      <c r="A5" s="44">
        <v>3</v>
      </c>
      <c r="B5" s="45" t="s">
        <v>163</v>
      </c>
      <c r="C5" s="45"/>
      <c r="D5" s="45"/>
      <c r="E5" s="45"/>
      <c r="F5" s="48" t="s">
        <v>164</v>
      </c>
    </row>
    <row r="6" spans="1:6" x14ac:dyDescent="0.25">
      <c r="A6" s="44">
        <v>4</v>
      </c>
      <c r="B6" s="45" t="s">
        <v>165</v>
      </c>
      <c r="C6" s="45"/>
      <c r="D6" s="45"/>
      <c r="E6" s="45"/>
      <c r="F6" s="48" t="s">
        <v>166</v>
      </c>
    </row>
    <row r="7" spans="1:6" x14ac:dyDescent="0.25">
      <c r="A7" s="44">
        <v>5</v>
      </c>
      <c r="B7" s="45" t="s">
        <v>167</v>
      </c>
      <c r="C7" s="45"/>
      <c r="D7" s="45"/>
      <c r="E7" s="45"/>
      <c r="F7" s="48" t="s">
        <v>168</v>
      </c>
    </row>
    <row r="8" spans="1:6" x14ac:dyDescent="0.25">
      <c r="A8" s="44">
        <v>6</v>
      </c>
      <c r="B8" s="45" t="s">
        <v>169</v>
      </c>
      <c r="C8" s="45"/>
      <c r="D8" s="45"/>
      <c r="E8" s="45"/>
      <c r="F8" s="48" t="s">
        <v>170</v>
      </c>
    </row>
    <row r="9" spans="1:6" x14ac:dyDescent="0.25">
      <c r="A9" s="44">
        <v>7</v>
      </c>
      <c r="B9" s="45" t="s">
        <v>171</v>
      </c>
      <c r="C9" s="45"/>
      <c r="D9" s="45"/>
      <c r="E9" s="45"/>
      <c r="F9" s="48" t="s">
        <v>172</v>
      </c>
    </row>
    <row r="10" spans="1:6" x14ac:dyDescent="0.25">
      <c r="A10" s="44">
        <v>8</v>
      </c>
      <c r="B10" s="47" t="s">
        <v>173</v>
      </c>
      <c r="C10" s="45"/>
      <c r="D10" s="45"/>
      <c r="E10" s="45"/>
      <c r="F10" s="48" t="s">
        <v>174</v>
      </c>
    </row>
    <row r="11" spans="1:6" x14ac:dyDescent="0.25">
      <c r="A11" s="44">
        <v>9</v>
      </c>
      <c r="B11" s="45" t="s">
        <v>175</v>
      </c>
      <c r="C11" s="45"/>
      <c r="D11" s="45"/>
      <c r="E11" s="45"/>
      <c r="F11" s="48" t="s">
        <v>176</v>
      </c>
    </row>
    <row r="12" spans="1:6" x14ac:dyDescent="0.25">
      <c r="A12" s="44">
        <v>10</v>
      </c>
      <c r="B12" s="45" t="s">
        <v>177</v>
      </c>
      <c r="C12" s="45"/>
      <c r="D12" s="45"/>
      <c r="E12" s="45"/>
      <c r="F12" s="48" t="s">
        <v>178</v>
      </c>
    </row>
    <row r="13" spans="1:6" x14ac:dyDescent="0.25">
      <c r="A13" s="44">
        <v>11</v>
      </c>
      <c r="B13" s="45" t="s">
        <v>179</v>
      </c>
      <c r="C13" s="45"/>
      <c r="D13" s="45"/>
      <c r="E13" s="45"/>
      <c r="F13" s="48" t="s">
        <v>180</v>
      </c>
    </row>
    <row r="14" spans="1:6" x14ac:dyDescent="0.25">
      <c r="A14" s="44">
        <v>12</v>
      </c>
      <c r="B14" s="45" t="s">
        <v>181</v>
      </c>
      <c r="C14" s="45"/>
      <c r="D14" s="45"/>
      <c r="E14" s="45"/>
      <c r="F14" s="48" t="s">
        <v>182</v>
      </c>
    </row>
    <row r="15" spans="1:6" x14ac:dyDescent="0.25">
      <c r="A15" s="44">
        <v>13</v>
      </c>
      <c r="B15" s="49" t="s">
        <v>183</v>
      </c>
      <c r="C15" s="45"/>
      <c r="D15" s="45"/>
      <c r="E15" s="45"/>
      <c r="F15" s="48" t="s">
        <v>184</v>
      </c>
    </row>
    <row r="16" spans="1:6" x14ac:dyDescent="0.25">
      <c r="A16" s="44">
        <v>14</v>
      </c>
      <c r="B16" s="45" t="s">
        <v>185</v>
      </c>
      <c r="C16" s="45"/>
      <c r="D16" s="45"/>
      <c r="E16" s="45"/>
      <c r="F16" s="48" t="s">
        <v>186</v>
      </c>
    </row>
    <row r="17" spans="1:6" x14ac:dyDescent="0.25">
      <c r="A17" s="44">
        <v>15</v>
      </c>
      <c r="B17" s="45" t="s">
        <v>187</v>
      </c>
      <c r="C17" s="45"/>
      <c r="D17" s="45"/>
      <c r="E17" s="45"/>
      <c r="F17" s="48" t="s">
        <v>188</v>
      </c>
    </row>
    <row r="18" spans="1:6" x14ac:dyDescent="0.25">
      <c r="A18" s="44">
        <v>16</v>
      </c>
      <c r="B18" s="45" t="s">
        <v>189</v>
      </c>
      <c r="C18" s="45"/>
      <c r="D18" s="45"/>
      <c r="E18" s="45"/>
      <c r="F18" s="48" t="s">
        <v>190</v>
      </c>
    </row>
    <row r="19" spans="1:6" x14ac:dyDescent="0.25">
      <c r="A19" s="44">
        <v>17</v>
      </c>
      <c r="B19" s="45" t="s">
        <v>191</v>
      </c>
      <c r="C19" s="45"/>
      <c r="D19" s="45"/>
      <c r="E19" s="45"/>
      <c r="F19" s="48" t="s">
        <v>192</v>
      </c>
    </row>
    <row r="20" spans="1:6" x14ac:dyDescent="0.25">
      <c r="A20" s="44">
        <v>18</v>
      </c>
      <c r="B20" s="45" t="s">
        <v>193</v>
      </c>
      <c r="C20" s="45"/>
      <c r="D20" s="45"/>
      <c r="E20" s="45"/>
      <c r="F20" s="48" t="s">
        <v>194</v>
      </c>
    </row>
    <row r="21" spans="1:6" x14ac:dyDescent="0.25">
      <c r="A21" s="44">
        <v>19</v>
      </c>
      <c r="B21" s="67" t="s">
        <v>195</v>
      </c>
      <c r="C21" s="67"/>
      <c r="D21" s="67"/>
      <c r="E21" s="67"/>
      <c r="F21" s="48" t="s">
        <v>196</v>
      </c>
    </row>
    <row r="22" spans="1:6" x14ac:dyDescent="0.25">
      <c r="A22" s="44">
        <v>20</v>
      </c>
      <c r="B22" s="45" t="s">
        <v>197</v>
      </c>
      <c r="C22" s="45"/>
      <c r="D22" s="45"/>
      <c r="E22" s="45"/>
      <c r="F22" s="48" t="s">
        <v>198</v>
      </c>
    </row>
    <row r="23" spans="1:6" x14ac:dyDescent="0.25">
      <c r="A23" s="44">
        <v>21</v>
      </c>
      <c r="B23" s="45" t="s">
        <v>199</v>
      </c>
      <c r="C23" s="45"/>
      <c r="D23" s="45"/>
      <c r="E23" s="45"/>
      <c r="F23" s="48" t="s">
        <v>200</v>
      </c>
    </row>
    <row r="24" spans="1:6" x14ac:dyDescent="0.25">
      <c r="A24" s="44">
        <v>22</v>
      </c>
      <c r="B24" s="45" t="s">
        <v>201</v>
      </c>
      <c r="C24" s="45"/>
      <c r="D24" s="45"/>
      <c r="E24" s="45"/>
      <c r="F24" s="48" t="s">
        <v>202</v>
      </c>
    </row>
    <row r="25" spans="1:6" x14ac:dyDescent="0.25">
      <c r="A25" s="44">
        <v>23</v>
      </c>
      <c r="B25" s="47" t="s">
        <v>203</v>
      </c>
      <c r="C25" s="45"/>
      <c r="D25" s="45"/>
      <c r="E25" s="45"/>
      <c r="F25" s="48" t="s">
        <v>204</v>
      </c>
    </row>
    <row r="26" spans="1:6" x14ac:dyDescent="0.25">
      <c r="A26" s="44">
        <v>24</v>
      </c>
      <c r="B26" s="45" t="s">
        <v>205</v>
      </c>
      <c r="C26" s="45"/>
      <c r="D26" s="45"/>
      <c r="E26" s="45"/>
      <c r="F26" s="48" t="s">
        <v>206</v>
      </c>
    </row>
    <row r="27" spans="1:6" x14ac:dyDescent="0.25">
      <c r="A27" s="44">
        <v>25</v>
      </c>
      <c r="B27" s="45" t="s">
        <v>207</v>
      </c>
      <c r="C27" s="45"/>
      <c r="D27" s="45"/>
      <c r="E27" s="45"/>
      <c r="F27" s="48" t="s">
        <v>208</v>
      </c>
    </row>
    <row r="28" spans="1:6" x14ac:dyDescent="0.25">
      <c r="A28" s="44">
        <v>26</v>
      </c>
      <c r="B28" s="50" t="s">
        <v>209</v>
      </c>
      <c r="C28" s="45"/>
      <c r="D28" s="45"/>
      <c r="E28" s="45"/>
      <c r="F28" s="48" t="s">
        <v>210</v>
      </c>
    </row>
    <row r="29" spans="1:6" x14ac:dyDescent="0.25">
      <c r="A29" s="44">
        <v>27</v>
      </c>
      <c r="B29" s="45" t="s">
        <v>211</v>
      </c>
      <c r="C29" s="45"/>
      <c r="D29" s="45"/>
      <c r="E29" s="45"/>
      <c r="F29" s="48" t="s">
        <v>212</v>
      </c>
    </row>
    <row r="30" spans="1:6" x14ac:dyDescent="0.25">
      <c r="A30" s="44">
        <v>28</v>
      </c>
      <c r="B30" s="45" t="s">
        <v>213</v>
      </c>
      <c r="C30" s="45"/>
      <c r="D30" s="45"/>
      <c r="E30" s="45"/>
      <c r="F30" s="48" t="s">
        <v>214</v>
      </c>
    </row>
    <row r="31" spans="1:6" x14ac:dyDescent="0.25">
      <c r="A31" s="44">
        <v>29</v>
      </c>
      <c r="B31" s="47" t="s">
        <v>215</v>
      </c>
      <c r="C31" s="45"/>
      <c r="D31" s="45"/>
      <c r="E31" s="45"/>
      <c r="F31" s="48" t="s">
        <v>216</v>
      </c>
    </row>
    <row r="32" spans="1:6" x14ac:dyDescent="0.25">
      <c r="A32" s="44">
        <v>30</v>
      </c>
      <c r="B32" s="47" t="s">
        <v>217</v>
      </c>
      <c r="C32" s="45"/>
      <c r="D32" s="45"/>
      <c r="E32" s="45"/>
      <c r="F32" s="48" t="s">
        <v>218</v>
      </c>
    </row>
    <row r="33" spans="1:6" x14ac:dyDescent="0.25">
      <c r="A33" s="44">
        <v>31</v>
      </c>
      <c r="B33" s="45" t="s">
        <v>219</v>
      </c>
      <c r="C33" s="45"/>
      <c r="D33" s="45"/>
      <c r="E33" s="45"/>
      <c r="F33" s="48" t="s">
        <v>220</v>
      </c>
    </row>
    <row r="34" spans="1:6" x14ac:dyDescent="0.25">
      <c r="A34" s="44">
        <v>32</v>
      </c>
      <c r="B34" s="45" t="s">
        <v>221</v>
      </c>
      <c r="C34" s="45"/>
      <c r="D34" s="45"/>
      <c r="E34" s="45"/>
      <c r="F34" s="48" t="s">
        <v>222</v>
      </c>
    </row>
    <row r="35" spans="1:6" ht="25.5" x14ac:dyDescent="0.25">
      <c r="A35" s="51">
        <v>33</v>
      </c>
      <c r="B35" s="52" t="s">
        <v>223</v>
      </c>
      <c r="C35" s="52"/>
      <c r="D35" s="52"/>
      <c r="E35" s="52"/>
      <c r="F35" s="53" t="s">
        <v>224</v>
      </c>
    </row>
    <row r="36" spans="1:6" x14ac:dyDescent="0.25">
      <c r="A36" s="54">
        <v>34</v>
      </c>
      <c r="B36" s="55" t="s">
        <v>225</v>
      </c>
      <c r="C36" s="56"/>
      <c r="D36" s="56"/>
      <c r="E36" s="56"/>
      <c r="F36" s="57" t="s">
        <v>226</v>
      </c>
    </row>
    <row r="37" spans="1:6" x14ac:dyDescent="0.25">
      <c r="A37" s="54">
        <v>35</v>
      </c>
      <c r="B37" s="58" t="s">
        <v>227</v>
      </c>
      <c r="C37" s="56"/>
      <c r="D37" s="56"/>
      <c r="E37" s="56"/>
      <c r="F37" s="59" t="s">
        <v>228</v>
      </c>
    </row>
    <row r="38" spans="1:6" x14ac:dyDescent="0.25">
      <c r="A38" s="54">
        <v>36</v>
      </c>
      <c r="B38" s="58" t="s">
        <v>229</v>
      </c>
      <c r="C38" s="56"/>
      <c r="D38" s="56"/>
      <c r="E38" s="56"/>
      <c r="F38" s="57" t="s">
        <v>230</v>
      </c>
    </row>
    <row r="39" spans="1:6" x14ac:dyDescent="0.25">
      <c r="A39" s="60">
        <v>37</v>
      </c>
      <c r="B39" s="58" t="s">
        <v>231</v>
      </c>
      <c r="C39" s="61"/>
      <c r="D39" s="61"/>
      <c r="E39" s="61"/>
      <c r="F39" s="62" t="s">
        <v>232</v>
      </c>
    </row>
    <row r="41" spans="1:6" x14ac:dyDescent="0.25">
      <c r="B41" s="58" t="s">
        <v>235</v>
      </c>
      <c r="C41" s="63" t="s">
        <v>236</v>
      </c>
    </row>
  </sheetData>
  <mergeCells count="1">
    <mergeCell ref="B21:E21"/>
  </mergeCells>
  <hyperlinks>
    <hyperlink ref="C41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:B26"/>
  <sheetViews>
    <sheetView workbookViewId="0">
      <selection activeCell="M30" sqref="M30"/>
    </sheetView>
  </sheetViews>
  <sheetFormatPr defaultRowHeight="15" x14ac:dyDescent="0.25"/>
  <sheetData>
    <row r="26" spans="1:2" x14ac:dyDescent="0.25">
      <c r="A26" t="s">
        <v>233</v>
      </c>
      <c r="B26" s="63" t="s">
        <v>234</v>
      </c>
    </row>
  </sheetData>
  <hyperlinks>
    <hyperlink ref="B26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complete_IPDdata57_SSS</vt:lpstr>
      <vt:lpstr>ตัวคูณโรงพยาบาล</vt:lpstr>
      <vt:lpstr>data_redis_illX</vt:lpstr>
      <vt:lpstr>data_origin</vt:lpstr>
      <vt:lpstr>ICD_code_inj_nature</vt:lpstr>
      <vt:lpstr>ICD_code_inj_gr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Khanitta</dc:creator>
  <cp:lastModifiedBy>Khanitta</cp:lastModifiedBy>
  <dcterms:created xsi:type="dcterms:W3CDTF">2016-06-21T03:19:59Z</dcterms:created>
  <dcterms:modified xsi:type="dcterms:W3CDTF">2016-07-14T03:24:01Z</dcterms:modified>
</cp:coreProperties>
</file>